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15.xml" ContentType="application/vnd.openxmlformats-officedocument.spreadsheetml.worksheet+xml"/>
  <Override PartName="/xl/drawings/drawing9.xml" ContentType="application/vnd.openxmlformats-officedocument.drawing+xml"/>
  <Override PartName="/xl/worksheets/sheet16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drawings/drawing11.xml" ContentType="application/vnd.openxmlformats-officedocument.drawing+xml"/>
  <Override PartName="/xl/worksheets/sheet18.xml" ContentType="application/vnd.openxmlformats-officedocument.spreadsheetml.worksheet+xml"/>
  <Override PartName="/xl/drawings/drawing12.xml" ContentType="application/vnd.openxmlformats-officedocument.drawing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RDS" sheetId="2" state="visible" r:id="rId2"/>
    <sheet xmlns:r="http://schemas.openxmlformats.org/officeDocument/2006/relationships" name="CASHBACK_RULES" sheetId="3" state="visible" r:id="rId3"/>
    <sheet xmlns:r="http://schemas.openxmlformats.org/officeDocument/2006/relationships" name="MCC_MASTER" sheetId="4" state="visible" r:id="rId4"/>
    <sheet xmlns:r="http://schemas.openxmlformats.org/officeDocument/2006/relationships" name="TRANSACTIONS_MASTER" sheetId="5" state="visible" r:id="rId5"/>
    <sheet xmlns:r="http://schemas.openxmlformats.org/officeDocument/2006/relationships" name="CARD_TRACKER" sheetId="6" state="visible" r:id="rId6"/>
    <sheet xmlns:r="http://schemas.openxmlformats.org/officeDocument/2006/relationships" name="CAP_TRACKER" sheetId="7" state="visible" r:id="rId7"/>
    <sheet xmlns:r="http://schemas.openxmlformats.org/officeDocument/2006/relationships" name="2026-01" sheetId="8" state="visible" r:id="rId8"/>
    <sheet xmlns:r="http://schemas.openxmlformats.org/officeDocument/2006/relationships" name="2026-02" sheetId="9" state="visible" r:id="rId9"/>
    <sheet xmlns:r="http://schemas.openxmlformats.org/officeDocument/2006/relationships" name="2026-03" sheetId="10" state="visible" r:id="rId10"/>
    <sheet xmlns:r="http://schemas.openxmlformats.org/officeDocument/2006/relationships" name="2026-04" sheetId="11" state="visible" r:id="rId11"/>
    <sheet xmlns:r="http://schemas.openxmlformats.org/officeDocument/2006/relationships" name="2026-05" sheetId="12" state="visible" r:id="rId12"/>
    <sheet xmlns:r="http://schemas.openxmlformats.org/officeDocument/2006/relationships" name="2026-06" sheetId="13" state="visible" r:id="rId13"/>
    <sheet xmlns:r="http://schemas.openxmlformats.org/officeDocument/2006/relationships" name="2026-07" sheetId="14" state="visible" r:id="rId14"/>
    <sheet xmlns:r="http://schemas.openxmlformats.org/officeDocument/2006/relationships" name="2026-08" sheetId="15" state="visible" r:id="rId15"/>
    <sheet xmlns:r="http://schemas.openxmlformats.org/officeDocument/2006/relationships" name="2026-09" sheetId="16" state="visible" r:id="rId16"/>
    <sheet xmlns:r="http://schemas.openxmlformats.org/officeDocument/2006/relationships" name="2026-10" sheetId="17" state="visible" r:id="rId17"/>
    <sheet xmlns:r="http://schemas.openxmlformats.org/officeDocument/2006/relationships" name="2026-11" sheetId="18" state="visible" r:id="rId18"/>
    <sheet xmlns:r="http://schemas.openxmlformats.org/officeDocument/2006/relationships" name="2026-12" sheetId="19" state="visible" r:id="rId19"/>
    <sheet xmlns:r="http://schemas.openxmlformats.org/officeDocument/2006/relationships" name="SETTINGS" sheetId="20" state="visible" r:id="rId20"/>
  </sheets>
  <definedNames>
    <definedName name="pToday">SETTINGS!$C$5</definedName>
    <definedName name="pCurMonth">SETTINGS!$C$6</definedName>
    <definedName name="pUtil1">SETTINGS!$C$7</definedName>
    <definedName name="pUtil2">SETTINGS!$C$8</definedName>
    <definedName name="pUtil3">SETTINGS!$C$9</definedName>
    <definedName name="pWarnDays">SETTINGS!$C$10</definedName>
    <definedName name="pCapWarn">SETTINGS!$C$11</definedName>
    <definedName name="lstMonths">OFFSET(SETTINGS!$B$15,0,0,MAX(1,COUNTA(SETTINGS!$B$15:$B$114)),1)</definedName>
    <definedName name="lstBanks">OFFSET(SETTINGS!$C$15,0,0,MAX(1,COUNTA(SETTINGS!$C$15:$C$114)),1)</definedName>
    <definedName name="lstCardTypes">OFFSET(SETTINGS!$D$15,0,0,MAX(1,COUNTA(SETTINGS!$D$15:$D$114)),1)</definedName>
    <definedName name="lstNetworks">OFFSET(SETTINGS!$E$15,0,0,MAX(1,COUNTA(SETTINGS!$E$15:$E$114)),1)</definedName>
    <definedName name="lstCardStatus">OFFSET(SETTINGS!$F$15,0,0,MAX(1,COUNTA(SETTINGS!$F$15:$F$114)),1)</definedName>
    <definedName name="lstTxStatus">OFFSET(SETTINGS!$G$15,0,0,MAX(1,COUNTA(SETTINGS!$G$15:$G$114)),1)</definedName>
    <definedName name="lstPayStatus">OFFSET(SETTINGS!$H$15,0,0,MAX(1,COUNTA(SETTINGS!$H$15:$H$114)),1)</definedName>
    <definedName name="lstCategories">OFFSET(SETTINGS!$I$15,0,0,MAX(1,COUNTA(SETTINGS!$I$15:$I$114)),1)</definedName>
    <definedName name="lstCards">OFFSET(CARDS!$A$5,0,0,MAX(1,COUNTA(CARDS!$A$5:$A$34)),1)</definedName>
    <definedName name="lstMCC">OFFSET(MCC_MASTER!$A$5,0,0,MAX(1,COUNTA(MCC_MASTER!$A$5:$A$504)),1)</definedName>
    <definedName name="lstRuleIDs">OFFSET(CASHBACK_RULES!$A$5,0,0,MAX(1,SUMPRODUCT(--(CASHBACK_RULES!$A$5:$A$304&lt;&gt;""))),1)</definedName>
    <definedName name="_xlnm._FilterDatabase" localSheetId="7" hidden="1">'2026-01'!$A$7:$P$207</definedName>
    <definedName name="_xlnm._FilterDatabase" localSheetId="8" hidden="1">'2026-02'!$A$7:$P$207</definedName>
    <definedName name="_xlnm._FilterDatabase" localSheetId="9" hidden="1">'2026-03'!$A$7:$P$207</definedName>
    <definedName name="_xlnm._FilterDatabase" localSheetId="10" hidden="1">'2026-04'!$A$7:$P$207</definedName>
    <definedName name="_xlnm._FilterDatabase" localSheetId="11" hidden="1">'2026-05'!$A$7:$P$207</definedName>
    <definedName name="_xlnm._FilterDatabase" localSheetId="12" hidden="1">'2026-06'!$A$7:$P$207</definedName>
    <definedName name="_xlnm._FilterDatabase" localSheetId="13" hidden="1">'2026-07'!$A$7:$P$207</definedName>
    <definedName name="_xlnm._FilterDatabase" localSheetId="14" hidden="1">'2026-08'!$A$7:$P$207</definedName>
    <definedName name="_xlnm._FilterDatabase" localSheetId="15" hidden="1">'2026-09'!$A$7:$P$207</definedName>
    <definedName name="_xlnm._FilterDatabase" localSheetId="16" hidden="1">'2026-10'!$A$7:$P$207</definedName>
    <definedName name="_xlnm._FilterDatabase" localSheetId="17" hidden="1">'2026-11'!$A$7:$P$207</definedName>
    <definedName name="_xlnm._FilterDatabase" localSheetId="18" hidden="1">'2026-12'!$A$7:$P$207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0000&quot;-&quot;00"/>
    <numFmt numFmtId="166" formatCode="#,##0;-#,##0;&quot;–&quot;"/>
    <numFmt numFmtId="167" formatCode="0.0%"/>
    <numFmt numFmtId="168" formatCode="0;-0;0"/>
  </numFmts>
  <fonts count="27">
    <font>
      <name val="Calibri"/>
      <family val="2"/>
      <color theme="1"/>
      <sz val="11"/>
      <scheme val="minor"/>
    </font>
    <font>
      <name val="Segoe UI"/>
      <b val="1"/>
      <color rgb="004A3540"/>
      <sz val="16"/>
    </font>
    <font>
      <name val="Segoe UI"/>
      <color rgb="009A8A92"/>
      <sz val="9"/>
    </font>
    <font>
      <name val="Segoe UI"/>
      <b val="1"/>
      <color rgb="004A3540"/>
      <sz val="10"/>
    </font>
    <font>
      <name val="Segoe UI"/>
      <color rgb="004A3540"/>
      <sz val="10"/>
    </font>
    <font>
      <name val="Segoe UI"/>
      <b val="1"/>
      <color rgb="001F5FA8"/>
      <sz val="10"/>
    </font>
    <font>
      <name val="Segoe UI"/>
      <b val="1"/>
      <color rgb="004A3540"/>
      <sz val="9"/>
    </font>
    <font>
      <name val="Segoe UI"/>
      <color rgb="001F5FA8"/>
      <sz val="10"/>
    </font>
    <font>
      <name val="Segoe UI"/>
      <b val="1"/>
      <color rgb="00E58FB0"/>
      <sz val="10"/>
    </font>
    <font>
      <name val="Segoe UI"/>
      <b val="1"/>
      <color rgb="00A84B14"/>
      <sz val="9"/>
    </font>
    <font>
      <name val="Segoe UI"/>
      <color rgb="009A8A92"/>
      <sz val="8"/>
    </font>
    <font>
      <name val="Segoe UI"/>
      <b val="1"/>
      <color rgb="00E58FB0"/>
      <sz val="9"/>
    </font>
    <font>
      <name val="Segoe UI"/>
      <b val="1"/>
      <color rgb="00E58FB0"/>
      <sz val="12"/>
    </font>
    <font>
      <name val="Segoe UI"/>
      <b val="1"/>
      <color rgb="00B04A78"/>
      <sz val="9"/>
    </font>
    <font>
      <name val="Segoe UI"/>
      <color rgb="00C9BEC3"/>
      <sz val="7"/>
    </font>
    <font>
      <name val="Segoe UI"/>
      <b val="1"/>
      <color rgb="004A3540"/>
      <sz val="18"/>
    </font>
    <font>
      <name val="Segoe UI"/>
      <b val="1"/>
      <color rgb="009A8A92"/>
      <sz val="9"/>
    </font>
    <font>
      <name val="Segoe UI"/>
      <b val="1"/>
      <color rgb="001F5FA8"/>
      <sz val="11"/>
    </font>
    <font>
      <name val="Segoe UI"/>
      <color rgb="009A8A92"/>
      <sz val="10"/>
    </font>
    <font>
      <name val="Segoe UI"/>
      <b val="1"/>
      <color rgb="009A8A92"/>
      <sz val="8"/>
    </font>
    <font>
      <name val="Segoe UI"/>
      <b val="1"/>
      <color rgb="004A3540"/>
      <sz val="14"/>
    </font>
    <font>
      <name val="Segoe UI"/>
      <b val="1"/>
      <color rgb="00B0233B"/>
      <sz val="9"/>
    </font>
    <font>
      <name val="Segoe UI"/>
      <b val="1"/>
      <color rgb="004A3540"/>
      <sz val="24"/>
    </font>
    <font>
      <name val="Segoe UI"/>
      <b val="1"/>
      <color rgb="001F5FA8"/>
      <sz val="14"/>
    </font>
    <font>
      <name val="Segoe UI"/>
      <color rgb="00B04A78"/>
      <sz val="9"/>
    </font>
    <font>
      <name val="Segoe UI"/>
      <b val="1"/>
      <color rgb="004A3540"/>
      <sz val="15"/>
    </font>
    <font>
      <name val="Segoe UI"/>
      <b val="1"/>
      <color rgb="004A3540"/>
      <sz val="10.5"/>
    </font>
  </fonts>
  <fills count="9">
    <fill>
      <patternFill/>
    </fill>
    <fill>
      <patternFill patternType="gray125"/>
    </fill>
    <fill>
      <patternFill patternType="solid">
        <fgColor rgb="00F8C8DC"/>
        <bgColor rgb="00F8C8DC"/>
      </patternFill>
    </fill>
    <fill>
      <patternFill patternType="solid">
        <fgColor rgb="00FFFFFF"/>
        <bgColor rgb="00FFFFFF"/>
      </patternFill>
    </fill>
    <fill>
      <patternFill patternType="solid">
        <fgColor rgb="00F7F4F5"/>
        <bgColor rgb="00F7F4F5"/>
      </patternFill>
    </fill>
    <fill>
      <patternFill patternType="solid">
        <fgColor rgb="00FCE4EC"/>
        <bgColor rgb="00FCE4EC"/>
      </patternFill>
    </fill>
    <fill>
      <patternFill patternType="solid">
        <fgColor rgb="00E4DCE0"/>
        <bgColor rgb="00E4DCE0"/>
      </patternFill>
    </fill>
    <fill>
      <patternFill patternType="solid">
        <fgColor rgb="00ECE5E8"/>
        <bgColor rgb="00ECE5E8"/>
      </patternFill>
    </fill>
    <fill>
      <patternFill patternType="solid">
        <fgColor rgb="00FFF5F8"/>
        <bgColor rgb="00FFF5F8"/>
      </patternFill>
    </fill>
  </fills>
  <borders count="13">
    <border>
      <left/>
      <right/>
      <top/>
      <bottom/>
      <diagonal/>
    </border>
    <border>
      <left style="thin">
        <color rgb="00F0D5DF"/>
      </left>
      <right style="thin">
        <color rgb="00F0D5DF"/>
      </right>
      <top style="thin">
        <color rgb="00F0D5DF"/>
      </top>
      <bottom style="thin">
        <color rgb="00F0D5DF"/>
      </bottom>
    </border>
    <border>
      <left style="thin">
        <color rgb="00F0D5DF"/>
      </left>
      <top style="medium">
        <color rgb="00F8C8DC"/>
      </top>
    </border>
    <border>
      <bottom style="thin">
        <color rgb="00F0D5DF"/>
      </bottom>
    </border>
    <border>
      <top style="medium">
        <color rgb="00F8C8DC"/>
      </top>
    </border>
    <border>
      <left style="thin">
        <color rgb="00F0D5DF"/>
      </left>
    </border>
    <border>
      <left style="thin">
        <color rgb="00F0D5DF"/>
      </left>
      <bottom style="thin">
        <color rgb="00F0D5DF"/>
      </bottom>
    </border>
    <border>
      <right style="thin">
        <color rgb="00F0D5DF"/>
      </right>
      <top style="medium">
        <color rgb="00F8C8DC"/>
      </top>
    </border>
    <border>
      <right style="thin">
        <color rgb="00F0D5DF"/>
      </right>
    </border>
    <border>
      <right style="thin">
        <color rgb="00F0D5DF"/>
      </right>
      <bottom style="thin">
        <color rgb="00F0D5DF"/>
      </bottom>
    </border>
    <border>
      <left/>
      <right/>
      <top style="thin">
        <color rgb="00F0D5DF"/>
      </top>
      <bottom/>
      <diagonal/>
    </border>
    <border>
      <left/>
      <right style="thin">
        <color rgb="00F0D5DF"/>
      </right>
      <top style="thin">
        <color rgb="00F0D5DF"/>
      </top>
      <bottom/>
      <diagonal/>
    </border>
    <border>
      <left/>
      <right style="thin">
        <color rgb="00F0D5DF"/>
      </right>
      <top style="thin">
        <color rgb="00F0D5DF"/>
      </top>
      <bottom style="thin">
        <color rgb="00F0D5DF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2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165" fontId="23" fillId="3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4" fillId="8" borderId="1" applyAlignment="1" pivotButton="0" quotePrefix="0" xfId="0">
      <alignment horizontal="center" vertical="center"/>
    </xf>
    <xf numFmtId="0" fontId="16" fillId="8" borderId="2" applyAlignment="1" pivotButton="0" quotePrefix="0" xfId="0">
      <alignment horizontal="left" vertical="center" indent="1"/>
    </xf>
    <xf numFmtId="0" fontId="0" fillId="8" borderId="7" pivotButton="0" quotePrefix="0" xfId="0"/>
    <xf numFmtId="1" fontId="25" fillId="8" borderId="5" applyAlignment="1" pivotButton="0" quotePrefix="0" xfId="0">
      <alignment horizontal="left" vertical="center" indent="1"/>
    </xf>
    <xf numFmtId="0" fontId="0" fillId="8" borderId="8" pivotButton="0" quotePrefix="0" xfId="0"/>
    <xf numFmtId="166" fontId="25" fillId="8" borderId="5" applyAlignment="1" pivotButton="0" quotePrefix="0" xfId="0">
      <alignment horizontal="left" vertical="center" indent="1"/>
    </xf>
    <xf numFmtId="167" fontId="25" fillId="8" borderId="5" applyAlignment="1" pivotButton="0" quotePrefix="0" xfId="0">
      <alignment horizontal="left" vertical="center" indent="1"/>
    </xf>
    <xf numFmtId="0" fontId="26" fillId="8" borderId="5" applyAlignment="1" pivotButton="0" quotePrefix="0" xfId="0">
      <alignment horizontal="left" vertical="center" indent="1"/>
    </xf>
    <xf numFmtId="0" fontId="10" fillId="8" borderId="6" applyAlignment="1" pivotButton="0" quotePrefix="0" xfId="0">
      <alignment horizontal="left" vertical="center" indent="1"/>
    </xf>
    <xf numFmtId="0" fontId="0" fillId="8" borderId="9" pivotButton="0" quotePrefix="0" xfId="0"/>
    <xf numFmtId="0" fontId="3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4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166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right" vertical="center"/>
    </xf>
    <xf numFmtId="1" fontId="3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1" applyAlignment="1" applyProtection="1" pivotButton="0" quotePrefix="0" xfId="0">
      <alignment horizontal="left" vertical="center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49" fontId="7" fillId="0" borderId="1" applyAlignment="1" applyProtection="1" pivotButton="0" quotePrefix="0" xfId="0">
      <alignment horizontal="center" vertical="center"/>
      <protection locked="0" hidden="0"/>
    </xf>
    <xf numFmtId="166" fontId="7" fillId="0" borderId="1" applyAlignment="1" applyProtection="1" pivotButton="0" quotePrefix="0" xfId="0">
      <alignment horizontal="right" vertical="center"/>
      <protection locked="0" hidden="0"/>
    </xf>
    <xf numFmtId="1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" fontId="1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7" fontId="7" fillId="0" borderId="1" applyAlignment="1" applyProtection="1" pivotButton="0" quotePrefix="0" xfId="0">
      <alignment horizontal="center" vertical="center"/>
      <protection locked="0" hidden="0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66" fontId="10" fillId="4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/>
    </xf>
    <xf numFmtId="167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1"/>
    </xf>
    <xf numFmtId="0" fontId="3" fillId="5" borderId="1" pivotButton="0" quotePrefix="0" xfId="0"/>
    <xf numFmtId="167" fontId="3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  <xf numFmtId="165" fontId="17" fillId="3" borderId="1" applyAlignment="1" applyProtection="1" pivotButton="0" quotePrefix="0" xfId="0">
      <alignment horizontal="center" vertical="center"/>
      <protection locked="0" hidden="0"/>
    </xf>
    <xf numFmtId="0" fontId="10" fillId="0" borderId="0" applyAlignment="1" pivotButton="0" quotePrefix="0" xfId="0">
      <alignment horizontal="left" vertical="center"/>
    </xf>
    <xf numFmtId="0" fontId="19" fillId="8" borderId="2" applyAlignment="1" pivotButton="0" quotePrefix="0" xfId="0">
      <alignment horizontal="left" vertical="center" indent="1"/>
    </xf>
    <xf numFmtId="0" fontId="0" fillId="8" borderId="4" pivotButton="0" quotePrefix="0" xfId="0"/>
    <xf numFmtId="166" fontId="20" fillId="8" borderId="3" applyAlignment="1" pivotButton="0" quotePrefix="0" xfId="0">
      <alignment horizontal="left" vertical="center" indent="1"/>
    </xf>
    <xf numFmtId="0" fontId="0" fillId="8" borderId="3" pivotButton="0" quotePrefix="0" xfId="0"/>
    <xf numFmtId="1" fontId="20" fillId="8" borderId="3" applyAlignment="1" pivotButton="0" quotePrefix="0" xfId="0">
      <alignment horizontal="left" vertical="center" indent="1"/>
    </xf>
    <xf numFmtId="0" fontId="20" fillId="8" borderId="3" applyAlignment="1" pivotButton="0" quotePrefix="0" xfId="0">
      <alignment horizontal="left" vertical="center" indent="1"/>
    </xf>
    <xf numFmtId="0" fontId="21" fillId="2" borderId="0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5" fillId="3" borderId="1" applyAlignment="1" applyProtection="1" pivotButton="0" quotePrefix="0" xfId="0">
      <alignment horizontal="center" vertical="center"/>
      <protection locked="0" hidden="0"/>
    </xf>
    <xf numFmtId="0" fontId="4" fillId="0" borderId="0" applyAlignment="1" pivotButton="0" quotePrefix="0" xfId="0">
      <alignment horizontal="left" vertical="center"/>
    </xf>
    <xf numFmtId="165" fontId="3" fillId="4" borderId="1" applyAlignment="1" pivotButton="0" quotePrefix="0" xfId="0">
      <alignment horizontal="center" vertical="center"/>
    </xf>
    <xf numFmtId="9" fontId="5" fillId="3" borderId="1" applyAlignment="1" applyProtection="1" pivotButton="0" quotePrefix="0" xfId="0">
      <alignment horizontal="center" vertical="center"/>
      <protection locked="0" hidden="0"/>
    </xf>
    <xf numFmtId="1" fontId="5" fillId="3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pivotButton="0" quotePrefix="0" xfId="0">
      <alignment horizontal="center" vertical="center" wrapText="1"/>
    </xf>
    <xf numFmtId="165" fontId="7" fillId="0" borderId="1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dxfs count="10">
    <dxf>
      <font>
        <name val="Segoe UI"/>
        <b val="1"/>
        <color rgb="00B0233B"/>
        <sz val="10"/>
      </font>
      <fill>
        <patternFill patternType="solid">
          <fgColor rgb="00FFD6DC"/>
          <bgColor rgb="00FFD6DC"/>
        </patternFill>
      </fill>
    </dxf>
    <dxf>
      <font>
        <name val="Segoe UI"/>
        <b val="1"/>
        <color rgb="00A84B14"/>
        <sz val="10"/>
      </font>
      <fill>
        <patternFill patternType="solid">
          <fgColor rgb="00FFE0CC"/>
          <bgColor rgb="00FFE0CC"/>
        </patternFill>
      </fill>
    </dxf>
    <dxf>
      <font>
        <name val="Segoe UI"/>
        <b val="1"/>
        <color rgb="008A6100"/>
        <sz val="10"/>
      </font>
      <fill>
        <patternFill patternType="solid">
          <fgColor rgb="00FFF2CC"/>
          <bgColor rgb="00FFF2CC"/>
        </patternFill>
      </fill>
    </dxf>
    <dxf>
      <font>
        <name val="Segoe UI"/>
        <b val="1"/>
        <color rgb="0023724A"/>
        <sz val="10"/>
      </font>
      <fill>
        <patternFill patternType="solid">
          <fgColor rgb="00DDF3E4"/>
          <bgColor rgb="00DDF3E4"/>
        </patternFill>
      </fill>
    </dxf>
    <dxf>
      <font>
        <name val="Segoe UI"/>
        <b val="1"/>
        <color rgb="007A6F74"/>
        <sz val="10"/>
      </font>
      <fill>
        <patternFill patternType="solid">
          <fgColor rgb="00ECE8EA"/>
          <bgColor rgb="00ECE8EA"/>
        </patternFill>
      </fill>
    </dxf>
    <dxf>
      <fill>
        <patternFill patternType="solid">
          <fgColor rgb="00FFF9FB"/>
          <bgColor rgb="00FFF9FB"/>
        </patternFill>
      </fill>
    </dxf>
    <dxf>
      <font>
        <name val="Segoe UI"/>
        <color rgb="0023724A"/>
        <sz val="10"/>
      </font>
    </dxf>
    <dxf>
      <font>
        <name val="Segoe UI"/>
        <b val="1"/>
        <color rgb="0023724A"/>
        <sz val="10"/>
      </font>
    </dxf>
    <dxf>
      <font>
        <name val="Segoe UI"/>
        <b val="1"/>
        <color rgb="00B0233B"/>
        <sz val="10"/>
      </font>
    </dxf>
    <dxf>
      <font>
        <name val="Segoe UI"/>
        <color rgb="007A6F74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thẻ (tháng đang xem)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F4A6C0"/>
            </a:solidFill>
            <a:ln xmlns:a="http://schemas.openxmlformats.org/drawingml/2006/main">
              <a:solidFill>
                <a:srgbClr val="F4A6C0"/>
              </a:solidFill>
              <a:prstDash val="solid"/>
            </a:ln>
          </spPr>
          <cat>
            <numRef>
              <f>'Dashboard'!$B$84:$B$95</f>
            </numRef>
          </cat>
          <val>
            <numRef>
              <f>'Dashboard'!$D$84:$D$95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Cashback theo thẻ (thực nhận)</a:t>
            </a:r>
          </a:p>
        </rich>
      </tx>
    </title>
    <plotArea>
      <barChart>
        <barDir val="bar"/>
        <grouping val="clustered"/>
        <ser>
          <idx val="0"/>
          <order val="0"/>
          <tx>
            <v>Cashback</v>
          </tx>
          <spPr>
            <a:solidFill xmlns:a="http://schemas.openxmlformats.org/drawingml/2006/main">
              <a:srgbClr val="D98BB0"/>
            </a:solidFill>
            <a:ln xmlns:a="http://schemas.openxmlformats.org/drawingml/2006/main">
              <a:solidFill>
                <a:srgbClr val="D98BB0"/>
              </a:solidFill>
              <a:prstDash val="solid"/>
            </a:ln>
          </spPr>
          <cat>
            <numRef>
              <f>'Dashboard'!$B$84:$B$95</f>
            </numRef>
          </cat>
          <val>
            <numRef>
              <f>'Dashboard'!$E$84:$E$95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danh mục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F7B7CE"/>
            </a:solidFill>
            <a:ln xmlns:a="http://schemas.openxmlformats.org/drawingml/2006/main">
              <a:solidFill>
                <a:srgbClr val="F7B7CE"/>
              </a:solidFill>
              <a:prstDash val="solid"/>
            </a:ln>
          </spPr>
          <cat>
            <numRef>
              <f>'Dashboard'!$B$118:$B$129</f>
            </numRef>
          </cat>
          <val>
            <numRef>
              <f>'Dashboard'!$D$118:$D$129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Cashback theo tháng (dự kiến vs thực tế)</a:t>
            </a:r>
          </a:p>
        </rich>
      </tx>
    </title>
    <plotArea>
      <barChart>
        <barDir val="col"/>
        <grouping val="clustered"/>
        <ser>
          <idx val="0"/>
          <order val="0"/>
          <tx>
            <v>Dự kiến</v>
          </tx>
          <spPr>
            <a:solidFill xmlns:a="http://schemas.openxmlformats.org/drawingml/2006/main">
              <a:srgbClr val="E4D3DA"/>
            </a:solidFill>
            <a:ln xmlns:a="http://schemas.openxmlformats.org/drawingml/2006/main">
              <a:solidFill>
                <a:srgbClr val="E4D3DA"/>
              </a:solidFill>
              <a:prstDash val="solid"/>
            </a:ln>
          </spPr>
          <cat>
            <numRef>
              <f>'Dashboard'!$H$118:$H$129</f>
            </numRef>
          </cat>
          <val>
            <numRef>
              <f>'Dashboard'!$K$118:$K$129</f>
            </numRef>
          </val>
        </ser>
        <ser>
          <idx val="1"/>
          <order val="1"/>
          <tx>
            <v>Thực tế</v>
          </tx>
          <spPr>
            <a:solidFill xmlns:a="http://schemas.openxmlformats.org/drawingml/2006/main">
              <a:srgbClr val="E27AA1"/>
            </a:solidFill>
            <a:ln xmlns:a="http://schemas.openxmlformats.org/drawingml/2006/main">
              <a:solidFill>
                <a:srgbClr val="E27AA1"/>
              </a:solidFill>
              <a:prstDash val="solid"/>
            </a:ln>
          </spPr>
          <cat>
            <numRef>
              <f>'Dashboard'!$H$118:$H$129</f>
            </numRef>
          </cat>
          <val>
            <numRef>
              <f>'Dashboard'!$L$118:$L$129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Hạn mức: đã dùng / còn lại</a:t>
            </a:r>
          </a:p>
        </rich>
      </tx>
    </title>
    <plotArea>
      <barChart>
        <barDir val="bar"/>
        <grouping val="stacked"/>
        <ser>
          <idx val="0"/>
          <order val="0"/>
          <tx>
            <v>Dư nợ</v>
          </tx>
          <spPr>
            <a:solidFill xmlns:a="http://schemas.openxmlformats.org/drawingml/2006/main">
              <a:srgbClr val="E27AA1"/>
            </a:solidFill>
            <a:ln xmlns:a="http://schemas.openxmlformats.org/drawingml/2006/main">
              <a:solidFill>
                <a:srgbClr val="E27AA1"/>
              </a:solidFill>
              <a:prstDash val="solid"/>
            </a:ln>
          </spPr>
          <cat>
            <numRef>
              <f>'Dashboard'!$B$84:$B$95</f>
            </numRef>
          </cat>
          <val>
            <numRef>
              <f>'Dashboard'!$J$84:$J$95</f>
            </numRef>
          </val>
        </ser>
        <ser>
          <idx val="1"/>
          <order val="1"/>
          <tx>
            <v>Khả dụng</v>
          </tx>
          <spPr>
            <a:solidFill xmlns:a="http://schemas.openxmlformats.org/drawingml/2006/main">
              <a:srgbClr val="F8D3E0"/>
            </a:solidFill>
            <a:ln xmlns:a="http://schemas.openxmlformats.org/drawingml/2006/main">
              <a:solidFill>
                <a:srgbClr val="F8D3E0"/>
              </a:solidFill>
              <a:prstDash val="solid"/>
            </a:ln>
          </spPr>
          <cat>
            <numRef>
              <f>'Dashboard'!$B$84:$B$95</f>
            </numRef>
          </cat>
          <val>
            <numRef>
              <f>'Dashboard'!$K$84:$K$95</f>
            </numRef>
          </val>
        </ser>
        <gapWidth val="6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Tiến độ cap cashback (%)</a:t>
            </a:r>
          </a:p>
        </rich>
      </tx>
    </title>
    <plotArea>
      <barChart>
        <barDir val="bar"/>
        <grouping val="clustered"/>
        <ser>
          <idx val="0"/>
          <order val="0"/>
          <tx>
            <v>% cap</v>
          </tx>
          <spPr>
            <a:solidFill xmlns:a="http://schemas.openxmlformats.org/drawingml/2006/main">
              <a:srgbClr val="F2A1BF"/>
            </a:solidFill>
            <a:ln xmlns:a="http://schemas.openxmlformats.org/drawingml/2006/main">
              <a:solidFill>
                <a:srgbClr val="F2A1BF"/>
              </a:solidFill>
              <a:prstDash val="solid"/>
            </a:ln>
          </spPr>
          <cat>
            <numRef>
              <f>'Dashboard'!$B$84:$B$95</f>
            </numRef>
          </cat>
          <val>
            <numRef>
              <f>'Dashboard'!$H$84:$H$95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0%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danh mục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F4A6C0"/>
            </a:solidFill>
            <a:ln xmlns:a="http://schemas.openxmlformats.org/drawingml/2006/main">
              <a:solidFill>
                <a:srgbClr val="F4A6C0"/>
              </a:solidFill>
              <a:prstDash val="solid"/>
            </a:ln>
          </spPr>
          <cat>
            <numRef>
              <f>'2026-01'!$U$117:$U$131</f>
            </numRef>
          </cat>
          <val>
            <numRef>
              <f>'2026-01'!$V$117:$V$131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D98BB0"/>
            </a:solidFill>
            <a:ln xmlns:a="http://schemas.openxmlformats.org/drawingml/2006/main">
              <a:solidFill>
                <a:srgbClr val="D98BB0"/>
              </a:solidFill>
              <a:prstDash val="solid"/>
            </a:ln>
          </spPr>
          <cat>
            <numRef>
              <f>'2026-01'!$U$62:$U$73</f>
            </numRef>
          </cat>
          <val>
            <numRef>
              <f>'2026-01'!$V$62:$V$73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Cashback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Cashback</v>
          </tx>
          <spPr>
            <a:solidFill xmlns:a="http://schemas.openxmlformats.org/drawingml/2006/main">
              <a:srgbClr val="F7B7CE"/>
            </a:solidFill>
            <a:ln xmlns:a="http://schemas.openxmlformats.org/drawingml/2006/main">
              <a:solidFill>
                <a:srgbClr val="F7B7CE"/>
              </a:solidFill>
              <a:prstDash val="solid"/>
            </a:ln>
          </spPr>
          <cat>
            <numRef>
              <f>'2026-01'!$U$62:$U$73</f>
            </numRef>
          </cat>
          <val>
            <numRef>
              <f>'2026-01'!$W$62:$W$73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danh mục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F4A6C0"/>
            </a:solidFill>
            <a:ln xmlns:a="http://schemas.openxmlformats.org/drawingml/2006/main">
              <a:solidFill>
                <a:srgbClr val="F4A6C0"/>
              </a:solidFill>
              <a:prstDash val="solid"/>
            </a:ln>
          </spPr>
          <cat>
            <numRef>
              <f>'2026-02'!$U$117:$U$131</f>
            </numRef>
          </cat>
          <val>
            <numRef>
              <f>'2026-02'!$V$117:$V$131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D98BB0"/>
            </a:solidFill>
            <a:ln xmlns:a="http://schemas.openxmlformats.org/drawingml/2006/main">
              <a:solidFill>
                <a:srgbClr val="D98BB0"/>
              </a:solidFill>
              <a:prstDash val="solid"/>
            </a:ln>
          </spPr>
          <cat>
            <numRef>
              <f>'2026-02'!$U$62:$U$73</f>
            </numRef>
          </cat>
          <val>
            <numRef>
              <f>'2026-02'!$V$62:$V$73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Cashback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Cashback</v>
          </tx>
          <spPr>
            <a:solidFill xmlns:a="http://schemas.openxmlformats.org/drawingml/2006/main">
              <a:srgbClr val="F7B7CE"/>
            </a:solidFill>
            <a:ln xmlns:a="http://schemas.openxmlformats.org/drawingml/2006/main">
              <a:solidFill>
                <a:srgbClr val="F7B7CE"/>
              </a:solidFill>
              <a:prstDash val="solid"/>
            </a:ln>
          </spPr>
          <cat>
            <numRef>
              <f>'2026-02'!$U$62:$U$73</f>
            </numRef>
          </cat>
          <val>
            <numRef>
              <f>'2026-02'!$W$62:$W$73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danh mục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F4A6C0"/>
            </a:solidFill>
            <a:ln xmlns:a="http://schemas.openxmlformats.org/drawingml/2006/main">
              <a:solidFill>
                <a:srgbClr val="F4A6C0"/>
              </a:solidFill>
              <a:prstDash val="solid"/>
            </a:ln>
          </spPr>
          <cat>
            <numRef>
              <f>'2026-03'!$U$117:$U$131</f>
            </numRef>
          </cat>
          <val>
            <numRef>
              <f>'2026-03'!$V$117:$V$131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D98BB0"/>
            </a:solidFill>
            <a:ln xmlns:a="http://schemas.openxmlformats.org/drawingml/2006/main">
              <a:solidFill>
                <a:srgbClr val="D98BB0"/>
              </a:solidFill>
              <a:prstDash val="solid"/>
            </a:ln>
          </spPr>
          <cat>
            <numRef>
              <f>'2026-03'!$U$62:$U$73</f>
            </numRef>
          </cat>
          <val>
            <numRef>
              <f>'2026-03'!$V$62:$V$73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Cashback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Cashback</v>
          </tx>
          <spPr>
            <a:solidFill xmlns:a="http://schemas.openxmlformats.org/drawingml/2006/main">
              <a:srgbClr val="F7B7CE"/>
            </a:solidFill>
            <a:ln xmlns:a="http://schemas.openxmlformats.org/drawingml/2006/main">
              <a:solidFill>
                <a:srgbClr val="F7B7CE"/>
              </a:solidFill>
              <a:prstDash val="solid"/>
            </a:ln>
          </spPr>
          <cat>
            <numRef>
              <f>'2026-03'!$U$62:$U$73</f>
            </numRef>
          </cat>
          <val>
            <numRef>
              <f>'2026-03'!$W$62:$W$73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danh mục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F4A6C0"/>
            </a:solidFill>
            <a:ln xmlns:a="http://schemas.openxmlformats.org/drawingml/2006/main">
              <a:solidFill>
                <a:srgbClr val="F4A6C0"/>
              </a:solidFill>
              <a:prstDash val="solid"/>
            </a:ln>
          </spPr>
          <cat>
            <numRef>
              <f>'2026-04'!$U$117:$U$131</f>
            </numRef>
          </cat>
          <val>
            <numRef>
              <f>'2026-04'!$V$117:$V$131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D98BB0"/>
            </a:solidFill>
            <a:ln xmlns:a="http://schemas.openxmlformats.org/drawingml/2006/main">
              <a:solidFill>
                <a:srgbClr val="D98BB0"/>
              </a:solidFill>
              <a:prstDash val="solid"/>
            </a:ln>
          </spPr>
          <cat>
            <numRef>
              <f>'2026-04'!$U$62:$U$73</f>
            </numRef>
          </cat>
          <val>
            <numRef>
              <f>'2026-04'!$V$62:$V$73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Cashback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Cashback</v>
          </tx>
          <spPr>
            <a:solidFill xmlns:a="http://schemas.openxmlformats.org/drawingml/2006/main">
              <a:srgbClr val="F7B7CE"/>
            </a:solidFill>
            <a:ln xmlns:a="http://schemas.openxmlformats.org/drawingml/2006/main">
              <a:solidFill>
                <a:srgbClr val="F7B7CE"/>
              </a:solidFill>
              <a:prstDash val="solid"/>
            </a:ln>
          </spPr>
          <cat>
            <numRef>
              <f>'2026-04'!$U$62:$U$73</f>
            </numRef>
          </cat>
          <val>
            <numRef>
              <f>'2026-04'!$W$62:$W$73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danh mục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F4A6C0"/>
            </a:solidFill>
            <a:ln xmlns:a="http://schemas.openxmlformats.org/drawingml/2006/main">
              <a:solidFill>
                <a:srgbClr val="F4A6C0"/>
              </a:solidFill>
              <a:prstDash val="solid"/>
            </a:ln>
          </spPr>
          <cat>
            <numRef>
              <f>'2026-05'!$U$117:$U$131</f>
            </numRef>
          </cat>
          <val>
            <numRef>
              <f>'2026-05'!$V$117:$V$131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D98BB0"/>
            </a:solidFill>
            <a:ln xmlns:a="http://schemas.openxmlformats.org/drawingml/2006/main">
              <a:solidFill>
                <a:srgbClr val="D98BB0"/>
              </a:solidFill>
              <a:prstDash val="solid"/>
            </a:ln>
          </spPr>
          <cat>
            <numRef>
              <f>'2026-05'!$U$62:$U$73</f>
            </numRef>
          </cat>
          <val>
            <numRef>
              <f>'2026-05'!$V$62:$V$73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Cashback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Cashback</v>
          </tx>
          <spPr>
            <a:solidFill xmlns:a="http://schemas.openxmlformats.org/drawingml/2006/main">
              <a:srgbClr val="F7B7CE"/>
            </a:solidFill>
            <a:ln xmlns:a="http://schemas.openxmlformats.org/drawingml/2006/main">
              <a:solidFill>
                <a:srgbClr val="F7B7CE"/>
              </a:solidFill>
              <a:prstDash val="solid"/>
            </a:ln>
          </spPr>
          <cat>
            <numRef>
              <f>'2026-05'!$U$62:$U$73</f>
            </numRef>
          </cat>
          <val>
            <numRef>
              <f>'2026-05'!$W$62:$W$73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danh mục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F4A6C0"/>
            </a:solidFill>
            <a:ln xmlns:a="http://schemas.openxmlformats.org/drawingml/2006/main">
              <a:solidFill>
                <a:srgbClr val="F4A6C0"/>
              </a:solidFill>
              <a:prstDash val="solid"/>
            </a:ln>
          </spPr>
          <cat>
            <numRef>
              <f>'2026-06'!$U$117:$U$131</f>
            </numRef>
          </cat>
          <val>
            <numRef>
              <f>'2026-06'!$V$117:$V$131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D98BB0"/>
            </a:solidFill>
            <a:ln xmlns:a="http://schemas.openxmlformats.org/drawingml/2006/main">
              <a:solidFill>
                <a:srgbClr val="D98BB0"/>
              </a:solidFill>
              <a:prstDash val="solid"/>
            </a:ln>
          </spPr>
          <cat>
            <numRef>
              <f>'2026-06'!$U$62:$U$73</f>
            </numRef>
          </cat>
          <val>
            <numRef>
              <f>'2026-06'!$V$62:$V$73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Cashback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Cashback</v>
          </tx>
          <spPr>
            <a:solidFill xmlns:a="http://schemas.openxmlformats.org/drawingml/2006/main">
              <a:srgbClr val="F7B7CE"/>
            </a:solidFill>
            <a:ln xmlns:a="http://schemas.openxmlformats.org/drawingml/2006/main">
              <a:solidFill>
                <a:srgbClr val="F7B7CE"/>
              </a:solidFill>
              <a:prstDash val="solid"/>
            </a:ln>
          </spPr>
          <cat>
            <numRef>
              <f>'2026-06'!$U$62:$U$73</f>
            </numRef>
          </cat>
          <val>
            <numRef>
              <f>'2026-06'!$W$62:$W$73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danh mục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F4A6C0"/>
            </a:solidFill>
            <a:ln xmlns:a="http://schemas.openxmlformats.org/drawingml/2006/main">
              <a:solidFill>
                <a:srgbClr val="F4A6C0"/>
              </a:solidFill>
              <a:prstDash val="solid"/>
            </a:ln>
          </spPr>
          <cat>
            <numRef>
              <f>'2026-07'!$U$117:$U$131</f>
            </numRef>
          </cat>
          <val>
            <numRef>
              <f>'2026-07'!$V$117:$V$131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D98BB0"/>
            </a:solidFill>
            <a:ln xmlns:a="http://schemas.openxmlformats.org/drawingml/2006/main">
              <a:solidFill>
                <a:srgbClr val="D98BB0"/>
              </a:solidFill>
              <a:prstDash val="solid"/>
            </a:ln>
          </spPr>
          <cat>
            <numRef>
              <f>'2026-07'!$U$62:$U$73</f>
            </numRef>
          </cat>
          <val>
            <numRef>
              <f>'2026-07'!$V$62:$V$73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Cashback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Cashback</v>
          </tx>
          <spPr>
            <a:solidFill xmlns:a="http://schemas.openxmlformats.org/drawingml/2006/main">
              <a:srgbClr val="F7B7CE"/>
            </a:solidFill>
            <a:ln xmlns:a="http://schemas.openxmlformats.org/drawingml/2006/main">
              <a:solidFill>
                <a:srgbClr val="F7B7CE"/>
              </a:solidFill>
              <a:prstDash val="solid"/>
            </a:ln>
          </spPr>
          <cat>
            <numRef>
              <f>'2026-07'!$U$62:$U$73</f>
            </numRef>
          </cat>
          <val>
            <numRef>
              <f>'2026-07'!$W$62:$W$73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danh mục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F4A6C0"/>
            </a:solidFill>
            <a:ln xmlns:a="http://schemas.openxmlformats.org/drawingml/2006/main">
              <a:solidFill>
                <a:srgbClr val="F4A6C0"/>
              </a:solidFill>
              <a:prstDash val="solid"/>
            </a:ln>
          </spPr>
          <cat>
            <numRef>
              <f>'2026-08'!$U$117:$U$131</f>
            </numRef>
          </cat>
          <val>
            <numRef>
              <f>'2026-08'!$V$117:$V$131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D98BB0"/>
            </a:solidFill>
            <a:ln xmlns:a="http://schemas.openxmlformats.org/drawingml/2006/main">
              <a:solidFill>
                <a:srgbClr val="D98BB0"/>
              </a:solidFill>
              <a:prstDash val="solid"/>
            </a:ln>
          </spPr>
          <cat>
            <numRef>
              <f>'2026-08'!$U$62:$U$73</f>
            </numRef>
          </cat>
          <val>
            <numRef>
              <f>'2026-08'!$V$62:$V$73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Cashback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Cashback</v>
          </tx>
          <spPr>
            <a:solidFill xmlns:a="http://schemas.openxmlformats.org/drawingml/2006/main">
              <a:srgbClr val="F7B7CE"/>
            </a:solidFill>
            <a:ln xmlns:a="http://schemas.openxmlformats.org/drawingml/2006/main">
              <a:solidFill>
                <a:srgbClr val="F7B7CE"/>
              </a:solidFill>
              <a:prstDash val="solid"/>
            </a:ln>
          </spPr>
          <cat>
            <numRef>
              <f>'2026-08'!$U$62:$U$73</f>
            </numRef>
          </cat>
          <val>
            <numRef>
              <f>'2026-08'!$W$62:$W$73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danh mục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F4A6C0"/>
            </a:solidFill>
            <a:ln xmlns:a="http://schemas.openxmlformats.org/drawingml/2006/main">
              <a:solidFill>
                <a:srgbClr val="F4A6C0"/>
              </a:solidFill>
              <a:prstDash val="solid"/>
            </a:ln>
          </spPr>
          <cat>
            <numRef>
              <f>'2026-09'!$U$117:$U$131</f>
            </numRef>
          </cat>
          <val>
            <numRef>
              <f>'2026-09'!$V$117:$V$131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D98BB0"/>
            </a:solidFill>
            <a:ln xmlns:a="http://schemas.openxmlformats.org/drawingml/2006/main">
              <a:solidFill>
                <a:srgbClr val="D98BB0"/>
              </a:solidFill>
              <a:prstDash val="solid"/>
            </a:ln>
          </spPr>
          <cat>
            <numRef>
              <f>'2026-09'!$U$62:$U$73</f>
            </numRef>
          </cat>
          <val>
            <numRef>
              <f>'2026-09'!$V$62:$V$73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Cashback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Cashback</v>
          </tx>
          <spPr>
            <a:solidFill xmlns:a="http://schemas.openxmlformats.org/drawingml/2006/main">
              <a:srgbClr val="F7B7CE"/>
            </a:solidFill>
            <a:ln xmlns:a="http://schemas.openxmlformats.org/drawingml/2006/main">
              <a:solidFill>
                <a:srgbClr val="F7B7CE"/>
              </a:solidFill>
              <a:prstDash val="solid"/>
            </a:ln>
          </spPr>
          <cat>
            <numRef>
              <f>'2026-09'!$U$62:$U$73</f>
            </numRef>
          </cat>
          <val>
            <numRef>
              <f>'2026-09'!$W$62:$W$73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danh mục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F4A6C0"/>
            </a:solidFill>
            <a:ln xmlns:a="http://schemas.openxmlformats.org/drawingml/2006/main">
              <a:solidFill>
                <a:srgbClr val="F4A6C0"/>
              </a:solidFill>
              <a:prstDash val="solid"/>
            </a:ln>
          </spPr>
          <cat>
            <numRef>
              <f>'2026-10'!$U$117:$U$131</f>
            </numRef>
          </cat>
          <val>
            <numRef>
              <f>'2026-10'!$V$117:$V$131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D98BB0"/>
            </a:solidFill>
            <a:ln xmlns:a="http://schemas.openxmlformats.org/drawingml/2006/main">
              <a:solidFill>
                <a:srgbClr val="D98BB0"/>
              </a:solidFill>
              <a:prstDash val="solid"/>
            </a:ln>
          </spPr>
          <cat>
            <numRef>
              <f>'2026-10'!$U$62:$U$73</f>
            </numRef>
          </cat>
          <val>
            <numRef>
              <f>'2026-10'!$V$62:$V$73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Cashback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Cashback</v>
          </tx>
          <spPr>
            <a:solidFill xmlns:a="http://schemas.openxmlformats.org/drawingml/2006/main">
              <a:srgbClr val="F7B7CE"/>
            </a:solidFill>
            <a:ln xmlns:a="http://schemas.openxmlformats.org/drawingml/2006/main">
              <a:solidFill>
                <a:srgbClr val="F7B7CE"/>
              </a:solidFill>
              <a:prstDash val="solid"/>
            </a:ln>
          </spPr>
          <cat>
            <numRef>
              <f>'2026-10'!$U$62:$U$73</f>
            </numRef>
          </cat>
          <val>
            <numRef>
              <f>'2026-10'!$W$62:$W$73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danh mục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F4A6C0"/>
            </a:solidFill>
            <a:ln xmlns:a="http://schemas.openxmlformats.org/drawingml/2006/main">
              <a:solidFill>
                <a:srgbClr val="F4A6C0"/>
              </a:solidFill>
              <a:prstDash val="solid"/>
            </a:ln>
          </spPr>
          <cat>
            <numRef>
              <f>'2026-11'!$U$117:$U$131</f>
            </numRef>
          </cat>
          <val>
            <numRef>
              <f>'2026-11'!$V$117:$V$131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D98BB0"/>
            </a:solidFill>
            <a:ln xmlns:a="http://schemas.openxmlformats.org/drawingml/2006/main">
              <a:solidFill>
                <a:srgbClr val="D98BB0"/>
              </a:solidFill>
              <a:prstDash val="solid"/>
            </a:ln>
          </spPr>
          <cat>
            <numRef>
              <f>'2026-11'!$U$62:$U$73</f>
            </numRef>
          </cat>
          <val>
            <numRef>
              <f>'2026-11'!$V$62:$V$73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Cashback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Cashback</v>
          </tx>
          <spPr>
            <a:solidFill xmlns:a="http://schemas.openxmlformats.org/drawingml/2006/main">
              <a:srgbClr val="F7B7CE"/>
            </a:solidFill>
            <a:ln xmlns:a="http://schemas.openxmlformats.org/drawingml/2006/main">
              <a:solidFill>
                <a:srgbClr val="F7B7CE"/>
              </a:solidFill>
              <a:prstDash val="solid"/>
            </a:ln>
          </spPr>
          <cat>
            <numRef>
              <f>'2026-11'!$U$62:$U$73</f>
            </numRef>
          </cat>
          <val>
            <numRef>
              <f>'2026-11'!$W$62:$W$73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danh mục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F4A6C0"/>
            </a:solidFill>
            <a:ln xmlns:a="http://schemas.openxmlformats.org/drawingml/2006/main">
              <a:solidFill>
                <a:srgbClr val="F4A6C0"/>
              </a:solidFill>
              <a:prstDash val="solid"/>
            </a:ln>
          </spPr>
          <cat>
            <numRef>
              <f>'2026-12'!$U$117:$U$131</f>
            </numRef>
          </cat>
          <val>
            <numRef>
              <f>'2026-12'!$V$117:$V$131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tiêu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Chi tiêu</v>
          </tx>
          <spPr>
            <a:solidFill xmlns:a="http://schemas.openxmlformats.org/drawingml/2006/main">
              <a:srgbClr val="D98BB0"/>
            </a:solidFill>
            <a:ln xmlns:a="http://schemas.openxmlformats.org/drawingml/2006/main">
              <a:solidFill>
                <a:srgbClr val="D98BB0"/>
              </a:solidFill>
              <a:prstDash val="solid"/>
            </a:ln>
          </spPr>
          <cat>
            <numRef>
              <f>'2026-12'!$U$62:$U$73</f>
            </numRef>
          </cat>
          <val>
            <numRef>
              <f>'2026-12'!$V$62:$V$73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Cashback theo thẻ</a:t>
            </a:r>
          </a:p>
        </rich>
      </tx>
    </title>
    <plotArea>
      <barChart>
        <barDir val="bar"/>
        <grouping val="clustered"/>
        <ser>
          <idx val="0"/>
          <order val="0"/>
          <tx>
            <v>Cashback</v>
          </tx>
          <spPr>
            <a:solidFill xmlns:a="http://schemas.openxmlformats.org/drawingml/2006/main">
              <a:srgbClr val="F7B7CE"/>
            </a:solidFill>
            <a:ln xmlns:a="http://schemas.openxmlformats.org/drawingml/2006/main">
              <a:solidFill>
                <a:srgbClr val="F7B7CE"/>
              </a:solidFill>
              <a:prstDash val="solid"/>
            </a:ln>
          </spPr>
          <cat>
            <numRef>
              <f>'2026-12'!$U$62:$U$73</f>
            </numRef>
          </cat>
          <val>
            <numRef>
              <f>'2026-12'!$W$62:$W$73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Credit Card Manager</author>
  </authors>
  <commentList>
    <comment ref="F4" authorId="0" shapeId="0">
      <text>
        <t>Chỉ lưu 4 số cuối. Không nhập số thẻ đầy đủ hoặc CVV.</t>
      </text>
    </comment>
    <comment ref="H4" authorId="0" shapeId="0">
      <text>
        <t>Ngày sao kê trong tháng (1–31). Tháng ngắn hơn sẽ tự lấy ngày cuối tháng.</t>
      </text>
    </comment>
    <comment ref="I4" authorId="0" shapeId="0">
      <text>
        <t>Ngày đến hạn thanh toán trong tháng (1–31). Nhỏ hơn ngày sao kê = rơi vào tháng sau.</t>
      </text>
    </comment>
  </commentList>
</comments>
</file>

<file path=xl/comments/comment2.xml><?xml version="1.0" encoding="utf-8"?>
<comments xmlns="http://schemas.openxmlformats.org/spreadsheetml/2006/main">
  <authors>
    <author>Credit Card Manager</author>
  </authors>
  <commentList>
    <comment ref="E4" authorId="0" shapeId="0">
      <text>
        <t>Các dòng cùng Card ID + cùng Nhóm cashback dùng chung 1 cap nhóm.</t>
      </text>
    </comment>
    <comment ref="L4" authorId="0" shapeId="0">
      <text>
        <t>Trần số tiền chi tiêu được tính cashback / nhóm / tháng (áp dụng trước khi nhân rate).</t>
      </text>
    </comment>
    <comment ref="M4" authorId="0" shapeId="0">
      <text>
        <t>Giao dịch nhỏ hơn mức này sẽ không được hoàn tiền theo rule này.</t>
      </text>
    </comment>
  </commentList>
</comments>
</file>

<file path=xl/comments/comment3.xml><?xml version="1.0" encoding="utf-8"?>
<comments xmlns="http://schemas.openxmlformats.org/spreadsheetml/2006/main">
  <authors>
    <author>Credit Card Manager</author>
  </authors>
  <commentList>
    <comment ref="M4" authorId="0" shapeId="0">
      <text>
        <t>Số tiền được tính cashback sau khi áp dụng Max Eligible Spending của nhóm.</t>
      </text>
    </comment>
    <comment ref="P4" authorId="0" shapeId="0">
      <text>
        <t>Cap cashback / tháng của NHÓM (category) áp dụng cho giao dịch này. ∞ = không giới hạn.</t>
      </text>
    </comment>
    <comment ref="Q4" authorId="0" shapeId="0">
      <text>
        <t>= MIN(cashback lý thuyết, cap nhóm còn lại, cap thẻ còn lại), không âm.</t>
      </text>
    </comment>
    <comment ref="R4" authorId="0" shapeId="0">
      <text>
        <t>Cap còn lại (nhóm hoặc thẻ, lấy mức thấp hơn) SAU giao dịch này.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Relationship Type="http://schemas.openxmlformats.org/officeDocument/2006/relationships/chart" Target="/xl/charts/chart18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/Relationships>
</file>

<file path=xl/drawings/_rels/drawing7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Relationship Type="http://schemas.openxmlformats.org/officeDocument/2006/relationships/chart" Target="/xl/charts/chart27.xml" Id="rId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28.xml" Id="rId1"/><Relationship Type="http://schemas.openxmlformats.org/officeDocument/2006/relationships/chart" Target="/xl/charts/chart29.xml" Id="rId2"/><Relationship Type="http://schemas.openxmlformats.org/officeDocument/2006/relationships/chart" Target="/xl/charts/chart30.xml" Id="rId3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Relationship Type="http://schemas.openxmlformats.org/officeDocument/2006/relationships/chart" Target="/xl/charts/chart33.xml" Id="rId3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Relationship Type="http://schemas.openxmlformats.org/officeDocument/2006/relationships/chart" Target="/xl/charts/chart39.xml" Id="rId3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0.xml" Id="rId1"/><Relationship Type="http://schemas.openxmlformats.org/officeDocument/2006/relationships/chart" Target="/xl/charts/chart41.xml" Id="rId2"/><Relationship Type="http://schemas.openxmlformats.org/officeDocument/2006/relationships/chart" Target="/xl/charts/chart42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7272000" cy="34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17</row>
      <rowOff>0</rowOff>
    </from>
    <ext cx="7272000" cy="34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37</row>
      <rowOff>0</rowOff>
    </from>
    <ext cx="7272000" cy="345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37</row>
      <rowOff>0</rowOff>
    </from>
    <ext cx="7272000" cy="345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7272000" cy="345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57</row>
      <rowOff>0</rowOff>
    </from>
    <ext cx="7272000" cy="345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6</row>
      <rowOff>0</rowOff>
    </from>
    <ext cx="7200000" cy="34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28</col>
      <colOff>0</colOff>
      <row>29</row>
      <rowOff>0</rowOff>
    </from>
    <ext cx="7200000" cy="34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28</col>
      <colOff>0</colOff>
      <row>52</row>
      <rowOff>0</rowOff>
    </from>
    <ext cx="7200000" cy="345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28</col>
      <colOff>0</colOff>
      <row>6</row>
      <rowOff>0</rowOff>
    </from>
    <ext cx="7200000" cy="34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28</col>
      <colOff>0</colOff>
      <row>29</row>
      <rowOff>0</rowOff>
    </from>
    <ext cx="7200000" cy="34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28</col>
      <colOff>0</colOff>
      <row>52</row>
      <rowOff>0</rowOff>
    </from>
    <ext cx="7200000" cy="345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28</col>
      <colOff>0</colOff>
      <row>6</row>
      <rowOff>0</rowOff>
    </from>
    <ext cx="7200000" cy="34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28</col>
      <colOff>0</colOff>
      <row>29</row>
      <rowOff>0</rowOff>
    </from>
    <ext cx="7200000" cy="34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28</col>
      <colOff>0</colOff>
      <row>52</row>
      <rowOff>0</rowOff>
    </from>
    <ext cx="7200000" cy="345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28</col>
      <colOff>0</colOff>
      <row>6</row>
      <rowOff>0</rowOff>
    </from>
    <ext cx="7200000" cy="34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28</col>
      <colOff>0</colOff>
      <row>29</row>
      <rowOff>0</rowOff>
    </from>
    <ext cx="7200000" cy="34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28</col>
      <colOff>0</colOff>
      <row>52</row>
      <rowOff>0</rowOff>
    </from>
    <ext cx="7200000" cy="345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28</col>
      <colOff>0</colOff>
      <row>6</row>
      <rowOff>0</rowOff>
    </from>
    <ext cx="7200000" cy="34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28</col>
      <colOff>0</colOff>
      <row>29</row>
      <rowOff>0</rowOff>
    </from>
    <ext cx="7200000" cy="34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28</col>
      <colOff>0</colOff>
      <row>52</row>
      <rowOff>0</rowOff>
    </from>
    <ext cx="7200000" cy="345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28</col>
      <colOff>0</colOff>
      <row>6</row>
      <rowOff>0</rowOff>
    </from>
    <ext cx="7200000" cy="34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28</col>
      <colOff>0</colOff>
      <row>29</row>
      <rowOff>0</rowOff>
    </from>
    <ext cx="7200000" cy="34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28</col>
      <colOff>0</colOff>
      <row>52</row>
      <rowOff>0</rowOff>
    </from>
    <ext cx="7200000" cy="345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28</col>
      <colOff>0</colOff>
      <row>6</row>
      <rowOff>0</rowOff>
    </from>
    <ext cx="7200000" cy="34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28</col>
      <colOff>0</colOff>
      <row>29</row>
      <rowOff>0</rowOff>
    </from>
    <ext cx="7200000" cy="34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28</col>
      <colOff>0</colOff>
      <row>52</row>
      <rowOff>0</rowOff>
    </from>
    <ext cx="7200000" cy="345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28</col>
      <colOff>0</colOff>
      <row>6</row>
      <rowOff>0</rowOff>
    </from>
    <ext cx="7200000" cy="34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28</col>
      <colOff>0</colOff>
      <row>29</row>
      <rowOff>0</rowOff>
    </from>
    <ext cx="7200000" cy="34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28</col>
      <colOff>0</colOff>
      <row>52</row>
      <rowOff>0</rowOff>
    </from>
    <ext cx="7200000" cy="345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28</col>
      <colOff>0</colOff>
      <row>6</row>
      <rowOff>0</rowOff>
    </from>
    <ext cx="7200000" cy="34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28</col>
      <colOff>0</colOff>
      <row>29</row>
      <rowOff>0</rowOff>
    </from>
    <ext cx="7200000" cy="34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28</col>
      <colOff>0</colOff>
      <row>52</row>
      <rowOff>0</rowOff>
    </from>
    <ext cx="7200000" cy="345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28</col>
      <colOff>0</colOff>
      <row>6</row>
      <rowOff>0</rowOff>
    </from>
    <ext cx="7200000" cy="34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28</col>
      <colOff>0</colOff>
      <row>29</row>
      <rowOff>0</rowOff>
    </from>
    <ext cx="7200000" cy="34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28</col>
      <colOff>0</colOff>
      <row>52</row>
      <rowOff>0</rowOff>
    </from>
    <ext cx="7200000" cy="345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28</col>
      <colOff>0</colOff>
      <row>6</row>
      <rowOff>0</rowOff>
    </from>
    <ext cx="7200000" cy="34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28</col>
      <colOff>0</colOff>
      <row>29</row>
      <rowOff>0</rowOff>
    </from>
    <ext cx="7200000" cy="34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28</col>
      <colOff>0</colOff>
      <row>52</row>
      <rowOff>0</rowOff>
    </from>
    <ext cx="7200000" cy="345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28</col>
      <colOff>0</colOff>
      <row>6</row>
      <rowOff>0</rowOff>
    </from>
    <ext cx="7200000" cy="34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28</col>
      <colOff>0</colOff>
      <row>29</row>
      <rowOff>0</rowOff>
    </from>
    <ext cx="7200000" cy="34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28</col>
      <colOff>0</colOff>
      <row>52</row>
      <rowOff>0</rowOff>
    </from>
    <ext cx="7200000" cy="345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ards" displayName="tblCards" ref="A4:O34" headerRowCount="1">
  <autoFilter ref="A4:O34"/>
  <tableColumns count="15">
    <tableColumn id="1" name="Card ID"/>
    <tableColumn id="2" name="Ngân hàng"/>
    <tableColumn id="3" name="Tên thẻ"/>
    <tableColumn id="4" name="Loại thẻ"/>
    <tableColumn id="5" name="Network"/>
    <tableColumn id="6" name="Số cuối thẻ"/>
    <tableColumn id="7" name="Hạn mức tín dụng"/>
    <tableColumn id="8" name="Ngày sao kê"/>
    <tableColumn id="9" name="Ngày thanh toán"/>
    <tableColumn id="10" name="Ngày mở thẻ"/>
    <tableColumn id="11" name="Phí thường niên"/>
    <tableColumn id="12" name="Phí thường niên năm đầu"/>
    <tableColumn id="13" name="Trạng thái"/>
    <tableColumn id="14" name="Ghi chú"/>
    <tableColumn id="15" name="Bank # (helper)"/>
  </tableColumns>
  <tableStyleInfo name="TableStyleLight1" showRowStripes="0" showColumnStripes="0"/>
</table>
</file>

<file path=xl/tables/table2.xml><?xml version="1.0" encoding="utf-8"?>
<table xmlns="http://schemas.openxmlformats.org/spreadsheetml/2006/main" id="2" name="tblCashbackRules" displayName="tblCashbackRules" ref="A4:S304" headerRowCount="1">
  <autoFilter ref="A4:S304"/>
  <tableColumns count="19">
    <tableColumn id="1" name="Rule ID"/>
    <tableColumn id="2" name="Card ID"/>
    <tableColumn id="3" name="Ngân hàng"/>
    <tableColumn id="4" name="Tên thẻ"/>
    <tableColumn id="5" name="Nhóm cashback"/>
    <tableColumn id="6" name="Tên danh mục"/>
    <tableColumn id="7" name="MCC"/>
    <tableColumn id="8" name="Tên MCC"/>
    <tableColumn id="9" name="Cashback Rate (%)"/>
    <tableColumn id="10" name="Max Cashback / Category / Month"/>
    <tableColumn id="11" name="Max Cashback / Card / Month"/>
    <tableColumn id="12" name="Max Eligible Spending"/>
    <tableColumn id="13" name="Minimum Transaction"/>
    <tableColumn id="14" name="Start Date"/>
    <tableColumn id="15" name="End Date"/>
    <tableColumn id="16" name="Điều kiện"/>
    <tableColumn id="17" name="Ghi chú"/>
    <tableColumn id="18" name="Kiểm tra"/>
    <tableColumn id="19" name="Group # (helper)"/>
  </tableColumns>
  <tableStyleInfo name="TableStyleLight1" showRowStripes="0" showColumnStripes="0"/>
</table>
</file>

<file path=xl/tables/table3.xml><?xml version="1.0" encoding="utf-8"?>
<table xmlns="http://schemas.openxmlformats.org/spreadsheetml/2006/main" id="3" name="tblMCC" displayName="tblMCC" ref="A4:E504" headerRowCount="1">
  <autoFilter ref="A4:E504"/>
  <tableColumns count="5">
    <tableColumn id="1" name="MCC"/>
    <tableColumn id="2" name="MCC Name"/>
    <tableColumn id="3" name="Category"/>
    <tableColumn id="4" name="Subcategory"/>
    <tableColumn id="5" name="Description"/>
  </tableColumns>
  <tableStyleInfo name="TableStyleLight1" showRowStripes="0" showColumnStripes="0"/>
</table>
</file>

<file path=xl/tables/table4.xml><?xml version="1.0" encoding="utf-8"?>
<table xmlns="http://schemas.openxmlformats.org/spreadsheetml/2006/main" id="4" name="tblTransactions" displayName="tblTransactions" ref="A4:AN1204" headerRowCount="1">
  <autoFilter ref="A4:AN1204"/>
  <tableColumns count="40">
    <tableColumn id="1" name="Transaction ID"/>
    <tableColumn id="2" name="Date"/>
    <tableColumn id="3" name="Month"/>
    <tableColumn id="4" name="Card ID"/>
    <tableColumn id="5" name="Bank"/>
    <tableColumn id="6" name="Card Name"/>
    <tableColumn id="7" name="Merchant"/>
    <tableColumn id="8" name="Description"/>
    <tableColumn id="9" name="MCC"/>
    <tableColumn id="10" name="MCC Name"/>
    <tableColumn id="11" name="Category"/>
    <tableColumn id="12" name="Amount"/>
    <tableColumn id="13" name="Eligible Cashback"/>
    <tableColumn id="14" name="Cashback Rate"/>
    <tableColumn id="15" name="Calculated Cashback"/>
    <tableColumn id="16" name="Cashback Cap"/>
    <tableColumn id="17" name="Actual Cashback"/>
    <tableColumn id="18" name="Remaining Cashback Cap"/>
    <tableColumn id="19" name="Statement Month"/>
    <tableColumn id="20" name="Payment Date"/>
    <tableColumn id="21" name="Status"/>
    <tableColumn id="22" name="Notes"/>
    <tableColumn id="23" name="Rule ID (tùy chọn)"/>
    <tableColumn id="24" name="Payment Status"/>
    <tableColumn id="25" name="Rule ID áp dụng"/>
    <tableColumn id="26" name="Nhóm cashback"/>
    <tableColumn id="27" name="Cap thẻ / tháng"/>
    <tableColumn id="28" name="Trạng thái hoàn"/>
    <tableColumn id="29" name="Rule row (helper)"/>
    <tableColumn id="30" name="Ngày sao kê (helper)"/>
    <tableColumn id="31" name="Month key (helper)"/>
    <tableColumn id="32" name="Đã hoàn nhóm trước (helper)"/>
    <tableColumn id="33" name="Đã hoàn thẻ trước (helper)"/>
    <tableColumn id="34" name="Eligible nhóm trước (helper)"/>
    <tableColumn id="35" name="MCC flag (helper)"/>
    <tableColumn id="36" name="MCC seq (helper)"/>
    <tableColumn id="37" name="Category flag (helper)"/>
    <tableColumn id="38" name="Category seq (helper)"/>
    <tableColumn id="39" name="Merchant flag (helper)"/>
    <tableColumn id="40" name="Merchant seq (helper)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tabColor rgb="00E58FB0"/>
    <outlinePr summaryBelow="1" summaryRight="1"/>
    <pageSetUpPr/>
  </sheetPr>
  <dimension ref="B2:O1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5.5" customWidth="1" min="2" max="2"/>
    <col width="15.5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15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  <col width="15.5" customWidth="1" min="15" max="15"/>
    <col width="2" customWidth="1" min="16" max="16"/>
  </cols>
  <sheetData>
    <row r="1" ht="8" customHeight="1"/>
    <row r="2" ht="34" customHeight="1">
      <c r="B2" s="1" t="inlineStr">
        <is>
          <t>💳  CREDIT CARD MANAGER</t>
        </is>
      </c>
    </row>
    <row r="3" ht="18" customHeight="1">
      <c r="B3" s="2" t="inlineStr">
        <is>
          <t>Quản lý nhiều thẻ · hạn mức · sao kê · cashback theo MCC</t>
        </is>
      </c>
    </row>
    <row r="4" ht="26" customHeight="1">
      <c r="B4" s="3" t="inlineStr">
        <is>
          <t>Tháng đang xem ▸</t>
        </is>
      </c>
      <c r="D4" s="4">
        <f>pCurMonth</f>
        <v>202610</v>
      </c>
      <c r="E4" s="5" t="inlineStr">
        <is>
          <t>← chọn tháng (dropdown). Muốn quay về tự động: nhập  =pCurMonth</t>
        </is>
      </c>
    </row>
    <row r="5">
      <c r="B5" s="6" t="inlineStr">
        <is>
          <t>ĐIỀU HƯỚNG</t>
        </is>
      </c>
    </row>
    <row r="6" ht="26" customHeight="1">
      <c r="B6" s="7" t="str">
        <f>HYPERLINK("#CARDS!A1","CARDS")</f>
        <v>CARDS</v>
      </c>
      <c r="C6" s="8" t="n"/>
      <c r="D6" s="7" t="str">
        <f>HYPERLINK("#CASHBACK_RULES!A1","CASHBACK_RULES")</f>
        <v>CASHBACK_RULES</v>
      </c>
      <c r="E6" s="8" t="n"/>
      <c r="F6" s="7" t="str">
        <f>HYPERLINK("#MCC_MASTER!A1","MCC_MASTER")</f>
        <v>MCC_MASTER</v>
      </c>
      <c r="G6" s="8" t="n"/>
      <c r="H6" s="7" t="str">
        <f>HYPERLINK("#TRANSACTIONS_MASTER!A1","TRANSACTIONS")</f>
        <v>TRANSACTIONS</v>
      </c>
      <c r="I6" s="8" t="n"/>
      <c r="J6" s="7" t="str">
        <f>HYPERLINK("#CARD_TRACKER!A1","CARD_TRACKER")</f>
        <v>CARD_TRACKER</v>
      </c>
      <c r="K6" s="8" t="n"/>
      <c r="L6" s="7" t="str">
        <f>HYPERLINK("#CAP_TRACKER!A1","CAP_TRACKER")</f>
        <v>CAP_TRACKER</v>
      </c>
      <c r="M6" s="8" t="n"/>
      <c r="N6" s="7" t="str">
        <f>HYPERLINK("#SETTINGS!A1","SETTINGS")</f>
        <v>SETTINGS</v>
      </c>
      <c r="O6" s="8" t="n"/>
    </row>
    <row r="7" ht="24" customHeight="1">
      <c r="B7" s="9" t="str">
        <f>HYPERLINK("#'2026-01'!A1","2026-01")</f>
        <v>2026-01</v>
      </c>
      <c r="C7" s="9" t="str">
        <f>HYPERLINK("#'2026-02'!A1","2026-02")</f>
        <v>2026-02</v>
      </c>
      <c r="D7" s="9" t="str">
        <f>HYPERLINK("#'2026-03'!A1","2026-03")</f>
        <v>2026-03</v>
      </c>
      <c r="E7" s="9" t="str">
        <f>HYPERLINK("#'2026-04'!A1","2026-04")</f>
        <v>2026-04</v>
      </c>
      <c r="F7" s="9" t="str">
        <f>HYPERLINK("#'2026-05'!A1","2026-05")</f>
        <v>2026-05</v>
      </c>
      <c r="G7" s="9" t="str">
        <f>HYPERLINK("#'2026-06'!A1","2026-06")</f>
        <v>2026-06</v>
      </c>
      <c r="H7" s="9" t="str">
        <f>HYPERLINK("#'2026-07'!A1","2026-07")</f>
        <v>2026-07</v>
      </c>
      <c r="I7" s="9" t="str">
        <f>HYPERLINK("#'2026-08'!A1","2026-08")</f>
        <v>2026-08</v>
      </c>
      <c r="J7" s="9" t="str">
        <f>HYPERLINK("#'2026-09'!A1","2026-09")</f>
        <v>2026-09</v>
      </c>
      <c r="K7" s="9" t="str">
        <f>HYPERLINK("#'2026-10'!A1","2026-10")</f>
        <v>2026-10</v>
      </c>
      <c r="L7" s="9" t="str">
        <f>HYPERLINK("#'2026-11'!A1","2026-11")</f>
        <v>2026-11</v>
      </c>
      <c r="M7" s="9" t="str">
        <f>HYPERLINK("#'2026-12'!A1","2026-12")</f>
        <v>2026-12</v>
      </c>
    </row>
    <row r="8" ht="8" customHeight="1"/>
    <row r="9" ht="24" customHeight="1">
      <c r="B9" s="10" t="inlineStr">
        <is>
          <t>TỔNG SỐ THẺ</t>
        </is>
      </c>
      <c r="C9" s="11" t="n"/>
      <c r="D9" s="10" t="inlineStr">
        <is>
          <t>TỔNG HẠN MỨC TÍN DỤNG</t>
        </is>
      </c>
      <c r="E9" s="11" t="n"/>
      <c r="F9" s="10" t="inlineStr">
        <is>
          <t>TỔNG DƯ NỢ HIỆN TẠI</t>
        </is>
      </c>
      <c r="G9" s="11" t="n"/>
      <c r="H9" s="10" t="inlineStr">
        <is>
          <t>HẠN MỨC CÒN LẠI</t>
        </is>
      </c>
      <c r="I9" s="11" t="n"/>
      <c r="J9" s="10" t="inlineStr">
        <is>
          <t>TỶ LỆ SỬ DỤNG HẠN MỨC</t>
        </is>
      </c>
      <c r="K9" s="11" t="n"/>
      <c r="L9" s="10" t="inlineStr">
        <is>
          <t>CHI TIÊU TRONG THÁNG</t>
        </is>
      </c>
      <c r="M9" s="11" t="n"/>
      <c r="N9" s="10" t="inlineStr">
        <is>
          <t>THẺ CHI TIÊU CAO NHẤT</t>
        </is>
      </c>
      <c r="O9" s="11" t="n"/>
    </row>
    <row r="10" ht="40" customHeight="1">
      <c r="B10" s="12">
        <f>COUNTIF(CARD_TRACKER!$D$5:$D$34,"Active")</f>
        <v>6</v>
      </c>
      <c r="C10" s="13" t="n"/>
      <c r="D10" s="14">
        <f>CARD_TRACKER!E36</f>
        <v>185000000</v>
      </c>
      <c r="E10" s="13" t="n"/>
      <c r="F10" s="14">
        <f>CARD_TRACKER!F36</f>
        <v>54950000</v>
      </c>
      <c r="G10" s="13" t="n"/>
      <c r="H10" s="14">
        <f>CARD_TRACKER!G36</f>
        <v>130050000</v>
      </c>
      <c r="I10" s="13" t="n"/>
      <c r="J10" s="15">
        <f>CARD_TRACKER!H36</f>
        <v>0.297027027027027</v>
      </c>
      <c r="K10" s="13" t="n"/>
      <c r="L10" s="14">
        <f>SUMIFS(TRANSACTIONS_MASTER!$L$5:$L$1204,TRANSACTIONS_MASTER!$C$5:$C$1204,$D$4,TRANSACTIONS_MASTER!$U$5:$U$1204,"&lt;&gt;Cancelled")</f>
        <v>54150000</v>
      </c>
      <c r="M10" s="13" t="n"/>
      <c r="N10" s="16" t="str">
        <f>IF(MAX($D$84:$D$113)&gt;0,INDEX($B$84:$B$113,MATCH(MAX($D$84:$D$113),$D$84:$D$113,0)),"—")</f>
        <v>VPBank JCB Z Card</v>
      </c>
      <c r="O10" s="13" t="n"/>
    </row>
    <row r="11" ht="22" customHeight="1">
      <c r="B11" s="17" t="str">
        <f>"Active / tổng "&amp;COUNTA(CARDS!$A$5:$A$34)&amp;" thẻ"</f>
        <v>Active / tổng 6 thẻ</v>
      </c>
      <c r="C11" s="18" t="n"/>
      <c r="D11" s="17" t="inlineStr">
        <is>
          <t>thẻ Active</t>
        </is>
      </c>
      <c r="E11" s="18" t="n"/>
      <c r="F11" s="17" t="inlineStr">
        <is>
          <t>chưa thanh toán</t>
        </is>
      </c>
      <c r="G11" s="18" t="n"/>
      <c r="H11" s="17" t="inlineStr">
        <is>
          <t>khả dụng</t>
        </is>
      </c>
      <c r="I11" s="18" t="n"/>
      <c r="J11" s="17" t="str">
        <f>CARD_TRACKER!I36</f>
        <v>● Bình thường</v>
      </c>
      <c r="K11" s="18" t="n"/>
      <c r="L11" s="17" t="str">
        <f>"Tháng "&amp;INT($D$4/100)&amp;"-"&amp;TEXT(MOD($D$4,100),"00")</f>
        <v>Tháng 2026-10</v>
      </c>
      <c r="M11" s="18" t="n"/>
      <c r="N11" s="17" t="str">
        <f>IF(MAX($D$84:$D$113)&gt;0,TEXT(MAX($D$84:$D$113),"#,##0")&amp;" ₫","")</f>
        <v>16,800,000 ₫</v>
      </c>
      <c r="O11" s="18" t="n"/>
    </row>
    <row r="12" ht="8" customHeight="1"/>
    <row r="13" ht="24" customHeight="1">
      <c r="B13" s="10" t="inlineStr">
        <is>
          <t>CASHBACK DỰ KIẾN</t>
        </is>
      </c>
      <c r="C13" s="11" t="n"/>
      <c r="D13" s="10" t="inlineStr">
        <is>
          <t>CASHBACK THỰC TẾ</t>
        </is>
      </c>
      <c r="E13" s="11" t="n"/>
      <c r="F13" s="10" t="inlineStr">
        <is>
          <t>CASHBACK CÒN CÓ THỂ NHẬN</t>
        </is>
      </c>
      <c r="G13" s="11" t="n"/>
      <c r="H13" s="10" t="inlineStr">
        <is>
          <t>THẺ CASHBACK CAO NHẤT</t>
        </is>
      </c>
      <c r="I13" s="11" t="n"/>
      <c r="J13" s="10" t="inlineStr">
        <is>
          <t>THẺ GẦN ĐẠT HẠN MỨC</t>
        </is>
      </c>
      <c r="K13" s="11" t="n"/>
      <c r="L13" s="10" t="inlineStr">
        <is>
          <t>THẺ GẦN ĐẠT CASHBACK CAP</t>
        </is>
      </c>
      <c r="M13" s="11" t="n"/>
      <c r="N13" s="10" t="inlineStr">
        <is>
          <t>THẺ CẦN CHÚ Ý THANH TOÁN</t>
        </is>
      </c>
      <c r="O13" s="11" t="n"/>
    </row>
    <row r="14" ht="40" customHeight="1">
      <c r="B14" s="14">
        <f>SUMIFS(TRANSACTIONS_MASTER!$O$5:$O$1204,TRANSACTIONS_MASTER!$C$5:$C$1204,$D$4)</f>
        <v>5325000</v>
      </c>
      <c r="C14" s="13" t="n"/>
      <c r="D14" s="14">
        <f>SUMIFS(TRANSACTIONS_MASTER!$Q$5:$Q$1204,TRANSACTIONS_MASTER!$C$5:$C$1204,$D$4)</f>
        <v>3880000</v>
      </c>
      <c r="E14" s="13" t="n"/>
      <c r="F14" s="14">
        <f>SUM(CAP_TRACKER!$H$60:$H$89)</f>
        <v>620000</v>
      </c>
      <c r="G14" s="13" t="n"/>
      <c r="H14" s="16" t="str">
        <f>IF(MAX($E$84:$E$113)&gt;0,INDEX($B$84:$B$113,MATCH(MAX($E$84:$E$113),$E$84:$E$113,0)),"—")</f>
        <v>VPBank JCB Z Card</v>
      </c>
      <c r="I14" s="13" t="n"/>
      <c r="J14" s="16" t="str">
        <f>IF(MAX(CARD_TRACKER!$H$5:$H$34)&gt;0,INDEX(CARD_TRACKER!$C$5:$C$34,MATCH(MAX(CARD_TRACKER!$H$5:$H$34),CARD_TRACKER!$H$5:$H$34,0))&amp;" ("&amp;TEXT(MAX(CARD_TRACKER!$H$5:$H$34),"0%")&amp;")","—")</f>
        <v>Cashback Demo D (52%)</v>
      </c>
      <c r="K14" s="13" t="n"/>
      <c r="L14" s="16" t="str">
        <f>IF(MAX($H$84:$H$113)&gt;0,INDEX($B$84:$B$113,MATCH(MAX($H$84:$H$113),$H$84:$H$113,0))&amp;" ("&amp;TEXT(MAX($H$84:$H$113),"0%")&amp;")","—")</f>
        <v>VPBank JCB Z Card (100%)</v>
      </c>
      <c r="M14" s="13" t="n"/>
      <c r="N14" s="12">
        <f>COUNTIF(CARD_TRACKER!$O$5:$O$34,"Quá hạn")+COUNTIF(CARD_TRACKER!$O$5:$O$34,"Đến hạn")+COUNTIF(CARD_TRACKER!$O$5:$O$34,"Sắp đến hạn")</f>
        <v>1</v>
      </c>
      <c r="O14" s="13" t="n"/>
    </row>
    <row r="15" ht="22" customHeight="1">
      <c r="B15" s="17" t="inlineStr">
        <is>
          <t>trước khi áp cap</t>
        </is>
      </c>
      <c r="C15" s="18" t="n"/>
      <c r="D15" s="17" t="str">
        <f>IF(B14=0,"đã áp cap",TEXT(D14/B14,"0%")&amp;" so với dự kiến · đã áp cap")</f>
        <v>73% so với dự kiến · đã áp cap</v>
      </c>
      <c r="E15" s="18" t="n"/>
      <c r="F15" s="17" t="inlineStr">
        <is>
          <t>tối đa còn lại (cap hữu hạn)</t>
        </is>
      </c>
      <c r="G15" s="18" t="n"/>
      <c r="H15" s="17" t="str">
        <f>IF(MAX($E$84:$E$113)&gt;0,TEXT(MAX($E$84:$E$113),"#,##0")&amp;" ₫","")</f>
        <v>1,000,000 ₫</v>
      </c>
      <c r="I15" s="18" t="n"/>
      <c r="J15" s="17" t="str">
        <f>COUNTIF(CARD_TRACKER!$H$5:$H$34,"&gt;="&amp;pUtil2)&amp;" thẻ ≥ "&amp;TEXT(pUtil2,"0%")</f>
        <v>0 thẻ ≥ 70%</v>
      </c>
      <c r="K15" s="18" t="n"/>
      <c r="L15" s="17" t="str">
        <f>COUNTIF($H$84:$H$113,"&gt;="&amp;pCapWarn)&amp;" thẻ ≥ "&amp;TEXT(pCapWarn,"0%")&amp;" cap"</f>
        <v>4 thẻ ≥ 80% cap</v>
      </c>
      <c r="M15" s="18" t="n"/>
      <c r="N15" s="17" t="str">
        <f>COUNTIF(CARD_TRACKER!$O$5:$O$34,"Quá hạn")&amp;" quá hạn · "&amp;COUNTIF(CARD_TRACKER!$O$5:$O$34,"Đến hạn")&amp;" đến hạn · "&amp;COUNTIF(CARD_TRACKER!$O$5:$O$34,"Sắp đến hạn")&amp;" sắp đến"</f>
        <v>0 quá hạn · 0 đến hạn · 1 sắp đến</v>
      </c>
      <c r="O15" s="18" t="n"/>
    </row>
    <row r="16" ht="10" customHeight="1"/>
    <row r="17" ht="22" customHeight="1">
      <c r="B17" s="19" t="inlineStr">
        <is>
          <t>BIỂU ĐỒ</t>
        </is>
      </c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82" ht="22" customHeight="1">
      <c r="B82" s="19" t="inlineStr">
        <is>
          <t>TÌNH TRẠNG TỪNG THẺ — tháng đang xem (dữ liệu cho biểu đồ)</t>
        </is>
      </c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</row>
    <row r="83" ht="30" customHeight="1">
      <c r="B83" s="21" t="inlineStr">
        <is>
          <t>Thẻ</t>
        </is>
      </c>
      <c r="C83" s="22" t="n"/>
      <c r="D83" s="21" t="inlineStr">
        <is>
          <t>Chi tiêu tháng</t>
        </is>
      </c>
      <c r="E83" s="21" t="inlineStr">
        <is>
          <t>Cashback tháng</t>
        </is>
      </c>
      <c r="F83" s="21" t="inlineStr">
        <is>
          <t>Cap thẻ / tháng</t>
        </is>
      </c>
      <c r="G83" s="21" t="inlineStr">
        <is>
          <t>Cap còn lại</t>
        </is>
      </c>
      <c r="H83" s="21" t="inlineStr">
        <is>
          <t>% cap</t>
        </is>
      </c>
      <c r="I83" s="21" t="inlineStr">
        <is>
          <t>Hạn mức</t>
        </is>
      </c>
      <c r="J83" s="21" t="inlineStr">
        <is>
          <t>Dư nợ</t>
        </is>
      </c>
      <c r="K83" s="21" t="inlineStr">
        <is>
          <t>Khả dụng</t>
        </is>
      </c>
      <c r="L83" s="21" t="inlineStr">
        <is>
          <t>Utilization</t>
        </is>
      </c>
      <c r="M83" s="21" t="inlineStr">
        <is>
          <t>Mức</t>
        </is>
      </c>
      <c r="N83" s="21" t="inlineStr">
        <is>
          <t>Thanh toán</t>
        </is>
      </c>
      <c r="O83" s="22" t="n"/>
    </row>
    <row r="84" ht="22" customHeight="1">
      <c r="B84" s="23" t="str">
        <f>IF(CAP_TRACKER!$C60="","",CAP_TRACKER!D60)</f>
        <v>VPBank JCB Z Card</v>
      </c>
      <c r="C84" s="24" t="n"/>
      <c r="D84" s="25">
        <f>IF(CAP_TRACKER!$C60="","",CAP_TRACKER!E60)</f>
        <v>16800000</v>
      </c>
      <c r="E84" s="26">
        <f>IF(CAP_TRACKER!$C60="","",CAP_TRACKER!F60)</f>
        <v>1000000</v>
      </c>
      <c r="F84" s="25">
        <f>IF(CAP_TRACKER!$C60="","",CAP_TRACKER!G60)</f>
        <v>1000000</v>
      </c>
      <c r="G84" s="25">
        <f>IF(CAP_TRACKER!$C60="","",CAP_TRACKER!H60)</f>
        <v>0</v>
      </c>
      <c r="H84" s="27">
        <f>IF(CAP_TRACKER!$C60="","",CAP_TRACKER!I60)</f>
        <v>1</v>
      </c>
      <c r="I84" s="25">
        <f>IF(CAP_TRACKER!$C60="","",CARD_TRACKER!E5)</f>
        <v>50000000</v>
      </c>
      <c r="J84" s="25">
        <f>IF(CAP_TRACKER!$C60="","",CARD_TRACKER!F5)</f>
        <v>16800000</v>
      </c>
      <c r="K84" s="25">
        <f>IF(CAP_TRACKER!$C60="","",CARD_TRACKER!G5)</f>
        <v>33200000</v>
      </c>
      <c r="L84" s="27">
        <f>IF(CAP_TRACKER!$C60="","",CARD_TRACKER!H5)</f>
        <v>0.336</v>
      </c>
      <c r="M84" s="28" t="str">
        <f>IF(CAP_TRACKER!$C60="","",CARD_TRACKER!I5)</f>
        <v>● Bình thường</v>
      </c>
      <c r="N84" s="28" t="str">
        <f>IF(CAP_TRACKER!$C60="","",CARD_TRACKER!O5)</f>
        <v>Đã thanh toán</v>
      </c>
      <c r="O84" s="24" t="n"/>
    </row>
    <row r="85" ht="22" customHeight="1">
      <c r="B85" s="23" t="str">
        <f>IF(CAP_TRACKER!$C61="","",CAP_TRACKER!D61)</f>
        <v>VIB Cashback Demo A</v>
      </c>
      <c r="C85" s="24" t="n"/>
      <c r="D85" s="25">
        <f>IF(CAP_TRACKER!$C61="","",CAP_TRACKER!E61)</f>
        <v>11500000</v>
      </c>
      <c r="E85" s="26">
        <f>IF(CAP_TRACKER!$C61="","",CAP_TRACKER!F61)</f>
        <v>1000000</v>
      </c>
      <c r="F85" s="25">
        <f>IF(CAP_TRACKER!$C61="","",CAP_TRACKER!G61)</f>
        <v>1000000</v>
      </c>
      <c r="G85" s="25">
        <f>IF(CAP_TRACKER!$C61="","",CAP_TRACKER!H61)</f>
        <v>0</v>
      </c>
      <c r="H85" s="27">
        <f>IF(CAP_TRACKER!$C61="","",CAP_TRACKER!I61)</f>
        <v>1</v>
      </c>
      <c r="I85" s="25">
        <f>IF(CAP_TRACKER!$C61="","",CARD_TRACKER!E6)</f>
        <v>30000000</v>
      </c>
      <c r="J85" s="25">
        <f>IF(CAP_TRACKER!$C61="","",CARD_TRACKER!F6)</f>
        <v>11500000</v>
      </c>
      <c r="K85" s="25">
        <f>IF(CAP_TRACKER!$C61="","",CARD_TRACKER!G6)</f>
        <v>18500000</v>
      </c>
      <c r="L85" s="27">
        <f>IF(CAP_TRACKER!$C61="","",CARD_TRACKER!H6)</f>
        <v>0.383333333333333</v>
      </c>
      <c r="M85" s="28" t="str">
        <f>IF(CAP_TRACKER!$C61="","",CARD_TRACKER!I6)</f>
        <v>● Bình thường</v>
      </c>
      <c r="N85" s="28" t="str">
        <f>IF(CAP_TRACKER!$C61="","",CARD_TRACKER!O6)</f>
        <v>Chưa đến hạn</v>
      </c>
      <c r="O85" s="24" t="n"/>
    </row>
    <row r="86" ht="22" customHeight="1">
      <c r="B86" s="23" t="str">
        <f>IF(CAP_TRACKER!$C62="","",CAP_TRACKER!D62)</f>
        <v>Techcombank Cashback Demo B</v>
      </c>
      <c r="C86" s="24" t="n"/>
      <c r="D86" s="25">
        <f>IF(CAP_TRACKER!$C62="","",CAP_TRACKER!E62)</f>
        <v>8300000</v>
      </c>
      <c r="E86" s="26">
        <f>IF(CAP_TRACKER!$C62="","",CAP_TRACKER!F62)</f>
        <v>390000</v>
      </c>
      <c r="F86" s="25">
        <f>IF(CAP_TRACKER!$C62="","",CAP_TRACKER!G62)</f>
        <v>2000000</v>
      </c>
      <c r="G86" s="25">
        <f>IF(CAP_TRACKER!$C62="","",CAP_TRACKER!H62)</f>
        <v>510000</v>
      </c>
      <c r="H86" s="27">
        <f>IF(CAP_TRACKER!$C62="","",CAP_TRACKER!I62)</f>
        <v>0.195</v>
      </c>
      <c r="I86" s="25">
        <f>IF(CAP_TRACKER!$C62="","",CARD_TRACKER!E7)</f>
        <v>40000000</v>
      </c>
      <c r="J86" s="25">
        <f>IF(CAP_TRACKER!$C62="","",CARD_TRACKER!F7)</f>
        <v>8300000</v>
      </c>
      <c r="K86" s="25">
        <f>IF(CAP_TRACKER!$C62="","",CARD_TRACKER!G7)</f>
        <v>31700000</v>
      </c>
      <c r="L86" s="27">
        <f>IF(CAP_TRACKER!$C62="","",CARD_TRACKER!H7)</f>
        <v>0.2075</v>
      </c>
      <c r="M86" s="28" t="str">
        <f>IF(CAP_TRACKER!$C62="","",CARD_TRACKER!I7)</f>
        <v>● Bình thường</v>
      </c>
      <c r="N86" s="28" t="str">
        <f>IF(CAP_TRACKER!$C62="","",CARD_TRACKER!O7)</f>
        <v>Đã thanh toán</v>
      </c>
      <c r="O86" s="24" t="n"/>
    </row>
    <row r="87" ht="22" customHeight="1">
      <c r="B87" s="23" t="str">
        <f>IF(CAP_TRACKER!$C63="","",CAP_TRACKER!D63)</f>
        <v>UOB Cashback Demo C</v>
      </c>
      <c r="C87" s="24" t="n"/>
      <c r="D87" s="25">
        <f>IF(CAP_TRACKER!$C63="","",CAP_TRACKER!E63)</f>
        <v>7000000</v>
      </c>
      <c r="E87" s="26">
        <f>IF(CAP_TRACKER!$C63="","",CAP_TRACKER!F63)</f>
        <v>1000000</v>
      </c>
      <c r="F87" s="25" t="str">
        <f>IF(CAP_TRACKER!$C63="","",CAP_TRACKER!G63)</f>
        <v>∞</v>
      </c>
      <c r="G87" s="25">
        <f>IF(CAP_TRACKER!$C63="","",CAP_TRACKER!H63)</f>
        <v>0</v>
      </c>
      <c r="H87" s="27">
        <f>IF(CAP_TRACKER!$C63="","",CAP_TRACKER!I63)</f>
        <v>1</v>
      </c>
      <c r="I87" s="25">
        <f>IF(CAP_TRACKER!$C63="","",CARD_TRACKER!E8)</f>
        <v>25000000</v>
      </c>
      <c r="J87" s="25">
        <f>IF(CAP_TRACKER!$C63="","",CARD_TRACKER!F8)</f>
        <v>7000000</v>
      </c>
      <c r="K87" s="25">
        <f>IF(CAP_TRACKER!$C63="","",CARD_TRACKER!G8)</f>
        <v>18000000</v>
      </c>
      <c r="L87" s="27">
        <f>IF(CAP_TRACKER!$C63="","",CARD_TRACKER!H8)</f>
        <v>0.28</v>
      </c>
      <c r="M87" s="28" t="str">
        <f>IF(CAP_TRACKER!$C63="","",CARD_TRACKER!I8)</f>
        <v>● Bình thường</v>
      </c>
      <c r="N87" s="28" t="str">
        <f>IF(CAP_TRACKER!$C63="","",CARD_TRACKER!O8)</f>
        <v>Đã thanh toán</v>
      </c>
      <c r="O87" s="24" t="n"/>
    </row>
    <row r="88" ht="22" customHeight="1">
      <c r="B88" s="23" t="str">
        <f>IF(CAP_TRACKER!$C64="","",CAP_TRACKER!D64)</f>
        <v>MB Cashback Demo D</v>
      </c>
      <c r="C88" s="24" t="n"/>
      <c r="D88" s="25">
        <f>IF(CAP_TRACKER!$C64="","",CAP_TRACKER!E64)</f>
        <v>9550000</v>
      </c>
      <c r="E88" s="26">
        <f>IF(CAP_TRACKER!$C64="","",CAP_TRACKER!F64)</f>
        <v>490000</v>
      </c>
      <c r="F88" s="25">
        <f>IF(CAP_TRACKER!$C64="","",CAP_TRACKER!G64)</f>
        <v>600000</v>
      </c>
      <c r="G88" s="25">
        <f>IF(CAP_TRACKER!$C64="","",CAP_TRACKER!H64)</f>
        <v>110000</v>
      </c>
      <c r="H88" s="27">
        <f>IF(CAP_TRACKER!$C64="","",CAP_TRACKER!I64)</f>
        <v>0.816666666666667</v>
      </c>
      <c r="I88" s="25">
        <f>IF(CAP_TRACKER!$C64="","",CARD_TRACKER!E9)</f>
        <v>20000000</v>
      </c>
      <c r="J88" s="25">
        <f>IF(CAP_TRACKER!$C64="","",CARD_TRACKER!F9)</f>
        <v>10350000</v>
      </c>
      <c r="K88" s="25">
        <f>IF(CAP_TRACKER!$C64="","",CARD_TRACKER!G9)</f>
        <v>9650000</v>
      </c>
      <c r="L88" s="27">
        <f>IF(CAP_TRACKER!$C64="","",CARD_TRACKER!H9)</f>
        <v>0.5175</v>
      </c>
      <c r="M88" s="28" t="str">
        <f>IF(CAP_TRACKER!$C64="","",CARD_TRACKER!I9)</f>
        <v>● Cảnh báo nhẹ</v>
      </c>
      <c r="N88" s="28" t="str">
        <f>IF(CAP_TRACKER!$C64="","",CARD_TRACKER!O9)</f>
        <v>Sắp đến hạn</v>
      </c>
      <c r="O88" s="24" t="n"/>
    </row>
    <row r="89" ht="22" customHeight="1">
      <c r="B89" s="23" t="str">
        <f>IF(CAP_TRACKER!$C65="","",CAP_TRACKER!D65)</f>
        <v>ACB Demo E (không cashback)</v>
      </c>
      <c r="C89" s="24" t="n"/>
      <c r="D89" s="25">
        <f>IF(CAP_TRACKER!$C65="","",CAP_TRACKER!E65)</f>
        <v>1000000</v>
      </c>
      <c r="E89" s="26">
        <f>IF(CAP_TRACKER!$C65="","",CAP_TRACKER!F65)</f>
        <v>0</v>
      </c>
      <c r="F89" s="25" t="str">
        <f>IF(CAP_TRACKER!$C65="","",CAP_TRACKER!G65)</f>
        <v>∞</v>
      </c>
      <c r="G89" s="25">
        <f>IF(CAP_TRACKER!$C65="","",CAP_TRACKER!H65)</f>
        <v>0</v>
      </c>
      <c r="H89" s="27">
        <f>IF(CAP_TRACKER!$C65="","",CAP_TRACKER!I65)</f>
        <v>0</v>
      </c>
      <c r="I89" s="25">
        <f>IF(CAP_TRACKER!$C65="","",CARD_TRACKER!E10)</f>
        <v>20000000</v>
      </c>
      <c r="J89" s="25">
        <f>IF(CAP_TRACKER!$C65="","",CARD_TRACKER!F10)</f>
        <v>1000000</v>
      </c>
      <c r="K89" s="25">
        <f>IF(CAP_TRACKER!$C65="","",CARD_TRACKER!G10)</f>
        <v>19000000</v>
      </c>
      <c r="L89" s="27">
        <f>IF(CAP_TRACKER!$C65="","",CARD_TRACKER!H10)</f>
        <v>0.05</v>
      </c>
      <c r="M89" s="28" t="str">
        <f>IF(CAP_TRACKER!$C65="","",CARD_TRACKER!I10)</f>
        <v>● Bình thường</v>
      </c>
      <c r="N89" s="28" t="str">
        <f>IF(CAP_TRACKER!$C65="","",CARD_TRACKER!O10)</f>
        <v>Đã thanh toán</v>
      </c>
      <c r="O89" s="24" t="n"/>
    </row>
    <row r="90" ht="22" customHeight="1">
      <c r="B90" s="23" t="str">
        <f>IF(CAP_TRACKER!$C66="","",CAP_TRACKER!D66)</f>
        <v/>
      </c>
      <c r="C90" s="24" t="n"/>
      <c r="D90" s="25" t="str">
        <f>IF(CAP_TRACKER!$C66="","",CAP_TRACKER!E66)</f>
        <v/>
      </c>
      <c r="E90" s="26" t="str">
        <f>IF(CAP_TRACKER!$C66="","",CAP_TRACKER!F66)</f>
        <v/>
      </c>
      <c r="F90" s="25" t="str">
        <f>IF(CAP_TRACKER!$C66="","",CAP_TRACKER!G66)</f>
        <v/>
      </c>
      <c r="G90" s="25" t="str">
        <f>IF(CAP_TRACKER!$C66="","",CAP_TRACKER!H66)</f>
        <v/>
      </c>
      <c r="H90" s="27" t="str">
        <f>IF(CAP_TRACKER!$C66="","",CAP_TRACKER!I66)</f>
        <v/>
      </c>
      <c r="I90" s="25" t="str">
        <f>IF(CAP_TRACKER!$C66="","",CARD_TRACKER!E11)</f>
        <v/>
      </c>
      <c r="J90" s="25" t="str">
        <f>IF(CAP_TRACKER!$C66="","",CARD_TRACKER!F11)</f>
        <v/>
      </c>
      <c r="K90" s="25" t="str">
        <f>IF(CAP_TRACKER!$C66="","",CARD_TRACKER!G11)</f>
        <v/>
      </c>
      <c r="L90" s="27" t="str">
        <f>IF(CAP_TRACKER!$C66="","",CARD_TRACKER!H11)</f>
        <v/>
      </c>
      <c r="M90" s="28" t="str">
        <f>IF(CAP_TRACKER!$C66="","",CARD_TRACKER!I11)</f>
        <v/>
      </c>
      <c r="N90" s="28" t="str">
        <f>IF(CAP_TRACKER!$C66="","",CARD_TRACKER!O11)</f>
        <v/>
      </c>
      <c r="O90" s="24" t="n"/>
    </row>
    <row r="91" ht="22" customHeight="1">
      <c r="B91" s="23" t="str">
        <f>IF(CAP_TRACKER!$C67="","",CAP_TRACKER!D67)</f>
        <v/>
      </c>
      <c r="C91" s="24" t="n"/>
      <c r="D91" s="25" t="str">
        <f>IF(CAP_TRACKER!$C67="","",CAP_TRACKER!E67)</f>
        <v/>
      </c>
      <c r="E91" s="26" t="str">
        <f>IF(CAP_TRACKER!$C67="","",CAP_TRACKER!F67)</f>
        <v/>
      </c>
      <c r="F91" s="25" t="str">
        <f>IF(CAP_TRACKER!$C67="","",CAP_TRACKER!G67)</f>
        <v/>
      </c>
      <c r="G91" s="25" t="str">
        <f>IF(CAP_TRACKER!$C67="","",CAP_TRACKER!H67)</f>
        <v/>
      </c>
      <c r="H91" s="27" t="str">
        <f>IF(CAP_TRACKER!$C67="","",CAP_TRACKER!I67)</f>
        <v/>
      </c>
      <c r="I91" s="25" t="str">
        <f>IF(CAP_TRACKER!$C67="","",CARD_TRACKER!E12)</f>
        <v/>
      </c>
      <c r="J91" s="25" t="str">
        <f>IF(CAP_TRACKER!$C67="","",CARD_TRACKER!F12)</f>
        <v/>
      </c>
      <c r="K91" s="25" t="str">
        <f>IF(CAP_TRACKER!$C67="","",CARD_TRACKER!G12)</f>
        <v/>
      </c>
      <c r="L91" s="27" t="str">
        <f>IF(CAP_TRACKER!$C67="","",CARD_TRACKER!H12)</f>
        <v/>
      </c>
      <c r="M91" s="28" t="str">
        <f>IF(CAP_TRACKER!$C67="","",CARD_TRACKER!I12)</f>
        <v/>
      </c>
      <c r="N91" s="28" t="str">
        <f>IF(CAP_TRACKER!$C67="","",CARD_TRACKER!O12)</f>
        <v/>
      </c>
      <c r="O91" s="24" t="n"/>
    </row>
    <row r="92" ht="22" customHeight="1">
      <c r="B92" s="23" t="str">
        <f>IF(CAP_TRACKER!$C68="","",CAP_TRACKER!D68)</f>
        <v/>
      </c>
      <c r="C92" s="24" t="n"/>
      <c r="D92" s="25" t="str">
        <f>IF(CAP_TRACKER!$C68="","",CAP_TRACKER!E68)</f>
        <v/>
      </c>
      <c r="E92" s="26" t="str">
        <f>IF(CAP_TRACKER!$C68="","",CAP_TRACKER!F68)</f>
        <v/>
      </c>
      <c r="F92" s="25" t="str">
        <f>IF(CAP_TRACKER!$C68="","",CAP_TRACKER!G68)</f>
        <v/>
      </c>
      <c r="G92" s="25" t="str">
        <f>IF(CAP_TRACKER!$C68="","",CAP_TRACKER!H68)</f>
        <v/>
      </c>
      <c r="H92" s="27" t="str">
        <f>IF(CAP_TRACKER!$C68="","",CAP_TRACKER!I68)</f>
        <v/>
      </c>
      <c r="I92" s="25" t="str">
        <f>IF(CAP_TRACKER!$C68="","",CARD_TRACKER!E13)</f>
        <v/>
      </c>
      <c r="J92" s="25" t="str">
        <f>IF(CAP_TRACKER!$C68="","",CARD_TRACKER!F13)</f>
        <v/>
      </c>
      <c r="K92" s="25" t="str">
        <f>IF(CAP_TRACKER!$C68="","",CARD_TRACKER!G13)</f>
        <v/>
      </c>
      <c r="L92" s="27" t="str">
        <f>IF(CAP_TRACKER!$C68="","",CARD_TRACKER!H13)</f>
        <v/>
      </c>
      <c r="M92" s="28" t="str">
        <f>IF(CAP_TRACKER!$C68="","",CARD_TRACKER!I13)</f>
        <v/>
      </c>
      <c r="N92" s="28" t="str">
        <f>IF(CAP_TRACKER!$C68="","",CARD_TRACKER!O13)</f>
        <v/>
      </c>
      <c r="O92" s="24" t="n"/>
    </row>
    <row r="93" ht="22" customHeight="1">
      <c r="B93" s="23" t="str">
        <f>IF(CAP_TRACKER!$C69="","",CAP_TRACKER!D69)</f>
        <v/>
      </c>
      <c r="C93" s="24" t="n"/>
      <c r="D93" s="25" t="str">
        <f>IF(CAP_TRACKER!$C69="","",CAP_TRACKER!E69)</f>
        <v/>
      </c>
      <c r="E93" s="26" t="str">
        <f>IF(CAP_TRACKER!$C69="","",CAP_TRACKER!F69)</f>
        <v/>
      </c>
      <c r="F93" s="25" t="str">
        <f>IF(CAP_TRACKER!$C69="","",CAP_TRACKER!G69)</f>
        <v/>
      </c>
      <c r="G93" s="25" t="str">
        <f>IF(CAP_TRACKER!$C69="","",CAP_TRACKER!H69)</f>
        <v/>
      </c>
      <c r="H93" s="27" t="str">
        <f>IF(CAP_TRACKER!$C69="","",CAP_TRACKER!I69)</f>
        <v/>
      </c>
      <c r="I93" s="25" t="str">
        <f>IF(CAP_TRACKER!$C69="","",CARD_TRACKER!E14)</f>
        <v/>
      </c>
      <c r="J93" s="25" t="str">
        <f>IF(CAP_TRACKER!$C69="","",CARD_TRACKER!F14)</f>
        <v/>
      </c>
      <c r="K93" s="25" t="str">
        <f>IF(CAP_TRACKER!$C69="","",CARD_TRACKER!G14)</f>
        <v/>
      </c>
      <c r="L93" s="27" t="str">
        <f>IF(CAP_TRACKER!$C69="","",CARD_TRACKER!H14)</f>
        <v/>
      </c>
      <c r="M93" s="28" t="str">
        <f>IF(CAP_TRACKER!$C69="","",CARD_TRACKER!I14)</f>
        <v/>
      </c>
      <c r="N93" s="28" t="str">
        <f>IF(CAP_TRACKER!$C69="","",CARD_TRACKER!O14)</f>
        <v/>
      </c>
      <c r="O93" s="24" t="n"/>
    </row>
    <row r="94" ht="22" customHeight="1">
      <c r="B94" s="23" t="str">
        <f>IF(CAP_TRACKER!$C70="","",CAP_TRACKER!D70)</f>
        <v/>
      </c>
      <c r="C94" s="24" t="n"/>
      <c r="D94" s="25" t="str">
        <f>IF(CAP_TRACKER!$C70="","",CAP_TRACKER!E70)</f>
        <v/>
      </c>
      <c r="E94" s="26" t="str">
        <f>IF(CAP_TRACKER!$C70="","",CAP_TRACKER!F70)</f>
        <v/>
      </c>
      <c r="F94" s="25" t="str">
        <f>IF(CAP_TRACKER!$C70="","",CAP_TRACKER!G70)</f>
        <v/>
      </c>
      <c r="G94" s="25" t="str">
        <f>IF(CAP_TRACKER!$C70="","",CAP_TRACKER!H70)</f>
        <v/>
      </c>
      <c r="H94" s="27" t="str">
        <f>IF(CAP_TRACKER!$C70="","",CAP_TRACKER!I70)</f>
        <v/>
      </c>
      <c r="I94" s="25" t="str">
        <f>IF(CAP_TRACKER!$C70="","",CARD_TRACKER!E15)</f>
        <v/>
      </c>
      <c r="J94" s="25" t="str">
        <f>IF(CAP_TRACKER!$C70="","",CARD_TRACKER!F15)</f>
        <v/>
      </c>
      <c r="K94" s="25" t="str">
        <f>IF(CAP_TRACKER!$C70="","",CARD_TRACKER!G15)</f>
        <v/>
      </c>
      <c r="L94" s="27" t="str">
        <f>IF(CAP_TRACKER!$C70="","",CARD_TRACKER!H15)</f>
        <v/>
      </c>
      <c r="M94" s="28" t="str">
        <f>IF(CAP_TRACKER!$C70="","",CARD_TRACKER!I15)</f>
        <v/>
      </c>
      <c r="N94" s="28" t="str">
        <f>IF(CAP_TRACKER!$C70="","",CARD_TRACKER!O15)</f>
        <v/>
      </c>
      <c r="O94" s="24" t="n"/>
    </row>
    <row r="95" ht="22" customHeight="1">
      <c r="B95" s="23" t="str">
        <f>IF(CAP_TRACKER!$C71="","",CAP_TRACKER!D71)</f>
        <v/>
      </c>
      <c r="C95" s="24" t="n"/>
      <c r="D95" s="25" t="str">
        <f>IF(CAP_TRACKER!$C71="","",CAP_TRACKER!E71)</f>
        <v/>
      </c>
      <c r="E95" s="26" t="str">
        <f>IF(CAP_TRACKER!$C71="","",CAP_TRACKER!F71)</f>
        <v/>
      </c>
      <c r="F95" s="25" t="str">
        <f>IF(CAP_TRACKER!$C71="","",CAP_TRACKER!G71)</f>
        <v/>
      </c>
      <c r="G95" s="25" t="str">
        <f>IF(CAP_TRACKER!$C71="","",CAP_TRACKER!H71)</f>
        <v/>
      </c>
      <c r="H95" s="27" t="str">
        <f>IF(CAP_TRACKER!$C71="","",CAP_TRACKER!I71)</f>
        <v/>
      </c>
      <c r="I95" s="25" t="str">
        <f>IF(CAP_TRACKER!$C71="","",CARD_TRACKER!E16)</f>
        <v/>
      </c>
      <c r="J95" s="25" t="str">
        <f>IF(CAP_TRACKER!$C71="","",CARD_TRACKER!F16)</f>
        <v/>
      </c>
      <c r="K95" s="25" t="str">
        <f>IF(CAP_TRACKER!$C71="","",CARD_TRACKER!G16)</f>
        <v/>
      </c>
      <c r="L95" s="27" t="str">
        <f>IF(CAP_TRACKER!$C71="","",CARD_TRACKER!H16)</f>
        <v/>
      </c>
      <c r="M95" s="28" t="str">
        <f>IF(CAP_TRACKER!$C71="","",CARD_TRACKER!I16)</f>
        <v/>
      </c>
      <c r="N95" s="28" t="str">
        <f>IF(CAP_TRACKER!$C71="","",CARD_TRACKER!O16)</f>
        <v/>
      </c>
      <c r="O95" s="24" t="n"/>
    </row>
    <row r="96" ht="22" customHeight="1">
      <c r="B96" s="23" t="str">
        <f>IF(CAP_TRACKER!$C72="","",CAP_TRACKER!D72)</f>
        <v/>
      </c>
      <c r="C96" s="24" t="n"/>
      <c r="D96" s="25" t="str">
        <f>IF(CAP_TRACKER!$C72="","",CAP_TRACKER!E72)</f>
        <v/>
      </c>
      <c r="E96" s="26" t="str">
        <f>IF(CAP_TRACKER!$C72="","",CAP_TRACKER!F72)</f>
        <v/>
      </c>
      <c r="F96" s="25" t="str">
        <f>IF(CAP_TRACKER!$C72="","",CAP_TRACKER!G72)</f>
        <v/>
      </c>
      <c r="G96" s="25" t="str">
        <f>IF(CAP_TRACKER!$C72="","",CAP_TRACKER!H72)</f>
        <v/>
      </c>
      <c r="H96" s="27" t="str">
        <f>IF(CAP_TRACKER!$C72="","",CAP_TRACKER!I72)</f>
        <v/>
      </c>
      <c r="I96" s="25" t="str">
        <f>IF(CAP_TRACKER!$C72="","",CARD_TRACKER!E17)</f>
        <v/>
      </c>
      <c r="J96" s="25" t="str">
        <f>IF(CAP_TRACKER!$C72="","",CARD_TRACKER!F17)</f>
        <v/>
      </c>
      <c r="K96" s="25" t="str">
        <f>IF(CAP_TRACKER!$C72="","",CARD_TRACKER!G17)</f>
        <v/>
      </c>
      <c r="L96" s="27" t="str">
        <f>IF(CAP_TRACKER!$C72="","",CARD_TRACKER!H17)</f>
        <v/>
      </c>
      <c r="M96" s="28" t="str">
        <f>IF(CAP_TRACKER!$C72="","",CARD_TRACKER!I17)</f>
        <v/>
      </c>
      <c r="N96" s="28" t="str">
        <f>IF(CAP_TRACKER!$C72="","",CARD_TRACKER!O17)</f>
        <v/>
      </c>
      <c r="O96" s="24" t="n"/>
    </row>
    <row r="97" ht="22" customHeight="1">
      <c r="B97" s="23" t="str">
        <f>IF(CAP_TRACKER!$C73="","",CAP_TRACKER!D73)</f>
        <v/>
      </c>
      <c r="C97" s="24" t="n"/>
      <c r="D97" s="25" t="str">
        <f>IF(CAP_TRACKER!$C73="","",CAP_TRACKER!E73)</f>
        <v/>
      </c>
      <c r="E97" s="26" t="str">
        <f>IF(CAP_TRACKER!$C73="","",CAP_TRACKER!F73)</f>
        <v/>
      </c>
      <c r="F97" s="25" t="str">
        <f>IF(CAP_TRACKER!$C73="","",CAP_TRACKER!G73)</f>
        <v/>
      </c>
      <c r="G97" s="25" t="str">
        <f>IF(CAP_TRACKER!$C73="","",CAP_TRACKER!H73)</f>
        <v/>
      </c>
      <c r="H97" s="27" t="str">
        <f>IF(CAP_TRACKER!$C73="","",CAP_TRACKER!I73)</f>
        <v/>
      </c>
      <c r="I97" s="25" t="str">
        <f>IF(CAP_TRACKER!$C73="","",CARD_TRACKER!E18)</f>
        <v/>
      </c>
      <c r="J97" s="25" t="str">
        <f>IF(CAP_TRACKER!$C73="","",CARD_TRACKER!F18)</f>
        <v/>
      </c>
      <c r="K97" s="25" t="str">
        <f>IF(CAP_TRACKER!$C73="","",CARD_TRACKER!G18)</f>
        <v/>
      </c>
      <c r="L97" s="27" t="str">
        <f>IF(CAP_TRACKER!$C73="","",CARD_TRACKER!H18)</f>
        <v/>
      </c>
      <c r="M97" s="28" t="str">
        <f>IF(CAP_TRACKER!$C73="","",CARD_TRACKER!I18)</f>
        <v/>
      </c>
      <c r="N97" s="28" t="str">
        <f>IF(CAP_TRACKER!$C73="","",CARD_TRACKER!O18)</f>
        <v/>
      </c>
      <c r="O97" s="24" t="n"/>
    </row>
    <row r="98" ht="22" customHeight="1">
      <c r="B98" s="23" t="str">
        <f>IF(CAP_TRACKER!$C74="","",CAP_TRACKER!D74)</f>
        <v/>
      </c>
      <c r="C98" s="24" t="n"/>
      <c r="D98" s="25" t="str">
        <f>IF(CAP_TRACKER!$C74="","",CAP_TRACKER!E74)</f>
        <v/>
      </c>
      <c r="E98" s="26" t="str">
        <f>IF(CAP_TRACKER!$C74="","",CAP_TRACKER!F74)</f>
        <v/>
      </c>
      <c r="F98" s="25" t="str">
        <f>IF(CAP_TRACKER!$C74="","",CAP_TRACKER!G74)</f>
        <v/>
      </c>
      <c r="G98" s="25" t="str">
        <f>IF(CAP_TRACKER!$C74="","",CAP_TRACKER!H74)</f>
        <v/>
      </c>
      <c r="H98" s="27" t="str">
        <f>IF(CAP_TRACKER!$C74="","",CAP_TRACKER!I74)</f>
        <v/>
      </c>
      <c r="I98" s="25" t="str">
        <f>IF(CAP_TRACKER!$C74="","",CARD_TRACKER!E19)</f>
        <v/>
      </c>
      <c r="J98" s="25" t="str">
        <f>IF(CAP_TRACKER!$C74="","",CARD_TRACKER!F19)</f>
        <v/>
      </c>
      <c r="K98" s="25" t="str">
        <f>IF(CAP_TRACKER!$C74="","",CARD_TRACKER!G19)</f>
        <v/>
      </c>
      <c r="L98" s="27" t="str">
        <f>IF(CAP_TRACKER!$C74="","",CARD_TRACKER!H19)</f>
        <v/>
      </c>
      <c r="M98" s="28" t="str">
        <f>IF(CAP_TRACKER!$C74="","",CARD_TRACKER!I19)</f>
        <v/>
      </c>
      <c r="N98" s="28" t="str">
        <f>IF(CAP_TRACKER!$C74="","",CARD_TRACKER!O19)</f>
        <v/>
      </c>
      <c r="O98" s="24" t="n"/>
    </row>
    <row r="99" ht="22" customHeight="1">
      <c r="B99" s="23" t="str">
        <f>IF(CAP_TRACKER!$C75="","",CAP_TRACKER!D75)</f>
        <v/>
      </c>
      <c r="C99" s="24" t="n"/>
      <c r="D99" s="25" t="str">
        <f>IF(CAP_TRACKER!$C75="","",CAP_TRACKER!E75)</f>
        <v/>
      </c>
      <c r="E99" s="26" t="str">
        <f>IF(CAP_TRACKER!$C75="","",CAP_TRACKER!F75)</f>
        <v/>
      </c>
      <c r="F99" s="25" t="str">
        <f>IF(CAP_TRACKER!$C75="","",CAP_TRACKER!G75)</f>
        <v/>
      </c>
      <c r="G99" s="25" t="str">
        <f>IF(CAP_TRACKER!$C75="","",CAP_TRACKER!H75)</f>
        <v/>
      </c>
      <c r="H99" s="27" t="str">
        <f>IF(CAP_TRACKER!$C75="","",CAP_TRACKER!I75)</f>
        <v/>
      </c>
      <c r="I99" s="25" t="str">
        <f>IF(CAP_TRACKER!$C75="","",CARD_TRACKER!E20)</f>
        <v/>
      </c>
      <c r="J99" s="25" t="str">
        <f>IF(CAP_TRACKER!$C75="","",CARD_TRACKER!F20)</f>
        <v/>
      </c>
      <c r="K99" s="25" t="str">
        <f>IF(CAP_TRACKER!$C75="","",CARD_TRACKER!G20)</f>
        <v/>
      </c>
      <c r="L99" s="27" t="str">
        <f>IF(CAP_TRACKER!$C75="","",CARD_TRACKER!H20)</f>
        <v/>
      </c>
      <c r="M99" s="28" t="str">
        <f>IF(CAP_TRACKER!$C75="","",CARD_TRACKER!I20)</f>
        <v/>
      </c>
      <c r="N99" s="28" t="str">
        <f>IF(CAP_TRACKER!$C75="","",CARD_TRACKER!O20)</f>
        <v/>
      </c>
      <c r="O99" s="24" t="n"/>
    </row>
    <row r="100" ht="22" customHeight="1">
      <c r="B100" s="23" t="str">
        <f>IF(CAP_TRACKER!$C76="","",CAP_TRACKER!D76)</f>
        <v/>
      </c>
      <c r="C100" s="24" t="n"/>
      <c r="D100" s="25" t="str">
        <f>IF(CAP_TRACKER!$C76="","",CAP_TRACKER!E76)</f>
        <v/>
      </c>
      <c r="E100" s="26" t="str">
        <f>IF(CAP_TRACKER!$C76="","",CAP_TRACKER!F76)</f>
        <v/>
      </c>
      <c r="F100" s="25" t="str">
        <f>IF(CAP_TRACKER!$C76="","",CAP_TRACKER!G76)</f>
        <v/>
      </c>
      <c r="G100" s="25" t="str">
        <f>IF(CAP_TRACKER!$C76="","",CAP_TRACKER!H76)</f>
        <v/>
      </c>
      <c r="H100" s="27" t="str">
        <f>IF(CAP_TRACKER!$C76="","",CAP_TRACKER!I76)</f>
        <v/>
      </c>
      <c r="I100" s="25" t="str">
        <f>IF(CAP_TRACKER!$C76="","",CARD_TRACKER!E21)</f>
        <v/>
      </c>
      <c r="J100" s="25" t="str">
        <f>IF(CAP_TRACKER!$C76="","",CARD_TRACKER!F21)</f>
        <v/>
      </c>
      <c r="K100" s="25" t="str">
        <f>IF(CAP_TRACKER!$C76="","",CARD_TRACKER!G21)</f>
        <v/>
      </c>
      <c r="L100" s="27" t="str">
        <f>IF(CAP_TRACKER!$C76="","",CARD_TRACKER!H21)</f>
        <v/>
      </c>
      <c r="M100" s="28" t="str">
        <f>IF(CAP_TRACKER!$C76="","",CARD_TRACKER!I21)</f>
        <v/>
      </c>
      <c r="N100" s="28" t="str">
        <f>IF(CAP_TRACKER!$C76="","",CARD_TRACKER!O21)</f>
        <v/>
      </c>
      <c r="O100" s="24" t="n"/>
    </row>
    <row r="101" ht="22" customHeight="1">
      <c r="B101" s="23" t="str">
        <f>IF(CAP_TRACKER!$C77="","",CAP_TRACKER!D77)</f>
        <v/>
      </c>
      <c r="C101" s="24" t="n"/>
      <c r="D101" s="25" t="str">
        <f>IF(CAP_TRACKER!$C77="","",CAP_TRACKER!E77)</f>
        <v/>
      </c>
      <c r="E101" s="26" t="str">
        <f>IF(CAP_TRACKER!$C77="","",CAP_TRACKER!F77)</f>
        <v/>
      </c>
      <c r="F101" s="25" t="str">
        <f>IF(CAP_TRACKER!$C77="","",CAP_TRACKER!G77)</f>
        <v/>
      </c>
      <c r="G101" s="25" t="str">
        <f>IF(CAP_TRACKER!$C77="","",CAP_TRACKER!H77)</f>
        <v/>
      </c>
      <c r="H101" s="27" t="str">
        <f>IF(CAP_TRACKER!$C77="","",CAP_TRACKER!I77)</f>
        <v/>
      </c>
      <c r="I101" s="25" t="str">
        <f>IF(CAP_TRACKER!$C77="","",CARD_TRACKER!E22)</f>
        <v/>
      </c>
      <c r="J101" s="25" t="str">
        <f>IF(CAP_TRACKER!$C77="","",CARD_TRACKER!F22)</f>
        <v/>
      </c>
      <c r="K101" s="25" t="str">
        <f>IF(CAP_TRACKER!$C77="","",CARD_TRACKER!G22)</f>
        <v/>
      </c>
      <c r="L101" s="27" t="str">
        <f>IF(CAP_TRACKER!$C77="","",CARD_TRACKER!H22)</f>
        <v/>
      </c>
      <c r="M101" s="28" t="str">
        <f>IF(CAP_TRACKER!$C77="","",CARD_TRACKER!I22)</f>
        <v/>
      </c>
      <c r="N101" s="28" t="str">
        <f>IF(CAP_TRACKER!$C77="","",CARD_TRACKER!O22)</f>
        <v/>
      </c>
      <c r="O101" s="24" t="n"/>
    </row>
    <row r="102" ht="22" customHeight="1">
      <c r="B102" s="23" t="str">
        <f>IF(CAP_TRACKER!$C78="","",CAP_TRACKER!D78)</f>
        <v/>
      </c>
      <c r="C102" s="24" t="n"/>
      <c r="D102" s="25" t="str">
        <f>IF(CAP_TRACKER!$C78="","",CAP_TRACKER!E78)</f>
        <v/>
      </c>
      <c r="E102" s="26" t="str">
        <f>IF(CAP_TRACKER!$C78="","",CAP_TRACKER!F78)</f>
        <v/>
      </c>
      <c r="F102" s="25" t="str">
        <f>IF(CAP_TRACKER!$C78="","",CAP_TRACKER!G78)</f>
        <v/>
      </c>
      <c r="G102" s="25" t="str">
        <f>IF(CAP_TRACKER!$C78="","",CAP_TRACKER!H78)</f>
        <v/>
      </c>
      <c r="H102" s="27" t="str">
        <f>IF(CAP_TRACKER!$C78="","",CAP_TRACKER!I78)</f>
        <v/>
      </c>
      <c r="I102" s="25" t="str">
        <f>IF(CAP_TRACKER!$C78="","",CARD_TRACKER!E23)</f>
        <v/>
      </c>
      <c r="J102" s="25" t="str">
        <f>IF(CAP_TRACKER!$C78="","",CARD_TRACKER!F23)</f>
        <v/>
      </c>
      <c r="K102" s="25" t="str">
        <f>IF(CAP_TRACKER!$C78="","",CARD_TRACKER!G23)</f>
        <v/>
      </c>
      <c r="L102" s="27" t="str">
        <f>IF(CAP_TRACKER!$C78="","",CARD_TRACKER!H23)</f>
        <v/>
      </c>
      <c r="M102" s="28" t="str">
        <f>IF(CAP_TRACKER!$C78="","",CARD_TRACKER!I23)</f>
        <v/>
      </c>
      <c r="N102" s="28" t="str">
        <f>IF(CAP_TRACKER!$C78="","",CARD_TRACKER!O23)</f>
        <v/>
      </c>
      <c r="O102" s="24" t="n"/>
    </row>
    <row r="103" ht="22" customHeight="1">
      <c r="B103" s="23" t="str">
        <f>IF(CAP_TRACKER!$C79="","",CAP_TRACKER!D79)</f>
        <v/>
      </c>
      <c r="C103" s="24" t="n"/>
      <c r="D103" s="25" t="str">
        <f>IF(CAP_TRACKER!$C79="","",CAP_TRACKER!E79)</f>
        <v/>
      </c>
      <c r="E103" s="26" t="str">
        <f>IF(CAP_TRACKER!$C79="","",CAP_TRACKER!F79)</f>
        <v/>
      </c>
      <c r="F103" s="25" t="str">
        <f>IF(CAP_TRACKER!$C79="","",CAP_TRACKER!G79)</f>
        <v/>
      </c>
      <c r="G103" s="25" t="str">
        <f>IF(CAP_TRACKER!$C79="","",CAP_TRACKER!H79)</f>
        <v/>
      </c>
      <c r="H103" s="27" t="str">
        <f>IF(CAP_TRACKER!$C79="","",CAP_TRACKER!I79)</f>
        <v/>
      </c>
      <c r="I103" s="25" t="str">
        <f>IF(CAP_TRACKER!$C79="","",CARD_TRACKER!E24)</f>
        <v/>
      </c>
      <c r="J103" s="25" t="str">
        <f>IF(CAP_TRACKER!$C79="","",CARD_TRACKER!F24)</f>
        <v/>
      </c>
      <c r="K103" s="25" t="str">
        <f>IF(CAP_TRACKER!$C79="","",CARD_TRACKER!G24)</f>
        <v/>
      </c>
      <c r="L103" s="27" t="str">
        <f>IF(CAP_TRACKER!$C79="","",CARD_TRACKER!H24)</f>
        <v/>
      </c>
      <c r="M103" s="28" t="str">
        <f>IF(CAP_TRACKER!$C79="","",CARD_TRACKER!I24)</f>
        <v/>
      </c>
      <c r="N103" s="28" t="str">
        <f>IF(CAP_TRACKER!$C79="","",CARD_TRACKER!O24)</f>
        <v/>
      </c>
      <c r="O103" s="24" t="n"/>
    </row>
    <row r="104" ht="22" customHeight="1">
      <c r="B104" s="23" t="str">
        <f>IF(CAP_TRACKER!$C80="","",CAP_TRACKER!D80)</f>
        <v/>
      </c>
      <c r="C104" s="24" t="n"/>
      <c r="D104" s="25" t="str">
        <f>IF(CAP_TRACKER!$C80="","",CAP_TRACKER!E80)</f>
        <v/>
      </c>
      <c r="E104" s="26" t="str">
        <f>IF(CAP_TRACKER!$C80="","",CAP_TRACKER!F80)</f>
        <v/>
      </c>
      <c r="F104" s="25" t="str">
        <f>IF(CAP_TRACKER!$C80="","",CAP_TRACKER!G80)</f>
        <v/>
      </c>
      <c r="G104" s="25" t="str">
        <f>IF(CAP_TRACKER!$C80="","",CAP_TRACKER!H80)</f>
        <v/>
      </c>
      <c r="H104" s="27" t="str">
        <f>IF(CAP_TRACKER!$C80="","",CAP_TRACKER!I80)</f>
        <v/>
      </c>
      <c r="I104" s="25" t="str">
        <f>IF(CAP_TRACKER!$C80="","",CARD_TRACKER!E25)</f>
        <v/>
      </c>
      <c r="J104" s="25" t="str">
        <f>IF(CAP_TRACKER!$C80="","",CARD_TRACKER!F25)</f>
        <v/>
      </c>
      <c r="K104" s="25" t="str">
        <f>IF(CAP_TRACKER!$C80="","",CARD_TRACKER!G25)</f>
        <v/>
      </c>
      <c r="L104" s="27" t="str">
        <f>IF(CAP_TRACKER!$C80="","",CARD_TRACKER!H25)</f>
        <v/>
      </c>
      <c r="M104" s="28" t="str">
        <f>IF(CAP_TRACKER!$C80="","",CARD_TRACKER!I25)</f>
        <v/>
      </c>
      <c r="N104" s="28" t="str">
        <f>IF(CAP_TRACKER!$C80="","",CARD_TRACKER!O25)</f>
        <v/>
      </c>
      <c r="O104" s="24" t="n"/>
    </row>
    <row r="105" ht="22" customHeight="1">
      <c r="B105" s="23" t="str">
        <f>IF(CAP_TRACKER!$C81="","",CAP_TRACKER!D81)</f>
        <v/>
      </c>
      <c r="C105" s="24" t="n"/>
      <c r="D105" s="25" t="str">
        <f>IF(CAP_TRACKER!$C81="","",CAP_TRACKER!E81)</f>
        <v/>
      </c>
      <c r="E105" s="26" t="str">
        <f>IF(CAP_TRACKER!$C81="","",CAP_TRACKER!F81)</f>
        <v/>
      </c>
      <c r="F105" s="25" t="str">
        <f>IF(CAP_TRACKER!$C81="","",CAP_TRACKER!G81)</f>
        <v/>
      </c>
      <c r="G105" s="25" t="str">
        <f>IF(CAP_TRACKER!$C81="","",CAP_TRACKER!H81)</f>
        <v/>
      </c>
      <c r="H105" s="27" t="str">
        <f>IF(CAP_TRACKER!$C81="","",CAP_TRACKER!I81)</f>
        <v/>
      </c>
      <c r="I105" s="25" t="str">
        <f>IF(CAP_TRACKER!$C81="","",CARD_TRACKER!E26)</f>
        <v/>
      </c>
      <c r="J105" s="25" t="str">
        <f>IF(CAP_TRACKER!$C81="","",CARD_TRACKER!F26)</f>
        <v/>
      </c>
      <c r="K105" s="25" t="str">
        <f>IF(CAP_TRACKER!$C81="","",CARD_TRACKER!G26)</f>
        <v/>
      </c>
      <c r="L105" s="27" t="str">
        <f>IF(CAP_TRACKER!$C81="","",CARD_TRACKER!H26)</f>
        <v/>
      </c>
      <c r="M105" s="28" t="str">
        <f>IF(CAP_TRACKER!$C81="","",CARD_TRACKER!I26)</f>
        <v/>
      </c>
      <c r="N105" s="28" t="str">
        <f>IF(CAP_TRACKER!$C81="","",CARD_TRACKER!O26)</f>
        <v/>
      </c>
      <c r="O105" s="24" t="n"/>
    </row>
    <row r="106" ht="22" customHeight="1">
      <c r="B106" s="23" t="str">
        <f>IF(CAP_TRACKER!$C82="","",CAP_TRACKER!D82)</f>
        <v/>
      </c>
      <c r="C106" s="24" t="n"/>
      <c r="D106" s="25" t="str">
        <f>IF(CAP_TRACKER!$C82="","",CAP_TRACKER!E82)</f>
        <v/>
      </c>
      <c r="E106" s="26" t="str">
        <f>IF(CAP_TRACKER!$C82="","",CAP_TRACKER!F82)</f>
        <v/>
      </c>
      <c r="F106" s="25" t="str">
        <f>IF(CAP_TRACKER!$C82="","",CAP_TRACKER!G82)</f>
        <v/>
      </c>
      <c r="G106" s="25" t="str">
        <f>IF(CAP_TRACKER!$C82="","",CAP_TRACKER!H82)</f>
        <v/>
      </c>
      <c r="H106" s="27" t="str">
        <f>IF(CAP_TRACKER!$C82="","",CAP_TRACKER!I82)</f>
        <v/>
      </c>
      <c r="I106" s="25" t="str">
        <f>IF(CAP_TRACKER!$C82="","",CARD_TRACKER!E27)</f>
        <v/>
      </c>
      <c r="J106" s="25" t="str">
        <f>IF(CAP_TRACKER!$C82="","",CARD_TRACKER!F27)</f>
        <v/>
      </c>
      <c r="K106" s="25" t="str">
        <f>IF(CAP_TRACKER!$C82="","",CARD_TRACKER!G27)</f>
        <v/>
      </c>
      <c r="L106" s="27" t="str">
        <f>IF(CAP_TRACKER!$C82="","",CARD_TRACKER!H27)</f>
        <v/>
      </c>
      <c r="M106" s="28" t="str">
        <f>IF(CAP_TRACKER!$C82="","",CARD_TRACKER!I27)</f>
        <v/>
      </c>
      <c r="N106" s="28" t="str">
        <f>IF(CAP_TRACKER!$C82="","",CARD_TRACKER!O27)</f>
        <v/>
      </c>
      <c r="O106" s="24" t="n"/>
    </row>
    <row r="107" ht="22" customHeight="1">
      <c r="B107" s="23" t="str">
        <f>IF(CAP_TRACKER!$C83="","",CAP_TRACKER!D83)</f>
        <v/>
      </c>
      <c r="C107" s="24" t="n"/>
      <c r="D107" s="25" t="str">
        <f>IF(CAP_TRACKER!$C83="","",CAP_TRACKER!E83)</f>
        <v/>
      </c>
      <c r="E107" s="26" t="str">
        <f>IF(CAP_TRACKER!$C83="","",CAP_TRACKER!F83)</f>
        <v/>
      </c>
      <c r="F107" s="25" t="str">
        <f>IF(CAP_TRACKER!$C83="","",CAP_TRACKER!G83)</f>
        <v/>
      </c>
      <c r="G107" s="25" t="str">
        <f>IF(CAP_TRACKER!$C83="","",CAP_TRACKER!H83)</f>
        <v/>
      </c>
      <c r="H107" s="27" t="str">
        <f>IF(CAP_TRACKER!$C83="","",CAP_TRACKER!I83)</f>
        <v/>
      </c>
      <c r="I107" s="25" t="str">
        <f>IF(CAP_TRACKER!$C83="","",CARD_TRACKER!E28)</f>
        <v/>
      </c>
      <c r="J107" s="25" t="str">
        <f>IF(CAP_TRACKER!$C83="","",CARD_TRACKER!F28)</f>
        <v/>
      </c>
      <c r="K107" s="25" t="str">
        <f>IF(CAP_TRACKER!$C83="","",CARD_TRACKER!G28)</f>
        <v/>
      </c>
      <c r="L107" s="27" t="str">
        <f>IF(CAP_TRACKER!$C83="","",CARD_TRACKER!H28)</f>
        <v/>
      </c>
      <c r="M107" s="28" t="str">
        <f>IF(CAP_TRACKER!$C83="","",CARD_TRACKER!I28)</f>
        <v/>
      </c>
      <c r="N107" s="28" t="str">
        <f>IF(CAP_TRACKER!$C83="","",CARD_TRACKER!O28)</f>
        <v/>
      </c>
      <c r="O107" s="24" t="n"/>
    </row>
    <row r="108" ht="22" customHeight="1">
      <c r="B108" s="23" t="str">
        <f>IF(CAP_TRACKER!$C84="","",CAP_TRACKER!D84)</f>
        <v/>
      </c>
      <c r="C108" s="24" t="n"/>
      <c r="D108" s="25" t="str">
        <f>IF(CAP_TRACKER!$C84="","",CAP_TRACKER!E84)</f>
        <v/>
      </c>
      <c r="E108" s="26" t="str">
        <f>IF(CAP_TRACKER!$C84="","",CAP_TRACKER!F84)</f>
        <v/>
      </c>
      <c r="F108" s="25" t="str">
        <f>IF(CAP_TRACKER!$C84="","",CAP_TRACKER!G84)</f>
        <v/>
      </c>
      <c r="G108" s="25" t="str">
        <f>IF(CAP_TRACKER!$C84="","",CAP_TRACKER!H84)</f>
        <v/>
      </c>
      <c r="H108" s="27" t="str">
        <f>IF(CAP_TRACKER!$C84="","",CAP_TRACKER!I84)</f>
        <v/>
      </c>
      <c r="I108" s="25" t="str">
        <f>IF(CAP_TRACKER!$C84="","",CARD_TRACKER!E29)</f>
        <v/>
      </c>
      <c r="J108" s="25" t="str">
        <f>IF(CAP_TRACKER!$C84="","",CARD_TRACKER!F29)</f>
        <v/>
      </c>
      <c r="K108" s="25" t="str">
        <f>IF(CAP_TRACKER!$C84="","",CARD_TRACKER!G29)</f>
        <v/>
      </c>
      <c r="L108" s="27" t="str">
        <f>IF(CAP_TRACKER!$C84="","",CARD_TRACKER!H29)</f>
        <v/>
      </c>
      <c r="M108" s="28" t="str">
        <f>IF(CAP_TRACKER!$C84="","",CARD_TRACKER!I29)</f>
        <v/>
      </c>
      <c r="N108" s="28" t="str">
        <f>IF(CAP_TRACKER!$C84="","",CARD_TRACKER!O29)</f>
        <v/>
      </c>
      <c r="O108" s="24" t="n"/>
    </row>
    <row r="109" ht="22" customHeight="1">
      <c r="B109" s="23" t="str">
        <f>IF(CAP_TRACKER!$C85="","",CAP_TRACKER!D85)</f>
        <v/>
      </c>
      <c r="C109" s="24" t="n"/>
      <c r="D109" s="25" t="str">
        <f>IF(CAP_TRACKER!$C85="","",CAP_TRACKER!E85)</f>
        <v/>
      </c>
      <c r="E109" s="26" t="str">
        <f>IF(CAP_TRACKER!$C85="","",CAP_TRACKER!F85)</f>
        <v/>
      </c>
      <c r="F109" s="25" t="str">
        <f>IF(CAP_TRACKER!$C85="","",CAP_TRACKER!G85)</f>
        <v/>
      </c>
      <c r="G109" s="25" t="str">
        <f>IF(CAP_TRACKER!$C85="","",CAP_TRACKER!H85)</f>
        <v/>
      </c>
      <c r="H109" s="27" t="str">
        <f>IF(CAP_TRACKER!$C85="","",CAP_TRACKER!I85)</f>
        <v/>
      </c>
      <c r="I109" s="25" t="str">
        <f>IF(CAP_TRACKER!$C85="","",CARD_TRACKER!E30)</f>
        <v/>
      </c>
      <c r="J109" s="25" t="str">
        <f>IF(CAP_TRACKER!$C85="","",CARD_TRACKER!F30)</f>
        <v/>
      </c>
      <c r="K109" s="25" t="str">
        <f>IF(CAP_TRACKER!$C85="","",CARD_TRACKER!G30)</f>
        <v/>
      </c>
      <c r="L109" s="27" t="str">
        <f>IF(CAP_TRACKER!$C85="","",CARD_TRACKER!H30)</f>
        <v/>
      </c>
      <c r="M109" s="28" t="str">
        <f>IF(CAP_TRACKER!$C85="","",CARD_TRACKER!I30)</f>
        <v/>
      </c>
      <c r="N109" s="28" t="str">
        <f>IF(CAP_TRACKER!$C85="","",CARD_TRACKER!O30)</f>
        <v/>
      </c>
      <c r="O109" s="24" t="n"/>
    </row>
    <row r="110" ht="22" customHeight="1">
      <c r="B110" s="23" t="str">
        <f>IF(CAP_TRACKER!$C86="","",CAP_TRACKER!D86)</f>
        <v/>
      </c>
      <c r="C110" s="24" t="n"/>
      <c r="D110" s="25" t="str">
        <f>IF(CAP_TRACKER!$C86="","",CAP_TRACKER!E86)</f>
        <v/>
      </c>
      <c r="E110" s="26" t="str">
        <f>IF(CAP_TRACKER!$C86="","",CAP_TRACKER!F86)</f>
        <v/>
      </c>
      <c r="F110" s="25" t="str">
        <f>IF(CAP_TRACKER!$C86="","",CAP_TRACKER!G86)</f>
        <v/>
      </c>
      <c r="G110" s="25" t="str">
        <f>IF(CAP_TRACKER!$C86="","",CAP_TRACKER!H86)</f>
        <v/>
      </c>
      <c r="H110" s="27" t="str">
        <f>IF(CAP_TRACKER!$C86="","",CAP_TRACKER!I86)</f>
        <v/>
      </c>
      <c r="I110" s="25" t="str">
        <f>IF(CAP_TRACKER!$C86="","",CARD_TRACKER!E31)</f>
        <v/>
      </c>
      <c r="J110" s="25" t="str">
        <f>IF(CAP_TRACKER!$C86="","",CARD_TRACKER!F31)</f>
        <v/>
      </c>
      <c r="K110" s="25" t="str">
        <f>IF(CAP_TRACKER!$C86="","",CARD_TRACKER!G31)</f>
        <v/>
      </c>
      <c r="L110" s="27" t="str">
        <f>IF(CAP_TRACKER!$C86="","",CARD_TRACKER!H31)</f>
        <v/>
      </c>
      <c r="M110" s="28" t="str">
        <f>IF(CAP_TRACKER!$C86="","",CARD_TRACKER!I31)</f>
        <v/>
      </c>
      <c r="N110" s="28" t="str">
        <f>IF(CAP_TRACKER!$C86="","",CARD_TRACKER!O31)</f>
        <v/>
      </c>
      <c r="O110" s="24" t="n"/>
    </row>
    <row r="111" ht="22" customHeight="1">
      <c r="B111" s="23" t="str">
        <f>IF(CAP_TRACKER!$C87="","",CAP_TRACKER!D87)</f>
        <v/>
      </c>
      <c r="C111" s="24" t="n"/>
      <c r="D111" s="25" t="str">
        <f>IF(CAP_TRACKER!$C87="","",CAP_TRACKER!E87)</f>
        <v/>
      </c>
      <c r="E111" s="26" t="str">
        <f>IF(CAP_TRACKER!$C87="","",CAP_TRACKER!F87)</f>
        <v/>
      </c>
      <c r="F111" s="25" t="str">
        <f>IF(CAP_TRACKER!$C87="","",CAP_TRACKER!G87)</f>
        <v/>
      </c>
      <c r="G111" s="25" t="str">
        <f>IF(CAP_TRACKER!$C87="","",CAP_TRACKER!H87)</f>
        <v/>
      </c>
      <c r="H111" s="27" t="str">
        <f>IF(CAP_TRACKER!$C87="","",CAP_TRACKER!I87)</f>
        <v/>
      </c>
      <c r="I111" s="25" t="str">
        <f>IF(CAP_TRACKER!$C87="","",CARD_TRACKER!E32)</f>
        <v/>
      </c>
      <c r="J111" s="25" t="str">
        <f>IF(CAP_TRACKER!$C87="","",CARD_TRACKER!F32)</f>
        <v/>
      </c>
      <c r="K111" s="25" t="str">
        <f>IF(CAP_TRACKER!$C87="","",CARD_TRACKER!G32)</f>
        <v/>
      </c>
      <c r="L111" s="27" t="str">
        <f>IF(CAP_TRACKER!$C87="","",CARD_TRACKER!H32)</f>
        <v/>
      </c>
      <c r="M111" s="28" t="str">
        <f>IF(CAP_TRACKER!$C87="","",CARD_TRACKER!I32)</f>
        <v/>
      </c>
      <c r="N111" s="28" t="str">
        <f>IF(CAP_TRACKER!$C87="","",CARD_TRACKER!O32)</f>
        <v/>
      </c>
      <c r="O111" s="24" t="n"/>
    </row>
    <row r="112" ht="22" customHeight="1">
      <c r="B112" s="23" t="str">
        <f>IF(CAP_TRACKER!$C88="","",CAP_TRACKER!D88)</f>
        <v/>
      </c>
      <c r="C112" s="24" t="n"/>
      <c r="D112" s="25" t="str">
        <f>IF(CAP_TRACKER!$C88="","",CAP_TRACKER!E88)</f>
        <v/>
      </c>
      <c r="E112" s="26" t="str">
        <f>IF(CAP_TRACKER!$C88="","",CAP_TRACKER!F88)</f>
        <v/>
      </c>
      <c r="F112" s="25" t="str">
        <f>IF(CAP_TRACKER!$C88="","",CAP_TRACKER!G88)</f>
        <v/>
      </c>
      <c r="G112" s="25" t="str">
        <f>IF(CAP_TRACKER!$C88="","",CAP_TRACKER!H88)</f>
        <v/>
      </c>
      <c r="H112" s="27" t="str">
        <f>IF(CAP_TRACKER!$C88="","",CAP_TRACKER!I88)</f>
        <v/>
      </c>
      <c r="I112" s="25" t="str">
        <f>IF(CAP_TRACKER!$C88="","",CARD_TRACKER!E33)</f>
        <v/>
      </c>
      <c r="J112" s="25" t="str">
        <f>IF(CAP_TRACKER!$C88="","",CARD_TRACKER!F33)</f>
        <v/>
      </c>
      <c r="K112" s="25" t="str">
        <f>IF(CAP_TRACKER!$C88="","",CARD_TRACKER!G33)</f>
        <v/>
      </c>
      <c r="L112" s="27" t="str">
        <f>IF(CAP_TRACKER!$C88="","",CARD_TRACKER!H33)</f>
        <v/>
      </c>
      <c r="M112" s="28" t="str">
        <f>IF(CAP_TRACKER!$C88="","",CARD_TRACKER!I33)</f>
        <v/>
      </c>
      <c r="N112" s="28" t="str">
        <f>IF(CAP_TRACKER!$C88="","",CARD_TRACKER!O33)</f>
        <v/>
      </c>
      <c r="O112" s="24" t="n"/>
    </row>
    <row r="113" ht="22" customHeight="1">
      <c r="B113" s="23" t="str">
        <f>IF(CAP_TRACKER!$C89="","",CAP_TRACKER!D89)</f>
        <v/>
      </c>
      <c r="C113" s="24" t="n"/>
      <c r="D113" s="25" t="str">
        <f>IF(CAP_TRACKER!$C89="","",CAP_TRACKER!E89)</f>
        <v/>
      </c>
      <c r="E113" s="26" t="str">
        <f>IF(CAP_TRACKER!$C89="","",CAP_TRACKER!F89)</f>
        <v/>
      </c>
      <c r="F113" s="25" t="str">
        <f>IF(CAP_TRACKER!$C89="","",CAP_TRACKER!G89)</f>
        <v/>
      </c>
      <c r="G113" s="25" t="str">
        <f>IF(CAP_TRACKER!$C89="","",CAP_TRACKER!H89)</f>
        <v/>
      </c>
      <c r="H113" s="27" t="str">
        <f>IF(CAP_TRACKER!$C89="","",CAP_TRACKER!I89)</f>
        <v/>
      </c>
      <c r="I113" s="25" t="str">
        <f>IF(CAP_TRACKER!$C89="","",CARD_TRACKER!E34)</f>
        <v/>
      </c>
      <c r="J113" s="25" t="str">
        <f>IF(CAP_TRACKER!$C89="","",CARD_TRACKER!F34)</f>
        <v/>
      </c>
      <c r="K113" s="25" t="str">
        <f>IF(CAP_TRACKER!$C89="","",CARD_TRACKER!G34)</f>
        <v/>
      </c>
      <c r="L113" s="27" t="str">
        <f>IF(CAP_TRACKER!$C89="","",CARD_TRACKER!H34)</f>
        <v/>
      </c>
      <c r="M113" s="28" t="str">
        <f>IF(CAP_TRACKER!$C89="","",CARD_TRACKER!I34)</f>
        <v/>
      </c>
      <c r="N113" s="28" t="str">
        <f>IF(CAP_TRACKER!$C89="","",CARD_TRACKER!O34)</f>
        <v/>
      </c>
      <c r="O113" s="24" t="n"/>
    </row>
    <row r="116" ht="22" customHeight="1">
      <c r="B116" s="19" t="inlineStr">
        <is>
          <t>CHI TIÊU THEO DANH MỤC — tháng đang xem</t>
        </is>
      </c>
      <c r="C116" s="20" t="n"/>
      <c r="D116" s="20" t="n"/>
      <c r="E116" s="20" t="n"/>
      <c r="F116" s="20" t="n"/>
      <c r="H116" s="19" t="inlineStr">
        <is>
          <t>CHI TIÊU &amp; CASHBACK THEO THÁNG — cả năm</t>
        </is>
      </c>
      <c r="I116" s="20" t="n"/>
      <c r="J116" s="20" t="n"/>
      <c r="K116" s="20" t="n"/>
      <c r="L116" s="20" t="n"/>
      <c r="M116" s="20" t="n"/>
      <c r="N116" s="20" t="n"/>
      <c r="O116" s="20" t="n"/>
    </row>
    <row r="117" ht="26" customHeight="1">
      <c r="B117" s="21" t="inlineStr">
        <is>
          <t>Danh mục</t>
        </is>
      </c>
      <c r="C117" s="22" t="n"/>
      <c r="D117" s="21" t="inlineStr">
        <is>
          <t>Chi tiêu</t>
        </is>
      </c>
      <c r="E117" s="21" t="inlineStr">
        <is>
          <t>Cashback</t>
        </is>
      </c>
      <c r="F117" s="21" t="inlineStr"/>
      <c r="H117" s="21" t="inlineStr">
        <is>
          <t>Tháng</t>
        </is>
      </c>
      <c r="I117" s="22" t="n"/>
      <c r="J117" s="21" t="inlineStr">
        <is>
          <t>Chi tiêu</t>
        </is>
      </c>
      <c r="K117" s="21" t="inlineStr">
        <is>
          <t>Cashback dự kiến</t>
        </is>
      </c>
      <c r="L117" s="21" t="inlineStr">
        <is>
          <t>Cashback thực tế</t>
        </is>
      </c>
      <c r="M117" s="21" t="inlineStr">
        <is>
          <t>Số GD</t>
        </is>
      </c>
      <c r="N117" s="21" t="inlineStr"/>
      <c r="O117" s="21" t="inlineStr"/>
    </row>
    <row r="118">
      <c r="B118" s="23" t="str">
        <f>IFERROR(INDEX(TRANSACTIONS_MASTER!$K$5:$K$1204,IFERROR(MATCH(1,INDEX((TRANSACTIONS_MASTER!$C$5:$C$1204=$D$4)*(TRANSACTIONS_MASTER!$AL$5:$AL$1204=1),0),0),"")),"")</f>
        <v>Fitness &amp; Wellness</v>
      </c>
      <c r="C118" s="24" t="n"/>
      <c r="D118" s="25">
        <f>IF($B118="","",SUMIFS(TRANSACTIONS_MASTER!$L$5:$L$1204,TRANSACTIONS_MASTER!$K$5:$K$1204,$B118,TRANSACTIONS_MASTER!$C$5:$C$1204,$D$4,TRANSACTIONS_MASTER!$U$5:$U$1204,"&lt;&gt;Cancelled"))</f>
        <v>10000000</v>
      </c>
      <c r="E118" s="26">
        <f>IF($B118="","",SUMIFS(TRANSACTIONS_MASTER!$Q$5:$Q$1204,TRANSACTIONS_MASTER!$K$5:$K$1204,$B118,TRANSACTIONS_MASTER!$C$5:$C$1204,$D$4))</f>
        <v>500000</v>
      </c>
      <c r="H118" s="28" t="str">
        <f>INT($D$4/100)&amp;"-"&amp;TEXT(1,"00")</f>
        <v>2026-01</v>
      </c>
      <c r="I118" s="24" t="n"/>
      <c r="J118" s="25">
        <f>SUMIFS(TRANSACTIONS_MASTER!$L$5:$L$1204,TRANSACTIONS_MASTER!$C$5:$C$1204,(INT($D$4/100)*100+1),TRANSACTIONS_MASTER!$U$5:$U$1204,"&lt;&gt;Cancelled")</f>
        <v>0</v>
      </c>
      <c r="K118" s="25">
        <f>SUMIFS(TRANSACTIONS_MASTER!$O$5:$O$1204,TRANSACTIONS_MASTER!$C$5:$C$1204,(INT($D$4/100)*100+1))</f>
        <v>0</v>
      </c>
      <c r="L118" s="26">
        <f>SUMIFS(TRANSACTIONS_MASTER!$Q$5:$Q$1204,TRANSACTIONS_MASTER!$C$5:$C$1204,(INT($D$4/100)*100+1))</f>
        <v>0</v>
      </c>
      <c r="M118" s="29">
        <f>COUNTIFS(TRANSACTIONS_MASTER!$C$5:$C$1204,(INT($D$4/100)*100+1),TRANSACTIONS_MASTER!$U$5:$U$1204,"&lt;&gt;Cancelled")</f>
        <v>0</v>
      </c>
    </row>
    <row r="119">
      <c r="B119" s="23" t="str">
        <f>IFERROR(INDEX(TRANSACTIONS_MASTER!$K$5:$K$1204,IFERROR(MATCH(1,INDEX((TRANSACTIONS_MASTER!$C$5:$C$1204=$D$4)*(TRANSACTIONS_MASTER!$AL$5:$AL$1204=2),0),0),"")),"")</f>
        <v>Dining</v>
      </c>
      <c r="C119" s="24" t="n"/>
      <c r="D119" s="25">
        <f>IF($B119="","",SUMIFS(TRANSACTIONS_MASTER!$L$5:$L$1204,TRANSACTIONS_MASTER!$K$5:$K$1204,$B119,TRANSACTIONS_MASTER!$C$5:$C$1204,$D$4,TRANSACTIONS_MASTER!$U$5:$U$1204,"&lt;&gt;Cancelled"))</f>
        <v>16800000</v>
      </c>
      <c r="E119" s="26">
        <f>IF($B119="","",SUMIFS(TRANSACTIONS_MASTER!$Q$5:$Q$1204,TRANSACTIONS_MASTER!$K$5:$K$1204,$B119,TRANSACTIONS_MASTER!$C$5:$C$1204,$D$4))</f>
        <v>1850000</v>
      </c>
      <c r="H119" s="28" t="str">
        <f>INT($D$4/100)&amp;"-"&amp;TEXT(2,"00")</f>
        <v>2026-02</v>
      </c>
      <c r="I119" s="24" t="n"/>
      <c r="J119" s="25">
        <f>SUMIFS(TRANSACTIONS_MASTER!$L$5:$L$1204,TRANSACTIONS_MASTER!$C$5:$C$1204,(INT($D$4/100)*100+2),TRANSACTIONS_MASTER!$U$5:$U$1204,"&lt;&gt;Cancelled")</f>
        <v>0</v>
      </c>
      <c r="K119" s="25">
        <f>SUMIFS(TRANSACTIONS_MASTER!$O$5:$O$1204,TRANSACTIONS_MASTER!$C$5:$C$1204,(INT($D$4/100)*100+2))</f>
        <v>0</v>
      </c>
      <c r="L119" s="26">
        <f>SUMIFS(TRANSACTIONS_MASTER!$Q$5:$Q$1204,TRANSACTIONS_MASTER!$C$5:$C$1204,(INT($D$4/100)*100+2))</f>
        <v>0</v>
      </c>
      <c r="M119" s="29">
        <f>COUNTIFS(TRANSACTIONS_MASTER!$C$5:$C$1204,(INT($D$4/100)*100+2),TRANSACTIONS_MASTER!$U$5:$U$1204,"&lt;&gt;Cancelled")</f>
        <v>0</v>
      </c>
    </row>
    <row r="120">
      <c r="B120" s="23" t="str">
        <f>IFERROR(INDEX(TRANSACTIONS_MASTER!$K$5:$K$1204,IFERROR(MATCH(1,INDEX((TRANSACTIONS_MASTER!$C$5:$C$1204=$D$4)*(TRANSACTIONS_MASTER!$AL$5:$AL$1204=3),0),0),"")),"")</f>
        <v>Groceries</v>
      </c>
      <c r="C120" s="24" t="n"/>
      <c r="D120" s="25">
        <f>IF($B120="","",SUMIFS(TRANSACTIONS_MASTER!$L$5:$L$1204,TRANSACTIONS_MASTER!$K$5:$K$1204,$B120,TRANSACTIONS_MASTER!$C$5:$C$1204,$D$4,TRANSACTIONS_MASTER!$U$5:$U$1204,"&lt;&gt;Cancelled"))</f>
        <v>7050000</v>
      </c>
      <c r="E120" s="26">
        <f>IF($B120="","",SUMIFS(TRANSACTIONS_MASTER!$Q$5:$Q$1204,TRANSACTIONS_MASTER!$K$5:$K$1204,$B120,TRANSACTIONS_MASTER!$C$5:$C$1204,$D$4))</f>
        <v>530000</v>
      </c>
      <c r="H120" s="28" t="str">
        <f>INT($D$4/100)&amp;"-"&amp;TEXT(3,"00")</f>
        <v>2026-03</v>
      </c>
      <c r="I120" s="24" t="n"/>
      <c r="J120" s="25">
        <f>SUMIFS(TRANSACTIONS_MASTER!$L$5:$L$1204,TRANSACTIONS_MASTER!$C$5:$C$1204,(INT($D$4/100)*100+3),TRANSACTIONS_MASTER!$U$5:$U$1204,"&lt;&gt;Cancelled")</f>
        <v>0</v>
      </c>
      <c r="K120" s="25">
        <f>SUMIFS(TRANSACTIONS_MASTER!$O$5:$O$1204,TRANSACTIONS_MASTER!$C$5:$C$1204,(INT($D$4/100)*100+3))</f>
        <v>0</v>
      </c>
      <c r="L120" s="26">
        <f>SUMIFS(TRANSACTIONS_MASTER!$Q$5:$Q$1204,TRANSACTIONS_MASTER!$C$5:$C$1204,(INT($D$4/100)*100+3))</f>
        <v>0</v>
      </c>
      <c r="M120" s="29">
        <f>COUNTIFS(TRANSACTIONS_MASTER!$C$5:$C$1204,(INT($D$4/100)*100+3),TRANSACTIONS_MASTER!$U$5:$U$1204,"&lt;&gt;Cancelled")</f>
        <v>0</v>
      </c>
    </row>
    <row r="121">
      <c r="B121" s="23" t="str">
        <f>IFERROR(INDEX(TRANSACTIONS_MASTER!$K$5:$K$1204,IFERROR(MATCH(1,INDEX((TRANSACTIONS_MASTER!$C$5:$C$1204=$D$4)*(TRANSACTIONS_MASTER!$AL$5:$AL$1204=4),0),0),"")),"")</f>
        <v>Fuel</v>
      </c>
      <c r="C121" s="24" t="n"/>
      <c r="D121" s="25">
        <f>IF($B121="","",SUMIFS(TRANSACTIONS_MASTER!$L$5:$L$1204,TRANSACTIONS_MASTER!$K$5:$K$1204,$B121,TRANSACTIONS_MASTER!$C$5:$C$1204,$D$4,TRANSACTIONS_MASTER!$U$5:$U$1204,"&lt;&gt;Cancelled"))</f>
        <v>8500000</v>
      </c>
      <c r="E121" s="26">
        <f>IF($B121="","",SUMIFS(TRANSACTIONS_MASTER!$Q$5:$Q$1204,TRANSACTIONS_MASTER!$K$5:$K$1204,$B121,TRANSACTIONS_MASTER!$C$5:$C$1204,$D$4))</f>
        <v>360000</v>
      </c>
      <c r="H121" s="28" t="str">
        <f>INT($D$4/100)&amp;"-"&amp;TEXT(4,"00")</f>
        <v>2026-04</v>
      </c>
      <c r="I121" s="24" t="n"/>
      <c r="J121" s="25">
        <f>SUMIFS(TRANSACTIONS_MASTER!$L$5:$L$1204,TRANSACTIONS_MASTER!$C$5:$C$1204,(INT($D$4/100)*100+4),TRANSACTIONS_MASTER!$U$5:$U$1204,"&lt;&gt;Cancelled")</f>
        <v>0</v>
      </c>
      <c r="K121" s="25">
        <f>SUMIFS(TRANSACTIONS_MASTER!$O$5:$O$1204,TRANSACTIONS_MASTER!$C$5:$C$1204,(INT($D$4/100)*100+4))</f>
        <v>0</v>
      </c>
      <c r="L121" s="26">
        <f>SUMIFS(TRANSACTIONS_MASTER!$Q$5:$Q$1204,TRANSACTIONS_MASTER!$C$5:$C$1204,(INT($D$4/100)*100+4))</f>
        <v>0</v>
      </c>
      <c r="M121" s="29">
        <f>COUNTIFS(TRANSACTIONS_MASTER!$C$5:$C$1204,(INT($D$4/100)*100+4),TRANSACTIONS_MASTER!$U$5:$U$1204,"&lt;&gt;Cancelled")</f>
        <v>0</v>
      </c>
    </row>
    <row r="122">
      <c r="B122" s="23" t="str">
        <f>IFERROR(INDEX(TRANSACTIONS_MASTER!$K$5:$K$1204,IFERROR(MATCH(1,INDEX((TRANSACTIONS_MASTER!$C$5:$C$1204=$D$4)*(TRANSACTIONS_MASTER!$AL$5:$AL$1204=5),0),0),"")),"")</f>
        <v>Shopping</v>
      </c>
      <c r="C122" s="24" t="n"/>
      <c r="D122" s="25">
        <f>IF($B122="","",SUMIFS(TRANSACTIONS_MASTER!$L$5:$L$1204,TRANSACTIONS_MASTER!$K$5:$K$1204,$B122,TRANSACTIONS_MASTER!$C$5:$C$1204,$D$4,TRANSACTIONS_MASTER!$U$5:$U$1204,"&lt;&gt;Cancelled"))</f>
        <v>9000000</v>
      </c>
      <c r="E122" s="26">
        <f>IF($B122="","",SUMIFS(TRANSACTIONS_MASTER!$Q$5:$Q$1204,TRANSACTIONS_MASTER!$K$5:$K$1204,$B122,TRANSACTIONS_MASTER!$C$5:$C$1204,$D$4))</f>
        <v>500000</v>
      </c>
      <c r="H122" s="28" t="str">
        <f>INT($D$4/100)&amp;"-"&amp;TEXT(5,"00")</f>
        <v>2026-05</v>
      </c>
      <c r="I122" s="24" t="n"/>
      <c r="J122" s="25">
        <f>SUMIFS(TRANSACTIONS_MASTER!$L$5:$L$1204,TRANSACTIONS_MASTER!$C$5:$C$1204,(INT($D$4/100)*100+5),TRANSACTIONS_MASTER!$U$5:$U$1204,"&lt;&gt;Cancelled")</f>
        <v>0</v>
      </c>
      <c r="K122" s="25">
        <f>SUMIFS(TRANSACTIONS_MASTER!$O$5:$O$1204,TRANSACTIONS_MASTER!$C$5:$C$1204,(INT($D$4/100)*100+5))</f>
        <v>0</v>
      </c>
      <c r="L122" s="26">
        <f>SUMIFS(TRANSACTIONS_MASTER!$Q$5:$Q$1204,TRANSACTIONS_MASTER!$C$5:$C$1204,(INT($D$4/100)*100+5))</f>
        <v>0</v>
      </c>
      <c r="M122" s="29">
        <f>COUNTIFS(TRANSACTIONS_MASTER!$C$5:$C$1204,(INT($D$4/100)*100+5),TRANSACTIONS_MASTER!$U$5:$U$1204,"&lt;&gt;Cancelled")</f>
        <v>0</v>
      </c>
    </row>
    <row r="123">
      <c r="B123" s="23" t="str">
        <f>IFERROR(INDEX(TRANSACTIONS_MASTER!$K$5:$K$1204,IFERROR(MATCH(1,INDEX((TRANSACTIONS_MASTER!$C$5:$C$1204=$D$4)*(TRANSACTIONS_MASTER!$AL$5:$AL$1204=6),0),0),"")),"")</f>
        <v>Transport</v>
      </c>
      <c r="C123" s="24" t="n"/>
      <c r="D123" s="25">
        <f>IF($B123="","",SUMIFS(TRANSACTIONS_MASTER!$L$5:$L$1204,TRANSACTIONS_MASTER!$K$5:$K$1204,$B123,TRANSACTIONS_MASTER!$C$5:$C$1204,$D$4,TRANSACTIONS_MASTER!$U$5:$U$1204,"&lt;&gt;Cancelled"))</f>
        <v>1000000</v>
      </c>
      <c r="E123" s="26">
        <f>IF($B123="","",SUMIFS(TRANSACTIONS_MASTER!$Q$5:$Q$1204,TRANSACTIONS_MASTER!$K$5:$K$1204,$B123,TRANSACTIONS_MASTER!$C$5:$C$1204,$D$4))</f>
        <v>50000</v>
      </c>
      <c r="H123" s="28" t="str">
        <f>INT($D$4/100)&amp;"-"&amp;TEXT(6,"00")</f>
        <v>2026-06</v>
      </c>
      <c r="I123" s="24" t="n"/>
      <c r="J123" s="25">
        <f>SUMIFS(TRANSACTIONS_MASTER!$L$5:$L$1204,TRANSACTIONS_MASTER!$C$5:$C$1204,(INT($D$4/100)*100+6),TRANSACTIONS_MASTER!$U$5:$U$1204,"&lt;&gt;Cancelled")</f>
        <v>0</v>
      </c>
      <c r="K123" s="25">
        <f>SUMIFS(TRANSACTIONS_MASTER!$O$5:$O$1204,TRANSACTIONS_MASTER!$C$5:$C$1204,(INT($D$4/100)*100+6))</f>
        <v>0</v>
      </c>
      <c r="L123" s="26">
        <f>SUMIFS(TRANSACTIONS_MASTER!$Q$5:$Q$1204,TRANSACTIONS_MASTER!$C$5:$C$1204,(INT($D$4/100)*100+6))</f>
        <v>0</v>
      </c>
      <c r="M123" s="29">
        <f>COUNTIFS(TRANSACTIONS_MASTER!$C$5:$C$1204,(INT($D$4/100)*100+6),TRANSACTIONS_MASTER!$U$5:$U$1204,"&lt;&gt;Cancelled")</f>
        <v>0</v>
      </c>
    </row>
    <row r="124">
      <c r="B124" s="23" t="str">
        <f>IFERROR(INDEX(TRANSACTIONS_MASTER!$K$5:$K$1204,IFERROR(MATCH(1,INDEX((TRANSACTIONS_MASTER!$C$5:$C$1204=$D$4)*(TRANSACTIONS_MASTER!$AL$5:$AL$1204=7),0),0),"")),"")</f>
        <v>Healthcare</v>
      </c>
      <c r="C124" s="24" t="n"/>
      <c r="D124" s="25">
        <f>IF($B124="","",SUMIFS(TRANSACTIONS_MASTER!$L$5:$L$1204,TRANSACTIONS_MASTER!$K$5:$K$1204,$B124,TRANSACTIONS_MASTER!$C$5:$C$1204,$D$4,TRANSACTIONS_MASTER!$U$5:$U$1204,"&lt;&gt;Cancelled"))</f>
        <v>1500000</v>
      </c>
      <c r="E124" s="26">
        <f>IF($B124="","",SUMIFS(TRANSACTIONS_MASTER!$Q$5:$Q$1204,TRANSACTIONS_MASTER!$K$5:$K$1204,$B124,TRANSACTIONS_MASTER!$C$5:$C$1204,$D$4))</f>
        <v>75000</v>
      </c>
      <c r="H124" s="28" t="str">
        <f>INT($D$4/100)&amp;"-"&amp;TEXT(7,"00")</f>
        <v>2026-07</v>
      </c>
      <c r="I124" s="24" t="n"/>
      <c r="J124" s="25">
        <f>SUMIFS(TRANSACTIONS_MASTER!$L$5:$L$1204,TRANSACTIONS_MASTER!$C$5:$C$1204,(INT($D$4/100)*100+7),TRANSACTIONS_MASTER!$U$5:$U$1204,"&lt;&gt;Cancelled")</f>
        <v>0</v>
      </c>
      <c r="K124" s="25">
        <f>SUMIFS(TRANSACTIONS_MASTER!$O$5:$O$1204,TRANSACTIONS_MASTER!$C$5:$C$1204,(INT($D$4/100)*100+7))</f>
        <v>0</v>
      </c>
      <c r="L124" s="26">
        <f>SUMIFS(TRANSACTIONS_MASTER!$Q$5:$Q$1204,TRANSACTIONS_MASTER!$C$5:$C$1204,(INT($D$4/100)*100+7))</f>
        <v>0</v>
      </c>
      <c r="M124" s="29">
        <f>COUNTIFS(TRANSACTIONS_MASTER!$C$5:$C$1204,(INT($D$4/100)*100+7),TRANSACTIONS_MASTER!$U$5:$U$1204,"&lt;&gt;Cancelled")</f>
        <v>0</v>
      </c>
    </row>
    <row r="125">
      <c r="B125" s="23" t="str">
        <f>IFERROR(INDEX(TRANSACTIONS_MASTER!$K$5:$K$1204,IFERROR(MATCH(1,INDEX((TRANSACTIONS_MASTER!$C$5:$C$1204=$D$4)*(TRANSACTIONS_MASTER!$AL$5:$AL$1204=8),0),0),"")),"")</f>
        <v>Utilities &amp; Telecom</v>
      </c>
      <c r="C125" s="24" t="n"/>
      <c r="D125" s="25">
        <f>IF($B125="","",SUMIFS(TRANSACTIONS_MASTER!$L$5:$L$1204,TRANSACTIONS_MASTER!$K$5:$K$1204,$B125,TRANSACTIONS_MASTER!$C$5:$C$1204,$D$4,TRANSACTIONS_MASTER!$U$5:$U$1204,"&lt;&gt;Cancelled"))</f>
        <v>300000</v>
      </c>
      <c r="E125" s="26">
        <f>IF($B125="","",SUMIFS(TRANSACTIONS_MASTER!$Q$5:$Q$1204,TRANSACTIONS_MASTER!$K$5:$K$1204,$B125,TRANSACTIONS_MASTER!$C$5:$C$1204,$D$4))</f>
        <v>15000</v>
      </c>
      <c r="H125" s="28" t="str">
        <f>INT($D$4/100)&amp;"-"&amp;TEXT(8,"00")</f>
        <v>2026-08</v>
      </c>
      <c r="I125" s="24" t="n"/>
      <c r="J125" s="25">
        <f>SUMIFS(TRANSACTIONS_MASTER!$L$5:$L$1204,TRANSACTIONS_MASTER!$C$5:$C$1204,(INT($D$4/100)*100+8),TRANSACTIONS_MASTER!$U$5:$U$1204,"&lt;&gt;Cancelled")</f>
        <v>0</v>
      </c>
      <c r="K125" s="25">
        <f>SUMIFS(TRANSACTIONS_MASTER!$O$5:$O$1204,TRANSACTIONS_MASTER!$C$5:$C$1204,(INT($D$4/100)*100+8))</f>
        <v>0</v>
      </c>
      <c r="L125" s="26">
        <f>SUMIFS(TRANSACTIONS_MASTER!$Q$5:$Q$1204,TRANSACTIONS_MASTER!$C$5:$C$1204,(INT($D$4/100)*100+8))</f>
        <v>0</v>
      </c>
      <c r="M125" s="29">
        <f>COUNTIFS(TRANSACTIONS_MASTER!$C$5:$C$1204,(INT($D$4/100)*100+8),TRANSACTIONS_MASTER!$U$5:$U$1204,"&lt;&gt;Cancelled")</f>
        <v>0</v>
      </c>
    </row>
    <row r="126">
      <c r="B126" s="23" t="str">
        <f>IFERROR(INDEX(TRANSACTIONS_MASTER!$K$5:$K$1204,IFERROR(MATCH(1,INDEX((TRANSACTIONS_MASTER!$C$5:$C$1204=$D$4)*(TRANSACTIONS_MASTER!$AL$5:$AL$1204=9),0),0),"")),"")</f>
        <v/>
      </c>
      <c r="C126" s="24" t="n"/>
      <c r="D126" s="25" t="str">
        <f>IF($B126="","",SUMIFS(TRANSACTIONS_MASTER!$L$5:$L$1204,TRANSACTIONS_MASTER!$K$5:$K$1204,$B126,TRANSACTIONS_MASTER!$C$5:$C$1204,$D$4,TRANSACTIONS_MASTER!$U$5:$U$1204,"&lt;&gt;Cancelled"))</f>
        <v/>
      </c>
      <c r="E126" s="26" t="str">
        <f>IF($B126="","",SUMIFS(TRANSACTIONS_MASTER!$Q$5:$Q$1204,TRANSACTIONS_MASTER!$K$5:$K$1204,$B126,TRANSACTIONS_MASTER!$C$5:$C$1204,$D$4))</f>
        <v/>
      </c>
      <c r="H126" s="28" t="str">
        <f>INT($D$4/100)&amp;"-"&amp;TEXT(9,"00")</f>
        <v>2026-09</v>
      </c>
      <c r="I126" s="24" t="n"/>
      <c r="J126" s="25">
        <f>SUMIFS(TRANSACTIONS_MASTER!$L$5:$L$1204,TRANSACTIONS_MASTER!$C$5:$C$1204,(INT($D$4/100)*100+9),TRANSACTIONS_MASTER!$U$5:$U$1204,"&lt;&gt;Cancelled")</f>
        <v>9650000</v>
      </c>
      <c r="K126" s="25">
        <f>SUMIFS(TRANSACTIONS_MASTER!$O$5:$O$1204,TRANSACTIONS_MASTER!$C$5:$C$1204,(INT($D$4/100)*100+9))</f>
        <v>1098500</v>
      </c>
      <c r="L126" s="26">
        <f>SUMIFS(TRANSACTIONS_MASTER!$Q$5:$Q$1204,TRANSACTIONS_MASTER!$C$5:$C$1204,(INT($D$4/100)*100+9))</f>
        <v>826000</v>
      </c>
      <c r="M126" s="29">
        <f>COUNTIFS(TRANSACTIONS_MASTER!$C$5:$C$1204,(INT($D$4/100)*100+9),TRANSACTIONS_MASTER!$U$5:$U$1204,"&lt;&gt;Cancelled")</f>
        <v>6</v>
      </c>
    </row>
    <row r="127">
      <c r="B127" s="23" t="str">
        <f>IFERROR(INDEX(TRANSACTIONS_MASTER!$K$5:$K$1204,IFERROR(MATCH(1,INDEX((TRANSACTIONS_MASTER!$C$5:$C$1204=$D$4)*(TRANSACTIONS_MASTER!$AL$5:$AL$1204=10),0),0),"")),"")</f>
        <v/>
      </c>
      <c r="C127" s="24" t="n"/>
      <c r="D127" s="25" t="str">
        <f>IF($B127="","",SUMIFS(TRANSACTIONS_MASTER!$L$5:$L$1204,TRANSACTIONS_MASTER!$K$5:$K$1204,$B127,TRANSACTIONS_MASTER!$C$5:$C$1204,$D$4,TRANSACTIONS_MASTER!$U$5:$U$1204,"&lt;&gt;Cancelled"))</f>
        <v/>
      </c>
      <c r="E127" s="26" t="str">
        <f>IF($B127="","",SUMIFS(TRANSACTIONS_MASTER!$Q$5:$Q$1204,TRANSACTIONS_MASTER!$K$5:$K$1204,$B127,TRANSACTIONS_MASTER!$C$5:$C$1204,$D$4))</f>
        <v/>
      </c>
      <c r="H127" s="28" t="str">
        <f>INT($D$4/100)&amp;"-"&amp;TEXT(10,"00")</f>
        <v>2026-10</v>
      </c>
      <c r="I127" s="24" t="n"/>
      <c r="J127" s="25">
        <f>SUMIFS(TRANSACTIONS_MASTER!$L$5:$L$1204,TRANSACTIONS_MASTER!$C$5:$C$1204,(INT($D$4/100)*100+10),TRANSACTIONS_MASTER!$U$5:$U$1204,"&lt;&gt;Cancelled")</f>
        <v>54150000</v>
      </c>
      <c r="K127" s="25">
        <f>SUMIFS(TRANSACTIONS_MASTER!$O$5:$O$1204,TRANSACTIONS_MASTER!$C$5:$C$1204,(INT($D$4/100)*100+10))</f>
        <v>5325000</v>
      </c>
      <c r="L127" s="26">
        <f>SUMIFS(TRANSACTIONS_MASTER!$Q$5:$Q$1204,TRANSACTIONS_MASTER!$C$5:$C$1204,(INT($D$4/100)*100+10))</f>
        <v>3880000</v>
      </c>
      <c r="M127" s="29">
        <f>COUNTIFS(TRANSACTIONS_MASTER!$C$5:$C$1204,(INT($D$4/100)*100+10),TRANSACTIONS_MASTER!$U$5:$U$1204,"&lt;&gt;Cancelled")</f>
        <v>23</v>
      </c>
    </row>
    <row r="128">
      <c r="B128" s="23" t="str">
        <f>IFERROR(INDEX(TRANSACTIONS_MASTER!$K$5:$K$1204,IFERROR(MATCH(1,INDEX((TRANSACTIONS_MASTER!$C$5:$C$1204=$D$4)*(TRANSACTIONS_MASTER!$AL$5:$AL$1204=11),0),0),"")),"")</f>
        <v/>
      </c>
      <c r="C128" s="24" t="n"/>
      <c r="D128" s="25" t="str">
        <f>IF($B128="","",SUMIFS(TRANSACTIONS_MASTER!$L$5:$L$1204,TRANSACTIONS_MASTER!$K$5:$K$1204,$B128,TRANSACTIONS_MASTER!$C$5:$C$1204,$D$4,TRANSACTIONS_MASTER!$U$5:$U$1204,"&lt;&gt;Cancelled"))</f>
        <v/>
      </c>
      <c r="E128" s="26" t="str">
        <f>IF($B128="","",SUMIFS(TRANSACTIONS_MASTER!$Q$5:$Q$1204,TRANSACTIONS_MASTER!$K$5:$K$1204,$B128,TRANSACTIONS_MASTER!$C$5:$C$1204,$D$4))</f>
        <v/>
      </c>
      <c r="H128" s="28" t="str">
        <f>INT($D$4/100)&amp;"-"&amp;TEXT(11,"00")</f>
        <v>2026-11</v>
      </c>
      <c r="I128" s="24" t="n"/>
      <c r="J128" s="25">
        <f>SUMIFS(TRANSACTIONS_MASTER!$L$5:$L$1204,TRANSACTIONS_MASTER!$C$5:$C$1204,(INT($D$4/100)*100+11),TRANSACTIONS_MASTER!$U$5:$U$1204,"&lt;&gt;Cancelled")</f>
        <v>0</v>
      </c>
      <c r="K128" s="25">
        <f>SUMIFS(TRANSACTIONS_MASTER!$O$5:$O$1204,TRANSACTIONS_MASTER!$C$5:$C$1204,(INT($D$4/100)*100+11))</f>
        <v>0</v>
      </c>
      <c r="L128" s="26">
        <f>SUMIFS(TRANSACTIONS_MASTER!$Q$5:$Q$1204,TRANSACTIONS_MASTER!$C$5:$C$1204,(INT($D$4/100)*100+11))</f>
        <v>0</v>
      </c>
      <c r="M128" s="29">
        <f>COUNTIFS(TRANSACTIONS_MASTER!$C$5:$C$1204,(INT($D$4/100)*100+11),TRANSACTIONS_MASTER!$U$5:$U$1204,"&lt;&gt;Cancelled")</f>
        <v>0</v>
      </c>
    </row>
    <row r="129">
      <c r="B129" s="23" t="str">
        <f>IFERROR(INDEX(TRANSACTIONS_MASTER!$K$5:$K$1204,IFERROR(MATCH(1,INDEX((TRANSACTIONS_MASTER!$C$5:$C$1204=$D$4)*(TRANSACTIONS_MASTER!$AL$5:$AL$1204=12),0),0),"")),"")</f>
        <v/>
      </c>
      <c r="C129" s="24" t="n"/>
      <c r="D129" s="25" t="str">
        <f>IF($B129="","",SUMIFS(TRANSACTIONS_MASTER!$L$5:$L$1204,TRANSACTIONS_MASTER!$K$5:$K$1204,$B129,TRANSACTIONS_MASTER!$C$5:$C$1204,$D$4,TRANSACTIONS_MASTER!$U$5:$U$1204,"&lt;&gt;Cancelled"))</f>
        <v/>
      </c>
      <c r="E129" s="26" t="str">
        <f>IF($B129="","",SUMIFS(TRANSACTIONS_MASTER!$Q$5:$Q$1204,TRANSACTIONS_MASTER!$K$5:$K$1204,$B129,TRANSACTIONS_MASTER!$C$5:$C$1204,$D$4))</f>
        <v/>
      </c>
      <c r="H129" s="28" t="str">
        <f>INT($D$4/100)&amp;"-"&amp;TEXT(12,"00")</f>
        <v>2026-12</v>
      </c>
      <c r="I129" s="24" t="n"/>
      <c r="J129" s="25">
        <f>SUMIFS(TRANSACTIONS_MASTER!$L$5:$L$1204,TRANSACTIONS_MASTER!$C$5:$C$1204,(INT($D$4/100)*100+12),TRANSACTIONS_MASTER!$U$5:$U$1204,"&lt;&gt;Cancelled")</f>
        <v>0</v>
      </c>
      <c r="K129" s="25">
        <f>SUMIFS(TRANSACTIONS_MASTER!$O$5:$O$1204,TRANSACTIONS_MASTER!$C$5:$C$1204,(INT($D$4/100)*100+12))</f>
        <v>0</v>
      </c>
      <c r="L129" s="26">
        <f>SUMIFS(TRANSACTIONS_MASTER!$Q$5:$Q$1204,TRANSACTIONS_MASTER!$C$5:$C$1204,(INT($D$4/100)*100+12))</f>
        <v>0</v>
      </c>
      <c r="M129" s="29">
        <f>COUNTIFS(TRANSACTIONS_MASTER!$C$5:$C$1204,(INT($D$4/100)*100+12),TRANSACTIONS_MASTER!$U$5:$U$1204,"&lt;&gt;Cancelled")</f>
        <v>0</v>
      </c>
    </row>
    <row r="130">
      <c r="H130" s="30" t="inlineStr">
        <is>
          <t>TỔNG NĂM</t>
        </is>
      </c>
      <c r="J130" s="31">
        <f>SUM(J118:J129)</f>
        <v>63800000</v>
      </c>
      <c r="K130" s="31">
        <f>SUM(K118:K129)</f>
        <v>6423500</v>
      </c>
      <c r="L130" s="31">
        <f>SUM(L118:L129)</f>
        <v>4706000</v>
      </c>
      <c r="M130" s="32">
        <f>SUM(M118:M129)</f>
        <v>29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mergeCells count="138">
    <mergeCell ref="B91:C91"/>
    <mergeCell ref="N101:O101"/>
    <mergeCell ref="B100:C100"/>
    <mergeCell ref="N11:O11"/>
    <mergeCell ref="N113:O113"/>
    <mergeCell ref="N91:O91"/>
    <mergeCell ref="H10:I10"/>
    <mergeCell ref="N85:O85"/>
    <mergeCell ref="N100:O100"/>
    <mergeCell ref="J10:K10"/>
    <mergeCell ref="N94:O94"/>
    <mergeCell ref="B93:C93"/>
    <mergeCell ref="B102:C102"/>
    <mergeCell ref="H9:I9"/>
    <mergeCell ref="H118:I118"/>
    <mergeCell ref="J9:K9"/>
    <mergeCell ref="D6:E6"/>
    <mergeCell ref="B86:C86"/>
    <mergeCell ref="F15:G15"/>
    <mergeCell ref="D13:E13"/>
    <mergeCell ref="B101:C101"/>
    <mergeCell ref="B14:C14"/>
    <mergeCell ref="H129:I129"/>
    <mergeCell ref="L14:M14"/>
    <mergeCell ref="N14:O14"/>
    <mergeCell ref="B13:C13"/>
    <mergeCell ref="N111:O111"/>
    <mergeCell ref="B112:C112"/>
    <mergeCell ref="N103:O103"/>
    <mergeCell ref="H128:I128"/>
    <mergeCell ref="B127:C127"/>
    <mergeCell ref="F13:G13"/>
    <mergeCell ref="H13:I13"/>
    <mergeCell ref="N87:O87"/>
    <mergeCell ref="N15:O15"/>
    <mergeCell ref="B104:C104"/>
    <mergeCell ref="H15:I15"/>
    <mergeCell ref="H120:I120"/>
    <mergeCell ref="N89:O89"/>
    <mergeCell ref="B106:C106"/>
    <mergeCell ref="B129:C129"/>
    <mergeCell ref="D10:E10"/>
    <mergeCell ref="F10:G10"/>
    <mergeCell ref="B90:C90"/>
    <mergeCell ref="F6:G6"/>
    <mergeCell ref="H117:I117"/>
    <mergeCell ref="B11:C11"/>
    <mergeCell ref="D11:E11"/>
    <mergeCell ref="B117:C117"/>
    <mergeCell ref="N93:O93"/>
    <mergeCell ref="N102:O102"/>
    <mergeCell ref="H119:I119"/>
    <mergeCell ref="B119:C119"/>
    <mergeCell ref="N92:O92"/>
    <mergeCell ref="H11:I11"/>
    <mergeCell ref="J11:K11"/>
    <mergeCell ref="B103:C103"/>
    <mergeCell ref="B84:C84"/>
    <mergeCell ref="B118:C118"/>
    <mergeCell ref="D9:E9"/>
    <mergeCell ref="N13:O13"/>
    <mergeCell ref="F9:G9"/>
    <mergeCell ref="N84:O84"/>
    <mergeCell ref="B6:C6"/>
    <mergeCell ref="B15:C15"/>
    <mergeCell ref="L6:M6"/>
    <mergeCell ref="D15:E15"/>
    <mergeCell ref="N6:O6"/>
    <mergeCell ref="B95:C95"/>
    <mergeCell ref="B89:C89"/>
    <mergeCell ref="H14:I14"/>
    <mergeCell ref="B97:C97"/>
    <mergeCell ref="N104:O104"/>
    <mergeCell ref="B125:C125"/>
    <mergeCell ref="B121:C121"/>
    <mergeCell ref="H122:I122"/>
    <mergeCell ref="N112:O112"/>
    <mergeCell ref="B122:C122"/>
    <mergeCell ref="B96:C96"/>
    <mergeCell ref="N106:O106"/>
    <mergeCell ref="B105:C105"/>
    <mergeCell ref="N96:O96"/>
    <mergeCell ref="H121:I121"/>
    <mergeCell ref="N105:O105"/>
    <mergeCell ref="B120:C120"/>
    <mergeCell ref="B98:C98"/>
    <mergeCell ref="B107:C107"/>
    <mergeCell ref="N98:O98"/>
    <mergeCell ref="H123:I123"/>
    <mergeCell ref="B88:C88"/>
    <mergeCell ref="N107:O107"/>
    <mergeCell ref="L10:M10"/>
    <mergeCell ref="N10:O10"/>
    <mergeCell ref="B99:C99"/>
    <mergeCell ref="B108:C108"/>
    <mergeCell ref="B9:C9"/>
    <mergeCell ref="B83:C83"/>
    <mergeCell ref="L9:M9"/>
    <mergeCell ref="N9:O9"/>
    <mergeCell ref="B92:C92"/>
    <mergeCell ref="B124:C124"/>
    <mergeCell ref="B85:C85"/>
    <mergeCell ref="L11:M11"/>
    <mergeCell ref="D14:E14"/>
    <mergeCell ref="F14:G14"/>
    <mergeCell ref="B94:C94"/>
    <mergeCell ref="B4:C4"/>
    <mergeCell ref="B126:C126"/>
    <mergeCell ref="N108:O108"/>
    <mergeCell ref="B109:C109"/>
    <mergeCell ref="F11:G11"/>
    <mergeCell ref="N86:O86"/>
    <mergeCell ref="N95:O95"/>
    <mergeCell ref="H125:I125"/>
    <mergeCell ref="N109:O109"/>
    <mergeCell ref="J14:K14"/>
    <mergeCell ref="N110:O110"/>
    <mergeCell ref="J13:K13"/>
    <mergeCell ref="N97:O97"/>
    <mergeCell ref="L13:M13"/>
    <mergeCell ref="H127:I127"/>
    <mergeCell ref="H6:I6"/>
    <mergeCell ref="J6:K6"/>
    <mergeCell ref="J15:K15"/>
    <mergeCell ref="B111:C111"/>
    <mergeCell ref="L15:M15"/>
    <mergeCell ref="B87:C87"/>
    <mergeCell ref="B128:C128"/>
    <mergeCell ref="B10:C10"/>
    <mergeCell ref="N88:O88"/>
    <mergeCell ref="N90:O90"/>
    <mergeCell ref="H124:I124"/>
    <mergeCell ref="N99:O99"/>
    <mergeCell ref="B123:C123"/>
    <mergeCell ref="B110:C110"/>
    <mergeCell ref="N83:O83"/>
    <mergeCell ref="H126:I126"/>
    <mergeCell ref="B113:C113"/>
  </mergeCells>
  <conditionalFormatting sqref="H84:H113">
    <cfRule type="dataBar" priority="1">
      <dataBar showValue="1">
        <cfvo type="num" val="0"/>
        <cfvo type="num" val="1"/>
        <color rgb="00F2A1BF"/>
      </dataBar>
    </cfRule>
  </conditionalFormatting>
  <conditionalFormatting sqref="L84:L113">
    <cfRule type="dataBar" priority="2">
      <dataBar showValue="1">
        <cfvo type="num" val="0"/>
        <cfvo type="num" val="1"/>
        <color rgb="00F2A1BF"/>
      </dataBar>
    </cfRule>
  </conditionalFormatting>
  <conditionalFormatting sqref="M84:M113">
    <cfRule type="expression" priority="3" dxfId="0">
      <formula>AND(ISNUMBER($L84),$L84&gt;pUtil3)</formula>
    </cfRule>
    <cfRule type="expression" priority="4" dxfId="1">
      <formula>AND(ISNUMBER($L84),$L84&gt;=pUtil2,$L84&lt;=pUtil3)</formula>
    </cfRule>
    <cfRule type="expression" priority="5" dxfId="2">
      <formula>AND(ISNUMBER($L84),$L84&gt;=pUtil1,$L84&lt;pUtil2)</formula>
    </cfRule>
    <cfRule type="expression" priority="6" dxfId="3">
      <formula>AND(ISNUMBER($L84),$L84&lt;pUtil1)</formula>
    </cfRule>
  </conditionalFormatting>
  <conditionalFormatting sqref="N84:O113">
    <cfRule type="cellIs" priority="7" operator="equal" dxfId="0">
      <formula>"Quá hạn"</formula>
    </cfRule>
    <cfRule type="cellIs" priority="8" operator="equal" dxfId="1">
      <formula>"Đến hạn"</formula>
    </cfRule>
    <cfRule type="cellIs" priority="9" operator="equal" dxfId="2">
      <formula>"Sắp đến hạn"</formula>
    </cfRule>
    <cfRule type="cellIs" priority="10" operator="equal" dxfId="3">
      <formula>"Chưa đến hạn"</formula>
    </cfRule>
    <cfRule type="cellIs" priority="11" operator="equal" dxfId="4">
      <formula>"Đã thanh toán"</formula>
    </cfRule>
  </conditionalFormatting>
  <conditionalFormatting sqref="G84:G113">
    <cfRule type="cellIs" priority="12" operator="equal" dxfId="1">
      <formula>0</formula>
    </cfRule>
  </conditionalFormatting>
  <conditionalFormatting sqref="B84:O113">
    <cfRule type="expression" priority="13" dxfId="5" stopIfTrue="0">
      <formula>MOD(ROW(),2)=0</formula>
    </cfRule>
  </conditionalFormatting>
  <conditionalFormatting sqref="D118:D129">
    <cfRule type="dataBar" priority="14">
      <dataBar showValue="1">
        <cfvo type="min"/>
        <cfvo type="max"/>
        <color rgb="00F7C6D8"/>
      </dataBar>
    </cfRule>
  </conditionalFormatting>
  <dataValidations count="1">
    <dataValidation sqref="D4" showDropDown="0" showInputMessage="1" showErrorMessage="1" allowBlank="1" errorTitle="Giá trị không hợp lệ" error="Hãy chọn từ danh sách (hoặc thêm vào bảng nguồn trước)." promptTitle="Tháng" prompt="Chọn tháng để xem Dashboard &amp; CAP_TRACKER. (Ô mặc định = tháng hiện tại; chọn tay sẽ ghi đè công thức.)" type="list" errorStyle="warning">
      <formula1>lstMonths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58FB0"/>
    <outlinePr summaryBelow="1" summaryRight="1"/>
    <pageSetUpPr/>
  </sheetPr>
  <dimension ref="A1:O3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3" customWidth="1" min="4" max="4"/>
    <col width="12" customWidth="1" min="5" max="5"/>
    <col width="10" customWidth="1" min="6" max="6"/>
    <col width="17" customWidth="1" min="7" max="7"/>
    <col width="10" customWidth="1" min="8" max="8"/>
    <col width="11" customWidth="1" min="9" max="9"/>
    <col width="13" customWidth="1" min="10" max="10"/>
    <col width="14" customWidth="1" min="11" max="11"/>
    <col width="14" customWidth="1" min="12" max="12"/>
    <col width="11" customWidth="1" min="13" max="13"/>
    <col width="34" customWidth="1" min="14" max="14"/>
    <col hidden="1" outlineLevel="1" width="9" customWidth="1" min="15" max="15"/>
  </cols>
  <sheetData>
    <row r="1" ht="30" customHeight="1">
      <c r="A1" s="33" t="inlineStr">
        <is>
          <t>💳 CARDS — danh sách thẻ tín dụng</t>
        </is>
      </c>
    </row>
    <row r="2">
      <c r="A2" s="5" t="inlineStr">
        <is>
          <t>Không lưu số thẻ đầy đủ / CVV — chỉ 4 số cuối.  Ngày sao kê &amp; ngày thanh toán = ngày trong tháng (1–31).</t>
        </is>
      </c>
    </row>
    <row r="3">
      <c r="A3" s="34" t="inlineStr">
        <is>
          <t>⚠ SAMPLE DATA — có thể xóa  ·  ✎ ô chữ xanh = nhập liệu  ·  ⚙ ô nền xám = tự động (không sửa)</t>
        </is>
      </c>
    </row>
    <row r="4" ht="34" customHeight="1">
      <c r="A4" s="35" t="inlineStr">
        <is>
          <t>Card ID</t>
        </is>
      </c>
      <c r="B4" s="35" t="inlineStr">
        <is>
          <t>Ngân hàng</t>
        </is>
      </c>
      <c r="C4" s="35" t="inlineStr">
        <is>
          <t>Tên thẻ</t>
        </is>
      </c>
      <c r="D4" s="35" t="inlineStr">
        <is>
          <t>Loại thẻ</t>
        </is>
      </c>
      <c r="E4" s="35" t="inlineStr">
        <is>
          <t>Network</t>
        </is>
      </c>
      <c r="F4" s="35" t="inlineStr">
        <is>
          <t>Số cuối thẻ</t>
        </is>
      </c>
      <c r="G4" s="35" t="inlineStr">
        <is>
          <t>Hạn mức tín dụng</t>
        </is>
      </c>
      <c r="H4" s="35" t="inlineStr">
        <is>
          <t>Ngày sao kê</t>
        </is>
      </c>
      <c r="I4" s="35" t="inlineStr">
        <is>
          <t>Ngày thanh toán</t>
        </is>
      </c>
      <c r="J4" s="35" t="inlineStr">
        <is>
          <t>Ngày mở thẻ</t>
        </is>
      </c>
      <c r="K4" s="35" t="inlineStr">
        <is>
          <t>Phí thường niên</t>
        </is>
      </c>
      <c r="L4" s="35" t="inlineStr">
        <is>
          <t>Phí thường niên năm đầu</t>
        </is>
      </c>
      <c r="M4" s="35" t="inlineStr">
        <is>
          <t>Trạng thái</t>
        </is>
      </c>
      <c r="N4" s="35" t="inlineStr">
        <is>
          <t>Ghi chú</t>
        </is>
      </c>
      <c r="O4" s="36" t="inlineStr">
        <is>
          <t>Bank # (helper)</t>
        </is>
      </c>
    </row>
    <row r="5">
      <c r="A5" s="37" t="inlineStr">
        <is>
          <t>VPB-JCBZ</t>
        </is>
      </c>
      <c r="B5" s="37" t="inlineStr">
        <is>
          <t>VPBank</t>
        </is>
      </c>
      <c r="C5" s="37" t="inlineStr">
        <is>
          <t>JCB Z Card</t>
        </is>
      </c>
      <c r="D5" s="37" t="inlineStr">
        <is>
          <t>Cashback</t>
        </is>
      </c>
      <c r="E5" s="38" t="inlineStr">
        <is>
          <t>JCB</t>
        </is>
      </c>
      <c r="F5" s="39" t="inlineStr">
        <is>
          <t>1111</t>
        </is>
      </c>
      <c r="G5" s="40" t="n">
        <v>50000000</v>
      </c>
      <c r="H5" s="41" t="n">
        <v>25</v>
      </c>
      <c r="I5" s="41" t="n">
        <v>15</v>
      </c>
      <c r="J5" s="42" t="n">
        <v>45361</v>
      </c>
      <c r="K5" s="40" t="n">
        <v>1000000</v>
      </c>
      <c r="L5" s="40" t="n">
        <v>0</v>
      </c>
      <c r="M5" s="38" t="inlineStr">
        <is>
          <t>Active</t>
        </is>
      </c>
      <c r="N5" s="37" t="inlineStr">
        <is>
          <t>SAMPLE DATA — có thể xóa</t>
        </is>
      </c>
      <c r="O5" s="43">
        <f>IF(B5="","",IF(COUNTIF($B$5:$B5,B5)=1,MAX($O$4:$O4)+1,""))</f>
        <v>1</v>
      </c>
    </row>
    <row r="6">
      <c r="A6" s="37" t="inlineStr">
        <is>
          <t>VIB-A</t>
        </is>
      </c>
      <c r="B6" s="37" t="inlineStr">
        <is>
          <t>VIB</t>
        </is>
      </c>
      <c r="C6" s="37" t="inlineStr">
        <is>
          <t>Cashback Demo A</t>
        </is>
      </c>
      <c r="D6" s="37" t="inlineStr">
        <is>
          <t>Cashback</t>
        </is>
      </c>
      <c r="E6" s="38" t="inlineStr">
        <is>
          <t>Mastercard</t>
        </is>
      </c>
      <c r="F6" s="39" t="inlineStr">
        <is>
          <t>2222</t>
        </is>
      </c>
      <c r="G6" s="40" t="n">
        <v>30000000</v>
      </c>
      <c r="H6" s="41" t="n">
        <v>5</v>
      </c>
      <c r="I6" s="41" t="n">
        <v>25</v>
      </c>
      <c r="J6" s="42" t="n">
        <v>45078</v>
      </c>
      <c r="K6" s="40" t="n">
        <v>600000</v>
      </c>
      <c r="L6" s="40" t="n">
        <v>0</v>
      </c>
      <c r="M6" s="38" t="inlineStr">
        <is>
          <t>Active</t>
        </is>
      </c>
      <c r="N6" s="37" t="inlineStr">
        <is>
          <t>SAMPLE DATA — có thể xóa (rule minh họa 10% / 500k / 1tr)</t>
        </is>
      </c>
      <c r="O6" s="43">
        <f>IF(B6="","",IF(COUNTIF($B$5:$B6,B6)=1,MAX($O$4:$O5)+1,""))</f>
        <v>2</v>
      </c>
    </row>
    <row r="7">
      <c r="A7" s="37" t="inlineStr">
        <is>
          <t>TCB-B</t>
        </is>
      </c>
      <c r="B7" s="37" t="inlineStr">
        <is>
          <t>Techcombank</t>
        </is>
      </c>
      <c r="C7" s="37" t="inlineStr">
        <is>
          <t>Cashback Demo B</t>
        </is>
      </c>
      <c r="D7" s="37" t="inlineStr">
        <is>
          <t>Platinum</t>
        </is>
      </c>
      <c r="E7" s="38" t="inlineStr">
        <is>
          <t>Visa</t>
        </is>
      </c>
      <c r="F7" s="39" t="inlineStr">
        <is>
          <t>3333</t>
        </is>
      </c>
      <c r="G7" s="40" t="n">
        <v>40000000</v>
      </c>
      <c r="H7" s="41" t="n">
        <v>20</v>
      </c>
      <c r="I7" s="41" t="n">
        <v>10</v>
      </c>
      <c r="J7" s="42" t="n">
        <v>44880</v>
      </c>
      <c r="K7" s="40" t="n">
        <v>800000</v>
      </c>
      <c r="L7" s="40" t="n">
        <v>0</v>
      </c>
      <c r="M7" s="38" t="inlineStr">
        <is>
          <t>Active</t>
        </is>
      </c>
      <c r="N7" s="37" t="inlineStr">
        <is>
          <t>SAMPLE DATA — có thể xóa (5% / 300k / 2tr)</t>
        </is>
      </c>
      <c r="O7" s="43">
        <f>IF(B7="","",IF(COUNTIF($B$5:$B7,B7)=1,MAX($O$4:$O6)+1,""))</f>
        <v>3</v>
      </c>
    </row>
    <row r="8">
      <c r="A8" s="37" t="inlineStr">
        <is>
          <t>UOB-C</t>
        </is>
      </c>
      <c r="B8" s="37" t="inlineStr">
        <is>
          <t>UOB</t>
        </is>
      </c>
      <c r="C8" s="37" t="inlineStr">
        <is>
          <t>Cashback Demo C</t>
        </is>
      </c>
      <c r="D8" s="37" t="inlineStr">
        <is>
          <t>Cashback</t>
        </is>
      </c>
      <c r="E8" s="38" t="inlineStr">
        <is>
          <t>Visa</t>
        </is>
      </c>
      <c r="F8" s="39" t="inlineStr">
        <is>
          <t>4444</t>
        </is>
      </c>
      <c r="G8" s="40" t="n">
        <v>25000000</v>
      </c>
      <c r="H8" s="41" t="n">
        <v>10</v>
      </c>
      <c r="I8" s="41" t="n">
        <v>28</v>
      </c>
      <c r="J8" s="42" t="n">
        <v>45677</v>
      </c>
      <c r="K8" s="40" t="n">
        <v>0</v>
      </c>
      <c r="L8" s="40" t="n">
        <v>0</v>
      </c>
      <c r="M8" s="38" t="inlineStr">
        <is>
          <t>Active</t>
        </is>
      </c>
      <c r="N8" s="37" t="inlineStr">
        <is>
          <t>SAMPLE DATA — có thể xóa (15% / 1tr, không cap thẻ)</t>
        </is>
      </c>
      <c r="O8" s="43">
        <f>IF(B8="","",IF(COUNTIF($B$5:$B8,B8)=1,MAX($O$4:$O7)+1,""))</f>
        <v>4</v>
      </c>
    </row>
    <row r="9">
      <c r="A9" s="37" t="inlineStr">
        <is>
          <t>MB-D</t>
        </is>
      </c>
      <c r="B9" s="37" t="inlineStr">
        <is>
          <t>MB</t>
        </is>
      </c>
      <c r="C9" s="37" t="inlineStr">
        <is>
          <t>Cashback Demo D</t>
        </is>
      </c>
      <c r="D9" s="37" t="inlineStr">
        <is>
          <t>Credit</t>
        </is>
      </c>
      <c r="E9" s="38" t="inlineStr">
        <is>
          <t>Mastercard</t>
        </is>
      </c>
      <c r="F9" s="39" t="inlineStr">
        <is>
          <t>5555</t>
        </is>
      </c>
      <c r="G9" s="40" t="n">
        <v>20000000</v>
      </c>
      <c r="H9" s="41" t="n">
        <v>1</v>
      </c>
      <c r="I9" s="41" t="n">
        <v>8</v>
      </c>
      <c r="J9" s="42" t="n">
        <v>45509</v>
      </c>
      <c r="K9" s="40" t="n">
        <v>300000</v>
      </c>
      <c r="L9" s="40" t="n">
        <v>0</v>
      </c>
      <c r="M9" s="38" t="inlineStr">
        <is>
          <t>Active</t>
        </is>
      </c>
      <c r="N9" s="37" t="inlineStr">
        <is>
          <t>SAMPLE DATA — có thể xóa (rate theo từng MCC)</t>
        </is>
      </c>
      <c r="O9" s="43">
        <f>IF(B9="","",IF(COUNTIF($B$5:$B9,B9)=1,MAX($O$4:$O8)+1,""))</f>
        <v>5</v>
      </c>
    </row>
    <row r="10">
      <c r="A10" s="37" t="inlineStr">
        <is>
          <t>ACB-E</t>
        </is>
      </c>
      <c r="B10" s="37" t="inlineStr">
        <is>
          <t>ACB</t>
        </is>
      </c>
      <c r="C10" s="37" t="inlineStr">
        <is>
          <t>Demo E (không cashback)</t>
        </is>
      </c>
      <c r="D10" s="37" t="inlineStr">
        <is>
          <t>Credit</t>
        </is>
      </c>
      <c r="E10" s="38" t="inlineStr">
        <is>
          <t>Visa</t>
        </is>
      </c>
      <c r="F10" s="39" t="inlineStr">
        <is>
          <t>6666</t>
        </is>
      </c>
      <c r="G10" s="40" t="n">
        <v>20000000</v>
      </c>
      <c r="H10" s="41" t="n">
        <v>15</v>
      </c>
      <c r="I10" s="41" t="n">
        <v>3</v>
      </c>
      <c r="J10" s="42" t="n">
        <v>44288</v>
      </c>
      <c r="K10" s="40" t="n">
        <v>500000</v>
      </c>
      <c r="L10" s="40" t="n">
        <v>0</v>
      </c>
      <c r="M10" s="38" t="inlineStr">
        <is>
          <t>Active</t>
        </is>
      </c>
      <c r="N10" s="37" t="inlineStr">
        <is>
          <t>SAMPLE DATA — có thể xóa (thẻ không có rule)</t>
        </is>
      </c>
      <c r="O10" s="43">
        <f>IF(B10="","",IF(COUNTIF($B$5:$B10,B10)=1,MAX($O$4:$O9)+1,""))</f>
        <v>6</v>
      </c>
    </row>
    <row r="11">
      <c r="A11" s="37" t="n"/>
      <c r="B11" s="37" t="n"/>
      <c r="C11" s="37" t="n"/>
      <c r="D11" s="37" t="n"/>
      <c r="E11" s="38" t="n"/>
      <c r="F11" s="39" t="n"/>
      <c r="G11" s="40" t="n"/>
      <c r="H11" s="41" t="n"/>
      <c r="I11" s="41" t="n"/>
      <c r="J11" s="42" t="n"/>
      <c r="K11" s="40" t="n"/>
      <c r="L11" s="40" t="n"/>
      <c r="M11" s="38" t="n"/>
      <c r="N11" s="37" t="n"/>
      <c r="O11" s="43" t="str">
        <f>IF(B11="","",IF(COUNTIF($B$5:$B11,B11)=1,MAX($O$4:$O10)+1,""))</f>
        <v/>
      </c>
    </row>
    <row r="12">
      <c r="A12" s="37" t="n"/>
      <c r="B12" s="37" t="n"/>
      <c r="C12" s="37" t="n"/>
      <c r="D12" s="37" t="n"/>
      <c r="E12" s="38" t="n"/>
      <c r="F12" s="39" t="n"/>
      <c r="G12" s="40" t="n"/>
      <c r="H12" s="41" t="n"/>
      <c r="I12" s="41" t="n"/>
      <c r="J12" s="42" t="n"/>
      <c r="K12" s="40" t="n"/>
      <c r="L12" s="40" t="n"/>
      <c r="M12" s="38" t="n"/>
      <c r="N12" s="37" t="n"/>
      <c r="O12" s="43" t="str">
        <f>IF(B12="","",IF(COUNTIF($B$5:$B12,B12)=1,MAX($O$4:$O11)+1,""))</f>
        <v/>
      </c>
    </row>
    <row r="13">
      <c r="A13" s="37" t="n"/>
      <c r="B13" s="37" t="n"/>
      <c r="C13" s="37" t="n"/>
      <c r="D13" s="37" t="n"/>
      <c r="E13" s="38" t="n"/>
      <c r="F13" s="39" t="n"/>
      <c r="G13" s="40" t="n"/>
      <c r="H13" s="41" t="n"/>
      <c r="I13" s="41" t="n"/>
      <c r="J13" s="42" t="n"/>
      <c r="K13" s="40" t="n"/>
      <c r="L13" s="40" t="n"/>
      <c r="M13" s="38" t="n"/>
      <c r="N13" s="37" t="n"/>
      <c r="O13" s="43" t="str">
        <f>IF(B13="","",IF(COUNTIF($B$5:$B13,B13)=1,MAX($O$4:$O12)+1,""))</f>
        <v/>
      </c>
    </row>
    <row r="14">
      <c r="A14" s="37" t="n"/>
      <c r="B14" s="37" t="n"/>
      <c r="C14" s="37" t="n"/>
      <c r="D14" s="37" t="n"/>
      <c r="E14" s="38" t="n"/>
      <c r="F14" s="39" t="n"/>
      <c r="G14" s="40" t="n"/>
      <c r="H14" s="41" t="n"/>
      <c r="I14" s="41" t="n"/>
      <c r="J14" s="42" t="n"/>
      <c r="K14" s="40" t="n"/>
      <c r="L14" s="40" t="n"/>
      <c r="M14" s="38" t="n"/>
      <c r="N14" s="37" t="n"/>
      <c r="O14" s="43" t="str">
        <f>IF(B14="","",IF(COUNTIF($B$5:$B14,B14)=1,MAX($O$4:$O13)+1,""))</f>
        <v/>
      </c>
    </row>
    <row r="15">
      <c r="A15" s="37" t="n"/>
      <c r="B15" s="37" t="n"/>
      <c r="C15" s="37" t="n"/>
      <c r="D15" s="37" t="n"/>
      <c r="E15" s="38" t="n"/>
      <c r="F15" s="39" t="n"/>
      <c r="G15" s="40" t="n"/>
      <c r="H15" s="41" t="n"/>
      <c r="I15" s="41" t="n"/>
      <c r="J15" s="42" t="n"/>
      <c r="K15" s="40" t="n"/>
      <c r="L15" s="40" t="n"/>
      <c r="M15" s="38" t="n"/>
      <c r="N15" s="37" t="n"/>
      <c r="O15" s="43" t="str">
        <f>IF(B15="","",IF(COUNTIF($B$5:$B15,B15)=1,MAX($O$4:$O14)+1,""))</f>
        <v/>
      </c>
    </row>
    <row r="16">
      <c r="A16" s="37" t="n"/>
      <c r="B16" s="37" t="n"/>
      <c r="C16" s="37" t="n"/>
      <c r="D16" s="37" t="n"/>
      <c r="E16" s="38" t="n"/>
      <c r="F16" s="39" t="n"/>
      <c r="G16" s="40" t="n"/>
      <c r="H16" s="41" t="n"/>
      <c r="I16" s="41" t="n"/>
      <c r="J16" s="42" t="n"/>
      <c r="K16" s="40" t="n"/>
      <c r="L16" s="40" t="n"/>
      <c r="M16" s="38" t="n"/>
      <c r="N16" s="37" t="n"/>
      <c r="O16" s="43" t="str">
        <f>IF(B16="","",IF(COUNTIF($B$5:$B16,B16)=1,MAX($O$4:$O15)+1,""))</f>
        <v/>
      </c>
    </row>
    <row r="17">
      <c r="A17" s="37" t="n"/>
      <c r="B17" s="37" t="n"/>
      <c r="C17" s="37" t="n"/>
      <c r="D17" s="37" t="n"/>
      <c r="E17" s="38" t="n"/>
      <c r="F17" s="39" t="n"/>
      <c r="G17" s="40" t="n"/>
      <c r="H17" s="41" t="n"/>
      <c r="I17" s="41" t="n"/>
      <c r="J17" s="42" t="n"/>
      <c r="K17" s="40" t="n"/>
      <c r="L17" s="40" t="n"/>
      <c r="M17" s="38" t="n"/>
      <c r="N17" s="37" t="n"/>
      <c r="O17" s="43" t="str">
        <f>IF(B17="","",IF(COUNTIF($B$5:$B17,B17)=1,MAX($O$4:$O16)+1,""))</f>
        <v/>
      </c>
    </row>
    <row r="18">
      <c r="A18" s="37" t="n"/>
      <c r="B18" s="37" t="n"/>
      <c r="C18" s="37" t="n"/>
      <c r="D18" s="37" t="n"/>
      <c r="E18" s="38" t="n"/>
      <c r="F18" s="39" t="n"/>
      <c r="G18" s="40" t="n"/>
      <c r="H18" s="41" t="n"/>
      <c r="I18" s="41" t="n"/>
      <c r="J18" s="42" t="n"/>
      <c r="K18" s="40" t="n"/>
      <c r="L18" s="40" t="n"/>
      <c r="M18" s="38" t="n"/>
      <c r="N18" s="37" t="n"/>
      <c r="O18" s="43" t="str">
        <f>IF(B18="","",IF(COUNTIF($B$5:$B18,B18)=1,MAX($O$4:$O17)+1,""))</f>
        <v/>
      </c>
    </row>
    <row r="19">
      <c r="A19" s="37" t="n"/>
      <c r="B19" s="37" t="n"/>
      <c r="C19" s="37" t="n"/>
      <c r="D19" s="37" t="n"/>
      <c r="E19" s="38" t="n"/>
      <c r="F19" s="39" t="n"/>
      <c r="G19" s="40" t="n"/>
      <c r="H19" s="41" t="n"/>
      <c r="I19" s="41" t="n"/>
      <c r="J19" s="42" t="n"/>
      <c r="K19" s="40" t="n"/>
      <c r="L19" s="40" t="n"/>
      <c r="M19" s="38" t="n"/>
      <c r="N19" s="37" t="n"/>
      <c r="O19" s="43" t="str">
        <f>IF(B19="","",IF(COUNTIF($B$5:$B19,B19)=1,MAX($O$4:$O18)+1,""))</f>
        <v/>
      </c>
    </row>
    <row r="20">
      <c r="A20" s="37" t="n"/>
      <c r="B20" s="37" t="n"/>
      <c r="C20" s="37" t="n"/>
      <c r="D20" s="37" t="n"/>
      <c r="E20" s="38" t="n"/>
      <c r="F20" s="39" t="n"/>
      <c r="G20" s="40" t="n"/>
      <c r="H20" s="41" t="n"/>
      <c r="I20" s="41" t="n"/>
      <c r="J20" s="42" t="n"/>
      <c r="K20" s="40" t="n"/>
      <c r="L20" s="40" t="n"/>
      <c r="M20" s="38" t="n"/>
      <c r="N20" s="37" t="n"/>
      <c r="O20" s="43" t="str">
        <f>IF(B20="","",IF(COUNTIF($B$5:$B20,B20)=1,MAX($O$4:$O19)+1,""))</f>
        <v/>
      </c>
    </row>
    <row r="21">
      <c r="A21" s="37" t="n"/>
      <c r="B21" s="37" t="n"/>
      <c r="C21" s="37" t="n"/>
      <c r="D21" s="37" t="n"/>
      <c r="E21" s="38" t="n"/>
      <c r="F21" s="39" t="n"/>
      <c r="G21" s="40" t="n"/>
      <c r="H21" s="41" t="n"/>
      <c r="I21" s="41" t="n"/>
      <c r="J21" s="42" t="n"/>
      <c r="K21" s="40" t="n"/>
      <c r="L21" s="40" t="n"/>
      <c r="M21" s="38" t="n"/>
      <c r="N21" s="37" t="n"/>
      <c r="O21" s="43" t="str">
        <f>IF(B21="","",IF(COUNTIF($B$5:$B21,B21)=1,MAX($O$4:$O20)+1,""))</f>
        <v/>
      </c>
    </row>
    <row r="22">
      <c r="A22" s="37" t="n"/>
      <c r="B22" s="37" t="n"/>
      <c r="C22" s="37" t="n"/>
      <c r="D22" s="37" t="n"/>
      <c r="E22" s="38" t="n"/>
      <c r="F22" s="39" t="n"/>
      <c r="G22" s="40" t="n"/>
      <c r="H22" s="41" t="n"/>
      <c r="I22" s="41" t="n"/>
      <c r="J22" s="42" t="n"/>
      <c r="K22" s="40" t="n"/>
      <c r="L22" s="40" t="n"/>
      <c r="M22" s="38" t="n"/>
      <c r="N22" s="37" t="n"/>
      <c r="O22" s="43" t="str">
        <f>IF(B22="","",IF(COUNTIF($B$5:$B22,B22)=1,MAX($O$4:$O21)+1,""))</f>
        <v/>
      </c>
    </row>
    <row r="23">
      <c r="A23" s="37" t="n"/>
      <c r="B23" s="37" t="n"/>
      <c r="C23" s="37" t="n"/>
      <c r="D23" s="37" t="n"/>
      <c r="E23" s="38" t="n"/>
      <c r="F23" s="39" t="n"/>
      <c r="G23" s="40" t="n"/>
      <c r="H23" s="41" t="n"/>
      <c r="I23" s="41" t="n"/>
      <c r="J23" s="42" t="n"/>
      <c r="K23" s="40" t="n"/>
      <c r="L23" s="40" t="n"/>
      <c r="M23" s="38" t="n"/>
      <c r="N23" s="37" t="n"/>
      <c r="O23" s="43" t="str">
        <f>IF(B23="","",IF(COUNTIF($B$5:$B23,B23)=1,MAX($O$4:$O22)+1,""))</f>
        <v/>
      </c>
    </row>
    <row r="24">
      <c r="A24" s="37" t="n"/>
      <c r="B24" s="37" t="n"/>
      <c r="C24" s="37" t="n"/>
      <c r="D24" s="37" t="n"/>
      <c r="E24" s="38" t="n"/>
      <c r="F24" s="39" t="n"/>
      <c r="G24" s="40" t="n"/>
      <c r="H24" s="41" t="n"/>
      <c r="I24" s="41" t="n"/>
      <c r="J24" s="42" t="n"/>
      <c r="K24" s="40" t="n"/>
      <c r="L24" s="40" t="n"/>
      <c r="M24" s="38" t="n"/>
      <c r="N24" s="37" t="n"/>
      <c r="O24" s="43" t="str">
        <f>IF(B24="","",IF(COUNTIF($B$5:$B24,B24)=1,MAX($O$4:$O23)+1,""))</f>
        <v/>
      </c>
    </row>
    <row r="25">
      <c r="A25" s="37" t="n"/>
      <c r="B25" s="37" t="n"/>
      <c r="C25" s="37" t="n"/>
      <c r="D25" s="37" t="n"/>
      <c r="E25" s="38" t="n"/>
      <c r="F25" s="39" t="n"/>
      <c r="G25" s="40" t="n"/>
      <c r="H25" s="41" t="n"/>
      <c r="I25" s="41" t="n"/>
      <c r="J25" s="42" t="n"/>
      <c r="K25" s="40" t="n"/>
      <c r="L25" s="40" t="n"/>
      <c r="M25" s="38" t="n"/>
      <c r="N25" s="37" t="n"/>
      <c r="O25" s="43" t="str">
        <f>IF(B25="","",IF(COUNTIF($B$5:$B25,B25)=1,MAX($O$4:$O24)+1,""))</f>
        <v/>
      </c>
    </row>
    <row r="26">
      <c r="A26" s="37" t="n"/>
      <c r="B26" s="37" t="n"/>
      <c r="C26" s="37" t="n"/>
      <c r="D26" s="37" t="n"/>
      <c r="E26" s="38" t="n"/>
      <c r="F26" s="39" t="n"/>
      <c r="G26" s="40" t="n"/>
      <c r="H26" s="41" t="n"/>
      <c r="I26" s="41" t="n"/>
      <c r="J26" s="42" t="n"/>
      <c r="K26" s="40" t="n"/>
      <c r="L26" s="40" t="n"/>
      <c r="M26" s="38" t="n"/>
      <c r="N26" s="37" t="n"/>
      <c r="O26" s="43" t="str">
        <f>IF(B26="","",IF(COUNTIF($B$5:$B26,B26)=1,MAX($O$4:$O25)+1,""))</f>
        <v/>
      </c>
    </row>
    <row r="27">
      <c r="A27" s="37" t="n"/>
      <c r="B27" s="37" t="n"/>
      <c r="C27" s="37" t="n"/>
      <c r="D27" s="37" t="n"/>
      <c r="E27" s="38" t="n"/>
      <c r="F27" s="39" t="n"/>
      <c r="G27" s="40" t="n"/>
      <c r="H27" s="41" t="n"/>
      <c r="I27" s="41" t="n"/>
      <c r="J27" s="42" t="n"/>
      <c r="K27" s="40" t="n"/>
      <c r="L27" s="40" t="n"/>
      <c r="M27" s="38" t="n"/>
      <c r="N27" s="37" t="n"/>
      <c r="O27" s="43" t="str">
        <f>IF(B27="","",IF(COUNTIF($B$5:$B27,B27)=1,MAX($O$4:$O26)+1,""))</f>
        <v/>
      </c>
    </row>
    <row r="28">
      <c r="A28" s="37" t="n"/>
      <c r="B28" s="37" t="n"/>
      <c r="C28" s="37" t="n"/>
      <c r="D28" s="37" t="n"/>
      <c r="E28" s="38" t="n"/>
      <c r="F28" s="39" t="n"/>
      <c r="G28" s="40" t="n"/>
      <c r="H28" s="41" t="n"/>
      <c r="I28" s="41" t="n"/>
      <c r="J28" s="42" t="n"/>
      <c r="K28" s="40" t="n"/>
      <c r="L28" s="40" t="n"/>
      <c r="M28" s="38" t="n"/>
      <c r="N28" s="37" t="n"/>
      <c r="O28" s="43" t="str">
        <f>IF(B28="","",IF(COUNTIF($B$5:$B28,B28)=1,MAX($O$4:$O27)+1,""))</f>
        <v/>
      </c>
    </row>
    <row r="29">
      <c r="A29" s="37" t="n"/>
      <c r="B29" s="37" t="n"/>
      <c r="C29" s="37" t="n"/>
      <c r="D29" s="37" t="n"/>
      <c r="E29" s="38" t="n"/>
      <c r="F29" s="39" t="n"/>
      <c r="G29" s="40" t="n"/>
      <c r="H29" s="41" t="n"/>
      <c r="I29" s="41" t="n"/>
      <c r="J29" s="42" t="n"/>
      <c r="K29" s="40" t="n"/>
      <c r="L29" s="40" t="n"/>
      <c r="M29" s="38" t="n"/>
      <c r="N29" s="37" t="n"/>
      <c r="O29" s="43" t="str">
        <f>IF(B29="","",IF(COUNTIF($B$5:$B29,B29)=1,MAX($O$4:$O28)+1,""))</f>
        <v/>
      </c>
    </row>
    <row r="30">
      <c r="A30" s="37" t="n"/>
      <c r="B30" s="37" t="n"/>
      <c r="C30" s="37" t="n"/>
      <c r="D30" s="37" t="n"/>
      <c r="E30" s="38" t="n"/>
      <c r="F30" s="39" t="n"/>
      <c r="G30" s="40" t="n"/>
      <c r="H30" s="41" t="n"/>
      <c r="I30" s="41" t="n"/>
      <c r="J30" s="42" t="n"/>
      <c r="K30" s="40" t="n"/>
      <c r="L30" s="40" t="n"/>
      <c r="M30" s="38" t="n"/>
      <c r="N30" s="37" t="n"/>
      <c r="O30" s="43" t="str">
        <f>IF(B30="","",IF(COUNTIF($B$5:$B30,B30)=1,MAX($O$4:$O29)+1,""))</f>
        <v/>
      </c>
    </row>
    <row r="31">
      <c r="A31" s="37" t="n"/>
      <c r="B31" s="37" t="n"/>
      <c r="C31" s="37" t="n"/>
      <c r="D31" s="37" t="n"/>
      <c r="E31" s="38" t="n"/>
      <c r="F31" s="39" t="n"/>
      <c r="G31" s="40" t="n"/>
      <c r="H31" s="41" t="n"/>
      <c r="I31" s="41" t="n"/>
      <c r="J31" s="42" t="n"/>
      <c r="K31" s="40" t="n"/>
      <c r="L31" s="40" t="n"/>
      <c r="M31" s="38" t="n"/>
      <c r="N31" s="37" t="n"/>
      <c r="O31" s="43" t="str">
        <f>IF(B31="","",IF(COUNTIF($B$5:$B31,B31)=1,MAX($O$4:$O30)+1,""))</f>
        <v/>
      </c>
    </row>
    <row r="32">
      <c r="A32" s="37" t="n"/>
      <c r="B32" s="37" t="n"/>
      <c r="C32" s="37" t="n"/>
      <c r="D32" s="37" t="n"/>
      <c r="E32" s="38" t="n"/>
      <c r="F32" s="39" t="n"/>
      <c r="G32" s="40" t="n"/>
      <c r="H32" s="41" t="n"/>
      <c r="I32" s="41" t="n"/>
      <c r="J32" s="42" t="n"/>
      <c r="K32" s="40" t="n"/>
      <c r="L32" s="40" t="n"/>
      <c r="M32" s="38" t="n"/>
      <c r="N32" s="37" t="n"/>
      <c r="O32" s="43" t="str">
        <f>IF(B32="","",IF(COUNTIF($B$5:$B32,B32)=1,MAX($O$4:$O31)+1,""))</f>
        <v/>
      </c>
    </row>
    <row r="33">
      <c r="A33" s="37" t="n"/>
      <c r="B33" s="37" t="n"/>
      <c r="C33" s="37" t="n"/>
      <c r="D33" s="37" t="n"/>
      <c r="E33" s="38" t="n"/>
      <c r="F33" s="39" t="n"/>
      <c r="G33" s="40" t="n"/>
      <c r="H33" s="41" t="n"/>
      <c r="I33" s="41" t="n"/>
      <c r="J33" s="42" t="n"/>
      <c r="K33" s="40" t="n"/>
      <c r="L33" s="40" t="n"/>
      <c r="M33" s="38" t="n"/>
      <c r="N33" s="37" t="n"/>
      <c r="O33" s="43" t="str">
        <f>IF(B33="","",IF(COUNTIF($B$5:$B33,B33)=1,MAX($O$4:$O32)+1,""))</f>
        <v/>
      </c>
    </row>
    <row r="34">
      <c r="A34" s="37" t="n"/>
      <c r="B34" s="37" t="n"/>
      <c r="C34" s="37" t="n"/>
      <c r="D34" s="37" t="n"/>
      <c r="E34" s="38" t="n"/>
      <c r="F34" s="39" t="n"/>
      <c r="G34" s="40" t="n"/>
      <c r="H34" s="41" t="n"/>
      <c r="I34" s="41" t="n"/>
      <c r="J34" s="42" t="n"/>
      <c r="K34" s="40" t="n"/>
      <c r="L34" s="40" t="n"/>
      <c r="M34" s="38" t="n"/>
      <c r="N34" s="37" t="n"/>
      <c r="O34" s="43" t="str">
        <f>IF(B34="","",IF(COUNTIF($B$5:$B34,B34)=1,MAX($O$4:$O33)+1,""))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conditionalFormatting sqref="A5:N34">
    <cfRule type="expression" priority="1" dxfId="5" stopIfTrue="0">
      <formula>MOD(ROW(),2)=0</formula>
    </cfRule>
  </conditionalFormatting>
  <conditionalFormatting sqref="M5:M34">
    <cfRule type="cellIs" priority="2" operator="equal" dxfId="3">
      <formula>"Active"</formula>
    </cfRule>
    <cfRule type="cellIs" priority="3" operator="equal" dxfId="2">
      <formula>"Inactive"</formula>
    </cfRule>
    <cfRule type="cellIs" priority="4" operator="equal" dxfId="4">
      <formula>"Closed"</formula>
    </cfRule>
  </conditionalFormatting>
  <dataValidations count="9">
    <dataValidation sqref="B5:B34" showDropDown="0" showInputMessage="0" showErrorMessage="1" allowBlank="1" errorTitle="Giá trị không hợp lệ" error="Hãy chọn từ danh sách (hoặc thêm vào bảng nguồn trước)." type="list" errorStyle="warning">
      <formula1>lstBanks</formula1>
    </dataValidation>
    <dataValidation sqref="D5:D34" showDropDown="0" showInputMessage="0" showErrorMessage="1" allowBlank="1" errorTitle="Giá trị không hợp lệ" error="Hãy chọn từ danh sách (hoặc thêm vào bảng nguồn trước)." type="list" errorStyle="warning">
      <formula1>lstCardTypes</formula1>
    </dataValidation>
    <dataValidation sqref="E5:E34" showDropDown="0" showInputMessage="0" showErrorMessage="1" allowBlank="1" errorTitle="Giá trị không hợp lệ" error="Hãy chọn từ danh sách (hoặc thêm vào bảng nguồn trước)." type="list" errorStyle="warning">
      <formula1>lstNetworks</formula1>
    </dataValidation>
    <dataValidation sqref="M5:M34" showDropDown="0" showInputMessage="0" showErrorMessage="1" allowBlank="1" errorTitle="Giá trị không hợp lệ" error="Hãy chọn từ danh sách (hoặc thêm vào bảng nguồn trước)." type="list" errorStyle="stop">
      <formula1>lstCardStatus</formula1>
    </dataValidation>
    <dataValidation sqref="H5:H34" showDropDown="0" showInputMessage="0" showErrorMessage="1" allowBlank="1" errorTitle="Dữ liệu" error="Nhập ngày trong tháng (1–31)" type="whole" operator="between">
      <formula1>1</formula1>
      <formula2>31</formula2>
    </dataValidation>
    <dataValidation sqref="I5:I34" showDropDown="0" showInputMessage="0" showErrorMessage="1" allowBlank="1" errorTitle="Dữ liệu" error="Nhập ngày trong tháng (1–31)" type="whole" operator="between">
      <formula1>1</formula1>
      <formula2>31</formula2>
    </dataValidation>
    <dataValidation sqref="F5:F34" showDropDown="0" showInputMessage="0" showErrorMessage="1" allowBlank="1" errorTitle="Dữ liệu" error="Chỉ nhập đúng 4 số cuối thẻ" type="textLength" operator="equal">
      <formula1>4</formula1>
    </dataValidation>
    <dataValidation sqref="G5:G34" showDropDown="0" showInputMessage="0" showErrorMessage="1" allowBlank="1" errorTitle="Dữ liệu" error="Giá trị không hợp lệ" type="decimal" operator="greaterThanOrEqual">
      <formula1>0</formula1>
    </dataValidation>
    <dataValidation sqref="A5:A34" showDropDown="0" showInputMessage="0" showErrorMessage="1" allowBlank="1" error="Card ID đã tồn tại — hãy dùng mã khác." type="custom">
      <formula1>COUNTIF($A$5:$A$34,A5)=1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E58FB0"/>
    <outlinePr summaryBelow="1" summaryRight="1"/>
    <pageSetUpPr/>
  </sheetPr>
  <dimension ref="A1:S3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20" customWidth="1" min="4" max="4"/>
    <col width="14" customWidth="1" min="5" max="5"/>
    <col width="22" customWidth="1" min="6" max="6"/>
    <col width="8" customWidth="1" min="7" max="7"/>
    <col width="30" customWidth="1" min="8" max="8"/>
    <col width="11" customWidth="1" min="9" max="9"/>
    <col width="16" customWidth="1" min="10" max="10"/>
    <col width="16" customWidth="1" min="11" max="11"/>
    <col width="16" customWidth="1" min="12" max="12"/>
    <col width="14" customWidth="1" min="13" max="13"/>
    <col width="12" customWidth="1" min="14" max="14"/>
    <col width="12" customWidth="1" min="15" max="15"/>
    <col width="32" customWidth="1" min="16" max="16"/>
    <col width="30" customWidth="1" min="17" max="17"/>
    <col width="22" customWidth="1" min="18" max="18"/>
    <col hidden="1" outlineLevel="1" width="9" customWidth="1" min="19" max="19"/>
  </cols>
  <sheetData>
    <row r="1" ht="30" customHeight="1">
      <c r="A1" s="33" t="inlineStr">
        <is>
          <t>🎯 CASHBACK_RULES — cấu hình chương trình hoàn tiền</t>
        </is>
      </c>
    </row>
    <row r="2">
      <c r="A2" s="5" t="inlineStr">
        <is>
          <t>1 dòng = 1 MCC của 1 nhóm. Cùng Card ID + Nhóm = cùng 1 cap nhóm. Cap để trống = không giới hạn. Rate nhập dạng 15%.</t>
        </is>
      </c>
    </row>
    <row r="3">
      <c r="A3" s="34" t="inlineStr">
        <is>
          <t>⚠ SAMPLE DATA — có thể xóa  ·  ✎ ô chữ xanh = nhập liệu  ·  ⚙ ô nền xám = tự động (không sửa)</t>
        </is>
      </c>
    </row>
    <row r="4" ht="34" customHeight="1">
      <c r="A4" s="21" t="inlineStr">
        <is>
          <t>Rule ID</t>
        </is>
      </c>
      <c r="B4" s="35" t="inlineStr">
        <is>
          <t>Card ID</t>
        </is>
      </c>
      <c r="C4" s="21" t="inlineStr">
        <is>
          <t>Ngân hàng</t>
        </is>
      </c>
      <c r="D4" s="21" t="inlineStr">
        <is>
          <t>Tên thẻ</t>
        </is>
      </c>
      <c r="E4" s="35" t="inlineStr">
        <is>
          <t>Nhóm cashback</t>
        </is>
      </c>
      <c r="F4" s="35" t="inlineStr">
        <is>
          <t>Tên danh mục</t>
        </is>
      </c>
      <c r="G4" s="35" t="inlineStr">
        <is>
          <t>MCC</t>
        </is>
      </c>
      <c r="H4" s="21" t="inlineStr">
        <is>
          <t>Tên MCC</t>
        </is>
      </c>
      <c r="I4" s="35" t="inlineStr">
        <is>
          <t>Cashback Rate (%)</t>
        </is>
      </c>
      <c r="J4" s="35" t="inlineStr">
        <is>
          <t>Max Cashback / Category / Month</t>
        </is>
      </c>
      <c r="K4" s="35" t="inlineStr">
        <is>
          <t>Max Cashback / Card / Month</t>
        </is>
      </c>
      <c r="L4" s="35" t="inlineStr">
        <is>
          <t>Max Eligible Spending</t>
        </is>
      </c>
      <c r="M4" s="35" t="inlineStr">
        <is>
          <t>Minimum Transaction</t>
        </is>
      </c>
      <c r="N4" s="35" t="inlineStr">
        <is>
          <t>Start Date</t>
        </is>
      </c>
      <c r="O4" s="35" t="inlineStr">
        <is>
          <t>End Date</t>
        </is>
      </c>
      <c r="P4" s="35" t="inlineStr">
        <is>
          <t>Điều kiện</t>
        </is>
      </c>
      <c r="Q4" s="35" t="inlineStr">
        <is>
          <t>Ghi chú</t>
        </is>
      </c>
      <c r="R4" s="21" t="inlineStr">
        <is>
          <t>Kiểm tra</t>
        </is>
      </c>
      <c r="S4" s="36" t="inlineStr">
        <is>
          <t>Group # (helper)</t>
        </is>
      </c>
    </row>
    <row r="5">
      <c r="A5" s="44" t="str">
        <f>IF(B5="","","R"&amp;TEXT(ROW()-4,"000"))</f>
        <v>R001</v>
      </c>
      <c r="B5" s="37" t="inlineStr">
        <is>
          <t>VPB-JCBZ</t>
        </is>
      </c>
      <c r="C5" s="45" t="str">
        <f>IF(B5="","",IFERROR(INDEX(CARDS!$B$5:$B$34,MATCH(B5,CARDS!$A$5:$A$34,0)),"⚠ Card ID?"))</f>
        <v>VPBank</v>
      </c>
      <c r="D5" s="45" t="str">
        <f>IF(B5="","",IFERROR(INDEX(CARDS!$C$5:$C$34,MATCH(B5,CARDS!$A$5:$A$34,0)),"⚠ Card ID?"))</f>
        <v>JCB Z Card</v>
      </c>
      <c r="E5" s="37" t="inlineStr">
        <is>
          <t>Group 1</t>
        </is>
      </c>
      <c r="F5" s="37" t="inlineStr">
        <is>
          <t>Dining</t>
        </is>
      </c>
      <c r="G5" s="41" t="n">
        <v>5811</v>
      </c>
      <c r="H5" s="45" t="str">
        <f>IF(G5="","",IFERROR(INDEX(MCC_MASTER!$B$5:$B$504,MATCH(G5,MCC_MASTER!$A$5:$A$504,0)),"⚠ MCC chưa có trong MCC_MASTER"))</f>
        <v>Caterers</v>
      </c>
      <c r="I5" s="46" t="n">
        <v>0.15</v>
      </c>
      <c r="J5" s="40" t="n">
        <v>500000</v>
      </c>
      <c r="K5" s="40" t="n">
        <v>1000000</v>
      </c>
      <c r="L5" s="40" t="n"/>
      <c r="M5" s="40" t="n"/>
      <c r="N5" s="42" t="n">
        <v>46023</v>
      </c>
      <c r="O5" s="42" t="n">
        <v>46387</v>
      </c>
      <c r="P5" s="37" t="inlineStr">
        <is>
          <t>Ăn uống</t>
        </is>
      </c>
      <c r="Q5" s="37" t="inlineStr">
        <is>
          <t>SAMPLE DATA — có thể xóa</t>
        </is>
      </c>
      <c r="R5" s="45" t="str">
        <f>IF(B5="","",IF(ISNA(MATCH(B5,CARDS!$A$5:$A$34,0)),"⚠ Card ID không tồn tại",IF(E5="","⚠ Thiếu Nhóm cashback",IF(OR(SUMPRODUCT(($B$5:$B$304=B5)*($E$5:$E$304=E5)*($J$5:$J$304&lt;&gt;J5))&gt;0,SUMPRODUCT(($B$5:$B$304=B5)*($K$5:$K$304&lt;&gt;K5))&gt;0),"⚠ Cap không đồng nhất","✓ OK"))))</f>
        <v>✓ OK</v>
      </c>
      <c r="S5" s="43">
        <f>IF(OR(B5="",E5=""),"",IF(COUNTIFS($B$5:$B5,B5,$E$5:$E5,E5)=1,MAX($S$4:$S4)+1,""))</f>
        <v>1</v>
      </c>
    </row>
    <row r="6">
      <c r="A6" s="44" t="str">
        <f>IF(B6="","","R"&amp;TEXT(ROW()-4,"000"))</f>
        <v>R002</v>
      </c>
      <c r="B6" s="37" t="inlineStr">
        <is>
          <t>VPB-JCBZ</t>
        </is>
      </c>
      <c r="C6" s="45" t="str">
        <f>IF(B6="","",IFERROR(INDEX(CARDS!$B$5:$B$34,MATCH(B6,CARDS!$A$5:$A$34,0)),"⚠ Card ID?"))</f>
        <v>VPBank</v>
      </c>
      <c r="D6" s="45" t="str">
        <f>IF(B6="","",IFERROR(INDEX(CARDS!$C$5:$C$34,MATCH(B6,CARDS!$A$5:$A$34,0)),"⚠ Card ID?"))</f>
        <v>JCB Z Card</v>
      </c>
      <c r="E6" s="37" t="inlineStr">
        <is>
          <t>Group 1</t>
        </is>
      </c>
      <c r="F6" s="37" t="inlineStr">
        <is>
          <t>Dining</t>
        </is>
      </c>
      <c r="G6" s="41" t="n">
        <v>5812</v>
      </c>
      <c r="H6" s="45" t="str">
        <f>IF(G6="","",IFERROR(INDEX(MCC_MASTER!$B$5:$B$504,MATCH(G6,MCC_MASTER!$A$5:$A$504,0)),"⚠ MCC chưa có trong MCC_MASTER"))</f>
        <v>Eating Places / Restaurants</v>
      </c>
      <c r="I6" s="46" t="n">
        <v>0.15</v>
      </c>
      <c r="J6" s="40" t="n">
        <v>500000</v>
      </c>
      <c r="K6" s="40" t="n">
        <v>1000000</v>
      </c>
      <c r="L6" s="40" t="n"/>
      <c r="M6" s="40" t="n"/>
      <c r="N6" s="42" t="n">
        <v>46023</v>
      </c>
      <c r="O6" s="42" t="n">
        <v>46387</v>
      </c>
      <c r="P6" s="37" t="inlineStr">
        <is>
          <t>Ăn uống</t>
        </is>
      </c>
      <c r="Q6" s="37" t="inlineStr">
        <is>
          <t>SAMPLE DATA — có thể xóa</t>
        </is>
      </c>
      <c r="R6" s="45" t="str">
        <f>IF(B6="","",IF(ISNA(MATCH(B6,CARDS!$A$5:$A$34,0)),"⚠ Card ID không tồn tại",IF(E6="","⚠ Thiếu Nhóm cashback",IF(OR(SUMPRODUCT(($B$5:$B$304=B6)*($E$5:$E$304=E6)*($J$5:$J$304&lt;&gt;J6))&gt;0,SUMPRODUCT(($B$5:$B$304=B6)*($K$5:$K$304&lt;&gt;K6))&gt;0),"⚠ Cap không đồng nhất","✓ OK"))))</f>
        <v>✓ OK</v>
      </c>
      <c r="S6" s="43" t="str">
        <f>IF(OR(B6="",E6=""),"",IF(COUNTIFS($B$5:$B6,B6,$E$5:$E6,E6)=1,MAX($S$4:$S5)+1,""))</f>
        <v/>
      </c>
    </row>
    <row r="7">
      <c r="A7" s="44" t="str">
        <f>IF(B7="","","R"&amp;TEXT(ROW()-4,"000"))</f>
        <v>R003</v>
      </c>
      <c r="B7" s="37" t="inlineStr">
        <is>
          <t>VPB-JCBZ</t>
        </is>
      </c>
      <c r="C7" s="45" t="str">
        <f>IF(B7="","",IFERROR(INDEX(CARDS!$B$5:$B$34,MATCH(B7,CARDS!$A$5:$A$34,0)),"⚠ Card ID?"))</f>
        <v>VPBank</v>
      </c>
      <c r="D7" s="45" t="str">
        <f>IF(B7="","",IFERROR(INDEX(CARDS!$C$5:$C$34,MATCH(B7,CARDS!$A$5:$A$34,0)),"⚠ Card ID?"))</f>
        <v>JCB Z Card</v>
      </c>
      <c r="E7" s="37" t="inlineStr">
        <is>
          <t>Group 1</t>
        </is>
      </c>
      <c r="F7" s="37" t="inlineStr">
        <is>
          <t>Dining</t>
        </is>
      </c>
      <c r="G7" s="41" t="n">
        <v>5813</v>
      </c>
      <c r="H7" s="45" t="str">
        <f>IF(G7="","",IFERROR(INDEX(MCC_MASTER!$B$5:$B$504,MATCH(G7,MCC_MASTER!$A$5:$A$504,0)),"⚠ MCC chưa có trong MCC_MASTER"))</f>
        <v>Drinking Places (Bars, Taverns)</v>
      </c>
      <c r="I7" s="46" t="n">
        <v>0.15</v>
      </c>
      <c r="J7" s="40" t="n">
        <v>500000</v>
      </c>
      <c r="K7" s="40" t="n">
        <v>1000000</v>
      </c>
      <c r="L7" s="40" t="n"/>
      <c r="M7" s="40" t="n"/>
      <c r="N7" s="42" t="n">
        <v>46023</v>
      </c>
      <c r="O7" s="42" t="n">
        <v>46387</v>
      </c>
      <c r="P7" s="37" t="inlineStr">
        <is>
          <t>Ăn uống</t>
        </is>
      </c>
      <c r="Q7" s="37" t="inlineStr">
        <is>
          <t>SAMPLE DATA — có thể xóa</t>
        </is>
      </c>
      <c r="R7" s="45" t="str">
        <f>IF(B7="","",IF(ISNA(MATCH(B7,CARDS!$A$5:$A$34,0)),"⚠ Card ID không tồn tại",IF(E7="","⚠ Thiếu Nhóm cashback",IF(OR(SUMPRODUCT(($B$5:$B$304=B7)*($E$5:$E$304=E7)*($J$5:$J$304&lt;&gt;J7))&gt;0,SUMPRODUCT(($B$5:$B$304=B7)*($K$5:$K$304&lt;&gt;K7))&gt;0),"⚠ Cap không đồng nhất","✓ OK"))))</f>
        <v>✓ OK</v>
      </c>
      <c r="S7" s="43" t="str">
        <f>IF(OR(B7="",E7=""),"",IF(COUNTIFS($B$5:$B7,B7,$E$5:$E7,E7)=1,MAX($S$4:$S6)+1,""))</f>
        <v/>
      </c>
    </row>
    <row r="8">
      <c r="A8" s="44" t="str">
        <f>IF(B8="","","R"&amp;TEXT(ROW()-4,"000"))</f>
        <v>R004</v>
      </c>
      <c r="B8" s="37" t="inlineStr">
        <is>
          <t>VPB-JCBZ</t>
        </is>
      </c>
      <c r="C8" s="45" t="str">
        <f>IF(B8="","",IFERROR(INDEX(CARDS!$B$5:$B$34,MATCH(B8,CARDS!$A$5:$A$34,0)),"⚠ Card ID?"))</f>
        <v>VPBank</v>
      </c>
      <c r="D8" s="45" t="str">
        <f>IF(B8="","",IFERROR(INDEX(CARDS!$C$5:$C$34,MATCH(B8,CARDS!$A$5:$A$34,0)),"⚠ Card ID?"))</f>
        <v>JCB Z Card</v>
      </c>
      <c r="E8" s="37" t="inlineStr">
        <is>
          <t>Group 1</t>
        </is>
      </c>
      <c r="F8" s="37" t="inlineStr">
        <is>
          <t>Dining</t>
        </is>
      </c>
      <c r="G8" s="41" t="n">
        <v>5814</v>
      </c>
      <c r="H8" s="45" t="str">
        <f>IF(G8="","",IFERROR(INDEX(MCC_MASTER!$B$5:$B$504,MATCH(G8,MCC_MASTER!$A$5:$A$504,0)),"⚠ MCC chưa có trong MCC_MASTER"))</f>
        <v>Fast Food Restaurants</v>
      </c>
      <c r="I8" s="46" t="n">
        <v>0.15</v>
      </c>
      <c r="J8" s="40" t="n">
        <v>500000</v>
      </c>
      <c r="K8" s="40" t="n">
        <v>1000000</v>
      </c>
      <c r="L8" s="40" t="n"/>
      <c r="M8" s="40" t="n"/>
      <c r="N8" s="42" t="n">
        <v>46023</v>
      </c>
      <c r="O8" s="42" t="n">
        <v>46387</v>
      </c>
      <c r="P8" s="37" t="inlineStr">
        <is>
          <t>Ăn uống</t>
        </is>
      </c>
      <c r="Q8" s="37" t="inlineStr">
        <is>
          <t>SAMPLE DATA — có thể xóa</t>
        </is>
      </c>
      <c r="R8" s="45" t="str">
        <f>IF(B8="","",IF(ISNA(MATCH(B8,CARDS!$A$5:$A$34,0)),"⚠ Card ID không tồn tại",IF(E8="","⚠ Thiếu Nhóm cashback",IF(OR(SUMPRODUCT(($B$5:$B$304=B8)*($E$5:$E$304=E8)*($J$5:$J$304&lt;&gt;J8))&gt;0,SUMPRODUCT(($B$5:$B$304=B8)*($K$5:$K$304&lt;&gt;K8))&gt;0),"⚠ Cap không đồng nhất","✓ OK"))))</f>
        <v>✓ OK</v>
      </c>
      <c r="S8" s="43" t="str">
        <f>IF(OR(B8="",E8=""),"",IF(COUNTIFS($B$5:$B8,B8,$E$5:$E8,E8)=1,MAX($S$4:$S7)+1,""))</f>
        <v/>
      </c>
    </row>
    <row r="9">
      <c r="A9" s="44" t="str">
        <f>IF(B9="","","R"&amp;TEXT(ROW()-4,"000"))</f>
        <v>R005</v>
      </c>
      <c r="B9" s="37" t="inlineStr">
        <is>
          <t>VPB-JCBZ</t>
        </is>
      </c>
      <c r="C9" s="45" t="str">
        <f>IF(B9="","",IFERROR(INDEX(CARDS!$B$5:$B$34,MATCH(B9,CARDS!$A$5:$A$34,0)),"⚠ Card ID?"))</f>
        <v>VPBank</v>
      </c>
      <c r="D9" s="45" t="str">
        <f>IF(B9="","",IFERROR(INDEX(CARDS!$C$5:$C$34,MATCH(B9,CARDS!$A$5:$A$34,0)),"⚠ Card ID?"))</f>
        <v>JCB Z Card</v>
      </c>
      <c r="E9" s="37" t="inlineStr">
        <is>
          <t>Group 2</t>
        </is>
      </c>
      <c r="F9" s="37" t="inlineStr">
        <is>
          <t>Entertainment / Fitness</t>
        </is>
      </c>
      <c r="G9" s="41" t="n">
        <v>5734</v>
      </c>
      <c r="H9" s="45" t="str">
        <f>IF(G9="","",IFERROR(INDEX(MCC_MASTER!$B$5:$B$504,MATCH(G9,MCC_MASTER!$A$5:$A$504,0)),"⚠ MCC chưa có trong MCC_MASTER"))</f>
        <v>Computer Software Stores</v>
      </c>
      <c r="I9" s="46" t="n">
        <v>0.15</v>
      </c>
      <c r="J9" s="40" t="n">
        <v>500000</v>
      </c>
      <c r="K9" s="40" t="n">
        <v>1000000</v>
      </c>
      <c r="L9" s="40" t="n"/>
      <c r="M9" s="40" t="n"/>
      <c r="N9" s="42" t="n">
        <v>46023</v>
      </c>
      <c r="O9" s="42" t="n">
        <v>46387</v>
      </c>
      <c r="P9" s="37" t="inlineStr">
        <is>
          <t>Giải trí / Fitness</t>
        </is>
      </c>
      <c r="Q9" s="37" t="inlineStr">
        <is>
          <t>SAMPLE DATA — có thể xóa</t>
        </is>
      </c>
      <c r="R9" s="45" t="str">
        <f>IF(B9="","",IF(ISNA(MATCH(B9,CARDS!$A$5:$A$34,0)),"⚠ Card ID không tồn tại",IF(E9="","⚠ Thiếu Nhóm cashback",IF(OR(SUMPRODUCT(($B$5:$B$304=B9)*($E$5:$E$304=E9)*($J$5:$J$304&lt;&gt;J9))&gt;0,SUMPRODUCT(($B$5:$B$304=B9)*($K$5:$K$304&lt;&gt;K9))&gt;0),"⚠ Cap không đồng nhất","✓ OK"))))</f>
        <v>✓ OK</v>
      </c>
      <c r="S9" s="43">
        <f>IF(OR(B9="",E9=""),"",IF(COUNTIFS($B$5:$B9,B9,$E$5:$E9,E9)=1,MAX($S$4:$S8)+1,""))</f>
        <v>2</v>
      </c>
    </row>
    <row r="10">
      <c r="A10" s="44" t="str">
        <f>IF(B10="","","R"&amp;TEXT(ROW()-4,"000"))</f>
        <v>R006</v>
      </c>
      <c r="B10" s="37" t="inlineStr">
        <is>
          <t>VPB-JCBZ</t>
        </is>
      </c>
      <c r="C10" s="45" t="str">
        <f>IF(B10="","",IFERROR(INDEX(CARDS!$B$5:$B$34,MATCH(B10,CARDS!$A$5:$A$34,0)),"⚠ Card ID?"))</f>
        <v>VPBank</v>
      </c>
      <c r="D10" s="45" t="str">
        <f>IF(B10="","",IFERROR(INDEX(CARDS!$C$5:$C$34,MATCH(B10,CARDS!$A$5:$A$34,0)),"⚠ Card ID?"))</f>
        <v>JCB Z Card</v>
      </c>
      <c r="E10" s="37" t="inlineStr">
        <is>
          <t>Group 2</t>
        </is>
      </c>
      <c r="F10" s="37" t="inlineStr">
        <is>
          <t>Entertainment / Fitness</t>
        </is>
      </c>
      <c r="G10" s="41" t="n">
        <v>5735</v>
      </c>
      <c r="H10" s="45" t="str">
        <f>IF(G10="","",IFERROR(INDEX(MCC_MASTER!$B$5:$B$504,MATCH(G10,MCC_MASTER!$A$5:$A$504,0)),"⚠ MCC chưa có trong MCC_MASTER"))</f>
        <v>Record Stores</v>
      </c>
      <c r="I10" s="46" t="n">
        <v>0.15</v>
      </c>
      <c r="J10" s="40" t="n">
        <v>500000</v>
      </c>
      <c r="K10" s="40" t="n">
        <v>1000000</v>
      </c>
      <c r="L10" s="40" t="n"/>
      <c r="M10" s="40" t="n"/>
      <c r="N10" s="42" t="n">
        <v>46023</v>
      </c>
      <c r="O10" s="42" t="n">
        <v>46387</v>
      </c>
      <c r="P10" s="37" t="inlineStr">
        <is>
          <t>Giải trí / Fitness</t>
        </is>
      </c>
      <c r="Q10" s="37" t="inlineStr">
        <is>
          <t>SAMPLE DATA — có thể xóa</t>
        </is>
      </c>
      <c r="R10" s="45" t="str">
        <f>IF(B10="","",IF(ISNA(MATCH(B10,CARDS!$A$5:$A$34,0)),"⚠ Card ID không tồn tại",IF(E10="","⚠ Thiếu Nhóm cashback",IF(OR(SUMPRODUCT(($B$5:$B$304=B10)*($E$5:$E$304=E10)*($J$5:$J$304&lt;&gt;J10))&gt;0,SUMPRODUCT(($B$5:$B$304=B10)*($K$5:$K$304&lt;&gt;K10))&gt;0),"⚠ Cap không đồng nhất","✓ OK"))))</f>
        <v>✓ OK</v>
      </c>
      <c r="S10" s="43" t="str">
        <f>IF(OR(B10="",E10=""),"",IF(COUNTIFS($B$5:$B10,B10,$E$5:$E10,E10)=1,MAX($S$4:$S9)+1,""))</f>
        <v/>
      </c>
    </row>
    <row r="11">
      <c r="A11" s="44" t="str">
        <f>IF(B11="","","R"&amp;TEXT(ROW()-4,"000"))</f>
        <v>R007</v>
      </c>
      <c r="B11" s="37" t="inlineStr">
        <is>
          <t>VPB-JCBZ</t>
        </is>
      </c>
      <c r="C11" s="45" t="str">
        <f>IF(B11="","",IFERROR(INDEX(CARDS!$B$5:$B$34,MATCH(B11,CARDS!$A$5:$A$34,0)),"⚠ Card ID?"))</f>
        <v>VPBank</v>
      </c>
      <c r="D11" s="45" t="str">
        <f>IF(B11="","",IFERROR(INDEX(CARDS!$C$5:$C$34,MATCH(B11,CARDS!$A$5:$A$34,0)),"⚠ Card ID?"))</f>
        <v>JCB Z Card</v>
      </c>
      <c r="E11" s="37" t="inlineStr">
        <is>
          <t>Group 2</t>
        </is>
      </c>
      <c r="F11" s="37" t="inlineStr">
        <is>
          <t>Entertainment / Fitness</t>
        </is>
      </c>
      <c r="G11" s="41" t="n">
        <v>7832</v>
      </c>
      <c r="H11" s="45" t="str">
        <f>IF(G11="","",IFERROR(INDEX(MCC_MASTER!$B$5:$B$504,MATCH(G11,MCC_MASTER!$A$5:$A$504,0)),"⚠ MCC chưa có trong MCC_MASTER"))</f>
        <v>Motion Picture Theaters</v>
      </c>
      <c r="I11" s="46" t="n">
        <v>0.15</v>
      </c>
      <c r="J11" s="40" t="n">
        <v>500000</v>
      </c>
      <c r="K11" s="40" t="n">
        <v>1000000</v>
      </c>
      <c r="L11" s="40" t="n"/>
      <c r="M11" s="40" t="n"/>
      <c r="N11" s="42" t="n">
        <v>46023</v>
      </c>
      <c r="O11" s="42" t="n">
        <v>46387</v>
      </c>
      <c r="P11" s="37" t="inlineStr">
        <is>
          <t>Giải trí / Fitness</t>
        </is>
      </c>
      <c r="Q11" s="37" t="inlineStr">
        <is>
          <t>SAMPLE DATA — có thể xóa</t>
        </is>
      </c>
      <c r="R11" s="45" t="str">
        <f>IF(B11="","",IF(ISNA(MATCH(B11,CARDS!$A$5:$A$34,0)),"⚠ Card ID không tồn tại",IF(E11="","⚠ Thiếu Nhóm cashback",IF(OR(SUMPRODUCT(($B$5:$B$304=B11)*($E$5:$E$304=E11)*($J$5:$J$304&lt;&gt;J11))&gt;0,SUMPRODUCT(($B$5:$B$304=B11)*($K$5:$K$304&lt;&gt;K11))&gt;0),"⚠ Cap không đồng nhất","✓ OK"))))</f>
        <v>✓ OK</v>
      </c>
      <c r="S11" s="43" t="str">
        <f>IF(OR(B11="",E11=""),"",IF(COUNTIFS($B$5:$B11,B11,$E$5:$E11,E11)=1,MAX($S$4:$S10)+1,""))</f>
        <v/>
      </c>
    </row>
    <row r="12">
      <c r="A12" s="44" t="str">
        <f>IF(B12="","","R"&amp;TEXT(ROW()-4,"000"))</f>
        <v>R008</v>
      </c>
      <c r="B12" s="37" t="inlineStr">
        <is>
          <t>VPB-JCBZ</t>
        </is>
      </c>
      <c r="C12" s="45" t="str">
        <f>IF(B12="","",IFERROR(INDEX(CARDS!$B$5:$B$34,MATCH(B12,CARDS!$A$5:$A$34,0)),"⚠ Card ID?"))</f>
        <v>VPBank</v>
      </c>
      <c r="D12" s="45" t="str">
        <f>IF(B12="","",IFERROR(INDEX(CARDS!$C$5:$C$34,MATCH(B12,CARDS!$A$5:$A$34,0)),"⚠ Card ID?"))</f>
        <v>JCB Z Card</v>
      </c>
      <c r="E12" s="37" t="inlineStr">
        <is>
          <t>Group 2</t>
        </is>
      </c>
      <c r="F12" s="37" t="inlineStr">
        <is>
          <t>Entertainment / Fitness</t>
        </is>
      </c>
      <c r="G12" s="41" t="n">
        <v>7997</v>
      </c>
      <c r="H12" s="45" t="str">
        <f>IF(G12="","",IFERROR(INDEX(MCC_MASTER!$B$5:$B$504,MATCH(G12,MCC_MASTER!$A$5:$A$504,0)),"⚠ MCC chưa có trong MCC_MASTER"))</f>
        <v>Membership Clubs (Sports / Recreation)</v>
      </c>
      <c r="I12" s="46" t="n">
        <v>0.15</v>
      </c>
      <c r="J12" s="40" t="n">
        <v>500000</v>
      </c>
      <c r="K12" s="40" t="n">
        <v>1000000</v>
      </c>
      <c r="L12" s="40" t="n"/>
      <c r="M12" s="40" t="n"/>
      <c r="N12" s="42" t="n">
        <v>46023</v>
      </c>
      <c r="O12" s="42" t="n">
        <v>46387</v>
      </c>
      <c r="P12" s="37" t="inlineStr">
        <is>
          <t>Giải trí / Fitness</t>
        </is>
      </c>
      <c r="Q12" s="37" t="inlineStr">
        <is>
          <t>SAMPLE DATA — có thể xóa</t>
        </is>
      </c>
      <c r="R12" s="45" t="str">
        <f>IF(B12="","",IF(ISNA(MATCH(B12,CARDS!$A$5:$A$34,0)),"⚠ Card ID không tồn tại",IF(E12="","⚠ Thiếu Nhóm cashback",IF(OR(SUMPRODUCT(($B$5:$B$304=B12)*($E$5:$E$304=E12)*($J$5:$J$304&lt;&gt;J12))&gt;0,SUMPRODUCT(($B$5:$B$304=B12)*($K$5:$K$304&lt;&gt;K12))&gt;0),"⚠ Cap không đồng nhất","✓ OK"))))</f>
        <v>✓ OK</v>
      </c>
      <c r="S12" s="43" t="str">
        <f>IF(OR(B12="",E12=""),"",IF(COUNTIFS($B$5:$B12,B12,$E$5:$E12,E12)=1,MAX($S$4:$S11)+1,""))</f>
        <v/>
      </c>
    </row>
    <row r="13">
      <c r="A13" s="44" t="str">
        <f>IF(B13="","","R"&amp;TEXT(ROW()-4,"000"))</f>
        <v>R009</v>
      </c>
      <c r="B13" s="37" t="inlineStr">
        <is>
          <t>VPB-JCBZ</t>
        </is>
      </c>
      <c r="C13" s="45" t="str">
        <f>IF(B13="","",IFERROR(INDEX(CARDS!$B$5:$B$34,MATCH(B13,CARDS!$A$5:$A$34,0)),"⚠ Card ID?"))</f>
        <v>VPBank</v>
      </c>
      <c r="D13" s="45" t="str">
        <f>IF(B13="","",IFERROR(INDEX(CARDS!$C$5:$C$34,MATCH(B13,CARDS!$A$5:$A$34,0)),"⚠ Card ID?"))</f>
        <v>JCB Z Card</v>
      </c>
      <c r="E13" s="37" t="inlineStr">
        <is>
          <t>Group 3</t>
        </is>
      </c>
      <c r="F13" s="37" t="inlineStr">
        <is>
          <t>Transport / Food Delivery</t>
        </is>
      </c>
      <c r="G13" s="41" t="n">
        <v>4121</v>
      </c>
      <c r="H13" s="45" t="str">
        <f>IF(G13="","",IFERROR(INDEX(MCC_MASTER!$B$5:$B$504,MATCH(G13,MCC_MASTER!$A$5:$A$504,0)),"⚠ MCC chưa có trong MCC_MASTER"))</f>
        <v>Taxicabs / Limousines</v>
      </c>
      <c r="I13" s="46" t="n">
        <v>0.15</v>
      </c>
      <c r="J13" s="40" t="n">
        <v>500000</v>
      </c>
      <c r="K13" s="40" t="n">
        <v>1000000</v>
      </c>
      <c r="L13" s="40" t="n"/>
      <c r="M13" s="40" t="n"/>
      <c r="N13" s="42" t="n">
        <v>46023</v>
      </c>
      <c r="O13" s="42" t="n">
        <v>46387</v>
      </c>
      <c r="P13" s="37" t="inlineStr">
        <is>
          <t>Di chuyển / giao đồ ăn (5814 trùng Nhóm 1 → chọn Rule ID để vào nhóm này)</t>
        </is>
      </c>
      <c r="Q13" s="37" t="inlineStr">
        <is>
          <t>SAMPLE DATA — có thể xóa</t>
        </is>
      </c>
      <c r="R13" s="45" t="str">
        <f>IF(B13="","",IF(ISNA(MATCH(B13,CARDS!$A$5:$A$34,0)),"⚠ Card ID không tồn tại",IF(E13="","⚠ Thiếu Nhóm cashback",IF(OR(SUMPRODUCT(($B$5:$B$304=B13)*($E$5:$E$304=E13)*($J$5:$J$304&lt;&gt;J13))&gt;0,SUMPRODUCT(($B$5:$B$304=B13)*($K$5:$K$304&lt;&gt;K13))&gt;0),"⚠ Cap không đồng nhất","✓ OK"))))</f>
        <v>✓ OK</v>
      </c>
      <c r="S13" s="43">
        <f>IF(OR(B13="",E13=""),"",IF(COUNTIFS($B$5:$B13,B13,$E$5:$E13,E13)=1,MAX($S$4:$S12)+1,""))</f>
        <v>3</v>
      </c>
    </row>
    <row r="14">
      <c r="A14" s="44" t="str">
        <f>IF(B14="","","R"&amp;TEXT(ROW()-4,"000"))</f>
        <v>R010</v>
      </c>
      <c r="B14" s="37" t="inlineStr">
        <is>
          <t>VPB-JCBZ</t>
        </is>
      </c>
      <c r="C14" s="45" t="str">
        <f>IF(B14="","",IFERROR(INDEX(CARDS!$B$5:$B$34,MATCH(B14,CARDS!$A$5:$A$34,0)),"⚠ Card ID?"))</f>
        <v>VPBank</v>
      </c>
      <c r="D14" s="45" t="str">
        <f>IF(B14="","",IFERROR(INDEX(CARDS!$C$5:$C$34,MATCH(B14,CARDS!$A$5:$A$34,0)),"⚠ Card ID?"))</f>
        <v>JCB Z Card</v>
      </c>
      <c r="E14" s="37" t="inlineStr">
        <is>
          <t>Group 3</t>
        </is>
      </c>
      <c r="F14" s="37" t="inlineStr">
        <is>
          <t>Transport / Food Delivery</t>
        </is>
      </c>
      <c r="G14" s="41" t="n">
        <v>5814</v>
      </c>
      <c r="H14" s="45" t="str">
        <f>IF(G14="","",IFERROR(INDEX(MCC_MASTER!$B$5:$B$504,MATCH(G14,MCC_MASTER!$A$5:$A$504,0)),"⚠ MCC chưa có trong MCC_MASTER"))</f>
        <v>Fast Food Restaurants</v>
      </c>
      <c r="I14" s="46" t="n">
        <v>0.15</v>
      </c>
      <c r="J14" s="40" t="n">
        <v>500000</v>
      </c>
      <c r="K14" s="40" t="n">
        <v>1000000</v>
      </c>
      <c r="L14" s="40" t="n"/>
      <c r="M14" s="40" t="n"/>
      <c r="N14" s="42" t="n">
        <v>46023</v>
      </c>
      <c r="O14" s="42" t="n">
        <v>46387</v>
      </c>
      <c r="P14" s="37" t="inlineStr">
        <is>
          <t>Di chuyển / giao đồ ăn (5814 trùng Nhóm 1 → chọn Rule ID để vào nhóm này)</t>
        </is>
      </c>
      <c r="Q14" s="37" t="inlineStr">
        <is>
          <t>SAMPLE DATA — có thể xóa</t>
        </is>
      </c>
      <c r="R14" s="45" t="str">
        <f>IF(B14="","",IF(ISNA(MATCH(B14,CARDS!$A$5:$A$34,0)),"⚠ Card ID không tồn tại",IF(E14="","⚠ Thiếu Nhóm cashback",IF(OR(SUMPRODUCT(($B$5:$B$304=B14)*($E$5:$E$304=E14)*($J$5:$J$304&lt;&gt;J14))&gt;0,SUMPRODUCT(($B$5:$B$304=B14)*($K$5:$K$304&lt;&gt;K14))&gt;0),"⚠ Cap không đồng nhất","✓ OK"))))</f>
        <v>✓ OK</v>
      </c>
      <c r="S14" s="43" t="str">
        <f>IF(OR(B14="",E14=""),"",IF(COUNTIFS($B$5:$B14,B14,$E$5:$E14,E14)=1,MAX($S$4:$S13)+1,""))</f>
        <v/>
      </c>
    </row>
    <row r="15">
      <c r="A15" s="44" t="str">
        <f>IF(B15="","","R"&amp;TEXT(ROW()-4,"000"))</f>
        <v>R011</v>
      </c>
      <c r="B15" s="37" t="inlineStr">
        <is>
          <t>VIB-A</t>
        </is>
      </c>
      <c r="C15" s="45" t="str">
        <f>IF(B15="","",IFERROR(INDEX(CARDS!$B$5:$B$34,MATCH(B15,CARDS!$A$5:$A$34,0)),"⚠ Card ID?"))</f>
        <v>VIB</v>
      </c>
      <c r="D15" s="45" t="str">
        <f>IF(B15="","",IFERROR(INDEX(CARDS!$C$5:$C$34,MATCH(B15,CARDS!$A$5:$A$34,0)),"⚠ Card ID?"))</f>
        <v>Cashback Demo A</v>
      </c>
      <c r="E15" s="37" t="inlineStr">
        <is>
          <t>Group 1</t>
        </is>
      </c>
      <c r="F15" s="37" t="inlineStr">
        <is>
          <t>Groceries</t>
        </is>
      </c>
      <c r="G15" s="41" t="n">
        <v>5411</v>
      </c>
      <c r="H15" s="45" t="str">
        <f>IF(G15="","",IFERROR(INDEX(MCC_MASTER!$B$5:$B$504,MATCH(G15,MCC_MASTER!$A$5:$A$504,0)),"⚠ MCC chưa có trong MCC_MASTER"))</f>
        <v>Grocery Stores / Supermarkets</v>
      </c>
      <c r="I15" s="46" t="n">
        <v>0.1</v>
      </c>
      <c r="J15" s="40" t="n">
        <v>500000</v>
      </c>
      <c r="K15" s="40" t="n">
        <v>1000000</v>
      </c>
      <c r="L15" s="40" t="n"/>
      <c r="M15" s="40" t="n"/>
      <c r="N15" s="42" t="n"/>
      <c r="O15" s="42" t="n"/>
      <c r="P15" s="37" t="n"/>
      <c r="Q15" s="37" t="inlineStr">
        <is>
          <t>SAMPLE DATA — có thể xóa</t>
        </is>
      </c>
      <c r="R15" s="45" t="str">
        <f>IF(B15="","",IF(ISNA(MATCH(B15,CARDS!$A$5:$A$34,0)),"⚠ Card ID không tồn tại",IF(E15="","⚠ Thiếu Nhóm cashback",IF(OR(SUMPRODUCT(($B$5:$B$304=B15)*($E$5:$E$304=E15)*($J$5:$J$304&lt;&gt;J15))&gt;0,SUMPRODUCT(($B$5:$B$304=B15)*($K$5:$K$304&lt;&gt;K15))&gt;0),"⚠ Cap không đồng nhất","✓ OK"))))</f>
        <v>✓ OK</v>
      </c>
      <c r="S15" s="43">
        <f>IF(OR(B15="",E15=""),"",IF(COUNTIFS($B$5:$B15,B15,$E$5:$E15,E15)=1,MAX($S$4:$S14)+1,""))</f>
        <v>4</v>
      </c>
    </row>
    <row r="16">
      <c r="A16" s="44" t="str">
        <f>IF(B16="","","R"&amp;TEXT(ROW()-4,"000"))</f>
        <v>R012</v>
      </c>
      <c r="B16" s="37" t="inlineStr">
        <is>
          <t>VIB-A</t>
        </is>
      </c>
      <c r="C16" s="45" t="str">
        <f>IF(B16="","",IFERROR(INDEX(CARDS!$B$5:$B$34,MATCH(B16,CARDS!$A$5:$A$34,0)),"⚠ Card ID?"))</f>
        <v>VIB</v>
      </c>
      <c r="D16" s="45" t="str">
        <f>IF(B16="","",IFERROR(INDEX(CARDS!$C$5:$C$34,MATCH(B16,CARDS!$A$5:$A$34,0)),"⚠ Card ID?"))</f>
        <v>Cashback Demo A</v>
      </c>
      <c r="E16" s="37" t="inlineStr">
        <is>
          <t>Group 1</t>
        </is>
      </c>
      <c r="F16" s="37" t="inlineStr">
        <is>
          <t>Groceries</t>
        </is>
      </c>
      <c r="G16" s="41" t="n">
        <v>5499</v>
      </c>
      <c r="H16" s="45" t="str">
        <f>IF(G16="","",IFERROR(INDEX(MCC_MASTER!$B$5:$B$504,MATCH(G16,MCC_MASTER!$A$5:$A$504,0)),"⚠ MCC chưa có trong MCC_MASTER"))</f>
        <v>Misc. Food Stores – Convenience</v>
      </c>
      <c r="I16" s="46" t="n">
        <v>0.1</v>
      </c>
      <c r="J16" s="40" t="n">
        <v>500000</v>
      </c>
      <c r="K16" s="40" t="n">
        <v>1000000</v>
      </c>
      <c r="L16" s="40" t="n"/>
      <c r="M16" s="40" t="n"/>
      <c r="N16" s="42" t="n"/>
      <c r="O16" s="42" t="n"/>
      <c r="P16" s="37" t="n"/>
      <c r="Q16" s="37" t="inlineStr">
        <is>
          <t>SAMPLE DATA — có thể xóa</t>
        </is>
      </c>
      <c r="R16" s="45" t="str">
        <f>IF(B16="","",IF(ISNA(MATCH(B16,CARDS!$A$5:$A$34,0)),"⚠ Card ID không tồn tại",IF(E16="","⚠ Thiếu Nhóm cashback",IF(OR(SUMPRODUCT(($B$5:$B$304=B16)*($E$5:$E$304=E16)*($J$5:$J$304&lt;&gt;J16))&gt;0,SUMPRODUCT(($B$5:$B$304=B16)*($K$5:$K$304&lt;&gt;K16))&gt;0),"⚠ Cap không đồng nhất","✓ OK"))))</f>
        <v>✓ OK</v>
      </c>
      <c r="S16" s="43" t="str">
        <f>IF(OR(B16="",E16=""),"",IF(COUNTIFS($B$5:$B16,B16,$E$5:$E16,E16)=1,MAX($S$4:$S15)+1,""))</f>
        <v/>
      </c>
    </row>
    <row r="17">
      <c r="A17" s="44" t="str">
        <f>IF(B17="","","R"&amp;TEXT(ROW()-4,"000"))</f>
        <v>R013</v>
      </c>
      <c r="B17" s="37" t="inlineStr">
        <is>
          <t>VIB-A</t>
        </is>
      </c>
      <c r="C17" s="45" t="str">
        <f>IF(B17="","",IFERROR(INDEX(CARDS!$B$5:$B$34,MATCH(B17,CARDS!$A$5:$A$34,0)),"⚠ Card ID?"))</f>
        <v>VIB</v>
      </c>
      <c r="D17" s="45" t="str">
        <f>IF(B17="","",IFERROR(INDEX(CARDS!$C$5:$C$34,MATCH(B17,CARDS!$A$5:$A$34,0)),"⚠ Card ID?"))</f>
        <v>Cashback Demo A</v>
      </c>
      <c r="E17" s="37" t="inlineStr">
        <is>
          <t>Group 2</t>
        </is>
      </c>
      <c r="F17" s="37" t="inlineStr">
        <is>
          <t>Shopping</t>
        </is>
      </c>
      <c r="G17" s="41" t="n">
        <v>5311</v>
      </c>
      <c r="H17" s="45" t="str">
        <f>IF(G17="","",IFERROR(INDEX(MCC_MASTER!$B$5:$B$504,MATCH(G17,MCC_MASTER!$A$5:$A$504,0)),"⚠ MCC chưa có trong MCC_MASTER"))</f>
        <v>Department Stores</v>
      </c>
      <c r="I17" s="46" t="n">
        <v>0.1</v>
      </c>
      <c r="J17" s="40" t="n">
        <v>500000</v>
      </c>
      <c r="K17" s="40" t="n">
        <v>1000000</v>
      </c>
      <c r="L17" s="40" t="n"/>
      <c r="M17" s="40" t="n"/>
      <c r="N17" s="42" t="n"/>
      <c r="O17" s="42" t="n"/>
      <c r="P17" s="37" t="n"/>
      <c r="Q17" s="37" t="inlineStr">
        <is>
          <t>SAMPLE DATA — có thể xóa</t>
        </is>
      </c>
      <c r="R17" s="45" t="str">
        <f>IF(B17="","",IF(ISNA(MATCH(B17,CARDS!$A$5:$A$34,0)),"⚠ Card ID không tồn tại",IF(E17="","⚠ Thiếu Nhóm cashback",IF(OR(SUMPRODUCT(($B$5:$B$304=B17)*($E$5:$E$304=E17)*($J$5:$J$304&lt;&gt;J17))&gt;0,SUMPRODUCT(($B$5:$B$304=B17)*($K$5:$K$304&lt;&gt;K17))&gt;0),"⚠ Cap không đồng nhất","✓ OK"))))</f>
        <v>✓ OK</v>
      </c>
      <c r="S17" s="43">
        <f>IF(OR(B17="",E17=""),"",IF(COUNTIFS($B$5:$B17,B17,$E$5:$E17,E17)=1,MAX($S$4:$S16)+1,""))</f>
        <v>5</v>
      </c>
    </row>
    <row r="18">
      <c r="A18" s="44" t="str">
        <f>IF(B18="","","R"&amp;TEXT(ROW()-4,"000"))</f>
        <v>R014</v>
      </c>
      <c r="B18" s="37" t="inlineStr">
        <is>
          <t>VIB-A</t>
        </is>
      </c>
      <c r="C18" s="45" t="str">
        <f>IF(B18="","",IFERROR(INDEX(CARDS!$B$5:$B$34,MATCH(B18,CARDS!$A$5:$A$34,0)),"⚠ Card ID?"))</f>
        <v>VIB</v>
      </c>
      <c r="D18" s="45" t="str">
        <f>IF(B18="","",IFERROR(INDEX(CARDS!$C$5:$C$34,MATCH(B18,CARDS!$A$5:$A$34,0)),"⚠ Card ID?"))</f>
        <v>Cashback Demo A</v>
      </c>
      <c r="E18" s="37" t="inlineStr">
        <is>
          <t>Group 2</t>
        </is>
      </c>
      <c r="F18" s="37" t="inlineStr">
        <is>
          <t>Shopping</t>
        </is>
      </c>
      <c r="G18" s="41" t="n">
        <v>5399</v>
      </c>
      <c r="H18" s="45" t="str">
        <f>IF(G18="","",IFERROR(INDEX(MCC_MASTER!$B$5:$B$504,MATCH(G18,MCC_MASTER!$A$5:$A$504,0)),"⚠ MCC chưa có trong MCC_MASTER"))</f>
        <v>Misc. General Merchandise</v>
      </c>
      <c r="I18" s="46" t="n">
        <v>0.1</v>
      </c>
      <c r="J18" s="40" t="n">
        <v>500000</v>
      </c>
      <c r="K18" s="40" t="n">
        <v>1000000</v>
      </c>
      <c r="L18" s="40" t="n"/>
      <c r="M18" s="40" t="n"/>
      <c r="N18" s="42" t="n"/>
      <c r="O18" s="42" t="n"/>
      <c r="P18" s="37" t="n"/>
      <c r="Q18" s="37" t="inlineStr">
        <is>
          <t>SAMPLE DATA — có thể xóa</t>
        </is>
      </c>
      <c r="R18" s="45" t="str">
        <f>IF(B18="","",IF(ISNA(MATCH(B18,CARDS!$A$5:$A$34,0)),"⚠ Card ID không tồn tại",IF(E18="","⚠ Thiếu Nhóm cashback",IF(OR(SUMPRODUCT(($B$5:$B$304=B18)*($E$5:$E$304=E18)*($J$5:$J$304&lt;&gt;J18))&gt;0,SUMPRODUCT(($B$5:$B$304=B18)*($K$5:$K$304&lt;&gt;K18))&gt;0),"⚠ Cap không đồng nhất","✓ OK"))))</f>
        <v>✓ OK</v>
      </c>
      <c r="S18" s="43" t="str">
        <f>IF(OR(B18="",E18=""),"",IF(COUNTIFS($B$5:$B18,B18,$E$5:$E18,E18)=1,MAX($S$4:$S17)+1,""))</f>
        <v/>
      </c>
    </row>
    <row r="19">
      <c r="A19" s="44" t="str">
        <f>IF(B19="","","R"&amp;TEXT(ROW()-4,"000"))</f>
        <v>R015</v>
      </c>
      <c r="B19" s="37" t="inlineStr">
        <is>
          <t>TCB-B</t>
        </is>
      </c>
      <c r="C19" s="45" t="str">
        <f>IF(B19="","",IFERROR(INDEX(CARDS!$B$5:$B$34,MATCH(B19,CARDS!$A$5:$A$34,0)),"⚠ Card ID?"))</f>
        <v>Techcombank</v>
      </c>
      <c r="D19" s="45" t="str">
        <f>IF(B19="","",IFERROR(INDEX(CARDS!$C$5:$C$34,MATCH(B19,CARDS!$A$5:$A$34,0)),"⚠ Card ID?"))</f>
        <v>Cashback Demo B</v>
      </c>
      <c r="E19" s="37" t="inlineStr">
        <is>
          <t>Group 1</t>
        </is>
      </c>
      <c r="F19" s="37" t="inlineStr">
        <is>
          <t>Fuel &amp; Transport</t>
        </is>
      </c>
      <c r="G19" s="41" t="n">
        <v>5541</v>
      </c>
      <c r="H19" s="45" t="str">
        <f>IF(G19="","",IFERROR(INDEX(MCC_MASTER!$B$5:$B$504,MATCH(G19,MCC_MASTER!$A$5:$A$504,0)),"⚠ MCC chưa có trong MCC_MASTER"))</f>
        <v>Service Stations</v>
      </c>
      <c r="I19" s="46" t="n">
        <v>0.05</v>
      </c>
      <c r="J19" s="40" t="n">
        <v>300000</v>
      </c>
      <c r="K19" s="40" t="n">
        <v>2000000</v>
      </c>
      <c r="L19" s="40" t="n"/>
      <c r="M19" s="40" t="n"/>
      <c r="N19" s="42" t="n"/>
      <c r="O19" s="42" t="n"/>
      <c r="P19" s="37" t="n"/>
      <c r="Q19" s="37" t="inlineStr">
        <is>
          <t>SAMPLE DATA — có thể xóa</t>
        </is>
      </c>
      <c r="R19" s="45" t="str">
        <f>IF(B19="","",IF(ISNA(MATCH(B19,CARDS!$A$5:$A$34,0)),"⚠ Card ID không tồn tại",IF(E19="","⚠ Thiếu Nhóm cashback",IF(OR(SUMPRODUCT(($B$5:$B$304=B19)*($E$5:$E$304=E19)*($J$5:$J$304&lt;&gt;J19))&gt;0,SUMPRODUCT(($B$5:$B$304=B19)*($K$5:$K$304&lt;&gt;K19))&gt;0),"⚠ Cap không đồng nhất","✓ OK"))))</f>
        <v>✓ OK</v>
      </c>
      <c r="S19" s="43">
        <f>IF(OR(B19="",E19=""),"",IF(COUNTIFS($B$5:$B19,B19,$E$5:$E19,E19)=1,MAX($S$4:$S18)+1,""))</f>
        <v>6</v>
      </c>
    </row>
    <row r="20">
      <c r="A20" s="44" t="str">
        <f>IF(B20="","","R"&amp;TEXT(ROW()-4,"000"))</f>
        <v>R016</v>
      </c>
      <c r="B20" s="37" t="inlineStr">
        <is>
          <t>TCB-B</t>
        </is>
      </c>
      <c r="C20" s="45" t="str">
        <f>IF(B20="","",IFERROR(INDEX(CARDS!$B$5:$B$34,MATCH(B20,CARDS!$A$5:$A$34,0)),"⚠ Card ID?"))</f>
        <v>Techcombank</v>
      </c>
      <c r="D20" s="45" t="str">
        <f>IF(B20="","",IFERROR(INDEX(CARDS!$C$5:$C$34,MATCH(B20,CARDS!$A$5:$A$34,0)),"⚠ Card ID?"))</f>
        <v>Cashback Demo B</v>
      </c>
      <c r="E20" s="37" t="inlineStr">
        <is>
          <t>Group 1</t>
        </is>
      </c>
      <c r="F20" s="37" t="inlineStr">
        <is>
          <t>Fuel &amp; Transport</t>
        </is>
      </c>
      <c r="G20" s="41" t="n">
        <v>5542</v>
      </c>
      <c r="H20" s="45" t="str">
        <f>IF(G20="","",IFERROR(INDEX(MCC_MASTER!$B$5:$B$504,MATCH(G20,MCC_MASTER!$A$5:$A$504,0)),"⚠ MCC chưa có trong MCC_MASTER"))</f>
        <v>Automated Fuel Dispensers</v>
      </c>
      <c r="I20" s="46" t="n">
        <v>0.05</v>
      </c>
      <c r="J20" s="40" t="n">
        <v>300000</v>
      </c>
      <c r="K20" s="40" t="n">
        <v>2000000</v>
      </c>
      <c r="L20" s="40" t="n"/>
      <c r="M20" s="40" t="n"/>
      <c r="N20" s="42" t="n"/>
      <c r="O20" s="42" t="n"/>
      <c r="P20" s="37" t="n"/>
      <c r="Q20" s="37" t="inlineStr">
        <is>
          <t>SAMPLE DATA — có thể xóa</t>
        </is>
      </c>
      <c r="R20" s="45" t="str">
        <f>IF(B20="","",IF(ISNA(MATCH(B20,CARDS!$A$5:$A$34,0)),"⚠ Card ID không tồn tại",IF(E20="","⚠ Thiếu Nhóm cashback",IF(OR(SUMPRODUCT(($B$5:$B$304=B20)*($E$5:$E$304=E20)*($J$5:$J$304&lt;&gt;J20))&gt;0,SUMPRODUCT(($B$5:$B$304=B20)*($K$5:$K$304&lt;&gt;K20))&gt;0),"⚠ Cap không đồng nhất","✓ OK"))))</f>
        <v>✓ OK</v>
      </c>
      <c r="S20" s="43" t="str">
        <f>IF(OR(B20="",E20=""),"",IF(COUNTIFS($B$5:$B20,B20,$E$5:$E20,E20)=1,MAX($S$4:$S19)+1,""))</f>
        <v/>
      </c>
    </row>
    <row r="21">
      <c r="A21" s="44" t="str">
        <f>IF(B21="","","R"&amp;TEXT(ROW()-4,"000"))</f>
        <v>R017</v>
      </c>
      <c r="B21" s="37" t="inlineStr">
        <is>
          <t>TCB-B</t>
        </is>
      </c>
      <c r="C21" s="45" t="str">
        <f>IF(B21="","",IFERROR(INDEX(CARDS!$B$5:$B$34,MATCH(B21,CARDS!$A$5:$A$34,0)),"⚠ Card ID?"))</f>
        <v>Techcombank</v>
      </c>
      <c r="D21" s="45" t="str">
        <f>IF(B21="","",IFERROR(INDEX(CARDS!$C$5:$C$34,MATCH(B21,CARDS!$A$5:$A$34,0)),"⚠ Card ID?"))</f>
        <v>Cashback Demo B</v>
      </c>
      <c r="E21" s="37" t="inlineStr">
        <is>
          <t>Group 1</t>
        </is>
      </c>
      <c r="F21" s="37" t="inlineStr">
        <is>
          <t>Fuel &amp; Transport</t>
        </is>
      </c>
      <c r="G21" s="41" t="n">
        <v>4121</v>
      </c>
      <c r="H21" s="45" t="str">
        <f>IF(G21="","",IFERROR(INDEX(MCC_MASTER!$B$5:$B$504,MATCH(G21,MCC_MASTER!$A$5:$A$504,0)),"⚠ MCC chưa có trong MCC_MASTER"))</f>
        <v>Taxicabs / Limousines</v>
      </c>
      <c r="I21" s="46" t="n">
        <v>0.05</v>
      </c>
      <c r="J21" s="40" t="n">
        <v>300000</v>
      </c>
      <c r="K21" s="40" t="n">
        <v>2000000</v>
      </c>
      <c r="L21" s="40" t="n"/>
      <c r="M21" s="40" t="n"/>
      <c r="N21" s="42" t="n"/>
      <c r="O21" s="42" t="n"/>
      <c r="P21" s="37" t="n"/>
      <c r="Q21" s="37" t="inlineStr">
        <is>
          <t>SAMPLE DATA — có thể xóa</t>
        </is>
      </c>
      <c r="R21" s="45" t="str">
        <f>IF(B21="","",IF(ISNA(MATCH(B21,CARDS!$A$5:$A$34,0)),"⚠ Card ID không tồn tại",IF(E21="","⚠ Thiếu Nhóm cashback",IF(OR(SUMPRODUCT(($B$5:$B$304=B21)*($E$5:$E$304=E21)*($J$5:$J$304&lt;&gt;J21))&gt;0,SUMPRODUCT(($B$5:$B$304=B21)*($K$5:$K$304&lt;&gt;K21))&gt;0),"⚠ Cap không đồng nhất","✓ OK"))))</f>
        <v>✓ OK</v>
      </c>
      <c r="S21" s="43" t="str">
        <f>IF(OR(B21="",E21=""),"",IF(COUNTIFS($B$5:$B21,B21,$E$5:$E21,E21)=1,MAX($S$4:$S20)+1,""))</f>
        <v/>
      </c>
    </row>
    <row r="22">
      <c r="A22" s="44" t="str">
        <f>IF(B22="","","R"&amp;TEXT(ROW()-4,"000"))</f>
        <v>R018</v>
      </c>
      <c r="B22" s="37" t="inlineStr">
        <is>
          <t>TCB-B</t>
        </is>
      </c>
      <c r="C22" s="45" t="str">
        <f>IF(B22="","",IFERROR(INDEX(CARDS!$B$5:$B$34,MATCH(B22,CARDS!$A$5:$A$34,0)),"⚠ Card ID?"))</f>
        <v>Techcombank</v>
      </c>
      <c r="D22" s="45" t="str">
        <f>IF(B22="","",IFERROR(INDEX(CARDS!$C$5:$C$34,MATCH(B22,CARDS!$A$5:$A$34,0)),"⚠ Card ID?"))</f>
        <v>Cashback Demo B</v>
      </c>
      <c r="E22" s="37" t="inlineStr">
        <is>
          <t>Group 2</t>
        </is>
      </c>
      <c r="F22" s="37" t="inlineStr">
        <is>
          <t>Healthcare</t>
        </is>
      </c>
      <c r="G22" s="41" t="n">
        <v>8011</v>
      </c>
      <c r="H22" s="45" t="str">
        <f>IF(G22="","",IFERROR(INDEX(MCC_MASTER!$B$5:$B$504,MATCH(G22,MCC_MASTER!$A$5:$A$504,0)),"⚠ MCC chưa có trong MCC_MASTER"))</f>
        <v>Doctors</v>
      </c>
      <c r="I22" s="46" t="n">
        <v>0.05</v>
      </c>
      <c r="J22" s="40" t="n">
        <v>300000</v>
      </c>
      <c r="K22" s="40" t="n">
        <v>2000000</v>
      </c>
      <c r="L22" s="40" t="n"/>
      <c r="M22" s="40" t="n"/>
      <c r="N22" s="42" t="n"/>
      <c r="O22" s="42" t="n"/>
      <c r="P22" s="37" t="n"/>
      <c r="Q22" s="37" t="inlineStr">
        <is>
          <t>SAMPLE DATA — có thể xóa</t>
        </is>
      </c>
      <c r="R22" s="45" t="str">
        <f>IF(B22="","",IF(ISNA(MATCH(B22,CARDS!$A$5:$A$34,0)),"⚠ Card ID không tồn tại",IF(E22="","⚠ Thiếu Nhóm cashback",IF(OR(SUMPRODUCT(($B$5:$B$304=B22)*($E$5:$E$304=E22)*($J$5:$J$304&lt;&gt;J22))&gt;0,SUMPRODUCT(($B$5:$B$304=B22)*($K$5:$K$304&lt;&gt;K22))&gt;0),"⚠ Cap không đồng nhất","✓ OK"))))</f>
        <v>✓ OK</v>
      </c>
      <c r="S22" s="43">
        <f>IF(OR(B22="",E22=""),"",IF(COUNTIFS($B$5:$B22,B22,$E$5:$E22,E22)=1,MAX($S$4:$S21)+1,""))</f>
        <v>7</v>
      </c>
    </row>
    <row r="23">
      <c r="A23" s="44" t="str">
        <f>IF(B23="","","R"&amp;TEXT(ROW()-4,"000"))</f>
        <v>R019</v>
      </c>
      <c r="B23" s="37" t="inlineStr">
        <is>
          <t>TCB-B</t>
        </is>
      </c>
      <c r="C23" s="45" t="str">
        <f>IF(B23="","",IFERROR(INDEX(CARDS!$B$5:$B$34,MATCH(B23,CARDS!$A$5:$A$34,0)),"⚠ Card ID?"))</f>
        <v>Techcombank</v>
      </c>
      <c r="D23" s="45" t="str">
        <f>IF(B23="","",IFERROR(INDEX(CARDS!$C$5:$C$34,MATCH(B23,CARDS!$A$5:$A$34,0)),"⚠ Card ID?"))</f>
        <v>Cashback Demo B</v>
      </c>
      <c r="E23" s="37" t="inlineStr">
        <is>
          <t>Group 2</t>
        </is>
      </c>
      <c r="F23" s="37" t="inlineStr">
        <is>
          <t>Healthcare</t>
        </is>
      </c>
      <c r="G23" s="41" t="n">
        <v>8062</v>
      </c>
      <c r="H23" s="45" t="str">
        <f>IF(G23="","",IFERROR(INDEX(MCC_MASTER!$B$5:$B$504,MATCH(G23,MCC_MASTER!$A$5:$A$504,0)),"⚠ MCC chưa có trong MCC_MASTER"))</f>
        <v>Hospitals</v>
      </c>
      <c r="I23" s="46" t="n">
        <v>0.05</v>
      </c>
      <c r="J23" s="40" t="n">
        <v>300000</v>
      </c>
      <c r="K23" s="40" t="n">
        <v>2000000</v>
      </c>
      <c r="L23" s="40" t="n"/>
      <c r="M23" s="40" t="n"/>
      <c r="N23" s="42" t="n"/>
      <c r="O23" s="42" t="n"/>
      <c r="P23" s="37" t="n"/>
      <c r="Q23" s="37" t="inlineStr">
        <is>
          <t>SAMPLE DATA — có thể xóa</t>
        </is>
      </c>
      <c r="R23" s="45" t="str">
        <f>IF(B23="","",IF(ISNA(MATCH(B23,CARDS!$A$5:$A$34,0)),"⚠ Card ID không tồn tại",IF(E23="","⚠ Thiếu Nhóm cashback",IF(OR(SUMPRODUCT(($B$5:$B$304=B23)*($E$5:$E$304=E23)*($J$5:$J$304&lt;&gt;J23))&gt;0,SUMPRODUCT(($B$5:$B$304=B23)*($K$5:$K$304&lt;&gt;K23))&gt;0),"⚠ Cap không đồng nhất","✓ OK"))))</f>
        <v>✓ OK</v>
      </c>
      <c r="S23" s="43" t="str">
        <f>IF(OR(B23="",E23=""),"",IF(COUNTIFS($B$5:$B23,B23,$E$5:$E23,E23)=1,MAX($S$4:$S22)+1,""))</f>
        <v/>
      </c>
    </row>
    <row r="24">
      <c r="A24" s="44" t="str">
        <f>IF(B24="","","R"&amp;TEXT(ROW()-4,"000"))</f>
        <v>R020</v>
      </c>
      <c r="B24" s="37" t="inlineStr">
        <is>
          <t>TCB-B</t>
        </is>
      </c>
      <c r="C24" s="45" t="str">
        <f>IF(B24="","",IFERROR(INDEX(CARDS!$B$5:$B$34,MATCH(B24,CARDS!$A$5:$A$34,0)),"⚠ Card ID?"))</f>
        <v>Techcombank</v>
      </c>
      <c r="D24" s="45" t="str">
        <f>IF(B24="","",IFERROR(INDEX(CARDS!$C$5:$C$34,MATCH(B24,CARDS!$A$5:$A$34,0)),"⚠ Card ID?"))</f>
        <v>Cashback Demo B</v>
      </c>
      <c r="E24" s="37" t="inlineStr">
        <is>
          <t>Group 3</t>
        </is>
      </c>
      <c r="F24" s="37" t="inlineStr">
        <is>
          <t>Utilities &amp; Telecom</t>
        </is>
      </c>
      <c r="G24" s="41" t="n">
        <v>4814</v>
      </c>
      <c r="H24" s="45" t="str">
        <f>IF(G24="","",IFERROR(INDEX(MCC_MASTER!$B$5:$B$504,MATCH(G24,MCC_MASTER!$A$5:$A$504,0)),"⚠ MCC chưa có trong MCC_MASTER"))</f>
        <v>Telecommunication Services</v>
      </c>
      <c r="I24" s="46" t="n">
        <v>0.05</v>
      </c>
      <c r="J24" s="40" t="n">
        <v>300000</v>
      </c>
      <c r="K24" s="40" t="n">
        <v>2000000</v>
      </c>
      <c r="L24" s="40" t="n"/>
      <c r="M24" s="40" t="n"/>
      <c r="N24" s="42" t="n"/>
      <c r="O24" s="42" t="n"/>
      <c r="P24" s="37" t="n"/>
      <c r="Q24" s="37" t="inlineStr">
        <is>
          <t>SAMPLE DATA — có thể xóa</t>
        </is>
      </c>
      <c r="R24" s="45" t="str">
        <f>IF(B24="","",IF(ISNA(MATCH(B24,CARDS!$A$5:$A$34,0)),"⚠ Card ID không tồn tại",IF(E24="","⚠ Thiếu Nhóm cashback",IF(OR(SUMPRODUCT(($B$5:$B$304=B24)*($E$5:$E$304=E24)*($J$5:$J$304&lt;&gt;J24))&gt;0,SUMPRODUCT(($B$5:$B$304=B24)*($K$5:$K$304&lt;&gt;K24))&gt;0),"⚠ Cap không đồng nhất","✓ OK"))))</f>
        <v>✓ OK</v>
      </c>
      <c r="S24" s="43">
        <f>IF(OR(B24="",E24=""),"",IF(COUNTIFS($B$5:$B24,B24,$E$5:$E24,E24)=1,MAX($S$4:$S23)+1,""))</f>
        <v>8</v>
      </c>
    </row>
    <row r="25">
      <c r="A25" s="44" t="str">
        <f>IF(B25="","","R"&amp;TEXT(ROW()-4,"000"))</f>
        <v>R021</v>
      </c>
      <c r="B25" s="37" t="inlineStr">
        <is>
          <t>TCB-B</t>
        </is>
      </c>
      <c r="C25" s="45" t="str">
        <f>IF(B25="","",IFERROR(INDEX(CARDS!$B$5:$B$34,MATCH(B25,CARDS!$A$5:$A$34,0)),"⚠ Card ID?"))</f>
        <v>Techcombank</v>
      </c>
      <c r="D25" s="45" t="str">
        <f>IF(B25="","",IFERROR(INDEX(CARDS!$C$5:$C$34,MATCH(B25,CARDS!$A$5:$A$34,0)),"⚠ Card ID?"))</f>
        <v>Cashback Demo B</v>
      </c>
      <c r="E25" s="37" t="inlineStr">
        <is>
          <t>Group 3</t>
        </is>
      </c>
      <c r="F25" s="37" t="inlineStr">
        <is>
          <t>Utilities &amp; Telecom</t>
        </is>
      </c>
      <c r="G25" s="41" t="n">
        <v>4900</v>
      </c>
      <c r="H25" s="45" t="str">
        <f>IF(G25="","",IFERROR(INDEX(MCC_MASTER!$B$5:$B$504,MATCH(G25,MCC_MASTER!$A$5:$A$504,0)),"⚠ MCC chưa có trong MCC_MASTER"))</f>
        <v>Utilities – Electric, Gas, Water, Sanitary</v>
      </c>
      <c r="I25" s="46" t="n">
        <v>0.05</v>
      </c>
      <c r="J25" s="40" t="n">
        <v>300000</v>
      </c>
      <c r="K25" s="40" t="n">
        <v>2000000</v>
      </c>
      <c r="L25" s="40" t="n"/>
      <c r="M25" s="40" t="n"/>
      <c r="N25" s="42" t="n"/>
      <c r="O25" s="42" t="n"/>
      <c r="P25" s="37" t="n"/>
      <c r="Q25" s="37" t="inlineStr">
        <is>
          <t>SAMPLE DATA — có thể xóa</t>
        </is>
      </c>
      <c r="R25" s="45" t="str">
        <f>IF(B25="","",IF(ISNA(MATCH(B25,CARDS!$A$5:$A$34,0)),"⚠ Card ID không tồn tại",IF(E25="","⚠ Thiếu Nhóm cashback",IF(OR(SUMPRODUCT(($B$5:$B$304=B25)*($E$5:$E$304=E25)*($J$5:$J$304&lt;&gt;J25))&gt;0,SUMPRODUCT(($B$5:$B$304=B25)*($K$5:$K$304&lt;&gt;K25))&gt;0),"⚠ Cap không đồng nhất","✓ OK"))))</f>
        <v>✓ OK</v>
      </c>
      <c r="S25" s="43" t="str">
        <f>IF(OR(B25="",E25=""),"",IF(COUNTIFS($B$5:$B25,B25,$E$5:$E25,E25)=1,MAX($S$4:$S24)+1,""))</f>
        <v/>
      </c>
    </row>
    <row r="26">
      <c r="A26" s="44" t="str">
        <f>IF(B26="","","R"&amp;TEXT(ROW()-4,"000"))</f>
        <v>R022</v>
      </c>
      <c r="B26" s="37" t="inlineStr">
        <is>
          <t>UOB-C</t>
        </is>
      </c>
      <c r="C26" s="45" t="str">
        <f>IF(B26="","",IFERROR(INDEX(CARDS!$B$5:$B$34,MATCH(B26,CARDS!$A$5:$A$34,0)),"⚠ Card ID?"))</f>
        <v>UOB</v>
      </c>
      <c r="D26" s="45" t="str">
        <f>IF(B26="","",IFERROR(INDEX(CARDS!$C$5:$C$34,MATCH(B26,CARDS!$A$5:$A$34,0)),"⚠ Card ID?"))</f>
        <v>Cashback Demo C</v>
      </c>
      <c r="E26" s="37" t="inlineStr">
        <is>
          <t>Group 1</t>
        </is>
      </c>
      <c r="F26" s="37" t="inlineStr">
        <is>
          <t>Dining</t>
        </is>
      </c>
      <c r="G26" s="41" t="n">
        <v>5812</v>
      </c>
      <c r="H26" s="45" t="str">
        <f>IF(G26="","",IFERROR(INDEX(MCC_MASTER!$B$5:$B$504,MATCH(G26,MCC_MASTER!$A$5:$A$504,0)),"⚠ MCC chưa có trong MCC_MASTER"))</f>
        <v>Eating Places / Restaurants</v>
      </c>
      <c r="I26" s="46" t="n">
        <v>0.15</v>
      </c>
      <c r="J26" s="40" t="n">
        <v>1000000</v>
      </c>
      <c r="K26" s="40" t="n"/>
      <c r="L26" s="40" t="n"/>
      <c r="M26" s="40" t="n"/>
      <c r="N26" s="42" t="n"/>
      <c r="O26" s="42" t="n"/>
      <c r="P26" s="37" t="n"/>
      <c r="Q26" s="37" t="inlineStr">
        <is>
          <t>SAMPLE DATA — có thể xóa</t>
        </is>
      </c>
      <c r="R26" s="45" t="str">
        <f>IF(B26="","",IF(ISNA(MATCH(B26,CARDS!$A$5:$A$34,0)),"⚠ Card ID không tồn tại",IF(E26="","⚠ Thiếu Nhóm cashback",IF(OR(SUMPRODUCT(($B$5:$B$304=B26)*($E$5:$E$304=E26)*($J$5:$J$304&lt;&gt;J26))&gt;0,SUMPRODUCT(($B$5:$B$304=B26)*($K$5:$K$304&lt;&gt;K26))&gt;0),"⚠ Cap không đồng nhất","✓ OK"))))</f>
        <v>✓ OK</v>
      </c>
      <c r="S26" s="43">
        <f>IF(OR(B26="",E26=""),"",IF(COUNTIFS($B$5:$B26,B26,$E$5:$E26,E26)=1,MAX($S$4:$S25)+1,""))</f>
        <v>9</v>
      </c>
    </row>
    <row r="27">
      <c r="A27" s="44" t="str">
        <f>IF(B27="","","R"&amp;TEXT(ROW()-4,"000"))</f>
        <v>R023</v>
      </c>
      <c r="B27" s="37" t="inlineStr">
        <is>
          <t>UOB-C</t>
        </is>
      </c>
      <c r="C27" s="45" t="str">
        <f>IF(B27="","",IFERROR(INDEX(CARDS!$B$5:$B$34,MATCH(B27,CARDS!$A$5:$A$34,0)),"⚠ Card ID?"))</f>
        <v>UOB</v>
      </c>
      <c r="D27" s="45" t="str">
        <f>IF(B27="","",IFERROR(INDEX(CARDS!$C$5:$C$34,MATCH(B27,CARDS!$A$5:$A$34,0)),"⚠ Card ID?"))</f>
        <v>Cashback Demo C</v>
      </c>
      <c r="E27" s="37" t="inlineStr">
        <is>
          <t>Group 1</t>
        </is>
      </c>
      <c r="F27" s="37" t="inlineStr">
        <is>
          <t>Dining</t>
        </is>
      </c>
      <c r="G27" s="41" t="n">
        <v>5814</v>
      </c>
      <c r="H27" s="45" t="str">
        <f>IF(G27="","",IFERROR(INDEX(MCC_MASTER!$B$5:$B$504,MATCH(G27,MCC_MASTER!$A$5:$A$504,0)),"⚠ MCC chưa có trong MCC_MASTER"))</f>
        <v>Fast Food Restaurants</v>
      </c>
      <c r="I27" s="46" t="n">
        <v>0.15</v>
      </c>
      <c r="J27" s="40" t="n">
        <v>1000000</v>
      </c>
      <c r="K27" s="40" t="n"/>
      <c r="L27" s="40" t="n"/>
      <c r="M27" s="40" t="n"/>
      <c r="N27" s="42" t="n"/>
      <c r="O27" s="42" t="n"/>
      <c r="P27" s="37" t="n"/>
      <c r="Q27" s="37" t="inlineStr">
        <is>
          <t>SAMPLE DATA — có thể xóa</t>
        </is>
      </c>
      <c r="R27" s="45" t="str">
        <f>IF(B27="","",IF(ISNA(MATCH(B27,CARDS!$A$5:$A$34,0)),"⚠ Card ID không tồn tại",IF(E27="","⚠ Thiếu Nhóm cashback",IF(OR(SUMPRODUCT(($B$5:$B$304=B27)*($E$5:$E$304=E27)*($J$5:$J$304&lt;&gt;J27))&gt;0,SUMPRODUCT(($B$5:$B$304=B27)*($K$5:$K$304&lt;&gt;K27))&gt;0),"⚠ Cap không đồng nhất","✓ OK"))))</f>
        <v>✓ OK</v>
      </c>
      <c r="S27" s="43" t="str">
        <f>IF(OR(B27="",E27=""),"",IF(COUNTIFS($B$5:$B27,B27,$E$5:$E27,E27)=1,MAX($S$4:$S26)+1,""))</f>
        <v/>
      </c>
    </row>
    <row r="28">
      <c r="A28" s="44" t="str">
        <f>IF(B28="","","R"&amp;TEXT(ROW()-4,"000"))</f>
        <v>R024</v>
      </c>
      <c r="B28" s="37" t="inlineStr">
        <is>
          <t>MB-D</t>
        </is>
      </c>
      <c r="C28" s="45" t="str">
        <f>IF(B28="","",IFERROR(INDEX(CARDS!$B$5:$B$34,MATCH(B28,CARDS!$A$5:$A$34,0)),"⚠ Card ID?"))</f>
        <v>MB</v>
      </c>
      <c r="D28" s="45" t="str">
        <f>IF(B28="","",IFERROR(INDEX(CARDS!$C$5:$C$34,MATCH(B28,CARDS!$A$5:$A$34,0)),"⚠ Card ID?"))</f>
        <v>Cashback Demo D</v>
      </c>
      <c r="E28" s="37" t="inlineStr">
        <is>
          <t>Dining</t>
        </is>
      </c>
      <c r="F28" s="37" t="inlineStr">
        <is>
          <t>Dining</t>
        </is>
      </c>
      <c r="G28" s="41" t="n">
        <v>5812</v>
      </c>
      <c r="H28" s="45" t="str">
        <f>IF(G28="","",IFERROR(INDEX(MCC_MASTER!$B$5:$B$504,MATCH(G28,MCC_MASTER!$A$5:$A$504,0)),"⚠ MCC chưa có trong MCC_MASTER"))</f>
        <v>Eating Places / Restaurants</v>
      </c>
      <c r="I28" s="46" t="n">
        <v>0.08</v>
      </c>
      <c r="J28" s="40" t="n">
        <v>500000</v>
      </c>
      <c r="K28" s="40" t="n">
        <v>600000</v>
      </c>
      <c r="L28" s="40" t="n">
        <v>5000000</v>
      </c>
      <c r="M28" s="40" t="n"/>
      <c r="N28" s="42" t="n"/>
      <c r="O28" s="42" t="n"/>
      <c r="P28" s="37" t="inlineStr">
        <is>
          <t>Tối đa 5.000.000 chi tiêu tính cashback / tháng</t>
        </is>
      </c>
      <c r="Q28" s="37" t="inlineStr">
        <is>
          <t>SAMPLE DATA — có thể xóa</t>
        </is>
      </c>
      <c r="R28" s="45" t="str">
        <f>IF(B28="","",IF(ISNA(MATCH(B28,CARDS!$A$5:$A$34,0)),"⚠ Card ID không tồn tại",IF(E28="","⚠ Thiếu Nhóm cashback",IF(OR(SUMPRODUCT(($B$5:$B$304=B28)*($E$5:$E$304=E28)*($J$5:$J$304&lt;&gt;J28))&gt;0,SUMPRODUCT(($B$5:$B$304=B28)*($K$5:$K$304&lt;&gt;K28))&gt;0),"⚠ Cap không đồng nhất","✓ OK"))))</f>
        <v>✓ OK</v>
      </c>
      <c r="S28" s="43">
        <f>IF(OR(B28="",E28=""),"",IF(COUNTIFS($B$5:$B28,B28,$E$5:$E28,E28)=1,MAX($S$4:$S27)+1,""))</f>
        <v>10</v>
      </c>
    </row>
    <row r="29">
      <c r="A29" s="44" t="str">
        <f>IF(B29="","","R"&amp;TEXT(ROW()-4,"000"))</f>
        <v>R025</v>
      </c>
      <c r="B29" s="37" t="inlineStr">
        <is>
          <t>MB-D</t>
        </is>
      </c>
      <c r="C29" s="45" t="str">
        <f>IF(B29="","",IFERROR(INDEX(CARDS!$B$5:$B$34,MATCH(B29,CARDS!$A$5:$A$34,0)),"⚠ Card ID?"))</f>
        <v>MB</v>
      </c>
      <c r="D29" s="45" t="str">
        <f>IF(B29="","",IFERROR(INDEX(CARDS!$C$5:$C$34,MATCH(B29,CARDS!$A$5:$A$34,0)),"⚠ Card ID?"))</f>
        <v>Cashback Demo D</v>
      </c>
      <c r="E29" s="37" t="inlineStr">
        <is>
          <t>Fuel</t>
        </is>
      </c>
      <c r="F29" s="37" t="inlineStr">
        <is>
          <t>Fuel</t>
        </is>
      </c>
      <c r="G29" s="41" t="n">
        <v>5541</v>
      </c>
      <c r="H29" s="45" t="str">
        <f>IF(G29="","",IFERROR(INDEX(MCC_MASTER!$B$5:$B$504,MATCH(G29,MCC_MASTER!$A$5:$A$504,0)),"⚠ MCC chưa có trong MCC_MASTER"))</f>
        <v>Service Stations</v>
      </c>
      <c r="I29" s="46" t="n">
        <v>0.03</v>
      </c>
      <c r="J29" s="40" t="n">
        <v>200000</v>
      </c>
      <c r="K29" s="40" t="n">
        <v>600000</v>
      </c>
      <c r="L29" s="40" t="n"/>
      <c r="M29" s="40" t="n"/>
      <c r="N29" s="42" t="n"/>
      <c r="O29" s="42" t="n"/>
      <c r="P29" s="37" t="n"/>
      <c r="Q29" s="37" t="inlineStr">
        <is>
          <t>SAMPLE DATA — có thể xóa</t>
        </is>
      </c>
      <c r="R29" s="45" t="str">
        <f>IF(B29="","",IF(ISNA(MATCH(B29,CARDS!$A$5:$A$34,0)),"⚠ Card ID không tồn tại",IF(E29="","⚠ Thiếu Nhóm cashback",IF(OR(SUMPRODUCT(($B$5:$B$304=B29)*($E$5:$E$304=E29)*($J$5:$J$304&lt;&gt;J29))&gt;0,SUMPRODUCT(($B$5:$B$304=B29)*($K$5:$K$304&lt;&gt;K29))&gt;0),"⚠ Cap không đồng nhất","✓ OK"))))</f>
        <v>✓ OK</v>
      </c>
      <c r="S29" s="43">
        <f>IF(OR(B29="",E29=""),"",IF(COUNTIFS($B$5:$B29,B29,$E$5:$E29,E29)=1,MAX($S$4:$S28)+1,""))</f>
        <v>11</v>
      </c>
    </row>
    <row r="30">
      <c r="A30" s="44" t="str">
        <f>IF(B30="","","R"&amp;TEXT(ROW()-4,"000"))</f>
        <v>R026</v>
      </c>
      <c r="B30" s="37" t="inlineStr">
        <is>
          <t>MB-D</t>
        </is>
      </c>
      <c r="C30" s="45" t="str">
        <f>IF(B30="","",IFERROR(INDEX(CARDS!$B$5:$B$34,MATCH(B30,CARDS!$A$5:$A$34,0)),"⚠ Card ID?"))</f>
        <v>MB</v>
      </c>
      <c r="D30" s="45" t="str">
        <f>IF(B30="","",IFERROR(INDEX(CARDS!$C$5:$C$34,MATCH(B30,CARDS!$A$5:$A$34,0)),"⚠ Card ID?"))</f>
        <v>Cashback Demo D</v>
      </c>
      <c r="E30" s="37" t="inlineStr">
        <is>
          <t>Groceries</t>
        </is>
      </c>
      <c r="F30" s="37" t="inlineStr">
        <is>
          <t>Groceries</t>
        </is>
      </c>
      <c r="G30" s="41" t="n">
        <v>5411</v>
      </c>
      <c r="H30" s="45" t="str">
        <f>IF(G30="","",IFERROR(INDEX(MCC_MASTER!$B$5:$B$504,MATCH(G30,MCC_MASTER!$A$5:$A$504,0)),"⚠ MCC chưa có trong MCC_MASTER"))</f>
        <v>Grocery Stores / Supermarkets</v>
      </c>
      <c r="I30" s="46" t="n">
        <v>0.02</v>
      </c>
      <c r="J30" s="40" t="n">
        <v>100000</v>
      </c>
      <c r="K30" s="40" t="n">
        <v>600000</v>
      </c>
      <c r="L30" s="40" t="n"/>
      <c r="M30" s="40" t="n">
        <v>100000</v>
      </c>
      <c r="N30" s="42" t="n"/>
      <c r="O30" s="42" t="n"/>
      <c r="P30" s="37" t="inlineStr">
        <is>
          <t>Giao dịch tối thiểu 100.000</t>
        </is>
      </c>
      <c r="Q30" s="37" t="inlineStr">
        <is>
          <t>SAMPLE DATA — có thể xóa</t>
        </is>
      </c>
      <c r="R30" s="45" t="str">
        <f>IF(B30="","",IF(ISNA(MATCH(B30,CARDS!$A$5:$A$34,0)),"⚠ Card ID không tồn tại",IF(E30="","⚠ Thiếu Nhóm cashback",IF(OR(SUMPRODUCT(($B$5:$B$304=B30)*($E$5:$E$304=E30)*($J$5:$J$304&lt;&gt;J30))&gt;0,SUMPRODUCT(($B$5:$B$304=B30)*($K$5:$K$304&lt;&gt;K30))&gt;0),"⚠ Cap không đồng nhất","✓ OK"))))</f>
        <v>✓ OK</v>
      </c>
      <c r="S30" s="43">
        <f>IF(OR(B30="",E30=""),"",IF(COUNTIFS($B$5:$B30,B30,$E$5:$E30,E30)=1,MAX($S$4:$S29)+1,""))</f>
        <v>12</v>
      </c>
    </row>
    <row r="31">
      <c r="A31" s="44" t="str">
        <f>IF(B31="","","R"&amp;TEXT(ROW()-4,"000"))</f>
        <v>R027</v>
      </c>
      <c r="B31" s="37" t="inlineStr">
        <is>
          <t>MB-D</t>
        </is>
      </c>
      <c r="C31" s="45" t="str">
        <f>IF(B31="","",IFERROR(INDEX(CARDS!$B$5:$B$34,MATCH(B31,CARDS!$A$5:$A$34,0)),"⚠ Card ID?"))</f>
        <v>MB</v>
      </c>
      <c r="D31" s="45" t="str">
        <f>IF(B31="","",IFERROR(INDEX(CARDS!$C$5:$C$34,MATCH(B31,CARDS!$A$5:$A$34,0)),"⚠ Card ID?"))</f>
        <v>Cashback Demo D</v>
      </c>
      <c r="E31" s="37" t="inlineStr">
        <is>
          <t>Shopping</t>
        </is>
      </c>
      <c r="F31" s="37" t="inlineStr">
        <is>
          <t>Shopping</t>
        </is>
      </c>
      <c r="G31" s="41" t="n">
        <v>5311</v>
      </c>
      <c r="H31" s="45" t="str">
        <f>IF(G31="","",IFERROR(INDEX(MCC_MASTER!$B$5:$B$504,MATCH(G31,MCC_MASTER!$A$5:$A$504,0)),"⚠ MCC chưa có trong MCC_MASTER"))</f>
        <v>Department Stores</v>
      </c>
      <c r="I31" s="46" t="n">
        <v>0.01</v>
      </c>
      <c r="J31" s="40" t="n">
        <v>100000</v>
      </c>
      <c r="K31" s="40" t="n">
        <v>600000</v>
      </c>
      <c r="L31" s="40" t="n"/>
      <c r="M31" s="40" t="n"/>
      <c r="N31" s="42" t="n"/>
      <c r="O31" s="42" t="n"/>
      <c r="P31" s="37" t="n"/>
      <c r="Q31" s="37" t="inlineStr">
        <is>
          <t>SAMPLE DATA — có thể xóa</t>
        </is>
      </c>
      <c r="R31" s="45" t="str">
        <f>IF(B31="","",IF(ISNA(MATCH(B31,CARDS!$A$5:$A$34,0)),"⚠ Card ID không tồn tại",IF(E31="","⚠ Thiếu Nhóm cashback",IF(OR(SUMPRODUCT(($B$5:$B$304=B31)*($E$5:$E$304=E31)*($J$5:$J$304&lt;&gt;J31))&gt;0,SUMPRODUCT(($B$5:$B$304=B31)*($K$5:$K$304&lt;&gt;K31))&gt;0),"⚠ Cap không đồng nhất","✓ OK"))))</f>
        <v>✓ OK</v>
      </c>
      <c r="S31" s="43">
        <f>IF(OR(B31="",E31=""),"",IF(COUNTIFS($B$5:$B31,B31,$E$5:$E31,E31)=1,MAX($S$4:$S30)+1,""))</f>
        <v>13</v>
      </c>
    </row>
    <row r="32">
      <c r="A32" s="44" t="str">
        <f>IF(B32="","","R"&amp;TEXT(ROW()-4,"000"))</f>
        <v/>
      </c>
      <c r="B32" s="37" t="n"/>
      <c r="C32" s="45" t="str">
        <f>IF(B32="","",IFERROR(INDEX(CARDS!$B$5:$B$34,MATCH(B32,CARDS!$A$5:$A$34,0)),"⚠ Card ID?"))</f>
        <v/>
      </c>
      <c r="D32" s="45" t="str">
        <f>IF(B32="","",IFERROR(INDEX(CARDS!$C$5:$C$34,MATCH(B32,CARDS!$A$5:$A$34,0)),"⚠ Card ID?"))</f>
        <v/>
      </c>
      <c r="E32" s="37" t="n"/>
      <c r="F32" s="37" t="n"/>
      <c r="G32" s="41" t="n"/>
      <c r="H32" s="45" t="str">
        <f>IF(G32="","",IFERROR(INDEX(MCC_MASTER!$B$5:$B$504,MATCH(G32,MCC_MASTER!$A$5:$A$504,0)),"⚠ MCC chưa có trong MCC_MASTER"))</f>
        <v/>
      </c>
      <c r="I32" s="46" t="n"/>
      <c r="J32" s="40" t="n"/>
      <c r="K32" s="40" t="n"/>
      <c r="L32" s="40" t="n"/>
      <c r="M32" s="40" t="n"/>
      <c r="N32" s="42" t="n"/>
      <c r="O32" s="42" t="n"/>
      <c r="P32" s="37" t="n"/>
      <c r="Q32" s="37" t="n"/>
      <c r="R32" s="45" t="str">
        <f>IF(B32="","",IF(ISNA(MATCH(B32,CARDS!$A$5:$A$34,0)),"⚠ Card ID không tồn tại",IF(E32="","⚠ Thiếu Nhóm cashback",IF(OR(SUMPRODUCT(($B$5:$B$304=B32)*($E$5:$E$304=E32)*($J$5:$J$304&lt;&gt;J32))&gt;0,SUMPRODUCT(($B$5:$B$304=B32)*($K$5:$K$304&lt;&gt;K32))&gt;0),"⚠ Cap không đồng nhất","✓ OK"))))</f>
        <v/>
      </c>
      <c r="S32" s="43" t="str">
        <f>IF(OR(B32="",E32=""),"",IF(COUNTIFS($B$5:$B32,B32,$E$5:$E32,E32)=1,MAX($S$4:$S31)+1,""))</f>
        <v/>
      </c>
    </row>
    <row r="33">
      <c r="A33" s="44" t="str">
        <f>IF(B33="","","R"&amp;TEXT(ROW()-4,"000"))</f>
        <v/>
      </c>
      <c r="B33" s="37" t="n"/>
      <c r="C33" s="45" t="str">
        <f>IF(B33="","",IFERROR(INDEX(CARDS!$B$5:$B$34,MATCH(B33,CARDS!$A$5:$A$34,0)),"⚠ Card ID?"))</f>
        <v/>
      </c>
      <c r="D33" s="45" t="str">
        <f>IF(B33="","",IFERROR(INDEX(CARDS!$C$5:$C$34,MATCH(B33,CARDS!$A$5:$A$34,0)),"⚠ Card ID?"))</f>
        <v/>
      </c>
      <c r="E33" s="37" t="n"/>
      <c r="F33" s="37" t="n"/>
      <c r="G33" s="41" t="n"/>
      <c r="H33" s="45" t="str">
        <f>IF(G33="","",IFERROR(INDEX(MCC_MASTER!$B$5:$B$504,MATCH(G33,MCC_MASTER!$A$5:$A$504,0)),"⚠ MCC chưa có trong MCC_MASTER"))</f>
        <v/>
      </c>
      <c r="I33" s="46" t="n"/>
      <c r="J33" s="40" t="n"/>
      <c r="K33" s="40" t="n"/>
      <c r="L33" s="40" t="n"/>
      <c r="M33" s="40" t="n"/>
      <c r="N33" s="42" t="n"/>
      <c r="O33" s="42" t="n"/>
      <c r="P33" s="37" t="n"/>
      <c r="Q33" s="37" t="n"/>
      <c r="R33" s="45" t="str">
        <f>IF(B33="","",IF(ISNA(MATCH(B33,CARDS!$A$5:$A$34,0)),"⚠ Card ID không tồn tại",IF(E33="","⚠ Thiếu Nhóm cashback",IF(OR(SUMPRODUCT(($B$5:$B$304=B33)*($E$5:$E$304=E33)*($J$5:$J$304&lt;&gt;J33))&gt;0,SUMPRODUCT(($B$5:$B$304=B33)*($K$5:$K$304&lt;&gt;K33))&gt;0),"⚠ Cap không đồng nhất","✓ OK"))))</f>
        <v/>
      </c>
      <c r="S33" s="43" t="str">
        <f>IF(OR(B33="",E33=""),"",IF(COUNTIFS($B$5:$B33,B33,$E$5:$E33,E33)=1,MAX($S$4:$S32)+1,""))</f>
        <v/>
      </c>
    </row>
    <row r="34">
      <c r="A34" s="44" t="str">
        <f>IF(B34="","","R"&amp;TEXT(ROW()-4,"000"))</f>
        <v/>
      </c>
      <c r="B34" s="37" t="n"/>
      <c r="C34" s="45" t="str">
        <f>IF(B34="","",IFERROR(INDEX(CARDS!$B$5:$B$34,MATCH(B34,CARDS!$A$5:$A$34,0)),"⚠ Card ID?"))</f>
        <v/>
      </c>
      <c r="D34" s="45" t="str">
        <f>IF(B34="","",IFERROR(INDEX(CARDS!$C$5:$C$34,MATCH(B34,CARDS!$A$5:$A$34,0)),"⚠ Card ID?"))</f>
        <v/>
      </c>
      <c r="E34" s="37" t="n"/>
      <c r="F34" s="37" t="n"/>
      <c r="G34" s="41" t="n"/>
      <c r="H34" s="45" t="str">
        <f>IF(G34="","",IFERROR(INDEX(MCC_MASTER!$B$5:$B$504,MATCH(G34,MCC_MASTER!$A$5:$A$504,0)),"⚠ MCC chưa có trong MCC_MASTER"))</f>
        <v/>
      </c>
      <c r="I34" s="46" t="n"/>
      <c r="J34" s="40" t="n"/>
      <c r="K34" s="40" t="n"/>
      <c r="L34" s="40" t="n"/>
      <c r="M34" s="40" t="n"/>
      <c r="N34" s="42" t="n"/>
      <c r="O34" s="42" t="n"/>
      <c r="P34" s="37" t="n"/>
      <c r="Q34" s="37" t="n"/>
      <c r="R34" s="45" t="str">
        <f>IF(B34="","",IF(ISNA(MATCH(B34,CARDS!$A$5:$A$34,0)),"⚠ Card ID không tồn tại",IF(E34="","⚠ Thiếu Nhóm cashback",IF(OR(SUMPRODUCT(($B$5:$B$304=B34)*($E$5:$E$304=E34)*($J$5:$J$304&lt;&gt;J34))&gt;0,SUMPRODUCT(($B$5:$B$304=B34)*($K$5:$K$304&lt;&gt;K34))&gt;0),"⚠ Cap không đồng nhất","✓ OK"))))</f>
        <v/>
      </c>
      <c r="S34" s="43" t="str">
        <f>IF(OR(B34="",E34=""),"",IF(COUNTIFS($B$5:$B34,B34,$E$5:$E34,E34)=1,MAX($S$4:$S33)+1,""))</f>
        <v/>
      </c>
    </row>
    <row r="35">
      <c r="A35" s="44" t="str">
        <f>IF(B35="","","R"&amp;TEXT(ROW()-4,"000"))</f>
        <v/>
      </c>
      <c r="B35" s="37" t="n"/>
      <c r="C35" s="45" t="str">
        <f>IF(B35="","",IFERROR(INDEX(CARDS!$B$5:$B$34,MATCH(B35,CARDS!$A$5:$A$34,0)),"⚠ Card ID?"))</f>
        <v/>
      </c>
      <c r="D35" s="45" t="str">
        <f>IF(B35="","",IFERROR(INDEX(CARDS!$C$5:$C$34,MATCH(B35,CARDS!$A$5:$A$34,0)),"⚠ Card ID?"))</f>
        <v/>
      </c>
      <c r="E35" s="37" t="n"/>
      <c r="F35" s="37" t="n"/>
      <c r="G35" s="41" t="n"/>
      <c r="H35" s="45" t="str">
        <f>IF(G35="","",IFERROR(INDEX(MCC_MASTER!$B$5:$B$504,MATCH(G35,MCC_MASTER!$A$5:$A$504,0)),"⚠ MCC chưa có trong MCC_MASTER"))</f>
        <v/>
      </c>
      <c r="I35" s="46" t="n"/>
      <c r="J35" s="40" t="n"/>
      <c r="K35" s="40" t="n"/>
      <c r="L35" s="40" t="n"/>
      <c r="M35" s="40" t="n"/>
      <c r="N35" s="42" t="n"/>
      <c r="O35" s="42" t="n"/>
      <c r="P35" s="37" t="n"/>
      <c r="Q35" s="37" t="n"/>
      <c r="R35" s="45" t="str">
        <f>IF(B35="","",IF(ISNA(MATCH(B35,CARDS!$A$5:$A$34,0)),"⚠ Card ID không tồn tại",IF(E35="","⚠ Thiếu Nhóm cashback",IF(OR(SUMPRODUCT(($B$5:$B$304=B35)*($E$5:$E$304=E35)*($J$5:$J$304&lt;&gt;J35))&gt;0,SUMPRODUCT(($B$5:$B$304=B35)*($K$5:$K$304&lt;&gt;K35))&gt;0),"⚠ Cap không đồng nhất","✓ OK"))))</f>
        <v/>
      </c>
      <c r="S35" s="43" t="str">
        <f>IF(OR(B35="",E35=""),"",IF(COUNTIFS($B$5:$B35,B35,$E$5:$E35,E35)=1,MAX($S$4:$S34)+1,""))</f>
        <v/>
      </c>
    </row>
    <row r="36">
      <c r="A36" s="44" t="str">
        <f>IF(B36="","","R"&amp;TEXT(ROW()-4,"000"))</f>
        <v/>
      </c>
      <c r="B36" s="37" t="n"/>
      <c r="C36" s="45" t="str">
        <f>IF(B36="","",IFERROR(INDEX(CARDS!$B$5:$B$34,MATCH(B36,CARDS!$A$5:$A$34,0)),"⚠ Card ID?"))</f>
        <v/>
      </c>
      <c r="D36" s="45" t="str">
        <f>IF(B36="","",IFERROR(INDEX(CARDS!$C$5:$C$34,MATCH(B36,CARDS!$A$5:$A$34,0)),"⚠ Card ID?"))</f>
        <v/>
      </c>
      <c r="E36" s="37" t="n"/>
      <c r="F36" s="37" t="n"/>
      <c r="G36" s="41" t="n"/>
      <c r="H36" s="45" t="str">
        <f>IF(G36="","",IFERROR(INDEX(MCC_MASTER!$B$5:$B$504,MATCH(G36,MCC_MASTER!$A$5:$A$504,0)),"⚠ MCC chưa có trong MCC_MASTER"))</f>
        <v/>
      </c>
      <c r="I36" s="46" t="n"/>
      <c r="J36" s="40" t="n"/>
      <c r="K36" s="40" t="n"/>
      <c r="L36" s="40" t="n"/>
      <c r="M36" s="40" t="n"/>
      <c r="N36" s="42" t="n"/>
      <c r="O36" s="42" t="n"/>
      <c r="P36" s="37" t="n"/>
      <c r="Q36" s="37" t="n"/>
      <c r="R36" s="45" t="str">
        <f>IF(B36="","",IF(ISNA(MATCH(B36,CARDS!$A$5:$A$34,0)),"⚠ Card ID không tồn tại",IF(E36="","⚠ Thiếu Nhóm cashback",IF(OR(SUMPRODUCT(($B$5:$B$304=B36)*($E$5:$E$304=E36)*($J$5:$J$304&lt;&gt;J36))&gt;0,SUMPRODUCT(($B$5:$B$304=B36)*($K$5:$K$304&lt;&gt;K36))&gt;0),"⚠ Cap không đồng nhất","✓ OK"))))</f>
        <v/>
      </c>
      <c r="S36" s="43" t="str">
        <f>IF(OR(B36="",E36=""),"",IF(COUNTIFS($B$5:$B36,B36,$E$5:$E36,E36)=1,MAX($S$4:$S35)+1,""))</f>
        <v/>
      </c>
    </row>
    <row r="37">
      <c r="A37" s="44" t="str">
        <f>IF(B37="","","R"&amp;TEXT(ROW()-4,"000"))</f>
        <v/>
      </c>
      <c r="B37" s="37" t="n"/>
      <c r="C37" s="45" t="str">
        <f>IF(B37="","",IFERROR(INDEX(CARDS!$B$5:$B$34,MATCH(B37,CARDS!$A$5:$A$34,0)),"⚠ Card ID?"))</f>
        <v/>
      </c>
      <c r="D37" s="45" t="str">
        <f>IF(B37="","",IFERROR(INDEX(CARDS!$C$5:$C$34,MATCH(B37,CARDS!$A$5:$A$34,0)),"⚠ Card ID?"))</f>
        <v/>
      </c>
      <c r="E37" s="37" t="n"/>
      <c r="F37" s="37" t="n"/>
      <c r="G37" s="41" t="n"/>
      <c r="H37" s="45" t="str">
        <f>IF(G37="","",IFERROR(INDEX(MCC_MASTER!$B$5:$B$504,MATCH(G37,MCC_MASTER!$A$5:$A$504,0)),"⚠ MCC chưa có trong MCC_MASTER"))</f>
        <v/>
      </c>
      <c r="I37" s="46" t="n"/>
      <c r="J37" s="40" t="n"/>
      <c r="K37" s="40" t="n"/>
      <c r="L37" s="40" t="n"/>
      <c r="M37" s="40" t="n"/>
      <c r="N37" s="42" t="n"/>
      <c r="O37" s="42" t="n"/>
      <c r="P37" s="37" t="n"/>
      <c r="Q37" s="37" t="n"/>
      <c r="R37" s="45" t="str">
        <f>IF(B37="","",IF(ISNA(MATCH(B37,CARDS!$A$5:$A$34,0)),"⚠ Card ID không tồn tại",IF(E37="","⚠ Thiếu Nhóm cashback",IF(OR(SUMPRODUCT(($B$5:$B$304=B37)*($E$5:$E$304=E37)*($J$5:$J$304&lt;&gt;J37))&gt;0,SUMPRODUCT(($B$5:$B$304=B37)*($K$5:$K$304&lt;&gt;K37))&gt;0),"⚠ Cap không đồng nhất","✓ OK"))))</f>
        <v/>
      </c>
      <c r="S37" s="43" t="str">
        <f>IF(OR(B37="",E37=""),"",IF(COUNTIFS($B$5:$B37,B37,$E$5:$E37,E37)=1,MAX($S$4:$S36)+1,""))</f>
        <v/>
      </c>
    </row>
    <row r="38">
      <c r="A38" s="44" t="str">
        <f>IF(B38="","","R"&amp;TEXT(ROW()-4,"000"))</f>
        <v/>
      </c>
      <c r="B38" s="37" t="n"/>
      <c r="C38" s="45" t="str">
        <f>IF(B38="","",IFERROR(INDEX(CARDS!$B$5:$B$34,MATCH(B38,CARDS!$A$5:$A$34,0)),"⚠ Card ID?"))</f>
        <v/>
      </c>
      <c r="D38" s="45" t="str">
        <f>IF(B38="","",IFERROR(INDEX(CARDS!$C$5:$C$34,MATCH(B38,CARDS!$A$5:$A$34,0)),"⚠ Card ID?"))</f>
        <v/>
      </c>
      <c r="E38" s="37" t="n"/>
      <c r="F38" s="37" t="n"/>
      <c r="G38" s="41" t="n"/>
      <c r="H38" s="45" t="str">
        <f>IF(G38="","",IFERROR(INDEX(MCC_MASTER!$B$5:$B$504,MATCH(G38,MCC_MASTER!$A$5:$A$504,0)),"⚠ MCC chưa có trong MCC_MASTER"))</f>
        <v/>
      </c>
      <c r="I38" s="46" t="n"/>
      <c r="J38" s="40" t="n"/>
      <c r="K38" s="40" t="n"/>
      <c r="L38" s="40" t="n"/>
      <c r="M38" s="40" t="n"/>
      <c r="N38" s="42" t="n"/>
      <c r="O38" s="42" t="n"/>
      <c r="P38" s="37" t="n"/>
      <c r="Q38" s="37" t="n"/>
      <c r="R38" s="45" t="str">
        <f>IF(B38="","",IF(ISNA(MATCH(B38,CARDS!$A$5:$A$34,0)),"⚠ Card ID không tồn tại",IF(E38="","⚠ Thiếu Nhóm cashback",IF(OR(SUMPRODUCT(($B$5:$B$304=B38)*($E$5:$E$304=E38)*($J$5:$J$304&lt;&gt;J38))&gt;0,SUMPRODUCT(($B$5:$B$304=B38)*($K$5:$K$304&lt;&gt;K38))&gt;0),"⚠ Cap không đồng nhất","✓ OK"))))</f>
        <v/>
      </c>
      <c r="S38" s="43" t="str">
        <f>IF(OR(B38="",E38=""),"",IF(COUNTIFS($B$5:$B38,B38,$E$5:$E38,E38)=1,MAX($S$4:$S37)+1,""))</f>
        <v/>
      </c>
    </row>
    <row r="39">
      <c r="A39" s="44" t="str">
        <f>IF(B39="","","R"&amp;TEXT(ROW()-4,"000"))</f>
        <v/>
      </c>
      <c r="B39" s="37" t="n"/>
      <c r="C39" s="45" t="str">
        <f>IF(B39="","",IFERROR(INDEX(CARDS!$B$5:$B$34,MATCH(B39,CARDS!$A$5:$A$34,0)),"⚠ Card ID?"))</f>
        <v/>
      </c>
      <c r="D39" s="45" t="str">
        <f>IF(B39="","",IFERROR(INDEX(CARDS!$C$5:$C$34,MATCH(B39,CARDS!$A$5:$A$34,0)),"⚠ Card ID?"))</f>
        <v/>
      </c>
      <c r="E39" s="37" t="n"/>
      <c r="F39" s="37" t="n"/>
      <c r="G39" s="41" t="n"/>
      <c r="H39" s="45" t="str">
        <f>IF(G39="","",IFERROR(INDEX(MCC_MASTER!$B$5:$B$504,MATCH(G39,MCC_MASTER!$A$5:$A$504,0)),"⚠ MCC chưa có trong MCC_MASTER"))</f>
        <v/>
      </c>
      <c r="I39" s="46" t="n"/>
      <c r="J39" s="40" t="n"/>
      <c r="K39" s="40" t="n"/>
      <c r="L39" s="40" t="n"/>
      <c r="M39" s="40" t="n"/>
      <c r="N39" s="42" t="n"/>
      <c r="O39" s="42" t="n"/>
      <c r="P39" s="37" t="n"/>
      <c r="Q39" s="37" t="n"/>
      <c r="R39" s="45" t="str">
        <f>IF(B39="","",IF(ISNA(MATCH(B39,CARDS!$A$5:$A$34,0)),"⚠ Card ID không tồn tại",IF(E39="","⚠ Thiếu Nhóm cashback",IF(OR(SUMPRODUCT(($B$5:$B$304=B39)*($E$5:$E$304=E39)*($J$5:$J$304&lt;&gt;J39))&gt;0,SUMPRODUCT(($B$5:$B$304=B39)*($K$5:$K$304&lt;&gt;K39))&gt;0),"⚠ Cap không đồng nhất","✓ OK"))))</f>
        <v/>
      </c>
      <c r="S39" s="43" t="str">
        <f>IF(OR(B39="",E39=""),"",IF(COUNTIFS($B$5:$B39,B39,$E$5:$E39,E39)=1,MAX($S$4:$S38)+1,""))</f>
        <v/>
      </c>
    </row>
    <row r="40">
      <c r="A40" s="44" t="str">
        <f>IF(B40="","","R"&amp;TEXT(ROW()-4,"000"))</f>
        <v/>
      </c>
      <c r="B40" s="37" t="n"/>
      <c r="C40" s="45" t="str">
        <f>IF(B40="","",IFERROR(INDEX(CARDS!$B$5:$B$34,MATCH(B40,CARDS!$A$5:$A$34,0)),"⚠ Card ID?"))</f>
        <v/>
      </c>
      <c r="D40" s="45" t="str">
        <f>IF(B40="","",IFERROR(INDEX(CARDS!$C$5:$C$34,MATCH(B40,CARDS!$A$5:$A$34,0)),"⚠ Card ID?"))</f>
        <v/>
      </c>
      <c r="E40" s="37" t="n"/>
      <c r="F40" s="37" t="n"/>
      <c r="G40" s="41" t="n"/>
      <c r="H40" s="45" t="str">
        <f>IF(G40="","",IFERROR(INDEX(MCC_MASTER!$B$5:$B$504,MATCH(G40,MCC_MASTER!$A$5:$A$504,0)),"⚠ MCC chưa có trong MCC_MASTER"))</f>
        <v/>
      </c>
      <c r="I40" s="46" t="n"/>
      <c r="J40" s="40" t="n"/>
      <c r="K40" s="40" t="n"/>
      <c r="L40" s="40" t="n"/>
      <c r="M40" s="40" t="n"/>
      <c r="N40" s="42" t="n"/>
      <c r="O40" s="42" t="n"/>
      <c r="P40" s="37" t="n"/>
      <c r="Q40" s="37" t="n"/>
      <c r="R40" s="45" t="str">
        <f>IF(B40="","",IF(ISNA(MATCH(B40,CARDS!$A$5:$A$34,0)),"⚠ Card ID không tồn tại",IF(E40="","⚠ Thiếu Nhóm cashback",IF(OR(SUMPRODUCT(($B$5:$B$304=B40)*($E$5:$E$304=E40)*($J$5:$J$304&lt;&gt;J40))&gt;0,SUMPRODUCT(($B$5:$B$304=B40)*($K$5:$K$304&lt;&gt;K40))&gt;0),"⚠ Cap không đồng nhất","✓ OK"))))</f>
        <v/>
      </c>
      <c r="S40" s="43" t="str">
        <f>IF(OR(B40="",E40=""),"",IF(COUNTIFS($B$5:$B40,B40,$E$5:$E40,E40)=1,MAX($S$4:$S39)+1,""))</f>
        <v/>
      </c>
    </row>
    <row r="41">
      <c r="A41" s="44" t="str">
        <f>IF(B41="","","R"&amp;TEXT(ROW()-4,"000"))</f>
        <v/>
      </c>
      <c r="B41" s="37" t="n"/>
      <c r="C41" s="45" t="str">
        <f>IF(B41="","",IFERROR(INDEX(CARDS!$B$5:$B$34,MATCH(B41,CARDS!$A$5:$A$34,0)),"⚠ Card ID?"))</f>
        <v/>
      </c>
      <c r="D41" s="45" t="str">
        <f>IF(B41="","",IFERROR(INDEX(CARDS!$C$5:$C$34,MATCH(B41,CARDS!$A$5:$A$34,0)),"⚠ Card ID?"))</f>
        <v/>
      </c>
      <c r="E41" s="37" t="n"/>
      <c r="F41" s="37" t="n"/>
      <c r="G41" s="41" t="n"/>
      <c r="H41" s="45" t="str">
        <f>IF(G41="","",IFERROR(INDEX(MCC_MASTER!$B$5:$B$504,MATCH(G41,MCC_MASTER!$A$5:$A$504,0)),"⚠ MCC chưa có trong MCC_MASTER"))</f>
        <v/>
      </c>
      <c r="I41" s="46" t="n"/>
      <c r="J41" s="40" t="n"/>
      <c r="K41" s="40" t="n"/>
      <c r="L41" s="40" t="n"/>
      <c r="M41" s="40" t="n"/>
      <c r="N41" s="42" t="n"/>
      <c r="O41" s="42" t="n"/>
      <c r="P41" s="37" t="n"/>
      <c r="Q41" s="37" t="n"/>
      <c r="R41" s="45" t="str">
        <f>IF(B41="","",IF(ISNA(MATCH(B41,CARDS!$A$5:$A$34,0)),"⚠ Card ID không tồn tại",IF(E41="","⚠ Thiếu Nhóm cashback",IF(OR(SUMPRODUCT(($B$5:$B$304=B41)*($E$5:$E$304=E41)*($J$5:$J$304&lt;&gt;J41))&gt;0,SUMPRODUCT(($B$5:$B$304=B41)*($K$5:$K$304&lt;&gt;K41))&gt;0),"⚠ Cap không đồng nhất","✓ OK"))))</f>
        <v/>
      </c>
      <c r="S41" s="43" t="str">
        <f>IF(OR(B41="",E41=""),"",IF(COUNTIFS($B$5:$B41,B41,$E$5:$E41,E41)=1,MAX($S$4:$S40)+1,""))</f>
        <v/>
      </c>
    </row>
    <row r="42">
      <c r="A42" s="44" t="str">
        <f>IF(B42="","","R"&amp;TEXT(ROW()-4,"000"))</f>
        <v/>
      </c>
      <c r="B42" s="37" t="n"/>
      <c r="C42" s="45" t="str">
        <f>IF(B42="","",IFERROR(INDEX(CARDS!$B$5:$B$34,MATCH(B42,CARDS!$A$5:$A$34,0)),"⚠ Card ID?"))</f>
        <v/>
      </c>
      <c r="D42" s="45" t="str">
        <f>IF(B42="","",IFERROR(INDEX(CARDS!$C$5:$C$34,MATCH(B42,CARDS!$A$5:$A$34,0)),"⚠ Card ID?"))</f>
        <v/>
      </c>
      <c r="E42" s="37" t="n"/>
      <c r="F42" s="37" t="n"/>
      <c r="G42" s="41" t="n"/>
      <c r="H42" s="45" t="str">
        <f>IF(G42="","",IFERROR(INDEX(MCC_MASTER!$B$5:$B$504,MATCH(G42,MCC_MASTER!$A$5:$A$504,0)),"⚠ MCC chưa có trong MCC_MASTER"))</f>
        <v/>
      </c>
      <c r="I42" s="46" t="n"/>
      <c r="J42" s="40" t="n"/>
      <c r="K42" s="40" t="n"/>
      <c r="L42" s="40" t="n"/>
      <c r="M42" s="40" t="n"/>
      <c r="N42" s="42" t="n"/>
      <c r="O42" s="42" t="n"/>
      <c r="P42" s="37" t="n"/>
      <c r="Q42" s="37" t="n"/>
      <c r="R42" s="45" t="str">
        <f>IF(B42="","",IF(ISNA(MATCH(B42,CARDS!$A$5:$A$34,0)),"⚠ Card ID không tồn tại",IF(E42="","⚠ Thiếu Nhóm cashback",IF(OR(SUMPRODUCT(($B$5:$B$304=B42)*($E$5:$E$304=E42)*($J$5:$J$304&lt;&gt;J42))&gt;0,SUMPRODUCT(($B$5:$B$304=B42)*($K$5:$K$304&lt;&gt;K42))&gt;0),"⚠ Cap không đồng nhất","✓ OK"))))</f>
        <v/>
      </c>
      <c r="S42" s="43" t="str">
        <f>IF(OR(B42="",E42=""),"",IF(COUNTIFS($B$5:$B42,B42,$E$5:$E42,E42)=1,MAX($S$4:$S41)+1,""))</f>
        <v/>
      </c>
    </row>
    <row r="43">
      <c r="A43" s="44" t="str">
        <f>IF(B43="","","R"&amp;TEXT(ROW()-4,"000"))</f>
        <v/>
      </c>
      <c r="B43" s="37" t="n"/>
      <c r="C43" s="45" t="str">
        <f>IF(B43="","",IFERROR(INDEX(CARDS!$B$5:$B$34,MATCH(B43,CARDS!$A$5:$A$34,0)),"⚠ Card ID?"))</f>
        <v/>
      </c>
      <c r="D43" s="45" t="str">
        <f>IF(B43="","",IFERROR(INDEX(CARDS!$C$5:$C$34,MATCH(B43,CARDS!$A$5:$A$34,0)),"⚠ Card ID?"))</f>
        <v/>
      </c>
      <c r="E43" s="37" t="n"/>
      <c r="F43" s="37" t="n"/>
      <c r="G43" s="41" t="n"/>
      <c r="H43" s="45" t="str">
        <f>IF(G43="","",IFERROR(INDEX(MCC_MASTER!$B$5:$B$504,MATCH(G43,MCC_MASTER!$A$5:$A$504,0)),"⚠ MCC chưa có trong MCC_MASTER"))</f>
        <v/>
      </c>
      <c r="I43" s="46" t="n"/>
      <c r="J43" s="40" t="n"/>
      <c r="K43" s="40" t="n"/>
      <c r="L43" s="40" t="n"/>
      <c r="M43" s="40" t="n"/>
      <c r="N43" s="42" t="n"/>
      <c r="O43" s="42" t="n"/>
      <c r="P43" s="37" t="n"/>
      <c r="Q43" s="37" t="n"/>
      <c r="R43" s="45" t="str">
        <f>IF(B43="","",IF(ISNA(MATCH(B43,CARDS!$A$5:$A$34,0)),"⚠ Card ID không tồn tại",IF(E43="","⚠ Thiếu Nhóm cashback",IF(OR(SUMPRODUCT(($B$5:$B$304=B43)*($E$5:$E$304=E43)*($J$5:$J$304&lt;&gt;J43))&gt;0,SUMPRODUCT(($B$5:$B$304=B43)*($K$5:$K$304&lt;&gt;K43))&gt;0),"⚠ Cap không đồng nhất","✓ OK"))))</f>
        <v/>
      </c>
      <c r="S43" s="43" t="str">
        <f>IF(OR(B43="",E43=""),"",IF(COUNTIFS($B$5:$B43,B43,$E$5:$E43,E43)=1,MAX($S$4:$S42)+1,""))</f>
        <v/>
      </c>
    </row>
    <row r="44">
      <c r="A44" s="44" t="str">
        <f>IF(B44="","","R"&amp;TEXT(ROW()-4,"000"))</f>
        <v/>
      </c>
      <c r="B44" s="37" t="n"/>
      <c r="C44" s="45" t="str">
        <f>IF(B44="","",IFERROR(INDEX(CARDS!$B$5:$B$34,MATCH(B44,CARDS!$A$5:$A$34,0)),"⚠ Card ID?"))</f>
        <v/>
      </c>
      <c r="D44" s="45" t="str">
        <f>IF(B44="","",IFERROR(INDEX(CARDS!$C$5:$C$34,MATCH(B44,CARDS!$A$5:$A$34,0)),"⚠ Card ID?"))</f>
        <v/>
      </c>
      <c r="E44" s="37" t="n"/>
      <c r="F44" s="37" t="n"/>
      <c r="G44" s="41" t="n"/>
      <c r="H44" s="45" t="str">
        <f>IF(G44="","",IFERROR(INDEX(MCC_MASTER!$B$5:$B$504,MATCH(G44,MCC_MASTER!$A$5:$A$504,0)),"⚠ MCC chưa có trong MCC_MASTER"))</f>
        <v/>
      </c>
      <c r="I44" s="46" t="n"/>
      <c r="J44" s="40" t="n"/>
      <c r="K44" s="40" t="n"/>
      <c r="L44" s="40" t="n"/>
      <c r="M44" s="40" t="n"/>
      <c r="N44" s="42" t="n"/>
      <c r="O44" s="42" t="n"/>
      <c r="P44" s="37" t="n"/>
      <c r="Q44" s="37" t="n"/>
      <c r="R44" s="45" t="str">
        <f>IF(B44="","",IF(ISNA(MATCH(B44,CARDS!$A$5:$A$34,0)),"⚠ Card ID không tồn tại",IF(E44="","⚠ Thiếu Nhóm cashback",IF(OR(SUMPRODUCT(($B$5:$B$304=B44)*($E$5:$E$304=E44)*($J$5:$J$304&lt;&gt;J44))&gt;0,SUMPRODUCT(($B$5:$B$304=B44)*($K$5:$K$304&lt;&gt;K44))&gt;0),"⚠ Cap không đồng nhất","✓ OK"))))</f>
        <v/>
      </c>
      <c r="S44" s="43" t="str">
        <f>IF(OR(B44="",E44=""),"",IF(COUNTIFS($B$5:$B44,B44,$E$5:$E44,E44)=1,MAX($S$4:$S43)+1,""))</f>
        <v/>
      </c>
    </row>
    <row r="45">
      <c r="A45" s="44" t="str">
        <f>IF(B45="","","R"&amp;TEXT(ROW()-4,"000"))</f>
        <v/>
      </c>
      <c r="B45" s="37" t="n"/>
      <c r="C45" s="45" t="str">
        <f>IF(B45="","",IFERROR(INDEX(CARDS!$B$5:$B$34,MATCH(B45,CARDS!$A$5:$A$34,0)),"⚠ Card ID?"))</f>
        <v/>
      </c>
      <c r="D45" s="45" t="str">
        <f>IF(B45="","",IFERROR(INDEX(CARDS!$C$5:$C$34,MATCH(B45,CARDS!$A$5:$A$34,0)),"⚠ Card ID?"))</f>
        <v/>
      </c>
      <c r="E45" s="37" t="n"/>
      <c r="F45" s="37" t="n"/>
      <c r="G45" s="41" t="n"/>
      <c r="H45" s="45" t="str">
        <f>IF(G45="","",IFERROR(INDEX(MCC_MASTER!$B$5:$B$504,MATCH(G45,MCC_MASTER!$A$5:$A$504,0)),"⚠ MCC chưa có trong MCC_MASTER"))</f>
        <v/>
      </c>
      <c r="I45" s="46" t="n"/>
      <c r="J45" s="40" t="n"/>
      <c r="K45" s="40" t="n"/>
      <c r="L45" s="40" t="n"/>
      <c r="M45" s="40" t="n"/>
      <c r="N45" s="42" t="n"/>
      <c r="O45" s="42" t="n"/>
      <c r="P45" s="37" t="n"/>
      <c r="Q45" s="37" t="n"/>
      <c r="R45" s="45" t="str">
        <f>IF(B45="","",IF(ISNA(MATCH(B45,CARDS!$A$5:$A$34,0)),"⚠ Card ID không tồn tại",IF(E45="","⚠ Thiếu Nhóm cashback",IF(OR(SUMPRODUCT(($B$5:$B$304=B45)*($E$5:$E$304=E45)*($J$5:$J$304&lt;&gt;J45))&gt;0,SUMPRODUCT(($B$5:$B$304=B45)*($K$5:$K$304&lt;&gt;K45))&gt;0),"⚠ Cap không đồng nhất","✓ OK"))))</f>
        <v/>
      </c>
      <c r="S45" s="43" t="str">
        <f>IF(OR(B45="",E45=""),"",IF(COUNTIFS($B$5:$B45,B45,$E$5:$E45,E45)=1,MAX($S$4:$S44)+1,""))</f>
        <v/>
      </c>
    </row>
    <row r="46">
      <c r="A46" s="44" t="str">
        <f>IF(B46="","","R"&amp;TEXT(ROW()-4,"000"))</f>
        <v/>
      </c>
      <c r="B46" s="37" t="n"/>
      <c r="C46" s="45" t="str">
        <f>IF(B46="","",IFERROR(INDEX(CARDS!$B$5:$B$34,MATCH(B46,CARDS!$A$5:$A$34,0)),"⚠ Card ID?"))</f>
        <v/>
      </c>
      <c r="D46" s="45" t="str">
        <f>IF(B46="","",IFERROR(INDEX(CARDS!$C$5:$C$34,MATCH(B46,CARDS!$A$5:$A$34,0)),"⚠ Card ID?"))</f>
        <v/>
      </c>
      <c r="E46" s="37" t="n"/>
      <c r="F46" s="37" t="n"/>
      <c r="G46" s="41" t="n"/>
      <c r="H46" s="45" t="str">
        <f>IF(G46="","",IFERROR(INDEX(MCC_MASTER!$B$5:$B$504,MATCH(G46,MCC_MASTER!$A$5:$A$504,0)),"⚠ MCC chưa có trong MCC_MASTER"))</f>
        <v/>
      </c>
      <c r="I46" s="46" t="n"/>
      <c r="J46" s="40" t="n"/>
      <c r="K46" s="40" t="n"/>
      <c r="L46" s="40" t="n"/>
      <c r="M46" s="40" t="n"/>
      <c r="N46" s="42" t="n"/>
      <c r="O46" s="42" t="n"/>
      <c r="P46" s="37" t="n"/>
      <c r="Q46" s="37" t="n"/>
      <c r="R46" s="45" t="str">
        <f>IF(B46="","",IF(ISNA(MATCH(B46,CARDS!$A$5:$A$34,0)),"⚠ Card ID không tồn tại",IF(E46="","⚠ Thiếu Nhóm cashback",IF(OR(SUMPRODUCT(($B$5:$B$304=B46)*($E$5:$E$304=E46)*($J$5:$J$304&lt;&gt;J46))&gt;0,SUMPRODUCT(($B$5:$B$304=B46)*($K$5:$K$304&lt;&gt;K46))&gt;0),"⚠ Cap không đồng nhất","✓ OK"))))</f>
        <v/>
      </c>
      <c r="S46" s="43" t="str">
        <f>IF(OR(B46="",E46=""),"",IF(COUNTIFS($B$5:$B46,B46,$E$5:$E46,E46)=1,MAX($S$4:$S45)+1,""))</f>
        <v/>
      </c>
    </row>
    <row r="47">
      <c r="A47" s="44" t="str">
        <f>IF(B47="","","R"&amp;TEXT(ROW()-4,"000"))</f>
        <v/>
      </c>
      <c r="B47" s="37" t="n"/>
      <c r="C47" s="45" t="str">
        <f>IF(B47="","",IFERROR(INDEX(CARDS!$B$5:$B$34,MATCH(B47,CARDS!$A$5:$A$34,0)),"⚠ Card ID?"))</f>
        <v/>
      </c>
      <c r="D47" s="45" t="str">
        <f>IF(B47="","",IFERROR(INDEX(CARDS!$C$5:$C$34,MATCH(B47,CARDS!$A$5:$A$34,0)),"⚠ Card ID?"))</f>
        <v/>
      </c>
      <c r="E47" s="37" t="n"/>
      <c r="F47" s="37" t="n"/>
      <c r="G47" s="41" t="n"/>
      <c r="H47" s="45" t="str">
        <f>IF(G47="","",IFERROR(INDEX(MCC_MASTER!$B$5:$B$504,MATCH(G47,MCC_MASTER!$A$5:$A$504,0)),"⚠ MCC chưa có trong MCC_MASTER"))</f>
        <v/>
      </c>
      <c r="I47" s="46" t="n"/>
      <c r="J47" s="40" t="n"/>
      <c r="K47" s="40" t="n"/>
      <c r="L47" s="40" t="n"/>
      <c r="M47" s="40" t="n"/>
      <c r="N47" s="42" t="n"/>
      <c r="O47" s="42" t="n"/>
      <c r="P47" s="37" t="n"/>
      <c r="Q47" s="37" t="n"/>
      <c r="R47" s="45" t="str">
        <f>IF(B47="","",IF(ISNA(MATCH(B47,CARDS!$A$5:$A$34,0)),"⚠ Card ID không tồn tại",IF(E47="","⚠ Thiếu Nhóm cashback",IF(OR(SUMPRODUCT(($B$5:$B$304=B47)*($E$5:$E$304=E47)*($J$5:$J$304&lt;&gt;J47))&gt;0,SUMPRODUCT(($B$5:$B$304=B47)*($K$5:$K$304&lt;&gt;K47))&gt;0),"⚠ Cap không đồng nhất","✓ OK"))))</f>
        <v/>
      </c>
      <c r="S47" s="43" t="str">
        <f>IF(OR(B47="",E47=""),"",IF(COUNTIFS($B$5:$B47,B47,$E$5:$E47,E47)=1,MAX($S$4:$S46)+1,""))</f>
        <v/>
      </c>
    </row>
    <row r="48">
      <c r="A48" s="44" t="str">
        <f>IF(B48="","","R"&amp;TEXT(ROW()-4,"000"))</f>
        <v/>
      </c>
      <c r="B48" s="37" t="n"/>
      <c r="C48" s="45" t="str">
        <f>IF(B48="","",IFERROR(INDEX(CARDS!$B$5:$B$34,MATCH(B48,CARDS!$A$5:$A$34,0)),"⚠ Card ID?"))</f>
        <v/>
      </c>
      <c r="D48" s="45" t="str">
        <f>IF(B48="","",IFERROR(INDEX(CARDS!$C$5:$C$34,MATCH(B48,CARDS!$A$5:$A$34,0)),"⚠ Card ID?"))</f>
        <v/>
      </c>
      <c r="E48" s="37" t="n"/>
      <c r="F48" s="37" t="n"/>
      <c r="G48" s="41" t="n"/>
      <c r="H48" s="45" t="str">
        <f>IF(G48="","",IFERROR(INDEX(MCC_MASTER!$B$5:$B$504,MATCH(G48,MCC_MASTER!$A$5:$A$504,0)),"⚠ MCC chưa có trong MCC_MASTER"))</f>
        <v/>
      </c>
      <c r="I48" s="46" t="n"/>
      <c r="J48" s="40" t="n"/>
      <c r="K48" s="40" t="n"/>
      <c r="L48" s="40" t="n"/>
      <c r="M48" s="40" t="n"/>
      <c r="N48" s="42" t="n"/>
      <c r="O48" s="42" t="n"/>
      <c r="P48" s="37" t="n"/>
      <c r="Q48" s="37" t="n"/>
      <c r="R48" s="45" t="str">
        <f>IF(B48="","",IF(ISNA(MATCH(B48,CARDS!$A$5:$A$34,0)),"⚠ Card ID không tồn tại",IF(E48="","⚠ Thiếu Nhóm cashback",IF(OR(SUMPRODUCT(($B$5:$B$304=B48)*($E$5:$E$304=E48)*($J$5:$J$304&lt;&gt;J48))&gt;0,SUMPRODUCT(($B$5:$B$304=B48)*($K$5:$K$304&lt;&gt;K48))&gt;0),"⚠ Cap không đồng nhất","✓ OK"))))</f>
        <v/>
      </c>
      <c r="S48" s="43" t="str">
        <f>IF(OR(B48="",E48=""),"",IF(COUNTIFS($B$5:$B48,B48,$E$5:$E48,E48)=1,MAX($S$4:$S47)+1,""))</f>
        <v/>
      </c>
    </row>
    <row r="49">
      <c r="A49" s="44" t="str">
        <f>IF(B49="","","R"&amp;TEXT(ROW()-4,"000"))</f>
        <v/>
      </c>
      <c r="B49" s="37" t="n"/>
      <c r="C49" s="45" t="str">
        <f>IF(B49="","",IFERROR(INDEX(CARDS!$B$5:$B$34,MATCH(B49,CARDS!$A$5:$A$34,0)),"⚠ Card ID?"))</f>
        <v/>
      </c>
      <c r="D49" s="45" t="str">
        <f>IF(B49="","",IFERROR(INDEX(CARDS!$C$5:$C$34,MATCH(B49,CARDS!$A$5:$A$34,0)),"⚠ Card ID?"))</f>
        <v/>
      </c>
      <c r="E49" s="37" t="n"/>
      <c r="F49" s="37" t="n"/>
      <c r="G49" s="41" t="n"/>
      <c r="H49" s="45" t="str">
        <f>IF(G49="","",IFERROR(INDEX(MCC_MASTER!$B$5:$B$504,MATCH(G49,MCC_MASTER!$A$5:$A$504,0)),"⚠ MCC chưa có trong MCC_MASTER"))</f>
        <v/>
      </c>
      <c r="I49" s="46" t="n"/>
      <c r="J49" s="40" t="n"/>
      <c r="K49" s="40" t="n"/>
      <c r="L49" s="40" t="n"/>
      <c r="M49" s="40" t="n"/>
      <c r="N49" s="42" t="n"/>
      <c r="O49" s="42" t="n"/>
      <c r="P49" s="37" t="n"/>
      <c r="Q49" s="37" t="n"/>
      <c r="R49" s="45" t="str">
        <f>IF(B49="","",IF(ISNA(MATCH(B49,CARDS!$A$5:$A$34,0)),"⚠ Card ID không tồn tại",IF(E49="","⚠ Thiếu Nhóm cashback",IF(OR(SUMPRODUCT(($B$5:$B$304=B49)*($E$5:$E$304=E49)*($J$5:$J$304&lt;&gt;J49))&gt;0,SUMPRODUCT(($B$5:$B$304=B49)*($K$5:$K$304&lt;&gt;K49))&gt;0),"⚠ Cap không đồng nhất","✓ OK"))))</f>
        <v/>
      </c>
      <c r="S49" s="43" t="str">
        <f>IF(OR(B49="",E49=""),"",IF(COUNTIFS($B$5:$B49,B49,$E$5:$E49,E49)=1,MAX($S$4:$S48)+1,""))</f>
        <v/>
      </c>
    </row>
    <row r="50">
      <c r="A50" s="44" t="str">
        <f>IF(B50="","","R"&amp;TEXT(ROW()-4,"000"))</f>
        <v/>
      </c>
      <c r="B50" s="37" t="n"/>
      <c r="C50" s="45" t="str">
        <f>IF(B50="","",IFERROR(INDEX(CARDS!$B$5:$B$34,MATCH(B50,CARDS!$A$5:$A$34,0)),"⚠ Card ID?"))</f>
        <v/>
      </c>
      <c r="D50" s="45" t="str">
        <f>IF(B50="","",IFERROR(INDEX(CARDS!$C$5:$C$34,MATCH(B50,CARDS!$A$5:$A$34,0)),"⚠ Card ID?"))</f>
        <v/>
      </c>
      <c r="E50" s="37" t="n"/>
      <c r="F50" s="37" t="n"/>
      <c r="G50" s="41" t="n"/>
      <c r="H50" s="45" t="str">
        <f>IF(G50="","",IFERROR(INDEX(MCC_MASTER!$B$5:$B$504,MATCH(G50,MCC_MASTER!$A$5:$A$504,0)),"⚠ MCC chưa có trong MCC_MASTER"))</f>
        <v/>
      </c>
      <c r="I50" s="46" t="n"/>
      <c r="J50" s="40" t="n"/>
      <c r="K50" s="40" t="n"/>
      <c r="L50" s="40" t="n"/>
      <c r="M50" s="40" t="n"/>
      <c r="N50" s="42" t="n"/>
      <c r="O50" s="42" t="n"/>
      <c r="P50" s="37" t="n"/>
      <c r="Q50" s="37" t="n"/>
      <c r="R50" s="45" t="str">
        <f>IF(B50="","",IF(ISNA(MATCH(B50,CARDS!$A$5:$A$34,0)),"⚠ Card ID không tồn tại",IF(E50="","⚠ Thiếu Nhóm cashback",IF(OR(SUMPRODUCT(($B$5:$B$304=B50)*($E$5:$E$304=E50)*($J$5:$J$304&lt;&gt;J50))&gt;0,SUMPRODUCT(($B$5:$B$304=B50)*($K$5:$K$304&lt;&gt;K50))&gt;0),"⚠ Cap không đồng nhất","✓ OK"))))</f>
        <v/>
      </c>
      <c r="S50" s="43" t="str">
        <f>IF(OR(B50="",E50=""),"",IF(COUNTIFS($B$5:$B50,B50,$E$5:$E50,E50)=1,MAX($S$4:$S49)+1,""))</f>
        <v/>
      </c>
    </row>
    <row r="51">
      <c r="A51" s="44" t="str">
        <f>IF(B51="","","R"&amp;TEXT(ROW()-4,"000"))</f>
        <v/>
      </c>
      <c r="B51" s="37" t="n"/>
      <c r="C51" s="45" t="str">
        <f>IF(B51="","",IFERROR(INDEX(CARDS!$B$5:$B$34,MATCH(B51,CARDS!$A$5:$A$34,0)),"⚠ Card ID?"))</f>
        <v/>
      </c>
      <c r="D51" s="45" t="str">
        <f>IF(B51="","",IFERROR(INDEX(CARDS!$C$5:$C$34,MATCH(B51,CARDS!$A$5:$A$34,0)),"⚠ Card ID?"))</f>
        <v/>
      </c>
      <c r="E51" s="37" t="n"/>
      <c r="F51" s="37" t="n"/>
      <c r="G51" s="41" t="n"/>
      <c r="H51" s="45" t="str">
        <f>IF(G51="","",IFERROR(INDEX(MCC_MASTER!$B$5:$B$504,MATCH(G51,MCC_MASTER!$A$5:$A$504,0)),"⚠ MCC chưa có trong MCC_MASTER"))</f>
        <v/>
      </c>
      <c r="I51" s="46" t="n"/>
      <c r="J51" s="40" t="n"/>
      <c r="K51" s="40" t="n"/>
      <c r="L51" s="40" t="n"/>
      <c r="M51" s="40" t="n"/>
      <c r="N51" s="42" t="n"/>
      <c r="O51" s="42" t="n"/>
      <c r="P51" s="37" t="n"/>
      <c r="Q51" s="37" t="n"/>
      <c r="R51" s="45" t="str">
        <f>IF(B51="","",IF(ISNA(MATCH(B51,CARDS!$A$5:$A$34,0)),"⚠ Card ID không tồn tại",IF(E51="","⚠ Thiếu Nhóm cashback",IF(OR(SUMPRODUCT(($B$5:$B$304=B51)*($E$5:$E$304=E51)*($J$5:$J$304&lt;&gt;J51))&gt;0,SUMPRODUCT(($B$5:$B$304=B51)*($K$5:$K$304&lt;&gt;K51))&gt;0),"⚠ Cap không đồng nhất","✓ OK"))))</f>
        <v/>
      </c>
      <c r="S51" s="43" t="str">
        <f>IF(OR(B51="",E51=""),"",IF(COUNTIFS($B$5:$B51,B51,$E$5:$E51,E51)=1,MAX($S$4:$S50)+1,""))</f>
        <v/>
      </c>
    </row>
    <row r="52">
      <c r="A52" s="44" t="str">
        <f>IF(B52="","","R"&amp;TEXT(ROW()-4,"000"))</f>
        <v/>
      </c>
      <c r="B52" s="37" t="n"/>
      <c r="C52" s="45" t="str">
        <f>IF(B52="","",IFERROR(INDEX(CARDS!$B$5:$B$34,MATCH(B52,CARDS!$A$5:$A$34,0)),"⚠ Card ID?"))</f>
        <v/>
      </c>
      <c r="D52" s="45" t="str">
        <f>IF(B52="","",IFERROR(INDEX(CARDS!$C$5:$C$34,MATCH(B52,CARDS!$A$5:$A$34,0)),"⚠ Card ID?"))</f>
        <v/>
      </c>
      <c r="E52" s="37" t="n"/>
      <c r="F52" s="37" t="n"/>
      <c r="G52" s="41" t="n"/>
      <c r="H52" s="45" t="str">
        <f>IF(G52="","",IFERROR(INDEX(MCC_MASTER!$B$5:$B$504,MATCH(G52,MCC_MASTER!$A$5:$A$504,0)),"⚠ MCC chưa có trong MCC_MASTER"))</f>
        <v/>
      </c>
      <c r="I52" s="46" t="n"/>
      <c r="J52" s="40" t="n"/>
      <c r="K52" s="40" t="n"/>
      <c r="L52" s="40" t="n"/>
      <c r="M52" s="40" t="n"/>
      <c r="N52" s="42" t="n"/>
      <c r="O52" s="42" t="n"/>
      <c r="P52" s="37" t="n"/>
      <c r="Q52" s="37" t="n"/>
      <c r="R52" s="45" t="str">
        <f>IF(B52="","",IF(ISNA(MATCH(B52,CARDS!$A$5:$A$34,0)),"⚠ Card ID không tồn tại",IF(E52="","⚠ Thiếu Nhóm cashback",IF(OR(SUMPRODUCT(($B$5:$B$304=B52)*($E$5:$E$304=E52)*($J$5:$J$304&lt;&gt;J52))&gt;0,SUMPRODUCT(($B$5:$B$304=B52)*($K$5:$K$304&lt;&gt;K52))&gt;0),"⚠ Cap không đồng nhất","✓ OK"))))</f>
        <v/>
      </c>
      <c r="S52" s="43" t="str">
        <f>IF(OR(B52="",E52=""),"",IF(COUNTIFS($B$5:$B52,B52,$E$5:$E52,E52)=1,MAX($S$4:$S51)+1,""))</f>
        <v/>
      </c>
    </row>
    <row r="53">
      <c r="A53" s="44" t="str">
        <f>IF(B53="","","R"&amp;TEXT(ROW()-4,"000"))</f>
        <v/>
      </c>
      <c r="B53" s="37" t="n"/>
      <c r="C53" s="45" t="str">
        <f>IF(B53="","",IFERROR(INDEX(CARDS!$B$5:$B$34,MATCH(B53,CARDS!$A$5:$A$34,0)),"⚠ Card ID?"))</f>
        <v/>
      </c>
      <c r="D53" s="45" t="str">
        <f>IF(B53="","",IFERROR(INDEX(CARDS!$C$5:$C$34,MATCH(B53,CARDS!$A$5:$A$34,0)),"⚠ Card ID?"))</f>
        <v/>
      </c>
      <c r="E53" s="37" t="n"/>
      <c r="F53" s="37" t="n"/>
      <c r="G53" s="41" t="n"/>
      <c r="H53" s="45" t="str">
        <f>IF(G53="","",IFERROR(INDEX(MCC_MASTER!$B$5:$B$504,MATCH(G53,MCC_MASTER!$A$5:$A$504,0)),"⚠ MCC chưa có trong MCC_MASTER"))</f>
        <v/>
      </c>
      <c r="I53" s="46" t="n"/>
      <c r="J53" s="40" t="n"/>
      <c r="K53" s="40" t="n"/>
      <c r="L53" s="40" t="n"/>
      <c r="M53" s="40" t="n"/>
      <c r="N53" s="42" t="n"/>
      <c r="O53" s="42" t="n"/>
      <c r="P53" s="37" t="n"/>
      <c r="Q53" s="37" t="n"/>
      <c r="R53" s="45" t="str">
        <f>IF(B53="","",IF(ISNA(MATCH(B53,CARDS!$A$5:$A$34,0)),"⚠ Card ID không tồn tại",IF(E53="","⚠ Thiếu Nhóm cashback",IF(OR(SUMPRODUCT(($B$5:$B$304=B53)*($E$5:$E$304=E53)*($J$5:$J$304&lt;&gt;J53))&gt;0,SUMPRODUCT(($B$5:$B$304=B53)*($K$5:$K$304&lt;&gt;K53))&gt;0),"⚠ Cap không đồng nhất","✓ OK"))))</f>
        <v/>
      </c>
      <c r="S53" s="43" t="str">
        <f>IF(OR(B53="",E53=""),"",IF(COUNTIFS($B$5:$B53,B53,$E$5:$E53,E53)=1,MAX($S$4:$S52)+1,""))</f>
        <v/>
      </c>
    </row>
    <row r="54">
      <c r="A54" s="44" t="str">
        <f>IF(B54="","","R"&amp;TEXT(ROW()-4,"000"))</f>
        <v/>
      </c>
      <c r="B54" s="37" t="n"/>
      <c r="C54" s="45" t="str">
        <f>IF(B54="","",IFERROR(INDEX(CARDS!$B$5:$B$34,MATCH(B54,CARDS!$A$5:$A$34,0)),"⚠ Card ID?"))</f>
        <v/>
      </c>
      <c r="D54" s="45" t="str">
        <f>IF(B54="","",IFERROR(INDEX(CARDS!$C$5:$C$34,MATCH(B54,CARDS!$A$5:$A$34,0)),"⚠ Card ID?"))</f>
        <v/>
      </c>
      <c r="E54" s="37" t="n"/>
      <c r="F54" s="37" t="n"/>
      <c r="G54" s="41" t="n"/>
      <c r="H54" s="45" t="str">
        <f>IF(G54="","",IFERROR(INDEX(MCC_MASTER!$B$5:$B$504,MATCH(G54,MCC_MASTER!$A$5:$A$504,0)),"⚠ MCC chưa có trong MCC_MASTER"))</f>
        <v/>
      </c>
      <c r="I54" s="46" t="n"/>
      <c r="J54" s="40" t="n"/>
      <c r="K54" s="40" t="n"/>
      <c r="L54" s="40" t="n"/>
      <c r="M54" s="40" t="n"/>
      <c r="N54" s="42" t="n"/>
      <c r="O54" s="42" t="n"/>
      <c r="P54" s="37" t="n"/>
      <c r="Q54" s="37" t="n"/>
      <c r="R54" s="45" t="str">
        <f>IF(B54="","",IF(ISNA(MATCH(B54,CARDS!$A$5:$A$34,0)),"⚠ Card ID không tồn tại",IF(E54="","⚠ Thiếu Nhóm cashback",IF(OR(SUMPRODUCT(($B$5:$B$304=B54)*($E$5:$E$304=E54)*($J$5:$J$304&lt;&gt;J54))&gt;0,SUMPRODUCT(($B$5:$B$304=B54)*($K$5:$K$304&lt;&gt;K54))&gt;0),"⚠ Cap không đồng nhất","✓ OK"))))</f>
        <v/>
      </c>
      <c r="S54" s="43" t="str">
        <f>IF(OR(B54="",E54=""),"",IF(COUNTIFS($B$5:$B54,B54,$E$5:$E54,E54)=1,MAX($S$4:$S53)+1,""))</f>
        <v/>
      </c>
    </row>
    <row r="55">
      <c r="A55" s="44" t="str">
        <f>IF(B55="","","R"&amp;TEXT(ROW()-4,"000"))</f>
        <v/>
      </c>
      <c r="B55" s="37" t="n"/>
      <c r="C55" s="45" t="str">
        <f>IF(B55="","",IFERROR(INDEX(CARDS!$B$5:$B$34,MATCH(B55,CARDS!$A$5:$A$34,0)),"⚠ Card ID?"))</f>
        <v/>
      </c>
      <c r="D55" s="45" t="str">
        <f>IF(B55="","",IFERROR(INDEX(CARDS!$C$5:$C$34,MATCH(B55,CARDS!$A$5:$A$34,0)),"⚠ Card ID?"))</f>
        <v/>
      </c>
      <c r="E55" s="37" t="n"/>
      <c r="F55" s="37" t="n"/>
      <c r="G55" s="41" t="n"/>
      <c r="H55" s="45" t="str">
        <f>IF(G55="","",IFERROR(INDEX(MCC_MASTER!$B$5:$B$504,MATCH(G55,MCC_MASTER!$A$5:$A$504,0)),"⚠ MCC chưa có trong MCC_MASTER"))</f>
        <v/>
      </c>
      <c r="I55" s="46" t="n"/>
      <c r="J55" s="40" t="n"/>
      <c r="K55" s="40" t="n"/>
      <c r="L55" s="40" t="n"/>
      <c r="M55" s="40" t="n"/>
      <c r="N55" s="42" t="n"/>
      <c r="O55" s="42" t="n"/>
      <c r="P55" s="37" t="n"/>
      <c r="Q55" s="37" t="n"/>
      <c r="R55" s="45" t="str">
        <f>IF(B55="","",IF(ISNA(MATCH(B55,CARDS!$A$5:$A$34,0)),"⚠ Card ID không tồn tại",IF(E55="","⚠ Thiếu Nhóm cashback",IF(OR(SUMPRODUCT(($B$5:$B$304=B55)*($E$5:$E$304=E55)*($J$5:$J$304&lt;&gt;J55))&gt;0,SUMPRODUCT(($B$5:$B$304=B55)*($K$5:$K$304&lt;&gt;K55))&gt;0),"⚠ Cap không đồng nhất","✓ OK"))))</f>
        <v/>
      </c>
      <c r="S55" s="43" t="str">
        <f>IF(OR(B55="",E55=""),"",IF(COUNTIFS($B$5:$B55,B55,$E$5:$E55,E55)=1,MAX($S$4:$S54)+1,""))</f>
        <v/>
      </c>
    </row>
    <row r="56">
      <c r="A56" s="44" t="str">
        <f>IF(B56="","","R"&amp;TEXT(ROW()-4,"000"))</f>
        <v/>
      </c>
      <c r="B56" s="37" t="n"/>
      <c r="C56" s="45" t="str">
        <f>IF(B56="","",IFERROR(INDEX(CARDS!$B$5:$B$34,MATCH(B56,CARDS!$A$5:$A$34,0)),"⚠ Card ID?"))</f>
        <v/>
      </c>
      <c r="D56" s="45" t="str">
        <f>IF(B56="","",IFERROR(INDEX(CARDS!$C$5:$C$34,MATCH(B56,CARDS!$A$5:$A$34,0)),"⚠ Card ID?"))</f>
        <v/>
      </c>
      <c r="E56" s="37" t="n"/>
      <c r="F56" s="37" t="n"/>
      <c r="G56" s="41" t="n"/>
      <c r="H56" s="45" t="str">
        <f>IF(G56="","",IFERROR(INDEX(MCC_MASTER!$B$5:$B$504,MATCH(G56,MCC_MASTER!$A$5:$A$504,0)),"⚠ MCC chưa có trong MCC_MASTER"))</f>
        <v/>
      </c>
      <c r="I56" s="46" t="n"/>
      <c r="J56" s="40" t="n"/>
      <c r="K56" s="40" t="n"/>
      <c r="L56" s="40" t="n"/>
      <c r="M56" s="40" t="n"/>
      <c r="N56" s="42" t="n"/>
      <c r="O56" s="42" t="n"/>
      <c r="P56" s="37" t="n"/>
      <c r="Q56" s="37" t="n"/>
      <c r="R56" s="45" t="str">
        <f>IF(B56="","",IF(ISNA(MATCH(B56,CARDS!$A$5:$A$34,0)),"⚠ Card ID không tồn tại",IF(E56="","⚠ Thiếu Nhóm cashback",IF(OR(SUMPRODUCT(($B$5:$B$304=B56)*($E$5:$E$304=E56)*($J$5:$J$304&lt;&gt;J56))&gt;0,SUMPRODUCT(($B$5:$B$304=B56)*($K$5:$K$304&lt;&gt;K56))&gt;0),"⚠ Cap không đồng nhất","✓ OK"))))</f>
        <v/>
      </c>
      <c r="S56" s="43" t="str">
        <f>IF(OR(B56="",E56=""),"",IF(COUNTIFS($B$5:$B56,B56,$E$5:$E56,E56)=1,MAX($S$4:$S55)+1,""))</f>
        <v/>
      </c>
    </row>
    <row r="57">
      <c r="A57" s="44" t="str">
        <f>IF(B57="","","R"&amp;TEXT(ROW()-4,"000"))</f>
        <v/>
      </c>
      <c r="B57" s="37" t="n"/>
      <c r="C57" s="45" t="str">
        <f>IF(B57="","",IFERROR(INDEX(CARDS!$B$5:$B$34,MATCH(B57,CARDS!$A$5:$A$34,0)),"⚠ Card ID?"))</f>
        <v/>
      </c>
      <c r="D57" s="45" t="str">
        <f>IF(B57="","",IFERROR(INDEX(CARDS!$C$5:$C$34,MATCH(B57,CARDS!$A$5:$A$34,0)),"⚠ Card ID?"))</f>
        <v/>
      </c>
      <c r="E57" s="37" t="n"/>
      <c r="F57" s="37" t="n"/>
      <c r="G57" s="41" t="n"/>
      <c r="H57" s="45" t="str">
        <f>IF(G57="","",IFERROR(INDEX(MCC_MASTER!$B$5:$B$504,MATCH(G57,MCC_MASTER!$A$5:$A$504,0)),"⚠ MCC chưa có trong MCC_MASTER"))</f>
        <v/>
      </c>
      <c r="I57" s="46" t="n"/>
      <c r="J57" s="40" t="n"/>
      <c r="K57" s="40" t="n"/>
      <c r="L57" s="40" t="n"/>
      <c r="M57" s="40" t="n"/>
      <c r="N57" s="42" t="n"/>
      <c r="O57" s="42" t="n"/>
      <c r="P57" s="37" t="n"/>
      <c r="Q57" s="37" t="n"/>
      <c r="R57" s="45" t="str">
        <f>IF(B57="","",IF(ISNA(MATCH(B57,CARDS!$A$5:$A$34,0)),"⚠ Card ID không tồn tại",IF(E57="","⚠ Thiếu Nhóm cashback",IF(OR(SUMPRODUCT(($B$5:$B$304=B57)*($E$5:$E$304=E57)*($J$5:$J$304&lt;&gt;J57))&gt;0,SUMPRODUCT(($B$5:$B$304=B57)*($K$5:$K$304&lt;&gt;K57))&gt;0),"⚠ Cap không đồng nhất","✓ OK"))))</f>
        <v/>
      </c>
      <c r="S57" s="43" t="str">
        <f>IF(OR(B57="",E57=""),"",IF(COUNTIFS($B$5:$B57,B57,$E$5:$E57,E57)=1,MAX($S$4:$S56)+1,""))</f>
        <v/>
      </c>
    </row>
    <row r="58">
      <c r="A58" s="44" t="str">
        <f>IF(B58="","","R"&amp;TEXT(ROW()-4,"000"))</f>
        <v/>
      </c>
      <c r="B58" s="37" t="n"/>
      <c r="C58" s="45" t="str">
        <f>IF(B58="","",IFERROR(INDEX(CARDS!$B$5:$B$34,MATCH(B58,CARDS!$A$5:$A$34,0)),"⚠ Card ID?"))</f>
        <v/>
      </c>
      <c r="D58" s="45" t="str">
        <f>IF(B58="","",IFERROR(INDEX(CARDS!$C$5:$C$34,MATCH(B58,CARDS!$A$5:$A$34,0)),"⚠ Card ID?"))</f>
        <v/>
      </c>
      <c r="E58" s="37" t="n"/>
      <c r="F58" s="37" t="n"/>
      <c r="G58" s="41" t="n"/>
      <c r="H58" s="45" t="str">
        <f>IF(G58="","",IFERROR(INDEX(MCC_MASTER!$B$5:$B$504,MATCH(G58,MCC_MASTER!$A$5:$A$504,0)),"⚠ MCC chưa có trong MCC_MASTER"))</f>
        <v/>
      </c>
      <c r="I58" s="46" t="n"/>
      <c r="J58" s="40" t="n"/>
      <c r="K58" s="40" t="n"/>
      <c r="L58" s="40" t="n"/>
      <c r="M58" s="40" t="n"/>
      <c r="N58" s="42" t="n"/>
      <c r="O58" s="42" t="n"/>
      <c r="P58" s="37" t="n"/>
      <c r="Q58" s="37" t="n"/>
      <c r="R58" s="45" t="str">
        <f>IF(B58="","",IF(ISNA(MATCH(B58,CARDS!$A$5:$A$34,0)),"⚠ Card ID không tồn tại",IF(E58="","⚠ Thiếu Nhóm cashback",IF(OR(SUMPRODUCT(($B$5:$B$304=B58)*($E$5:$E$304=E58)*($J$5:$J$304&lt;&gt;J58))&gt;0,SUMPRODUCT(($B$5:$B$304=B58)*($K$5:$K$304&lt;&gt;K58))&gt;0),"⚠ Cap không đồng nhất","✓ OK"))))</f>
        <v/>
      </c>
      <c r="S58" s="43" t="str">
        <f>IF(OR(B58="",E58=""),"",IF(COUNTIFS($B$5:$B58,B58,$E$5:$E58,E58)=1,MAX($S$4:$S57)+1,""))</f>
        <v/>
      </c>
    </row>
    <row r="59">
      <c r="A59" s="44" t="str">
        <f>IF(B59="","","R"&amp;TEXT(ROW()-4,"000"))</f>
        <v/>
      </c>
      <c r="B59" s="37" t="n"/>
      <c r="C59" s="45" t="str">
        <f>IF(B59="","",IFERROR(INDEX(CARDS!$B$5:$B$34,MATCH(B59,CARDS!$A$5:$A$34,0)),"⚠ Card ID?"))</f>
        <v/>
      </c>
      <c r="D59" s="45" t="str">
        <f>IF(B59="","",IFERROR(INDEX(CARDS!$C$5:$C$34,MATCH(B59,CARDS!$A$5:$A$34,0)),"⚠ Card ID?"))</f>
        <v/>
      </c>
      <c r="E59" s="37" t="n"/>
      <c r="F59" s="37" t="n"/>
      <c r="G59" s="41" t="n"/>
      <c r="H59" s="45" t="str">
        <f>IF(G59="","",IFERROR(INDEX(MCC_MASTER!$B$5:$B$504,MATCH(G59,MCC_MASTER!$A$5:$A$504,0)),"⚠ MCC chưa có trong MCC_MASTER"))</f>
        <v/>
      </c>
      <c r="I59" s="46" t="n"/>
      <c r="J59" s="40" t="n"/>
      <c r="K59" s="40" t="n"/>
      <c r="L59" s="40" t="n"/>
      <c r="M59" s="40" t="n"/>
      <c r="N59" s="42" t="n"/>
      <c r="O59" s="42" t="n"/>
      <c r="P59" s="37" t="n"/>
      <c r="Q59" s="37" t="n"/>
      <c r="R59" s="45" t="str">
        <f>IF(B59="","",IF(ISNA(MATCH(B59,CARDS!$A$5:$A$34,0)),"⚠ Card ID không tồn tại",IF(E59="","⚠ Thiếu Nhóm cashback",IF(OR(SUMPRODUCT(($B$5:$B$304=B59)*($E$5:$E$304=E59)*($J$5:$J$304&lt;&gt;J59))&gt;0,SUMPRODUCT(($B$5:$B$304=B59)*($K$5:$K$304&lt;&gt;K59))&gt;0),"⚠ Cap không đồng nhất","✓ OK"))))</f>
        <v/>
      </c>
      <c r="S59" s="43" t="str">
        <f>IF(OR(B59="",E59=""),"",IF(COUNTIFS($B$5:$B59,B59,$E$5:$E59,E59)=1,MAX($S$4:$S58)+1,""))</f>
        <v/>
      </c>
    </row>
    <row r="60">
      <c r="A60" s="44" t="str">
        <f>IF(B60="","","R"&amp;TEXT(ROW()-4,"000"))</f>
        <v/>
      </c>
      <c r="B60" s="37" t="n"/>
      <c r="C60" s="45" t="str">
        <f>IF(B60="","",IFERROR(INDEX(CARDS!$B$5:$B$34,MATCH(B60,CARDS!$A$5:$A$34,0)),"⚠ Card ID?"))</f>
        <v/>
      </c>
      <c r="D60" s="45" t="str">
        <f>IF(B60="","",IFERROR(INDEX(CARDS!$C$5:$C$34,MATCH(B60,CARDS!$A$5:$A$34,0)),"⚠ Card ID?"))</f>
        <v/>
      </c>
      <c r="E60" s="37" t="n"/>
      <c r="F60" s="37" t="n"/>
      <c r="G60" s="41" t="n"/>
      <c r="H60" s="45" t="str">
        <f>IF(G60="","",IFERROR(INDEX(MCC_MASTER!$B$5:$B$504,MATCH(G60,MCC_MASTER!$A$5:$A$504,0)),"⚠ MCC chưa có trong MCC_MASTER"))</f>
        <v/>
      </c>
      <c r="I60" s="46" t="n"/>
      <c r="J60" s="40" t="n"/>
      <c r="K60" s="40" t="n"/>
      <c r="L60" s="40" t="n"/>
      <c r="M60" s="40" t="n"/>
      <c r="N60" s="42" t="n"/>
      <c r="O60" s="42" t="n"/>
      <c r="P60" s="37" t="n"/>
      <c r="Q60" s="37" t="n"/>
      <c r="R60" s="45" t="str">
        <f>IF(B60="","",IF(ISNA(MATCH(B60,CARDS!$A$5:$A$34,0)),"⚠ Card ID không tồn tại",IF(E60="","⚠ Thiếu Nhóm cashback",IF(OR(SUMPRODUCT(($B$5:$B$304=B60)*($E$5:$E$304=E60)*($J$5:$J$304&lt;&gt;J60))&gt;0,SUMPRODUCT(($B$5:$B$304=B60)*($K$5:$K$304&lt;&gt;K60))&gt;0),"⚠ Cap không đồng nhất","✓ OK"))))</f>
        <v/>
      </c>
      <c r="S60" s="43" t="str">
        <f>IF(OR(B60="",E60=""),"",IF(COUNTIFS($B$5:$B60,B60,$E$5:$E60,E60)=1,MAX($S$4:$S59)+1,""))</f>
        <v/>
      </c>
    </row>
    <row r="61">
      <c r="A61" s="44" t="str">
        <f>IF(B61="","","R"&amp;TEXT(ROW()-4,"000"))</f>
        <v/>
      </c>
      <c r="B61" s="37" t="n"/>
      <c r="C61" s="45" t="str">
        <f>IF(B61="","",IFERROR(INDEX(CARDS!$B$5:$B$34,MATCH(B61,CARDS!$A$5:$A$34,0)),"⚠ Card ID?"))</f>
        <v/>
      </c>
      <c r="D61" s="45" t="str">
        <f>IF(B61="","",IFERROR(INDEX(CARDS!$C$5:$C$34,MATCH(B61,CARDS!$A$5:$A$34,0)),"⚠ Card ID?"))</f>
        <v/>
      </c>
      <c r="E61" s="37" t="n"/>
      <c r="F61" s="37" t="n"/>
      <c r="G61" s="41" t="n"/>
      <c r="H61" s="45" t="str">
        <f>IF(G61="","",IFERROR(INDEX(MCC_MASTER!$B$5:$B$504,MATCH(G61,MCC_MASTER!$A$5:$A$504,0)),"⚠ MCC chưa có trong MCC_MASTER"))</f>
        <v/>
      </c>
      <c r="I61" s="46" t="n"/>
      <c r="J61" s="40" t="n"/>
      <c r="K61" s="40" t="n"/>
      <c r="L61" s="40" t="n"/>
      <c r="M61" s="40" t="n"/>
      <c r="N61" s="42" t="n"/>
      <c r="O61" s="42" t="n"/>
      <c r="P61" s="37" t="n"/>
      <c r="Q61" s="37" t="n"/>
      <c r="R61" s="45" t="str">
        <f>IF(B61="","",IF(ISNA(MATCH(B61,CARDS!$A$5:$A$34,0)),"⚠ Card ID không tồn tại",IF(E61="","⚠ Thiếu Nhóm cashback",IF(OR(SUMPRODUCT(($B$5:$B$304=B61)*($E$5:$E$304=E61)*($J$5:$J$304&lt;&gt;J61))&gt;0,SUMPRODUCT(($B$5:$B$304=B61)*($K$5:$K$304&lt;&gt;K61))&gt;0),"⚠ Cap không đồng nhất","✓ OK"))))</f>
        <v/>
      </c>
      <c r="S61" s="43" t="str">
        <f>IF(OR(B61="",E61=""),"",IF(COUNTIFS($B$5:$B61,B61,$E$5:$E61,E61)=1,MAX($S$4:$S60)+1,""))</f>
        <v/>
      </c>
    </row>
    <row r="62">
      <c r="A62" s="44" t="str">
        <f>IF(B62="","","R"&amp;TEXT(ROW()-4,"000"))</f>
        <v/>
      </c>
      <c r="B62" s="37" t="n"/>
      <c r="C62" s="45" t="str">
        <f>IF(B62="","",IFERROR(INDEX(CARDS!$B$5:$B$34,MATCH(B62,CARDS!$A$5:$A$34,0)),"⚠ Card ID?"))</f>
        <v/>
      </c>
      <c r="D62" s="45" t="str">
        <f>IF(B62="","",IFERROR(INDEX(CARDS!$C$5:$C$34,MATCH(B62,CARDS!$A$5:$A$34,0)),"⚠ Card ID?"))</f>
        <v/>
      </c>
      <c r="E62" s="37" t="n"/>
      <c r="F62" s="37" t="n"/>
      <c r="G62" s="41" t="n"/>
      <c r="H62" s="45" t="str">
        <f>IF(G62="","",IFERROR(INDEX(MCC_MASTER!$B$5:$B$504,MATCH(G62,MCC_MASTER!$A$5:$A$504,0)),"⚠ MCC chưa có trong MCC_MASTER"))</f>
        <v/>
      </c>
      <c r="I62" s="46" t="n"/>
      <c r="J62" s="40" t="n"/>
      <c r="K62" s="40" t="n"/>
      <c r="L62" s="40" t="n"/>
      <c r="M62" s="40" t="n"/>
      <c r="N62" s="42" t="n"/>
      <c r="O62" s="42" t="n"/>
      <c r="P62" s="37" t="n"/>
      <c r="Q62" s="37" t="n"/>
      <c r="R62" s="45" t="str">
        <f>IF(B62="","",IF(ISNA(MATCH(B62,CARDS!$A$5:$A$34,0)),"⚠ Card ID không tồn tại",IF(E62="","⚠ Thiếu Nhóm cashback",IF(OR(SUMPRODUCT(($B$5:$B$304=B62)*($E$5:$E$304=E62)*($J$5:$J$304&lt;&gt;J62))&gt;0,SUMPRODUCT(($B$5:$B$304=B62)*($K$5:$K$304&lt;&gt;K62))&gt;0),"⚠ Cap không đồng nhất","✓ OK"))))</f>
        <v/>
      </c>
      <c r="S62" s="43" t="str">
        <f>IF(OR(B62="",E62=""),"",IF(COUNTIFS($B$5:$B62,B62,$E$5:$E62,E62)=1,MAX($S$4:$S61)+1,""))</f>
        <v/>
      </c>
    </row>
    <row r="63">
      <c r="A63" s="44" t="str">
        <f>IF(B63="","","R"&amp;TEXT(ROW()-4,"000"))</f>
        <v/>
      </c>
      <c r="B63" s="37" t="n"/>
      <c r="C63" s="45" t="str">
        <f>IF(B63="","",IFERROR(INDEX(CARDS!$B$5:$B$34,MATCH(B63,CARDS!$A$5:$A$34,0)),"⚠ Card ID?"))</f>
        <v/>
      </c>
      <c r="D63" s="45" t="str">
        <f>IF(B63="","",IFERROR(INDEX(CARDS!$C$5:$C$34,MATCH(B63,CARDS!$A$5:$A$34,0)),"⚠ Card ID?"))</f>
        <v/>
      </c>
      <c r="E63" s="37" t="n"/>
      <c r="F63" s="37" t="n"/>
      <c r="G63" s="41" t="n"/>
      <c r="H63" s="45" t="str">
        <f>IF(G63="","",IFERROR(INDEX(MCC_MASTER!$B$5:$B$504,MATCH(G63,MCC_MASTER!$A$5:$A$504,0)),"⚠ MCC chưa có trong MCC_MASTER"))</f>
        <v/>
      </c>
      <c r="I63" s="46" t="n"/>
      <c r="J63" s="40" t="n"/>
      <c r="K63" s="40" t="n"/>
      <c r="L63" s="40" t="n"/>
      <c r="M63" s="40" t="n"/>
      <c r="N63" s="42" t="n"/>
      <c r="O63" s="42" t="n"/>
      <c r="P63" s="37" t="n"/>
      <c r="Q63" s="37" t="n"/>
      <c r="R63" s="45" t="str">
        <f>IF(B63="","",IF(ISNA(MATCH(B63,CARDS!$A$5:$A$34,0)),"⚠ Card ID không tồn tại",IF(E63="","⚠ Thiếu Nhóm cashback",IF(OR(SUMPRODUCT(($B$5:$B$304=B63)*($E$5:$E$304=E63)*($J$5:$J$304&lt;&gt;J63))&gt;0,SUMPRODUCT(($B$5:$B$304=B63)*($K$5:$K$304&lt;&gt;K63))&gt;0),"⚠ Cap không đồng nhất","✓ OK"))))</f>
        <v/>
      </c>
      <c r="S63" s="43" t="str">
        <f>IF(OR(B63="",E63=""),"",IF(COUNTIFS($B$5:$B63,B63,$E$5:$E63,E63)=1,MAX($S$4:$S62)+1,""))</f>
        <v/>
      </c>
    </row>
    <row r="64">
      <c r="A64" s="44" t="str">
        <f>IF(B64="","","R"&amp;TEXT(ROW()-4,"000"))</f>
        <v/>
      </c>
      <c r="B64" s="37" t="n"/>
      <c r="C64" s="45" t="str">
        <f>IF(B64="","",IFERROR(INDEX(CARDS!$B$5:$B$34,MATCH(B64,CARDS!$A$5:$A$34,0)),"⚠ Card ID?"))</f>
        <v/>
      </c>
      <c r="D64" s="45" t="str">
        <f>IF(B64="","",IFERROR(INDEX(CARDS!$C$5:$C$34,MATCH(B64,CARDS!$A$5:$A$34,0)),"⚠ Card ID?"))</f>
        <v/>
      </c>
      <c r="E64" s="37" t="n"/>
      <c r="F64" s="37" t="n"/>
      <c r="G64" s="41" t="n"/>
      <c r="H64" s="45" t="str">
        <f>IF(G64="","",IFERROR(INDEX(MCC_MASTER!$B$5:$B$504,MATCH(G64,MCC_MASTER!$A$5:$A$504,0)),"⚠ MCC chưa có trong MCC_MASTER"))</f>
        <v/>
      </c>
      <c r="I64" s="46" t="n"/>
      <c r="J64" s="40" t="n"/>
      <c r="K64" s="40" t="n"/>
      <c r="L64" s="40" t="n"/>
      <c r="M64" s="40" t="n"/>
      <c r="N64" s="42" t="n"/>
      <c r="O64" s="42" t="n"/>
      <c r="P64" s="37" t="n"/>
      <c r="Q64" s="37" t="n"/>
      <c r="R64" s="45" t="str">
        <f>IF(B64="","",IF(ISNA(MATCH(B64,CARDS!$A$5:$A$34,0)),"⚠ Card ID không tồn tại",IF(E64="","⚠ Thiếu Nhóm cashback",IF(OR(SUMPRODUCT(($B$5:$B$304=B64)*($E$5:$E$304=E64)*($J$5:$J$304&lt;&gt;J64))&gt;0,SUMPRODUCT(($B$5:$B$304=B64)*($K$5:$K$304&lt;&gt;K64))&gt;0),"⚠ Cap không đồng nhất","✓ OK"))))</f>
        <v/>
      </c>
      <c r="S64" s="43" t="str">
        <f>IF(OR(B64="",E64=""),"",IF(COUNTIFS($B$5:$B64,B64,$E$5:$E64,E64)=1,MAX($S$4:$S63)+1,""))</f>
        <v/>
      </c>
    </row>
    <row r="65">
      <c r="A65" s="44" t="str">
        <f>IF(B65="","","R"&amp;TEXT(ROW()-4,"000"))</f>
        <v/>
      </c>
      <c r="B65" s="37" t="n"/>
      <c r="C65" s="45" t="str">
        <f>IF(B65="","",IFERROR(INDEX(CARDS!$B$5:$B$34,MATCH(B65,CARDS!$A$5:$A$34,0)),"⚠ Card ID?"))</f>
        <v/>
      </c>
      <c r="D65" s="45" t="str">
        <f>IF(B65="","",IFERROR(INDEX(CARDS!$C$5:$C$34,MATCH(B65,CARDS!$A$5:$A$34,0)),"⚠ Card ID?"))</f>
        <v/>
      </c>
      <c r="E65" s="37" t="n"/>
      <c r="F65" s="37" t="n"/>
      <c r="G65" s="41" t="n"/>
      <c r="H65" s="45" t="str">
        <f>IF(G65="","",IFERROR(INDEX(MCC_MASTER!$B$5:$B$504,MATCH(G65,MCC_MASTER!$A$5:$A$504,0)),"⚠ MCC chưa có trong MCC_MASTER"))</f>
        <v/>
      </c>
      <c r="I65" s="46" t="n"/>
      <c r="J65" s="40" t="n"/>
      <c r="K65" s="40" t="n"/>
      <c r="L65" s="40" t="n"/>
      <c r="M65" s="40" t="n"/>
      <c r="N65" s="42" t="n"/>
      <c r="O65" s="42" t="n"/>
      <c r="P65" s="37" t="n"/>
      <c r="Q65" s="37" t="n"/>
      <c r="R65" s="45" t="str">
        <f>IF(B65="","",IF(ISNA(MATCH(B65,CARDS!$A$5:$A$34,0)),"⚠ Card ID không tồn tại",IF(E65="","⚠ Thiếu Nhóm cashback",IF(OR(SUMPRODUCT(($B$5:$B$304=B65)*($E$5:$E$304=E65)*($J$5:$J$304&lt;&gt;J65))&gt;0,SUMPRODUCT(($B$5:$B$304=B65)*($K$5:$K$304&lt;&gt;K65))&gt;0),"⚠ Cap không đồng nhất","✓ OK"))))</f>
        <v/>
      </c>
      <c r="S65" s="43" t="str">
        <f>IF(OR(B65="",E65=""),"",IF(COUNTIFS($B$5:$B65,B65,$E$5:$E65,E65)=1,MAX($S$4:$S64)+1,""))</f>
        <v/>
      </c>
    </row>
    <row r="66">
      <c r="A66" s="44" t="str">
        <f>IF(B66="","","R"&amp;TEXT(ROW()-4,"000"))</f>
        <v/>
      </c>
      <c r="B66" s="37" t="n"/>
      <c r="C66" s="45" t="str">
        <f>IF(B66="","",IFERROR(INDEX(CARDS!$B$5:$B$34,MATCH(B66,CARDS!$A$5:$A$34,0)),"⚠ Card ID?"))</f>
        <v/>
      </c>
      <c r="D66" s="45" t="str">
        <f>IF(B66="","",IFERROR(INDEX(CARDS!$C$5:$C$34,MATCH(B66,CARDS!$A$5:$A$34,0)),"⚠ Card ID?"))</f>
        <v/>
      </c>
      <c r="E66" s="37" t="n"/>
      <c r="F66" s="37" t="n"/>
      <c r="G66" s="41" t="n"/>
      <c r="H66" s="45" t="str">
        <f>IF(G66="","",IFERROR(INDEX(MCC_MASTER!$B$5:$B$504,MATCH(G66,MCC_MASTER!$A$5:$A$504,0)),"⚠ MCC chưa có trong MCC_MASTER"))</f>
        <v/>
      </c>
      <c r="I66" s="46" t="n"/>
      <c r="J66" s="40" t="n"/>
      <c r="K66" s="40" t="n"/>
      <c r="L66" s="40" t="n"/>
      <c r="M66" s="40" t="n"/>
      <c r="N66" s="42" t="n"/>
      <c r="O66" s="42" t="n"/>
      <c r="P66" s="37" t="n"/>
      <c r="Q66" s="37" t="n"/>
      <c r="R66" s="45" t="str">
        <f>IF(B66="","",IF(ISNA(MATCH(B66,CARDS!$A$5:$A$34,0)),"⚠ Card ID không tồn tại",IF(E66="","⚠ Thiếu Nhóm cashback",IF(OR(SUMPRODUCT(($B$5:$B$304=B66)*($E$5:$E$304=E66)*($J$5:$J$304&lt;&gt;J66))&gt;0,SUMPRODUCT(($B$5:$B$304=B66)*($K$5:$K$304&lt;&gt;K66))&gt;0),"⚠ Cap không đồng nhất","✓ OK"))))</f>
        <v/>
      </c>
      <c r="S66" s="43" t="str">
        <f>IF(OR(B66="",E66=""),"",IF(COUNTIFS($B$5:$B66,B66,$E$5:$E66,E66)=1,MAX($S$4:$S65)+1,""))</f>
        <v/>
      </c>
    </row>
    <row r="67">
      <c r="A67" s="44" t="str">
        <f>IF(B67="","","R"&amp;TEXT(ROW()-4,"000"))</f>
        <v/>
      </c>
      <c r="B67" s="37" t="n"/>
      <c r="C67" s="45" t="str">
        <f>IF(B67="","",IFERROR(INDEX(CARDS!$B$5:$B$34,MATCH(B67,CARDS!$A$5:$A$34,0)),"⚠ Card ID?"))</f>
        <v/>
      </c>
      <c r="D67" s="45" t="str">
        <f>IF(B67="","",IFERROR(INDEX(CARDS!$C$5:$C$34,MATCH(B67,CARDS!$A$5:$A$34,0)),"⚠ Card ID?"))</f>
        <v/>
      </c>
      <c r="E67" s="37" t="n"/>
      <c r="F67" s="37" t="n"/>
      <c r="G67" s="41" t="n"/>
      <c r="H67" s="45" t="str">
        <f>IF(G67="","",IFERROR(INDEX(MCC_MASTER!$B$5:$B$504,MATCH(G67,MCC_MASTER!$A$5:$A$504,0)),"⚠ MCC chưa có trong MCC_MASTER"))</f>
        <v/>
      </c>
      <c r="I67" s="46" t="n"/>
      <c r="J67" s="40" t="n"/>
      <c r="K67" s="40" t="n"/>
      <c r="L67" s="40" t="n"/>
      <c r="M67" s="40" t="n"/>
      <c r="N67" s="42" t="n"/>
      <c r="O67" s="42" t="n"/>
      <c r="P67" s="37" t="n"/>
      <c r="Q67" s="37" t="n"/>
      <c r="R67" s="45" t="str">
        <f>IF(B67="","",IF(ISNA(MATCH(B67,CARDS!$A$5:$A$34,0)),"⚠ Card ID không tồn tại",IF(E67="","⚠ Thiếu Nhóm cashback",IF(OR(SUMPRODUCT(($B$5:$B$304=B67)*($E$5:$E$304=E67)*($J$5:$J$304&lt;&gt;J67))&gt;0,SUMPRODUCT(($B$5:$B$304=B67)*($K$5:$K$304&lt;&gt;K67))&gt;0),"⚠ Cap không đồng nhất","✓ OK"))))</f>
        <v/>
      </c>
      <c r="S67" s="43" t="str">
        <f>IF(OR(B67="",E67=""),"",IF(COUNTIFS($B$5:$B67,B67,$E$5:$E67,E67)=1,MAX($S$4:$S66)+1,""))</f>
        <v/>
      </c>
    </row>
    <row r="68">
      <c r="A68" s="44" t="str">
        <f>IF(B68="","","R"&amp;TEXT(ROW()-4,"000"))</f>
        <v/>
      </c>
      <c r="B68" s="37" t="n"/>
      <c r="C68" s="45" t="str">
        <f>IF(B68="","",IFERROR(INDEX(CARDS!$B$5:$B$34,MATCH(B68,CARDS!$A$5:$A$34,0)),"⚠ Card ID?"))</f>
        <v/>
      </c>
      <c r="D68" s="45" t="str">
        <f>IF(B68="","",IFERROR(INDEX(CARDS!$C$5:$C$34,MATCH(B68,CARDS!$A$5:$A$34,0)),"⚠ Card ID?"))</f>
        <v/>
      </c>
      <c r="E68" s="37" t="n"/>
      <c r="F68" s="37" t="n"/>
      <c r="G68" s="41" t="n"/>
      <c r="H68" s="45" t="str">
        <f>IF(G68="","",IFERROR(INDEX(MCC_MASTER!$B$5:$B$504,MATCH(G68,MCC_MASTER!$A$5:$A$504,0)),"⚠ MCC chưa có trong MCC_MASTER"))</f>
        <v/>
      </c>
      <c r="I68" s="46" t="n"/>
      <c r="J68" s="40" t="n"/>
      <c r="K68" s="40" t="n"/>
      <c r="L68" s="40" t="n"/>
      <c r="M68" s="40" t="n"/>
      <c r="N68" s="42" t="n"/>
      <c r="O68" s="42" t="n"/>
      <c r="P68" s="37" t="n"/>
      <c r="Q68" s="37" t="n"/>
      <c r="R68" s="45" t="str">
        <f>IF(B68="","",IF(ISNA(MATCH(B68,CARDS!$A$5:$A$34,0)),"⚠ Card ID không tồn tại",IF(E68="","⚠ Thiếu Nhóm cashback",IF(OR(SUMPRODUCT(($B$5:$B$304=B68)*($E$5:$E$304=E68)*($J$5:$J$304&lt;&gt;J68))&gt;0,SUMPRODUCT(($B$5:$B$304=B68)*($K$5:$K$304&lt;&gt;K68))&gt;0),"⚠ Cap không đồng nhất","✓ OK"))))</f>
        <v/>
      </c>
      <c r="S68" s="43" t="str">
        <f>IF(OR(B68="",E68=""),"",IF(COUNTIFS($B$5:$B68,B68,$E$5:$E68,E68)=1,MAX($S$4:$S67)+1,""))</f>
        <v/>
      </c>
    </row>
    <row r="69">
      <c r="A69" s="44" t="str">
        <f>IF(B69="","","R"&amp;TEXT(ROW()-4,"000"))</f>
        <v/>
      </c>
      <c r="B69" s="37" t="n"/>
      <c r="C69" s="45" t="str">
        <f>IF(B69="","",IFERROR(INDEX(CARDS!$B$5:$B$34,MATCH(B69,CARDS!$A$5:$A$34,0)),"⚠ Card ID?"))</f>
        <v/>
      </c>
      <c r="D69" s="45" t="str">
        <f>IF(B69="","",IFERROR(INDEX(CARDS!$C$5:$C$34,MATCH(B69,CARDS!$A$5:$A$34,0)),"⚠ Card ID?"))</f>
        <v/>
      </c>
      <c r="E69" s="37" t="n"/>
      <c r="F69" s="37" t="n"/>
      <c r="G69" s="41" t="n"/>
      <c r="H69" s="45" t="str">
        <f>IF(G69="","",IFERROR(INDEX(MCC_MASTER!$B$5:$B$504,MATCH(G69,MCC_MASTER!$A$5:$A$504,0)),"⚠ MCC chưa có trong MCC_MASTER"))</f>
        <v/>
      </c>
      <c r="I69" s="46" t="n"/>
      <c r="J69" s="40" t="n"/>
      <c r="K69" s="40" t="n"/>
      <c r="L69" s="40" t="n"/>
      <c r="M69" s="40" t="n"/>
      <c r="N69" s="42" t="n"/>
      <c r="O69" s="42" t="n"/>
      <c r="P69" s="37" t="n"/>
      <c r="Q69" s="37" t="n"/>
      <c r="R69" s="45" t="str">
        <f>IF(B69="","",IF(ISNA(MATCH(B69,CARDS!$A$5:$A$34,0)),"⚠ Card ID không tồn tại",IF(E69="","⚠ Thiếu Nhóm cashback",IF(OR(SUMPRODUCT(($B$5:$B$304=B69)*($E$5:$E$304=E69)*($J$5:$J$304&lt;&gt;J69))&gt;0,SUMPRODUCT(($B$5:$B$304=B69)*($K$5:$K$304&lt;&gt;K69))&gt;0),"⚠ Cap không đồng nhất","✓ OK"))))</f>
        <v/>
      </c>
      <c r="S69" s="43" t="str">
        <f>IF(OR(B69="",E69=""),"",IF(COUNTIFS($B$5:$B69,B69,$E$5:$E69,E69)=1,MAX($S$4:$S68)+1,""))</f>
        <v/>
      </c>
    </row>
    <row r="70">
      <c r="A70" s="44" t="str">
        <f>IF(B70="","","R"&amp;TEXT(ROW()-4,"000"))</f>
        <v/>
      </c>
      <c r="B70" s="37" t="n"/>
      <c r="C70" s="45" t="str">
        <f>IF(B70="","",IFERROR(INDEX(CARDS!$B$5:$B$34,MATCH(B70,CARDS!$A$5:$A$34,0)),"⚠ Card ID?"))</f>
        <v/>
      </c>
      <c r="D70" s="45" t="str">
        <f>IF(B70="","",IFERROR(INDEX(CARDS!$C$5:$C$34,MATCH(B70,CARDS!$A$5:$A$34,0)),"⚠ Card ID?"))</f>
        <v/>
      </c>
      <c r="E70" s="37" t="n"/>
      <c r="F70" s="37" t="n"/>
      <c r="G70" s="41" t="n"/>
      <c r="H70" s="45" t="str">
        <f>IF(G70="","",IFERROR(INDEX(MCC_MASTER!$B$5:$B$504,MATCH(G70,MCC_MASTER!$A$5:$A$504,0)),"⚠ MCC chưa có trong MCC_MASTER"))</f>
        <v/>
      </c>
      <c r="I70" s="46" t="n"/>
      <c r="J70" s="40" t="n"/>
      <c r="K70" s="40" t="n"/>
      <c r="L70" s="40" t="n"/>
      <c r="M70" s="40" t="n"/>
      <c r="N70" s="42" t="n"/>
      <c r="O70" s="42" t="n"/>
      <c r="P70" s="37" t="n"/>
      <c r="Q70" s="37" t="n"/>
      <c r="R70" s="45" t="str">
        <f>IF(B70="","",IF(ISNA(MATCH(B70,CARDS!$A$5:$A$34,0)),"⚠ Card ID không tồn tại",IF(E70="","⚠ Thiếu Nhóm cashback",IF(OR(SUMPRODUCT(($B$5:$B$304=B70)*($E$5:$E$304=E70)*($J$5:$J$304&lt;&gt;J70))&gt;0,SUMPRODUCT(($B$5:$B$304=B70)*($K$5:$K$304&lt;&gt;K70))&gt;0),"⚠ Cap không đồng nhất","✓ OK"))))</f>
        <v/>
      </c>
      <c r="S70" s="43" t="str">
        <f>IF(OR(B70="",E70=""),"",IF(COUNTIFS($B$5:$B70,B70,$E$5:$E70,E70)=1,MAX($S$4:$S69)+1,""))</f>
        <v/>
      </c>
    </row>
    <row r="71">
      <c r="A71" s="44" t="str">
        <f>IF(B71="","","R"&amp;TEXT(ROW()-4,"000"))</f>
        <v/>
      </c>
      <c r="B71" s="37" t="n"/>
      <c r="C71" s="45" t="str">
        <f>IF(B71="","",IFERROR(INDEX(CARDS!$B$5:$B$34,MATCH(B71,CARDS!$A$5:$A$34,0)),"⚠ Card ID?"))</f>
        <v/>
      </c>
      <c r="D71" s="45" t="str">
        <f>IF(B71="","",IFERROR(INDEX(CARDS!$C$5:$C$34,MATCH(B71,CARDS!$A$5:$A$34,0)),"⚠ Card ID?"))</f>
        <v/>
      </c>
      <c r="E71" s="37" t="n"/>
      <c r="F71" s="37" t="n"/>
      <c r="G71" s="41" t="n"/>
      <c r="H71" s="45" t="str">
        <f>IF(G71="","",IFERROR(INDEX(MCC_MASTER!$B$5:$B$504,MATCH(G71,MCC_MASTER!$A$5:$A$504,0)),"⚠ MCC chưa có trong MCC_MASTER"))</f>
        <v/>
      </c>
      <c r="I71" s="46" t="n"/>
      <c r="J71" s="40" t="n"/>
      <c r="K71" s="40" t="n"/>
      <c r="L71" s="40" t="n"/>
      <c r="M71" s="40" t="n"/>
      <c r="N71" s="42" t="n"/>
      <c r="O71" s="42" t="n"/>
      <c r="P71" s="37" t="n"/>
      <c r="Q71" s="37" t="n"/>
      <c r="R71" s="45" t="str">
        <f>IF(B71="","",IF(ISNA(MATCH(B71,CARDS!$A$5:$A$34,0)),"⚠ Card ID không tồn tại",IF(E71="","⚠ Thiếu Nhóm cashback",IF(OR(SUMPRODUCT(($B$5:$B$304=B71)*($E$5:$E$304=E71)*($J$5:$J$304&lt;&gt;J71))&gt;0,SUMPRODUCT(($B$5:$B$304=B71)*($K$5:$K$304&lt;&gt;K71))&gt;0),"⚠ Cap không đồng nhất","✓ OK"))))</f>
        <v/>
      </c>
      <c r="S71" s="43" t="str">
        <f>IF(OR(B71="",E71=""),"",IF(COUNTIFS($B$5:$B71,B71,$E$5:$E71,E71)=1,MAX($S$4:$S70)+1,""))</f>
        <v/>
      </c>
    </row>
    <row r="72">
      <c r="A72" s="44" t="str">
        <f>IF(B72="","","R"&amp;TEXT(ROW()-4,"000"))</f>
        <v/>
      </c>
      <c r="B72" s="37" t="n"/>
      <c r="C72" s="45" t="str">
        <f>IF(B72="","",IFERROR(INDEX(CARDS!$B$5:$B$34,MATCH(B72,CARDS!$A$5:$A$34,0)),"⚠ Card ID?"))</f>
        <v/>
      </c>
      <c r="D72" s="45" t="str">
        <f>IF(B72="","",IFERROR(INDEX(CARDS!$C$5:$C$34,MATCH(B72,CARDS!$A$5:$A$34,0)),"⚠ Card ID?"))</f>
        <v/>
      </c>
      <c r="E72" s="37" t="n"/>
      <c r="F72" s="37" t="n"/>
      <c r="G72" s="41" t="n"/>
      <c r="H72" s="45" t="str">
        <f>IF(G72="","",IFERROR(INDEX(MCC_MASTER!$B$5:$B$504,MATCH(G72,MCC_MASTER!$A$5:$A$504,0)),"⚠ MCC chưa có trong MCC_MASTER"))</f>
        <v/>
      </c>
      <c r="I72" s="46" t="n"/>
      <c r="J72" s="40" t="n"/>
      <c r="K72" s="40" t="n"/>
      <c r="L72" s="40" t="n"/>
      <c r="M72" s="40" t="n"/>
      <c r="N72" s="42" t="n"/>
      <c r="O72" s="42" t="n"/>
      <c r="P72" s="37" t="n"/>
      <c r="Q72" s="37" t="n"/>
      <c r="R72" s="45" t="str">
        <f>IF(B72="","",IF(ISNA(MATCH(B72,CARDS!$A$5:$A$34,0)),"⚠ Card ID không tồn tại",IF(E72="","⚠ Thiếu Nhóm cashback",IF(OR(SUMPRODUCT(($B$5:$B$304=B72)*($E$5:$E$304=E72)*($J$5:$J$304&lt;&gt;J72))&gt;0,SUMPRODUCT(($B$5:$B$304=B72)*($K$5:$K$304&lt;&gt;K72))&gt;0),"⚠ Cap không đồng nhất","✓ OK"))))</f>
        <v/>
      </c>
      <c r="S72" s="43" t="str">
        <f>IF(OR(B72="",E72=""),"",IF(COUNTIFS($B$5:$B72,B72,$E$5:$E72,E72)=1,MAX($S$4:$S71)+1,""))</f>
        <v/>
      </c>
    </row>
    <row r="73">
      <c r="A73" s="44" t="str">
        <f>IF(B73="","","R"&amp;TEXT(ROW()-4,"000"))</f>
        <v/>
      </c>
      <c r="B73" s="37" t="n"/>
      <c r="C73" s="45" t="str">
        <f>IF(B73="","",IFERROR(INDEX(CARDS!$B$5:$B$34,MATCH(B73,CARDS!$A$5:$A$34,0)),"⚠ Card ID?"))</f>
        <v/>
      </c>
      <c r="D73" s="45" t="str">
        <f>IF(B73="","",IFERROR(INDEX(CARDS!$C$5:$C$34,MATCH(B73,CARDS!$A$5:$A$34,0)),"⚠ Card ID?"))</f>
        <v/>
      </c>
      <c r="E73" s="37" t="n"/>
      <c r="F73" s="37" t="n"/>
      <c r="G73" s="41" t="n"/>
      <c r="H73" s="45" t="str">
        <f>IF(G73="","",IFERROR(INDEX(MCC_MASTER!$B$5:$B$504,MATCH(G73,MCC_MASTER!$A$5:$A$504,0)),"⚠ MCC chưa có trong MCC_MASTER"))</f>
        <v/>
      </c>
      <c r="I73" s="46" t="n"/>
      <c r="J73" s="40" t="n"/>
      <c r="K73" s="40" t="n"/>
      <c r="L73" s="40" t="n"/>
      <c r="M73" s="40" t="n"/>
      <c r="N73" s="42" t="n"/>
      <c r="O73" s="42" t="n"/>
      <c r="P73" s="37" t="n"/>
      <c r="Q73" s="37" t="n"/>
      <c r="R73" s="45" t="str">
        <f>IF(B73="","",IF(ISNA(MATCH(B73,CARDS!$A$5:$A$34,0)),"⚠ Card ID không tồn tại",IF(E73="","⚠ Thiếu Nhóm cashback",IF(OR(SUMPRODUCT(($B$5:$B$304=B73)*($E$5:$E$304=E73)*($J$5:$J$304&lt;&gt;J73))&gt;0,SUMPRODUCT(($B$5:$B$304=B73)*($K$5:$K$304&lt;&gt;K73))&gt;0),"⚠ Cap không đồng nhất","✓ OK"))))</f>
        <v/>
      </c>
      <c r="S73" s="43" t="str">
        <f>IF(OR(B73="",E73=""),"",IF(COUNTIFS($B$5:$B73,B73,$E$5:$E73,E73)=1,MAX($S$4:$S72)+1,""))</f>
        <v/>
      </c>
    </row>
    <row r="74">
      <c r="A74" s="44" t="str">
        <f>IF(B74="","","R"&amp;TEXT(ROW()-4,"000"))</f>
        <v/>
      </c>
      <c r="B74" s="37" t="n"/>
      <c r="C74" s="45" t="str">
        <f>IF(B74="","",IFERROR(INDEX(CARDS!$B$5:$B$34,MATCH(B74,CARDS!$A$5:$A$34,0)),"⚠ Card ID?"))</f>
        <v/>
      </c>
      <c r="D74" s="45" t="str">
        <f>IF(B74="","",IFERROR(INDEX(CARDS!$C$5:$C$34,MATCH(B74,CARDS!$A$5:$A$34,0)),"⚠ Card ID?"))</f>
        <v/>
      </c>
      <c r="E74" s="37" t="n"/>
      <c r="F74" s="37" t="n"/>
      <c r="G74" s="41" t="n"/>
      <c r="H74" s="45" t="str">
        <f>IF(G74="","",IFERROR(INDEX(MCC_MASTER!$B$5:$B$504,MATCH(G74,MCC_MASTER!$A$5:$A$504,0)),"⚠ MCC chưa có trong MCC_MASTER"))</f>
        <v/>
      </c>
      <c r="I74" s="46" t="n"/>
      <c r="J74" s="40" t="n"/>
      <c r="K74" s="40" t="n"/>
      <c r="L74" s="40" t="n"/>
      <c r="M74" s="40" t="n"/>
      <c r="N74" s="42" t="n"/>
      <c r="O74" s="42" t="n"/>
      <c r="P74" s="37" t="n"/>
      <c r="Q74" s="37" t="n"/>
      <c r="R74" s="45" t="str">
        <f>IF(B74="","",IF(ISNA(MATCH(B74,CARDS!$A$5:$A$34,0)),"⚠ Card ID không tồn tại",IF(E74="","⚠ Thiếu Nhóm cashback",IF(OR(SUMPRODUCT(($B$5:$B$304=B74)*($E$5:$E$304=E74)*($J$5:$J$304&lt;&gt;J74))&gt;0,SUMPRODUCT(($B$5:$B$304=B74)*($K$5:$K$304&lt;&gt;K74))&gt;0),"⚠ Cap không đồng nhất","✓ OK"))))</f>
        <v/>
      </c>
      <c r="S74" s="43" t="str">
        <f>IF(OR(B74="",E74=""),"",IF(COUNTIFS($B$5:$B74,B74,$E$5:$E74,E74)=1,MAX($S$4:$S73)+1,""))</f>
        <v/>
      </c>
    </row>
    <row r="75">
      <c r="A75" s="44" t="str">
        <f>IF(B75="","","R"&amp;TEXT(ROW()-4,"000"))</f>
        <v/>
      </c>
      <c r="B75" s="37" t="n"/>
      <c r="C75" s="45" t="str">
        <f>IF(B75="","",IFERROR(INDEX(CARDS!$B$5:$B$34,MATCH(B75,CARDS!$A$5:$A$34,0)),"⚠ Card ID?"))</f>
        <v/>
      </c>
      <c r="D75" s="45" t="str">
        <f>IF(B75="","",IFERROR(INDEX(CARDS!$C$5:$C$34,MATCH(B75,CARDS!$A$5:$A$34,0)),"⚠ Card ID?"))</f>
        <v/>
      </c>
      <c r="E75" s="37" t="n"/>
      <c r="F75" s="37" t="n"/>
      <c r="G75" s="41" t="n"/>
      <c r="H75" s="45" t="str">
        <f>IF(G75="","",IFERROR(INDEX(MCC_MASTER!$B$5:$B$504,MATCH(G75,MCC_MASTER!$A$5:$A$504,0)),"⚠ MCC chưa có trong MCC_MASTER"))</f>
        <v/>
      </c>
      <c r="I75" s="46" t="n"/>
      <c r="J75" s="40" t="n"/>
      <c r="K75" s="40" t="n"/>
      <c r="L75" s="40" t="n"/>
      <c r="M75" s="40" t="n"/>
      <c r="N75" s="42" t="n"/>
      <c r="O75" s="42" t="n"/>
      <c r="P75" s="37" t="n"/>
      <c r="Q75" s="37" t="n"/>
      <c r="R75" s="45" t="str">
        <f>IF(B75="","",IF(ISNA(MATCH(B75,CARDS!$A$5:$A$34,0)),"⚠ Card ID không tồn tại",IF(E75="","⚠ Thiếu Nhóm cashback",IF(OR(SUMPRODUCT(($B$5:$B$304=B75)*($E$5:$E$304=E75)*($J$5:$J$304&lt;&gt;J75))&gt;0,SUMPRODUCT(($B$5:$B$304=B75)*($K$5:$K$304&lt;&gt;K75))&gt;0),"⚠ Cap không đồng nhất","✓ OK"))))</f>
        <v/>
      </c>
      <c r="S75" s="43" t="str">
        <f>IF(OR(B75="",E75=""),"",IF(COUNTIFS($B$5:$B75,B75,$E$5:$E75,E75)=1,MAX($S$4:$S74)+1,""))</f>
        <v/>
      </c>
    </row>
    <row r="76">
      <c r="A76" s="44" t="str">
        <f>IF(B76="","","R"&amp;TEXT(ROW()-4,"000"))</f>
        <v/>
      </c>
      <c r="B76" s="37" t="n"/>
      <c r="C76" s="45" t="str">
        <f>IF(B76="","",IFERROR(INDEX(CARDS!$B$5:$B$34,MATCH(B76,CARDS!$A$5:$A$34,0)),"⚠ Card ID?"))</f>
        <v/>
      </c>
      <c r="D76" s="45" t="str">
        <f>IF(B76="","",IFERROR(INDEX(CARDS!$C$5:$C$34,MATCH(B76,CARDS!$A$5:$A$34,0)),"⚠ Card ID?"))</f>
        <v/>
      </c>
      <c r="E76" s="37" t="n"/>
      <c r="F76" s="37" t="n"/>
      <c r="G76" s="41" t="n"/>
      <c r="H76" s="45" t="str">
        <f>IF(G76="","",IFERROR(INDEX(MCC_MASTER!$B$5:$B$504,MATCH(G76,MCC_MASTER!$A$5:$A$504,0)),"⚠ MCC chưa có trong MCC_MASTER"))</f>
        <v/>
      </c>
      <c r="I76" s="46" t="n"/>
      <c r="J76" s="40" t="n"/>
      <c r="K76" s="40" t="n"/>
      <c r="L76" s="40" t="n"/>
      <c r="M76" s="40" t="n"/>
      <c r="N76" s="42" t="n"/>
      <c r="O76" s="42" t="n"/>
      <c r="P76" s="37" t="n"/>
      <c r="Q76" s="37" t="n"/>
      <c r="R76" s="45" t="str">
        <f>IF(B76="","",IF(ISNA(MATCH(B76,CARDS!$A$5:$A$34,0)),"⚠ Card ID không tồn tại",IF(E76="","⚠ Thiếu Nhóm cashback",IF(OR(SUMPRODUCT(($B$5:$B$304=B76)*($E$5:$E$304=E76)*($J$5:$J$304&lt;&gt;J76))&gt;0,SUMPRODUCT(($B$5:$B$304=B76)*($K$5:$K$304&lt;&gt;K76))&gt;0),"⚠ Cap không đồng nhất","✓ OK"))))</f>
        <v/>
      </c>
      <c r="S76" s="43" t="str">
        <f>IF(OR(B76="",E76=""),"",IF(COUNTIFS($B$5:$B76,B76,$E$5:$E76,E76)=1,MAX($S$4:$S75)+1,""))</f>
        <v/>
      </c>
    </row>
    <row r="77">
      <c r="A77" s="44" t="str">
        <f>IF(B77="","","R"&amp;TEXT(ROW()-4,"000"))</f>
        <v/>
      </c>
      <c r="B77" s="37" t="n"/>
      <c r="C77" s="45" t="str">
        <f>IF(B77="","",IFERROR(INDEX(CARDS!$B$5:$B$34,MATCH(B77,CARDS!$A$5:$A$34,0)),"⚠ Card ID?"))</f>
        <v/>
      </c>
      <c r="D77" s="45" t="str">
        <f>IF(B77="","",IFERROR(INDEX(CARDS!$C$5:$C$34,MATCH(B77,CARDS!$A$5:$A$34,0)),"⚠ Card ID?"))</f>
        <v/>
      </c>
      <c r="E77" s="37" t="n"/>
      <c r="F77" s="37" t="n"/>
      <c r="G77" s="41" t="n"/>
      <c r="H77" s="45" t="str">
        <f>IF(G77="","",IFERROR(INDEX(MCC_MASTER!$B$5:$B$504,MATCH(G77,MCC_MASTER!$A$5:$A$504,0)),"⚠ MCC chưa có trong MCC_MASTER"))</f>
        <v/>
      </c>
      <c r="I77" s="46" t="n"/>
      <c r="J77" s="40" t="n"/>
      <c r="K77" s="40" t="n"/>
      <c r="L77" s="40" t="n"/>
      <c r="M77" s="40" t="n"/>
      <c r="N77" s="42" t="n"/>
      <c r="O77" s="42" t="n"/>
      <c r="P77" s="37" t="n"/>
      <c r="Q77" s="37" t="n"/>
      <c r="R77" s="45" t="str">
        <f>IF(B77="","",IF(ISNA(MATCH(B77,CARDS!$A$5:$A$34,0)),"⚠ Card ID không tồn tại",IF(E77="","⚠ Thiếu Nhóm cashback",IF(OR(SUMPRODUCT(($B$5:$B$304=B77)*($E$5:$E$304=E77)*($J$5:$J$304&lt;&gt;J77))&gt;0,SUMPRODUCT(($B$5:$B$304=B77)*($K$5:$K$304&lt;&gt;K77))&gt;0),"⚠ Cap không đồng nhất","✓ OK"))))</f>
        <v/>
      </c>
      <c r="S77" s="43" t="str">
        <f>IF(OR(B77="",E77=""),"",IF(COUNTIFS($B$5:$B77,B77,$E$5:$E77,E77)=1,MAX($S$4:$S76)+1,""))</f>
        <v/>
      </c>
    </row>
    <row r="78">
      <c r="A78" s="44" t="str">
        <f>IF(B78="","","R"&amp;TEXT(ROW()-4,"000"))</f>
        <v/>
      </c>
      <c r="B78" s="37" t="n"/>
      <c r="C78" s="45" t="str">
        <f>IF(B78="","",IFERROR(INDEX(CARDS!$B$5:$B$34,MATCH(B78,CARDS!$A$5:$A$34,0)),"⚠ Card ID?"))</f>
        <v/>
      </c>
      <c r="D78" s="45" t="str">
        <f>IF(B78="","",IFERROR(INDEX(CARDS!$C$5:$C$34,MATCH(B78,CARDS!$A$5:$A$34,0)),"⚠ Card ID?"))</f>
        <v/>
      </c>
      <c r="E78" s="37" t="n"/>
      <c r="F78" s="37" t="n"/>
      <c r="G78" s="41" t="n"/>
      <c r="H78" s="45" t="str">
        <f>IF(G78="","",IFERROR(INDEX(MCC_MASTER!$B$5:$B$504,MATCH(G78,MCC_MASTER!$A$5:$A$504,0)),"⚠ MCC chưa có trong MCC_MASTER"))</f>
        <v/>
      </c>
      <c r="I78" s="46" t="n"/>
      <c r="J78" s="40" t="n"/>
      <c r="K78" s="40" t="n"/>
      <c r="L78" s="40" t="n"/>
      <c r="M78" s="40" t="n"/>
      <c r="N78" s="42" t="n"/>
      <c r="O78" s="42" t="n"/>
      <c r="P78" s="37" t="n"/>
      <c r="Q78" s="37" t="n"/>
      <c r="R78" s="45" t="str">
        <f>IF(B78="","",IF(ISNA(MATCH(B78,CARDS!$A$5:$A$34,0)),"⚠ Card ID không tồn tại",IF(E78="","⚠ Thiếu Nhóm cashback",IF(OR(SUMPRODUCT(($B$5:$B$304=B78)*($E$5:$E$304=E78)*($J$5:$J$304&lt;&gt;J78))&gt;0,SUMPRODUCT(($B$5:$B$304=B78)*($K$5:$K$304&lt;&gt;K78))&gt;0),"⚠ Cap không đồng nhất","✓ OK"))))</f>
        <v/>
      </c>
      <c r="S78" s="43" t="str">
        <f>IF(OR(B78="",E78=""),"",IF(COUNTIFS($B$5:$B78,B78,$E$5:$E78,E78)=1,MAX($S$4:$S77)+1,""))</f>
        <v/>
      </c>
    </row>
    <row r="79">
      <c r="A79" s="44" t="str">
        <f>IF(B79="","","R"&amp;TEXT(ROW()-4,"000"))</f>
        <v/>
      </c>
      <c r="B79" s="37" t="n"/>
      <c r="C79" s="45" t="str">
        <f>IF(B79="","",IFERROR(INDEX(CARDS!$B$5:$B$34,MATCH(B79,CARDS!$A$5:$A$34,0)),"⚠ Card ID?"))</f>
        <v/>
      </c>
      <c r="D79" s="45" t="str">
        <f>IF(B79="","",IFERROR(INDEX(CARDS!$C$5:$C$34,MATCH(B79,CARDS!$A$5:$A$34,0)),"⚠ Card ID?"))</f>
        <v/>
      </c>
      <c r="E79" s="37" t="n"/>
      <c r="F79" s="37" t="n"/>
      <c r="G79" s="41" t="n"/>
      <c r="H79" s="45" t="str">
        <f>IF(G79="","",IFERROR(INDEX(MCC_MASTER!$B$5:$B$504,MATCH(G79,MCC_MASTER!$A$5:$A$504,0)),"⚠ MCC chưa có trong MCC_MASTER"))</f>
        <v/>
      </c>
      <c r="I79" s="46" t="n"/>
      <c r="J79" s="40" t="n"/>
      <c r="K79" s="40" t="n"/>
      <c r="L79" s="40" t="n"/>
      <c r="M79" s="40" t="n"/>
      <c r="N79" s="42" t="n"/>
      <c r="O79" s="42" t="n"/>
      <c r="P79" s="37" t="n"/>
      <c r="Q79" s="37" t="n"/>
      <c r="R79" s="45" t="str">
        <f>IF(B79="","",IF(ISNA(MATCH(B79,CARDS!$A$5:$A$34,0)),"⚠ Card ID không tồn tại",IF(E79="","⚠ Thiếu Nhóm cashback",IF(OR(SUMPRODUCT(($B$5:$B$304=B79)*($E$5:$E$304=E79)*($J$5:$J$304&lt;&gt;J79))&gt;0,SUMPRODUCT(($B$5:$B$304=B79)*($K$5:$K$304&lt;&gt;K79))&gt;0),"⚠ Cap không đồng nhất","✓ OK"))))</f>
        <v/>
      </c>
      <c r="S79" s="43" t="str">
        <f>IF(OR(B79="",E79=""),"",IF(COUNTIFS($B$5:$B79,B79,$E$5:$E79,E79)=1,MAX($S$4:$S78)+1,""))</f>
        <v/>
      </c>
    </row>
    <row r="80">
      <c r="A80" s="44" t="str">
        <f>IF(B80="","","R"&amp;TEXT(ROW()-4,"000"))</f>
        <v/>
      </c>
      <c r="B80" s="37" t="n"/>
      <c r="C80" s="45" t="str">
        <f>IF(B80="","",IFERROR(INDEX(CARDS!$B$5:$B$34,MATCH(B80,CARDS!$A$5:$A$34,0)),"⚠ Card ID?"))</f>
        <v/>
      </c>
      <c r="D80" s="45" t="str">
        <f>IF(B80="","",IFERROR(INDEX(CARDS!$C$5:$C$34,MATCH(B80,CARDS!$A$5:$A$34,0)),"⚠ Card ID?"))</f>
        <v/>
      </c>
      <c r="E80" s="37" t="n"/>
      <c r="F80" s="37" t="n"/>
      <c r="G80" s="41" t="n"/>
      <c r="H80" s="45" t="str">
        <f>IF(G80="","",IFERROR(INDEX(MCC_MASTER!$B$5:$B$504,MATCH(G80,MCC_MASTER!$A$5:$A$504,0)),"⚠ MCC chưa có trong MCC_MASTER"))</f>
        <v/>
      </c>
      <c r="I80" s="46" t="n"/>
      <c r="J80" s="40" t="n"/>
      <c r="K80" s="40" t="n"/>
      <c r="L80" s="40" t="n"/>
      <c r="M80" s="40" t="n"/>
      <c r="N80" s="42" t="n"/>
      <c r="O80" s="42" t="n"/>
      <c r="P80" s="37" t="n"/>
      <c r="Q80" s="37" t="n"/>
      <c r="R80" s="45" t="str">
        <f>IF(B80="","",IF(ISNA(MATCH(B80,CARDS!$A$5:$A$34,0)),"⚠ Card ID không tồn tại",IF(E80="","⚠ Thiếu Nhóm cashback",IF(OR(SUMPRODUCT(($B$5:$B$304=B80)*($E$5:$E$304=E80)*($J$5:$J$304&lt;&gt;J80))&gt;0,SUMPRODUCT(($B$5:$B$304=B80)*($K$5:$K$304&lt;&gt;K80))&gt;0),"⚠ Cap không đồng nhất","✓ OK"))))</f>
        <v/>
      </c>
      <c r="S80" s="43" t="str">
        <f>IF(OR(B80="",E80=""),"",IF(COUNTIFS($B$5:$B80,B80,$E$5:$E80,E80)=1,MAX($S$4:$S79)+1,""))</f>
        <v/>
      </c>
    </row>
    <row r="81">
      <c r="A81" s="44" t="str">
        <f>IF(B81="","","R"&amp;TEXT(ROW()-4,"000"))</f>
        <v/>
      </c>
      <c r="B81" s="37" t="n"/>
      <c r="C81" s="45" t="str">
        <f>IF(B81="","",IFERROR(INDEX(CARDS!$B$5:$B$34,MATCH(B81,CARDS!$A$5:$A$34,0)),"⚠ Card ID?"))</f>
        <v/>
      </c>
      <c r="D81" s="45" t="str">
        <f>IF(B81="","",IFERROR(INDEX(CARDS!$C$5:$C$34,MATCH(B81,CARDS!$A$5:$A$34,0)),"⚠ Card ID?"))</f>
        <v/>
      </c>
      <c r="E81" s="37" t="n"/>
      <c r="F81" s="37" t="n"/>
      <c r="G81" s="41" t="n"/>
      <c r="H81" s="45" t="str">
        <f>IF(G81="","",IFERROR(INDEX(MCC_MASTER!$B$5:$B$504,MATCH(G81,MCC_MASTER!$A$5:$A$504,0)),"⚠ MCC chưa có trong MCC_MASTER"))</f>
        <v/>
      </c>
      <c r="I81" s="46" t="n"/>
      <c r="J81" s="40" t="n"/>
      <c r="K81" s="40" t="n"/>
      <c r="L81" s="40" t="n"/>
      <c r="M81" s="40" t="n"/>
      <c r="N81" s="42" t="n"/>
      <c r="O81" s="42" t="n"/>
      <c r="P81" s="37" t="n"/>
      <c r="Q81" s="37" t="n"/>
      <c r="R81" s="45" t="str">
        <f>IF(B81="","",IF(ISNA(MATCH(B81,CARDS!$A$5:$A$34,0)),"⚠ Card ID không tồn tại",IF(E81="","⚠ Thiếu Nhóm cashback",IF(OR(SUMPRODUCT(($B$5:$B$304=B81)*($E$5:$E$304=E81)*($J$5:$J$304&lt;&gt;J81))&gt;0,SUMPRODUCT(($B$5:$B$304=B81)*($K$5:$K$304&lt;&gt;K81))&gt;0),"⚠ Cap không đồng nhất","✓ OK"))))</f>
        <v/>
      </c>
      <c r="S81" s="43" t="str">
        <f>IF(OR(B81="",E81=""),"",IF(COUNTIFS($B$5:$B81,B81,$E$5:$E81,E81)=1,MAX($S$4:$S80)+1,""))</f>
        <v/>
      </c>
    </row>
    <row r="82">
      <c r="A82" s="44" t="str">
        <f>IF(B82="","","R"&amp;TEXT(ROW()-4,"000"))</f>
        <v/>
      </c>
      <c r="B82" s="37" t="n"/>
      <c r="C82" s="45" t="str">
        <f>IF(B82="","",IFERROR(INDEX(CARDS!$B$5:$B$34,MATCH(B82,CARDS!$A$5:$A$34,0)),"⚠ Card ID?"))</f>
        <v/>
      </c>
      <c r="D82" s="45" t="str">
        <f>IF(B82="","",IFERROR(INDEX(CARDS!$C$5:$C$34,MATCH(B82,CARDS!$A$5:$A$34,0)),"⚠ Card ID?"))</f>
        <v/>
      </c>
      <c r="E82" s="37" t="n"/>
      <c r="F82" s="37" t="n"/>
      <c r="G82" s="41" t="n"/>
      <c r="H82" s="45" t="str">
        <f>IF(G82="","",IFERROR(INDEX(MCC_MASTER!$B$5:$B$504,MATCH(G82,MCC_MASTER!$A$5:$A$504,0)),"⚠ MCC chưa có trong MCC_MASTER"))</f>
        <v/>
      </c>
      <c r="I82" s="46" t="n"/>
      <c r="J82" s="40" t="n"/>
      <c r="K82" s="40" t="n"/>
      <c r="L82" s="40" t="n"/>
      <c r="M82" s="40" t="n"/>
      <c r="N82" s="42" t="n"/>
      <c r="O82" s="42" t="n"/>
      <c r="P82" s="37" t="n"/>
      <c r="Q82" s="37" t="n"/>
      <c r="R82" s="45" t="str">
        <f>IF(B82="","",IF(ISNA(MATCH(B82,CARDS!$A$5:$A$34,0)),"⚠ Card ID không tồn tại",IF(E82="","⚠ Thiếu Nhóm cashback",IF(OR(SUMPRODUCT(($B$5:$B$304=B82)*($E$5:$E$304=E82)*($J$5:$J$304&lt;&gt;J82))&gt;0,SUMPRODUCT(($B$5:$B$304=B82)*($K$5:$K$304&lt;&gt;K82))&gt;0),"⚠ Cap không đồng nhất","✓ OK"))))</f>
        <v/>
      </c>
      <c r="S82" s="43" t="str">
        <f>IF(OR(B82="",E82=""),"",IF(COUNTIFS($B$5:$B82,B82,$E$5:$E82,E82)=1,MAX($S$4:$S81)+1,""))</f>
        <v/>
      </c>
    </row>
    <row r="83">
      <c r="A83" s="44" t="str">
        <f>IF(B83="","","R"&amp;TEXT(ROW()-4,"000"))</f>
        <v/>
      </c>
      <c r="B83" s="37" t="n"/>
      <c r="C83" s="45" t="str">
        <f>IF(B83="","",IFERROR(INDEX(CARDS!$B$5:$B$34,MATCH(B83,CARDS!$A$5:$A$34,0)),"⚠ Card ID?"))</f>
        <v/>
      </c>
      <c r="D83" s="45" t="str">
        <f>IF(B83="","",IFERROR(INDEX(CARDS!$C$5:$C$34,MATCH(B83,CARDS!$A$5:$A$34,0)),"⚠ Card ID?"))</f>
        <v/>
      </c>
      <c r="E83" s="37" t="n"/>
      <c r="F83" s="37" t="n"/>
      <c r="G83" s="41" t="n"/>
      <c r="H83" s="45" t="str">
        <f>IF(G83="","",IFERROR(INDEX(MCC_MASTER!$B$5:$B$504,MATCH(G83,MCC_MASTER!$A$5:$A$504,0)),"⚠ MCC chưa có trong MCC_MASTER"))</f>
        <v/>
      </c>
      <c r="I83" s="46" t="n"/>
      <c r="J83" s="40" t="n"/>
      <c r="K83" s="40" t="n"/>
      <c r="L83" s="40" t="n"/>
      <c r="M83" s="40" t="n"/>
      <c r="N83" s="42" t="n"/>
      <c r="O83" s="42" t="n"/>
      <c r="P83" s="37" t="n"/>
      <c r="Q83" s="37" t="n"/>
      <c r="R83" s="45" t="str">
        <f>IF(B83="","",IF(ISNA(MATCH(B83,CARDS!$A$5:$A$34,0)),"⚠ Card ID không tồn tại",IF(E83="","⚠ Thiếu Nhóm cashback",IF(OR(SUMPRODUCT(($B$5:$B$304=B83)*($E$5:$E$304=E83)*($J$5:$J$304&lt;&gt;J83))&gt;0,SUMPRODUCT(($B$5:$B$304=B83)*($K$5:$K$304&lt;&gt;K83))&gt;0),"⚠ Cap không đồng nhất","✓ OK"))))</f>
        <v/>
      </c>
      <c r="S83" s="43" t="str">
        <f>IF(OR(B83="",E83=""),"",IF(COUNTIFS($B$5:$B83,B83,$E$5:$E83,E83)=1,MAX($S$4:$S82)+1,""))</f>
        <v/>
      </c>
    </row>
    <row r="84">
      <c r="A84" s="44" t="str">
        <f>IF(B84="","","R"&amp;TEXT(ROW()-4,"000"))</f>
        <v/>
      </c>
      <c r="B84" s="37" t="n"/>
      <c r="C84" s="45" t="str">
        <f>IF(B84="","",IFERROR(INDEX(CARDS!$B$5:$B$34,MATCH(B84,CARDS!$A$5:$A$34,0)),"⚠ Card ID?"))</f>
        <v/>
      </c>
      <c r="D84" s="45" t="str">
        <f>IF(B84="","",IFERROR(INDEX(CARDS!$C$5:$C$34,MATCH(B84,CARDS!$A$5:$A$34,0)),"⚠ Card ID?"))</f>
        <v/>
      </c>
      <c r="E84" s="37" t="n"/>
      <c r="F84" s="37" t="n"/>
      <c r="G84" s="41" t="n"/>
      <c r="H84" s="45" t="str">
        <f>IF(G84="","",IFERROR(INDEX(MCC_MASTER!$B$5:$B$504,MATCH(G84,MCC_MASTER!$A$5:$A$504,0)),"⚠ MCC chưa có trong MCC_MASTER"))</f>
        <v/>
      </c>
      <c r="I84" s="46" t="n"/>
      <c r="J84" s="40" t="n"/>
      <c r="K84" s="40" t="n"/>
      <c r="L84" s="40" t="n"/>
      <c r="M84" s="40" t="n"/>
      <c r="N84" s="42" t="n"/>
      <c r="O84" s="42" t="n"/>
      <c r="P84" s="37" t="n"/>
      <c r="Q84" s="37" t="n"/>
      <c r="R84" s="45" t="str">
        <f>IF(B84="","",IF(ISNA(MATCH(B84,CARDS!$A$5:$A$34,0)),"⚠ Card ID không tồn tại",IF(E84="","⚠ Thiếu Nhóm cashback",IF(OR(SUMPRODUCT(($B$5:$B$304=B84)*($E$5:$E$304=E84)*($J$5:$J$304&lt;&gt;J84))&gt;0,SUMPRODUCT(($B$5:$B$304=B84)*($K$5:$K$304&lt;&gt;K84))&gt;0),"⚠ Cap không đồng nhất","✓ OK"))))</f>
        <v/>
      </c>
      <c r="S84" s="43" t="str">
        <f>IF(OR(B84="",E84=""),"",IF(COUNTIFS($B$5:$B84,B84,$E$5:$E84,E84)=1,MAX($S$4:$S83)+1,""))</f>
        <v/>
      </c>
    </row>
    <row r="85">
      <c r="A85" s="44" t="str">
        <f>IF(B85="","","R"&amp;TEXT(ROW()-4,"000"))</f>
        <v/>
      </c>
      <c r="B85" s="37" t="n"/>
      <c r="C85" s="45" t="str">
        <f>IF(B85="","",IFERROR(INDEX(CARDS!$B$5:$B$34,MATCH(B85,CARDS!$A$5:$A$34,0)),"⚠ Card ID?"))</f>
        <v/>
      </c>
      <c r="D85" s="45" t="str">
        <f>IF(B85="","",IFERROR(INDEX(CARDS!$C$5:$C$34,MATCH(B85,CARDS!$A$5:$A$34,0)),"⚠ Card ID?"))</f>
        <v/>
      </c>
      <c r="E85" s="37" t="n"/>
      <c r="F85" s="37" t="n"/>
      <c r="G85" s="41" t="n"/>
      <c r="H85" s="45" t="str">
        <f>IF(G85="","",IFERROR(INDEX(MCC_MASTER!$B$5:$B$504,MATCH(G85,MCC_MASTER!$A$5:$A$504,0)),"⚠ MCC chưa có trong MCC_MASTER"))</f>
        <v/>
      </c>
      <c r="I85" s="46" t="n"/>
      <c r="J85" s="40" t="n"/>
      <c r="K85" s="40" t="n"/>
      <c r="L85" s="40" t="n"/>
      <c r="M85" s="40" t="n"/>
      <c r="N85" s="42" t="n"/>
      <c r="O85" s="42" t="n"/>
      <c r="P85" s="37" t="n"/>
      <c r="Q85" s="37" t="n"/>
      <c r="R85" s="45" t="str">
        <f>IF(B85="","",IF(ISNA(MATCH(B85,CARDS!$A$5:$A$34,0)),"⚠ Card ID không tồn tại",IF(E85="","⚠ Thiếu Nhóm cashback",IF(OR(SUMPRODUCT(($B$5:$B$304=B85)*($E$5:$E$304=E85)*($J$5:$J$304&lt;&gt;J85))&gt;0,SUMPRODUCT(($B$5:$B$304=B85)*($K$5:$K$304&lt;&gt;K85))&gt;0),"⚠ Cap không đồng nhất","✓ OK"))))</f>
        <v/>
      </c>
      <c r="S85" s="43" t="str">
        <f>IF(OR(B85="",E85=""),"",IF(COUNTIFS($B$5:$B85,B85,$E$5:$E85,E85)=1,MAX($S$4:$S84)+1,""))</f>
        <v/>
      </c>
    </row>
    <row r="86">
      <c r="A86" s="44" t="str">
        <f>IF(B86="","","R"&amp;TEXT(ROW()-4,"000"))</f>
        <v/>
      </c>
      <c r="B86" s="37" t="n"/>
      <c r="C86" s="45" t="str">
        <f>IF(B86="","",IFERROR(INDEX(CARDS!$B$5:$B$34,MATCH(B86,CARDS!$A$5:$A$34,0)),"⚠ Card ID?"))</f>
        <v/>
      </c>
      <c r="D86" s="45" t="str">
        <f>IF(B86="","",IFERROR(INDEX(CARDS!$C$5:$C$34,MATCH(B86,CARDS!$A$5:$A$34,0)),"⚠ Card ID?"))</f>
        <v/>
      </c>
      <c r="E86" s="37" t="n"/>
      <c r="F86" s="37" t="n"/>
      <c r="G86" s="41" t="n"/>
      <c r="H86" s="45" t="str">
        <f>IF(G86="","",IFERROR(INDEX(MCC_MASTER!$B$5:$B$504,MATCH(G86,MCC_MASTER!$A$5:$A$504,0)),"⚠ MCC chưa có trong MCC_MASTER"))</f>
        <v/>
      </c>
      <c r="I86" s="46" t="n"/>
      <c r="J86" s="40" t="n"/>
      <c r="K86" s="40" t="n"/>
      <c r="L86" s="40" t="n"/>
      <c r="M86" s="40" t="n"/>
      <c r="N86" s="42" t="n"/>
      <c r="O86" s="42" t="n"/>
      <c r="P86" s="37" t="n"/>
      <c r="Q86" s="37" t="n"/>
      <c r="R86" s="45" t="str">
        <f>IF(B86="","",IF(ISNA(MATCH(B86,CARDS!$A$5:$A$34,0)),"⚠ Card ID không tồn tại",IF(E86="","⚠ Thiếu Nhóm cashback",IF(OR(SUMPRODUCT(($B$5:$B$304=B86)*($E$5:$E$304=E86)*($J$5:$J$304&lt;&gt;J86))&gt;0,SUMPRODUCT(($B$5:$B$304=B86)*($K$5:$K$304&lt;&gt;K86))&gt;0),"⚠ Cap không đồng nhất","✓ OK"))))</f>
        <v/>
      </c>
      <c r="S86" s="43" t="str">
        <f>IF(OR(B86="",E86=""),"",IF(COUNTIFS($B$5:$B86,B86,$E$5:$E86,E86)=1,MAX($S$4:$S85)+1,""))</f>
        <v/>
      </c>
    </row>
    <row r="87">
      <c r="A87" s="44" t="str">
        <f>IF(B87="","","R"&amp;TEXT(ROW()-4,"000"))</f>
        <v/>
      </c>
      <c r="B87" s="37" t="n"/>
      <c r="C87" s="45" t="str">
        <f>IF(B87="","",IFERROR(INDEX(CARDS!$B$5:$B$34,MATCH(B87,CARDS!$A$5:$A$34,0)),"⚠ Card ID?"))</f>
        <v/>
      </c>
      <c r="D87" s="45" t="str">
        <f>IF(B87="","",IFERROR(INDEX(CARDS!$C$5:$C$34,MATCH(B87,CARDS!$A$5:$A$34,0)),"⚠ Card ID?"))</f>
        <v/>
      </c>
      <c r="E87" s="37" t="n"/>
      <c r="F87" s="37" t="n"/>
      <c r="G87" s="41" t="n"/>
      <c r="H87" s="45" t="str">
        <f>IF(G87="","",IFERROR(INDEX(MCC_MASTER!$B$5:$B$504,MATCH(G87,MCC_MASTER!$A$5:$A$504,0)),"⚠ MCC chưa có trong MCC_MASTER"))</f>
        <v/>
      </c>
      <c r="I87" s="46" t="n"/>
      <c r="J87" s="40" t="n"/>
      <c r="K87" s="40" t="n"/>
      <c r="L87" s="40" t="n"/>
      <c r="M87" s="40" t="n"/>
      <c r="N87" s="42" t="n"/>
      <c r="O87" s="42" t="n"/>
      <c r="P87" s="37" t="n"/>
      <c r="Q87" s="37" t="n"/>
      <c r="R87" s="45" t="str">
        <f>IF(B87="","",IF(ISNA(MATCH(B87,CARDS!$A$5:$A$34,0)),"⚠ Card ID không tồn tại",IF(E87="","⚠ Thiếu Nhóm cashback",IF(OR(SUMPRODUCT(($B$5:$B$304=B87)*($E$5:$E$304=E87)*($J$5:$J$304&lt;&gt;J87))&gt;0,SUMPRODUCT(($B$5:$B$304=B87)*($K$5:$K$304&lt;&gt;K87))&gt;0),"⚠ Cap không đồng nhất","✓ OK"))))</f>
        <v/>
      </c>
      <c r="S87" s="43" t="str">
        <f>IF(OR(B87="",E87=""),"",IF(COUNTIFS($B$5:$B87,B87,$E$5:$E87,E87)=1,MAX($S$4:$S86)+1,""))</f>
        <v/>
      </c>
    </row>
    <row r="88">
      <c r="A88" s="44" t="str">
        <f>IF(B88="","","R"&amp;TEXT(ROW()-4,"000"))</f>
        <v/>
      </c>
      <c r="B88" s="37" t="n"/>
      <c r="C88" s="45" t="str">
        <f>IF(B88="","",IFERROR(INDEX(CARDS!$B$5:$B$34,MATCH(B88,CARDS!$A$5:$A$34,0)),"⚠ Card ID?"))</f>
        <v/>
      </c>
      <c r="D88" s="45" t="str">
        <f>IF(B88="","",IFERROR(INDEX(CARDS!$C$5:$C$34,MATCH(B88,CARDS!$A$5:$A$34,0)),"⚠ Card ID?"))</f>
        <v/>
      </c>
      <c r="E88" s="37" t="n"/>
      <c r="F88" s="37" t="n"/>
      <c r="G88" s="41" t="n"/>
      <c r="H88" s="45" t="str">
        <f>IF(G88="","",IFERROR(INDEX(MCC_MASTER!$B$5:$B$504,MATCH(G88,MCC_MASTER!$A$5:$A$504,0)),"⚠ MCC chưa có trong MCC_MASTER"))</f>
        <v/>
      </c>
      <c r="I88" s="46" t="n"/>
      <c r="J88" s="40" t="n"/>
      <c r="K88" s="40" t="n"/>
      <c r="L88" s="40" t="n"/>
      <c r="M88" s="40" t="n"/>
      <c r="N88" s="42" t="n"/>
      <c r="O88" s="42" t="n"/>
      <c r="P88" s="37" t="n"/>
      <c r="Q88" s="37" t="n"/>
      <c r="R88" s="45" t="str">
        <f>IF(B88="","",IF(ISNA(MATCH(B88,CARDS!$A$5:$A$34,0)),"⚠ Card ID không tồn tại",IF(E88="","⚠ Thiếu Nhóm cashback",IF(OR(SUMPRODUCT(($B$5:$B$304=B88)*($E$5:$E$304=E88)*($J$5:$J$304&lt;&gt;J88))&gt;0,SUMPRODUCT(($B$5:$B$304=B88)*($K$5:$K$304&lt;&gt;K88))&gt;0),"⚠ Cap không đồng nhất","✓ OK"))))</f>
        <v/>
      </c>
      <c r="S88" s="43" t="str">
        <f>IF(OR(B88="",E88=""),"",IF(COUNTIFS($B$5:$B88,B88,$E$5:$E88,E88)=1,MAX($S$4:$S87)+1,""))</f>
        <v/>
      </c>
    </row>
    <row r="89">
      <c r="A89" s="44" t="str">
        <f>IF(B89="","","R"&amp;TEXT(ROW()-4,"000"))</f>
        <v/>
      </c>
      <c r="B89" s="37" t="n"/>
      <c r="C89" s="45" t="str">
        <f>IF(B89="","",IFERROR(INDEX(CARDS!$B$5:$B$34,MATCH(B89,CARDS!$A$5:$A$34,0)),"⚠ Card ID?"))</f>
        <v/>
      </c>
      <c r="D89" s="45" t="str">
        <f>IF(B89="","",IFERROR(INDEX(CARDS!$C$5:$C$34,MATCH(B89,CARDS!$A$5:$A$34,0)),"⚠ Card ID?"))</f>
        <v/>
      </c>
      <c r="E89" s="37" t="n"/>
      <c r="F89" s="37" t="n"/>
      <c r="G89" s="41" t="n"/>
      <c r="H89" s="45" t="str">
        <f>IF(G89="","",IFERROR(INDEX(MCC_MASTER!$B$5:$B$504,MATCH(G89,MCC_MASTER!$A$5:$A$504,0)),"⚠ MCC chưa có trong MCC_MASTER"))</f>
        <v/>
      </c>
      <c r="I89" s="46" t="n"/>
      <c r="J89" s="40" t="n"/>
      <c r="K89" s="40" t="n"/>
      <c r="L89" s="40" t="n"/>
      <c r="M89" s="40" t="n"/>
      <c r="N89" s="42" t="n"/>
      <c r="O89" s="42" t="n"/>
      <c r="P89" s="37" t="n"/>
      <c r="Q89" s="37" t="n"/>
      <c r="R89" s="45" t="str">
        <f>IF(B89="","",IF(ISNA(MATCH(B89,CARDS!$A$5:$A$34,0)),"⚠ Card ID không tồn tại",IF(E89="","⚠ Thiếu Nhóm cashback",IF(OR(SUMPRODUCT(($B$5:$B$304=B89)*($E$5:$E$304=E89)*($J$5:$J$304&lt;&gt;J89))&gt;0,SUMPRODUCT(($B$5:$B$304=B89)*($K$5:$K$304&lt;&gt;K89))&gt;0),"⚠ Cap không đồng nhất","✓ OK"))))</f>
        <v/>
      </c>
      <c r="S89" s="43" t="str">
        <f>IF(OR(B89="",E89=""),"",IF(COUNTIFS($B$5:$B89,B89,$E$5:$E89,E89)=1,MAX($S$4:$S88)+1,""))</f>
        <v/>
      </c>
    </row>
    <row r="90">
      <c r="A90" s="44" t="str">
        <f>IF(B90="","","R"&amp;TEXT(ROW()-4,"000"))</f>
        <v/>
      </c>
      <c r="B90" s="37" t="n"/>
      <c r="C90" s="45" t="str">
        <f>IF(B90="","",IFERROR(INDEX(CARDS!$B$5:$B$34,MATCH(B90,CARDS!$A$5:$A$34,0)),"⚠ Card ID?"))</f>
        <v/>
      </c>
      <c r="D90" s="45" t="str">
        <f>IF(B90="","",IFERROR(INDEX(CARDS!$C$5:$C$34,MATCH(B90,CARDS!$A$5:$A$34,0)),"⚠ Card ID?"))</f>
        <v/>
      </c>
      <c r="E90" s="37" t="n"/>
      <c r="F90" s="37" t="n"/>
      <c r="G90" s="41" t="n"/>
      <c r="H90" s="45" t="str">
        <f>IF(G90="","",IFERROR(INDEX(MCC_MASTER!$B$5:$B$504,MATCH(G90,MCC_MASTER!$A$5:$A$504,0)),"⚠ MCC chưa có trong MCC_MASTER"))</f>
        <v/>
      </c>
      <c r="I90" s="46" t="n"/>
      <c r="J90" s="40" t="n"/>
      <c r="K90" s="40" t="n"/>
      <c r="L90" s="40" t="n"/>
      <c r="M90" s="40" t="n"/>
      <c r="N90" s="42" t="n"/>
      <c r="O90" s="42" t="n"/>
      <c r="P90" s="37" t="n"/>
      <c r="Q90" s="37" t="n"/>
      <c r="R90" s="45" t="str">
        <f>IF(B90="","",IF(ISNA(MATCH(B90,CARDS!$A$5:$A$34,0)),"⚠ Card ID không tồn tại",IF(E90="","⚠ Thiếu Nhóm cashback",IF(OR(SUMPRODUCT(($B$5:$B$304=B90)*($E$5:$E$304=E90)*($J$5:$J$304&lt;&gt;J90))&gt;0,SUMPRODUCT(($B$5:$B$304=B90)*($K$5:$K$304&lt;&gt;K90))&gt;0),"⚠ Cap không đồng nhất","✓ OK"))))</f>
        <v/>
      </c>
      <c r="S90" s="43" t="str">
        <f>IF(OR(B90="",E90=""),"",IF(COUNTIFS($B$5:$B90,B90,$E$5:$E90,E90)=1,MAX($S$4:$S89)+1,""))</f>
        <v/>
      </c>
    </row>
    <row r="91">
      <c r="A91" s="44" t="str">
        <f>IF(B91="","","R"&amp;TEXT(ROW()-4,"000"))</f>
        <v/>
      </c>
      <c r="B91" s="37" t="n"/>
      <c r="C91" s="45" t="str">
        <f>IF(B91="","",IFERROR(INDEX(CARDS!$B$5:$B$34,MATCH(B91,CARDS!$A$5:$A$34,0)),"⚠ Card ID?"))</f>
        <v/>
      </c>
      <c r="D91" s="45" t="str">
        <f>IF(B91="","",IFERROR(INDEX(CARDS!$C$5:$C$34,MATCH(B91,CARDS!$A$5:$A$34,0)),"⚠ Card ID?"))</f>
        <v/>
      </c>
      <c r="E91" s="37" t="n"/>
      <c r="F91" s="37" t="n"/>
      <c r="G91" s="41" t="n"/>
      <c r="H91" s="45" t="str">
        <f>IF(G91="","",IFERROR(INDEX(MCC_MASTER!$B$5:$B$504,MATCH(G91,MCC_MASTER!$A$5:$A$504,0)),"⚠ MCC chưa có trong MCC_MASTER"))</f>
        <v/>
      </c>
      <c r="I91" s="46" t="n"/>
      <c r="J91" s="40" t="n"/>
      <c r="K91" s="40" t="n"/>
      <c r="L91" s="40" t="n"/>
      <c r="M91" s="40" t="n"/>
      <c r="N91" s="42" t="n"/>
      <c r="O91" s="42" t="n"/>
      <c r="P91" s="37" t="n"/>
      <c r="Q91" s="37" t="n"/>
      <c r="R91" s="45" t="str">
        <f>IF(B91="","",IF(ISNA(MATCH(B91,CARDS!$A$5:$A$34,0)),"⚠ Card ID không tồn tại",IF(E91="","⚠ Thiếu Nhóm cashback",IF(OR(SUMPRODUCT(($B$5:$B$304=B91)*($E$5:$E$304=E91)*($J$5:$J$304&lt;&gt;J91))&gt;0,SUMPRODUCT(($B$5:$B$304=B91)*($K$5:$K$304&lt;&gt;K91))&gt;0),"⚠ Cap không đồng nhất","✓ OK"))))</f>
        <v/>
      </c>
      <c r="S91" s="43" t="str">
        <f>IF(OR(B91="",E91=""),"",IF(COUNTIFS($B$5:$B91,B91,$E$5:$E91,E91)=1,MAX($S$4:$S90)+1,""))</f>
        <v/>
      </c>
    </row>
    <row r="92">
      <c r="A92" s="44" t="str">
        <f>IF(B92="","","R"&amp;TEXT(ROW()-4,"000"))</f>
        <v/>
      </c>
      <c r="B92" s="37" t="n"/>
      <c r="C92" s="45" t="str">
        <f>IF(B92="","",IFERROR(INDEX(CARDS!$B$5:$B$34,MATCH(B92,CARDS!$A$5:$A$34,0)),"⚠ Card ID?"))</f>
        <v/>
      </c>
      <c r="D92" s="45" t="str">
        <f>IF(B92="","",IFERROR(INDEX(CARDS!$C$5:$C$34,MATCH(B92,CARDS!$A$5:$A$34,0)),"⚠ Card ID?"))</f>
        <v/>
      </c>
      <c r="E92" s="37" t="n"/>
      <c r="F92" s="37" t="n"/>
      <c r="G92" s="41" t="n"/>
      <c r="H92" s="45" t="str">
        <f>IF(G92="","",IFERROR(INDEX(MCC_MASTER!$B$5:$B$504,MATCH(G92,MCC_MASTER!$A$5:$A$504,0)),"⚠ MCC chưa có trong MCC_MASTER"))</f>
        <v/>
      </c>
      <c r="I92" s="46" t="n"/>
      <c r="J92" s="40" t="n"/>
      <c r="K92" s="40" t="n"/>
      <c r="L92" s="40" t="n"/>
      <c r="M92" s="40" t="n"/>
      <c r="N92" s="42" t="n"/>
      <c r="O92" s="42" t="n"/>
      <c r="P92" s="37" t="n"/>
      <c r="Q92" s="37" t="n"/>
      <c r="R92" s="45" t="str">
        <f>IF(B92="","",IF(ISNA(MATCH(B92,CARDS!$A$5:$A$34,0)),"⚠ Card ID không tồn tại",IF(E92="","⚠ Thiếu Nhóm cashback",IF(OR(SUMPRODUCT(($B$5:$B$304=B92)*($E$5:$E$304=E92)*($J$5:$J$304&lt;&gt;J92))&gt;0,SUMPRODUCT(($B$5:$B$304=B92)*($K$5:$K$304&lt;&gt;K92))&gt;0),"⚠ Cap không đồng nhất","✓ OK"))))</f>
        <v/>
      </c>
      <c r="S92" s="43" t="str">
        <f>IF(OR(B92="",E92=""),"",IF(COUNTIFS($B$5:$B92,B92,$E$5:$E92,E92)=1,MAX($S$4:$S91)+1,""))</f>
        <v/>
      </c>
    </row>
    <row r="93">
      <c r="A93" s="44" t="str">
        <f>IF(B93="","","R"&amp;TEXT(ROW()-4,"000"))</f>
        <v/>
      </c>
      <c r="B93" s="37" t="n"/>
      <c r="C93" s="45" t="str">
        <f>IF(B93="","",IFERROR(INDEX(CARDS!$B$5:$B$34,MATCH(B93,CARDS!$A$5:$A$34,0)),"⚠ Card ID?"))</f>
        <v/>
      </c>
      <c r="D93" s="45" t="str">
        <f>IF(B93="","",IFERROR(INDEX(CARDS!$C$5:$C$34,MATCH(B93,CARDS!$A$5:$A$34,0)),"⚠ Card ID?"))</f>
        <v/>
      </c>
      <c r="E93" s="37" t="n"/>
      <c r="F93" s="37" t="n"/>
      <c r="G93" s="41" t="n"/>
      <c r="H93" s="45" t="str">
        <f>IF(G93="","",IFERROR(INDEX(MCC_MASTER!$B$5:$B$504,MATCH(G93,MCC_MASTER!$A$5:$A$504,0)),"⚠ MCC chưa có trong MCC_MASTER"))</f>
        <v/>
      </c>
      <c r="I93" s="46" t="n"/>
      <c r="J93" s="40" t="n"/>
      <c r="K93" s="40" t="n"/>
      <c r="L93" s="40" t="n"/>
      <c r="M93" s="40" t="n"/>
      <c r="N93" s="42" t="n"/>
      <c r="O93" s="42" t="n"/>
      <c r="P93" s="37" t="n"/>
      <c r="Q93" s="37" t="n"/>
      <c r="R93" s="45" t="str">
        <f>IF(B93="","",IF(ISNA(MATCH(B93,CARDS!$A$5:$A$34,0)),"⚠ Card ID không tồn tại",IF(E93="","⚠ Thiếu Nhóm cashback",IF(OR(SUMPRODUCT(($B$5:$B$304=B93)*($E$5:$E$304=E93)*($J$5:$J$304&lt;&gt;J93))&gt;0,SUMPRODUCT(($B$5:$B$304=B93)*($K$5:$K$304&lt;&gt;K93))&gt;0),"⚠ Cap không đồng nhất","✓ OK"))))</f>
        <v/>
      </c>
      <c r="S93" s="43" t="str">
        <f>IF(OR(B93="",E93=""),"",IF(COUNTIFS($B$5:$B93,B93,$E$5:$E93,E93)=1,MAX($S$4:$S92)+1,""))</f>
        <v/>
      </c>
    </row>
    <row r="94">
      <c r="A94" s="44" t="str">
        <f>IF(B94="","","R"&amp;TEXT(ROW()-4,"000"))</f>
        <v/>
      </c>
      <c r="B94" s="37" t="n"/>
      <c r="C94" s="45" t="str">
        <f>IF(B94="","",IFERROR(INDEX(CARDS!$B$5:$B$34,MATCH(B94,CARDS!$A$5:$A$34,0)),"⚠ Card ID?"))</f>
        <v/>
      </c>
      <c r="D94" s="45" t="str">
        <f>IF(B94="","",IFERROR(INDEX(CARDS!$C$5:$C$34,MATCH(B94,CARDS!$A$5:$A$34,0)),"⚠ Card ID?"))</f>
        <v/>
      </c>
      <c r="E94" s="37" t="n"/>
      <c r="F94" s="37" t="n"/>
      <c r="G94" s="41" t="n"/>
      <c r="H94" s="45" t="str">
        <f>IF(G94="","",IFERROR(INDEX(MCC_MASTER!$B$5:$B$504,MATCH(G94,MCC_MASTER!$A$5:$A$504,0)),"⚠ MCC chưa có trong MCC_MASTER"))</f>
        <v/>
      </c>
      <c r="I94" s="46" t="n"/>
      <c r="J94" s="40" t="n"/>
      <c r="K94" s="40" t="n"/>
      <c r="L94" s="40" t="n"/>
      <c r="M94" s="40" t="n"/>
      <c r="N94" s="42" t="n"/>
      <c r="O94" s="42" t="n"/>
      <c r="P94" s="37" t="n"/>
      <c r="Q94" s="37" t="n"/>
      <c r="R94" s="45" t="str">
        <f>IF(B94="","",IF(ISNA(MATCH(B94,CARDS!$A$5:$A$34,0)),"⚠ Card ID không tồn tại",IF(E94="","⚠ Thiếu Nhóm cashback",IF(OR(SUMPRODUCT(($B$5:$B$304=B94)*($E$5:$E$304=E94)*($J$5:$J$304&lt;&gt;J94))&gt;0,SUMPRODUCT(($B$5:$B$304=B94)*($K$5:$K$304&lt;&gt;K94))&gt;0),"⚠ Cap không đồng nhất","✓ OK"))))</f>
        <v/>
      </c>
      <c r="S94" s="43" t="str">
        <f>IF(OR(B94="",E94=""),"",IF(COUNTIFS($B$5:$B94,B94,$E$5:$E94,E94)=1,MAX($S$4:$S93)+1,""))</f>
        <v/>
      </c>
    </row>
    <row r="95">
      <c r="A95" s="44" t="str">
        <f>IF(B95="","","R"&amp;TEXT(ROW()-4,"000"))</f>
        <v/>
      </c>
      <c r="B95" s="37" t="n"/>
      <c r="C95" s="45" t="str">
        <f>IF(B95="","",IFERROR(INDEX(CARDS!$B$5:$B$34,MATCH(B95,CARDS!$A$5:$A$34,0)),"⚠ Card ID?"))</f>
        <v/>
      </c>
      <c r="D95" s="45" t="str">
        <f>IF(B95="","",IFERROR(INDEX(CARDS!$C$5:$C$34,MATCH(B95,CARDS!$A$5:$A$34,0)),"⚠ Card ID?"))</f>
        <v/>
      </c>
      <c r="E95" s="37" t="n"/>
      <c r="F95" s="37" t="n"/>
      <c r="G95" s="41" t="n"/>
      <c r="H95" s="45" t="str">
        <f>IF(G95="","",IFERROR(INDEX(MCC_MASTER!$B$5:$B$504,MATCH(G95,MCC_MASTER!$A$5:$A$504,0)),"⚠ MCC chưa có trong MCC_MASTER"))</f>
        <v/>
      </c>
      <c r="I95" s="46" t="n"/>
      <c r="J95" s="40" t="n"/>
      <c r="K95" s="40" t="n"/>
      <c r="L95" s="40" t="n"/>
      <c r="M95" s="40" t="n"/>
      <c r="N95" s="42" t="n"/>
      <c r="O95" s="42" t="n"/>
      <c r="P95" s="37" t="n"/>
      <c r="Q95" s="37" t="n"/>
      <c r="R95" s="45" t="str">
        <f>IF(B95="","",IF(ISNA(MATCH(B95,CARDS!$A$5:$A$34,0)),"⚠ Card ID không tồn tại",IF(E95="","⚠ Thiếu Nhóm cashback",IF(OR(SUMPRODUCT(($B$5:$B$304=B95)*($E$5:$E$304=E95)*($J$5:$J$304&lt;&gt;J95))&gt;0,SUMPRODUCT(($B$5:$B$304=B95)*($K$5:$K$304&lt;&gt;K95))&gt;0),"⚠ Cap không đồng nhất","✓ OK"))))</f>
        <v/>
      </c>
      <c r="S95" s="43" t="str">
        <f>IF(OR(B95="",E95=""),"",IF(COUNTIFS($B$5:$B95,B95,$E$5:$E95,E95)=1,MAX($S$4:$S94)+1,""))</f>
        <v/>
      </c>
    </row>
    <row r="96">
      <c r="A96" s="44" t="str">
        <f>IF(B96="","","R"&amp;TEXT(ROW()-4,"000"))</f>
        <v/>
      </c>
      <c r="B96" s="37" t="n"/>
      <c r="C96" s="45" t="str">
        <f>IF(B96="","",IFERROR(INDEX(CARDS!$B$5:$B$34,MATCH(B96,CARDS!$A$5:$A$34,0)),"⚠ Card ID?"))</f>
        <v/>
      </c>
      <c r="D96" s="45" t="str">
        <f>IF(B96="","",IFERROR(INDEX(CARDS!$C$5:$C$34,MATCH(B96,CARDS!$A$5:$A$34,0)),"⚠ Card ID?"))</f>
        <v/>
      </c>
      <c r="E96" s="37" t="n"/>
      <c r="F96" s="37" t="n"/>
      <c r="G96" s="41" t="n"/>
      <c r="H96" s="45" t="str">
        <f>IF(G96="","",IFERROR(INDEX(MCC_MASTER!$B$5:$B$504,MATCH(G96,MCC_MASTER!$A$5:$A$504,0)),"⚠ MCC chưa có trong MCC_MASTER"))</f>
        <v/>
      </c>
      <c r="I96" s="46" t="n"/>
      <c r="J96" s="40" t="n"/>
      <c r="K96" s="40" t="n"/>
      <c r="L96" s="40" t="n"/>
      <c r="M96" s="40" t="n"/>
      <c r="N96" s="42" t="n"/>
      <c r="O96" s="42" t="n"/>
      <c r="P96" s="37" t="n"/>
      <c r="Q96" s="37" t="n"/>
      <c r="R96" s="45" t="str">
        <f>IF(B96="","",IF(ISNA(MATCH(B96,CARDS!$A$5:$A$34,0)),"⚠ Card ID không tồn tại",IF(E96="","⚠ Thiếu Nhóm cashback",IF(OR(SUMPRODUCT(($B$5:$B$304=B96)*($E$5:$E$304=E96)*($J$5:$J$304&lt;&gt;J96))&gt;0,SUMPRODUCT(($B$5:$B$304=B96)*($K$5:$K$304&lt;&gt;K96))&gt;0),"⚠ Cap không đồng nhất","✓ OK"))))</f>
        <v/>
      </c>
      <c r="S96" s="43" t="str">
        <f>IF(OR(B96="",E96=""),"",IF(COUNTIFS($B$5:$B96,B96,$E$5:$E96,E96)=1,MAX($S$4:$S95)+1,""))</f>
        <v/>
      </c>
    </row>
    <row r="97">
      <c r="A97" s="44" t="str">
        <f>IF(B97="","","R"&amp;TEXT(ROW()-4,"000"))</f>
        <v/>
      </c>
      <c r="B97" s="37" t="n"/>
      <c r="C97" s="45" t="str">
        <f>IF(B97="","",IFERROR(INDEX(CARDS!$B$5:$B$34,MATCH(B97,CARDS!$A$5:$A$34,0)),"⚠ Card ID?"))</f>
        <v/>
      </c>
      <c r="D97" s="45" t="str">
        <f>IF(B97="","",IFERROR(INDEX(CARDS!$C$5:$C$34,MATCH(B97,CARDS!$A$5:$A$34,0)),"⚠ Card ID?"))</f>
        <v/>
      </c>
      <c r="E97" s="37" t="n"/>
      <c r="F97" s="37" t="n"/>
      <c r="G97" s="41" t="n"/>
      <c r="H97" s="45" t="str">
        <f>IF(G97="","",IFERROR(INDEX(MCC_MASTER!$B$5:$B$504,MATCH(G97,MCC_MASTER!$A$5:$A$504,0)),"⚠ MCC chưa có trong MCC_MASTER"))</f>
        <v/>
      </c>
      <c r="I97" s="46" t="n"/>
      <c r="J97" s="40" t="n"/>
      <c r="K97" s="40" t="n"/>
      <c r="L97" s="40" t="n"/>
      <c r="M97" s="40" t="n"/>
      <c r="N97" s="42" t="n"/>
      <c r="O97" s="42" t="n"/>
      <c r="P97" s="37" t="n"/>
      <c r="Q97" s="37" t="n"/>
      <c r="R97" s="45" t="str">
        <f>IF(B97="","",IF(ISNA(MATCH(B97,CARDS!$A$5:$A$34,0)),"⚠ Card ID không tồn tại",IF(E97="","⚠ Thiếu Nhóm cashback",IF(OR(SUMPRODUCT(($B$5:$B$304=B97)*($E$5:$E$304=E97)*($J$5:$J$304&lt;&gt;J97))&gt;0,SUMPRODUCT(($B$5:$B$304=B97)*($K$5:$K$304&lt;&gt;K97))&gt;0),"⚠ Cap không đồng nhất","✓ OK"))))</f>
        <v/>
      </c>
      <c r="S97" s="43" t="str">
        <f>IF(OR(B97="",E97=""),"",IF(COUNTIFS($B$5:$B97,B97,$E$5:$E97,E97)=1,MAX($S$4:$S96)+1,""))</f>
        <v/>
      </c>
    </row>
    <row r="98">
      <c r="A98" s="44" t="str">
        <f>IF(B98="","","R"&amp;TEXT(ROW()-4,"000"))</f>
        <v/>
      </c>
      <c r="B98" s="37" t="n"/>
      <c r="C98" s="45" t="str">
        <f>IF(B98="","",IFERROR(INDEX(CARDS!$B$5:$B$34,MATCH(B98,CARDS!$A$5:$A$34,0)),"⚠ Card ID?"))</f>
        <v/>
      </c>
      <c r="D98" s="45" t="str">
        <f>IF(B98="","",IFERROR(INDEX(CARDS!$C$5:$C$34,MATCH(B98,CARDS!$A$5:$A$34,0)),"⚠ Card ID?"))</f>
        <v/>
      </c>
      <c r="E98" s="37" t="n"/>
      <c r="F98" s="37" t="n"/>
      <c r="G98" s="41" t="n"/>
      <c r="H98" s="45" t="str">
        <f>IF(G98="","",IFERROR(INDEX(MCC_MASTER!$B$5:$B$504,MATCH(G98,MCC_MASTER!$A$5:$A$504,0)),"⚠ MCC chưa có trong MCC_MASTER"))</f>
        <v/>
      </c>
      <c r="I98" s="46" t="n"/>
      <c r="J98" s="40" t="n"/>
      <c r="K98" s="40" t="n"/>
      <c r="L98" s="40" t="n"/>
      <c r="M98" s="40" t="n"/>
      <c r="N98" s="42" t="n"/>
      <c r="O98" s="42" t="n"/>
      <c r="P98" s="37" t="n"/>
      <c r="Q98" s="37" t="n"/>
      <c r="R98" s="45" t="str">
        <f>IF(B98="","",IF(ISNA(MATCH(B98,CARDS!$A$5:$A$34,0)),"⚠ Card ID không tồn tại",IF(E98="","⚠ Thiếu Nhóm cashback",IF(OR(SUMPRODUCT(($B$5:$B$304=B98)*($E$5:$E$304=E98)*($J$5:$J$304&lt;&gt;J98))&gt;0,SUMPRODUCT(($B$5:$B$304=B98)*($K$5:$K$304&lt;&gt;K98))&gt;0),"⚠ Cap không đồng nhất","✓ OK"))))</f>
        <v/>
      </c>
      <c r="S98" s="43" t="str">
        <f>IF(OR(B98="",E98=""),"",IF(COUNTIFS($B$5:$B98,B98,$E$5:$E98,E98)=1,MAX($S$4:$S97)+1,""))</f>
        <v/>
      </c>
    </row>
    <row r="99">
      <c r="A99" s="44" t="str">
        <f>IF(B99="","","R"&amp;TEXT(ROW()-4,"000"))</f>
        <v/>
      </c>
      <c r="B99" s="37" t="n"/>
      <c r="C99" s="45" t="str">
        <f>IF(B99="","",IFERROR(INDEX(CARDS!$B$5:$B$34,MATCH(B99,CARDS!$A$5:$A$34,0)),"⚠ Card ID?"))</f>
        <v/>
      </c>
      <c r="D99" s="45" t="str">
        <f>IF(B99="","",IFERROR(INDEX(CARDS!$C$5:$C$34,MATCH(B99,CARDS!$A$5:$A$34,0)),"⚠ Card ID?"))</f>
        <v/>
      </c>
      <c r="E99" s="37" t="n"/>
      <c r="F99" s="37" t="n"/>
      <c r="G99" s="41" t="n"/>
      <c r="H99" s="45" t="str">
        <f>IF(G99="","",IFERROR(INDEX(MCC_MASTER!$B$5:$B$504,MATCH(G99,MCC_MASTER!$A$5:$A$504,0)),"⚠ MCC chưa có trong MCC_MASTER"))</f>
        <v/>
      </c>
      <c r="I99" s="46" t="n"/>
      <c r="J99" s="40" t="n"/>
      <c r="K99" s="40" t="n"/>
      <c r="L99" s="40" t="n"/>
      <c r="M99" s="40" t="n"/>
      <c r="N99" s="42" t="n"/>
      <c r="O99" s="42" t="n"/>
      <c r="P99" s="37" t="n"/>
      <c r="Q99" s="37" t="n"/>
      <c r="R99" s="45" t="str">
        <f>IF(B99="","",IF(ISNA(MATCH(B99,CARDS!$A$5:$A$34,0)),"⚠ Card ID không tồn tại",IF(E99="","⚠ Thiếu Nhóm cashback",IF(OR(SUMPRODUCT(($B$5:$B$304=B99)*($E$5:$E$304=E99)*($J$5:$J$304&lt;&gt;J99))&gt;0,SUMPRODUCT(($B$5:$B$304=B99)*($K$5:$K$304&lt;&gt;K99))&gt;0),"⚠ Cap không đồng nhất","✓ OK"))))</f>
        <v/>
      </c>
      <c r="S99" s="43" t="str">
        <f>IF(OR(B99="",E99=""),"",IF(COUNTIFS($B$5:$B99,B99,$E$5:$E99,E99)=1,MAX($S$4:$S98)+1,""))</f>
        <v/>
      </c>
    </row>
    <row r="100">
      <c r="A100" s="44" t="str">
        <f>IF(B100="","","R"&amp;TEXT(ROW()-4,"000"))</f>
        <v/>
      </c>
      <c r="B100" s="37" t="n"/>
      <c r="C100" s="45" t="str">
        <f>IF(B100="","",IFERROR(INDEX(CARDS!$B$5:$B$34,MATCH(B100,CARDS!$A$5:$A$34,0)),"⚠ Card ID?"))</f>
        <v/>
      </c>
      <c r="D100" s="45" t="str">
        <f>IF(B100="","",IFERROR(INDEX(CARDS!$C$5:$C$34,MATCH(B100,CARDS!$A$5:$A$34,0)),"⚠ Card ID?"))</f>
        <v/>
      </c>
      <c r="E100" s="37" t="n"/>
      <c r="F100" s="37" t="n"/>
      <c r="G100" s="41" t="n"/>
      <c r="H100" s="45" t="str">
        <f>IF(G100="","",IFERROR(INDEX(MCC_MASTER!$B$5:$B$504,MATCH(G100,MCC_MASTER!$A$5:$A$504,0)),"⚠ MCC chưa có trong MCC_MASTER"))</f>
        <v/>
      </c>
      <c r="I100" s="46" t="n"/>
      <c r="J100" s="40" t="n"/>
      <c r="K100" s="40" t="n"/>
      <c r="L100" s="40" t="n"/>
      <c r="M100" s="40" t="n"/>
      <c r="N100" s="42" t="n"/>
      <c r="O100" s="42" t="n"/>
      <c r="P100" s="37" t="n"/>
      <c r="Q100" s="37" t="n"/>
      <c r="R100" s="45" t="str">
        <f>IF(B100="","",IF(ISNA(MATCH(B100,CARDS!$A$5:$A$34,0)),"⚠ Card ID không tồn tại",IF(E100="","⚠ Thiếu Nhóm cashback",IF(OR(SUMPRODUCT(($B$5:$B$304=B100)*($E$5:$E$304=E100)*($J$5:$J$304&lt;&gt;J100))&gt;0,SUMPRODUCT(($B$5:$B$304=B100)*($K$5:$K$304&lt;&gt;K100))&gt;0),"⚠ Cap không đồng nhất","✓ OK"))))</f>
        <v/>
      </c>
      <c r="S100" s="43" t="str">
        <f>IF(OR(B100="",E100=""),"",IF(COUNTIFS($B$5:$B100,B100,$E$5:$E100,E100)=1,MAX($S$4:$S99)+1,""))</f>
        <v/>
      </c>
    </row>
    <row r="101">
      <c r="A101" s="44" t="str">
        <f>IF(B101="","","R"&amp;TEXT(ROW()-4,"000"))</f>
        <v/>
      </c>
      <c r="B101" s="37" t="n"/>
      <c r="C101" s="45" t="str">
        <f>IF(B101="","",IFERROR(INDEX(CARDS!$B$5:$B$34,MATCH(B101,CARDS!$A$5:$A$34,0)),"⚠ Card ID?"))</f>
        <v/>
      </c>
      <c r="D101" s="45" t="str">
        <f>IF(B101="","",IFERROR(INDEX(CARDS!$C$5:$C$34,MATCH(B101,CARDS!$A$5:$A$34,0)),"⚠ Card ID?"))</f>
        <v/>
      </c>
      <c r="E101" s="37" t="n"/>
      <c r="F101" s="37" t="n"/>
      <c r="G101" s="41" t="n"/>
      <c r="H101" s="45" t="str">
        <f>IF(G101="","",IFERROR(INDEX(MCC_MASTER!$B$5:$B$504,MATCH(G101,MCC_MASTER!$A$5:$A$504,0)),"⚠ MCC chưa có trong MCC_MASTER"))</f>
        <v/>
      </c>
      <c r="I101" s="46" t="n"/>
      <c r="J101" s="40" t="n"/>
      <c r="K101" s="40" t="n"/>
      <c r="L101" s="40" t="n"/>
      <c r="M101" s="40" t="n"/>
      <c r="N101" s="42" t="n"/>
      <c r="O101" s="42" t="n"/>
      <c r="P101" s="37" t="n"/>
      <c r="Q101" s="37" t="n"/>
      <c r="R101" s="45" t="str">
        <f>IF(B101="","",IF(ISNA(MATCH(B101,CARDS!$A$5:$A$34,0)),"⚠ Card ID không tồn tại",IF(E101="","⚠ Thiếu Nhóm cashback",IF(OR(SUMPRODUCT(($B$5:$B$304=B101)*($E$5:$E$304=E101)*($J$5:$J$304&lt;&gt;J101))&gt;0,SUMPRODUCT(($B$5:$B$304=B101)*($K$5:$K$304&lt;&gt;K101))&gt;0),"⚠ Cap không đồng nhất","✓ OK"))))</f>
        <v/>
      </c>
      <c r="S101" s="43" t="str">
        <f>IF(OR(B101="",E101=""),"",IF(COUNTIFS($B$5:$B101,B101,$E$5:$E101,E101)=1,MAX($S$4:$S100)+1,""))</f>
        <v/>
      </c>
    </row>
    <row r="102">
      <c r="A102" s="44" t="str">
        <f>IF(B102="","","R"&amp;TEXT(ROW()-4,"000"))</f>
        <v/>
      </c>
      <c r="B102" s="37" t="n"/>
      <c r="C102" s="45" t="str">
        <f>IF(B102="","",IFERROR(INDEX(CARDS!$B$5:$B$34,MATCH(B102,CARDS!$A$5:$A$34,0)),"⚠ Card ID?"))</f>
        <v/>
      </c>
      <c r="D102" s="45" t="str">
        <f>IF(B102="","",IFERROR(INDEX(CARDS!$C$5:$C$34,MATCH(B102,CARDS!$A$5:$A$34,0)),"⚠ Card ID?"))</f>
        <v/>
      </c>
      <c r="E102" s="37" t="n"/>
      <c r="F102" s="37" t="n"/>
      <c r="G102" s="41" t="n"/>
      <c r="H102" s="45" t="str">
        <f>IF(G102="","",IFERROR(INDEX(MCC_MASTER!$B$5:$B$504,MATCH(G102,MCC_MASTER!$A$5:$A$504,0)),"⚠ MCC chưa có trong MCC_MASTER"))</f>
        <v/>
      </c>
      <c r="I102" s="46" t="n"/>
      <c r="J102" s="40" t="n"/>
      <c r="K102" s="40" t="n"/>
      <c r="L102" s="40" t="n"/>
      <c r="M102" s="40" t="n"/>
      <c r="N102" s="42" t="n"/>
      <c r="O102" s="42" t="n"/>
      <c r="P102" s="37" t="n"/>
      <c r="Q102" s="37" t="n"/>
      <c r="R102" s="45" t="str">
        <f>IF(B102="","",IF(ISNA(MATCH(B102,CARDS!$A$5:$A$34,0)),"⚠ Card ID không tồn tại",IF(E102="","⚠ Thiếu Nhóm cashback",IF(OR(SUMPRODUCT(($B$5:$B$304=B102)*($E$5:$E$304=E102)*($J$5:$J$304&lt;&gt;J102))&gt;0,SUMPRODUCT(($B$5:$B$304=B102)*($K$5:$K$304&lt;&gt;K102))&gt;0),"⚠ Cap không đồng nhất","✓ OK"))))</f>
        <v/>
      </c>
      <c r="S102" s="43" t="str">
        <f>IF(OR(B102="",E102=""),"",IF(COUNTIFS($B$5:$B102,B102,$E$5:$E102,E102)=1,MAX($S$4:$S101)+1,""))</f>
        <v/>
      </c>
    </row>
    <row r="103">
      <c r="A103" s="44" t="str">
        <f>IF(B103="","","R"&amp;TEXT(ROW()-4,"000"))</f>
        <v/>
      </c>
      <c r="B103" s="37" t="n"/>
      <c r="C103" s="45" t="str">
        <f>IF(B103="","",IFERROR(INDEX(CARDS!$B$5:$B$34,MATCH(B103,CARDS!$A$5:$A$34,0)),"⚠ Card ID?"))</f>
        <v/>
      </c>
      <c r="D103" s="45" t="str">
        <f>IF(B103="","",IFERROR(INDEX(CARDS!$C$5:$C$34,MATCH(B103,CARDS!$A$5:$A$34,0)),"⚠ Card ID?"))</f>
        <v/>
      </c>
      <c r="E103" s="37" t="n"/>
      <c r="F103" s="37" t="n"/>
      <c r="G103" s="41" t="n"/>
      <c r="H103" s="45" t="str">
        <f>IF(G103="","",IFERROR(INDEX(MCC_MASTER!$B$5:$B$504,MATCH(G103,MCC_MASTER!$A$5:$A$504,0)),"⚠ MCC chưa có trong MCC_MASTER"))</f>
        <v/>
      </c>
      <c r="I103" s="46" t="n"/>
      <c r="J103" s="40" t="n"/>
      <c r="K103" s="40" t="n"/>
      <c r="L103" s="40" t="n"/>
      <c r="M103" s="40" t="n"/>
      <c r="N103" s="42" t="n"/>
      <c r="O103" s="42" t="n"/>
      <c r="P103" s="37" t="n"/>
      <c r="Q103" s="37" t="n"/>
      <c r="R103" s="45" t="str">
        <f>IF(B103="","",IF(ISNA(MATCH(B103,CARDS!$A$5:$A$34,0)),"⚠ Card ID không tồn tại",IF(E103="","⚠ Thiếu Nhóm cashback",IF(OR(SUMPRODUCT(($B$5:$B$304=B103)*($E$5:$E$304=E103)*($J$5:$J$304&lt;&gt;J103))&gt;0,SUMPRODUCT(($B$5:$B$304=B103)*($K$5:$K$304&lt;&gt;K103))&gt;0),"⚠ Cap không đồng nhất","✓ OK"))))</f>
        <v/>
      </c>
      <c r="S103" s="43" t="str">
        <f>IF(OR(B103="",E103=""),"",IF(COUNTIFS($B$5:$B103,B103,$E$5:$E103,E103)=1,MAX($S$4:$S102)+1,""))</f>
        <v/>
      </c>
    </row>
    <row r="104">
      <c r="A104" s="44" t="str">
        <f>IF(B104="","","R"&amp;TEXT(ROW()-4,"000"))</f>
        <v/>
      </c>
      <c r="B104" s="37" t="n"/>
      <c r="C104" s="45" t="str">
        <f>IF(B104="","",IFERROR(INDEX(CARDS!$B$5:$B$34,MATCH(B104,CARDS!$A$5:$A$34,0)),"⚠ Card ID?"))</f>
        <v/>
      </c>
      <c r="D104" s="45" t="str">
        <f>IF(B104="","",IFERROR(INDEX(CARDS!$C$5:$C$34,MATCH(B104,CARDS!$A$5:$A$34,0)),"⚠ Card ID?"))</f>
        <v/>
      </c>
      <c r="E104" s="37" t="n"/>
      <c r="F104" s="37" t="n"/>
      <c r="G104" s="41" t="n"/>
      <c r="H104" s="45" t="str">
        <f>IF(G104="","",IFERROR(INDEX(MCC_MASTER!$B$5:$B$504,MATCH(G104,MCC_MASTER!$A$5:$A$504,0)),"⚠ MCC chưa có trong MCC_MASTER"))</f>
        <v/>
      </c>
      <c r="I104" s="46" t="n"/>
      <c r="J104" s="40" t="n"/>
      <c r="K104" s="40" t="n"/>
      <c r="L104" s="40" t="n"/>
      <c r="M104" s="40" t="n"/>
      <c r="N104" s="42" t="n"/>
      <c r="O104" s="42" t="n"/>
      <c r="P104" s="37" t="n"/>
      <c r="Q104" s="37" t="n"/>
      <c r="R104" s="45" t="str">
        <f>IF(B104="","",IF(ISNA(MATCH(B104,CARDS!$A$5:$A$34,0)),"⚠ Card ID không tồn tại",IF(E104="","⚠ Thiếu Nhóm cashback",IF(OR(SUMPRODUCT(($B$5:$B$304=B104)*($E$5:$E$304=E104)*($J$5:$J$304&lt;&gt;J104))&gt;0,SUMPRODUCT(($B$5:$B$304=B104)*($K$5:$K$304&lt;&gt;K104))&gt;0),"⚠ Cap không đồng nhất","✓ OK"))))</f>
        <v/>
      </c>
      <c r="S104" s="43" t="str">
        <f>IF(OR(B104="",E104=""),"",IF(COUNTIFS($B$5:$B104,B104,$E$5:$E104,E104)=1,MAX($S$4:$S103)+1,""))</f>
        <v/>
      </c>
    </row>
    <row r="105">
      <c r="A105" s="44" t="str">
        <f>IF(B105="","","R"&amp;TEXT(ROW()-4,"000"))</f>
        <v/>
      </c>
      <c r="B105" s="37" t="n"/>
      <c r="C105" s="45" t="str">
        <f>IF(B105="","",IFERROR(INDEX(CARDS!$B$5:$B$34,MATCH(B105,CARDS!$A$5:$A$34,0)),"⚠ Card ID?"))</f>
        <v/>
      </c>
      <c r="D105" s="45" t="str">
        <f>IF(B105="","",IFERROR(INDEX(CARDS!$C$5:$C$34,MATCH(B105,CARDS!$A$5:$A$34,0)),"⚠ Card ID?"))</f>
        <v/>
      </c>
      <c r="E105" s="37" t="n"/>
      <c r="F105" s="37" t="n"/>
      <c r="G105" s="41" t="n"/>
      <c r="H105" s="45" t="str">
        <f>IF(G105="","",IFERROR(INDEX(MCC_MASTER!$B$5:$B$504,MATCH(G105,MCC_MASTER!$A$5:$A$504,0)),"⚠ MCC chưa có trong MCC_MASTER"))</f>
        <v/>
      </c>
      <c r="I105" s="46" t="n"/>
      <c r="J105" s="40" t="n"/>
      <c r="K105" s="40" t="n"/>
      <c r="L105" s="40" t="n"/>
      <c r="M105" s="40" t="n"/>
      <c r="N105" s="42" t="n"/>
      <c r="O105" s="42" t="n"/>
      <c r="P105" s="37" t="n"/>
      <c r="Q105" s="37" t="n"/>
      <c r="R105" s="45" t="str">
        <f>IF(B105="","",IF(ISNA(MATCH(B105,CARDS!$A$5:$A$34,0)),"⚠ Card ID không tồn tại",IF(E105="","⚠ Thiếu Nhóm cashback",IF(OR(SUMPRODUCT(($B$5:$B$304=B105)*($E$5:$E$304=E105)*($J$5:$J$304&lt;&gt;J105))&gt;0,SUMPRODUCT(($B$5:$B$304=B105)*($K$5:$K$304&lt;&gt;K105))&gt;0),"⚠ Cap không đồng nhất","✓ OK"))))</f>
        <v/>
      </c>
      <c r="S105" s="43" t="str">
        <f>IF(OR(B105="",E105=""),"",IF(COUNTIFS($B$5:$B105,B105,$E$5:$E105,E105)=1,MAX($S$4:$S104)+1,""))</f>
        <v/>
      </c>
    </row>
    <row r="106">
      <c r="A106" s="44" t="str">
        <f>IF(B106="","","R"&amp;TEXT(ROW()-4,"000"))</f>
        <v/>
      </c>
      <c r="B106" s="37" t="n"/>
      <c r="C106" s="45" t="str">
        <f>IF(B106="","",IFERROR(INDEX(CARDS!$B$5:$B$34,MATCH(B106,CARDS!$A$5:$A$34,0)),"⚠ Card ID?"))</f>
        <v/>
      </c>
      <c r="D106" s="45" t="str">
        <f>IF(B106="","",IFERROR(INDEX(CARDS!$C$5:$C$34,MATCH(B106,CARDS!$A$5:$A$34,0)),"⚠ Card ID?"))</f>
        <v/>
      </c>
      <c r="E106" s="37" t="n"/>
      <c r="F106" s="37" t="n"/>
      <c r="G106" s="41" t="n"/>
      <c r="H106" s="45" t="str">
        <f>IF(G106="","",IFERROR(INDEX(MCC_MASTER!$B$5:$B$504,MATCH(G106,MCC_MASTER!$A$5:$A$504,0)),"⚠ MCC chưa có trong MCC_MASTER"))</f>
        <v/>
      </c>
      <c r="I106" s="46" t="n"/>
      <c r="J106" s="40" t="n"/>
      <c r="K106" s="40" t="n"/>
      <c r="L106" s="40" t="n"/>
      <c r="M106" s="40" t="n"/>
      <c r="N106" s="42" t="n"/>
      <c r="O106" s="42" t="n"/>
      <c r="P106" s="37" t="n"/>
      <c r="Q106" s="37" t="n"/>
      <c r="R106" s="45" t="str">
        <f>IF(B106="","",IF(ISNA(MATCH(B106,CARDS!$A$5:$A$34,0)),"⚠ Card ID không tồn tại",IF(E106="","⚠ Thiếu Nhóm cashback",IF(OR(SUMPRODUCT(($B$5:$B$304=B106)*($E$5:$E$304=E106)*($J$5:$J$304&lt;&gt;J106))&gt;0,SUMPRODUCT(($B$5:$B$304=B106)*($K$5:$K$304&lt;&gt;K106))&gt;0),"⚠ Cap không đồng nhất","✓ OK"))))</f>
        <v/>
      </c>
      <c r="S106" s="43" t="str">
        <f>IF(OR(B106="",E106=""),"",IF(COUNTIFS($B$5:$B106,B106,$E$5:$E106,E106)=1,MAX($S$4:$S105)+1,""))</f>
        <v/>
      </c>
    </row>
    <row r="107">
      <c r="A107" s="44" t="str">
        <f>IF(B107="","","R"&amp;TEXT(ROW()-4,"000"))</f>
        <v/>
      </c>
      <c r="B107" s="37" t="n"/>
      <c r="C107" s="45" t="str">
        <f>IF(B107="","",IFERROR(INDEX(CARDS!$B$5:$B$34,MATCH(B107,CARDS!$A$5:$A$34,0)),"⚠ Card ID?"))</f>
        <v/>
      </c>
      <c r="D107" s="45" t="str">
        <f>IF(B107="","",IFERROR(INDEX(CARDS!$C$5:$C$34,MATCH(B107,CARDS!$A$5:$A$34,0)),"⚠ Card ID?"))</f>
        <v/>
      </c>
      <c r="E107" s="37" t="n"/>
      <c r="F107" s="37" t="n"/>
      <c r="G107" s="41" t="n"/>
      <c r="H107" s="45" t="str">
        <f>IF(G107="","",IFERROR(INDEX(MCC_MASTER!$B$5:$B$504,MATCH(G107,MCC_MASTER!$A$5:$A$504,0)),"⚠ MCC chưa có trong MCC_MASTER"))</f>
        <v/>
      </c>
      <c r="I107" s="46" t="n"/>
      <c r="J107" s="40" t="n"/>
      <c r="K107" s="40" t="n"/>
      <c r="L107" s="40" t="n"/>
      <c r="M107" s="40" t="n"/>
      <c r="N107" s="42" t="n"/>
      <c r="O107" s="42" t="n"/>
      <c r="P107" s="37" t="n"/>
      <c r="Q107" s="37" t="n"/>
      <c r="R107" s="45" t="str">
        <f>IF(B107="","",IF(ISNA(MATCH(B107,CARDS!$A$5:$A$34,0)),"⚠ Card ID không tồn tại",IF(E107="","⚠ Thiếu Nhóm cashback",IF(OR(SUMPRODUCT(($B$5:$B$304=B107)*($E$5:$E$304=E107)*($J$5:$J$304&lt;&gt;J107))&gt;0,SUMPRODUCT(($B$5:$B$304=B107)*($K$5:$K$304&lt;&gt;K107))&gt;0),"⚠ Cap không đồng nhất","✓ OK"))))</f>
        <v/>
      </c>
      <c r="S107" s="43" t="str">
        <f>IF(OR(B107="",E107=""),"",IF(COUNTIFS($B$5:$B107,B107,$E$5:$E107,E107)=1,MAX($S$4:$S106)+1,""))</f>
        <v/>
      </c>
    </row>
    <row r="108">
      <c r="A108" s="44" t="str">
        <f>IF(B108="","","R"&amp;TEXT(ROW()-4,"000"))</f>
        <v/>
      </c>
      <c r="B108" s="37" t="n"/>
      <c r="C108" s="45" t="str">
        <f>IF(B108="","",IFERROR(INDEX(CARDS!$B$5:$B$34,MATCH(B108,CARDS!$A$5:$A$34,0)),"⚠ Card ID?"))</f>
        <v/>
      </c>
      <c r="D108" s="45" t="str">
        <f>IF(B108="","",IFERROR(INDEX(CARDS!$C$5:$C$34,MATCH(B108,CARDS!$A$5:$A$34,0)),"⚠ Card ID?"))</f>
        <v/>
      </c>
      <c r="E108" s="37" t="n"/>
      <c r="F108" s="37" t="n"/>
      <c r="G108" s="41" t="n"/>
      <c r="H108" s="45" t="str">
        <f>IF(G108="","",IFERROR(INDEX(MCC_MASTER!$B$5:$B$504,MATCH(G108,MCC_MASTER!$A$5:$A$504,0)),"⚠ MCC chưa có trong MCC_MASTER"))</f>
        <v/>
      </c>
      <c r="I108" s="46" t="n"/>
      <c r="J108" s="40" t="n"/>
      <c r="K108" s="40" t="n"/>
      <c r="L108" s="40" t="n"/>
      <c r="M108" s="40" t="n"/>
      <c r="N108" s="42" t="n"/>
      <c r="O108" s="42" t="n"/>
      <c r="P108" s="37" t="n"/>
      <c r="Q108" s="37" t="n"/>
      <c r="R108" s="45" t="str">
        <f>IF(B108="","",IF(ISNA(MATCH(B108,CARDS!$A$5:$A$34,0)),"⚠ Card ID không tồn tại",IF(E108="","⚠ Thiếu Nhóm cashback",IF(OR(SUMPRODUCT(($B$5:$B$304=B108)*($E$5:$E$304=E108)*($J$5:$J$304&lt;&gt;J108))&gt;0,SUMPRODUCT(($B$5:$B$304=B108)*($K$5:$K$304&lt;&gt;K108))&gt;0),"⚠ Cap không đồng nhất","✓ OK"))))</f>
        <v/>
      </c>
      <c r="S108" s="43" t="str">
        <f>IF(OR(B108="",E108=""),"",IF(COUNTIFS($B$5:$B108,B108,$E$5:$E108,E108)=1,MAX($S$4:$S107)+1,""))</f>
        <v/>
      </c>
    </row>
    <row r="109">
      <c r="A109" s="44" t="str">
        <f>IF(B109="","","R"&amp;TEXT(ROW()-4,"000"))</f>
        <v/>
      </c>
      <c r="B109" s="37" t="n"/>
      <c r="C109" s="45" t="str">
        <f>IF(B109="","",IFERROR(INDEX(CARDS!$B$5:$B$34,MATCH(B109,CARDS!$A$5:$A$34,0)),"⚠ Card ID?"))</f>
        <v/>
      </c>
      <c r="D109" s="45" t="str">
        <f>IF(B109="","",IFERROR(INDEX(CARDS!$C$5:$C$34,MATCH(B109,CARDS!$A$5:$A$34,0)),"⚠ Card ID?"))</f>
        <v/>
      </c>
      <c r="E109" s="37" t="n"/>
      <c r="F109" s="37" t="n"/>
      <c r="G109" s="41" t="n"/>
      <c r="H109" s="45" t="str">
        <f>IF(G109="","",IFERROR(INDEX(MCC_MASTER!$B$5:$B$504,MATCH(G109,MCC_MASTER!$A$5:$A$504,0)),"⚠ MCC chưa có trong MCC_MASTER"))</f>
        <v/>
      </c>
      <c r="I109" s="46" t="n"/>
      <c r="J109" s="40" t="n"/>
      <c r="K109" s="40" t="n"/>
      <c r="L109" s="40" t="n"/>
      <c r="M109" s="40" t="n"/>
      <c r="N109" s="42" t="n"/>
      <c r="O109" s="42" t="n"/>
      <c r="P109" s="37" t="n"/>
      <c r="Q109" s="37" t="n"/>
      <c r="R109" s="45" t="str">
        <f>IF(B109="","",IF(ISNA(MATCH(B109,CARDS!$A$5:$A$34,0)),"⚠ Card ID không tồn tại",IF(E109="","⚠ Thiếu Nhóm cashback",IF(OR(SUMPRODUCT(($B$5:$B$304=B109)*($E$5:$E$304=E109)*($J$5:$J$304&lt;&gt;J109))&gt;0,SUMPRODUCT(($B$5:$B$304=B109)*($K$5:$K$304&lt;&gt;K109))&gt;0),"⚠ Cap không đồng nhất","✓ OK"))))</f>
        <v/>
      </c>
      <c r="S109" s="43" t="str">
        <f>IF(OR(B109="",E109=""),"",IF(COUNTIFS($B$5:$B109,B109,$E$5:$E109,E109)=1,MAX($S$4:$S108)+1,""))</f>
        <v/>
      </c>
    </row>
    <row r="110">
      <c r="A110" s="44" t="str">
        <f>IF(B110="","","R"&amp;TEXT(ROW()-4,"000"))</f>
        <v/>
      </c>
      <c r="B110" s="37" t="n"/>
      <c r="C110" s="45" t="str">
        <f>IF(B110="","",IFERROR(INDEX(CARDS!$B$5:$B$34,MATCH(B110,CARDS!$A$5:$A$34,0)),"⚠ Card ID?"))</f>
        <v/>
      </c>
      <c r="D110" s="45" t="str">
        <f>IF(B110="","",IFERROR(INDEX(CARDS!$C$5:$C$34,MATCH(B110,CARDS!$A$5:$A$34,0)),"⚠ Card ID?"))</f>
        <v/>
      </c>
      <c r="E110" s="37" t="n"/>
      <c r="F110" s="37" t="n"/>
      <c r="G110" s="41" t="n"/>
      <c r="H110" s="45" t="str">
        <f>IF(G110="","",IFERROR(INDEX(MCC_MASTER!$B$5:$B$504,MATCH(G110,MCC_MASTER!$A$5:$A$504,0)),"⚠ MCC chưa có trong MCC_MASTER"))</f>
        <v/>
      </c>
      <c r="I110" s="46" t="n"/>
      <c r="J110" s="40" t="n"/>
      <c r="K110" s="40" t="n"/>
      <c r="L110" s="40" t="n"/>
      <c r="M110" s="40" t="n"/>
      <c r="N110" s="42" t="n"/>
      <c r="O110" s="42" t="n"/>
      <c r="P110" s="37" t="n"/>
      <c r="Q110" s="37" t="n"/>
      <c r="R110" s="45" t="str">
        <f>IF(B110="","",IF(ISNA(MATCH(B110,CARDS!$A$5:$A$34,0)),"⚠ Card ID không tồn tại",IF(E110="","⚠ Thiếu Nhóm cashback",IF(OR(SUMPRODUCT(($B$5:$B$304=B110)*($E$5:$E$304=E110)*($J$5:$J$304&lt;&gt;J110))&gt;0,SUMPRODUCT(($B$5:$B$304=B110)*($K$5:$K$304&lt;&gt;K110))&gt;0),"⚠ Cap không đồng nhất","✓ OK"))))</f>
        <v/>
      </c>
      <c r="S110" s="43" t="str">
        <f>IF(OR(B110="",E110=""),"",IF(COUNTIFS($B$5:$B110,B110,$E$5:$E110,E110)=1,MAX($S$4:$S109)+1,""))</f>
        <v/>
      </c>
    </row>
    <row r="111">
      <c r="A111" s="44" t="str">
        <f>IF(B111="","","R"&amp;TEXT(ROW()-4,"000"))</f>
        <v/>
      </c>
      <c r="B111" s="37" t="n"/>
      <c r="C111" s="45" t="str">
        <f>IF(B111="","",IFERROR(INDEX(CARDS!$B$5:$B$34,MATCH(B111,CARDS!$A$5:$A$34,0)),"⚠ Card ID?"))</f>
        <v/>
      </c>
      <c r="D111" s="45" t="str">
        <f>IF(B111="","",IFERROR(INDEX(CARDS!$C$5:$C$34,MATCH(B111,CARDS!$A$5:$A$34,0)),"⚠ Card ID?"))</f>
        <v/>
      </c>
      <c r="E111" s="37" t="n"/>
      <c r="F111" s="37" t="n"/>
      <c r="G111" s="41" t="n"/>
      <c r="H111" s="45" t="str">
        <f>IF(G111="","",IFERROR(INDEX(MCC_MASTER!$B$5:$B$504,MATCH(G111,MCC_MASTER!$A$5:$A$504,0)),"⚠ MCC chưa có trong MCC_MASTER"))</f>
        <v/>
      </c>
      <c r="I111" s="46" t="n"/>
      <c r="J111" s="40" t="n"/>
      <c r="K111" s="40" t="n"/>
      <c r="L111" s="40" t="n"/>
      <c r="M111" s="40" t="n"/>
      <c r="N111" s="42" t="n"/>
      <c r="O111" s="42" t="n"/>
      <c r="P111" s="37" t="n"/>
      <c r="Q111" s="37" t="n"/>
      <c r="R111" s="45" t="str">
        <f>IF(B111="","",IF(ISNA(MATCH(B111,CARDS!$A$5:$A$34,0)),"⚠ Card ID không tồn tại",IF(E111="","⚠ Thiếu Nhóm cashback",IF(OR(SUMPRODUCT(($B$5:$B$304=B111)*($E$5:$E$304=E111)*($J$5:$J$304&lt;&gt;J111))&gt;0,SUMPRODUCT(($B$5:$B$304=B111)*($K$5:$K$304&lt;&gt;K111))&gt;0),"⚠ Cap không đồng nhất","✓ OK"))))</f>
        <v/>
      </c>
      <c r="S111" s="43" t="str">
        <f>IF(OR(B111="",E111=""),"",IF(COUNTIFS($B$5:$B111,B111,$E$5:$E111,E111)=1,MAX($S$4:$S110)+1,""))</f>
        <v/>
      </c>
    </row>
    <row r="112">
      <c r="A112" s="44" t="str">
        <f>IF(B112="","","R"&amp;TEXT(ROW()-4,"000"))</f>
        <v/>
      </c>
      <c r="B112" s="37" t="n"/>
      <c r="C112" s="45" t="str">
        <f>IF(B112="","",IFERROR(INDEX(CARDS!$B$5:$B$34,MATCH(B112,CARDS!$A$5:$A$34,0)),"⚠ Card ID?"))</f>
        <v/>
      </c>
      <c r="D112" s="45" t="str">
        <f>IF(B112="","",IFERROR(INDEX(CARDS!$C$5:$C$34,MATCH(B112,CARDS!$A$5:$A$34,0)),"⚠ Card ID?"))</f>
        <v/>
      </c>
      <c r="E112" s="37" t="n"/>
      <c r="F112" s="37" t="n"/>
      <c r="G112" s="41" t="n"/>
      <c r="H112" s="45" t="str">
        <f>IF(G112="","",IFERROR(INDEX(MCC_MASTER!$B$5:$B$504,MATCH(G112,MCC_MASTER!$A$5:$A$504,0)),"⚠ MCC chưa có trong MCC_MASTER"))</f>
        <v/>
      </c>
      <c r="I112" s="46" t="n"/>
      <c r="J112" s="40" t="n"/>
      <c r="K112" s="40" t="n"/>
      <c r="L112" s="40" t="n"/>
      <c r="M112" s="40" t="n"/>
      <c r="N112" s="42" t="n"/>
      <c r="O112" s="42" t="n"/>
      <c r="P112" s="37" t="n"/>
      <c r="Q112" s="37" t="n"/>
      <c r="R112" s="45" t="str">
        <f>IF(B112="","",IF(ISNA(MATCH(B112,CARDS!$A$5:$A$34,0)),"⚠ Card ID không tồn tại",IF(E112="","⚠ Thiếu Nhóm cashback",IF(OR(SUMPRODUCT(($B$5:$B$304=B112)*($E$5:$E$304=E112)*($J$5:$J$304&lt;&gt;J112))&gt;0,SUMPRODUCT(($B$5:$B$304=B112)*($K$5:$K$304&lt;&gt;K112))&gt;0),"⚠ Cap không đồng nhất","✓ OK"))))</f>
        <v/>
      </c>
      <c r="S112" s="43" t="str">
        <f>IF(OR(B112="",E112=""),"",IF(COUNTIFS($B$5:$B112,B112,$E$5:$E112,E112)=1,MAX($S$4:$S111)+1,""))</f>
        <v/>
      </c>
    </row>
    <row r="113">
      <c r="A113" s="44" t="str">
        <f>IF(B113="","","R"&amp;TEXT(ROW()-4,"000"))</f>
        <v/>
      </c>
      <c r="B113" s="37" t="n"/>
      <c r="C113" s="45" t="str">
        <f>IF(B113="","",IFERROR(INDEX(CARDS!$B$5:$B$34,MATCH(B113,CARDS!$A$5:$A$34,0)),"⚠ Card ID?"))</f>
        <v/>
      </c>
      <c r="D113" s="45" t="str">
        <f>IF(B113="","",IFERROR(INDEX(CARDS!$C$5:$C$34,MATCH(B113,CARDS!$A$5:$A$34,0)),"⚠ Card ID?"))</f>
        <v/>
      </c>
      <c r="E113" s="37" t="n"/>
      <c r="F113" s="37" t="n"/>
      <c r="G113" s="41" t="n"/>
      <c r="H113" s="45" t="str">
        <f>IF(G113="","",IFERROR(INDEX(MCC_MASTER!$B$5:$B$504,MATCH(G113,MCC_MASTER!$A$5:$A$504,0)),"⚠ MCC chưa có trong MCC_MASTER"))</f>
        <v/>
      </c>
      <c r="I113" s="46" t="n"/>
      <c r="J113" s="40" t="n"/>
      <c r="K113" s="40" t="n"/>
      <c r="L113" s="40" t="n"/>
      <c r="M113" s="40" t="n"/>
      <c r="N113" s="42" t="n"/>
      <c r="O113" s="42" t="n"/>
      <c r="P113" s="37" t="n"/>
      <c r="Q113" s="37" t="n"/>
      <c r="R113" s="45" t="str">
        <f>IF(B113="","",IF(ISNA(MATCH(B113,CARDS!$A$5:$A$34,0)),"⚠ Card ID không tồn tại",IF(E113="","⚠ Thiếu Nhóm cashback",IF(OR(SUMPRODUCT(($B$5:$B$304=B113)*($E$5:$E$304=E113)*($J$5:$J$304&lt;&gt;J113))&gt;0,SUMPRODUCT(($B$5:$B$304=B113)*($K$5:$K$304&lt;&gt;K113))&gt;0),"⚠ Cap không đồng nhất","✓ OK"))))</f>
        <v/>
      </c>
      <c r="S113" s="43" t="str">
        <f>IF(OR(B113="",E113=""),"",IF(COUNTIFS($B$5:$B113,B113,$E$5:$E113,E113)=1,MAX($S$4:$S112)+1,""))</f>
        <v/>
      </c>
    </row>
    <row r="114">
      <c r="A114" s="44" t="str">
        <f>IF(B114="","","R"&amp;TEXT(ROW()-4,"000"))</f>
        <v/>
      </c>
      <c r="B114" s="37" t="n"/>
      <c r="C114" s="45" t="str">
        <f>IF(B114="","",IFERROR(INDEX(CARDS!$B$5:$B$34,MATCH(B114,CARDS!$A$5:$A$34,0)),"⚠ Card ID?"))</f>
        <v/>
      </c>
      <c r="D114" s="45" t="str">
        <f>IF(B114="","",IFERROR(INDEX(CARDS!$C$5:$C$34,MATCH(B114,CARDS!$A$5:$A$34,0)),"⚠ Card ID?"))</f>
        <v/>
      </c>
      <c r="E114" s="37" t="n"/>
      <c r="F114" s="37" t="n"/>
      <c r="G114" s="41" t="n"/>
      <c r="H114" s="45" t="str">
        <f>IF(G114="","",IFERROR(INDEX(MCC_MASTER!$B$5:$B$504,MATCH(G114,MCC_MASTER!$A$5:$A$504,0)),"⚠ MCC chưa có trong MCC_MASTER"))</f>
        <v/>
      </c>
      <c r="I114" s="46" t="n"/>
      <c r="J114" s="40" t="n"/>
      <c r="K114" s="40" t="n"/>
      <c r="L114" s="40" t="n"/>
      <c r="M114" s="40" t="n"/>
      <c r="N114" s="42" t="n"/>
      <c r="O114" s="42" t="n"/>
      <c r="P114" s="37" t="n"/>
      <c r="Q114" s="37" t="n"/>
      <c r="R114" s="45" t="str">
        <f>IF(B114="","",IF(ISNA(MATCH(B114,CARDS!$A$5:$A$34,0)),"⚠ Card ID không tồn tại",IF(E114="","⚠ Thiếu Nhóm cashback",IF(OR(SUMPRODUCT(($B$5:$B$304=B114)*($E$5:$E$304=E114)*($J$5:$J$304&lt;&gt;J114))&gt;0,SUMPRODUCT(($B$5:$B$304=B114)*($K$5:$K$304&lt;&gt;K114))&gt;0),"⚠ Cap không đồng nhất","✓ OK"))))</f>
        <v/>
      </c>
      <c r="S114" s="43" t="str">
        <f>IF(OR(B114="",E114=""),"",IF(COUNTIFS($B$5:$B114,B114,$E$5:$E114,E114)=1,MAX($S$4:$S113)+1,""))</f>
        <v/>
      </c>
    </row>
    <row r="115">
      <c r="A115" s="44" t="str">
        <f>IF(B115="","","R"&amp;TEXT(ROW()-4,"000"))</f>
        <v/>
      </c>
      <c r="B115" s="37" t="n"/>
      <c r="C115" s="45" t="str">
        <f>IF(B115="","",IFERROR(INDEX(CARDS!$B$5:$B$34,MATCH(B115,CARDS!$A$5:$A$34,0)),"⚠ Card ID?"))</f>
        <v/>
      </c>
      <c r="D115" s="45" t="str">
        <f>IF(B115="","",IFERROR(INDEX(CARDS!$C$5:$C$34,MATCH(B115,CARDS!$A$5:$A$34,0)),"⚠ Card ID?"))</f>
        <v/>
      </c>
      <c r="E115" s="37" t="n"/>
      <c r="F115" s="37" t="n"/>
      <c r="G115" s="41" t="n"/>
      <c r="H115" s="45" t="str">
        <f>IF(G115="","",IFERROR(INDEX(MCC_MASTER!$B$5:$B$504,MATCH(G115,MCC_MASTER!$A$5:$A$504,0)),"⚠ MCC chưa có trong MCC_MASTER"))</f>
        <v/>
      </c>
      <c r="I115" s="46" t="n"/>
      <c r="J115" s="40" t="n"/>
      <c r="K115" s="40" t="n"/>
      <c r="L115" s="40" t="n"/>
      <c r="M115" s="40" t="n"/>
      <c r="N115" s="42" t="n"/>
      <c r="O115" s="42" t="n"/>
      <c r="P115" s="37" t="n"/>
      <c r="Q115" s="37" t="n"/>
      <c r="R115" s="45" t="str">
        <f>IF(B115="","",IF(ISNA(MATCH(B115,CARDS!$A$5:$A$34,0)),"⚠ Card ID không tồn tại",IF(E115="","⚠ Thiếu Nhóm cashback",IF(OR(SUMPRODUCT(($B$5:$B$304=B115)*($E$5:$E$304=E115)*($J$5:$J$304&lt;&gt;J115))&gt;0,SUMPRODUCT(($B$5:$B$304=B115)*($K$5:$K$304&lt;&gt;K115))&gt;0),"⚠ Cap không đồng nhất","✓ OK"))))</f>
        <v/>
      </c>
      <c r="S115" s="43" t="str">
        <f>IF(OR(B115="",E115=""),"",IF(COUNTIFS($B$5:$B115,B115,$E$5:$E115,E115)=1,MAX($S$4:$S114)+1,""))</f>
        <v/>
      </c>
    </row>
    <row r="116">
      <c r="A116" s="44" t="str">
        <f>IF(B116="","","R"&amp;TEXT(ROW()-4,"000"))</f>
        <v/>
      </c>
      <c r="B116" s="37" t="n"/>
      <c r="C116" s="45" t="str">
        <f>IF(B116="","",IFERROR(INDEX(CARDS!$B$5:$B$34,MATCH(B116,CARDS!$A$5:$A$34,0)),"⚠ Card ID?"))</f>
        <v/>
      </c>
      <c r="D116" s="45" t="str">
        <f>IF(B116="","",IFERROR(INDEX(CARDS!$C$5:$C$34,MATCH(B116,CARDS!$A$5:$A$34,0)),"⚠ Card ID?"))</f>
        <v/>
      </c>
      <c r="E116" s="37" t="n"/>
      <c r="F116" s="37" t="n"/>
      <c r="G116" s="41" t="n"/>
      <c r="H116" s="45" t="str">
        <f>IF(G116="","",IFERROR(INDEX(MCC_MASTER!$B$5:$B$504,MATCH(G116,MCC_MASTER!$A$5:$A$504,0)),"⚠ MCC chưa có trong MCC_MASTER"))</f>
        <v/>
      </c>
      <c r="I116" s="46" t="n"/>
      <c r="J116" s="40" t="n"/>
      <c r="K116" s="40" t="n"/>
      <c r="L116" s="40" t="n"/>
      <c r="M116" s="40" t="n"/>
      <c r="N116" s="42" t="n"/>
      <c r="O116" s="42" t="n"/>
      <c r="P116" s="37" t="n"/>
      <c r="Q116" s="37" t="n"/>
      <c r="R116" s="45" t="str">
        <f>IF(B116="","",IF(ISNA(MATCH(B116,CARDS!$A$5:$A$34,0)),"⚠ Card ID không tồn tại",IF(E116="","⚠ Thiếu Nhóm cashback",IF(OR(SUMPRODUCT(($B$5:$B$304=B116)*($E$5:$E$304=E116)*($J$5:$J$304&lt;&gt;J116))&gt;0,SUMPRODUCT(($B$5:$B$304=B116)*($K$5:$K$304&lt;&gt;K116))&gt;0),"⚠ Cap không đồng nhất","✓ OK"))))</f>
        <v/>
      </c>
      <c r="S116" s="43" t="str">
        <f>IF(OR(B116="",E116=""),"",IF(COUNTIFS($B$5:$B116,B116,$E$5:$E116,E116)=1,MAX($S$4:$S115)+1,""))</f>
        <v/>
      </c>
    </row>
    <row r="117">
      <c r="A117" s="44" t="str">
        <f>IF(B117="","","R"&amp;TEXT(ROW()-4,"000"))</f>
        <v/>
      </c>
      <c r="B117" s="37" t="n"/>
      <c r="C117" s="45" t="str">
        <f>IF(B117="","",IFERROR(INDEX(CARDS!$B$5:$B$34,MATCH(B117,CARDS!$A$5:$A$34,0)),"⚠ Card ID?"))</f>
        <v/>
      </c>
      <c r="D117" s="45" t="str">
        <f>IF(B117="","",IFERROR(INDEX(CARDS!$C$5:$C$34,MATCH(B117,CARDS!$A$5:$A$34,0)),"⚠ Card ID?"))</f>
        <v/>
      </c>
      <c r="E117" s="37" t="n"/>
      <c r="F117" s="37" t="n"/>
      <c r="G117" s="41" t="n"/>
      <c r="H117" s="45" t="str">
        <f>IF(G117="","",IFERROR(INDEX(MCC_MASTER!$B$5:$B$504,MATCH(G117,MCC_MASTER!$A$5:$A$504,0)),"⚠ MCC chưa có trong MCC_MASTER"))</f>
        <v/>
      </c>
      <c r="I117" s="46" t="n"/>
      <c r="J117" s="40" t="n"/>
      <c r="K117" s="40" t="n"/>
      <c r="L117" s="40" t="n"/>
      <c r="M117" s="40" t="n"/>
      <c r="N117" s="42" t="n"/>
      <c r="O117" s="42" t="n"/>
      <c r="P117" s="37" t="n"/>
      <c r="Q117" s="37" t="n"/>
      <c r="R117" s="45" t="str">
        <f>IF(B117="","",IF(ISNA(MATCH(B117,CARDS!$A$5:$A$34,0)),"⚠ Card ID không tồn tại",IF(E117="","⚠ Thiếu Nhóm cashback",IF(OR(SUMPRODUCT(($B$5:$B$304=B117)*($E$5:$E$304=E117)*($J$5:$J$304&lt;&gt;J117))&gt;0,SUMPRODUCT(($B$5:$B$304=B117)*($K$5:$K$304&lt;&gt;K117))&gt;0),"⚠ Cap không đồng nhất","✓ OK"))))</f>
        <v/>
      </c>
      <c r="S117" s="43" t="str">
        <f>IF(OR(B117="",E117=""),"",IF(COUNTIFS($B$5:$B117,B117,$E$5:$E117,E117)=1,MAX($S$4:$S116)+1,""))</f>
        <v/>
      </c>
    </row>
    <row r="118">
      <c r="A118" s="44" t="str">
        <f>IF(B118="","","R"&amp;TEXT(ROW()-4,"000"))</f>
        <v/>
      </c>
      <c r="B118" s="37" t="n"/>
      <c r="C118" s="45" t="str">
        <f>IF(B118="","",IFERROR(INDEX(CARDS!$B$5:$B$34,MATCH(B118,CARDS!$A$5:$A$34,0)),"⚠ Card ID?"))</f>
        <v/>
      </c>
      <c r="D118" s="45" t="str">
        <f>IF(B118="","",IFERROR(INDEX(CARDS!$C$5:$C$34,MATCH(B118,CARDS!$A$5:$A$34,0)),"⚠ Card ID?"))</f>
        <v/>
      </c>
      <c r="E118" s="37" t="n"/>
      <c r="F118" s="37" t="n"/>
      <c r="G118" s="41" t="n"/>
      <c r="H118" s="45" t="str">
        <f>IF(G118="","",IFERROR(INDEX(MCC_MASTER!$B$5:$B$504,MATCH(G118,MCC_MASTER!$A$5:$A$504,0)),"⚠ MCC chưa có trong MCC_MASTER"))</f>
        <v/>
      </c>
      <c r="I118" s="46" t="n"/>
      <c r="J118" s="40" t="n"/>
      <c r="K118" s="40" t="n"/>
      <c r="L118" s="40" t="n"/>
      <c r="M118" s="40" t="n"/>
      <c r="N118" s="42" t="n"/>
      <c r="O118" s="42" t="n"/>
      <c r="P118" s="37" t="n"/>
      <c r="Q118" s="37" t="n"/>
      <c r="R118" s="45" t="str">
        <f>IF(B118="","",IF(ISNA(MATCH(B118,CARDS!$A$5:$A$34,0)),"⚠ Card ID không tồn tại",IF(E118="","⚠ Thiếu Nhóm cashback",IF(OR(SUMPRODUCT(($B$5:$B$304=B118)*($E$5:$E$304=E118)*($J$5:$J$304&lt;&gt;J118))&gt;0,SUMPRODUCT(($B$5:$B$304=B118)*($K$5:$K$304&lt;&gt;K118))&gt;0),"⚠ Cap không đồng nhất","✓ OK"))))</f>
        <v/>
      </c>
      <c r="S118" s="43" t="str">
        <f>IF(OR(B118="",E118=""),"",IF(COUNTIFS($B$5:$B118,B118,$E$5:$E118,E118)=1,MAX($S$4:$S117)+1,""))</f>
        <v/>
      </c>
    </row>
    <row r="119">
      <c r="A119" s="44" t="str">
        <f>IF(B119="","","R"&amp;TEXT(ROW()-4,"000"))</f>
        <v/>
      </c>
      <c r="B119" s="37" t="n"/>
      <c r="C119" s="45" t="str">
        <f>IF(B119="","",IFERROR(INDEX(CARDS!$B$5:$B$34,MATCH(B119,CARDS!$A$5:$A$34,0)),"⚠ Card ID?"))</f>
        <v/>
      </c>
      <c r="D119" s="45" t="str">
        <f>IF(B119="","",IFERROR(INDEX(CARDS!$C$5:$C$34,MATCH(B119,CARDS!$A$5:$A$34,0)),"⚠ Card ID?"))</f>
        <v/>
      </c>
      <c r="E119" s="37" t="n"/>
      <c r="F119" s="37" t="n"/>
      <c r="G119" s="41" t="n"/>
      <c r="H119" s="45" t="str">
        <f>IF(G119="","",IFERROR(INDEX(MCC_MASTER!$B$5:$B$504,MATCH(G119,MCC_MASTER!$A$5:$A$504,0)),"⚠ MCC chưa có trong MCC_MASTER"))</f>
        <v/>
      </c>
      <c r="I119" s="46" t="n"/>
      <c r="J119" s="40" t="n"/>
      <c r="K119" s="40" t="n"/>
      <c r="L119" s="40" t="n"/>
      <c r="M119" s="40" t="n"/>
      <c r="N119" s="42" t="n"/>
      <c r="O119" s="42" t="n"/>
      <c r="P119" s="37" t="n"/>
      <c r="Q119" s="37" t="n"/>
      <c r="R119" s="45" t="str">
        <f>IF(B119="","",IF(ISNA(MATCH(B119,CARDS!$A$5:$A$34,0)),"⚠ Card ID không tồn tại",IF(E119="","⚠ Thiếu Nhóm cashback",IF(OR(SUMPRODUCT(($B$5:$B$304=B119)*($E$5:$E$304=E119)*($J$5:$J$304&lt;&gt;J119))&gt;0,SUMPRODUCT(($B$5:$B$304=B119)*($K$5:$K$304&lt;&gt;K119))&gt;0),"⚠ Cap không đồng nhất","✓ OK"))))</f>
        <v/>
      </c>
      <c r="S119" s="43" t="str">
        <f>IF(OR(B119="",E119=""),"",IF(COUNTIFS($B$5:$B119,B119,$E$5:$E119,E119)=1,MAX($S$4:$S118)+1,""))</f>
        <v/>
      </c>
    </row>
    <row r="120">
      <c r="A120" s="44" t="str">
        <f>IF(B120="","","R"&amp;TEXT(ROW()-4,"000"))</f>
        <v/>
      </c>
      <c r="B120" s="37" t="n"/>
      <c r="C120" s="45" t="str">
        <f>IF(B120="","",IFERROR(INDEX(CARDS!$B$5:$B$34,MATCH(B120,CARDS!$A$5:$A$34,0)),"⚠ Card ID?"))</f>
        <v/>
      </c>
      <c r="D120" s="45" t="str">
        <f>IF(B120="","",IFERROR(INDEX(CARDS!$C$5:$C$34,MATCH(B120,CARDS!$A$5:$A$34,0)),"⚠ Card ID?"))</f>
        <v/>
      </c>
      <c r="E120" s="37" t="n"/>
      <c r="F120" s="37" t="n"/>
      <c r="G120" s="41" t="n"/>
      <c r="H120" s="45" t="str">
        <f>IF(G120="","",IFERROR(INDEX(MCC_MASTER!$B$5:$B$504,MATCH(G120,MCC_MASTER!$A$5:$A$504,0)),"⚠ MCC chưa có trong MCC_MASTER"))</f>
        <v/>
      </c>
      <c r="I120" s="46" t="n"/>
      <c r="J120" s="40" t="n"/>
      <c r="K120" s="40" t="n"/>
      <c r="L120" s="40" t="n"/>
      <c r="M120" s="40" t="n"/>
      <c r="N120" s="42" t="n"/>
      <c r="O120" s="42" t="n"/>
      <c r="P120" s="37" t="n"/>
      <c r="Q120" s="37" t="n"/>
      <c r="R120" s="45" t="str">
        <f>IF(B120="","",IF(ISNA(MATCH(B120,CARDS!$A$5:$A$34,0)),"⚠ Card ID không tồn tại",IF(E120="","⚠ Thiếu Nhóm cashback",IF(OR(SUMPRODUCT(($B$5:$B$304=B120)*($E$5:$E$304=E120)*($J$5:$J$304&lt;&gt;J120))&gt;0,SUMPRODUCT(($B$5:$B$304=B120)*($K$5:$K$304&lt;&gt;K120))&gt;0),"⚠ Cap không đồng nhất","✓ OK"))))</f>
        <v/>
      </c>
      <c r="S120" s="43" t="str">
        <f>IF(OR(B120="",E120=""),"",IF(COUNTIFS($B$5:$B120,B120,$E$5:$E120,E120)=1,MAX($S$4:$S119)+1,""))</f>
        <v/>
      </c>
    </row>
    <row r="121">
      <c r="A121" s="44" t="str">
        <f>IF(B121="","","R"&amp;TEXT(ROW()-4,"000"))</f>
        <v/>
      </c>
      <c r="B121" s="37" t="n"/>
      <c r="C121" s="45" t="str">
        <f>IF(B121="","",IFERROR(INDEX(CARDS!$B$5:$B$34,MATCH(B121,CARDS!$A$5:$A$34,0)),"⚠ Card ID?"))</f>
        <v/>
      </c>
      <c r="D121" s="45" t="str">
        <f>IF(B121="","",IFERROR(INDEX(CARDS!$C$5:$C$34,MATCH(B121,CARDS!$A$5:$A$34,0)),"⚠ Card ID?"))</f>
        <v/>
      </c>
      <c r="E121" s="37" t="n"/>
      <c r="F121" s="37" t="n"/>
      <c r="G121" s="41" t="n"/>
      <c r="H121" s="45" t="str">
        <f>IF(G121="","",IFERROR(INDEX(MCC_MASTER!$B$5:$B$504,MATCH(G121,MCC_MASTER!$A$5:$A$504,0)),"⚠ MCC chưa có trong MCC_MASTER"))</f>
        <v/>
      </c>
      <c r="I121" s="46" t="n"/>
      <c r="J121" s="40" t="n"/>
      <c r="K121" s="40" t="n"/>
      <c r="L121" s="40" t="n"/>
      <c r="M121" s="40" t="n"/>
      <c r="N121" s="42" t="n"/>
      <c r="O121" s="42" t="n"/>
      <c r="P121" s="37" t="n"/>
      <c r="Q121" s="37" t="n"/>
      <c r="R121" s="45" t="str">
        <f>IF(B121="","",IF(ISNA(MATCH(B121,CARDS!$A$5:$A$34,0)),"⚠ Card ID không tồn tại",IF(E121="","⚠ Thiếu Nhóm cashback",IF(OR(SUMPRODUCT(($B$5:$B$304=B121)*($E$5:$E$304=E121)*($J$5:$J$304&lt;&gt;J121))&gt;0,SUMPRODUCT(($B$5:$B$304=B121)*($K$5:$K$304&lt;&gt;K121))&gt;0),"⚠ Cap không đồng nhất","✓ OK"))))</f>
        <v/>
      </c>
      <c r="S121" s="43" t="str">
        <f>IF(OR(B121="",E121=""),"",IF(COUNTIFS($B$5:$B121,B121,$E$5:$E121,E121)=1,MAX($S$4:$S120)+1,""))</f>
        <v/>
      </c>
    </row>
    <row r="122">
      <c r="A122" s="44" t="str">
        <f>IF(B122="","","R"&amp;TEXT(ROW()-4,"000"))</f>
        <v/>
      </c>
      <c r="B122" s="37" t="n"/>
      <c r="C122" s="45" t="str">
        <f>IF(B122="","",IFERROR(INDEX(CARDS!$B$5:$B$34,MATCH(B122,CARDS!$A$5:$A$34,0)),"⚠ Card ID?"))</f>
        <v/>
      </c>
      <c r="D122" s="45" t="str">
        <f>IF(B122="","",IFERROR(INDEX(CARDS!$C$5:$C$34,MATCH(B122,CARDS!$A$5:$A$34,0)),"⚠ Card ID?"))</f>
        <v/>
      </c>
      <c r="E122" s="37" t="n"/>
      <c r="F122" s="37" t="n"/>
      <c r="G122" s="41" t="n"/>
      <c r="H122" s="45" t="str">
        <f>IF(G122="","",IFERROR(INDEX(MCC_MASTER!$B$5:$B$504,MATCH(G122,MCC_MASTER!$A$5:$A$504,0)),"⚠ MCC chưa có trong MCC_MASTER"))</f>
        <v/>
      </c>
      <c r="I122" s="46" t="n"/>
      <c r="J122" s="40" t="n"/>
      <c r="K122" s="40" t="n"/>
      <c r="L122" s="40" t="n"/>
      <c r="M122" s="40" t="n"/>
      <c r="N122" s="42" t="n"/>
      <c r="O122" s="42" t="n"/>
      <c r="P122" s="37" t="n"/>
      <c r="Q122" s="37" t="n"/>
      <c r="R122" s="45" t="str">
        <f>IF(B122="","",IF(ISNA(MATCH(B122,CARDS!$A$5:$A$34,0)),"⚠ Card ID không tồn tại",IF(E122="","⚠ Thiếu Nhóm cashback",IF(OR(SUMPRODUCT(($B$5:$B$304=B122)*($E$5:$E$304=E122)*($J$5:$J$304&lt;&gt;J122))&gt;0,SUMPRODUCT(($B$5:$B$304=B122)*($K$5:$K$304&lt;&gt;K122))&gt;0),"⚠ Cap không đồng nhất","✓ OK"))))</f>
        <v/>
      </c>
      <c r="S122" s="43" t="str">
        <f>IF(OR(B122="",E122=""),"",IF(COUNTIFS($B$5:$B122,B122,$E$5:$E122,E122)=1,MAX($S$4:$S121)+1,""))</f>
        <v/>
      </c>
    </row>
    <row r="123">
      <c r="A123" s="44" t="str">
        <f>IF(B123="","","R"&amp;TEXT(ROW()-4,"000"))</f>
        <v/>
      </c>
      <c r="B123" s="37" t="n"/>
      <c r="C123" s="45" t="str">
        <f>IF(B123="","",IFERROR(INDEX(CARDS!$B$5:$B$34,MATCH(B123,CARDS!$A$5:$A$34,0)),"⚠ Card ID?"))</f>
        <v/>
      </c>
      <c r="D123" s="45" t="str">
        <f>IF(B123="","",IFERROR(INDEX(CARDS!$C$5:$C$34,MATCH(B123,CARDS!$A$5:$A$34,0)),"⚠ Card ID?"))</f>
        <v/>
      </c>
      <c r="E123" s="37" t="n"/>
      <c r="F123" s="37" t="n"/>
      <c r="G123" s="41" t="n"/>
      <c r="H123" s="45" t="str">
        <f>IF(G123="","",IFERROR(INDEX(MCC_MASTER!$B$5:$B$504,MATCH(G123,MCC_MASTER!$A$5:$A$504,0)),"⚠ MCC chưa có trong MCC_MASTER"))</f>
        <v/>
      </c>
      <c r="I123" s="46" t="n"/>
      <c r="J123" s="40" t="n"/>
      <c r="K123" s="40" t="n"/>
      <c r="L123" s="40" t="n"/>
      <c r="M123" s="40" t="n"/>
      <c r="N123" s="42" t="n"/>
      <c r="O123" s="42" t="n"/>
      <c r="P123" s="37" t="n"/>
      <c r="Q123" s="37" t="n"/>
      <c r="R123" s="45" t="str">
        <f>IF(B123="","",IF(ISNA(MATCH(B123,CARDS!$A$5:$A$34,0)),"⚠ Card ID không tồn tại",IF(E123="","⚠ Thiếu Nhóm cashback",IF(OR(SUMPRODUCT(($B$5:$B$304=B123)*($E$5:$E$304=E123)*($J$5:$J$304&lt;&gt;J123))&gt;0,SUMPRODUCT(($B$5:$B$304=B123)*($K$5:$K$304&lt;&gt;K123))&gt;0),"⚠ Cap không đồng nhất","✓ OK"))))</f>
        <v/>
      </c>
      <c r="S123" s="43" t="str">
        <f>IF(OR(B123="",E123=""),"",IF(COUNTIFS($B$5:$B123,B123,$E$5:$E123,E123)=1,MAX($S$4:$S122)+1,""))</f>
        <v/>
      </c>
    </row>
    <row r="124">
      <c r="A124" s="44" t="str">
        <f>IF(B124="","","R"&amp;TEXT(ROW()-4,"000"))</f>
        <v/>
      </c>
      <c r="B124" s="37" t="n"/>
      <c r="C124" s="45" t="str">
        <f>IF(B124="","",IFERROR(INDEX(CARDS!$B$5:$B$34,MATCH(B124,CARDS!$A$5:$A$34,0)),"⚠ Card ID?"))</f>
        <v/>
      </c>
      <c r="D124" s="45" t="str">
        <f>IF(B124="","",IFERROR(INDEX(CARDS!$C$5:$C$34,MATCH(B124,CARDS!$A$5:$A$34,0)),"⚠ Card ID?"))</f>
        <v/>
      </c>
      <c r="E124" s="37" t="n"/>
      <c r="F124" s="37" t="n"/>
      <c r="G124" s="41" t="n"/>
      <c r="H124" s="45" t="str">
        <f>IF(G124="","",IFERROR(INDEX(MCC_MASTER!$B$5:$B$504,MATCH(G124,MCC_MASTER!$A$5:$A$504,0)),"⚠ MCC chưa có trong MCC_MASTER"))</f>
        <v/>
      </c>
      <c r="I124" s="46" t="n"/>
      <c r="J124" s="40" t="n"/>
      <c r="K124" s="40" t="n"/>
      <c r="L124" s="40" t="n"/>
      <c r="M124" s="40" t="n"/>
      <c r="N124" s="42" t="n"/>
      <c r="O124" s="42" t="n"/>
      <c r="P124" s="37" t="n"/>
      <c r="Q124" s="37" t="n"/>
      <c r="R124" s="45" t="str">
        <f>IF(B124="","",IF(ISNA(MATCH(B124,CARDS!$A$5:$A$34,0)),"⚠ Card ID không tồn tại",IF(E124="","⚠ Thiếu Nhóm cashback",IF(OR(SUMPRODUCT(($B$5:$B$304=B124)*($E$5:$E$304=E124)*($J$5:$J$304&lt;&gt;J124))&gt;0,SUMPRODUCT(($B$5:$B$304=B124)*($K$5:$K$304&lt;&gt;K124))&gt;0),"⚠ Cap không đồng nhất","✓ OK"))))</f>
        <v/>
      </c>
      <c r="S124" s="43" t="str">
        <f>IF(OR(B124="",E124=""),"",IF(COUNTIFS($B$5:$B124,B124,$E$5:$E124,E124)=1,MAX($S$4:$S123)+1,""))</f>
        <v/>
      </c>
    </row>
    <row r="125">
      <c r="A125" s="44" t="str">
        <f>IF(B125="","","R"&amp;TEXT(ROW()-4,"000"))</f>
        <v/>
      </c>
      <c r="B125" s="37" t="n"/>
      <c r="C125" s="45" t="str">
        <f>IF(B125="","",IFERROR(INDEX(CARDS!$B$5:$B$34,MATCH(B125,CARDS!$A$5:$A$34,0)),"⚠ Card ID?"))</f>
        <v/>
      </c>
      <c r="D125" s="45" t="str">
        <f>IF(B125="","",IFERROR(INDEX(CARDS!$C$5:$C$34,MATCH(B125,CARDS!$A$5:$A$34,0)),"⚠ Card ID?"))</f>
        <v/>
      </c>
      <c r="E125" s="37" t="n"/>
      <c r="F125" s="37" t="n"/>
      <c r="G125" s="41" t="n"/>
      <c r="H125" s="45" t="str">
        <f>IF(G125="","",IFERROR(INDEX(MCC_MASTER!$B$5:$B$504,MATCH(G125,MCC_MASTER!$A$5:$A$504,0)),"⚠ MCC chưa có trong MCC_MASTER"))</f>
        <v/>
      </c>
      <c r="I125" s="46" t="n"/>
      <c r="J125" s="40" t="n"/>
      <c r="K125" s="40" t="n"/>
      <c r="L125" s="40" t="n"/>
      <c r="M125" s="40" t="n"/>
      <c r="N125" s="42" t="n"/>
      <c r="O125" s="42" t="n"/>
      <c r="P125" s="37" t="n"/>
      <c r="Q125" s="37" t="n"/>
      <c r="R125" s="45" t="str">
        <f>IF(B125="","",IF(ISNA(MATCH(B125,CARDS!$A$5:$A$34,0)),"⚠ Card ID không tồn tại",IF(E125="","⚠ Thiếu Nhóm cashback",IF(OR(SUMPRODUCT(($B$5:$B$304=B125)*($E$5:$E$304=E125)*($J$5:$J$304&lt;&gt;J125))&gt;0,SUMPRODUCT(($B$5:$B$304=B125)*($K$5:$K$304&lt;&gt;K125))&gt;0),"⚠ Cap không đồng nhất","✓ OK"))))</f>
        <v/>
      </c>
      <c r="S125" s="43" t="str">
        <f>IF(OR(B125="",E125=""),"",IF(COUNTIFS($B$5:$B125,B125,$E$5:$E125,E125)=1,MAX($S$4:$S124)+1,""))</f>
        <v/>
      </c>
    </row>
    <row r="126">
      <c r="A126" s="44" t="str">
        <f>IF(B126="","","R"&amp;TEXT(ROW()-4,"000"))</f>
        <v/>
      </c>
      <c r="B126" s="37" t="n"/>
      <c r="C126" s="45" t="str">
        <f>IF(B126="","",IFERROR(INDEX(CARDS!$B$5:$B$34,MATCH(B126,CARDS!$A$5:$A$34,0)),"⚠ Card ID?"))</f>
        <v/>
      </c>
      <c r="D126" s="45" t="str">
        <f>IF(B126="","",IFERROR(INDEX(CARDS!$C$5:$C$34,MATCH(B126,CARDS!$A$5:$A$34,0)),"⚠ Card ID?"))</f>
        <v/>
      </c>
      <c r="E126" s="37" t="n"/>
      <c r="F126" s="37" t="n"/>
      <c r="G126" s="41" t="n"/>
      <c r="H126" s="45" t="str">
        <f>IF(G126="","",IFERROR(INDEX(MCC_MASTER!$B$5:$B$504,MATCH(G126,MCC_MASTER!$A$5:$A$504,0)),"⚠ MCC chưa có trong MCC_MASTER"))</f>
        <v/>
      </c>
      <c r="I126" s="46" t="n"/>
      <c r="J126" s="40" t="n"/>
      <c r="K126" s="40" t="n"/>
      <c r="L126" s="40" t="n"/>
      <c r="M126" s="40" t="n"/>
      <c r="N126" s="42" t="n"/>
      <c r="O126" s="42" t="n"/>
      <c r="P126" s="37" t="n"/>
      <c r="Q126" s="37" t="n"/>
      <c r="R126" s="45" t="str">
        <f>IF(B126="","",IF(ISNA(MATCH(B126,CARDS!$A$5:$A$34,0)),"⚠ Card ID không tồn tại",IF(E126="","⚠ Thiếu Nhóm cashback",IF(OR(SUMPRODUCT(($B$5:$B$304=B126)*($E$5:$E$304=E126)*($J$5:$J$304&lt;&gt;J126))&gt;0,SUMPRODUCT(($B$5:$B$304=B126)*($K$5:$K$304&lt;&gt;K126))&gt;0),"⚠ Cap không đồng nhất","✓ OK"))))</f>
        <v/>
      </c>
      <c r="S126" s="43" t="str">
        <f>IF(OR(B126="",E126=""),"",IF(COUNTIFS($B$5:$B126,B126,$E$5:$E126,E126)=1,MAX($S$4:$S125)+1,""))</f>
        <v/>
      </c>
    </row>
    <row r="127">
      <c r="A127" s="44" t="str">
        <f>IF(B127="","","R"&amp;TEXT(ROW()-4,"000"))</f>
        <v/>
      </c>
      <c r="B127" s="37" t="n"/>
      <c r="C127" s="45" t="str">
        <f>IF(B127="","",IFERROR(INDEX(CARDS!$B$5:$B$34,MATCH(B127,CARDS!$A$5:$A$34,0)),"⚠ Card ID?"))</f>
        <v/>
      </c>
      <c r="D127" s="45" t="str">
        <f>IF(B127="","",IFERROR(INDEX(CARDS!$C$5:$C$34,MATCH(B127,CARDS!$A$5:$A$34,0)),"⚠ Card ID?"))</f>
        <v/>
      </c>
      <c r="E127" s="37" t="n"/>
      <c r="F127" s="37" t="n"/>
      <c r="G127" s="41" t="n"/>
      <c r="H127" s="45" t="str">
        <f>IF(G127="","",IFERROR(INDEX(MCC_MASTER!$B$5:$B$504,MATCH(G127,MCC_MASTER!$A$5:$A$504,0)),"⚠ MCC chưa có trong MCC_MASTER"))</f>
        <v/>
      </c>
      <c r="I127" s="46" t="n"/>
      <c r="J127" s="40" t="n"/>
      <c r="K127" s="40" t="n"/>
      <c r="L127" s="40" t="n"/>
      <c r="M127" s="40" t="n"/>
      <c r="N127" s="42" t="n"/>
      <c r="O127" s="42" t="n"/>
      <c r="P127" s="37" t="n"/>
      <c r="Q127" s="37" t="n"/>
      <c r="R127" s="45" t="str">
        <f>IF(B127="","",IF(ISNA(MATCH(B127,CARDS!$A$5:$A$34,0)),"⚠ Card ID không tồn tại",IF(E127="","⚠ Thiếu Nhóm cashback",IF(OR(SUMPRODUCT(($B$5:$B$304=B127)*($E$5:$E$304=E127)*($J$5:$J$304&lt;&gt;J127))&gt;0,SUMPRODUCT(($B$5:$B$304=B127)*($K$5:$K$304&lt;&gt;K127))&gt;0),"⚠ Cap không đồng nhất","✓ OK"))))</f>
        <v/>
      </c>
      <c r="S127" s="43" t="str">
        <f>IF(OR(B127="",E127=""),"",IF(COUNTIFS($B$5:$B127,B127,$E$5:$E127,E127)=1,MAX($S$4:$S126)+1,""))</f>
        <v/>
      </c>
    </row>
    <row r="128">
      <c r="A128" s="44" t="str">
        <f>IF(B128="","","R"&amp;TEXT(ROW()-4,"000"))</f>
        <v/>
      </c>
      <c r="B128" s="37" t="n"/>
      <c r="C128" s="45" t="str">
        <f>IF(B128="","",IFERROR(INDEX(CARDS!$B$5:$B$34,MATCH(B128,CARDS!$A$5:$A$34,0)),"⚠ Card ID?"))</f>
        <v/>
      </c>
      <c r="D128" s="45" t="str">
        <f>IF(B128="","",IFERROR(INDEX(CARDS!$C$5:$C$34,MATCH(B128,CARDS!$A$5:$A$34,0)),"⚠ Card ID?"))</f>
        <v/>
      </c>
      <c r="E128" s="37" t="n"/>
      <c r="F128" s="37" t="n"/>
      <c r="G128" s="41" t="n"/>
      <c r="H128" s="45" t="str">
        <f>IF(G128="","",IFERROR(INDEX(MCC_MASTER!$B$5:$B$504,MATCH(G128,MCC_MASTER!$A$5:$A$504,0)),"⚠ MCC chưa có trong MCC_MASTER"))</f>
        <v/>
      </c>
      <c r="I128" s="46" t="n"/>
      <c r="J128" s="40" t="n"/>
      <c r="K128" s="40" t="n"/>
      <c r="L128" s="40" t="n"/>
      <c r="M128" s="40" t="n"/>
      <c r="N128" s="42" t="n"/>
      <c r="O128" s="42" t="n"/>
      <c r="P128" s="37" t="n"/>
      <c r="Q128" s="37" t="n"/>
      <c r="R128" s="45" t="str">
        <f>IF(B128="","",IF(ISNA(MATCH(B128,CARDS!$A$5:$A$34,0)),"⚠ Card ID không tồn tại",IF(E128="","⚠ Thiếu Nhóm cashback",IF(OR(SUMPRODUCT(($B$5:$B$304=B128)*($E$5:$E$304=E128)*($J$5:$J$304&lt;&gt;J128))&gt;0,SUMPRODUCT(($B$5:$B$304=B128)*($K$5:$K$304&lt;&gt;K128))&gt;0),"⚠ Cap không đồng nhất","✓ OK"))))</f>
        <v/>
      </c>
      <c r="S128" s="43" t="str">
        <f>IF(OR(B128="",E128=""),"",IF(COUNTIFS($B$5:$B128,B128,$E$5:$E128,E128)=1,MAX($S$4:$S127)+1,""))</f>
        <v/>
      </c>
    </row>
    <row r="129">
      <c r="A129" s="44" t="str">
        <f>IF(B129="","","R"&amp;TEXT(ROW()-4,"000"))</f>
        <v/>
      </c>
      <c r="B129" s="37" t="n"/>
      <c r="C129" s="45" t="str">
        <f>IF(B129="","",IFERROR(INDEX(CARDS!$B$5:$B$34,MATCH(B129,CARDS!$A$5:$A$34,0)),"⚠ Card ID?"))</f>
        <v/>
      </c>
      <c r="D129" s="45" t="str">
        <f>IF(B129="","",IFERROR(INDEX(CARDS!$C$5:$C$34,MATCH(B129,CARDS!$A$5:$A$34,0)),"⚠ Card ID?"))</f>
        <v/>
      </c>
      <c r="E129" s="37" t="n"/>
      <c r="F129" s="37" t="n"/>
      <c r="G129" s="41" t="n"/>
      <c r="H129" s="45" t="str">
        <f>IF(G129="","",IFERROR(INDEX(MCC_MASTER!$B$5:$B$504,MATCH(G129,MCC_MASTER!$A$5:$A$504,0)),"⚠ MCC chưa có trong MCC_MASTER"))</f>
        <v/>
      </c>
      <c r="I129" s="46" t="n"/>
      <c r="J129" s="40" t="n"/>
      <c r="K129" s="40" t="n"/>
      <c r="L129" s="40" t="n"/>
      <c r="M129" s="40" t="n"/>
      <c r="N129" s="42" t="n"/>
      <c r="O129" s="42" t="n"/>
      <c r="P129" s="37" t="n"/>
      <c r="Q129" s="37" t="n"/>
      <c r="R129" s="45" t="str">
        <f>IF(B129="","",IF(ISNA(MATCH(B129,CARDS!$A$5:$A$34,0)),"⚠ Card ID không tồn tại",IF(E129="","⚠ Thiếu Nhóm cashback",IF(OR(SUMPRODUCT(($B$5:$B$304=B129)*($E$5:$E$304=E129)*($J$5:$J$304&lt;&gt;J129))&gt;0,SUMPRODUCT(($B$5:$B$304=B129)*($K$5:$K$304&lt;&gt;K129))&gt;0),"⚠ Cap không đồng nhất","✓ OK"))))</f>
        <v/>
      </c>
      <c r="S129" s="43" t="str">
        <f>IF(OR(B129="",E129=""),"",IF(COUNTIFS($B$5:$B129,B129,$E$5:$E129,E129)=1,MAX($S$4:$S128)+1,""))</f>
        <v/>
      </c>
    </row>
    <row r="130">
      <c r="A130" s="44" t="str">
        <f>IF(B130="","","R"&amp;TEXT(ROW()-4,"000"))</f>
        <v/>
      </c>
      <c r="B130" s="37" t="n"/>
      <c r="C130" s="45" t="str">
        <f>IF(B130="","",IFERROR(INDEX(CARDS!$B$5:$B$34,MATCH(B130,CARDS!$A$5:$A$34,0)),"⚠ Card ID?"))</f>
        <v/>
      </c>
      <c r="D130" s="45" t="str">
        <f>IF(B130="","",IFERROR(INDEX(CARDS!$C$5:$C$34,MATCH(B130,CARDS!$A$5:$A$34,0)),"⚠ Card ID?"))</f>
        <v/>
      </c>
      <c r="E130" s="37" t="n"/>
      <c r="F130" s="37" t="n"/>
      <c r="G130" s="41" t="n"/>
      <c r="H130" s="45" t="str">
        <f>IF(G130="","",IFERROR(INDEX(MCC_MASTER!$B$5:$B$504,MATCH(G130,MCC_MASTER!$A$5:$A$504,0)),"⚠ MCC chưa có trong MCC_MASTER"))</f>
        <v/>
      </c>
      <c r="I130" s="46" t="n"/>
      <c r="J130" s="40" t="n"/>
      <c r="K130" s="40" t="n"/>
      <c r="L130" s="40" t="n"/>
      <c r="M130" s="40" t="n"/>
      <c r="N130" s="42" t="n"/>
      <c r="O130" s="42" t="n"/>
      <c r="P130" s="37" t="n"/>
      <c r="Q130" s="37" t="n"/>
      <c r="R130" s="45" t="str">
        <f>IF(B130="","",IF(ISNA(MATCH(B130,CARDS!$A$5:$A$34,0)),"⚠ Card ID không tồn tại",IF(E130="","⚠ Thiếu Nhóm cashback",IF(OR(SUMPRODUCT(($B$5:$B$304=B130)*($E$5:$E$304=E130)*($J$5:$J$304&lt;&gt;J130))&gt;0,SUMPRODUCT(($B$5:$B$304=B130)*($K$5:$K$304&lt;&gt;K130))&gt;0),"⚠ Cap không đồng nhất","✓ OK"))))</f>
        <v/>
      </c>
      <c r="S130" s="43" t="str">
        <f>IF(OR(B130="",E130=""),"",IF(COUNTIFS($B$5:$B130,B130,$E$5:$E130,E130)=1,MAX($S$4:$S129)+1,""))</f>
        <v/>
      </c>
    </row>
    <row r="131">
      <c r="A131" s="44" t="str">
        <f>IF(B131="","","R"&amp;TEXT(ROW()-4,"000"))</f>
        <v/>
      </c>
      <c r="B131" s="37" t="n"/>
      <c r="C131" s="45" t="str">
        <f>IF(B131="","",IFERROR(INDEX(CARDS!$B$5:$B$34,MATCH(B131,CARDS!$A$5:$A$34,0)),"⚠ Card ID?"))</f>
        <v/>
      </c>
      <c r="D131" s="45" t="str">
        <f>IF(B131="","",IFERROR(INDEX(CARDS!$C$5:$C$34,MATCH(B131,CARDS!$A$5:$A$34,0)),"⚠ Card ID?"))</f>
        <v/>
      </c>
      <c r="E131" s="37" t="n"/>
      <c r="F131" s="37" t="n"/>
      <c r="G131" s="41" t="n"/>
      <c r="H131" s="45" t="str">
        <f>IF(G131="","",IFERROR(INDEX(MCC_MASTER!$B$5:$B$504,MATCH(G131,MCC_MASTER!$A$5:$A$504,0)),"⚠ MCC chưa có trong MCC_MASTER"))</f>
        <v/>
      </c>
      <c r="I131" s="46" t="n"/>
      <c r="J131" s="40" t="n"/>
      <c r="K131" s="40" t="n"/>
      <c r="L131" s="40" t="n"/>
      <c r="M131" s="40" t="n"/>
      <c r="N131" s="42" t="n"/>
      <c r="O131" s="42" t="n"/>
      <c r="P131" s="37" t="n"/>
      <c r="Q131" s="37" t="n"/>
      <c r="R131" s="45" t="str">
        <f>IF(B131="","",IF(ISNA(MATCH(B131,CARDS!$A$5:$A$34,0)),"⚠ Card ID không tồn tại",IF(E131="","⚠ Thiếu Nhóm cashback",IF(OR(SUMPRODUCT(($B$5:$B$304=B131)*($E$5:$E$304=E131)*($J$5:$J$304&lt;&gt;J131))&gt;0,SUMPRODUCT(($B$5:$B$304=B131)*($K$5:$K$304&lt;&gt;K131))&gt;0),"⚠ Cap không đồng nhất","✓ OK"))))</f>
        <v/>
      </c>
      <c r="S131" s="43" t="str">
        <f>IF(OR(B131="",E131=""),"",IF(COUNTIFS($B$5:$B131,B131,$E$5:$E131,E131)=1,MAX($S$4:$S130)+1,""))</f>
        <v/>
      </c>
    </row>
    <row r="132">
      <c r="A132" s="44" t="str">
        <f>IF(B132="","","R"&amp;TEXT(ROW()-4,"000"))</f>
        <v/>
      </c>
      <c r="B132" s="37" t="n"/>
      <c r="C132" s="45" t="str">
        <f>IF(B132="","",IFERROR(INDEX(CARDS!$B$5:$B$34,MATCH(B132,CARDS!$A$5:$A$34,0)),"⚠ Card ID?"))</f>
        <v/>
      </c>
      <c r="D132" s="45" t="str">
        <f>IF(B132="","",IFERROR(INDEX(CARDS!$C$5:$C$34,MATCH(B132,CARDS!$A$5:$A$34,0)),"⚠ Card ID?"))</f>
        <v/>
      </c>
      <c r="E132" s="37" t="n"/>
      <c r="F132" s="37" t="n"/>
      <c r="G132" s="41" t="n"/>
      <c r="H132" s="45" t="str">
        <f>IF(G132="","",IFERROR(INDEX(MCC_MASTER!$B$5:$B$504,MATCH(G132,MCC_MASTER!$A$5:$A$504,0)),"⚠ MCC chưa có trong MCC_MASTER"))</f>
        <v/>
      </c>
      <c r="I132" s="46" t="n"/>
      <c r="J132" s="40" t="n"/>
      <c r="K132" s="40" t="n"/>
      <c r="L132" s="40" t="n"/>
      <c r="M132" s="40" t="n"/>
      <c r="N132" s="42" t="n"/>
      <c r="O132" s="42" t="n"/>
      <c r="P132" s="37" t="n"/>
      <c r="Q132" s="37" t="n"/>
      <c r="R132" s="45" t="str">
        <f>IF(B132="","",IF(ISNA(MATCH(B132,CARDS!$A$5:$A$34,0)),"⚠ Card ID không tồn tại",IF(E132="","⚠ Thiếu Nhóm cashback",IF(OR(SUMPRODUCT(($B$5:$B$304=B132)*($E$5:$E$304=E132)*($J$5:$J$304&lt;&gt;J132))&gt;0,SUMPRODUCT(($B$5:$B$304=B132)*($K$5:$K$304&lt;&gt;K132))&gt;0),"⚠ Cap không đồng nhất","✓ OK"))))</f>
        <v/>
      </c>
      <c r="S132" s="43" t="str">
        <f>IF(OR(B132="",E132=""),"",IF(COUNTIFS($B$5:$B132,B132,$E$5:$E132,E132)=1,MAX($S$4:$S131)+1,""))</f>
        <v/>
      </c>
    </row>
    <row r="133">
      <c r="A133" s="44" t="str">
        <f>IF(B133="","","R"&amp;TEXT(ROW()-4,"000"))</f>
        <v/>
      </c>
      <c r="B133" s="37" t="n"/>
      <c r="C133" s="45" t="str">
        <f>IF(B133="","",IFERROR(INDEX(CARDS!$B$5:$B$34,MATCH(B133,CARDS!$A$5:$A$34,0)),"⚠ Card ID?"))</f>
        <v/>
      </c>
      <c r="D133" s="45" t="str">
        <f>IF(B133="","",IFERROR(INDEX(CARDS!$C$5:$C$34,MATCH(B133,CARDS!$A$5:$A$34,0)),"⚠ Card ID?"))</f>
        <v/>
      </c>
      <c r="E133" s="37" t="n"/>
      <c r="F133" s="37" t="n"/>
      <c r="G133" s="41" t="n"/>
      <c r="H133" s="45" t="str">
        <f>IF(G133="","",IFERROR(INDEX(MCC_MASTER!$B$5:$B$504,MATCH(G133,MCC_MASTER!$A$5:$A$504,0)),"⚠ MCC chưa có trong MCC_MASTER"))</f>
        <v/>
      </c>
      <c r="I133" s="46" t="n"/>
      <c r="J133" s="40" t="n"/>
      <c r="K133" s="40" t="n"/>
      <c r="L133" s="40" t="n"/>
      <c r="M133" s="40" t="n"/>
      <c r="N133" s="42" t="n"/>
      <c r="O133" s="42" t="n"/>
      <c r="P133" s="37" t="n"/>
      <c r="Q133" s="37" t="n"/>
      <c r="R133" s="45" t="str">
        <f>IF(B133="","",IF(ISNA(MATCH(B133,CARDS!$A$5:$A$34,0)),"⚠ Card ID không tồn tại",IF(E133="","⚠ Thiếu Nhóm cashback",IF(OR(SUMPRODUCT(($B$5:$B$304=B133)*($E$5:$E$304=E133)*($J$5:$J$304&lt;&gt;J133))&gt;0,SUMPRODUCT(($B$5:$B$304=B133)*($K$5:$K$304&lt;&gt;K133))&gt;0),"⚠ Cap không đồng nhất","✓ OK"))))</f>
        <v/>
      </c>
      <c r="S133" s="43" t="str">
        <f>IF(OR(B133="",E133=""),"",IF(COUNTIFS($B$5:$B133,B133,$E$5:$E133,E133)=1,MAX($S$4:$S132)+1,""))</f>
        <v/>
      </c>
    </row>
    <row r="134">
      <c r="A134" s="44" t="str">
        <f>IF(B134="","","R"&amp;TEXT(ROW()-4,"000"))</f>
        <v/>
      </c>
      <c r="B134" s="37" t="n"/>
      <c r="C134" s="45" t="str">
        <f>IF(B134="","",IFERROR(INDEX(CARDS!$B$5:$B$34,MATCH(B134,CARDS!$A$5:$A$34,0)),"⚠ Card ID?"))</f>
        <v/>
      </c>
      <c r="D134" s="45" t="str">
        <f>IF(B134="","",IFERROR(INDEX(CARDS!$C$5:$C$34,MATCH(B134,CARDS!$A$5:$A$34,0)),"⚠ Card ID?"))</f>
        <v/>
      </c>
      <c r="E134" s="37" t="n"/>
      <c r="F134" s="37" t="n"/>
      <c r="G134" s="41" t="n"/>
      <c r="H134" s="45" t="str">
        <f>IF(G134="","",IFERROR(INDEX(MCC_MASTER!$B$5:$B$504,MATCH(G134,MCC_MASTER!$A$5:$A$504,0)),"⚠ MCC chưa có trong MCC_MASTER"))</f>
        <v/>
      </c>
      <c r="I134" s="46" t="n"/>
      <c r="J134" s="40" t="n"/>
      <c r="K134" s="40" t="n"/>
      <c r="L134" s="40" t="n"/>
      <c r="M134" s="40" t="n"/>
      <c r="N134" s="42" t="n"/>
      <c r="O134" s="42" t="n"/>
      <c r="P134" s="37" t="n"/>
      <c r="Q134" s="37" t="n"/>
      <c r="R134" s="45" t="str">
        <f>IF(B134="","",IF(ISNA(MATCH(B134,CARDS!$A$5:$A$34,0)),"⚠ Card ID không tồn tại",IF(E134="","⚠ Thiếu Nhóm cashback",IF(OR(SUMPRODUCT(($B$5:$B$304=B134)*($E$5:$E$304=E134)*($J$5:$J$304&lt;&gt;J134))&gt;0,SUMPRODUCT(($B$5:$B$304=B134)*($K$5:$K$304&lt;&gt;K134))&gt;0),"⚠ Cap không đồng nhất","✓ OK"))))</f>
        <v/>
      </c>
      <c r="S134" s="43" t="str">
        <f>IF(OR(B134="",E134=""),"",IF(COUNTIFS($B$5:$B134,B134,$E$5:$E134,E134)=1,MAX($S$4:$S133)+1,""))</f>
        <v/>
      </c>
    </row>
    <row r="135">
      <c r="A135" s="44" t="str">
        <f>IF(B135="","","R"&amp;TEXT(ROW()-4,"000"))</f>
        <v/>
      </c>
      <c r="B135" s="37" t="n"/>
      <c r="C135" s="45" t="str">
        <f>IF(B135="","",IFERROR(INDEX(CARDS!$B$5:$B$34,MATCH(B135,CARDS!$A$5:$A$34,0)),"⚠ Card ID?"))</f>
        <v/>
      </c>
      <c r="D135" s="45" t="str">
        <f>IF(B135="","",IFERROR(INDEX(CARDS!$C$5:$C$34,MATCH(B135,CARDS!$A$5:$A$34,0)),"⚠ Card ID?"))</f>
        <v/>
      </c>
      <c r="E135" s="37" t="n"/>
      <c r="F135" s="37" t="n"/>
      <c r="G135" s="41" t="n"/>
      <c r="H135" s="45" t="str">
        <f>IF(G135="","",IFERROR(INDEX(MCC_MASTER!$B$5:$B$504,MATCH(G135,MCC_MASTER!$A$5:$A$504,0)),"⚠ MCC chưa có trong MCC_MASTER"))</f>
        <v/>
      </c>
      <c r="I135" s="46" t="n"/>
      <c r="J135" s="40" t="n"/>
      <c r="K135" s="40" t="n"/>
      <c r="L135" s="40" t="n"/>
      <c r="M135" s="40" t="n"/>
      <c r="N135" s="42" t="n"/>
      <c r="O135" s="42" t="n"/>
      <c r="P135" s="37" t="n"/>
      <c r="Q135" s="37" t="n"/>
      <c r="R135" s="45" t="str">
        <f>IF(B135="","",IF(ISNA(MATCH(B135,CARDS!$A$5:$A$34,0)),"⚠ Card ID không tồn tại",IF(E135="","⚠ Thiếu Nhóm cashback",IF(OR(SUMPRODUCT(($B$5:$B$304=B135)*($E$5:$E$304=E135)*($J$5:$J$304&lt;&gt;J135))&gt;0,SUMPRODUCT(($B$5:$B$304=B135)*($K$5:$K$304&lt;&gt;K135))&gt;0),"⚠ Cap không đồng nhất","✓ OK"))))</f>
        <v/>
      </c>
      <c r="S135" s="43" t="str">
        <f>IF(OR(B135="",E135=""),"",IF(COUNTIFS($B$5:$B135,B135,$E$5:$E135,E135)=1,MAX($S$4:$S134)+1,""))</f>
        <v/>
      </c>
    </row>
    <row r="136">
      <c r="A136" s="44" t="str">
        <f>IF(B136="","","R"&amp;TEXT(ROW()-4,"000"))</f>
        <v/>
      </c>
      <c r="B136" s="37" t="n"/>
      <c r="C136" s="45" t="str">
        <f>IF(B136="","",IFERROR(INDEX(CARDS!$B$5:$B$34,MATCH(B136,CARDS!$A$5:$A$34,0)),"⚠ Card ID?"))</f>
        <v/>
      </c>
      <c r="D136" s="45" t="str">
        <f>IF(B136="","",IFERROR(INDEX(CARDS!$C$5:$C$34,MATCH(B136,CARDS!$A$5:$A$34,0)),"⚠ Card ID?"))</f>
        <v/>
      </c>
      <c r="E136" s="37" t="n"/>
      <c r="F136" s="37" t="n"/>
      <c r="G136" s="41" t="n"/>
      <c r="H136" s="45" t="str">
        <f>IF(G136="","",IFERROR(INDEX(MCC_MASTER!$B$5:$B$504,MATCH(G136,MCC_MASTER!$A$5:$A$504,0)),"⚠ MCC chưa có trong MCC_MASTER"))</f>
        <v/>
      </c>
      <c r="I136" s="46" t="n"/>
      <c r="J136" s="40" t="n"/>
      <c r="K136" s="40" t="n"/>
      <c r="L136" s="40" t="n"/>
      <c r="M136" s="40" t="n"/>
      <c r="N136" s="42" t="n"/>
      <c r="O136" s="42" t="n"/>
      <c r="P136" s="37" t="n"/>
      <c r="Q136" s="37" t="n"/>
      <c r="R136" s="45" t="str">
        <f>IF(B136="","",IF(ISNA(MATCH(B136,CARDS!$A$5:$A$34,0)),"⚠ Card ID không tồn tại",IF(E136="","⚠ Thiếu Nhóm cashback",IF(OR(SUMPRODUCT(($B$5:$B$304=B136)*($E$5:$E$304=E136)*($J$5:$J$304&lt;&gt;J136))&gt;0,SUMPRODUCT(($B$5:$B$304=B136)*($K$5:$K$304&lt;&gt;K136))&gt;0),"⚠ Cap không đồng nhất","✓ OK"))))</f>
        <v/>
      </c>
      <c r="S136" s="43" t="str">
        <f>IF(OR(B136="",E136=""),"",IF(COUNTIFS($B$5:$B136,B136,$E$5:$E136,E136)=1,MAX($S$4:$S135)+1,""))</f>
        <v/>
      </c>
    </row>
    <row r="137">
      <c r="A137" s="44" t="str">
        <f>IF(B137="","","R"&amp;TEXT(ROW()-4,"000"))</f>
        <v/>
      </c>
      <c r="B137" s="37" t="n"/>
      <c r="C137" s="45" t="str">
        <f>IF(B137="","",IFERROR(INDEX(CARDS!$B$5:$B$34,MATCH(B137,CARDS!$A$5:$A$34,0)),"⚠ Card ID?"))</f>
        <v/>
      </c>
      <c r="D137" s="45" t="str">
        <f>IF(B137="","",IFERROR(INDEX(CARDS!$C$5:$C$34,MATCH(B137,CARDS!$A$5:$A$34,0)),"⚠ Card ID?"))</f>
        <v/>
      </c>
      <c r="E137" s="37" t="n"/>
      <c r="F137" s="37" t="n"/>
      <c r="G137" s="41" t="n"/>
      <c r="H137" s="45" t="str">
        <f>IF(G137="","",IFERROR(INDEX(MCC_MASTER!$B$5:$B$504,MATCH(G137,MCC_MASTER!$A$5:$A$504,0)),"⚠ MCC chưa có trong MCC_MASTER"))</f>
        <v/>
      </c>
      <c r="I137" s="46" t="n"/>
      <c r="J137" s="40" t="n"/>
      <c r="K137" s="40" t="n"/>
      <c r="L137" s="40" t="n"/>
      <c r="M137" s="40" t="n"/>
      <c r="N137" s="42" t="n"/>
      <c r="O137" s="42" t="n"/>
      <c r="P137" s="37" t="n"/>
      <c r="Q137" s="37" t="n"/>
      <c r="R137" s="45" t="str">
        <f>IF(B137="","",IF(ISNA(MATCH(B137,CARDS!$A$5:$A$34,0)),"⚠ Card ID không tồn tại",IF(E137="","⚠ Thiếu Nhóm cashback",IF(OR(SUMPRODUCT(($B$5:$B$304=B137)*($E$5:$E$304=E137)*($J$5:$J$304&lt;&gt;J137))&gt;0,SUMPRODUCT(($B$5:$B$304=B137)*($K$5:$K$304&lt;&gt;K137))&gt;0),"⚠ Cap không đồng nhất","✓ OK"))))</f>
        <v/>
      </c>
      <c r="S137" s="43" t="str">
        <f>IF(OR(B137="",E137=""),"",IF(COUNTIFS($B$5:$B137,B137,$E$5:$E137,E137)=1,MAX($S$4:$S136)+1,""))</f>
        <v/>
      </c>
    </row>
    <row r="138">
      <c r="A138" s="44" t="str">
        <f>IF(B138="","","R"&amp;TEXT(ROW()-4,"000"))</f>
        <v/>
      </c>
      <c r="B138" s="37" t="n"/>
      <c r="C138" s="45" t="str">
        <f>IF(B138="","",IFERROR(INDEX(CARDS!$B$5:$B$34,MATCH(B138,CARDS!$A$5:$A$34,0)),"⚠ Card ID?"))</f>
        <v/>
      </c>
      <c r="D138" s="45" t="str">
        <f>IF(B138="","",IFERROR(INDEX(CARDS!$C$5:$C$34,MATCH(B138,CARDS!$A$5:$A$34,0)),"⚠ Card ID?"))</f>
        <v/>
      </c>
      <c r="E138" s="37" t="n"/>
      <c r="F138" s="37" t="n"/>
      <c r="G138" s="41" t="n"/>
      <c r="H138" s="45" t="str">
        <f>IF(G138="","",IFERROR(INDEX(MCC_MASTER!$B$5:$B$504,MATCH(G138,MCC_MASTER!$A$5:$A$504,0)),"⚠ MCC chưa có trong MCC_MASTER"))</f>
        <v/>
      </c>
      <c r="I138" s="46" t="n"/>
      <c r="J138" s="40" t="n"/>
      <c r="K138" s="40" t="n"/>
      <c r="L138" s="40" t="n"/>
      <c r="M138" s="40" t="n"/>
      <c r="N138" s="42" t="n"/>
      <c r="O138" s="42" t="n"/>
      <c r="P138" s="37" t="n"/>
      <c r="Q138" s="37" t="n"/>
      <c r="R138" s="45" t="str">
        <f>IF(B138="","",IF(ISNA(MATCH(B138,CARDS!$A$5:$A$34,0)),"⚠ Card ID không tồn tại",IF(E138="","⚠ Thiếu Nhóm cashback",IF(OR(SUMPRODUCT(($B$5:$B$304=B138)*($E$5:$E$304=E138)*($J$5:$J$304&lt;&gt;J138))&gt;0,SUMPRODUCT(($B$5:$B$304=B138)*($K$5:$K$304&lt;&gt;K138))&gt;0),"⚠ Cap không đồng nhất","✓ OK"))))</f>
        <v/>
      </c>
      <c r="S138" s="43" t="str">
        <f>IF(OR(B138="",E138=""),"",IF(COUNTIFS($B$5:$B138,B138,$E$5:$E138,E138)=1,MAX($S$4:$S137)+1,""))</f>
        <v/>
      </c>
    </row>
    <row r="139">
      <c r="A139" s="44" t="str">
        <f>IF(B139="","","R"&amp;TEXT(ROW()-4,"000"))</f>
        <v/>
      </c>
      <c r="B139" s="37" t="n"/>
      <c r="C139" s="45" t="str">
        <f>IF(B139="","",IFERROR(INDEX(CARDS!$B$5:$B$34,MATCH(B139,CARDS!$A$5:$A$34,0)),"⚠ Card ID?"))</f>
        <v/>
      </c>
      <c r="D139" s="45" t="str">
        <f>IF(B139="","",IFERROR(INDEX(CARDS!$C$5:$C$34,MATCH(B139,CARDS!$A$5:$A$34,0)),"⚠ Card ID?"))</f>
        <v/>
      </c>
      <c r="E139" s="37" t="n"/>
      <c r="F139" s="37" t="n"/>
      <c r="G139" s="41" t="n"/>
      <c r="H139" s="45" t="str">
        <f>IF(G139="","",IFERROR(INDEX(MCC_MASTER!$B$5:$B$504,MATCH(G139,MCC_MASTER!$A$5:$A$504,0)),"⚠ MCC chưa có trong MCC_MASTER"))</f>
        <v/>
      </c>
      <c r="I139" s="46" t="n"/>
      <c r="J139" s="40" t="n"/>
      <c r="K139" s="40" t="n"/>
      <c r="L139" s="40" t="n"/>
      <c r="M139" s="40" t="n"/>
      <c r="N139" s="42" t="n"/>
      <c r="O139" s="42" t="n"/>
      <c r="P139" s="37" t="n"/>
      <c r="Q139" s="37" t="n"/>
      <c r="R139" s="45" t="str">
        <f>IF(B139="","",IF(ISNA(MATCH(B139,CARDS!$A$5:$A$34,0)),"⚠ Card ID không tồn tại",IF(E139="","⚠ Thiếu Nhóm cashback",IF(OR(SUMPRODUCT(($B$5:$B$304=B139)*($E$5:$E$304=E139)*($J$5:$J$304&lt;&gt;J139))&gt;0,SUMPRODUCT(($B$5:$B$304=B139)*($K$5:$K$304&lt;&gt;K139))&gt;0),"⚠ Cap không đồng nhất","✓ OK"))))</f>
        <v/>
      </c>
      <c r="S139" s="43" t="str">
        <f>IF(OR(B139="",E139=""),"",IF(COUNTIFS($B$5:$B139,B139,$E$5:$E139,E139)=1,MAX($S$4:$S138)+1,""))</f>
        <v/>
      </c>
    </row>
    <row r="140">
      <c r="A140" s="44" t="str">
        <f>IF(B140="","","R"&amp;TEXT(ROW()-4,"000"))</f>
        <v/>
      </c>
      <c r="B140" s="37" t="n"/>
      <c r="C140" s="45" t="str">
        <f>IF(B140="","",IFERROR(INDEX(CARDS!$B$5:$B$34,MATCH(B140,CARDS!$A$5:$A$34,0)),"⚠ Card ID?"))</f>
        <v/>
      </c>
      <c r="D140" s="45" t="str">
        <f>IF(B140="","",IFERROR(INDEX(CARDS!$C$5:$C$34,MATCH(B140,CARDS!$A$5:$A$34,0)),"⚠ Card ID?"))</f>
        <v/>
      </c>
      <c r="E140" s="37" t="n"/>
      <c r="F140" s="37" t="n"/>
      <c r="G140" s="41" t="n"/>
      <c r="H140" s="45" t="str">
        <f>IF(G140="","",IFERROR(INDEX(MCC_MASTER!$B$5:$B$504,MATCH(G140,MCC_MASTER!$A$5:$A$504,0)),"⚠ MCC chưa có trong MCC_MASTER"))</f>
        <v/>
      </c>
      <c r="I140" s="46" t="n"/>
      <c r="J140" s="40" t="n"/>
      <c r="K140" s="40" t="n"/>
      <c r="L140" s="40" t="n"/>
      <c r="M140" s="40" t="n"/>
      <c r="N140" s="42" t="n"/>
      <c r="O140" s="42" t="n"/>
      <c r="P140" s="37" t="n"/>
      <c r="Q140" s="37" t="n"/>
      <c r="R140" s="45" t="str">
        <f>IF(B140="","",IF(ISNA(MATCH(B140,CARDS!$A$5:$A$34,0)),"⚠ Card ID không tồn tại",IF(E140="","⚠ Thiếu Nhóm cashback",IF(OR(SUMPRODUCT(($B$5:$B$304=B140)*($E$5:$E$304=E140)*($J$5:$J$304&lt;&gt;J140))&gt;0,SUMPRODUCT(($B$5:$B$304=B140)*($K$5:$K$304&lt;&gt;K140))&gt;0),"⚠ Cap không đồng nhất","✓ OK"))))</f>
        <v/>
      </c>
      <c r="S140" s="43" t="str">
        <f>IF(OR(B140="",E140=""),"",IF(COUNTIFS($B$5:$B140,B140,$E$5:$E140,E140)=1,MAX($S$4:$S139)+1,""))</f>
        <v/>
      </c>
    </row>
    <row r="141">
      <c r="A141" s="44" t="str">
        <f>IF(B141="","","R"&amp;TEXT(ROW()-4,"000"))</f>
        <v/>
      </c>
      <c r="B141" s="37" t="n"/>
      <c r="C141" s="45" t="str">
        <f>IF(B141="","",IFERROR(INDEX(CARDS!$B$5:$B$34,MATCH(B141,CARDS!$A$5:$A$34,0)),"⚠ Card ID?"))</f>
        <v/>
      </c>
      <c r="D141" s="45" t="str">
        <f>IF(B141="","",IFERROR(INDEX(CARDS!$C$5:$C$34,MATCH(B141,CARDS!$A$5:$A$34,0)),"⚠ Card ID?"))</f>
        <v/>
      </c>
      <c r="E141" s="37" t="n"/>
      <c r="F141" s="37" t="n"/>
      <c r="G141" s="41" t="n"/>
      <c r="H141" s="45" t="str">
        <f>IF(G141="","",IFERROR(INDEX(MCC_MASTER!$B$5:$B$504,MATCH(G141,MCC_MASTER!$A$5:$A$504,0)),"⚠ MCC chưa có trong MCC_MASTER"))</f>
        <v/>
      </c>
      <c r="I141" s="46" t="n"/>
      <c r="J141" s="40" t="n"/>
      <c r="K141" s="40" t="n"/>
      <c r="L141" s="40" t="n"/>
      <c r="M141" s="40" t="n"/>
      <c r="N141" s="42" t="n"/>
      <c r="O141" s="42" t="n"/>
      <c r="P141" s="37" t="n"/>
      <c r="Q141" s="37" t="n"/>
      <c r="R141" s="45" t="str">
        <f>IF(B141="","",IF(ISNA(MATCH(B141,CARDS!$A$5:$A$34,0)),"⚠ Card ID không tồn tại",IF(E141="","⚠ Thiếu Nhóm cashback",IF(OR(SUMPRODUCT(($B$5:$B$304=B141)*($E$5:$E$304=E141)*($J$5:$J$304&lt;&gt;J141))&gt;0,SUMPRODUCT(($B$5:$B$304=B141)*($K$5:$K$304&lt;&gt;K141))&gt;0),"⚠ Cap không đồng nhất","✓ OK"))))</f>
        <v/>
      </c>
      <c r="S141" s="43" t="str">
        <f>IF(OR(B141="",E141=""),"",IF(COUNTIFS($B$5:$B141,B141,$E$5:$E141,E141)=1,MAX($S$4:$S140)+1,""))</f>
        <v/>
      </c>
    </row>
    <row r="142">
      <c r="A142" s="44" t="str">
        <f>IF(B142="","","R"&amp;TEXT(ROW()-4,"000"))</f>
        <v/>
      </c>
      <c r="B142" s="37" t="n"/>
      <c r="C142" s="45" t="str">
        <f>IF(B142="","",IFERROR(INDEX(CARDS!$B$5:$B$34,MATCH(B142,CARDS!$A$5:$A$34,0)),"⚠ Card ID?"))</f>
        <v/>
      </c>
      <c r="D142" s="45" t="str">
        <f>IF(B142="","",IFERROR(INDEX(CARDS!$C$5:$C$34,MATCH(B142,CARDS!$A$5:$A$34,0)),"⚠ Card ID?"))</f>
        <v/>
      </c>
      <c r="E142" s="37" t="n"/>
      <c r="F142" s="37" t="n"/>
      <c r="G142" s="41" t="n"/>
      <c r="H142" s="45" t="str">
        <f>IF(G142="","",IFERROR(INDEX(MCC_MASTER!$B$5:$B$504,MATCH(G142,MCC_MASTER!$A$5:$A$504,0)),"⚠ MCC chưa có trong MCC_MASTER"))</f>
        <v/>
      </c>
      <c r="I142" s="46" t="n"/>
      <c r="J142" s="40" t="n"/>
      <c r="K142" s="40" t="n"/>
      <c r="L142" s="40" t="n"/>
      <c r="M142" s="40" t="n"/>
      <c r="N142" s="42" t="n"/>
      <c r="O142" s="42" t="n"/>
      <c r="P142" s="37" t="n"/>
      <c r="Q142" s="37" t="n"/>
      <c r="R142" s="45" t="str">
        <f>IF(B142="","",IF(ISNA(MATCH(B142,CARDS!$A$5:$A$34,0)),"⚠ Card ID không tồn tại",IF(E142="","⚠ Thiếu Nhóm cashback",IF(OR(SUMPRODUCT(($B$5:$B$304=B142)*($E$5:$E$304=E142)*($J$5:$J$304&lt;&gt;J142))&gt;0,SUMPRODUCT(($B$5:$B$304=B142)*($K$5:$K$304&lt;&gt;K142))&gt;0),"⚠ Cap không đồng nhất","✓ OK"))))</f>
        <v/>
      </c>
      <c r="S142" s="43" t="str">
        <f>IF(OR(B142="",E142=""),"",IF(COUNTIFS($B$5:$B142,B142,$E$5:$E142,E142)=1,MAX($S$4:$S141)+1,""))</f>
        <v/>
      </c>
    </row>
    <row r="143">
      <c r="A143" s="44" t="str">
        <f>IF(B143="","","R"&amp;TEXT(ROW()-4,"000"))</f>
        <v/>
      </c>
      <c r="B143" s="37" t="n"/>
      <c r="C143" s="45" t="str">
        <f>IF(B143="","",IFERROR(INDEX(CARDS!$B$5:$B$34,MATCH(B143,CARDS!$A$5:$A$34,0)),"⚠ Card ID?"))</f>
        <v/>
      </c>
      <c r="D143" s="45" t="str">
        <f>IF(B143="","",IFERROR(INDEX(CARDS!$C$5:$C$34,MATCH(B143,CARDS!$A$5:$A$34,0)),"⚠ Card ID?"))</f>
        <v/>
      </c>
      <c r="E143" s="37" t="n"/>
      <c r="F143" s="37" t="n"/>
      <c r="G143" s="41" t="n"/>
      <c r="H143" s="45" t="str">
        <f>IF(G143="","",IFERROR(INDEX(MCC_MASTER!$B$5:$B$504,MATCH(G143,MCC_MASTER!$A$5:$A$504,0)),"⚠ MCC chưa có trong MCC_MASTER"))</f>
        <v/>
      </c>
      <c r="I143" s="46" t="n"/>
      <c r="J143" s="40" t="n"/>
      <c r="K143" s="40" t="n"/>
      <c r="L143" s="40" t="n"/>
      <c r="M143" s="40" t="n"/>
      <c r="N143" s="42" t="n"/>
      <c r="O143" s="42" t="n"/>
      <c r="P143" s="37" t="n"/>
      <c r="Q143" s="37" t="n"/>
      <c r="R143" s="45" t="str">
        <f>IF(B143="","",IF(ISNA(MATCH(B143,CARDS!$A$5:$A$34,0)),"⚠ Card ID không tồn tại",IF(E143="","⚠ Thiếu Nhóm cashback",IF(OR(SUMPRODUCT(($B$5:$B$304=B143)*($E$5:$E$304=E143)*($J$5:$J$304&lt;&gt;J143))&gt;0,SUMPRODUCT(($B$5:$B$304=B143)*($K$5:$K$304&lt;&gt;K143))&gt;0),"⚠ Cap không đồng nhất","✓ OK"))))</f>
        <v/>
      </c>
      <c r="S143" s="43" t="str">
        <f>IF(OR(B143="",E143=""),"",IF(COUNTIFS($B$5:$B143,B143,$E$5:$E143,E143)=1,MAX($S$4:$S142)+1,""))</f>
        <v/>
      </c>
    </row>
    <row r="144">
      <c r="A144" s="44" t="str">
        <f>IF(B144="","","R"&amp;TEXT(ROW()-4,"000"))</f>
        <v/>
      </c>
      <c r="B144" s="37" t="n"/>
      <c r="C144" s="45" t="str">
        <f>IF(B144="","",IFERROR(INDEX(CARDS!$B$5:$B$34,MATCH(B144,CARDS!$A$5:$A$34,0)),"⚠ Card ID?"))</f>
        <v/>
      </c>
      <c r="D144" s="45" t="str">
        <f>IF(B144="","",IFERROR(INDEX(CARDS!$C$5:$C$34,MATCH(B144,CARDS!$A$5:$A$34,0)),"⚠ Card ID?"))</f>
        <v/>
      </c>
      <c r="E144" s="37" t="n"/>
      <c r="F144" s="37" t="n"/>
      <c r="G144" s="41" t="n"/>
      <c r="H144" s="45" t="str">
        <f>IF(G144="","",IFERROR(INDEX(MCC_MASTER!$B$5:$B$504,MATCH(G144,MCC_MASTER!$A$5:$A$504,0)),"⚠ MCC chưa có trong MCC_MASTER"))</f>
        <v/>
      </c>
      <c r="I144" s="46" t="n"/>
      <c r="J144" s="40" t="n"/>
      <c r="K144" s="40" t="n"/>
      <c r="L144" s="40" t="n"/>
      <c r="M144" s="40" t="n"/>
      <c r="N144" s="42" t="n"/>
      <c r="O144" s="42" t="n"/>
      <c r="P144" s="37" t="n"/>
      <c r="Q144" s="37" t="n"/>
      <c r="R144" s="45" t="str">
        <f>IF(B144="","",IF(ISNA(MATCH(B144,CARDS!$A$5:$A$34,0)),"⚠ Card ID không tồn tại",IF(E144="","⚠ Thiếu Nhóm cashback",IF(OR(SUMPRODUCT(($B$5:$B$304=B144)*($E$5:$E$304=E144)*($J$5:$J$304&lt;&gt;J144))&gt;0,SUMPRODUCT(($B$5:$B$304=B144)*($K$5:$K$304&lt;&gt;K144))&gt;0),"⚠ Cap không đồng nhất","✓ OK"))))</f>
        <v/>
      </c>
      <c r="S144" s="43" t="str">
        <f>IF(OR(B144="",E144=""),"",IF(COUNTIFS($B$5:$B144,B144,$E$5:$E144,E144)=1,MAX($S$4:$S143)+1,""))</f>
        <v/>
      </c>
    </row>
    <row r="145">
      <c r="A145" s="44" t="str">
        <f>IF(B145="","","R"&amp;TEXT(ROW()-4,"000"))</f>
        <v/>
      </c>
      <c r="B145" s="37" t="n"/>
      <c r="C145" s="45" t="str">
        <f>IF(B145="","",IFERROR(INDEX(CARDS!$B$5:$B$34,MATCH(B145,CARDS!$A$5:$A$34,0)),"⚠ Card ID?"))</f>
        <v/>
      </c>
      <c r="D145" s="45" t="str">
        <f>IF(B145="","",IFERROR(INDEX(CARDS!$C$5:$C$34,MATCH(B145,CARDS!$A$5:$A$34,0)),"⚠ Card ID?"))</f>
        <v/>
      </c>
      <c r="E145" s="37" t="n"/>
      <c r="F145" s="37" t="n"/>
      <c r="G145" s="41" t="n"/>
      <c r="H145" s="45" t="str">
        <f>IF(G145="","",IFERROR(INDEX(MCC_MASTER!$B$5:$B$504,MATCH(G145,MCC_MASTER!$A$5:$A$504,0)),"⚠ MCC chưa có trong MCC_MASTER"))</f>
        <v/>
      </c>
      <c r="I145" s="46" t="n"/>
      <c r="J145" s="40" t="n"/>
      <c r="K145" s="40" t="n"/>
      <c r="L145" s="40" t="n"/>
      <c r="M145" s="40" t="n"/>
      <c r="N145" s="42" t="n"/>
      <c r="O145" s="42" t="n"/>
      <c r="P145" s="37" t="n"/>
      <c r="Q145" s="37" t="n"/>
      <c r="R145" s="45" t="str">
        <f>IF(B145="","",IF(ISNA(MATCH(B145,CARDS!$A$5:$A$34,0)),"⚠ Card ID không tồn tại",IF(E145="","⚠ Thiếu Nhóm cashback",IF(OR(SUMPRODUCT(($B$5:$B$304=B145)*($E$5:$E$304=E145)*($J$5:$J$304&lt;&gt;J145))&gt;0,SUMPRODUCT(($B$5:$B$304=B145)*($K$5:$K$304&lt;&gt;K145))&gt;0),"⚠ Cap không đồng nhất","✓ OK"))))</f>
        <v/>
      </c>
      <c r="S145" s="43" t="str">
        <f>IF(OR(B145="",E145=""),"",IF(COUNTIFS($B$5:$B145,B145,$E$5:$E145,E145)=1,MAX($S$4:$S144)+1,""))</f>
        <v/>
      </c>
    </row>
    <row r="146">
      <c r="A146" s="44" t="str">
        <f>IF(B146="","","R"&amp;TEXT(ROW()-4,"000"))</f>
        <v/>
      </c>
      <c r="B146" s="37" t="n"/>
      <c r="C146" s="45" t="str">
        <f>IF(B146="","",IFERROR(INDEX(CARDS!$B$5:$B$34,MATCH(B146,CARDS!$A$5:$A$34,0)),"⚠ Card ID?"))</f>
        <v/>
      </c>
      <c r="D146" s="45" t="str">
        <f>IF(B146="","",IFERROR(INDEX(CARDS!$C$5:$C$34,MATCH(B146,CARDS!$A$5:$A$34,0)),"⚠ Card ID?"))</f>
        <v/>
      </c>
      <c r="E146" s="37" t="n"/>
      <c r="F146" s="37" t="n"/>
      <c r="G146" s="41" t="n"/>
      <c r="H146" s="45" t="str">
        <f>IF(G146="","",IFERROR(INDEX(MCC_MASTER!$B$5:$B$504,MATCH(G146,MCC_MASTER!$A$5:$A$504,0)),"⚠ MCC chưa có trong MCC_MASTER"))</f>
        <v/>
      </c>
      <c r="I146" s="46" t="n"/>
      <c r="J146" s="40" t="n"/>
      <c r="K146" s="40" t="n"/>
      <c r="L146" s="40" t="n"/>
      <c r="M146" s="40" t="n"/>
      <c r="N146" s="42" t="n"/>
      <c r="O146" s="42" t="n"/>
      <c r="P146" s="37" t="n"/>
      <c r="Q146" s="37" t="n"/>
      <c r="R146" s="45" t="str">
        <f>IF(B146="","",IF(ISNA(MATCH(B146,CARDS!$A$5:$A$34,0)),"⚠ Card ID không tồn tại",IF(E146="","⚠ Thiếu Nhóm cashback",IF(OR(SUMPRODUCT(($B$5:$B$304=B146)*($E$5:$E$304=E146)*($J$5:$J$304&lt;&gt;J146))&gt;0,SUMPRODUCT(($B$5:$B$304=B146)*($K$5:$K$304&lt;&gt;K146))&gt;0),"⚠ Cap không đồng nhất","✓ OK"))))</f>
        <v/>
      </c>
      <c r="S146" s="43" t="str">
        <f>IF(OR(B146="",E146=""),"",IF(COUNTIFS($B$5:$B146,B146,$E$5:$E146,E146)=1,MAX($S$4:$S145)+1,""))</f>
        <v/>
      </c>
    </row>
    <row r="147">
      <c r="A147" s="44" t="str">
        <f>IF(B147="","","R"&amp;TEXT(ROW()-4,"000"))</f>
        <v/>
      </c>
      <c r="B147" s="37" t="n"/>
      <c r="C147" s="45" t="str">
        <f>IF(B147="","",IFERROR(INDEX(CARDS!$B$5:$B$34,MATCH(B147,CARDS!$A$5:$A$34,0)),"⚠ Card ID?"))</f>
        <v/>
      </c>
      <c r="D147" s="45" t="str">
        <f>IF(B147="","",IFERROR(INDEX(CARDS!$C$5:$C$34,MATCH(B147,CARDS!$A$5:$A$34,0)),"⚠ Card ID?"))</f>
        <v/>
      </c>
      <c r="E147" s="37" t="n"/>
      <c r="F147" s="37" t="n"/>
      <c r="G147" s="41" t="n"/>
      <c r="H147" s="45" t="str">
        <f>IF(G147="","",IFERROR(INDEX(MCC_MASTER!$B$5:$B$504,MATCH(G147,MCC_MASTER!$A$5:$A$504,0)),"⚠ MCC chưa có trong MCC_MASTER"))</f>
        <v/>
      </c>
      <c r="I147" s="46" t="n"/>
      <c r="J147" s="40" t="n"/>
      <c r="K147" s="40" t="n"/>
      <c r="L147" s="40" t="n"/>
      <c r="M147" s="40" t="n"/>
      <c r="N147" s="42" t="n"/>
      <c r="O147" s="42" t="n"/>
      <c r="P147" s="37" t="n"/>
      <c r="Q147" s="37" t="n"/>
      <c r="R147" s="45" t="str">
        <f>IF(B147="","",IF(ISNA(MATCH(B147,CARDS!$A$5:$A$34,0)),"⚠ Card ID không tồn tại",IF(E147="","⚠ Thiếu Nhóm cashback",IF(OR(SUMPRODUCT(($B$5:$B$304=B147)*($E$5:$E$304=E147)*($J$5:$J$304&lt;&gt;J147))&gt;0,SUMPRODUCT(($B$5:$B$304=B147)*($K$5:$K$304&lt;&gt;K147))&gt;0),"⚠ Cap không đồng nhất","✓ OK"))))</f>
        <v/>
      </c>
      <c r="S147" s="43" t="str">
        <f>IF(OR(B147="",E147=""),"",IF(COUNTIFS($B$5:$B147,B147,$E$5:$E147,E147)=1,MAX($S$4:$S146)+1,""))</f>
        <v/>
      </c>
    </row>
    <row r="148">
      <c r="A148" s="44" t="str">
        <f>IF(B148="","","R"&amp;TEXT(ROW()-4,"000"))</f>
        <v/>
      </c>
      <c r="B148" s="37" t="n"/>
      <c r="C148" s="45" t="str">
        <f>IF(B148="","",IFERROR(INDEX(CARDS!$B$5:$B$34,MATCH(B148,CARDS!$A$5:$A$34,0)),"⚠ Card ID?"))</f>
        <v/>
      </c>
      <c r="D148" s="45" t="str">
        <f>IF(B148="","",IFERROR(INDEX(CARDS!$C$5:$C$34,MATCH(B148,CARDS!$A$5:$A$34,0)),"⚠ Card ID?"))</f>
        <v/>
      </c>
      <c r="E148" s="37" t="n"/>
      <c r="F148" s="37" t="n"/>
      <c r="G148" s="41" t="n"/>
      <c r="H148" s="45" t="str">
        <f>IF(G148="","",IFERROR(INDEX(MCC_MASTER!$B$5:$B$504,MATCH(G148,MCC_MASTER!$A$5:$A$504,0)),"⚠ MCC chưa có trong MCC_MASTER"))</f>
        <v/>
      </c>
      <c r="I148" s="46" t="n"/>
      <c r="J148" s="40" t="n"/>
      <c r="K148" s="40" t="n"/>
      <c r="L148" s="40" t="n"/>
      <c r="M148" s="40" t="n"/>
      <c r="N148" s="42" t="n"/>
      <c r="O148" s="42" t="n"/>
      <c r="P148" s="37" t="n"/>
      <c r="Q148" s="37" t="n"/>
      <c r="R148" s="45" t="str">
        <f>IF(B148="","",IF(ISNA(MATCH(B148,CARDS!$A$5:$A$34,0)),"⚠ Card ID không tồn tại",IF(E148="","⚠ Thiếu Nhóm cashback",IF(OR(SUMPRODUCT(($B$5:$B$304=B148)*($E$5:$E$304=E148)*($J$5:$J$304&lt;&gt;J148))&gt;0,SUMPRODUCT(($B$5:$B$304=B148)*($K$5:$K$304&lt;&gt;K148))&gt;0),"⚠ Cap không đồng nhất","✓ OK"))))</f>
        <v/>
      </c>
      <c r="S148" s="43" t="str">
        <f>IF(OR(B148="",E148=""),"",IF(COUNTIFS($B$5:$B148,B148,$E$5:$E148,E148)=1,MAX($S$4:$S147)+1,""))</f>
        <v/>
      </c>
    </row>
    <row r="149">
      <c r="A149" s="44" t="str">
        <f>IF(B149="","","R"&amp;TEXT(ROW()-4,"000"))</f>
        <v/>
      </c>
      <c r="B149" s="37" t="n"/>
      <c r="C149" s="45" t="str">
        <f>IF(B149="","",IFERROR(INDEX(CARDS!$B$5:$B$34,MATCH(B149,CARDS!$A$5:$A$34,0)),"⚠ Card ID?"))</f>
        <v/>
      </c>
      <c r="D149" s="45" t="str">
        <f>IF(B149="","",IFERROR(INDEX(CARDS!$C$5:$C$34,MATCH(B149,CARDS!$A$5:$A$34,0)),"⚠ Card ID?"))</f>
        <v/>
      </c>
      <c r="E149" s="37" t="n"/>
      <c r="F149" s="37" t="n"/>
      <c r="G149" s="41" t="n"/>
      <c r="H149" s="45" t="str">
        <f>IF(G149="","",IFERROR(INDEX(MCC_MASTER!$B$5:$B$504,MATCH(G149,MCC_MASTER!$A$5:$A$504,0)),"⚠ MCC chưa có trong MCC_MASTER"))</f>
        <v/>
      </c>
      <c r="I149" s="46" t="n"/>
      <c r="J149" s="40" t="n"/>
      <c r="K149" s="40" t="n"/>
      <c r="L149" s="40" t="n"/>
      <c r="M149" s="40" t="n"/>
      <c r="N149" s="42" t="n"/>
      <c r="O149" s="42" t="n"/>
      <c r="P149" s="37" t="n"/>
      <c r="Q149" s="37" t="n"/>
      <c r="R149" s="45" t="str">
        <f>IF(B149="","",IF(ISNA(MATCH(B149,CARDS!$A$5:$A$34,0)),"⚠ Card ID không tồn tại",IF(E149="","⚠ Thiếu Nhóm cashback",IF(OR(SUMPRODUCT(($B$5:$B$304=B149)*($E$5:$E$304=E149)*($J$5:$J$304&lt;&gt;J149))&gt;0,SUMPRODUCT(($B$5:$B$304=B149)*($K$5:$K$304&lt;&gt;K149))&gt;0),"⚠ Cap không đồng nhất","✓ OK"))))</f>
        <v/>
      </c>
      <c r="S149" s="43" t="str">
        <f>IF(OR(B149="",E149=""),"",IF(COUNTIFS($B$5:$B149,B149,$E$5:$E149,E149)=1,MAX($S$4:$S148)+1,""))</f>
        <v/>
      </c>
    </row>
    <row r="150">
      <c r="A150" s="44" t="str">
        <f>IF(B150="","","R"&amp;TEXT(ROW()-4,"000"))</f>
        <v/>
      </c>
      <c r="B150" s="37" t="n"/>
      <c r="C150" s="45" t="str">
        <f>IF(B150="","",IFERROR(INDEX(CARDS!$B$5:$B$34,MATCH(B150,CARDS!$A$5:$A$34,0)),"⚠ Card ID?"))</f>
        <v/>
      </c>
      <c r="D150" s="45" t="str">
        <f>IF(B150="","",IFERROR(INDEX(CARDS!$C$5:$C$34,MATCH(B150,CARDS!$A$5:$A$34,0)),"⚠ Card ID?"))</f>
        <v/>
      </c>
      <c r="E150" s="37" t="n"/>
      <c r="F150" s="37" t="n"/>
      <c r="G150" s="41" t="n"/>
      <c r="H150" s="45" t="str">
        <f>IF(G150="","",IFERROR(INDEX(MCC_MASTER!$B$5:$B$504,MATCH(G150,MCC_MASTER!$A$5:$A$504,0)),"⚠ MCC chưa có trong MCC_MASTER"))</f>
        <v/>
      </c>
      <c r="I150" s="46" t="n"/>
      <c r="J150" s="40" t="n"/>
      <c r="K150" s="40" t="n"/>
      <c r="L150" s="40" t="n"/>
      <c r="M150" s="40" t="n"/>
      <c r="N150" s="42" t="n"/>
      <c r="O150" s="42" t="n"/>
      <c r="P150" s="37" t="n"/>
      <c r="Q150" s="37" t="n"/>
      <c r="R150" s="45" t="str">
        <f>IF(B150="","",IF(ISNA(MATCH(B150,CARDS!$A$5:$A$34,0)),"⚠ Card ID không tồn tại",IF(E150="","⚠ Thiếu Nhóm cashback",IF(OR(SUMPRODUCT(($B$5:$B$304=B150)*($E$5:$E$304=E150)*($J$5:$J$304&lt;&gt;J150))&gt;0,SUMPRODUCT(($B$5:$B$304=B150)*($K$5:$K$304&lt;&gt;K150))&gt;0),"⚠ Cap không đồng nhất","✓ OK"))))</f>
        <v/>
      </c>
      <c r="S150" s="43" t="str">
        <f>IF(OR(B150="",E150=""),"",IF(COUNTIFS($B$5:$B150,B150,$E$5:$E150,E150)=1,MAX($S$4:$S149)+1,""))</f>
        <v/>
      </c>
    </row>
    <row r="151">
      <c r="A151" s="44" t="str">
        <f>IF(B151="","","R"&amp;TEXT(ROW()-4,"000"))</f>
        <v/>
      </c>
      <c r="B151" s="37" t="n"/>
      <c r="C151" s="45" t="str">
        <f>IF(B151="","",IFERROR(INDEX(CARDS!$B$5:$B$34,MATCH(B151,CARDS!$A$5:$A$34,0)),"⚠ Card ID?"))</f>
        <v/>
      </c>
      <c r="D151" s="45" t="str">
        <f>IF(B151="","",IFERROR(INDEX(CARDS!$C$5:$C$34,MATCH(B151,CARDS!$A$5:$A$34,0)),"⚠ Card ID?"))</f>
        <v/>
      </c>
      <c r="E151" s="37" t="n"/>
      <c r="F151" s="37" t="n"/>
      <c r="G151" s="41" t="n"/>
      <c r="H151" s="45" t="str">
        <f>IF(G151="","",IFERROR(INDEX(MCC_MASTER!$B$5:$B$504,MATCH(G151,MCC_MASTER!$A$5:$A$504,0)),"⚠ MCC chưa có trong MCC_MASTER"))</f>
        <v/>
      </c>
      <c r="I151" s="46" t="n"/>
      <c r="J151" s="40" t="n"/>
      <c r="K151" s="40" t="n"/>
      <c r="L151" s="40" t="n"/>
      <c r="M151" s="40" t="n"/>
      <c r="N151" s="42" t="n"/>
      <c r="O151" s="42" t="n"/>
      <c r="P151" s="37" t="n"/>
      <c r="Q151" s="37" t="n"/>
      <c r="R151" s="45" t="str">
        <f>IF(B151="","",IF(ISNA(MATCH(B151,CARDS!$A$5:$A$34,0)),"⚠ Card ID không tồn tại",IF(E151="","⚠ Thiếu Nhóm cashback",IF(OR(SUMPRODUCT(($B$5:$B$304=B151)*($E$5:$E$304=E151)*($J$5:$J$304&lt;&gt;J151))&gt;0,SUMPRODUCT(($B$5:$B$304=B151)*($K$5:$K$304&lt;&gt;K151))&gt;0),"⚠ Cap không đồng nhất","✓ OK"))))</f>
        <v/>
      </c>
      <c r="S151" s="43" t="str">
        <f>IF(OR(B151="",E151=""),"",IF(COUNTIFS($B$5:$B151,B151,$E$5:$E151,E151)=1,MAX($S$4:$S150)+1,""))</f>
        <v/>
      </c>
    </row>
    <row r="152">
      <c r="A152" s="44" t="str">
        <f>IF(B152="","","R"&amp;TEXT(ROW()-4,"000"))</f>
        <v/>
      </c>
      <c r="B152" s="37" t="n"/>
      <c r="C152" s="45" t="str">
        <f>IF(B152="","",IFERROR(INDEX(CARDS!$B$5:$B$34,MATCH(B152,CARDS!$A$5:$A$34,0)),"⚠ Card ID?"))</f>
        <v/>
      </c>
      <c r="D152" s="45" t="str">
        <f>IF(B152="","",IFERROR(INDEX(CARDS!$C$5:$C$34,MATCH(B152,CARDS!$A$5:$A$34,0)),"⚠ Card ID?"))</f>
        <v/>
      </c>
      <c r="E152" s="37" t="n"/>
      <c r="F152" s="37" t="n"/>
      <c r="G152" s="41" t="n"/>
      <c r="H152" s="45" t="str">
        <f>IF(G152="","",IFERROR(INDEX(MCC_MASTER!$B$5:$B$504,MATCH(G152,MCC_MASTER!$A$5:$A$504,0)),"⚠ MCC chưa có trong MCC_MASTER"))</f>
        <v/>
      </c>
      <c r="I152" s="46" t="n"/>
      <c r="J152" s="40" t="n"/>
      <c r="K152" s="40" t="n"/>
      <c r="L152" s="40" t="n"/>
      <c r="M152" s="40" t="n"/>
      <c r="N152" s="42" t="n"/>
      <c r="O152" s="42" t="n"/>
      <c r="P152" s="37" t="n"/>
      <c r="Q152" s="37" t="n"/>
      <c r="R152" s="45" t="str">
        <f>IF(B152="","",IF(ISNA(MATCH(B152,CARDS!$A$5:$A$34,0)),"⚠ Card ID không tồn tại",IF(E152="","⚠ Thiếu Nhóm cashback",IF(OR(SUMPRODUCT(($B$5:$B$304=B152)*($E$5:$E$304=E152)*($J$5:$J$304&lt;&gt;J152))&gt;0,SUMPRODUCT(($B$5:$B$304=B152)*($K$5:$K$304&lt;&gt;K152))&gt;0),"⚠ Cap không đồng nhất","✓ OK"))))</f>
        <v/>
      </c>
      <c r="S152" s="43" t="str">
        <f>IF(OR(B152="",E152=""),"",IF(COUNTIFS($B$5:$B152,B152,$E$5:$E152,E152)=1,MAX($S$4:$S151)+1,""))</f>
        <v/>
      </c>
    </row>
    <row r="153">
      <c r="A153" s="44" t="str">
        <f>IF(B153="","","R"&amp;TEXT(ROW()-4,"000"))</f>
        <v/>
      </c>
      <c r="B153" s="37" t="n"/>
      <c r="C153" s="45" t="str">
        <f>IF(B153="","",IFERROR(INDEX(CARDS!$B$5:$B$34,MATCH(B153,CARDS!$A$5:$A$34,0)),"⚠ Card ID?"))</f>
        <v/>
      </c>
      <c r="D153" s="45" t="str">
        <f>IF(B153="","",IFERROR(INDEX(CARDS!$C$5:$C$34,MATCH(B153,CARDS!$A$5:$A$34,0)),"⚠ Card ID?"))</f>
        <v/>
      </c>
      <c r="E153" s="37" t="n"/>
      <c r="F153" s="37" t="n"/>
      <c r="G153" s="41" t="n"/>
      <c r="H153" s="45" t="str">
        <f>IF(G153="","",IFERROR(INDEX(MCC_MASTER!$B$5:$B$504,MATCH(G153,MCC_MASTER!$A$5:$A$504,0)),"⚠ MCC chưa có trong MCC_MASTER"))</f>
        <v/>
      </c>
      <c r="I153" s="46" t="n"/>
      <c r="J153" s="40" t="n"/>
      <c r="K153" s="40" t="n"/>
      <c r="L153" s="40" t="n"/>
      <c r="M153" s="40" t="n"/>
      <c r="N153" s="42" t="n"/>
      <c r="O153" s="42" t="n"/>
      <c r="P153" s="37" t="n"/>
      <c r="Q153" s="37" t="n"/>
      <c r="R153" s="45" t="str">
        <f>IF(B153="","",IF(ISNA(MATCH(B153,CARDS!$A$5:$A$34,0)),"⚠ Card ID không tồn tại",IF(E153="","⚠ Thiếu Nhóm cashback",IF(OR(SUMPRODUCT(($B$5:$B$304=B153)*($E$5:$E$304=E153)*($J$5:$J$304&lt;&gt;J153))&gt;0,SUMPRODUCT(($B$5:$B$304=B153)*($K$5:$K$304&lt;&gt;K153))&gt;0),"⚠ Cap không đồng nhất","✓ OK"))))</f>
        <v/>
      </c>
      <c r="S153" s="43" t="str">
        <f>IF(OR(B153="",E153=""),"",IF(COUNTIFS($B$5:$B153,B153,$E$5:$E153,E153)=1,MAX($S$4:$S152)+1,""))</f>
        <v/>
      </c>
    </row>
    <row r="154">
      <c r="A154" s="44" t="str">
        <f>IF(B154="","","R"&amp;TEXT(ROW()-4,"000"))</f>
        <v/>
      </c>
      <c r="B154" s="37" t="n"/>
      <c r="C154" s="45" t="str">
        <f>IF(B154="","",IFERROR(INDEX(CARDS!$B$5:$B$34,MATCH(B154,CARDS!$A$5:$A$34,0)),"⚠ Card ID?"))</f>
        <v/>
      </c>
      <c r="D154" s="45" t="str">
        <f>IF(B154="","",IFERROR(INDEX(CARDS!$C$5:$C$34,MATCH(B154,CARDS!$A$5:$A$34,0)),"⚠ Card ID?"))</f>
        <v/>
      </c>
      <c r="E154" s="37" t="n"/>
      <c r="F154" s="37" t="n"/>
      <c r="G154" s="41" t="n"/>
      <c r="H154" s="45" t="str">
        <f>IF(G154="","",IFERROR(INDEX(MCC_MASTER!$B$5:$B$504,MATCH(G154,MCC_MASTER!$A$5:$A$504,0)),"⚠ MCC chưa có trong MCC_MASTER"))</f>
        <v/>
      </c>
      <c r="I154" s="46" t="n"/>
      <c r="J154" s="40" t="n"/>
      <c r="K154" s="40" t="n"/>
      <c r="L154" s="40" t="n"/>
      <c r="M154" s="40" t="n"/>
      <c r="N154" s="42" t="n"/>
      <c r="O154" s="42" t="n"/>
      <c r="P154" s="37" t="n"/>
      <c r="Q154" s="37" t="n"/>
      <c r="R154" s="45" t="str">
        <f>IF(B154="","",IF(ISNA(MATCH(B154,CARDS!$A$5:$A$34,0)),"⚠ Card ID không tồn tại",IF(E154="","⚠ Thiếu Nhóm cashback",IF(OR(SUMPRODUCT(($B$5:$B$304=B154)*($E$5:$E$304=E154)*($J$5:$J$304&lt;&gt;J154))&gt;0,SUMPRODUCT(($B$5:$B$304=B154)*($K$5:$K$304&lt;&gt;K154))&gt;0),"⚠ Cap không đồng nhất","✓ OK"))))</f>
        <v/>
      </c>
      <c r="S154" s="43" t="str">
        <f>IF(OR(B154="",E154=""),"",IF(COUNTIFS($B$5:$B154,B154,$E$5:$E154,E154)=1,MAX($S$4:$S153)+1,""))</f>
        <v/>
      </c>
    </row>
    <row r="155">
      <c r="A155" s="44" t="str">
        <f>IF(B155="","","R"&amp;TEXT(ROW()-4,"000"))</f>
        <v/>
      </c>
      <c r="B155" s="37" t="n"/>
      <c r="C155" s="45" t="str">
        <f>IF(B155="","",IFERROR(INDEX(CARDS!$B$5:$B$34,MATCH(B155,CARDS!$A$5:$A$34,0)),"⚠ Card ID?"))</f>
        <v/>
      </c>
      <c r="D155" s="45" t="str">
        <f>IF(B155="","",IFERROR(INDEX(CARDS!$C$5:$C$34,MATCH(B155,CARDS!$A$5:$A$34,0)),"⚠ Card ID?"))</f>
        <v/>
      </c>
      <c r="E155" s="37" t="n"/>
      <c r="F155" s="37" t="n"/>
      <c r="G155" s="41" t="n"/>
      <c r="H155" s="45" t="str">
        <f>IF(G155="","",IFERROR(INDEX(MCC_MASTER!$B$5:$B$504,MATCH(G155,MCC_MASTER!$A$5:$A$504,0)),"⚠ MCC chưa có trong MCC_MASTER"))</f>
        <v/>
      </c>
      <c r="I155" s="46" t="n"/>
      <c r="J155" s="40" t="n"/>
      <c r="K155" s="40" t="n"/>
      <c r="L155" s="40" t="n"/>
      <c r="M155" s="40" t="n"/>
      <c r="N155" s="42" t="n"/>
      <c r="O155" s="42" t="n"/>
      <c r="P155" s="37" t="n"/>
      <c r="Q155" s="37" t="n"/>
      <c r="R155" s="45" t="str">
        <f>IF(B155="","",IF(ISNA(MATCH(B155,CARDS!$A$5:$A$34,0)),"⚠ Card ID không tồn tại",IF(E155="","⚠ Thiếu Nhóm cashback",IF(OR(SUMPRODUCT(($B$5:$B$304=B155)*($E$5:$E$304=E155)*($J$5:$J$304&lt;&gt;J155))&gt;0,SUMPRODUCT(($B$5:$B$304=B155)*($K$5:$K$304&lt;&gt;K155))&gt;0),"⚠ Cap không đồng nhất","✓ OK"))))</f>
        <v/>
      </c>
      <c r="S155" s="43" t="str">
        <f>IF(OR(B155="",E155=""),"",IF(COUNTIFS($B$5:$B155,B155,$E$5:$E155,E155)=1,MAX($S$4:$S154)+1,""))</f>
        <v/>
      </c>
    </row>
    <row r="156">
      <c r="A156" s="44" t="str">
        <f>IF(B156="","","R"&amp;TEXT(ROW()-4,"000"))</f>
        <v/>
      </c>
      <c r="B156" s="37" t="n"/>
      <c r="C156" s="45" t="str">
        <f>IF(B156="","",IFERROR(INDEX(CARDS!$B$5:$B$34,MATCH(B156,CARDS!$A$5:$A$34,0)),"⚠ Card ID?"))</f>
        <v/>
      </c>
      <c r="D156" s="45" t="str">
        <f>IF(B156="","",IFERROR(INDEX(CARDS!$C$5:$C$34,MATCH(B156,CARDS!$A$5:$A$34,0)),"⚠ Card ID?"))</f>
        <v/>
      </c>
      <c r="E156" s="37" t="n"/>
      <c r="F156" s="37" t="n"/>
      <c r="G156" s="41" t="n"/>
      <c r="H156" s="45" t="str">
        <f>IF(G156="","",IFERROR(INDEX(MCC_MASTER!$B$5:$B$504,MATCH(G156,MCC_MASTER!$A$5:$A$504,0)),"⚠ MCC chưa có trong MCC_MASTER"))</f>
        <v/>
      </c>
      <c r="I156" s="46" t="n"/>
      <c r="J156" s="40" t="n"/>
      <c r="K156" s="40" t="n"/>
      <c r="L156" s="40" t="n"/>
      <c r="M156" s="40" t="n"/>
      <c r="N156" s="42" t="n"/>
      <c r="O156" s="42" t="n"/>
      <c r="P156" s="37" t="n"/>
      <c r="Q156" s="37" t="n"/>
      <c r="R156" s="45" t="str">
        <f>IF(B156="","",IF(ISNA(MATCH(B156,CARDS!$A$5:$A$34,0)),"⚠ Card ID không tồn tại",IF(E156="","⚠ Thiếu Nhóm cashback",IF(OR(SUMPRODUCT(($B$5:$B$304=B156)*($E$5:$E$304=E156)*($J$5:$J$304&lt;&gt;J156))&gt;0,SUMPRODUCT(($B$5:$B$304=B156)*($K$5:$K$304&lt;&gt;K156))&gt;0),"⚠ Cap không đồng nhất","✓ OK"))))</f>
        <v/>
      </c>
      <c r="S156" s="43" t="str">
        <f>IF(OR(B156="",E156=""),"",IF(COUNTIFS($B$5:$B156,B156,$E$5:$E156,E156)=1,MAX($S$4:$S155)+1,""))</f>
        <v/>
      </c>
    </row>
    <row r="157">
      <c r="A157" s="44" t="str">
        <f>IF(B157="","","R"&amp;TEXT(ROW()-4,"000"))</f>
        <v/>
      </c>
      <c r="B157" s="37" t="n"/>
      <c r="C157" s="45" t="str">
        <f>IF(B157="","",IFERROR(INDEX(CARDS!$B$5:$B$34,MATCH(B157,CARDS!$A$5:$A$34,0)),"⚠ Card ID?"))</f>
        <v/>
      </c>
      <c r="D157" s="45" t="str">
        <f>IF(B157="","",IFERROR(INDEX(CARDS!$C$5:$C$34,MATCH(B157,CARDS!$A$5:$A$34,0)),"⚠ Card ID?"))</f>
        <v/>
      </c>
      <c r="E157" s="37" t="n"/>
      <c r="F157" s="37" t="n"/>
      <c r="G157" s="41" t="n"/>
      <c r="H157" s="45" t="str">
        <f>IF(G157="","",IFERROR(INDEX(MCC_MASTER!$B$5:$B$504,MATCH(G157,MCC_MASTER!$A$5:$A$504,0)),"⚠ MCC chưa có trong MCC_MASTER"))</f>
        <v/>
      </c>
      <c r="I157" s="46" t="n"/>
      <c r="J157" s="40" t="n"/>
      <c r="K157" s="40" t="n"/>
      <c r="L157" s="40" t="n"/>
      <c r="M157" s="40" t="n"/>
      <c r="N157" s="42" t="n"/>
      <c r="O157" s="42" t="n"/>
      <c r="P157" s="37" t="n"/>
      <c r="Q157" s="37" t="n"/>
      <c r="R157" s="45" t="str">
        <f>IF(B157="","",IF(ISNA(MATCH(B157,CARDS!$A$5:$A$34,0)),"⚠ Card ID không tồn tại",IF(E157="","⚠ Thiếu Nhóm cashback",IF(OR(SUMPRODUCT(($B$5:$B$304=B157)*($E$5:$E$304=E157)*($J$5:$J$304&lt;&gt;J157))&gt;0,SUMPRODUCT(($B$5:$B$304=B157)*($K$5:$K$304&lt;&gt;K157))&gt;0),"⚠ Cap không đồng nhất","✓ OK"))))</f>
        <v/>
      </c>
      <c r="S157" s="43" t="str">
        <f>IF(OR(B157="",E157=""),"",IF(COUNTIFS($B$5:$B157,B157,$E$5:$E157,E157)=1,MAX($S$4:$S156)+1,""))</f>
        <v/>
      </c>
    </row>
    <row r="158">
      <c r="A158" s="44" t="str">
        <f>IF(B158="","","R"&amp;TEXT(ROW()-4,"000"))</f>
        <v/>
      </c>
      <c r="B158" s="37" t="n"/>
      <c r="C158" s="45" t="str">
        <f>IF(B158="","",IFERROR(INDEX(CARDS!$B$5:$B$34,MATCH(B158,CARDS!$A$5:$A$34,0)),"⚠ Card ID?"))</f>
        <v/>
      </c>
      <c r="D158" s="45" t="str">
        <f>IF(B158="","",IFERROR(INDEX(CARDS!$C$5:$C$34,MATCH(B158,CARDS!$A$5:$A$34,0)),"⚠ Card ID?"))</f>
        <v/>
      </c>
      <c r="E158" s="37" t="n"/>
      <c r="F158" s="37" t="n"/>
      <c r="G158" s="41" t="n"/>
      <c r="H158" s="45" t="str">
        <f>IF(G158="","",IFERROR(INDEX(MCC_MASTER!$B$5:$B$504,MATCH(G158,MCC_MASTER!$A$5:$A$504,0)),"⚠ MCC chưa có trong MCC_MASTER"))</f>
        <v/>
      </c>
      <c r="I158" s="46" t="n"/>
      <c r="J158" s="40" t="n"/>
      <c r="K158" s="40" t="n"/>
      <c r="L158" s="40" t="n"/>
      <c r="M158" s="40" t="n"/>
      <c r="N158" s="42" t="n"/>
      <c r="O158" s="42" t="n"/>
      <c r="P158" s="37" t="n"/>
      <c r="Q158" s="37" t="n"/>
      <c r="R158" s="45" t="str">
        <f>IF(B158="","",IF(ISNA(MATCH(B158,CARDS!$A$5:$A$34,0)),"⚠ Card ID không tồn tại",IF(E158="","⚠ Thiếu Nhóm cashback",IF(OR(SUMPRODUCT(($B$5:$B$304=B158)*($E$5:$E$304=E158)*($J$5:$J$304&lt;&gt;J158))&gt;0,SUMPRODUCT(($B$5:$B$304=B158)*($K$5:$K$304&lt;&gt;K158))&gt;0),"⚠ Cap không đồng nhất","✓ OK"))))</f>
        <v/>
      </c>
      <c r="S158" s="43" t="str">
        <f>IF(OR(B158="",E158=""),"",IF(COUNTIFS($B$5:$B158,B158,$E$5:$E158,E158)=1,MAX($S$4:$S157)+1,""))</f>
        <v/>
      </c>
    </row>
    <row r="159">
      <c r="A159" s="44" t="str">
        <f>IF(B159="","","R"&amp;TEXT(ROW()-4,"000"))</f>
        <v/>
      </c>
      <c r="B159" s="37" t="n"/>
      <c r="C159" s="45" t="str">
        <f>IF(B159="","",IFERROR(INDEX(CARDS!$B$5:$B$34,MATCH(B159,CARDS!$A$5:$A$34,0)),"⚠ Card ID?"))</f>
        <v/>
      </c>
      <c r="D159" s="45" t="str">
        <f>IF(B159="","",IFERROR(INDEX(CARDS!$C$5:$C$34,MATCH(B159,CARDS!$A$5:$A$34,0)),"⚠ Card ID?"))</f>
        <v/>
      </c>
      <c r="E159" s="37" t="n"/>
      <c r="F159" s="37" t="n"/>
      <c r="G159" s="41" t="n"/>
      <c r="H159" s="45" t="str">
        <f>IF(G159="","",IFERROR(INDEX(MCC_MASTER!$B$5:$B$504,MATCH(G159,MCC_MASTER!$A$5:$A$504,0)),"⚠ MCC chưa có trong MCC_MASTER"))</f>
        <v/>
      </c>
      <c r="I159" s="46" t="n"/>
      <c r="J159" s="40" t="n"/>
      <c r="K159" s="40" t="n"/>
      <c r="L159" s="40" t="n"/>
      <c r="M159" s="40" t="n"/>
      <c r="N159" s="42" t="n"/>
      <c r="O159" s="42" t="n"/>
      <c r="P159" s="37" t="n"/>
      <c r="Q159" s="37" t="n"/>
      <c r="R159" s="45" t="str">
        <f>IF(B159="","",IF(ISNA(MATCH(B159,CARDS!$A$5:$A$34,0)),"⚠ Card ID không tồn tại",IF(E159="","⚠ Thiếu Nhóm cashback",IF(OR(SUMPRODUCT(($B$5:$B$304=B159)*($E$5:$E$304=E159)*($J$5:$J$304&lt;&gt;J159))&gt;0,SUMPRODUCT(($B$5:$B$304=B159)*($K$5:$K$304&lt;&gt;K159))&gt;0),"⚠ Cap không đồng nhất","✓ OK"))))</f>
        <v/>
      </c>
      <c r="S159" s="43" t="str">
        <f>IF(OR(B159="",E159=""),"",IF(COUNTIFS($B$5:$B159,B159,$E$5:$E159,E159)=1,MAX($S$4:$S158)+1,""))</f>
        <v/>
      </c>
    </row>
    <row r="160">
      <c r="A160" s="44" t="str">
        <f>IF(B160="","","R"&amp;TEXT(ROW()-4,"000"))</f>
        <v/>
      </c>
      <c r="B160" s="37" t="n"/>
      <c r="C160" s="45" t="str">
        <f>IF(B160="","",IFERROR(INDEX(CARDS!$B$5:$B$34,MATCH(B160,CARDS!$A$5:$A$34,0)),"⚠ Card ID?"))</f>
        <v/>
      </c>
      <c r="D160" s="45" t="str">
        <f>IF(B160="","",IFERROR(INDEX(CARDS!$C$5:$C$34,MATCH(B160,CARDS!$A$5:$A$34,0)),"⚠ Card ID?"))</f>
        <v/>
      </c>
      <c r="E160" s="37" t="n"/>
      <c r="F160" s="37" t="n"/>
      <c r="G160" s="41" t="n"/>
      <c r="H160" s="45" t="str">
        <f>IF(G160="","",IFERROR(INDEX(MCC_MASTER!$B$5:$B$504,MATCH(G160,MCC_MASTER!$A$5:$A$504,0)),"⚠ MCC chưa có trong MCC_MASTER"))</f>
        <v/>
      </c>
      <c r="I160" s="46" t="n"/>
      <c r="J160" s="40" t="n"/>
      <c r="K160" s="40" t="n"/>
      <c r="L160" s="40" t="n"/>
      <c r="M160" s="40" t="n"/>
      <c r="N160" s="42" t="n"/>
      <c r="O160" s="42" t="n"/>
      <c r="P160" s="37" t="n"/>
      <c r="Q160" s="37" t="n"/>
      <c r="R160" s="45" t="str">
        <f>IF(B160="","",IF(ISNA(MATCH(B160,CARDS!$A$5:$A$34,0)),"⚠ Card ID không tồn tại",IF(E160="","⚠ Thiếu Nhóm cashback",IF(OR(SUMPRODUCT(($B$5:$B$304=B160)*($E$5:$E$304=E160)*($J$5:$J$304&lt;&gt;J160))&gt;0,SUMPRODUCT(($B$5:$B$304=B160)*($K$5:$K$304&lt;&gt;K160))&gt;0),"⚠ Cap không đồng nhất","✓ OK"))))</f>
        <v/>
      </c>
      <c r="S160" s="43" t="str">
        <f>IF(OR(B160="",E160=""),"",IF(COUNTIFS($B$5:$B160,B160,$E$5:$E160,E160)=1,MAX($S$4:$S159)+1,""))</f>
        <v/>
      </c>
    </row>
    <row r="161">
      <c r="A161" s="44" t="str">
        <f>IF(B161="","","R"&amp;TEXT(ROW()-4,"000"))</f>
        <v/>
      </c>
      <c r="B161" s="37" t="n"/>
      <c r="C161" s="45" t="str">
        <f>IF(B161="","",IFERROR(INDEX(CARDS!$B$5:$B$34,MATCH(B161,CARDS!$A$5:$A$34,0)),"⚠ Card ID?"))</f>
        <v/>
      </c>
      <c r="D161" s="45" t="str">
        <f>IF(B161="","",IFERROR(INDEX(CARDS!$C$5:$C$34,MATCH(B161,CARDS!$A$5:$A$34,0)),"⚠ Card ID?"))</f>
        <v/>
      </c>
      <c r="E161" s="37" t="n"/>
      <c r="F161" s="37" t="n"/>
      <c r="G161" s="41" t="n"/>
      <c r="H161" s="45" t="str">
        <f>IF(G161="","",IFERROR(INDEX(MCC_MASTER!$B$5:$B$504,MATCH(G161,MCC_MASTER!$A$5:$A$504,0)),"⚠ MCC chưa có trong MCC_MASTER"))</f>
        <v/>
      </c>
      <c r="I161" s="46" t="n"/>
      <c r="J161" s="40" t="n"/>
      <c r="K161" s="40" t="n"/>
      <c r="L161" s="40" t="n"/>
      <c r="M161" s="40" t="n"/>
      <c r="N161" s="42" t="n"/>
      <c r="O161" s="42" t="n"/>
      <c r="P161" s="37" t="n"/>
      <c r="Q161" s="37" t="n"/>
      <c r="R161" s="45" t="str">
        <f>IF(B161="","",IF(ISNA(MATCH(B161,CARDS!$A$5:$A$34,0)),"⚠ Card ID không tồn tại",IF(E161="","⚠ Thiếu Nhóm cashback",IF(OR(SUMPRODUCT(($B$5:$B$304=B161)*($E$5:$E$304=E161)*($J$5:$J$304&lt;&gt;J161))&gt;0,SUMPRODUCT(($B$5:$B$304=B161)*($K$5:$K$304&lt;&gt;K161))&gt;0),"⚠ Cap không đồng nhất","✓ OK"))))</f>
        <v/>
      </c>
      <c r="S161" s="43" t="str">
        <f>IF(OR(B161="",E161=""),"",IF(COUNTIFS($B$5:$B161,B161,$E$5:$E161,E161)=1,MAX($S$4:$S160)+1,""))</f>
        <v/>
      </c>
    </row>
    <row r="162">
      <c r="A162" s="44" t="str">
        <f>IF(B162="","","R"&amp;TEXT(ROW()-4,"000"))</f>
        <v/>
      </c>
      <c r="B162" s="37" t="n"/>
      <c r="C162" s="45" t="str">
        <f>IF(B162="","",IFERROR(INDEX(CARDS!$B$5:$B$34,MATCH(B162,CARDS!$A$5:$A$34,0)),"⚠ Card ID?"))</f>
        <v/>
      </c>
      <c r="D162" s="45" t="str">
        <f>IF(B162="","",IFERROR(INDEX(CARDS!$C$5:$C$34,MATCH(B162,CARDS!$A$5:$A$34,0)),"⚠ Card ID?"))</f>
        <v/>
      </c>
      <c r="E162" s="37" t="n"/>
      <c r="F162" s="37" t="n"/>
      <c r="G162" s="41" t="n"/>
      <c r="H162" s="45" t="str">
        <f>IF(G162="","",IFERROR(INDEX(MCC_MASTER!$B$5:$B$504,MATCH(G162,MCC_MASTER!$A$5:$A$504,0)),"⚠ MCC chưa có trong MCC_MASTER"))</f>
        <v/>
      </c>
      <c r="I162" s="46" t="n"/>
      <c r="J162" s="40" t="n"/>
      <c r="K162" s="40" t="n"/>
      <c r="L162" s="40" t="n"/>
      <c r="M162" s="40" t="n"/>
      <c r="N162" s="42" t="n"/>
      <c r="O162" s="42" t="n"/>
      <c r="P162" s="37" t="n"/>
      <c r="Q162" s="37" t="n"/>
      <c r="R162" s="45" t="str">
        <f>IF(B162="","",IF(ISNA(MATCH(B162,CARDS!$A$5:$A$34,0)),"⚠ Card ID không tồn tại",IF(E162="","⚠ Thiếu Nhóm cashback",IF(OR(SUMPRODUCT(($B$5:$B$304=B162)*($E$5:$E$304=E162)*($J$5:$J$304&lt;&gt;J162))&gt;0,SUMPRODUCT(($B$5:$B$304=B162)*($K$5:$K$304&lt;&gt;K162))&gt;0),"⚠ Cap không đồng nhất","✓ OK"))))</f>
        <v/>
      </c>
      <c r="S162" s="43" t="str">
        <f>IF(OR(B162="",E162=""),"",IF(COUNTIFS($B$5:$B162,B162,$E$5:$E162,E162)=1,MAX($S$4:$S161)+1,""))</f>
        <v/>
      </c>
    </row>
    <row r="163">
      <c r="A163" s="44" t="str">
        <f>IF(B163="","","R"&amp;TEXT(ROW()-4,"000"))</f>
        <v/>
      </c>
      <c r="B163" s="37" t="n"/>
      <c r="C163" s="45" t="str">
        <f>IF(B163="","",IFERROR(INDEX(CARDS!$B$5:$B$34,MATCH(B163,CARDS!$A$5:$A$34,0)),"⚠ Card ID?"))</f>
        <v/>
      </c>
      <c r="D163" s="45" t="str">
        <f>IF(B163="","",IFERROR(INDEX(CARDS!$C$5:$C$34,MATCH(B163,CARDS!$A$5:$A$34,0)),"⚠ Card ID?"))</f>
        <v/>
      </c>
      <c r="E163" s="37" t="n"/>
      <c r="F163" s="37" t="n"/>
      <c r="G163" s="41" t="n"/>
      <c r="H163" s="45" t="str">
        <f>IF(G163="","",IFERROR(INDEX(MCC_MASTER!$B$5:$B$504,MATCH(G163,MCC_MASTER!$A$5:$A$504,0)),"⚠ MCC chưa có trong MCC_MASTER"))</f>
        <v/>
      </c>
      <c r="I163" s="46" t="n"/>
      <c r="J163" s="40" t="n"/>
      <c r="K163" s="40" t="n"/>
      <c r="L163" s="40" t="n"/>
      <c r="M163" s="40" t="n"/>
      <c r="N163" s="42" t="n"/>
      <c r="O163" s="42" t="n"/>
      <c r="P163" s="37" t="n"/>
      <c r="Q163" s="37" t="n"/>
      <c r="R163" s="45" t="str">
        <f>IF(B163="","",IF(ISNA(MATCH(B163,CARDS!$A$5:$A$34,0)),"⚠ Card ID không tồn tại",IF(E163="","⚠ Thiếu Nhóm cashback",IF(OR(SUMPRODUCT(($B$5:$B$304=B163)*($E$5:$E$304=E163)*($J$5:$J$304&lt;&gt;J163))&gt;0,SUMPRODUCT(($B$5:$B$304=B163)*($K$5:$K$304&lt;&gt;K163))&gt;0),"⚠ Cap không đồng nhất","✓ OK"))))</f>
        <v/>
      </c>
      <c r="S163" s="43" t="str">
        <f>IF(OR(B163="",E163=""),"",IF(COUNTIFS($B$5:$B163,B163,$E$5:$E163,E163)=1,MAX($S$4:$S162)+1,""))</f>
        <v/>
      </c>
    </row>
    <row r="164">
      <c r="A164" s="44" t="str">
        <f>IF(B164="","","R"&amp;TEXT(ROW()-4,"000"))</f>
        <v/>
      </c>
      <c r="B164" s="37" t="n"/>
      <c r="C164" s="45" t="str">
        <f>IF(B164="","",IFERROR(INDEX(CARDS!$B$5:$B$34,MATCH(B164,CARDS!$A$5:$A$34,0)),"⚠ Card ID?"))</f>
        <v/>
      </c>
      <c r="D164" s="45" t="str">
        <f>IF(B164="","",IFERROR(INDEX(CARDS!$C$5:$C$34,MATCH(B164,CARDS!$A$5:$A$34,0)),"⚠ Card ID?"))</f>
        <v/>
      </c>
      <c r="E164" s="37" t="n"/>
      <c r="F164" s="37" t="n"/>
      <c r="G164" s="41" t="n"/>
      <c r="H164" s="45" t="str">
        <f>IF(G164="","",IFERROR(INDEX(MCC_MASTER!$B$5:$B$504,MATCH(G164,MCC_MASTER!$A$5:$A$504,0)),"⚠ MCC chưa có trong MCC_MASTER"))</f>
        <v/>
      </c>
      <c r="I164" s="46" t="n"/>
      <c r="J164" s="40" t="n"/>
      <c r="K164" s="40" t="n"/>
      <c r="L164" s="40" t="n"/>
      <c r="M164" s="40" t="n"/>
      <c r="N164" s="42" t="n"/>
      <c r="O164" s="42" t="n"/>
      <c r="P164" s="37" t="n"/>
      <c r="Q164" s="37" t="n"/>
      <c r="R164" s="45" t="str">
        <f>IF(B164="","",IF(ISNA(MATCH(B164,CARDS!$A$5:$A$34,0)),"⚠ Card ID không tồn tại",IF(E164="","⚠ Thiếu Nhóm cashback",IF(OR(SUMPRODUCT(($B$5:$B$304=B164)*($E$5:$E$304=E164)*($J$5:$J$304&lt;&gt;J164))&gt;0,SUMPRODUCT(($B$5:$B$304=B164)*($K$5:$K$304&lt;&gt;K164))&gt;0),"⚠ Cap không đồng nhất","✓ OK"))))</f>
        <v/>
      </c>
      <c r="S164" s="43" t="str">
        <f>IF(OR(B164="",E164=""),"",IF(COUNTIFS($B$5:$B164,B164,$E$5:$E164,E164)=1,MAX($S$4:$S163)+1,""))</f>
        <v/>
      </c>
    </row>
    <row r="165">
      <c r="A165" s="44" t="str">
        <f>IF(B165="","","R"&amp;TEXT(ROW()-4,"000"))</f>
        <v/>
      </c>
      <c r="B165" s="37" t="n"/>
      <c r="C165" s="45" t="str">
        <f>IF(B165="","",IFERROR(INDEX(CARDS!$B$5:$B$34,MATCH(B165,CARDS!$A$5:$A$34,0)),"⚠ Card ID?"))</f>
        <v/>
      </c>
      <c r="D165" s="45" t="str">
        <f>IF(B165="","",IFERROR(INDEX(CARDS!$C$5:$C$34,MATCH(B165,CARDS!$A$5:$A$34,0)),"⚠ Card ID?"))</f>
        <v/>
      </c>
      <c r="E165" s="37" t="n"/>
      <c r="F165" s="37" t="n"/>
      <c r="G165" s="41" t="n"/>
      <c r="H165" s="45" t="str">
        <f>IF(G165="","",IFERROR(INDEX(MCC_MASTER!$B$5:$B$504,MATCH(G165,MCC_MASTER!$A$5:$A$504,0)),"⚠ MCC chưa có trong MCC_MASTER"))</f>
        <v/>
      </c>
      <c r="I165" s="46" t="n"/>
      <c r="J165" s="40" t="n"/>
      <c r="K165" s="40" t="n"/>
      <c r="L165" s="40" t="n"/>
      <c r="M165" s="40" t="n"/>
      <c r="N165" s="42" t="n"/>
      <c r="O165" s="42" t="n"/>
      <c r="P165" s="37" t="n"/>
      <c r="Q165" s="37" t="n"/>
      <c r="R165" s="45" t="str">
        <f>IF(B165="","",IF(ISNA(MATCH(B165,CARDS!$A$5:$A$34,0)),"⚠ Card ID không tồn tại",IF(E165="","⚠ Thiếu Nhóm cashback",IF(OR(SUMPRODUCT(($B$5:$B$304=B165)*($E$5:$E$304=E165)*($J$5:$J$304&lt;&gt;J165))&gt;0,SUMPRODUCT(($B$5:$B$304=B165)*($K$5:$K$304&lt;&gt;K165))&gt;0),"⚠ Cap không đồng nhất","✓ OK"))))</f>
        <v/>
      </c>
      <c r="S165" s="43" t="str">
        <f>IF(OR(B165="",E165=""),"",IF(COUNTIFS($B$5:$B165,B165,$E$5:$E165,E165)=1,MAX($S$4:$S164)+1,""))</f>
        <v/>
      </c>
    </row>
    <row r="166">
      <c r="A166" s="44" t="str">
        <f>IF(B166="","","R"&amp;TEXT(ROW()-4,"000"))</f>
        <v/>
      </c>
      <c r="B166" s="37" t="n"/>
      <c r="C166" s="45" t="str">
        <f>IF(B166="","",IFERROR(INDEX(CARDS!$B$5:$B$34,MATCH(B166,CARDS!$A$5:$A$34,0)),"⚠ Card ID?"))</f>
        <v/>
      </c>
      <c r="D166" s="45" t="str">
        <f>IF(B166="","",IFERROR(INDEX(CARDS!$C$5:$C$34,MATCH(B166,CARDS!$A$5:$A$34,0)),"⚠ Card ID?"))</f>
        <v/>
      </c>
      <c r="E166" s="37" t="n"/>
      <c r="F166" s="37" t="n"/>
      <c r="G166" s="41" t="n"/>
      <c r="H166" s="45" t="str">
        <f>IF(G166="","",IFERROR(INDEX(MCC_MASTER!$B$5:$B$504,MATCH(G166,MCC_MASTER!$A$5:$A$504,0)),"⚠ MCC chưa có trong MCC_MASTER"))</f>
        <v/>
      </c>
      <c r="I166" s="46" t="n"/>
      <c r="J166" s="40" t="n"/>
      <c r="K166" s="40" t="n"/>
      <c r="L166" s="40" t="n"/>
      <c r="M166" s="40" t="n"/>
      <c r="N166" s="42" t="n"/>
      <c r="O166" s="42" t="n"/>
      <c r="P166" s="37" t="n"/>
      <c r="Q166" s="37" t="n"/>
      <c r="R166" s="45" t="str">
        <f>IF(B166="","",IF(ISNA(MATCH(B166,CARDS!$A$5:$A$34,0)),"⚠ Card ID không tồn tại",IF(E166="","⚠ Thiếu Nhóm cashback",IF(OR(SUMPRODUCT(($B$5:$B$304=B166)*($E$5:$E$304=E166)*($J$5:$J$304&lt;&gt;J166))&gt;0,SUMPRODUCT(($B$5:$B$304=B166)*($K$5:$K$304&lt;&gt;K166))&gt;0),"⚠ Cap không đồng nhất","✓ OK"))))</f>
        <v/>
      </c>
      <c r="S166" s="43" t="str">
        <f>IF(OR(B166="",E166=""),"",IF(COUNTIFS($B$5:$B166,B166,$E$5:$E166,E166)=1,MAX($S$4:$S165)+1,""))</f>
        <v/>
      </c>
    </row>
    <row r="167">
      <c r="A167" s="44" t="str">
        <f>IF(B167="","","R"&amp;TEXT(ROW()-4,"000"))</f>
        <v/>
      </c>
      <c r="B167" s="37" t="n"/>
      <c r="C167" s="45" t="str">
        <f>IF(B167="","",IFERROR(INDEX(CARDS!$B$5:$B$34,MATCH(B167,CARDS!$A$5:$A$34,0)),"⚠ Card ID?"))</f>
        <v/>
      </c>
      <c r="D167" s="45" t="str">
        <f>IF(B167="","",IFERROR(INDEX(CARDS!$C$5:$C$34,MATCH(B167,CARDS!$A$5:$A$34,0)),"⚠ Card ID?"))</f>
        <v/>
      </c>
      <c r="E167" s="37" t="n"/>
      <c r="F167" s="37" t="n"/>
      <c r="G167" s="41" t="n"/>
      <c r="H167" s="45" t="str">
        <f>IF(G167="","",IFERROR(INDEX(MCC_MASTER!$B$5:$B$504,MATCH(G167,MCC_MASTER!$A$5:$A$504,0)),"⚠ MCC chưa có trong MCC_MASTER"))</f>
        <v/>
      </c>
      <c r="I167" s="46" t="n"/>
      <c r="J167" s="40" t="n"/>
      <c r="K167" s="40" t="n"/>
      <c r="L167" s="40" t="n"/>
      <c r="M167" s="40" t="n"/>
      <c r="N167" s="42" t="n"/>
      <c r="O167" s="42" t="n"/>
      <c r="P167" s="37" t="n"/>
      <c r="Q167" s="37" t="n"/>
      <c r="R167" s="45" t="str">
        <f>IF(B167="","",IF(ISNA(MATCH(B167,CARDS!$A$5:$A$34,0)),"⚠ Card ID không tồn tại",IF(E167="","⚠ Thiếu Nhóm cashback",IF(OR(SUMPRODUCT(($B$5:$B$304=B167)*($E$5:$E$304=E167)*($J$5:$J$304&lt;&gt;J167))&gt;0,SUMPRODUCT(($B$5:$B$304=B167)*($K$5:$K$304&lt;&gt;K167))&gt;0),"⚠ Cap không đồng nhất","✓ OK"))))</f>
        <v/>
      </c>
      <c r="S167" s="43" t="str">
        <f>IF(OR(B167="",E167=""),"",IF(COUNTIFS($B$5:$B167,B167,$E$5:$E167,E167)=1,MAX($S$4:$S166)+1,""))</f>
        <v/>
      </c>
    </row>
    <row r="168">
      <c r="A168" s="44" t="str">
        <f>IF(B168="","","R"&amp;TEXT(ROW()-4,"000"))</f>
        <v/>
      </c>
      <c r="B168" s="37" t="n"/>
      <c r="C168" s="45" t="str">
        <f>IF(B168="","",IFERROR(INDEX(CARDS!$B$5:$B$34,MATCH(B168,CARDS!$A$5:$A$34,0)),"⚠ Card ID?"))</f>
        <v/>
      </c>
      <c r="D168" s="45" t="str">
        <f>IF(B168="","",IFERROR(INDEX(CARDS!$C$5:$C$34,MATCH(B168,CARDS!$A$5:$A$34,0)),"⚠ Card ID?"))</f>
        <v/>
      </c>
      <c r="E168" s="37" t="n"/>
      <c r="F168" s="37" t="n"/>
      <c r="G168" s="41" t="n"/>
      <c r="H168" s="45" t="str">
        <f>IF(G168="","",IFERROR(INDEX(MCC_MASTER!$B$5:$B$504,MATCH(G168,MCC_MASTER!$A$5:$A$504,0)),"⚠ MCC chưa có trong MCC_MASTER"))</f>
        <v/>
      </c>
      <c r="I168" s="46" t="n"/>
      <c r="J168" s="40" t="n"/>
      <c r="K168" s="40" t="n"/>
      <c r="L168" s="40" t="n"/>
      <c r="M168" s="40" t="n"/>
      <c r="N168" s="42" t="n"/>
      <c r="O168" s="42" t="n"/>
      <c r="P168" s="37" t="n"/>
      <c r="Q168" s="37" t="n"/>
      <c r="R168" s="45" t="str">
        <f>IF(B168="","",IF(ISNA(MATCH(B168,CARDS!$A$5:$A$34,0)),"⚠ Card ID không tồn tại",IF(E168="","⚠ Thiếu Nhóm cashback",IF(OR(SUMPRODUCT(($B$5:$B$304=B168)*($E$5:$E$304=E168)*($J$5:$J$304&lt;&gt;J168))&gt;0,SUMPRODUCT(($B$5:$B$304=B168)*($K$5:$K$304&lt;&gt;K168))&gt;0),"⚠ Cap không đồng nhất","✓ OK"))))</f>
        <v/>
      </c>
      <c r="S168" s="43" t="str">
        <f>IF(OR(B168="",E168=""),"",IF(COUNTIFS($B$5:$B168,B168,$E$5:$E168,E168)=1,MAX($S$4:$S167)+1,""))</f>
        <v/>
      </c>
    </row>
    <row r="169">
      <c r="A169" s="44" t="str">
        <f>IF(B169="","","R"&amp;TEXT(ROW()-4,"000"))</f>
        <v/>
      </c>
      <c r="B169" s="37" t="n"/>
      <c r="C169" s="45" t="str">
        <f>IF(B169="","",IFERROR(INDEX(CARDS!$B$5:$B$34,MATCH(B169,CARDS!$A$5:$A$34,0)),"⚠ Card ID?"))</f>
        <v/>
      </c>
      <c r="D169" s="45" t="str">
        <f>IF(B169="","",IFERROR(INDEX(CARDS!$C$5:$C$34,MATCH(B169,CARDS!$A$5:$A$34,0)),"⚠ Card ID?"))</f>
        <v/>
      </c>
      <c r="E169" s="37" t="n"/>
      <c r="F169" s="37" t="n"/>
      <c r="G169" s="41" t="n"/>
      <c r="H169" s="45" t="str">
        <f>IF(G169="","",IFERROR(INDEX(MCC_MASTER!$B$5:$B$504,MATCH(G169,MCC_MASTER!$A$5:$A$504,0)),"⚠ MCC chưa có trong MCC_MASTER"))</f>
        <v/>
      </c>
      <c r="I169" s="46" t="n"/>
      <c r="J169" s="40" t="n"/>
      <c r="K169" s="40" t="n"/>
      <c r="L169" s="40" t="n"/>
      <c r="M169" s="40" t="n"/>
      <c r="N169" s="42" t="n"/>
      <c r="O169" s="42" t="n"/>
      <c r="P169" s="37" t="n"/>
      <c r="Q169" s="37" t="n"/>
      <c r="R169" s="45" t="str">
        <f>IF(B169="","",IF(ISNA(MATCH(B169,CARDS!$A$5:$A$34,0)),"⚠ Card ID không tồn tại",IF(E169="","⚠ Thiếu Nhóm cashback",IF(OR(SUMPRODUCT(($B$5:$B$304=B169)*($E$5:$E$304=E169)*($J$5:$J$304&lt;&gt;J169))&gt;0,SUMPRODUCT(($B$5:$B$304=B169)*($K$5:$K$304&lt;&gt;K169))&gt;0),"⚠ Cap không đồng nhất","✓ OK"))))</f>
        <v/>
      </c>
      <c r="S169" s="43" t="str">
        <f>IF(OR(B169="",E169=""),"",IF(COUNTIFS($B$5:$B169,B169,$E$5:$E169,E169)=1,MAX($S$4:$S168)+1,""))</f>
        <v/>
      </c>
    </row>
    <row r="170">
      <c r="A170" s="44" t="str">
        <f>IF(B170="","","R"&amp;TEXT(ROW()-4,"000"))</f>
        <v/>
      </c>
      <c r="B170" s="37" t="n"/>
      <c r="C170" s="45" t="str">
        <f>IF(B170="","",IFERROR(INDEX(CARDS!$B$5:$B$34,MATCH(B170,CARDS!$A$5:$A$34,0)),"⚠ Card ID?"))</f>
        <v/>
      </c>
      <c r="D170" s="45" t="str">
        <f>IF(B170="","",IFERROR(INDEX(CARDS!$C$5:$C$34,MATCH(B170,CARDS!$A$5:$A$34,0)),"⚠ Card ID?"))</f>
        <v/>
      </c>
      <c r="E170" s="37" t="n"/>
      <c r="F170" s="37" t="n"/>
      <c r="G170" s="41" t="n"/>
      <c r="H170" s="45" t="str">
        <f>IF(G170="","",IFERROR(INDEX(MCC_MASTER!$B$5:$B$504,MATCH(G170,MCC_MASTER!$A$5:$A$504,0)),"⚠ MCC chưa có trong MCC_MASTER"))</f>
        <v/>
      </c>
      <c r="I170" s="46" t="n"/>
      <c r="J170" s="40" t="n"/>
      <c r="K170" s="40" t="n"/>
      <c r="L170" s="40" t="n"/>
      <c r="M170" s="40" t="n"/>
      <c r="N170" s="42" t="n"/>
      <c r="O170" s="42" t="n"/>
      <c r="P170" s="37" t="n"/>
      <c r="Q170" s="37" t="n"/>
      <c r="R170" s="45" t="str">
        <f>IF(B170="","",IF(ISNA(MATCH(B170,CARDS!$A$5:$A$34,0)),"⚠ Card ID không tồn tại",IF(E170="","⚠ Thiếu Nhóm cashback",IF(OR(SUMPRODUCT(($B$5:$B$304=B170)*($E$5:$E$304=E170)*($J$5:$J$304&lt;&gt;J170))&gt;0,SUMPRODUCT(($B$5:$B$304=B170)*($K$5:$K$304&lt;&gt;K170))&gt;0),"⚠ Cap không đồng nhất","✓ OK"))))</f>
        <v/>
      </c>
      <c r="S170" s="43" t="str">
        <f>IF(OR(B170="",E170=""),"",IF(COUNTIFS($B$5:$B170,B170,$E$5:$E170,E170)=1,MAX($S$4:$S169)+1,""))</f>
        <v/>
      </c>
    </row>
    <row r="171">
      <c r="A171" s="44" t="str">
        <f>IF(B171="","","R"&amp;TEXT(ROW()-4,"000"))</f>
        <v/>
      </c>
      <c r="B171" s="37" t="n"/>
      <c r="C171" s="45" t="str">
        <f>IF(B171="","",IFERROR(INDEX(CARDS!$B$5:$B$34,MATCH(B171,CARDS!$A$5:$A$34,0)),"⚠ Card ID?"))</f>
        <v/>
      </c>
      <c r="D171" s="45" t="str">
        <f>IF(B171="","",IFERROR(INDEX(CARDS!$C$5:$C$34,MATCH(B171,CARDS!$A$5:$A$34,0)),"⚠ Card ID?"))</f>
        <v/>
      </c>
      <c r="E171" s="37" t="n"/>
      <c r="F171" s="37" t="n"/>
      <c r="G171" s="41" t="n"/>
      <c r="H171" s="45" t="str">
        <f>IF(G171="","",IFERROR(INDEX(MCC_MASTER!$B$5:$B$504,MATCH(G171,MCC_MASTER!$A$5:$A$504,0)),"⚠ MCC chưa có trong MCC_MASTER"))</f>
        <v/>
      </c>
      <c r="I171" s="46" t="n"/>
      <c r="J171" s="40" t="n"/>
      <c r="K171" s="40" t="n"/>
      <c r="L171" s="40" t="n"/>
      <c r="M171" s="40" t="n"/>
      <c r="N171" s="42" t="n"/>
      <c r="O171" s="42" t="n"/>
      <c r="P171" s="37" t="n"/>
      <c r="Q171" s="37" t="n"/>
      <c r="R171" s="45" t="str">
        <f>IF(B171="","",IF(ISNA(MATCH(B171,CARDS!$A$5:$A$34,0)),"⚠ Card ID không tồn tại",IF(E171="","⚠ Thiếu Nhóm cashback",IF(OR(SUMPRODUCT(($B$5:$B$304=B171)*($E$5:$E$304=E171)*($J$5:$J$304&lt;&gt;J171))&gt;0,SUMPRODUCT(($B$5:$B$304=B171)*($K$5:$K$304&lt;&gt;K171))&gt;0),"⚠ Cap không đồng nhất","✓ OK"))))</f>
        <v/>
      </c>
      <c r="S171" s="43" t="str">
        <f>IF(OR(B171="",E171=""),"",IF(COUNTIFS($B$5:$B171,B171,$E$5:$E171,E171)=1,MAX($S$4:$S170)+1,""))</f>
        <v/>
      </c>
    </row>
    <row r="172">
      <c r="A172" s="44" t="str">
        <f>IF(B172="","","R"&amp;TEXT(ROW()-4,"000"))</f>
        <v/>
      </c>
      <c r="B172" s="37" t="n"/>
      <c r="C172" s="45" t="str">
        <f>IF(B172="","",IFERROR(INDEX(CARDS!$B$5:$B$34,MATCH(B172,CARDS!$A$5:$A$34,0)),"⚠ Card ID?"))</f>
        <v/>
      </c>
      <c r="D172" s="45" t="str">
        <f>IF(B172="","",IFERROR(INDEX(CARDS!$C$5:$C$34,MATCH(B172,CARDS!$A$5:$A$34,0)),"⚠ Card ID?"))</f>
        <v/>
      </c>
      <c r="E172" s="37" t="n"/>
      <c r="F172" s="37" t="n"/>
      <c r="G172" s="41" t="n"/>
      <c r="H172" s="45" t="str">
        <f>IF(G172="","",IFERROR(INDEX(MCC_MASTER!$B$5:$B$504,MATCH(G172,MCC_MASTER!$A$5:$A$504,0)),"⚠ MCC chưa có trong MCC_MASTER"))</f>
        <v/>
      </c>
      <c r="I172" s="46" t="n"/>
      <c r="J172" s="40" t="n"/>
      <c r="K172" s="40" t="n"/>
      <c r="L172" s="40" t="n"/>
      <c r="M172" s="40" t="n"/>
      <c r="N172" s="42" t="n"/>
      <c r="O172" s="42" t="n"/>
      <c r="P172" s="37" t="n"/>
      <c r="Q172" s="37" t="n"/>
      <c r="R172" s="45" t="str">
        <f>IF(B172="","",IF(ISNA(MATCH(B172,CARDS!$A$5:$A$34,0)),"⚠ Card ID không tồn tại",IF(E172="","⚠ Thiếu Nhóm cashback",IF(OR(SUMPRODUCT(($B$5:$B$304=B172)*($E$5:$E$304=E172)*($J$5:$J$304&lt;&gt;J172))&gt;0,SUMPRODUCT(($B$5:$B$304=B172)*($K$5:$K$304&lt;&gt;K172))&gt;0),"⚠ Cap không đồng nhất","✓ OK"))))</f>
        <v/>
      </c>
      <c r="S172" s="43" t="str">
        <f>IF(OR(B172="",E172=""),"",IF(COUNTIFS($B$5:$B172,B172,$E$5:$E172,E172)=1,MAX($S$4:$S171)+1,""))</f>
        <v/>
      </c>
    </row>
    <row r="173">
      <c r="A173" s="44" t="str">
        <f>IF(B173="","","R"&amp;TEXT(ROW()-4,"000"))</f>
        <v/>
      </c>
      <c r="B173" s="37" t="n"/>
      <c r="C173" s="45" t="str">
        <f>IF(B173="","",IFERROR(INDEX(CARDS!$B$5:$B$34,MATCH(B173,CARDS!$A$5:$A$34,0)),"⚠ Card ID?"))</f>
        <v/>
      </c>
      <c r="D173" s="45" t="str">
        <f>IF(B173="","",IFERROR(INDEX(CARDS!$C$5:$C$34,MATCH(B173,CARDS!$A$5:$A$34,0)),"⚠ Card ID?"))</f>
        <v/>
      </c>
      <c r="E173" s="37" t="n"/>
      <c r="F173" s="37" t="n"/>
      <c r="G173" s="41" t="n"/>
      <c r="H173" s="45" t="str">
        <f>IF(G173="","",IFERROR(INDEX(MCC_MASTER!$B$5:$B$504,MATCH(G173,MCC_MASTER!$A$5:$A$504,0)),"⚠ MCC chưa có trong MCC_MASTER"))</f>
        <v/>
      </c>
      <c r="I173" s="46" t="n"/>
      <c r="J173" s="40" t="n"/>
      <c r="K173" s="40" t="n"/>
      <c r="L173" s="40" t="n"/>
      <c r="M173" s="40" t="n"/>
      <c r="N173" s="42" t="n"/>
      <c r="O173" s="42" t="n"/>
      <c r="P173" s="37" t="n"/>
      <c r="Q173" s="37" t="n"/>
      <c r="R173" s="45" t="str">
        <f>IF(B173="","",IF(ISNA(MATCH(B173,CARDS!$A$5:$A$34,0)),"⚠ Card ID không tồn tại",IF(E173="","⚠ Thiếu Nhóm cashback",IF(OR(SUMPRODUCT(($B$5:$B$304=B173)*($E$5:$E$304=E173)*($J$5:$J$304&lt;&gt;J173))&gt;0,SUMPRODUCT(($B$5:$B$304=B173)*($K$5:$K$304&lt;&gt;K173))&gt;0),"⚠ Cap không đồng nhất","✓ OK"))))</f>
        <v/>
      </c>
      <c r="S173" s="43" t="str">
        <f>IF(OR(B173="",E173=""),"",IF(COUNTIFS($B$5:$B173,B173,$E$5:$E173,E173)=1,MAX($S$4:$S172)+1,""))</f>
        <v/>
      </c>
    </row>
    <row r="174">
      <c r="A174" s="44" t="str">
        <f>IF(B174="","","R"&amp;TEXT(ROW()-4,"000"))</f>
        <v/>
      </c>
      <c r="B174" s="37" t="n"/>
      <c r="C174" s="45" t="str">
        <f>IF(B174="","",IFERROR(INDEX(CARDS!$B$5:$B$34,MATCH(B174,CARDS!$A$5:$A$34,0)),"⚠ Card ID?"))</f>
        <v/>
      </c>
      <c r="D174" s="45" t="str">
        <f>IF(B174="","",IFERROR(INDEX(CARDS!$C$5:$C$34,MATCH(B174,CARDS!$A$5:$A$34,0)),"⚠ Card ID?"))</f>
        <v/>
      </c>
      <c r="E174" s="37" t="n"/>
      <c r="F174" s="37" t="n"/>
      <c r="G174" s="41" t="n"/>
      <c r="H174" s="45" t="str">
        <f>IF(G174="","",IFERROR(INDEX(MCC_MASTER!$B$5:$B$504,MATCH(G174,MCC_MASTER!$A$5:$A$504,0)),"⚠ MCC chưa có trong MCC_MASTER"))</f>
        <v/>
      </c>
      <c r="I174" s="46" t="n"/>
      <c r="J174" s="40" t="n"/>
      <c r="K174" s="40" t="n"/>
      <c r="L174" s="40" t="n"/>
      <c r="M174" s="40" t="n"/>
      <c r="N174" s="42" t="n"/>
      <c r="O174" s="42" t="n"/>
      <c r="P174" s="37" t="n"/>
      <c r="Q174" s="37" t="n"/>
      <c r="R174" s="45" t="str">
        <f>IF(B174="","",IF(ISNA(MATCH(B174,CARDS!$A$5:$A$34,0)),"⚠ Card ID không tồn tại",IF(E174="","⚠ Thiếu Nhóm cashback",IF(OR(SUMPRODUCT(($B$5:$B$304=B174)*($E$5:$E$304=E174)*($J$5:$J$304&lt;&gt;J174))&gt;0,SUMPRODUCT(($B$5:$B$304=B174)*($K$5:$K$304&lt;&gt;K174))&gt;0),"⚠ Cap không đồng nhất","✓ OK"))))</f>
        <v/>
      </c>
      <c r="S174" s="43" t="str">
        <f>IF(OR(B174="",E174=""),"",IF(COUNTIFS($B$5:$B174,B174,$E$5:$E174,E174)=1,MAX($S$4:$S173)+1,""))</f>
        <v/>
      </c>
    </row>
    <row r="175">
      <c r="A175" s="44" t="str">
        <f>IF(B175="","","R"&amp;TEXT(ROW()-4,"000"))</f>
        <v/>
      </c>
      <c r="B175" s="37" t="n"/>
      <c r="C175" s="45" t="str">
        <f>IF(B175="","",IFERROR(INDEX(CARDS!$B$5:$B$34,MATCH(B175,CARDS!$A$5:$A$34,0)),"⚠ Card ID?"))</f>
        <v/>
      </c>
      <c r="D175" s="45" t="str">
        <f>IF(B175="","",IFERROR(INDEX(CARDS!$C$5:$C$34,MATCH(B175,CARDS!$A$5:$A$34,0)),"⚠ Card ID?"))</f>
        <v/>
      </c>
      <c r="E175" s="37" t="n"/>
      <c r="F175" s="37" t="n"/>
      <c r="G175" s="41" t="n"/>
      <c r="H175" s="45" t="str">
        <f>IF(G175="","",IFERROR(INDEX(MCC_MASTER!$B$5:$B$504,MATCH(G175,MCC_MASTER!$A$5:$A$504,0)),"⚠ MCC chưa có trong MCC_MASTER"))</f>
        <v/>
      </c>
      <c r="I175" s="46" t="n"/>
      <c r="J175" s="40" t="n"/>
      <c r="K175" s="40" t="n"/>
      <c r="L175" s="40" t="n"/>
      <c r="M175" s="40" t="n"/>
      <c r="N175" s="42" t="n"/>
      <c r="O175" s="42" t="n"/>
      <c r="P175" s="37" t="n"/>
      <c r="Q175" s="37" t="n"/>
      <c r="R175" s="45" t="str">
        <f>IF(B175="","",IF(ISNA(MATCH(B175,CARDS!$A$5:$A$34,0)),"⚠ Card ID không tồn tại",IF(E175="","⚠ Thiếu Nhóm cashback",IF(OR(SUMPRODUCT(($B$5:$B$304=B175)*($E$5:$E$304=E175)*($J$5:$J$304&lt;&gt;J175))&gt;0,SUMPRODUCT(($B$5:$B$304=B175)*($K$5:$K$304&lt;&gt;K175))&gt;0),"⚠ Cap không đồng nhất","✓ OK"))))</f>
        <v/>
      </c>
      <c r="S175" s="43" t="str">
        <f>IF(OR(B175="",E175=""),"",IF(COUNTIFS($B$5:$B175,B175,$E$5:$E175,E175)=1,MAX($S$4:$S174)+1,""))</f>
        <v/>
      </c>
    </row>
    <row r="176">
      <c r="A176" s="44" t="str">
        <f>IF(B176="","","R"&amp;TEXT(ROW()-4,"000"))</f>
        <v/>
      </c>
      <c r="B176" s="37" t="n"/>
      <c r="C176" s="45" t="str">
        <f>IF(B176="","",IFERROR(INDEX(CARDS!$B$5:$B$34,MATCH(B176,CARDS!$A$5:$A$34,0)),"⚠ Card ID?"))</f>
        <v/>
      </c>
      <c r="D176" s="45" t="str">
        <f>IF(B176="","",IFERROR(INDEX(CARDS!$C$5:$C$34,MATCH(B176,CARDS!$A$5:$A$34,0)),"⚠ Card ID?"))</f>
        <v/>
      </c>
      <c r="E176" s="37" t="n"/>
      <c r="F176" s="37" t="n"/>
      <c r="G176" s="41" t="n"/>
      <c r="H176" s="45" t="str">
        <f>IF(G176="","",IFERROR(INDEX(MCC_MASTER!$B$5:$B$504,MATCH(G176,MCC_MASTER!$A$5:$A$504,0)),"⚠ MCC chưa có trong MCC_MASTER"))</f>
        <v/>
      </c>
      <c r="I176" s="46" t="n"/>
      <c r="J176" s="40" t="n"/>
      <c r="K176" s="40" t="n"/>
      <c r="L176" s="40" t="n"/>
      <c r="M176" s="40" t="n"/>
      <c r="N176" s="42" t="n"/>
      <c r="O176" s="42" t="n"/>
      <c r="P176" s="37" t="n"/>
      <c r="Q176" s="37" t="n"/>
      <c r="R176" s="45" t="str">
        <f>IF(B176="","",IF(ISNA(MATCH(B176,CARDS!$A$5:$A$34,0)),"⚠ Card ID không tồn tại",IF(E176="","⚠ Thiếu Nhóm cashback",IF(OR(SUMPRODUCT(($B$5:$B$304=B176)*($E$5:$E$304=E176)*($J$5:$J$304&lt;&gt;J176))&gt;0,SUMPRODUCT(($B$5:$B$304=B176)*($K$5:$K$304&lt;&gt;K176))&gt;0),"⚠ Cap không đồng nhất","✓ OK"))))</f>
        <v/>
      </c>
      <c r="S176" s="43" t="str">
        <f>IF(OR(B176="",E176=""),"",IF(COUNTIFS($B$5:$B176,B176,$E$5:$E176,E176)=1,MAX($S$4:$S175)+1,""))</f>
        <v/>
      </c>
    </row>
    <row r="177">
      <c r="A177" s="44" t="str">
        <f>IF(B177="","","R"&amp;TEXT(ROW()-4,"000"))</f>
        <v/>
      </c>
      <c r="B177" s="37" t="n"/>
      <c r="C177" s="45" t="str">
        <f>IF(B177="","",IFERROR(INDEX(CARDS!$B$5:$B$34,MATCH(B177,CARDS!$A$5:$A$34,0)),"⚠ Card ID?"))</f>
        <v/>
      </c>
      <c r="D177" s="45" t="str">
        <f>IF(B177="","",IFERROR(INDEX(CARDS!$C$5:$C$34,MATCH(B177,CARDS!$A$5:$A$34,0)),"⚠ Card ID?"))</f>
        <v/>
      </c>
      <c r="E177" s="37" t="n"/>
      <c r="F177" s="37" t="n"/>
      <c r="G177" s="41" t="n"/>
      <c r="H177" s="45" t="str">
        <f>IF(G177="","",IFERROR(INDEX(MCC_MASTER!$B$5:$B$504,MATCH(G177,MCC_MASTER!$A$5:$A$504,0)),"⚠ MCC chưa có trong MCC_MASTER"))</f>
        <v/>
      </c>
      <c r="I177" s="46" t="n"/>
      <c r="J177" s="40" t="n"/>
      <c r="K177" s="40" t="n"/>
      <c r="L177" s="40" t="n"/>
      <c r="M177" s="40" t="n"/>
      <c r="N177" s="42" t="n"/>
      <c r="O177" s="42" t="n"/>
      <c r="P177" s="37" t="n"/>
      <c r="Q177" s="37" t="n"/>
      <c r="R177" s="45" t="str">
        <f>IF(B177="","",IF(ISNA(MATCH(B177,CARDS!$A$5:$A$34,0)),"⚠ Card ID không tồn tại",IF(E177="","⚠ Thiếu Nhóm cashback",IF(OR(SUMPRODUCT(($B$5:$B$304=B177)*($E$5:$E$304=E177)*($J$5:$J$304&lt;&gt;J177))&gt;0,SUMPRODUCT(($B$5:$B$304=B177)*($K$5:$K$304&lt;&gt;K177))&gt;0),"⚠ Cap không đồng nhất","✓ OK"))))</f>
        <v/>
      </c>
      <c r="S177" s="43" t="str">
        <f>IF(OR(B177="",E177=""),"",IF(COUNTIFS($B$5:$B177,B177,$E$5:$E177,E177)=1,MAX($S$4:$S176)+1,""))</f>
        <v/>
      </c>
    </row>
    <row r="178">
      <c r="A178" s="44" t="str">
        <f>IF(B178="","","R"&amp;TEXT(ROW()-4,"000"))</f>
        <v/>
      </c>
      <c r="B178" s="37" t="n"/>
      <c r="C178" s="45" t="str">
        <f>IF(B178="","",IFERROR(INDEX(CARDS!$B$5:$B$34,MATCH(B178,CARDS!$A$5:$A$34,0)),"⚠ Card ID?"))</f>
        <v/>
      </c>
      <c r="D178" s="45" t="str">
        <f>IF(B178="","",IFERROR(INDEX(CARDS!$C$5:$C$34,MATCH(B178,CARDS!$A$5:$A$34,0)),"⚠ Card ID?"))</f>
        <v/>
      </c>
      <c r="E178" s="37" t="n"/>
      <c r="F178" s="37" t="n"/>
      <c r="G178" s="41" t="n"/>
      <c r="H178" s="45" t="str">
        <f>IF(G178="","",IFERROR(INDEX(MCC_MASTER!$B$5:$B$504,MATCH(G178,MCC_MASTER!$A$5:$A$504,0)),"⚠ MCC chưa có trong MCC_MASTER"))</f>
        <v/>
      </c>
      <c r="I178" s="46" t="n"/>
      <c r="J178" s="40" t="n"/>
      <c r="K178" s="40" t="n"/>
      <c r="L178" s="40" t="n"/>
      <c r="M178" s="40" t="n"/>
      <c r="N178" s="42" t="n"/>
      <c r="O178" s="42" t="n"/>
      <c r="P178" s="37" t="n"/>
      <c r="Q178" s="37" t="n"/>
      <c r="R178" s="45" t="str">
        <f>IF(B178="","",IF(ISNA(MATCH(B178,CARDS!$A$5:$A$34,0)),"⚠ Card ID không tồn tại",IF(E178="","⚠ Thiếu Nhóm cashback",IF(OR(SUMPRODUCT(($B$5:$B$304=B178)*($E$5:$E$304=E178)*($J$5:$J$304&lt;&gt;J178))&gt;0,SUMPRODUCT(($B$5:$B$304=B178)*($K$5:$K$304&lt;&gt;K178))&gt;0),"⚠ Cap không đồng nhất","✓ OK"))))</f>
        <v/>
      </c>
      <c r="S178" s="43" t="str">
        <f>IF(OR(B178="",E178=""),"",IF(COUNTIFS($B$5:$B178,B178,$E$5:$E178,E178)=1,MAX($S$4:$S177)+1,""))</f>
        <v/>
      </c>
    </row>
    <row r="179">
      <c r="A179" s="44" t="str">
        <f>IF(B179="","","R"&amp;TEXT(ROW()-4,"000"))</f>
        <v/>
      </c>
      <c r="B179" s="37" t="n"/>
      <c r="C179" s="45" t="str">
        <f>IF(B179="","",IFERROR(INDEX(CARDS!$B$5:$B$34,MATCH(B179,CARDS!$A$5:$A$34,0)),"⚠ Card ID?"))</f>
        <v/>
      </c>
      <c r="D179" s="45" t="str">
        <f>IF(B179="","",IFERROR(INDEX(CARDS!$C$5:$C$34,MATCH(B179,CARDS!$A$5:$A$34,0)),"⚠ Card ID?"))</f>
        <v/>
      </c>
      <c r="E179" s="37" t="n"/>
      <c r="F179" s="37" t="n"/>
      <c r="G179" s="41" t="n"/>
      <c r="H179" s="45" t="str">
        <f>IF(G179="","",IFERROR(INDEX(MCC_MASTER!$B$5:$B$504,MATCH(G179,MCC_MASTER!$A$5:$A$504,0)),"⚠ MCC chưa có trong MCC_MASTER"))</f>
        <v/>
      </c>
      <c r="I179" s="46" t="n"/>
      <c r="J179" s="40" t="n"/>
      <c r="K179" s="40" t="n"/>
      <c r="L179" s="40" t="n"/>
      <c r="M179" s="40" t="n"/>
      <c r="N179" s="42" t="n"/>
      <c r="O179" s="42" t="n"/>
      <c r="P179" s="37" t="n"/>
      <c r="Q179" s="37" t="n"/>
      <c r="R179" s="45" t="str">
        <f>IF(B179="","",IF(ISNA(MATCH(B179,CARDS!$A$5:$A$34,0)),"⚠ Card ID không tồn tại",IF(E179="","⚠ Thiếu Nhóm cashback",IF(OR(SUMPRODUCT(($B$5:$B$304=B179)*($E$5:$E$304=E179)*($J$5:$J$304&lt;&gt;J179))&gt;0,SUMPRODUCT(($B$5:$B$304=B179)*($K$5:$K$304&lt;&gt;K179))&gt;0),"⚠ Cap không đồng nhất","✓ OK"))))</f>
        <v/>
      </c>
      <c r="S179" s="43" t="str">
        <f>IF(OR(B179="",E179=""),"",IF(COUNTIFS($B$5:$B179,B179,$E$5:$E179,E179)=1,MAX($S$4:$S178)+1,""))</f>
        <v/>
      </c>
    </row>
    <row r="180">
      <c r="A180" s="44" t="str">
        <f>IF(B180="","","R"&amp;TEXT(ROW()-4,"000"))</f>
        <v/>
      </c>
      <c r="B180" s="37" t="n"/>
      <c r="C180" s="45" t="str">
        <f>IF(B180="","",IFERROR(INDEX(CARDS!$B$5:$B$34,MATCH(B180,CARDS!$A$5:$A$34,0)),"⚠ Card ID?"))</f>
        <v/>
      </c>
      <c r="D180" s="45" t="str">
        <f>IF(B180="","",IFERROR(INDEX(CARDS!$C$5:$C$34,MATCH(B180,CARDS!$A$5:$A$34,0)),"⚠ Card ID?"))</f>
        <v/>
      </c>
      <c r="E180" s="37" t="n"/>
      <c r="F180" s="37" t="n"/>
      <c r="G180" s="41" t="n"/>
      <c r="H180" s="45" t="str">
        <f>IF(G180="","",IFERROR(INDEX(MCC_MASTER!$B$5:$B$504,MATCH(G180,MCC_MASTER!$A$5:$A$504,0)),"⚠ MCC chưa có trong MCC_MASTER"))</f>
        <v/>
      </c>
      <c r="I180" s="46" t="n"/>
      <c r="J180" s="40" t="n"/>
      <c r="K180" s="40" t="n"/>
      <c r="L180" s="40" t="n"/>
      <c r="M180" s="40" t="n"/>
      <c r="N180" s="42" t="n"/>
      <c r="O180" s="42" t="n"/>
      <c r="P180" s="37" t="n"/>
      <c r="Q180" s="37" t="n"/>
      <c r="R180" s="45" t="str">
        <f>IF(B180="","",IF(ISNA(MATCH(B180,CARDS!$A$5:$A$34,0)),"⚠ Card ID không tồn tại",IF(E180="","⚠ Thiếu Nhóm cashback",IF(OR(SUMPRODUCT(($B$5:$B$304=B180)*($E$5:$E$304=E180)*($J$5:$J$304&lt;&gt;J180))&gt;0,SUMPRODUCT(($B$5:$B$304=B180)*($K$5:$K$304&lt;&gt;K180))&gt;0),"⚠ Cap không đồng nhất","✓ OK"))))</f>
        <v/>
      </c>
      <c r="S180" s="43" t="str">
        <f>IF(OR(B180="",E180=""),"",IF(COUNTIFS($B$5:$B180,B180,$E$5:$E180,E180)=1,MAX($S$4:$S179)+1,""))</f>
        <v/>
      </c>
    </row>
    <row r="181">
      <c r="A181" s="44" t="str">
        <f>IF(B181="","","R"&amp;TEXT(ROW()-4,"000"))</f>
        <v/>
      </c>
      <c r="B181" s="37" t="n"/>
      <c r="C181" s="45" t="str">
        <f>IF(B181="","",IFERROR(INDEX(CARDS!$B$5:$B$34,MATCH(B181,CARDS!$A$5:$A$34,0)),"⚠ Card ID?"))</f>
        <v/>
      </c>
      <c r="D181" s="45" t="str">
        <f>IF(B181="","",IFERROR(INDEX(CARDS!$C$5:$C$34,MATCH(B181,CARDS!$A$5:$A$34,0)),"⚠ Card ID?"))</f>
        <v/>
      </c>
      <c r="E181" s="37" t="n"/>
      <c r="F181" s="37" t="n"/>
      <c r="G181" s="41" t="n"/>
      <c r="H181" s="45" t="str">
        <f>IF(G181="","",IFERROR(INDEX(MCC_MASTER!$B$5:$B$504,MATCH(G181,MCC_MASTER!$A$5:$A$504,0)),"⚠ MCC chưa có trong MCC_MASTER"))</f>
        <v/>
      </c>
      <c r="I181" s="46" t="n"/>
      <c r="J181" s="40" t="n"/>
      <c r="K181" s="40" t="n"/>
      <c r="L181" s="40" t="n"/>
      <c r="M181" s="40" t="n"/>
      <c r="N181" s="42" t="n"/>
      <c r="O181" s="42" t="n"/>
      <c r="P181" s="37" t="n"/>
      <c r="Q181" s="37" t="n"/>
      <c r="R181" s="45" t="str">
        <f>IF(B181="","",IF(ISNA(MATCH(B181,CARDS!$A$5:$A$34,0)),"⚠ Card ID không tồn tại",IF(E181="","⚠ Thiếu Nhóm cashback",IF(OR(SUMPRODUCT(($B$5:$B$304=B181)*($E$5:$E$304=E181)*($J$5:$J$304&lt;&gt;J181))&gt;0,SUMPRODUCT(($B$5:$B$304=B181)*($K$5:$K$304&lt;&gt;K181))&gt;0),"⚠ Cap không đồng nhất","✓ OK"))))</f>
        <v/>
      </c>
      <c r="S181" s="43" t="str">
        <f>IF(OR(B181="",E181=""),"",IF(COUNTIFS($B$5:$B181,B181,$E$5:$E181,E181)=1,MAX($S$4:$S180)+1,""))</f>
        <v/>
      </c>
    </row>
    <row r="182">
      <c r="A182" s="44" t="str">
        <f>IF(B182="","","R"&amp;TEXT(ROW()-4,"000"))</f>
        <v/>
      </c>
      <c r="B182" s="37" t="n"/>
      <c r="C182" s="45" t="str">
        <f>IF(B182="","",IFERROR(INDEX(CARDS!$B$5:$B$34,MATCH(B182,CARDS!$A$5:$A$34,0)),"⚠ Card ID?"))</f>
        <v/>
      </c>
      <c r="D182" s="45" t="str">
        <f>IF(B182="","",IFERROR(INDEX(CARDS!$C$5:$C$34,MATCH(B182,CARDS!$A$5:$A$34,0)),"⚠ Card ID?"))</f>
        <v/>
      </c>
      <c r="E182" s="37" t="n"/>
      <c r="F182" s="37" t="n"/>
      <c r="G182" s="41" t="n"/>
      <c r="H182" s="45" t="str">
        <f>IF(G182="","",IFERROR(INDEX(MCC_MASTER!$B$5:$B$504,MATCH(G182,MCC_MASTER!$A$5:$A$504,0)),"⚠ MCC chưa có trong MCC_MASTER"))</f>
        <v/>
      </c>
      <c r="I182" s="46" t="n"/>
      <c r="J182" s="40" t="n"/>
      <c r="K182" s="40" t="n"/>
      <c r="L182" s="40" t="n"/>
      <c r="M182" s="40" t="n"/>
      <c r="N182" s="42" t="n"/>
      <c r="O182" s="42" t="n"/>
      <c r="P182" s="37" t="n"/>
      <c r="Q182" s="37" t="n"/>
      <c r="R182" s="45" t="str">
        <f>IF(B182="","",IF(ISNA(MATCH(B182,CARDS!$A$5:$A$34,0)),"⚠ Card ID không tồn tại",IF(E182="","⚠ Thiếu Nhóm cashback",IF(OR(SUMPRODUCT(($B$5:$B$304=B182)*($E$5:$E$304=E182)*($J$5:$J$304&lt;&gt;J182))&gt;0,SUMPRODUCT(($B$5:$B$304=B182)*($K$5:$K$304&lt;&gt;K182))&gt;0),"⚠ Cap không đồng nhất","✓ OK"))))</f>
        <v/>
      </c>
      <c r="S182" s="43" t="str">
        <f>IF(OR(B182="",E182=""),"",IF(COUNTIFS($B$5:$B182,B182,$E$5:$E182,E182)=1,MAX($S$4:$S181)+1,""))</f>
        <v/>
      </c>
    </row>
    <row r="183">
      <c r="A183" s="44" t="str">
        <f>IF(B183="","","R"&amp;TEXT(ROW()-4,"000"))</f>
        <v/>
      </c>
      <c r="B183" s="37" t="n"/>
      <c r="C183" s="45" t="str">
        <f>IF(B183="","",IFERROR(INDEX(CARDS!$B$5:$B$34,MATCH(B183,CARDS!$A$5:$A$34,0)),"⚠ Card ID?"))</f>
        <v/>
      </c>
      <c r="D183" s="45" t="str">
        <f>IF(B183="","",IFERROR(INDEX(CARDS!$C$5:$C$34,MATCH(B183,CARDS!$A$5:$A$34,0)),"⚠ Card ID?"))</f>
        <v/>
      </c>
      <c r="E183" s="37" t="n"/>
      <c r="F183" s="37" t="n"/>
      <c r="G183" s="41" t="n"/>
      <c r="H183" s="45" t="str">
        <f>IF(G183="","",IFERROR(INDEX(MCC_MASTER!$B$5:$B$504,MATCH(G183,MCC_MASTER!$A$5:$A$504,0)),"⚠ MCC chưa có trong MCC_MASTER"))</f>
        <v/>
      </c>
      <c r="I183" s="46" t="n"/>
      <c r="J183" s="40" t="n"/>
      <c r="K183" s="40" t="n"/>
      <c r="L183" s="40" t="n"/>
      <c r="M183" s="40" t="n"/>
      <c r="N183" s="42" t="n"/>
      <c r="O183" s="42" t="n"/>
      <c r="P183" s="37" t="n"/>
      <c r="Q183" s="37" t="n"/>
      <c r="R183" s="45" t="str">
        <f>IF(B183="","",IF(ISNA(MATCH(B183,CARDS!$A$5:$A$34,0)),"⚠ Card ID không tồn tại",IF(E183="","⚠ Thiếu Nhóm cashback",IF(OR(SUMPRODUCT(($B$5:$B$304=B183)*($E$5:$E$304=E183)*($J$5:$J$304&lt;&gt;J183))&gt;0,SUMPRODUCT(($B$5:$B$304=B183)*($K$5:$K$304&lt;&gt;K183))&gt;0),"⚠ Cap không đồng nhất","✓ OK"))))</f>
        <v/>
      </c>
      <c r="S183" s="43" t="str">
        <f>IF(OR(B183="",E183=""),"",IF(COUNTIFS($B$5:$B183,B183,$E$5:$E183,E183)=1,MAX($S$4:$S182)+1,""))</f>
        <v/>
      </c>
    </row>
    <row r="184">
      <c r="A184" s="44" t="str">
        <f>IF(B184="","","R"&amp;TEXT(ROW()-4,"000"))</f>
        <v/>
      </c>
      <c r="B184" s="37" t="n"/>
      <c r="C184" s="45" t="str">
        <f>IF(B184="","",IFERROR(INDEX(CARDS!$B$5:$B$34,MATCH(B184,CARDS!$A$5:$A$34,0)),"⚠ Card ID?"))</f>
        <v/>
      </c>
      <c r="D184" s="45" t="str">
        <f>IF(B184="","",IFERROR(INDEX(CARDS!$C$5:$C$34,MATCH(B184,CARDS!$A$5:$A$34,0)),"⚠ Card ID?"))</f>
        <v/>
      </c>
      <c r="E184" s="37" t="n"/>
      <c r="F184" s="37" t="n"/>
      <c r="G184" s="41" t="n"/>
      <c r="H184" s="45" t="str">
        <f>IF(G184="","",IFERROR(INDEX(MCC_MASTER!$B$5:$B$504,MATCH(G184,MCC_MASTER!$A$5:$A$504,0)),"⚠ MCC chưa có trong MCC_MASTER"))</f>
        <v/>
      </c>
      <c r="I184" s="46" t="n"/>
      <c r="J184" s="40" t="n"/>
      <c r="K184" s="40" t="n"/>
      <c r="L184" s="40" t="n"/>
      <c r="M184" s="40" t="n"/>
      <c r="N184" s="42" t="n"/>
      <c r="O184" s="42" t="n"/>
      <c r="P184" s="37" t="n"/>
      <c r="Q184" s="37" t="n"/>
      <c r="R184" s="45" t="str">
        <f>IF(B184="","",IF(ISNA(MATCH(B184,CARDS!$A$5:$A$34,0)),"⚠ Card ID không tồn tại",IF(E184="","⚠ Thiếu Nhóm cashback",IF(OR(SUMPRODUCT(($B$5:$B$304=B184)*($E$5:$E$304=E184)*($J$5:$J$304&lt;&gt;J184))&gt;0,SUMPRODUCT(($B$5:$B$304=B184)*($K$5:$K$304&lt;&gt;K184))&gt;0),"⚠ Cap không đồng nhất","✓ OK"))))</f>
        <v/>
      </c>
      <c r="S184" s="43" t="str">
        <f>IF(OR(B184="",E184=""),"",IF(COUNTIFS($B$5:$B184,B184,$E$5:$E184,E184)=1,MAX($S$4:$S183)+1,""))</f>
        <v/>
      </c>
    </row>
    <row r="185">
      <c r="A185" s="44" t="str">
        <f>IF(B185="","","R"&amp;TEXT(ROW()-4,"000"))</f>
        <v/>
      </c>
      <c r="B185" s="37" t="n"/>
      <c r="C185" s="45" t="str">
        <f>IF(B185="","",IFERROR(INDEX(CARDS!$B$5:$B$34,MATCH(B185,CARDS!$A$5:$A$34,0)),"⚠ Card ID?"))</f>
        <v/>
      </c>
      <c r="D185" s="45" t="str">
        <f>IF(B185="","",IFERROR(INDEX(CARDS!$C$5:$C$34,MATCH(B185,CARDS!$A$5:$A$34,0)),"⚠ Card ID?"))</f>
        <v/>
      </c>
      <c r="E185" s="37" t="n"/>
      <c r="F185" s="37" t="n"/>
      <c r="G185" s="41" t="n"/>
      <c r="H185" s="45" t="str">
        <f>IF(G185="","",IFERROR(INDEX(MCC_MASTER!$B$5:$B$504,MATCH(G185,MCC_MASTER!$A$5:$A$504,0)),"⚠ MCC chưa có trong MCC_MASTER"))</f>
        <v/>
      </c>
      <c r="I185" s="46" t="n"/>
      <c r="J185" s="40" t="n"/>
      <c r="K185" s="40" t="n"/>
      <c r="L185" s="40" t="n"/>
      <c r="M185" s="40" t="n"/>
      <c r="N185" s="42" t="n"/>
      <c r="O185" s="42" t="n"/>
      <c r="P185" s="37" t="n"/>
      <c r="Q185" s="37" t="n"/>
      <c r="R185" s="45" t="str">
        <f>IF(B185="","",IF(ISNA(MATCH(B185,CARDS!$A$5:$A$34,0)),"⚠ Card ID không tồn tại",IF(E185="","⚠ Thiếu Nhóm cashback",IF(OR(SUMPRODUCT(($B$5:$B$304=B185)*($E$5:$E$304=E185)*($J$5:$J$304&lt;&gt;J185))&gt;0,SUMPRODUCT(($B$5:$B$304=B185)*($K$5:$K$304&lt;&gt;K185))&gt;0),"⚠ Cap không đồng nhất","✓ OK"))))</f>
        <v/>
      </c>
      <c r="S185" s="43" t="str">
        <f>IF(OR(B185="",E185=""),"",IF(COUNTIFS($B$5:$B185,B185,$E$5:$E185,E185)=1,MAX($S$4:$S184)+1,""))</f>
        <v/>
      </c>
    </row>
    <row r="186">
      <c r="A186" s="44" t="str">
        <f>IF(B186="","","R"&amp;TEXT(ROW()-4,"000"))</f>
        <v/>
      </c>
      <c r="B186" s="37" t="n"/>
      <c r="C186" s="45" t="str">
        <f>IF(B186="","",IFERROR(INDEX(CARDS!$B$5:$B$34,MATCH(B186,CARDS!$A$5:$A$34,0)),"⚠ Card ID?"))</f>
        <v/>
      </c>
      <c r="D186" s="45" t="str">
        <f>IF(B186="","",IFERROR(INDEX(CARDS!$C$5:$C$34,MATCH(B186,CARDS!$A$5:$A$34,0)),"⚠ Card ID?"))</f>
        <v/>
      </c>
      <c r="E186" s="37" t="n"/>
      <c r="F186" s="37" t="n"/>
      <c r="G186" s="41" t="n"/>
      <c r="H186" s="45" t="str">
        <f>IF(G186="","",IFERROR(INDEX(MCC_MASTER!$B$5:$B$504,MATCH(G186,MCC_MASTER!$A$5:$A$504,0)),"⚠ MCC chưa có trong MCC_MASTER"))</f>
        <v/>
      </c>
      <c r="I186" s="46" t="n"/>
      <c r="J186" s="40" t="n"/>
      <c r="K186" s="40" t="n"/>
      <c r="L186" s="40" t="n"/>
      <c r="M186" s="40" t="n"/>
      <c r="N186" s="42" t="n"/>
      <c r="O186" s="42" t="n"/>
      <c r="P186" s="37" t="n"/>
      <c r="Q186" s="37" t="n"/>
      <c r="R186" s="45" t="str">
        <f>IF(B186="","",IF(ISNA(MATCH(B186,CARDS!$A$5:$A$34,0)),"⚠ Card ID không tồn tại",IF(E186="","⚠ Thiếu Nhóm cashback",IF(OR(SUMPRODUCT(($B$5:$B$304=B186)*($E$5:$E$304=E186)*($J$5:$J$304&lt;&gt;J186))&gt;0,SUMPRODUCT(($B$5:$B$304=B186)*($K$5:$K$304&lt;&gt;K186))&gt;0),"⚠ Cap không đồng nhất","✓ OK"))))</f>
        <v/>
      </c>
      <c r="S186" s="43" t="str">
        <f>IF(OR(B186="",E186=""),"",IF(COUNTIFS($B$5:$B186,B186,$E$5:$E186,E186)=1,MAX($S$4:$S185)+1,""))</f>
        <v/>
      </c>
    </row>
    <row r="187">
      <c r="A187" s="44" t="str">
        <f>IF(B187="","","R"&amp;TEXT(ROW()-4,"000"))</f>
        <v/>
      </c>
      <c r="B187" s="37" t="n"/>
      <c r="C187" s="45" t="str">
        <f>IF(B187="","",IFERROR(INDEX(CARDS!$B$5:$B$34,MATCH(B187,CARDS!$A$5:$A$34,0)),"⚠ Card ID?"))</f>
        <v/>
      </c>
      <c r="D187" s="45" t="str">
        <f>IF(B187="","",IFERROR(INDEX(CARDS!$C$5:$C$34,MATCH(B187,CARDS!$A$5:$A$34,0)),"⚠ Card ID?"))</f>
        <v/>
      </c>
      <c r="E187" s="37" t="n"/>
      <c r="F187" s="37" t="n"/>
      <c r="G187" s="41" t="n"/>
      <c r="H187" s="45" t="str">
        <f>IF(G187="","",IFERROR(INDEX(MCC_MASTER!$B$5:$B$504,MATCH(G187,MCC_MASTER!$A$5:$A$504,0)),"⚠ MCC chưa có trong MCC_MASTER"))</f>
        <v/>
      </c>
      <c r="I187" s="46" t="n"/>
      <c r="J187" s="40" t="n"/>
      <c r="K187" s="40" t="n"/>
      <c r="L187" s="40" t="n"/>
      <c r="M187" s="40" t="n"/>
      <c r="N187" s="42" t="n"/>
      <c r="O187" s="42" t="n"/>
      <c r="P187" s="37" t="n"/>
      <c r="Q187" s="37" t="n"/>
      <c r="R187" s="45" t="str">
        <f>IF(B187="","",IF(ISNA(MATCH(B187,CARDS!$A$5:$A$34,0)),"⚠ Card ID không tồn tại",IF(E187="","⚠ Thiếu Nhóm cashback",IF(OR(SUMPRODUCT(($B$5:$B$304=B187)*($E$5:$E$304=E187)*($J$5:$J$304&lt;&gt;J187))&gt;0,SUMPRODUCT(($B$5:$B$304=B187)*($K$5:$K$304&lt;&gt;K187))&gt;0),"⚠ Cap không đồng nhất","✓ OK"))))</f>
        <v/>
      </c>
      <c r="S187" s="43" t="str">
        <f>IF(OR(B187="",E187=""),"",IF(COUNTIFS($B$5:$B187,B187,$E$5:$E187,E187)=1,MAX($S$4:$S186)+1,""))</f>
        <v/>
      </c>
    </row>
    <row r="188">
      <c r="A188" s="44" t="str">
        <f>IF(B188="","","R"&amp;TEXT(ROW()-4,"000"))</f>
        <v/>
      </c>
      <c r="B188" s="37" t="n"/>
      <c r="C188" s="45" t="str">
        <f>IF(B188="","",IFERROR(INDEX(CARDS!$B$5:$B$34,MATCH(B188,CARDS!$A$5:$A$34,0)),"⚠ Card ID?"))</f>
        <v/>
      </c>
      <c r="D188" s="45" t="str">
        <f>IF(B188="","",IFERROR(INDEX(CARDS!$C$5:$C$34,MATCH(B188,CARDS!$A$5:$A$34,0)),"⚠ Card ID?"))</f>
        <v/>
      </c>
      <c r="E188" s="37" t="n"/>
      <c r="F188" s="37" t="n"/>
      <c r="G188" s="41" t="n"/>
      <c r="H188" s="45" t="str">
        <f>IF(G188="","",IFERROR(INDEX(MCC_MASTER!$B$5:$B$504,MATCH(G188,MCC_MASTER!$A$5:$A$504,0)),"⚠ MCC chưa có trong MCC_MASTER"))</f>
        <v/>
      </c>
      <c r="I188" s="46" t="n"/>
      <c r="J188" s="40" t="n"/>
      <c r="K188" s="40" t="n"/>
      <c r="L188" s="40" t="n"/>
      <c r="M188" s="40" t="n"/>
      <c r="N188" s="42" t="n"/>
      <c r="O188" s="42" t="n"/>
      <c r="P188" s="37" t="n"/>
      <c r="Q188" s="37" t="n"/>
      <c r="R188" s="45" t="str">
        <f>IF(B188="","",IF(ISNA(MATCH(B188,CARDS!$A$5:$A$34,0)),"⚠ Card ID không tồn tại",IF(E188="","⚠ Thiếu Nhóm cashback",IF(OR(SUMPRODUCT(($B$5:$B$304=B188)*($E$5:$E$304=E188)*($J$5:$J$304&lt;&gt;J188))&gt;0,SUMPRODUCT(($B$5:$B$304=B188)*($K$5:$K$304&lt;&gt;K188))&gt;0),"⚠ Cap không đồng nhất","✓ OK"))))</f>
        <v/>
      </c>
      <c r="S188" s="43" t="str">
        <f>IF(OR(B188="",E188=""),"",IF(COUNTIFS($B$5:$B188,B188,$E$5:$E188,E188)=1,MAX($S$4:$S187)+1,""))</f>
        <v/>
      </c>
    </row>
    <row r="189">
      <c r="A189" s="44" t="str">
        <f>IF(B189="","","R"&amp;TEXT(ROW()-4,"000"))</f>
        <v/>
      </c>
      <c r="B189" s="37" t="n"/>
      <c r="C189" s="45" t="str">
        <f>IF(B189="","",IFERROR(INDEX(CARDS!$B$5:$B$34,MATCH(B189,CARDS!$A$5:$A$34,0)),"⚠ Card ID?"))</f>
        <v/>
      </c>
      <c r="D189" s="45" t="str">
        <f>IF(B189="","",IFERROR(INDEX(CARDS!$C$5:$C$34,MATCH(B189,CARDS!$A$5:$A$34,0)),"⚠ Card ID?"))</f>
        <v/>
      </c>
      <c r="E189" s="37" t="n"/>
      <c r="F189" s="37" t="n"/>
      <c r="G189" s="41" t="n"/>
      <c r="H189" s="45" t="str">
        <f>IF(G189="","",IFERROR(INDEX(MCC_MASTER!$B$5:$B$504,MATCH(G189,MCC_MASTER!$A$5:$A$504,0)),"⚠ MCC chưa có trong MCC_MASTER"))</f>
        <v/>
      </c>
      <c r="I189" s="46" t="n"/>
      <c r="J189" s="40" t="n"/>
      <c r="K189" s="40" t="n"/>
      <c r="L189" s="40" t="n"/>
      <c r="M189" s="40" t="n"/>
      <c r="N189" s="42" t="n"/>
      <c r="O189" s="42" t="n"/>
      <c r="P189" s="37" t="n"/>
      <c r="Q189" s="37" t="n"/>
      <c r="R189" s="45" t="str">
        <f>IF(B189="","",IF(ISNA(MATCH(B189,CARDS!$A$5:$A$34,0)),"⚠ Card ID không tồn tại",IF(E189="","⚠ Thiếu Nhóm cashback",IF(OR(SUMPRODUCT(($B$5:$B$304=B189)*($E$5:$E$304=E189)*($J$5:$J$304&lt;&gt;J189))&gt;0,SUMPRODUCT(($B$5:$B$304=B189)*($K$5:$K$304&lt;&gt;K189))&gt;0),"⚠ Cap không đồng nhất","✓ OK"))))</f>
        <v/>
      </c>
      <c r="S189" s="43" t="str">
        <f>IF(OR(B189="",E189=""),"",IF(COUNTIFS($B$5:$B189,B189,$E$5:$E189,E189)=1,MAX($S$4:$S188)+1,""))</f>
        <v/>
      </c>
    </row>
    <row r="190">
      <c r="A190" s="44" t="str">
        <f>IF(B190="","","R"&amp;TEXT(ROW()-4,"000"))</f>
        <v/>
      </c>
      <c r="B190" s="37" t="n"/>
      <c r="C190" s="45" t="str">
        <f>IF(B190="","",IFERROR(INDEX(CARDS!$B$5:$B$34,MATCH(B190,CARDS!$A$5:$A$34,0)),"⚠ Card ID?"))</f>
        <v/>
      </c>
      <c r="D190" s="45" t="str">
        <f>IF(B190="","",IFERROR(INDEX(CARDS!$C$5:$C$34,MATCH(B190,CARDS!$A$5:$A$34,0)),"⚠ Card ID?"))</f>
        <v/>
      </c>
      <c r="E190" s="37" t="n"/>
      <c r="F190" s="37" t="n"/>
      <c r="G190" s="41" t="n"/>
      <c r="H190" s="45" t="str">
        <f>IF(G190="","",IFERROR(INDEX(MCC_MASTER!$B$5:$B$504,MATCH(G190,MCC_MASTER!$A$5:$A$504,0)),"⚠ MCC chưa có trong MCC_MASTER"))</f>
        <v/>
      </c>
      <c r="I190" s="46" t="n"/>
      <c r="J190" s="40" t="n"/>
      <c r="K190" s="40" t="n"/>
      <c r="L190" s="40" t="n"/>
      <c r="M190" s="40" t="n"/>
      <c r="N190" s="42" t="n"/>
      <c r="O190" s="42" t="n"/>
      <c r="P190" s="37" t="n"/>
      <c r="Q190" s="37" t="n"/>
      <c r="R190" s="45" t="str">
        <f>IF(B190="","",IF(ISNA(MATCH(B190,CARDS!$A$5:$A$34,0)),"⚠ Card ID không tồn tại",IF(E190="","⚠ Thiếu Nhóm cashback",IF(OR(SUMPRODUCT(($B$5:$B$304=B190)*($E$5:$E$304=E190)*($J$5:$J$304&lt;&gt;J190))&gt;0,SUMPRODUCT(($B$5:$B$304=B190)*($K$5:$K$304&lt;&gt;K190))&gt;0),"⚠ Cap không đồng nhất","✓ OK"))))</f>
        <v/>
      </c>
      <c r="S190" s="43" t="str">
        <f>IF(OR(B190="",E190=""),"",IF(COUNTIFS($B$5:$B190,B190,$E$5:$E190,E190)=1,MAX($S$4:$S189)+1,""))</f>
        <v/>
      </c>
    </row>
    <row r="191">
      <c r="A191" s="44" t="str">
        <f>IF(B191="","","R"&amp;TEXT(ROW()-4,"000"))</f>
        <v/>
      </c>
      <c r="B191" s="37" t="n"/>
      <c r="C191" s="45" t="str">
        <f>IF(B191="","",IFERROR(INDEX(CARDS!$B$5:$B$34,MATCH(B191,CARDS!$A$5:$A$34,0)),"⚠ Card ID?"))</f>
        <v/>
      </c>
      <c r="D191" s="45" t="str">
        <f>IF(B191="","",IFERROR(INDEX(CARDS!$C$5:$C$34,MATCH(B191,CARDS!$A$5:$A$34,0)),"⚠ Card ID?"))</f>
        <v/>
      </c>
      <c r="E191" s="37" t="n"/>
      <c r="F191" s="37" t="n"/>
      <c r="G191" s="41" t="n"/>
      <c r="H191" s="45" t="str">
        <f>IF(G191="","",IFERROR(INDEX(MCC_MASTER!$B$5:$B$504,MATCH(G191,MCC_MASTER!$A$5:$A$504,0)),"⚠ MCC chưa có trong MCC_MASTER"))</f>
        <v/>
      </c>
      <c r="I191" s="46" t="n"/>
      <c r="J191" s="40" t="n"/>
      <c r="K191" s="40" t="n"/>
      <c r="L191" s="40" t="n"/>
      <c r="M191" s="40" t="n"/>
      <c r="N191" s="42" t="n"/>
      <c r="O191" s="42" t="n"/>
      <c r="P191" s="37" t="n"/>
      <c r="Q191" s="37" t="n"/>
      <c r="R191" s="45" t="str">
        <f>IF(B191="","",IF(ISNA(MATCH(B191,CARDS!$A$5:$A$34,0)),"⚠ Card ID không tồn tại",IF(E191="","⚠ Thiếu Nhóm cashback",IF(OR(SUMPRODUCT(($B$5:$B$304=B191)*($E$5:$E$304=E191)*($J$5:$J$304&lt;&gt;J191))&gt;0,SUMPRODUCT(($B$5:$B$304=B191)*($K$5:$K$304&lt;&gt;K191))&gt;0),"⚠ Cap không đồng nhất","✓ OK"))))</f>
        <v/>
      </c>
      <c r="S191" s="43" t="str">
        <f>IF(OR(B191="",E191=""),"",IF(COUNTIFS($B$5:$B191,B191,$E$5:$E191,E191)=1,MAX($S$4:$S190)+1,""))</f>
        <v/>
      </c>
    </row>
    <row r="192">
      <c r="A192" s="44" t="str">
        <f>IF(B192="","","R"&amp;TEXT(ROW()-4,"000"))</f>
        <v/>
      </c>
      <c r="B192" s="37" t="n"/>
      <c r="C192" s="45" t="str">
        <f>IF(B192="","",IFERROR(INDEX(CARDS!$B$5:$B$34,MATCH(B192,CARDS!$A$5:$A$34,0)),"⚠ Card ID?"))</f>
        <v/>
      </c>
      <c r="D192" s="45" t="str">
        <f>IF(B192="","",IFERROR(INDEX(CARDS!$C$5:$C$34,MATCH(B192,CARDS!$A$5:$A$34,0)),"⚠ Card ID?"))</f>
        <v/>
      </c>
      <c r="E192" s="37" t="n"/>
      <c r="F192" s="37" t="n"/>
      <c r="G192" s="41" t="n"/>
      <c r="H192" s="45" t="str">
        <f>IF(G192="","",IFERROR(INDEX(MCC_MASTER!$B$5:$B$504,MATCH(G192,MCC_MASTER!$A$5:$A$504,0)),"⚠ MCC chưa có trong MCC_MASTER"))</f>
        <v/>
      </c>
      <c r="I192" s="46" t="n"/>
      <c r="J192" s="40" t="n"/>
      <c r="K192" s="40" t="n"/>
      <c r="L192" s="40" t="n"/>
      <c r="M192" s="40" t="n"/>
      <c r="N192" s="42" t="n"/>
      <c r="O192" s="42" t="n"/>
      <c r="P192" s="37" t="n"/>
      <c r="Q192" s="37" t="n"/>
      <c r="R192" s="45" t="str">
        <f>IF(B192="","",IF(ISNA(MATCH(B192,CARDS!$A$5:$A$34,0)),"⚠ Card ID không tồn tại",IF(E192="","⚠ Thiếu Nhóm cashback",IF(OR(SUMPRODUCT(($B$5:$B$304=B192)*($E$5:$E$304=E192)*($J$5:$J$304&lt;&gt;J192))&gt;0,SUMPRODUCT(($B$5:$B$304=B192)*($K$5:$K$304&lt;&gt;K192))&gt;0),"⚠ Cap không đồng nhất","✓ OK"))))</f>
        <v/>
      </c>
      <c r="S192" s="43" t="str">
        <f>IF(OR(B192="",E192=""),"",IF(COUNTIFS($B$5:$B192,B192,$E$5:$E192,E192)=1,MAX($S$4:$S191)+1,""))</f>
        <v/>
      </c>
    </row>
    <row r="193">
      <c r="A193" s="44" t="str">
        <f>IF(B193="","","R"&amp;TEXT(ROW()-4,"000"))</f>
        <v/>
      </c>
      <c r="B193" s="37" t="n"/>
      <c r="C193" s="45" t="str">
        <f>IF(B193="","",IFERROR(INDEX(CARDS!$B$5:$B$34,MATCH(B193,CARDS!$A$5:$A$34,0)),"⚠ Card ID?"))</f>
        <v/>
      </c>
      <c r="D193" s="45" t="str">
        <f>IF(B193="","",IFERROR(INDEX(CARDS!$C$5:$C$34,MATCH(B193,CARDS!$A$5:$A$34,0)),"⚠ Card ID?"))</f>
        <v/>
      </c>
      <c r="E193" s="37" t="n"/>
      <c r="F193" s="37" t="n"/>
      <c r="G193" s="41" t="n"/>
      <c r="H193" s="45" t="str">
        <f>IF(G193="","",IFERROR(INDEX(MCC_MASTER!$B$5:$B$504,MATCH(G193,MCC_MASTER!$A$5:$A$504,0)),"⚠ MCC chưa có trong MCC_MASTER"))</f>
        <v/>
      </c>
      <c r="I193" s="46" t="n"/>
      <c r="J193" s="40" t="n"/>
      <c r="K193" s="40" t="n"/>
      <c r="L193" s="40" t="n"/>
      <c r="M193" s="40" t="n"/>
      <c r="N193" s="42" t="n"/>
      <c r="O193" s="42" t="n"/>
      <c r="P193" s="37" t="n"/>
      <c r="Q193" s="37" t="n"/>
      <c r="R193" s="45" t="str">
        <f>IF(B193="","",IF(ISNA(MATCH(B193,CARDS!$A$5:$A$34,0)),"⚠ Card ID không tồn tại",IF(E193="","⚠ Thiếu Nhóm cashback",IF(OR(SUMPRODUCT(($B$5:$B$304=B193)*($E$5:$E$304=E193)*($J$5:$J$304&lt;&gt;J193))&gt;0,SUMPRODUCT(($B$5:$B$304=B193)*($K$5:$K$304&lt;&gt;K193))&gt;0),"⚠ Cap không đồng nhất","✓ OK"))))</f>
        <v/>
      </c>
      <c r="S193" s="43" t="str">
        <f>IF(OR(B193="",E193=""),"",IF(COUNTIFS($B$5:$B193,B193,$E$5:$E193,E193)=1,MAX($S$4:$S192)+1,""))</f>
        <v/>
      </c>
    </row>
    <row r="194">
      <c r="A194" s="44" t="str">
        <f>IF(B194="","","R"&amp;TEXT(ROW()-4,"000"))</f>
        <v/>
      </c>
      <c r="B194" s="37" t="n"/>
      <c r="C194" s="45" t="str">
        <f>IF(B194="","",IFERROR(INDEX(CARDS!$B$5:$B$34,MATCH(B194,CARDS!$A$5:$A$34,0)),"⚠ Card ID?"))</f>
        <v/>
      </c>
      <c r="D194" s="45" t="str">
        <f>IF(B194="","",IFERROR(INDEX(CARDS!$C$5:$C$34,MATCH(B194,CARDS!$A$5:$A$34,0)),"⚠ Card ID?"))</f>
        <v/>
      </c>
      <c r="E194" s="37" t="n"/>
      <c r="F194" s="37" t="n"/>
      <c r="G194" s="41" t="n"/>
      <c r="H194" s="45" t="str">
        <f>IF(G194="","",IFERROR(INDEX(MCC_MASTER!$B$5:$B$504,MATCH(G194,MCC_MASTER!$A$5:$A$504,0)),"⚠ MCC chưa có trong MCC_MASTER"))</f>
        <v/>
      </c>
      <c r="I194" s="46" t="n"/>
      <c r="J194" s="40" t="n"/>
      <c r="K194" s="40" t="n"/>
      <c r="L194" s="40" t="n"/>
      <c r="M194" s="40" t="n"/>
      <c r="N194" s="42" t="n"/>
      <c r="O194" s="42" t="n"/>
      <c r="P194" s="37" t="n"/>
      <c r="Q194" s="37" t="n"/>
      <c r="R194" s="45" t="str">
        <f>IF(B194="","",IF(ISNA(MATCH(B194,CARDS!$A$5:$A$34,0)),"⚠ Card ID không tồn tại",IF(E194="","⚠ Thiếu Nhóm cashback",IF(OR(SUMPRODUCT(($B$5:$B$304=B194)*($E$5:$E$304=E194)*($J$5:$J$304&lt;&gt;J194))&gt;0,SUMPRODUCT(($B$5:$B$304=B194)*($K$5:$K$304&lt;&gt;K194))&gt;0),"⚠ Cap không đồng nhất","✓ OK"))))</f>
        <v/>
      </c>
      <c r="S194" s="43" t="str">
        <f>IF(OR(B194="",E194=""),"",IF(COUNTIFS($B$5:$B194,B194,$E$5:$E194,E194)=1,MAX($S$4:$S193)+1,""))</f>
        <v/>
      </c>
    </row>
    <row r="195">
      <c r="A195" s="44" t="str">
        <f>IF(B195="","","R"&amp;TEXT(ROW()-4,"000"))</f>
        <v/>
      </c>
      <c r="B195" s="37" t="n"/>
      <c r="C195" s="45" t="str">
        <f>IF(B195="","",IFERROR(INDEX(CARDS!$B$5:$B$34,MATCH(B195,CARDS!$A$5:$A$34,0)),"⚠ Card ID?"))</f>
        <v/>
      </c>
      <c r="D195" s="45" t="str">
        <f>IF(B195="","",IFERROR(INDEX(CARDS!$C$5:$C$34,MATCH(B195,CARDS!$A$5:$A$34,0)),"⚠ Card ID?"))</f>
        <v/>
      </c>
      <c r="E195" s="37" t="n"/>
      <c r="F195" s="37" t="n"/>
      <c r="G195" s="41" t="n"/>
      <c r="H195" s="45" t="str">
        <f>IF(G195="","",IFERROR(INDEX(MCC_MASTER!$B$5:$B$504,MATCH(G195,MCC_MASTER!$A$5:$A$504,0)),"⚠ MCC chưa có trong MCC_MASTER"))</f>
        <v/>
      </c>
      <c r="I195" s="46" t="n"/>
      <c r="J195" s="40" t="n"/>
      <c r="K195" s="40" t="n"/>
      <c r="L195" s="40" t="n"/>
      <c r="M195" s="40" t="n"/>
      <c r="N195" s="42" t="n"/>
      <c r="O195" s="42" t="n"/>
      <c r="P195" s="37" t="n"/>
      <c r="Q195" s="37" t="n"/>
      <c r="R195" s="45" t="str">
        <f>IF(B195="","",IF(ISNA(MATCH(B195,CARDS!$A$5:$A$34,0)),"⚠ Card ID không tồn tại",IF(E195="","⚠ Thiếu Nhóm cashback",IF(OR(SUMPRODUCT(($B$5:$B$304=B195)*($E$5:$E$304=E195)*($J$5:$J$304&lt;&gt;J195))&gt;0,SUMPRODUCT(($B$5:$B$304=B195)*($K$5:$K$304&lt;&gt;K195))&gt;0),"⚠ Cap không đồng nhất","✓ OK"))))</f>
        <v/>
      </c>
      <c r="S195" s="43" t="str">
        <f>IF(OR(B195="",E195=""),"",IF(COUNTIFS($B$5:$B195,B195,$E$5:$E195,E195)=1,MAX($S$4:$S194)+1,""))</f>
        <v/>
      </c>
    </row>
    <row r="196">
      <c r="A196" s="44" t="str">
        <f>IF(B196="","","R"&amp;TEXT(ROW()-4,"000"))</f>
        <v/>
      </c>
      <c r="B196" s="37" t="n"/>
      <c r="C196" s="45" t="str">
        <f>IF(B196="","",IFERROR(INDEX(CARDS!$B$5:$B$34,MATCH(B196,CARDS!$A$5:$A$34,0)),"⚠ Card ID?"))</f>
        <v/>
      </c>
      <c r="D196" s="45" t="str">
        <f>IF(B196="","",IFERROR(INDEX(CARDS!$C$5:$C$34,MATCH(B196,CARDS!$A$5:$A$34,0)),"⚠ Card ID?"))</f>
        <v/>
      </c>
      <c r="E196" s="37" t="n"/>
      <c r="F196" s="37" t="n"/>
      <c r="G196" s="41" t="n"/>
      <c r="H196" s="45" t="str">
        <f>IF(G196="","",IFERROR(INDEX(MCC_MASTER!$B$5:$B$504,MATCH(G196,MCC_MASTER!$A$5:$A$504,0)),"⚠ MCC chưa có trong MCC_MASTER"))</f>
        <v/>
      </c>
      <c r="I196" s="46" t="n"/>
      <c r="J196" s="40" t="n"/>
      <c r="K196" s="40" t="n"/>
      <c r="L196" s="40" t="n"/>
      <c r="M196" s="40" t="n"/>
      <c r="N196" s="42" t="n"/>
      <c r="O196" s="42" t="n"/>
      <c r="P196" s="37" t="n"/>
      <c r="Q196" s="37" t="n"/>
      <c r="R196" s="45" t="str">
        <f>IF(B196="","",IF(ISNA(MATCH(B196,CARDS!$A$5:$A$34,0)),"⚠ Card ID không tồn tại",IF(E196="","⚠ Thiếu Nhóm cashback",IF(OR(SUMPRODUCT(($B$5:$B$304=B196)*($E$5:$E$304=E196)*($J$5:$J$304&lt;&gt;J196))&gt;0,SUMPRODUCT(($B$5:$B$304=B196)*($K$5:$K$304&lt;&gt;K196))&gt;0),"⚠ Cap không đồng nhất","✓ OK"))))</f>
        <v/>
      </c>
      <c r="S196" s="43" t="str">
        <f>IF(OR(B196="",E196=""),"",IF(COUNTIFS($B$5:$B196,B196,$E$5:$E196,E196)=1,MAX($S$4:$S195)+1,""))</f>
        <v/>
      </c>
    </row>
    <row r="197">
      <c r="A197" s="44" t="str">
        <f>IF(B197="","","R"&amp;TEXT(ROW()-4,"000"))</f>
        <v/>
      </c>
      <c r="B197" s="37" t="n"/>
      <c r="C197" s="45" t="str">
        <f>IF(B197="","",IFERROR(INDEX(CARDS!$B$5:$B$34,MATCH(B197,CARDS!$A$5:$A$34,0)),"⚠ Card ID?"))</f>
        <v/>
      </c>
      <c r="D197" s="45" t="str">
        <f>IF(B197="","",IFERROR(INDEX(CARDS!$C$5:$C$34,MATCH(B197,CARDS!$A$5:$A$34,0)),"⚠ Card ID?"))</f>
        <v/>
      </c>
      <c r="E197" s="37" t="n"/>
      <c r="F197" s="37" t="n"/>
      <c r="G197" s="41" t="n"/>
      <c r="H197" s="45" t="str">
        <f>IF(G197="","",IFERROR(INDEX(MCC_MASTER!$B$5:$B$504,MATCH(G197,MCC_MASTER!$A$5:$A$504,0)),"⚠ MCC chưa có trong MCC_MASTER"))</f>
        <v/>
      </c>
      <c r="I197" s="46" t="n"/>
      <c r="J197" s="40" t="n"/>
      <c r="K197" s="40" t="n"/>
      <c r="L197" s="40" t="n"/>
      <c r="M197" s="40" t="n"/>
      <c r="N197" s="42" t="n"/>
      <c r="O197" s="42" t="n"/>
      <c r="P197" s="37" t="n"/>
      <c r="Q197" s="37" t="n"/>
      <c r="R197" s="45" t="str">
        <f>IF(B197="","",IF(ISNA(MATCH(B197,CARDS!$A$5:$A$34,0)),"⚠ Card ID không tồn tại",IF(E197="","⚠ Thiếu Nhóm cashback",IF(OR(SUMPRODUCT(($B$5:$B$304=B197)*($E$5:$E$304=E197)*($J$5:$J$304&lt;&gt;J197))&gt;0,SUMPRODUCT(($B$5:$B$304=B197)*($K$5:$K$304&lt;&gt;K197))&gt;0),"⚠ Cap không đồng nhất","✓ OK"))))</f>
        <v/>
      </c>
      <c r="S197" s="43" t="str">
        <f>IF(OR(B197="",E197=""),"",IF(COUNTIFS($B$5:$B197,B197,$E$5:$E197,E197)=1,MAX($S$4:$S196)+1,""))</f>
        <v/>
      </c>
    </row>
    <row r="198">
      <c r="A198" s="44" t="str">
        <f>IF(B198="","","R"&amp;TEXT(ROW()-4,"000"))</f>
        <v/>
      </c>
      <c r="B198" s="37" t="n"/>
      <c r="C198" s="45" t="str">
        <f>IF(B198="","",IFERROR(INDEX(CARDS!$B$5:$B$34,MATCH(B198,CARDS!$A$5:$A$34,0)),"⚠ Card ID?"))</f>
        <v/>
      </c>
      <c r="D198" s="45" t="str">
        <f>IF(B198="","",IFERROR(INDEX(CARDS!$C$5:$C$34,MATCH(B198,CARDS!$A$5:$A$34,0)),"⚠ Card ID?"))</f>
        <v/>
      </c>
      <c r="E198" s="37" t="n"/>
      <c r="F198" s="37" t="n"/>
      <c r="G198" s="41" t="n"/>
      <c r="H198" s="45" t="str">
        <f>IF(G198="","",IFERROR(INDEX(MCC_MASTER!$B$5:$B$504,MATCH(G198,MCC_MASTER!$A$5:$A$504,0)),"⚠ MCC chưa có trong MCC_MASTER"))</f>
        <v/>
      </c>
      <c r="I198" s="46" t="n"/>
      <c r="J198" s="40" t="n"/>
      <c r="K198" s="40" t="n"/>
      <c r="L198" s="40" t="n"/>
      <c r="M198" s="40" t="n"/>
      <c r="N198" s="42" t="n"/>
      <c r="O198" s="42" t="n"/>
      <c r="P198" s="37" t="n"/>
      <c r="Q198" s="37" t="n"/>
      <c r="R198" s="45" t="str">
        <f>IF(B198="","",IF(ISNA(MATCH(B198,CARDS!$A$5:$A$34,0)),"⚠ Card ID không tồn tại",IF(E198="","⚠ Thiếu Nhóm cashback",IF(OR(SUMPRODUCT(($B$5:$B$304=B198)*($E$5:$E$304=E198)*($J$5:$J$304&lt;&gt;J198))&gt;0,SUMPRODUCT(($B$5:$B$304=B198)*($K$5:$K$304&lt;&gt;K198))&gt;0),"⚠ Cap không đồng nhất","✓ OK"))))</f>
        <v/>
      </c>
      <c r="S198" s="43" t="str">
        <f>IF(OR(B198="",E198=""),"",IF(COUNTIFS($B$5:$B198,B198,$E$5:$E198,E198)=1,MAX($S$4:$S197)+1,""))</f>
        <v/>
      </c>
    </row>
    <row r="199">
      <c r="A199" s="44" t="str">
        <f>IF(B199="","","R"&amp;TEXT(ROW()-4,"000"))</f>
        <v/>
      </c>
      <c r="B199" s="37" t="n"/>
      <c r="C199" s="45" t="str">
        <f>IF(B199="","",IFERROR(INDEX(CARDS!$B$5:$B$34,MATCH(B199,CARDS!$A$5:$A$34,0)),"⚠ Card ID?"))</f>
        <v/>
      </c>
      <c r="D199" s="45" t="str">
        <f>IF(B199="","",IFERROR(INDEX(CARDS!$C$5:$C$34,MATCH(B199,CARDS!$A$5:$A$34,0)),"⚠ Card ID?"))</f>
        <v/>
      </c>
      <c r="E199" s="37" t="n"/>
      <c r="F199" s="37" t="n"/>
      <c r="G199" s="41" t="n"/>
      <c r="H199" s="45" t="str">
        <f>IF(G199="","",IFERROR(INDEX(MCC_MASTER!$B$5:$B$504,MATCH(G199,MCC_MASTER!$A$5:$A$504,0)),"⚠ MCC chưa có trong MCC_MASTER"))</f>
        <v/>
      </c>
      <c r="I199" s="46" t="n"/>
      <c r="J199" s="40" t="n"/>
      <c r="K199" s="40" t="n"/>
      <c r="L199" s="40" t="n"/>
      <c r="M199" s="40" t="n"/>
      <c r="N199" s="42" t="n"/>
      <c r="O199" s="42" t="n"/>
      <c r="P199" s="37" t="n"/>
      <c r="Q199" s="37" t="n"/>
      <c r="R199" s="45" t="str">
        <f>IF(B199="","",IF(ISNA(MATCH(B199,CARDS!$A$5:$A$34,0)),"⚠ Card ID không tồn tại",IF(E199="","⚠ Thiếu Nhóm cashback",IF(OR(SUMPRODUCT(($B$5:$B$304=B199)*($E$5:$E$304=E199)*($J$5:$J$304&lt;&gt;J199))&gt;0,SUMPRODUCT(($B$5:$B$304=B199)*($K$5:$K$304&lt;&gt;K199))&gt;0),"⚠ Cap không đồng nhất","✓ OK"))))</f>
        <v/>
      </c>
      <c r="S199" s="43" t="str">
        <f>IF(OR(B199="",E199=""),"",IF(COUNTIFS($B$5:$B199,B199,$E$5:$E199,E199)=1,MAX($S$4:$S198)+1,""))</f>
        <v/>
      </c>
    </row>
    <row r="200">
      <c r="A200" s="44" t="str">
        <f>IF(B200="","","R"&amp;TEXT(ROW()-4,"000"))</f>
        <v/>
      </c>
      <c r="B200" s="37" t="n"/>
      <c r="C200" s="45" t="str">
        <f>IF(B200="","",IFERROR(INDEX(CARDS!$B$5:$B$34,MATCH(B200,CARDS!$A$5:$A$34,0)),"⚠ Card ID?"))</f>
        <v/>
      </c>
      <c r="D200" s="45" t="str">
        <f>IF(B200="","",IFERROR(INDEX(CARDS!$C$5:$C$34,MATCH(B200,CARDS!$A$5:$A$34,0)),"⚠ Card ID?"))</f>
        <v/>
      </c>
      <c r="E200" s="37" t="n"/>
      <c r="F200" s="37" t="n"/>
      <c r="G200" s="41" t="n"/>
      <c r="H200" s="45" t="str">
        <f>IF(G200="","",IFERROR(INDEX(MCC_MASTER!$B$5:$B$504,MATCH(G200,MCC_MASTER!$A$5:$A$504,0)),"⚠ MCC chưa có trong MCC_MASTER"))</f>
        <v/>
      </c>
      <c r="I200" s="46" t="n"/>
      <c r="J200" s="40" t="n"/>
      <c r="K200" s="40" t="n"/>
      <c r="L200" s="40" t="n"/>
      <c r="M200" s="40" t="n"/>
      <c r="N200" s="42" t="n"/>
      <c r="O200" s="42" t="n"/>
      <c r="P200" s="37" t="n"/>
      <c r="Q200" s="37" t="n"/>
      <c r="R200" s="45" t="str">
        <f>IF(B200="","",IF(ISNA(MATCH(B200,CARDS!$A$5:$A$34,0)),"⚠ Card ID không tồn tại",IF(E200="","⚠ Thiếu Nhóm cashback",IF(OR(SUMPRODUCT(($B$5:$B$304=B200)*($E$5:$E$304=E200)*($J$5:$J$304&lt;&gt;J200))&gt;0,SUMPRODUCT(($B$5:$B$304=B200)*($K$5:$K$304&lt;&gt;K200))&gt;0),"⚠ Cap không đồng nhất","✓ OK"))))</f>
        <v/>
      </c>
      <c r="S200" s="43" t="str">
        <f>IF(OR(B200="",E200=""),"",IF(COUNTIFS($B$5:$B200,B200,$E$5:$E200,E200)=1,MAX($S$4:$S199)+1,""))</f>
        <v/>
      </c>
    </row>
    <row r="201">
      <c r="A201" s="44" t="str">
        <f>IF(B201="","","R"&amp;TEXT(ROW()-4,"000"))</f>
        <v/>
      </c>
      <c r="B201" s="37" t="n"/>
      <c r="C201" s="45" t="str">
        <f>IF(B201="","",IFERROR(INDEX(CARDS!$B$5:$B$34,MATCH(B201,CARDS!$A$5:$A$34,0)),"⚠ Card ID?"))</f>
        <v/>
      </c>
      <c r="D201" s="45" t="str">
        <f>IF(B201="","",IFERROR(INDEX(CARDS!$C$5:$C$34,MATCH(B201,CARDS!$A$5:$A$34,0)),"⚠ Card ID?"))</f>
        <v/>
      </c>
      <c r="E201" s="37" t="n"/>
      <c r="F201" s="37" t="n"/>
      <c r="G201" s="41" t="n"/>
      <c r="H201" s="45" t="str">
        <f>IF(G201="","",IFERROR(INDEX(MCC_MASTER!$B$5:$B$504,MATCH(G201,MCC_MASTER!$A$5:$A$504,0)),"⚠ MCC chưa có trong MCC_MASTER"))</f>
        <v/>
      </c>
      <c r="I201" s="46" t="n"/>
      <c r="J201" s="40" t="n"/>
      <c r="K201" s="40" t="n"/>
      <c r="L201" s="40" t="n"/>
      <c r="M201" s="40" t="n"/>
      <c r="N201" s="42" t="n"/>
      <c r="O201" s="42" t="n"/>
      <c r="P201" s="37" t="n"/>
      <c r="Q201" s="37" t="n"/>
      <c r="R201" s="45" t="str">
        <f>IF(B201="","",IF(ISNA(MATCH(B201,CARDS!$A$5:$A$34,0)),"⚠ Card ID không tồn tại",IF(E201="","⚠ Thiếu Nhóm cashback",IF(OR(SUMPRODUCT(($B$5:$B$304=B201)*($E$5:$E$304=E201)*($J$5:$J$304&lt;&gt;J201))&gt;0,SUMPRODUCT(($B$5:$B$304=B201)*($K$5:$K$304&lt;&gt;K201))&gt;0),"⚠ Cap không đồng nhất","✓ OK"))))</f>
        <v/>
      </c>
      <c r="S201" s="43" t="str">
        <f>IF(OR(B201="",E201=""),"",IF(COUNTIFS($B$5:$B201,B201,$E$5:$E201,E201)=1,MAX($S$4:$S200)+1,""))</f>
        <v/>
      </c>
    </row>
    <row r="202">
      <c r="A202" s="44" t="str">
        <f>IF(B202="","","R"&amp;TEXT(ROW()-4,"000"))</f>
        <v/>
      </c>
      <c r="B202" s="37" t="n"/>
      <c r="C202" s="45" t="str">
        <f>IF(B202="","",IFERROR(INDEX(CARDS!$B$5:$B$34,MATCH(B202,CARDS!$A$5:$A$34,0)),"⚠ Card ID?"))</f>
        <v/>
      </c>
      <c r="D202" s="45" t="str">
        <f>IF(B202="","",IFERROR(INDEX(CARDS!$C$5:$C$34,MATCH(B202,CARDS!$A$5:$A$34,0)),"⚠ Card ID?"))</f>
        <v/>
      </c>
      <c r="E202" s="37" t="n"/>
      <c r="F202" s="37" t="n"/>
      <c r="G202" s="41" t="n"/>
      <c r="H202" s="45" t="str">
        <f>IF(G202="","",IFERROR(INDEX(MCC_MASTER!$B$5:$B$504,MATCH(G202,MCC_MASTER!$A$5:$A$504,0)),"⚠ MCC chưa có trong MCC_MASTER"))</f>
        <v/>
      </c>
      <c r="I202" s="46" t="n"/>
      <c r="J202" s="40" t="n"/>
      <c r="K202" s="40" t="n"/>
      <c r="L202" s="40" t="n"/>
      <c r="M202" s="40" t="n"/>
      <c r="N202" s="42" t="n"/>
      <c r="O202" s="42" t="n"/>
      <c r="P202" s="37" t="n"/>
      <c r="Q202" s="37" t="n"/>
      <c r="R202" s="45" t="str">
        <f>IF(B202="","",IF(ISNA(MATCH(B202,CARDS!$A$5:$A$34,0)),"⚠ Card ID không tồn tại",IF(E202="","⚠ Thiếu Nhóm cashback",IF(OR(SUMPRODUCT(($B$5:$B$304=B202)*($E$5:$E$304=E202)*($J$5:$J$304&lt;&gt;J202))&gt;0,SUMPRODUCT(($B$5:$B$304=B202)*($K$5:$K$304&lt;&gt;K202))&gt;0),"⚠ Cap không đồng nhất","✓ OK"))))</f>
        <v/>
      </c>
      <c r="S202" s="43" t="str">
        <f>IF(OR(B202="",E202=""),"",IF(COUNTIFS($B$5:$B202,B202,$E$5:$E202,E202)=1,MAX($S$4:$S201)+1,""))</f>
        <v/>
      </c>
    </row>
    <row r="203">
      <c r="A203" s="44" t="str">
        <f>IF(B203="","","R"&amp;TEXT(ROW()-4,"000"))</f>
        <v/>
      </c>
      <c r="B203" s="37" t="n"/>
      <c r="C203" s="45" t="str">
        <f>IF(B203="","",IFERROR(INDEX(CARDS!$B$5:$B$34,MATCH(B203,CARDS!$A$5:$A$34,0)),"⚠ Card ID?"))</f>
        <v/>
      </c>
      <c r="D203" s="45" t="str">
        <f>IF(B203="","",IFERROR(INDEX(CARDS!$C$5:$C$34,MATCH(B203,CARDS!$A$5:$A$34,0)),"⚠ Card ID?"))</f>
        <v/>
      </c>
      <c r="E203" s="37" t="n"/>
      <c r="F203" s="37" t="n"/>
      <c r="G203" s="41" t="n"/>
      <c r="H203" s="45" t="str">
        <f>IF(G203="","",IFERROR(INDEX(MCC_MASTER!$B$5:$B$504,MATCH(G203,MCC_MASTER!$A$5:$A$504,0)),"⚠ MCC chưa có trong MCC_MASTER"))</f>
        <v/>
      </c>
      <c r="I203" s="46" t="n"/>
      <c r="J203" s="40" t="n"/>
      <c r="K203" s="40" t="n"/>
      <c r="L203" s="40" t="n"/>
      <c r="M203" s="40" t="n"/>
      <c r="N203" s="42" t="n"/>
      <c r="O203" s="42" t="n"/>
      <c r="P203" s="37" t="n"/>
      <c r="Q203" s="37" t="n"/>
      <c r="R203" s="45" t="str">
        <f>IF(B203="","",IF(ISNA(MATCH(B203,CARDS!$A$5:$A$34,0)),"⚠ Card ID không tồn tại",IF(E203="","⚠ Thiếu Nhóm cashback",IF(OR(SUMPRODUCT(($B$5:$B$304=B203)*($E$5:$E$304=E203)*($J$5:$J$304&lt;&gt;J203))&gt;0,SUMPRODUCT(($B$5:$B$304=B203)*($K$5:$K$304&lt;&gt;K203))&gt;0),"⚠ Cap không đồng nhất","✓ OK"))))</f>
        <v/>
      </c>
      <c r="S203" s="43" t="str">
        <f>IF(OR(B203="",E203=""),"",IF(COUNTIFS($B$5:$B203,B203,$E$5:$E203,E203)=1,MAX($S$4:$S202)+1,""))</f>
        <v/>
      </c>
    </row>
    <row r="204">
      <c r="A204" s="44" t="str">
        <f>IF(B204="","","R"&amp;TEXT(ROW()-4,"000"))</f>
        <v/>
      </c>
      <c r="B204" s="37" t="n"/>
      <c r="C204" s="45" t="str">
        <f>IF(B204="","",IFERROR(INDEX(CARDS!$B$5:$B$34,MATCH(B204,CARDS!$A$5:$A$34,0)),"⚠ Card ID?"))</f>
        <v/>
      </c>
      <c r="D204" s="45" t="str">
        <f>IF(B204="","",IFERROR(INDEX(CARDS!$C$5:$C$34,MATCH(B204,CARDS!$A$5:$A$34,0)),"⚠ Card ID?"))</f>
        <v/>
      </c>
      <c r="E204" s="37" t="n"/>
      <c r="F204" s="37" t="n"/>
      <c r="G204" s="41" t="n"/>
      <c r="H204" s="45" t="str">
        <f>IF(G204="","",IFERROR(INDEX(MCC_MASTER!$B$5:$B$504,MATCH(G204,MCC_MASTER!$A$5:$A$504,0)),"⚠ MCC chưa có trong MCC_MASTER"))</f>
        <v/>
      </c>
      <c r="I204" s="46" t="n"/>
      <c r="J204" s="40" t="n"/>
      <c r="K204" s="40" t="n"/>
      <c r="L204" s="40" t="n"/>
      <c r="M204" s="40" t="n"/>
      <c r="N204" s="42" t="n"/>
      <c r="O204" s="42" t="n"/>
      <c r="P204" s="37" t="n"/>
      <c r="Q204" s="37" t="n"/>
      <c r="R204" s="45" t="str">
        <f>IF(B204="","",IF(ISNA(MATCH(B204,CARDS!$A$5:$A$34,0)),"⚠ Card ID không tồn tại",IF(E204="","⚠ Thiếu Nhóm cashback",IF(OR(SUMPRODUCT(($B$5:$B$304=B204)*($E$5:$E$304=E204)*($J$5:$J$304&lt;&gt;J204))&gt;0,SUMPRODUCT(($B$5:$B$304=B204)*($K$5:$K$304&lt;&gt;K204))&gt;0),"⚠ Cap không đồng nhất","✓ OK"))))</f>
        <v/>
      </c>
      <c r="S204" s="43" t="str">
        <f>IF(OR(B204="",E204=""),"",IF(COUNTIFS($B$5:$B204,B204,$E$5:$E204,E204)=1,MAX($S$4:$S203)+1,""))</f>
        <v/>
      </c>
    </row>
    <row r="205">
      <c r="A205" s="44" t="str">
        <f>IF(B205="","","R"&amp;TEXT(ROW()-4,"000"))</f>
        <v/>
      </c>
      <c r="B205" s="37" t="n"/>
      <c r="C205" s="45" t="str">
        <f>IF(B205="","",IFERROR(INDEX(CARDS!$B$5:$B$34,MATCH(B205,CARDS!$A$5:$A$34,0)),"⚠ Card ID?"))</f>
        <v/>
      </c>
      <c r="D205" s="45" t="str">
        <f>IF(B205="","",IFERROR(INDEX(CARDS!$C$5:$C$34,MATCH(B205,CARDS!$A$5:$A$34,0)),"⚠ Card ID?"))</f>
        <v/>
      </c>
      <c r="E205" s="37" t="n"/>
      <c r="F205" s="37" t="n"/>
      <c r="G205" s="41" t="n"/>
      <c r="H205" s="45" t="str">
        <f>IF(G205="","",IFERROR(INDEX(MCC_MASTER!$B$5:$B$504,MATCH(G205,MCC_MASTER!$A$5:$A$504,0)),"⚠ MCC chưa có trong MCC_MASTER"))</f>
        <v/>
      </c>
      <c r="I205" s="46" t="n"/>
      <c r="J205" s="40" t="n"/>
      <c r="K205" s="40" t="n"/>
      <c r="L205" s="40" t="n"/>
      <c r="M205" s="40" t="n"/>
      <c r="N205" s="42" t="n"/>
      <c r="O205" s="42" t="n"/>
      <c r="P205" s="37" t="n"/>
      <c r="Q205" s="37" t="n"/>
      <c r="R205" s="45" t="str">
        <f>IF(B205="","",IF(ISNA(MATCH(B205,CARDS!$A$5:$A$34,0)),"⚠ Card ID không tồn tại",IF(E205="","⚠ Thiếu Nhóm cashback",IF(OR(SUMPRODUCT(($B$5:$B$304=B205)*($E$5:$E$304=E205)*($J$5:$J$304&lt;&gt;J205))&gt;0,SUMPRODUCT(($B$5:$B$304=B205)*($K$5:$K$304&lt;&gt;K205))&gt;0),"⚠ Cap không đồng nhất","✓ OK"))))</f>
        <v/>
      </c>
      <c r="S205" s="43" t="str">
        <f>IF(OR(B205="",E205=""),"",IF(COUNTIFS($B$5:$B205,B205,$E$5:$E205,E205)=1,MAX($S$4:$S204)+1,""))</f>
        <v/>
      </c>
    </row>
    <row r="206">
      <c r="A206" s="44" t="str">
        <f>IF(B206="","","R"&amp;TEXT(ROW()-4,"000"))</f>
        <v/>
      </c>
      <c r="B206" s="37" t="n"/>
      <c r="C206" s="45" t="str">
        <f>IF(B206="","",IFERROR(INDEX(CARDS!$B$5:$B$34,MATCH(B206,CARDS!$A$5:$A$34,0)),"⚠ Card ID?"))</f>
        <v/>
      </c>
      <c r="D206" s="45" t="str">
        <f>IF(B206="","",IFERROR(INDEX(CARDS!$C$5:$C$34,MATCH(B206,CARDS!$A$5:$A$34,0)),"⚠ Card ID?"))</f>
        <v/>
      </c>
      <c r="E206" s="37" t="n"/>
      <c r="F206" s="37" t="n"/>
      <c r="G206" s="41" t="n"/>
      <c r="H206" s="45" t="str">
        <f>IF(G206="","",IFERROR(INDEX(MCC_MASTER!$B$5:$B$504,MATCH(G206,MCC_MASTER!$A$5:$A$504,0)),"⚠ MCC chưa có trong MCC_MASTER"))</f>
        <v/>
      </c>
      <c r="I206" s="46" t="n"/>
      <c r="J206" s="40" t="n"/>
      <c r="K206" s="40" t="n"/>
      <c r="L206" s="40" t="n"/>
      <c r="M206" s="40" t="n"/>
      <c r="N206" s="42" t="n"/>
      <c r="O206" s="42" t="n"/>
      <c r="P206" s="37" t="n"/>
      <c r="Q206" s="37" t="n"/>
      <c r="R206" s="45" t="str">
        <f>IF(B206="","",IF(ISNA(MATCH(B206,CARDS!$A$5:$A$34,0)),"⚠ Card ID không tồn tại",IF(E206="","⚠ Thiếu Nhóm cashback",IF(OR(SUMPRODUCT(($B$5:$B$304=B206)*($E$5:$E$304=E206)*($J$5:$J$304&lt;&gt;J206))&gt;0,SUMPRODUCT(($B$5:$B$304=B206)*($K$5:$K$304&lt;&gt;K206))&gt;0),"⚠ Cap không đồng nhất","✓ OK"))))</f>
        <v/>
      </c>
      <c r="S206" s="43" t="str">
        <f>IF(OR(B206="",E206=""),"",IF(COUNTIFS($B$5:$B206,B206,$E$5:$E206,E206)=1,MAX($S$4:$S205)+1,""))</f>
        <v/>
      </c>
    </row>
    <row r="207">
      <c r="A207" s="44" t="str">
        <f>IF(B207="","","R"&amp;TEXT(ROW()-4,"000"))</f>
        <v/>
      </c>
      <c r="B207" s="37" t="n"/>
      <c r="C207" s="45" t="str">
        <f>IF(B207="","",IFERROR(INDEX(CARDS!$B$5:$B$34,MATCH(B207,CARDS!$A$5:$A$34,0)),"⚠ Card ID?"))</f>
        <v/>
      </c>
      <c r="D207" s="45" t="str">
        <f>IF(B207="","",IFERROR(INDEX(CARDS!$C$5:$C$34,MATCH(B207,CARDS!$A$5:$A$34,0)),"⚠ Card ID?"))</f>
        <v/>
      </c>
      <c r="E207" s="37" t="n"/>
      <c r="F207" s="37" t="n"/>
      <c r="G207" s="41" t="n"/>
      <c r="H207" s="45" t="str">
        <f>IF(G207="","",IFERROR(INDEX(MCC_MASTER!$B$5:$B$504,MATCH(G207,MCC_MASTER!$A$5:$A$504,0)),"⚠ MCC chưa có trong MCC_MASTER"))</f>
        <v/>
      </c>
      <c r="I207" s="46" t="n"/>
      <c r="J207" s="40" t="n"/>
      <c r="K207" s="40" t="n"/>
      <c r="L207" s="40" t="n"/>
      <c r="M207" s="40" t="n"/>
      <c r="N207" s="42" t="n"/>
      <c r="O207" s="42" t="n"/>
      <c r="P207" s="37" t="n"/>
      <c r="Q207" s="37" t="n"/>
      <c r="R207" s="45" t="str">
        <f>IF(B207="","",IF(ISNA(MATCH(B207,CARDS!$A$5:$A$34,0)),"⚠ Card ID không tồn tại",IF(E207="","⚠ Thiếu Nhóm cashback",IF(OR(SUMPRODUCT(($B$5:$B$304=B207)*($E$5:$E$304=E207)*($J$5:$J$304&lt;&gt;J207))&gt;0,SUMPRODUCT(($B$5:$B$304=B207)*($K$5:$K$304&lt;&gt;K207))&gt;0),"⚠ Cap không đồng nhất","✓ OK"))))</f>
        <v/>
      </c>
      <c r="S207" s="43" t="str">
        <f>IF(OR(B207="",E207=""),"",IF(COUNTIFS($B$5:$B207,B207,$E$5:$E207,E207)=1,MAX($S$4:$S206)+1,""))</f>
        <v/>
      </c>
    </row>
    <row r="208">
      <c r="A208" s="44" t="str">
        <f>IF(B208="","","R"&amp;TEXT(ROW()-4,"000"))</f>
        <v/>
      </c>
      <c r="B208" s="37" t="n"/>
      <c r="C208" s="45" t="str">
        <f>IF(B208="","",IFERROR(INDEX(CARDS!$B$5:$B$34,MATCH(B208,CARDS!$A$5:$A$34,0)),"⚠ Card ID?"))</f>
        <v/>
      </c>
      <c r="D208" s="45" t="str">
        <f>IF(B208="","",IFERROR(INDEX(CARDS!$C$5:$C$34,MATCH(B208,CARDS!$A$5:$A$34,0)),"⚠ Card ID?"))</f>
        <v/>
      </c>
      <c r="E208" s="37" t="n"/>
      <c r="F208" s="37" t="n"/>
      <c r="G208" s="41" t="n"/>
      <c r="H208" s="45" t="str">
        <f>IF(G208="","",IFERROR(INDEX(MCC_MASTER!$B$5:$B$504,MATCH(G208,MCC_MASTER!$A$5:$A$504,0)),"⚠ MCC chưa có trong MCC_MASTER"))</f>
        <v/>
      </c>
      <c r="I208" s="46" t="n"/>
      <c r="J208" s="40" t="n"/>
      <c r="K208" s="40" t="n"/>
      <c r="L208" s="40" t="n"/>
      <c r="M208" s="40" t="n"/>
      <c r="N208" s="42" t="n"/>
      <c r="O208" s="42" t="n"/>
      <c r="P208" s="37" t="n"/>
      <c r="Q208" s="37" t="n"/>
      <c r="R208" s="45" t="str">
        <f>IF(B208="","",IF(ISNA(MATCH(B208,CARDS!$A$5:$A$34,0)),"⚠ Card ID không tồn tại",IF(E208="","⚠ Thiếu Nhóm cashback",IF(OR(SUMPRODUCT(($B$5:$B$304=B208)*($E$5:$E$304=E208)*($J$5:$J$304&lt;&gt;J208))&gt;0,SUMPRODUCT(($B$5:$B$304=B208)*($K$5:$K$304&lt;&gt;K208))&gt;0),"⚠ Cap không đồng nhất","✓ OK"))))</f>
        <v/>
      </c>
      <c r="S208" s="43" t="str">
        <f>IF(OR(B208="",E208=""),"",IF(COUNTIFS($B$5:$B208,B208,$E$5:$E208,E208)=1,MAX($S$4:$S207)+1,""))</f>
        <v/>
      </c>
    </row>
    <row r="209">
      <c r="A209" s="44" t="str">
        <f>IF(B209="","","R"&amp;TEXT(ROW()-4,"000"))</f>
        <v/>
      </c>
      <c r="B209" s="37" t="n"/>
      <c r="C209" s="45" t="str">
        <f>IF(B209="","",IFERROR(INDEX(CARDS!$B$5:$B$34,MATCH(B209,CARDS!$A$5:$A$34,0)),"⚠ Card ID?"))</f>
        <v/>
      </c>
      <c r="D209" s="45" t="str">
        <f>IF(B209="","",IFERROR(INDEX(CARDS!$C$5:$C$34,MATCH(B209,CARDS!$A$5:$A$34,0)),"⚠ Card ID?"))</f>
        <v/>
      </c>
      <c r="E209" s="37" t="n"/>
      <c r="F209" s="37" t="n"/>
      <c r="G209" s="41" t="n"/>
      <c r="H209" s="45" t="str">
        <f>IF(G209="","",IFERROR(INDEX(MCC_MASTER!$B$5:$B$504,MATCH(G209,MCC_MASTER!$A$5:$A$504,0)),"⚠ MCC chưa có trong MCC_MASTER"))</f>
        <v/>
      </c>
      <c r="I209" s="46" t="n"/>
      <c r="J209" s="40" t="n"/>
      <c r="K209" s="40" t="n"/>
      <c r="L209" s="40" t="n"/>
      <c r="M209" s="40" t="n"/>
      <c r="N209" s="42" t="n"/>
      <c r="O209" s="42" t="n"/>
      <c r="P209" s="37" t="n"/>
      <c r="Q209" s="37" t="n"/>
      <c r="R209" s="45" t="str">
        <f>IF(B209="","",IF(ISNA(MATCH(B209,CARDS!$A$5:$A$34,0)),"⚠ Card ID không tồn tại",IF(E209="","⚠ Thiếu Nhóm cashback",IF(OR(SUMPRODUCT(($B$5:$B$304=B209)*($E$5:$E$304=E209)*($J$5:$J$304&lt;&gt;J209))&gt;0,SUMPRODUCT(($B$5:$B$304=B209)*($K$5:$K$304&lt;&gt;K209))&gt;0),"⚠ Cap không đồng nhất","✓ OK"))))</f>
        <v/>
      </c>
      <c r="S209" s="43" t="str">
        <f>IF(OR(B209="",E209=""),"",IF(COUNTIFS($B$5:$B209,B209,$E$5:$E209,E209)=1,MAX($S$4:$S208)+1,""))</f>
        <v/>
      </c>
    </row>
    <row r="210">
      <c r="A210" s="44" t="str">
        <f>IF(B210="","","R"&amp;TEXT(ROW()-4,"000"))</f>
        <v/>
      </c>
      <c r="B210" s="37" t="n"/>
      <c r="C210" s="45" t="str">
        <f>IF(B210="","",IFERROR(INDEX(CARDS!$B$5:$B$34,MATCH(B210,CARDS!$A$5:$A$34,0)),"⚠ Card ID?"))</f>
        <v/>
      </c>
      <c r="D210" s="45" t="str">
        <f>IF(B210="","",IFERROR(INDEX(CARDS!$C$5:$C$34,MATCH(B210,CARDS!$A$5:$A$34,0)),"⚠ Card ID?"))</f>
        <v/>
      </c>
      <c r="E210" s="37" t="n"/>
      <c r="F210" s="37" t="n"/>
      <c r="G210" s="41" t="n"/>
      <c r="H210" s="45" t="str">
        <f>IF(G210="","",IFERROR(INDEX(MCC_MASTER!$B$5:$B$504,MATCH(G210,MCC_MASTER!$A$5:$A$504,0)),"⚠ MCC chưa có trong MCC_MASTER"))</f>
        <v/>
      </c>
      <c r="I210" s="46" t="n"/>
      <c r="J210" s="40" t="n"/>
      <c r="K210" s="40" t="n"/>
      <c r="L210" s="40" t="n"/>
      <c r="M210" s="40" t="n"/>
      <c r="N210" s="42" t="n"/>
      <c r="O210" s="42" t="n"/>
      <c r="P210" s="37" t="n"/>
      <c r="Q210" s="37" t="n"/>
      <c r="R210" s="45" t="str">
        <f>IF(B210="","",IF(ISNA(MATCH(B210,CARDS!$A$5:$A$34,0)),"⚠ Card ID không tồn tại",IF(E210="","⚠ Thiếu Nhóm cashback",IF(OR(SUMPRODUCT(($B$5:$B$304=B210)*($E$5:$E$304=E210)*($J$5:$J$304&lt;&gt;J210))&gt;0,SUMPRODUCT(($B$5:$B$304=B210)*($K$5:$K$304&lt;&gt;K210))&gt;0),"⚠ Cap không đồng nhất","✓ OK"))))</f>
        <v/>
      </c>
      <c r="S210" s="43" t="str">
        <f>IF(OR(B210="",E210=""),"",IF(COUNTIFS($B$5:$B210,B210,$E$5:$E210,E210)=1,MAX($S$4:$S209)+1,""))</f>
        <v/>
      </c>
    </row>
    <row r="211">
      <c r="A211" s="44" t="str">
        <f>IF(B211="","","R"&amp;TEXT(ROW()-4,"000"))</f>
        <v/>
      </c>
      <c r="B211" s="37" t="n"/>
      <c r="C211" s="45" t="str">
        <f>IF(B211="","",IFERROR(INDEX(CARDS!$B$5:$B$34,MATCH(B211,CARDS!$A$5:$A$34,0)),"⚠ Card ID?"))</f>
        <v/>
      </c>
      <c r="D211" s="45" t="str">
        <f>IF(B211="","",IFERROR(INDEX(CARDS!$C$5:$C$34,MATCH(B211,CARDS!$A$5:$A$34,0)),"⚠ Card ID?"))</f>
        <v/>
      </c>
      <c r="E211" s="37" t="n"/>
      <c r="F211" s="37" t="n"/>
      <c r="G211" s="41" t="n"/>
      <c r="H211" s="45" t="str">
        <f>IF(G211="","",IFERROR(INDEX(MCC_MASTER!$B$5:$B$504,MATCH(G211,MCC_MASTER!$A$5:$A$504,0)),"⚠ MCC chưa có trong MCC_MASTER"))</f>
        <v/>
      </c>
      <c r="I211" s="46" t="n"/>
      <c r="J211" s="40" t="n"/>
      <c r="K211" s="40" t="n"/>
      <c r="L211" s="40" t="n"/>
      <c r="M211" s="40" t="n"/>
      <c r="N211" s="42" t="n"/>
      <c r="O211" s="42" t="n"/>
      <c r="P211" s="37" t="n"/>
      <c r="Q211" s="37" t="n"/>
      <c r="R211" s="45" t="str">
        <f>IF(B211="","",IF(ISNA(MATCH(B211,CARDS!$A$5:$A$34,0)),"⚠ Card ID không tồn tại",IF(E211="","⚠ Thiếu Nhóm cashback",IF(OR(SUMPRODUCT(($B$5:$B$304=B211)*($E$5:$E$304=E211)*($J$5:$J$304&lt;&gt;J211))&gt;0,SUMPRODUCT(($B$5:$B$304=B211)*($K$5:$K$304&lt;&gt;K211))&gt;0),"⚠ Cap không đồng nhất","✓ OK"))))</f>
        <v/>
      </c>
      <c r="S211" s="43" t="str">
        <f>IF(OR(B211="",E211=""),"",IF(COUNTIFS($B$5:$B211,B211,$E$5:$E211,E211)=1,MAX($S$4:$S210)+1,""))</f>
        <v/>
      </c>
    </row>
    <row r="212">
      <c r="A212" s="44" t="str">
        <f>IF(B212="","","R"&amp;TEXT(ROW()-4,"000"))</f>
        <v/>
      </c>
      <c r="B212" s="37" t="n"/>
      <c r="C212" s="45" t="str">
        <f>IF(B212="","",IFERROR(INDEX(CARDS!$B$5:$B$34,MATCH(B212,CARDS!$A$5:$A$34,0)),"⚠ Card ID?"))</f>
        <v/>
      </c>
      <c r="D212" s="45" t="str">
        <f>IF(B212="","",IFERROR(INDEX(CARDS!$C$5:$C$34,MATCH(B212,CARDS!$A$5:$A$34,0)),"⚠ Card ID?"))</f>
        <v/>
      </c>
      <c r="E212" s="37" t="n"/>
      <c r="F212" s="37" t="n"/>
      <c r="G212" s="41" t="n"/>
      <c r="H212" s="45" t="str">
        <f>IF(G212="","",IFERROR(INDEX(MCC_MASTER!$B$5:$B$504,MATCH(G212,MCC_MASTER!$A$5:$A$504,0)),"⚠ MCC chưa có trong MCC_MASTER"))</f>
        <v/>
      </c>
      <c r="I212" s="46" t="n"/>
      <c r="J212" s="40" t="n"/>
      <c r="K212" s="40" t="n"/>
      <c r="L212" s="40" t="n"/>
      <c r="M212" s="40" t="n"/>
      <c r="N212" s="42" t="n"/>
      <c r="O212" s="42" t="n"/>
      <c r="P212" s="37" t="n"/>
      <c r="Q212" s="37" t="n"/>
      <c r="R212" s="45" t="str">
        <f>IF(B212="","",IF(ISNA(MATCH(B212,CARDS!$A$5:$A$34,0)),"⚠ Card ID không tồn tại",IF(E212="","⚠ Thiếu Nhóm cashback",IF(OR(SUMPRODUCT(($B$5:$B$304=B212)*($E$5:$E$304=E212)*($J$5:$J$304&lt;&gt;J212))&gt;0,SUMPRODUCT(($B$5:$B$304=B212)*($K$5:$K$304&lt;&gt;K212))&gt;0),"⚠ Cap không đồng nhất","✓ OK"))))</f>
        <v/>
      </c>
      <c r="S212" s="43" t="str">
        <f>IF(OR(B212="",E212=""),"",IF(COUNTIFS($B$5:$B212,B212,$E$5:$E212,E212)=1,MAX($S$4:$S211)+1,""))</f>
        <v/>
      </c>
    </row>
    <row r="213">
      <c r="A213" s="44" t="str">
        <f>IF(B213="","","R"&amp;TEXT(ROW()-4,"000"))</f>
        <v/>
      </c>
      <c r="B213" s="37" t="n"/>
      <c r="C213" s="45" t="str">
        <f>IF(B213="","",IFERROR(INDEX(CARDS!$B$5:$B$34,MATCH(B213,CARDS!$A$5:$A$34,0)),"⚠ Card ID?"))</f>
        <v/>
      </c>
      <c r="D213" s="45" t="str">
        <f>IF(B213="","",IFERROR(INDEX(CARDS!$C$5:$C$34,MATCH(B213,CARDS!$A$5:$A$34,0)),"⚠ Card ID?"))</f>
        <v/>
      </c>
      <c r="E213" s="37" t="n"/>
      <c r="F213" s="37" t="n"/>
      <c r="G213" s="41" t="n"/>
      <c r="H213" s="45" t="str">
        <f>IF(G213="","",IFERROR(INDEX(MCC_MASTER!$B$5:$B$504,MATCH(G213,MCC_MASTER!$A$5:$A$504,0)),"⚠ MCC chưa có trong MCC_MASTER"))</f>
        <v/>
      </c>
      <c r="I213" s="46" t="n"/>
      <c r="J213" s="40" t="n"/>
      <c r="K213" s="40" t="n"/>
      <c r="L213" s="40" t="n"/>
      <c r="M213" s="40" t="n"/>
      <c r="N213" s="42" t="n"/>
      <c r="O213" s="42" t="n"/>
      <c r="P213" s="37" t="n"/>
      <c r="Q213" s="37" t="n"/>
      <c r="R213" s="45" t="str">
        <f>IF(B213="","",IF(ISNA(MATCH(B213,CARDS!$A$5:$A$34,0)),"⚠ Card ID không tồn tại",IF(E213="","⚠ Thiếu Nhóm cashback",IF(OR(SUMPRODUCT(($B$5:$B$304=B213)*($E$5:$E$304=E213)*($J$5:$J$304&lt;&gt;J213))&gt;0,SUMPRODUCT(($B$5:$B$304=B213)*($K$5:$K$304&lt;&gt;K213))&gt;0),"⚠ Cap không đồng nhất","✓ OK"))))</f>
        <v/>
      </c>
      <c r="S213" s="43" t="str">
        <f>IF(OR(B213="",E213=""),"",IF(COUNTIFS($B$5:$B213,B213,$E$5:$E213,E213)=1,MAX($S$4:$S212)+1,""))</f>
        <v/>
      </c>
    </row>
    <row r="214">
      <c r="A214" s="44" t="str">
        <f>IF(B214="","","R"&amp;TEXT(ROW()-4,"000"))</f>
        <v/>
      </c>
      <c r="B214" s="37" t="n"/>
      <c r="C214" s="45" t="str">
        <f>IF(B214="","",IFERROR(INDEX(CARDS!$B$5:$B$34,MATCH(B214,CARDS!$A$5:$A$34,0)),"⚠ Card ID?"))</f>
        <v/>
      </c>
      <c r="D214" s="45" t="str">
        <f>IF(B214="","",IFERROR(INDEX(CARDS!$C$5:$C$34,MATCH(B214,CARDS!$A$5:$A$34,0)),"⚠ Card ID?"))</f>
        <v/>
      </c>
      <c r="E214" s="37" t="n"/>
      <c r="F214" s="37" t="n"/>
      <c r="G214" s="41" t="n"/>
      <c r="H214" s="45" t="str">
        <f>IF(G214="","",IFERROR(INDEX(MCC_MASTER!$B$5:$B$504,MATCH(G214,MCC_MASTER!$A$5:$A$504,0)),"⚠ MCC chưa có trong MCC_MASTER"))</f>
        <v/>
      </c>
      <c r="I214" s="46" t="n"/>
      <c r="J214" s="40" t="n"/>
      <c r="K214" s="40" t="n"/>
      <c r="L214" s="40" t="n"/>
      <c r="M214" s="40" t="n"/>
      <c r="N214" s="42" t="n"/>
      <c r="O214" s="42" t="n"/>
      <c r="P214" s="37" t="n"/>
      <c r="Q214" s="37" t="n"/>
      <c r="R214" s="45" t="str">
        <f>IF(B214="","",IF(ISNA(MATCH(B214,CARDS!$A$5:$A$34,0)),"⚠ Card ID không tồn tại",IF(E214="","⚠ Thiếu Nhóm cashback",IF(OR(SUMPRODUCT(($B$5:$B$304=B214)*($E$5:$E$304=E214)*($J$5:$J$304&lt;&gt;J214))&gt;0,SUMPRODUCT(($B$5:$B$304=B214)*($K$5:$K$304&lt;&gt;K214))&gt;0),"⚠ Cap không đồng nhất","✓ OK"))))</f>
        <v/>
      </c>
      <c r="S214" s="43" t="str">
        <f>IF(OR(B214="",E214=""),"",IF(COUNTIFS($B$5:$B214,B214,$E$5:$E214,E214)=1,MAX($S$4:$S213)+1,""))</f>
        <v/>
      </c>
    </row>
    <row r="215">
      <c r="A215" s="44" t="str">
        <f>IF(B215="","","R"&amp;TEXT(ROW()-4,"000"))</f>
        <v/>
      </c>
      <c r="B215" s="37" t="n"/>
      <c r="C215" s="45" t="str">
        <f>IF(B215="","",IFERROR(INDEX(CARDS!$B$5:$B$34,MATCH(B215,CARDS!$A$5:$A$34,0)),"⚠ Card ID?"))</f>
        <v/>
      </c>
      <c r="D215" s="45" t="str">
        <f>IF(B215="","",IFERROR(INDEX(CARDS!$C$5:$C$34,MATCH(B215,CARDS!$A$5:$A$34,0)),"⚠ Card ID?"))</f>
        <v/>
      </c>
      <c r="E215" s="37" t="n"/>
      <c r="F215" s="37" t="n"/>
      <c r="G215" s="41" t="n"/>
      <c r="H215" s="45" t="str">
        <f>IF(G215="","",IFERROR(INDEX(MCC_MASTER!$B$5:$B$504,MATCH(G215,MCC_MASTER!$A$5:$A$504,0)),"⚠ MCC chưa có trong MCC_MASTER"))</f>
        <v/>
      </c>
      <c r="I215" s="46" t="n"/>
      <c r="J215" s="40" t="n"/>
      <c r="K215" s="40" t="n"/>
      <c r="L215" s="40" t="n"/>
      <c r="M215" s="40" t="n"/>
      <c r="N215" s="42" t="n"/>
      <c r="O215" s="42" t="n"/>
      <c r="P215" s="37" t="n"/>
      <c r="Q215" s="37" t="n"/>
      <c r="R215" s="45" t="str">
        <f>IF(B215="","",IF(ISNA(MATCH(B215,CARDS!$A$5:$A$34,0)),"⚠ Card ID không tồn tại",IF(E215="","⚠ Thiếu Nhóm cashback",IF(OR(SUMPRODUCT(($B$5:$B$304=B215)*($E$5:$E$304=E215)*($J$5:$J$304&lt;&gt;J215))&gt;0,SUMPRODUCT(($B$5:$B$304=B215)*($K$5:$K$304&lt;&gt;K215))&gt;0),"⚠ Cap không đồng nhất","✓ OK"))))</f>
        <v/>
      </c>
      <c r="S215" s="43" t="str">
        <f>IF(OR(B215="",E215=""),"",IF(COUNTIFS($B$5:$B215,B215,$E$5:$E215,E215)=1,MAX($S$4:$S214)+1,""))</f>
        <v/>
      </c>
    </row>
    <row r="216">
      <c r="A216" s="44" t="str">
        <f>IF(B216="","","R"&amp;TEXT(ROW()-4,"000"))</f>
        <v/>
      </c>
      <c r="B216" s="37" t="n"/>
      <c r="C216" s="45" t="str">
        <f>IF(B216="","",IFERROR(INDEX(CARDS!$B$5:$B$34,MATCH(B216,CARDS!$A$5:$A$34,0)),"⚠ Card ID?"))</f>
        <v/>
      </c>
      <c r="D216" s="45" t="str">
        <f>IF(B216="","",IFERROR(INDEX(CARDS!$C$5:$C$34,MATCH(B216,CARDS!$A$5:$A$34,0)),"⚠ Card ID?"))</f>
        <v/>
      </c>
      <c r="E216" s="37" t="n"/>
      <c r="F216" s="37" t="n"/>
      <c r="G216" s="41" t="n"/>
      <c r="H216" s="45" t="str">
        <f>IF(G216="","",IFERROR(INDEX(MCC_MASTER!$B$5:$B$504,MATCH(G216,MCC_MASTER!$A$5:$A$504,0)),"⚠ MCC chưa có trong MCC_MASTER"))</f>
        <v/>
      </c>
      <c r="I216" s="46" t="n"/>
      <c r="J216" s="40" t="n"/>
      <c r="K216" s="40" t="n"/>
      <c r="L216" s="40" t="n"/>
      <c r="M216" s="40" t="n"/>
      <c r="N216" s="42" t="n"/>
      <c r="O216" s="42" t="n"/>
      <c r="P216" s="37" t="n"/>
      <c r="Q216" s="37" t="n"/>
      <c r="R216" s="45" t="str">
        <f>IF(B216="","",IF(ISNA(MATCH(B216,CARDS!$A$5:$A$34,0)),"⚠ Card ID không tồn tại",IF(E216="","⚠ Thiếu Nhóm cashback",IF(OR(SUMPRODUCT(($B$5:$B$304=B216)*($E$5:$E$304=E216)*($J$5:$J$304&lt;&gt;J216))&gt;0,SUMPRODUCT(($B$5:$B$304=B216)*($K$5:$K$304&lt;&gt;K216))&gt;0),"⚠ Cap không đồng nhất","✓ OK"))))</f>
        <v/>
      </c>
      <c r="S216" s="43" t="str">
        <f>IF(OR(B216="",E216=""),"",IF(COUNTIFS($B$5:$B216,B216,$E$5:$E216,E216)=1,MAX($S$4:$S215)+1,""))</f>
        <v/>
      </c>
    </row>
    <row r="217">
      <c r="A217" s="44" t="str">
        <f>IF(B217="","","R"&amp;TEXT(ROW()-4,"000"))</f>
        <v/>
      </c>
      <c r="B217" s="37" t="n"/>
      <c r="C217" s="45" t="str">
        <f>IF(B217="","",IFERROR(INDEX(CARDS!$B$5:$B$34,MATCH(B217,CARDS!$A$5:$A$34,0)),"⚠ Card ID?"))</f>
        <v/>
      </c>
      <c r="D217" s="45" t="str">
        <f>IF(B217="","",IFERROR(INDEX(CARDS!$C$5:$C$34,MATCH(B217,CARDS!$A$5:$A$34,0)),"⚠ Card ID?"))</f>
        <v/>
      </c>
      <c r="E217" s="37" t="n"/>
      <c r="F217" s="37" t="n"/>
      <c r="G217" s="41" t="n"/>
      <c r="H217" s="45" t="str">
        <f>IF(G217="","",IFERROR(INDEX(MCC_MASTER!$B$5:$B$504,MATCH(G217,MCC_MASTER!$A$5:$A$504,0)),"⚠ MCC chưa có trong MCC_MASTER"))</f>
        <v/>
      </c>
      <c r="I217" s="46" t="n"/>
      <c r="J217" s="40" t="n"/>
      <c r="K217" s="40" t="n"/>
      <c r="L217" s="40" t="n"/>
      <c r="M217" s="40" t="n"/>
      <c r="N217" s="42" t="n"/>
      <c r="O217" s="42" t="n"/>
      <c r="P217" s="37" t="n"/>
      <c r="Q217" s="37" t="n"/>
      <c r="R217" s="45" t="str">
        <f>IF(B217="","",IF(ISNA(MATCH(B217,CARDS!$A$5:$A$34,0)),"⚠ Card ID không tồn tại",IF(E217="","⚠ Thiếu Nhóm cashback",IF(OR(SUMPRODUCT(($B$5:$B$304=B217)*($E$5:$E$304=E217)*($J$5:$J$304&lt;&gt;J217))&gt;0,SUMPRODUCT(($B$5:$B$304=B217)*($K$5:$K$304&lt;&gt;K217))&gt;0),"⚠ Cap không đồng nhất","✓ OK"))))</f>
        <v/>
      </c>
      <c r="S217" s="43" t="str">
        <f>IF(OR(B217="",E217=""),"",IF(COUNTIFS($B$5:$B217,B217,$E$5:$E217,E217)=1,MAX($S$4:$S216)+1,""))</f>
        <v/>
      </c>
    </row>
    <row r="218">
      <c r="A218" s="44" t="str">
        <f>IF(B218="","","R"&amp;TEXT(ROW()-4,"000"))</f>
        <v/>
      </c>
      <c r="B218" s="37" t="n"/>
      <c r="C218" s="45" t="str">
        <f>IF(B218="","",IFERROR(INDEX(CARDS!$B$5:$B$34,MATCH(B218,CARDS!$A$5:$A$34,0)),"⚠ Card ID?"))</f>
        <v/>
      </c>
      <c r="D218" s="45" t="str">
        <f>IF(B218="","",IFERROR(INDEX(CARDS!$C$5:$C$34,MATCH(B218,CARDS!$A$5:$A$34,0)),"⚠ Card ID?"))</f>
        <v/>
      </c>
      <c r="E218" s="37" t="n"/>
      <c r="F218" s="37" t="n"/>
      <c r="G218" s="41" t="n"/>
      <c r="H218" s="45" t="str">
        <f>IF(G218="","",IFERROR(INDEX(MCC_MASTER!$B$5:$B$504,MATCH(G218,MCC_MASTER!$A$5:$A$504,0)),"⚠ MCC chưa có trong MCC_MASTER"))</f>
        <v/>
      </c>
      <c r="I218" s="46" t="n"/>
      <c r="J218" s="40" t="n"/>
      <c r="K218" s="40" t="n"/>
      <c r="L218" s="40" t="n"/>
      <c r="M218" s="40" t="n"/>
      <c r="N218" s="42" t="n"/>
      <c r="O218" s="42" t="n"/>
      <c r="P218" s="37" t="n"/>
      <c r="Q218" s="37" t="n"/>
      <c r="R218" s="45" t="str">
        <f>IF(B218="","",IF(ISNA(MATCH(B218,CARDS!$A$5:$A$34,0)),"⚠ Card ID không tồn tại",IF(E218="","⚠ Thiếu Nhóm cashback",IF(OR(SUMPRODUCT(($B$5:$B$304=B218)*($E$5:$E$304=E218)*($J$5:$J$304&lt;&gt;J218))&gt;0,SUMPRODUCT(($B$5:$B$304=B218)*($K$5:$K$304&lt;&gt;K218))&gt;0),"⚠ Cap không đồng nhất","✓ OK"))))</f>
        <v/>
      </c>
      <c r="S218" s="43" t="str">
        <f>IF(OR(B218="",E218=""),"",IF(COUNTIFS($B$5:$B218,B218,$E$5:$E218,E218)=1,MAX($S$4:$S217)+1,""))</f>
        <v/>
      </c>
    </row>
    <row r="219">
      <c r="A219" s="44" t="str">
        <f>IF(B219="","","R"&amp;TEXT(ROW()-4,"000"))</f>
        <v/>
      </c>
      <c r="B219" s="37" t="n"/>
      <c r="C219" s="45" t="str">
        <f>IF(B219="","",IFERROR(INDEX(CARDS!$B$5:$B$34,MATCH(B219,CARDS!$A$5:$A$34,0)),"⚠ Card ID?"))</f>
        <v/>
      </c>
      <c r="D219" s="45" t="str">
        <f>IF(B219="","",IFERROR(INDEX(CARDS!$C$5:$C$34,MATCH(B219,CARDS!$A$5:$A$34,0)),"⚠ Card ID?"))</f>
        <v/>
      </c>
      <c r="E219" s="37" t="n"/>
      <c r="F219" s="37" t="n"/>
      <c r="G219" s="41" t="n"/>
      <c r="H219" s="45" t="str">
        <f>IF(G219="","",IFERROR(INDEX(MCC_MASTER!$B$5:$B$504,MATCH(G219,MCC_MASTER!$A$5:$A$504,0)),"⚠ MCC chưa có trong MCC_MASTER"))</f>
        <v/>
      </c>
      <c r="I219" s="46" t="n"/>
      <c r="J219" s="40" t="n"/>
      <c r="K219" s="40" t="n"/>
      <c r="L219" s="40" t="n"/>
      <c r="M219" s="40" t="n"/>
      <c r="N219" s="42" t="n"/>
      <c r="O219" s="42" t="n"/>
      <c r="P219" s="37" t="n"/>
      <c r="Q219" s="37" t="n"/>
      <c r="R219" s="45" t="str">
        <f>IF(B219="","",IF(ISNA(MATCH(B219,CARDS!$A$5:$A$34,0)),"⚠ Card ID không tồn tại",IF(E219="","⚠ Thiếu Nhóm cashback",IF(OR(SUMPRODUCT(($B$5:$B$304=B219)*($E$5:$E$304=E219)*($J$5:$J$304&lt;&gt;J219))&gt;0,SUMPRODUCT(($B$5:$B$304=B219)*($K$5:$K$304&lt;&gt;K219))&gt;0),"⚠ Cap không đồng nhất","✓ OK"))))</f>
        <v/>
      </c>
      <c r="S219" s="43" t="str">
        <f>IF(OR(B219="",E219=""),"",IF(COUNTIFS($B$5:$B219,B219,$E$5:$E219,E219)=1,MAX($S$4:$S218)+1,""))</f>
        <v/>
      </c>
    </row>
    <row r="220">
      <c r="A220" s="44" t="str">
        <f>IF(B220="","","R"&amp;TEXT(ROW()-4,"000"))</f>
        <v/>
      </c>
      <c r="B220" s="37" t="n"/>
      <c r="C220" s="45" t="str">
        <f>IF(B220="","",IFERROR(INDEX(CARDS!$B$5:$B$34,MATCH(B220,CARDS!$A$5:$A$34,0)),"⚠ Card ID?"))</f>
        <v/>
      </c>
      <c r="D220" s="45" t="str">
        <f>IF(B220="","",IFERROR(INDEX(CARDS!$C$5:$C$34,MATCH(B220,CARDS!$A$5:$A$34,0)),"⚠ Card ID?"))</f>
        <v/>
      </c>
      <c r="E220" s="37" t="n"/>
      <c r="F220" s="37" t="n"/>
      <c r="G220" s="41" t="n"/>
      <c r="H220" s="45" t="str">
        <f>IF(G220="","",IFERROR(INDEX(MCC_MASTER!$B$5:$B$504,MATCH(G220,MCC_MASTER!$A$5:$A$504,0)),"⚠ MCC chưa có trong MCC_MASTER"))</f>
        <v/>
      </c>
      <c r="I220" s="46" t="n"/>
      <c r="J220" s="40" t="n"/>
      <c r="K220" s="40" t="n"/>
      <c r="L220" s="40" t="n"/>
      <c r="M220" s="40" t="n"/>
      <c r="N220" s="42" t="n"/>
      <c r="O220" s="42" t="n"/>
      <c r="P220" s="37" t="n"/>
      <c r="Q220" s="37" t="n"/>
      <c r="R220" s="45" t="str">
        <f>IF(B220="","",IF(ISNA(MATCH(B220,CARDS!$A$5:$A$34,0)),"⚠ Card ID không tồn tại",IF(E220="","⚠ Thiếu Nhóm cashback",IF(OR(SUMPRODUCT(($B$5:$B$304=B220)*($E$5:$E$304=E220)*($J$5:$J$304&lt;&gt;J220))&gt;0,SUMPRODUCT(($B$5:$B$304=B220)*($K$5:$K$304&lt;&gt;K220))&gt;0),"⚠ Cap không đồng nhất","✓ OK"))))</f>
        <v/>
      </c>
      <c r="S220" s="43" t="str">
        <f>IF(OR(B220="",E220=""),"",IF(COUNTIFS($B$5:$B220,B220,$E$5:$E220,E220)=1,MAX($S$4:$S219)+1,""))</f>
        <v/>
      </c>
    </row>
    <row r="221">
      <c r="A221" s="44" t="str">
        <f>IF(B221="","","R"&amp;TEXT(ROW()-4,"000"))</f>
        <v/>
      </c>
      <c r="B221" s="37" t="n"/>
      <c r="C221" s="45" t="str">
        <f>IF(B221="","",IFERROR(INDEX(CARDS!$B$5:$B$34,MATCH(B221,CARDS!$A$5:$A$34,0)),"⚠ Card ID?"))</f>
        <v/>
      </c>
      <c r="D221" s="45" t="str">
        <f>IF(B221="","",IFERROR(INDEX(CARDS!$C$5:$C$34,MATCH(B221,CARDS!$A$5:$A$34,0)),"⚠ Card ID?"))</f>
        <v/>
      </c>
      <c r="E221" s="37" t="n"/>
      <c r="F221" s="37" t="n"/>
      <c r="G221" s="41" t="n"/>
      <c r="H221" s="45" t="str">
        <f>IF(G221="","",IFERROR(INDEX(MCC_MASTER!$B$5:$B$504,MATCH(G221,MCC_MASTER!$A$5:$A$504,0)),"⚠ MCC chưa có trong MCC_MASTER"))</f>
        <v/>
      </c>
      <c r="I221" s="46" t="n"/>
      <c r="J221" s="40" t="n"/>
      <c r="K221" s="40" t="n"/>
      <c r="L221" s="40" t="n"/>
      <c r="M221" s="40" t="n"/>
      <c r="N221" s="42" t="n"/>
      <c r="O221" s="42" t="n"/>
      <c r="P221" s="37" t="n"/>
      <c r="Q221" s="37" t="n"/>
      <c r="R221" s="45" t="str">
        <f>IF(B221="","",IF(ISNA(MATCH(B221,CARDS!$A$5:$A$34,0)),"⚠ Card ID không tồn tại",IF(E221="","⚠ Thiếu Nhóm cashback",IF(OR(SUMPRODUCT(($B$5:$B$304=B221)*($E$5:$E$304=E221)*($J$5:$J$304&lt;&gt;J221))&gt;0,SUMPRODUCT(($B$5:$B$304=B221)*($K$5:$K$304&lt;&gt;K221))&gt;0),"⚠ Cap không đồng nhất","✓ OK"))))</f>
        <v/>
      </c>
      <c r="S221" s="43" t="str">
        <f>IF(OR(B221="",E221=""),"",IF(COUNTIFS($B$5:$B221,B221,$E$5:$E221,E221)=1,MAX($S$4:$S220)+1,""))</f>
        <v/>
      </c>
    </row>
    <row r="222">
      <c r="A222" s="44" t="str">
        <f>IF(B222="","","R"&amp;TEXT(ROW()-4,"000"))</f>
        <v/>
      </c>
      <c r="B222" s="37" t="n"/>
      <c r="C222" s="45" t="str">
        <f>IF(B222="","",IFERROR(INDEX(CARDS!$B$5:$B$34,MATCH(B222,CARDS!$A$5:$A$34,0)),"⚠ Card ID?"))</f>
        <v/>
      </c>
      <c r="D222" s="45" t="str">
        <f>IF(B222="","",IFERROR(INDEX(CARDS!$C$5:$C$34,MATCH(B222,CARDS!$A$5:$A$34,0)),"⚠ Card ID?"))</f>
        <v/>
      </c>
      <c r="E222" s="37" t="n"/>
      <c r="F222" s="37" t="n"/>
      <c r="G222" s="41" t="n"/>
      <c r="H222" s="45" t="str">
        <f>IF(G222="","",IFERROR(INDEX(MCC_MASTER!$B$5:$B$504,MATCH(G222,MCC_MASTER!$A$5:$A$504,0)),"⚠ MCC chưa có trong MCC_MASTER"))</f>
        <v/>
      </c>
      <c r="I222" s="46" t="n"/>
      <c r="J222" s="40" t="n"/>
      <c r="K222" s="40" t="n"/>
      <c r="L222" s="40" t="n"/>
      <c r="M222" s="40" t="n"/>
      <c r="N222" s="42" t="n"/>
      <c r="O222" s="42" t="n"/>
      <c r="P222" s="37" t="n"/>
      <c r="Q222" s="37" t="n"/>
      <c r="R222" s="45" t="str">
        <f>IF(B222="","",IF(ISNA(MATCH(B222,CARDS!$A$5:$A$34,0)),"⚠ Card ID không tồn tại",IF(E222="","⚠ Thiếu Nhóm cashback",IF(OR(SUMPRODUCT(($B$5:$B$304=B222)*($E$5:$E$304=E222)*($J$5:$J$304&lt;&gt;J222))&gt;0,SUMPRODUCT(($B$5:$B$304=B222)*($K$5:$K$304&lt;&gt;K222))&gt;0),"⚠ Cap không đồng nhất","✓ OK"))))</f>
        <v/>
      </c>
      <c r="S222" s="43" t="str">
        <f>IF(OR(B222="",E222=""),"",IF(COUNTIFS($B$5:$B222,B222,$E$5:$E222,E222)=1,MAX($S$4:$S221)+1,""))</f>
        <v/>
      </c>
    </row>
    <row r="223">
      <c r="A223" s="44" t="str">
        <f>IF(B223="","","R"&amp;TEXT(ROW()-4,"000"))</f>
        <v/>
      </c>
      <c r="B223" s="37" t="n"/>
      <c r="C223" s="45" t="str">
        <f>IF(B223="","",IFERROR(INDEX(CARDS!$B$5:$B$34,MATCH(B223,CARDS!$A$5:$A$34,0)),"⚠ Card ID?"))</f>
        <v/>
      </c>
      <c r="D223" s="45" t="str">
        <f>IF(B223="","",IFERROR(INDEX(CARDS!$C$5:$C$34,MATCH(B223,CARDS!$A$5:$A$34,0)),"⚠ Card ID?"))</f>
        <v/>
      </c>
      <c r="E223" s="37" t="n"/>
      <c r="F223" s="37" t="n"/>
      <c r="G223" s="41" t="n"/>
      <c r="H223" s="45" t="str">
        <f>IF(G223="","",IFERROR(INDEX(MCC_MASTER!$B$5:$B$504,MATCH(G223,MCC_MASTER!$A$5:$A$504,0)),"⚠ MCC chưa có trong MCC_MASTER"))</f>
        <v/>
      </c>
      <c r="I223" s="46" t="n"/>
      <c r="J223" s="40" t="n"/>
      <c r="K223" s="40" t="n"/>
      <c r="L223" s="40" t="n"/>
      <c r="M223" s="40" t="n"/>
      <c r="N223" s="42" t="n"/>
      <c r="O223" s="42" t="n"/>
      <c r="P223" s="37" t="n"/>
      <c r="Q223" s="37" t="n"/>
      <c r="R223" s="45" t="str">
        <f>IF(B223="","",IF(ISNA(MATCH(B223,CARDS!$A$5:$A$34,0)),"⚠ Card ID không tồn tại",IF(E223="","⚠ Thiếu Nhóm cashback",IF(OR(SUMPRODUCT(($B$5:$B$304=B223)*($E$5:$E$304=E223)*($J$5:$J$304&lt;&gt;J223))&gt;0,SUMPRODUCT(($B$5:$B$304=B223)*($K$5:$K$304&lt;&gt;K223))&gt;0),"⚠ Cap không đồng nhất","✓ OK"))))</f>
        <v/>
      </c>
      <c r="S223" s="43" t="str">
        <f>IF(OR(B223="",E223=""),"",IF(COUNTIFS($B$5:$B223,B223,$E$5:$E223,E223)=1,MAX($S$4:$S222)+1,""))</f>
        <v/>
      </c>
    </row>
    <row r="224">
      <c r="A224" s="44" t="str">
        <f>IF(B224="","","R"&amp;TEXT(ROW()-4,"000"))</f>
        <v/>
      </c>
      <c r="B224" s="37" t="n"/>
      <c r="C224" s="45" t="str">
        <f>IF(B224="","",IFERROR(INDEX(CARDS!$B$5:$B$34,MATCH(B224,CARDS!$A$5:$A$34,0)),"⚠ Card ID?"))</f>
        <v/>
      </c>
      <c r="D224" s="45" t="str">
        <f>IF(B224="","",IFERROR(INDEX(CARDS!$C$5:$C$34,MATCH(B224,CARDS!$A$5:$A$34,0)),"⚠ Card ID?"))</f>
        <v/>
      </c>
      <c r="E224" s="37" t="n"/>
      <c r="F224" s="37" t="n"/>
      <c r="G224" s="41" t="n"/>
      <c r="H224" s="45" t="str">
        <f>IF(G224="","",IFERROR(INDEX(MCC_MASTER!$B$5:$B$504,MATCH(G224,MCC_MASTER!$A$5:$A$504,0)),"⚠ MCC chưa có trong MCC_MASTER"))</f>
        <v/>
      </c>
      <c r="I224" s="46" t="n"/>
      <c r="J224" s="40" t="n"/>
      <c r="K224" s="40" t="n"/>
      <c r="L224" s="40" t="n"/>
      <c r="M224" s="40" t="n"/>
      <c r="N224" s="42" t="n"/>
      <c r="O224" s="42" t="n"/>
      <c r="P224" s="37" t="n"/>
      <c r="Q224" s="37" t="n"/>
      <c r="R224" s="45" t="str">
        <f>IF(B224="","",IF(ISNA(MATCH(B224,CARDS!$A$5:$A$34,0)),"⚠ Card ID không tồn tại",IF(E224="","⚠ Thiếu Nhóm cashback",IF(OR(SUMPRODUCT(($B$5:$B$304=B224)*($E$5:$E$304=E224)*($J$5:$J$304&lt;&gt;J224))&gt;0,SUMPRODUCT(($B$5:$B$304=B224)*($K$5:$K$304&lt;&gt;K224))&gt;0),"⚠ Cap không đồng nhất","✓ OK"))))</f>
        <v/>
      </c>
      <c r="S224" s="43" t="str">
        <f>IF(OR(B224="",E224=""),"",IF(COUNTIFS($B$5:$B224,B224,$E$5:$E224,E224)=1,MAX($S$4:$S223)+1,""))</f>
        <v/>
      </c>
    </row>
    <row r="225">
      <c r="A225" s="44" t="str">
        <f>IF(B225="","","R"&amp;TEXT(ROW()-4,"000"))</f>
        <v/>
      </c>
      <c r="B225" s="37" t="n"/>
      <c r="C225" s="45" t="str">
        <f>IF(B225="","",IFERROR(INDEX(CARDS!$B$5:$B$34,MATCH(B225,CARDS!$A$5:$A$34,0)),"⚠ Card ID?"))</f>
        <v/>
      </c>
      <c r="D225" s="45" t="str">
        <f>IF(B225="","",IFERROR(INDEX(CARDS!$C$5:$C$34,MATCH(B225,CARDS!$A$5:$A$34,0)),"⚠ Card ID?"))</f>
        <v/>
      </c>
      <c r="E225" s="37" t="n"/>
      <c r="F225" s="37" t="n"/>
      <c r="G225" s="41" t="n"/>
      <c r="H225" s="45" t="str">
        <f>IF(G225="","",IFERROR(INDEX(MCC_MASTER!$B$5:$B$504,MATCH(G225,MCC_MASTER!$A$5:$A$504,0)),"⚠ MCC chưa có trong MCC_MASTER"))</f>
        <v/>
      </c>
      <c r="I225" s="46" t="n"/>
      <c r="J225" s="40" t="n"/>
      <c r="K225" s="40" t="n"/>
      <c r="L225" s="40" t="n"/>
      <c r="M225" s="40" t="n"/>
      <c r="N225" s="42" t="n"/>
      <c r="O225" s="42" t="n"/>
      <c r="P225" s="37" t="n"/>
      <c r="Q225" s="37" t="n"/>
      <c r="R225" s="45" t="str">
        <f>IF(B225="","",IF(ISNA(MATCH(B225,CARDS!$A$5:$A$34,0)),"⚠ Card ID không tồn tại",IF(E225="","⚠ Thiếu Nhóm cashback",IF(OR(SUMPRODUCT(($B$5:$B$304=B225)*($E$5:$E$304=E225)*($J$5:$J$304&lt;&gt;J225))&gt;0,SUMPRODUCT(($B$5:$B$304=B225)*($K$5:$K$304&lt;&gt;K225))&gt;0),"⚠ Cap không đồng nhất","✓ OK"))))</f>
        <v/>
      </c>
      <c r="S225" s="43" t="str">
        <f>IF(OR(B225="",E225=""),"",IF(COUNTIFS($B$5:$B225,B225,$E$5:$E225,E225)=1,MAX($S$4:$S224)+1,""))</f>
        <v/>
      </c>
    </row>
    <row r="226">
      <c r="A226" s="44" t="str">
        <f>IF(B226="","","R"&amp;TEXT(ROW()-4,"000"))</f>
        <v/>
      </c>
      <c r="B226" s="37" t="n"/>
      <c r="C226" s="45" t="str">
        <f>IF(B226="","",IFERROR(INDEX(CARDS!$B$5:$B$34,MATCH(B226,CARDS!$A$5:$A$34,0)),"⚠ Card ID?"))</f>
        <v/>
      </c>
      <c r="D226" s="45" t="str">
        <f>IF(B226="","",IFERROR(INDEX(CARDS!$C$5:$C$34,MATCH(B226,CARDS!$A$5:$A$34,0)),"⚠ Card ID?"))</f>
        <v/>
      </c>
      <c r="E226" s="37" t="n"/>
      <c r="F226" s="37" t="n"/>
      <c r="G226" s="41" t="n"/>
      <c r="H226" s="45" t="str">
        <f>IF(G226="","",IFERROR(INDEX(MCC_MASTER!$B$5:$B$504,MATCH(G226,MCC_MASTER!$A$5:$A$504,0)),"⚠ MCC chưa có trong MCC_MASTER"))</f>
        <v/>
      </c>
      <c r="I226" s="46" t="n"/>
      <c r="J226" s="40" t="n"/>
      <c r="K226" s="40" t="n"/>
      <c r="L226" s="40" t="n"/>
      <c r="M226" s="40" t="n"/>
      <c r="N226" s="42" t="n"/>
      <c r="O226" s="42" t="n"/>
      <c r="P226" s="37" t="n"/>
      <c r="Q226" s="37" t="n"/>
      <c r="R226" s="45" t="str">
        <f>IF(B226="","",IF(ISNA(MATCH(B226,CARDS!$A$5:$A$34,0)),"⚠ Card ID không tồn tại",IF(E226="","⚠ Thiếu Nhóm cashback",IF(OR(SUMPRODUCT(($B$5:$B$304=B226)*($E$5:$E$304=E226)*($J$5:$J$304&lt;&gt;J226))&gt;0,SUMPRODUCT(($B$5:$B$304=B226)*($K$5:$K$304&lt;&gt;K226))&gt;0),"⚠ Cap không đồng nhất","✓ OK"))))</f>
        <v/>
      </c>
      <c r="S226" s="43" t="str">
        <f>IF(OR(B226="",E226=""),"",IF(COUNTIFS($B$5:$B226,B226,$E$5:$E226,E226)=1,MAX($S$4:$S225)+1,""))</f>
        <v/>
      </c>
    </row>
    <row r="227">
      <c r="A227" s="44" t="str">
        <f>IF(B227="","","R"&amp;TEXT(ROW()-4,"000"))</f>
        <v/>
      </c>
      <c r="B227" s="37" t="n"/>
      <c r="C227" s="45" t="str">
        <f>IF(B227="","",IFERROR(INDEX(CARDS!$B$5:$B$34,MATCH(B227,CARDS!$A$5:$A$34,0)),"⚠ Card ID?"))</f>
        <v/>
      </c>
      <c r="D227" s="45" t="str">
        <f>IF(B227="","",IFERROR(INDEX(CARDS!$C$5:$C$34,MATCH(B227,CARDS!$A$5:$A$34,0)),"⚠ Card ID?"))</f>
        <v/>
      </c>
      <c r="E227" s="37" t="n"/>
      <c r="F227" s="37" t="n"/>
      <c r="G227" s="41" t="n"/>
      <c r="H227" s="45" t="str">
        <f>IF(G227="","",IFERROR(INDEX(MCC_MASTER!$B$5:$B$504,MATCH(G227,MCC_MASTER!$A$5:$A$504,0)),"⚠ MCC chưa có trong MCC_MASTER"))</f>
        <v/>
      </c>
      <c r="I227" s="46" t="n"/>
      <c r="J227" s="40" t="n"/>
      <c r="K227" s="40" t="n"/>
      <c r="L227" s="40" t="n"/>
      <c r="M227" s="40" t="n"/>
      <c r="N227" s="42" t="n"/>
      <c r="O227" s="42" t="n"/>
      <c r="P227" s="37" t="n"/>
      <c r="Q227" s="37" t="n"/>
      <c r="R227" s="45" t="str">
        <f>IF(B227="","",IF(ISNA(MATCH(B227,CARDS!$A$5:$A$34,0)),"⚠ Card ID không tồn tại",IF(E227="","⚠ Thiếu Nhóm cashback",IF(OR(SUMPRODUCT(($B$5:$B$304=B227)*($E$5:$E$304=E227)*($J$5:$J$304&lt;&gt;J227))&gt;0,SUMPRODUCT(($B$5:$B$304=B227)*($K$5:$K$304&lt;&gt;K227))&gt;0),"⚠ Cap không đồng nhất","✓ OK"))))</f>
        <v/>
      </c>
      <c r="S227" s="43" t="str">
        <f>IF(OR(B227="",E227=""),"",IF(COUNTIFS($B$5:$B227,B227,$E$5:$E227,E227)=1,MAX($S$4:$S226)+1,""))</f>
        <v/>
      </c>
    </row>
    <row r="228">
      <c r="A228" s="44" t="str">
        <f>IF(B228="","","R"&amp;TEXT(ROW()-4,"000"))</f>
        <v/>
      </c>
      <c r="B228" s="37" t="n"/>
      <c r="C228" s="45" t="str">
        <f>IF(B228="","",IFERROR(INDEX(CARDS!$B$5:$B$34,MATCH(B228,CARDS!$A$5:$A$34,0)),"⚠ Card ID?"))</f>
        <v/>
      </c>
      <c r="D228" s="45" t="str">
        <f>IF(B228="","",IFERROR(INDEX(CARDS!$C$5:$C$34,MATCH(B228,CARDS!$A$5:$A$34,0)),"⚠ Card ID?"))</f>
        <v/>
      </c>
      <c r="E228" s="37" t="n"/>
      <c r="F228" s="37" t="n"/>
      <c r="G228" s="41" t="n"/>
      <c r="H228" s="45" t="str">
        <f>IF(G228="","",IFERROR(INDEX(MCC_MASTER!$B$5:$B$504,MATCH(G228,MCC_MASTER!$A$5:$A$504,0)),"⚠ MCC chưa có trong MCC_MASTER"))</f>
        <v/>
      </c>
      <c r="I228" s="46" t="n"/>
      <c r="J228" s="40" t="n"/>
      <c r="K228" s="40" t="n"/>
      <c r="L228" s="40" t="n"/>
      <c r="M228" s="40" t="n"/>
      <c r="N228" s="42" t="n"/>
      <c r="O228" s="42" t="n"/>
      <c r="P228" s="37" t="n"/>
      <c r="Q228" s="37" t="n"/>
      <c r="R228" s="45" t="str">
        <f>IF(B228="","",IF(ISNA(MATCH(B228,CARDS!$A$5:$A$34,0)),"⚠ Card ID không tồn tại",IF(E228="","⚠ Thiếu Nhóm cashback",IF(OR(SUMPRODUCT(($B$5:$B$304=B228)*($E$5:$E$304=E228)*($J$5:$J$304&lt;&gt;J228))&gt;0,SUMPRODUCT(($B$5:$B$304=B228)*($K$5:$K$304&lt;&gt;K228))&gt;0),"⚠ Cap không đồng nhất","✓ OK"))))</f>
        <v/>
      </c>
      <c r="S228" s="43" t="str">
        <f>IF(OR(B228="",E228=""),"",IF(COUNTIFS($B$5:$B228,B228,$E$5:$E228,E228)=1,MAX($S$4:$S227)+1,""))</f>
        <v/>
      </c>
    </row>
    <row r="229">
      <c r="A229" s="44" t="str">
        <f>IF(B229="","","R"&amp;TEXT(ROW()-4,"000"))</f>
        <v/>
      </c>
      <c r="B229" s="37" t="n"/>
      <c r="C229" s="45" t="str">
        <f>IF(B229="","",IFERROR(INDEX(CARDS!$B$5:$B$34,MATCH(B229,CARDS!$A$5:$A$34,0)),"⚠ Card ID?"))</f>
        <v/>
      </c>
      <c r="D229" s="45" t="str">
        <f>IF(B229="","",IFERROR(INDEX(CARDS!$C$5:$C$34,MATCH(B229,CARDS!$A$5:$A$34,0)),"⚠ Card ID?"))</f>
        <v/>
      </c>
      <c r="E229" s="37" t="n"/>
      <c r="F229" s="37" t="n"/>
      <c r="G229" s="41" t="n"/>
      <c r="H229" s="45" t="str">
        <f>IF(G229="","",IFERROR(INDEX(MCC_MASTER!$B$5:$B$504,MATCH(G229,MCC_MASTER!$A$5:$A$504,0)),"⚠ MCC chưa có trong MCC_MASTER"))</f>
        <v/>
      </c>
      <c r="I229" s="46" t="n"/>
      <c r="J229" s="40" t="n"/>
      <c r="K229" s="40" t="n"/>
      <c r="L229" s="40" t="n"/>
      <c r="M229" s="40" t="n"/>
      <c r="N229" s="42" t="n"/>
      <c r="O229" s="42" t="n"/>
      <c r="P229" s="37" t="n"/>
      <c r="Q229" s="37" t="n"/>
      <c r="R229" s="45" t="str">
        <f>IF(B229="","",IF(ISNA(MATCH(B229,CARDS!$A$5:$A$34,0)),"⚠ Card ID không tồn tại",IF(E229="","⚠ Thiếu Nhóm cashback",IF(OR(SUMPRODUCT(($B$5:$B$304=B229)*($E$5:$E$304=E229)*($J$5:$J$304&lt;&gt;J229))&gt;0,SUMPRODUCT(($B$5:$B$304=B229)*($K$5:$K$304&lt;&gt;K229))&gt;0),"⚠ Cap không đồng nhất","✓ OK"))))</f>
        <v/>
      </c>
      <c r="S229" s="43" t="str">
        <f>IF(OR(B229="",E229=""),"",IF(COUNTIFS($B$5:$B229,B229,$E$5:$E229,E229)=1,MAX($S$4:$S228)+1,""))</f>
        <v/>
      </c>
    </row>
    <row r="230">
      <c r="A230" s="44" t="str">
        <f>IF(B230="","","R"&amp;TEXT(ROW()-4,"000"))</f>
        <v/>
      </c>
      <c r="B230" s="37" t="n"/>
      <c r="C230" s="45" t="str">
        <f>IF(B230="","",IFERROR(INDEX(CARDS!$B$5:$B$34,MATCH(B230,CARDS!$A$5:$A$34,0)),"⚠ Card ID?"))</f>
        <v/>
      </c>
      <c r="D230" s="45" t="str">
        <f>IF(B230="","",IFERROR(INDEX(CARDS!$C$5:$C$34,MATCH(B230,CARDS!$A$5:$A$34,0)),"⚠ Card ID?"))</f>
        <v/>
      </c>
      <c r="E230" s="37" t="n"/>
      <c r="F230" s="37" t="n"/>
      <c r="G230" s="41" t="n"/>
      <c r="H230" s="45" t="str">
        <f>IF(G230="","",IFERROR(INDEX(MCC_MASTER!$B$5:$B$504,MATCH(G230,MCC_MASTER!$A$5:$A$504,0)),"⚠ MCC chưa có trong MCC_MASTER"))</f>
        <v/>
      </c>
      <c r="I230" s="46" t="n"/>
      <c r="J230" s="40" t="n"/>
      <c r="K230" s="40" t="n"/>
      <c r="L230" s="40" t="n"/>
      <c r="M230" s="40" t="n"/>
      <c r="N230" s="42" t="n"/>
      <c r="O230" s="42" t="n"/>
      <c r="P230" s="37" t="n"/>
      <c r="Q230" s="37" t="n"/>
      <c r="R230" s="45" t="str">
        <f>IF(B230="","",IF(ISNA(MATCH(B230,CARDS!$A$5:$A$34,0)),"⚠ Card ID không tồn tại",IF(E230="","⚠ Thiếu Nhóm cashback",IF(OR(SUMPRODUCT(($B$5:$B$304=B230)*($E$5:$E$304=E230)*($J$5:$J$304&lt;&gt;J230))&gt;0,SUMPRODUCT(($B$5:$B$304=B230)*($K$5:$K$304&lt;&gt;K230))&gt;0),"⚠ Cap không đồng nhất","✓ OK"))))</f>
        <v/>
      </c>
      <c r="S230" s="43" t="str">
        <f>IF(OR(B230="",E230=""),"",IF(COUNTIFS($B$5:$B230,B230,$E$5:$E230,E230)=1,MAX($S$4:$S229)+1,""))</f>
        <v/>
      </c>
    </row>
    <row r="231">
      <c r="A231" s="44" t="str">
        <f>IF(B231="","","R"&amp;TEXT(ROW()-4,"000"))</f>
        <v/>
      </c>
      <c r="B231" s="37" t="n"/>
      <c r="C231" s="45" t="str">
        <f>IF(B231="","",IFERROR(INDEX(CARDS!$B$5:$B$34,MATCH(B231,CARDS!$A$5:$A$34,0)),"⚠ Card ID?"))</f>
        <v/>
      </c>
      <c r="D231" s="45" t="str">
        <f>IF(B231="","",IFERROR(INDEX(CARDS!$C$5:$C$34,MATCH(B231,CARDS!$A$5:$A$34,0)),"⚠ Card ID?"))</f>
        <v/>
      </c>
      <c r="E231" s="37" t="n"/>
      <c r="F231" s="37" t="n"/>
      <c r="G231" s="41" t="n"/>
      <c r="H231" s="45" t="str">
        <f>IF(G231="","",IFERROR(INDEX(MCC_MASTER!$B$5:$B$504,MATCH(G231,MCC_MASTER!$A$5:$A$504,0)),"⚠ MCC chưa có trong MCC_MASTER"))</f>
        <v/>
      </c>
      <c r="I231" s="46" t="n"/>
      <c r="J231" s="40" t="n"/>
      <c r="K231" s="40" t="n"/>
      <c r="L231" s="40" t="n"/>
      <c r="M231" s="40" t="n"/>
      <c r="N231" s="42" t="n"/>
      <c r="O231" s="42" t="n"/>
      <c r="P231" s="37" t="n"/>
      <c r="Q231" s="37" t="n"/>
      <c r="R231" s="45" t="str">
        <f>IF(B231="","",IF(ISNA(MATCH(B231,CARDS!$A$5:$A$34,0)),"⚠ Card ID không tồn tại",IF(E231="","⚠ Thiếu Nhóm cashback",IF(OR(SUMPRODUCT(($B$5:$B$304=B231)*($E$5:$E$304=E231)*($J$5:$J$304&lt;&gt;J231))&gt;0,SUMPRODUCT(($B$5:$B$304=B231)*($K$5:$K$304&lt;&gt;K231))&gt;0),"⚠ Cap không đồng nhất","✓ OK"))))</f>
        <v/>
      </c>
      <c r="S231" s="43" t="str">
        <f>IF(OR(B231="",E231=""),"",IF(COUNTIFS($B$5:$B231,B231,$E$5:$E231,E231)=1,MAX($S$4:$S230)+1,""))</f>
        <v/>
      </c>
    </row>
    <row r="232">
      <c r="A232" s="44" t="str">
        <f>IF(B232="","","R"&amp;TEXT(ROW()-4,"000"))</f>
        <v/>
      </c>
      <c r="B232" s="37" t="n"/>
      <c r="C232" s="45" t="str">
        <f>IF(B232="","",IFERROR(INDEX(CARDS!$B$5:$B$34,MATCH(B232,CARDS!$A$5:$A$34,0)),"⚠ Card ID?"))</f>
        <v/>
      </c>
      <c r="D232" s="45" t="str">
        <f>IF(B232="","",IFERROR(INDEX(CARDS!$C$5:$C$34,MATCH(B232,CARDS!$A$5:$A$34,0)),"⚠ Card ID?"))</f>
        <v/>
      </c>
      <c r="E232" s="37" t="n"/>
      <c r="F232" s="37" t="n"/>
      <c r="G232" s="41" t="n"/>
      <c r="H232" s="45" t="str">
        <f>IF(G232="","",IFERROR(INDEX(MCC_MASTER!$B$5:$B$504,MATCH(G232,MCC_MASTER!$A$5:$A$504,0)),"⚠ MCC chưa có trong MCC_MASTER"))</f>
        <v/>
      </c>
      <c r="I232" s="46" t="n"/>
      <c r="J232" s="40" t="n"/>
      <c r="K232" s="40" t="n"/>
      <c r="L232" s="40" t="n"/>
      <c r="M232" s="40" t="n"/>
      <c r="N232" s="42" t="n"/>
      <c r="O232" s="42" t="n"/>
      <c r="P232" s="37" t="n"/>
      <c r="Q232" s="37" t="n"/>
      <c r="R232" s="45" t="str">
        <f>IF(B232="","",IF(ISNA(MATCH(B232,CARDS!$A$5:$A$34,0)),"⚠ Card ID không tồn tại",IF(E232="","⚠ Thiếu Nhóm cashback",IF(OR(SUMPRODUCT(($B$5:$B$304=B232)*($E$5:$E$304=E232)*($J$5:$J$304&lt;&gt;J232))&gt;0,SUMPRODUCT(($B$5:$B$304=B232)*($K$5:$K$304&lt;&gt;K232))&gt;0),"⚠ Cap không đồng nhất","✓ OK"))))</f>
        <v/>
      </c>
      <c r="S232" s="43" t="str">
        <f>IF(OR(B232="",E232=""),"",IF(COUNTIFS($B$5:$B232,B232,$E$5:$E232,E232)=1,MAX($S$4:$S231)+1,""))</f>
        <v/>
      </c>
    </row>
    <row r="233">
      <c r="A233" s="44" t="str">
        <f>IF(B233="","","R"&amp;TEXT(ROW()-4,"000"))</f>
        <v/>
      </c>
      <c r="B233" s="37" t="n"/>
      <c r="C233" s="45" t="str">
        <f>IF(B233="","",IFERROR(INDEX(CARDS!$B$5:$B$34,MATCH(B233,CARDS!$A$5:$A$34,0)),"⚠ Card ID?"))</f>
        <v/>
      </c>
      <c r="D233" s="45" t="str">
        <f>IF(B233="","",IFERROR(INDEX(CARDS!$C$5:$C$34,MATCH(B233,CARDS!$A$5:$A$34,0)),"⚠ Card ID?"))</f>
        <v/>
      </c>
      <c r="E233" s="37" t="n"/>
      <c r="F233" s="37" t="n"/>
      <c r="G233" s="41" t="n"/>
      <c r="H233" s="45" t="str">
        <f>IF(G233="","",IFERROR(INDEX(MCC_MASTER!$B$5:$B$504,MATCH(G233,MCC_MASTER!$A$5:$A$504,0)),"⚠ MCC chưa có trong MCC_MASTER"))</f>
        <v/>
      </c>
      <c r="I233" s="46" t="n"/>
      <c r="J233" s="40" t="n"/>
      <c r="K233" s="40" t="n"/>
      <c r="L233" s="40" t="n"/>
      <c r="M233" s="40" t="n"/>
      <c r="N233" s="42" t="n"/>
      <c r="O233" s="42" t="n"/>
      <c r="P233" s="37" t="n"/>
      <c r="Q233" s="37" t="n"/>
      <c r="R233" s="45" t="str">
        <f>IF(B233="","",IF(ISNA(MATCH(B233,CARDS!$A$5:$A$34,0)),"⚠ Card ID không tồn tại",IF(E233="","⚠ Thiếu Nhóm cashback",IF(OR(SUMPRODUCT(($B$5:$B$304=B233)*($E$5:$E$304=E233)*($J$5:$J$304&lt;&gt;J233))&gt;0,SUMPRODUCT(($B$5:$B$304=B233)*($K$5:$K$304&lt;&gt;K233))&gt;0),"⚠ Cap không đồng nhất","✓ OK"))))</f>
        <v/>
      </c>
      <c r="S233" s="43" t="str">
        <f>IF(OR(B233="",E233=""),"",IF(COUNTIFS($B$5:$B233,B233,$E$5:$E233,E233)=1,MAX($S$4:$S232)+1,""))</f>
        <v/>
      </c>
    </row>
    <row r="234">
      <c r="A234" s="44" t="str">
        <f>IF(B234="","","R"&amp;TEXT(ROW()-4,"000"))</f>
        <v/>
      </c>
      <c r="B234" s="37" t="n"/>
      <c r="C234" s="45" t="str">
        <f>IF(B234="","",IFERROR(INDEX(CARDS!$B$5:$B$34,MATCH(B234,CARDS!$A$5:$A$34,0)),"⚠ Card ID?"))</f>
        <v/>
      </c>
      <c r="D234" s="45" t="str">
        <f>IF(B234="","",IFERROR(INDEX(CARDS!$C$5:$C$34,MATCH(B234,CARDS!$A$5:$A$34,0)),"⚠ Card ID?"))</f>
        <v/>
      </c>
      <c r="E234" s="37" t="n"/>
      <c r="F234" s="37" t="n"/>
      <c r="G234" s="41" t="n"/>
      <c r="H234" s="45" t="str">
        <f>IF(G234="","",IFERROR(INDEX(MCC_MASTER!$B$5:$B$504,MATCH(G234,MCC_MASTER!$A$5:$A$504,0)),"⚠ MCC chưa có trong MCC_MASTER"))</f>
        <v/>
      </c>
      <c r="I234" s="46" t="n"/>
      <c r="J234" s="40" t="n"/>
      <c r="K234" s="40" t="n"/>
      <c r="L234" s="40" t="n"/>
      <c r="M234" s="40" t="n"/>
      <c r="N234" s="42" t="n"/>
      <c r="O234" s="42" t="n"/>
      <c r="P234" s="37" t="n"/>
      <c r="Q234" s="37" t="n"/>
      <c r="R234" s="45" t="str">
        <f>IF(B234="","",IF(ISNA(MATCH(B234,CARDS!$A$5:$A$34,0)),"⚠ Card ID không tồn tại",IF(E234="","⚠ Thiếu Nhóm cashback",IF(OR(SUMPRODUCT(($B$5:$B$304=B234)*($E$5:$E$304=E234)*($J$5:$J$304&lt;&gt;J234))&gt;0,SUMPRODUCT(($B$5:$B$304=B234)*($K$5:$K$304&lt;&gt;K234))&gt;0),"⚠ Cap không đồng nhất","✓ OK"))))</f>
        <v/>
      </c>
      <c r="S234" s="43" t="str">
        <f>IF(OR(B234="",E234=""),"",IF(COUNTIFS($B$5:$B234,B234,$E$5:$E234,E234)=1,MAX($S$4:$S233)+1,""))</f>
        <v/>
      </c>
    </row>
    <row r="235">
      <c r="A235" s="44" t="str">
        <f>IF(B235="","","R"&amp;TEXT(ROW()-4,"000"))</f>
        <v/>
      </c>
      <c r="B235" s="37" t="n"/>
      <c r="C235" s="45" t="str">
        <f>IF(B235="","",IFERROR(INDEX(CARDS!$B$5:$B$34,MATCH(B235,CARDS!$A$5:$A$34,0)),"⚠ Card ID?"))</f>
        <v/>
      </c>
      <c r="D235" s="45" t="str">
        <f>IF(B235="","",IFERROR(INDEX(CARDS!$C$5:$C$34,MATCH(B235,CARDS!$A$5:$A$34,0)),"⚠ Card ID?"))</f>
        <v/>
      </c>
      <c r="E235" s="37" t="n"/>
      <c r="F235" s="37" t="n"/>
      <c r="G235" s="41" t="n"/>
      <c r="H235" s="45" t="str">
        <f>IF(G235="","",IFERROR(INDEX(MCC_MASTER!$B$5:$B$504,MATCH(G235,MCC_MASTER!$A$5:$A$504,0)),"⚠ MCC chưa có trong MCC_MASTER"))</f>
        <v/>
      </c>
      <c r="I235" s="46" t="n"/>
      <c r="J235" s="40" t="n"/>
      <c r="K235" s="40" t="n"/>
      <c r="L235" s="40" t="n"/>
      <c r="M235" s="40" t="n"/>
      <c r="N235" s="42" t="n"/>
      <c r="O235" s="42" t="n"/>
      <c r="P235" s="37" t="n"/>
      <c r="Q235" s="37" t="n"/>
      <c r="R235" s="45" t="str">
        <f>IF(B235="","",IF(ISNA(MATCH(B235,CARDS!$A$5:$A$34,0)),"⚠ Card ID không tồn tại",IF(E235="","⚠ Thiếu Nhóm cashback",IF(OR(SUMPRODUCT(($B$5:$B$304=B235)*($E$5:$E$304=E235)*($J$5:$J$304&lt;&gt;J235))&gt;0,SUMPRODUCT(($B$5:$B$304=B235)*($K$5:$K$304&lt;&gt;K235))&gt;0),"⚠ Cap không đồng nhất","✓ OK"))))</f>
        <v/>
      </c>
      <c r="S235" s="43" t="str">
        <f>IF(OR(B235="",E235=""),"",IF(COUNTIFS($B$5:$B235,B235,$E$5:$E235,E235)=1,MAX($S$4:$S234)+1,""))</f>
        <v/>
      </c>
    </row>
    <row r="236">
      <c r="A236" s="44" t="str">
        <f>IF(B236="","","R"&amp;TEXT(ROW()-4,"000"))</f>
        <v/>
      </c>
      <c r="B236" s="37" t="n"/>
      <c r="C236" s="45" t="str">
        <f>IF(B236="","",IFERROR(INDEX(CARDS!$B$5:$B$34,MATCH(B236,CARDS!$A$5:$A$34,0)),"⚠ Card ID?"))</f>
        <v/>
      </c>
      <c r="D236" s="45" t="str">
        <f>IF(B236="","",IFERROR(INDEX(CARDS!$C$5:$C$34,MATCH(B236,CARDS!$A$5:$A$34,0)),"⚠ Card ID?"))</f>
        <v/>
      </c>
      <c r="E236" s="37" t="n"/>
      <c r="F236" s="37" t="n"/>
      <c r="G236" s="41" t="n"/>
      <c r="H236" s="45" t="str">
        <f>IF(G236="","",IFERROR(INDEX(MCC_MASTER!$B$5:$B$504,MATCH(G236,MCC_MASTER!$A$5:$A$504,0)),"⚠ MCC chưa có trong MCC_MASTER"))</f>
        <v/>
      </c>
      <c r="I236" s="46" t="n"/>
      <c r="J236" s="40" t="n"/>
      <c r="K236" s="40" t="n"/>
      <c r="L236" s="40" t="n"/>
      <c r="M236" s="40" t="n"/>
      <c r="N236" s="42" t="n"/>
      <c r="O236" s="42" t="n"/>
      <c r="P236" s="37" t="n"/>
      <c r="Q236" s="37" t="n"/>
      <c r="R236" s="45" t="str">
        <f>IF(B236="","",IF(ISNA(MATCH(B236,CARDS!$A$5:$A$34,0)),"⚠ Card ID không tồn tại",IF(E236="","⚠ Thiếu Nhóm cashback",IF(OR(SUMPRODUCT(($B$5:$B$304=B236)*($E$5:$E$304=E236)*($J$5:$J$304&lt;&gt;J236))&gt;0,SUMPRODUCT(($B$5:$B$304=B236)*($K$5:$K$304&lt;&gt;K236))&gt;0),"⚠ Cap không đồng nhất","✓ OK"))))</f>
        <v/>
      </c>
      <c r="S236" s="43" t="str">
        <f>IF(OR(B236="",E236=""),"",IF(COUNTIFS($B$5:$B236,B236,$E$5:$E236,E236)=1,MAX($S$4:$S235)+1,""))</f>
        <v/>
      </c>
    </row>
    <row r="237">
      <c r="A237" s="44" t="str">
        <f>IF(B237="","","R"&amp;TEXT(ROW()-4,"000"))</f>
        <v/>
      </c>
      <c r="B237" s="37" t="n"/>
      <c r="C237" s="45" t="str">
        <f>IF(B237="","",IFERROR(INDEX(CARDS!$B$5:$B$34,MATCH(B237,CARDS!$A$5:$A$34,0)),"⚠ Card ID?"))</f>
        <v/>
      </c>
      <c r="D237" s="45" t="str">
        <f>IF(B237="","",IFERROR(INDEX(CARDS!$C$5:$C$34,MATCH(B237,CARDS!$A$5:$A$34,0)),"⚠ Card ID?"))</f>
        <v/>
      </c>
      <c r="E237" s="37" t="n"/>
      <c r="F237" s="37" t="n"/>
      <c r="G237" s="41" t="n"/>
      <c r="H237" s="45" t="str">
        <f>IF(G237="","",IFERROR(INDEX(MCC_MASTER!$B$5:$B$504,MATCH(G237,MCC_MASTER!$A$5:$A$504,0)),"⚠ MCC chưa có trong MCC_MASTER"))</f>
        <v/>
      </c>
      <c r="I237" s="46" t="n"/>
      <c r="J237" s="40" t="n"/>
      <c r="K237" s="40" t="n"/>
      <c r="L237" s="40" t="n"/>
      <c r="M237" s="40" t="n"/>
      <c r="N237" s="42" t="n"/>
      <c r="O237" s="42" t="n"/>
      <c r="P237" s="37" t="n"/>
      <c r="Q237" s="37" t="n"/>
      <c r="R237" s="45" t="str">
        <f>IF(B237="","",IF(ISNA(MATCH(B237,CARDS!$A$5:$A$34,0)),"⚠ Card ID không tồn tại",IF(E237="","⚠ Thiếu Nhóm cashback",IF(OR(SUMPRODUCT(($B$5:$B$304=B237)*($E$5:$E$304=E237)*($J$5:$J$304&lt;&gt;J237))&gt;0,SUMPRODUCT(($B$5:$B$304=B237)*($K$5:$K$304&lt;&gt;K237))&gt;0),"⚠ Cap không đồng nhất","✓ OK"))))</f>
        <v/>
      </c>
      <c r="S237" s="43" t="str">
        <f>IF(OR(B237="",E237=""),"",IF(COUNTIFS($B$5:$B237,B237,$E$5:$E237,E237)=1,MAX($S$4:$S236)+1,""))</f>
        <v/>
      </c>
    </row>
    <row r="238">
      <c r="A238" s="44" t="str">
        <f>IF(B238="","","R"&amp;TEXT(ROW()-4,"000"))</f>
        <v/>
      </c>
      <c r="B238" s="37" t="n"/>
      <c r="C238" s="45" t="str">
        <f>IF(B238="","",IFERROR(INDEX(CARDS!$B$5:$B$34,MATCH(B238,CARDS!$A$5:$A$34,0)),"⚠ Card ID?"))</f>
        <v/>
      </c>
      <c r="D238" s="45" t="str">
        <f>IF(B238="","",IFERROR(INDEX(CARDS!$C$5:$C$34,MATCH(B238,CARDS!$A$5:$A$34,0)),"⚠ Card ID?"))</f>
        <v/>
      </c>
      <c r="E238" s="37" t="n"/>
      <c r="F238" s="37" t="n"/>
      <c r="G238" s="41" t="n"/>
      <c r="H238" s="45" t="str">
        <f>IF(G238="","",IFERROR(INDEX(MCC_MASTER!$B$5:$B$504,MATCH(G238,MCC_MASTER!$A$5:$A$504,0)),"⚠ MCC chưa có trong MCC_MASTER"))</f>
        <v/>
      </c>
      <c r="I238" s="46" t="n"/>
      <c r="J238" s="40" t="n"/>
      <c r="K238" s="40" t="n"/>
      <c r="L238" s="40" t="n"/>
      <c r="M238" s="40" t="n"/>
      <c r="N238" s="42" t="n"/>
      <c r="O238" s="42" t="n"/>
      <c r="P238" s="37" t="n"/>
      <c r="Q238" s="37" t="n"/>
      <c r="R238" s="45" t="str">
        <f>IF(B238="","",IF(ISNA(MATCH(B238,CARDS!$A$5:$A$34,0)),"⚠ Card ID không tồn tại",IF(E238="","⚠ Thiếu Nhóm cashback",IF(OR(SUMPRODUCT(($B$5:$B$304=B238)*($E$5:$E$304=E238)*($J$5:$J$304&lt;&gt;J238))&gt;0,SUMPRODUCT(($B$5:$B$304=B238)*($K$5:$K$304&lt;&gt;K238))&gt;0),"⚠ Cap không đồng nhất","✓ OK"))))</f>
        <v/>
      </c>
      <c r="S238" s="43" t="str">
        <f>IF(OR(B238="",E238=""),"",IF(COUNTIFS($B$5:$B238,B238,$E$5:$E238,E238)=1,MAX($S$4:$S237)+1,""))</f>
        <v/>
      </c>
    </row>
    <row r="239">
      <c r="A239" s="44" t="str">
        <f>IF(B239="","","R"&amp;TEXT(ROW()-4,"000"))</f>
        <v/>
      </c>
      <c r="B239" s="37" t="n"/>
      <c r="C239" s="45" t="str">
        <f>IF(B239="","",IFERROR(INDEX(CARDS!$B$5:$B$34,MATCH(B239,CARDS!$A$5:$A$34,0)),"⚠ Card ID?"))</f>
        <v/>
      </c>
      <c r="D239" s="45" t="str">
        <f>IF(B239="","",IFERROR(INDEX(CARDS!$C$5:$C$34,MATCH(B239,CARDS!$A$5:$A$34,0)),"⚠ Card ID?"))</f>
        <v/>
      </c>
      <c r="E239" s="37" t="n"/>
      <c r="F239" s="37" t="n"/>
      <c r="G239" s="41" t="n"/>
      <c r="H239" s="45" t="str">
        <f>IF(G239="","",IFERROR(INDEX(MCC_MASTER!$B$5:$B$504,MATCH(G239,MCC_MASTER!$A$5:$A$504,0)),"⚠ MCC chưa có trong MCC_MASTER"))</f>
        <v/>
      </c>
      <c r="I239" s="46" t="n"/>
      <c r="J239" s="40" t="n"/>
      <c r="K239" s="40" t="n"/>
      <c r="L239" s="40" t="n"/>
      <c r="M239" s="40" t="n"/>
      <c r="N239" s="42" t="n"/>
      <c r="O239" s="42" t="n"/>
      <c r="P239" s="37" t="n"/>
      <c r="Q239" s="37" t="n"/>
      <c r="R239" s="45" t="str">
        <f>IF(B239="","",IF(ISNA(MATCH(B239,CARDS!$A$5:$A$34,0)),"⚠ Card ID không tồn tại",IF(E239="","⚠ Thiếu Nhóm cashback",IF(OR(SUMPRODUCT(($B$5:$B$304=B239)*($E$5:$E$304=E239)*($J$5:$J$304&lt;&gt;J239))&gt;0,SUMPRODUCT(($B$5:$B$304=B239)*($K$5:$K$304&lt;&gt;K239))&gt;0),"⚠ Cap không đồng nhất","✓ OK"))))</f>
        <v/>
      </c>
      <c r="S239" s="43" t="str">
        <f>IF(OR(B239="",E239=""),"",IF(COUNTIFS($B$5:$B239,B239,$E$5:$E239,E239)=1,MAX($S$4:$S238)+1,""))</f>
        <v/>
      </c>
    </row>
    <row r="240">
      <c r="A240" s="44" t="str">
        <f>IF(B240="","","R"&amp;TEXT(ROW()-4,"000"))</f>
        <v/>
      </c>
      <c r="B240" s="37" t="n"/>
      <c r="C240" s="45" t="str">
        <f>IF(B240="","",IFERROR(INDEX(CARDS!$B$5:$B$34,MATCH(B240,CARDS!$A$5:$A$34,0)),"⚠ Card ID?"))</f>
        <v/>
      </c>
      <c r="D240" s="45" t="str">
        <f>IF(B240="","",IFERROR(INDEX(CARDS!$C$5:$C$34,MATCH(B240,CARDS!$A$5:$A$34,0)),"⚠ Card ID?"))</f>
        <v/>
      </c>
      <c r="E240" s="37" t="n"/>
      <c r="F240" s="37" t="n"/>
      <c r="G240" s="41" t="n"/>
      <c r="H240" s="45" t="str">
        <f>IF(G240="","",IFERROR(INDEX(MCC_MASTER!$B$5:$B$504,MATCH(G240,MCC_MASTER!$A$5:$A$504,0)),"⚠ MCC chưa có trong MCC_MASTER"))</f>
        <v/>
      </c>
      <c r="I240" s="46" t="n"/>
      <c r="J240" s="40" t="n"/>
      <c r="K240" s="40" t="n"/>
      <c r="L240" s="40" t="n"/>
      <c r="M240" s="40" t="n"/>
      <c r="N240" s="42" t="n"/>
      <c r="O240" s="42" t="n"/>
      <c r="P240" s="37" t="n"/>
      <c r="Q240" s="37" t="n"/>
      <c r="R240" s="45" t="str">
        <f>IF(B240="","",IF(ISNA(MATCH(B240,CARDS!$A$5:$A$34,0)),"⚠ Card ID không tồn tại",IF(E240="","⚠ Thiếu Nhóm cashback",IF(OR(SUMPRODUCT(($B$5:$B$304=B240)*($E$5:$E$304=E240)*($J$5:$J$304&lt;&gt;J240))&gt;0,SUMPRODUCT(($B$5:$B$304=B240)*($K$5:$K$304&lt;&gt;K240))&gt;0),"⚠ Cap không đồng nhất","✓ OK"))))</f>
        <v/>
      </c>
      <c r="S240" s="43" t="str">
        <f>IF(OR(B240="",E240=""),"",IF(COUNTIFS($B$5:$B240,B240,$E$5:$E240,E240)=1,MAX($S$4:$S239)+1,""))</f>
        <v/>
      </c>
    </row>
    <row r="241">
      <c r="A241" s="44" t="str">
        <f>IF(B241="","","R"&amp;TEXT(ROW()-4,"000"))</f>
        <v/>
      </c>
      <c r="B241" s="37" t="n"/>
      <c r="C241" s="45" t="str">
        <f>IF(B241="","",IFERROR(INDEX(CARDS!$B$5:$B$34,MATCH(B241,CARDS!$A$5:$A$34,0)),"⚠ Card ID?"))</f>
        <v/>
      </c>
      <c r="D241" s="45" t="str">
        <f>IF(B241="","",IFERROR(INDEX(CARDS!$C$5:$C$34,MATCH(B241,CARDS!$A$5:$A$34,0)),"⚠ Card ID?"))</f>
        <v/>
      </c>
      <c r="E241" s="37" t="n"/>
      <c r="F241" s="37" t="n"/>
      <c r="G241" s="41" t="n"/>
      <c r="H241" s="45" t="str">
        <f>IF(G241="","",IFERROR(INDEX(MCC_MASTER!$B$5:$B$504,MATCH(G241,MCC_MASTER!$A$5:$A$504,0)),"⚠ MCC chưa có trong MCC_MASTER"))</f>
        <v/>
      </c>
      <c r="I241" s="46" t="n"/>
      <c r="J241" s="40" t="n"/>
      <c r="K241" s="40" t="n"/>
      <c r="L241" s="40" t="n"/>
      <c r="M241" s="40" t="n"/>
      <c r="N241" s="42" t="n"/>
      <c r="O241" s="42" t="n"/>
      <c r="P241" s="37" t="n"/>
      <c r="Q241" s="37" t="n"/>
      <c r="R241" s="45" t="str">
        <f>IF(B241="","",IF(ISNA(MATCH(B241,CARDS!$A$5:$A$34,0)),"⚠ Card ID không tồn tại",IF(E241="","⚠ Thiếu Nhóm cashback",IF(OR(SUMPRODUCT(($B$5:$B$304=B241)*($E$5:$E$304=E241)*($J$5:$J$304&lt;&gt;J241))&gt;0,SUMPRODUCT(($B$5:$B$304=B241)*($K$5:$K$304&lt;&gt;K241))&gt;0),"⚠ Cap không đồng nhất","✓ OK"))))</f>
        <v/>
      </c>
      <c r="S241" s="43" t="str">
        <f>IF(OR(B241="",E241=""),"",IF(COUNTIFS($B$5:$B241,B241,$E$5:$E241,E241)=1,MAX($S$4:$S240)+1,""))</f>
        <v/>
      </c>
    </row>
    <row r="242">
      <c r="A242" s="44" t="str">
        <f>IF(B242="","","R"&amp;TEXT(ROW()-4,"000"))</f>
        <v/>
      </c>
      <c r="B242" s="37" t="n"/>
      <c r="C242" s="45" t="str">
        <f>IF(B242="","",IFERROR(INDEX(CARDS!$B$5:$B$34,MATCH(B242,CARDS!$A$5:$A$34,0)),"⚠ Card ID?"))</f>
        <v/>
      </c>
      <c r="D242" s="45" t="str">
        <f>IF(B242="","",IFERROR(INDEX(CARDS!$C$5:$C$34,MATCH(B242,CARDS!$A$5:$A$34,0)),"⚠ Card ID?"))</f>
        <v/>
      </c>
      <c r="E242" s="37" t="n"/>
      <c r="F242" s="37" t="n"/>
      <c r="G242" s="41" t="n"/>
      <c r="H242" s="45" t="str">
        <f>IF(G242="","",IFERROR(INDEX(MCC_MASTER!$B$5:$B$504,MATCH(G242,MCC_MASTER!$A$5:$A$504,0)),"⚠ MCC chưa có trong MCC_MASTER"))</f>
        <v/>
      </c>
      <c r="I242" s="46" t="n"/>
      <c r="J242" s="40" t="n"/>
      <c r="K242" s="40" t="n"/>
      <c r="L242" s="40" t="n"/>
      <c r="M242" s="40" t="n"/>
      <c r="N242" s="42" t="n"/>
      <c r="O242" s="42" t="n"/>
      <c r="P242" s="37" t="n"/>
      <c r="Q242" s="37" t="n"/>
      <c r="R242" s="45" t="str">
        <f>IF(B242="","",IF(ISNA(MATCH(B242,CARDS!$A$5:$A$34,0)),"⚠ Card ID không tồn tại",IF(E242="","⚠ Thiếu Nhóm cashback",IF(OR(SUMPRODUCT(($B$5:$B$304=B242)*($E$5:$E$304=E242)*($J$5:$J$304&lt;&gt;J242))&gt;0,SUMPRODUCT(($B$5:$B$304=B242)*($K$5:$K$304&lt;&gt;K242))&gt;0),"⚠ Cap không đồng nhất","✓ OK"))))</f>
        <v/>
      </c>
      <c r="S242" s="43" t="str">
        <f>IF(OR(B242="",E242=""),"",IF(COUNTIFS($B$5:$B242,B242,$E$5:$E242,E242)=1,MAX($S$4:$S241)+1,""))</f>
        <v/>
      </c>
    </row>
    <row r="243">
      <c r="A243" s="44" t="str">
        <f>IF(B243="","","R"&amp;TEXT(ROW()-4,"000"))</f>
        <v/>
      </c>
      <c r="B243" s="37" t="n"/>
      <c r="C243" s="45" t="str">
        <f>IF(B243="","",IFERROR(INDEX(CARDS!$B$5:$B$34,MATCH(B243,CARDS!$A$5:$A$34,0)),"⚠ Card ID?"))</f>
        <v/>
      </c>
      <c r="D243" s="45" t="str">
        <f>IF(B243="","",IFERROR(INDEX(CARDS!$C$5:$C$34,MATCH(B243,CARDS!$A$5:$A$34,0)),"⚠ Card ID?"))</f>
        <v/>
      </c>
      <c r="E243" s="37" t="n"/>
      <c r="F243" s="37" t="n"/>
      <c r="G243" s="41" t="n"/>
      <c r="H243" s="45" t="str">
        <f>IF(G243="","",IFERROR(INDEX(MCC_MASTER!$B$5:$B$504,MATCH(G243,MCC_MASTER!$A$5:$A$504,0)),"⚠ MCC chưa có trong MCC_MASTER"))</f>
        <v/>
      </c>
      <c r="I243" s="46" t="n"/>
      <c r="J243" s="40" t="n"/>
      <c r="K243" s="40" t="n"/>
      <c r="L243" s="40" t="n"/>
      <c r="M243" s="40" t="n"/>
      <c r="N243" s="42" t="n"/>
      <c r="O243" s="42" t="n"/>
      <c r="P243" s="37" t="n"/>
      <c r="Q243" s="37" t="n"/>
      <c r="R243" s="45" t="str">
        <f>IF(B243="","",IF(ISNA(MATCH(B243,CARDS!$A$5:$A$34,0)),"⚠ Card ID không tồn tại",IF(E243="","⚠ Thiếu Nhóm cashback",IF(OR(SUMPRODUCT(($B$5:$B$304=B243)*($E$5:$E$304=E243)*($J$5:$J$304&lt;&gt;J243))&gt;0,SUMPRODUCT(($B$5:$B$304=B243)*($K$5:$K$304&lt;&gt;K243))&gt;0),"⚠ Cap không đồng nhất","✓ OK"))))</f>
        <v/>
      </c>
      <c r="S243" s="43" t="str">
        <f>IF(OR(B243="",E243=""),"",IF(COUNTIFS($B$5:$B243,B243,$E$5:$E243,E243)=1,MAX($S$4:$S242)+1,""))</f>
        <v/>
      </c>
    </row>
    <row r="244">
      <c r="A244" s="44" t="str">
        <f>IF(B244="","","R"&amp;TEXT(ROW()-4,"000"))</f>
        <v/>
      </c>
      <c r="B244" s="37" t="n"/>
      <c r="C244" s="45" t="str">
        <f>IF(B244="","",IFERROR(INDEX(CARDS!$B$5:$B$34,MATCH(B244,CARDS!$A$5:$A$34,0)),"⚠ Card ID?"))</f>
        <v/>
      </c>
      <c r="D244" s="45" t="str">
        <f>IF(B244="","",IFERROR(INDEX(CARDS!$C$5:$C$34,MATCH(B244,CARDS!$A$5:$A$34,0)),"⚠ Card ID?"))</f>
        <v/>
      </c>
      <c r="E244" s="37" t="n"/>
      <c r="F244" s="37" t="n"/>
      <c r="G244" s="41" t="n"/>
      <c r="H244" s="45" t="str">
        <f>IF(G244="","",IFERROR(INDEX(MCC_MASTER!$B$5:$B$504,MATCH(G244,MCC_MASTER!$A$5:$A$504,0)),"⚠ MCC chưa có trong MCC_MASTER"))</f>
        <v/>
      </c>
      <c r="I244" s="46" t="n"/>
      <c r="J244" s="40" t="n"/>
      <c r="K244" s="40" t="n"/>
      <c r="L244" s="40" t="n"/>
      <c r="M244" s="40" t="n"/>
      <c r="N244" s="42" t="n"/>
      <c r="O244" s="42" t="n"/>
      <c r="P244" s="37" t="n"/>
      <c r="Q244" s="37" t="n"/>
      <c r="R244" s="45" t="str">
        <f>IF(B244="","",IF(ISNA(MATCH(B244,CARDS!$A$5:$A$34,0)),"⚠ Card ID không tồn tại",IF(E244="","⚠ Thiếu Nhóm cashback",IF(OR(SUMPRODUCT(($B$5:$B$304=B244)*($E$5:$E$304=E244)*($J$5:$J$304&lt;&gt;J244))&gt;0,SUMPRODUCT(($B$5:$B$304=B244)*($K$5:$K$304&lt;&gt;K244))&gt;0),"⚠ Cap không đồng nhất","✓ OK"))))</f>
        <v/>
      </c>
      <c r="S244" s="43" t="str">
        <f>IF(OR(B244="",E244=""),"",IF(COUNTIFS($B$5:$B244,B244,$E$5:$E244,E244)=1,MAX($S$4:$S243)+1,""))</f>
        <v/>
      </c>
    </row>
    <row r="245">
      <c r="A245" s="44" t="str">
        <f>IF(B245="","","R"&amp;TEXT(ROW()-4,"000"))</f>
        <v/>
      </c>
      <c r="B245" s="37" t="n"/>
      <c r="C245" s="45" t="str">
        <f>IF(B245="","",IFERROR(INDEX(CARDS!$B$5:$B$34,MATCH(B245,CARDS!$A$5:$A$34,0)),"⚠ Card ID?"))</f>
        <v/>
      </c>
      <c r="D245" s="45" t="str">
        <f>IF(B245="","",IFERROR(INDEX(CARDS!$C$5:$C$34,MATCH(B245,CARDS!$A$5:$A$34,0)),"⚠ Card ID?"))</f>
        <v/>
      </c>
      <c r="E245" s="37" t="n"/>
      <c r="F245" s="37" t="n"/>
      <c r="G245" s="41" t="n"/>
      <c r="H245" s="45" t="str">
        <f>IF(G245="","",IFERROR(INDEX(MCC_MASTER!$B$5:$B$504,MATCH(G245,MCC_MASTER!$A$5:$A$504,0)),"⚠ MCC chưa có trong MCC_MASTER"))</f>
        <v/>
      </c>
      <c r="I245" s="46" t="n"/>
      <c r="J245" s="40" t="n"/>
      <c r="K245" s="40" t="n"/>
      <c r="L245" s="40" t="n"/>
      <c r="M245" s="40" t="n"/>
      <c r="N245" s="42" t="n"/>
      <c r="O245" s="42" t="n"/>
      <c r="P245" s="37" t="n"/>
      <c r="Q245" s="37" t="n"/>
      <c r="R245" s="45" t="str">
        <f>IF(B245="","",IF(ISNA(MATCH(B245,CARDS!$A$5:$A$34,0)),"⚠ Card ID không tồn tại",IF(E245="","⚠ Thiếu Nhóm cashback",IF(OR(SUMPRODUCT(($B$5:$B$304=B245)*($E$5:$E$304=E245)*($J$5:$J$304&lt;&gt;J245))&gt;0,SUMPRODUCT(($B$5:$B$304=B245)*($K$5:$K$304&lt;&gt;K245))&gt;0),"⚠ Cap không đồng nhất","✓ OK"))))</f>
        <v/>
      </c>
      <c r="S245" s="43" t="str">
        <f>IF(OR(B245="",E245=""),"",IF(COUNTIFS($B$5:$B245,B245,$E$5:$E245,E245)=1,MAX($S$4:$S244)+1,""))</f>
        <v/>
      </c>
    </row>
    <row r="246">
      <c r="A246" s="44" t="str">
        <f>IF(B246="","","R"&amp;TEXT(ROW()-4,"000"))</f>
        <v/>
      </c>
      <c r="B246" s="37" t="n"/>
      <c r="C246" s="45" t="str">
        <f>IF(B246="","",IFERROR(INDEX(CARDS!$B$5:$B$34,MATCH(B246,CARDS!$A$5:$A$34,0)),"⚠ Card ID?"))</f>
        <v/>
      </c>
      <c r="D246" s="45" t="str">
        <f>IF(B246="","",IFERROR(INDEX(CARDS!$C$5:$C$34,MATCH(B246,CARDS!$A$5:$A$34,0)),"⚠ Card ID?"))</f>
        <v/>
      </c>
      <c r="E246" s="37" t="n"/>
      <c r="F246" s="37" t="n"/>
      <c r="G246" s="41" t="n"/>
      <c r="H246" s="45" t="str">
        <f>IF(G246="","",IFERROR(INDEX(MCC_MASTER!$B$5:$B$504,MATCH(G246,MCC_MASTER!$A$5:$A$504,0)),"⚠ MCC chưa có trong MCC_MASTER"))</f>
        <v/>
      </c>
      <c r="I246" s="46" t="n"/>
      <c r="J246" s="40" t="n"/>
      <c r="K246" s="40" t="n"/>
      <c r="L246" s="40" t="n"/>
      <c r="M246" s="40" t="n"/>
      <c r="N246" s="42" t="n"/>
      <c r="O246" s="42" t="n"/>
      <c r="P246" s="37" t="n"/>
      <c r="Q246" s="37" t="n"/>
      <c r="R246" s="45" t="str">
        <f>IF(B246="","",IF(ISNA(MATCH(B246,CARDS!$A$5:$A$34,0)),"⚠ Card ID không tồn tại",IF(E246="","⚠ Thiếu Nhóm cashback",IF(OR(SUMPRODUCT(($B$5:$B$304=B246)*($E$5:$E$304=E246)*($J$5:$J$304&lt;&gt;J246))&gt;0,SUMPRODUCT(($B$5:$B$304=B246)*($K$5:$K$304&lt;&gt;K246))&gt;0),"⚠ Cap không đồng nhất","✓ OK"))))</f>
        <v/>
      </c>
      <c r="S246" s="43" t="str">
        <f>IF(OR(B246="",E246=""),"",IF(COUNTIFS($B$5:$B246,B246,$E$5:$E246,E246)=1,MAX($S$4:$S245)+1,""))</f>
        <v/>
      </c>
    </row>
    <row r="247">
      <c r="A247" s="44" t="str">
        <f>IF(B247="","","R"&amp;TEXT(ROW()-4,"000"))</f>
        <v/>
      </c>
      <c r="B247" s="37" t="n"/>
      <c r="C247" s="45" t="str">
        <f>IF(B247="","",IFERROR(INDEX(CARDS!$B$5:$B$34,MATCH(B247,CARDS!$A$5:$A$34,0)),"⚠ Card ID?"))</f>
        <v/>
      </c>
      <c r="D247" s="45" t="str">
        <f>IF(B247="","",IFERROR(INDEX(CARDS!$C$5:$C$34,MATCH(B247,CARDS!$A$5:$A$34,0)),"⚠ Card ID?"))</f>
        <v/>
      </c>
      <c r="E247" s="37" t="n"/>
      <c r="F247" s="37" t="n"/>
      <c r="G247" s="41" t="n"/>
      <c r="H247" s="45" t="str">
        <f>IF(G247="","",IFERROR(INDEX(MCC_MASTER!$B$5:$B$504,MATCH(G247,MCC_MASTER!$A$5:$A$504,0)),"⚠ MCC chưa có trong MCC_MASTER"))</f>
        <v/>
      </c>
      <c r="I247" s="46" t="n"/>
      <c r="J247" s="40" t="n"/>
      <c r="K247" s="40" t="n"/>
      <c r="L247" s="40" t="n"/>
      <c r="M247" s="40" t="n"/>
      <c r="N247" s="42" t="n"/>
      <c r="O247" s="42" t="n"/>
      <c r="P247" s="37" t="n"/>
      <c r="Q247" s="37" t="n"/>
      <c r="R247" s="45" t="str">
        <f>IF(B247="","",IF(ISNA(MATCH(B247,CARDS!$A$5:$A$34,0)),"⚠ Card ID không tồn tại",IF(E247="","⚠ Thiếu Nhóm cashback",IF(OR(SUMPRODUCT(($B$5:$B$304=B247)*($E$5:$E$304=E247)*($J$5:$J$304&lt;&gt;J247))&gt;0,SUMPRODUCT(($B$5:$B$304=B247)*($K$5:$K$304&lt;&gt;K247))&gt;0),"⚠ Cap không đồng nhất","✓ OK"))))</f>
        <v/>
      </c>
      <c r="S247" s="43" t="str">
        <f>IF(OR(B247="",E247=""),"",IF(COUNTIFS($B$5:$B247,B247,$E$5:$E247,E247)=1,MAX($S$4:$S246)+1,""))</f>
        <v/>
      </c>
    </row>
    <row r="248">
      <c r="A248" s="44" t="str">
        <f>IF(B248="","","R"&amp;TEXT(ROW()-4,"000"))</f>
        <v/>
      </c>
      <c r="B248" s="37" t="n"/>
      <c r="C248" s="45" t="str">
        <f>IF(B248="","",IFERROR(INDEX(CARDS!$B$5:$B$34,MATCH(B248,CARDS!$A$5:$A$34,0)),"⚠ Card ID?"))</f>
        <v/>
      </c>
      <c r="D248" s="45" t="str">
        <f>IF(B248="","",IFERROR(INDEX(CARDS!$C$5:$C$34,MATCH(B248,CARDS!$A$5:$A$34,0)),"⚠ Card ID?"))</f>
        <v/>
      </c>
      <c r="E248" s="37" t="n"/>
      <c r="F248" s="37" t="n"/>
      <c r="G248" s="41" t="n"/>
      <c r="H248" s="45" t="str">
        <f>IF(G248="","",IFERROR(INDEX(MCC_MASTER!$B$5:$B$504,MATCH(G248,MCC_MASTER!$A$5:$A$504,0)),"⚠ MCC chưa có trong MCC_MASTER"))</f>
        <v/>
      </c>
      <c r="I248" s="46" t="n"/>
      <c r="J248" s="40" t="n"/>
      <c r="K248" s="40" t="n"/>
      <c r="L248" s="40" t="n"/>
      <c r="M248" s="40" t="n"/>
      <c r="N248" s="42" t="n"/>
      <c r="O248" s="42" t="n"/>
      <c r="P248" s="37" t="n"/>
      <c r="Q248" s="37" t="n"/>
      <c r="R248" s="45" t="str">
        <f>IF(B248="","",IF(ISNA(MATCH(B248,CARDS!$A$5:$A$34,0)),"⚠ Card ID không tồn tại",IF(E248="","⚠ Thiếu Nhóm cashback",IF(OR(SUMPRODUCT(($B$5:$B$304=B248)*($E$5:$E$304=E248)*($J$5:$J$304&lt;&gt;J248))&gt;0,SUMPRODUCT(($B$5:$B$304=B248)*($K$5:$K$304&lt;&gt;K248))&gt;0),"⚠ Cap không đồng nhất","✓ OK"))))</f>
        <v/>
      </c>
      <c r="S248" s="43" t="str">
        <f>IF(OR(B248="",E248=""),"",IF(COUNTIFS($B$5:$B248,B248,$E$5:$E248,E248)=1,MAX($S$4:$S247)+1,""))</f>
        <v/>
      </c>
    </row>
    <row r="249">
      <c r="A249" s="44" t="str">
        <f>IF(B249="","","R"&amp;TEXT(ROW()-4,"000"))</f>
        <v/>
      </c>
      <c r="B249" s="37" t="n"/>
      <c r="C249" s="45" t="str">
        <f>IF(B249="","",IFERROR(INDEX(CARDS!$B$5:$B$34,MATCH(B249,CARDS!$A$5:$A$34,0)),"⚠ Card ID?"))</f>
        <v/>
      </c>
      <c r="D249" s="45" t="str">
        <f>IF(B249="","",IFERROR(INDEX(CARDS!$C$5:$C$34,MATCH(B249,CARDS!$A$5:$A$34,0)),"⚠ Card ID?"))</f>
        <v/>
      </c>
      <c r="E249" s="37" t="n"/>
      <c r="F249" s="37" t="n"/>
      <c r="G249" s="41" t="n"/>
      <c r="H249" s="45" t="str">
        <f>IF(G249="","",IFERROR(INDEX(MCC_MASTER!$B$5:$B$504,MATCH(G249,MCC_MASTER!$A$5:$A$504,0)),"⚠ MCC chưa có trong MCC_MASTER"))</f>
        <v/>
      </c>
      <c r="I249" s="46" t="n"/>
      <c r="J249" s="40" t="n"/>
      <c r="K249" s="40" t="n"/>
      <c r="L249" s="40" t="n"/>
      <c r="M249" s="40" t="n"/>
      <c r="N249" s="42" t="n"/>
      <c r="O249" s="42" t="n"/>
      <c r="P249" s="37" t="n"/>
      <c r="Q249" s="37" t="n"/>
      <c r="R249" s="45" t="str">
        <f>IF(B249="","",IF(ISNA(MATCH(B249,CARDS!$A$5:$A$34,0)),"⚠ Card ID không tồn tại",IF(E249="","⚠ Thiếu Nhóm cashback",IF(OR(SUMPRODUCT(($B$5:$B$304=B249)*($E$5:$E$304=E249)*($J$5:$J$304&lt;&gt;J249))&gt;0,SUMPRODUCT(($B$5:$B$304=B249)*($K$5:$K$304&lt;&gt;K249))&gt;0),"⚠ Cap không đồng nhất","✓ OK"))))</f>
        <v/>
      </c>
      <c r="S249" s="43" t="str">
        <f>IF(OR(B249="",E249=""),"",IF(COUNTIFS($B$5:$B249,B249,$E$5:$E249,E249)=1,MAX($S$4:$S248)+1,""))</f>
        <v/>
      </c>
    </row>
    <row r="250">
      <c r="A250" s="44" t="str">
        <f>IF(B250="","","R"&amp;TEXT(ROW()-4,"000"))</f>
        <v/>
      </c>
      <c r="B250" s="37" t="n"/>
      <c r="C250" s="45" t="str">
        <f>IF(B250="","",IFERROR(INDEX(CARDS!$B$5:$B$34,MATCH(B250,CARDS!$A$5:$A$34,0)),"⚠ Card ID?"))</f>
        <v/>
      </c>
      <c r="D250" s="45" t="str">
        <f>IF(B250="","",IFERROR(INDEX(CARDS!$C$5:$C$34,MATCH(B250,CARDS!$A$5:$A$34,0)),"⚠ Card ID?"))</f>
        <v/>
      </c>
      <c r="E250" s="37" t="n"/>
      <c r="F250" s="37" t="n"/>
      <c r="G250" s="41" t="n"/>
      <c r="H250" s="45" t="str">
        <f>IF(G250="","",IFERROR(INDEX(MCC_MASTER!$B$5:$B$504,MATCH(G250,MCC_MASTER!$A$5:$A$504,0)),"⚠ MCC chưa có trong MCC_MASTER"))</f>
        <v/>
      </c>
      <c r="I250" s="46" t="n"/>
      <c r="J250" s="40" t="n"/>
      <c r="K250" s="40" t="n"/>
      <c r="L250" s="40" t="n"/>
      <c r="M250" s="40" t="n"/>
      <c r="N250" s="42" t="n"/>
      <c r="O250" s="42" t="n"/>
      <c r="P250" s="37" t="n"/>
      <c r="Q250" s="37" t="n"/>
      <c r="R250" s="45" t="str">
        <f>IF(B250="","",IF(ISNA(MATCH(B250,CARDS!$A$5:$A$34,0)),"⚠ Card ID không tồn tại",IF(E250="","⚠ Thiếu Nhóm cashback",IF(OR(SUMPRODUCT(($B$5:$B$304=B250)*($E$5:$E$304=E250)*($J$5:$J$304&lt;&gt;J250))&gt;0,SUMPRODUCT(($B$5:$B$304=B250)*($K$5:$K$304&lt;&gt;K250))&gt;0),"⚠ Cap không đồng nhất","✓ OK"))))</f>
        <v/>
      </c>
      <c r="S250" s="43" t="str">
        <f>IF(OR(B250="",E250=""),"",IF(COUNTIFS($B$5:$B250,B250,$E$5:$E250,E250)=1,MAX($S$4:$S249)+1,""))</f>
        <v/>
      </c>
    </row>
    <row r="251">
      <c r="A251" s="44" t="str">
        <f>IF(B251="","","R"&amp;TEXT(ROW()-4,"000"))</f>
        <v/>
      </c>
      <c r="B251" s="37" t="n"/>
      <c r="C251" s="45" t="str">
        <f>IF(B251="","",IFERROR(INDEX(CARDS!$B$5:$B$34,MATCH(B251,CARDS!$A$5:$A$34,0)),"⚠ Card ID?"))</f>
        <v/>
      </c>
      <c r="D251" s="45" t="str">
        <f>IF(B251="","",IFERROR(INDEX(CARDS!$C$5:$C$34,MATCH(B251,CARDS!$A$5:$A$34,0)),"⚠ Card ID?"))</f>
        <v/>
      </c>
      <c r="E251" s="37" t="n"/>
      <c r="F251" s="37" t="n"/>
      <c r="G251" s="41" t="n"/>
      <c r="H251" s="45" t="str">
        <f>IF(G251="","",IFERROR(INDEX(MCC_MASTER!$B$5:$B$504,MATCH(G251,MCC_MASTER!$A$5:$A$504,0)),"⚠ MCC chưa có trong MCC_MASTER"))</f>
        <v/>
      </c>
      <c r="I251" s="46" t="n"/>
      <c r="J251" s="40" t="n"/>
      <c r="K251" s="40" t="n"/>
      <c r="L251" s="40" t="n"/>
      <c r="M251" s="40" t="n"/>
      <c r="N251" s="42" t="n"/>
      <c r="O251" s="42" t="n"/>
      <c r="P251" s="37" t="n"/>
      <c r="Q251" s="37" t="n"/>
      <c r="R251" s="45" t="str">
        <f>IF(B251="","",IF(ISNA(MATCH(B251,CARDS!$A$5:$A$34,0)),"⚠ Card ID không tồn tại",IF(E251="","⚠ Thiếu Nhóm cashback",IF(OR(SUMPRODUCT(($B$5:$B$304=B251)*($E$5:$E$304=E251)*($J$5:$J$304&lt;&gt;J251))&gt;0,SUMPRODUCT(($B$5:$B$304=B251)*($K$5:$K$304&lt;&gt;K251))&gt;0),"⚠ Cap không đồng nhất","✓ OK"))))</f>
        <v/>
      </c>
      <c r="S251" s="43" t="str">
        <f>IF(OR(B251="",E251=""),"",IF(COUNTIFS($B$5:$B251,B251,$E$5:$E251,E251)=1,MAX($S$4:$S250)+1,""))</f>
        <v/>
      </c>
    </row>
    <row r="252">
      <c r="A252" s="44" t="str">
        <f>IF(B252="","","R"&amp;TEXT(ROW()-4,"000"))</f>
        <v/>
      </c>
      <c r="B252" s="37" t="n"/>
      <c r="C252" s="45" t="str">
        <f>IF(B252="","",IFERROR(INDEX(CARDS!$B$5:$B$34,MATCH(B252,CARDS!$A$5:$A$34,0)),"⚠ Card ID?"))</f>
        <v/>
      </c>
      <c r="D252" s="45" t="str">
        <f>IF(B252="","",IFERROR(INDEX(CARDS!$C$5:$C$34,MATCH(B252,CARDS!$A$5:$A$34,0)),"⚠ Card ID?"))</f>
        <v/>
      </c>
      <c r="E252" s="37" t="n"/>
      <c r="F252" s="37" t="n"/>
      <c r="G252" s="41" t="n"/>
      <c r="H252" s="45" t="str">
        <f>IF(G252="","",IFERROR(INDEX(MCC_MASTER!$B$5:$B$504,MATCH(G252,MCC_MASTER!$A$5:$A$504,0)),"⚠ MCC chưa có trong MCC_MASTER"))</f>
        <v/>
      </c>
      <c r="I252" s="46" t="n"/>
      <c r="J252" s="40" t="n"/>
      <c r="K252" s="40" t="n"/>
      <c r="L252" s="40" t="n"/>
      <c r="M252" s="40" t="n"/>
      <c r="N252" s="42" t="n"/>
      <c r="O252" s="42" t="n"/>
      <c r="P252" s="37" t="n"/>
      <c r="Q252" s="37" t="n"/>
      <c r="R252" s="45" t="str">
        <f>IF(B252="","",IF(ISNA(MATCH(B252,CARDS!$A$5:$A$34,0)),"⚠ Card ID không tồn tại",IF(E252="","⚠ Thiếu Nhóm cashback",IF(OR(SUMPRODUCT(($B$5:$B$304=B252)*($E$5:$E$304=E252)*($J$5:$J$304&lt;&gt;J252))&gt;0,SUMPRODUCT(($B$5:$B$304=B252)*($K$5:$K$304&lt;&gt;K252))&gt;0),"⚠ Cap không đồng nhất","✓ OK"))))</f>
        <v/>
      </c>
      <c r="S252" s="43" t="str">
        <f>IF(OR(B252="",E252=""),"",IF(COUNTIFS($B$5:$B252,B252,$E$5:$E252,E252)=1,MAX($S$4:$S251)+1,""))</f>
        <v/>
      </c>
    </row>
    <row r="253">
      <c r="A253" s="44" t="str">
        <f>IF(B253="","","R"&amp;TEXT(ROW()-4,"000"))</f>
        <v/>
      </c>
      <c r="B253" s="37" t="n"/>
      <c r="C253" s="45" t="str">
        <f>IF(B253="","",IFERROR(INDEX(CARDS!$B$5:$B$34,MATCH(B253,CARDS!$A$5:$A$34,0)),"⚠ Card ID?"))</f>
        <v/>
      </c>
      <c r="D253" s="45" t="str">
        <f>IF(B253="","",IFERROR(INDEX(CARDS!$C$5:$C$34,MATCH(B253,CARDS!$A$5:$A$34,0)),"⚠ Card ID?"))</f>
        <v/>
      </c>
      <c r="E253" s="37" t="n"/>
      <c r="F253" s="37" t="n"/>
      <c r="G253" s="41" t="n"/>
      <c r="H253" s="45" t="str">
        <f>IF(G253="","",IFERROR(INDEX(MCC_MASTER!$B$5:$B$504,MATCH(G253,MCC_MASTER!$A$5:$A$504,0)),"⚠ MCC chưa có trong MCC_MASTER"))</f>
        <v/>
      </c>
      <c r="I253" s="46" t="n"/>
      <c r="J253" s="40" t="n"/>
      <c r="K253" s="40" t="n"/>
      <c r="L253" s="40" t="n"/>
      <c r="M253" s="40" t="n"/>
      <c r="N253" s="42" t="n"/>
      <c r="O253" s="42" t="n"/>
      <c r="P253" s="37" t="n"/>
      <c r="Q253" s="37" t="n"/>
      <c r="R253" s="45" t="str">
        <f>IF(B253="","",IF(ISNA(MATCH(B253,CARDS!$A$5:$A$34,0)),"⚠ Card ID không tồn tại",IF(E253="","⚠ Thiếu Nhóm cashback",IF(OR(SUMPRODUCT(($B$5:$B$304=B253)*($E$5:$E$304=E253)*($J$5:$J$304&lt;&gt;J253))&gt;0,SUMPRODUCT(($B$5:$B$304=B253)*($K$5:$K$304&lt;&gt;K253))&gt;0),"⚠ Cap không đồng nhất","✓ OK"))))</f>
        <v/>
      </c>
      <c r="S253" s="43" t="str">
        <f>IF(OR(B253="",E253=""),"",IF(COUNTIFS($B$5:$B253,B253,$E$5:$E253,E253)=1,MAX($S$4:$S252)+1,""))</f>
        <v/>
      </c>
    </row>
    <row r="254">
      <c r="A254" s="44" t="str">
        <f>IF(B254="","","R"&amp;TEXT(ROW()-4,"000"))</f>
        <v/>
      </c>
      <c r="B254" s="37" t="n"/>
      <c r="C254" s="45" t="str">
        <f>IF(B254="","",IFERROR(INDEX(CARDS!$B$5:$B$34,MATCH(B254,CARDS!$A$5:$A$34,0)),"⚠ Card ID?"))</f>
        <v/>
      </c>
      <c r="D254" s="45" t="str">
        <f>IF(B254="","",IFERROR(INDEX(CARDS!$C$5:$C$34,MATCH(B254,CARDS!$A$5:$A$34,0)),"⚠ Card ID?"))</f>
        <v/>
      </c>
      <c r="E254" s="37" t="n"/>
      <c r="F254" s="37" t="n"/>
      <c r="G254" s="41" t="n"/>
      <c r="H254" s="45" t="str">
        <f>IF(G254="","",IFERROR(INDEX(MCC_MASTER!$B$5:$B$504,MATCH(G254,MCC_MASTER!$A$5:$A$504,0)),"⚠ MCC chưa có trong MCC_MASTER"))</f>
        <v/>
      </c>
      <c r="I254" s="46" t="n"/>
      <c r="J254" s="40" t="n"/>
      <c r="K254" s="40" t="n"/>
      <c r="L254" s="40" t="n"/>
      <c r="M254" s="40" t="n"/>
      <c r="N254" s="42" t="n"/>
      <c r="O254" s="42" t="n"/>
      <c r="P254" s="37" t="n"/>
      <c r="Q254" s="37" t="n"/>
      <c r="R254" s="45" t="str">
        <f>IF(B254="","",IF(ISNA(MATCH(B254,CARDS!$A$5:$A$34,0)),"⚠ Card ID không tồn tại",IF(E254="","⚠ Thiếu Nhóm cashback",IF(OR(SUMPRODUCT(($B$5:$B$304=B254)*($E$5:$E$304=E254)*($J$5:$J$304&lt;&gt;J254))&gt;0,SUMPRODUCT(($B$5:$B$304=B254)*($K$5:$K$304&lt;&gt;K254))&gt;0),"⚠ Cap không đồng nhất","✓ OK"))))</f>
        <v/>
      </c>
      <c r="S254" s="43" t="str">
        <f>IF(OR(B254="",E254=""),"",IF(COUNTIFS($B$5:$B254,B254,$E$5:$E254,E254)=1,MAX($S$4:$S253)+1,""))</f>
        <v/>
      </c>
    </row>
    <row r="255">
      <c r="A255" s="44" t="str">
        <f>IF(B255="","","R"&amp;TEXT(ROW()-4,"000"))</f>
        <v/>
      </c>
      <c r="B255" s="37" t="n"/>
      <c r="C255" s="45" t="str">
        <f>IF(B255="","",IFERROR(INDEX(CARDS!$B$5:$B$34,MATCH(B255,CARDS!$A$5:$A$34,0)),"⚠ Card ID?"))</f>
        <v/>
      </c>
      <c r="D255" s="45" t="str">
        <f>IF(B255="","",IFERROR(INDEX(CARDS!$C$5:$C$34,MATCH(B255,CARDS!$A$5:$A$34,0)),"⚠ Card ID?"))</f>
        <v/>
      </c>
      <c r="E255" s="37" t="n"/>
      <c r="F255" s="37" t="n"/>
      <c r="G255" s="41" t="n"/>
      <c r="H255" s="45" t="str">
        <f>IF(G255="","",IFERROR(INDEX(MCC_MASTER!$B$5:$B$504,MATCH(G255,MCC_MASTER!$A$5:$A$504,0)),"⚠ MCC chưa có trong MCC_MASTER"))</f>
        <v/>
      </c>
      <c r="I255" s="46" t="n"/>
      <c r="J255" s="40" t="n"/>
      <c r="K255" s="40" t="n"/>
      <c r="L255" s="40" t="n"/>
      <c r="M255" s="40" t="n"/>
      <c r="N255" s="42" t="n"/>
      <c r="O255" s="42" t="n"/>
      <c r="P255" s="37" t="n"/>
      <c r="Q255" s="37" t="n"/>
      <c r="R255" s="45" t="str">
        <f>IF(B255="","",IF(ISNA(MATCH(B255,CARDS!$A$5:$A$34,0)),"⚠ Card ID không tồn tại",IF(E255="","⚠ Thiếu Nhóm cashback",IF(OR(SUMPRODUCT(($B$5:$B$304=B255)*($E$5:$E$304=E255)*($J$5:$J$304&lt;&gt;J255))&gt;0,SUMPRODUCT(($B$5:$B$304=B255)*($K$5:$K$304&lt;&gt;K255))&gt;0),"⚠ Cap không đồng nhất","✓ OK"))))</f>
        <v/>
      </c>
      <c r="S255" s="43" t="str">
        <f>IF(OR(B255="",E255=""),"",IF(COUNTIFS($B$5:$B255,B255,$E$5:$E255,E255)=1,MAX($S$4:$S254)+1,""))</f>
        <v/>
      </c>
    </row>
    <row r="256">
      <c r="A256" s="44" t="str">
        <f>IF(B256="","","R"&amp;TEXT(ROW()-4,"000"))</f>
        <v/>
      </c>
      <c r="B256" s="37" t="n"/>
      <c r="C256" s="45" t="str">
        <f>IF(B256="","",IFERROR(INDEX(CARDS!$B$5:$B$34,MATCH(B256,CARDS!$A$5:$A$34,0)),"⚠ Card ID?"))</f>
        <v/>
      </c>
      <c r="D256" s="45" t="str">
        <f>IF(B256="","",IFERROR(INDEX(CARDS!$C$5:$C$34,MATCH(B256,CARDS!$A$5:$A$34,0)),"⚠ Card ID?"))</f>
        <v/>
      </c>
      <c r="E256" s="37" t="n"/>
      <c r="F256" s="37" t="n"/>
      <c r="G256" s="41" t="n"/>
      <c r="H256" s="45" t="str">
        <f>IF(G256="","",IFERROR(INDEX(MCC_MASTER!$B$5:$B$504,MATCH(G256,MCC_MASTER!$A$5:$A$504,0)),"⚠ MCC chưa có trong MCC_MASTER"))</f>
        <v/>
      </c>
      <c r="I256" s="46" t="n"/>
      <c r="J256" s="40" t="n"/>
      <c r="K256" s="40" t="n"/>
      <c r="L256" s="40" t="n"/>
      <c r="M256" s="40" t="n"/>
      <c r="N256" s="42" t="n"/>
      <c r="O256" s="42" t="n"/>
      <c r="P256" s="37" t="n"/>
      <c r="Q256" s="37" t="n"/>
      <c r="R256" s="45" t="str">
        <f>IF(B256="","",IF(ISNA(MATCH(B256,CARDS!$A$5:$A$34,0)),"⚠ Card ID không tồn tại",IF(E256="","⚠ Thiếu Nhóm cashback",IF(OR(SUMPRODUCT(($B$5:$B$304=B256)*($E$5:$E$304=E256)*($J$5:$J$304&lt;&gt;J256))&gt;0,SUMPRODUCT(($B$5:$B$304=B256)*($K$5:$K$304&lt;&gt;K256))&gt;0),"⚠ Cap không đồng nhất","✓ OK"))))</f>
        <v/>
      </c>
      <c r="S256" s="43" t="str">
        <f>IF(OR(B256="",E256=""),"",IF(COUNTIFS($B$5:$B256,B256,$E$5:$E256,E256)=1,MAX($S$4:$S255)+1,""))</f>
        <v/>
      </c>
    </row>
    <row r="257">
      <c r="A257" s="44" t="str">
        <f>IF(B257="","","R"&amp;TEXT(ROW()-4,"000"))</f>
        <v/>
      </c>
      <c r="B257" s="37" t="n"/>
      <c r="C257" s="45" t="str">
        <f>IF(B257="","",IFERROR(INDEX(CARDS!$B$5:$B$34,MATCH(B257,CARDS!$A$5:$A$34,0)),"⚠ Card ID?"))</f>
        <v/>
      </c>
      <c r="D257" s="45" t="str">
        <f>IF(B257="","",IFERROR(INDEX(CARDS!$C$5:$C$34,MATCH(B257,CARDS!$A$5:$A$34,0)),"⚠ Card ID?"))</f>
        <v/>
      </c>
      <c r="E257" s="37" t="n"/>
      <c r="F257" s="37" t="n"/>
      <c r="G257" s="41" t="n"/>
      <c r="H257" s="45" t="str">
        <f>IF(G257="","",IFERROR(INDEX(MCC_MASTER!$B$5:$B$504,MATCH(G257,MCC_MASTER!$A$5:$A$504,0)),"⚠ MCC chưa có trong MCC_MASTER"))</f>
        <v/>
      </c>
      <c r="I257" s="46" t="n"/>
      <c r="J257" s="40" t="n"/>
      <c r="K257" s="40" t="n"/>
      <c r="L257" s="40" t="n"/>
      <c r="M257" s="40" t="n"/>
      <c r="N257" s="42" t="n"/>
      <c r="O257" s="42" t="n"/>
      <c r="P257" s="37" t="n"/>
      <c r="Q257" s="37" t="n"/>
      <c r="R257" s="45" t="str">
        <f>IF(B257="","",IF(ISNA(MATCH(B257,CARDS!$A$5:$A$34,0)),"⚠ Card ID không tồn tại",IF(E257="","⚠ Thiếu Nhóm cashback",IF(OR(SUMPRODUCT(($B$5:$B$304=B257)*($E$5:$E$304=E257)*($J$5:$J$304&lt;&gt;J257))&gt;0,SUMPRODUCT(($B$5:$B$304=B257)*($K$5:$K$304&lt;&gt;K257))&gt;0),"⚠ Cap không đồng nhất","✓ OK"))))</f>
        <v/>
      </c>
      <c r="S257" s="43" t="str">
        <f>IF(OR(B257="",E257=""),"",IF(COUNTIFS($B$5:$B257,B257,$E$5:$E257,E257)=1,MAX($S$4:$S256)+1,""))</f>
        <v/>
      </c>
    </row>
    <row r="258">
      <c r="A258" s="44" t="str">
        <f>IF(B258="","","R"&amp;TEXT(ROW()-4,"000"))</f>
        <v/>
      </c>
      <c r="B258" s="37" t="n"/>
      <c r="C258" s="45" t="str">
        <f>IF(B258="","",IFERROR(INDEX(CARDS!$B$5:$B$34,MATCH(B258,CARDS!$A$5:$A$34,0)),"⚠ Card ID?"))</f>
        <v/>
      </c>
      <c r="D258" s="45" t="str">
        <f>IF(B258="","",IFERROR(INDEX(CARDS!$C$5:$C$34,MATCH(B258,CARDS!$A$5:$A$34,0)),"⚠ Card ID?"))</f>
        <v/>
      </c>
      <c r="E258" s="37" t="n"/>
      <c r="F258" s="37" t="n"/>
      <c r="G258" s="41" t="n"/>
      <c r="H258" s="45" t="str">
        <f>IF(G258="","",IFERROR(INDEX(MCC_MASTER!$B$5:$B$504,MATCH(G258,MCC_MASTER!$A$5:$A$504,0)),"⚠ MCC chưa có trong MCC_MASTER"))</f>
        <v/>
      </c>
      <c r="I258" s="46" t="n"/>
      <c r="J258" s="40" t="n"/>
      <c r="K258" s="40" t="n"/>
      <c r="L258" s="40" t="n"/>
      <c r="M258" s="40" t="n"/>
      <c r="N258" s="42" t="n"/>
      <c r="O258" s="42" t="n"/>
      <c r="P258" s="37" t="n"/>
      <c r="Q258" s="37" t="n"/>
      <c r="R258" s="45" t="str">
        <f>IF(B258="","",IF(ISNA(MATCH(B258,CARDS!$A$5:$A$34,0)),"⚠ Card ID không tồn tại",IF(E258="","⚠ Thiếu Nhóm cashback",IF(OR(SUMPRODUCT(($B$5:$B$304=B258)*($E$5:$E$304=E258)*($J$5:$J$304&lt;&gt;J258))&gt;0,SUMPRODUCT(($B$5:$B$304=B258)*($K$5:$K$304&lt;&gt;K258))&gt;0),"⚠ Cap không đồng nhất","✓ OK"))))</f>
        <v/>
      </c>
      <c r="S258" s="43" t="str">
        <f>IF(OR(B258="",E258=""),"",IF(COUNTIFS($B$5:$B258,B258,$E$5:$E258,E258)=1,MAX($S$4:$S257)+1,""))</f>
        <v/>
      </c>
    </row>
    <row r="259">
      <c r="A259" s="44" t="str">
        <f>IF(B259="","","R"&amp;TEXT(ROW()-4,"000"))</f>
        <v/>
      </c>
      <c r="B259" s="37" t="n"/>
      <c r="C259" s="45" t="str">
        <f>IF(B259="","",IFERROR(INDEX(CARDS!$B$5:$B$34,MATCH(B259,CARDS!$A$5:$A$34,0)),"⚠ Card ID?"))</f>
        <v/>
      </c>
      <c r="D259" s="45" t="str">
        <f>IF(B259="","",IFERROR(INDEX(CARDS!$C$5:$C$34,MATCH(B259,CARDS!$A$5:$A$34,0)),"⚠ Card ID?"))</f>
        <v/>
      </c>
      <c r="E259" s="37" t="n"/>
      <c r="F259" s="37" t="n"/>
      <c r="G259" s="41" t="n"/>
      <c r="H259" s="45" t="str">
        <f>IF(G259="","",IFERROR(INDEX(MCC_MASTER!$B$5:$B$504,MATCH(G259,MCC_MASTER!$A$5:$A$504,0)),"⚠ MCC chưa có trong MCC_MASTER"))</f>
        <v/>
      </c>
      <c r="I259" s="46" t="n"/>
      <c r="J259" s="40" t="n"/>
      <c r="K259" s="40" t="n"/>
      <c r="L259" s="40" t="n"/>
      <c r="M259" s="40" t="n"/>
      <c r="N259" s="42" t="n"/>
      <c r="O259" s="42" t="n"/>
      <c r="P259" s="37" t="n"/>
      <c r="Q259" s="37" t="n"/>
      <c r="R259" s="45" t="str">
        <f>IF(B259="","",IF(ISNA(MATCH(B259,CARDS!$A$5:$A$34,0)),"⚠ Card ID không tồn tại",IF(E259="","⚠ Thiếu Nhóm cashback",IF(OR(SUMPRODUCT(($B$5:$B$304=B259)*($E$5:$E$304=E259)*($J$5:$J$304&lt;&gt;J259))&gt;0,SUMPRODUCT(($B$5:$B$304=B259)*($K$5:$K$304&lt;&gt;K259))&gt;0),"⚠ Cap không đồng nhất","✓ OK"))))</f>
        <v/>
      </c>
      <c r="S259" s="43" t="str">
        <f>IF(OR(B259="",E259=""),"",IF(COUNTIFS($B$5:$B259,B259,$E$5:$E259,E259)=1,MAX($S$4:$S258)+1,""))</f>
        <v/>
      </c>
    </row>
    <row r="260">
      <c r="A260" s="44" t="str">
        <f>IF(B260="","","R"&amp;TEXT(ROW()-4,"000"))</f>
        <v/>
      </c>
      <c r="B260" s="37" t="n"/>
      <c r="C260" s="45" t="str">
        <f>IF(B260="","",IFERROR(INDEX(CARDS!$B$5:$B$34,MATCH(B260,CARDS!$A$5:$A$34,0)),"⚠ Card ID?"))</f>
        <v/>
      </c>
      <c r="D260" s="45" t="str">
        <f>IF(B260="","",IFERROR(INDEX(CARDS!$C$5:$C$34,MATCH(B260,CARDS!$A$5:$A$34,0)),"⚠ Card ID?"))</f>
        <v/>
      </c>
      <c r="E260" s="37" t="n"/>
      <c r="F260" s="37" t="n"/>
      <c r="G260" s="41" t="n"/>
      <c r="H260" s="45" t="str">
        <f>IF(G260="","",IFERROR(INDEX(MCC_MASTER!$B$5:$B$504,MATCH(G260,MCC_MASTER!$A$5:$A$504,0)),"⚠ MCC chưa có trong MCC_MASTER"))</f>
        <v/>
      </c>
      <c r="I260" s="46" t="n"/>
      <c r="J260" s="40" t="n"/>
      <c r="K260" s="40" t="n"/>
      <c r="L260" s="40" t="n"/>
      <c r="M260" s="40" t="n"/>
      <c r="N260" s="42" t="n"/>
      <c r="O260" s="42" t="n"/>
      <c r="P260" s="37" t="n"/>
      <c r="Q260" s="37" t="n"/>
      <c r="R260" s="45" t="str">
        <f>IF(B260="","",IF(ISNA(MATCH(B260,CARDS!$A$5:$A$34,0)),"⚠ Card ID không tồn tại",IF(E260="","⚠ Thiếu Nhóm cashback",IF(OR(SUMPRODUCT(($B$5:$B$304=B260)*($E$5:$E$304=E260)*($J$5:$J$304&lt;&gt;J260))&gt;0,SUMPRODUCT(($B$5:$B$304=B260)*($K$5:$K$304&lt;&gt;K260))&gt;0),"⚠ Cap không đồng nhất","✓ OK"))))</f>
        <v/>
      </c>
      <c r="S260" s="43" t="str">
        <f>IF(OR(B260="",E260=""),"",IF(COUNTIFS($B$5:$B260,B260,$E$5:$E260,E260)=1,MAX($S$4:$S259)+1,""))</f>
        <v/>
      </c>
    </row>
    <row r="261">
      <c r="A261" s="44" t="str">
        <f>IF(B261="","","R"&amp;TEXT(ROW()-4,"000"))</f>
        <v/>
      </c>
      <c r="B261" s="37" t="n"/>
      <c r="C261" s="45" t="str">
        <f>IF(B261="","",IFERROR(INDEX(CARDS!$B$5:$B$34,MATCH(B261,CARDS!$A$5:$A$34,0)),"⚠ Card ID?"))</f>
        <v/>
      </c>
      <c r="D261" s="45" t="str">
        <f>IF(B261="","",IFERROR(INDEX(CARDS!$C$5:$C$34,MATCH(B261,CARDS!$A$5:$A$34,0)),"⚠ Card ID?"))</f>
        <v/>
      </c>
      <c r="E261" s="37" t="n"/>
      <c r="F261" s="37" t="n"/>
      <c r="G261" s="41" t="n"/>
      <c r="H261" s="45" t="str">
        <f>IF(G261="","",IFERROR(INDEX(MCC_MASTER!$B$5:$B$504,MATCH(G261,MCC_MASTER!$A$5:$A$504,0)),"⚠ MCC chưa có trong MCC_MASTER"))</f>
        <v/>
      </c>
      <c r="I261" s="46" t="n"/>
      <c r="J261" s="40" t="n"/>
      <c r="K261" s="40" t="n"/>
      <c r="L261" s="40" t="n"/>
      <c r="M261" s="40" t="n"/>
      <c r="N261" s="42" t="n"/>
      <c r="O261" s="42" t="n"/>
      <c r="P261" s="37" t="n"/>
      <c r="Q261" s="37" t="n"/>
      <c r="R261" s="45" t="str">
        <f>IF(B261="","",IF(ISNA(MATCH(B261,CARDS!$A$5:$A$34,0)),"⚠ Card ID không tồn tại",IF(E261="","⚠ Thiếu Nhóm cashback",IF(OR(SUMPRODUCT(($B$5:$B$304=B261)*($E$5:$E$304=E261)*($J$5:$J$304&lt;&gt;J261))&gt;0,SUMPRODUCT(($B$5:$B$304=B261)*($K$5:$K$304&lt;&gt;K261))&gt;0),"⚠ Cap không đồng nhất","✓ OK"))))</f>
        <v/>
      </c>
      <c r="S261" s="43" t="str">
        <f>IF(OR(B261="",E261=""),"",IF(COUNTIFS($B$5:$B261,B261,$E$5:$E261,E261)=1,MAX($S$4:$S260)+1,""))</f>
        <v/>
      </c>
    </row>
    <row r="262">
      <c r="A262" s="44" t="str">
        <f>IF(B262="","","R"&amp;TEXT(ROW()-4,"000"))</f>
        <v/>
      </c>
      <c r="B262" s="37" t="n"/>
      <c r="C262" s="45" t="str">
        <f>IF(B262="","",IFERROR(INDEX(CARDS!$B$5:$B$34,MATCH(B262,CARDS!$A$5:$A$34,0)),"⚠ Card ID?"))</f>
        <v/>
      </c>
      <c r="D262" s="45" t="str">
        <f>IF(B262="","",IFERROR(INDEX(CARDS!$C$5:$C$34,MATCH(B262,CARDS!$A$5:$A$34,0)),"⚠ Card ID?"))</f>
        <v/>
      </c>
      <c r="E262" s="37" t="n"/>
      <c r="F262" s="37" t="n"/>
      <c r="G262" s="41" t="n"/>
      <c r="H262" s="45" t="str">
        <f>IF(G262="","",IFERROR(INDEX(MCC_MASTER!$B$5:$B$504,MATCH(G262,MCC_MASTER!$A$5:$A$504,0)),"⚠ MCC chưa có trong MCC_MASTER"))</f>
        <v/>
      </c>
      <c r="I262" s="46" t="n"/>
      <c r="J262" s="40" t="n"/>
      <c r="K262" s="40" t="n"/>
      <c r="L262" s="40" t="n"/>
      <c r="M262" s="40" t="n"/>
      <c r="N262" s="42" t="n"/>
      <c r="O262" s="42" t="n"/>
      <c r="P262" s="37" t="n"/>
      <c r="Q262" s="37" t="n"/>
      <c r="R262" s="45" t="str">
        <f>IF(B262="","",IF(ISNA(MATCH(B262,CARDS!$A$5:$A$34,0)),"⚠ Card ID không tồn tại",IF(E262="","⚠ Thiếu Nhóm cashback",IF(OR(SUMPRODUCT(($B$5:$B$304=B262)*($E$5:$E$304=E262)*($J$5:$J$304&lt;&gt;J262))&gt;0,SUMPRODUCT(($B$5:$B$304=B262)*($K$5:$K$304&lt;&gt;K262))&gt;0),"⚠ Cap không đồng nhất","✓ OK"))))</f>
        <v/>
      </c>
      <c r="S262" s="43" t="str">
        <f>IF(OR(B262="",E262=""),"",IF(COUNTIFS($B$5:$B262,B262,$E$5:$E262,E262)=1,MAX($S$4:$S261)+1,""))</f>
        <v/>
      </c>
    </row>
    <row r="263">
      <c r="A263" s="44" t="str">
        <f>IF(B263="","","R"&amp;TEXT(ROW()-4,"000"))</f>
        <v/>
      </c>
      <c r="B263" s="37" t="n"/>
      <c r="C263" s="45" t="str">
        <f>IF(B263="","",IFERROR(INDEX(CARDS!$B$5:$B$34,MATCH(B263,CARDS!$A$5:$A$34,0)),"⚠ Card ID?"))</f>
        <v/>
      </c>
      <c r="D263" s="45" t="str">
        <f>IF(B263="","",IFERROR(INDEX(CARDS!$C$5:$C$34,MATCH(B263,CARDS!$A$5:$A$34,0)),"⚠ Card ID?"))</f>
        <v/>
      </c>
      <c r="E263" s="37" t="n"/>
      <c r="F263" s="37" t="n"/>
      <c r="G263" s="41" t="n"/>
      <c r="H263" s="45" t="str">
        <f>IF(G263="","",IFERROR(INDEX(MCC_MASTER!$B$5:$B$504,MATCH(G263,MCC_MASTER!$A$5:$A$504,0)),"⚠ MCC chưa có trong MCC_MASTER"))</f>
        <v/>
      </c>
      <c r="I263" s="46" t="n"/>
      <c r="J263" s="40" t="n"/>
      <c r="K263" s="40" t="n"/>
      <c r="L263" s="40" t="n"/>
      <c r="M263" s="40" t="n"/>
      <c r="N263" s="42" t="n"/>
      <c r="O263" s="42" t="n"/>
      <c r="P263" s="37" t="n"/>
      <c r="Q263" s="37" t="n"/>
      <c r="R263" s="45" t="str">
        <f>IF(B263="","",IF(ISNA(MATCH(B263,CARDS!$A$5:$A$34,0)),"⚠ Card ID không tồn tại",IF(E263="","⚠ Thiếu Nhóm cashback",IF(OR(SUMPRODUCT(($B$5:$B$304=B263)*($E$5:$E$304=E263)*($J$5:$J$304&lt;&gt;J263))&gt;0,SUMPRODUCT(($B$5:$B$304=B263)*($K$5:$K$304&lt;&gt;K263))&gt;0),"⚠ Cap không đồng nhất","✓ OK"))))</f>
        <v/>
      </c>
      <c r="S263" s="43" t="str">
        <f>IF(OR(B263="",E263=""),"",IF(COUNTIFS($B$5:$B263,B263,$E$5:$E263,E263)=1,MAX($S$4:$S262)+1,""))</f>
        <v/>
      </c>
    </row>
    <row r="264">
      <c r="A264" s="44" t="str">
        <f>IF(B264="","","R"&amp;TEXT(ROW()-4,"000"))</f>
        <v/>
      </c>
      <c r="B264" s="37" t="n"/>
      <c r="C264" s="45" t="str">
        <f>IF(B264="","",IFERROR(INDEX(CARDS!$B$5:$B$34,MATCH(B264,CARDS!$A$5:$A$34,0)),"⚠ Card ID?"))</f>
        <v/>
      </c>
      <c r="D264" s="45" t="str">
        <f>IF(B264="","",IFERROR(INDEX(CARDS!$C$5:$C$34,MATCH(B264,CARDS!$A$5:$A$34,0)),"⚠ Card ID?"))</f>
        <v/>
      </c>
      <c r="E264" s="37" t="n"/>
      <c r="F264" s="37" t="n"/>
      <c r="G264" s="41" t="n"/>
      <c r="H264" s="45" t="str">
        <f>IF(G264="","",IFERROR(INDEX(MCC_MASTER!$B$5:$B$504,MATCH(G264,MCC_MASTER!$A$5:$A$504,0)),"⚠ MCC chưa có trong MCC_MASTER"))</f>
        <v/>
      </c>
      <c r="I264" s="46" t="n"/>
      <c r="J264" s="40" t="n"/>
      <c r="K264" s="40" t="n"/>
      <c r="L264" s="40" t="n"/>
      <c r="M264" s="40" t="n"/>
      <c r="N264" s="42" t="n"/>
      <c r="O264" s="42" t="n"/>
      <c r="P264" s="37" t="n"/>
      <c r="Q264" s="37" t="n"/>
      <c r="R264" s="45" t="str">
        <f>IF(B264="","",IF(ISNA(MATCH(B264,CARDS!$A$5:$A$34,0)),"⚠ Card ID không tồn tại",IF(E264="","⚠ Thiếu Nhóm cashback",IF(OR(SUMPRODUCT(($B$5:$B$304=B264)*($E$5:$E$304=E264)*($J$5:$J$304&lt;&gt;J264))&gt;0,SUMPRODUCT(($B$5:$B$304=B264)*($K$5:$K$304&lt;&gt;K264))&gt;0),"⚠ Cap không đồng nhất","✓ OK"))))</f>
        <v/>
      </c>
      <c r="S264" s="43" t="str">
        <f>IF(OR(B264="",E264=""),"",IF(COUNTIFS($B$5:$B264,B264,$E$5:$E264,E264)=1,MAX($S$4:$S263)+1,""))</f>
        <v/>
      </c>
    </row>
    <row r="265">
      <c r="A265" s="44" t="str">
        <f>IF(B265="","","R"&amp;TEXT(ROW()-4,"000"))</f>
        <v/>
      </c>
      <c r="B265" s="37" t="n"/>
      <c r="C265" s="45" t="str">
        <f>IF(B265="","",IFERROR(INDEX(CARDS!$B$5:$B$34,MATCH(B265,CARDS!$A$5:$A$34,0)),"⚠ Card ID?"))</f>
        <v/>
      </c>
      <c r="D265" s="45" t="str">
        <f>IF(B265="","",IFERROR(INDEX(CARDS!$C$5:$C$34,MATCH(B265,CARDS!$A$5:$A$34,0)),"⚠ Card ID?"))</f>
        <v/>
      </c>
      <c r="E265" s="37" t="n"/>
      <c r="F265" s="37" t="n"/>
      <c r="G265" s="41" t="n"/>
      <c r="H265" s="45" t="str">
        <f>IF(G265="","",IFERROR(INDEX(MCC_MASTER!$B$5:$B$504,MATCH(G265,MCC_MASTER!$A$5:$A$504,0)),"⚠ MCC chưa có trong MCC_MASTER"))</f>
        <v/>
      </c>
      <c r="I265" s="46" t="n"/>
      <c r="J265" s="40" t="n"/>
      <c r="K265" s="40" t="n"/>
      <c r="L265" s="40" t="n"/>
      <c r="M265" s="40" t="n"/>
      <c r="N265" s="42" t="n"/>
      <c r="O265" s="42" t="n"/>
      <c r="P265" s="37" t="n"/>
      <c r="Q265" s="37" t="n"/>
      <c r="R265" s="45" t="str">
        <f>IF(B265="","",IF(ISNA(MATCH(B265,CARDS!$A$5:$A$34,0)),"⚠ Card ID không tồn tại",IF(E265="","⚠ Thiếu Nhóm cashback",IF(OR(SUMPRODUCT(($B$5:$B$304=B265)*($E$5:$E$304=E265)*($J$5:$J$304&lt;&gt;J265))&gt;0,SUMPRODUCT(($B$5:$B$304=B265)*($K$5:$K$304&lt;&gt;K265))&gt;0),"⚠ Cap không đồng nhất","✓ OK"))))</f>
        <v/>
      </c>
      <c r="S265" s="43" t="str">
        <f>IF(OR(B265="",E265=""),"",IF(COUNTIFS($B$5:$B265,B265,$E$5:$E265,E265)=1,MAX($S$4:$S264)+1,""))</f>
        <v/>
      </c>
    </row>
    <row r="266">
      <c r="A266" s="44" t="str">
        <f>IF(B266="","","R"&amp;TEXT(ROW()-4,"000"))</f>
        <v/>
      </c>
      <c r="B266" s="37" t="n"/>
      <c r="C266" s="45" t="str">
        <f>IF(B266="","",IFERROR(INDEX(CARDS!$B$5:$B$34,MATCH(B266,CARDS!$A$5:$A$34,0)),"⚠ Card ID?"))</f>
        <v/>
      </c>
      <c r="D266" s="45" t="str">
        <f>IF(B266="","",IFERROR(INDEX(CARDS!$C$5:$C$34,MATCH(B266,CARDS!$A$5:$A$34,0)),"⚠ Card ID?"))</f>
        <v/>
      </c>
      <c r="E266" s="37" t="n"/>
      <c r="F266" s="37" t="n"/>
      <c r="G266" s="41" t="n"/>
      <c r="H266" s="45" t="str">
        <f>IF(G266="","",IFERROR(INDEX(MCC_MASTER!$B$5:$B$504,MATCH(G266,MCC_MASTER!$A$5:$A$504,0)),"⚠ MCC chưa có trong MCC_MASTER"))</f>
        <v/>
      </c>
      <c r="I266" s="46" t="n"/>
      <c r="J266" s="40" t="n"/>
      <c r="K266" s="40" t="n"/>
      <c r="L266" s="40" t="n"/>
      <c r="M266" s="40" t="n"/>
      <c r="N266" s="42" t="n"/>
      <c r="O266" s="42" t="n"/>
      <c r="P266" s="37" t="n"/>
      <c r="Q266" s="37" t="n"/>
      <c r="R266" s="45" t="str">
        <f>IF(B266="","",IF(ISNA(MATCH(B266,CARDS!$A$5:$A$34,0)),"⚠ Card ID không tồn tại",IF(E266="","⚠ Thiếu Nhóm cashback",IF(OR(SUMPRODUCT(($B$5:$B$304=B266)*($E$5:$E$304=E266)*($J$5:$J$304&lt;&gt;J266))&gt;0,SUMPRODUCT(($B$5:$B$304=B266)*($K$5:$K$304&lt;&gt;K266))&gt;0),"⚠ Cap không đồng nhất","✓ OK"))))</f>
        <v/>
      </c>
      <c r="S266" s="43" t="str">
        <f>IF(OR(B266="",E266=""),"",IF(COUNTIFS($B$5:$B266,B266,$E$5:$E266,E266)=1,MAX($S$4:$S265)+1,""))</f>
        <v/>
      </c>
    </row>
    <row r="267">
      <c r="A267" s="44" t="str">
        <f>IF(B267="","","R"&amp;TEXT(ROW()-4,"000"))</f>
        <v/>
      </c>
      <c r="B267" s="37" t="n"/>
      <c r="C267" s="45" t="str">
        <f>IF(B267="","",IFERROR(INDEX(CARDS!$B$5:$B$34,MATCH(B267,CARDS!$A$5:$A$34,0)),"⚠ Card ID?"))</f>
        <v/>
      </c>
      <c r="D267" s="45" t="str">
        <f>IF(B267="","",IFERROR(INDEX(CARDS!$C$5:$C$34,MATCH(B267,CARDS!$A$5:$A$34,0)),"⚠ Card ID?"))</f>
        <v/>
      </c>
      <c r="E267" s="37" t="n"/>
      <c r="F267" s="37" t="n"/>
      <c r="G267" s="41" t="n"/>
      <c r="H267" s="45" t="str">
        <f>IF(G267="","",IFERROR(INDEX(MCC_MASTER!$B$5:$B$504,MATCH(G267,MCC_MASTER!$A$5:$A$504,0)),"⚠ MCC chưa có trong MCC_MASTER"))</f>
        <v/>
      </c>
      <c r="I267" s="46" t="n"/>
      <c r="J267" s="40" t="n"/>
      <c r="K267" s="40" t="n"/>
      <c r="L267" s="40" t="n"/>
      <c r="M267" s="40" t="n"/>
      <c r="N267" s="42" t="n"/>
      <c r="O267" s="42" t="n"/>
      <c r="P267" s="37" t="n"/>
      <c r="Q267" s="37" t="n"/>
      <c r="R267" s="45" t="str">
        <f>IF(B267="","",IF(ISNA(MATCH(B267,CARDS!$A$5:$A$34,0)),"⚠ Card ID không tồn tại",IF(E267="","⚠ Thiếu Nhóm cashback",IF(OR(SUMPRODUCT(($B$5:$B$304=B267)*($E$5:$E$304=E267)*($J$5:$J$304&lt;&gt;J267))&gt;0,SUMPRODUCT(($B$5:$B$304=B267)*($K$5:$K$304&lt;&gt;K267))&gt;0),"⚠ Cap không đồng nhất","✓ OK"))))</f>
        <v/>
      </c>
      <c r="S267" s="43" t="str">
        <f>IF(OR(B267="",E267=""),"",IF(COUNTIFS($B$5:$B267,B267,$E$5:$E267,E267)=1,MAX($S$4:$S266)+1,""))</f>
        <v/>
      </c>
    </row>
    <row r="268">
      <c r="A268" s="44" t="str">
        <f>IF(B268="","","R"&amp;TEXT(ROW()-4,"000"))</f>
        <v/>
      </c>
      <c r="B268" s="37" t="n"/>
      <c r="C268" s="45" t="str">
        <f>IF(B268="","",IFERROR(INDEX(CARDS!$B$5:$B$34,MATCH(B268,CARDS!$A$5:$A$34,0)),"⚠ Card ID?"))</f>
        <v/>
      </c>
      <c r="D268" s="45" t="str">
        <f>IF(B268="","",IFERROR(INDEX(CARDS!$C$5:$C$34,MATCH(B268,CARDS!$A$5:$A$34,0)),"⚠ Card ID?"))</f>
        <v/>
      </c>
      <c r="E268" s="37" t="n"/>
      <c r="F268" s="37" t="n"/>
      <c r="G268" s="41" t="n"/>
      <c r="H268" s="45" t="str">
        <f>IF(G268="","",IFERROR(INDEX(MCC_MASTER!$B$5:$B$504,MATCH(G268,MCC_MASTER!$A$5:$A$504,0)),"⚠ MCC chưa có trong MCC_MASTER"))</f>
        <v/>
      </c>
      <c r="I268" s="46" t="n"/>
      <c r="J268" s="40" t="n"/>
      <c r="K268" s="40" t="n"/>
      <c r="L268" s="40" t="n"/>
      <c r="M268" s="40" t="n"/>
      <c r="N268" s="42" t="n"/>
      <c r="O268" s="42" t="n"/>
      <c r="P268" s="37" t="n"/>
      <c r="Q268" s="37" t="n"/>
      <c r="R268" s="45" t="str">
        <f>IF(B268="","",IF(ISNA(MATCH(B268,CARDS!$A$5:$A$34,0)),"⚠ Card ID không tồn tại",IF(E268="","⚠ Thiếu Nhóm cashback",IF(OR(SUMPRODUCT(($B$5:$B$304=B268)*($E$5:$E$304=E268)*($J$5:$J$304&lt;&gt;J268))&gt;0,SUMPRODUCT(($B$5:$B$304=B268)*($K$5:$K$304&lt;&gt;K268))&gt;0),"⚠ Cap không đồng nhất","✓ OK"))))</f>
        <v/>
      </c>
      <c r="S268" s="43" t="str">
        <f>IF(OR(B268="",E268=""),"",IF(COUNTIFS($B$5:$B268,B268,$E$5:$E268,E268)=1,MAX($S$4:$S267)+1,""))</f>
        <v/>
      </c>
    </row>
    <row r="269">
      <c r="A269" s="44" t="str">
        <f>IF(B269="","","R"&amp;TEXT(ROW()-4,"000"))</f>
        <v/>
      </c>
      <c r="B269" s="37" t="n"/>
      <c r="C269" s="45" t="str">
        <f>IF(B269="","",IFERROR(INDEX(CARDS!$B$5:$B$34,MATCH(B269,CARDS!$A$5:$A$34,0)),"⚠ Card ID?"))</f>
        <v/>
      </c>
      <c r="D269" s="45" t="str">
        <f>IF(B269="","",IFERROR(INDEX(CARDS!$C$5:$C$34,MATCH(B269,CARDS!$A$5:$A$34,0)),"⚠ Card ID?"))</f>
        <v/>
      </c>
      <c r="E269" s="37" t="n"/>
      <c r="F269" s="37" t="n"/>
      <c r="G269" s="41" t="n"/>
      <c r="H269" s="45" t="str">
        <f>IF(G269="","",IFERROR(INDEX(MCC_MASTER!$B$5:$B$504,MATCH(G269,MCC_MASTER!$A$5:$A$504,0)),"⚠ MCC chưa có trong MCC_MASTER"))</f>
        <v/>
      </c>
      <c r="I269" s="46" t="n"/>
      <c r="J269" s="40" t="n"/>
      <c r="K269" s="40" t="n"/>
      <c r="L269" s="40" t="n"/>
      <c r="M269" s="40" t="n"/>
      <c r="N269" s="42" t="n"/>
      <c r="O269" s="42" t="n"/>
      <c r="P269" s="37" t="n"/>
      <c r="Q269" s="37" t="n"/>
      <c r="R269" s="45" t="str">
        <f>IF(B269="","",IF(ISNA(MATCH(B269,CARDS!$A$5:$A$34,0)),"⚠ Card ID không tồn tại",IF(E269="","⚠ Thiếu Nhóm cashback",IF(OR(SUMPRODUCT(($B$5:$B$304=B269)*($E$5:$E$304=E269)*($J$5:$J$304&lt;&gt;J269))&gt;0,SUMPRODUCT(($B$5:$B$304=B269)*($K$5:$K$304&lt;&gt;K269))&gt;0),"⚠ Cap không đồng nhất","✓ OK"))))</f>
        <v/>
      </c>
      <c r="S269" s="43" t="str">
        <f>IF(OR(B269="",E269=""),"",IF(COUNTIFS($B$5:$B269,B269,$E$5:$E269,E269)=1,MAX($S$4:$S268)+1,""))</f>
        <v/>
      </c>
    </row>
    <row r="270">
      <c r="A270" s="44" t="str">
        <f>IF(B270="","","R"&amp;TEXT(ROW()-4,"000"))</f>
        <v/>
      </c>
      <c r="B270" s="37" t="n"/>
      <c r="C270" s="45" t="str">
        <f>IF(B270="","",IFERROR(INDEX(CARDS!$B$5:$B$34,MATCH(B270,CARDS!$A$5:$A$34,0)),"⚠ Card ID?"))</f>
        <v/>
      </c>
      <c r="D270" s="45" t="str">
        <f>IF(B270="","",IFERROR(INDEX(CARDS!$C$5:$C$34,MATCH(B270,CARDS!$A$5:$A$34,0)),"⚠ Card ID?"))</f>
        <v/>
      </c>
      <c r="E270" s="37" t="n"/>
      <c r="F270" s="37" t="n"/>
      <c r="G270" s="41" t="n"/>
      <c r="H270" s="45" t="str">
        <f>IF(G270="","",IFERROR(INDEX(MCC_MASTER!$B$5:$B$504,MATCH(G270,MCC_MASTER!$A$5:$A$504,0)),"⚠ MCC chưa có trong MCC_MASTER"))</f>
        <v/>
      </c>
      <c r="I270" s="46" t="n"/>
      <c r="J270" s="40" t="n"/>
      <c r="K270" s="40" t="n"/>
      <c r="L270" s="40" t="n"/>
      <c r="M270" s="40" t="n"/>
      <c r="N270" s="42" t="n"/>
      <c r="O270" s="42" t="n"/>
      <c r="P270" s="37" t="n"/>
      <c r="Q270" s="37" t="n"/>
      <c r="R270" s="45" t="str">
        <f>IF(B270="","",IF(ISNA(MATCH(B270,CARDS!$A$5:$A$34,0)),"⚠ Card ID không tồn tại",IF(E270="","⚠ Thiếu Nhóm cashback",IF(OR(SUMPRODUCT(($B$5:$B$304=B270)*($E$5:$E$304=E270)*($J$5:$J$304&lt;&gt;J270))&gt;0,SUMPRODUCT(($B$5:$B$304=B270)*($K$5:$K$304&lt;&gt;K270))&gt;0),"⚠ Cap không đồng nhất","✓ OK"))))</f>
        <v/>
      </c>
      <c r="S270" s="43" t="str">
        <f>IF(OR(B270="",E270=""),"",IF(COUNTIFS($B$5:$B270,B270,$E$5:$E270,E270)=1,MAX($S$4:$S269)+1,""))</f>
        <v/>
      </c>
    </row>
    <row r="271">
      <c r="A271" s="44" t="str">
        <f>IF(B271="","","R"&amp;TEXT(ROW()-4,"000"))</f>
        <v/>
      </c>
      <c r="B271" s="37" t="n"/>
      <c r="C271" s="45" t="str">
        <f>IF(B271="","",IFERROR(INDEX(CARDS!$B$5:$B$34,MATCH(B271,CARDS!$A$5:$A$34,0)),"⚠ Card ID?"))</f>
        <v/>
      </c>
      <c r="D271" s="45" t="str">
        <f>IF(B271="","",IFERROR(INDEX(CARDS!$C$5:$C$34,MATCH(B271,CARDS!$A$5:$A$34,0)),"⚠ Card ID?"))</f>
        <v/>
      </c>
      <c r="E271" s="37" t="n"/>
      <c r="F271" s="37" t="n"/>
      <c r="G271" s="41" t="n"/>
      <c r="H271" s="45" t="str">
        <f>IF(G271="","",IFERROR(INDEX(MCC_MASTER!$B$5:$B$504,MATCH(G271,MCC_MASTER!$A$5:$A$504,0)),"⚠ MCC chưa có trong MCC_MASTER"))</f>
        <v/>
      </c>
      <c r="I271" s="46" t="n"/>
      <c r="J271" s="40" t="n"/>
      <c r="K271" s="40" t="n"/>
      <c r="L271" s="40" t="n"/>
      <c r="M271" s="40" t="n"/>
      <c r="N271" s="42" t="n"/>
      <c r="O271" s="42" t="n"/>
      <c r="P271" s="37" t="n"/>
      <c r="Q271" s="37" t="n"/>
      <c r="R271" s="45" t="str">
        <f>IF(B271="","",IF(ISNA(MATCH(B271,CARDS!$A$5:$A$34,0)),"⚠ Card ID không tồn tại",IF(E271="","⚠ Thiếu Nhóm cashback",IF(OR(SUMPRODUCT(($B$5:$B$304=B271)*($E$5:$E$304=E271)*($J$5:$J$304&lt;&gt;J271))&gt;0,SUMPRODUCT(($B$5:$B$304=B271)*($K$5:$K$304&lt;&gt;K271))&gt;0),"⚠ Cap không đồng nhất","✓ OK"))))</f>
        <v/>
      </c>
      <c r="S271" s="43" t="str">
        <f>IF(OR(B271="",E271=""),"",IF(COUNTIFS($B$5:$B271,B271,$E$5:$E271,E271)=1,MAX($S$4:$S270)+1,""))</f>
        <v/>
      </c>
    </row>
    <row r="272">
      <c r="A272" s="44" t="str">
        <f>IF(B272="","","R"&amp;TEXT(ROW()-4,"000"))</f>
        <v/>
      </c>
      <c r="B272" s="37" t="n"/>
      <c r="C272" s="45" t="str">
        <f>IF(B272="","",IFERROR(INDEX(CARDS!$B$5:$B$34,MATCH(B272,CARDS!$A$5:$A$34,0)),"⚠ Card ID?"))</f>
        <v/>
      </c>
      <c r="D272" s="45" t="str">
        <f>IF(B272="","",IFERROR(INDEX(CARDS!$C$5:$C$34,MATCH(B272,CARDS!$A$5:$A$34,0)),"⚠ Card ID?"))</f>
        <v/>
      </c>
      <c r="E272" s="37" t="n"/>
      <c r="F272" s="37" t="n"/>
      <c r="G272" s="41" t="n"/>
      <c r="H272" s="45" t="str">
        <f>IF(G272="","",IFERROR(INDEX(MCC_MASTER!$B$5:$B$504,MATCH(G272,MCC_MASTER!$A$5:$A$504,0)),"⚠ MCC chưa có trong MCC_MASTER"))</f>
        <v/>
      </c>
      <c r="I272" s="46" t="n"/>
      <c r="J272" s="40" t="n"/>
      <c r="K272" s="40" t="n"/>
      <c r="L272" s="40" t="n"/>
      <c r="M272" s="40" t="n"/>
      <c r="N272" s="42" t="n"/>
      <c r="O272" s="42" t="n"/>
      <c r="P272" s="37" t="n"/>
      <c r="Q272" s="37" t="n"/>
      <c r="R272" s="45" t="str">
        <f>IF(B272="","",IF(ISNA(MATCH(B272,CARDS!$A$5:$A$34,0)),"⚠ Card ID không tồn tại",IF(E272="","⚠ Thiếu Nhóm cashback",IF(OR(SUMPRODUCT(($B$5:$B$304=B272)*($E$5:$E$304=E272)*($J$5:$J$304&lt;&gt;J272))&gt;0,SUMPRODUCT(($B$5:$B$304=B272)*($K$5:$K$304&lt;&gt;K272))&gt;0),"⚠ Cap không đồng nhất","✓ OK"))))</f>
        <v/>
      </c>
      <c r="S272" s="43" t="str">
        <f>IF(OR(B272="",E272=""),"",IF(COUNTIFS($B$5:$B272,B272,$E$5:$E272,E272)=1,MAX($S$4:$S271)+1,""))</f>
        <v/>
      </c>
    </row>
    <row r="273">
      <c r="A273" s="44" t="str">
        <f>IF(B273="","","R"&amp;TEXT(ROW()-4,"000"))</f>
        <v/>
      </c>
      <c r="B273" s="37" t="n"/>
      <c r="C273" s="45" t="str">
        <f>IF(B273="","",IFERROR(INDEX(CARDS!$B$5:$B$34,MATCH(B273,CARDS!$A$5:$A$34,0)),"⚠ Card ID?"))</f>
        <v/>
      </c>
      <c r="D273" s="45" t="str">
        <f>IF(B273="","",IFERROR(INDEX(CARDS!$C$5:$C$34,MATCH(B273,CARDS!$A$5:$A$34,0)),"⚠ Card ID?"))</f>
        <v/>
      </c>
      <c r="E273" s="37" t="n"/>
      <c r="F273" s="37" t="n"/>
      <c r="G273" s="41" t="n"/>
      <c r="H273" s="45" t="str">
        <f>IF(G273="","",IFERROR(INDEX(MCC_MASTER!$B$5:$B$504,MATCH(G273,MCC_MASTER!$A$5:$A$504,0)),"⚠ MCC chưa có trong MCC_MASTER"))</f>
        <v/>
      </c>
      <c r="I273" s="46" t="n"/>
      <c r="J273" s="40" t="n"/>
      <c r="K273" s="40" t="n"/>
      <c r="L273" s="40" t="n"/>
      <c r="M273" s="40" t="n"/>
      <c r="N273" s="42" t="n"/>
      <c r="O273" s="42" t="n"/>
      <c r="P273" s="37" t="n"/>
      <c r="Q273" s="37" t="n"/>
      <c r="R273" s="45" t="str">
        <f>IF(B273="","",IF(ISNA(MATCH(B273,CARDS!$A$5:$A$34,0)),"⚠ Card ID không tồn tại",IF(E273="","⚠ Thiếu Nhóm cashback",IF(OR(SUMPRODUCT(($B$5:$B$304=B273)*($E$5:$E$304=E273)*($J$5:$J$304&lt;&gt;J273))&gt;0,SUMPRODUCT(($B$5:$B$304=B273)*($K$5:$K$304&lt;&gt;K273))&gt;0),"⚠ Cap không đồng nhất","✓ OK"))))</f>
        <v/>
      </c>
      <c r="S273" s="43" t="str">
        <f>IF(OR(B273="",E273=""),"",IF(COUNTIFS($B$5:$B273,B273,$E$5:$E273,E273)=1,MAX($S$4:$S272)+1,""))</f>
        <v/>
      </c>
    </row>
    <row r="274">
      <c r="A274" s="44" t="str">
        <f>IF(B274="","","R"&amp;TEXT(ROW()-4,"000"))</f>
        <v/>
      </c>
      <c r="B274" s="37" t="n"/>
      <c r="C274" s="45" t="str">
        <f>IF(B274="","",IFERROR(INDEX(CARDS!$B$5:$B$34,MATCH(B274,CARDS!$A$5:$A$34,0)),"⚠ Card ID?"))</f>
        <v/>
      </c>
      <c r="D274" s="45" t="str">
        <f>IF(B274="","",IFERROR(INDEX(CARDS!$C$5:$C$34,MATCH(B274,CARDS!$A$5:$A$34,0)),"⚠ Card ID?"))</f>
        <v/>
      </c>
      <c r="E274" s="37" t="n"/>
      <c r="F274" s="37" t="n"/>
      <c r="G274" s="41" t="n"/>
      <c r="H274" s="45" t="str">
        <f>IF(G274="","",IFERROR(INDEX(MCC_MASTER!$B$5:$B$504,MATCH(G274,MCC_MASTER!$A$5:$A$504,0)),"⚠ MCC chưa có trong MCC_MASTER"))</f>
        <v/>
      </c>
      <c r="I274" s="46" t="n"/>
      <c r="J274" s="40" t="n"/>
      <c r="K274" s="40" t="n"/>
      <c r="L274" s="40" t="n"/>
      <c r="M274" s="40" t="n"/>
      <c r="N274" s="42" t="n"/>
      <c r="O274" s="42" t="n"/>
      <c r="P274" s="37" t="n"/>
      <c r="Q274" s="37" t="n"/>
      <c r="R274" s="45" t="str">
        <f>IF(B274="","",IF(ISNA(MATCH(B274,CARDS!$A$5:$A$34,0)),"⚠ Card ID không tồn tại",IF(E274="","⚠ Thiếu Nhóm cashback",IF(OR(SUMPRODUCT(($B$5:$B$304=B274)*($E$5:$E$304=E274)*($J$5:$J$304&lt;&gt;J274))&gt;0,SUMPRODUCT(($B$5:$B$304=B274)*($K$5:$K$304&lt;&gt;K274))&gt;0),"⚠ Cap không đồng nhất","✓ OK"))))</f>
        <v/>
      </c>
      <c r="S274" s="43" t="str">
        <f>IF(OR(B274="",E274=""),"",IF(COUNTIFS($B$5:$B274,B274,$E$5:$E274,E274)=1,MAX($S$4:$S273)+1,""))</f>
        <v/>
      </c>
    </row>
    <row r="275">
      <c r="A275" s="44" t="str">
        <f>IF(B275="","","R"&amp;TEXT(ROW()-4,"000"))</f>
        <v/>
      </c>
      <c r="B275" s="37" t="n"/>
      <c r="C275" s="45" t="str">
        <f>IF(B275="","",IFERROR(INDEX(CARDS!$B$5:$B$34,MATCH(B275,CARDS!$A$5:$A$34,0)),"⚠ Card ID?"))</f>
        <v/>
      </c>
      <c r="D275" s="45" t="str">
        <f>IF(B275="","",IFERROR(INDEX(CARDS!$C$5:$C$34,MATCH(B275,CARDS!$A$5:$A$34,0)),"⚠ Card ID?"))</f>
        <v/>
      </c>
      <c r="E275" s="37" t="n"/>
      <c r="F275" s="37" t="n"/>
      <c r="G275" s="41" t="n"/>
      <c r="H275" s="45" t="str">
        <f>IF(G275="","",IFERROR(INDEX(MCC_MASTER!$B$5:$B$504,MATCH(G275,MCC_MASTER!$A$5:$A$504,0)),"⚠ MCC chưa có trong MCC_MASTER"))</f>
        <v/>
      </c>
      <c r="I275" s="46" t="n"/>
      <c r="J275" s="40" t="n"/>
      <c r="K275" s="40" t="n"/>
      <c r="L275" s="40" t="n"/>
      <c r="M275" s="40" t="n"/>
      <c r="N275" s="42" t="n"/>
      <c r="O275" s="42" t="n"/>
      <c r="P275" s="37" t="n"/>
      <c r="Q275" s="37" t="n"/>
      <c r="R275" s="45" t="str">
        <f>IF(B275="","",IF(ISNA(MATCH(B275,CARDS!$A$5:$A$34,0)),"⚠ Card ID không tồn tại",IF(E275="","⚠ Thiếu Nhóm cashback",IF(OR(SUMPRODUCT(($B$5:$B$304=B275)*($E$5:$E$304=E275)*($J$5:$J$304&lt;&gt;J275))&gt;0,SUMPRODUCT(($B$5:$B$304=B275)*($K$5:$K$304&lt;&gt;K275))&gt;0),"⚠ Cap không đồng nhất","✓ OK"))))</f>
        <v/>
      </c>
      <c r="S275" s="43" t="str">
        <f>IF(OR(B275="",E275=""),"",IF(COUNTIFS($B$5:$B275,B275,$E$5:$E275,E275)=1,MAX($S$4:$S274)+1,""))</f>
        <v/>
      </c>
    </row>
    <row r="276">
      <c r="A276" s="44" t="str">
        <f>IF(B276="","","R"&amp;TEXT(ROW()-4,"000"))</f>
        <v/>
      </c>
      <c r="B276" s="37" t="n"/>
      <c r="C276" s="45" t="str">
        <f>IF(B276="","",IFERROR(INDEX(CARDS!$B$5:$B$34,MATCH(B276,CARDS!$A$5:$A$34,0)),"⚠ Card ID?"))</f>
        <v/>
      </c>
      <c r="D276" s="45" t="str">
        <f>IF(B276="","",IFERROR(INDEX(CARDS!$C$5:$C$34,MATCH(B276,CARDS!$A$5:$A$34,0)),"⚠ Card ID?"))</f>
        <v/>
      </c>
      <c r="E276" s="37" t="n"/>
      <c r="F276" s="37" t="n"/>
      <c r="G276" s="41" t="n"/>
      <c r="H276" s="45" t="str">
        <f>IF(G276="","",IFERROR(INDEX(MCC_MASTER!$B$5:$B$504,MATCH(G276,MCC_MASTER!$A$5:$A$504,0)),"⚠ MCC chưa có trong MCC_MASTER"))</f>
        <v/>
      </c>
      <c r="I276" s="46" t="n"/>
      <c r="J276" s="40" t="n"/>
      <c r="K276" s="40" t="n"/>
      <c r="L276" s="40" t="n"/>
      <c r="M276" s="40" t="n"/>
      <c r="N276" s="42" t="n"/>
      <c r="O276" s="42" t="n"/>
      <c r="P276" s="37" t="n"/>
      <c r="Q276" s="37" t="n"/>
      <c r="R276" s="45" t="str">
        <f>IF(B276="","",IF(ISNA(MATCH(B276,CARDS!$A$5:$A$34,0)),"⚠ Card ID không tồn tại",IF(E276="","⚠ Thiếu Nhóm cashback",IF(OR(SUMPRODUCT(($B$5:$B$304=B276)*($E$5:$E$304=E276)*($J$5:$J$304&lt;&gt;J276))&gt;0,SUMPRODUCT(($B$5:$B$304=B276)*($K$5:$K$304&lt;&gt;K276))&gt;0),"⚠ Cap không đồng nhất","✓ OK"))))</f>
        <v/>
      </c>
      <c r="S276" s="43" t="str">
        <f>IF(OR(B276="",E276=""),"",IF(COUNTIFS($B$5:$B276,B276,$E$5:$E276,E276)=1,MAX($S$4:$S275)+1,""))</f>
        <v/>
      </c>
    </row>
    <row r="277">
      <c r="A277" s="44" t="str">
        <f>IF(B277="","","R"&amp;TEXT(ROW()-4,"000"))</f>
        <v/>
      </c>
      <c r="B277" s="37" t="n"/>
      <c r="C277" s="45" t="str">
        <f>IF(B277="","",IFERROR(INDEX(CARDS!$B$5:$B$34,MATCH(B277,CARDS!$A$5:$A$34,0)),"⚠ Card ID?"))</f>
        <v/>
      </c>
      <c r="D277" s="45" t="str">
        <f>IF(B277="","",IFERROR(INDEX(CARDS!$C$5:$C$34,MATCH(B277,CARDS!$A$5:$A$34,0)),"⚠ Card ID?"))</f>
        <v/>
      </c>
      <c r="E277" s="37" t="n"/>
      <c r="F277" s="37" t="n"/>
      <c r="G277" s="41" t="n"/>
      <c r="H277" s="45" t="str">
        <f>IF(G277="","",IFERROR(INDEX(MCC_MASTER!$B$5:$B$504,MATCH(G277,MCC_MASTER!$A$5:$A$504,0)),"⚠ MCC chưa có trong MCC_MASTER"))</f>
        <v/>
      </c>
      <c r="I277" s="46" t="n"/>
      <c r="J277" s="40" t="n"/>
      <c r="K277" s="40" t="n"/>
      <c r="L277" s="40" t="n"/>
      <c r="M277" s="40" t="n"/>
      <c r="N277" s="42" t="n"/>
      <c r="O277" s="42" t="n"/>
      <c r="P277" s="37" t="n"/>
      <c r="Q277" s="37" t="n"/>
      <c r="R277" s="45" t="str">
        <f>IF(B277="","",IF(ISNA(MATCH(B277,CARDS!$A$5:$A$34,0)),"⚠ Card ID không tồn tại",IF(E277="","⚠ Thiếu Nhóm cashback",IF(OR(SUMPRODUCT(($B$5:$B$304=B277)*($E$5:$E$304=E277)*($J$5:$J$304&lt;&gt;J277))&gt;0,SUMPRODUCT(($B$5:$B$304=B277)*($K$5:$K$304&lt;&gt;K277))&gt;0),"⚠ Cap không đồng nhất","✓ OK"))))</f>
        <v/>
      </c>
      <c r="S277" s="43" t="str">
        <f>IF(OR(B277="",E277=""),"",IF(COUNTIFS($B$5:$B277,B277,$E$5:$E277,E277)=1,MAX($S$4:$S276)+1,""))</f>
        <v/>
      </c>
    </row>
    <row r="278">
      <c r="A278" s="44" t="str">
        <f>IF(B278="","","R"&amp;TEXT(ROW()-4,"000"))</f>
        <v/>
      </c>
      <c r="B278" s="37" t="n"/>
      <c r="C278" s="45" t="str">
        <f>IF(B278="","",IFERROR(INDEX(CARDS!$B$5:$B$34,MATCH(B278,CARDS!$A$5:$A$34,0)),"⚠ Card ID?"))</f>
        <v/>
      </c>
      <c r="D278" s="45" t="str">
        <f>IF(B278="","",IFERROR(INDEX(CARDS!$C$5:$C$34,MATCH(B278,CARDS!$A$5:$A$34,0)),"⚠ Card ID?"))</f>
        <v/>
      </c>
      <c r="E278" s="37" t="n"/>
      <c r="F278" s="37" t="n"/>
      <c r="G278" s="41" t="n"/>
      <c r="H278" s="45" t="str">
        <f>IF(G278="","",IFERROR(INDEX(MCC_MASTER!$B$5:$B$504,MATCH(G278,MCC_MASTER!$A$5:$A$504,0)),"⚠ MCC chưa có trong MCC_MASTER"))</f>
        <v/>
      </c>
      <c r="I278" s="46" t="n"/>
      <c r="J278" s="40" t="n"/>
      <c r="K278" s="40" t="n"/>
      <c r="L278" s="40" t="n"/>
      <c r="M278" s="40" t="n"/>
      <c r="N278" s="42" t="n"/>
      <c r="O278" s="42" t="n"/>
      <c r="P278" s="37" t="n"/>
      <c r="Q278" s="37" t="n"/>
      <c r="R278" s="45" t="str">
        <f>IF(B278="","",IF(ISNA(MATCH(B278,CARDS!$A$5:$A$34,0)),"⚠ Card ID không tồn tại",IF(E278="","⚠ Thiếu Nhóm cashback",IF(OR(SUMPRODUCT(($B$5:$B$304=B278)*($E$5:$E$304=E278)*($J$5:$J$304&lt;&gt;J278))&gt;0,SUMPRODUCT(($B$5:$B$304=B278)*($K$5:$K$304&lt;&gt;K278))&gt;0),"⚠ Cap không đồng nhất","✓ OK"))))</f>
        <v/>
      </c>
      <c r="S278" s="43" t="str">
        <f>IF(OR(B278="",E278=""),"",IF(COUNTIFS($B$5:$B278,B278,$E$5:$E278,E278)=1,MAX($S$4:$S277)+1,""))</f>
        <v/>
      </c>
    </row>
    <row r="279">
      <c r="A279" s="44" t="str">
        <f>IF(B279="","","R"&amp;TEXT(ROW()-4,"000"))</f>
        <v/>
      </c>
      <c r="B279" s="37" t="n"/>
      <c r="C279" s="45" t="str">
        <f>IF(B279="","",IFERROR(INDEX(CARDS!$B$5:$B$34,MATCH(B279,CARDS!$A$5:$A$34,0)),"⚠ Card ID?"))</f>
        <v/>
      </c>
      <c r="D279" s="45" t="str">
        <f>IF(B279="","",IFERROR(INDEX(CARDS!$C$5:$C$34,MATCH(B279,CARDS!$A$5:$A$34,0)),"⚠ Card ID?"))</f>
        <v/>
      </c>
      <c r="E279" s="37" t="n"/>
      <c r="F279" s="37" t="n"/>
      <c r="G279" s="41" t="n"/>
      <c r="H279" s="45" t="str">
        <f>IF(G279="","",IFERROR(INDEX(MCC_MASTER!$B$5:$B$504,MATCH(G279,MCC_MASTER!$A$5:$A$504,0)),"⚠ MCC chưa có trong MCC_MASTER"))</f>
        <v/>
      </c>
      <c r="I279" s="46" t="n"/>
      <c r="J279" s="40" t="n"/>
      <c r="K279" s="40" t="n"/>
      <c r="L279" s="40" t="n"/>
      <c r="M279" s="40" t="n"/>
      <c r="N279" s="42" t="n"/>
      <c r="O279" s="42" t="n"/>
      <c r="P279" s="37" t="n"/>
      <c r="Q279" s="37" t="n"/>
      <c r="R279" s="45" t="str">
        <f>IF(B279="","",IF(ISNA(MATCH(B279,CARDS!$A$5:$A$34,0)),"⚠ Card ID không tồn tại",IF(E279="","⚠ Thiếu Nhóm cashback",IF(OR(SUMPRODUCT(($B$5:$B$304=B279)*($E$5:$E$304=E279)*($J$5:$J$304&lt;&gt;J279))&gt;0,SUMPRODUCT(($B$5:$B$304=B279)*($K$5:$K$304&lt;&gt;K279))&gt;0),"⚠ Cap không đồng nhất","✓ OK"))))</f>
        <v/>
      </c>
      <c r="S279" s="43" t="str">
        <f>IF(OR(B279="",E279=""),"",IF(COUNTIFS($B$5:$B279,B279,$E$5:$E279,E279)=1,MAX($S$4:$S278)+1,""))</f>
        <v/>
      </c>
    </row>
    <row r="280">
      <c r="A280" s="44" t="str">
        <f>IF(B280="","","R"&amp;TEXT(ROW()-4,"000"))</f>
        <v/>
      </c>
      <c r="B280" s="37" t="n"/>
      <c r="C280" s="45" t="str">
        <f>IF(B280="","",IFERROR(INDEX(CARDS!$B$5:$B$34,MATCH(B280,CARDS!$A$5:$A$34,0)),"⚠ Card ID?"))</f>
        <v/>
      </c>
      <c r="D280" s="45" t="str">
        <f>IF(B280="","",IFERROR(INDEX(CARDS!$C$5:$C$34,MATCH(B280,CARDS!$A$5:$A$34,0)),"⚠ Card ID?"))</f>
        <v/>
      </c>
      <c r="E280" s="37" t="n"/>
      <c r="F280" s="37" t="n"/>
      <c r="G280" s="41" t="n"/>
      <c r="H280" s="45" t="str">
        <f>IF(G280="","",IFERROR(INDEX(MCC_MASTER!$B$5:$B$504,MATCH(G280,MCC_MASTER!$A$5:$A$504,0)),"⚠ MCC chưa có trong MCC_MASTER"))</f>
        <v/>
      </c>
      <c r="I280" s="46" t="n"/>
      <c r="J280" s="40" t="n"/>
      <c r="K280" s="40" t="n"/>
      <c r="L280" s="40" t="n"/>
      <c r="M280" s="40" t="n"/>
      <c r="N280" s="42" t="n"/>
      <c r="O280" s="42" t="n"/>
      <c r="P280" s="37" t="n"/>
      <c r="Q280" s="37" t="n"/>
      <c r="R280" s="45" t="str">
        <f>IF(B280="","",IF(ISNA(MATCH(B280,CARDS!$A$5:$A$34,0)),"⚠ Card ID không tồn tại",IF(E280="","⚠ Thiếu Nhóm cashback",IF(OR(SUMPRODUCT(($B$5:$B$304=B280)*($E$5:$E$304=E280)*($J$5:$J$304&lt;&gt;J280))&gt;0,SUMPRODUCT(($B$5:$B$304=B280)*($K$5:$K$304&lt;&gt;K280))&gt;0),"⚠ Cap không đồng nhất","✓ OK"))))</f>
        <v/>
      </c>
      <c r="S280" s="43" t="str">
        <f>IF(OR(B280="",E280=""),"",IF(COUNTIFS($B$5:$B280,B280,$E$5:$E280,E280)=1,MAX($S$4:$S279)+1,""))</f>
        <v/>
      </c>
    </row>
    <row r="281">
      <c r="A281" s="44" t="str">
        <f>IF(B281="","","R"&amp;TEXT(ROW()-4,"000"))</f>
        <v/>
      </c>
      <c r="B281" s="37" t="n"/>
      <c r="C281" s="45" t="str">
        <f>IF(B281="","",IFERROR(INDEX(CARDS!$B$5:$B$34,MATCH(B281,CARDS!$A$5:$A$34,0)),"⚠ Card ID?"))</f>
        <v/>
      </c>
      <c r="D281" s="45" t="str">
        <f>IF(B281="","",IFERROR(INDEX(CARDS!$C$5:$C$34,MATCH(B281,CARDS!$A$5:$A$34,0)),"⚠ Card ID?"))</f>
        <v/>
      </c>
      <c r="E281" s="37" t="n"/>
      <c r="F281" s="37" t="n"/>
      <c r="G281" s="41" t="n"/>
      <c r="H281" s="45" t="str">
        <f>IF(G281="","",IFERROR(INDEX(MCC_MASTER!$B$5:$B$504,MATCH(G281,MCC_MASTER!$A$5:$A$504,0)),"⚠ MCC chưa có trong MCC_MASTER"))</f>
        <v/>
      </c>
      <c r="I281" s="46" t="n"/>
      <c r="J281" s="40" t="n"/>
      <c r="K281" s="40" t="n"/>
      <c r="L281" s="40" t="n"/>
      <c r="M281" s="40" t="n"/>
      <c r="N281" s="42" t="n"/>
      <c r="O281" s="42" t="n"/>
      <c r="P281" s="37" t="n"/>
      <c r="Q281" s="37" t="n"/>
      <c r="R281" s="45" t="str">
        <f>IF(B281="","",IF(ISNA(MATCH(B281,CARDS!$A$5:$A$34,0)),"⚠ Card ID không tồn tại",IF(E281="","⚠ Thiếu Nhóm cashback",IF(OR(SUMPRODUCT(($B$5:$B$304=B281)*($E$5:$E$304=E281)*($J$5:$J$304&lt;&gt;J281))&gt;0,SUMPRODUCT(($B$5:$B$304=B281)*($K$5:$K$304&lt;&gt;K281))&gt;0),"⚠ Cap không đồng nhất","✓ OK"))))</f>
        <v/>
      </c>
      <c r="S281" s="43" t="str">
        <f>IF(OR(B281="",E281=""),"",IF(COUNTIFS($B$5:$B281,B281,$E$5:$E281,E281)=1,MAX($S$4:$S280)+1,""))</f>
        <v/>
      </c>
    </row>
    <row r="282">
      <c r="A282" s="44" t="str">
        <f>IF(B282="","","R"&amp;TEXT(ROW()-4,"000"))</f>
        <v/>
      </c>
      <c r="B282" s="37" t="n"/>
      <c r="C282" s="45" t="str">
        <f>IF(B282="","",IFERROR(INDEX(CARDS!$B$5:$B$34,MATCH(B282,CARDS!$A$5:$A$34,0)),"⚠ Card ID?"))</f>
        <v/>
      </c>
      <c r="D282" s="45" t="str">
        <f>IF(B282="","",IFERROR(INDEX(CARDS!$C$5:$C$34,MATCH(B282,CARDS!$A$5:$A$34,0)),"⚠ Card ID?"))</f>
        <v/>
      </c>
      <c r="E282" s="37" t="n"/>
      <c r="F282" s="37" t="n"/>
      <c r="G282" s="41" t="n"/>
      <c r="H282" s="45" t="str">
        <f>IF(G282="","",IFERROR(INDEX(MCC_MASTER!$B$5:$B$504,MATCH(G282,MCC_MASTER!$A$5:$A$504,0)),"⚠ MCC chưa có trong MCC_MASTER"))</f>
        <v/>
      </c>
      <c r="I282" s="46" t="n"/>
      <c r="J282" s="40" t="n"/>
      <c r="K282" s="40" t="n"/>
      <c r="L282" s="40" t="n"/>
      <c r="M282" s="40" t="n"/>
      <c r="N282" s="42" t="n"/>
      <c r="O282" s="42" t="n"/>
      <c r="P282" s="37" t="n"/>
      <c r="Q282" s="37" t="n"/>
      <c r="R282" s="45" t="str">
        <f>IF(B282="","",IF(ISNA(MATCH(B282,CARDS!$A$5:$A$34,0)),"⚠ Card ID không tồn tại",IF(E282="","⚠ Thiếu Nhóm cashback",IF(OR(SUMPRODUCT(($B$5:$B$304=B282)*($E$5:$E$304=E282)*($J$5:$J$304&lt;&gt;J282))&gt;0,SUMPRODUCT(($B$5:$B$304=B282)*($K$5:$K$304&lt;&gt;K282))&gt;0),"⚠ Cap không đồng nhất","✓ OK"))))</f>
        <v/>
      </c>
      <c r="S282" s="43" t="str">
        <f>IF(OR(B282="",E282=""),"",IF(COUNTIFS($B$5:$B282,B282,$E$5:$E282,E282)=1,MAX($S$4:$S281)+1,""))</f>
        <v/>
      </c>
    </row>
    <row r="283">
      <c r="A283" s="44" t="str">
        <f>IF(B283="","","R"&amp;TEXT(ROW()-4,"000"))</f>
        <v/>
      </c>
      <c r="B283" s="37" t="n"/>
      <c r="C283" s="45" t="str">
        <f>IF(B283="","",IFERROR(INDEX(CARDS!$B$5:$B$34,MATCH(B283,CARDS!$A$5:$A$34,0)),"⚠ Card ID?"))</f>
        <v/>
      </c>
      <c r="D283" s="45" t="str">
        <f>IF(B283="","",IFERROR(INDEX(CARDS!$C$5:$C$34,MATCH(B283,CARDS!$A$5:$A$34,0)),"⚠ Card ID?"))</f>
        <v/>
      </c>
      <c r="E283" s="37" t="n"/>
      <c r="F283" s="37" t="n"/>
      <c r="G283" s="41" t="n"/>
      <c r="H283" s="45" t="str">
        <f>IF(G283="","",IFERROR(INDEX(MCC_MASTER!$B$5:$B$504,MATCH(G283,MCC_MASTER!$A$5:$A$504,0)),"⚠ MCC chưa có trong MCC_MASTER"))</f>
        <v/>
      </c>
      <c r="I283" s="46" t="n"/>
      <c r="J283" s="40" t="n"/>
      <c r="K283" s="40" t="n"/>
      <c r="L283" s="40" t="n"/>
      <c r="M283" s="40" t="n"/>
      <c r="N283" s="42" t="n"/>
      <c r="O283" s="42" t="n"/>
      <c r="P283" s="37" t="n"/>
      <c r="Q283" s="37" t="n"/>
      <c r="R283" s="45" t="str">
        <f>IF(B283="","",IF(ISNA(MATCH(B283,CARDS!$A$5:$A$34,0)),"⚠ Card ID không tồn tại",IF(E283="","⚠ Thiếu Nhóm cashback",IF(OR(SUMPRODUCT(($B$5:$B$304=B283)*($E$5:$E$304=E283)*($J$5:$J$304&lt;&gt;J283))&gt;0,SUMPRODUCT(($B$5:$B$304=B283)*($K$5:$K$304&lt;&gt;K283))&gt;0),"⚠ Cap không đồng nhất","✓ OK"))))</f>
        <v/>
      </c>
      <c r="S283" s="43" t="str">
        <f>IF(OR(B283="",E283=""),"",IF(COUNTIFS($B$5:$B283,B283,$E$5:$E283,E283)=1,MAX($S$4:$S282)+1,""))</f>
        <v/>
      </c>
    </row>
    <row r="284">
      <c r="A284" s="44" t="str">
        <f>IF(B284="","","R"&amp;TEXT(ROW()-4,"000"))</f>
        <v/>
      </c>
      <c r="B284" s="37" t="n"/>
      <c r="C284" s="45" t="str">
        <f>IF(B284="","",IFERROR(INDEX(CARDS!$B$5:$B$34,MATCH(B284,CARDS!$A$5:$A$34,0)),"⚠ Card ID?"))</f>
        <v/>
      </c>
      <c r="D284" s="45" t="str">
        <f>IF(B284="","",IFERROR(INDEX(CARDS!$C$5:$C$34,MATCH(B284,CARDS!$A$5:$A$34,0)),"⚠ Card ID?"))</f>
        <v/>
      </c>
      <c r="E284" s="37" t="n"/>
      <c r="F284" s="37" t="n"/>
      <c r="G284" s="41" t="n"/>
      <c r="H284" s="45" t="str">
        <f>IF(G284="","",IFERROR(INDEX(MCC_MASTER!$B$5:$B$504,MATCH(G284,MCC_MASTER!$A$5:$A$504,0)),"⚠ MCC chưa có trong MCC_MASTER"))</f>
        <v/>
      </c>
      <c r="I284" s="46" t="n"/>
      <c r="J284" s="40" t="n"/>
      <c r="K284" s="40" t="n"/>
      <c r="L284" s="40" t="n"/>
      <c r="M284" s="40" t="n"/>
      <c r="N284" s="42" t="n"/>
      <c r="O284" s="42" t="n"/>
      <c r="P284" s="37" t="n"/>
      <c r="Q284" s="37" t="n"/>
      <c r="R284" s="45" t="str">
        <f>IF(B284="","",IF(ISNA(MATCH(B284,CARDS!$A$5:$A$34,0)),"⚠ Card ID không tồn tại",IF(E284="","⚠ Thiếu Nhóm cashback",IF(OR(SUMPRODUCT(($B$5:$B$304=B284)*($E$5:$E$304=E284)*($J$5:$J$304&lt;&gt;J284))&gt;0,SUMPRODUCT(($B$5:$B$304=B284)*($K$5:$K$304&lt;&gt;K284))&gt;0),"⚠ Cap không đồng nhất","✓ OK"))))</f>
        <v/>
      </c>
      <c r="S284" s="43" t="str">
        <f>IF(OR(B284="",E284=""),"",IF(COUNTIFS($B$5:$B284,B284,$E$5:$E284,E284)=1,MAX($S$4:$S283)+1,""))</f>
        <v/>
      </c>
    </row>
    <row r="285">
      <c r="A285" s="44" t="str">
        <f>IF(B285="","","R"&amp;TEXT(ROW()-4,"000"))</f>
        <v/>
      </c>
      <c r="B285" s="37" t="n"/>
      <c r="C285" s="45" t="str">
        <f>IF(B285="","",IFERROR(INDEX(CARDS!$B$5:$B$34,MATCH(B285,CARDS!$A$5:$A$34,0)),"⚠ Card ID?"))</f>
        <v/>
      </c>
      <c r="D285" s="45" t="str">
        <f>IF(B285="","",IFERROR(INDEX(CARDS!$C$5:$C$34,MATCH(B285,CARDS!$A$5:$A$34,0)),"⚠ Card ID?"))</f>
        <v/>
      </c>
      <c r="E285" s="37" t="n"/>
      <c r="F285" s="37" t="n"/>
      <c r="G285" s="41" t="n"/>
      <c r="H285" s="45" t="str">
        <f>IF(G285="","",IFERROR(INDEX(MCC_MASTER!$B$5:$B$504,MATCH(G285,MCC_MASTER!$A$5:$A$504,0)),"⚠ MCC chưa có trong MCC_MASTER"))</f>
        <v/>
      </c>
      <c r="I285" s="46" t="n"/>
      <c r="J285" s="40" t="n"/>
      <c r="K285" s="40" t="n"/>
      <c r="L285" s="40" t="n"/>
      <c r="M285" s="40" t="n"/>
      <c r="N285" s="42" t="n"/>
      <c r="O285" s="42" t="n"/>
      <c r="P285" s="37" t="n"/>
      <c r="Q285" s="37" t="n"/>
      <c r="R285" s="45" t="str">
        <f>IF(B285="","",IF(ISNA(MATCH(B285,CARDS!$A$5:$A$34,0)),"⚠ Card ID không tồn tại",IF(E285="","⚠ Thiếu Nhóm cashback",IF(OR(SUMPRODUCT(($B$5:$B$304=B285)*($E$5:$E$304=E285)*($J$5:$J$304&lt;&gt;J285))&gt;0,SUMPRODUCT(($B$5:$B$304=B285)*($K$5:$K$304&lt;&gt;K285))&gt;0),"⚠ Cap không đồng nhất","✓ OK"))))</f>
        <v/>
      </c>
      <c r="S285" s="43" t="str">
        <f>IF(OR(B285="",E285=""),"",IF(COUNTIFS($B$5:$B285,B285,$E$5:$E285,E285)=1,MAX($S$4:$S284)+1,""))</f>
        <v/>
      </c>
    </row>
    <row r="286">
      <c r="A286" s="44" t="str">
        <f>IF(B286="","","R"&amp;TEXT(ROW()-4,"000"))</f>
        <v/>
      </c>
      <c r="B286" s="37" t="n"/>
      <c r="C286" s="45" t="str">
        <f>IF(B286="","",IFERROR(INDEX(CARDS!$B$5:$B$34,MATCH(B286,CARDS!$A$5:$A$34,0)),"⚠ Card ID?"))</f>
        <v/>
      </c>
      <c r="D286" s="45" t="str">
        <f>IF(B286="","",IFERROR(INDEX(CARDS!$C$5:$C$34,MATCH(B286,CARDS!$A$5:$A$34,0)),"⚠ Card ID?"))</f>
        <v/>
      </c>
      <c r="E286" s="37" t="n"/>
      <c r="F286" s="37" t="n"/>
      <c r="G286" s="41" t="n"/>
      <c r="H286" s="45" t="str">
        <f>IF(G286="","",IFERROR(INDEX(MCC_MASTER!$B$5:$B$504,MATCH(G286,MCC_MASTER!$A$5:$A$504,0)),"⚠ MCC chưa có trong MCC_MASTER"))</f>
        <v/>
      </c>
      <c r="I286" s="46" t="n"/>
      <c r="J286" s="40" t="n"/>
      <c r="K286" s="40" t="n"/>
      <c r="L286" s="40" t="n"/>
      <c r="M286" s="40" t="n"/>
      <c r="N286" s="42" t="n"/>
      <c r="O286" s="42" t="n"/>
      <c r="P286" s="37" t="n"/>
      <c r="Q286" s="37" t="n"/>
      <c r="R286" s="45" t="str">
        <f>IF(B286="","",IF(ISNA(MATCH(B286,CARDS!$A$5:$A$34,0)),"⚠ Card ID không tồn tại",IF(E286="","⚠ Thiếu Nhóm cashback",IF(OR(SUMPRODUCT(($B$5:$B$304=B286)*($E$5:$E$304=E286)*($J$5:$J$304&lt;&gt;J286))&gt;0,SUMPRODUCT(($B$5:$B$304=B286)*($K$5:$K$304&lt;&gt;K286))&gt;0),"⚠ Cap không đồng nhất","✓ OK"))))</f>
        <v/>
      </c>
      <c r="S286" s="43" t="str">
        <f>IF(OR(B286="",E286=""),"",IF(COUNTIFS($B$5:$B286,B286,$E$5:$E286,E286)=1,MAX($S$4:$S285)+1,""))</f>
        <v/>
      </c>
    </row>
    <row r="287">
      <c r="A287" s="44" t="str">
        <f>IF(B287="","","R"&amp;TEXT(ROW()-4,"000"))</f>
        <v/>
      </c>
      <c r="B287" s="37" t="n"/>
      <c r="C287" s="45" t="str">
        <f>IF(B287="","",IFERROR(INDEX(CARDS!$B$5:$B$34,MATCH(B287,CARDS!$A$5:$A$34,0)),"⚠ Card ID?"))</f>
        <v/>
      </c>
      <c r="D287" s="45" t="str">
        <f>IF(B287="","",IFERROR(INDEX(CARDS!$C$5:$C$34,MATCH(B287,CARDS!$A$5:$A$34,0)),"⚠ Card ID?"))</f>
        <v/>
      </c>
      <c r="E287" s="37" t="n"/>
      <c r="F287" s="37" t="n"/>
      <c r="G287" s="41" t="n"/>
      <c r="H287" s="45" t="str">
        <f>IF(G287="","",IFERROR(INDEX(MCC_MASTER!$B$5:$B$504,MATCH(G287,MCC_MASTER!$A$5:$A$504,0)),"⚠ MCC chưa có trong MCC_MASTER"))</f>
        <v/>
      </c>
      <c r="I287" s="46" t="n"/>
      <c r="J287" s="40" t="n"/>
      <c r="K287" s="40" t="n"/>
      <c r="L287" s="40" t="n"/>
      <c r="M287" s="40" t="n"/>
      <c r="N287" s="42" t="n"/>
      <c r="O287" s="42" t="n"/>
      <c r="P287" s="37" t="n"/>
      <c r="Q287" s="37" t="n"/>
      <c r="R287" s="45" t="str">
        <f>IF(B287="","",IF(ISNA(MATCH(B287,CARDS!$A$5:$A$34,0)),"⚠ Card ID không tồn tại",IF(E287="","⚠ Thiếu Nhóm cashback",IF(OR(SUMPRODUCT(($B$5:$B$304=B287)*($E$5:$E$304=E287)*($J$5:$J$304&lt;&gt;J287))&gt;0,SUMPRODUCT(($B$5:$B$304=B287)*($K$5:$K$304&lt;&gt;K287))&gt;0),"⚠ Cap không đồng nhất","✓ OK"))))</f>
        <v/>
      </c>
      <c r="S287" s="43" t="str">
        <f>IF(OR(B287="",E287=""),"",IF(COUNTIFS($B$5:$B287,B287,$E$5:$E287,E287)=1,MAX($S$4:$S286)+1,""))</f>
        <v/>
      </c>
    </row>
    <row r="288">
      <c r="A288" s="44" t="str">
        <f>IF(B288="","","R"&amp;TEXT(ROW()-4,"000"))</f>
        <v/>
      </c>
      <c r="B288" s="37" t="n"/>
      <c r="C288" s="45" t="str">
        <f>IF(B288="","",IFERROR(INDEX(CARDS!$B$5:$B$34,MATCH(B288,CARDS!$A$5:$A$34,0)),"⚠ Card ID?"))</f>
        <v/>
      </c>
      <c r="D288" s="45" t="str">
        <f>IF(B288="","",IFERROR(INDEX(CARDS!$C$5:$C$34,MATCH(B288,CARDS!$A$5:$A$34,0)),"⚠ Card ID?"))</f>
        <v/>
      </c>
      <c r="E288" s="37" t="n"/>
      <c r="F288" s="37" t="n"/>
      <c r="G288" s="41" t="n"/>
      <c r="H288" s="45" t="str">
        <f>IF(G288="","",IFERROR(INDEX(MCC_MASTER!$B$5:$B$504,MATCH(G288,MCC_MASTER!$A$5:$A$504,0)),"⚠ MCC chưa có trong MCC_MASTER"))</f>
        <v/>
      </c>
      <c r="I288" s="46" t="n"/>
      <c r="J288" s="40" t="n"/>
      <c r="K288" s="40" t="n"/>
      <c r="L288" s="40" t="n"/>
      <c r="M288" s="40" t="n"/>
      <c r="N288" s="42" t="n"/>
      <c r="O288" s="42" t="n"/>
      <c r="P288" s="37" t="n"/>
      <c r="Q288" s="37" t="n"/>
      <c r="R288" s="45" t="str">
        <f>IF(B288="","",IF(ISNA(MATCH(B288,CARDS!$A$5:$A$34,0)),"⚠ Card ID không tồn tại",IF(E288="","⚠ Thiếu Nhóm cashback",IF(OR(SUMPRODUCT(($B$5:$B$304=B288)*($E$5:$E$304=E288)*($J$5:$J$304&lt;&gt;J288))&gt;0,SUMPRODUCT(($B$5:$B$304=B288)*($K$5:$K$304&lt;&gt;K288))&gt;0),"⚠ Cap không đồng nhất","✓ OK"))))</f>
        <v/>
      </c>
      <c r="S288" s="43" t="str">
        <f>IF(OR(B288="",E288=""),"",IF(COUNTIFS($B$5:$B288,B288,$E$5:$E288,E288)=1,MAX($S$4:$S287)+1,""))</f>
        <v/>
      </c>
    </row>
    <row r="289">
      <c r="A289" s="44" t="str">
        <f>IF(B289="","","R"&amp;TEXT(ROW()-4,"000"))</f>
        <v/>
      </c>
      <c r="B289" s="37" t="n"/>
      <c r="C289" s="45" t="str">
        <f>IF(B289="","",IFERROR(INDEX(CARDS!$B$5:$B$34,MATCH(B289,CARDS!$A$5:$A$34,0)),"⚠ Card ID?"))</f>
        <v/>
      </c>
      <c r="D289" s="45" t="str">
        <f>IF(B289="","",IFERROR(INDEX(CARDS!$C$5:$C$34,MATCH(B289,CARDS!$A$5:$A$34,0)),"⚠ Card ID?"))</f>
        <v/>
      </c>
      <c r="E289" s="37" t="n"/>
      <c r="F289" s="37" t="n"/>
      <c r="G289" s="41" t="n"/>
      <c r="H289" s="45" t="str">
        <f>IF(G289="","",IFERROR(INDEX(MCC_MASTER!$B$5:$B$504,MATCH(G289,MCC_MASTER!$A$5:$A$504,0)),"⚠ MCC chưa có trong MCC_MASTER"))</f>
        <v/>
      </c>
      <c r="I289" s="46" t="n"/>
      <c r="J289" s="40" t="n"/>
      <c r="K289" s="40" t="n"/>
      <c r="L289" s="40" t="n"/>
      <c r="M289" s="40" t="n"/>
      <c r="N289" s="42" t="n"/>
      <c r="O289" s="42" t="n"/>
      <c r="P289" s="37" t="n"/>
      <c r="Q289" s="37" t="n"/>
      <c r="R289" s="45" t="str">
        <f>IF(B289="","",IF(ISNA(MATCH(B289,CARDS!$A$5:$A$34,0)),"⚠ Card ID không tồn tại",IF(E289="","⚠ Thiếu Nhóm cashback",IF(OR(SUMPRODUCT(($B$5:$B$304=B289)*($E$5:$E$304=E289)*($J$5:$J$304&lt;&gt;J289))&gt;0,SUMPRODUCT(($B$5:$B$304=B289)*($K$5:$K$304&lt;&gt;K289))&gt;0),"⚠ Cap không đồng nhất","✓ OK"))))</f>
        <v/>
      </c>
      <c r="S289" s="43" t="str">
        <f>IF(OR(B289="",E289=""),"",IF(COUNTIFS($B$5:$B289,B289,$E$5:$E289,E289)=1,MAX($S$4:$S288)+1,""))</f>
        <v/>
      </c>
    </row>
    <row r="290">
      <c r="A290" s="44" t="str">
        <f>IF(B290="","","R"&amp;TEXT(ROW()-4,"000"))</f>
        <v/>
      </c>
      <c r="B290" s="37" t="n"/>
      <c r="C290" s="45" t="str">
        <f>IF(B290="","",IFERROR(INDEX(CARDS!$B$5:$B$34,MATCH(B290,CARDS!$A$5:$A$34,0)),"⚠ Card ID?"))</f>
        <v/>
      </c>
      <c r="D290" s="45" t="str">
        <f>IF(B290="","",IFERROR(INDEX(CARDS!$C$5:$C$34,MATCH(B290,CARDS!$A$5:$A$34,0)),"⚠ Card ID?"))</f>
        <v/>
      </c>
      <c r="E290" s="37" t="n"/>
      <c r="F290" s="37" t="n"/>
      <c r="G290" s="41" t="n"/>
      <c r="H290" s="45" t="str">
        <f>IF(G290="","",IFERROR(INDEX(MCC_MASTER!$B$5:$B$504,MATCH(G290,MCC_MASTER!$A$5:$A$504,0)),"⚠ MCC chưa có trong MCC_MASTER"))</f>
        <v/>
      </c>
      <c r="I290" s="46" t="n"/>
      <c r="J290" s="40" t="n"/>
      <c r="K290" s="40" t="n"/>
      <c r="L290" s="40" t="n"/>
      <c r="M290" s="40" t="n"/>
      <c r="N290" s="42" t="n"/>
      <c r="O290" s="42" t="n"/>
      <c r="P290" s="37" t="n"/>
      <c r="Q290" s="37" t="n"/>
      <c r="R290" s="45" t="str">
        <f>IF(B290="","",IF(ISNA(MATCH(B290,CARDS!$A$5:$A$34,0)),"⚠ Card ID không tồn tại",IF(E290="","⚠ Thiếu Nhóm cashback",IF(OR(SUMPRODUCT(($B$5:$B$304=B290)*($E$5:$E$304=E290)*($J$5:$J$304&lt;&gt;J290))&gt;0,SUMPRODUCT(($B$5:$B$304=B290)*($K$5:$K$304&lt;&gt;K290))&gt;0),"⚠ Cap không đồng nhất","✓ OK"))))</f>
        <v/>
      </c>
      <c r="S290" s="43" t="str">
        <f>IF(OR(B290="",E290=""),"",IF(COUNTIFS($B$5:$B290,B290,$E$5:$E290,E290)=1,MAX($S$4:$S289)+1,""))</f>
        <v/>
      </c>
    </row>
    <row r="291">
      <c r="A291" s="44" t="str">
        <f>IF(B291="","","R"&amp;TEXT(ROW()-4,"000"))</f>
        <v/>
      </c>
      <c r="B291" s="37" t="n"/>
      <c r="C291" s="45" t="str">
        <f>IF(B291="","",IFERROR(INDEX(CARDS!$B$5:$B$34,MATCH(B291,CARDS!$A$5:$A$34,0)),"⚠ Card ID?"))</f>
        <v/>
      </c>
      <c r="D291" s="45" t="str">
        <f>IF(B291="","",IFERROR(INDEX(CARDS!$C$5:$C$34,MATCH(B291,CARDS!$A$5:$A$34,0)),"⚠ Card ID?"))</f>
        <v/>
      </c>
      <c r="E291" s="37" t="n"/>
      <c r="F291" s="37" t="n"/>
      <c r="G291" s="41" t="n"/>
      <c r="H291" s="45" t="str">
        <f>IF(G291="","",IFERROR(INDEX(MCC_MASTER!$B$5:$B$504,MATCH(G291,MCC_MASTER!$A$5:$A$504,0)),"⚠ MCC chưa có trong MCC_MASTER"))</f>
        <v/>
      </c>
      <c r="I291" s="46" t="n"/>
      <c r="J291" s="40" t="n"/>
      <c r="K291" s="40" t="n"/>
      <c r="L291" s="40" t="n"/>
      <c r="M291" s="40" t="n"/>
      <c r="N291" s="42" t="n"/>
      <c r="O291" s="42" t="n"/>
      <c r="P291" s="37" t="n"/>
      <c r="Q291" s="37" t="n"/>
      <c r="R291" s="45" t="str">
        <f>IF(B291="","",IF(ISNA(MATCH(B291,CARDS!$A$5:$A$34,0)),"⚠ Card ID không tồn tại",IF(E291="","⚠ Thiếu Nhóm cashback",IF(OR(SUMPRODUCT(($B$5:$B$304=B291)*($E$5:$E$304=E291)*($J$5:$J$304&lt;&gt;J291))&gt;0,SUMPRODUCT(($B$5:$B$304=B291)*($K$5:$K$304&lt;&gt;K291))&gt;0),"⚠ Cap không đồng nhất","✓ OK"))))</f>
        <v/>
      </c>
      <c r="S291" s="43" t="str">
        <f>IF(OR(B291="",E291=""),"",IF(COUNTIFS($B$5:$B291,B291,$E$5:$E291,E291)=1,MAX($S$4:$S290)+1,""))</f>
        <v/>
      </c>
    </row>
    <row r="292">
      <c r="A292" s="44" t="str">
        <f>IF(B292="","","R"&amp;TEXT(ROW()-4,"000"))</f>
        <v/>
      </c>
      <c r="B292" s="37" t="n"/>
      <c r="C292" s="45" t="str">
        <f>IF(B292="","",IFERROR(INDEX(CARDS!$B$5:$B$34,MATCH(B292,CARDS!$A$5:$A$34,0)),"⚠ Card ID?"))</f>
        <v/>
      </c>
      <c r="D292" s="45" t="str">
        <f>IF(B292="","",IFERROR(INDEX(CARDS!$C$5:$C$34,MATCH(B292,CARDS!$A$5:$A$34,0)),"⚠ Card ID?"))</f>
        <v/>
      </c>
      <c r="E292" s="37" t="n"/>
      <c r="F292" s="37" t="n"/>
      <c r="G292" s="41" t="n"/>
      <c r="H292" s="45" t="str">
        <f>IF(G292="","",IFERROR(INDEX(MCC_MASTER!$B$5:$B$504,MATCH(G292,MCC_MASTER!$A$5:$A$504,0)),"⚠ MCC chưa có trong MCC_MASTER"))</f>
        <v/>
      </c>
      <c r="I292" s="46" t="n"/>
      <c r="J292" s="40" t="n"/>
      <c r="K292" s="40" t="n"/>
      <c r="L292" s="40" t="n"/>
      <c r="M292" s="40" t="n"/>
      <c r="N292" s="42" t="n"/>
      <c r="O292" s="42" t="n"/>
      <c r="P292" s="37" t="n"/>
      <c r="Q292" s="37" t="n"/>
      <c r="R292" s="45" t="str">
        <f>IF(B292="","",IF(ISNA(MATCH(B292,CARDS!$A$5:$A$34,0)),"⚠ Card ID không tồn tại",IF(E292="","⚠ Thiếu Nhóm cashback",IF(OR(SUMPRODUCT(($B$5:$B$304=B292)*($E$5:$E$304=E292)*($J$5:$J$304&lt;&gt;J292))&gt;0,SUMPRODUCT(($B$5:$B$304=B292)*($K$5:$K$304&lt;&gt;K292))&gt;0),"⚠ Cap không đồng nhất","✓ OK"))))</f>
        <v/>
      </c>
      <c r="S292" s="43" t="str">
        <f>IF(OR(B292="",E292=""),"",IF(COUNTIFS($B$5:$B292,B292,$E$5:$E292,E292)=1,MAX($S$4:$S291)+1,""))</f>
        <v/>
      </c>
    </row>
    <row r="293">
      <c r="A293" s="44" t="str">
        <f>IF(B293="","","R"&amp;TEXT(ROW()-4,"000"))</f>
        <v/>
      </c>
      <c r="B293" s="37" t="n"/>
      <c r="C293" s="45" t="str">
        <f>IF(B293="","",IFERROR(INDEX(CARDS!$B$5:$B$34,MATCH(B293,CARDS!$A$5:$A$34,0)),"⚠ Card ID?"))</f>
        <v/>
      </c>
      <c r="D293" s="45" t="str">
        <f>IF(B293="","",IFERROR(INDEX(CARDS!$C$5:$C$34,MATCH(B293,CARDS!$A$5:$A$34,0)),"⚠ Card ID?"))</f>
        <v/>
      </c>
      <c r="E293" s="37" t="n"/>
      <c r="F293" s="37" t="n"/>
      <c r="G293" s="41" t="n"/>
      <c r="H293" s="45" t="str">
        <f>IF(G293="","",IFERROR(INDEX(MCC_MASTER!$B$5:$B$504,MATCH(G293,MCC_MASTER!$A$5:$A$504,0)),"⚠ MCC chưa có trong MCC_MASTER"))</f>
        <v/>
      </c>
      <c r="I293" s="46" t="n"/>
      <c r="J293" s="40" t="n"/>
      <c r="K293" s="40" t="n"/>
      <c r="L293" s="40" t="n"/>
      <c r="M293" s="40" t="n"/>
      <c r="N293" s="42" t="n"/>
      <c r="O293" s="42" t="n"/>
      <c r="P293" s="37" t="n"/>
      <c r="Q293" s="37" t="n"/>
      <c r="R293" s="45" t="str">
        <f>IF(B293="","",IF(ISNA(MATCH(B293,CARDS!$A$5:$A$34,0)),"⚠ Card ID không tồn tại",IF(E293="","⚠ Thiếu Nhóm cashback",IF(OR(SUMPRODUCT(($B$5:$B$304=B293)*($E$5:$E$304=E293)*($J$5:$J$304&lt;&gt;J293))&gt;0,SUMPRODUCT(($B$5:$B$304=B293)*($K$5:$K$304&lt;&gt;K293))&gt;0),"⚠ Cap không đồng nhất","✓ OK"))))</f>
        <v/>
      </c>
      <c r="S293" s="43" t="str">
        <f>IF(OR(B293="",E293=""),"",IF(COUNTIFS($B$5:$B293,B293,$E$5:$E293,E293)=1,MAX($S$4:$S292)+1,""))</f>
        <v/>
      </c>
    </row>
    <row r="294">
      <c r="A294" s="44" t="str">
        <f>IF(B294="","","R"&amp;TEXT(ROW()-4,"000"))</f>
        <v/>
      </c>
      <c r="B294" s="37" t="n"/>
      <c r="C294" s="45" t="str">
        <f>IF(B294="","",IFERROR(INDEX(CARDS!$B$5:$B$34,MATCH(B294,CARDS!$A$5:$A$34,0)),"⚠ Card ID?"))</f>
        <v/>
      </c>
      <c r="D294" s="45" t="str">
        <f>IF(B294="","",IFERROR(INDEX(CARDS!$C$5:$C$34,MATCH(B294,CARDS!$A$5:$A$34,0)),"⚠ Card ID?"))</f>
        <v/>
      </c>
      <c r="E294" s="37" t="n"/>
      <c r="F294" s="37" t="n"/>
      <c r="G294" s="41" t="n"/>
      <c r="H294" s="45" t="str">
        <f>IF(G294="","",IFERROR(INDEX(MCC_MASTER!$B$5:$B$504,MATCH(G294,MCC_MASTER!$A$5:$A$504,0)),"⚠ MCC chưa có trong MCC_MASTER"))</f>
        <v/>
      </c>
      <c r="I294" s="46" t="n"/>
      <c r="J294" s="40" t="n"/>
      <c r="K294" s="40" t="n"/>
      <c r="L294" s="40" t="n"/>
      <c r="M294" s="40" t="n"/>
      <c r="N294" s="42" t="n"/>
      <c r="O294" s="42" t="n"/>
      <c r="P294" s="37" t="n"/>
      <c r="Q294" s="37" t="n"/>
      <c r="R294" s="45" t="str">
        <f>IF(B294="","",IF(ISNA(MATCH(B294,CARDS!$A$5:$A$34,0)),"⚠ Card ID không tồn tại",IF(E294="","⚠ Thiếu Nhóm cashback",IF(OR(SUMPRODUCT(($B$5:$B$304=B294)*($E$5:$E$304=E294)*($J$5:$J$304&lt;&gt;J294))&gt;0,SUMPRODUCT(($B$5:$B$304=B294)*($K$5:$K$304&lt;&gt;K294))&gt;0),"⚠ Cap không đồng nhất","✓ OK"))))</f>
        <v/>
      </c>
      <c r="S294" s="43" t="str">
        <f>IF(OR(B294="",E294=""),"",IF(COUNTIFS($B$5:$B294,B294,$E$5:$E294,E294)=1,MAX($S$4:$S293)+1,""))</f>
        <v/>
      </c>
    </row>
    <row r="295">
      <c r="A295" s="44" t="str">
        <f>IF(B295="","","R"&amp;TEXT(ROW()-4,"000"))</f>
        <v/>
      </c>
      <c r="B295" s="37" t="n"/>
      <c r="C295" s="45" t="str">
        <f>IF(B295="","",IFERROR(INDEX(CARDS!$B$5:$B$34,MATCH(B295,CARDS!$A$5:$A$34,0)),"⚠ Card ID?"))</f>
        <v/>
      </c>
      <c r="D295" s="45" t="str">
        <f>IF(B295="","",IFERROR(INDEX(CARDS!$C$5:$C$34,MATCH(B295,CARDS!$A$5:$A$34,0)),"⚠ Card ID?"))</f>
        <v/>
      </c>
      <c r="E295" s="37" t="n"/>
      <c r="F295" s="37" t="n"/>
      <c r="G295" s="41" t="n"/>
      <c r="H295" s="45" t="str">
        <f>IF(G295="","",IFERROR(INDEX(MCC_MASTER!$B$5:$B$504,MATCH(G295,MCC_MASTER!$A$5:$A$504,0)),"⚠ MCC chưa có trong MCC_MASTER"))</f>
        <v/>
      </c>
      <c r="I295" s="46" t="n"/>
      <c r="J295" s="40" t="n"/>
      <c r="K295" s="40" t="n"/>
      <c r="L295" s="40" t="n"/>
      <c r="M295" s="40" t="n"/>
      <c r="N295" s="42" t="n"/>
      <c r="O295" s="42" t="n"/>
      <c r="P295" s="37" t="n"/>
      <c r="Q295" s="37" t="n"/>
      <c r="R295" s="45" t="str">
        <f>IF(B295="","",IF(ISNA(MATCH(B295,CARDS!$A$5:$A$34,0)),"⚠ Card ID không tồn tại",IF(E295="","⚠ Thiếu Nhóm cashback",IF(OR(SUMPRODUCT(($B$5:$B$304=B295)*($E$5:$E$304=E295)*($J$5:$J$304&lt;&gt;J295))&gt;0,SUMPRODUCT(($B$5:$B$304=B295)*($K$5:$K$304&lt;&gt;K295))&gt;0),"⚠ Cap không đồng nhất","✓ OK"))))</f>
        <v/>
      </c>
      <c r="S295" s="43" t="str">
        <f>IF(OR(B295="",E295=""),"",IF(COUNTIFS($B$5:$B295,B295,$E$5:$E295,E295)=1,MAX($S$4:$S294)+1,""))</f>
        <v/>
      </c>
    </row>
    <row r="296">
      <c r="A296" s="44" t="str">
        <f>IF(B296="","","R"&amp;TEXT(ROW()-4,"000"))</f>
        <v/>
      </c>
      <c r="B296" s="37" t="n"/>
      <c r="C296" s="45" t="str">
        <f>IF(B296="","",IFERROR(INDEX(CARDS!$B$5:$B$34,MATCH(B296,CARDS!$A$5:$A$34,0)),"⚠ Card ID?"))</f>
        <v/>
      </c>
      <c r="D296" s="45" t="str">
        <f>IF(B296="","",IFERROR(INDEX(CARDS!$C$5:$C$34,MATCH(B296,CARDS!$A$5:$A$34,0)),"⚠ Card ID?"))</f>
        <v/>
      </c>
      <c r="E296" s="37" t="n"/>
      <c r="F296" s="37" t="n"/>
      <c r="G296" s="41" t="n"/>
      <c r="H296" s="45" t="str">
        <f>IF(G296="","",IFERROR(INDEX(MCC_MASTER!$B$5:$B$504,MATCH(G296,MCC_MASTER!$A$5:$A$504,0)),"⚠ MCC chưa có trong MCC_MASTER"))</f>
        <v/>
      </c>
      <c r="I296" s="46" t="n"/>
      <c r="J296" s="40" t="n"/>
      <c r="K296" s="40" t="n"/>
      <c r="L296" s="40" t="n"/>
      <c r="M296" s="40" t="n"/>
      <c r="N296" s="42" t="n"/>
      <c r="O296" s="42" t="n"/>
      <c r="P296" s="37" t="n"/>
      <c r="Q296" s="37" t="n"/>
      <c r="R296" s="45" t="str">
        <f>IF(B296="","",IF(ISNA(MATCH(B296,CARDS!$A$5:$A$34,0)),"⚠ Card ID không tồn tại",IF(E296="","⚠ Thiếu Nhóm cashback",IF(OR(SUMPRODUCT(($B$5:$B$304=B296)*($E$5:$E$304=E296)*($J$5:$J$304&lt;&gt;J296))&gt;0,SUMPRODUCT(($B$5:$B$304=B296)*($K$5:$K$304&lt;&gt;K296))&gt;0),"⚠ Cap không đồng nhất","✓ OK"))))</f>
        <v/>
      </c>
      <c r="S296" s="43" t="str">
        <f>IF(OR(B296="",E296=""),"",IF(COUNTIFS($B$5:$B296,B296,$E$5:$E296,E296)=1,MAX($S$4:$S295)+1,""))</f>
        <v/>
      </c>
    </row>
    <row r="297">
      <c r="A297" s="44" t="str">
        <f>IF(B297="","","R"&amp;TEXT(ROW()-4,"000"))</f>
        <v/>
      </c>
      <c r="B297" s="37" t="n"/>
      <c r="C297" s="45" t="str">
        <f>IF(B297="","",IFERROR(INDEX(CARDS!$B$5:$B$34,MATCH(B297,CARDS!$A$5:$A$34,0)),"⚠ Card ID?"))</f>
        <v/>
      </c>
      <c r="D297" s="45" t="str">
        <f>IF(B297="","",IFERROR(INDEX(CARDS!$C$5:$C$34,MATCH(B297,CARDS!$A$5:$A$34,0)),"⚠ Card ID?"))</f>
        <v/>
      </c>
      <c r="E297" s="37" t="n"/>
      <c r="F297" s="37" t="n"/>
      <c r="G297" s="41" t="n"/>
      <c r="H297" s="45" t="str">
        <f>IF(G297="","",IFERROR(INDEX(MCC_MASTER!$B$5:$B$504,MATCH(G297,MCC_MASTER!$A$5:$A$504,0)),"⚠ MCC chưa có trong MCC_MASTER"))</f>
        <v/>
      </c>
      <c r="I297" s="46" t="n"/>
      <c r="J297" s="40" t="n"/>
      <c r="K297" s="40" t="n"/>
      <c r="L297" s="40" t="n"/>
      <c r="M297" s="40" t="n"/>
      <c r="N297" s="42" t="n"/>
      <c r="O297" s="42" t="n"/>
      <c r="P297" s="37" t="n"/>
      <c r="Q297" s="37" t="n"/>
      <c r="R297" s="45" t="str">
        <f>IF(B297="","",IF(ISNA(MATCH(B297,CARDS!$A$5:$A$34,0)),"⚠ Card ID không tồn tại",IF(E297="","⚠ Thiếu Nhóm cashback",IF(OR(SUMPRODUCT(($B$5:$B$304=B297)*($E$5:$E$304=E297)*($J$5:$J$304&lt;&gt;J297))&gt;0,SUMPRODUCT(($B$5:$B$304=B297)*($K$5:$K$304&lt;&gt;K297))&gt;0),"⚠ Cap không đồng nhất","✓ OK"))))</f>
        <v/>
      </c>
      <c r="S297" s="43" t="str">
        <f>IF(OR(B297="",E297=""),"",IF(COUNTIFS($B$5:$B297,B297,$E$5:$E297,E297)=1,MAX($S$4:$S296)+1,""))</f>
        <v/>
      </c>
    </row>
    <row r="298">
      <c r="A298" s="44" t="str">
        <f>IF(B298="","","R"&amp;TEXT(ROW()-4,"000"))</f>
        <v/>
      </c>
      <c r="B298" s="37" t="n"/>
      <c r="C298" s="45" t="str">
        <f>IF(B298="","",IFERROR(INDEX(CARDS!$B$5:$B$34,MATCH(B298,CARDS!$A$5:$A$34,0)),"⚠ Card ID?"))</f>
        <v/>
      </c>
      <c r="D298" s="45" t="str">
        <f>IF(B298="","",IFERROR(INDEX(CARDS!$C$5:$C$34,MATCH(B298,CARDS!$A$5:$A$34,0)),"⚠ Card ID?"))</f>
        <v/>
      </c>
      <c r="E298" s="37" t="n"/>
      <c r="F298" s="37" t="n"/>
      <c r="G298" s="41" t="n"/>
      <c r="H298" s="45" t="str">
        <f>IF(G298="","",IFERROR(INDEX(MCC_MASTER!$B$5:$B$504,MATCH(G298,MCC_MASTER!$A$5:$A$504,0)),"⚠ MCC chưa có trong MCC_MASTER"))</f>
        <v/>
      </c>
      <c r="I298" s="46" t="n"/>
      <c r="J298" s="40" t="n"/>
      <c r="K298" s="40" t="n"/>
      <c r="L298" s="40" t="n"/>
      <c r="M298" s="40" t="n"/>
      <c r="N298" s="42" t="n"/>
      <c r="O298" s="42" t="n"/>
      <c r="P298" s="37" t="n"/>
      <c r="Q298" s="37" t="n"/>
      <c r="R298" s="45" t="str">
        <f>IF(B298="","",IF(ISNA(MATCH(B298,CARDS!$A$5:$A$34,0)),"⚠ Card ID không tồn tại",IF(E298="","⚠ Thiếu Nhóm cashback",IF(OR(SUMPRODUCT(($B$5:$B$304=B298)*($E$5:$E$304=E298)*($J$5:$J$304&lt;&gt;J298))&gt;0,SUMPRODUCT(($B$5:$B$304=B298)*($K$5:$K$304&lt;&gt;K298))&gt;0),"⚠ Cap không đồng nhất","✓ OK"))))</f>
        <v/>
      </c>
      <c r="S298" s="43" t="str">
        <f>IF(OR(B298="",E298=""),"",IF(COUNTIFS($B$5:$B298,B298,$E$5:$E298,E298)=1,MAX($S$4:$S297)+1,""))</f>
        <v/>
      </c>
    </row>
    <row r="299">
      <c r="A299" s="44" t="str">
        <f>IF(B299="","","R"&amp;TEXT(ROW()-4,"000"))</f>
        <v/>
      </c>
      <c r="B299" s="37" t="n"/>
      <c r="C299" s="45" t="str">
        <f>IF(B299="","",IFERROR(INDEX(CARDS!$B$5:$B$34,MATCH(B299,CARDS!$A$5:$A$34,0)),"⚠ Card ID?"))</f>
        <v/>
      </c>
      <c r="D299" s="45" t="str">
        <f>IF(B299="","",IFERROR(INDEX(CARDS!$C$5:$C$34,MATCH(B299,CARDS!$A$5:$A$34,0)),"⚠ Card ID?"))</f>
        <v/>
      </c>
      <c r="E299" s="37" t="n"/>
      <c r="F299" s="37" t="n"/>
      <c r="G299" s="41" t="n"/>
      <c r="H299" s="45" t="str">
        <f>IF(G299="","",IFERROR(INDEX(MCC_MASTER!$B$5:$B$504,MATCH(G299,MCC_MASTER!$A$5:$A$504,0)),"⚠ MCC chưa có trong MCC_MASTER"))</f>
        <v/>
      </c>
      <c r="I299" s="46" t="n"/>
      <c r="J299" s="40" t="n"/>
      <c r="K299" s="40" t="n"/>
      <c r="L299" s="40" t="n"/>
      <c r="M299" s="40" t="n"/>
      <c r="N299" s="42" t="n"/>
      <c r="O299" s="42" t="n"/>
      <c r="P299" s="37" t="n"/>
      <c r="Q299" s="37" t="n"/>
      <c r="R299" s="45" t="str">
        <f>IF(B299="","",IF(ISNA(MATCH(B299,CARDS!$A$5:$A$34,0)),"⚠ Card ID không tồn tại",IF(E299="","⚠ Thiếu Nhóm cashback",IF(OR(SUMPRODUCT(($B$5:$B$304=B299)*($E$5:$E$304=E299)*($J$5:$J$304&lt;&gt;J299))&gt;0,SUMPRODUCT(($B$5:$B$304=B299)*($K$5:$K$304&lt;&gt;K299))&gt;0),"⚠ Cap không đồng nhất","✓ OK"))))</f>
        <v/>
      </c>
      <c r="S299" s="43" t="str">
        <f>IF(OR(B299="",E299=""),"",IF(COUNTIFS($B$5:$B299,B299,$E$5:$E299,E299)=1,MAX($S$4:$S298)+1,""))</f>
        <v/>
      </c>
    </row>
    <row r="300">
      <c r="A300" s="44" t="str">
        <f>IF(B300="","","R"&amp;TEXT(ROW()-4,"000"))</f>
        <v/>
      </c>
      <c r="B300" s="37" t="n"/>
      <c r="C300" s="45" t="str">
        <f>IF(B300="","",IFERROR(INDEX(CARDS!$B$5:$B$34,MATCH(B300,CARDS!$A$5:$A$34,0)),"⚠ Card ID?"))</f>
        <v/>
      </c>
      <c r="D300" s="45" t="str">
        <f>IF(B300="","",IFERROR(INDEX(CARDS!$C$5:$C$34,MATCH(B300,CARDS!$A$5:$A$34,0)),"⚠ Card ID?"))</f>
        <v/>
      </c>
      <c r="E300" s="37" t="n"/>
      <c r="F300" s="37" t="n"/>
      <c r="G300" s="41" t="n"/>
      <c r="H300" s="45" t="str">
        <f>IF(G300="","",IFERROR(INDEX(MCC_MASTER!$B$5:$B$504,MATCH(G300,MCC_MASTER!$A$5:$A$504,0)),"⚠ MCC chưa có trong MCC_MASTER"))</f>
        <v/>
      </c>
      <c r="I300" s="46" t="n"/>
      <c r="J300" s="40" t="n"/>
      <c r="K300" s="40" t="n"/>
      <c r="L300" s="40" t="n"/>
      <c r="M300" s="40" t="n"/>
      <c r="N300" s="42" t="n"/>
      <c r="O300" s="42" t="n"/>
      <c r="P300" s="37" t="n"/>
      <c r="Q300" s="37" t="n"/>
      <c r="R300" s="45" t="str">
        <f>IF(B300="","",IF(ISNA(MATCH(B300,CARDS!$A$5:$A$34,0)),"⚠ Card ID không tồn tại",IF(E300="","⚠ Thiếu Nhóm cashback",IF(OR(SUMPRODUCT(($B$5:$B$304=B300)*($E$5:$E$304=E300)*($J$5:$J$304&lt;&gt;J300))&gt;0,SUMPRODUCT(($B$5:$B$304=B300)*($K$5:$K$304&lt;&gt;K300))&gt;0),"⚠ Cap không đồng nhất","✓ OK"))))</f>
        <v/>
      </c>
      <c r="S300" s="43" t="str">
        <f>IF(OR(B300="",E300=""),"",IF(COUNTIFS($B$5:$B300,B300,$E$5:$E300,E300)=1,MAX($S$4:$S299)+1,""))</f>
        <v/>
      </c>
    </row>
    <row r="301">
      <c r="A301" s="44" t="str">
        <f>IF(B301="","","R"&amp;TEXT(ROW()-4,"000"))</f>
        <v/>
      </c>
      <c r="B301" s="37" t="n"/>
      <c r="C301" s="45" t="str">
        <f>IF(B301="","",IFERROR(INDEX(CARDS!$B$5:$B$34,MATCH(B301,CARDS!$A$5:$A$34,0)),"⚠ Card ID?"))</f>
        <v/>
      </c>
      <c r="D301" s="45" t="str">
        <f>IF(B301="","",IFERROR(INDEX(CARDS!$C$5:$C$34,MATCH(B301,CARDS!$A$5:$A$34,0)),"⚠ Card ID?"))</f>
        <v/>
      </c>
      <c r="E301" s="37" t="n"/>
      <c r="F301" s="37" t="n"/>
      <c r="G301" s="41" t="n"/>
      <c r="H301" s="45" t="str">
        <f>IF(G301="","",IFERROR(INDEX(MCC_MASTER!$B$5:$B$504,MATCH(G301,MCC_MASTER!$A$5:$A$504,0)),"⚠ MCC chưa có trong MCC_MASTER"))</f>
        <v/>
      </c>
      <c r="I301" s="46" t="n"/>
      <c r="J301" s="40" t="n"/>
      <c r="K301" s="40" t="n"/>
      <c r="L301" s="40" t="n"/>
      <c r="M301" s="40" t="n"/>
      <c r="N301" s="42" t="n"/>
      <c r="O301" s="42" t="n"/>
      <c r="P301" s="37" t="n"/>
      <c r="Q301" s="37" t="n"/>
      <c r="R301" s="45" t="str">
        <f>IF(B301="","",IF(ISNA(MATCH(B301,CARDS!$A$5:$A$34,0)),"⚠ Card ID không tồn tại",IF(E301="","⚠ Thiếu Nhóm cashback",IF(OR(SUMPRODUCT(($B$5:$B$304=B301)*($E$5:$E$304=E301)*($J$5:$J$304&lt;&gt;J301))&gt;0,SUMPRODUCT(($B$5:$B$304=B301)*($K$5:$K$304&lt;&gt;K301))&gt;0),"⚠ Cap không đồng nhất","✓ OK"))))</f>
        <v/>
      </c>
      <c r="S301" s="43" t="str">
        <f>IF(OR(B301="",E301=""),"",IF(COUNTIFS($B$5:$B301,B301,$E$5:$E301,E301)=1,MAX($S$4:$S300)+1,""))</f>
        <v/>
      </c>
    </row>
    <row r="302">
      <c r="A302" s="44" t="str">
        <f>IF(B302="","","R"&amp;TEXT(ROW()-4,"000"))</f>
        <v/>
      </c>
      <c r="B302" s="37" t="n"/>
      <c r="C302" s="45" t="str">
        <f>IF(B302="","",IFERROR(INDEX(CARDS!$B$5:$B$34,MATCH(B302,CARDS!$A$5:$A$34,0)),"⚠ Card ID?"))</f>
        <v/>
      </c>
      <c r="D302" s="45" t="str">
        <f>IF(B302="","",IFERROR(INDEX(CARDS!$C$5:$C$34,MATCH(B302,CARDS!$A$5:$A$34,0)),"⚠ Card ID?"))</f>
        <v/>
      </c>
      <c r="E302" s="37" t="n"/>
      <c r="F302" s="37" t="n"/>
      <c r="G302" s="41" t="n"/>
      <c r="H302" s="45" t="str">
        <f>IF(G302="","",IFERROR(INDEX(MCC_MASTER!$B$5:$B$504,MATCH(G302,MCC_MASTER!$A$5:$A$504,0)),"⚠ MCC chưa có trong MCC_MASTER"))</f>
        <v/>
      </c>
      <c r="I302" s="46" t="n"/>
      <c r="J302" s="40" t="n"/>
      <c r="K302" s="40" t="n"/>
      <c r="L302" s="40" t="n"/>
      <c r="M302" s="40" t="n"/>
      <c r="N302" s="42" t="n"/>
      <c r="O302" s="42" t="n"/>
      <c r="P302" s="37" t="n"/>
      <c r="Q302" s="37" t="n"/>
      <c r="R302" s="45" t="str">
        <f>IF(B302="","",IF(ISNA(MATCH(B302,CARDS!$A$5:$A$34,0)),"⚠ Card ID không tồn tại",IF(E302="","⚠ Thiếu Nhóm cashback",IF(OR(SUMPRODUCT(($B$5:$B$304=B302)*($E$5:$E$304=E302)*($J$5:$J$304&lt;&gt;J302))&gt;0,SUMPRODUCT(($B$5:$B$304=B302)*($K$5:$K$304&lt;&gt;K302))&gt;0),"⚠ Cap không đồng nhất","✓ OK"))))</f>
        <v/>
      </c>
      <c r="S302" s="43" t="str">
        <f>IF(OR(B302="",E302=""),"",IF(COUNTIFS($B$5:$B302,B302,$E$5:$E302,E302)=1,MAX($S$4:$S301)+1,""))</f>
        <v/>
      </c>
    </row>
    <row r="303">
      <c r="A303" s="44" t="str">
        <f>IF(B303="","","R"&amp;TEXT(ROW()-4,"000"))</f>
        <v/>
      </c>
      <c r="B303" s="37" t="n"/>
      <c r="C303" s="45" t="str">
        <f>IF(B303="","",IFERROR(INDEX(CARDS!$B$5:$B$34,MATCH(B303,CARDS!$A$5:$A$34,0)),"⚠ Card ID?"))</f>
        <v/>
      </c>
      <c r="D303" s="45" t="str">
        <f>IF(B303="","",IFERROR(INDEX(CARDS!$C$5:$C$34,MATCH(B303,CARDS!$A$5:$A$34,0)),"⚠ Card ID?"))</f>
        <v/>
      </c>
      <c r="E303" s="37" t="n"/>
      <c r="F303" s="37" t="n"/>
      <c r="G303" s="41" t="n"/>
      <c r="H303" s="45" t="str">
        <f>IF(G303="","",IFERROR(INDEX(MCC_MASTER!$B$5:$B$504,MATCH(G303,MCC_MASTER!$A$5:$A$504,0)),"⚠ MCC chưa có trong MCC_MASTER"))</f>
        <v/>
      </c>
      <c r="I303" s="46" t="n"/>
      <c r="J303" s="40" t="n"/>
      <c r="K303" s="40" t="n"/>
      <c r="L303" s="40" t="n"/>
      <c r="M303" s="40" t="n"/>
      <c r="N303" s="42" t="n"/>
      <c r="O303" s="42" t="n"/>
      <c r="P303" s="37" t="n"/>
      <c r="Q303" s="37" t="n"/>
      <c r="R303" s="45" t="str">
        <f>IF(B303="","",IF(ISNA(MATCH(B303,CARDS!$A$5:$A$34,0)),"⚠ Card ID không tồn tại",IF(E303="","⚠ Thiếu Nhóm cashback",IF(OR(SUMPRODUCT(($B$5:$B$304=B303)*($E$5:$E$304=E303)*($J$5:$J$304&lt;&gt;J303))&gt;0,SUMPRODUCT(($B$5:$B$304=B303)*($K$5:$K$304&lt;&gt;K303))&gt;0),"⚠ Cap không đồng nhất","✓ OK"))))</f>
        <v/>
      </c>
      <c r="S303" s="43" t="str">
        <f>IF(OR(B303="",E303=""),"",IF(COUNTIFS($B$5:$B303,B303,$E$5:$E303,E303)=1,MAX($S$4:$S302)+1,""))</f>
        <v/>
      </c>
    </row>
    <row r="304">
      <c r="A304" s="44" t="str">
        <f>IF(B304="","","R"&amp;TEXT(ROW()-4,"000"))</f>
        <v/>
      </c>
      <c r="B304" s="37" t="n"/>
      <c r="C304" s="45" t="str">
        <f>IF(B304="","",IFERROR(INDEX(CARDS!$B$5:$B$34,MATCH(B304,CARDS!$A$5:$A$34,0)),"⚠ Card ID?"))</f>
        <v/>
      </c>
      <c r="D304" s="45" t="str">
        <f>IF(B304="","",IFERROR(INDEX(CARDS!$C$5:$C$34,MATCH(B304,CARDS!$A$5:$A$34,0)),"⚠ Card ID?"))</f>
        <v/>
      </c>
      <c r="E304" s="37" t="n"/>
      <c r="F304" s="37" t="n"/>
      <c r="G304" s="41" t="n"/>
      <c r="H304" s="45" t="str">
        <f>IF(G304="","",IFERROR(INDEX(MCC_MASTER!$B$5:$B$504,MATCH(G304,MCC_MASTER!$A$5:$A$504,0)),"⚠ MCC chưa có trong MCC_MASTER"))</f>
        <v/>
      </c>
      <c r="I304" s="46" t="n"/>
      <c r="J304" s="40" t="n"/>
      <c r="K304" s="40" t="n"/>
      <c r="L304" s="40" t="n"/>
      <c r="M304" s="40" t="n"/>
      <c r="N304" s="42" t="n"/>
      <c r="O304" s="42" t="n"/>
      <c r="P304" s="37" t="n"/>
      <c r="Q304" s="37" t="n"/>
      <c r="R304" s="45" t="str">
        <f>IF(B304="","",IF(ISNA(MATCH(B304,CARDS!$A$5:$A$34,0)),"⚠ Card ID không tồn tại",IF(E304="","⚠ Thiếu Nhóm cashback",IF(OR(SUMPRODUCT(($B$5:$B$304=B304)*($E$5:$E$304=E304)*($J$5:$J$304&lt;&gt;J304))&gt;0,SUMPRODUCT(($B$5:$B$304=B304)*($K$5:$K$304&lt;&gt;K304))&gt;0),"⚠ Cap không đồng nhất","✓ OK"))))</f>
        <v/>
      </c>
      <c r="S304" s="43" t="str">
        <f>IF(OR(B304="",E304=""),"",IF(COUNTIFS($B$5:$B304,B304,$E$5:$E304,E304)=1,MAX($S$4:$S303)+1,""))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conditionalFormatting sqref="B5:B304">
    <cfRule type="expression" priority="1" dxfId="5" stopIfTrue="0">
      <formula>MOD(ROW(),2)=0</formula>
    </cfRule>
  </conditionalFormatting>
  <conditionalFormatting sqref="E5:G304">
    <cfRule type="expression" priority="2" dxfId="5" stopIfTrue="0">
      <formula>MOD(ROW(),2)=0</formula>
    </cfRule>
  </conditionalFormatting>
  <conditionalFormatting sqref="I5:O304">
    <cfRule type="expression" priority="3" dxfId="5" stopIfTrue="0">
      <formula>MOD(ROW(),2)=0</formula>
    </cfRule>
  </conditionalFormatting>
  <conditionalFormatting sqref="P5:Q304">
    <cfRule type="expression" priority="4" dxfId="5" stopIfTrue="0">
      <formula>MOD(ROW(),2)=0</formula>
    </cfRule>
  </conditionalFormatting>
  <conditionalFormatting sqref="R5:R304">
    <cfRule type="expression" priority="5" dxfId="0">
      <formula>LEFT(R5,1)="⚠"</formula>
    </cfRule>
    <cfRule type="expression" priority="6" dxfId="6">
      <formula>LEFT(R5,1)="✓"</formula>
    </cfRule>
  </conditionalFormatting>
  <dataValidations count="9">
    <dataValidation sqref="B5:B304" showDropDown="0" showInputMessage="0" showErrorMessage="1" allowBlank="1" errorTitle="Giá trị không hợp lệ" error="Hãy chọn từ danh sách (hoặc thêm vào bảng nguồn trước)." type="list" errorStyle="stop">
      <formula1>lstCards</formula1>
    </dataValidation>
    <dataValidation sqref="G5:G304" showDropDown="0" showInputMessage="0" showErrorMessage="1" allowBlank="1" errorTitle="Giá trị không hợp lệ" error="Hãy chọn từ danh sách (hoặc thêm vào bảng nguồn trước)." type="list" errorStyle="warning">
      <formula1>lstMCC</formula1>
    </dataValidation>
    <dataValidation sqref="I5:I304" showDropDown="0" showInputMessage="0" showErrorMessage="1" allowBlank="1" errorTitle="Dữ liệu" error="Rate nhập dạng phần trăm, vd 15%" type="decimal" operator="between">
      <formula1>0</formula1>
      <formula2>1</formula2>
    </dataValidation>
    <dataValidation sqref="J5:J304" showDropDown="0" showInputMessage="0" showErrorMessage="1" allowBlank="1" errorTitle="Dữ liệu" error="Giá trị không hợp lệ" type="decimal" operator="greaterThanOrEqual">
      <formula1>0</formula1>
    </dataValidation>
    <dataValidation sqref="K5:K304" showDropDown="0" showInputMessage="0" showErrorMessage="1" allowBlank="1" errorTitle="Dữ liệu" error="Giá trị không hợp lệ" type="decimal" operator="greaterThanOrEqual">
      <formula1>0</formula1>
    </dataValidation>
    <dataValidation sqref="L5:L304" showDropDown="0" showInputMessage="0" showErrorMessage="1" allowBlank="1" errorTitle="Dữ liệu" error="Giá trị không hợp lệ" type="decimal" operator="greaterThanOrEqual">
      <formula1>0</formula1>
    </dataValidation>
    <dataValidation sqref="M5:M304" showDropDown="0" showInputMessage="0" showErrorMessage="1" allowBlank="1" errorTitle="Dữ liệu" error="Giá trị không hợp lệ" type="decimal" operator="greaterThanOrEqual">
      <formula1>0</formula1>
    </dataValidation>
    <dataValidation sqref="N5:N304" showDropDown="0" showInputMessage="0" showErrorMessage="1" allowBlank="1" errorTitle="Dữ liệu" error="Giá trị không hợp lệ" type="date" operator="greaterThan">
      <formula1>36526</formula1>
    </dataValidation>
    <dataValidation sqref="O5:O304" showDropDown="0" showInputMessage="0" showErrorMessage="1" allowBlank="1" errorTitle="Dữ liệu" error="Giá trị không hợp lệ" type="date" operator="greaterThan">
      <formula1>36526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E58FB0"/>
    <outlinePr summaryBelow="1" summaryRight="1"/>
    <pageSetUpPr/>
  </sheetPr>
  <dimension ref="A1:E5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24" customWidth="1" min="3" max="3"/>
    <col width="24" customWidth="1" min="4" max="4"/>
    <col width="48" customWidth="1" min="5" max="5"/>
  </cols>
  <sheetData>
    <row r="1" ht="30" customHeight="1">
      <c r="A1" s="33" t="inlineStr">
        <is>
          <t>🏷 MCC_MASTER — danh mục mã MCC</t>
        </is>
      </c>
    </row>
    <row r="2">
      <c r="A2" s="5" t="inlineStr">
        <is>
          <t>Thêm MCC mới ở dòng trống cuối bảng — dùng được ngay ở rule và giao dịch. Category chọn từ SETTINGS.</t>
        </is>
      </c>
    </row>
    <row r="3">
      <c r="A3" s="5" t="inlineStr">
        <is>
          <t>✎ ô chữ xanh = nhập liệu  ·  ⚙ ô nền xám = tự động (không sửa)</t>
        </is>
      </c>
    </row>
    <row r="4" ht="34" customHeight="1">
      <c r="A4" s="35" t="inlineStr">
        <is>
          <t>MCC</t>
        </is>
      </c>
      <c r="B4" s="35" t="inlineStr">
        <is>
          <t>MCC Name</t>
        </is>
      </c>
      <c r="C4" s="35" t="inlineStr">
        <is>
          <t>Category</t>
        </is>
      </c>
      <c r="D4" s="35" t="inlineStr">
        <is>
          <t>Subcategory</t>
        </is>
      </c>
      <c r="E4" s="35" t="inlineStr">
        <is>
          <t>Description</t>
        </is>
      </c>
    </row>
    <row r="5">
      <c r="A5" s="41" t="n">
        <v>4111</v>
      </c>
      <c r="B5" s="37" t="inlineStr">
        <is>
          <t>Local / Suburban Commuter Transport</t>
        </is>
      </c>
      <c r="C5" s="37" t="inlineStr">
        <is>
          <t>Transport</t>
        </is>
      </c>
      <c r="D5" s="37" t="inlineStr">
        <is>
          <t>Public transit</t>
        </is>
      </c>
      <c r="E5" s="37" t="inlineStr">
        <is>
          <t>Tàu điện, xe buýt nội đô</t>
        </is>
      </c>
    </row>
    <row r="6">
      <c r="A6" s="41" t="n">
        <v>4121</v>
      </c>
      <c r="B6" s="37" t="inlineStr">
        <is>
          <t>Taxicabs / Limousines</t>
        </is>
      </c>
      <c r="C6" s="37" t="inlineStr">
        <is>
          <t>Transport</t>
        </is>
      </c>
      <c r="D6" s="37" t="inlineStr">
        <is>
          <t>Ride-hailing</t>
        </is>
      </c>
      <c r="E6" s="37" t="inlineStr">
        <is>
          <t>Taxi, xe công nghệ (Grab, Xanh SM...)</t>
        </is>
      </c>
    </row>
    <row r="7">
      <c r="A7" s="41" t="n">
        <v>4131</v>
      </c>
      <c r="B7" s="37" t="inlineStr">
        <is>
          <t>Bus Lines</t>
        </is>
      </c>
      <c r="C7" s="37" t="inlineStr">
        <is>
          <t>Transport</t>
        </is>
      </c>
      <c r="D7" s="37" t="inlineStr">
        <is>
          <t>Public transit</t>
        </is>
      </c>
      <c r="E7" s="37" t="inlineStr">
        <is>
          <t>Xe khách, xe buýt liên tỉnh</t>
        </is>
      </c>
    </row>
    <row r="8">
      <c r="A8" s="41" t="n">
        <v>4511</v>
      </c>
      <c r="B8" s="37" t="inlineStr">
        <is>
          <t>Airlines, Air Carriers</t>
        </is>
      </c>
      <c r="C8" s="37" t="inlineStr">
        <is>
          <t>Travel</t>
        </is>
      </c>
      <c r="D8" s="37" t="inlineStr">
        <is>
          <t>Airlines</t>
        </is>
      </c>
      <c r="E8" s="37" t="inlineStr">
        <is>
          <t>Hãng hàng không (một số hãng dùng MCC 3000–3299)</t>
        </is>
      </c>
    </row>
    <row r="9">
      <c r="A9" s="41" t="n">
        <v>4722</v>
      </c>
      <c r="B9" s="37" t="inlineStr">
        <is>
          <t>Travel Agencies &amp; Tour Operators</t>
        </is>
      </c>
      <c r="C9" s="37" t="inlineStr">
        <is>
          <t>Travel</t>
        </is>
      </c>
      <c r="D9" s="37" t="inlineStr">
        <is>
          <t>Travel agency</t>
        </is>
      </c>
      <c r="E9" s="37" t="inlineStr">
        <is>
          <t>Đại lý du lịch, tour</t>
        </is>
      </c>
    </row>
    <row r="10">
      <c r="A10" s="41" t="n">
        <v>4784</v>
      </c>
      <c r="B10" s="37" t="inlineStr">
        <is>
          <t>Tolls and Bridge Fees</t>
        </is>
      </c>
      <c r="C10" s="37" t="inlineStr">
        <is>
          <t>Transport</t>
        </is>
      </c>
      <c r="D10" s="37" t="inlineStr">
        <is>
          <t>Tolls</t>
        </is>
      </c>
      <c r="E10" s="37" t="inlineStr">
        <is>
          <t>Phí cầu đường, BOT</t>
        </is>
      </c>
    </row>
    <row r="11">
      <c r="A11" s="41" t="n">
        <v>4789</v>
      </c>
      <c r="B11" s="37" t="inlineStr">
        <is>
          <t>Transportation Services (NEC)</t>
        </is>
      </c>
      <c r="C11" s="37" t="inlineStr">
        <is>
          <t>Transport</t>
        </is>
      </c>
      <c r="D11" s="37" t="inlineStr">
        <is>
          <t>Other transport</t>
        </is>
      </c>
      <c r="E11" s="37" t="inlineStr">
        <is>
          <t>Dịch vụ vận tải khác</t>
        </is>
      </c>
    </row>
    <row r="12">
      <c r="A12" s="41" t="n">
        <v>4814</v>
      </c>
      <c r="B12" s="37" t="inlineStr">
        <is>
          <t>Telecommunication Services</t>
        </is>
      </c>
      <c r="C12" s="37" t="inlineStr">
        <is>
          <t>Utilities &amp; Telecom</t>
        </is>
      </c>
      <c r="D12" s="37" t="inlineStr">
        <is>
          <t>Telecom</t>
        </is>
      </c>
      <c r="E12" s="37" t="inlineStr">
        <is>
          <t>Viễn thông, nạp tiền điện thoại</t>
        </is>
      </c>
    </row>
    <row r="13">
      <c r="A13" s="41" t="n">
        <v>4816</v>
      </c>
      <c r="B13" s="37" t="inlineStr">
        <is>
          <t>Computer Network / Information Services</t>
        </is>
      </c>
      <c r="C13" s="37" t="inlineStr">
        <is>
          <t>Digital &amp; Subscriptions</t>
        </is>
      </c>
      <c r="D13" s="37" t="inlineStr">
        <is>
          <t>Online services</t>
        </is>
      </c>
      <c r="E13" s="37" t="inlineStr">
        <is>
          <t>Dịch vụ mạng, hosting</t>
        </is>
      </c>
    </row>
    <row r="14">
      <c r="A14" s="41" t="n">
        <v>4899</v>
      </c>
      <c r="B14" s="37" t="inlineStr">
        <is>
          <t>Cable, Satellite &amp; Pay TV / Radio</t>
        </is>
      </c>
      <c r="C14" s="37" t="inlineStr">
        <is>
          <t>Entertainment</t>
        </is>
      </c>
      <c r="D14" s="37" t="inlineStr">
        <is>
          <t>Pay TV</t>
        </is>
      </c>
      <c r="E14" s="37" t="inlineStr">
        <is>
          <t>Truyền hình trả tiền</t>
        </is>
      </c>
    </row>
    <row r="15">
      <c r="A15" s="41" t="n">
        <v>4900</v>
      </c>
      <c r="B15" s="37" t="inlineStr">
        <is>
          <t>Utilities – Electric, Gas, Water, Sanitary</t>
        </is>
      </c>
      <c r="C15" s="37" t="inlineStr">
        <is>
          <t>Utilities &amp; Telecom</t>
        </is>
      </c>
      <c r="D15" s="37" t="inlineStr">
        <is>
          <t>Utilities</t>
        </is>
      </c>
      <c r="E15" s="37" t="inlineStr">
        <is>
          <t>Điện, nước, gas</t>
        </is>
      </c>
    </row>
    <row r="16">
      <c r="A16" s="41" t="n">
        <v>5200</v>
      </c>
      <c r="B16" s="37" t="inlineStr">
        <is>
          <t>Home Supply Warehouse Stores</t>
        </is>
      </c>
      <c r="C16" s="37" t="inlineStr">
        <is>
          <t>Home &amp; Living</t>
        </is>
      </c>
      <c r="D16" s="37" t="inlineStr">
        <is>
          <t>Home improvement</t>
        </is>
      </c>
      <c r="E16" s="37" t="inlineStr">
        <is>
          <t>Cửa hàng vật tư gia đình</t>
        </is>
      </c>
    </row>
    <row r="17">
      <c r="A17" s="41" t="n">
        <v>5251</v>
      </c>
      <c r="B17" s="37" t="inlineStr">
        <is>
          <t>Hardware Stores</t>
        </is>
      </c>
      <c r="C17" s="37" t="inlineStr">
        <is>
          <t>Home &amp; Living</t>
        </is>
      </c>
      <c r="D17" s="37" t="inlineStr">
        <is>
          <t>Home improvement</t>
        </is>
      </c>
      <c r="E17" s="37" t="inlineStr">
        <is>
          <t>Cửa hàng ngũ kim</t>
        </is>
      </c>
    </row>
    <row r="18">
      <c r="A18" s="41" t="n">
        <v>5262</v>
      </c>
      <c r="B18" s="37" t="inlineStr">
        <is>
          <t>Marketplaces</t>
        </is>
      </c>
      <c r="C18" s="37" t="inlineStr">
        <is>
          <t>Shopping</t>
        </is>
      </c>
      <c r="D18" s="37" t="inlineStr">
        <is>
          <t>Online marketplace</t>
        </is>
      </c>
      <c r="E18" s="37" t="inlineStr">
        <is>
          <t>Sàn thương mại điện tử</t>
        </is>
      </c>
    </row>
    <row r="19">
      <c r="A19" s="41" t="n">
        <v>5311</v>
      </c>
      <c r="B19" s="37" t="inlineStr">
        <is>
          <t>Department Stores</t>
        </is>
      </c>
      <c r="C19" s="37" t="inlineStr">
        <is>
          <t>Shopping</t>
        </is>
      </c>
      <c r="D19" s="37" t="inlineStr">
        <is>
          <t>Department store</t>
        </is>
      </c>
      <c r="E19" s="37" t="inlineStr">
        <is>
          <t>Trung tâm thương mại, bách hóa</t>
        </is>
      </c>
    </row>
    <row r="20">
      <c r="A20" s="41" t="n">
        <v>5331</v>
      </c>
      <c r="B20" s="37" t="inlineStr">
        <is>
          <t>Variety Stores</t>
        </is>
      </c>
      <c r="C20" s="37" t="inlineStr">
        <is>
          <t>Shopping</t>
        </is>
      </c>
      <c r="D20" s="37" t="inlineStr">
        <is>
          <t>General</t>
        </is>
      </c>
      <c r="E20" s="37" t="inlineStr">
        <is>
          <t>Cửa hàng tạp hóa tổng hợp</t>
        </is>
      </c>
    </row>
    <row r="21">
      <c r="A21" s="41" t="n">
        <v>5399</v>
      </c>
      <c r="B21" s="37" t="inlineStr">
        <is>
          <t>Misc. General Merchandise</t>
        </is>
      </c>
      <c r="C21" s="37" t="inlineStr">
        <is>
          <t>Shopping</t>
        </is>
      </c>
      <c r="D21" s="37" t="inlineStr">
        <is>
          <t>General</t>
        </is>
      </c>
      <c r="E21" s="37" t="inlineStr">
        <is>
          <t>Hàng hóa tổng hợp</t>
        </is>
      </c>
    </row>
    <row r="22">
      <c r="A22" s="41" t="n">
        <v>5411</v>
      </c>
      <c r="B22" s="37" t="inlineStr">
        <is>
          <t>Grocery Stores / Supermarkets</t>
        </is>
      </c>
      <c r="C22" s="37" t="inlineStr">
        <is>
          <t>Groceries</t>
        </is>
      </c>
      <c r="D22" s="37" t="inlineStr">
        <is>
          <t>Supermarket</t>
        </is>
      </c>
      <c r="E22" s="37" t="inlineStr">
        <is>
          <t>Siêu thị, cửa hàng thực phẩm</t>
        </is>
      </c>
    </row>
    <row r="23">
      <c r="A23" s="41" t="n">
        <v>5422</v>
      </c>
      <c r="B23" s="37" t="inlineStr">
        <is>
          <t>Freezer &amp; Locker Meat Provisioners</t>
        </is>
      </c>
      <c r="C23" s="37" t="inlineStr">
        <is>
          <t>Groceries</t>
        </is>
      </c>
      <c r="D23" s="37" t="inlineStr">
        <is>
          <t>Fresh food</t>
        </is>
      </c>
      <c r="E23" s="37" t="inlineStr">
        <is>
          <t>Thịt, thực phẩm đông lạnh</t>
        </is>
      </c>
    </row>
    <row r="24">
      <c r="A24" s="41" t="n">
        <v>5441</v>
      </c>
      <c r="B24" s="37" t="inlineStr">
        <is>
          <t>Candy, Nut &amp; Confectionery Stores</t>
        </is>
      </c>
      <c r="C24" s="37" t="inlineStr">
        <is>
          <t>Groceries</t>
        </is>
      </c>
      <c r="D24" s="37" t="inlineStr">
        <is>
          <t>Specialty food</t>
        </is>
      </c>
      <c r="E24" s="37" t="inlineStr">
        <is>
          <t>Bánh kẹo, hạt</t>
        </is>
      </c>
    </row>
    <row r="25">
      <c r="A25" s="41" t="n">
        <v>5451</v>
      </c>
      <c r="B25" s="37" t="inlineStr">
        <is>
          <t>Dairy Products Stores</t>
        </is>
      </c>
      <c r="C25" s="37" t="inlineStr">
        <is>
          <t>Groceries</t>
        </is>
      </c>
      <c r="D25" s="37" t="inlineStr">
        <is>
          <t>Specialty food</t>
        </is>
      </c>
      <c r="E25" s="37" t="inlineStr">
        <is>
          <t>Sản phẩm từ sữa</t>
        </is>
      </c>
    </row>
    <row r="26">
      <c r="A26" s="41" t="n">
        <v>5462</v>
      </c>
      <c r="B26" s="37" t="inlineStr">
        <is>
          <t>Bakeries</t>
        </is>
      </c>
      <c r="C26" s="37" t="inlineStr">
        <is>
          <t>Dining</t>
        </is>
      </c>
      <c r="D26" s="37" t="inlineStr">
        <is>
          <t>Bakery</t>
        </is>
      </c>
      <c r="E26" s="37" t="inlineStr">
        <is>
          <t>Tiệm bánh</t>
        </is>
      </c>
    </row>
    <row r="27">
      <c r="A27" s="41" t="n">
        <v>5499</v>
      </c>
      <c r="B27" s="37" t="inlineStr">
        <is>
          <t>Misc. Food Stores – Convenience</t>
        </is>
      </c>
      <c r="C27" s="37" t="inlineStr">
        <is>
          <t>Groceries</t>
        </is>
      </c>
      <c r="D27" s="37" t="inlineStr">
        <is>
          <t>Convenience store</t>
        </is>
      </c>
      <c r="E27" s="37" t="inlineStr">
        <is>
          <t>Cửa hàng tiện lợi</t>
        </is>
      </c>
    </row>
    <row r="28">
      <c r="A28" s="41" t="n">
        <v>5511</v>
      </c>
      <c r="B28" s="37" t="inlineStr">
        <is>
          <t>Car &amp; Truck Dealers (New &amp; Used)</t>
        </is>
      </c>
      <c r="C28" s="37" t="inlineStr">
        <is>
          <t>Transport</t>
        </is>
      </c>
      <c r="D28" s="37" t="inlineStr">
        <is>
          <t>Auto</t>
        </is>
      </c>
      <c r="E28" s="37" t="inlineStr">
        <is>
          <t>Đại lý ô tô</t>
        </is>
      </c>
    </row>
    <row r="29">
      <c r="A29" s="41" t="n">
        <v>5541</v>
      </c>
      <c r="B29" s="37" t="inlineStr">
        <is>
          <t>Service Stations</t>
        </is>
      </c>
      <c r="C29" s="37" t="inlineStr">
        <is>
          <t>Fuel</t>
        </is>
      </c>
      <c r="D29" s="37" t="inlineStr">
        <is>
          <t>Gas station</t>
        </is>
      </c>
      <c r="E29" s="37" t="inlineStr">
        <is>
          <t>Trạm xăng có nhân viên</t>
        </is>
      </c>
    </row>
    <row r="30">
      <c r="A30" s="41" t="n">
        <v>5542</v>
      </c>
      <c r="B30" s="37" t="inlineStr">
        <is>
          <t>Automated Fuel Dispensers</t>
        </is>
      </c>
      <c r="C30" s="37" t="inlineStr">
        <is>
          <t>Fuel</t>
        </is>
      </c>
      <c r="D30" s="37" t="inlineStr">
        <is>
          <t>Gas station</t>
        </is>
      </c>
      <c r="E30" s="37" t="inlineStr">
        <is>
          <t>Trụ xăng tự động</t>
        </is>
      </c>
    </row>
    <row r="31">
      <c r="A31" s="41" t="n">
        <v>5611</v>
      </c>
      <c r="B31" s="37" t="inlineStr">
        <is>
          <t>Men's &amp; Boys' Clothing</t>
        </is>
      </c>
      <c r="C31" s="37" t="inlineStr">
        <is>
          <t>Shopping</t>
        </is>
      </c>
      <c r="D31" s="37" t="inlineStr">
        <is>
          <t>Fashion</t>
        </is>
      </c>
      <c r="E31" s="37" t="inlineStr">
        <is>
          <t>Thời trang nam</t>
        </is>
      </c>
    </row>
    <row r="32">
      <c r="A32" s="41" t="n">
        <v>5621</v>
      </c>
      <c r="B32" s="37" t="inlineStr">
        <is>
          <t>Women's Ready-to-Wear</t>
        </is>
      </c>
      <c r="C32" s="37" t="inlineStr">
        <is>
          <t>Shopping</t>
        </is>
      </c>
      <c r="D32" s="37" t="inlineStr">
        <is>
          <t>Fashion</t>
        </is>
      </c>
      <c r="E32" s="37" t="inlineStr">
        <is>
          <t>Thời trang nữ</t>
        </is>
      </c>
    </row>
    <row r="33">
      <c r="A33" s="41" t="n">
        <v>5651</v>
      </c>
      <c r="B33" s="37" t="inlineStr">
        <is>
          <t>Family Clothing Stores</t>
        </is>
      </c>
      <c r="C33" s="37" t="inlineStr">
        <is>
          <t>Shopping</t>
        </is>
      </c>
      <c r="D33" s="37" t="inlineStr">
        <is>
          <t>Fashion</t>
        </is>
      </c>
      <c r="E33" s="37" t="inlineStr">
        <is>
          <t>Thời trang gia đình</t>
        </is>
      </c>
    </row>
    <row r="34">
      <c r="A34" s="41" t="n">
        <v>5661</v>
      </c>
      <c r="B34" s="37" t="inlineStr">
        <is>
          <t>Shoe Stores</t>
        </is>
      </c>
      <c r="C34" s="37" t="inlineStr">
        <is>
          <t>Shopping</t>
        </is>
      </c>
      <c r="D34" s="37" t="inlineStr">
        <is>
          <t>Fashion</t>
        </is>
      </c>
      <c r="E34" s="37" t="inlineStr">
        <is>
          <t>Giày dép</t>
        </is>
      </c>
    </row>
    <row r="35">
      <c r="A35" s="41" t="n">
        <v>5691</v>
      </c>
      <c r="B35" s="37" t="inlineStr">
        <is>
          <t>Men's &amp; Women's Clothing Stores</t>
        </is>
      </c>
      <c r="C35" s="37" t="inlineStr">
        <is>
          <t>Shopping</t>
        </is>
      </c>
      <c r="D35" s="37" t="inlineStr">
        <is>
          <t>Fashion</t>
        </is>
      </c>
      <c r="E35" s="37" t="inlineStr">
        <is>
          <t>Cửa hàng quần áo</t>
        </is>
      </c>
    </row>
    <row r="36">
      <c r="A36" s="41" t="n">
        <v>5712</v>
      </c>
      <c r="B36" s="37" t="inlineStr">
        <is>
          <t>Furniture, Home Furnishings</t>
        </is>
      </c>
      <c r="C36" s="37" t="inlineStr">
        <is>
          <t>Home &amp; Living</t>
        </is>
      </c>
      <c r="D36" s="37" t="inlineStr">
        <is>
          <t>Furniture</t>
        </is>
      </c>
      <c r="E36" s="37" t="inlineStr">
        <is>
          <t>Nội thất</t>
        </is>
      </c>
    </row>
    <row r="37">
      <c r="A37" s="41" t="n">
        <v>5722</v>
      </c>
      <c r="B37" s="37" t="inlineStr">
        <is>
          <t>Household Appliance Stores</t>
        </is>
      </c>
      <c r="C37" s="37" t="inlineStr">
        <is>
          <t>Home &amp; Living</t>
        </is>
      </c>
      <c r="D37" s="37" t="inlineStr">
        <is>
          <t>Appliances</t>
        </is>
      </c>
      <c r="E37" s="37" t="inlineStr">
        <is>
          <t>Đồ gia dụng</t>
        </is>
      </c>
    </row>
    <row r="38">
      <c r="A38" s="41" t="n">
        <v>5732</v>
      </c>
      <c r="B38" s="37" t="inlineStr">
        <is>
          <t>Electronics Stores</t>
        </is>
      </c>
      <c r="C38" s="37" t="inlineStr">
        <is>
          <t>Electronics</t>
        </is>
      </c>
      <c r="D38" s="37" t="inlineStr">
        <is>
          <t>Consumer electronics</t>
        </is>
      </c>
      <c r="E38" s="37" t="inlineStr">
        <is>
          <t>Cửa hàng điện tử, điện máy</t>
        </is>
      </c>
    </row>
    <row r="39">
      <c r="A39" s="41" t="n">
        <v>5733</v>
      </c>
      <c r="B39" s="37" t="inlineStr">
        <is>
          <t>Music Stores – Instruments</t>
        </is>
      </c>
      <c r="C39" s="37" t="inlineStr">
        <is>
          <t>Entertainment</t>
        </is>
      </c>
      <c r="D39" s="37" t="inlineStr">
        <is>
          <t>Music</t>
        </is>
      </c>
      <c r="E39" s="37" t="inlineStr">
        <is>
          <t>Nhạc cụ</t>
        </is>
      </c>
    </row>
    <row r="40">
      <c r="A40" s="41" t="n">
        <v>5734</v>
      </c>
      <c r="B40" s="37" t="inlineStr">
        <is>
          <t>Computer Software Stores</t>
        </is>
      </c>
      <c r="C40" s="37" t="inlineStr">
        <is>
          <t>Electronics</t>
        </is>
      </c>
      <c r="D40" s="37" t="inlineStr">
        <is>
          <t>Software</t>
        </is>
      </c>
      <c r="E40" s="37" t="inlineStr">
        <is>
          <t>Cửa hàng phần mềm</t>
        </is>
      </c>
    </row>
    <row r="41">
      <c r="A41" s="41" t="n">
        <v>5735</v>
      </c>
      <c r="B41" s="37" t="inlineStr">
        <is>
          <t>Record Stores</t>
        </is>
      </c>
      <c r="C41" s="37" t="inlineStr">
        <is>
          <t>Entertainment</t>
        </is>
      </c>
      <c r="D41" s="37" t="inlineStr">
        <is>
          <t>Music</t>
        </is>
      </c>
      <c r="E41" s="37" t="inlineStr">
        <is>
          <t>Cửa hàng đĩa nhạc</t>
        </is>
      </c>
    </row>
    <row r="42">
      <c r="A42" s="41" t="n">
        <v>5811</v>
      </c>
      <c r="B42" s="37" t="inlineStr">
        <is>
          <t>Caterers</t>
        </is>
      </c>
      <c r="C42" s="37" t="inlineStr">
        <is>
          <t>Dining</t>
        </is>
      </c>
      <c r="D42" s="37" t="inlineStr">
        <is>
          <t>Catering</t>
        </is>
      </c>
      <c r="E42" s="37" t="inlineStr">
        <is>
          <t>Dịch vụ tiệc, catering</t>
        </is>
      </c>
    </row>
    <row r="43">
      <c r="A43" s="41" t="n">
        <v>5812</v>
      </c>
      <c r="B43" s="37" t="inlineStr">
        <is>
          <t>Eating Places / Restaurants</t>
        </is>
      </c>
      <c r="C43" s="37" t="inlineStr">
        <is>
          <t>Dining</t>
        </is>
      </c>
      <c r="D43" s="37" t="inlineStr">
        <is>
          <t>Restaurant</t>
        </is>
      </c>
      <c r="E43" s="37" t="inlineStr">
        <is>
          <t>Nhà hàng, quán ăn</t>
        </is>
      </c>
    </row>
    <row r="44">
      <c r="A44" s="41" t="n">
        <v>5813</v>
      </c>
      <c r="B44" s="37" t="inlineStr">
        <is>
          <t>Drinking Places (Bars, Taverns)</t>
        </is>
      </c>
      <c r="C44" s="37" t="inlineStr">
        <is>
          <t>Dining</t>
        </is>
      </c>
      <c r="D44" s="37" t="inlineStr">
        <is>
          <t>Bar / Pub</t>
        </is>
      </c>
      <c r="E44" s="37" t="inlineStr">
        <is>
          <t>Quán bar, pub, quán nhậu</t>
        </is>
      </c>
    </row>
    <row r="45">
      <c r="A45" s="41" t="n">
        <v>5814</v>
      </c>
      <c r="B45" s="37" t="inlineStr">
        <is>
          <t>Fast Food Restaurants</t>
        </is>
      </c>
      <c r="C45" s="37" t="inlineStr">
        <is>
          <t>Dining</t>
        </is>
      </c>
      <c r="D45" s="37" t="inlineStr">
        <is>
          <t>Fast food</t>
        </is>
      </c>
      <c r="E45" s="37" t="inlineStr">
        <is>
          <t>Đồ ăn nhanh, cà phê, trà sữa</t>
        </is>
      </c>
    </row>
    <row r="46">
      <c r="A46" s="41" t="n">
        <v>5815</v>
      </c>
      <c r="B46" s="37" t="inlineStr">
        <is>
          <t>Digital Goods – Media</t>
        </is>
      </c>
      <c r="C46" s="37" t="inlineStr">
        <is>
          <t>Digital &amp; Subscriptions</t>
        </is>
      </c>
      <c r="D46" s="37" t="inlineStr">
        <is>
          <t>Digital media</t>
        </is>
      </c>
      <c r="E46" s="37" t="inlineStr">
        <is>
          <t>Sách, phim, nhạc số</t>
        </is>
      </c>
    </row>
    <row r="47">
      <c r="A47" s="41" t="n">
        <v>5816</v>
      </c>
      <c r="B47" s="37" t="inlineStr">
        <is>
          <t>Digital Goods – Games</t>
        </is>
      </c>
      <c r="C47" s="37" t="inlineStr">
        <is>
          <t>Digital &amp; Subscriptions</t>
        </is>
      </c>
      <c r="D47" s="37" t="inlineStr">
        <is>
          <t>Games</t>
        </is>
      </c>
      <c r="E47" s="37" t="inlineStr">
        <is>
          <t>Game số</t>
        </is>
      </c>
    </row>
    <row r="48">
      <c r="A48" s="41" t="n">
        <v>5817</v>
      </c>
      <c r="B48" s="37" t="inlineStr">
        <is>
          <t>Digital Goods – Applications</t>
        </is>
      </c>
      <c r="C48" s="37" t="inlineStr">
        <is>
          <t>Digital &amp; Subscriptions</t>
        </is>
      </c>
      <c r="D48" s="37" t="inlineStr">
        <is>
          <t>Apps</t>
        </is>
      </c>
      <c r="E48" s="37" t="inlineStr">
        <is>
          <t>Ứng dụng</t>
        </is>
      </c>
    </row>
    <row r="49">
      <c r="A49" s="41" t="n">
        <v>5818</v>
      </c>
      <c r="B49" s="37" t="inlineStr">
        <is>
          <t>Digital Goods – Large Merchants</t>
        </is>
      </c>
      <c r="C49" s="37" t="inlineStr">
        <is>
          <t>Digital &amp; Subscriptions</t>
        </is>
      </c>
      <c r="D49" s="37" t="inlineStr">
        <is>
          <t>Digital</t>
        </is>
      </c>
      <c r="E49" s="37" t="inlineStr">
        <is>
          <t>Dịch vụ số (Netflix, Spotify...)</t>
        </is>
      </c>
    </row>
    <row r="50">
      <c r="A50" s="41" t="n">
        <v>5912</v>
      </c>
      <c r="B50" s="37" t="inlineStr">
        <is>
          <t>Drug Stores &amp; Pharmacies</t>
        </is>
      </c>
      <c r="C50" s="37" t="inlineStr">
        <is>
          <t>Healthcare</t>
        </is>
      </c>
      <c r="D50" s="37" t="inlineStr">
        <is>
          <t>Pharmacy</t>
        </is>
      </c>
      <c r="E50" s="37" t="inlineStr">
        <is>
          <t>Nhà thuốc</t>
        </is>
      </c>
    </row>
    <row r="51">
      <c r="A51" s="41" t="n">
        <v>5921</v>
      </c>
      <c r="B51" s="37" t="inlineStr">
        <is>
          <t>Package Stores – Beer, Wine, Liquor</t>
        </is>
      </c>
      <c r="C51" s="37" t="inlineStr">
        <is>
          <t>Groceries</t>
        </is>
      </c>
      <c r="D51" s="37" t="inlineStr">
        <is>
          <t>Beverages</t>
        </is>
      </c>
      <c r="E51" s="37" t="inlineStr">
        <is>
          <t>Cửa hàng rượu bia</t>
        </is>
      </c>
    </row>
    <row r="52">
      <c r="A52" s="41" t="n">
        <v>5941</v>
      </c>
      <c r="B52" s="37" t="inlineStr">
        <is>
          <t>Sporting Goods Stores</t>
        </is>
      </c>
      <c r="C52" s="37" t="inlineStr">
        <is>
          <t>Shopping</t>
        </is>
      </c>
      <c r="D52" s="37" t="inlineStr">
        <is>
          <t>Sports</t>
        </is>
      </c>
      <c r="E52" s="37" t="inlineStr">
        <is>
          <t>Đồ thể thao</t>
        </is>
      </c>
    </row>
    <row r="53">
      <c r="A53" s="41" t="n">
        <v>5942</v>
      </c>
      <c r="B53" s="37" t="inlineStr">
        <is>
          <t>Book Stores</t>
        </is>
      </c>
      <c r="C53" s="37" t="inlineStr">
        <is>
          <t>Shopping</t>
        </is>
      </c>
      <c r="D53" s="37" t="inlineStr">
        <is>
          <t>Books</t>
        </is>
      </c>
      <c r="E53" s="37" t="inlineStr">
        <is>
          <t>Nhà sách</t>
        </is>
      </c>
    </row>
    <row r="54">
      <c r="A54" s="41" t="n">
        <v>5943</v>
      </c>
      <c r="B54" s="37" t="inlineStr">
        <is>
          <t>Stationery &amp; Office Supply Stores</t>
        </is>
      </c>
      <c r="C54" s="37" t="inlineStr">
        <is>
          <t>Shopping</t>
        </is>
      </c>
      <c r="D54" s="37" t="inlineStr">
        <is>
          <t>Office</t>
        </is>
      </c>
      <c r="E54" s="37" t="inlineStr">
        <is>
          <t>Văn phòng phẩm</t>
        </is>
      </c>
    </row>
    <row r="55">
      <c r="A55" s="41" t="n">
        <v>5944</v>
      </c>
      <c r="B55" s="37" t="inlineStr">
        <is>
          <t>Jewelry Stores</t>
        </is>
      </c>
      <c r="C55" s="37" t="inlineStr">
        <is>
          <t>Shopping</t>
        </is>
      </c>
      <c r="D55" s="37" t="inlineStr">
        <is>
          <t>Jewelry</t>
        </is>
      </c>
      <c r="E55" s="37" t="inlineStr">
        <is>
          <t>Trang sức</t>
        </is>
      </c>
    </row>
    <row r="56">
      <c r="A56" s="41" t="n">
        <v>5945</v>
      </c>
      <c r="B56" s="37" t="inlineStr">
        <is>
          <t>Hobby, Toy &amp; Game Shops</t>
        </is>
      </c>
      <c r="C56" s="37" t="inlineStr">
        <is>
          <t>Shopping</t>
        </is>
      </c>
      <c r="D56" s="37" t="inlineStr">
        <is>
          <t>Toys</t>
        </is>
      </c>
      <c r="E56" s="37" t="inlineStr">
        <is>
          <t>Đồ chơi</t>
        </is>
      </c>
    </row>
    <row r="57">
      <c r="A57" s="41" t="n">
        <v>5946</v>
      </c>
      <c r="B57" s="37" t="inlineStr">
        <is>
          <t>Camera &amp; Photographic Supply</t>
        </is>
      </c>
      <c r="C57" s="37" t="inlineStr">
        <is>
          <t>Electronics</t>
        </is>
      </c>
      <c r="D57" s="37" t="inlineStr">
        <is>
          <t>Camera</t>
        </is>
      </c>
      <c r="E57" s="37" t="inlineStr">
        <is>
          <t>Máy ảnh</t>
        </is>
      </c>
    </row>
    <row r="58">
      <c r="A58" s="41" t="n">
        <v>5947</v>
      </c>
      <c r="B58" s="37" t="inlineStr">
        <is>
          <t>Gift, Card, Novelty Shops</t>
        </is>
      </c>
      <c r="C58" s="37" t="inlineStr">
        <is>
          <t>Shopping</t>
        </is>
      </c>
      <c r="D58" s="37" t="inlineStr">
        <is>
          <t>Gifts</t>
        </is>
      </c>
      <c r="E58" s="37" t="inlineStr">
        <is>
          <t>Quà tặng</t>
        </is>
      </c>
    </row>
    <row r="59">
      <c r="A59" s="41" t="n">
        <v>5964</v>
      </c>
      <c r="B59" s="37" t="inlineStr">
        <is>
          <t>Direct Marketing – Catalog Merchants</t>
        </is>
      </c>
      <c r="C59" s="37" t="inlineStr">
        <is>
          <t>Shopping</t>
        </is>
      </c>
      <c r="D59" s="37" t="inlineStr">
        <is>
          <t>Direct marketing</t>
        </is>
      </c>
      <c r="E59" s="37" t="inlineStr">
        <is>
          <t>Bán hàng qua catalog / online</t>
        </is>
      </c>
    </row>
    <row r="60">
      <c r="A60" s="41" t="n">
        <v>5968</v>
      </c>
      <c r="B60" s="37" t="inlineStr">
        <is>
          <t>Direct Marketing – Subscription</t>
        </is>
      </c>
      <c r="C60" s="37" t="inlineStr">
        <is>
          <t>Digital &amp; Subscriptions</t>
        </is>
      </c>
      <c r="D60" s="37" t="inlineStr">
        <is>
          <t>Subscription</t>
        </is>
      </c>
      <c r="E60" s="37" t="inlineStr">
        <is>
          <t>Dịch vụ thuê bao định kỳ</t>
        </is>
      </c>
    </row>
    <row r="61">
      <c r="A61" s="41" t="n">
        <v>5977</v>
      </c>
      <c r="B61" s="37" t="inlineStr">
        <is>
          <t>Cosmetic Stores</t>
        </is>
      </c>
      <c r="C61" s="37" t="inlineStr">
        <is>
          <t>Beauty &amp; Personal Care</t>
        </is>
      </c>
      <c r="D61" s="37" t="inlineStr">
        <is>
          <t>Cosmetics</t>
        </is>
      </c>
      <c r="E61" s="37" t="inlineStr">
        <is>
          <t>Mỹ phẩm</t>
        </is>
      </c>
    </row>
    <row r="62">
      <c r="A62" s="41" t="n">
        <v>5992</v>
      </c>
      <c r="B62" s="37" t="inlineStr">
        <is>
          <t>Florists</t>
        </is>
      </c>
      <c r="C62" s="37" t="inlineStr">
        <is>
          <t>Shopping</t>
        </is>
      </c>
      <c r="D62" s="37" t="inlineStr">
        <is>
          <t>Gifts</t>
        </is>
      </c>
      <c r="E62" s="37" t="inlineStr">
        <is>
          <t>Cửa hàng hoa</t>
        </is>
      </c>
    </row>
    <row r="63">
      <c r="A63" s="41" t="n">
        <v>5995</v>
      </c>
      <c r="B63" s="37" t="inlineStr">
        <is>
          <t>Pet Shops, Pet Foods &amp; Supplies</t>
        </is>
      </c>
      <c r="C63" s="37" t="inlineStr">
        <is>
          <t>Shopping</t>
        </is>
      </c>
      <c r="D63" s="37" t="inlineStr">
        <is>
          <t>Pets</t>
        </is>
      </c>
      <c r="E63" s="37" t="inlineStr">
        <is>
          <t>Cửa hàng thú cưng</t>
        </is>
      </c>
    </row>
    <row r="64">
      <c r="A64" s="41" t="n">
        <v>5999</v>
      </c>
      <c r="B64" s="37" t="inlineStr">
        <is>
          <t>Misc. &amp; Specialty Retail</t>
        </is>
      </c>
      <c r="C64" s="37" t="inlineStr">
        <is>
          <t>Shopping</t>
        </is>
      </c>
      <c r="D64" s="37" t="inlineStr">
        <is>
          <t>General</t>
        </is>
      </c>
      <c r="E64" s="37" t="inlineStr">
        <is>
          <t>Bán lẻ chuyên biệt khác</t>
        </is>
      </c>
    </row>
    <row r="65">
      <c r="A65" s="41" t="n">
        <v>6300</v>
      </c>
      <c r="B65" s="37" t="inlineStr">
        <is>
          <t>Insurance Sales &amp; Underwriting</t>
        </is>
      </c>
      <c r="C65" s="37" t="inlineStr">
        <is>
          <t>Other</t>
        </is>
      </c>
      <c r="D65" s="37" t="inlineStr">
        <is>
          <t>Insurance</t>
        </is>
      </c>
      <c r="E65" s="37" t="inlineStr">
        <is>
          <t>Bảo hiểm</t>
        </is>
      </c>
    </row>
    <row r="66">
      <c r="A66" s="41" t="n">
        <v>7011</v>
      </c>
      <c r="B66" s="37" t="inlineStr">
        <is>
          <t>Hotels, Motels, Resorts</t>
        </is>
      </c>
      <c r="C66" s="37" t="inlineStr">
        <is>
          <t>Travel</t>
        </is>
      </c>
      <c r="D66" s="37" t="inlineStr">
        <is>
          <t>Lodging</t>
        </is>
      </c>
      <c r="E66" s="37" t="inlineStr">
        <is>
          <t>Khách sạn, resort</t>
        </is>
      </c>
    </row>
    <row r="67">
      <c r="A67" s="41" t="n">
        <v>7230</v>
      </c>
      <c r="B67" s="37" t="inlineStr">
        <is>
          <t>Beauty &amp; Barber Shops</t>
        </is>
      </c>
      <c r="C67" s="37" t="inlineStr">
        <is>
          <t>Beauty &amp; Personal Care</t>
        </is>
      </c>
      <c r="D67" s="37" t="inlineStr">
        <is>
          <t>Salon</t>
        </is>
      </c>
      <c r="E67" s="37" t="inlineStr">
        <is>
          <t>Salon, cắt tóc</t>
        </is>
      </c>
    </row>
    <row r="68">
      <c r="A68" s="41" t="n">
        <v>7298</v>
      </c>
      <c r="B68" s="37" t="inlineStr">
        <is>
          <t>Health &amp; Beauty Spas</t>
        </is>
      </c>
      <c r="C68" s="37" t="inlineStr">
        <is>
          <t>Beauty &amp; Personal Care</t>
        </is>
      </c>
      <c r="D68" s="37" t="inlineStr">
        <is>
          <t>Spa</t>
        </is>
      </c>
      <c r="E68" s="37" t="inlineStr">
        <is>
          <t>Spa</t>
        </is>
      </c>
    </row>
    <row r="69">
      <c r="A69" s="41" t="n">
        <v>7311</v>
      </c>
      <c r="B69" s="37" t="inlineStr">
        <is>
          <t>Advertising Services</t>
        </is>
      </c>
      <c r="C69" s="37" t="inlineStr">
        <is>
          <t>Other</t>
        </is>
      </c>
      <c r="D69" s="37" t="inlineStr">
        <is>
          <t>Business</t>
        </is>
      </c>
      <c r="E69" s="37" t="inlineStr">
        <is>
          <t>Dịch vụ quảng cáo</t>
        </is>
      </c>
    </row>
    <row r="70">
      <c r="A70" s="41" t="n">
        <v>7399</v>
      </c>
      <c r="B70" s="37" t="inlineStr">
        <is>
          <t>Business Services (NEC)</t>
        </is>
      </c>
      <c r="C70" s="37" t="inlineStr">
        <is>
          <t>Other</t>
        </is>
      </c>
      <c r="D70" s="37" t="inlineStr">
        <is>
          <t>Business</t>
        </is>
      </c>
      <c r="E70" s="37" t="inlineStr">
        <is>
          <t>Dịch vụ doanh nghiệp khác</t>
        </is>
      </c>
    </row>
    <row r="71">
      <c r="A71" s="41" t="n">
        <v>7523</v>
      </c>
      <c r="B71" s="37" t="inlineStr">
        <is>
          <t>Parking Lots &amp; Garages</t>
        </is>
      </c>
      <c r="C71" s="37" t="inlineStr">
        <is>
          <t>Transport</t>
        </is>
      </c>
      <c r="D71" s="37" t="inlineStr">
        <is>
          <t>Parking</t>
        </is>
      </c>
      <c r="E71" s="37" t="inlineStr">
        <is>
          <t>Bãi đỗ xe</t>
        </is>
      </c>
    </row>
    <row r="72">
      <c r="A72" s="41" t="n">
        <v>7832</v>
      </c>
      <c r="B72" s="37" t="inlineStr">
        <is>
          <t>Motion Picture Theaters</t>
        </is>
      </c>
      <c r="C72" s="37" t="inlineStr">
        <is>
          <t>Entertainment</t>
        </is>
      </c>
      <c r="D72" s="37" t="inlineStr">
        <is>
          <t>Cinema</t>
        </is>
      </c>
      <c r="E72" s="37" t="inlineStr">
        <is>
          <t>Rạp chiếu phim</t>
        </is>
      </c>
    </row>
    <row r="73">
      <c r="A73" s="41" t="n">
        <v>7922</v>
      </c>
      <c r="B73" s="37" t="inlineStr">
        <is>
          <t>Theatrical Producers &amp; Ticket Agencies</t>
        </is>
      </c>
      <c r="C73" s="37" t="inlineStr">
        <is>
          <t>Entertainment</t>
        </is>
      </c>
      <c r="D73" s="37" t="inlineStr">
        <is>
          <t>Events</t>
        </is>
      </c>
      <c r="E73" s="37" t="inlineStr">
        <is>
          <t>Vé sự kiện, kịch</t>
        </is>
      </c>
    </row>
    <row r="74">
      <c r="A74" s="41" t="n">
        <v>7941</v>
      </c>
      <c r="B74" s="37" t="inlineStr">
        <is>
          <t>Commercial Sports / Athletic Fields</t>
        </is>
      </c>
      <c r="C74" s="37" t="inlineStr">
        <is>
          <t>Entertainment</t>
        </is>
      </c>
      <c r="D74" s="37" t="inlineStr">
        <is>
          <t>Sports events</t>
        </is>
      </c>
      <c r="E74" s="37" t="inlineStr">
        <is>
          <t>Sân thể thao thương mại</t>
        </is>
      </c>
    </row>
    <row r="75">
      <c r="A75" s="41" t="n">
        <v>7991</v>
      </c>
      <c r="B75" s="37" t="inlineStr">
        <is>
          <t>Tourist Attractions &amp; Exhibits</t>
        </is>
      </c>
      <c r="C75" s="37" t="inlineStr">
        <is>
          <t>Entertainment</t>
        </is>
      </c>
      <c r="D75" s="37" t="inlineStr">
        <is>
          <t>Attractions</t>
        </is>
      </c>
      <c r="E75" s="37" t="inlineStr">
        <is>
          <t>Điểm tham quan</t>
        </is>
      </c>
    </row>
    <row r="76">
      <c r="A76" s="41" t="n">
        <v>7993</v>
      </c>
      <c r="B76" s="37" t="inlineStr">
        <is>
          <t>Video Amusement Game Supplies</t>
        </is>
      </c>
      <c r="C76" s="37" t="inlineStr">
        <is>
          <t>Entertainment</t>
        </is>
      </c>
      <c r="D76" s="37" t="inlineStr">
        <is>
          <t>Games</t>
        </is>
      </c>
      <c r="E76" s="37" t="inlineStr">
        <is>
          <t>Thiết bị game giải trí</t>
        </is>
      </c>
    </row>
    <row r="77">
      <c r="A77" s="41" t="n">
        <v>7994</v>
      </c>
      <c r="B77" s="37" t="inlineStr">
        <is>
          <t>Video Game Arcades</t>
        </is>
      </c>
      <c r="C77" s="37" t="inlineStr">
        <is>
          <t>Entertainment</t>
        </is>
      </c>
      <c r="D77" s="37" t="inlineStr">
        <is>
          <t>Games</t>
        </is>
      </c>
      <c r="E77" s="37" t="inlineStr">
        <is>
          <t>Khu game</t>
        </is>
      </c>
    </row>
    <row r="78">
      <c r="A78" s="41" t="n">
        <v>7996</v>
      </c>
      <c r="B78" s="37" t="inlineStr">
        <is>
          <t>Amusement Parks, Carnivals</t>
        </is>
      </c>
      <c r="C78" s="37" t="inlineStr">
        <is>
          <t>Entertainment</t>
        </is>
      </c>
      <c r="D78" s="37" t="inlineStr">
        <is>
          <t>Theme park</t>
        </is>
      </c>
      <c r="E78" s="37" t="inlineStr">
        <is>
          <t>Công viên giải trí</t>
        </is>
      </c>
    </row>
    <row r="79">
      <c r="A79" s="41" t="n">
        <v>7997</v>
      </c>
      <c r="B79" s="37" t="inlineStr">
        <is>
          <t>Membership Clubs (Sports / Recreation)</t>
        </is>
      </c>
      <c r="C79" s="37" t="inlineStr">
        <is>
          <t>Fitness &amp; Wellness</t>
        </is>
      </c>
      <c r="D79" s="37" t="inlineStr">
        <is>
          <t>Gym / Club</t>
        </is>
      </c>
      <c r="E79" s="37" t="inlineStr">
        <is>
          <t>Phòng gym, câu lạc bộ thể thao</t>
        </is>
      </c>
    </row>
    <row r="80">
      <c r="A80" s="41" t="n">
        <v>7999</v>
      </c>
      <c r="B80" s="37" t="inlineStr">
        <is>
          <t>Recreation Services</t>
        </is>
      </c>
      <c r="C80" s="37" t="inlineStr">
        <is>
          <t>Entertainment</t>
        </is>
      </c>
      <c r="D80" s="37" t="inlineStr">
        <is>
          <t>Recreation</t>
        </is>
      </c>
      <c r="E80" s="37" t="inlineStr">
        <is>
          <t>Dịch vụ giải trí khác</t>
        </is>
      </c>
    </row>
    <row r="81">
      <c r="A81" s="41" t="n">
        <v>8011</v>
      </c>
      <c r="B81" s="37" t="inlineStr">
        <is>
          <t>Doctors</t>
        </is>
      </c>
      <c r="C81" s="37" t="inlineStr">
        <is>
          <t>Healthcare</t>
        </is>
      </c>
      <c r="D81" s="37" t="inlineStr">
        <is>
          <t>Clinic</t>
        </is>
      </c>
      <c r="E81" s="37" t="inlineStr">
        <is>
          <t>Bác sĩ, phòng khám</t>
        </is>
      </c>
    </row>
    <row r="82">
      <c r="A82" s="41" t="n">
        <v>8021</v>
      </c>
      <c r="B82" s="37" t="inlineStr">
        <is>
          <t>Dentists &amp; Orthodontists</t>
        </is>
      </c>
      <c r="C82" s="37" t="inlineStr">
        <is>
          <t>Healthcare</t>
        </is>
      </c>
      <c r="D82" s="37" t="inlineStr">
        <is>
          <t>Dental</t>
        </is>
      </c>
      <c r="E82" s="37" t="inlineStr">
        <is>
          <t>Nha khoa</t>
        </is>
      </c>
    </row>
    <row r="83">
      <c r="A83" s="41" t="n">
        <v>8062</v>
      </c>
      <c r="B83" s="37" t="inlineStr">
        <is>
          <t>Hospitals</t>
        </is>
      </c>
      <c r="C83" s="37" t="inlineStr">
        <is>
          <t>Healthcare</t>
        </is>
      </c>
      <c r="D83" s="37" t="inlineStr">
        <is>
          <t>Hospital</t>
        </is>
      </c>
      <c r="E83" s="37" t="inlineStr">
        <is>
          <t>Bệnh viện</t>
        </is>
      </c>
    </row>
    <row r="84">
      <c r="A84" s="41" t="n">
        <v>8099</v>
      </c>
      <c r="B84" s="37" t="inlineStr">
        <is>
          <t>Medical Services (NEC)</t>
        </is>
      </c>
      <c r="C84" s="37" t="inlineStr">
        <is>
          <t>Healthcare</t>
        </is>
      </c>
      <c r="D84" s="37" t="inlineStr">
        <is>
          <t>Clinic</t>
        </is>
      </c>
      <c r="E84" s="37" t="inlineStr">
        <is>
          <t>Dịch vụ y tế khác</t>
        </is>
      </c>
    </row>
    <row r="85">
      <c r="A85" s="41" t="n">
        <v>8211</v>
      </c>
      <c r="B85" s="37" t="inlineStr">
        <is>
          <t>Elementary &amp; Secondary Schools</t>
        </is>
      </c>
      <c r="C85" s="37" t="inlineStr">
        <is>
          <t>Education</t>
        </is>
      </c>
      <c r="D85" s="37" t="inlineStr">
        <is>
          <t>School</t>
        </is>
      </c>
      <c r="E85" s="37" t="inlineStr">
        <is>
          <t>Trường phổ thông</t>
        </is>
      </c>
    </row>
    <row r="86">
      <c r="A86" s="41" t="n">
        <v>8220</v>
      </c>
      <c r="B86" s="37" t="inlineStr">
        <is>
          <t>Colleges, Universities</t>
        </is>
      </c>
      <c r="C86" s="37" t="inlineStr">
        <is>
          <t>Education</t>
        </is>
      </c>
      <c r="D86" s="37" t="inlineStr">
        <is>
          <t>University</t>
        </is>
      </c>
      <c r="E86" s="37" t="inlineStr">
        <is>
          <t>Đại học, cao đẳng</t>
        </is>
      </c>
    </row>
    <row r="87">
      <c r="A87" s="41" t="n">
        <v>8299</v>
      </c>
      <c r="B87" s="37" t="inlineStr">
        <is>
          <t>Schools &amp; Educational Services (NEC)</t>
        </is>
      </c>
      <c r="C87" s="37" t="inlineStr">
        <is>
          <t>Education</t>
        </is>
      </c>
      <c r="D87" s="37" t="inlineStr">
        <is>
          <t>Courses</t>
        </is>
      </c>
      <c r="E87" s="37" t="inlineStr">
        <is>
          <t>Khóa học, trung tâm đào tạo</t>
        </is>
      </c>
    </row>
    <row r="88">
      <c r="A88" s="41" t="n">
        <v>9399</v>
      </c>
      <c r="B88" s="37" t="inlineStr">
        <is>
          <t>Government Services (NEC)</t>
        </is>
      </c>
      <c r="C88" s="37" t="inlineStr">
        <is>
          <t>Other</t>
        </is>
      </c>
      <c r="D88" s="37" t="inlineStr">
        <is>
          <t>Government</t>
        </is>
      </c>
      <c r="E88" s="37" t="inlineStr">
        <is>
          <t>Dịch vụ công</t>
        </is>
      </c>
    </row>
    <row r="89">
      <c r="A89" s="41" t="n"/>
      <c r="B89" s="37" t="n"/>
      <c r="C89" s="37" t="n"/>
      <c r="D89" s="37" t="n"/>
      <c r="E89" s="37" t="n"/>
    </row>
    <row r="90">
      <c r="A90" s="41" t="n"/>
      <c r="B90" s="37" t="n"/>
      <c r="C90" s="37" t="n"/>
      <c r="D90" s="37" t="n"/>
      <c r="E90" s="37" t="n"/>
    </row>
    <row r="91">
      <c r="A91" s="41" t="n"/>
      <c r="B91" s="37" t="n"/>
      <c r="C91" s="37" t="n"/>
      <c r="D91" s="37" t="n"/>
      <c r="E91" s="37" t="n"/>
    </row>
    <row r="92">
      <c r="A92" s="41" t="n"/>
      <c r="B92" s="37" t="n"/>
      <c r="C92" s="37" t="n"/>
      <c r="D92" s="37" t="n"/>
      <c r="E92" s="37" t="n"/>
    </row>
    <row r="93">
      <c r="A93" s="41" t="n"/>
      <c r="B93" s="37" t="n"/>
      <c r="C93" s="37" t="n"/>
      <c r="D93" s="37" t="n"/>
      <c r="E93" s="37" t="n"/>
    </row>
    <row r="94">
      <c r="A94" s="41" t="n"/>
      <c r="B94" s="37" t="n"/>
      <c r="C94" s="37" t="n"/>
      <c r="D94" s="37" t="n"/>
      <c r="E94" s="37" t="n"/>
    </row>
    <row r="95">
      <c r="A95" s="41" t="n"/>
      <c r="B95" s="37" t="n"/>
      <c r="C95" s="37" t="n"/>
      <c r="D95" s="37" t="n"/>
      <c r="E95" s="37" t="n"/>
    </row>
    <row r="96">
      <c r="A96" s="41" t="n"/>
      <c r="B96" s="37" t="n"/>
      <c r="C96" s="37" t="n"/>
      <c r="D96" s="37" t="n"/>
      <c r="E96" s="37" t="n"/>
    </row>
    <row r="97">
      <c r="A97" s="41" t="n"/>
      <c r="B97" s="37" t="n"/>
      <c r="C97" s="37" t="n"/>
      <c r="D97" s="37" t="n"/>
      <c r="E97" s="37" t="n"/>
    </row>
    <row r="98">
      <c r="A98" s="41" t="n"/>
      <c r="B98" s="37" t="n"/>
      <c r="C98" s="37" t="n"/>
      <c r="D98" s="37" t="n"/>
      <c r="E98" s="37" t="n"/>
    </row>
    <row r="99">
      <c r="A99" s="41" t="n"/>
      <c r="B99" s="37" t="n"/>
      <c r="C99" s="37" t="n"/>
      <c r="D99" s="37" t="n"/>
      <c r="E99" s="37" t="n"/>
    </row>
    <row r="100">
      <c r="A100" s="41" t="n"/>
      <c r="B100" s="37" t="n"/>
      <c r="C100" s="37" t="n"/>
      <c r="D100" s="37" t="n"/>
      <c r="E100" s="37" t="n"/>
    </row>
    <row r="101">
      <c r="A101" s="41" t="n"/>
      <c r="B101" s="37" t="n"/>
      <c r="C101" s="37" t="n"/>
      <c r="D101" s="37" t="n"/>
      <c r="E101" s="37" t="n"/>
    </row>
    <row r="102">
      <c r="A102" s="41" t="n"/>
      <c r="B102" s="37" t="n"/>
      <c r="C102" s="37" t="n"/>
      <c r="D102" s="37" t="n"/>
      <c r="E102" s="37" t="n"/>
    </row>
    <row r="103">
      <c r="A103" s="41" t="n"/>
      <c r="B103" s="37" t="n"/>
      <c r="C103" s="37" t="n"/>
      <c r="D103" s="37" t="n"/>
      <c r="E103" s="37" t="n"/>
    </row>
    <row r="104">
      <c r="A104" s="41" t="n"/>
      <c r="B104" s="37" t="n"/>
      <c r="C104" s="37" t="n"/>
      <c r="D104" s="37" t="n"/>
      <c r="E104" s="37" t="n"/>
    </row>
    <row r="105">
      <c r="A105" s="41" t="n"/>
      <c r="B105" s="37" t="n"/>
      <c r="C105" s="37" t="n"/>
      <c r="D105" s="37" t="n"/>
      <c r="E105" s="37" t="n"/>
    </row>
    <row r="106">
      <c r="A106" s="41" t="n"/>
      <c r="B106" s="37" t="n"/>
      <c r="C106" s="37" t="n"/>
      <c r="D106" s="37" t="n"/>
      <c r="E106" s="37" t="n"/>
    </row>
    <row r="107">
      <c r="A107" s="41" t="n"/>
      <c r="B107" s="37" t="n"/>
      <c r="C107" s="37" t="n"/>
      <c r="D107" s="37" t="n"/>
      <c r="E107" s="37" t="n"/>
    </row>
    <row r="108">
      <c r="A108" s="41" t="n"/>
      <c r="B108" s="37" t="n"/>
      <c r="C108" s="37" t="n"/>
      <c r="D108" s="37" t="n"/>
      <c r="E108" s="37" t="n"/>
    </row>
    <row r="109">
      <c r="A109" s="41" t="n"/>
      <c r="B109" s="37" t="n"/>
      <c r="C109" s="37" t="n"/>
      <c r="D109" s="37" t="n"/>
      <c r="E109" s="37" t="n"/>
    </row>
    <row r="110">
      <c r="A110" s="41" t="n"/>
      <c r="B110" s="37" t="n"/>
      <c r="C110" s="37" t="n"/>
      <c r="D110" s="37" t="n"/>
      <c r="E110" s="37" t="n"/>
    </row>
    <row r="111">
      <c r="A111" s="41" t="n"/>
      <c r="B111" s="37" t="n"/>
      <c r="C111" s="37" t="n"/>
      <c r="D111" s="37" t="n"/>
      <c r="E111" s="37" t="n"/>
    </row>
    <row r="112">
      <c r="A112" s="41" t="n"/>
      <c r="B112" s="37" t="n"/>
      <c r="C112" s="37" t="n"/>
      <c r="D112" s="37" t="n"/>
      <c r="E112" s="37" t="n"/>
    </row>
    <row r="113">
      <c r="A113" s="41" t="n"/>
      <c r="B113" s="37" t="n"/>
      <c r="C113" s="37" t="n"/>
      <c r="D113" s="37" t="n"/>
      <c r="E113" s="37" t="n"/>
    </row>
    <row r="114">
      <c r="A114" s="41" t="n"/>
      <c r="B114" s="37" t="n"/>
      <c r="C114" s="37" t="n"/>
      <c r="D114" s="37" t="n"/>
      <c r="E114" s="37" t="n"/>
    </row>
    <row r="115">
      <c r="A115" s="41" t="n"/>
      <c r="B115" s="37" t="n"/>
      <c r="C115" s="37" t="n"/>
      <c r="D115" s="37" t="n"/>
      <c r="E115" s="37" t="n"/>
    </row>
    <row r="116">
      <c r="A116" s="41" t="n"/>
      <c r="B116" s="37" t="n"/>
      <c r="C116" s="37" t="n"/>
      <c r="D116" s="37" t="n"/>
      <c r="E116" s="37" t="n"/>
    </row>
    <row r="117">
      <c r="A117" s="41" t="n"/>
      <c r="B117" s="37" t="n"/>
      <c r="C117" s="37" t="n"/>
      <c r="D117" s="37" t="n"/>
      <c r="E117" s="37" t="n"/>
    </row>
    <row r="118">
      <c r="A118" s="41" t="n"/>
      <c r="B118" s="37" t="n"/>
      <c r="C118" s="37" t="n"/>
      <c r="D118" s="37" t="n"/>
      <c r="E118" s="37" t="n"/>
    </row>
    <row r="119">
      <c r="A119" s="41" t="n"/>
      <c r="B119" s="37" t="n"/>
      <c r="C119" s="37" t="n"/>
      <c r="D119" s="37" t="n"/>
      <c r="E119" s="37" t="n"/>
    </row>
    <row r="120">
      <c r="A120" s="41" t="n"/>
      <c r="B120" s="37" t="n"/>
      <c r="C120" s="37" t="n"/>
      <c r="D120" s="37" t="n"/>
      <c r="E120" s="37" t="n"/>
    </row>
    <row r="121">
      <c r="A121" s="41" t="n"/>
      <c r="B121" s="37" t="n"/>
      <c r="C121" s="37" t="n"/>
      <c r="D121" s="37" t="n"/>
      <c r="E121" s="37" t="n"/>
    </row>
    <row r="122">
      <c r="A122" s="41" t="n"/>
      <c r="B122" s="37" t="n"/>
      <c r="C122" s="37" t="n"/>
      <c r="D122" s="37" t="n"/>
      <c r="E122" s="37" t="n"/>
    </row>
    <row r="123">
      <c r="A123" s="41" t="n"/>
      <c r="B123" s="37" t="n"/>
      <c r="C123" s="37" t="n"/>
      <c r="D123" s="37" t="n"/>
      <c r="E123" s="37" t="n"/>
    </row>
    <row r="124">
      <c r="A124" s="41" t="n"/>
      <c r="B124" s="37" t="n"/>
      <c r="C124" s="37" t="n"/>
      <c r="D124" s="37" t="n"/>
      <c r="E124" s="37" t="n"/>
    </row>
    <row r="125">
      <c r="A125" s="41" t="n"/>
      <c r="B125" s="37" t="n"/>
      <c r="C125" s="37" t="n"/>
      <c r="D125" s="37" t="n"/>
      <c r="E125" s="37" t="n"/>
    </row>
    <row r="126">
      <c r="A126" s="41" t="n"/>
      <c r="B126" s="37" t="n"/>
      <c r="C126" s="37" t="n"/>
      <c r="D126" s="37" t="n"/>
      <c r="E126" s="37" t="n"/>
    </row>
    <row r="127">
      <c r="A127" s="41" t="n"/>
      <c r="B127" s="37" t="n"/>
      <c r="C127" s="37" t="n"/>
      <c r="D127" s="37" t="n"/>
      <c r="E127" s="37" t="n"/>
    </row>
    <row r="128">
      <c r="A128" s="41" t="n"/>
      <c r="B128" s="37" t="n"/>
      <c r="C128" s="37" t="n"/>
      <c r="D128" s="37" t="n"/>
      <c r="E128" s="37" t="n"/>
    </row>
    <row r="129">
      <c r="A129" s="41" t="n"/>
      <c r="B129" s="37" t="n"/>
      <c r="C129" s="37" t="n"/>
      <c r="D129" s="37" t="n"/>
      <c r="E129" s="37" t="n"/>
    </row>
    <row r="130">
      <c r="A130" s="41" t="n"/>
      <c r="B130" s="37" t="n"/>
      <c r="C130" s="37" t="n"/>
      <c r="D130" s="37" t="n"/>
      <c r="E130" s="37" t="n"/>
    </row>
    <row r="131">
      <c r="A131" s="41" t="n"/>
      <c r="B131" s="37" t="n"/>
      <c r="C131" s="37" t="n"/>
      <c r="D131" s="37" t="n"/>
      <c r="E131" s="37" t="n"/>
    </row>
    <row r="132">
      <c r="A132" s="41" t="n"/>
      <c r="B132" s="37" t="n"/>
      <c r="C132" s="37" t="n"/>
      <c r="D132" s="37" t="n"/>
      <c r="E132" s="37" t="n"/>
    </row>
    <row r="133">
      <c r="A133" s="41" t="n"/>
      <c r="B133" s="37" t="n"/>
      <c r="C133" s="37" t="n"/>
      <c r="D133" s="37" t="n"/>
      <c r="E133" s="37" t="n"/>
    </row>
    <row r="134">
      <c r="A134" s="41" t="n"/>
      <c r="B134" s="37" t="n"/>
      <c r="C134" s="37" t="n"/>
      <c r="D134" s="37" t="n"/>
      <c r="E134" s="37" t="n"/>
    </row>
    <row r="135">
      <c r="A135" s="41" t="n"/>
      <c r="B135" s="37" t="n"/>
      <c r="C135" s="37" t="n"/>
      <c r="D135" s="37" t="n"/>
      <c r="E135" s="37" t="n"/>
    </row>
    <row r="136">
      <c r="A136" s="41" t="n"/>
      <c r="B136" s="37" t="n"/>
      <c r="C136" s="37" t="n"/>
      <c r="D136" s="37" t="n"/>
      <c r="E136" s="37" t="n"/>
    </row>
    <row r="137">
      <c r="A137" s="41" t="n"/>
      <c r="B137" s="37" t="n"/>
      <c r="C137" s="37" t="n"/>
      <c r="D137" s="37" t="n"/>
      <c r="E137" s="37" t="n"/>
    </row>
    <row r="138">
      <c r="A138" s="41" t="n"/>
      <c r="B138" s="37" t="n"/>
      <c r="C138" s="37" t="n"/>
      <c r="D138" s="37" t="n"/>
      <c r="E138" s="37" t="n"/>
    </row>
    <row r="139">
      <c r="A139" s="41" t="n"/>
      <c r="B139" s="37" t="n"/>
      <c r="C139" s="37" t="n"/>
      <c r="D139" s="37" t="n"/>
      <c r="E139" s="37" t="n"/>
    </row>
    <row r="140">
      <c r="A140" s="41" t="n"/>
      <c r="B140" s="37" t="n"/>
      <c r="C140" s="37" t="n"/>
      <c r="D140" s="37" t="n"/>
      <c r="E140" s="37" t="n"/>
    </row>
    <row r="141">
      <c r="A141" s="41" t="n"/>
      <c r="B141" s="37" t="n"/>
      <c r="C141" s="37" t="n"/>
      <c r="D141" s="37" t="n"/>
      <c r="E141" s="37" t="n"/>
    </row>
    <row r="142">
      <c r="A142" s="41" t="n"/>
      <c r="B142" s="37" t="n"/>
      <c r="C142" s="37" t="n"/>
      <c r="D142" s="37" t="n"/>
      <c r="E142" s="37" t="n"/>
    </row>
    <row r="143">
      <c r="A143" s="41" t="n"/>
      <c r="B143" s="37" t="n"/>
      <c r="C143" s="37" t="n"/>
      <c r="D143" s="37" t="n"/>
      <c r="E143" s="37" t="n"/>
    </row>
    <row r="144">
      <c r="A144" s="41" t="n"/>
      <c r="B144" s="37" t="n"/>
      <c r="C144" s="37" t="n"/>
      <c r="D144" s="37" t="n"/>
      <c r="E144" s="37" t="n"/>
    </row>
    <row r="145">
      <c r="A145" s="41" t="n"/>
      <c r="B145" s="37" t="n"/>
      <c r="C145" s="37" t="n"/>
      <c r="D145" s="37" t="n"/>
      <c r="E145" s="37" t="n"/>
    </row>
    <row r="146">
      <c r="A146" s="41" t="n"/>
      <c r="B146" s="37" t="n"/>
      <c r="C146" s="37" t="n"/>
      <c r="D146" s="37" t="n"/>
      <c r="E146" s="37" t="n"/>
    </row>
    <row r="147">
      <c r="A147" s="41" t="n"/>
      <c r="B147" s="37" t="n"/>
      <c r="C147" s="37" t="n"/>
      <c r="D147" s="37" t="n"/>
      <c r="E147" s="37" t="n"/>
    </row>
    <row r="148">
      <c r="A148" s="41" t="n"/>
      <c r="B148" s="37" t="n"/>
      <c r="C148" s="37" t="n"/>
      <c r="D148" s="37" t="n"/>
      <c r="E148" s="37" t="n"/>
    </row>
    <row r="149">
      <c r="A149" s="41" t="n"/>
      <c r="B149" s="37" t="n"/>
      <c r="C149" s="37" t="n"/>
      <c r="D149" s="37" t="n"/>
      <c r="E149" s="37" t="n"/>
    </row>
    <row r="150">
      <c r="A150" s="41" t="n"/>
      <c r="B150" s="37" t="n"/>
      <c r="C150" s="37" t="n"/>
      <c r="D150" s="37" t="n"/>
      <c r="E150" s="37" t="n"/>
    </row>
    <row r="151">
      <c r="A151" s="41" t="n"/>
      <c r="B151" s="37" t="n"/>
      <c r="C151" s="37" t="n"/>
      <c r="D151" s="37" t="n"/>
      <c r="E151" s="37" t="n"/>
    </row>
    <row r="152">
      <c r="A152" s="41" t="n"/>
      <c r="B152" s="37" t="n"/>
      <c r="C152" s="37" t="n"/>
      <c r="D152" s="37" t="n"/>
      <c r="E152" s="37" t="n"/>
    </row>
    <row r="153">
      <c r="A153" s="41" t="n"/>
      <c r="B153" s="37" t="n"/>
      <c r="C153" s="37" t="n"/>
      <c r="D153" s="37" t="n"/>
      <c r="E153" s="37" t="n"/>
    </row>
    <row r="154">
      <c r="A154" s="41" t="n"/>
      <c r="B154" s="37" t="n"/>
      <c r="C154" s="37" t="n"/>
      <c r="D154" s="37" t="n"/>
      <c r="E154" s="37" t="n"/>
    </row>
    <row r="155">
      <c r="A155" s="41" t="n"/>
      <c r="B155" s="37" t="n"/>
      <c r="C155" s="37" t="n"/>
      <c r="D155" s="37" t="n"/>
      <c r="E155" s="37" t="n"/>
    </row>
    <row r="156">
      <c r="A156" s="41" t="n"/>
      <c r="B156" s="37" t="n"/>
      <c r="C156" s="37" t="n"/>
      <c r="D156" s="37" t="n"/>
      <c r="E156" s="37" t="n"/>
    </row>
    <row r="157">
      <c r="A157" s="41" t="n"/>
      <c r="B157" s="37" t="n"/>
      <c r="C157" s="37" t="n"/>
      <c r="D157" s="37" t="n"/>
      <c r="E157" s="37" t="n"/>
    </row>
    <row r="158">
      <c r="A158" s="41" t="n"/>
      <c r="B158" s="37" t="n"/>
      <c r="C158" s="37" t="n"/>
      <c r="D158" s="37" t="n"/>
      <c r="E158" s="37" t="n"/>
    </row>
    <row r="159">
      <c r="A159" s="41" t="n"/>
      <c r="B159" s="37" t="n"/>
      <c r="C159" s="37" t="n"/>
      <c r="D159" s="37" t="n"/>
      <c r="E159" s="37" t="n"/>
    </row>
    <row r="160">
      <c r="A160" s="41" t="n"/>
      <c r="B160" s="37" t="n"/>
      <c r="C160" s="37" t="n"/>
      <c r="D160" s="37" t="n"/>
      <c r="E160" s="37" t="n"/>
    </row>
    <row r="161">
      <c r="A161" s="41" t="n"/>
      <c r="B161" s="37" t="n"/>
      <c r="C161" s="37" t="n"/>
      <c r="D161" s="37" t="n"/>
      <c r="E161" s="37" t="n"/>
    </row>
    <row r="162">
      <c r="A162" s="41" t="n"/>
      <c r="B162" s="37" t="n"/>
      <c r="C162" s="37" t="n"/>
      <c r="D162" s="37" t="n"/>
      <c r="E162" s="37" t="n"/>
    </row>
    <row r="163">
      <c r="A163" s="41" t="n"/>
      <c r="B163" s="37" t="n"/>
      <c r="C163" s="37" t="n"/>
      <c r="D163" s="37" t="n"/>
      <c r="E163" s="37" t="n"/>
    </row>
    <row r="164">
      <c r="A164" s="41" t="n"/>
      <c r="B164" s="37" t="n"/>
      <c r="C164" s="37" t="n"/>
      <c r="D164" s="37" t="n"/>
      <c r="E164" s="37" t="n"/>
    </row>
    <row r="165">
      <c r="A165" s="41" t="n"/>
      <c r="B165" s="37" t="n"/>
      <c r="C165" s="37" t="n"/>
      <c r="D165" s="37" t="n"/>
      <c r="E165" s="37" t="n"/>
    </row>
    <row r="166">
      <c r="A166" s="41" t="n"/>
      <c r="B166" s="37" t="n"/>
      <c r="C166" s="37" t="n"/>
      <c r="D166" s="37" t="n"/>
      <c r="E166" s="37" t="n"/>
    </row>
    <row r="167">
      <c r="A167" s="41" t="n"/>
      <c r="B167" s="37" t="n"/>
      <c r="C167" s="37" t="n"/>
      <c r="D167" s="37" t="n"/>
      <c r="E167" s="37" t="n"/>
    </row>
    <row r="168">
      <c r="A168" s="41" t="n"/>
      <c r="B168" s="37" t="n"/>
      <c r="C168" s="37" t="n"/>
      <c r="D168" s="37" t="n"/>
      <c r="E168" s="37" t="n"/>
    </row>
    <row r="169">
      <c r="A169" s="41" t="n"/>
      <c r="B169" s="37" t="n"/>
      <c r="C169" s="37" t="n"/>
      <c r="D169" s="37" t="n"/>
      <c r="E169" s="37" t="n"/>
    </row>
    <row r="170">
      <c r="A170" s="41" t="n"/>
      <c r="B170" s="37" t="n"/>
      <c r="C170" s="37" t="n"/>
      <c r="D170" s="37" t="n"/>
      <c r="E170" s="37" t="n"/>
    </row>
    <row r="171">
      <c r="A171" s="41" t="n"/>
      <c r="B171" s="37" t="n"/>
      <c r="C171" s="37" t="n"/>
      <c r="D171" s="37" t="n"/>
      <c r="E171" s="37" t="n"/>
    </row>
    <row r="172">
      <c r="A172" s="41" t="n"/>
      <c r="B172" s="37" t="n"/>
      <c r="C172" s="37" t="n"/>
      <c r="D172" s="37" t="n"/>
      <c r="E172" s="37" t="n"/>
    </row>
    <row r="173">
      <c r="A173" s="41" t="n"/>
      <c r="B173" s="37" t="n"/>
      <c r="C173" s="37" t="n"/>
      <c r="D173" s="37" t="n"/>
      <c r="E173" s="37" t="n"/>
    </row>
    <row r="174">
      <c r="A174" s="41" t="n"/>
      <c r="B174" s="37" t="n"/>
      <c r="C174" s="37" t="n"/>
      <c r="D174" s="37" t="n"/>
      <c r="E174" s="37" t="n"/>
    </row>
    <row r="175">
      <c r="A175" s="41" t="n"/>
      <c r="B175" s="37" t="n"/>
      <c r="C175" s="37" t="n"/>
      <c r="D175" s="37" t="n"/>
      <c r="E175" s="37" t="n"/>
    </row>
    <row r="176">
      <c r="A176" s="41" t="n"/>
      <c r="B176" s="37" t="n"/>
      <c r="C176" s="37" t="n"/>
      <c r="D176" s="37" t="n"/>
      <c r="E176" s="37" t="n"/>
    </row>
    <row r="177">
      <c r="A177" s="41" t="n"/>
      <c r="B177" s="37" t="n"/>
      <c r="C177" s="37" t="n"/>
      <c r="D177" s="37" t="n"/>
      <c r="E177" s="37" t="n"/>
    </row>
    <row r="178">
      <c r="A178" s="41" t="n"/>
      <c r="B178" s="37" t="n"/>
      <c r="C178" s="37" t="n"/>
      <c r="D178" s="37" t="n"/>
      <c r="E178" s="37" t="n"/>
    </row>
    <row r="179">
      <c r="A179" s="41" t="n"/>
      <c r="B179" s="37" t="n"/>
      <c r="C179" s="37" t="n"/>
      <c r="D179" s="37" t="n"/>
      <c r="E179" s="37" t="n"/>
    </row>
    <row r="180">
      <c r="A180" s="41" t="n"/>
      <c r="B180" s="37" t="n"/>
      <c r="C180" s="37" t="n"/>
      <c r="D180" s="37" t="n"/>
      <c r="E180" s="37" t="n"/>
    </row>
    <row r="181">
      <c r="A181" s="41" t="n"/>
      <c r="B181" s="37" t="n"/>
      <c r="C181" s="37" t="n"/>
      <c r="D181" s="37" t="n"/>
      <c r="E181" s="37" t="n"/>
    </row>
    <row r="182">
      <c r="A182" s="41" t="n"/>
      <c r="B182" s="37" t="n"/>
      <c r="C182" s="37" t="n"/>
      <c r="D182" s="37" t="n"/>
      <c r="E182" s="37" t="n"/>
    </row>
    <row r="183">
      <c r="A183" s="41" t="n"/>
      <c r="B183" s="37" t="n"/>
      <c r="C183" s="37" t="n"/>
      <c r="D183" s="37" t="n"/>
      <c r="E183" s="37" t="n"/>
    </row>
    <row r="184">
      <c r="A184" s="41" t="n"/>
      <c r="B184" s="37" t="n"/>
      <c r="C184" s="37" t="n"/>
      <c r="D184" s="37" t="n"/>
      <c r="E184" s="37" t="n"/>
    </row>
    <row r="185">
      <c r="A185" s="41" t="n"/>
      <c r="B185" s="37" t="n"/>
      <c r="C185" s="37" t="n"/>
      <c r="D185" s="37" t="n"/>
      <c r="E185" s="37" t="n"/>
    </row>
    <row r="186">
      <c r="A186" s="41" t="n"/>
      <c r="B186" s="37" t="n"/>
      <c r="C186" s="37" t="n"/>
      <c r="D186" s="37" t="n"/>
      <c r="E186" s="37" t="n"/>
    </row>
    <row r="187">
      <c r="A187" s="41" t="n"/>
      <c r="B187" s="37" t="n"/>
      <c r="C187" s="37" t="n"/>
      <c r="D187" s="37" t="n"/>
      <c r="E187" s="37" t="n"/>
    </row>
    <row r="188">
      <c r="A188" s="41" t="n"/>
      <c r="B188" s="37" t="n"/>
      <c r="C188" s="37" t="n"/>
      <c r="D188" s="37" t="n"/>
      <c r="E188" s="37" t="n"/>
    </row>
    <row r="189">
      <c r="A189" s="41" t="n"/>
      <c r="B189" s="37" t="n"/>
      <c r="C189" s="37" t="n"/>
      <c r="D189" s="37" t="n"/>
      <c r="E189" s="37" t="n"/>
    </row>
    <row r="190">
      <c r="A190" s="41" t="n"/>
      <c r="B190" s="37" t="n"/>
      <c r="C190" s="37" t="n"/>
      <c r="D190" s="37" t="n"/>
      <c r="E190" s="37" t="n"/>
    </row>
    <row r="191">
      <c r="A191" s="41" t="n"/>
      <c r="B191" s="37" t="n"/>
      <c r="C191" s="37" t="n"/>
      <c r="D191" s="37" t="n"/>
      <c r="E191" s="37" t="n"/>
    </row>
    <row r="192">
      <c r="A192" s="41" t="n"/>
      <c r="B192" s="37" t="n"/>
      <c r="C192" s="37" t="n"/>
      <c r="D192" s="37" t="n"/>
      <c r="E192" s="37" t="n"/>
    </row>
    <row r="193">
      <c r="A193" s="41" t="n"/>
      <c r="B193" s="37" t="n"/>
      <c r="C193" s="37" t="n"/>
      <c r="D193" s="37" t="n"/>
      <c r="E193" s="37" t="n"/>
    </row>
    <row r="194">
      <c r="A194" s="41" t="n"/>
      <c r="B194" s="37" t="n"/>
      <c r="C194" s="37" t="n"/>
      <c r="D194" s="37" t="n"/>
      <c r="E194" s="37" t="n"/>
    </row>
    <row r="195">
      <c r="A195" s="41" t="n"/>
      <c r="B195" s="37" t="n"/>
      <c r="C195" s="37" t="n"/>
      <c r="D195" s="37" t="n"/>
      <c r="E195" s="37" t="n"/>
    </row>
    <row r="196">
      <c r="A196" s="41" t="n"/>
      <c r="B196" s="37" t="n"/>
      <c r="C196" s="37" t="n"/>
      <c r="D196" s="37" t="n"/>
      <c r="E196" s="37" t="n"/>
    </row>
    <row r="197">
      <c r="A197" s="41" t="n"/>
      <c r="B197" s="37" t="n"/>
      <c r="C197" s="37" t="n"/>
      <c r="D197" s="37" t="n"/>
      <c r="E197" s="37" t="n"/>
    </row>
    <row r="198">
      <c r="A198" s="41" t="n"/>
      <c r="B198" s="37" t="n"/>
      <c r="C198" s="37" t="n"/>
      <c r="D198" s="37" t="n"/>
      <c r="E198" s="37" t="n"/>
    </row>
    <row r="199">
      <c r="A199" s="41" t="n"/>
      <c r="B199" s="37" t="n"/>
      <c r="C199" s="37" t="n"/>
      <c r="D199" s="37" t="n"/>
      <c r="E199" s="37" t="n"/>
    </row>
    <row r="200">
      <c r="A200" s="41" t="n"/>
      <c r="B200" s="37" t="n"/>
      <c r="C200" s="37" t="n"/>
      <c r="D200" s="37" t="n"/>
      <c r="E200" s="37" t="n"/>
    </row>
    <row r="201">
      <c r="A201" s="41" t="n"/>
      <c r="B201" s="37" t="n"/>
      <c r="C201" s="37" t="n"/>
      <c r="D201" s="37" t="n"/>
      <c r="E201" s="37" t="n"/>
    </row>
    <row r="202">
      <c r="A202" s="41" t="n"/>
      <c r="B202" s="37" t="n"/>
      <c r="C202" s="37" t="n"/>
      <c r="D202" s="37" t="n"/>
      <c r="E202" s="37" t="n"/>
    </row>
    <row r="203">
      <c r="A203" s="41" t="n"/>
      <c r="B203" s="37" t="n"/>
      <c r="C203" s="37" t="n"/>
      <c r="D203" s="37" t="n"/>
      <c r="E203" s="37" t="n"/>
    </row>
    <row r="204">
      <c r="A204" s="41" t="n"/>
      <c r="B204" s="37" t="n"/>
      <c r="C204" s="37" t="n"/>
      <c r="D204" s="37" t="n"/>
      <c r="E204" s="37" t="n"/>
    </row>
    <row r="205">
      <c r="A205" s="41" t="n"/>
      <c r="B205" s="37" t="n"/>
      <c r="C205" s="37" t="n"/>
      <c r="D205" s="37" t="n"/>
      <c r="E205" s="37" t="n"/>
    </row>
    <row r="206">
      <c r="A206" s="41" t="n"/>
      <c r="B206" s="37" t="n"/>
      <c r="C206" s="37" t="n"/>
      <c r="D206" s="37" t="n"/>
      <c r="E206" s="37" t="n"/>
    </row>
    <row r="207">
      <c r="A207" s="41" t="n"/>
      <c r="B207" s="37" t="n"/>
      <c r="C207" s="37" t="n"/>
      <c r="D207" s="37" t="n"/>
      <c r="E207" s="37" t="n"/>
    </row>
    <row r="208">
      <c r="A208" s="41" t="n"/>
      <c r="B208" s="37" t="n"/>
      <c r="C208" s="37" t="n"/>
      <c r="D208" s="37" t="n"/>
      <c r="E208" s="37" t="n"/>
    </row>
    <row r="209">
      <c r="A209" s="41" t="n"/>
      <c r="B209" s="37" t="n"/>
      <c r="C209" s="37" t="n"/>
      <c r="D209" s="37" t="n"/>
      <c r="E209" s="37" t="n"/>
    </row>
    <row r="210">
      <c r="A210" s="41" t="n"/>
      <c r="B210" s="37" t="n"/>
      <c r="C210" s="37" t="n"/>
      <c r="D210" s="37" t="n"/>
      <c r="E210" s="37" t="n"/>
    </row>
    <row r="211">
      <c r="A211" s="41" t="n"/>
      <c r="B211" s="37" t="n"/>
      <c r="C211" s="37" t="n"/>
      <c r="D211" s="37" t="n"/>
      <c r="E211" s="37" t="n"/>
    </row>
    <row r="212">
      <c r="A212" s="41" t="n"/>
      <c r="B212" s="37" t="n"/>
      <c r="C212" s="37" t="n"/>
      <c r="D212" s="37" t="n"/>
      <c r="E212" s="37" t="n"/>
    </row>
    <row r="213">
      <c r="A213" s="41" t="n"/>
      <c r="B213" s="37" t="n"/>
      <c r="C213" s="37" t="n"/>
      <c r="D213" s="37" t="n"/>
      <c r="E213" s="37" t="n"/>
    </row>
    <row r="214">
      <c r="A214" s="41" t="n"/>
      <c r="B214" s="37" t="n"/>
      <c r="C214" s="37" t="n"/>
      <c r="D214" s="37" t="n"/>
      <c r="E214" s="37" t="n"/>
    </row>
    <row r="215">
      <c r="A215" s="41" t="n"/>
      <c r="B215" s="37" t="n"/>
      <c r="C215" s="37" t="n"/>
      <c r="D215" s="37" t="n"/>
      <c r="E215" s="37" t="n"/>
    </row>
    <row r="216">
      <c r="A216" s="41" t="n"/>
      <c r="B216" s="37" t="n"/>
      <c r="C216" s="37" t="n"/>
      <c r="D216" s="37" t="n"/>
      <c r="E216" s="37" t="n"/>
    </row>
    <row r="217">
      <c r="A217" s="41" t="n"/>
      <c r="B217" s="37" t="n"/>
      <c r="C217" s="37" t="n"/>
      <c r="D217" s="37" t="n"/>
      <c r="E217" s="37" t="n"/>
    </row>
    <row r="218">
      <c r="A218" s="41" t="n"/>
      <c r="B218" s="37" t="n"/>
      <c r="C218" s="37" t="n"/>
      <c r="D218" s="37" t="n"/>
      <c r="E218" s="37" t="n"/>
    </row>
    <row r="219">
      <c r="A219" s="41" t="n"/>
      <c r="B219" s="37" t="n"/>
      <c r="C219" s="37" t="n"/>
      <c r="D219" s="37" t="n"/>
      <c r="E219" s="37" t="n"/>
    </row>
    <row r="220">
      <c r="A220" s="41" t="n"/>
      <c r="B220" s="37" t="n"/>
      <c r="C220" s="37" t="n"/>
      <c r="D220" s="37" t="n"/>
      <c r="E220" s="37" t="n"/>
    </row>
    <row r="221">
      <c r="A221" s="41" t="n"/>
      <c r="B221" s="37" t="n"/>
      <c r="C221" s="37" t="n"/>
      <c r="D221" s="37" t="n"/>
      <c r="E221" s="37" t="n"/>
    </row>
    <row r="222">
      <c r="A222" s="41" t="n"/>
      <c r="B222" s="37" t="n"/>
      <c r="C222" s="37" t="n"/>
      <c r="D222" s="37" t="n"/>
      <c r="E222" s="37" t="n"/>
    </row>
    <row r="223">
      <c r="A223" s="41" t="n"/>
      <c r="B223" s="37" t="n"/>
      <c r="C223" s="37" t="n"/>
      <c r="D223" s="37" t="n"/>
      <c r="E223" s="37" t="n"/>
    </row>
    <row r="224">
      <c r="A224" s="41" t="n"/>
      <c r="B224" s="37" t="n"/>
      <c r="C224" s="37" t="n"/>
      <c r="D224" s="37" t="n"/>
      <c r="E224" s="37" t="n"/>
    </row>
    <row r="225">
      <c r="A225" s="41" t="n"/>
      <c r="B225" s="37" t="n"/>
      <c r="C225" s="37" t="n"/>
      <c r="D225" s="37" t="n"/>
      <c r="E225" s="37" t="n"/>
    </row>
    <row r="226">
      <c r="A226" s="41" t="n"/>
      <c r="B226" s="37" t="n"/>
      <c r="C226" s="37" t="n"/>
      <c r="D226" s="37" t="n"/>
      <c r="E226" s="37" t="n"/>
    </row>
    <row r="227">
      <c r="A227" s="41" t="n"/>
      <c r="B227" s="37" t="n"/>
      <c r="C227" s="37" t="n"/>
      <c r="D227" s="37" t="n"/>
      <c r="E227" s="37" t="n"/>
    </row>
    <row r="228">
      <c r="A228" s="41" t="n"/>
      <c r="B228" s="37" t="n"/>
      <c r="C228" s="37" t="n"/>
      <c r="D228" s="37" t="n"/>
      <c r="E228" s="37" t="n"/>
    </row>
    <row r="229">
      <c r="A229" s="41" t="n"/>
      <c r="B229" s="37" t="n"/>
      <c r="C229" s="37" t="n"/>
      <c r="D229" s="37" t="n"/>
      <c r="E229" s="37" t="n"/>
    </row>
    <row r="230">
      <c r="A230" s="41" t="n"/>
      <c r="B230" s="37" t="n"/>
      <c r="C230" s="37" t="n"/>
      <c r="D230" s="37" t="n"/>
      <c r="E230" s="37" t="n"/>
    </row>
    <row r="231">
      <c r="A231" s="41" t="n"/>
      <c r="B231" s="37" t="n"/>
      <c r="C231" s="37" t="n"/>
      <c r="D231" s="37" t="n"/>
      <c r="E231" s="37" t="n"/>
    </row>
    <row r="232">
      <c r="A232" s="41" t="n"/>
      <c r="B232" s="37" t="n"/>
      <c r="C232" s="37" t="n"/>
      <c r="D232" s="37" t="n"/>
      <c r="E232" s="37" t="n"/>
    </row>
    <row r="233">
      <c r="A233" s="41" t="n"/>
      <c r="B233" s="37" t="n"/>
      <c r="C233" s="37" t="n"/>
      <c r="D233" s="37" t="n"/>
      <c r="E233" s="37" t="n"/>
    </row>
    <row r="234">
      <c r="A234" s="41" t="n"/>
      <c r="B234" s="37" t="n"/>
      <c r="C234" s="37" t="n"/>
      <c r="D234" s="37" t="n"/>
      <c r="E234" s="37" t="n"/>
    </row>
    <row r="235">
      <c r="A235" s="41" t="n"/>
      <c r="B235" s="37" t="n"/>
      <c r="C235" s="37" t="n"/>
      <c r="D235" s="37" t="n"/>
      <c r="E235" s="37" t="n"/>
    </row>
    <row r="236">
      <c r="A236" s="41" t="n"/>
      <c r="B236" s="37" t="n"/>
      <c r="C236" s="37" t="n"/>
      <c r="D236" s="37" t="n"/>
      <c r="E236" s="37" t="n"/>
    </row>
    <row r="237">
      <c r="A237" s="41" t="n"/>
      <c r="B237" s="37" t="n"/>
      <c r="C237" s="37" t="n"/>
      <c r="D237" s="37" t="n"/>
      <c r="E237" s="37" t="n"/>
    </row>
    <row r="238">
      <c r="A238" s="41" t="n"/>
      <c r="B238" s="37" t="n"/>
      <c r="C238" s="37" t="n"/>
      <c r="D238" s="37" t="n"/>
      <c r="E238" s="37" t="n"/>
    </row>
    <row r="239">
      <c r="A239" s="41" t="n"/>
      <c r="B239" s="37" t="n"/>
      <c r="C239" s="37" t="n"/>
      <c r="D239" s="37" t="n"/>
      <c r="E239" s="37" t="n"/>
    </row>
    <row r="240">
      <c r="A240" s="41" t="n"/>
      <c r="B240" s="37" t="n"/>
      <c r="C240" s="37" t="n"/>
      <c r="D240" s="37" t="n"/>
      <c r="E240" s="37" t="n"/>
    </row>
    <row r="241">
      <c r="A241" s="41" t="n"/>
      <c r="B241" s="37" t="n"/>
      <c r="C241" s="37" t="n"/>
      <c r="D241" s="37" t="n"/>
      <c r="E241" s="37" t="n"/>
    </row>
    <row r="242">
      <c r="A242" s="41" t="n"/>
      <c r="B242" s="37" t="n"/>
      <c r="C242" s="37" t="n"/>
      <c r="D242" s="37" t="n"/>
      <c r="E242" s="37" t="n"/>
    </row>
    <row r="243">
      <c r="A243" s="41" t="n"/>
      <c r="B243" s="37" t="n"/>
      <c r="C243" s="37" t="n"/>
      <c r="D243" s="37" t="n"/>
      <c r="E243" s="37" t="n"/>
    </row>
    <row r="244">
      <c r="A244" s="41" t="n"/>
      <c r="B244" s="37" t="n"/>
      <c r="C244" s="37" t="n"/>
      <c r="D244" s="37" t="n"/>
      <c r="E244" s="37" t="n"/>
    </row>
    <row r="245">
      <c r="A245" s="41" t="n"/>
      <c r="B245" s="37" t="n"/>
      <c r="C245" s="37" t="n"/>
      <c r="D245" s="37" t="n"/>
      <c r="E245" s="37" t="n"/>
    </row>
    <row r="246">
      <c r="A246" s="41" t="n"/>
      <c r="B246" s="37" t="n"/>
      <c r="C246" s="37" t="n"/>
      <c r="D246" s="37" t="n"/>
      <c r="E246" s="37" t="n"/>
    </row>
    <row r="247">
      <c r="A247" s="41" t="n"/>
      <c r="B247" s="37" t="n"/>
      <c r="C247" s="37" t="n"/>
      <c r="D247" s="37" t="n"/>
      <c r="E247" s="37" t="n"/>
    </row>
    <row r="248">
      <c r="A248" s="41" t="n"/>
      <c r="B248" s="37" t="n"/>
      <c r="C248" s="37" t="n"/>
      <c r="D248" s="37" t="n"/>
      <c r="E248" s="37" t="n"/>
    </row>
    <row r="249">
      <c r="A249" s="41" t="n"/>
      <c r="B249" s="37" t="n"/>
      <c r="C249" s="37" t="n"/>
      <c r="D249" s="37" t="n"/>
      <c r="E249" s="37" t="n"/>
    </row>
    <row r="250">
      <c r="A250" s="41" t="n"/>
      <c r="B250" s="37" t="n"/>
      <c r="C250" s="37" t="n"/>
      <c r="D250" s="37" t="n"/>
      <c r="E250" s="37" t="n"/>
    </row>
    <row r="251">
      <c r="A251" s="41" t="n"/>
      <c r="B251" s="37" t="n"/>
      <c r="C251" s="37" t="n"/>
      <c r="D251" s="37" t="n"/>
      <c r="E251" s="37" t="n"/>
    </row>
    <row r="252">
      <c r="A252" s="41" t="n"/>
      <c r="B252" s="37" t="n"/>
      <c r="C252" s="37" t="n"/>
      <c r="D252" s="37" t="n"/>
      <c r="E252" s="37" t="n"/>
    </row>
    <row r="253">
      <c r="A253" s="41" t="n"/>
      <c r="B253" s="37" t="n"/>
      <c r="C253" s="37" t="n"/>
      <c r="D253" s="37" t="n"/>
      <c r="E253" s="37" t="n"/>
    </row>
    <row r="254">
      <c r="A254" s="41" t="n"/>
      <c r="B254" s="37" t="n"/>
      <c r="C254" s="37" t="n"/>
      <c r="D254" s="37" t="n"/>
      <c r="E254" s="37" t="n"/>
    </row>
    <row r="255">
      <c r="A255" s="41" t="n"/>
      <c r="B255" s="37" t="n"/>
      <c r="C255" s="37" t="n"/>
      <c r="D255" s="37" t="n"/>
      <c r="E255" s="37" t="n"/>
    </row>
    <row r="256">
      <c r="A256" s="41" t="n"/>
      <c r="B256" s="37" t="n"/>
      <c r="C256" s="37" t="n"/>
      <c r="D256" s="37" t="n"/>
      <c r="E256" s="37" t="n"/>
    </row>
    <row r="257">
      <c r="A257" s="41" t="n"/>
      <c r="B257" s="37" t="n"/>
      <c r="C257" s="37" t="n"/>
      <c r="D257" s="37" t="n"/>
      <c r="E257" s="37" t="n"/>
    </row>
    <row r="258">
      <c r="A258" s="41" t="n"/>
      <c r="B258" s="37" t="n"/>
      <c r="C258" s="37" t="n"/>
      <c r="D258" s="37" t="n"/>
      <c r="E258" s="37" t="n"/>
    </row>
    <row r="259">
      <c r="A259" s="41" t="n"/>
      <c r="B259" s="37" t="n"/>
      <c r="C259" s="37" t="n"/>
      <c r="D259" s="37" t="n"/>
      <c r="E259" s="37" t="n"/>
    </row>
    <row r="260">
      <c r="A260" s="41" t="n"/>
      <c r="B260" s="37" t="n"/>
      <c r="C260" s="37" t="n"/>
      <c r="D260" s="37" t="n"/>
      <c r="E260" s="37" t="n"/>
    </row>
    <row r="261">
      <c r="A261" s="41" t="n"/>
      <c r="B261" s="37" t="n"/>
      <c r="C261" s="37" t="n"/>
      <c r="D261" s="37" t="n"/>
      <c r="E261" s="37" t="n"/>
    </row>
    <row r="262">
      <c r="A262" s="41" t="n"/>
      <c r="B262" s="37" t="n"/>
      <c r="C262" s="37" t="n"/>
      <c r="D262" s="37" t="n"/>
      <c r="E262" s="37" t="n"/>
    </row>
    <row r="263">
      <c r="A263" s="41" t="n"/>
      <c r="B263" s="37" t="n"/>
      <c r="C263" s="37" t="n"/>
      <c r="D263" s="37" t="n"/>
      <c r="E263" s="37" t="n"/>
    </row>
    <row r="264">
      <c r="A264" s="41" t="n"/>
      <c r="B264" s="37" t="n"/>
      <c r="C264" s="37" t="n"/>
      <c r="D264" s="37" t="n"/>
      <c r="E264" s="37" t="n"/>
    </row>
    <row r="265">
      <c r="A265" s="41" t="n"/>
      <c r="B265" s="37" t="n"/>
      <c r="C265" s="37" t="n"/>
      <c r="D265" s="37" t="n"/>
      <c r="E265" s="37" t="n"/>
    </row>
    <row r="266">
      <c r="A266" s="41" t="n"/>
      <c r="B266" s="37" t="n"/>
      <c r="C266" s="37" t="n"/>
      <c r="D266" s="37" t="n"/>
      <c r="E266" s="37" t="n"/>
    </row>
    <row r="267">
      <c r="A267" s="41" t="n"/>
      <c r="B267" s="37" t="n"/>
      <c r="C267" s="37" t="n"/>
      <c r="D267" s="37" t="n"/>
      <c r="E267" s="37" t="n"/>
    </row>
    <row r="268">
      <c r="A268" s="41" t="n"/>
      <c r="B268" s="37" t="n"/>
      <c r="C268" s="37" t="n"/>
      <c r="D268" s="37" t="n"/>
      <c r="E268" s="37" t="n"/>
    </row>
    <row r="269">
      <c r="A269" s="41" t="n"/>
      <c r="B269" s="37" t="n"/>
      <c r="C269" s="37" t="n"/>
      <c r="D269" s="37" t="n"/>
      <c r="E269" s="37" t="n"/>
    </row>
    <row r="270">
      <c r="A270" s="41" t="n"/>
      <c r="B270" s="37" t="n"/>
      <c r="C270" s="37" t="n"/>
      <c r="D270" s="37" t="n"/>
      <c r="E270" s="37" t="n"/>
    </row>
    <row r="271">
      <c r="A271" s="41" t="n"/>
      <c r="B271" s="37" t="n"/>
      <c r="C271" s="37" t="n"/>
      <c r="D271" s="37" t="n"/>
      <c r="E271" s="37" t="n"/>
    </row>
    <row r="272">
      <c r="A272" s="41" t="n"/>
      <c r="B272" s="37" t="n"/>
      <c r="C272" s="37" t="n"/>
      <c r="D272" s="37" t="n"/>
      <c r="E272" s="37" t="n"/>
    </row>
    <row r="273">
      <c r="A273" s="41" t="n"/>
      <c r="B273" s="37" t="n"/>
      <c r="C273" s="37" t="n"/>
      <c r="D273" s="37" t="n"/>
      <c r="E273" s="37" t="n"/>
    </row>
    <row r="274">
      <c r="A274" s="41" t="n"/>
      <c r="B274" s="37" t="n"/>
      <c r="C274" s="37" t="n"/>
      <c r="D274" s="37" t="n"/>
      <c r="E274" s="37" t="n"/>
    </row>
    <row r="275">
      <c r="A275" s="41" t="n"/>
      <c r="B275" s="37" t="n"/>
      <c r="C275" s="37" t="n"/>
      <c r="D275" s="37" t="n"/>
      <c r="E275" s="37" t="n"/>
    </row>
    <row r="276">
      <c r="A276" s="41" t="n"/>
      <c r="B276" s="37" t="n"/>
      <c r="C276" s="37" t="n"/>
      <c r="D276" s="37" t="n"/>
      <c r="E276" s="37" t="n"/>
    </row>
    <row r="277">
      <c r="A277" s="41" t="n"/>
      <c r="B277" s="37" t="n"/>
      <c r="C277" s="37" t="n"/>
      <c r="D277" s="37" t="n"/>
      <c r="E277" s="37" t="n"/>
    </row>
    <row r="278">
      <c r="A278" s="41" t="n"/>
      <c r="B278" s="37" t="n"/>
      <c r="C278" s="37" t="n"/>
      <c r="D278" s="37" t="n"/>
      <c r="E278" s="37" t="n"/>
    </row>
    <row r="279">
      <c r="A279" s="41" t="n"/>
      <c r="B279" s="37" t="n"/>
      <c r="C279" s="37" t="n"/>
      <c r="D279" s="37" t="n"/>
      <c r="E279" s="37" t="n"/>
    </row>
    <row r="280">
      <c r="A280" s="41" t="n"/>
      <c r="B280" s="37" t="n"/>
      <c r="C280" s="37" t="n"/>
      <c r="D280" s="37" t="n"/>
      <c r="E280" s="37" t="n"/>
    </row>
    <row r="281">
      <c r="A281" s="41" t="n"/>
      <c r="B281" s="37" t="n"/>
      <c r="C281" s="37" t="n"/>
      <c r="D281" s="37" t="n"/>
      <c r="E281" s="37" t="n"/>
    </row>
    <row r="282">
      <c r="A282" s="41" t="n"/>
      <c r="B282" s="37" t="n"/>
      <c r="C282" s="37" t="n"/>
      <c r="D282" s="37" t="n"/>
      <c r="E282" s="37" t="n"/>
    </row>
    <row r="283">
      <c r="A283" s="41" t="n"/>
      <c r="B283" s="37" t="n"/>
      <c r="C283" s="37" t="n"/>
      <c r="D283" s="37" t="n"/>
      <c r="E283" s="37" t="n"/>
    </row>
    <row r="284">
      <c r="A284" s="41" t="n"/>
      <c r="B284" s="37" t="n"/>
      <c r="C284" s="37" t="n"/>
      <c r="D284" s="37" t="n"/>
      <c r="E284" s="37" t="n"/>
    </row>
    <row r="285">
      <c r="A285" s="41" t="n"/>
      <c r="B285" s="37" t="n"/>
      <c r="C285" s="37" t="n"/>
      <c r="D285" s="37" t="n"/>
      <c r="E285" s="37" t="n"/>
    </row>
    <row r="286">
      <c r="A286" s="41" t="n"/>
      <c r="B286" s="37" t="n"/>
      <c r="C286" s="37" t="n"/>
      <c r="D286" s="37" t="n"/>
      <c r="E286" s="37" t="n"/>
    </row>
    <row r="287">
      <c r="A287" s="41" t="n"/>
      <c r="B287" s="37" t="n"/>
      <c r="C287" s="37" t="n"/>
      <c r="D287" s="37" t="n"/>
      <c r="E287" s="37" t="n"/>
    </row>
    <row r="288">
      <c r="A288" s="41" t="n"/>
      <c r="B288" s="37" t="n"/>
      <c r="C288" s="37" t="n"/>
      <c r="D288" s="37" t="n"/>
      <c r="E288" s="37" t="n"/>
    </row>
    <row r="289">
      <c r="A289" s="41" t="n"/>
      <c r="B289" s="37" t="n"/>
      <c r="C289" s="37" t="n"/>
      <c r="D289" s="37" t="n"/>
      <c r="E289" s="37" t="n"/>
    </row>
    <row r="290">
      <c r="A290" s="41" t="n"/>
      <c r="B290" s="37" t="n"/>
      <c r="C290" s="37" t="n"/>
      <c r="D290" s="37" t="n"/>
      <c r="E290" s="37" t="n"/>
    </row>
    <row r="291">
      <c r="A291" s="41" t="n"/>
      <c r="B291" s="37" t="n"/>
      <c r="C291" s="37" t="n"/>
      <c r="D291" s="37" t="n"/>
      <c r="E291" s="37" t="n"/>
    </row>
    <row r="292">
      <c r="A292" s="41" t="n"/>
      <c r="B292" s="37" t="n"/>
      <c r="C292" s="37" t="n"/>
      <c r="D292" s="37" t="n"/>
      <c r="E292" s="37" t="n"/>
    </row>
    <row r="293">
      <c r="A293" s="41" t="n"/>
      <c r="B293" s="37" t="n"/>
      <c r="C293" s="37" t="n"/>
      <c r="D293" s="37" t="n"/>
      <c r="E293" s="37" t="n"/>
    </row>
    <row r="294">
      <c r="A294" s="41" t="n"/>
      <c r="B294" s="37" t="n"/>
      <c r="C294" s="37" t="n"/>
      <c r="D294" s="37" t="n"/>
      <c r="E294" s="37" t="n"/>
    </row>
    <row r="295">
      <c r="A295" s="41" t="n"/>
      <c r="B295" s="37" t="n"/>
      <c r="C295" s="37" t="n"/>
      <c r="D295" s="37" t="n"/>
      <c r="E295" s="37" t="n"/>
    </row>
    <row r="296">
      <c r="A296" s="41" t="n"/>
      <c r="B296" s="37" t="n"/>
      <c r="C296" s="37" t="n"/>
      <c r="D296" s="37" t="n"/>
      <c r="E296" s="37" t="n"/>
    </row>
    <row r="297">
      <c r="A297" s="41" t="n"/>
      <c r="B297" s="37" t="n"/>
      <c r="C297" s="37" t="n"/>
      <c r="D297" s="37" t="n"/>
      <c r="E297" s="37" t="n"/>
    </row>
    <row r="298">
      <c r="A298" s="41" t="n"/>
      <c r="B298" s="37" t="n"/>
      <c r="C298" s="37" t="n"/>
      <c r="D298" s="37" t="n"/>
      <c r="E298" s="37" t="n"/>
    </row>
    <row r="299">
      <c r="A299" s="41" t="n"/>
      <c r="B299" s="37" t="n"/>
      <c r="C299" s="37" t="n"/>
      <c r="D299" s="37" t="n"/>
      <c r="E299" s="37" t="n"/>
    </row>
    <row r="300">
      <c r="A300" s="41" t="n"/>
      <c r="B300" s="37" t="n"/>
      <c r="C300" s="37" t="n"/>
      <c r="D300" s="37" t="n"/>
      <c r="E300" s="37" t="n"/>
    </row>
    <row r="301">
      <c r="A301" s="41" t="n"/>
      <c r="B301" s="37" t="n"/>
      <c r="C301" s="37" t="n"/>
      <c r="D301" s="37" t="n"/>
      <c r="E301" s="37" t="n"/>
    </row>
    <row r="302">
      <c r="A302" s="41" t="n"/>
      <c r="B302" s="37" t="n"/>
      <c r="C302" s="37" t="n"/>
      <c r="D302" s="37" t="n"/>
      <c r="E302" s="37" t="n"/>
    </row>
    <row r="303">
      <c r="A303" s="41" t="n"/>
      <c r="B303" s="37" t="n"/>
      <c r="C303" s="37" t="n"/>
      <c r="D303" s="37" t="n"/>
      <c r="E303" s="37" t="n"/>
    </row>
    <row r="304">
      <c r="A304" s="41" t="n"/>
      <c r="B304" s="37" t="n"/>
      <c r="C304" s="37" t="n"/>
      <c r="D304" s="37" t="n"/>
      <c r="E304" s="37" t="n"/>
    </row>
    <row r="305">
      <c r="A305" s="41" t="n"/>
      <c r="B305" s="37" t="n"/>
      <c r="C305" s="37" t="n"/>
      <c r="D305" s="37" t="n"/>
      <c r="E305" s="37" t="n"/>
    </row>
    <row r="306">
      <c r="A306" s="41" t="n"/>
      <c r="B306" s="37" t="n"/>
      <c r="C306" s="37" t="n"/>
      <c r="D306" s="37" t="n"/>
      <c r="E306" s="37" t="n"/>
    </row>
    <row r="307">
      <c r="A307" s="41" t="n"/>
      <c r="B307" s="37" t="n"/>
      <c r="C307" s="37" t="n"/>
      <c r="D307" s="37" t="n"/>
      <c r="E307" s="37" t="n"/>
    </row>
    <row r="308">
      <c r="A308" s="41" t="n"/>
      <c r="B308" s="37" t="n"/>
      <c r="C308" s="37" t="n"/>
      <c r="D308" s="37" t="n"/>
      <c r="E308" s="37" t="n"/>
    </row>
    <row r="309">
      <c r="A309" s="41" t="n"/>
      <c r="B309" s="37" t="n"/>
      <c r="C309" s="37" t="n"/>
      <c r="D309" s="37" t="n"/>
      <c r="E309" s="37" t="n"/>
    </row>
    <row r="310">
      <c r="A310" s="41" t="n"/>
      <c r="B310" s="37" t="n"/>
      <c r="C310" s="37" t="n"/>
      <c r="D310" s="37" t="n"/>
      <c r="E310" s="37" t="n"/>
    </row>
    <row r="311">
      <c r="A311" s="41" t="n"/>
      <c r="B311" s="37" t="n"/>
      <c r="C311" s="37" t="n"/>
      <c r="D311" s="37" t="n"/>
      <c r="E311" s="37" t="n"/>
    </row>
    <row r="312">
      <c r="A312" s="41" t="n"/>
      <c r="B312" s="37" t="n"/>
      <c r="C312" s="37" t="n"/>
      <c r="D312" s="37" t="n"/>
      <c r="E312" s="37" t="n"/>
    </row>
    <row r="313">
      <c r="A313" s="41" t="n"/>
      <c r="B313" s="37" t="n"/>
      <c r="C313" s="37" t="n"/>
      <c r="D313" s="37" t="n"/>
      <c r="E313" s="37" t="n"/>
    </row>
    <row r="314">
      <c r="A314" s="41" t="n"/>
      <c r="B314" s="37" t="n"/>
      <c r="C314" s="37" t="n"/>
      <c r="D314" s="37" t="n"/>
      <c r="E314" s="37" t="n"/>
    </row>
    <row r="315">
      <c r="A315" s="41" t="n"/>
      <c r="B315" s="37" t="n"/>
      <c r="C315" s="37" t="n"/>
      <c r="D315" s="37" t="n"/>
      <c r="E315" s="37" t="n"/>
    </row>
    <row r="316">
      <c r="A316" s="41" t="n"/>
      <c r="B316" s="37" t="n"/>
      <c r="C316" s="37" t="n"/>
      <c r="D316" s="37" t="n"/>
      <c r="E316" s="37" t="n"/>
    </row>
    <row r="317">
      <c r="A317" s="41" t="n"/>
      <c r="B317" s="37" t="n"/>
      <c r="C317" s="37" t="n"/>
      <c r="D317" s="37" t="n"/>
      <c r="E317" s="37" t="n"/>
    </row>
    <row r="318">
      <c r="A318" s="41" t="n"/>
      <c r="B318" s="37" t="n"/>
      <c r="C318" s="37" t="n"/>
      <c r="D318" s="37" t="n"/>
      <c r="E318" s="37" t="n"/>
    </row>
    <row r="319">
      <c r="A319" s="41" t="n"/>
      <c r="B319" s="37" t="n"/>
      <c r="C319" s="37" t="n"/>
      <c r="D319" s="37" t="n"/>
      <c r="E319" s="37" t="n"/>
    </row>
    <row r="320">
      <c r="A320" s="41" t="n"/>
      <c r="B320" s="37" t="n"/>
      <c r="C320" s="37" t="n"/>
      <c r="D320" s="37" t="n"/>
      <c r="E320" s="37" t="n"/>
    </row>
    <row r="321">
      <c r="A321" s="41" t="n"/>
      <c r="B321" s="37" t="n"/>
      <c r="C321" s="37" t="n"/>
      <c r="D321" s="37" t="n"/>
      <c r="E321" s="37" t="n"/>
    </row>
    <row r="322">
      <c r="A322" s="41" t="n"/>
      <c r="B322" s="37" t="n"/>
      <c r="C322" s="37" t="n"/>
      <c r="D322" s="37" t="n"/>
      <c r="E322" s="37" t="n"/>
    </row>
    <row r="323">
      <c r="A323" s="41" t="n"/>
      <c r="B323" s="37" t="n"/>
      <c r="C323" s="37" t="n"/>
      <c r="D323" s="37" t="n"/>
      <c r="E323" s="37" t="n"/>
    </row>
    <row r="324">
      <c r="A324" s="41" t="n"/>
      <c r="B324" s="37" t="n"/>
      <c r="C324" s="37" t="n"/>
      <c r="D324" s="37" t="n"/>
      <c r="E324" s="37" t="n"/>
    </row>
    <row r="325">
      <c r="A325" s="41" t="n"/>
      <c r="B325" s="37" t="n"/>
      <c r="C325" s="37" t="n"/>
      <c r="D325" s="37" t="n"/>
      <c r="E325" s="37" t="n"/>
    </row>
    <row r="326">
      <c r="A326" s="41" t="n"/>
      <c r="B326" s="37" t="n"/>
      <c r="C326" s="37" t="n"/>
      <c r="D326" s="37" t="n"/>
      <c r="E326" s="37" t="n"/>
    </row>
    <row r="327">
      <c r="A327" s="41" t="n"/>
      <c r="B327" s="37" t="n"/>
      <c r="C327" s="37" t="n"/>
      <c r="D327" s="37" t="n"/>
      <c r="E327" s="37" t="n"/>
    </row>
    <row r="328">
      <c r="A328" s="41" t="n"/>
      <c r="B328" s="37" t="n"/>
      <c r="C328" s="37" t="n"/>
      <c r="D328" s="37" t="n"/>
      <c r="E328" s="37" t="n"/>
    </row>
    <row r="329">
      <c r="A329" s="41" t="n"/>
      <c r="B329" s="37" t="n"/>
      <c r="C329" s="37" t="n"/>
      <c r="D329" s="37" t="n"/>
      <c r="E329" s="37" t="n"/>
    </row>
    <row r="330">
      <c r="A330" s="41" t="n"/>
      <c r="B330" s="37" t="n"/>
      <c r="C330" s="37" t="n"/>
      <c r="D330" s="37" t="n"/>
      <c r="E330" s="37" t="n"/>
    </row>
    <row r="331">
      <c r="A331" s="41" t="n"/>
      <c r="B331" s="37" t="n"/>
      <c r="C331" s="37" t="n"/>
      <c r="D331" s="37" t="n"/>
      <c r="E331" s="37" t="n"/>
    </row>
    <row r="332">
      <c r="A332" s="41" t="n"/>
      <c r="B332" s="37" t="n"/>
      <c r="C332" s="37" t="n"/>
      <c r="D332" s="37" t="n"/>
      <c r="E332" s="37" t="n"/>
    </row>
    <row r="333">
      <c r="A333" s="41" t="n"/>
      <c r="B333" s="37" t="n"/>
      <c r="C333" s="37" t="n"/>
      <c r="D333" s="37" t="n"/>
      <c r="E333" s="37" t="n"/>
    </row>
    <row r="334">
      <c r="A334" s="41" t="n"/>
      <c r="B334" s="37" t="n"/>
      <c r="C334" s="37" t="n"/>
      <c r="D334" s="37" t="n"/>
      <c r="E334" s="37" t="n"/>
    </row>
    <row r="335">
      <c r="A335" s="41" t="n"/>
      <c r="B335" s="37" t="n"/>
      <c r="C335" s="37" t="n"/>
      <c r="D335" s="37" t="n"/>
      <c r="E335" s="37" t="n"/>
    </row>
    <row r="336">
      <c r="A336" s="41" t="n"/>
      <c r="B336" s="37" t="n"/>
      <c r="C336" s="37" t="n"/>
      <c r="D336" s="37" t="n"/>
      <c r="E336" s="37" t="n"/>
    </row>
    <row r="337">
      <c r="A337" s="41" t="n"/>
      <c r="B337" s="37" t="n"/>
      <c r="C337" s="37" t="n"/>
      <c r="D337" s="37" t="n"/>
      <c r="E337" s="37" t="n"/>
    </row>
    <row r="338">
      <c r="A338" s="41" t="n"/>
      <c r="B338" s="37" t="n"/>
      <c r="C338" s="37" t="n"/>
      <c r="D338" s="37" t="n"/>
      <c r="E338" s="37" t="n"/>
    </row>
    <row r="339">
      <c r="A339" s="41" t="n"/>
      <c r="B339" s="37" t="n"/>
      <c r="C339" s="37" t="n"/>
      <c r="D339" s="37" t="n"/>
      <c r="E339" s="37" t="n"/>
    </row>
    <row r="340">
      <c r="A340" s="41" t="n"/>
      <c r="B340" s="37" t="n"/>
      <c r="C340" s="37" t="n"/>
      <c r="D340" s="37" t="n"/>
      <c r="E340" s="37" t="n"/>
    </row>
    <row r="341">
      <c r="A341" s="41" t="n"/>
      <c r="B341" s="37" t="n"/>
      <c r="C341" s="37" t="n"/>
      <c r="D341" s="37" t="n"/>
      <c r="E341" s="37" t="n"/>
    </row>
    <row r="342">
      <c r="A342" s="41" t="n"/>
      <c r="B342" s="37" t="n"/>
      <c r="C342" s="37" t="n"/>
      <c r="D342" s="37" t="n"/>
      <c r="E342" s="37" t="n"/>
    </row>
    <row r="343">
      <c r="A343" s="41" t="n"/>
      <c r="B343" s="37" t="n"/>
      <c r="C343" s="37" t="n"/>
      <c r="D343" s="37" t="n"/>
      <c r="E343" s="37" t="n"/>
    </row>
    <row r="344">
      <c r="A344" s="41" t="n"/>
      <c r="B344" s="37" t="n"/>
      <c r="C344" s="37" t="n"/>
      <c r="D344" s="37" t="n"/>
      <c r="E344" s="37" t="n"/>
    </row>
    <row r="345">
      <c r="A345" s="41" t="n"/>
      <c r="B345" s="37" t="n"/>
      <c r="C345" s="37" t="n"/>
      <c r="D345" s="37" t="n"/>
      <c r="E345" s="37" t="n"/>
    </row>
    <row r="346">
      <c r="A346" s="41" t="n"/>
      <c r="B346" s="37" t="n"/>
      <c r="C346" s="37" t="n"/>
      <c r="D346" s="37" t="n"/>
      <c r="E346" s="37" t="n"/>
    </row>
    <row r="347">
      <c r="A347" s="41" t="n"/>
      <c r="B347" s="37" t="n"/>
      <c r="C347" s="37" t="n"/>
      <c r="D347" s="37" t="n"/>
      <c r="E347" s="37" t="n"/>
    </row>
    <row r="348">
      <c r="A348" s="41" t="n"/>
      <c r="B348" s="37" t="n"/>
      <c r="C348" s="37" t="n"/>
      <c r="D348" s="37" t="n"/>
      <c r="E348" s="37" t="n"/>
    </row>
    <row r="349">
      <c r="A349" s="41" t="n"/>
      <c r="B349" s="37" t="n"/>
      <c r="C349" s="37" t="n"/>
      <c r="D349" s="37" t="n"/>
      <c r="E349" s="37" t="n"/>
    </row>
    <row r="350">
      <c r="A350" s="41" t="n"/>
      <c r="B350" s="37" t="n"/>
      <c r="C350" s="37" t="n"/>
      <c r="D350" s="37" t="n"/>
      <c r="E350" s="37" t="n"/>
    </row>
    <row r="351">
      <c r="A351" s="41" t="n"/>
      <c r="B351" s="37" t="n"/>
      <c r="C351" s="37" t="n"/>
      <c r="D351" s="37" t="n"/>
      <c r="E351" s="37" t="n"/>
    </row>
    <row r="352">
      <c r="A352" s="41" t="n"/>
      <c r="B352" s="37" t="n"/>
      <c r="C352" s="37" t="n"/>
      <c r="D352" s="37" t="n"/>
      <c r="E352" s="37" t="n"/>
    </row>
    <row r="353">
      <c r="A353" s="41" t="n"/>
      <c r="B353" s="37" t="n"/>
      <c r="C353" s="37" t="n"/>
      <c r="D353" s="37" t="n"/>
      <c r="E353" s="37" t="n"/>
    </row>
    <row r="354">
      <c r="A354" s="41" t="n"/>
      <c r="B354" s="37" t="n"/>
      <c r="C354" s="37" t="n"/>
      <c r="D354" s="37" t="n"/>
      <c r="E354" s="37" t="n"/>
    </row>
    <row r="355">
      <c r="A355" s="41" t="n"/>
      <c r="B355" s="37" t="n"/>
      <c r="C355" s="37" t="n"/>
      <c r="D355" s="37" t="n"/>
      <c r="E355" s="37" t="n"/>
    </row>
    <row r="356">
      <c r="A356" s="41" t="n"/>
      <c r="B356" s="37" t="n"/>
      <c r="C356" s="37" t="n"/>
      <c r="D356" s="37" t="n"/>
      <c r="E356" s="37" t="n"/>
    </row>
    <row r="357">
      <c r="A357" s="41" t="n"/>
      <c r="B357" s="37" t="n"/>
      <c r="C357" s="37" t="n"/>
      <c r="D357" s="37" t="n"/>
      <c r="E357" s="37" t="n"/>
    </row>
    <row r="358">
      <c r="A358" s="41" t="n"/>
      <c r="B358" s="37" t="n"/>
      <c r="C358" s="37" t="n"/>
      <c r="D358" s="37" t="n"/>
      <c r="E358" s="37" t="n"/>
    </row>
    <row r="359">
      <c r="A359" s="41" t="n"/>
      <c r="B359" s="37" t="n"/>
      <c r="C359" s="37" t="n"/>
      <c r="D359" s="37" t="n"/>
      <c r="E359" s="37" t="n"/>
    </row>
    <row r="360">
      <c r="A360" s="41" t="n"/>
      <c r="B360" s="37" t="n"/>
      <c r="C360" s="37" t="n"/>
      <c r="D360" s="37" t="n"/>
      <c r="E360" s="37" t="n"/>
    </row>
    <row r="361">
      <c r="A361" s="41" t="n"/>
      <c r="B361" s="37" t="n"/>
      <c r="C361" s="37" t="n"/>
      <c r="D361" s="37" t="n"/>
      <c r="E361" s="37" t="n"/>
    </row>
    <row r="362">
      <c r="A362" s="41" t="n"/>
      <c r="B362" s="37" t="n"/>
      <c r="C362" s="37" t="n"/>
      <c r="D362" s="37" t="n"/>
      <c r="E362" s="37" t="n"/>
    </row>
    <row r="363">
      <c r="A363" s="41" t="n"/>
      <c r="B363" s="37" t="n"/>
      <c r="C363" s="37" t="n"/>
      <c r="D363" s="37" t="n"/>
      <c r="E363" s="37" t="n"/>
    </row>
    <row r="364">
      <c r="A364" s="41" t="n"/>
      <c r="B364" s="37" t="n"/>
      <c r="C364" s="37" t="n"/>
      <c r="D364" s="37" t="n"/>
      <c r="E364" s="37" t="n"/>
    </row>
    <row r="365">
      <c r="A365" s="41" t="n"/>
      <c r="B365" s="37" t="n"/>
      <c r="C365" s="37" t="n"/>
      <c r="D365" s="37" t="n"/>
      <c r="E365" s="37" t="n"/>
    </row>
    <row r="366">
      <c r="A366" s="41" t="n"/>
      <c r="B366" s="37" t="n"/>
      <c r="C366" s="37" t="n"/>
      <c r="D366" s="37" t="n"/>
      <c r="E366" s="37" t="n"/>
    </row>
    <row r="367">
      <c r="A367" s="41" t="n"/>
      <c r="B367" s="37" t="n"/>
      <c r="C367" s="37" t="n"/>
      <c r="D367" s="37" t="n"/>
      <c r="E367" s="37" t="n"/>
    </row>
    <row r="368">
      <c r="A368" s="41" t="n"/>
      <c r="B368" s="37" t="n"/>
      <c r="C368" s="37" t="n"/>
      <c r="D368" s="37" t="n"/>
      <c r="E368" s="37" t="n"/>
    </row>
    <row r="369">
      <c r="A369" s="41" t="n"/>
      <c r="B369" s="37" t="n"/>
      <c r="C369" s="37" t="n"/>
      <c r="D369" s="37" t="n"/>
      <c r="E369" s="37" t="n"/>
    </row>
    <row r="370">
      <c r="A370" s="41" t="n"/>
      <c r="B370" s="37" t="n"/>
      <c r="C370" s="37" t="n"/>
      <c r="D370" s="37" t="n"/>
      <c r="E370" s="37" t="n"/>
    </row>
    <row r="371">
      <c r="A371" s="41" t="n"/>
      <c r="B371" s="37" t="n"/>
      <c r="C371" s="37" t="n"/>
      <c r="D371" s="37" t="n"/>
      <c r="E371" s="37" t="n"/>
    </row>
    <row r="372">
      <c r="A372" s="41" t="n"/>
      <c r="B372" s="37" t="n"/>
      <c r="C372" s="37" t="n"/>
      <c r="D372" s="37" t="n"/>
      <c r="E372" s="37" t="n"/>
    </row>
    <row r="373">
      <c r="A373" s="41" t="n"/>
      <c r="B373" s="37" t="n"/>
      <c r="C373" s="37" t="n"/>
      <c r="D373" s="37" t="n"/>
      <c r="E373" s="37" t="n"/>
    </row>
    <row r="374">
      <c r="A374" s="41" t="n"/>
      <c r="B374" s="37" t="n"/>
      <c r="C374" s="37" t="n"/>
      <c r="D374" s="37" t="n"/>
      <c r="E374" s="37" t="n"/>
    </row>
    <row r="375">
      <c r="A375" s="41" t="n"/>
      <c r="B375" s="37" t="n"/>
      <c r="C375" s="37" t="n"/>
      <c r="D375" s="37" t="n"/>
      <c r="E375" s="37" t="n"/>
    </row>
    <row r="376">
      <c r="A376" s="41" t="n"/>
      <c r="B376" s="37" t="n"/>
      <c r="C376" s="37" t="n"/>
      <c r="D376" s="37" t="n"/>
      <c r="E376" s="37" t="n"/>
    </row>
    <row r="377">
      <c r="A377" s="41" t="n"/>
      <c r="B377" s="37" t="n"/>
      <c r="C377" s="37" t="n"/>
      <c r="D377" s="37" t="n"/>
      <c r="E377" s="37" t="n"/>
    </row>
    <row r="378">
      <c r="A378" s="41" t="n"/>
      <c r="B378" s="37" t="n"/>
      <c r="C378" s="37" t="n"/>
      <c r="D378" s="37" t="n"/>
      <c r="E378" s="37" t="n"/>
    </row>
    <row r="379">
      <c r="A379" s="41" t="n"/>
      <c r="B379" s="37" t="n"/>
      <c r="C379" s="37" t="n"/>
      <c r="D379" s="37" t="n"/>
      <c r="E379" s="37" t="n"/>
    </row>
    <row r="380">
      <c r="A380" s="41" t="n"/>
      <c r="B380" s="37" t="n"/>
      <c r="C380" s="37" t="n"/>
      <c r="D380" s="37" t="n"/>
      <c r="E380" s="37" t="n"/>
    </row>
    <row r="381">
      <c r="A381" s="41" t="n"/>
      <c r="B381" s="37" t="n"/>
      <c r="C381" s="37" t="n"/>
      <c r="D381" s="37" t="n"/>
      <c r="E381" s="37" t="n"/>
    </row>
    <row r="382">
      <c r="A382" s="41" t="n"/>
      <c r="B382" s="37" t="n"/>
      <c r="C382" s="37" t="n"/>
      <c r="D382" s="37" t="n"/>
      <c r="E382" s="37" t="n"/>
    </row>
    <row r="383">
      <c r="A383" s="41" t="n"/>
      <c r="B383" s="37" t="n"/>
      <c r="C383" s="37" t="n"/>
      <c r="D383" s="37" t="n"/>
      <c r="E383" s="37" t="n"/>
    </row>
    <row r="384">
      <c r="A384" s="41" t="n"/>
      <c r="B384" s="37" t="n"/>
      <c r="C384" s="37" t="n"/>
      <c r="D384" s="37" t="n"/>
      <c r="E384" s="37" t="n"/>
    </row>
    <row r="385">
      <c r="A385" s="41" t="n"/>
      <c r="B385" s="37" t="n"/>
      <c r="C385" s="37" t="n"/>
      <c r="D385" s="37" t="n"/>
      <c r="E385" s="37" t="n"/>
    </row>
    <row r="386">
      <c r="A386" s="41" t="n"/>
      <c r="B386" s="37" t="n"/>
      <c r="C386" s="37" t="n"/>
      <c r="D386" s="37" t="n"/>
      <c r="E386" s="37" t="n"/>
    </row>
    <row r="387">
      <c r="A387" s="41" t="n"/>
      <c r="B387" s="37" t="n"/>
      <c r="C387" s="37" t="n"/>
      <c r="D387" s="37" t="n"/>
      <c r="E387" s="37" t="n"/>
    </row>
    <row r="388">
      <c r="A388" s="41" t="n"/>
      <c r="B388" s="37" t="n"/>
      <c r="C388" s="37" t="n"/>
      <c r="D388" s="37" t="n"/>
      <c r="E388" s="37" t="n"/>
    </row>
    <row r="389">
      <c r="A389" s="41" t="n"/>
      <c r="B389" s="37" t="n"/>
      <c r="C389" s="37" t="n"/>
      <c r="D389" s="37" t="n"/>
      <c r="E389" s="37" t="n"/>
    </row>
    <row r="390">
      <c r="A390" s="41" t="n"/>
      <c r="B390" s="37" t="n"/>
      <c r="C390" s="37" t="n"/>
      <c r="D390" s="37" t="n"/>
      <c r="E390" s="37" t="n"/>
    </row>
    <row r="391">
      <c r="A391" s="41" t="n"/>
      <c r="B391" s="37" t="n"/>
      <c r="C391" s="37" t="n"/>
      <c r="D391" s="37" t="n"/>
      <c r="E391" s="37" t="n"/>
    </row>
    <row r="392">
      <c r="A392" s="41" t="n"/>
      <c r="B392" s="37" t="n"/>
      <c r="C392" s="37" t="n"/>
      <c r="D392" s="37" t="n"/>
      <c r="E392" s="37" t="n"/>
    </row>
    <row r="393">
      <c r="A393" s="41" t="n"/>
      <c r="B393" s="37" t="n"/>
      <c r="C393" s="37" t="n"/>
      <c r="D393" s="37" t="n"/>
      <c r="E393" s="37" t="n"/>
    </row>
    <row r="394">
      <c r="A394" s="41" t="n"/>
      <c r="B394" s="37" t="n"/>
      <c r="C394" s="37" t="n"/>
      <c r="D394" s="37" t="n"/>
      <c r="E394" s="37" t="n"/>
    </row>
    <row r="395">
      <c r="A395" s="41" t="n"/>
      <c r="B395" s="37" t="n"/>
      <c r="C395" s="37" t="n"/>
      <c r="D395" s="37" t="n"/>
      <c r="E395" s="37" t="n"/>
    </row>
    <row r="396">
      <c r="A396" s="41" t="n"/>
      <c r="B396" s="37" t="n"/>
      <c r="C396" s="37" t="n"/>
      <c r="D396" s="37" t="n"/>
      <c r="E396" s="37" t="n"/>
    </row>
    <row r="397">
      <c r="A397" s="41" t="n"/>
      <c r="B397" s="37" t="n"/>
      <c r="C397" s="37" t="n"/>
      <c r="D397" s="37" t="n"/>
      <c r="E397" s="37" t="n"/>
    </row>
    <row r="398">
      <c r="A398" s="41" t="n"/>
      <c r="B398" s="37" t="n"/>
      <c r="C398" s="37" t="n"/>
      <c r="D398" s="37" t="n"/>
      <c r="E398" s="37" t="n"/>
    </row>
    <row r="399">
      <c r="A399" s="41" t="n"/>
      <c r="B399" s="37" t="n"/>
      <c r="C399" s="37" t="n"/>
      <c r="D399" s="37" t="n"/>
      <c r="E399" s="37" t="n"/>
    </row>
    <row r="400">
      <c r="A400" s="41" t="n"/>
      <c r="B400" s="37" t="n"/>
      <c r="C400" s="37" t="n"/>
      <c r="D400" s="37" t="n"/>
      <c r="E400" s="37" t="n"/>
    </row>
    <row r="401">
      <c r="A401" s="41" t="n"/>
      <c r="B401" s="37" t="n"/>
      <c r="C401" s="37" t="n"/>
      <c r="D401" s="37" t="n"/>
      <c r="E401" s="37" t="n"/>
    </row>
    <row r="402">
      <c r="A402" s="41" t="n"/>
      <c r="B402" s="37" t="n"/>
      <c r="C402" s="37" t="n"/>
      <c r="D402" s="37" t="n"/>
      <c r="E402" s="37" t="n"/>
    </row>
    <row r="403">
      <c r="A403" s="41" t="n"/>
      <c r="B403" s="37" t="n"/>
      <c r="C403" s="37" t="n"/>
      <c r="D403" s="37" t="n"/>
      <c r="E403" s="37" t="n"/>
    </row>
    <row r="404">
      <c r="A404" s="41" t="n"/>
      <c r="B404" s="37" t="n"/>
      <c r="C404" s="37" t="n"/>
      <c r="D404" s="37" t="n"/>
      <c r="E404" s="37" t="n"/>
    </row>
    <row r="405">
      <c r="A405" s="41" t="n"/>
      <c r="B405" s="37" t="n"/>
      <c r="C405" s="37" t="n"/>
      <c r="D405" s="37" t="n"/>
      <c r="E405" s="37" t="n"/>
    </row>
    <row r="406">
      <c r="A406" s="41" t="n"/>
      <c r="B406" s="37" t="n"/>
      <c r="C406" s="37" t="n"/>
      <c r="D406" s="37" t="n"/>
      <c r="E406" s="37" t="n"/>
    </row>
    <row r="407">
      <c r="A407" s="41" t="n"/>
      <c r="B407" s="37" t="n"/>
      <c r="C407" s="37" t="n"/>
      <c r="D407" s="37" t="n"/>
      <c r="E407" s="37" t="n"/>
    </row>
    <row r="408">
      <c r="A408" s="41" t="n"/>
      <c r="B408" s="37" t="n"/>
      <c r="C408" s="37" t="n"/>
      <c r="D408" s="37" t="n"/>
      <c r="E408" s="37" t="n"/>
    </row>
    <row r="409">
      <c r="A409" s="41" t="n"/>
      <c r="B409" s="37" t="n"/>
      <c r="C409" s="37" t="n"/>
      <c r="D409" s="37" t="n"/>
      <c r="E409" s="37" t="n"/>
    </row>
    <row r="410">
      <c r="A410" s="41" t="n"/>
      <c r="B410" s="37" t="n"/>
      <c r="C410" s="37" t="n"/>
      <c r="D410" s="37" t="n"/>
      <c r="E410" s="37" t="n"/>
    </row>
    <row r="411">
      <c r="A411" s="41" t="n"/>
      <c r="B411" s="37" t="n"/>
      <c r="C411" s="37" t="n"/>
      <c r="D411" s="37" t="n"/>
      <c r="E411" s="37" t="n"/>
    </row>
    <row r="412">
      <c r="A412" s="41" t="n"/>
      <c r="B412" s="37" t="n"/>
      <c r="C412" s="37" t="n"/>
      <c r="D412" s="37" t="n"/>
      <c r="E412" s="37" t="n"/>
    </row>
    <row r="413">
      <c r="A413" s="41" t="n"/>
      <c r="B413" s="37" t="n"/>
      <c r="C413" s="37" t="n"/>
      <c r="D413" s="37" t="n"/>
      <c r="E413" s="37" t="n"/>
    </row>
    <row r="414">
      <c r="A414" s="41" t="n"/>
      <c r="B414" s="37" t="n"/>
      <c r="C414" s="37" t="n"/>
      <c r="D414" s="37" t="n"/>
      <c r="E414" s="37" t="n"/>
    </row>
    <row r="415">
      <c r="A415" s="41" t="n"/>
      <c r="B415" s="37" t="n"/>
      <c r="C415" s="37" t="n"/>
      <c r="D415" s="37" t="n"/>
      <c r="E415" s="37" t="n"/>
    </row>
    <row r="416">
      <c r="A416" s="41" t="n"/>
      <c r="B416" s="37" t="n"/>
      <c r="C416" s="37" t="n"/>
      <c r="D416" s="37" t="n"/>
      <c r="E416" s="37" t="n"/>
    </row>
    <row r="417">
      <c r="A417" s="41" t="n"/>
      <c r="B417" s="37" t="n"/>
      <c r="C417" s="37" t="n"/>
      <c r="D417" s="37" t="n"/>
      <c r="E417" s="37" t="n"/>
    </row>
    <row r="418">
      <c r="A418" s="41" t="n"/>
      <c r="B418" s="37" t="n"/>
      <c r="C418" s="37" t="n"/>
      <c r="D418" s="37" t="n"/>
      <c r="E418" s="37" t="n"/>
    </row>
    <row r="419">
      <c r="A419" s="41" t="n"/>
      <c r="B419" s="37" t="n"/>
      <c r="C419" s="37" t="n"/>
      <c r="D419" s="37" t="n"/>
      <c r="E419" s="37" t="n"/>
    </row>
    <row r="420">
      <c r="A420" s="41" t="n"/>
      <c r="B420" s="37" t="n"/>
      <c r="C420" s="37" t="n"/>
      <c r="D420" s="37" t="n"/>
      <c r="E420" s="37" t="n"/>
    </row>
    <row r="421">
      <c r="A421" s="41" t="n"/>
      <c r="B421" s="37" t="n"/>
      <c r="C421" s="37" t="n"/>
      <c r="D421" s="37" t="n"/>
      <c r="E421" s="37" t="n"/>
    </row>
    <row r="422">
      <c r="A422" s="41" t="n"/>
      <c r="B422" s="37" t="n"/>
      <c r="C422" s="37" t="n"/>
      <c r="D422" s="37" t="n"/>
      <c r="E422" s="37" t="n"/>
    </row>
    <row r="423">
      <c r="A423" s="41" t="n"/>
      <c r="B423" s="37" t="n"/>
      <c r="C423" s="37" t="n"/>
      <c r="D423" s="37" t="n"/>
      <c r="E423" s="37" t="n"/>
    </row>
    <row r="424">
      <c r="A424" s="41" t="n"/>
      <c r="B424" s="37" t="n"/>
      <c r="C424" s="37" t="n"/>
      <c r="D424" s="37" t="n"/>
      <c r="E424" s="37" t="n"/>
    </row>
    <row r="425">
      <c r="A425" s="41" t="n"/>
      <c r="B425" s="37" t="n"/>
      <c r="C425" s="37" t="n"/>
      <c r="D425" s="37" t="n"/>
      <c r="E425" s="37" t="n"/>
    </row>
    <row r="426">
      <c r="A426" s="41" t="n"/>
      <c r="B426" s="37" t="n"/>
      <c r="C426" s="37" t="n"/>
      <c r="D426" s="37" t="n"/>
      <c r="E426" s="37" t="n"/>
    </row>
    <row r="427">
      <c r="A427" s="41" t="n"/>
      <c r="B427" s="37" t="n"/>
      <c r="C427" s="37" t="n"/>
      <c r="D427" s="37" t="n"/>
      <c r="E427" s="37" t="n"/>
    </row>
    <row r="428">
      <c r="A428" s="41" t="n"/>
      <c r="B428" s="37" t="n"/>
      <c r="C428" s="37" t="n"/>
      <c r="D428" s="37" t="n"/>
      <c r="E428" s="37" t="n"/>
    </row>
    <row r="429">
      <c r="A429" s="41" t="n"/>
      <c r="B429" s="37" t="n"/>
      <c r="C429" s="37" t="n"/>
      <c r="D429" s="37" t="n"/>
      <c r="E429" s="37" t="n"/>
    </row>
    <row r="430">
      <c r="A430" s="41" t="n"/>
      <c r="B430" s="37" t="n"/>
      <c r="C430" s="37" t="n"/>
      <c r="D430" s="37" t="n"/>
      <c r="E430" s="37" t="n"/>
    </row>
    <row r="431">
      <c r="A431" s="41" t="n"/>
      <c r="B431" s="37" t="n"/>
      <c r="C431" s="37" t="n"/>
      <c r="D431" s="37" t="n"/>
      <c r="E431" s="37" t="n"/>
    </row>
    <row r="432">
      <c r="A432" s="41" t="n"/>
      <c r="B432" s="37" t="n"/>
      <c r="C432" s="37" t="n"/>
      <c r="D432" s="37" t="n"/>
      <c r="E432" s="37" t="n"/>
    </row>
    <row r="433">
      <c r="A433" s="41" t="n"/>
      <c r="B433" s="37" t="n"/>
      <c r="C433" s="37" t="n"/>
      <c r="D433" s="37" t="n"/>
      <c r="E433" s="37" t="n"/>
    </row>
    <row r="434">
      <c r="A434" s="41" t="n"/>
      <c r="B434" s="37" t="n"/>
      <c r="C434" s="37" t="n"/>
      <c r="D434" s="37" t="n"/>
      <c r="E434" s="37" t="n"/>
    </row>
    <row r="435">
      <c r="A435" s="41" t="n"/>
      <c r="B435" s="37" t="n"/>
      <c r="C435" s="37" t="n"/>
      <c r="D435" s="37" t="n"/>
      <c r="E435" s="37" t="n"/>
    </row>
    <row r="436">
      <c r="A436" s="41" t="n"/>
      <c r="B436" s="37" t="n"/>
      <c r="C436" s="37" t="n"/>
      <c r="D436" s="37" t="n"/>
      <c r="E436" s="37" t="n"/>
    </row>
    <row r="437">
      <c r="A437" s="41" t="n"/>
      <c r="B437" s="37" t="n"/>
      <c r="C437" s="37" t="n"/>
      <c r="D437" s="37" t="n"/>
      <c r="E437" s="37" t="n"/>
    </row>
    <row r="438">
      <c r="A438" s="41" t="n"/>
      <c r="B438" s="37" t="n"/>
      <c r="C438" s="37" t="n"/>
      <c r="D438" s="37" t="n"/>
      <c r="E438" s="37" t="n"/>
    </row>
    <row r="439">
      <c r="A439" s="41" t="n"/>
      <c r="B439" s="37" t="n"/>
      <c r="C439" s="37" t="n"/>
      <c r="D439" s="37" t="n"/>
      <c r="E439" s="37" t="n"/>
    </row>
    <row r="440">
      <c r="A440" s="41" t="n"/>
      <c r="B440" s="37" t="n"/>
      <c r="C440" s="37" t="n"/>
      <c r="D440" s="37" t="n"/>
      <c r="E440" s="37" t="n"/>
    </row>
    <row r="441">
      <c r="A441" s="41" t="n"/>
      <c r="B441" s="37" t="n"/>
      <c r="C441" s="37" t="n"/>
      <c r="D441" s="37" t="n"/>
      <c r="E441" s="37" t="n"/>
    </row>
    <row r="442">
      <c r="A442" s="41" t="n"/>
      <c r="B442" s="37" t="n"/>
      <c r="C442" s="37" t="n"/>
      <c r="D442" s="37" t="n"/>
      <c r="E442" s="37" t="n"/>
    </row>
    <row r="443">
      <c r="A443" s="41" t="n"/>
      <c r="B443" s="37" t="n"/>
      <c r="C443" s="37" t="n"/>
      <c r="D443" s="37" t="n"/>
      <c r="E443" s="37" t="n"/>
    </row>
    <row r="444">
      <c r="A444" s="41" t="n"/>
      <c r="B444" s="37" t="n"/>
      <c r="C444" s="37" t="n"/>
      <c r="D444" s="37" t="n"/>
      <c r="E444" s="37" t="n"/>
    </row>
    <row r="445">
      <c r="A445" s="41" t="n"/>
      <c r="B445" s="37" t="n"/>
      <c r="C445" s="37" t="n"/>
      <c r="D445" s="37" t="n"/>
      <c r="E445" s="37" t="n"/>
    </row>
    <row r="446">
      <c r="A446" s="41" t="n"/>
      <c r="B446" s="37" t="n"/>
      <c r="C446" s="37" t="n"/>
      <c r="D446" s="37" t="n"/>
      <c r="E446" s="37" t="n"/>
    </row>
    <row r="447">
      <c r="A447" s="41" t="n"/>
      <c r="B447" s="37" t="n"/>
      <c r="C447" s="37" t="n"/>
      <c r="D447" s="37" t="n"/>
      <c r="E447" s="37" t="n"/>
    </row>
    <row r="448">
      <c r="A448" s="41" t="n"/>
      <c r="B448" s="37" t="n"/>
      <c r="C448" s="37" t="n"/>
      <c r="D448" s="37" t="n"/>
      <c r="E448" s="37" t="n"/>
    </row>
    <row r="449">
      <c r="A449" s="41" t="n"/>
      <c r="B449" s="37" t="n"/>
      <c r="C449" s="37" t="n"/>
      <c r="D449" s="37" t="n"/>
      <c r="E449" s="37" t="n"/>
    </row>
    <row r="450">
      <c r="A450" s="41" t="n"/>
      <c r="B450" s="37" t="n"/>
      <c r="C450" s="37" t="n"/>
      <c r="D450" s="37" t="n"/>
      <c r="E450" s="37" t="n"/>
    </row>
    <row r="451">
      <c r="A451" s="41" t="n"/>
      <c r="B451" s="37" t="n"/>
      <c r="C451" s="37" t="n"/>
      <c r="D451" s="37" t="n"/>
      <c r="E451" s="37" t="n"/>
    </row>
    <row r="452">
      <c r="A452" s="41" t="n"/>
      <c r="B452" s="37" t="n"/>
      <c r="C452" s="37" t="n"/>
      <c r="D452" s="37" t="n"/>
      <c r="E452" s="37" t="n"/>
    </row>
    <row r="453">
      <c r="A453" s="41" t="n"/>
      <c r="B453" s="37" t="n"/>
      <c r="C453" s="37" t="n"/>
      <c r="D453" s="37" t="n"/>
      <c r="E453" s="37" t="n"/>
    </row>
    <row r="454">
      <c r="A454" s="41" t="n"/>
      <c r="B454" s="37" t="n"/>
      <c r="C454" s="37" t="n"/>
      <c r="D454" s="37" t="n"/>
      <c r="E454" s="37" t="n"/>
    </row>
    <row r="455">
      <c r="A455" s="41" t="n"/>
      <c r="B455" s="37" t="n"/>
      <c r="C455" s="37" t="n"/>
      <c r="D455" s="37" t="n"/>
      <c r="E455" s="37" t="n"/>
    </row>
    <row r="456">
      <c r="A456" s="41" t="n"/>
      <c r="B456" s="37" t="n"/>
      <c r="C456" s="37" t="n"/>
      <c r="D456" s="37" t="n"/>
      <c r="E456" s="37" t="n"/>
    </row>
    <row r="457">
      <c r="A457" s="41" t="n"/>
      <c r="B457" s="37" t="n"/>
      <c r="C457" s="37" t="n"/>
      <c r="D457" s="37" t="n"/>
      <c r="E457" s="37" t="n"/>
    </row>
    <row r="458">
      <c r="A458" s="41" t="n"/>
      <c r="B458" s="37" t="n"/>
      <c r="C458" s="37" t="n"/>
      <c r="D458" s="37" t="n"/>
      <c r="E458" s="37" t="n"/>
    </row>
    <row r="459">
      <c r="A459" s="41" t="n"/>
      <c r="B459" s="37" t="n"/>
      <c r="C459" s="37" t="n"/>
      <c r="D459" s="37" t="n"/>
      <c r="E459" s="37" t="n"/>
    </row>
    <row r="460">
      <c r="A460" s="41" t="n"/>
      <c r="B460" s="37" t="n"/>
      <c r="C460" s="37" t="n"/>
      <c r="D460" s="37" t="n"/>
      <c r="E460" s="37" t="n"/>
    </row>
    <row r="461">
      <c r="A461" s="41" t="n"/>
      <c r="B461" s="37" t="n"/>
      <c r="C461" s="37" t="n"/>
      <c r="D461" s="37" t="n"/>
      <c r="E461" s="37" t="n"/>
    </row>
    <row r="462">
      <c r="A462" s="41" t="n"/>
      <c r="B462" s="37" t="n"/>
      <c r="C462" s="37" t="n"/>
      <c r="D462" s="37" t="n"/>
      <c r="E462" s="37" t="n"/>
    </row>
    <row r="463">
      <c r="A463" s="41" t="n"/>
      <c r="B463" s="37" t="n"/>
      <c r="C463" s="37" t="n"/>
      <c r="D463" s="37" t="n"/>
      <c r="E463" s="37" t="n"/>
    </row>
    <row r="464">
      <c r="A464" s="41" t="n"/>
      <c r="B464" s="37" t="n"/>
      <c r="C464" s="37" t="n"/>
      <c r="D464" s="37" t="n"/>
      <c r="E464" s="37" t="n"/>
    </row>
    <row r="465">
      <c r="A465" s="41" t="n"/>
      <c r="B465" s="37" t="n"/>
      <c r="C465" s="37" t="n"/>
      <c r="D465" s="37" t="n"/>
      <c r="E465" s="37" t="n"/>
    </row>
    <row r="466">
      <c r="A466" s="41" t="n"/>
      <c r="B466" s="37" t="n"/>
      <c r="C466" s="37" t="n"/>
      <c r="D466" s="37" t="n"/>
      <c r="E466" s="37" t="n"/>
    </row>
    <row r="467">
      <c r="A467" s="41" t="n"/>
      <c r="B467" s="37" t="n"/>
      <c r="C467" s="37" t="n"/>
      <c r="D467" s="37" t="n"/>
      <c r="E467" s="37" t="n"/>
    </row>
    <row r="468">
      <c r="A468" s="41" t="n"/>
      <c r="B468" s="37" t="n"/>
      <c r="C468" s="37" t="n"/>
      <c r="D468" s="37" t="n"/>
      <c r="E468" s="37" t="n"/>
    </row>
    <row r="469">
      <c r="A469" s="41" t="n"/>
      <c r="B469" s="37" t="n"/>
      <c r="C469" s="37" t="n"/>
      <c r="D469" s="37" t="n"/>
      <c r="E469" s="37" t="n"/>
    </row>
    <row r="470">
      <c r="A470" s="41" t="n"/>
      <c r="B470" s="37" t="n"/>
      <c r="C470" s="37" t="n"/>
      <c r="D470" s="37" t="n"/>
      <c r="E470" s="37" t="n"/>
    </row>
    <row r="471">
      <c r="A471" s="41" t="n"/>
      <c r="B471" s="37" t="n"/>
      <c r="C471" s="37" t="n"/>
      <c r="D471" s="37" t="n"/>
      <c r="E471" s="37" t="n"/>
    </row>
    <row r="472">
      <c r="A472" s="41" t="n"/>
      <c r="B472" s="37" t="n"/>
      <c r="C472" s="37" t="n"/>
      <c r="D472" s="37" t="n"/>
      <c r="E472" s="37" t="n"/>
    </row>
    <row r="473">
      <c r="A473" s="41" t="n"/>
      <c r="B473" s="37" t="n"/>
      <c r="C473" s="37" t="n"/>
      <c r="D473" s="37" t="n"/>
      <c r="E473" s="37" t="n"/>
    </row>
    <row r="474">
      <c r="A474" s="41" t="n"/>
      <c r="B474" s="37" t="n"/>
      <c r="C474" s="37" t="n"/>
      <c r="D474" s="37" t="n"/>
      <c r="E474" s="37" t="n"/>
    </row>
    <row r="475">
      <c r="A475" s="41" t="n"/>
      <c r="B475" s="37" t="n"/>
      <c r="C475" s="37" t="n"/>
      <c r="D475" s="37" t="n"/>
      <c r="E475" s="37" t="n"/>
    </row>
    <row r="476">
      <c r="A476" s="41" t="n"/>
      <c r="B476" s="37" t="n"/>
      <c r="C476" s="37" t="n"/>
      <c r="D476" s="37" t="n"/>
      <c r="E476" s="37" t="n"/>
    </row>
    <row r="477">
      <c r="A477" s="41" t="n"/>
      <c r="B477" s="37" t="n"/>
      <c r="C477" s="37" t="n"/>
      <c r="D477" s="37" t="n"/>
      <c r="E477" s="37" t="n"/>
    </row>
    <row r="478">
      <c r="A478" s="41" t="n"/>
      <c r="B478" s="37" t="n"/>
      <c r="C478" s="37" t="n"/>
      <c r="D478" s="37" t="n"/>
      <c r="E478" s="37" t="n"/>
    </row>
    <row r="479">
      <c r="A479" s="41" t="n"/>
      <c r="B479" s="37" t="n"/>
      <c r="C479" s="37" t="n"/>
      <c r="D479" s="37" t="n"/>
      <c r="E479" s="37" t="n"/>
    </row>
    <row r="480">
      <c r="A480" s="41" t="n"/>
      <c r="B480" s="37" t="n"/>
      <c r="C480" s="37" t="n"/>
      <c r="D480" s="37" t="n"/>
      <c r="E480" s="37" t="n"/>
    </row>
    <row r="481">
      <c r="A481" s="41" t="n"/>
      <c r="B481" s="37" t="n"/>
      <c r="C481" s="37" t="n"/>
      <c r="D481" s="37" t="n"/>
      <c r="E481" s="37" t="n"/>
    </row>
    <row r="482">
      <c r="A482" s="41" t="n"/>
      <c r="B482" s="37" t="n"/>
      <c r="C482" s="37" t="n"/>
      <c r="D482" s="37" t="n"/>
      <c r="E482" s="37" t="n"/>
    </row>
    <row r="483">
      <c r="A483" s="41" t="n"/>
      <c r="B483" s="37" t="n"/>
      <c r="C483" s="37" t="n"/>
      <c r="D483" s="37" t="n"/>
      <c r="E483" s="37" t="n"/>
    </row>
    <row r="484">
      <c r="A484" s="41" t="n"/>
      <c r="B484" s="37" t="n"/>
      <c r="C484" s="37" t="n"/>
      <c r="D484" s="37" t="n"/>
      <c r="E484" s="37" t="n"/>
    </row>
    <row r="485">
      <c r="A485" s="41" t="n"/>
      <c r="B485" s="37" t="n"/>
      <c r="C485" s="37" t="n"/>
      <c r="D485" s="37" t="n"/>
      <c r="E485" s="37" t="n"/>
    </row>
    <row r="486">
      <c r="A486" s="41" t="n"/>
      <c r="B486" s="37" t="n"/>
      <c r="C486" s="37" t="n"/>
      <c r="D486" s="37" t="n"/>
      <c r="E486" s="37" t="n"/>
    </row>
    <row r="487">
      <c r="A487" s="41" t="n"/>
      <c r="B487" s="37" t="n"/>
      <c r="C487" s="37" t="n"/>
      <c r="D487" s="37" t="n"/>
      <c r="E487" s="37" t="n"/>
    </row>
    <row r="488">
      <c r="A488" s="41" t="n"/>
      <c r="B488" s="37" t="n"/>
      <c r="C488" s="37" t="n"/>
      <c r="D488" s="37" t="n"/>
      <c r="E488" s="37" t="n"/>
    </row>
    <row r="489">
      <c r="A489" s="41" t="n"/>
      <c r="B489" s="37" t="n"/>
      <c r="C489" s="37" t="n"/>
      <c r="D489" s="37" t="n"/>
      <c r="E489" s="37" t="n"/>
    </row>
    <row r="490">
      <c r="A490" s="41" t="n"/>
      <c r="B490" s="37" t="n"/>
      <c r="C490" s="37" t="n"/>
      <c r="D490" s="37" t="n"/>
      <c r="E490" s="37" t="n"/>
    </row>
    <row r="491">
      <c r="A491" s="41" t="n"/>
      <c r="B491" s="37" t="n"/>
      <c r="C491" s="37" t="n"/>
      <c r="D491" s="37" t="n"/>
      <c r="E491" s="37" t="n"/>
    </row>
    <row r="492">
      <c r="A492" s="41" t="n"/>
      <c r="B492" s="37" t="n"/>
      <c r="C492" s="37" t="n"/>
      <c r="D492" s="37" t="n"/>
      <c r="E492" s="37" t="n"/>
    </row>
    <row r="493">
      <c r="A493" s="41" t="n"/>
      <c r="B493" s="37" t="n"/>
      <c r="C493" s="37" t="n"/>
      <c r="D493" s="37" t="n"/>
      <c r="E493" s="37" t="n"/>
    </row>
    <row r="494">
      <c r="A494" s="41" t="n"/>
      <c r="B494" s="37" t="n"/>
      <c r="C494" s="37" t="n"/>
      <c r="D494" s="37" t="n"/>
      <c r="E494" s="37" t="n"/>
    </row>
    <row r="495">
      <c r="A495" s="41" t="n"/>
      <c r="B495" s="37" t="n"/>
      <c r="C495" s="37" t="n"/>
      <c r="D495" s="37" t="n"/>
      <c r="E495" s="37" t="n"/>
    </row>
    <row r="496">
      <c r="A496" s="41" t="n"/>
      <c r="B496" s="37" t="n"/>
      <c r="C496" s="37" t="n"/>
      <c r="D496" s="37" t="n"/>
      <c r="E496" s="37" t="n"/>
    </row>
    <row r="497">
      <c r="A497" s="41" t="n"/>
      <c r="B497" s="37" t="n"/>
      <c r="C497" s="37" t="n"/>
      <c r="D497" s="37" t="n"/>
      <c r="E497" s="37" t="n"/>
    </row>
    <row r="498">
      <c r="A498" s="41" t="n"/>
      <c r="B498" s="37" t="n"/>
      <c r="C498" s="37" t="n"/>
      <c r="D498" s="37" t="n"/>
      <c r="E498" s="37" t="n"/>
    </row>
    <row r="499">
      <c r="A499" s="41" t="n"/>
      <c r="B499" s="37" t="n"/>
      <c r="C499" s="37" t="n"/>
      <c r="D499" s="37" t="n"/>
      <c r="E499" s="37" t="n"/>
    </row>
    <row r="500">
      <c r="A500" s="41" t="n"/>
      <c r="B500" s="37" t="n"/>
      <c r="C500" s="37" t="n"/>
      <c r="D500" s="37" t="n"/>
      <c r="E500" s="37" t="n"/>
    </row>
    <row r="501">
      <c r="A501" s="41" t="n"/>
      <c r="B501" s="37" t="n"/>
      <c r="C501" s="37" t="n"/>
      <c r="D501" s="37" t="n"/>
      <c r="E501" s="37" t="n"/>
    </row>
    <row r="502">
      <c r="A502" s="41" t="n"/>
      <c r="B502" s="37" t="n"/>
      <c r="C502" s="37" t="n"/>
      <c r="D502" s="37" t="n"/>
      <c r="E502" s="37" t="n"/>
    </row>
    <row r="503">
      <c r="A503" s="41" t="n"/>
      <c r="B503" s="37" t="n"/>
      <c r="C503" s="37" t="n"/>
      <c r="D503" s="37" t="n"/>
      <c r="E503" s="37" t="n"/>
    </row>
    <row r="504">
      <c r="A504" s="41" t="n"/>
      <c r="B504" s="37" t="n"/>
      <c r="C504" s="37" t="n"/>
      <c r="D504" s="37" t="n"/>
      <c r="E504" s="37" t="n"/>
    </row>
  </sheetData>
  <conditionalFormatting sqref="A5:E504">
    <cfRule type="expression" priority="1" dxfId="5" stopIfTrue="0">
      <formula>MOD(ROW(),2)=0</formula>
    </cfRule>
  </conditionalFormatting>
  <dataValidations count="3">
    <dataValidation sqref="C5:C504" showDropDown="0" showInputMessage="0" showErrorMessage="1" allowBlank="1" errorTitle="Giá trị không hợp lệ" error="Hãy chọn từ danh sách (hoặc thêm vào bảng nguồn trước)." type="list" errorStyle="warning">
      <formula1>lstCategories</formula1>
    </dataValidation>
    <dataValidation sqref="A5:A504" showDropDown="0" showInputMessage="0" showErrorMessage="1" allowBlank="1" errorTitle="Dữ liệu" error="MCC gồm 4 chữ số" type="whole" operator="between">
      <formula1>1000</formula1>
      <formula2>9999</formula2>
    </dataValidation>
    <dataValidation sqref="A5:A504" showDropDown="0" showInputMessage="0" showErrorMessage="1" allowBlank="1" error="MCC này đã tồn tại." type="custom">
      <formula1>COUNTIF($A$5:$A$504,A5)=1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E58FB0"/>
    <outlinePr summaryBelow="1" summaryRight="1"/>
    <pageSetUpPr/>
  </sheetPr>
  <dimension ref="A1:AN120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14" customWidth="1" min="4" max="4"/>
    <col width="13" customWidth="1" min="5" max="5"/>
    <col width="20" customWidth="1" min="6" max="6"/>
    <col width="24" customWidth="1" min="7" max="7"/>
    <col width="24" customWidth="1" min="8" max="8"/>
    <col width="8" customWidth="1" min="9" max="9"/>
    <col width="28" customWidth="1" min="10" max="10"/>
    <col width="18" customWidth="1" min="11" max="11"/>
    <col width="15" customWidth="1" min="12" max="12"/>
    <col width="15" customWidth="1" min="13" max="13"/>
    <col width="10" customWidth="1" min="14" max="14"/>
    <col width="14" customWidth="1" min="15" max="15"/>
    <col width="13" customWidth="1" min="16" max="16"/>
    <col width="14" customWidth="1" min="17" max="17"/>
    <col width="14" customWidth="1" min="18" max="18"/>
    <col width="11" customWidth="1" min="19" max="19"/>
    <col width="12" customWidth="1" min="20" max="20"/>
    <col width="11" customWidth="1" min="21" max="21"/>
    <col width="26" customWidth="1" min="22" max="22"/>
    <col width="11" customWidth="1" min="23" max="23"/>
    <col width="15" customWidth="1" min="24" max="24"/>
    <col width="10" customWidth="1" min="25" max="25"/>
    <col width="14" customWidth="1" min="26" max="26"/>
    <col width="13" customWidth="1" min="27" max="27"/>
    <col width="16" customWidth="1" min="28" max="28"/>
    <col hidden="1" outlineLevel="1" width="8" customWidth="1" min="29" max="40"/>
  </cols>
  <sheetData>
    <row r="1" ht="30" customHeight="1">
      <c r="A1" s="33" t="inlineStr">
        <is>
          <t>🧾 TRANSACTIONS_MASTER — database giao dịch (nơi DUY NHẤT để nhập giao dịch)</t>
        </is>
      </c>
    </row>
    <row r="2">
      <c r="A2" s="5" t="inlineStr">
        <is>
          <t>Nhập theo thứ tự thời gian, không Sort (Filter thoải mái). Các cột xám tự tính: rule, rate, cap nhóm, cap thẻ, cashback thực nhận, sao kê…</t>
        </is>
      </c>
    </row>
    <row r="3">
      <c r="A3" s="34" t="inlineStr">
        <is>
          <t>⚠ SAMPLE DATA — có thể xóa  ·  ✎ ô chữ xanh = nhập liệu  ·  ⚙ ô nền xám = tự động (không sửa)</t>
        </is>
      </c>
    </row>
    <row r="4" ht="34" customHeight="1">
      <c r="A4" s="21" t="inlineStr">
        <is>
          <t>Transaction ID</t>
        </is>
      </c>
      <c r="B4" s="35" t="inlineStr">
        <is>
          <t>Date</t>
        </is>
      </c>
      <c r="C4" s="21" t="inlineStr">
        <is>
          <t>Month</t>
        </is>
      </c>
      <c r="D4" s="35" t="inlineStr">
        <is>
          <t>Card ID</t>
        </is>
      </c>
      <c r="E4" s="21" t="inlineStr">
        <is>
          <t>Bank</t>
        </is>
      </c>
      <c r="F4" s="21" t="inlineStr">
        <is>
          <t>Card Name</t>
        </is>
      </c>
      <c r="G4" s="35" t="inlineStr">
        <is>
          <t>Merchant</t>
        </is>
      </c>
      <c r="H4" s="35" t="inlineStr">
        <is>
          <t>Description</t>
        </is>
      </c>
      <c r="I4" s="35" t="inlineStr">
        <is>
          <t>MCC</t>
        </is>
      </c>
      <c r="J4" s="21" t="inlineStr">
        <is>
          <t>MCC Name</t>
        </is>
      </c>
      <c r="K4" s="21" t="inlineStr">
        <is>
          <t>Category</t>
        </is>
      </c>
      <c r="L4" s="35" t="inlineStr">
        <is>
          <t>Amount</t>
        </is>
      </c>
      <c r="M4" s="21" t="inlineStr">
        <is>
          <t>Eligible Cashback</t>
        </is>
      </c>
      <c r="N4" s="21" t="inlineStr">
        <is>
          <t>Cashback Rate</t>
        </is>
      </c>
      <c r="O4" s="21" t="inlineStr">
        <is>
          <t>Calculated Cashback</t>
        </is>
      </c>
      <c r="P4" s="21" t="inlineStr">
        <is>
          <t>Cashback Cap</t>
        </is>
      </c>
      <c r="Q4" s="21" t="inlineStr">
        <is>
          <t>Actual Cashback</t>
        </is>
      </c>
      <c r="R4" s="21" t="inlineStr">
        <is>
          <t>Remaining Cashback Cap</t>
        </is>
      </c>
      <c r="S4" s="21" t="inlineStr">
        <is>
          <t>Statement Month</t>
        </is>
      </c>
      <c r="T4" s="21" t="inlineStr">
        <is>
          <t>Payment Date</t>
        </is>
      </c>
      <c r="U4" s="35" t="inlineStr">
        <is>
          <t>Status</t>
        </is>
      </c>
      <c r="V4" s="35" t="inlineStr">
        <is>
          <t>Notes</t>
        </is>
      </c>
      <c r="W4" s="35" t="inlineStr">
        <is>
          <t>Rule ID (tùy chọn)</t>
        </is>
      </c>
      <c r="X4" s="35" t="inlineStr">
        <is>
          <t>Payment Status</t>
        </is>
      </c>
      <c r="Y4" s="21" t="inlineStr">
        <is>
          <t>Rule ID áp dụng</t>
        </is>
      </c>
      <c r="Z4" s="21" t="inlineStr">
        <is>
          <t>Nhóm cashback</t>
        </is>
      </c>
      <c r="AA4" s="21" t="inlineStr">
        <is>
          <t>Cap thẻ / tháng</t>
        </is>
      </c>
      <c r="AB4" s="21" t="inlineStr">
        <is>
          <t>Trạng thái hoàn</t>
        </is>
      </c>
      <c r="AC4" s="36" t="inlineStr">
        <is>
          <t>Rule row (helper)</t>
        </is>
      </c>
      <c r="AD4" s="36" t="inlineStr">
        <is>
          <t>Ngày sao kê (helper)</t>
        </is>
      </c>
      <c r="AE4" s="36" t="inlineStr">
        <is>
          <t>Month key (helper)</t>
        </is>
      </c>
      <c r="AF4" s="36" t="inlineStr">
        <is>
          <t>Đã hoàn nhóm trước (helper)</t>
        </is>
      </c>
      <c r="AG4" s="36" t="inlineStr">
        <is>
          <t>Đã hoàn thẻ trước (helper)</t>
        </is>
      </c>
      <c r="AH4" s="36" t="inlineStr">
        <is>
          <t>Eligible nhóm trước (helper)</t>
        </is>
      </c>
      <c r="AI4" s="36" t="inlineStr">
        <is>
          <t>MCC flag (helper)</t>
        </is>
      </c>
      <c r="AJ4" s="36" t="inlineStr">
        <is>
          <t>MCC seq (helper)</t>
        </is>
      </c>
      <c r="AK4" s="36" t="inlineStr">
        <is>
          <t>Category flag (helper)</t>
        </is>
      </c>
      <c r="AL4" s="36" t="inlineStr">
        <is>
          <t>Category seq (helper)</t>
        </is>
      </c>
      <c r="AM4" s="36" t="inlineStr">
        <is>
          <t>Merchant flag (helper)</t>
        </is>
      </c>
      <c r="AN4" s="36" t="inlineStr">
        <is>
          <t>Merchant seq (helper)</t>
        </is>
      </c>
    </row>
    <row r="5">
      <c r="A5" s="44" t="str">
        <f>IF(OR($B5="",$D5=""),"","TX"&amp;TEXT(ROW()-4,"0000"))</f>
        <v>TX0001</v>
      </c>
      <c r="B5" s="42" t="n">
        <v>46268</v>
      </c>
      <c r="C5" s="47">
        <f>IF($B5="","",YEAR($B5)*100+MONTH($B5))</f>
        <v>202609</v>
      </c>
      <c r="D5" s="37" t="inlineStr">
        <is>
          <t>VPB-JCBZ</t>
        </is>
      </c>
      <c r="E5" s="45" t="str">
        <f>IF($D5="","",IFERROR(INDEX(CARDS!$B$5:$B$34,MATCH($D5,CARDS!$A$5:$A$34,0)),"⚠ Card ID?"))</f>
        <v>VPBank</v>
      </c>
      <c r="F5" s="45" t="str">
        <f>IF($D5="","",IFERROR(INDEX(CARDS!$C$5:$C$34,MATCH($D5,CARDS!$A$5:$A$34,0)),"⚠ Card ID?"))</f>
        <v>JCB Z Card</v>
      </c>
      <c r="G5" s="37" t="inlineStr">
        <is>
          <t>Highlands Coffee</t>
        </is>
      </c>
      <c r="H5" s="37" t="inlineStr">
        <is>
          <t>Cà phê</t>
        </is>
      </c>
      <c r="I5" s="41" t="n">
        <v>5814</v>
      </c>
      <c r="J5" s="45" t="str">
        <f>IF($I5="","",IFERROR(INDEX(MCC_MASTER!$B$5:$B$504,MATCH($I5,MCC_MASTER!$A$5:$A$504,0)),"⚠ MCC chưa có"))</f>
        <v>Fast Food Restaurants</v>
      </c>
      <c r="K5" s="45" t="str">
        <f>IF($I5="","",IFERROR(IF(INDEX(MCC_MASTER!$C$5:$C$504,MATCH($I5,MCC_MASTER!$A$5:$A$504,0))="","Chưa phân loại",INDEX(MCC_MASTER!$C$5:$C$504,MATCH($I5,MCC_MASTER!$A$5:$A$504,0))),"Chưa phân loại"))</f>
        <v>Dining</v>
      </c>
      <c r="L5" s="40" t="n">
        <v>150000</v>
      </c>
      <c r="M5" s="48">
        <f>IF(OR($B5="",$D5=""),"",IF($AC5=0,0,IF(ISNUMBER(INDEX(CASHBACK_RULES!$L$5:$L$304,$AC5)),MAX(0,MIN($L5,INDEX(CASHBACK_RULES!$L$5:$L$304,$AC5)-$AH5)),MAX(0,$L5))))</f>
        <v>150000</v>
      </c>
      <c r="N5" s="49">
        <f>IF(OR($B5="",$D5=""),"",IF($AC5&gt;0,INDEX(CASHBACK_RULES!$I$5:$I$304,$AC5),0))</f>
        <v>0.15</v>
      </c>
      <c r="O5" s="48">
        <f>IF(OR($B5="",$D5=""),"",ROUND($M5*$N5,0))</f>
        <v>22500</v>
      </c>
      <c r="P5" s="48">
        <f>IF($AC5&gt;0,IF(ISNUMBER(INDEX(CASHBACK_RULES!$J$5:$J$304,$AC5)),INDEX(CASHBACK_RULES!$J$5:$J$304,$AC5),"∞"),"")</f>
        <v>500000</v>
      </c>
      <c r="Q5" s="48">
        <f>IF(OR($B5="",$D5=""),"",IF($AC5=0,0,MAX(0,MIN($O5,IF(ISNUMBER($P5),$P5-$AF5,1E+15),IF(ISNUMBER($AA5),$AA5-$AG5,1E+15)))))</f>
        <v>22500</v>
      </c>
      <c r="R5" s="48">
        <f>IF(OR($B5="",$D5=""),"",IF($AC5=0,"",IF(AND(NOT(ISNUMBER($P5)),NOT(ISNUMBER($AA5))),"∞",MAX(0,MIN(IF(ISNUMBER($P5),$P5-$AF5-$Q5,1E+15),IF(ISNUMBER($AA5),$AA5-$AG5-$Q5,1E+15))))))</f>
        <v>477500</v>
      </c>
      <c r="S5" s="47">
        <f>IF($AD5="","",YEAR($AD5)*100+MONTH($AD5))</f>
        <v>202609</v>
      </c>
      <c r="T5" s="50">
        <f>IF($AD5="","",IFERROR(IF(INDEX(CARDS!$I$5:$I$34,MATCH($D5,CARDS!$A$5:$A$34,0))="","",IF(INDEX(CARDS!$I$5:$I$34,MATCH($D5,CARDS!$A$5:$A$34,0))&gt;INDEX(CARDS!$H$5:$H$34,MATCH($D5,CARDS!$A$5:$A$34,0)),DATE(YEAR($AD5),MONTH($AD5),MIN(INDEX(CARDS!$I$5:$I$34,MATCH($D5,CARDS!$A$5:$A$34,0)),DAY(EOMONTH($AD5,0)))),DATE(YEAR($AD5),MONTH($AD5)+1,MIN(INDEX(CARDS!$I$5:$I$34,MATCH($D5,CARDS!$A$5:$A$34,0)),DAY(EOMONTH($AD5,1)))))),""))</f>
        <v>46310.0</v>
      </c>
      <c r="U5" s="38" t="inlineStr">
        <is>
          <t>Posted</t>
        </is>
      </c>
      <c r="V5" s="37" t="inlineStr">
        <is>
          <t>SAMPLE DATA — có thể xóa</t>
        </is>
      </c>
      <c r="W5" s="38" t="n"/>
      <c r="X5" s="38" t="inlineStr">
        <is>
          <t>Đã thanh toán</t>
        </is>
      </c>
      <c r="Y5" s="44" t="str">
        <f>IF($AC5&gt;0,INDEX(CASHBACK_RULES!$A$5:$A$304,$AC5),"")</f>
        <v>R004</v>
      </c>
      <c r="Z5" s="45" t="str">
        <f>IF($AC5&gt;0,INDEX(CASHBACK_RULES!$E$5:$E$304,$AC5)&amp;"","")</f>
        <v>Group 1</v>
      </c>
      <c r="AA5" s="48">
        <f>IF($AC5&gt;0,IF(ISNUMBER(INDEX(CASHBACK_RULES!$K$5:$K$304,$AC5)),INDEX(CASHBACK_RULES!$K$5:$K$304,$AC5),"∞"),"")</f>
        <v>1000000</v>
      </c>
      <c r="AB5" s="44" t="str">
        <f>IF(OR($B5="",$D5=""),"",IF($U5="Cancelled","Đã hủy",IF($AC5=0,"Không được hoàn",IF($Q5=0,IF(OR($O5&gt;0,$M5&lt;$L5),"Đã đạt cap","Không được hoàn"),IF(OR($Q5&lt;$O5,$M5&lt;$L5),"Hoàn một phần","Được hoàn")))))</f>
        <v>Được hoàn</v>
      </c>
      <c r="AC5" s="43">
        <f>IF(OR($B5="",$D5="",$I5="",$L5=""),0,IF($U5="Cancelled",0,IF($W5&lt;&gt;"",IFERROR(IF(INDEX(CASHBACK_RULES!$B$5:$B$304,MATCH($W5,CASHBACK_RULES!$A$5:$A$304,0))=$D5,MATCH($W5,CASHBACK_RULES!$A$5:$A$304,0),0),0),IFERROR(MATCH(1,INDEX((CASHBACK_RULES!$B$5:$B$304=$D5)*(CASHBACK_RULES!$G$5:$G$304=$I5)*(((CASHBACK_RULES!$N$5:$N$304="")+(CASHBACK_RULES!$N$5:$N$304&lt;=$B5))&gt;0)*(((CASHBACK_RULES!$O$5:$O$304="")+(CASHBACK_RULES!$O$5:$O$304&gt;=$B5))&gt;0)*(((CASHBACK_RULES!$M$5:$M$304="")+(CASHBACK_RULES!$M$5:$M$304&lt;=$L5))&gt;0),0),0),0))))</f>
        <v>4</v>
      </c>
      <c r="AD5" s="51">
        <f>IF(OR($B5="",$D5=""),"",IFERROR(IF(INDEX(CARDS!$H$5:$H$34,MATCH($D5,CARDS!$A$5:$A$34,0))="","",IF(DAY($B5)&lt;=INDEX(CARDS!$H$5:$H$34,MATCH($D5,CARDS!$A$5:$A$34,0)),DATE(YEAR($B5),MONTH($B5),MIN(INDEX(CARDS!$H$5:$H$34,MATCH($D5,CARDS!$A$5:$A$34,0)),DAY(EOMONTH($B5,0)))),DATE(YEAR($B5),MONTH($B5)+1,MIN(INDEX(CARDS!$H$5:$H$34,MATCH($D5,CARDS!$A$5:$A$34,0)),DAY(EOMONTH($B5,1)))))),""))</f>
        <v>46290.0</v>
      </c>
      <c r="AE5" s="52" t="str">
        <f>IF($C5="","",$C5&amp;"|"&amp;COUNTIF($C$5:$C5,$C5))</f>
        <v>202609|1</v>
      </c>
      <c r="AF5" s="53">
        <f>IF($AC5&gt;0,SUMIFS(Q$4:Q4,$D$4:$D4,$D5,$Z$4:$Z4,$Z5,$C$4:$C4,$C5),0)</f>
        <v>0</v>
      </c>
      <c r="AG5" s="53">
        <f>IF($AC5&gt;0,SUMIFS(Q$4:Q4,$D$4:$D4,$D5,$C$4:$C4,$C5),0)</f>
        <v>0</v>
      </c>
      <c r="AH5" s="53">
        <f>IF($AC5&gt;0,SUMIFS(M$4:M4,$D$4:$D4,$D5,$Z$4:$Z4,$Z5,$C$4:$C4,$C5),0)</f>
        <v>0</v>
      </c>
      <c r="AI5" s="43">
        <f>IF(OR($C5="",$I5=""),0,IF(COUNTIFS($C$5:$C5,$C5,$I$5:$I5,$I5)=1,1,0))</f>
        <v>1</v>
      </c>
      <c r="AJ5" s="43">
        <f>IF($AI5=1,SUMIFS($AI$4:$AI4,$C$4:$C4,$C5)+1,"")</f>
        <v>1</v>
      </c>
      <c r="AK5" s="43">
        <f>IF(OR($C5="",$K5=""),0,IF(COUNTIFS($C$5:$C5,$C5,$K$5:$K5,$K5)=1,1,0))</f>
        <v>1</v>
      </c>
      <c r="AL5" s="43">
        <f>IF($AK5=1,SUMIFS($AK$4:$AK4,$C$4:$C4,$C5)+1,"")</f>
        <v>1</v>
      </c>
      <c r="AM5" s="43">
        <f>IF(OR($C5="",$G5=""),0,IF(COUNTIFS($C$5:$C5,$C5,$G$5:$G5,$G5)=1,1,0))</f>
        <v>1</v>
      </c>
      <c r="AN5" s="43">
        <f>IF($AM5=1,SUMIFS($AM$4:$AM4,$C$4:$C4,$C5)+1,"")</f>
        <v>1</v>
      </c>
    </row>
    <row r="6">
      <c r="A6" s="44" t="str">
        <f>IF(OR($B6="",$D6=""),"","TX"&amp;TEXT(ROW()-4,"0000"))</f>
        <v>TX0002</v>
      </c>
      <c r="B6" s="42" t="n">
        <v>46270</v>
      </c>
      <c r="C6" s="47">
        <f>IF($B6="","",YEAR($B6)*100+MONTH($B6))</f>
        <v>202609</v>
      </c>
      <c r="D6" s="37" t="inlineStr">
        <is>
          <t>VPB-JCBZ</t>
        </is>
      </c>
      <c r="E6" s="45" t="str">
        <f>IF($D6="","",IFERROR(INDEX(CARDS!$B$5:$B$34,MATCH($D6,CARDS!$A$5:$A$34,0)),"⚠ Card ID?"))</f>
        <v>VPBank</v>
      </c>
      <c r="F6" s="45" t="str">
        <f>IF($D6="","",IFERROR(INDEX(CARDS!$C$5:$C$34,MATCH($D6,CARDS!$A$5:$A$34,0)),"⚠ Card ID?"))</f>
        <v>JCB Z Card</v>
      </c>
      <c r="G6" s="37" t="inlineStr">
        <is>
          <t>Nhà hàng Sen Tây Hồ</t>
        </is>
      </c>
      <c r="H6" s="37" t="inlineStr">
        <is>
          <t>Ăn tối</t>
        </is>
      </c>
      <c r="I6" s="41" t="n">
        <v>5812</v>
      </c>
      <c r="J6" s="45" t="str">
        <f>IF($I6="","",IFERROR(INDEX(MCC_MASTER!$B$5:$B$504,MATCH($I6,MCC_MASTER!$A$5:$A$504,0)),"⚠ MCC chưa có"))</f>
        <v>Eating Places / Restaurants</v>
      </c>
      <c r="K6" s="45" t="str">
        <f>IF($I6="","",IFERROR(IF(INDEX(MCC_MASTER!$C$5:$C$504,MATCH($I6,MCC_MASTER!$A$5:$A$504,0))="","Chưa phân loại",INDEX(MCC_MASTER!$C$5:$C$504,MATCH($I6,MCC_MASTER!$A$5:$A$504,0))),"Chưa phân loại"))</f>
        <v>Dining</v>
      </c>
      <c r="L6" s="40" t="n">
        <v>4000000</v>
      </c>
      <c r="M6" s="48">
        <f>IF(OR($B6="",$D6=""),"",IF($AC6=0,0,IF(ISNUMBER(INDEX(CASHBACK_RULES!$L$5:$L$304,$AC6)),MAX(0,MIN($L6,INDEX(CASHBACK_RULES!$L$5:$L$304,$AC6)-$AH6)),MAX(0,$L6))))</f>
        <v>4000000</v>
      </c>
      <c r="N6" s="49">
        <f>IF(OR($B6="",$D6=""),"",IF($AC6&gt;0,INDEX(CASHBACK_RULES!$I$5:$I$304,$AC6),0))</f>
        <v>0.15</v>
      </c>
      <c r="O6" s="48">
        <f>IF(OR($B6="",$D6=""),"",ROUND($M6*$N6,0))</f>
        <v>600000</v>
      </c>
      <c r="P6" s="48">
        <f>IF($AC6&gt;0,IF(ISNUMBER(INDEX(CASHBACK_RULES!$J$5:$J$304,$AC6)),INDEX(CASHBACK_RULES!$J$5:$J$304,$AC6),"∞"),"")</f>
        <v>500000</v>
      </c>
      <c r="Q6" s="48">
        <f>IF(OR($B6="",$D6=""),"",IF($AC6=0,0,MAX(0,MIN($O6,IF(ISNUMBER($P6),$P6-$AF6,1E+15),IF(ISNUMBER($AA6),$AA6-$AG6,1E+15)))))</f>
        <v>477500</v>
      </c>
      <c r="R6" s="48">
        <f>IF(OR($B6="",$D6=""),"",IF($AC6=0,"",IF(AND(NOT(ISNUMBER($P6)),NOT(ISNUMBER($AA6))),"∞",MAX(0,MIN(IF(ISNUMBER($P6),$P6-$AF6-$Q6,1E+15),IF(ISNUMBER($AA6),$AA6-$AG6-$Q6,1E+15))))))</f>
        <v>0</v>
      </c>
      <c r="S6" s="47">
        <f>IF($AD6="","",YEAR($AD6)*100+MONTH($AD6))</f>
        <v>202609</v>
      </c>
      <c r="T6" s="50">
        <f>IF($AD6="","",IFERROR(IF(INDEX(CARDS!$I$5:$I$34,MATCH($D6,CARDS!$A$5:$A$34,0))="","",IF(INDEX(CARDS!$I$5:$I$34,MATCH($D6,CARDS!$A$5:$A$34,0))&gt;INDEX(CARDS!$H$5:$H$34,MATCH($D6,CARDS!$A$5:$A$34,0)),DATE(YEAR($AD6),MONTH($AD6),MIN(INDEX(CARDS!$I$5:$I$34,MATCH($D6,CARDS!$A$5:$A$34,0)),DAY(EOMONTH($AD6,0)))),DATE(YEAR($AD6),MONTH($AD6)+1,MIN(INDEX(CARDS!$I$5:$I$34,MATCH($D6,CARDS!$A$5:$A$34,0)),DAY(EOMONTH($AD6,1)))))),""))</f>
        <v>46310.0</v>
      </c>
      <c r="U6" s="38" t="inlineStr">
        <is>
          <t>Posted</t>
        </is>
      </c>
      <c r="V6" s="37" t="inlineStr">
        <is>
          <t>SAMPLE DATA — có thể xóa — vượt cap nhóm</t>
        </is>
      </c>
      <c r="W6" s="38" t="n"/>
      <c r="X6" s="38" t="inlineStr">
        <is>
          <t>Đã thanh toán</t>
        </is>
      </c>
      <c r="Y6" s="44" t="str">
        <f>IF($AC6&gt;0,INDEX(CASHBACK_RULES!$A$5:$A$304,$AC6),"")</f>
        <v>R002</v>
      </c>
      <c r="Z6" s="45" t="str">
        <f>IF($AC6&gt;0,INDEX(CASHBACK_RULES!$E$5:$E$304,$AC6)&amp;"","")</f>
        <v>Group 1</v>
      </c>
      <c r="AA6" s="48">
        <f>IF($AC6&gt;0,IF(ISNUMBER(INDEX(CASHBACK_RULES!$K$5:$K$304,$AC6)),INDEX(CASHBACK_RULES!$K$5:$K$304,$AC6),"∞"),"")</f>
        <v>1000000</v>
      </c>
      <c r="AB6" s="44" t="str">
        <f>IF(OR($B6="",$D6=""),"",IF($U6="Cancelled","Đã hủy",IF($AC6=0,"Không được hoàn",IF($Q6=0,IF(OR($O6&gt;0,$M6&lt;$L6),"Đã đạt cap","Không được hoàn"),IF(OR($Q6&lt;$O6,$M6&lt;$L6),"Hoàn một phần","Được hoàn")))))</f>
        <v>Hoàn một phần</v>
      </c>
      <c r="AC6" s="43">
        <f>IF(OR($B6="",$D6="",$I6="",$L6=""),0,IF($U6="Cancelled",0,IF($W6&lt;&gt;"",IFERROR(IF(INDEX(CASHBACK_RULES!$B$5:$B$304,MATCH($W6,CASHBACK_RULES!$A$5:$A$304,0))=$D6,MATCH($W6,CASHBACK_RULES!$A$5:$A$304,0),0),0),IFERROR(MATCH(1,INDEX((CASHBACK_RULES!$B$5:$B$304=$D6)*(CASHBACK_RULES!$G$5:$G$304=$I6)*(((CASHBACK_RULES!$N$5:$N$304="")+(CASHBACK_RULES!$N$5:$N$304&lt;=$B6))&gt;0)*(((CASHBACK_RULES!$O$5:$O$304="")+(CASHBACK_RULES!$O$5:$O$304&gt;=$B6))&gt;0)*(((CASHBACK_RULES!$M$5:$M$304="")+(CASHBACK_RULES!$M$5:$M$304&lt;=$L6))&gt;0),0),0),0))))</f>
        <v>2</v>
      </c>
      <c r="AD6" s="51">
        <f>IF(OR($B6="",$D6=""),"",IFERROR(IF(INDEX(CARDS!$H$5:$H$34,MATCH($D6,CARDS!$A$5:$A$34,0))="","",IF(DAY($B6)&lt;=INDEX(CARDS!$H$5:$H$34,MATCH($D6,CARDS!$A$5:$A$34,0)),DATE(YEAR($B6),MONTH($B6),MIN(INDEX(CARDS!$H$5:$H$34,MATCH($D6,CARDS!$A$5:$A$34,0)),DAY(EOMONTH($B6,0)))),DATE(YEAR($B6),MONTH($B6)+1,MIN(INDEX(CARDS!$H$5:$H$34,MATCH($D6,CARDS!$A$5:$A$34,0)),DAY(EOMONTH($B6,1)))))),""))</f>
        <v>46290.0</v>
      </c>
      <c r="AE6" s="52" t="str">
        <f>IF($C6="","",$C6&amp;"|"&amp;COUNTIF($C$5:$C6,$C6))</f>
        <v>202609|2</v>
      </c>
      <c r="AF6" s="53">
        <f>IF($AC6&gt;0,SUMIFS(Q$4:Q5,$D$4:$D5,$D6,$Z$4:$Z5,$Z6,$C$4:$C5,$C6),0)</f>
        <v>22500</v>
      </c>
      <c r="AG6" s="53">
        <f>IF($AC6&gt;0,SUMIFS(Q$4:Q5,$D$4:$D5,$D6,$C$4:$C5,$C6),0)</f>
        <v>22500</v>
      </c>
      <c r="AH6" s="53">
        <f>IF($AC6&gt;0,SUMIFS(M$4:M5,$D$4:$D5,$D6,$Z$4:$Z5,$Z6,$C$4:$C5,$C6),0)</f>
        <v>150000</v>
      </c>
      <c r="AI6" s="43">
        <f>IF(OR($C6="",$I6=""),0,IF(COUNTIFS($C$5:$C6,$C6,$I$5:$I6,$I6)=1,1,0))</f>
        <v>1</v>
      </c>
      <c r="AJ6" s="43">
        <f>IF($AI6=1,SUMIFS($AI$4:$AI5,$C$4:$C5,$C6)+1,"")</f>
        <v>2</v>
      </c>
      <c r="AK6" s="43">
        <f>IF(OR($C6="",$K6=""),0,IF(COUNTIFS($C$5:$C6,$C6,$K$5:$K6,$K6)=1,1,0))</f>
        <v>0</v>
      </c>
      <c r="AL6" s="43" t="str">
        <f>IF($AK6=1,SUMIFS($AK$4:$AK5,$C$4:$C5,$C6)+1,"")</f>
        <v/>
      </c>
      <c r="AM6" s="43">
        <f>IF(OR($C6="",$G6=""),0,IF(COUNTIFS($C$5:$C6,$C6,$G$5:$G6,$G6)=1,1,0))</f>
        <v>1</v>
      </c>
      <c r="AN6" s="43">
        <f>IF($AM6=1,SUMIFS($AM$4:$AM5,$C$4:$C5,$C6)+1,"")</f>
        <v>2</v>
      </c>
    </row>
    <row r="7">
      <c r="A7" s="44" t="str">
        <f>IF(OR($B7="",$D7=""),"","TX"&amp;TEXT(ROW()-4,"0000"))</f>
        <v>TX0003</v>
      </c>
      <c r="B7" s="42" t="n">
        <v>46274</v>
      </c>
      <c r="C7" s="47">
        <f>IF($B7="","",YEAR($B7)*100+MONTH($B7))</f>
        <v>202609</v>
      </c>
      <c r="D7" s="37" t="inlineStr">
        <is>
          <t>VPB-JCBZ</t>
        </is>
      </c>
      <c r="E7" s="45" t="str">
        <f>IF($D7="","",IFERROR(INDEX(CARDS!$B$5:$B$34,MATCH($D7,CARDS!$A$5:$A$34,0)),"⚠ Card ID?"))</f>
        <v>VPBank</v>
      </c>
      <c r="F7" s="45" t="str">
        <f>IF($D7="","",IFERROR(INDEX(CARDS!$C$5:$C$34,MATCH($D7,CARDS!$A$5:$A$34,0)),"⚠ Card ID?"))</f>
        <v>JCB Z Card</v>
      </c>
      <c r="G7" s="37" t="inlineStr">
        <is>
          <t>Pub Beer Corner</t>
        </is>
      </c>
      <c r="H7" s="37" t="inlineStr">
        <is>
          <t>Bar</t>
        </is>
      </c>
      <c r="I7" s="41" t="n">
        <v>5813</v>
      </c>
      <c r="J7" s="45" t="str">
        <f>IF($I7="","",IFERROR(INDEX(MCC_MASTER!$B$5:$B$504,MATCH($I7,MCC_MASTER!$A$5:$A$504,0)),"⚠ MCC chưa có"))</f>
        <v>Drinking Places (Bars, Taverns)</v>
      </c>
      <c r="K7" s="45" t="str">
        <f>IF($I7="","",IFERROR(IF(INDEX(MCC_MASTER!$C$5:$C$504,MATCH($I7,MCC_MASTER!$A$5:$A$504,0))="","Chưa phân loại",INDEX(MCC_MASTER!$C$5:$C$504,MATCH($I7,MCC_MASTER!$A$5:$A$504,0))),"Chưa phân loại"))</f>
        <v>Dining</v>
      </c>
      <c r="L7" s="40" t="n">
        <v>1000000</v>
      </c>
      <c r="M7" s="48">
        <f>IF(OR($B7="",$D7=""),"",IF($AC7=0,0,IF(ISNUMBER(INDEX(CASHBACK_RULES!$L$5:$L$304,$AC7)),MAX(0,MIN($L7,INDEX(CASHBACK_RULES!$L$5:$L$304,$AC7)-$AH7)),MAX(0,$L7))))</f>
        <v>1000000</v>
      </c>
      <c r="N7" s="49">
        <f>IF(OR($B7="",$D7=""),"",IF($AC7&gt;0,INDEX(CASHBACK_RULES!$I$5:$I$304,$AC7),0))</f>
        <v>0.15</v>
      </c>
      <c r="O7" s="48">
        <f>IF(OR($B7="",$D7=""),"",ROUND($M7*$N7,0))</f>
        <v>150000</v>
      </c>
      <c r="P7" s="48">
        <f>IF($AC7&gt;0,IF(ISNUMBER(INDEX(CASHBACK_RULES!$J$5:$J$304,$AC7)),INDEX(CASHBACK_RULES!$J$5:$J$304,$AC7),"∞"),"")</f>
        <v>500000</v>
      </c>
      <c r="Q7" s="48">
        <f>IF(OR($B7="",$D7=""),"",IF($AC7=0,0,MAX(0,MIN($O7,IF(ISNUMBER($P7),$P7-$AF7,1E+15),IF(ISNUMBER($AA7),$AA7-$AG7,1E+15)))))</f>
        <v>0</v>
      </c>
      <c r="R7" s="48">
        <f>IF(OR($B7="",$D7=""),"",IF($AC7=0,"",IF(AND(NOT(ISNUMBER($P7)),NOT(ISNUMBER($AA7))),"∞",MAX(0,MIN(IF(ISNUMBER($P7),$P7-$AF7-$Q7,1E+15),IF(ISNUMBER($AA7),$AA7-$AG7-$Q7,1E+15))))))</f>
        <v>0</v>
      </c>
      <c r="S7" s="47">
        <f>IF($AD7="","",YEAR($AD7)*100+MONTH($AD7))</f>
        <v>202609</v>
      </c>
      <c r="T7" s="50">
        <f>IF($AD7="","",IFERROR(IF(INDEX(CARDS!$I$5:$I$34,MATCH($D7,CARDS!$A$5:$A$34,0))="","",IF(INDEX(CARDS!$I$5:$I$34,MATCH($D7,CARDS!$A$5:$A$34,0))&gt;INDEX(CARDS!$H$5:$H$34,MATCH($D7,CARDS!$A$5:$A$34,0)),DATE(YEAR($AD7),MONTH($AD7),MIN(INDEX(CARDS!$I$5:$I$34,MATCH($D7,CARDS!$A$5:$A$34,0)),DAY(EOMONTH($AD7,0)))),DATE(YEAR($AD7),MONTH($AD7)+1,MIN(INDEX(CARDS!$I$5:$I$34,MATCH($D7,CARDS!$A$5:$A$34,0)),DAY(EOMONTH($AD7,1)))))),""))</f>
        <v>46310.0</v>
      </c>
      <c r="U7" s="38" t="inlineStr">
        <is>
          <t>Posted</t>
        </is>
      </c>
      <c r="V7" s="37" t="inlineStr">
        <is>
          <t>SAMPLE DATA — có thể xóa — nhóm đã đạt cap tháng 9</t>
        </is>
      </c>
      <c r="W7" s="38" t="n"/>
      <c r="X7" s="38" t="inlineStr">
        <is>
          <t>Đã thanh toán</t>
        </is>
      </c>
      <c r="Y7" s="44" t="str">
        <f>IF($AC7&gt;0,INDEX(CASHBACK_RULES!$A$5:$A$304,$AC7),"")</f>
        <v>R003</v>
      </c>
      <c r="Z7" s="45" t="str">
        <f>IF($AC7&gt;0,INDEX(CASHBACK_RULES!$E$5:$E$304,$AC7)&amp;"","")</f>
        <v>Group 1</v>
      </c>
      <c r="AA7" s="48">
        <f>IF($AC7&gt;0,IF(ISNUMBER(INDEX(CASHBACK_RULES!$K$5:$K$304,$AC7)),INDEX(CASHBACK_RULES!$K$5:$K$304,$AC7),"∞"),"")</f>
        <v>1000000</v>
      </c>
      <c r="AB7" s="44" t="str">
        <f>IF(OR($B7="",$D7=""),"",IF($U7="Cancelled","Đã hủy",IF($AC7=0,"Không được hoàn",IF($Q7=0,IF(OR($O7&gt;0,$M7&lt;$L7),"Đã đạt cap","Không được hoàn"),IF(OR($Q7&lt;$O7,$M7&lt;$L7),"Hoàn một phần","Được hoàn")))))</f>
        <v>Đã đạt cap</v>
      </c>
      <c r="AC7" s="43">
        <f>IF(OR($B7="",$D7="",$I7="",$L7=""),0,IF($U7="Cancelled",0,IF($W7&lt;&gt;"",IFERROR(IF(INDEX(CASHBACK_RULES!$B$5:$B$304,MATCH($W7,CASHBACK_RULES!$A$5:$A$304,0))=$D7,MATCH($W7,CASHBACK_RULES!$A$5:$A$304,0),0),0),IFERROR(MATCH(1,INDEX((CASHBACK_RULES!$B$5:$B$304=$D7)*(CASHBACK_RULES!$G$5:$G$304=$I7)*(((CASHBACK_RULES!$N$5:$N$304="")+(CASHBACK_RULES!$N$5:$N$304&lt;=$B7))&gt;0)*(((CASHBACK_RULES!$O$5:$O$304="")+(CASHBACK_RULES!$O$5:$O$304&gt;=$B7))&gt;0)*(((CASHBACK_RULES!$M$5:$M$304="")+(CASHBACK_RULES!$M$5:$M$304&lt;=$L7))&gt;0),0),0),0))))</f>
        <v>3</v>
      </c>
      <c r="AD7" s="51">
        <f>IF(OR($B7="",$D7=""),"",IFERROR(IF(INDEX(CARDS!$H$5:$H$34,MATCH($D7,CARDS!$A$5:$A$34,0))="","",IF(DAY($B7)&lt;=INDEX(CARDS!$H$5:$H$34,MATCH($D7,CARDS!$A$5:$A$34,0)),DATE(YEAR($B7),MONTH($B7),MIN(INDEX(CARDS!$H$5:$H$34,MATCH($D7,CARDS!$A$5:$A$34,0)),DAY(EOMONTH($B7,0)))),DATE(YEAR($B7),MONTH($B7)+1,MIN(INDEX(CARDS!$H$5:$H$34,MATCH($D7,CARDS!$A$5:$A$34,0)),DAY(EOMONTH($B7,1)))))),""))</f>
        <v>46290.0</v>
      </c>
      <c r="AE7" s="52" t="str">
        <f>IF($C7="","",$C7&amp;"|"&amp;COUNTIF($C$5:$C7,$C7))</f>
        <v>202609|3</v>
      </c>
      <c r="AF7" s="53">
        <f>IF($AC7&gt;0,SUMIFS(Q$4:Q6,$D$4:$D6,$D7,$Z$4:$Z6,$Z7,$C$4:$C6,$C7),0)</f>
        <v>500000</v>
      </c>
      <c r="AG7" s="53">
        <f>IF($AC7&gt;0,SUMIFS(Q$4:Q6,$D$4:$D6,$D7,$C$4:$C6,$C7),0)</f>
        <v>500000</v>
      </c>
      <c r="AH7" s="53">
        <f>IF($AC7&gt;0,SUMIFS(M$4:M6,$D$4:$D6,$D7,$Z$4:$Z6,$Z7,$C$4:$C6,$C7),0)</f>
        <v>4150000</v>
      </c>
      <c r="AI7" s="43">
        <f>IF(OR($C7="",$I7=""),0,IF(COUNTIFS($C$5:$C7,$C7,$I$5:$I7,$I7)=1,1,0))</f>
        <v>1</v>
      </c>
      <c r="AJ7" s="43">
        <f>IF($AI7=1,SUMIFS($AI$4:$AI6,$C$4:$C6,$C7)+1,"")</f>
        <v>3</v>
      </c>
      <c r="AK7" s="43">
        <f>IF(OR($C7="",$K7=""),0,IF(COUNTIFS($C$5:$C7,$C7,$K$5:$K7,$K7)=1,1,0))</f>
        <v>0</v>
      </c>
      <c r="AL7" s="43" t="str">
        <f>IF($AK7=1,SUMIFS($AK$4:$AK6,$C$4:$C6,$C7)+1,"")</f>
        <v/>
      </c>
      <c r="AM7" s="43">
        <f>IF(OR($C7="",$G7=""),0,IF(COUNTIFS($C$5:$C7,$C7,$G$5:$G7,$G7)=1,1,0))</f>
        <v>1</v>
      </c>
      <c r="AN7" s="43">
        <f>IF($AM7=1,SUMIFS($AM$4:$AM6,$C$4:$C6,$C7)+1,"")</f>
        <v>3</v>
      </c>
    </row>
    <row r="8">
      <c r="A8" s="44" t="str">
        <f>IF(OR($B8="",$D8=""),"","TX"&amp;TEXT(ROW()-4,"0000"))</f>
        <v>TX0004</v>
      </c>
      <c r="B8" s="42" t="n">
        <v>46277</v>
      </c>
      <c r="C8" s="47">
        <f>IF($B8="","",YEAR($B8)*100+MONTH($B8))</f>
        <v>202609</v>
      </c>
      <c r="D8" s="37" t="inlineStr">
        <is>
          <t>VIB-A</t>
        </is>
      </c>
      <c r="E8" s="45" t="str">
        <f>IF($D8="","",IFERROR(INDEX(CARDS!$B$5:$B$34,MATCH($D8,CARDS!$A$5:$A$34,0)),"⚠ Card ID?"))</f>
        <v>VIB</v>
      </c>
      <c r="F8" s="45" t="str">
        <f>IF($D8="","",IFERROR(INDEX(CARDS!$C$5:$C$34,MATCH($D8,CARDS!$A$5:$A$34,0)),"⚠ Card ID?"))</f>
        <v>Cashback Demo A</v>
      </c>
      <c r="G8" s="37" t="inlineStr">
        <is>
          <t>WinMart</t>
        </is>
      </c>
      <c r="H8" s="37" t="inlineStr">
        <is>
          <t>Siêu thị</t>
        </is>
      </c>
      <c r="I8" s="41" t="n">
        <v>5411</v>
      </c>
      <c r="J8" s="45" t="str">
        <f>IF($I8="","",IFERROR(INDEX(MCC_MASTER!$B$5:$B$504,MATCH($I8,MCC_MASTER!$A$5:$A$504,0)),"⚠ MCC chưa có"))</f>
        <v>Grocery Stores / Supermarkets</v>
      </c>
      <c r="K8" s="45" t="str">
        <f>IF($I8="","",IFERROR(IF(INDEX(MCC_MASTER!$C$5:$C$504,MATCH($I8,MCC_MASTER!$A$5:$A$504,0))="","Chưa phân loại",INDEX(MCC_MASTER!$C$5:$C$504,MATCH($I8,MCC_MASTER!$A$5:$A$504,0))),"Chưa phân loại"))</f>
        <v>Groceries</v>
      </c>
      <c r="L8" s="40" t="n">
        <v>2500000</v>
      </c>
      <c r="M8" s="48">
        <f>IF(OR($B8="",$D8=""),"",IF($AC8=0,0,IF(ISNUMBER(INDEX(CASHBACK_RULES!$L$5:$L$304,$AC8)),MAX(0,MIN($L8,INDEX(CASHBACK_RULES!$L$5:$L$304,$AC8)-$AH8)),MAX(0,$L8))))</f>
        <v>2500000</v>
      </c>
      <c r="N8" s="49">
        <f>IF(OR($B8="",$D8=""),"",IF($AC8&gt;0,INDEX(CASHBACK_RULES!$I$5:$I$304,$AC8),0))</f>
        <v>0.1</v>
      </c>
      <c r="O8" s="48">
        <f>IF(OR($B8="",$D8=""),"",ROUND($M8*$N8,0))</f>
        <v>250000</v>
      </c>
      <c r="P8" s="48">
        <f>IF($AC8&gt;0,IF(ISNUMBER(INDEX(CASHBACK_RULES!$J$5:$J$304,$AC8)),INDEX(CASHBACK_RULES!$J$5:$J$304,$AC8),"∞"),"")</f>
        <v>500000</v>
      </c>
      <c r="Q8" s="48">
        <f>IF(OR($B8="",$D8=""),"",IF($AC8=0,0,MAX(0,MIN($O8,IF(ISNUMBER($P8),$P8-$AF8,1E+15),IF(ISNUMBER($AA8),$AA8-$AG8,1E+15)))))</f>
        <v>250000</v>
      </c>
      <c r="R8" s="48">
        <f>IF(OR($B8="",$D8=""),"",IF($AC8=0,"",IF(AND(NOT(ISNUMBER($P8)),NOT(ISNUMBER($AA8))),"∞",MAX(0,MIN(IF(ISNUMBER($P8),$P8-$AF8-$Q8,1E+15),IF(ISNUMBER($AA8),$AA8-$AG8-$Q8,1E+15))))))</f>
        <v>250000</v>
      </c>
      <c r="S8" s="47">
        <f>IF($AD8="","",YEAR($AD8)*100+MONTH($AD8))</f>
        <v>202610</v>
      </c>
      <c r="T8" s="50">
        <f>IF($AD8="","",IFERROR(IF(INDEX(CARDS!$I$5:$I$34,MATCH($D8,CARDS!$A$5:$A$34,0))="","",IF(INDEX(CARDS!$I$5:$I$34,MATCH($D8,CARDS!$A$5:$A$34,0))&gt;INDEX(CARDS!$H$5:$H$34,MATCH($D8,CARDS!$A$5:$A$34,0)),DATE(YEAR($AD8),MONTH($AD8),MIN(INDEX(CARDS!$I$5:$I$34,MATCH($D8,CARDS!$A$5:$A$34,0)),DAY(EOMONTH($AD8,0)))),DATE(YEAR($AD8),MONTH($AD8)+1,MIN(INDEX(CARDS!$I$5:$I$34,MATCH($D8,CARDS!$A$5:$A$34,0)),DAY(EOMONTH($AD8,1)))))),""))</f>
        <v>46320.0</v>
      </c>
      <c r="U8" s="38" t="inlineStr">
        <is>
          <t>Posted</t>
        </is>
      </c>
      <c r="V8" s="37" t="inlineStr">
        <is>
          <t>SAMPLE DATA — có thể xóa</t>
        </is>
      </c>
      <c r="W8" s="38" t="n"/>
      <c r="X8" s="38" t="inlineStr">
        <is>
          <t>Đã thanh toán</t>
        </is>
      </c>
      <c r="Y8" s="44" t="str">
        <f>IF($AC8&gt;0,INDEX(CASHBACK_RULES!$A$5:$A$304,$AC8),"")</f>
        <v>R011</v>
      </c>
      <c r="Z8" s="45" t="str">
        <f>IF($AC8&gt;0,INDEX(CASHBACK_RULES!$E$5:$E$304,$AC8)&amp;"","")</f>
        <v>Group 1</v>
      </c>
      <c r="AA8" s="48">
        <f>IF($AC8&gt;0,IF(ISNUMBER(INDEX(CASHBACK_RULES!$K$5:$K$304,$AC8)),INDEX(CASHBACK_RULES!$K$5:$K$304,$AC8),"∞"),"")</f>
        <v>1000000</v>
      </c>
      <c r="AB8" s="44" t="str">
        <f>IF(OR($B8="",$D8=""),"",IF($U8="Cancelled","Đã hủy",IF($AC8=0,"Không được hoàn",IF($Q8=0,IF(OR($O8&gt;0,$M8&lt;$L8),"Đã đạt cap","Không được hoàn"),IF(OR($Q8&lt;$O8,$M8&lt;$L8),"Hoàn một phần","Được hoàn")))))</f>
        <v>Được hoàn</v>
      </c>
      <c r="AC8" s="43">
        <f>IF(OR($B8="",$D8="",$I8="",$L8=""),0,IF($U8="Cancelled",0,IF($W8&lt;&gt;"",IFERROR(IF(INDEX(CASHBACK_RULES!$B$5:$B$304,MATCH($W8,CASHBACK_RULES!$A$5:$A$304,0))=$D8,MATCH($W8,CASHBACK_RULES!$A$5:$A$304,0),0),0),IFERROR(MATCH(1,INDEX((CASHBACK_RULES!$B$5:$B$304=$D8)*(CASHBACK_RULES!$G$5:$G$304=$I8)*(((CASHBACK_RULES!$N$5:$N$304="")+(CASHBACK_RULES!$N$5:$N$304&lt;=$B8))&gt;0)*(((CASHBACK_RULES!$O$5:$O$304="")+(CASHBACK_RULES!$O$5:$O$304&gt;=$B8))&gt;0)*(((CASHBACK_RULES!$M$5:$M$304="")+(CASHBACK_RULES!$M$5:$M$304&lt;=$L8))&gt;0),0),0),0))))</f>
        <v>11</v>
      </c>
      <c r="AD8" s="51">
        <f>IF(OR($B8="",$D8=""),"",IFERROR(IF(INDEX(CARDS!$H$5:$H$34,MATCH($D8,CARDS!$A$5:$A$34,0))="","",IF(DAY($B8)&lt;=INDEX(CARDS!$H$5:$H$34,MATCH($D8,CARDS!$A$5:$A$34,0)),DATE(YEAR($B8),MONTH($B8),MIN(INDEX(CARDS!$H$5:$H$34,MATCH($D8,CARDS!$A$5:$A$34,0)),DAY(EOMONTH($B8,0)))),DATE(YEAR($B8),MONTH($B8)+1,MIN(INDEX(CARDS!$H$5:$H$34,MATCH($D8,CARDS!$A$5:$A$34,0)),DAY(EOMONTH($B8,1)))))),""))</f>
        <v>46300.0</v>
      </c>
      <c r="AE8" s="52" t="str">
        <f>IF($C8="","",$C8&amp;"|"&amp;COUNTIF($C$5:$C8,$C8))</f>
        <v>202609|4</v>
      </c>
      <c r="AF8" s="53">
        <f>IF($AC8&gt;0,SUMIFS(Q$4:Q7,$D$4:$D7,$D8,$Z$4:$Z7,$Z8,$C$4:$C7,$C8),0)</f>
        <v>0</v>
      </c>
      <c r="AG8" s="53">
        <f>IF($AC8&gt;0,SUMIFS(Q$4:Q7,$D$4:$D7,$D8,$C$4:$C7,$C8),0)</f>
        <v>0</v>
      </c>
      <c r="AH8" s="53">
        <f>IF($AC8&gt;0,SUMIFS(M$4:M7,$D$4:$D7,$D8,$Z$4:$Z7,$Z8,$C$4:$C7,$C8),0)</f>
        <v>0</v>
      </c>
      <c r="AI8" s="43">
        <f>IF(OR($C8="",$I8=""),0,IF(COUNTIFS($C$5:$C8,$C8,$I$5:$I8,$I8)=1,1,0))</f>
        <v>1</v>
      </c>
      <c r="AJ8" s="43">
        <f>IF($AI8=1,SUMIFS($AI$4:$AI7,$C$4:$C7,$C8)+1,"")</f>
        <v>4</v>
      </c>
      <c r="AK8" s="43">
        <f>IF(OR($C8="",$K8=""),0,IF(COUNTIFS($C$5:$C8,$C8,$K$5:$K8,$K8)=1,1,0))</f>
        <v>1</v>
      </c>
      <c r="AL8" s="43">
        <f>IF($AK8=1,SUMIFS($AK$4:$AK7,$C$4:$C7,$C8)+1,"")</f>
        <v>2</v>
      </c>
      <c r="AM8" s="43">
        <f>IF(OR($C8="",$G8=""),0,IF(COUNTIFS($C$5:$C8,$C8,$G$5:$G8,$G8)=1,1,0))</f>
        <v>1</v>
      </c>
      <c r="AN8" s="43">
        <f>IF($AM8=1,SUMIFS($AM$4:$AM7,$C$4:$C7,$C8)+1,"")</f>
        <v>4</v>
      </c>
    </row>
    <row r="9">
      <c r="A9" s="44" t="str">
        <f>IF(OR($B9="",$D9=""),"","TX"&amp;TEXT(ROW()-4,"0000"))</f>
        <v>TX0005</v>
      </c>
      <c r="B9" s="42" t="n">
        <v>46280</v>
      </c>
      <c r="C9" s="47">
        <f>IF($B9="","",YEAR($B9)*100+MONTH($B9))</f>
        <v>202609</v>
      </c>
      <c r="D9" s="37" t="inlineStr">
        <is>
          <t>TCB-B</t>
        </is>
      </c>
      <c r="E9" s="45" t="str">
        <f>IF($D9="","",IFERROR(INDEX(CARDS!$B$5:$B$34,MATCH($D9,CARDS!$A$5:$A$34,0)),"⚠ Card ID?"))</f>
        <v>Techcombank</v>
      </c>
      <c r="F9" s="45" t="str">
        <f>IF($D9="","",IFERROR(INDEX(CARDS!$C$5:$C$34,MATCH($D9,CARDS!$A$5:$A$34,0)),"⚠ Card ID?"))</f>
        <v>Cashback Demo B</v>
      </c>
      <c r="G9" s="37" t="inlineStr">
        <is>
          <t>Petrolimex</t>
        </is>
      </c>
      <c r="H9" s="37" t="inlineStr">
        <is>
          <t>Xăng</t>
        </is>
      </c>
      <c r="I9" s="41" t="n">
        <v>5541</v>
      </c>
      <c r="J9" s="45" t="str">
        <f>IF($I9="","",IFERROR(INDEX(MCC_MASTER!$B$5:$B$504,MATCH($I9,MCC_MASTER!$A$5:$A$504,0)),"⚠ MCC chưa có"))</f>
        <v>Service Stations</v>
      </c>
      <c r="K9" s="45" t="str">
        <f>IF($I9="","",IFERROR(IF(INDEX(MCC_MASTER!$C$5:$C$504,MATCH($I9,MCC_MASTER!$A$5:$A$504,0))="","Chưa phân loại",INDEX(MCC_MASTER!$C$5:$C$504,MATCH($I9,MCC_MASTER!$A$5:$A$504,0))),"Chưa phân loại"))</f>
        <v>Fuel</v>
      </c>
      <c r="L9" s="40" t="n">
        <v>1200000</v>
      </c>
      <c r="M9" s="48">
        <f>IF(OR($B9="",$D9=""),"",IF($AC9=0,0,IF(ISNUMBER(INDEX(CASHBACK_RULES!$L$5:$L$304,$AC9)),MAX(0,MIN($L9,INDEX(CASHBACK_RULES!$L$5:$L$304,$AC9)-$AH9)),MAX(0,$L9))))</f>
        <v>1200000</v>
      </c>
      <c r="N9" s="49">
        <f>IF(OR($B9="",$D9=""),"",IF($AC9&gt;0,INDEX(CASHBACK_RULES!$I$5:$I$304,$AC9),0))</f>
        <v>0.05</v>
      </c>
      <c r="O9" s="48">
        <f>IF(OR($B9="",$D9=""),"",ROUND($M9*$N9,0))</f>
        <v>60000</v>
      </c>
      <c r="P9" s="48">
        <f>IF($AC9&gt;0,IF(ISNUMBER(INDEX(CASHBACK_RULES!$J$5:$J$304,$AC9)),INDEX(CASHBACK_RULES!$J$5:$J$304,$AC9),"∞"),"")</f>
        <v>300000</v>
      </c>
      <c r="Q9" s="48">
        <f>IF(OR($B9="",$D9=""),"",IF($AC9=0,0,MAX(0,MIN($O9,IF(ISNUMBER($P9),$P9-$AF9,1E+15),IF(ISNUMBER($AA9),$AA9-$AG9,1E+15)))))</f>
        <v>60000</v>
      </c>
      <c r="R9" s="48">
        <f>IF(OR($B9="",$D9=""),"",IF($AC9=0,"",IF(AND(NOT(ISNUMBER($P9)),NOT(ISNUMBER($AA9))),"∞",MAX(0,MIN(IF(ISNUMBER($P9),$P9-$AF9-$Q9,1E+15),IF(ISNUMBER($AA9),$AA9-$AG9-$Q9,1E+15))))))</f>
        <v>240000</v>
      </c>
      <c r="S9" s="47">
        <f>IF($AD9="","",YEAR($AD9)*100+MONTH($AD9))</f>
        <v>202609</v>
      </c>
      <c r="T9" s="50">
        <f>IF($AD9="","",IFERROR(IF(INDEX(CARDS!$I$5:$I$34,MATCH($D9,CARDS!$A$5:$A$34,0))="","",IF(INDEX(CARDS!$I$5:$I$34,MATCH($D9,CARDS!$A$5:$A$34,0))&gt;INDEX(CARDS!$H$5:$H$34,MATCH($D9,CARDS!$A$5:$A$34,0)),DATE(YEAR($AD9),MONTH($AD9),MIN(INDEX(CARDS!$I$5:$I$34,MATCH($D9,CARDS!$A$5:$A$34,0)),DAY(EOMONTH($AD9,0)))),DATE(YEAR($AD9),MONTH($AD9)+1,MIN(INDEX(CARDS!$I$5:$I$34,MATCH($D9,CARDS!$A$5:$A$34,0)),DAY(EOMONTH($AD9,1)))))),""))</f>
        <v>46305.0</v>
      </c>
      <c r="U9" s="38" t="inlineStr">
        <is>
          <t>Posted</t>
        </is>
      </c>
      <c r="V9" s="37" t="inlineStr">
        <is>
          <t>SAMPLE DATA — có thể xóa</t>
        </is>
      </c>
      <c r="W9" s="38" t="n"/>
      <c r="X9" s="38" t="inlineStr">
        <is>
          <t>Đã thanh toán</t>
        </is>
      </c>
      <c r="Y9" s="44" t="str">
        <f>IF($AC9&gt;0,INDEX(CASHBACK_RULES!$A$5:$A$304,$AC9),"")</f>
        <v>R015</v>
      </c>
      <c r="Z9" s="45" t="str">
        <f>IF($AC9&gt;0,INDEX(CASHBACK_RULES!$E$5:$E$304,$AC9)&amp;"","")</f>
        <v>Group 1</v>
      </c>
      <c r="AA9" s="48">
        <f>IF($AC9&gt;0,IF(ISNUMBER(INDEX(CASHBACK_RULES!$K$5:$K$304,$AC9)),INDEX(CASHBACK_RULES!$K$5:$K$304,$AC9),"∞"),"")</f>
        <v>2000000</v>
      </c>
      <c r="AB9" s="44" t="str">
        <f>IF(OR($B9="",$D9=""),"",IF($U9="Cancelled","Đã hủy",IF($AC9=0,"Không được hoàn",IF($Q9=0,IF(OR($O9&gt;0,$M9&lt;$L9),"Đã đạt cap","Không được hoàn"),IF(OR($Q9&lt;$O9,$M9&lt;$L9),"Hoàn một phần","Được hoàn")))))</f>
        <v>Được hoàn</v>
      </c>
      <c r="AC9" s="43">
        <f>IF(OR($B9="",$D9="",$I9="",$L9=""),0,IF($U9="Cancelled",0,IF($W9&lt;&gt;"",IFERROR(IF(INDEX(CASHBACK_RULES!$B$5:$B$304,MATCH($W9,CASHBACK_RULES!$A$5:$A$304,0))=$D9,MATCH($W9,CASHBACK_RULES!$A$5:$A$304,0),0),0),IFERROR(MATCH(1,INDEX((CASHBACK_RULES!$B$5:$B$304=$D9)*(CASHBACK_RULES!$G$5:$G$304=$I9)*(((CASHBACK_RULES!$N$5:$N$304="")+(CASHBACK_RULES!$N$5:$N$304&lt;=$B9))&gt;0)*(((CASHBACK_RULES!$O$5:$O$304="")+(CASHBACK_RULES!$O$5:$O$304&gt;=$B9))&gt;0)*(((CASHBACK_RULES!$M$5:$M$304="")+(CASHBACK_RULES!$M$5:$M$304&lt;=$L9))&gt;0),0),0),0))))</f>
        <v>15</v>
      </c>
      <c r="AD9" s="51">
        <f>IF(OR($B9="",$D9=""),"",IFERROR(IF(INDEX(CARDS!$H$5:$H$34,MATCH($D9,CARDS!$A$5:$A$34,0))="","",IF(DAY($B9)&lt;=INDEX(CARDS!$H$5:$H$34,MATCH($D9,CARDS!$A$5:$A$34,0)),DATE(YEAR($B9),MONTH($B9),MIN(INDEX(CARDS!$H$5:$H$34,MATCH($D9,CARDS!$A$5:$A$34,0)),DAY(EOMONTH($B9,0)))),DATE(YEAR($B9),MONTH($B9)+1,MIN(INDEX(CARDS!$H$5:$H$34,MATCH($D9,CARDS!$A$5:$A$34,0)),DAY(EOMONTH($B9,1)))))),""))</f>
        <v>46285.0</v>
      </c>
      <c r="AE9" s="52" t="str">
        <f>IF($C9="","",$C9&amp;"|"&amp;COUNTIF($C$5:$C9,$C9))</f>
        <v>202609|5</v>
      </c>
      <c r="AF9" s="53">
        <f>IF($AC9&gt;0,SUMIFS(Q$4:Q8,$D$4:$D8,$D9,$Z$4:$Z8,$Z9,$C$4:$C8,$C9),0)</f>
        <v>0</v>
      </c>
      <c r="AG9" s="53">
        <f>IF($AC9&gt;0,SUMIFS(Q$4:Q8,$D$4:$D8,$D9,$C$4:$C8,$C9),0)</f>
        <v>0</v>
      </c>
      <c r="AH9" s="53">
        <f>IF($AC9&gt;0,SUMIFS(M$4:M8,$D$4:$D8,$D9,$Z$4:$Z8,$Z9,$C$4:$C8,$C9),0)</f>
        <v>0</v>
      </c>
      <c r="AI9" s="43">
        <f>IF(OR($C9="",$I9=""),0,IF(COUNTIFS($C$5:$C9,$C9,$I$5:$I9,$I9)=1,1,0))</f>
        <v>1</v>
      </c>
      <c r="AJ9" s="43">
        <f>IF($AI9=1,SUMIFS($AI$4:$AI8,$C$4:$C8,$C9)+1,"")</f>
        <v>5</v>
      </c>
      <c r="AK9" s="43">
        <f>IF(OR($C9="",$K9=""),0,IF(COUNTIFS($C$5:$C9,$C9,$K$5:$K9,$K9)=1,1,0))</f>
        <v>1</v>
      </c>
      <c r="AL9" s="43">
        <f>IF($AK9=1,SUMIFS($AK$4:$AK8,$C$4:$C8,$C9)+1,"")</f>
        <v>3</v>
      </c>
      <c r="AM9" s="43">
        <f>IF(OR($C9="",$G9=""),0,IF(COUNTIFS($C$5:$C9,$C9,$G$5:$G9,$G9)=1,1,0))</f>
        <v>1</v>
      </c>
      <c r="AN9" s="43">
        <f>IF($AM9=1,SUMIFS($AM$4:$AM8,$C$4:$C8,$C9)+1,"")</f>
        <v>5</v>
      </c>
    </row>
    <row r="10">
      <c r="A10" s="44" t="str">
        <f>IF(OR($B10="",$D10=""),"","TX"&amp;TEXT(ROW()-4,"0000"))</f>
        <v>TX0006</v>
      </c>
      <c r="B10" s="42" t="n">
        <v>46287</v>
      </c>
      <c r="C10" s="47">
        <f>IF($B10="","",YEAR($B10)*100+MONTH($B10))</f>
        <v>202609</v>
      </c>
      <c r="D10" s="37" t="inlineStr">
        <is>
          <t>MB-D</t>
        </is>
      </c>
      <c r="E10" s="45" t="str">
        <f>IF($D10="","",IFERROR(INDEX(CARDS!$B$5:$B$34,MATCH($D10,CARDS!$A$5:$A$34,0)),"⚠ Card ID?"))</f>
        <v>MB</v>
      </c>
      <c r="F10" s="45" t="str">
        <f>IF($D10="","",IFERROR(INDEX(CARDS!$C$5:$C$34,MATCH($D10,CARDS!$A$5:$A$34,0)),"⚠ Card ID?"))</f>
        <v>Cashback Demo D</v>
      </c>
      <c r="G10" s="37" t="inlineStr">
        <is>
          <t>Co.opmart</t>
        </is>
      </c>
      <c r="H10" s="37" t="inlineStr">
        <is>
          <t>Siêu thị</t>
        </is>
      </c>
      <c r="I10" s="41" t="n">
        <v>5411</v>
      </c>
      <c r="J10" s="45" t="str">
        <f>IF($I10="","",IFERROR(INDEX(MCC_MASTER!$B$5:$B$504,MATCH($I10,MCC_MASTER!$A$5:$A$504,0)),"⚠ MCC chưa có"))</f>
        <v>Grocery Stores / Supermarkets</v>
      </c>
      <c r="K10" s="45" t="str">
        <f>IF($I10="","",IFERROR(IF(INDEX(MCC_MASTER!$C$5:$C$504,MATCH($I10,MCC_MASTER!$A$5:$A$504,0))="","Chưa phân loại",INDEX(MCC_MASTER!$C$5:$C$504,MATCH($I10,MCC_MASTER!$A$5:$A$504,0))),"Chưa phân loại"))</f>
        <v>Groceries</v>
      </c>
      <c r="L10" s="40" t="n">
        <v>800000</v>
      </c>
      <c r="M10" s="48">
        <f>IF(OR($B10="",$D10=""),"",IF($AC10=0,0,IF(ISNUMBER(INDEX(CASHBACK_RULES!$L$5:$L$304,$AC10)),MAX(0,MIN($L10,INDEX(CASHBACK_RULES!$L$5:$L$304,$AC10)-$AH10)),MAX(0,$L10))))</f>
        <v>800000</v>
      </c>
      <c r="N10" s="49">
        <f>IF(OR($B10="",$D10=""),"",IF($AC10&gt;0,INDEX(CASHBACK_RULES!$I$5:$I$304,$AC10),0))</f>
        <v>0.02</v>
      </c>
      <c r="O10" s="48">
        <f>IF(OR($B10="",$D10=""),"",ROUND($M10*$N10,0))</f>
        <v>16000</v>
      </c>
      <c r="P10" s="48">
        <f>IF($AC10&gt;0,IF(ISNUMBER(INDEX(CASHBACK_RULES!$J$5:$J$304,$AC10)),INDEX(CASHBACK_RULES!$J$5:$J$304,$AC10),"∞"),"")</f>
        <v>100000</v>
      </c>
      <c r="Q10" s="48">
        <f>IF(OR($B10="",$D10=""),"",IF($AC10=0,0,MAX(0,MIN($O10,IF(ISNUMBER($P10),$P10-$AF10,1E+15),IF(ISNUMBER($AA10),$AA10-$AG10,1E+15)))))</f>
        <v>16000</v>
      </c>
      <c r="R10" s="48">
        <f>IF(OR($B10="",$D10=""),"",IF($AC10=0,"",IF(AND(NOT(ISNUMBER($P10)),NOT(ISNUMBER($AA10))),"∞",MAX(0,MIN(IF(ISNUMBER($P10),$P10-$AF10-$Q10,1E+15),IF(ISNUMBER($AA10),$AA10-$AG10-$Q10,1E+15))))))</f>
        <v>84000</v>
      </c>
      <c r="S10" s="47">
        <f>IF($AD10="","",YEAR($AD10)*100+MONTH($AD10))</f>
        <v>202610</v>
      </c>
      <c r="T10" s="50">
        <f>IF($AD10="","",IFERROR(IF(INDEX(CARDS!$I$5:$I$34,MATCH($D10,CARDS!$A$5:$A$34,0))="","",IF(INDEX(CARDS!$I$5:$I$34,MATCH($D10,CARDS!$A$5:$A$34,0))&gt;INDEX(CARDS!$H$5:$H$34,MATCH($D10,CARDS!$A$5:$A$34,0)),DATE(YEAR($AD10),MONTH($AD10),MIN(INDEX(CARDS!$I$5:$I$34,MATCH($D10,CARDS!$A$5:$A$34,0)),DAY(EOMONTH($AD10,0)))),DATE(YEAR($AD10),MONTH($AD10)+1,MIN(INDEX(CARDS!$I$5:$I$34,MATCH($D10,CARDS!$A$5:$A$34,0)),DAY(EOMONTH($AD10,1)))))),""))</f>
        <v>46303.0</v>
      </c>
      <c r="U10" s="38" t="inlineStr">
        <is>
          <t>Posted</t>
        </is>
      </c>
      <c r="V10" s="37" t="inlineStr">
        <is>
          <t>SAMPLE DATA — có thể xóa</t>
        </is>
      </c>
      <c r="W10" s="38" t="n"/>
      <c r="X10" s="38" t="inlineStr">
        <is>
          <t>Chưa thanh toán</t>
        </is>
      </c>
      <c r="Y10" s="44" t="str">
        <f>IF($AC10&gt;0,INDEX(CASHBACK_RULES!$A$5:$A$304,$AC10),"")</f>
        <v>R026</v>
      </c>
      <c r="Z10" s="45" t="str">
        <f>IF($AC10&gt;0,INDEX(CASHBACK_RULES!$E$5:$E$304,$AC10)&amp;"","")</f>
        <v>Groceries</v>
      </c>
      <c r="AA10" s="48">
        <f>IF($AC10&gt;0,IF(ISNUMBER(INDEX(CASHBACK_RULES!$K$5:$K$304,$AC10)),INDEX(CASHBACK_RULES!$K$5:$K$304,$AC10),"∞"),"")</f>
        <v>600000</v>
      </c>
      <c r="AB10" s="44" t="str">
        <f>IF(OR($B10="",$D10=""),"",IF($U10="Cancelled","Đã hủy",IF($AC10=0,"Không được hoàn",IF($Q10=0,IF(OR($O10&gt;0,$M10&lt;$L10),"Đã đạt cap","Không được hoàn"),IF(OR($Q10&lt;$O10,$M10&lt;$L10),"Hoàn một phần","Được hoàn")))))</f>
        <v>Được hoàn</v>
      </c>
      <c r="AC10" s="43">
        <f>IF(OR($B10="",$D10="",$I10="",$L10=""),0,IF($U10="Cancelled",0,IF($W10&lt;&gt;"",IFERROR(IF(INDEX(CASHBACK_RULES!$B$5:$B$304,MATCH($W10,CASHBACK_RULES!$A$5:$A$304,0))=$D10,MATCH($W10,CASHBACK_RULES!$A$5:$A$304,0),0),0),IFERROR(MATCH(1,INDEX((CASHBACK_RULES!$B$5:$B$304=$D10)*(CASHBACK_RULES!$G$5:$G$304=$I10)*(((CASHBACK_RULES!$N$5:$N$304="")+(CASHBACK_RULES!$N$5:$N$304&lt;=$B10))&gt;0)*(((CASHBACK_RULES!$O$5:$O$304="")+(CASHBACK_RULES!$O$5:$O$304&gt;=$B10))&gt;0)*(((CASHBACK_RULES!$M$5:$M$304="")+(CASHBACK_RULES!$M$5:$M$304&lt;=$L10))&gt;0),0),0),0))))</f>
        <v>26</v>
      </c>
      <c r="AD10" s="51">
        <f>IF(OR($B10="",$D10=""),"",IFERROR(IF(INDEX(CARDS!$H$5:$H$34,MATCH($D10,CARDS!$A$5:$A$34,0))="","",IF(DAY($B10)&lt;=INDEX(CARDS!$H$5:$H$34,MATCH($D10,CARDS!$A$5:$A$34,0)),DATE(YEAR($B10),MONTH($B10),MIN(INDEX(CARDS!$H$5:$H$34,MATCH($D10,CARDS!$A$5:$A$34,0)),DAY(EOMONTH($B10,0)))),DATE(YEAR($B10),MONTH($B10)+1,MIN(INDEX(CARDS!$H$5:$H$34,MATCH($D10,CARDS!$A$5:$A$34,0)),DAY(EOMONTH($B10,1)))))),""))</f>
        <v>46296.0</v>
      </c>
      <c r="AE10" s="52" t="str">
        <f>IF($C10="","",$C10&amp;"|"&amp;COUNTIF($C$5:$C10,$C10))</f>
        <v>202609|6</v>
      </c>
      <c r="AF10" s="53">
        <f>IF($AC10&gt;0,SUMIFS(Q$4:Q9,$D$4:$D9,$D10,$Z$4:$Z9,$Z10,$C$4:$C9,$C10),0)</f>
        <v>0</v>
      </c>
      <c r="AG10" s="53">
        <f>IF($AC10&gt;0,SUMIFS(Q$4:Q9,$D$4:$D9,$D10,$C$4:$C9,$C10),0)</f>
        <v>0</v>
      </c>
      <c r="AH10" s="53">
        <f>IF($AC10&gt;0,SUMIFS(M$4:M9,$D$4:$D9,$D10,$Z$4:$Z9,$Z10,$C$4:$C9,$C10),0)</f>
        <v>0</v>
      </c>
      <c r="AI10" s="43">
        <f>IF(OR($C10="",$I10=""),0,IF(COUNTIFS($C$5:$C10,$C10,$I$5:$I10,$I10)=1,1,0))</f>
        <v>0</v>
      </c>
      <c r="AJ10" s="43" t="str">
        <f>IF($AI10=1,SUMIFS($AI$4:$AI9,$C$4:$C9,$C10)+1,"")</f>
        <v/>
      </c>
      <c r="AK10" s="43">
        <f>IF(OR($C10="",$K10=""),0,IF(COUNTIFS($C$5:$C10,$C10,$K$5:$K10,$K10)=1,1,0))</f>
        <v>0</v>
      </c>
      <c r="AL10" s="43" t="str">
        <f>IF($AK10=1,SUMIFS($AK$4:$AK9,$C$4:$C9,$C10)+1,"")</f>
        <v/>
      </c>
      <c r="AM10" s="43">
        <f>IF(OR($C10="",$G10=""),0,IF(COUNTIFS($C$5:$C10,$C10,$G$5:$G10,$G10)=1,1,0))</f>
        <v>1</v>
      </c>
      <c r="AN10" s="43">
        <f>IF($AM10=1,SUMIFS($AM$4:$AM9,$C$4:$C9,$C10)+1,"")</f>
        <v>6</v>
      </c>
    </row>
    <row r="11">
      <c r="A11" s="44" t="str">
        <f>IF(OR($B11="",$D11=""),"","TX"&amp;TEXT(ROW()-4,"0000"))</f>
        <v>TX0007</v>
      </c>
      <c r="B11" s="42" t="n">
        <v>46296</v>
      </c>
      <c r="C11" s="47">
        <f>IF($B11="","",YEAR($B11)*100+MONTH($B11))</f>
        <v>202610</v>
      </c>
      <c r="D11" s="37" t="inlineStr">
        <is>
          <t>VPB-JCBZ</t>
        </is>
      </c>
      <c r="E11" s="45" t="str">
        <f>IF($D11="","",IFERROR(INDEX(CARDS!$B$5:$B$34,MATCH($D11,CARDS!$A$5:$A$34,0)),"⚠ Card ID?"))</f>
        <v>VPBank</v>
      </c>
      <c r="F11" s="45" t="str">
        <f>IF($D11="","",IFERROR(INDEX(CARDS!$C$5:$C$34,MATCH($D11,CARDS!$A$5:$A$34,0)),"⚠ Card ID?"))</f>
        <v>JCB Z Card</v>
      </c>
      <c r="G11" s="37" t="inlineStr">
        <is>
          <t>California Fitness</t>
        </is>
      </c>
      <c r="H11" s="37" t="inlineStr">
        <is>
          <t>Gói tập</t>
        </is>
      </c>
      <c r="I11" s="41" t="n">
        <v>7997</v>
      </c>
      <c r="J11" s="45" t="str">
        <f>IF($I11="","",IFERROR(INDEX(MCC_MASTER!$B$5:$B$504,MATCH($I11,MCC_MASTER!$A$5:$A$504,0)),"⚠ MCC chưa có"))</f>
        <v>Membership Clubs (Sports / Recreation)</v>
      </c>
      <c r="K11" s="45" t="str">
        <f>IF($I11="","",IFERROR(IF(INDEX(MCC_MASTER!$C$5:$C$504,MATCH($I11,MCC_MASTER!$A$5:$A$504,0))="","Chưa phân loại",INDEX(MCC_MASTER!$C$5:$C$504,MATCH($I11,MCC_MASTER!$A$5:$A$504,0))),"Chưa phân loại"))</f>
        <v>Fitness &amp; Wellness</v>
      </c>
      <c r="L11" s="40" t="n">
        <v>10000000</v>
      </c>
      <c r="M11" s="48">
        <f>IF(OR($B11="",$D11=""),"",IF($AC11=0,0,IF(ISNUMBER(INDEX(CASHBACK_RULES!$L$5:$L$304,$AC11)),MAX(0,MIN($L11,INDEX(CASHBACK_RULES!$L$5:$L$304,$AC11)-$AH11)),MAX(0,$L11))))</f>
        <v>10000000</v>
      </c>
      <c r="N11" s="49">
        <f>IF(OR($B11="",$D11=""),"",IF($AC11&gt;0,INDEX(CASHBACK_RULES!$I$5:$I$304,$AC11),0))</f>
        <v>0.15</v>
      </c>
      <c r="O11" s="48">
        <f>IF(OR($B11="",$D11=""),"",ROUND($M11*$N11,0))</f>
        <v>1500000</v>
      </c>
      <c r="P11" s="48">
        <f>IF($AC11&gt;0,IF(ISNUMBER(INDEX(CASHBACK_RULES!$J$5:$J$304,$AC11)),INDEX(CASHBACK_RULES!$J$5:$J$304,$AC11),"∞"),"")</f>
        <v>500000</v>
      </c>
      <c r="Q11" s="48">
        <f>IF(OR($B11="",$D11=""),"",IF($AC11=0,0,MAX(0,MIN($O11,IF(ISNUMBER($P11),$P11-$AF11,1E+15),IF(ISNUMBER($AA11),$AA11-$AG11,1E+15)))))</f>
        <v>500000</v>
      </c>
      <c r="R11" s="48">
        <f>IF(OR($B11="",$D11=""),"",IF($AC11=0,"",IF(AND(NOT(ISNUMBER($P11)),NOT(ISNUMBER($AA11))),"∞",MAX(0,MIN(IF(ISNUMBER($P11),$P11-$AF11-$Q11,1E+15),IF(ISNUMBER($AA11),$AA11-$AG11-$Q11,1E+15))))))</f>
        <v>0</v>
      </c>
      <c r="S11" s="47">
        <f>IF($AD11="","",YEAR($AD11)*100+MONTH($AD11))</f>
        <v>202610</v>
      </c>
      <c r="T11" s="50">
        <f>IF($AD11="","",IFERROR(IF(INDEX(CARDS!$I$5:$I$34,MATCH($D11,CARDS!$A$5:$A$34,0))="","",IF(INDEX(CARDS!$I$5:$I$34,MATCH($D11,CARDS!$A$5:$A$34,0))&gt;INDEX(CARDS!$H$5:$H$34,MATCH($D11,CARDS!$A$5:$A$34,0)),DATE(YEAR($AD11),MONTH($AD11),MIN(INDEX(CARDS!$I$5:$I$34,MATCH($D11,CARDS!$A$5:$A$34,0)),DAY(EOMONTH($AD11,0)))),DATE(YEAR($AD11),MONTH($AD11)+1,MIN(INDEX(CARDS!$I$5:$I$34,MATCH($D11,CARDS!$A$5:$A$34,0)),DAY(EOMONTH($AD11,1)))))),""))</f>
        <v>46341.0</v>
      </c>
      <c r="U11" s="38" t="inlineStr">
        <is>
          <t>Posted</t>
        </is>
      </c>
      <c r="V11" s="37" t="inlineStr">
        <is>
          <t>SAMPLE DATA — có thể xóa — CASHBACK LÝ THUYẾT 1,5tr &gt; cap nhóm 500k</t>
        </is>
      </c>
      <c r="W11" s="38" t="n"/>
      <c r="X11" s="38" t="inlineStr">
        <is>
          <t>Chưa thanh toán</t>
        </is>
      </c>
      <c r="Y11" s="44" t="str">
        <f>IF($AC11&gt;0,INDEX(CASHBACK_RULES!$A$5:$A$304,$AC11),"")</f>
        <v>R008</v>
      </c>
      <c r="Z11" s="45" t="str">
        <f>IF($AC11&gt;0,INDEX(CASHBACK_RULES!$E$5:$E$304,$AC11)&amp;"","")</f>
        <v>Group 2</v>
      </c>
      <c r="AA11" s="48">
        <f>IF($AC11&gt;0,IF(ISNUMBER(INDEX(CASHBACK_RULES!$K$5:$K$304,$AC11)),INDEX(CASHBACK_RULES!$K$5:$K$304,$AC11),"∞"),"")</f>
        <v>1000000</v>
      </c>
      <c r="AB11" s="44" t="str">
        <f>IF(OR($B11="",$D11=""),"",IF($U11="Cancelled","Đã hủy",IF($AC11=0,"Không được hoàn",IF($Q11=0,IF(OR($O11&gt;0,$M11&lt;$L11),"Đã đạt cap","Không được hoàn"),IF(OR($Q11&lt;$O11,$M11&lt;$L11),"Hoàn một phần","Được hoàn")))))</f>
        <v>Hoàn một phần</v>
      </c>
      <c r="AC11" s="43">
        <f>IF(OR($B11="",$D11="",$I11="",$L11=""),0,IF($U11="Cancelled",0,IF($W11&lt;&gt;"",IFERROR(IF(INDEX(CASHBACK_RULES!$B$5:$B$304,MATCH($W11,CASHBACK_RULES!$A$5:$A$304,0))=$D11,MATCH($W11,CASHBACK_RULES!$A$5:$A$304,0),0),0),IFERROR(MATCH(1,INDEX((CASHBACK_RULES!$B$5:$B$304=$D11)*(CASHBACK_RULES!$G$5:$G$304=$I11)*(((CASHBACK_RULES!$N$5:$N$304="")+(CASHBACK_RULES!$N$5:$N$304&lt;=$B11))&gt;0)*(((CASHBACK_RULES!$O$5:$O$304="")+(CASHBACK_RULES!$O$5:$O$304&gt;=$B11))&gt;0)*(((CASHBACK_RULES!$M$5:$M$304="")+(CASHBACK_RULES!$M$5:$M$304&lt;=$L11))&gt;0),0),0),0))))</f>
        <v>8</v>
      </c>
      <c r="AD11" s="51">
        <f>IF(OR($B11="",$D11=""),"",IFERROR(IF(INDEX(CARDS!$H$5:$H$34,MATCH($D11,CARDS!$A$5:$A$34,0))="","",IF(DAY($B11)&lt;=INDEX(CARDS!$H$5:$H$34,MATCH($D11,CARDS!$A$5:$A$34,0)),DATE(YEAR($B11),MONTH($B11),MIN(INDEX(CARDS!$H$5:$H$34,MATCH($D11,CARDS!$A$5:$A$34,0)),DAY(EOMONTH($B11,0)))),DATE(YEAR($B11),MONTH($B11)+1,MIN(INDEX(CARDS!$H$5:$H$34,MATCH($D11,CARDS!$A$5:$A$34,0)),DAY(EOMONTH($B11,1)))))),""))</f>
        <v>46320.0</v>
      </c>
      <c r="AE11" s="52" t="str">
        <f>IF($C11="","",$C11&amp;"|"&amp;COUNTIF($C$5:$C11,$C11))</f>
        <v>202610|1</v>
      </c>
      <c r="AF11" s="53">
        <f>IF($AC11&gt;0,SUMIFS(Q$4:Q10,$D$4:$D10,$D11,$Z$4:$Z10,$Z11,$C$4:$C10,$C11),0)</f>
        <v>0</v>
      </c>
      <c r="AG11" s="53">
        <f>IF($AC11&gt;0,SUMIFS(Q$4:Q10,$D$4:$D10,$D11,$C$4:$C10,$C11),0)</f>
        <v>0</v>
      </c>
      <c r="AH11" s="53">
        <f>IF($AC11&gt;0,SUMIFS(M$4:M10,$D$4:$D10,$D11,$Z$4:$Z10,$Z11,$C$4:$C10,$C11),0)</f>
        <v>0</v>
      </c>
      <c r="AI11" s="43">
        <f>IF(OR($C11="",$I11=""),0,IF(COUNTIFS($C$5:$C11,$C11,$I$5:$I11,$I11)=1,1,0))</f>
        <v>1</v>
      </c>
      <c r="AJ11" s="43">
        <f>IF($AI11=1,SUMIFS($AI$4:$AI10,$C$4:$C10,$C11)+1,"")</f>
        <v>1</v>
      </c>
      <c r="AK11" s="43">
        <f>IF(OR($C11="",$K11=""),0,IF(COUNTIFS($C$5:$C11,$C11,$K$5:$K11,$K11)=1,1,0))</f>
        <v>1</v>
      </c>
      <c r="AL11" s="43">
        <f>IF($AK11=1,SUMIFS($AK$4:$AK10,$C$4:$C10,$C11)+1,"")</f>
        <v>1</v>
      </c>
      <c r="AM11" s="43">
        <f>IF(OR($C11="",$G11=""),0,IF(COUNTIFS($C$5:$C11,$C11,$G$5:$G11,$G11)=1,1,0))</f>
        <v>1</v>
      </c>
      <c r="AN11" s="43">
        <f>IF($AM11=1,SUMIFS($AM$4:$AM10,$C$4:$C10,$C11)+1,"")</f>
        <v>1</v>
      </c>
    </row>
    <row r="12">
      <c r="A12" s="44" t="str">
        <f>IF(OR($B12="",$D12=""),"","TX"&amp;TEXT(ROW()-4,"0000"))</f>
        <v>TX0008</v>
      </c>
      <c r="B12" s="42" t="n">
        <v>46296</v>
      </c>
      <c r="C12" s="47">
        <f>IF($B12="","",YEAR($B12)*100+MONTH($B12))</f>
        <v>202610</v>
      </c>
      <c r="D12" s="37" t="inlineStr">
        <is>
          <t>VPB-JCBZ</t>
        </is>
      </c>
      <c r="E12" s="45" t="str">
        <f>IF($D12="","",IFERROR(INDEX(CARDS!$B$5:$B$34,MATCH($D12,CARDS!$A$5:$A$34,0)),"⚠ Card ID?"))</f>
        <v>VPBank</v>
      </c>
      <c r="F12" s="45" t="str">
        <f>IF($D12="","",IFERROR(INDEX(CARDS!$C$5:$C$34,MATCH($D12,CARDS!$A$5:$A$34,0)),"⚠ Card ID?"))</f>
        <v>JCB Z Card</v>
      </c>
      <c r="G12" s="37" t="inlineStr">
        <is>
          <t>Nhà hàng Hải Sản Biển Đông</t>
        </is>
      </c>
      <c r="H12" s="37" t="inlineStr">
        <is>
          <t>Ăn tối</t>
        </is>
      </c>
      <c r="I12" s="41" t="n">
        <v>5812</v>
      </c>
      <c r="J12" s="45" t="str">
        <f>IF($I12="","",IFERROR(INDEX(MCC_MASTER!$B$5:$B$504,MATCH($I12,MCC_MASTER!$A$5:$A$504,0)),"⚠ MCC chưa có"))</f>
        <v>Eating Places / Restaurants</v>
      </c>
      <c r="K12" s="45" t="str">
        <f>IF($I12="","",IFERROR(IF(INDEX(MCC_MASTER!$C$5:$C$504,MATCH($I12,MCC_MASTER!$A$5:$A$504,0))="","Chưa phân loại",INDEX(MCC_MASTER!$C$5:$C$504,MATCH($I12,MCC_MASTER!$A$5:$A$504,0))),"Chưa phân loại"))</f>
        <v>Dining</v>
      </c>
      <c r="L12" s="40" t="n">
        <v>1200000</v>
      </c>
      <c r="M12" s="48">
        <f>IF(OR($B12="",$D12=""),"",IF($AC12=0,0,IF(ISNUMBER(INDEX(CASHBACK_RULES!$L$5:$L$304,$AC12)),MAX(0,MIN($L12,INDEX(CASHBACK_RULES!$L$5:$L$304,$AC12)-$AH12)),MAX(0,$L12))))</f>
        <v>1200000</v>
      </c>
      <c r="N12" s="49">
        <f>IF(OR($B12="",$D12=""),"",IF($AC12&gt;0,INDEX(CASHBACK_RULES!$I$5:$I$304,$AC12),0))</f>
        <v>0.15</v>
      </c>
      <c r="O12" s="48">
        <f>IF(OR($B12="",$D12=""),"",ROUND($M12*$N12,0))</f>
        <v>180000</v>
      </c>
      <c r="P12" s="48">
        <f>IF($AC12&gt;0,IF(ISNUMBER(INDEX(CASHBACK_RULES!$J$5:$J$304,$AC12)),INDEX(CASHBACK_RULES!$J$5:$J$304,$AC12),"∞"),"")</f>
        <v>500000</v>
      </c>
      <c r="Q12" s="48">
        <f>IF(OR($B12="",$D12=""),"",IF($AC12=0,0,MAX(0,MIN($O12,IF(ISNUMBER($P12),$P12-$AF12,1E+15),IF(ISNUMBER($AA12),$AA12-$AG12,1E+15)))))</f>
        <v>180000</v>
      </c>
      <c r="R12" s="48">
        <f>IF(OR($B12="",$D12=""),"",IF($AC12=0,"",IF(AND(NOT(ISNUMBER($P12)),NOT(ISNUMBER($AA12))),"∞",MAX(0,MIN(IF(ISNUMBER($P12),$P12-$AF12-$Q12,1E+15),IF(ISNUMBER($AA12),$AA12-$AG12-$Q12,1E+15))))))</f>
        <v>320000</v>
      </c>
      <c r="S12" s="47">
        <f>IF($AD12="","",YEAR($AD12)*100+MONTH($AD12))</f>
        <v>202610</v>
      </c>
      <c r="T12" s="50">
        <f>IF($AD12="","",IFERROR(IF(INDEX(CARDS!$I$5:$I$34,MATCH($D12,CARDS!$A$5:$A$34,0))="","",IF(INDEX(CARDS!$I$5:$I$34,MATCH($D12,CARDS!$A$5:$A$34,0))&gt;INDEX(CARDS!$H$5:$H$34,MATCH($D12,CARDS!$A$5:$A$34,0)),DATE(YEAR($AD12),MONTH($AD12),MIN(INDEX(CARDS!$I$5:$I$34,MATCH($D12,CARDS!$A$5:$A$34,0)),DAY(EOMONTH($AD12,0)))),DATE(YEAR($AD12),MONTH($AD12)+1,MIN(INDEX(CARDS!$I$5:$I$34,MATCH($D12,CARDS!$A$5:$A$34,0)),DAY(EOMONTH($AD12,1)))))),""))</f>
        <v>46341.0</v>
      </c>
      <c r="U12" s="38" t="inlineStr">
        <is>
          <t>Posted</t>
        </is>
      </c>
      <c r="V12" s="37" t="inlineStr">
        <is>
          <t>SAMPLE DATA — có thể xóa</t>
        </is>
      </c>
      <c r="W12" s="38" t="n"/>
      <c r="X12" s="38" t="inlineStr">
        <is>
          <t>Chưa thanh toán</t>
        </is>
      </c>
      <c r="Y12" s="44" t="str">
        <f>IF($AC12&gt;0,INDEX(CASHBACK_RULES!$A$5:$A$304,$AC12),"")</f>
        <v>R002</v>
      </c>
      <c r="Z12" s="45" t="str">
        <f>IF($AC12&gt;0,INDEX(CASHBACK_RULES!$E$5:$E$304,$AC12)&amp;"","")</f>
        <v>Group 1</v>
      </c>
      <c r="AA12" s="48">
        <f>IF($AC12&gt;0,IF(ISNUMBER(INDEX(CASHBACK_RULES!$K$5:$K$304,$AC12)),INDEX(CASHBACK_RULES!$K$5:$K$304,$AC12),"∞"),"")</f>
        <v>1000000</v>
      </c>
      <c r="AB12" s="44" t="str">
        <f>IF(OR($B12="",$D12=""),"",IF($U12="Cancelled","Đã hủy",IF($AC12=0,"Không được hoàn",IF($Q12=0,IF(OR($O12&gt;0,$M12&lt;$L12),"Đã đạt cap","Không được hoàn"),IF(OR($Q12&lt;$O12,$M12&lt;$L12),"Hoàn một phần","Được hoàn")))))</f>
        <v>Được hoàn</v>
      </c>
      <c r="AC12" s="43">
        <f>IF(OR($B12="",$D12="",$I12="",$L12=""),0,IF($U12="Cancelled",0,IF($W12&lt;&gt;"",IFERROR(IF(INDEX(CASHBACK_RULES!$B$5:$B$304,MATCH($W12,CASHBACK_RULES!$A$5:$A$304,0))=$D12,MATCH($W12,CASHBACK_RULES!$A$5:$A$304,0),0),0),IFERROR(MATCH(1,INDEX((CASHBACK_RULES!$B$5:$B$304=$D12)*(CASHBACK_RULES!$G$5:$G$304=$I12)*(((CASHBACK_RULES!$N$5:$N$304="")+(CASHBACK_RULES!$N$5:$N$304&lt;=$B12))&gt;0)*(((CASHBACK_RULES!$O$5:$O$304="")+(CASHBACK_RULES!$O$5:$O$304&gt;=$B12))&gt;0)*(((CASHBACK_RULES!$M$5:$M$304="")+(CASHBACK_RULES!$M$5:$M$304&lt;=$L12))&gt;0),0),0),0))))</f>
        <v>2</v>
      </c>
      <c r="AD12" s="51">
        <f>IF(OR($B12="",$D12=""),"",IFERROR(IF(INDEX(CARDS!$H$5:$H$34,MATCH($D12,CARDS!$A$5:$A$34,0))="","",IF(DAY($B12)&lt;=INDEX(CARDS!$H$5:$H$34,MATCH($D12,CARDS!$A$5:$A$34,0)),DATE(YEAR($B12),MONTH($B12),MIN(INDEX(CARDS!$H$5:$H$34,MATCH($D12,CARDS!$A$5:$A$34,0)),DAY(EOMONTH($B12,0)))),DATE(YEAR($B12),MONTH($B12)+1,MIN(INDEX(CARDS!$H$5:$H$34,MATCH($D12,CARDS!$A$5:$A$34,0)),DAY(EOMONTH($B12,1)))))),""))</f>
        <v>46320.0</v>
      </c>
      <c r="AE12" s="52" t="str">
        <f>IF($C12="","",$C12&amp;"|"&amp;COUNTIF($C$5:$C12,$C12))</f>
        <v>202610|2</v>
      </c>
      <c r="AF12" s="53">
        <f>IF($AC12&gt;0,SUMIFS(Q$4:Q11,$D$4:$D11,$D12,$Z$4:$Z11,$Z12,$C$4:$C11,$C12),0)</f>
        <v>0</v>
      </c>
      <c r="AG12" s="53">
        <f>IF($AC12&gt;0,SUMIFS(Q$4:Q11,$D$4:$D11,$D12,$C$4:$C11,$C12),0)</f>
        <v>500000</v>
      </c>
      <c r="AH12" s="53">
        <f>IF($AC12&gt;0,SUMIFS(M$4:M11,$D$4:$D11,$D12,$Z$4:$Z11,$Z12,$C$4:$C11,$C12),0)</f>
        <v>0</v>
      </c>
      <c r="AI12" s="43">
        <f>IF(OR($C12="",$I12=""),0,IF(COUNTIFS($C$5:$C12,$C12,$I$5:$I12,$I12)=1,1,0))</f>
        <v>1</v>
      </c>
      <c r="AJ12" s="43">
        <f>IF($AI12=1,SUMIFS($AI$4:$AI11,$C$4:$C11,$C12)+1,"")</f>
        <v>2</v>
      </c>
      <c r="AK12" s="43">
        <f>IF(OR($C12="",$K12=""),0,IF(COUNTIFS($C$5:$C12,$C12,$K$5:$K12,$K12)=1,1,0))</f>
        <v>1</v>
      </c>
      <c r="AL12" s="43">
        <f>IF($AK12=1,SUMIFS($AK$4:$AK11,$C$4:$C11,$C12)+1,"")</f>
        <v>2</v>
      </c>
      <c r="AM12" s="43">
        <f>IF(OR($C12="",$G12=""),0,IF(COUNTIFS($C$5:$C12,$C12,$G$5:$G12,$G12)=1,1,0))</f>
        <v>1</v>
      </c>
      <c r="AN12" s="43">
        <f>IF($AM12=1,SUMIFS($AM$4:$AM11,$C$4:$C11,$C12)+1,"")</f>
        <v>2</v>
      </c>
    </row>
    <row r="13">
      <c r="A13" s="44" t="str">
        <f>IF(OR($B13="",$D13=""),"","TX"&amp;TEXT(ROW()-4,"0000"))</f>
        <v>TX0009</v>
      </c>
      <c r="B13" s="42" t="n">
        <v>46297</v>
      </c>
      <c r="C13" s="47">
        <f>IF($B13="","",YEAR($B13)*100+MONTH($B13))</f>
        <v>202610</v>
      </c>
      <c r="D13" s="37" t="inlineStr">
        <is>
          <t>VIB-A</t>
        </is>
      </c>
      <c r="E13" s="45" t="str">
        <f>IF($D13="","",IFERROR(INDEX(CARDS!$B$5:$B$34,MATCH($D13,CARDS!$A$5:$A$34,0)),"⚠ Card ID?"))</f>
        <v>VIB</v>
      </c>
      <c r="F13" s="45" t="str">
        <f>IF($D13="","",IFERROR(INDEX(CARDS!$C$5:$C$34,MATCH($D13,CARDS!$A$5:$A$34,0)),"⚠ Card ID?"))</f>
        <v>Cashback Demo A</v>
      </c>
      <c r="G13" s="37" t="inlineStr">
        <is>
          <t>WinMart</t>
        </is>
      </c>
      <c r="H13" s="37" t="inlineStr">
        <is>
          <t>Siêu thị</t>
        </is>
      </c>
      <c r="I13" s="41" t="n">
        <v>5411</v>
      </c>
      <c r="J13" s="45" t="str">
        <f>IF($I13="","",IFERROR(INDEX(MCC_MASTER!$B$5:$B$504,MATCH($I13,MCC_MASTER!$A$5:$A$504,0)),"⚠ MCC chưa có"))</f>
        <v>Grocery Stores / Supermarkets</v>
      </c>
      <c r="K13" s="45" t="str">
        <f>IF($I13="","",IFERROR(IF(INDEX(MCC_MASTER!$C$5:$C$504,MATCH($I13,MCC_MASTER!$A$5:$A$504,0))="","Chưa phân loại",INDEX(MCC_MASTER!$C$5:$C$504,MATCH($I13,MCC_MASTER!$A$5:$A$504,0))),"Chưa phân loại"))</f>
        <v>Groceries</v>
      </c>
      <c r="L13" s="40" t="n">
        <v>4500000</v>
      </c>
      <c r="M13" s="48">
        <f>IF(OR($B13="",$D13=""),"",IF($AC13=0,0,IF(ISNUMBER(INDEX(CASHBACK_RULES!$L$5:$L$304,$AC13)),MAX(0,MIN($L13,INDEX(CASHBACK_RULES!$L$5:$L$304,$AC13)-$AH13)),MAX(0,$L13))))</f>
        <v>4500000</v>
      </c>
      <c r="N13" s="49">
        <f>IF(OR($B13="",$D13=""),"",IF($AC13&gt;0,INDEX(CASHBACK_RULES!$I$5:$I$304,$AC13),0))</f>
        <v>0.1</v>
      </c>
      <c r="O13" s="48">
        <f>IF(OR($B13="",$D13=""),"",ROUND($M13*$N13,0))</f>
        <v>450000</v>
      </c>
      <c r="P13" s="48">
        <f>IF($AC13&gt;0,IF(ISNUMBER(INDEX(CASHBACK_RULES!$J$5:$J$304,$AC13)),INDEX(CASHBACK_RULES!$J$5:$J$304,$AC13),"∞"),"")</f>
        <v>500000</v>
      </c>
      <c r="Q13" s="48">
        <f>IF(OR($B13="",$D13=""),"",IF($AC13=0,0,MAX(0,MIN($O13,IF(ISNUMBER($P13),$P13-$AF13,1E+15),IF(ISNUMBER($AA13),$AA13-$AG13,1E+15)))))</f>
        <v>450000</v>
      </c>
      <c r="R13" s="48">
        <f>IF(OR($B13="",$D13=""),"",IF($AC13=0,"",IF(AND(NOT(ISNUMBER($P13)),NOT(ISNUMBER($AA13))),"∞",MAX(0,MIN(IF(ISNUMBER($P13),$P13-$AF13-$Q13,1E+15),IF(ISNUMBER($AA13),$AA13-$AG13-$Q13,1E+15))))))</f>
        <v>50000</v>
      </c>
      <c r="S13" s="47">
        <f>IF($AD13="","",YEAR($AD13)*100+MONTH($AD13))</f>
        <v>202610</v>
      </c>
      <c r="T13" s="50">
        <f>IF($AD13="","",IFERROR(IF(INDEX(CARDS!$I$5:$I$34,MATCH($D13,CARDS!$A$5:$A$34,0))="","",IF(INDEX(CARDS!$I$5:$I$34,MATCH($D13,CARDS!$A$5:$A$34,0))&gt;INDEX(CARDS!$H$5:$H$34,MATCH($D13,CARDS!$A$5:$A$34,0)),DATE(YEAR($AD13),MONTH($AD13),MIN(INDEX(CARDS!$I$5:$I$34,MATCH($D13,CARDS!$A$5:$A$34,0)),DAY(EOMONTH($AD13,0)))),DATE(YEAR($AD13),MONTH($AD13)+1,MIN(INDEX(CARDS!$I$5:$I$34,MATCH($D13,CARDS!$A$5:$A$34,0)),DAY(EOMONTH($AD13,1)))))),""))</f>
        <v>46320.0</v>
      </c>
      <c r="U13" s="38" t="inlineStr">
        <is>
          <t>Posted</t>
        </is>
      </c>
      <c r="V13" s="37" t="inlineStr">
        <is>
          <t>SAMPLE DATA — có thể xóa</t>
        </is>
      </c>
      <c r="W13" s="38" t="n"/>
      <c r="X13" s="38" t="inlineStr">
        <is>
          <t>Chưa thanh toán</t>
        </is>
      </c>
      <c r="Y13" s="44" t="str">
        <f>IF($AC13&gt;0,INDEX(CASHBACK_RULES!$A$5:$A$304,$AC13),"")</f>
        <v>R011</v>
      </c>
      <c r="Z13" s="45" t="str">
        <f>IF($AC13&gt;0,INDEX(CASHBACK_RULES!$E$5:$E$304,$AC13)&amp;"","")</f>
        <v>Group 1</v>
      </c>
      <c r="AA13" s="48">
        <f>IF($AC13&gt;0,IF(ISNUMBER(INDEX(CASHBACK_RULES!$K$5:$K$304,$AC13)),INDEX(CASHBACK_RULES!$K$5:$K$304,$AC13),"∞"),"")</f>
        <v>1000000</v>
      </c>
      <c r="AB13" s="44" t="str">
        <f>IF(OR($B13="",$D13=""),"",IF($U13="Cancelled","Đã hủy",IF($AC13=0,"Không được hoàn",IF($Q13=0,IF(OR($O13&gt;0,$M13&lt;$L13),"Đã đạt cap","Không được hoàn"),IF(OR($Q13&lt;$O13,$M13&lt;$L13),"Hoàn một phần","Được hoàn")))))</f>
        <v>Được hoàn</v>
      </c>
      <c r="AC13" s="43">
        <f>IF(OR($B13="",$D13="",$I13="",$L13=""),0,IF($U13="Cancelled",0,IF($W13&lt;&gt;"",IFERROR(IF(INDEX(CASHBACK_RULES!$B$5:$B$304,MATCH($W13,CASHBACK_RULES!$A$5:$A$304,0))=$D13,MATCH($W13,CASHBACK_RULES!$A$5:$A$304,0),0),0),IFERROR(MATCH(1,INDEX((CASHBACK_RULES!$B$5:$B$304=$D13)*(CASHBACK_RULES!$G$5:$G$304=$I13)*(((CASHBACK_RULES!$N$5:$N$304="")+(CASHBACK_RULES!$N$5:$N$304&lt;=$B13))&gt;0)*(((CASHBACK_RULES!$O$5:$O$304="")+(CASHBACK_RULES!$O$5:$O$304&gt;=$B13))&gt;0)*(((CASHBACK_RULES!$M$5:$M$304="")+(CASHBACK_RULES!$M$5:$M$304&lt;=$L13))&gt;0),0),0),0))))</f>
        <v>11</v>
      </c>
      <c r="AD13" s="51">
        <f>IF(OR($B13="",$D13=""),"",IFERROR(IF(INDEX(CARDS!$H$5:$H$34,MATCH($D13,CARDS!$A$5:$A$34,0))="","",IF(DAY($B13)&lt;=INDEX(CARDS!$H$5:$H$34,MATCH($D13,CARDS!$A$5:$A$34,0)),DATE(YEAR($B13),MONTH($B13),MIN(INDEX(CARDS!$H$5:$H$34,MATCH($D13,CARDS!$A$5:$A$34,0)),DAY(EOMONTH($B13,0)))),DATE(YEAR($B13),MONTH($B13)+1,MIN(INDEX(CARDS!$H$5:$H$34,MATCH($D13,CARDS!$A$5:$A$34,0)),DAY(EOMONTH($B13,1)))))),""))</f>
        <v>46300.0</v>
      </c>
      <c r="AE13" s="52" t="str">
        <f>IF($C13="","",$C13&amp;"|"&amp;COUNTIF($C$5:$C13,$C13))</f>
        <v>202610|3</v>
      </c>
      <c r="AF13" s="53">
        <f>IF($AC13&gt;0,SUMIFS(Q$4:Q12,$D$4:$D12,$D13,$Z$4:$Z12,$Z13,$C$4:$C12,$C13),0)</f>
        <v>0</v>
      </c>
      <c r="AG13" s="53">
        <f>IF($AC13&gt;0,SUMIFS(Q$4:Q12,$D$4:$D12,$D13,$C$4:$C12,$C13),0)</f>
        <v>0</v>
      </c>
      <c r="AH13" s="53">
        <f>IF($AC13&gt;0,SUMIFS(M$4:M12,$D$4:$D12,$D13,$Z$4:$Z12,$Z13,$C$4:$C12,$C13),0)</f>
        <v>0</v>
      </c>
      <c r="AI13" s="43">
        <f>IF(OR($C13="",$I13=""),0,IF(COUNTIFS($C$5:$C13,$C13,$I$5:$I13,$I13)=1,1,0))</f>
        <v>1</v>
      </c>
      <c r="AJ13" s="43">
        <f>IF($AI13=1,SUMIFS($AI$4:$AI12,$C$4:$C12,$C13)+1,"")</f>
        <v>3</v>
      </c>
      <c r="AK13" s="43">
        <f>IF(OR($C13="",$K13=""),0,IF(COUNTIFS($C$5:$C13,$C13,$K$5:$K13,$K13)=1,1,0))</f>
        <v>1</v>
      </c>
      <c r="AL13" s="43">
        <f>IF($AK13=1,SUMIFS($AK$4:$AK12,$C$4:$C12,$C13)+1,"")</f>
        <v>3</v>
      </c>
      <c r="AM13" s="43">
        <f>IF(OR($C13="",$G13=""),0,IF(COUNTIFS($C$5:$C13,$C13,$G$5:$G13,$G13)=1,1,0))</f>
        <v>1</v>
      </c>
      <c r="AN13" s="43">
        <f>IF($AM13=1,SUMIFS($AM$4:$AM12,$C$4:$C12,$C13)+1,"")</f>
        <v>3</v>
      </c>
    </row>
    <row r="14">
      <c r="A14" s="44" t="str">
        <f>IF(OR($B14="",$D14=""),"","TX"&amp;TEXT(ROW()-4,"0000"))</f>
        <v>TX0010</v>
      </c>
      <c r="B14" s="42" t="n">
        <v>46297</v>
      </c>
      <c r="C14" s="47">
        <f>IF($B14="","",YEAR($B14)*100+MONTH($B14))</f>
        <v>202610</v>
      </c>
      <c r="D14" s="37" t="inlineStr">
        <is>
          <t>VPB-JCBZ</t>
        </is>
      </c>
      <c r="E14" s="45" t="str">
        <f>IF($D14="","",IFERROR(INDEX(CARDS!$B$5:$B$34,MATCH($D14,CARDS!$A$5:$A$34,0)),"⚠ Card ID?"))</f>
        <v>VPBank</v>
      </c>
      <c r="F14" s="45" t="str">
        <f>IF($D14="","",IFERROR(INDEX(CARDS!$C$5:$C$34,MATCH($D14,CARDS!$A$5:$A$34,0)),"⚠ Card ID?"))</f>
        <v>JCB Z Card</v>
      </c>
      <c r="G14" s="37" t="inlineStr">
        <is>
          <t>Pizza 4P's</t>
        </is>
      </c>
      <c r="H14" s="37" t="inlineStr">
        <is>
          <t>Ăn trưa</t>
        </is>
      </c>
      <c r="I14" s="41" t="n">
        <v>5812</v>
      </c>
      <c r="J14" s="45" t="str">
        <f>IF($I14="","",IFERROR(INDEX(MCC_MASTER!$B$5:$B$504,MATCH($I14,MCC_MASTER!$A$5:$A$504,0)),"⚠ MCC chưa có"))</f>
        <v>Eating Places / Restaurants</v>
      </c>
      <c r="K14" s="45" t="str">
        <f>IF($I14="","",IFERROR(IF(INDEX(MCC_MASTER!$C$5:$C$504,MATCH($I14,MCC_MASTER!$A$5:$A$504,0))="","Chưa phân loại",INDEX(MCC_MASTER!$C$5:$C$504,MATCH($I14,MCC_MASTER!$A$5:$A$504,0))),"Chưa phân loại"))</f>
        <v>Dining</v>
      </c>
      <c r="L14" s="40" t="n">
        <v>800000</v>
      </c>
      <c r="M14" s="48">
        <f>IF(OR($B14="",$D14=""),"",IF($AC14=0,0,IF(ISNUMBER(INDEX(CASHBACK_RULES!$L$5:$L$304,$AC14)),MAX(0,MIN($L14,INDEX(CASHBACK_RULES!$L$5:$L$304,$AC14)-$AH14)),MAX(0,$L14))))</f>
        <v>800000</v>
      </c>
      <c r="N14" s="49">
        <f>IF(OR($B14="",$D14=""),"",IF($AC14&gt;0,INDEX(CASHBACK_RULES!$I$5:$I$304,$AC14),0))</f>
        <v>0.15</v>
      </c>
      <c r="O14" s="48">
        <f>IF(OR($B14="",$D14=""),"",ROUND($M14*$N14,0))</f>
        <v>120000</v>
      </c>
      <c r="P14" s="48">
        <f>IF($AC14&gt;0,IF(ISNUMBER(INDEX(CASHBACK_RULES!$J$5:$J$304,$AC14)),INDEX(CASHBACK_RULES!$J$5:$J$304,$AC14),"∞"),"")</f>
        <v>500000</v>
      </c>
      <c r="Q14" s="48">
        <f>IF(OR($B14="",$D14=""),"",IF($AC14=0,0,MAX(0,MIN($O14,IF(ISNUMBER($P14),$P14-$AF14,1E+15),IF(ISNUMBER($AA14),$AA14-$AG14,1E+15)))))</f>
        <v>120000</v>
      </c>
      <c r="R14" s="48">
        <f>IF(OR($B14="",$D14=""),"",IF($AC14=0,"",IF(AND(NOT(ISNUMBER($P14)),NOT(ISNUMBER($AA14))),"∞",MAX(0,MIN(IF(ISNUMBER($P14),$P14-$AF14-$Q14,1E+15),IF(ISNUMBER($AA14),$AA14-$AG14-$Q14,1E+15))))))</f>
        <v>200000</v>
      </c>
      <c r="S14" s="47">
        <f>IF($AD14="","",YEAR($AD14)*100+MONTH($AD14))</f>
        <v>202610</v>
      </c>
      <c r="T14" s="50">
        <f>IF($AD14="","",IFERROR(IF(INDEX(CARDS!$I$5:$I$34,MATCH($D14,CARDS!$A$5:$A$34,0))="","",IF(INDEX(CARDS!$I$5:$I$34,MATCH($D14,CARDS!$A$5:$A$34,0))&gt;INDEX(CARDS!$H$5:$H$34,MATCH($D14,CARDS!$A$5:$A$34,0)),DATE(YEAR($AD14),MONTH($AD14),MIN(INDEX(CARDS!$I$5:$I$34,MATCH($D14,CARDS!$A$5:$A$34,0)),DAY(EOMONTH($AD14,0)))),DATE(YEAR($AD14),MONTH($AD14)+1,MIN(INDEX(CARDS!$I$5:$I$34,MATCH($D14,CARDS!$A$5:$A$34,0)),DAY(EOMONTH($AD14,1)))))),""))</f>
        <v>46341.0</v>
      </c>
      <c r="U14" s="38" t="inlineStr">
        <is>
          <t>Posted</t>
        </is>
      </c>
      <c r="V14" s="37" t="inlineStr">
        <is>
          <t>SAMPLE DATA — có thể xóa</t>
        </is>
      </c>
      <c r="W14" s="38" t="n"/>
      <c r="X14" s="38" t="inlineStr">
        <is>
          <t>Chưa thanh toán</t>
        </is>
      </c>
      <c r="Y14" s="44" t="str">
        <f>IF($AC14&gt;0,INDEX(CASHBACK_RULES!$A$5:$A$304,$AC14),"")</f>
        <v>R002</v>
      </c>
      <c r="Z14" s="45" t="str">
        <f>IF($AC14&gt;0,INDEX(CASHBACK_RULES!$E$5:$E$304,$AC14)&amp;"","")</f>
        <v>Group 1</v>
      </c>
      <c r="AA14" s="48">
        <f>IF($AC14&gt;0,IF(ISNUMBER(INDEX(CASHBACK_RULES!$K$5:$K$304,$AC14)),INDEX(CASHBACK_RULES!$K$5:$K$304,$AC14),"∞"),"")</f>
        <v>1000000</v>
      </c>
      <c r="AB14" s="44" t="str">
        <f>IF(OR($B14="",$D14=""),"",IF($U14="Cancelled","Đã hủy",IF($AC14=0,"Không được hoàn",IF($Q14=0,IF(OR($O14&gt;0,$M14&lt;$L14),"Đã đạt cap","Không được hoàn"),IF(OR($Q14&lt;$O14,$M14&lt;$L14),"Hoàn một phần","Được hoàn")))))</f>
        <v>Được hoàn</v>
      </c>
      <c r="AC14" s="43">
        <f>IF(OR($B14="",$D14="",$I14="",$L14=""),0,IF($U14="Cancelled",0,IF($W14&lt;&gt;"",IFERROR(IF(INDEX(CASHBACK_RULES!$B$5:$B$304,MATCH($W14,CASHBACK_RULES!$A$5:$A$304,0))=$D14,MATCH($W14,CASHBACK_RULES!$A$5:$A$304,0),0),0),IFERROR(MATCH(1,INDEX((CASHBACK_RULES!$B$5:$B$304=$D14)*(CASHBACK_RULES!$G$5:$G$304=$I14)*(((CASHBACK_RULES!$N$5:$N$304="")+(CASHBACK_RULES!$N$5:$N$304&lt;=$B14))&gt;0)*(((CASHBACK_RULES!$O$5:$O$304="")+(CASHBACK_RULES!$O$5:$O$304&gt;=$B14))&gt;0)*(((CASHBACK_RULES!$M$5:$M$304="")+(CASHBACK_RULES!$M$5:$M$304&lt;=$L14))&gt;0),0),0),0))))</f>
        <v>2</v>
      </c>
      <c r="AD14" s="51">
        <f>IF(OR($B14="",$D14=""),"",IFERROR(IF(INDEX(CARDS!$H$5:$H$34,MATCH($D14,CARDS!$A$5:$A$34,0))="","",IF(DAY($B14)&lt;=INDEX(CARDS!$H$5:$H$34,MATCH($D14,CARDS!$A$5:$A$34,0)),DATE(YEAR($B14),MONTH($B14),MIN(INDEX(CARDS!$H$5:$H$34,MATCH($D14,CARDS!$A$5:$A$34,0)),DAY(EOMONTH($B14,0)))),DATE(YEAR($B14),MONTH($B14)+1,MIN(INDEX(CARDS!$H$5:$H$34,MATCH($D14,CARDS!$A$5:$A$34,0)),DAY(EOMONTH($B14,1)))))),""))</f>
        <v>46320.0</v>
      </c>
      <c r="AE14" s="52" t="str">
        <f>IF($C14="","",$C14&amp;"|"&amp;COUNTIF($C$5:$C14,$C14))</f>
        <v>202610|4</v>
      </c>
      <c r="AF14" s="53">
        <f>IF($AC14&gt;0,SUMIFS(Q$4:Q13,$D$4:$D13,$D14,$Z$4:$Z13,$Z14,$C$4:$C13,$C14),0)</f>
        <v>180000</v>
      </c>
      <c r="AG14" s="53">
        <f>IF($AC14&gt;0,SUMIFS(Q$4:Q13,$D$4:$D13,$D14,$C$4:$C13,$C14),0)</f>
        <v>680000</v>
      </c>
      <c r="AH14" s="53">
        <f>IF($AC14&gt;0,SUMIFS(M$4:M13,$D$4:$D13,$D14,$Z$4:$Z13,$Z14,$C$4:$C13,$C14),0)</f>
        <v>1200000</v>
      </c>
      <c r="AI14" s="43">
        <f>IF(OR($C14="",$I14=""),0,IF(COUNTIFS($C$5:$C14,$C14,$I$5:$I14,$I14)=1,1,0))</f>
        <v>0</v>
      </c>
      <c r="AJ14" s="43" t="str">
        <f>IF($AI14=1,SUMIFS($AI$4:$AI13,$C$4:$C13,$C14)+1,"")</f>
        <v/>
      </c>
      <c r="AK14" s="43">
        <f>IF(OR($C14="",$K14=""),0,IF(COUNTIFS($C$5:$C14,$C14,$K$5:$K14,$K14)=1,1,0))</f>
        <v>0</v>
      </c>
      <c r="AL14" s="43" t="str">
        <f>IF($AK14=1,SUMIFS($AK$4:$AK13,$C$4:$C13,$C14)+1,"")</f>
        <v/>
      </c>
      <c r="AM14" s="43">
        <f>IF(OR($C14="",$G14=""),0,IF(COUNTIFS($C$5:$C14,$C14,$G$5:$G14,$G14)=1,1,0))</f>
        <v>1</v>
      </c>
      <c r="AN14" s="43">
        <f>IF($AM14=1,SUMIFS($AM$4:$AM13,$C$4:$C13,$C14)+1,"")</f>
        <v>4</v>
      </c>
    </row>
    <row r="15">
      <c r="A15" s="44" t="str">
        <f>IF(OR($B15="",$D15=""),"","TX"&amp;TEXT(ROW()-4,"0000"))</f>
        <v>TX0011</v>
      </c>
      <c r="B15" s="42" t="n">
        <v>46297</v>
      </c>
      <c r="C15" s="47">
        <f>IF($B15="","",YEAR($B15)*100+MONTH($B15))</f>
        <v>202610</v>
      </c>
      <c r="D15" s="37" t="inlineStr">
        <is>
          <t>UOB-C</t>
        </is>
      </c>
      <c r="E15" s="45" t="str">
        <f>IF($D15="","",IFERROR(INDEX(CARDS!$B$5:$B$34,MATCH($D15,CARDS!$A$5:$A$34,0)),"⚠ Card ID?"))</f>
        <v>UOB</v>
      </c>
      <c r="F15" s="45" t="str">
        <f>IF($D15="","",IFERROR(INDEX(CARDS!$C$5:$C$34,MATCH($D15,CARDS!$A$5:$A$34,0)),"⚠ Card ID?"))</f>
        <v>Cashback Demo C</v>
      </c>
      <c r="G15" s="37" t="inlineStr">
        <is>
          <t>Sushi Hokkaido</t>
        </is>
      </c>
      <c r="H15" s="37" t="inlineStr">
        <is>
          <t>Ăn tối</t>
        </is>
      </c>
      <c r="I15" s="41" t="n">
        <v>5812</v>
      </c>
      <c r="J15" s="45" t="str">
        <f>IF($I15="","",IFERROR(INDEX(MCC_MASTER!$B$5:$B$504,MATCH($I15,MCC_MASTER!$A$5:$A$504,0)),"⚠ MCC chưa có"))</f>
        <v>Eating Places / Restaurants</v>
      </c>
      <c r="K15" s="45" t="str">
        <f>IF($I15="","",IFERROR(IF(INDEX(MCC_MASTER!$C$5:$C$504,MATCH($I15,MCC_MASTER!$A$5:$A$504,0))="","Chưa phân loại",INDEX(MCC_MASTER!$C$5:$C$504,MATCH($I15,MCC_MASTER!$A$5:$A$504,0))),"Chưa phân loại"))</f>
        <v>Dining</v>
      </c>
      <c r="L15" s="40" t="n">
        <v>4000000</v>
      </c>
      <c r="M15" s="48">
        <f>IF(OR($B15="",$D15=""),"",IF($AC15=0,0,IF(ISNUMBER(INDEX(CASHBACK_RULES!$L$5:$L$304,$AC15)),MAX(0,MIN($L15,INDEX(CASHBACK_RULES!$L$5:$L$304,$AC15)-$AH15)),MAX(0,$L15))))</f>
        <v>4000000</v>
      </c>
      <c r="N15" s="49">
        <f>IF(OR($B15="",$D15=""),"",IF($AC15&gt;0,INDEX(CASHBACK_RULES!$I$5:$I$304,$AC15),0))</f>
        <v>0.15</v>
      </c>
      <c r="O15" s="48">
        <f>IF(OR($B15="",$D15=""),"",ROUND($M15*$N15,0))</f>
        <v>600000</v>
      </c>
      <c r="P15" s="48">
        <f>IF($AC15&gt;0,IF(ISNUMBER(INDEX(CASHBACK_RULES!$J$5:$J$304,$AC15)),INDEX(CASHBACK_RULES!$J$5:$J$304,$AC15),"∞"),"")</f>
        <v>1000000</v>
      </c>
      <c r="Q15" s="48">
        <f>IF(OR($B15="",$D15=""),"",IF($AC15=0,0,MAX(0,MIN($O15,IF(ISNUMBER($P15),$P15-$AF15,1E+15),IF(ISNUMBER($AA15),$AA15-$AG15,1E+15)))))</f>
        <v>600000</v>
      </c>
      <c r="R15" s="48">
        <f>IF(OR($B15="",$D15=""),"",IF($AC15=0,"",IF(AND(NOT(ISNUMBER($P15)),NOT(ISNUMBER($AA15))),"∞",MAX(0,MIN(IF(ISNUMBER($P15),$P15-$AF15-$Q15,1E+15),IF(ISNUMBER($AA15),$AA15-$AG15-$Q15,1E+15))))))</f>
        <v>400000</v>
      </c>
      <c r="S15" s="47">
        <f>IF($AD15="","",YEAR($AD15)*100+MONTH($AD15))</f>
        <v>202610</v>
      </c>
      <c r="T15" s="50">
        <f>IF($AD15="","",IFERROR(IF(INDEX(CARDS!$I$5:$I$34,MATCH($D15,CARDS!$A$5:$A$34,0))="","",IF(INDEX(CARDS!$I$5:$I$34,MATCH($D15,CARDS!$A$5:$A$34,0))&gt;INDEX(CARDS!$H$5:$H$34,MATCH($D15,CARDS!$A$5:$A$34,0)),DATE(YEAR($AD15),MONTH($AD15),MIN(INDEX(CARDS!$I$5:$I$34,MATCH($D15,CARDS!$A$5:$A$34,0)),DAY(EOMONTH($AD15,0)))),DATE(YEAR($AD15),MONTH($AD15)+1,MIN(INDEX(CARDS!$I$5:$I$34,MATCH($D15,CARDS!$A$5:$A$34,0)),DAY(EOMONTH($AD15,1)))))),""))</f>
        <v>46323.0</v>
      </c>
      <c r="U15" s="38" t="inlineStr">
        <is>
          <t>Posted</t>
        </is>
      </c>
      <c r="V15" s="37" t="inlineStr">
        <is>
          <t>SAMPLE DATA — có thể xóa</t>
        </is>
      </c>
      <c r="W15" s="38" t="n"/>
      <c r="X15" s="38" t="inlineStr">
        <is>
          <t>Chưa thanh toán</t>
        </is>
      </c>
      <c r="Y15" s="44" t="str">
        <f>IF($AC15&gt;0,INDEX(CASHBACK_RULES!$A$5:$A$304,$AC15),"")</f>
        <v>R022</v>
      </c>
      <c r="Z15" s="45" t="str">
        <f>IF($AC15&gt;0,INDEX(CASHBACK_RULES!$E$5:$E$304,$AC15)&amp;"","")</f>
        <v>Group 1</v>
      </c>
      <c r="AA15" s="48" t="str">
        <f>IF($AC15&gt;0,IF(ISNUMBER(INDEX(CASHBACK_RULES!$K$5:$K$304,$AC15)),INDEX(CASHBACK_RULES!$K$5:$K$304,$AC15),"∞"),"")</f>
        <v>∞</v>
      </c>
      <c r="AB15" s="44" t="str">
        <f>IF(OR($B15="",$D15=""),"",IF($U15="Cancelled","Đã hủy",IF($AC15=0,"Không được hoàn",IF($Q15=0,IF(OR($O15&gt;0,$M15&lt;$L15),"Đã đạt cap","Không được hoàn"),IF(OR($Q15&lt;$O15,$M15&lt;$L15),"Hoàn một phần","Được hoàn")))))</f>
        <v>Được hoàn</v>
      </c>
      <c r="AC15" s="43">
        <f>IF(OR($B15="",$D15="",$I15="",$L15=""),0,IF($U15="Cancelled",0,IF($W15&lt;&gt;"",IFERROR(IF(INDEX(CASHBACK_RULES!$B$5:$B$304,MATCH($W15,CASHBACK_RULES!$A$5:$A$304,0))=$D15,MATCH($W15,CASHBACK_RULES!$A$5:$A$304,0),0),0),IFERROR(MATCH(1,INDEX((CASHBACK_RULES!$B$5:$B$304=$D15)*(CASHBACK_RULES!$G$5:$G$304=$I15)*(((CASHBACK_RULES!$N$5:$N$304="")+(CASHBACK_RULES!$N$5:$N$304&lt;=$B15))&gt;0)*(((CASHBACK_RULES!$O$5:$O$304="")+(CASHBACK_RULES!$O$5:$O$304&gt;=$B15))&gt;0)*(((CASHBACK_RULES!$M$5:$M$304="")+(CASHBACK_RULES!$M$5:$M$304&lt;=$L15))&gt;0),0),0),0))))</f>
        <v>22</v>
      </c>
      <c r="AD15" s="51">
        <f>IF(OR($B15="",$D15=""),"",IFERROR(IF(INDEX(CARDS!$H$5:$H$34,MATCH($D15,CARDS!$A$5:$A$34,0))="","",IF(DAY($B15)&lt;=INDEX(CARDS!$H$5:$H$34,MATCH($D15,CARDS!$A$5:$A$34,0)),DATE(YEAR($B15),MONTH($B15),MIN(INDEX(CARDS!$H$5:$H$34,MATCH($D15,CARDS!$A$5:$A$34,0)),DAY(EOMONTH($B15,0)))),DATE(YEAR($B15),MONTH($B15)+1,MIN(INDEX(CARDS!$H$5:$H$34,MATCH($D15,CARDS!$A$5:$A$34,0)),DAY(EOMONTH($B15,1)))))),""))</f>
        <v>46305.0</v>
      </c>
      <c r="AE15" s="52" t="str">
        <f>IF($C15="","",$C15&amp;"|"&amp;COUNTIF($C$5:$C15,$C15))</f>
        <v>202610|5</v>
      </c>
      <c r="AF15" s="53">
        <f>IF($AC15&gt;0,SUMIFS(Q$4:Q14,$D$4:$D14,$D15,$Z$4:$Z14,$Z15,$C$4:$C14,$C15),0)</f>
        <v>0</v>
      </c>
      <c r="AG15" s="53">
        <f>IF($AC15&gt;0,SUMIFS(Q$4:Q14,$D$4:$D14,$D15,$C$4:$C14,$C15),0)</f>
        <v>0</v>
      </c>
      <c r="AH15" s="53">
        <f>IF($AC15&gt;0,SUMIFS(M$4:M14,$D$4:$D14,$D15,$Z$4:$Z14,$Z15,$C$4:$C14,$C15),0)</f>
        <v>0</v>
      </c>
      <c r="AI15" s="43">
        <f>IF(OR($C15="",$I15=""),0,IF(COUNTIFS($C$5:$C15,$C15,$I$5:$I15,$I15)=1,1,0))</f>
        <v>0</v>
      </c>
      <c r="AJ15" s="43" t="str">
        <f>IF($AI15=1,SUMIFS($AI$4:$AI14,$C$4:$C14,$C15)+1,"")</f>
        <v/>
      </c>
      <c r="AK15" s="43">
        <f>IF(OR($C15="",$K15=""),0,IF(COUNTIFS($C$5:$C15,$C15,$K$5:$K15,$K15)=1,1,0))</f>
        <v>0</v>
      </c>
      <c r="AL15" s="43" t="str">
        <f>IF($AK15=1,SUMIFS($AK$4:$AK14,$C$4:$C14,$C15)+1,"")</f>
        <v/>
      </c>
      <c r="AM15" s="43">
        <f>IF(OR($C15="",$G15=""),0,IF(COUNTIFS($C$5:$C15,$C15,$G$5:$G15,$G15)=1,1,0))</f>
        <v>1</v>
      </c>
      <c r="AN15" s="43">
        <f>IF($AM15=1,SUMIFS($AM$4:$AM14,$C$4:$C14,$C15)+1,"")</f>
        <v>5</v>
      </c>
    </row>
    <row r="16">
      <c r="A16" s="44" t="str">
        <f>IF(OR($B16="",$D16=""),"","TX"&amp;TEXT(ROW()-4,"0000"))</f>
        <v>TX0012</v>
      </c>
      <c r="B16" s="42" t="n">
        <v>46298</v>
      </c>
      <c r="C16" s="47">
        <f>IF($B16="","",YEAR($B16)*100+MONTH($B16))</f>
        <v>202610</v>
      </c>
      <c r="D16" s="37" t="inlineStr">
        <is>
          <t>VPB-JCBZ</t>
        </is>
      </c>
      <c r="E16" s="45" t="str">
        <f>IF($D16="","",IFERROR(INDEX(CARDS!$B$5:$B$34,MATCH($D16,CARDS!$A$5:$A$34,0)),"⚠ Card ID?"))</f>
        <v>VPBank</v>
      </c>
      <c r="F16" s="45" t="str">
        <f>IF($D16="","",IFERROR(INDEX(CARDS!$C$5:$C$34,MATCH($D16,CARDS!$A$5:$A$34,0)),"⚠ Card ID?"))</f>
        <v>JCB Z Card</v>
      </c>
      <c r="G16" s="37" t="inlineStr">
        <is>
          <t>Pub Beer Corner</t>
        </is>
      </c>
      <c r="H16" s="37" t="inlineStr">
        <is>
          <t>Bar</t>
        </is>
      </c>
      <c r="I16" s="41" t="n">
        <v>5813</v>
      </c>
      <c r="J16" s="45" t="str">
        <f>IF($I16="","",IFERROR(INDEX(MCC_MASTER!$B$5:$B$504,MATCH($I16,MCC_MASTER!$A$5:$A$504,0)),"⚠ MCC chưa có"))</f>
        <v>Drinking Places (Bars, Taverns)</v>
      </c>
      <c r="K16" s="45" t="str">
        <f>IF($I16="","",IFERROR(IF(INDEX(MCC_MASTER!$C$5:$C$504,MATCH($I16,MCC_MASTER!$A$5:$A$504,0))="","Chưa phân loại",INDEX(MCC_MASTER!$C$5:$C$504,MATCH($I16,MCC_MASTER!$A$5:$A$504,0))),"Chưa phân loại"))</f>
        <v>Dining</v>
      </c>
      <c r="L16" s="40" t="n">
        <v>600000</v>
      </c>
      <c r="M16" s="48">
        <f>IF(OR($B16="",$D16=""),"",IF($AC16=0,0,IF(ISNUMBER(INDEX(CASHBACK_RULES!$L$5:$L$304,$AC16)),MAX(0,MIN($L16,INDEX(CASHBACK_RULES!$L$5:$L$304,$AC16)-$AH16)),MAX(0,$L16))))</f>
        <v>600000</v>
      </c>
      <c r="N16" s="49">
        <f>IF(OR($B16="",$D16=""),"",IF($AC16&gt;0,INDEX(CASHBACK_RULES!$I$5:$I$304,$AC16),0))</f>
        <v>0.15</v>
      </c>
      <c r="O16" s="48">
        <f>IF(OR($B16="",$D16=""),"",ROUND($M16*$N16,0))</f>
        <v>90000</v>
      </c>
      <c r="P16" s="48">
        <f>IF($AC16&gt;0,IF(ISNUMBER(INDEX(CASHBACK_RULES!$J$5:$J$304,$AC16)),INDEX(CASHBACK_RULES!$J$5:$J$304,$AC16),"∞"),"")</f>
        <v>500000</v>
      </c>
      <c r="Q16" s="48">
        <f>IF(OR($B16="",$D16=""),"",IF($AC16=0,0,MAX(0,MIN($O16,IF(ISNUMBER($P16),$P16-$AF16,1E+15),IF(ISNUMBER($AA16),$AA16-$AG16,1E+15)))))</f>
        <v>90000</v>
      </c>
      <c r="R16" s="48">
        <f>IF(OR($B16="",$D16=""),"",IF($AC16=0,"",IF(AND(NOT(ISNUMBER($P16)),NOT(ISNUMBER($AA16))),"∞",MAX(0,MIN(IF(ISNUMBER($P16),$P16-$AF16-$Q16,1E+15),IF(ISNUMBER($AA16),$AA16-$AG16-$Q16,1E+15))))))</f>
        <v>110000</v>
      </c>
      <c r="S16" s="47">
        <f>IF($AD16="","",YEAR($AD16)*100+MONTH($AD16))</f>
        <v>202610</v>
      </c>
      <c r="T16" s="50">
        <f>IF($AD16="","",IFERROR(IF(INDEX(CARDS!$I$5:$I$34,MATCH($D16,CARDS!$A$5:$A$34,0))="","",IF(INDEX(CARDS!$I$5:$I$34,MATCH($D16,CARDS!$A$5:$A$34,0))&gt;INDEX(CARDS!$H$5:$H$34,MATCH($D16,CARDS!$A$5:$A$34,0)),DATE(YEAR($AD16),MONTH($AD16),MIN(INDEX(CARDS!$I$5:$I$34,MATCH($D16,CARDS!$A$5:$A$34,0)),DAY(EOMONTH($AD16,0)))),DATE(YEAR($AD16),MONTH($AD16)+1,MIN(INDEX(CARDS!$I$5:$I$34,MATCH($D16,CARDS!$A$5:$A$34,0)),DAY(EOMONTH($AD16,1)))))),""))</f>
        <v>46341.0</v>
      </c>
      <c r="U16" s="38" t="inlineStr">
        <is>
          <t>Posted</t>
        </is>
      </c>
      <c r="V16" s="37" t="inlineStr">
        <is>
          <t>SAMPLE DATA — có thể xóa</t>
        </is>
      </c>
      <c r="W16" s="38" t="n"/>
      <c r="X16" s="38" t="inlineStr">
        <is>
          <t>Chưa thanh toán</t>
        </is>
      </c>
      <c r="Y16" s="44" t="str">
        <f>IF($AC16&gt;0,INDEX(CASHBACK_RULES!$A$5:$A$304,$AC16),"")</f>
        <v>R003</v>
      </c>
      <c r="Z16" s="45" t="str">
        <f>IF($AC16&gt;0,INDEX(CASHBACK_RULES!$E$5:$E$304,$AC16)&amp;"","")</f>
        <v>Group 1</v>
      </c>
      <c r="AA16" s="48">
        <f>IF($AC16&gt;0,IF(ISNUMBER(INDEX(CASHBACK_RULES!$K$5:$K$304,$AC16)),INDEX(CASHBACK_RULES!$K$5:$K$304,$AC16),"∞"),"")</f>
        <v>1000000</v>
      </c>
      <c r="AB16" s="44" t="str">
        <f>IF(OR($B16="",$D16=""),"",IF($U16="Cancelled","Đã hủy",IF($AC16=0,"Không được hoàn",IF($Q16=0,IF(OR($O16&gt;0,$M16&lt;$L16),"Đã đạt cap","Không được hoàn"),IF(OR($Q16&lt;$O16,$M16&lt;$L16),"Hoàn một phần","Được hoàn")))))</f>
        <v>Được hoàn</v>
      </c>
      <c r="AC16" s="43">
        <f>IF(OR($B16="",$D16="",$I16="",$L16=""),0,IF($U16="Cancelled",0,IF($W16&lt;&gt;"",IFERROR(IF(INDEX(CASHBACK_RULES!$B$5:$B$304,MATCH($W16,CASHBACK_RULES!$A$5:$A$304,0))=$D16,MATCH($W16,CASHBACK_RULES!$A$5:$A$304,0),0),0),IFERROR(MATCH(1,INDEX((CASHBACK_RULES!$B$5:$B$304=$D16)*(CASHBACK_RULES!$G$5:$G$304=$I16)*(((CASHBACK_RULES!$N$5:$N$304="")+(CASHBACK_RULES!$N$5:$N$304&lt;=$B16))&gt;0)*(((CASHBACK_RULES!$O$5:$O$304="")+(CASHBACK_RULES!$O$5:$O$304&gt;=$B16))&gt;0)*(((CASHBACK_RULES!$M$5:$M$304="")+(CASHBACK_RULES!$M$5:$M$304&lt;=$L16))&gt;0),0),0),0))))</f>
        <v>3</v>
      </c>
      <c r="AD16" s="51">
        <f>IF(OR($B16="",$D16=""),"",IFERROR(IF(INDEX(CARDS!$H$5:$H$34,MATCH($D16,CARDS!$A$5:$A$34,0))="","",IF(DAY($B16)&lt;=INDEX(CARDS!$H$5:$H$34,MATCH($D16,CARDS!$A$5:$A$34,0)),DATE(YEAR($B16),MONTH($B16),MIN(INDEX(CARDS!$H$5:$H$34,MATCH($D16,CARDS!$A$5:$A$34,0)),DAY(EOMONTH($B16,0)))),DATE(YEAR($B16),MONTH($B16)+1,MIN(INDEX(CARDS!$H$5:$H$34,MATCH($D16,CARDS!$A$5:$A$34,0)),DAY(EOMONTH($B16,1)))))),""))</f>
        <v>46320.0</v>
      </c>
      <c r="AE16" s="52" t="str">
        <f>IF($C16="","",$C16&amp;"|"&amp;COUNTIF($C$5:$C16,$C16))</f>
        <v>202610|6</v>
      </c>
      <c r="AF16" s="53">
        <f>IF($AC16&gt;0,SUMIFS(Q$4:Q15,$D$4:$D15,$D16,$Z$4:$Z15,$Z16,$C$4:$C15,$C16),0)</f>
        <v>300000</v>
      </c>
      <c r="AG16" s="53">
        <f>IF($AC16&gt;0,SUMIFS(Q$4:Q15,$D$4:$D15,$D16,$C$4:$C15,$C16),0)</f>
        <v>800000</v>
      </c>
      <c r="AH16" s="53">
        <f>IF($AC16&gt;0,SUMIFS(M$4:M15,$D$4:$D15,$D16,$Z$4:$Z15,$Z16,$C$4:$C15,$C16),0)</f>
        <v>2000000</v>
      </c>
      <c r="AI16" s="43">
        <f>IF(OR($C16="",$I16=""),0,IF(COUNTIFS($C$5:$C16,$C16,$I$5:$I16,$I16)=1,1,0))</f>
        <v>1</v>
      </c>
      <c r="AJ16" s="43">
        <f>IF($AI16=1,SUMIFS($AI$4:$AI15,$C$4:$C15,$C16)+1,"")</f>
        <v>4</v>
      </c>
      <c r="AK16" s="43">
        <f>IF(OR($C16="",$K16=""),0,IF(COUNTIFS($C$5:$C16,$C16,$K$5:$K16,$K16)=1,1,0))</f>
        <v>0</v>
      </c>
      <c r="AL16" s="43" t="str">
        <f>IF($AK16=1,SUMIFS($AK$4:$AK15,$C$4:$C15,$C16)+1,"")</f>
        <v/>
      </c>
      <c r="AM16" s="43">
        <f>IF(OR($C16="",$G16=""),0,IF(COUNTIFS($C$5:$C16,$C16,$G$5:$G16,$G16)=1,1,0))</f>
        <v>1</v>
      </c>
      <c r="AN16" s="43">
        <f>IF($AM16=1,SUMIFS($AM$4:$AM15,$C$4:$C15,$C16)+1,"")</f>
        <v>6</v>
      </c>
    </row>
    <row r="17">
      <c r="A17" s="44" t="str">
        <f>IF(OR($B17="",$D17=""),"","TX"&amp;TEXT(ROW()-4,"0000"))</f>
        <v>TX0013</v>
      </c>
      <c r="B17" s="42" t="n">
        <v>46298</v>
      </c>
      <c r="C17" s="47">
        <f>IF($B17="","",YEAR($B17)*100+MONTH($B17))</f>
        <v>202610</v>
      </c>
      <c r="D17" s="37" t="inlineStr">
        <is>
          <t>TCB-B</t>
        </is>
      </c>
      <c r="E17" s="45" t="str">
        <f>IF($D17="","",IFERROR(INDEX(CARDS!$B$5:$B$34,MATCH($D17,CARDS!$A$5:$A$34,0)),"⚠ Card ID?"))</f>
        <v>Techcombank</v>
      </c>
      <c r="F17" s="45" t="str">
        <f>IF($D17="","",IFERROR(INDEX(CARDS!$C$5:$C$34,MATCH($D17,CARDS!$A$5:$A$34,0)),"⚠ Card ID?"))</f>
        <v>Cashback Demo B</v>
      </c>
      <c r="G17" s="37" t="inlineStr">
        <is>
          <t>Petrolimex</t>
        </is>
      </c>
      <c r="H17" s="37" t="inlineStr">
        <is>
          <t>Xăng</t>
        </is>
      </c>
      <c r="I17" s="41" t="n">
        <v>5541</v>
      </c>
      <c r="J17" s="45" t="str">
        <f>IF($I17="","",IFERROR(INDEX(MCC_MASTER!$B$5:$B$504,MATCH($I17,MCC_MASTER!$A$5:$A$504,0)),"⚠ MCC chưa có"))</f>
        <v>Service Stations</v>
      </c>
      <c r="K17" s="45" t="str">
        <f>IF($I17="","",IFERROR(IF(INDEX(MCC_MASTER!$C$5:$C$504,MATCH($I17,MCC_MASTER!$A$5:$A$504,0))="","Chưa phân loại",INDEX(MCC_MASTER!$C$5:$C$504,MATCH($I17,MCC_MASTER!$A$5:$A$504,0))),"Chưa phân loại"))</f>
        <v>Fuel</v>
      </c>
      <c r="L17" s="40" t="n">
        <v>6500000</v>
      </c>
      <c r="M17" s="48">
        <f>IF(OR($B17="",$D17=""),"",IF($AC17=0,0,IF(ISNUMBER(INDEX(CASHBACK_RULES!$L$5:$L$304,$AC17)),MAX(0,MIN($L17,INDEX(CASHBACK_RULES!$L$5:$L$304,$AC17)-$AH17)),MAX(0,$L17))))</f>
        <v>6500000</v>
      </c>
      <c r="N17" s="49">
        <f>IF(OR($B17="",$D17=""),"",IF($AC17&gt;0,INDEX(CASHBACK_RULES!$I$5:$I$304,$AC17),0))</f>
        <v>0.05</v>
      </c>
      <c r="O17" s="48">
        <f>IF(OR($B17="",$D17=""),"",ROUND($M17*$N17,0))</f>
        <v>325000</v>
      </c>
      <c r="P17" s="48">
        <f>IF($AC17&gt;0,IF(ISNUMBER(INDEX(CASHBACK_RULES!$J$5:$J$304,$AC17)),INDEX(CASHBACK_RULES!$J$5:$J$304,$AC17),"∞"),"")</f>
        <v>300000</v>
      </c>
      <c r="Q17" s="48">
        <f>IF(OR($B17="",$D17=""),"",IF($AC17=0,0,MAX(0,MIN($O17,IF(ISNUMBER($P17),$P17-$AF17,1E+15),IF(ISNUMBER($AA17),$AA17-$AG17,1E+15)))))</f>
        <v>300000</v>
      </c>
      <c r="R17" s="48">
        <f>IF(OR($B17="",$D17=""),"",IF($AC17=0,"",IF(AND(NOT(ISNUMBER($P17)),NOT(ISNUMBER($AA17))),"∞",MAX(0,MIN(IF(ISNUMBER($P17),$P17-$AF17-$Q17,1E+15),IF(ISNUMBER($AA17),$AA17-$AG17-$Q17,1E+15))))))</f>
        <v>0</v>
      </c>
      <c r="S17" s="47">
        <f>IF($AD17="","",YEAR($AD17)*100+MONTH($AD17))</f>
        <v>202610</v>
      </c>
      <c r="T17" s="50">
        <f>IF($AD17="","",IFERROR(IF(INDEX(CARDS!$I$5:$I$34,MATCH($D17,CARDS!$A$5:$A$34,0))="","",IF(INDEX(CARDS!$I$5:$I$34,MATCH($D17,CARDS!$A$5:$A$34,0))&gt;INDEX(CARDS!$H$5:$H$34,MATCH($D17,CARDS!$A$5:$A$34,0)),DATE(YEAR($AD17),MONTH($AD17),MIN(INDEX(CARDS!$I$5:$I$34,MATCH($D17,CARDS!$A$5:$A$34,0)),DAY(EOMONTH($AD17,0)))),DATE(YEAR($AD17),MONTH($AD17)+1,MIN(INDEX(CARDS!$I$5:$I$34,MATCH($D17,CARDS!$A$5:$A$34,0)),DAY(EOMONTH($AD17,1)))))),""))</f>
        <v>46336.0</v>
      </c>
      <c r="U17" s="38" t="inlineStr">
        <is>
          <t>Posted</t>
        </is>
      </c>
      <c r="V17" s="37" t="inlineStr">
        <is>
          <t>SAMPLE DATA — có thể xóa — vượt cap nhóm 300k</t>
        </is>
      </c>
      <c r="W17" s="38" t="n"/>
      <c r="X17" s="38" t="inlineStr">
        <is>
          <t>Chưa thanh toán</t>
        </is>
      </c>
      <c r="Y17" s="44" t="str">
        <f>IF($AC17&gt;0,INDEX(CASHBACK_RULES!$A$5:$A$304,$AC17),"")</f>
        <v>R015</v>
      </c>
      <c r="Z17" s="45" t="str">
        <f>IF($AC17&gt;0,INDEX(CASHBACK_RULES!$E$5:$E$304,$AC17)&amp;"","")</f>
        <v>Group 1</v>
      </c>
      <c r="AA17" s="48">
        <f>IF($AC17&gt;0,IF(ISNUMBER(INDEX(CASHBACK_RULES!$K$5:$K$304,$AC17)),INDEX(CASHBACK_RULES!$K$5:$K$304,$AC17),"∞"),"")</f>
        <v>2000000</v>
      </c>
      <c r="AB17" s="44" t="str">
        <f>IF(OR($B17="",$D17=""),"",IF($U17="Cancelled","Đã hủy",IF($AC17=0,"Không được hoàn",IF($Q17=0,IF(OR($O17&gt;0,$M17&lt;$L17),"Đã đạt cap","Không được hoàn"),IF(OR($Q17&lt;$O17,$M17&lt;$L17),"Hoàn một phần","Được hoàn")))))</f>
        <v>Hoàn một phần</v>
      </c>
      <c r="AC17" s="43">
        <f>IF(OR($B17="",$D17="",$I17="",$L17=""),0,IF($U17="Cancelled",0,IF($W17&lt;&gt;"",IFERROR(IF(INDEX(CASHBACK_RULES!$B$5:$B$304,MATCH($W17,CASHBACK_RULES!$A$5:$A$304,0))=$D17,MATCH($W17,CASHBACK_RULES!$A$5:$A$304,0),0),0),IFERROR(MATCH(1,INDEX((CASHBACK_RULES!$B$5:$B$304=$D17)*(CASHBACK_RULES!$G$5:$G$304=$I17)*(((CASHBACK_RULES!$N$5:$N$304="")+(CASHBACK_RULES!$N$5:$N$304&lt;=$B17))&gt;0)*(((CASHBACK_RULES!$O$5:$O$304="")+(CASHBACK_RULES!$O$5:$O$304&gt;=$B17))&gt;0)*(((CASHBACK_RULES!$M$5:$M$304="")+(CASHBACK_RULES!$M$5:$M$304&lt;=$L17))&gt;0),0),0),0))))</f>
        <v>15</v>
      </c>
      <c r="AD17" s="51">
        <f>IF(OR($B17="",$D17=""),"",IFERROR(IF(INDEX(CARDS!$H$5:$H$34,MATCH($D17,CARDS!$A$5:$A$34,0))="","",IF(DAY($B17)&lt;=INDEX(CARDS!$H$5:$H$34,MATCH($D17,CARDS!$A$5:$A$34,0)),DATE(YEAR($B17),MONTH($B17),MIN(INDEX(CARDS!$H$5:$H$34,MATCH($D17,CARDS!$A$5:$A$34,0)),DAY(EOMONTH($B17,0)))),DATE(YEAR($B17),MONTH($B17)+1,MIN(INDEX(CARDS!$H$5:$H$34,MATCH($D17,CARDS!$A$5:$A$34,0)),DAY(EOMONTH($B17,1)))))),""))</f>
        <v>46315.0</v>
      </c>
      <c r="AE17" s="52" t="str">
        <f>IF($C17="","",$C17&amp;"|"&amp;COUNTIF($C$5:$C17,$C17))</f>
        <v>202610|7</v>
      </c>
      <c r="AF17" s="53">
        <f>IF($AC17&gt;0,SUMIFS(Q$4:Q16,$D$4:$D16,$D17,$Z$4:$Z16,$Z17,$C$4:$C16,$C17),0)</f>
        <v>0</v>
      </c>
      <c r="AG17" s="53">
        <f>IF($AC17&gt;0,SUMIFS(Q$4:Q16,$D$4:$D16,$D17,$C$4:$C16,$C17),0)</f>
        <v>0</v>
      </c>
      <c r="AH17" s="53">
        <f>IF($AC17&gt;0,SUMIFS(M$4:M16,$D$4:$D16,$D17,$Z$4:$Z16,$Z17,$C$4:$C16,$C17),0)</f>
        <v>0</v>
      </c>
      <c r="AI17" s="43">
        <f>IF(OR($C17="",$I17=""),0,IF(COUNTIFS($C$5:$C17,$C17,$I$5:$I17,$I17)=1,1,0))</f>
        <v>1</v>
      </c>
      <c r="AJ17" s="43">
        <f>IF($AI17=1,SUMIFS($AI$4:$AI16,$C$4:$C16,$C17)+1,"")</f>
        <v>5</v>
      </c>
      <c r="AK17" s="43">
        <f>IF(OR($C17="",$K17=""),0,IF(COUNTIFS($C$5:$C17,$C17,$K$5:$K17,$K17)=1,1,0))</f>
        <v>1</v>
      </c>
      <c r="AL17" s="43">
        <f>IF($AK17=1,SUMIFS($AK$4:$AK16,$C$4:$C16,$C17)+1,"")</f>
        <v>4</v>
      </c>
      <c r="AM17" s="43">
        <f>IF(OR($C17="",$G17=""),0,IF(COUNTIFS($C$5:$C17,$C17,$G$5:$G17,$G17)=1,1,0))</f>
        <v>1</v>
      </c>
      <c r="AN17" s="43">
        <f>IF($AM17=1,SUMIFS($AM$4:$AM16,$C$4:$C16,$C17)+1,"")</f>
        <v>7</v>
      </c>
    </row>
    <row r="18">
      <c r="A18" s="44" t="str">
        <f>IF(OR($B18="",$D18=""),"","TX"&amp;TEXT(ROW()-4,"0000"))</f>
        <v>TX0014</v>
      </c>
      <c r="B18" s="42" t="n">
        <v>46298</v>
      </c>
      <c r="C18" s="47">
        <f>IF($B18="","",YEAR($B18)*100+MONTH($B18))</f>
        <v>202610</v>
      </c>
      <c r="D18" s="37" t="inlineStr">
        <is>
          <t>VPB-JCBZ</t>
        </is>
      </c>
      <c r="E18" s="45" t="str">
        <f>IF($D18="","",IFERROR(INDEX(CARDS!$B$5:$B$34,MATCH($D18,CARDS!$A$5:$A$34,0)),"⚠ Card ID?"))</f>
        <v>VPBank</v>
      </c>
      <c r="F18" s="45" t="str">
        <f>IF($D18="","",IFERROR(INDEX(CARDS!$C$5:$C$34,MATCH($D18,CARDS!$A$5:$A$34,0)),"⚠ Card ID?"))</f>
        <v>JCB Z Card</v>
      </c>
      <c r="G18" s="37" t="inlineStr">
        <is>
          <t>Sunrise Catering</t>
        </is>
      </c>
      <c r="H18" s="37" t="inlineStr">
        <is>
          <t>Tiệc</t>
        </is>
      </c>
      <c r="I18" s="41" t="n">
        <v>5811</v>
      </c>
      <c r="J18" s="45" t="str">
        <f>IF($I18="","",IFERROR(INDEX(MCC_MASTER!$B$5:$B$504,MATCH($I18,MCC_MASTER!$A$5:$A$504,0)),"⚠ MCC chưa có"))</f>
        <v>Caterers</v>
      </c>
      <c r="K18" s="45" t="str">
        <f>IF($I18="","",IFERROR(IF(INDEX(MCC_MASTER!$C$5:$C$504,MATCH($I18,MCC_MASTER!$A$5:$A$504,0))="","Chưa phân loại",INDEX(MCC_MASTER!$C$5:$C$504,MATCH($I18,MCC_MASTER!$A$5:$A$504,0))),"Chưa phân loại"))</f>
        <v>Dining</v>
      </c>
      <c r="L18" s="40" t="n">
        <v>400000</v>
      </c>
      <c r="M18" s="48">
        <f>IF(OR($B18="",$D18=""),"",IF($AC18=0,0,IF(ISNUMBER(INDEX(CASHBACK_RULES!$L$5:$L$304,$AC18)),MAX(0,MIN($L18,INDEX(CASHBACK_RULES!$L$5:$L$304,$AC18)-$AH18)),MAX(0,$L18))))</f>
        <v>400000</v>
      </c>
      <c r="N18" s="49">
        <f>IF(OR($B18="",$D18=""),"",IF($AC18&gt;0,INDEX(CASHBACK_RULES!$I$5:$I$304,$AC18),0))</f>
        <v>0.15</v>
      </c>
      <c r="O18" s="48">
        <f>IF(OR($B18="",$D18=""),"",ROUND($M18*$N18,0))</f>
        <v>60000</v>
      </c>
      <c r="P18" s="48">
        <f>IF($AC18&gt;0,IF(ISNUMBER(INDEX(CASHBACK_RULES!$J$5:$J$304,$AC18)),INDEX(CASHBACK_RULES!$J$5:$J$304,$AC18),"∞"),"")</f>
        <v>500000</v>
      </c>
      <c r="Q18" s="48">
        <f>IF(OR($B18="",$D18=""),"",IF($AC18=0,0,MAX(0,MIN($O18,IF(ISNUMBER($P18),$P18-$AF18,1E+15),IF(ISNUMBER($AA18),$AA18-$AG18,1E+15)))))</f>
        <v>60000</v>
      </c>
      <c r="R18" s="48">
        <f>IF(OR($B18="",$D18=""),"",IF($AC18=0,"",IF(AND(NOT(ISNUMBER($P18)),NOT(ISNUMBER($AA18))),"∞",MAX(0,MIN(IF(ISNUMBER($P18),$P18-$AF18-$Q18,1E+15),IF(ISNUMBER($AA18),$AA18-$AG18-$Q18,1E+15))))))</f>
        <v>50000</v>
      </c>
      <c r="S18" s="47">
        <f>IF($AD18="","",YEAR($AD18)*100+MONTH($AD18))</f>
        <v>202610</v>
      </c>
      <c r="T18" s="50">
        <f>IF($AD18="","",IFERROR(IF(INDEX(CARDS!$I$5:$I$34,MATCH($D18,CARDS!$A$5:$A$34,0))="","",IF(INDEX(CARDS!$I$5:$I$34,MATCH($D18,CARDS!$A$5:$A$34,0))&gt;INDEX(CARDS!$H$5:$H$34,MATCH($D18,CARDS!$A$5:$A$34,0)),DATE(YEAR($AD18),MONTH($AD18),MIN(INDEX(CARDS!$I$5:$I$34,MATCH($D18,CARDS!$A$5:$A$34,0)),DAY(EOMONTH($AD18,0)))),DATE(YEAR($AD18),MONTH($AD18)+1,MIN(INDEX(CARDS!$I$5:$I$34,MATCH($D18,CARDS!$A$5:$A$34,0)),DAY(EOMONTH($AD18,1)))))),""))</f>
        <v>46341.0</v>
      </c>
      <c r="U18" s="38" t="inlineStr">
        <is>
          <t>Posted</t>
        </is>
      </c>
      <c r="V18" s="37" t="inlineStr">
        <is>
          <t>SAMPLE DATA — có thể xóa — Dining đạt 450k</t>
        </is>
      </c>
      <c r="W18" s="38" t="n"/>
      <c r="X18" s="38" t="inlineStr">
        <is>
          <t>Chưa thanh toán</t>
        </is>
      </c>
      <c r="Y18" s="44" t="str">
        <f>IF($AC18&gt;0,INDEX(CASHBACK_RULES!$A$5:$A$304,$AC18),"")</f>
        <v>R001</v>
      </c>
      <c r="Z18" s="45" t="str">
        <f>IF($AC18&gt;0,INDEX(CASHBACK_RULES!$E$5:$E$304,$AC18)&amp;"","")</f>
        <v>Group 1</v>
      </c>
      <c r="AA18" s="48">
        <f>IF($AC18&gt;0,IF(ISNUMBER(INDEX(CASHBACK_RULES!$K$5:$K$304,$AC18)),INDEX(CASHBACK_RULES!$K$5:$K$304,$AC18),"∞"),"")</f>
        <v>1000000</v>
      </c>
      <c r="AB18" s="44" t="str">
        <f>IF(OR($B18="",$D18=""),"",IF($U18="Cancelled","Đã hủy",IF($AC18=0,"Không được hoàn",IF($Q18=0,IF(OR($O18&gt;0,$M18&lt;$L18),"Đã đạt cap","Không được hoàn"),IF(OR($Q18&lt;$O18,$M18&lt;$L18),"Hoàn một phần","Được hoàn")))))</f>
        <v>Được hoàn</v>
      </c>
      <c r="AC18" s="43">
        <f>IF(OR($B18="",$D18="",$I18="",$L18=""),0,IF($U18="Cancelled",0,IF($W18&lt;&gt;"",IFERROR(IF(INDEX(CASHBACK_RULES!$B$5:$B$304,MATCH($W18,CASHBACK_RULES!$A$5:$A$304,0))=$D18,MATCH($W18,CASHBACK_RULES!$A$5:$A$304,0),0),0),IFERROR(MATCH(1,INDEX((CASHBACK_RULES!$B$5:$B$304=$D18)*(CASHBACK_RULES!$G$5:$G$304=$I18)*(((CASHBACK_RULES!$N$5:$N$304="")+(CASHBACK_RULES!$N$5:$N$304&lt;=$B18))&gt;0)*(((CASHBACK_RULES!$O$5:$O$304="")+(CASHBACK_RULES!$O$5:$O$304&gt;=$B18))&gt;0)*(((CASHBACK_RULES!$M$5:$M$304="")+(CASHBACK_RULES!$M$5:$M$304&lt;=$L18))&gt;0),0),0),0))))</f>
        <v>1</v>
      </c>
      <c r="AD18" s="51">
        <f>IF(OR($B18="",$D18=""),"",IFERROR(IF(INDEX(CARDS!$H$5:$H$34,MATCH($D18,CARDS!$A$5:$A$34,0))="","",IF(DAY($B18)&lt;=INDEX(CARDS!$H$5:$H$34,MATCH($D18,CARDS!$A$5:$A$34,0)),DATE(YEAR($B18),MONTH($B18),MIN(INDEX(CARDS!$H$5:$H$34,MATCH($D18,CARDS!$A$5:$A$34,0)),DAY(EOMONTH($B18,0)))),DATE(YEAR($B18),MONTH($B18)+1,MIN(INDEX(CARDS!$H$5:$H$34,MATCH($D18,CARDS!$A$5:$A$34,0)),DAY(EOMONTH($B18,1)))))),""))</f>
        <v>46320.0</v>
      </c>
      <c r="AE18" s="52" t="str">
        <f>IF($C18="","",$C18&amp;"|"&amp;COUNTIF($C$5:$C18,$C18))</f>
        <v>202610|8</v>
      </c>
      <c r="AF18" s="53">
        <f>IF($AC18&gt;0,SUMIFS(Q$4:Q17,$D$4:$D17,$D18,$Z$4:$Z17,$Z18,$C$4:$C17,$C18),0)</f>
        <v>390000</v>
      </c>
      <c r="AG18" s="53">
        <f>IF($AC18&gt;0,SUMIFS(Q$4:Q17,$D$4:$D17,$D18,$C$4:$C17,$C18),0)</f>
        <v>890000</v>
      </c>
      <c r="AH18" s="53">
        <f>IF($AC18&gt;0,SUMIFS(M$4:M17,$D$4:$D17,$D18,$Z$4:$Z17,$Z18,$C$4:$C17,$C18),0)</f>
        <v>2600000</v>
      </c>
      <c r="AI18" s="43">
        <f>IF(OR($C18="",$I18=""),0,IF(COUNTIFS($C$5:$C18,$C18,$I$5:$I18,$I18)=1,1,0))</f>
        <v>1</v>
      </c>
      <c r="AJ18" s="43">
        <f>IF($AI18=1,SUMIFS($AI$4:$AI17,$C$4:$C17,$C18)+1,"")</f>
        <v>6</v>
      </c>
      <c r="AK18" s="43">
        <f>IF(OR($C18="",$K18=""),0,IF(COUNTIFS($C$5:$C18,$C18,$K$5:$K18,$K18)=1,1,0))</f>
        <v>0</v>
      </c>
      <c r="AL18" s="43" t="str">
        <f>IF($AK18=1,SUMIFS($AK$4:$AK17,$C$4:$C17,$C18)+1,"")</f>
        <v/>
      </c>
      <c r="AM18" s="43">
        <f>IF(OR($C18="",$G18=""),0,IF(COUNTIFS($C$5:$C18,$C18,$G$5:$G18,$G18)=1,1,0))</f>
        <v>1</v>
      </c>
      <c r="AN18" s="43">
        <f>IF($AM18=1,SUMIFS($AM$4:$AM17,$C$4:$C17,$C18)+1,"")</f>
        <v>8</v>
      </c>
    </row>
    <row r="19">
      <c r="A19" s="44" t="str">
        <f>IF(OR($B19="",$D19=""),"","TX"&amp;TEXT(ROW()-4,"0000"))</f>
        <v>TX0015</v>
      </c>
      <c r="B19" s="42" t="n">
        <v>46298</v>
      </c>
      <c r="C19" s="47">
        <f>IF($B19="","",YEAR($B19)*100+MONTH($B19))</f>
        <v>202610</v>
      </c>
      <c r="D19" s="37" t="inlineStr">
        <is>
          <t>VPB-JCBZ</t>
        </is>
      </c>
      <c r="E19" s="45" t="str">
        <f>IF($D19="","",IFERROR(INDEX(CARDS!$B$5:$B$34,MATCH($D19,CARDS!$A$5:$A$34,0)),"⚠ Card ID?"))</f>
        <v>VPBank</v>
      </c>
      <c r="F19" s="45" t="str">
        <f>IF($D19="","",IFERROR(INDEX(CARDS!$C$5:$C$34,MATCH($D19,CARDS!$A$5:$A$34,0)),"⚠ Card ID?"))</f>
        <v>JCB Z Card</v>
      </c>
      <c r="G19" s="37" t="inlineStr">
        <is>
          <t>Vincom Center</t>
        </is>
      </c>
      <c r="H19" s="37" t="inlineStr">
        <is>
          <t>Mua sắm</t>
        </is>
      </c>
      <c r="I19" s="41" t="n">
        <v>5311</v>
      </c>
      <c r="J19" s="45" t="str">
        <f>IF($I19="","",IFERROR(INDEX(MCC_MASTER!$B$5:$B$504,MATCH($I19,MCC_MASTER!$A$5:$A$504,0)),"⚠ MCC chưa có"))</f>
        <v>Department Stores</v>
      </c>
      <c r="K19" s="45" t="str">
        <f>IF($I19="","",IFERROR(IF(INDEX(MCC_MASTER!$C$5:$C$504,MATCH($I19,MCC_MASTER!$A$5:$A$504,0))="","Chưa phân loại",INDEX(MCC_MASTER!$C$5:$C$504,MATCH($I19,MCC_MASTER!$A$5:$A$504,0))),"Chưa phân loại"))</f>
        <v>Shopping</v>
      </c>
      <c r="L19" s="40" t="n">
        <v>2000000</v>
      </c>
      <c r="M19" s="48">
        <f>IF(OR($B19="",$D19=""),"",IF($AC19=0,0,IF(ISNUMBER(INDEX(CASHBACK_RULES!$L$5:$L$304,$AC19)),MAX(0,MIN($L19,INDEX(CASHBACK_RULES!$L$5:$L$304,$AC19)-$AH19)),MAX(0,$L19))))</f>
        <v>0</v>
      </c>
      <c r="N19" s="49">
        <f>IF(OR($B19="",$D19=""),"",IF($AC19&gt;0,INDEX(CASHBACK_RULES!$I$5:$I$304,$AC19),0))</f>
        <v>0</v>
      </c>
      <c r="O19" s="48">
        <f>IF(OR($B19="",$D19=""),"",ROUND($M19*$N19,0))</f>
        <v>0</v>
      </c>
      <c r="P19" s="48" t="str">
        <f>IF($AC19&gt;0,IF(ISNUMBER(INDEX(CASHBACK_RULES!$J$5:$J$304,$AC19)),INDEX(CASHBACK_RULES!$J$5:$J$304,$AC19),"∞"),"")</f>
        <v/>
      </c>
      <c r="Q19" s="48">
        <f>IF(OR($B19="",$D19=""),"",IF($AC19=0,0,MAX(0,MIN($O19,IF(ISNUMBER($P19),$P19-$AF19,1E+15),IF(ISNUMBER($AA19),$AA19-$AG19,1E+15)))))</f>
        <v>0</v>
      </c>
      <c r="R19" s="48" t="str">
        <f>IF(OR($B19="",$D19=""),"",IF($AC19=0,"",IF(AND(NOT(ISNUMBER($P19)),NOT(ISNUMBER($AA19))),"∞",MAX(0,MIN(IF(ISNUMBER($P19),$P19-$AF19-$Q19,1E+15),IF(ISNUMBER($AA19),$AA19-$AG19-$Q19,1E+15))))))</f>
        <v/>
      </c>
      <c r="S19" s="47">
        <f>IF($AD19="","",YEAR($AD19)*100+MONTH($AD19))</f>
        <v>202610</v>
      </c>
      <c r="T19" s="50">
        <f>IF($AD19="","",IFERROR(IF(INDEX(CARDS!$I$5:$I$34,MATCH($D19,CARDS!$A$5:$A$34,0))="","",IF(INDEX(CARDS!$I$5:$I$34,MATCH($D19,CARDS!$A$5:$A$34,0))&gt;INDEX(CARDS!$H$5:$H$34,MATCH($D19,CARDS!$A$5:$A$34,0)),DATE(YEAR($AD19),MONTH($AD19),MIN(INDEX(CARDS!$I$5:$I$34,MATCH($D19,CARDS!$A$5:$A$34,0)),DAY(EOMONTH($AD19,0)))),DATE(YEAR($AD19),MONTH($AD19)+1,MIN(INDEX(CARDS!$I$5:$I$34,MATCH($D19,CARDS!$A$5:$A$34,0)),DAY(EOMONTH($AD19,1)))))),""))</f>
        <v>46341.0</v>
      </c>
      <c r="U19" s="38" t="inlineStr">
        <is>
          <t>Posted</t>
        </is>
      </c>
      <c r="V19" s="37" t="inlineStr">
        <is>
          <t>SAMPLE DATA — có thể xóa — MCC không thuộc chương trình</t>
        </is>
      </c>
      <c r="W19" s="38" t="n"/>
      <c r="X19" s="38" t="inlineStr">
        <is>
          <t>Chưa thanh toán</t>
        </is>
      </c>
      <c r="Y19" s="44" t="str">
        <f>IF($AC19&gt;0,INDEX(CASHBACK_RULES!$A$5:$A$304,$AC19),"")</f>
        <v/>
      </c>
      <c r="Z19" s="45" t="str">
        <f>IF($AC19&gt;0,INDEX(CASHBACK_RULES!$E$5:$E$304,$AC19)&amp;"","")</f>
        <v/>
      </c>
      <c r="AA19" s="48" t="str">
        <f>IF($AC19&gt;0,IF(ISNUMBER(INDEX(CASHBACK_RULES!$K$5:$K$304,$AC19)),INDEX(CASHBACK_RULES!$K$5:$K$304,$AC19),"∞"),"")</f>
        <v/>
      </c>
      <c r="AB19" s="44" t="str">
        <f>IF(OR($B19="",$D19=""),"",IF($U19="Cancelled","Đã hủy",IF($AC19=0,"Không được hoàn",IF($Q19=0,IF(OR($O19&gt;0,$M19&lt;$L19),"Đã đạt cap","Không được hoàn"),IF(OR($Q19&lt;$O19,$M19&lt;$L19),"Hoàn một phần","Được hoàn")))))</f>
        <v>Không được hoàn</v>
      </c>
      <c r="AC19" s="43">
        <f>IF(OR($B19="",$D19="",$I19="",$L19=""),0,IF($U19="Cancelled",0,IF($W19&lt;&gt;"",IFERROR(IF(INDEX(CASHBACK_RULES!$B$5:$B$304,MATCH($W19,CASHBACK_RULES!$A$5:$A$304,0))=$D19,MATCH($W19,CASHBACK_RULES!$A$5:$A$304,0),0),0),IFERROR(MATCH(1,INDEX((CASHBACK_RULES!$B$5:$B$304=$D19)*(CASHBACK_RULES!$G$5:$G$304=$I19)*(((CASHBACK_RULES!$N$5:$N$304="")+(CASHBACK_RULES!$N$5:$N$304&lt;=$B19))&gt;0)*(((CASHBACK_RULES!$O$5:$O$304="")+(CASHBACK_RULES!$O$5:$O$304&gt;=$B19))&gt;0)*(((CASHBACK_RULES!$M$5:$M$304="")+(CASHBACK_RULES!$M$5:$M$304&lt;=$L19))&gt;0),0),0),0))))</f>
        <v>0</v>
      </c>
      <c r="AD19" s="51">
        <f>IF(OR($B19="",$D19=""),"",IFERROR(IF(INDEX(CARDS!$H$5:$H$34,MATCH($D19,CARDS!$A$5:$A$34,0))="","",IF(DAY($B19)&lt;=INDEX(CARDS!$H$5:$H$34,MATCH($D19,CARDS!$A$5:$A$34,0)),DATE(YEAR($B19),MONTH($B19),MIN(INDEX(CARDS!$H$5:$H$34,MATCH($D19,CARDS!$A$5:$A$34,0)),DAY(EOMONTH($B19,0)))),DATE(YEAR($B19),MONTH($B19)+1,MIN(INDEX(CARDS!$H$5:$H$34,MATCH($D19,CARDS!$A$5:$A$34,0)),DAY(EOMONTH($B19,1)))))),""))</f>
        <v>46320.0</v>
      </c>
      <c r="AE19" s="52" t="str">
        <f>IF($C19="","",$C19&amp;"|"&amp;COUNTIF($C$5:$C19,$C19))</f>
        <v>202610|9</v>
      </c>
      <c r="AF19" s="53">
        <f>IF($AC19&gt;0,SUMIFS(Q$4:Q18,$D$4:$D18,$D19,$Z$4:$Z18,$Z19,$C$4:$C18,$C19),0)</f>
        <v>0</v>
      </c>
      <c r="AG19" s="53">
        <f>IF($AC19&gt;0,SUMIFS(Q$4:Q18,$D$4:$D18,$D19,$C$4:$C18,$C19),0)</f>
        <v>0</v>
      </c>
      <c r="AH19" s="53">
        <f>IF($AC19&gt;0,SUMIFS(M$4:M18,$D$4:$D18,$D19,$Z$4:$Z18,$Z19,$C$4:$C18,$C19),0)</f>
        <v>0</v>
      </c>
      <c r="AI19" s="43">
        <f>IF(OR($C19="",$I19=""),0,IF(COUNTIFS($C$5:$C19,$C19,$I$5:$I19,$I19)=1,1,0))</f>
        <v>1</v>
      </c>
      <c r="AJ19" s="43">
        <f>IF($AI19=1,SUMIFS($AI$4:$AI18,$C$4:$C18,$C19)+1,"")</f>
        <v>7</v>
      </c>
      <c r="AK19" s="43">
        <f>IF(OR($C19="",$K19=""),0,IF(COUNTIFS($C$5:$C19,$C19,$K$5:$K19,$K19)=1,1,0))</f>
        <v>1</v>
      </c>
      <c r="AL19" s="43">
        <f>IF($AK19=1,SUMIFS($AK$4:$AK18,$C$4:$C18,$C19)+1,"")</f>
        <v>5</v>
      </c>
      <c r="AM19" s="43">
        <f>IF(OR($C19="",$G19=""),0,IF(COUNTIFS($C$5:$C19,$C19,$G$5:$G19,$G19)=1,1,0))</f>
        <v>1</v>
      </c>
      <c r="AN19" s="43">
        <f>IF($AM19=1,SUMIFS($AM$4:$AM18,$C$4:$C18,$C19)+1,"")</f>
        <v>9</v>
      </c>
    </row>
    <row r="20">
      <c r="A20" s="44" t="str">
        <f>IF(OR($B20="",$D20=""),"","TX"&amp;TEXT(ROW()-4,"0000"))</f>
        <v>TX0016</v>
      </c>
      <c r="B20" s="42" t="n">
        <v>46298</v>
      </c>
      <c r="C20" s="47">
        <f>IF($B20="","",YEAR($B20)*100+MONTH($B20))</f>
        <v>202610</v>
      </c>
      <c r="D20" s="37" t="inlineStr">
        <is>
          <t>VIB-A</t>
        </is>
      </c>
      <c r="E20" s="45" t="str">
        <f>IF($D20="","",IFERROR(INDEX(CARDS!$B$5:$B$34,MATCH($D20,CARDS!$A$5:$A$34,0)),"⚠ Card ID?"))</f>
        <v>VIB</v>
      </c>
      <c r="F20" s="45" t="str">
        <f>IF($D20="","",IFERROR(INDEX(CARDS!$C$5:$C$34,MATCH($D20,CARDS!$A$5:$A$34,0)),"⚠ Card ID?"))</f>
        <v>Cashback Demo A</v>
      </c>
      <c r="G20" s="37" t="inlineStr">
        <is>
          <t>Lazada</t>
        </is>
      </c>
      <c r="H20" s="37" t="inlineStr">
        <is>
          <t>Online</t>
        </is>
      </c>
      <c r="I20" s="41" t="n">
        <v>5399</v>
      </c>
      <c r="J20" s="45" t="str">
        <f>IF($I20="","",IFERROR(INDEX(MCC_MASTER!$B$5:$B$504,MATCH($I20,MCC_MASTER!$A$5:$A$504,0)),"⚠ MCC chưa có"))</f>
        <v>Misc. General Merchandise</v>
      </c>
      <c r="K20" s="45" t="str">
        <f>IF($I20="","",IFERROR(IF(INDEX(MCC_MASTER!$C$5:$C$504,MATCH($I20,MCC_MASTER!$A$5:$A$504,0))="","Chưa phân loại",INDEX(MCC_MASTER!$C$5:$C$504,MATCH($I20,MCC_MASTER!$A$5:$A$504,0))),"Chưa phân loại"))</f>
        <v>Shopping</v>
      </c>
      <c r="L20" s="40" t="n">
        <v>5000000</v>
      </c>
      <c r="M20" s="48">
        <f>IF(OR($B20="",$D20=""),"",IF($AC20=0,0,IF(ISNUMBER(INDEX(CASHBACK_RULES!$L$5:$L$304,$AC20)),MAX(0,MIN($L20,INDEX(CASHBACK_RULES!$L$5:$L$304,$AC20)-$AH20)),MAX(0,$L20))))</f>
        <v>5000000</v>
      </c>
      <c r="N20" s="49">
        <f>IF(OR($B20="",$D20=""),"",IF($AC20&gt;0,INDEX(CASHBACK_RULES!$I$5:$I$304,$AC20),0))</f>
        <v>0.1</v>
      </c>
      <c r="O20" s="48">
        <f>IF(OR($B20="",$D20=""),"",ROUND($M20*$N20,0))</f>
        <v>500000</v>
      </c>
      <c r="P20" s="48">
        <f>IF($AC20&gt;0,IF(ISNUMBER(INDEX(CASHBACK_RULES!$J$5:$J$304,$AC20)),INDEX(CASHBACK_RULES!$J$5:$J$304,$AC20),"∞"),"")</f>
        <v>500000</v>
      </c>
      <c r="Q20" s="48">
        <f>IF(OR($B20="",$D20=""),"",IF($AC20=0,0,MAX(0,MIN($O20,IF(ISNUMBER($P20),$P20-$AF20,1E+15),IF(ISNUMBER($AA20),$AA20-$AG20,1E+15)))))</f>
        <v>500000</v>
      </c>
      <c r="R20" s="48">
        <f>IF(OR($B20="",$D20=""),"",IF($AC20=0,"",IF(AND(NOT(ISNUMBER($P20)),NOT(ISNUMBER($AA20))),"∞",MAX(0,MIN(IF(ISNUMBER($P20),$P20-$AF20-$Q20,1E+15),IF(ISNUMBER($AA20),$AA20-$AG20-$Q20,1E+15))))))</f>
        <v>0</v>
      </c>
      <c r="S20" s="47">
        <f>IF($AD20="","",YEAR($AD20)*100+MONTH($AD20))</f>
        <v>202610</v>
      </c>
      <c r="T20" s="50">
        <f>IF($AD20="","",IFERROR(IF(INDEX(CARDS!$I$5:$I$34,MATCH($D20,CARDS!$A$5:$A$34,0))="","",IF(INDEX(CARDS!$I$5:$I$34,MATCH($D20,CARDS!$A$5:$A$34,0))&gt;INDEX(CARDS!$H$5:$H$34,MATCH($D20,CARDS!$A$5:$A$34,0)),DATE(YEAR($AD20),MONTH($AD20),MIN(INDEX(CARDS!$I$5:$I$34,MATCH($D20,CARDS!$A$5:$A$34,0)),DAY(EOMONTH($AD20,0)))),DATE(YEAR($AD20),MONTH($AD20)+1,MIN(INDEX(CARDS!$I$5:$I$34,MATCH($D20,CARDS!$A$5:$A$34,0)),DAY(EOMONTH($AD20,1)))))),""))</f>
        <v>46320.0</v>
      </c>
      <c r="U20" s="38" t="inlineStr">
        <is>
          <t>Posted</t>
        </is>
      </c>
      <c r="V20" s="37" t="inlineStr">
        <is>
          <t>SAMPLE DATA — có thể xóa</t>
        </is>
      </c>
      <c r="W20" s="38" t="n"/>
      <c r="X20" s="38" t="inlineStr">
        <is>
          <t>Chưa thanh toán</t>
        </is>
      </c>
      <c r="Y20" s="44" t="str">
        <f>IF($AC20&gt;0,INDEX(CASHBACK_RULES!$A$5:$A$304,$AC20),"")</f>
        <v>R014</v>
      </c>
      <c r="Z20" s="45" t="str">
        <f>IF($AC20&gt;0,INDEX(CASHBACK_RULES!$E$5:$E$304,$AC20)&amp;"","")</f>
        <v>Group 2</v>
      </c>
      <c r="AA20" s="48">
        <f>IF($AC20&gt;0,IF(ISNUMBER(INDEX(CASHBACK_RULES!$K$5:$K$304,$AC20)),INDEX(CASHBACK_RULES!$K$5:$K$304,$AC20),"∞"),"")</f>
        <v>1000000</v>
      </c>
      <c r="AB20" s="44" t="str">
        <f>IF(OR($B20="",$D20=""),"",IF($U20="Cancelled","Đã hủy",IF($AC20=0,"Không được hoàn",IF($Q20=0,IF(OR($O20&gt;0,$M20&lt;$L20),"Đã đạt cap","Không được hoàn"),IF(OR($Q20&lt;$O20,$M20&lt;$L20),"Hoàn một phần","Được hoàn")))))</f>
        <v>Được hoàn</v>
      </c>
      <c r="AC20" s="43">
        <f>IF(OR($B20="",$D20="",$I20="",$L20=""),0,IF($U20="Cancelled",0,IF($W20&lt;&gt;"",IFERROR(IF(INDEX(CASHBACK_RULES!$B$5:$B$304,MATCH($W20,CASHBACK_RULES!$A$5:$A$304,0))=$D20,MATCH($W20,CASHBACK_RULES!$A$5:$A$304,0),0),0),IFERROR(MATCH(1,INDEX((CASHBACK_RULES!$B$5:$B$304=$D20)*(CASHBACK_RULES!$G$5:$G$304=$I20)*(((CASHBACK_RULES!$N$5:$N$304="")+(CASHBACK_RULES!$N$5:$N$304&lt;=$B20))&gt;0)*(((CASHBACK_RULES!$O$5:$O$304="")+(CASHBACK_RULES!$O$5:$O$304&gt;=$B20))&gt;0)*(((CASHBACK_RULES!$M$5:$M$304="")+(CASHBACK_RULES!$M$5:$M$304&lt;=$L20))&gt;0),0),0),0))))</f>
        <v>14</v>
      </c>
      <c r="AD20" s="51">
        <f>IF(OR($B20="",$D20=""),"",IFERROR(IF(INDEX(CARDS!$H$5:$H$34,MATCH($D20,CARDS!$A$5:$A$34,0))="","",IF(DAY($B20)&lt;=INDEX(CARDS!$H$5:$H$34,MATCH($D20,CARDS!$A$5:$A$34,0)),DATE(YEAR($B20),MONTH($B20),MIN(INDEX(CARDS!$H$5:$H$34,MATCH($D20,CARDS!$A$5:$A$34,0)),DAY(EOMONTH($B20,0)))),DATE(YEAR($B20),MONTH($B20)+1,MIN(INDEX(CARDS!$H$5:$H$34,MATCH($D20,CARDS!$A$5:$A$34,0)),DAY(EOMONTH($B20,1)))))),""))</f>
        <v>46300.0</v>
      </c>
      <c r="AE20" s="52" t="str">
        <f>IF($C20="","",$C20&amp;"|"&amp;COUNTIF($C$5:$C20,$C20))</f>
        <v>202610|10</v>
      </c>
      <c r="AF20" s="53">
        <f>IF($AC20&gt;0,SUMIFS(Q$4:Q19,$D$4:$D19,$D20,$Z$4:$Z19,$Z20,$C$4:$C19,$C20),0)</f>
        <v>0</v>
      </c>
      <c r="AG20" s="53">
        <f>IF($AC20&gt;0,SUMIFS(Q$4:Q19,$D$4:$D19,$D20,$C$4:$C19,$C20),0)</f>
        <v>450000</v>
      </c>
      <c r="AH20" s="53">
        <f>IF($AC20&gt;0,SUMIFS(M$4:M19,$D$4:$D19,$D20,$Z$4:$Z19,$Z20,$C$4:$C19,$C20),0)</f>
        <v>0</v>
      </c>
      <c r="AI20" s="43">
        <f>IF(OR($C20="",$I20=""),0,IF(COUNTIFS($C$5:$C20,$C20,$I$5:$I20,$I20)=1,1,0))</f>
        <v>1</v>
      </c>
      <c r="AJ20" s="43">
        <f>IF($AI20=1,SUMIFS($AI$4:$AI19,$C$4:$C19,$C20)+1,"")</f>
        <v>8</v>
      </c>
      <c r="AK20" s="43">
        <f>IF(OR($C20="",$K20=""),0,IF(COUNTIFS($C$5:$C20,$C20,$K$5:$K20,$K20)=1,1,0))</f>
        <v>0</v>
      </c>
      <c r="AL20" s="43" t="str">
        <f>IF($AK20=1,SUMIFS($AK$4:$AK19,$C$4:$C19,$C20)+1,"")</f>
        <v/>
      </c>
      <c r="AM20" s="43">
        <f>IF(OR($C20="",$G20=""),0,IF(COUNTIFS($C$5:$C20,$C20,$G$5:$G20,$G20)=1,1,0))</f>
        <v>1</v>
      </c>
      <c r="AN20" s="43">
        <f>IF($AM20=1,SUMIFS($AM$4:$AM19,$C$4:$C19,$C20)+1,"")</f>
        <v>10</v>
      </c>
    </row>
    <row r="21">
      <c r="A21" s="44" t="str">
        <f>IF(OR($B21="",$D21=""),"","TX"&amp;TEXT(ROW()-4,"0000"))</f>
        <v>TX0017</v>
      </c>
      <c r="B21" s="42" t="n">
        <v>46299</v>
      </c>
      <c r="C21" s="47">
        <f>IF($B21="","",YEAR($B21)*100+MONTH($B21))</f>
        <v>202610</v>
      </c>
      <c r="D21" s="37" t="inlineStr">
        <is>
          <t>VPB-JCBZ</t>
        </is>
      </c>
      <c r="E21" s="45" t="str">
        <f>IF($D21="","",IFERROR(INDEX(CARDS!$B$5:$B$34,MATCH($D21,CARDS!$A$5:$A$34,0)),"⚠ Card ID?"))</f>
        <v>VPBank</v>
      </c>
      <c r="F21" s="45" t="str">
        <f>IF($D21="","",IFERROR(INDEX(CARDS!$C$5:$C$34,MATCH($D21,CARDS!$A$5:$A$34,0)),"⚠ Card ID?"))</f>
        <v>JCB Z Card</v>
      </c>
      <c r="G21" s="37" t="inlineStr">
        <is>
          <t>Xanh SM</t>
        </is>
      </c>
      <c r="H21" s="37" t="inlineStr">
        <is>
          <t>Taxi</t>
        </is>
      </c>
      <c r="I21" s="41" t="n">
        <v>4121</v>
      </c>
      <c r="J21" s="45" t="str">
        <f>IF($I21="","",IFERROR(INDEX(MCC_MASTER!$B$5:$B$504,MATCH($I21,MCC_MASTER!$A$5:$A$504,0)),"⚠ MCC chưa có"))</f>
        <v>Taxicabs / Limousines</v>
      </c>
      <c r="K21" s="45" t="str">
        <f>IF($I21="","",IFERROR(IF(INDEX(MCC_MASTER!$C$5:$C$504,MATCH($I21,MCC_MASTER!$A$5:$A$504,0))="","Chưa phân loại",INDEX(MCC_MASTER!$C$5:$C$504,MATCH($I21,MCC_MASTER!$A$5:$A$504,0))),"Chưa phân loại"))</f>
        <v>Transport</v>
      </c>
      <c r="L21" s="40" t="n">
        <v>1000000</v>
      </c>
      <c r="M21" s="48">
        <f>IF(OR($B21="",$D21=""),"",IF($AC21=0,0,IF(ISNUMBER(INDEX(CASHBACK_RULES!$L$5:$L$304,$AC21)),MAX(0,MIN($L21,INDEX(CASHBACK_RULES!$L$5:$L$304,$AC21)-$AH21)),MAX(0,$L21))))</f>
        <v>1000000</v>
      </c>
      <c r="N21" s="49">
        <f>IF(OR($B21="",$D21=""),"",IF($AC21&gt;0,INDEX(CASHBACK_RULES!$I$5:$I$304,$AC21),0))</f>
        <v>0.15</v>
      </c>
      <c r="O21" s="48">
        <f>IF(OR($B21="",$D21=""),"",ROUND($M21*$N21,0))</f>
        <v>150000</v>
      </c>
      <c r="P21" s="48">
        <f>IF($AC21&gt;0,IF(ISNUMBER(INDEX(CASHBACK_RULES!$J$5:$J$304,$AC21)),INDEX(CASHBACK_RULES!$J$5:$J$304,$AC21),"∞"),"")</f>
        <v>500000</v>
      </c>
      <c r="Q21" s="48">
        <f>IF(OR($B21="",$D21=""),"",IF($AC21=0,0,MAX(0,MIN($O21,IF(ISNUMBER($P21),$P21-$AF21,1E+15),IF(ISNUMBER($AA21),$AA21-$AG21,1E+15)))))</f>
        <v>50000</v>
      </c>
      <c r="R21" s="48">
        <f>IF(OR($B21="",$D21=""),"",IF($AC21=0,"",IF(AND(NOT(ISNUMBER($P21)),NOT(ISNUMBER($AA21))),"∞",MAX(0,MIN(IF(ISNUMBER($P21),$P21-$AF21-$Q21,1E+15),IF(ISNUMBER($AA21),$AA21-$AG21-$Q21,1E+15))))))</f>
        <v>0</v>
      </c>
      <c r="S21" s="47">
        <f>IF($AD21="","",YEAR($AD21)*100+MONTH($AD21))</f>
        <v>202610</v>
      </c>
      <c r="T21" s="50">
        <f>IF($AD21="","",IFERROR(IF(INDEX(CARDS!$I$5:$I$34,MATCH($D21,CARDS!$A$5:$A$34,0))="","",IF(INDEX(CARDS!$I$5:$I$34,MATCH($D21,CARDS!$A$5:$A$34,0))&gt;INDEX(CARDS!$H$5:$H$34,MATCH($D21,CARDS!$A$5:$A$34,0)),DATE(YEAR($AD21),MONTH($AD21),MIN(INDEX(CARDS!$I$5:$I$34,MATCH($D21,CARDS!$A$5:$A$34,0)),DAY(EOMONTH($AD21,0)))),DATE(YEAR($AD21),MONTH($AD21)+1,MIN(INDEX(CARDS!$I$5:$I$34,MATCH($D21,CARDS!$A$5:$A$34,0)),DAY(EOMONTH($AD21,1)))))),""))</f>
        <v>46341.0</v>
      </c>
      <c r="U21" s="38" t="inlineStr">
        <is>
          <t>Posted</t>
        </is>
      </c>
      <c r="V21" s="37" t="inlineStr">
        <is>
          <t>SAMPLE DATA — có thể xóa — bị giới hạn bởi cap THẺ 1tr/tháng (còn 50k)</t>
        </is>
      </c>
      <c r="W21" s="38" t="n"/>
      <c r="X21" s="38" t="inlineStr">
        <is>
          <t>Chưa thanh toán</t>
        </is>
      </c>
      <c r="Y21" s="44" t="str">
        <f>IF($AC21&gt;0,INDEX(CASHBACK_RULES!$A$5:$A$304,$AC21),"")</f>
        <v>R009</v>
      </c>
      <c r="Z21" s="45" t="str">
        <f>IF($AC21&gt;0,INDEX(CASHBACK_RULES!$E$5:$E$304,$AC21)&amp;"","")</f>
        <v>Group 3</v>
      </c>
      <c r="AA21" s="48">
        <f>IF($AC21&gt;0,IF(ISNUMBER(INDEX(CASHBACK_RULES!$K$5:$K$304,$AC21)),INDEX(CASHBACK_RULES!$K$5:$K$304,$AC21),"∞"),"")</f>
        <v>1000000</v>
      </c>
      <c r="AB21" s="44" t="str">
        <f>IF(OR($B21="",$D21=""),"",IF($U21="Cancelled","Đã hủy",IF($AC21=0,"Không được hoàn",IF($Q21=0,IF(OR($O21&gt;0,$M21&lt;$L21),"Đã đạt cap","Không được hoàn"),IF(OR($Q21&lt;$O21,$M21&lt;$L21),"Hoàn một phần","Được hoàn")))))</f>
        <v>Hoàn một phần</v>
      </c>
      <c r="AC21" s="43">
        <f>IF(OR($B21="",$D21="",$I21="",$L21=""),0,IF($U21="Cancelled",0,IF($W21&lt;&gt;"",IFERROR(IF(INDEX(CASHBACK_RULES!$B$5:$B$304,MATCH($W21,CASHBACK_RULES!$A$5:$A$304,0))=$D21,MATCH($W21,CASHBACK_RULES!$A$5:$A$304,0),0),0),IFERROR(MATCH(1,INDEX((CASHBACK_RULES!$B$5:$B$304=$D21)*(CASHBACK_RULES!$G$5:$G$304=$I21)*(((CASHBACK_RULES!$N$5:$N$304="")+(CASHBACK_RULES!$N$5:$N$304&lt;=$B21))&gt;0)*(((CASHBACK_RULES!$O$5:$O$304="")+(CASHBACK_RULES!$O$5:$O$304&gt;=$B21))&gt;0)*(((CASHBACK_RULES!$M$5:$M$304="")+(CASHBACK_RULES!$M$5:$M$304&lt;=$L21))&gt;0),0),0),0))))</f>
        <v>9</v>
      </c>
      <c r="AD21" s="51">
        <f>IF(OR($B21="",$D21=""),"",IFERROR(IF(INDEX(CARDS!$H$5:$H$34,MATCH($D21,CARDS!$A$5:$A$34,0))="","",IF(DAY($B21)&lt;=INDEX(CARDS!$H$5:$H$34,MATCH($D21,CARDS!$A$5:$A$34,0)),DATE(YEAR($B21),MONTH($B21),MIN(INDEX(CARDS!$H$5:$H$34,MATCH($D21,CARDS!$A$5:$A$34,0)),DAY(EOMONTH($B21,0)))),DATE(YEAR($B21),MONTH($B21)+1,MIN(INDEX(CARDS!$H$5:$H$34,MATCH($D21,CARDS!$A$5:$A$34,0)),DAY(EOMONTH($B21,1)))))),""))</f>
        <v>46320.0</v>
      </c>
      <c r="AE21" s="52" t="str">
        <f>IF($C21="","",$C21&amp;"|"&amp;COUNTIF($C$5:$C21,$C21))</f>
        <v>202610|11</v>
      </c>
      <c r="AF21" s="53">
        <f>IF($AC21&gt;0,SUMIFS(Q$4:Q20,$D$4:$D20,$D21,$Z$4:$Z20,$Z21,$C$4:$C20,$C21),0)</f>
        <v>0</v>
      </c>
      <c r="AG21" s="53">
        <f>IF($AC21&gt;0,SUMIFS(Q$4:Q20,$D$4:$D20,$D21,$C$4:$C20,$C21),0)</f>
        <v>950000</v>
      </c>
      <c r="AH21" s="53">
        <f>IF($AC21&gt;0,SUMIFS(M$4:M20,$D$4:$D20,$D21,$Z$4:$Z20,$Z21,$C$4:$C20,$C21),0)</f>
        <v>0</v>
      </c>
      <c r="AI21" s="43">
        <f>IF(OR($C21="",$I21=""),0,IF(COUNTIFS($C$5:$C21,$C21,$I$5:$I21,$I21)=1,1,0))</f>
        <v>1</v>
      </c>
      <c r="AJ21" s="43">
        <f>IF($AI21=1,SUMIFS($AI$4:$AI20,$C$4:$C20,$C21)+1,"")</f>
        <v>9</v>
      </c>
      <c r="AK21" s="43">
        <f>IF(OR($C21="",$K21=""),0,IF(COUNTIFS($C$5:$C21,$C21,$K$5:$K21,$K21)=1,1,0))</f>
        <v>1</v>
      </c>
      <c r="AL21" s="43">
        <f>IF($AK21=1,SUMIFS($AK$4:$AK20,$C$4:$C20,$C21)+1,"")</f>
        <v>6</v>
      </c>
      <c r="AM21" s="43">
        <f>IF(OR($C21="",$G21=""),0,IF(COUNTIFS($C$5:$C21,$C21,$G$5:$G21,$G21)=1,1,0))</f>
        <v>1</v>
      </c>
      <c r="AN21" s="43">
        <f>IF($AM21=1,SUMIFS($AM$4:$AM20,$C$4:$C20,$C21)+1,"")</f>
        <v>11</v>
      </c>
    </row>
    <row r="22">
      <c r="A22" s="44" t="str">
        <f>IF(OR($B22="",$D22=""),"","TX"&amp;TEXT(ROW()-4,"0000"))</f>
        <v>TX0018</v>
      </c>
      <c r="B22" s="42" t="n">
        <v>46299</v>
      </c>
      <c r="C22" s="47">
        <f>IF($B22="","",YEAR($B22)*100+MONTH($B22))</f>
        <v>202610</v>
      </c>
      <c r="D22" s="37" t="inlineStr">
        <is>
          <t>VPB-JCBZ</t>
        </is>
      </c>
      <c r="E22" s="45" t="str">
        <f>IF($D22="","",IFERROR(INDEX(CARDS!$B$5:$B$34,MATCH($D22,CARDS!$A$5:$A$34,0)),"⚠ Card ID?"))</f>
        <v>VPBank</v>
      </c>
      <c r="F22" s="45" t="str">
        <f>IF($D22="","",IFERROR(INDEX(CARDS!$C$5:$C$34,MATCH($D22,CARDS!$A$5:$A$34,0)),"⚠ Card ID?"))</f>
        <v>JCB Z Card</v>
      </c>
      <c r="G22" s="37" t="inlineStr">
        <is>
          <t>GrabFood</t>
        </is>
      </c>
      <c r="H22" s="37" t="inlineStr">
        <is>
          <t>Giao đồ ăn</t>
        </is>
      </c>
      <c r="I22" s="41" t="n">
        <v>5814</v>
      </c>
      <c r="J22" s="45" t="str">
        <f>IF($I22="","",IFERROR(INDEX(MCC_MASTER!$B$5:$B$504,MATCH($I22,MCC_MASTER!$A$5:$A$504,0)),"⚠ MCC chưa có"))</f>
        <v>Fast Food Restaurants</v>
      </c>
      <c r="K22" s="45" t="str">
        <f>IF($I22="","",IFERROR(IF(INDEX(MCC_MASTER!$C$5:$C$504,MATCH($I22,MCC_MASTER!$A$5:$A$504,0))="","Chưa phân loại",INDEX(MCC_MASTER!$C$5:$C$504,MATCH($I22,MCC_MASTER!$A$5:$A$504,0))),"Chưa phân loại"))</f>
        <v>Dining</v>
      </c>
      <c r="L22" s="40" t="n">
        <v>500000</v>
      </c>
      <c r="M22" s="48">
        <f>IF(OR($B22="",$D22=""),"",IF($AC22=0,0,IF(ISNUMBER(INDEX(CASHBACK_RULES!$L$5:$L$304,$AC22)),MAX(0,MIN($L22,INDEX(CASHBACK_RULES!$L$5:$L$304,$AC22)-$AH22)),MAX(0,$L22))))</f>
        <v>500000</v>
      </c>
      <c r="N22" s="49">
        <f>IF(OR($B22="",$D22=""),"",IF($AC22&gt;0,INDEX(CASHBACK_RULES!$I$5:$I$304,$AC22),0))</f>
        <v>0.15</v>
      </c>
      <c r="O22" s="48">
        <f>IF(OR($B22="",$D22=""),"",ROUND($M22*$N22,0))</f>
        <v>75000</v>
      </c>
      <c r="P22" s="48">
        <f>IF($AC22&gt;0,IF(ISNUMBER(INDEX(CASHBACK_RULES!$J$5:$J$304,$AC22)),INDEX(CASHBACK_RULES!$J$5:$J$304,$AC22),"∞"),"")</f>
        <v>500000</v>
      </c>
      <c r="Q22" s="48">
        <f>IF(OR($B22="",$D22=""),"",IF($AC22=0,0,MAX(0,MIN($O22,IF(ISNUMBER($P22),$P22-$AF22,1E+15),IF(ISNUMBER($AA22),$AA22-$AG22,1E+15)))))</f>
        <v>0</v>
      </c>
      <c r="R22" s="48">
        <f>IF(OR($B22="",$D22=""),"",IF($AC22=0,"",IF(AND(NOT(ISNUMBER($P22)),NOT(ISNUMBER($AA22))),"∞",MAX(0,MIN(IF(ISNUMBER($P22),$P22-$AF22-$Q22,1E+15),IF(ISNUMBER($AA22),$AA22-$AG22-$Q22,1E+15))))))</f>
        <v>0</v>
      </c>
      <c r="S22" s="47">
        <f>IF($AD22="","",YEAR($AD22)*100+MONTH($AD22))</f>
        <v>202610</v>
      </c>
      <c r="T22" s="50">
        <f>IF($AD22="","",IFERROR(IF(INDEX(CARDS!$I$5:$I$34,MATCH($D22,CARDS!$A$5:$A$34,0))="","",IF(INDEX(CARDS!$I$5:$I$34,MATCH($D22,CARDS!$A$5:$A$34,0))&gt;INDEX(CARDS!$H$5:$H$34,MATCH($D22,CARDS!$A$5:$A$34,0)),DATE(YEAR($AD22),MONTH($AD22),MIN(INDEX(CARDS!$I$5:$I$34,MATCH($D22,CARDS!$A$5:$A$34,0)),DAY(EOMONTH($AD22,0)))),DATE(YEAR($AD22),MONTH($AD22)+1,MIN(INDEX(CARDS!$I$5:$I$34,MATCH($D22,CARDS!$A$5:$A$34,0)),DAY(EOMONTH($AD22,1)))))),""))</f>
        <v>46341.0</v>
      </c>
      <c r="U22" s="38" t="inlineStr">
        <is>
          <t>Posted</t>
        </is>
      </c>
      <c r="V22" s="37" t="inlineStr">
        <is>
          <t>SAMPLE DATA — có thể xóa — ép vào Nhóm 3 (Rule R010); cap thẻ đã hết</t>
        </is>
      </c>
      <c r="W22" s="38" t="inlineStr">
        <is>
          <t>R010</t>
        </is>
      </c>
      <c r="X22" s="38" t="inlineStr">
        <is>
          <t>Chưa thanh toán</t>
        </is>
      </c>
      <c r="Y22" s="44" t="str">
        <f>IF($AC22&gt;0,INDEX(CASHBACK_RULES!$A$5:$A$304,$AC22),"")</f>
        <v>R010</v>
      </c>
      <c r="Z22" s="45" t="str">
        <f>IF($AC22&gt;0,INDEX(CASHBACK_RULES!$E$5:$E$304,$AC22)&amp;"","")</f>
        <v>Group 3</v>
      </c>
      <c r="AA22" s="48">
        <f>IF($AC22&gt;0,IF(ISNUMBER(INDEX(CASHBACK_RULES!$K$5:$K$304,$AC22)),INDEX(CASHBACK_RULES!$K$5:$K$304,$AC22),"∞"),"")</f>
        <v>1000000</v>
      </c>
      <c r="AB22" s="44" t="str">
        <f>IF(OR($B22="",$D22=""),"",IF($U22="Cancelled","Đã hủy",IF($AC22=0,"Không được hoàn",IF($Q22=0,IF(OR($O22&gt;0,$M22&lt;$L22),"Đã đạt cap","Không được hoàn"),IF(OR($Q22&lt;$O22,$M22&lt;$L22),"Hoàn một phần","Được hoàn")))))</f>
        <v>Đã đạt cap</v>
      </c>
      <c r="AC22" s="43">
        <f>IF(OR($B22="",$D22="",$I22="",$L22=""),0,IF($U22="Cancelled",0,IF($W22&lt;&gt;"",IFERROR(IF(INDEX(CASHBACK_RULES!$B$5:$B$304,MATCH($W22,CASHBACK_RULES!$A$5:$A$304,0))=$D22,MATCH($W22,CASHBACK_RULES!$A$5:$A$304,0),0),0),IFERROR(MATCH(1,INDEX((CASHBACK_RULES!$B$5:$B$304=$D22)*(CASHBACK_RULES!$G$5:$G$304=$I22)*(((CASHBACK_RULES!$N$5:$N$304="")+(CASHBACK_RULES!$N$5:$N$304&lt;=$B22))&gt;0)*(((CASHBACK_RULES!$O$5:$O$304="")+(CASHBACK_RULES!$O$5:$O$304&gt;=$B22))&gt;0)*(((CASHBACK_RULES!$M$5:$M$304="")+(CASHBACK_RULES!$M$5:$M$304&lt;=$L22))&gt;0),0),0),0))))</f>
        <v>10</v>
      </c>
      <c r="AD22" s="51">
        <f>IF(OR($B22="",$D22=""),"",IFERROR(IF(INDEX(CARDS!$H$5:$H$34,MATCH($D22,CARDS!$A$5:$A$34,0))="","",IF(DAY($B22)&lt;=INDEX(CARDS!$H$5:$H$34,MATCH($D22,CARDS!$A$5:$A$34,0)),DATE(YEAR($B22),MONTH($B22),MIN(INDEX(CARDS!$H$5:$H$34,MATCH($D22,CARDS!$A$5:$A$34,0)),DAY(EOMONTH($B22,0)))),DATE(YEAR($B22),MONTH($B22)+1,MIN(INDEX(CARDS!$H$5:$H$34,MATCH($D22,CARDS!$A$5:$A$34,0)),DAY(EOMONTH($B22,1)))))),""))</f>
        <v>46320.0</v>
      </c>
      <c r="AE22" s="52" t="str">
        <f>IF($C22="","",$C22&amp;"|"&amp;COUNTIF($C$5:$C22,$C22))</f>
        <v>202610|12</v>
      </c>
      <c r="AF22" s="53">
        <f>IF($AC22&gt;0,SUMIFS(Q$4:Q21,$D$4:$D21,$D22,$Z$4:$Z21,$Z22,$C$4:$C21,$C22),0)</f>
        <v>50000</v>
      </c>
      <c r="AG22" s="53">
        <f>IF($AC22&gt;0,SUMIFS(Q$4:Q21,$D$4:$D21,$D22,$C$4:$C21,$C22),0)</f>
        <v>1000000</v>
      </c>
      <c r="AH22" s="53">
        <f>IF($AC22&gt;0,SUMIFS(M$4:M21,$D$4:$D21,$D22,$Z$4:$Z21,$Z22,$C$4:$C21,$C22),0)</f>
        <v>1000000</v>
      </c>
      <c r="AI22" s="43">
        <f>IF(OR($C22="",$I22=""),0,IF(COUNTIFS($C$5:$C22,$C22,$I$5:$I22,$I22)=1,1,0))</f>
        <v>1</v>
      </c>
      <c r="AJ22" s="43">
        <f>IF($AI22=1,SUMIFS($AI$4:$AI21,$C$4:$C21,$C22)+1,"")</f>
        <v>10</v>
      </c>
      <c r="AK22" s="43">
        <f>IF(OR($C22="",$K22=""),0,IF(COUNTIFS($C$5:$C22,$C22,$K$5:$K22,$K22)=1,1,0))</f>
        <v>0</v>
      </c>
      <c r="AL22" s="43" t="str">
        <f>IF($AK22=1,SUMIFS($AK$4:$AK21,$C$4:$C21,$C22)+1,"")</f>
        <v/>
      </c>
      <c r="AM22" s="43">
        <f>IF(OR($C22="",$G22=""),0,IF(COUNTIFS($C$5:$C22,$C22,$G$5:$G22,$G22)=1,1,0))</f>
        <v>1</v>
      </c>
      <c r="AN22" s="43">
        <f>IF($AM22=1,SUMIFS($AM$4:$AM21,$C$4:$C21,$C22)+1,"")</f>
        <v>12</v>
      </c>
    </row>
    <row r="23">
      <c r="A23" s="44" t="str">
        <f>IF(OR($B23="",$D23=""),"","TX"&amp;TEXT(ROW()-4,"0000"))</f>
        <v>TX0019</v>
      </c>
      <c r="B23" s="42" t="n">
        <v>46299</v>
      </c>
      <c r="C23" s="47">
        <f>IF($B23="","",YEAR($B23)*100+MONTH($B23))</f>
        <v>202610</v>
      </c>
      <c r="D23" s="37" t="inlineStr">
        <is>
          <t>VIB-A</t>
        </is>
      </c>
      <c r="E23" s="45" t="str">
        <f>IF($D23="","",IFERROR(INDEX(CARDS!$B$5:$B$34,MATCH($D23,CARDS!$A$5:$A$34,0)),"⚠ Card ID?"))</f>
        <v>VIB</v>
      </c>
      <c r="F23" s="45" t="str">
        <f>IF($D23="","",IFERROR(INDEX(CARDS!$C$5:$C$34,MATCH($D23,CARDS!$A$5:$A$34,0)),"⚠ Card ID?"))</f>
        <v>Cashback Demo A</v>
      </c>
      <c r="G23" s="37" t="inlineStr">
        <is>
          <t>WinMart</t>
        </is>
      </c>
      <c r="H23" s="37" t="inlineStr">
        <is>
          <t>Siêu thị</t>
        </is>
      </c>
      <c r="I23" s="41" t="n">
        <v>5411</v>
      </c>
      <c r="J23" s="45" t="str">
        <f>IF($I23="","",IFERROR(INDEX(MCC_MASTER!$B$5:$B$504,MATCH($I23,MCC_MASTER!$A$5:$A$504,0)),"⚠ MCC chưa có"))</f>
        <v>Grocery Stores / Supermarkets</v>
      </c>
      <c r="K23" s="45" t="str">
        <f>IF($I23="","",IFERROR(IF(INDEX(MCC_MASTER!$C$5:$C$504,MATCH($I23,MCC_MASTER!$A$5:$A$504,0))="","Chưa phân loại",INDEX(MCC_MASTER!$C$5:$C$504,MATCH($I23,MCC_MASTER!$A$5:$A$504,0))),"Chưa phân loại"))</f>
        <v>Groceries</v>
      </c>
      <c r="L23" s="40" t="n">
        <v>1000000</v>
      </c>
      <c r="M23" s="48">
        <f>IF(OR($B23="",$D23=""),"",IF($AC23=0,0,IF(ISNUMBER(INDEX(CASHBACK_RULES!$L$5:$L$304,$AC23)),MAX(0,MIN($L23,INDEX(CASHBACK_RULES!$L$5:$L$304,$AC23)-$AH23)),MAX(0,$L23))))</f>
        <v>1000000</v>
      </c>
      <c r="N23" s="49">
        <f>IF(OR($B23="",$D23=""),"",IF($AC23&gt;0,INDEX(CASHBACK_RULES!$I$5:$I$304,$AC23),0))</f>
        <v>0.1</v>
      </c>
      <c r="O23" s="48">
        <f>IF(OR($B23="",$D23=""),"",ROUND($M23*$N23,0))</f>
        <v>100000</v>
      </c>
      <c r="P23" s="48">
        <f>IF($AC23&gt;0,IF(ISNUMBER(INDEX(CASHBACK_RULES!$J$5:$J$304,$AC23)),INDEX(CASHBACK_RULES!$J$5:$J$304,$AC23),"∞"),"")</f>
        <v>500000</v>
      </c>
      <c r="Q23" s="48">
        <f>IF(OR($B23="",$D23=""),"",IF($AC23=0,0,MAX(0,MIN($O23,IF(ISNUMBER($P23),$P23-$AF23,1E+15),IF(ISNUMBER($AA23),$AA23-$AG23,1E+15)))))</f>
        <v>50000</v>
      </c>
      <c r="R23" s="48">
        <f>IF(OR($B23="",$D23=""),"",IF($AC23=0,"",IF(AND(NOT(ISNUMBER($P23)),NOT(ISNUMBER($AA23))),"∞",MAX(0,MIN(IF(ISNUMBER($P23),$P23-$AF23-$Q23,1E+15),IF(ISNUMBER($AA23),$AA23-$AG23-$Q23,1E+15))))))</f>
        <v>0</v>
      </c>
      <c r="S23" s="47">
        <f>IF($AD23="","",YEAR($AD23)*100+MONTH($AD23))</f>
        <v>202610</v>
      </c>
      <c r="T23" s="50">
        <f>IF($AD23="","",IFERROR(IF(INDEX(CARDS!$I$5:$I$34,MATCH($D23,CARDS!$A$5:$A$34,0))="","",IF(INDEX(CARDS!$I$5:$I$34,MATCH($D23,CARDS!$A$5:$A$34,0))&gt;INDEX(CARDS!$H$5:$H$34,MATCH($D23,CARDS!$A$5:$A$34,0)),DATE(YEAR($AD23),MONTH($AD23),MIN(INDEX(CARDS!$I$5:$I$34,MATCH($D23,CARDS!$A$5:$A$34,0)),DAY(EOMONTH($AD23,0)))),DATE(YEAR($AD23),MONTH($AD23)+1,MIN(INDEX(CARDS!$I$5:$I$34,MATCH($D23,CARDS!$A$5:$A$34,0)),DAY(EOMONTH($AD23,1)))))),""))</f>
        <v>46320.0</v>
      </c>
      <c r="U23" s="38" t="inlineStr">
        <is>
          <t>Posted</t>
        </is>
      </c>
      <c r="V23" s="37" t="inlineStr">
        <is>
          <t>SAMPLE DATA — có thể xóa — nhóm đã 450k → chỉ còn 50k</t>
        </is>
      </c>
      <c r="W23" s="38" t="n"/>
      <c r="X23" s="38" t="inlineStr">
        <is>
          <t>Chưa thanh toán</t>
        </is>
      </c>
      <c r="Y23" s="44" t="str">
        <f>IF($AC23&gt;0,INDEX(CASHBACK_RULES!$A$5:$A$304,$AC23),"")</f>
        <v>R011</v>
      </c>
      <c r="Z23" s="45" t="str">
        <f>IF($AC23&gt;0,INDEX(CASHBACK_RULES!$E$5:$E$304,$AC23)&amp;"","")</f>
        <v>Group 1</v>
      </c>
      <c r="AA23" s="48">
        <f>IF($AC23&gt;0,IF(ISNUMBER(INDEX(CASHBACK_RULES!$K$5:$K$304,$AC23)),INDEX(CASHBACK_RULES!$K$5:$K$304,$AC23),"∞"),"")</f>
        <v>1000000</v>
      </c>
      <c r="AB23" s="44" t="str">
        <f>IF(OR($B23="",$D23=""),"",IF($U23="Cancelled","Đã hủy",IF($AC23=0,"Không được hoàn",IF($Q23=0,IF(OR($O23&gt;0,$M23&lt;$L23),"Đã đạt cap","Không được hoàn"),IF(OR($Q23&lt;$O23,$M23&lt;$L23),"Hoàn một phần","Được hoàn")))))</f>
        <v>Hoàn một phần</v>
      </c>
      <c r="AC23" s="43">
        <f>IF(OR($B23="",$D23="",$I23="",$L23=""),0,IF($U23="Cancelled",0,IF($W23&lt;&gt;"",IFERROR(IF(INDEX(CASHBACK_RULES!$B$5:$B$304,MATCH($W23,CASHBACK_RULES!$A$5:$A$304,0))=$D23,MATCH($W23,CASHBACK_RULES!$A$5:$A$304,0),0),0),IFERROR(MATCH(1,INDEX((CASHBACK_RULES!$B$5:$B$304=$D23)*(CASHBACK_RULES!$G$5:$G$304=$I23)*(((CASHBACK_RULES!$N$5:$N$304="")+(CASHBACK_RULES!$N$5:$N$304&lt;=$B23))&gt;0)*(((CASHBACK_RULES!$O$5:$O$304="")+(CASHBACK_RULES!$O$5:$O$304&gt;=$B23))&gt;0)*(((CASHBACK_RULES!$M$5:$M$304="")+(CASHBACK_RULES!$M$5:$M$304&lt;=$L23))&gt;0),0),0),0))))</f>
        <v>11</v>
      </c>
      <c r="AD23" s="51">
        <f>IF(OR($B23="",$D23=""),"",IFERROR(IF(INDEX(CARDS!$H$5:$H$34,MATCH($D23,CARDS!$A$5:$A$34,0))="","",IF(DAY($B23)&lt;=INDEX(CARDS!$H$5:$H$34,MATCH($D23,CARDS!$A$5:$A$34,0)),DATE(YEAR($B23),MONTH($B23),MIN(INDEX(CARDS!$H$5:$H$34,MATCH($D23,CARDS!$A$5:$A$34,0)),DAY(EOMONTH($B23,0)))),DATE(YEAR($B23),MONTH($B23)+1,MIN(INDEX(CARDS!$H$5:$H$34,MATCH($D23,CARDS!$A$5:$A$34,0)),DAY(EOMONTH($B23,1)))))),""))</f>
        <v>46300.0</v>
      </c>
      <c r="AE23" s="52" t="str">
        <f>IF($C23="","",$C23&amp;"|"&amp;COUNTIF($C$5:$C23,$C23))</f>
        <v>202610|13</v>
      </c>
      <c r="AF23" s="53">
        <f>IF($AC23&gt;0,SUMIFS(Q$4:Q22,$D$4:$D22,$D23,$Z$4:$Z22,$Z23,$C$4:$C22,$C23),0)</f>
        <v>450000</v>
      </c>
      <c r="AG23" s="53">
        <f>IF($AC23&gt;0,SUMIFS(Q$4:Q22,$D$4:$D22,$D23,$C$4:$C22,$C23),0)</f>
        <v>950000</v>
      </c>
      <c r="AH23" s="53">
        <f>IF($AC23&gt;0,SUMIFS(M$4:M22,$D$4:$D22,$D23,$Z$4:$Z22,$Z23,$C$4:$C22,$C23),0)</f>
        <v>4500000</v>
      </c>
      <c r="AI23" s="43">
        <f>IF(OR($C23="",$I23=""),0,IF(COUNTIFS($C$5:$C23,$C23,$I$5:$I23,$I23)=1,1,0))</f>
        <v>0</v>
      </c>
      <c r="AJ23" s="43" t="str">
        <f>IF($AI23=1,SUMIFS($AI$4:$AI22,$C$4:$C22,$C23)+1,"")</f>
        <v/>
      </c>
      <c r="AK23" s="43">
        <f>IF(OR($C23="",$K23=""),0,IF(COUNTIFS($C$5:$C23,$C23,$K$5:$K23,$K23)=1,1,0))</f>
        <v>0</v>
      </c>
      <c r="AL23" s="43" t="str">
        <f>IF($AK23=1,SUMIFS($AK$4:$AK22,$C$4:$C22,$C23)+1,"")</f>
        <v/>
      </c>
      <c r="AM23" s="43">
        <f>IF(OR($C23="",$G23=""),0,IF(COUNTIFS($C$5:$C23,$C23,$G$5:$G23,$G23)=1,1,0))</f>
        <v>0</v>
      </c>
      <c r="AN23" s="43" t="str">
        <f>IF($AM23=1,SUMIFS($AM$4:$AM22,$C$4:$C22,$C23)+1,"")</f>
        <v/>
      </c>
    </row>
    <row r="24">
      <c r="A24" s="44" t="str">
        <f>IF(OR($B24="",$D24=""),"","TX"&amp;TEXT(ROW()-4,"0000"))</f>
        <v>TX0020</v>
      </c>
      <c r="B24" s="42" t="n">
        <v>46299</v>
      </c>
      <c r="C24" s="47">
        <f>IF($B24="","",YEAR($B24)*100+MONTH($B24))</f>
        <v>202610</v>
      </c>
      <c r="D24" s="37" t="inlineStr">
        <is>
          <t>UOB-C</t>
        </is>
      </c>
      <c r="E24" s="45" t="str">
        <f>IF($D24="","",IFERROR(INDEX(CARDS!$B$5:$B$34,MATCH($D24,CARDS!$A$5:$A$34,0)),"⚠ Card ID?"))</f>
        <v>UOB</v>
      </c>
      <c r="F24" s="45" t="str">
        <f>IF($D24="","",IFERROR(INDEX(CARDS!$C$5:$C$34,MATCH($D24,CARDS!$A$5:$A$34,0)),"⚠ Card ID?"))</f>
        <v>Cashback Demo C</v>
      </c>
      <c r="G24" s="37" t="inlineStr">
        <is>
          <t>KFC</t>
        </is>
      </c>
      <c r="H24" s="37" t="inlineStr">
        <is>
          <t>Ăn nhanh</t>
        </is>
      </c>
      <c r="I24" s="41" t="n">
        <v>5814</v>
      </c>
      <c r="J24" s="45" t="str">
        <f>IF($I24="","",IFERROR(INDEX(MCC_MASTER!$B$5:$B$504,MATCH($I24,MCC_MASTER!$A$5:$A$504,0)),"⚠ MCC chưa có"))</f>
        <v>Fast Food Restaurants</v>
      </c>
      <c r="K24" s="45" t="str">
        <f>IF($I24="","",IFERROR(IF(INDEX(MCC_MASTER!$C$5:$C$504,MATCH($I24,MCC_MASTER!$A$5:$A$504,0))="","Chưa phân loại",INDEX(MCC_MASTER!$C$5:$C$504,MATCH($I24,MCC_MASTER!$A$5:$A$504,0))),"Chưa phân loại"))</f>
        <v>Dining</v>
      </c>
      <c r="L24" s="40" t="n">
        <v>3000000</v>
      </c>
      <c r="M24" s="48">
        <f>IF(OR($B24="",$D24=""),"",IF($AC24=0,0,IF(ISNUMBER(INDEX(CASHBACK_RULES!$L$5:$L$304,$AC24)),MAX(0,MIN($L24,INDEX(CASHBACK_RULES!$L$5:$L$304,$AC24)-$AH24)),MAX(0,$L24))))</f>
        <v>3000000</v>
      </c>
      <c r="N24" s="49">
        <f>IF(OR($B24="",$D24=""),"",IF($AC24&gt;0,INDEX(CASHBACK_RULES!$I$5:$I$304,$AC24),0))</f>
        <v>0.15</v>
      </c>
      <c r="O24" s="48">
        <f>IF(OR($B24="",$D24=""),"",ROUND($M24*$N24,0))</f>
        <v>450000</v>
      </c>
      <c r="P24" s="48">
        <f>IF($AC24&gt;0,IF(ISNUMBER(INDEX(CASHBACK_RULES!$J$5:$J$304,$AC24)),INDEX(CASHBACK_RULES!$J$5:$J$304,$AC24),"∞"),"")</f>
        <v>1000000</v>
      </c>
      <c r="Q24" s="48">
        <f>IF(OR($B24="",$D24=""),"",IF($AC24=0,0,MAX(0,MIN($O24,IF(ISNUMBER($P24),$P24-$AF24,1E+15),IF(ISNUMBER($AA24),$AA24-$AG24,1E+15)))))</f>
        <v>400000</v>
      </c>
      <c r="R24" s="48">
        <f>IF(OR($B24="",$D24=""),"",IF($AC24=0,"",IF(AND(NOT(ISNUMBER($P24)),NOT(ISNUMBER($AA24))),"∞",MAX(0,MIN(IF(ISNUMBER($P24),$P24-$AF24-$Q24,1E+15),IF(ISNUMBER($AA24),$AA24-$AG24-$Q24,1E+15))))))</f>
        <v>0</v>
      </c>
      <c r="S24" s="47">
        <f>IF($AD24="","",YEAR($AD24)*100+MONTH($AD24))</f>
        <v>202610</v>
      </c>
      <c r="T24" s="50">
        <f>IF($AD24="","",IFERROR(IF(INDEX(CARDS!$I$5:$I$34,MATCH($D24,CARDS!$A$5:$A$34,0))="","",IF(INDEX(CARDS!$I$5:$I$34,MATCH($D24,CARDS!$A$5:$A$34,0))&gt;INDEX(CARDS!$H$5:$H$34,MATCH($D24,CARDS!$A$5:$A$34,0)),DATE(YEAR($AD24),MONTH($AD24),MIN(INDEX(CARDS!$I$5:$I$34,MATCH($D24,CARDS!$A$5:$A$34,0)),DAY(EOMONTH($AD24,0)))),DATE(YEAR($AD24),MONTH($AD24)+1,MIN(INDEX(CARDS!$I$5:$I$34,MATCH($D24,CARDS!$A$5:$A$34,0)),DAY(EOMONTH($AD24,1)))))),""))</f>
        <v>46323.0</v>
      </c>
      <c r="U24" s="38" t="inlineStr">
        <is>
          <t>Posted</t>
        </is>
      </c>
      <c r="V24" s="37" t="inlineStr">
        <is>
          <t>SAMPLE DATA — có thể xóa — hoàn một phần do cap nhóm 1tr</t>
        </is>
      </c>
      <c r="W24" s="38" t="n"/>
      <c r="X24" s="38" t="inlineStr">
        <is>
          <t>Chưa thanh toán</t>
        </is>
      </c>
      <c r="Y24" s="44" t="str">
        <f>IF($AC24&gt;0,INDEX(CASHBACK_RULES!$A$5:$A$304,$AC24),"")</f>
        <v>R023</v>
      </c>
      <c r="Z24" s="45" t="str">
        <f>IF($AC24&gt;0,INDEX(CASHBACK_RULES!$E$5:$E$304,$AC24)&amp;"","")</f>
        <v>Group 1</v>
      </c>
      <c r="AA24" s="48" t="str">
        <f>IF($AC24&gt;0,IF(ISNUMBER(INDEX(CASHBACK_RULES!$K$5:$K$304,$AC24)),INDEX(CASHBACK_RULES!$K$5:$K$304,$AC24),"∞"),"")</f>
        <v>∞</v>
      </c>
      <c r="AB24" s="44" t="str">
        <f>IF(OR($B24="",$D24=""),"",IF($U24="Cancelled","Đã hủy",IF($AC24=0,"Không được hoàn",IF($Q24=0,IF(OR($O24&gt;0,$M24&lt;$L24),"Đã đạt cap","Không được hoàn"),IF(OR($Q24&lt;$O24,$M24&lt;$L24),"Hoàn một phần","Được hoàn")))))</f>
        <v>Hoàn một phần</v>
      </c>
      <c r="AC24" s="43">
        <f>IF(OR($B24="",$D24="",$I24="",$L24=""),0,IF($U24="Cancelled",0,IF($W24&lt;&gt;"",IFERROR(IF(INDEX(CASHBACK_RULES!$B$5:$B$304,MATCH($W24,CASHBACK_RULES!$A$5:$A$304,0))=$D24,MATCH($W24,CASHBACK_RULES!$A$5:$A$304,0),0),0),IFERROR(MATCH(1,INDEX((CASHBACK_RULES!$B$5:$B$304=$D24)*(CASHBACK_RULES!$G$5:$G$304=$I24)*(((CASHBACK_RULES!$N$5:$N$304="")+(CASHBACK_RULES!$N$5:$N$304&lt;=$B24))&gt;0)*(((CASHBACK_RULES!$O$5:$O$304="")+(CASHBACK_RULES!$O$5:$O$304&gt;=$B24))&gt;0)*(((CASHBACK_RULES!$M$5:$M$304="")+(CASHBACK_RULES!$M$5:$M$304&lt;=$L24))&gt;0),0),0),0))))</f>
        <v>23</v>
      </c>
      <c r="AD24" s="51">
        <f>IF(OR($B24="",$D24=""),"",IFERROR(IF(INDEX(CARDS!$H$5:$H$34,MATCH($D24,CARDS!$A$5:$A$34,0))="","",IF(DAY($B24)&lt;=INDEX(CARDS!$H$5:$H$34,MATCH($D24,CARDS!$A$5:$A$34,0)),DATE(YEAR($B24),MONTH($B24),MIN(INDEX(CARDS!$H$5:$H$34,MATCH($D24,CARDS!$A$5:$A$34,0)),DAY(EOMONTH($B24,0)))),DATE(YEAR($B24),MONTH($B24)+1,MIN(INDEX(CARDS!$H$5:$H$34,MATCH($D24,CARDS!$A$5:$A$34,0)),DAY(EOMONTH($B24,1)))))),""))</f>
        <v>46305.0</v>
      </c>
      <c r="AE24" s="52" t="str">
        <f>IF($C24="","",$C24&amp;"|"&amp;COUNTIF($C$5:$C24,$C24))</f>
        <v>202610|14</v>
      </c>
      <c r="AF24" s="53">
        <f>IF($AC24&gt;0,SUMIFS(Q$4:Q23,$D$4:$D23,$D24,$Z$4:$Z23,$Z24,$C$4:$C23,$C24),0)</f>
        <v>600000</v>
      </c>
      <c r="AG24" s="53">
        <f>IF($AC24&gt;0,SUMIFS(Q$4:Q23,$D$4:$D23,$D24,$C$4:$C23,$C24),0)</f>
        <v>600000</v>
      </c>
      <c r="AH24" s="53">
        <f>IF($AC24&gt;0,SUMIFS(M$4:M23,$D$4:$D23,$D24,$Z$4:$Z23,$Z24,$C$4:$C23,$C24),0)</f>
        <v>4000000</v>
      </c>
      <c r="AI24" s="43">
        <f>IF(OR($C24="",$I24=""),0,IF(COUNTIFS($C$5:$C24,$C24,$I$5:$I24,$I24)=1,1,0))</f>
        <v>0</v>
      </c>
      <c r="AJ24" s="43" t="str">
        <f>IF($AI24=1,SUMIFS($AI$4:$AI23,$C$4:$C23,$C24)+1,"")</f>
        <v/>
      </c>
      <c r="AK24" s="43">
        <f>IF(OR($C24="",$K24=""),0,IF(COUNTIFS($C$5:$C24,$C24,$K$5:$K24,$K24)=1,1,0))</f>
        <v>0</v>
      </c>
      <c r="AL24" s="43" t="str">
        <f>IF($AK24=1,SUMIFS($AK$4:$AK23,$C$4:$C23,$C24)+1,"")</f>
        <v/>
      </c>
      <c r="AM24" s="43">
        <f>IF(OR($C24="",$G24=""),0,IF(COUNTIFS($C$5:$C24,$C24,$G$5:$G24,$G24)=1,1,0))</f>
        <v>1</v>
      </c>
      <c r="AN24" s="43">
        <f>IF($AM24=1,SUMIFS($AM$4:$AM23,$C$4:$C23,$C24)+1,"")</f>
        <v>13</v>
      </c>
    </row>
    <row r="25">
      <c r="A25" s="44" t="str">
        <f>IF(OR($B25="",$D25=""),"","TX"&amp;TEXT(ROW()-4,"0000"))</f>
        <v>TX0021</v>
      </c>
      <c r="B25" s="42" t="n">
        <v>46299</v>
      </c>
      <c r="C25" s="47">
        <f>IF($B25="","",YEAR($B25)*100+MONTH($B25))</f>
        <v>202610</v>
      </c>
      <c r="D25" s="37" t="inlineStr">
        <is>
          <t>UOB-C</t>
        </is>
      </c>
      <c r="E25" s="45" t="str">
        <f>IF($D25="","",IFERROR(INDEX(CARDS!$B$5:$B$34,MATCH($D25,CARDS!$A$5:$A$34,0)),"⚠ Card ID?"))</f>
        <v>UOB</v>
      </c>
      <c r="F25" s="45" t="str">
        <f>IF($D25="","",IFERROR(INDEX(CARDS!$C$5:$C$34,MATCH($D25,CARDS!$A$5:$A$34,0)),"⚠ Card ID?"))</f>
        <v>Cashback Demo C</v>
      </c>
      <c r="G25" s="37" t="inlineStr">
        <is>
          <t>Nhà hàng Hoàng Yến</t>
        </is>
      </c>
      <c r="H25" s="37" t="inlineStr">
        <is>
          <t>Hủy</t>
        </is>
      </c>
      <c r="I25" s="41" t="n">
        <v>5812</v>
      </c>
      <c r="J25" s="45" t="str">
        <f>IF($I25="","",IFERROR(INDEX(MCC_MASTER!$B$5:$B$504,MATCH($I25,MCC_MASTER!$A$5:$A$504,0)),"⚠ MCC chưa có"))</f>
        <v>Eating Places / Restaurants</v>
      </c>
      <c r="K25" s="45" t="str">
        <f>IF($I25="","",IFERROR(IF(INDEX(MCC_MASTER!$C$5:$C$504,MATCH($I25,MCC_MASTER!$A$5:$A$504,0))="","Chưa phân loại",INDEX(MCC_MASTER!$C$5:$C$504,MATCH($I25,MCC_MASTER!$A$5:$A$504,0))),"Chưa phân loại"))</f>
        <v>Dining</v>
      </c>
      <c r="L25" s="40" t="n">
        <v>500000</v>
      </c>
      <c r="M25" s="48">
        <f>IF(OR($B25="",$D25=""),"",IF($AC25=0,0,IF(ISNUMBER(INDEX(CASHBACK_RULES!$L$5:$L$304,$AC25)),MAX(0,MIN($L25,INDEX(CASHBACK_RULES!$L$5:$L$304,$AC25)-$AH25)),MAX(0,$L25))))</f>
        <v>0</v>
      </c>
      <c r="N25" s="49">
        <f>IF(OR($B25="",$D25=""),"",IF($AC25&gt;0,INDEX(CASHBACK_RULES!$I$5:$I$304,$AC25),0))</f>
        <v>0</v>
      </c>
      <c r="O25" s="48">
        <f>IF(OR($B25="",$D25=""),"",ROUND($M25*$N25,0))</f>
        <v>0</v>
      </c>
      <c r="P25" s="48" t="str">
        <f>IF($AC25&gt;0,IF(ISNUMBER(INDEX(CASHBACK_RULES!$J$5:$J$304,$AC25)),INDEX(CASHBACK_RULES!$J$5:$J$304,$AC25),"∞"),"")</f>
        <v/>
      </c>
      <c r="Q25" s="48">
        <f>IF(OR($B25="",$D25=""),"",IF($AC25=0,0,MAX(0,MIN($O25,IF(ISNUMBER($P25),$P25-$AF25,1E+15),IF(ISNUMBER($AA25),$AA25-$AG25,1E+15)))))</f>
        <v>0</v>
      </c>
      <c r="R25" s="48" t="str">
        <f>IF(OR($B25="",$D25=""),"",IF($AC25=0,"",IF(AND(NOT(ISNUMBER($P25)),NOT(ISNUMBER($AA25))),"∞",MAX(0,MIN(IF(ISNUMBER($P25),$P25-$AF25-$Q25,1E+15),IF(ISNUMBER($AA25),$AA25-$AG25-$Q25,1E+15))))))</f>
        <v/>
      </c>
      <c r="S25" s="47">
        <f>IF($AD25="","",YEAR($AD25)*100+MONTH($AD25))</f>
        <v>202610</v>
      </c>
      <c r="T25" s="50">
        <f>IF($AD25="","",IFERROR(IF(INDEX(CARDS!$I$5:$I$34,MATCH($D25,CARDS!$A$5:$A$34,0))="","",IF(INDEX(CARDS!$I$5:$I$34,MATCH($D25,CARDS!$A$5:$A$34,0))&gt;INDEX(CARDS!$H$5:$H$34,MATCH($D25,CARDS!$A$5:$A$34,0)),DATE(YEAR($AD25),MONTH($AD25),MIN(INDEX(CARDS!$I$5:$I$34,MATCH($D25,CARDS!$A$5:$A$34,0)),DAY(EOMONTH($AD25,0)))),DATE(YEAR($AD25),MONTH($AD25)+1,MIN(INDEX(CARDS!$I$5:$I$34,MATCH($D25,CARDS!$A$5:$A$34,0)),DAY(EOMONTH($AD25,1)))))),""))</f>
        <v>46323.0</v>
      </c>
      <c r="U25" s="38" t="inlineStr">
        <is>
          <t>Cancelled</t>
        </is>
      </c>
      <c r="V25" s="37" t="inlineStr">
        <is>
          <t>SAMPLE DATA — có thể xóa — giao dịch hủy</t>
        </is>
      </c>
      <c r="W25" s="38" t="n"/>
      <c r="X25" s="38" t="inlineStr">
        <is>
          <t>Chưa thanh toán</t>
        </is>
      </c>
      <c r="Y25" s="44" t="str">
        <f>IF($AC25&gt;0,INDEX(CASHBACK_RULES!$A$5:$A$304,$AC25),"")</f>
        <v/>
      </c>
      <c r="Z25" s="45" t="str">
        <f>IF($AC25&gt;0,INDEX(CASHBACK_RULES!$E$5:$E$304,$AC25)&amp;"","")</f>
        <v/>
      </c>
      <c r="AA25" s="48" t="str">
        <f>IF($AC25&gt;0,IF(ISNUMBER(INDEX(CASHBACK_RULES!$K$5:$K$304,$AC25)),INDEX(CASHBACK_RULES!$K$5:$K$304,$AC25),"∞"),"")</f>
        <v/>
      </c>
      <c r="AB25" s="44" t="str">
        <f>IF(OR($B25="",$D25=""),"",IF($U25="Cancelled","Đã hủy",IF($AC25=0,"Không được hoàn",IF($Q25=0,IF(OR($O25&gt;0,$M25&lt;$L25),"Đã đạt cap","Không được hoàn"),IF(OR($Q25&lt;$O25,$M25&lt;$L25),"Hoàn một phần","Được hoàn")))))</f>
        <v>Đã hủy</v>
      </c>
      <c r="AC25" s="43">
        <f>IF(OR($B25="",$D25="",$I25="",$L25=""),0,IF($U25="Cancelled",0,IF($W25&lt;&gt;"",IFERROR(IF(INDEX(CASHBACK_RULES!$B$5:$B$304,MATCH($W25,CASHBACK_RULES!$A$5:$A$304,0))=$D25,MATCH($W25,CASHBACK_RULES!$A$5:$A$304,0),0),0),IFERROR(MATCH(1,INDEX((CASHBACK_RULES!$B$5:$B$304=$D25)*(CASHBACK_RULES!$G$5:$G$304=$I25)*(((CASHBACK_RULES!$N$5:$N$304="")+(CASHBACK_RULES!$N$5:$N$304&lt;=$B25))&gt;0)*(((CASHBACK_RULES!$O$5:$O$304="")+(CASHBACK_RULES!$O$5:$O$304&gt;=$B25))&gt;0)*(((CASHBACK_RULES!$M$5:$M$304="")+(CASHBACK_RULES!$M$5:$M$304&lt;=$L25))&gt;0),0),0),0))))</f>
        <v>0</v>
      </c>
      <c r="AD25" s="51">
        <f>IF(OR($B25="",$D25=""),"",IFERROR(IF(INDEX(CARDS!$H$5:$H$34,MATCH($D25,CARDS!$A$5:$A$34,0))="","",IF(DAY($B25)&lt;=INDEX(CARDS!$H$5:$H$34,MATCH($D25,CARDS!$A$5:$A$34,0)),DATE(YEAR($B25),MONTH($B25),MIN(INDEX(CARDS!$H$5:$H$34,MATCH($D25,CARDS!$A$5:$A$34,0)),DAY(EOMONTH($B25,0)))),DATE(YEAR($B25),MONTH($B25)+1,MIN(INDEX(CARDS!$H$5:$H$34,MATCH($D25,CARDS!$A$5:$A$34,0)),DAY(EOMONTH($B25,1)))))),""))</f>
        <v>46305.0</v>
      </c>
      <c r="AE25" s="52" t="str">
        <f>IF($C25="","",$C25&amp;"|"&amp;COUNTIF($C$5:$C25,$C25))</f>
        <v>202610|15</v>
      </c>
      <c r="AF25" s="53">
        <f>IF($AC25&gt;0,SUMIFS(Q$4:Q24,$D$4:$D24,$D25,$Z$4:$Z24,$Z25,$C$4:$C24,$C25),0)</f>
        <v>0</v>
      </c>
      <c r="AG25" s="53">
        <f>IF($AC25&gt;0,SUMIFS(Q$4:Q24,$D$4:$D24,$D25,$C$4:$C24,$C25),0)</f>
        <v>0</v>
      </c>
      <c r="AH25" s="53">
        <f>IF($AC25&gt;0,SUMIFS(M$4:M24,$D$4:$D24,$D25,$Z$4:$Z24,$Z25,$C$4:$C24,$C25),0)</f>
        <v>0</v>
      </c>
      <c r="AI25" s="43">
        <f>IF(OR($C25="",$I25=""),0,IF(COUNTIFS($C$5:$C25,$C25,$I$5:$I25,$I25)=1,1,0))</f>
        <v>0</v>
      </c>
      <c r="AJ25" s="43" t="str">
        <f>IF($AI25=1,SUMIFS($AI$4:$AI24,$C$4:$C24,$C25)+1,"")</f>
        <v/>
      </c>
      <c r="AK25" s="43">
        <f>IF(OR($C25="",$K25=""),0,IF(COUNTIFS($C$5:$C25,$C25,$K$5:$K25,$K25)=1,1,0))</f>
        <v>0</v>
      </c>
      <c r="AL25" s="43" t="str">
        <f>IF($AK25=1,SUMIFS($AK$4:$AK24,$C$4:$C24,$C25)+1,"")</f>
        <v/>
      </c>
      <c r="AM25" s="43">
        <f>IF(OR($C25="",$G25=""),0,IF(COUNTIFS($C$5:$C25,$C25,$G$5:$G25,$G25)=1,1,0))</f>
        <v>1</v>
      </c>
      <c r="AN25" s="43">
        <f>IF($AM25=1,SUMIFS($AM$4:$AM24,$C$4:$C24,$C25)+1,"")</f>
        <v>14</v>
      </c>
    </row>
    <row r="26">
      <c r="A26" s="44" t="str">
        <f>IF(OR($B26="",$D26=""),"","TX"&amp;TEXT(ROW()-4,"0000"))</f>
        <v>TX0022</v>
      </c>
      <c r="B26" s="42" t="n">
        <v>46300</v>
      </c>
      <c r="C26" s="47">
        <f>IF($B26="","",YEAR($B26)*100+MONTH($B26))</f>
        <v>202610</v>
      </c>
      <c r="D26" s="37" t="inlineStr">
        <is>
          <t>VPB-JCBZ</t>
        </is>
      </c>
      <c r="E26" s="45" t="str">
        <f>IF($D26="","",IFERROR(INDEX(CARDS!$B$5:$B$34,MATCH($D26,CARDS!$A$5:$A$34,0)),"⚠ Card ID?"))</f>
        <v>VPBank</v>
      </c>
      <c r="F26" s="45" t="str">
        <f>IF($D26="","",IFERROR(INDEX(CARDS!$C$5:$C$34,MATCH($D26,CARDS!$A$5:$A$34,0)),"⚠ Card ID?"))</f>
        <v>JCB Z Card</v>
      </c>
      <c r="G26" s="37" t="inlineStr">
        <is>
          <t>Quán Ăn Ngon</t>
        </is>
      </c>
      <c r="H26" s="37" t="inlineStr">
        <is>
          <t>Ăn trưa</t>
        </is>
      </c>
      <c r="I26" s="41" t="n">
        <v>5812</v>
      </c>
      <c r="J26" s="45" t="str">
        <f>IF($I26="","",IFERROR(INDEX(MCC_MASTER!$B$5:$B$504,MATCH($I26,MCC_MASTER!$A$5:$A$504,0)),"⚠ MCC chưa có"))</f>
        <v>Eating Places / Restaurants</v>
      </c>
      <c r="K26" s="45" t="str">
        <f>IF($I26="","",IFERROR(IF(INDEX(MCC_MASTER!$C$5:$C$504,MATCH($I26,MCC_MASTER!$A$5:$A$504,0))="","Chưa phân loại",INDEX(MCC_MASTER!$C$5:$C$504,MATCH($I26,MCC_MASTER!$A$5:$A$504,0))),"Chưa phân loại"))</f>
        <v>Dining</v>
      </c>
      <c r="L26" s="40" t="n">
        <v>300000</v>
      </c>
      <c r="M26" s="48">
        <f>IF(OR($B26="",$D26=""),"",IF($AC26=0,0,IF(ISNUMBER(INDEX(CASHBACK_RULES!$L$5:$L$304,$AC26)),MAX(0,MIN($L26,INDEX(CASHBACK_RULES!$L$5:$L$304,$AC26)-$AH26)),MAX(0,$L26))))</f>
        <v>300000</v>
      </c>
      <c r="N26" s="49">
        <f>IF(OR($B26="",$D26=""),"",IF($AC26&gt;0,INDEX(CASHBACK_RULES!$I$5:$I$304,$AC26),0))</f>
        <v>0.15</v>
      </c>
      <c r="O26" s="48">
        <f>IF(OR($B26="",$D26=""),"",ROUND($M26*$N26,0))</f>
        <v>45000</v>
      </c>
      <c r="P26" s="48">
        <f>IF($AC26&gt;0,IF(ISNUMBER(INDEX(CASHBACK_RULES!$J$5:$J$304,$AC26)),INDEX(CASHBACK_RULES!$J$5:$J$304,$AC26),"∞"),"")</f>
        <v>500000</v>
      </c>
      <c r="Q26" s="48">
        <f>IF(OR($B26="",$D26=""),"",IF($AC26=0,0,MAX(0,MIN($O26,IF(ISNUMBER($P26),$P26-$AF26,1E+15),IF(ISNUMBER($AA26),$AA26-$AG26,1E+15)))))</f>
        <v>0</v>
      </c>
      <c r="R26" s="48">
        <f>IF(OR($B26="",$D26=""),"",IF($AC26=0,"",IF(AND(NOT(ISNUMBER($P26)),NOT(ISNUMBER($AA26))),"∞",MAX(0,MIN(IF(ISNUMBER($P26),$P26-$AF26-$Q26,1E+15),IF(ISNUMBER($AA26),$AA26-$AG26-$Q26,1E+15))))))</f>
        <v>0</v>
      </c>
      <c r="S26" s="47">
        <f>IF($AD26="","",YEAR($AD26)*100+MONTH($AD26))</f>
        <v>202610</v>
      </c>
      <c r="T26" s="50">
        <f>IF($AD26="","",IFERROR(IF(INDEX(CARDS!$I$5:$I$34,MATCH($D26,CARDS!$A$5:$A$34,0))="","",IF(INDEX(CARDS!$I$5:$I$34,MATCH($D26,CARDS!$A$5:$A$34,0))&gt;INDEX(CARDS!$H$5:$H$34,MATCH($D26,CARDS!$A$5:$A$34,0)),DATE(YEAR($AD26),MONTH($AD26),MIN(INDEX(CARDS!$I$5:$I$34,MATCH($D26,CARDS!$A$5:$A$34,0)),DAY(EOMONTH($AD26,0)))),DATE(YEAR($AD26),MONTH($AD26)+1,MIN(INDEX(CARDS!$I$5:$I$34,MATCH($D26,CARDS!$A$5:$A$34,0)),DAY(EOMONTH($AD26,1)))))),""))</f>
        <v>46341.0</v>
      </c>
      <c r="U26" s="38" t="inlineStr">
        <is>
          <t>Posted</t>
        </is>
      </c>
      <c r="V26" s="37" t="inlineStr">
        <is>
          <t>SAMPLE DATA — có thể xóa — cap thẻ đã đạt</t>
        </is>
      </c>
      <c r="W26" s="38" t="n"/>
      <c r="X26" s="38" t="inlineStr">
        <is>
          <t>Chưa thanh toán</t>
        </is>
      </c>
      <c r="Y26" s="44" t="str">
        <f>IF($AC26&gt;0,INDEX(CASHBACK_RULES!$A$5:$A$304,$AC26),"")</f>
        <v>R002</v>
      </c>
      <c r="Z26" s="45" t="str">
        <f>IF($AC26&gt;0,INDEX(CASHBACK_RULES!$E$5:$E$304,$AC26)&amp;"","")</f>
        <v>Group 1</v>
      </c>
      <c r="AA26" s="48">
        <f>IF($AC26&gt;0,IF(ISNUMBER(INDEX(CASHBACK_RULES!$K$5:$K$304,$AC26)),INDEX(CASHBACK_RULES!$K$5:$K$304,$AC26),"∞"),"")</f>
        <v>1000000</v>
      </c>
      <c r="AB26" s="44" t="str">
        <f>IF(OR($B26="",$D26=""),"",IF($U26="Cancelled","Đã hủy",IF($AC26=0,"Không được hoàn",IF($Q26=0,IF(OR($O26&gt;0,$M26&lt;$L26),"Đã đạt cap","Không được hoàn"),IF(OR($Q26&lt;$O26,$M26&lt;$L26),"Hoàn một phần","Được hoàn")))))</f>
        <v>Đã đạt cap</v>
      </c>
      <c r="AC26" s="43">
        <f>IF(OR($B26="",$D26="",$I26="",$L26=""),0,IF($U26="Cancelled",0,IF($W26&lt;&gt;"",IFERROR(IF(INDEX(CASHBACK_RULES!$B$5:$B$304,MATCH($W26,CASHBACK_RULES!$A$5:$A$304,0))=$D26,MATCH($W26,CASHBACK_RULES!$A$5:$A$304,0),0),0),IFERROR(MATCH(1,INDEX((CASHBACK_RULES!$B$5:$B$304=$D26)*(CASHBACK_RULES!$G$5:$G$304=$I26)*(((CASHBACK_RULES!$N$5:$N$304="")+(CASHBACK_RULES!$N$5:$N$304&lt;=$B26))&gt;0)*(((CASHBACK_RULES!$O$5:$O$304="")+(CASHBACK_RULES!$O$5:$O$304&gt;=$B26))&gt;0)*(((CASHBACK_RULES!$M$5:$M$304="")+(CASHBACK_RULES!$M$5:$M$304&lt;=$L26))&gt;0),0),0),0))))</f>
        <v>2</v>
      </c>
      <c r="AD26" s="51">
        <f>IF(OR($B26="",$D26=""),"",IFERROR(IF(INDEX(CARDS!$H$5:$H$34,MATCH($D26,CARDS!$A$5:$A$34,0))="","",IF(DAY($B26)&lt;=INDEX(CARDS!$H$5:$H$34,MATCH($D26,CARDS!$A$5:$A$34,0)),DATE(YEAR($B26),MONTH($B26),MIN(INDEX(CARDS!$H$5:$H$34,MATCH($D26,CARDS!$A$5:$A$34,0)),DAY(EOMONTH($B26,0)))),DATE(YEAR($B26),MONTH($B26)+1,MIN(INDEX(CARDS!$H$5:$H$34,MATCH($D26,CARDS!$A$5:$A$34,0)),DAY(EOMONTH($B26,1)))))),""))</f>
        <v>46320.0</v>
      </c>
      <c r="AE26" s="52" t="str">
        <f>IF($C26="","",$C26&amp;"|"&amp;COUNTIF($C$5:$C26,$C26))</f>
        <v>202610|16</v>
      </c>
      <c r="AF26" s="53">
        <f>IF($AC26&gt;0,SUMIFS(Q$4:Q25,$D$4:$D25,$D26,$Z$4:$Z25,$Z26,$C$4:$C25,$C26),0)</f>
        <v>450000</v>
      </c>
      <c r="AG26" s="53">
        <f>IF($AC26&gt;0,SUMIFS(Q$4:Q25,$D$4:$D25,$D26,$C$4:$C25,$C26),0)</f>
        <v>1000000</v>
      </c>
      <c r="AH26" s="53">
        <f>IF($AC26&gt;0,SUMIFS(M$4:M25,$D$4:$D25,$D26,$Z$4:$Z25,$Z26,$C$4:$C25,$C26),0)</f>
        <v>3000000</v>
      </c>
      <c r="AI26" s="43">
        <f>IF(OR($C26="",$I26=""),0,IF(COUNTIFS($C$5:$C26,$C26,$I$5:$I26,$I26)=1,1,0))</f>
        <v>0</v>
      </c>
      <c r="AJ26" s="43" t="str">
        <f>IF($AI26=1,SUMIFS($AI$4:$AI25,$C$4:$C25,$C26)+1,"")</f>
        <v/>
      </c>
      <c r="AK26" s="43">
        <f>IF(OR($C26="",$K26=""),0,IF(COUNTIFS($C$5:$C26,$C26,$K$5:$K26,$K26)=1,1,0))</f>
        <v>0</v>
      </c>
      <c r="AL26" s="43" t="str">
        <f>IF($AK26=1,SUMIFS($AK$4:$AK25,$C$4:$C25,$C26)+1,"")</f>
        <v/>
      </c>
      <c r="AM26" s="43">
        <f>IF(OR($C26="",$G26=""),0,IF(COUNTIFS($C$5:$C26,$C26,$G$5:$G26,$G26)=1,1,0))</f>
        <v>1</v>
      </c>
      <c r="AN26" s="43">
        <f>IF($AM26=1,SUMIFS($AM$4:$AM25,$C$4:$C25,$C26)+1,"")</f>
        <v>15</v>
      </c>
    </row>
    <row r="27">
      <c r="A27" s="44" t="str">
        <f>IF(OR($B27="",$D27=""),"","TX"&amp;TEXT(ROW()-4,"0000"))</f>
        <v>TX0023</v>
      </c>
      <c r="B27" s="42" t="n">
        <v>46300</v>
      </c>
      <c r="C27" s="47">
        <f>IF($B27="","",YEAR($B27)*100+MONTH($B27))</f>
        <v>202610</v>
      </c>
      <c r="D27" s="37" t="inlineStr">
        <is>
          <t>TCB-B</t>
        </is>
      </c>
      <c r="E27" s="45" t="str">
        <f>IF($D27="","",IFERROR(INDEX(CARDS!$B$5:$B$34,MATCH($D27,CARDS!$A$5:$A$34,0)),"⚠ Card ID?"))</f>
        <v>Techcombank</v>
      </c>
      <c r="F27" s="45" t="str">
        <f>IF($D27="","",IFERROR(INDEX(CARDS!$C$5:$C$34,MATCH($D27,CARDS!$A$5:$A$34,0)),"⚠ Card ID?"))</f>
        <v>Cashback Demo B</v>
      </c>
      <c r="G27" s="37" t="inlineStr">
        <is>
          <t>Bệnh viện Vinmec</t>
        </is>
      </c>
      <c r="H27" s="37" t="inlineStr">
        <is>
          <t>Khám</t>
        </is>
      </c>
      <c r="I27" s="41" t="n">
        <v>8062</v>
      </c>
      <c r="J27" s="45" t="str">
        <f>IF($I27="","",IFERROR(INDEX(MCC_MASTER!$B$5:$B$504,MATCH($I27,MCC_MASTER!$A$5:$A$504,0)),"⚠ MCC chưa có"))</f>
        <v>Hospitals</v>
      </c>
      <c r="K27" s="45" t="str">
        <f>IF($I27="","",IFERROR(IF(INDEX(MCC_MASTER!$C$5:$C$504,MATCH($I27,MCC_MASTER!$A$5:$A$504,0))="","Chưa phân loại",INDEX(MCC_MASTER!$C$5:$C$504,MATCH($I27,MCC_MASTER!$A$5:$A$504,0))),"Chưa phân loại"))</f>
        <v>Healthcare</v>
      </c>
      <c r="L27" s="40" t="n">
        <v>1500000</v>
      </c>
      <c r="M27" s="48">
        <f>IF(OR($B27="",$D27=""),"",IF($AC27=0,0,IF(ISNUMBER(INDEX(CASHBACK_RULES!$L$5:$L$304,$AC27)),MAX(0,MIN($L27,INDEX(CASHBACK_RULES!$L$5:$L$304,$AC27)-$AH27)),MAX(0,$L27))))</f>
        <v>1500000</v>
      </c>
      <c r="N27" s="49">
        <f>IF(OR($B27="",$D27=""),"",IF($AC27&gt;0,INDEX(CASHBACK_RULES!$I$5:$I$304,$AC27),0))</f>
        <v>0.05</v>
      </c>
      <c r="O27" s="48">
        <f>IF(OR($B27="",$D27=""),"",ROUND($M27*$N27,0))</f>
        <v>75000</v>
      </c>
      <c r="P27" s="48">
        <f>IF($AC27&gt;0,IF(ISNUMBER(INDEX(CASHBACK_RULES!$J$5:$J$304,$AC27)),INDEX(CASHBACK_RULES!$J$5:$J$304,$AC27),"∞"),"")</f>
        <v>300000</v>
      </c>
      <c r="Q27" s="48">
        <f>IF(OR($B27="",$D27=""),"",IF($AC27=0,0,MAX(0,MIN($O27,IF(ISNUMBER($P27),$P27-$AF27,1E+15),IF(ISNUMBER($AA27),$AA27-$AG27,1E+15)))))</f>
        <v>75000</v>
      </c>
      <c r="R27" s="48">
        <f>IF(OR($B27="",$D27=""),"",IF($AC27=0,"",IF(AND(NOT(ISNUMBER($P27)),NOT(ISNUMBER($AA27))),"∞",MAX(0,MIN(IF(ISNUMBER($P27),$P27-$AF27-$Q27,1E+15),IF(ISNUMBER($AA27),$AA27-$AG27-$Q27,1E+15))))))</f>
        <v>225000</v>
      </c>
      <c r="S27" s="47">
        <f>IF($AD27="","",YEAR($AD27)*100+MONTH($AD27))</f>
        <v>202610</v>
      </c>
      <c r="T27" s="50">
        <f>IF($AD27="","",IFERROR(IF(INDEX(CARDS!$I$5:$I$34,MATCH($D27,CARDS!$A$5:$A$34,0))="","",IF(INDEX(CARDS!$I$5:$I$34,MATCH($D27,CARDS!$A$5:$A$34,0))&gt;INDEX(CARDS!$H$5:$H$34,MATCH($D27,CARDS!$A$5:$A$34,0)),DATE(YEAR($AD27),MONTH($AD27),MIN(INDEX(CARDS!$I$5:$I$34,MATCH($D27,CARDS!$A$5:$A$34,0)),DAY(EOMONTH($AD27,0)))),DATE(YEAR($AD27),MONTH($AD27)+1,MIN(INDEX(CARDS!$I$5:$I$34,MATCH($D27,CARDS!$A$5:$A$34,0)),DAY(EOMONTH($AD27,1)))))),""))</f>
        <v>46336.0</v>
      </c>
      <c r="U27" s="38" t="inlineStr">
        <is>
          <t>Posted</t>
        </is>
      </c>
      <c r="V27" s="37" t="inlineStr">
        <is>
          <t>SAMPLE DATA — có thể xóa</t>
        </is>
      </c>
      <c r="W27" s="38" t="n"/>
      <c r="X27" s="38" t="inlineStr">
        <is>
          <t>Chưa thanh toán</t>
        </is>
      </c>
      <c r="Y27" s="44" t="str">
        <f>IF($AC27&gt;0,INDEX(CASHBACK_RULES!$A$5:$A$304,$AC27),"")</f>
        <v>R019</v>
      </c>
      <c r="Z27" s="45" t="str">
        <f>IF($AC27&gt;0,INDEX(CASHBACK_RULES!$E$5:$E$304,$AC27)&amp;"","")</f>
        <v>Group 2</v>
      </c>
      <c r="AA27" s="48">
        <f>IF($AC27&gt;0,IF(ISNUMBER(INDEX(CASHBACK_RULES!$K$5:$K$304,$AC27)),INDEX(CASHBACK_RULES!$K$5:$K$304,$AC27),"∞"),"")</f>
        <v>2000000</v>
      </c>
      <c r="AB27" s="44" t="str">
        <f>IF(OR($B27="",$D27=""),"",IF($U27="Cancelled","Đã hủy",IF($AC27=0,"Không được hoàn",IF($Q27=0,IF(OR($O27&gt;0,$M27&lt;$L27),"Đã đạt cap","Không được hoàn"),IF(OR($Q27&lt;$O27,$M27&lt;$L27),"Hoàn một phần","Được hoàn")))))</f>
        <v>Được hoàn</v>
      </c>
      <c r="AC27" s="43">
        <f>IF(OR($B27="",$D27="",$I27="",$L27=""),0,IF($U27="Cancelled",0,IF($W27&lt;&gt;"",IFERROR(IF(INDEX(CASHBACK_RULES!$B$5:$B$304,MATCH($W27,CASHBACK_RULES!$A$5:$A$304,0))=$D27,MATCH($W27,CASHBACK_RULES!$A$5:$A$304,0),0),0),IFERROR(MATCH(1,INDEX((CASHBACK_RULES!$B$5:$B$304=$D27)*(CASHBACK_RULES!$G$5:$G$304=$I27)*(((CASHBACK_RULES!$N$5:$N$304="")+(CASHBACK_RULES!$N$5:$N$304&lt;=$B27))&gt;0)*(((CASHBACK_RULES!$O$5:$O$304="")+(CASHBACK_RULES!$O$5:$O$304&gt;=$B27))&gt;0)*(((CASHBACK_RULES!$M$5:$M$304="")+(CASHBACK_RULES!$M$5:$M$304&lt;=$L27))&gt;0),0),0),0))))</f>
        <v>19</v>
      </c>
      <c r="AD27" s="51">
        <f>IF(OR($B27="",$D27=""),"",IFERROR(IF(INDEX(CARDS!$H$5:$H$34,MATCH($D27,CARDS!$A$5:$A$34,0))="","",IF(DAY($B27)&lt;=INDEX(CARDS!$H$5:$H$34,MATCH($D27,CARDS!$A$5:$A$34,0)),DATE(YEAR($B27),MONTH($B27),MIN(INDEX(CARDS!$H$5:$H$34,MATCH($D27,CARDS!$A$5:$A$34,0)),DAY(EOMONTH($B27,0)))),DATE(YEAR($B27),MONTH($B27)+1,MIN(INDEX(CARDS!$H$5:$H$34,MATCH($D27,CARDS!$A$5:$A$34,0)),DAY(EOMONTH($B27,1)))))),""))</f>
        <v>46315.0</v>
      </c>
      <c r="AE27" s="52" t="str">
        <f>IF($C27="","",$C27&amp;"|"&amp;COUNTIF($C$5:$C27,$C27))</f>
        <v>202610|17</v>
      </c>
      <c r="AF27" s="53">
        <f>IF($AC27&gt;0,SUMIFS(Q$4:Q26,$D$4:$D26,$D27,$Z$4:$Z26,$Z27,$C$4:$C26,$C27),0)</f>
        <v>0</v>
      </c>
      <c r="AG27" s="53">
        <f>IF($AC27&gt;0,SUMIFS(Q$4:Q26,$D$4:$D26,$D27,$C$4:$C26,$C27),0)</f>
        <v>300000</v>
      </c>
      <c r="AH27" s="53">
        <f>IF($AC27&gt;0,SUMIFS(M$4:M26,$D$4:$D26,$D27,$Z$4:$Z26,$Z27,$C$4:$C26,$C27),0)</f>
        <v>0</v>
      </c>
      <c r="AI27" s="43">
        <f>IF(OR($C27="",$I27=""),0,IF(COUNTIFS($C$5:$C27,$C27,$I$5:$I27,$I27)=1,1,0))</f>
        <v>1</v>
      </c>
      <c r="AJ27" s="43">
        <f>IF($AI27=1,SUMIFS($AI$4:$AI26,$C$4:$C26,$C27)+1,"")</f>
        <v>11</v>
      </c>
      <c r="AK27" s="43">
        <f>IF(OR($C27="",$K27=""),0,IF(COUNTIFS($C$5:$C27,$C27,$K$5:$K27,$K27)=1,1,0))</f>
        <v>1</v>
      </c>
      <c r="AL27" s="43">
        <f>IF($AK27=1,SUMIFS($AK$4:$AK26,$C$4:$C26,$C27)+1,"")</f>
        <v>7</v>
      </c>
      <c r="AM27" s="43">
        <f>IF(OR($C27="",$G27=""),0,IF(COUNTIFS($C$5:$C27,$C27,$G$5:$G27,$G27)=1,1,0))</f>
        <v>1</v>
      </c>
      <c r="AN27" s="43">
        <f>IF($AM27=1,SUMIFS($AM$4:$AM26,$C$4:$C26,$C27)+1,"")</f>
        <v>16</v>
      </c>
    </row>
    <row r="28">
      <c r="A28" s="44" t="str">
        <f>IF(OR($B28="",$D28=""),"","TX"&amp;TEXT(ROW()-4,"0000"))</f>
        <v>TX0024</v>
      </c>
      <c r="B28" s="42" t="n">
        <v>46300</v>
      </c>
      <c r="C28" s="47">
        <f>IF($B28="","",YEAR($B28)*100+MONTH($B28))</f>
        <v>202610</v>
      </c>
      <c r="D28" s="37" t="inlineStr">
        <is>
          <t>TCB-B</t>
        </is>
      </c>
      <c r="E28" s="45" t="str">
        <f>IF($D28="","",IFERROR(INDEX(CARDS!$B$5:$B$34,MATCH($D28,CARDS!$A$5:$A$34,0)),"⚠ Card ID?"))</f>
        <v>Techcombank</v>
      </c>
      <c r="F28" s="45" t="str">
        <f>IF($D28="","",IFERROR(INDEX(CARDS!$C$5:$C$34,MATCH($D28,CARDS!$A$5:$A$34,0)),"⚠ Card ID?"))</f>
        <v>Cashback Demo B</v>
      </c>
      <c r="G28" s="37" t="inlineStr">
        <is>
          <t>Viettel</t>
        </is>
      </c>
      <c r="H28" s="37" t="inlineStr">
        <is>
          <t>Cước</t>
        </is>
      </c>
      <c r="I28" s="41" t="n">
        <v>4814</v>
      </c>
      <c r="J28" s="45" t="str">
        <f>IF($I28="","",IFERROR(INDEX(MCC_MASTER!$B$5:$B$504,MATCH($I28,MCC_MASTER!$A$5:$A$504,0)),"⚠ MCC chưa có"))</f>
        <v>Telecommunication Services</v>
      </c>
      <c r="K28" s="45" t="str">
        <f>IF($I28="","",IFERROR(IF(INDEX(MCC_MASTER!$C$5:$C$504,MATCH($I28,MCC_MASTER!$A$5:$A$504,0))="","Chưa phân loại",INDEX(MCC_MASTER!$C$5:$C$504,MATCH($I28,MCC_MASTER!$A$5:$A$504,0))),"Chưa phân loại"))</f>
        <v>Utilities &amp; Telecom</v>
      </c>
      <c r="L28" s="40" t="n">
        <v>300000</v>
      </c>
      <c r="M28" s="48">
        <f>IF(OR($B28="",$D28=""),"",IF($AC28=0,0,IF(ISNUMBER(INDEX(CASHBACK_RULES!$L$5:$L$304,$AC28)),MAX(0,MIN($L28,INDEX(CASHBACK_RULES!$L$5:$L$304,$AC28)-$AH28)),MAX(0,$L28))))</f>
        <v>300000</v>
      </c>
      <c r="N28" s="49">
        <f>IF(OR($B28="",$D28=""),"",IF($AC28&gt;0,INDEX(CASHBACK_RULES!$I$5:$I$304,$AC28),0))</f>
        <v>0.05</v>
      </c>
      <c r="O28" s="48">
        <f>IF(OR($B28="",$D28=""),"",ROUND($M28*$N28,0))</f>
        <v>15000</v>
      </c>
      <c r="P28" s="48">
        <f>IF($AC28&gt;0,IF(ISNUMBER(INDEX(CASHBACK_RULES!$J$5:$J$304,$AC28)),INDEX(CASHBACK_RULES!$J$5:$J$304,$AC28),"∞"),"")</f>
        <v>300000</v>
      </c>
      <c r="Q28" s="48">
        <f>IF(OR($B28="",$D28=""),"",IF($AC28=0,0,MAX(0,MIN($O28,IF(ISNUMBER($P28),$P28-$AF28,1E+15),IF(ISNUMBER($AA28),$AA28-$AG28,1E+15)))))</f>
        <v>15000</v>
      </c>
      <c r="R28" s="48">
        <f>IF(OR($B28="",$D28=""),"",IF($AC28=0,"",IF(AND(NOT(ISNUMBER($P28)),NOT(ISNUMBER($AA28))),"∞",MAX(0,MIN(IF(ISNUMBER($P28),$P28-$AF28-$Q28,1E+15),IF(ISNUMBER($AA28),$AA28-$AG28-$Q28,1E+15))))))</f>
        <v>285000</v>
      </c>
      <c r="S28" s="47">
        <f>IF($AD28="","",YEAR($AD28)*100+MONTH($AD28))</f>
        <v>202610</v>
      </c>
      <c r="T28" s="50">
        <f>IF($AD28="","",IFERROR(IF(INDEX(CARDS!$I$5:$I$34,MATCH($D28,CARDS!$A$5:$A$34,0))="","",IF(INDEX(CARDS!$I$5:$I$34,MATCH($D28,CARDS!$A$5:$A$34,0))&gt;INDEX(CARDS!$H$5:$H$34,MATCH($D28,CARDS!$A$5:$A$34,0)),DATE(YEAR($AD28),MONTH($AD28),MIN(INDEX(CARDS!$I$5:$I$34,MATCH($D28,CARDS!$A$5:$A$34,0)),DAY(EOMONTH($AD28,0)))),DATE(YEAR($AD28),MONTH($AD28)+1,MIN(INDEX(CARDS!$I$5:$I$34,MATCH($D28,CARDS!$A$5:$A$34,0)),DAY(EOMONTH($AD28,1)))))),""))</f>
        <v>46336.0</v>
      </c>
      <c r="U28" s="38" t="inlineStr">
        <is>
          <t>Posted</t>
        </is>
      </c>
      <c r="V28" s="37" t="inlineStr">
        <is>
          <t>SAMPLE DATA — có thể xóa</t>
        </is>
      </c>
      <c r="W28" s="38" t="n"/>
      <c r="X28" s="38" t="inlineStr">
        <is>
          <t>Chưa thanh toán</t>
        </is>
      </c>
      <c r="Y28" s="44" t="str">
        <f>IF($AC28&gt;0,INDEX(CASHBACK_RULES!$A$5:$A$304,$AC28),"")</f>
        <v>R020</v>
      </c>
      <c r="Z28" s="45" t="str">
        <f>IF($AC28&gt;0,INDEX(CASHBACK_RULES!$E$5:$E$304,$AC28)&amp;"","")</f>
        <v>Group 3</v>
      </c>
      <c r="AA28" s="48">
        <f>IF($AC28&gt;0,IF(ISNUMBER(INDEX(CASHBACK_RULES!$K$5:$K$304,$AC28)),INDEX(CASHBACK_RULES!$K$5:$K$304,$AC28),"∞"),"")</f>
        <v>2000000</v>
      </c>
      <c r="AB28" s="44" t="str">
        <f>IF(OR($B28="",$D28=""),"",IF($U28="Cancelled","Đã hủy",IF($AC28=0,"Không được hoàn",IF($Q28=0,IF(OR($O28&gt;0,$M28&lt;$L28),"Đã đạt cap","Không được hoàn"),IF(OR($Q28&lt;$O28,$M28&lt;$L28),"Hoàn một phần","Được hoàn")))))</f>
        <v>Được hoàn</v>
      </c>
      <c r="AC28" s="43">
        <f>IF(OR($B28="",$D28="",$I28="",$L28=""),0,IF($U28="Cancelled",0,IF($W28&lt;&gt;"",IFERROR(IF(INDEX(CASHBACK_RULES!$B$5:$B$304,MATCH($W28,CASHBACK_RULES!$A$5:$A$304,0))=$D28,MATCH($W28,CASHBACK_RULES!$A$5:$A$304,0),0),0),IFERROR(MATCH(1,INDEX((CASHBACK_RULES!$B$5:$B$304=$D28)*(CASHBACK_RULES!$G$5:$G$304=$I28)*(((CASHBACK_RULES!$N$5:$N$304="")+(CASHBACK_RULES!$N$5:$N$304&lt;=$B28))&gt;0)*(((CASHBACK_RULES!$O$5:$O$304="")+(CASHBACK_RULES!$O$5:$O$304&gt;=$B28))&gt;0)*(((CASHBACK_RULES!$M$5:$M$304="")+(CASHBACK_RULES!$M$5:$M$304&lt;=$L28))&gt;0),0),0),0))))</f>
        <v>20</v>
      </c>
      <c r="AD28" s="51">
        <f>IF(OR($B28="",$D28=""),"",IFERROR(IF(INDEX(CARDS!$H$5:$H$34,MATCH($D28,CARDS!$A$5:$A$34,0))="","",IF(DAY($B28)&lt;=INDEX(CARDS!$H$5:$H$34,MATCH($D28,CARDS!$A$5:$A$34,0)),DATE(YEAR($B28),MONTH($B28),MIN(INDEX(CARDS!$H$5:$H$34,MATCH($D28,CARDS!$A$5:$A$34,0)),DAY(EOMONTH($B28,0)))),DATE(YEAR($B28),MONTH($B28)+1,MIN(INDEX(CARDS!$H$5:$H$34,MATCH($D28,CARDS!$A$5:$A$34,0)),DAY(EOMONTH($B28,1)))))),""))</f>
        <v>46315.0</v>
      </c>
      <c r="AE28" s="52" t="str">
        <f>IF($C28="","",$C28&amp;"|"&amp;COUNTIF($C$5:$C28,$C28))</f>
        <v>202610|18</v>
      </c>
      <c r="AF28" s="53">
        <f>IF($AC28&gt;0,SUMIFS(Q$4:Q27,$D$4:$D27,$D28,$Z$4:$Z27,$Z28,$C$4:$C27,$C28),0)</f>
        <v>0</v>
      </c>
      <c r="AG28" s="53">
        <f>IF($AC28&gt;0,SUMIFS(Q$4:Q27,$D$4:$D27,$D28,$C$4:$C27,$C28),0)</f>
        <v>375000</v>
      </c>
      <c r="AH28" s="53">
        <f>IF($AC28&gt;0,SUMIFS(M$4:M27,$D$4:$D27,$D28,$Z$4:$Z27,$Z28,$C$4:$C27,$C28),0)</f>
        <v>0</v>
      </c>
      <c r="AI28" s="43">
        <f>IF(OR($C28="",$I28=""),0,IF(COUNTIFS($C$5:$C28,$C28,$I$5:$I28,$I28)=1,1,0))</f>
        <v>1</v>
      </c>
      <c r="AJ28" s="43">
        <f>IF($AI28=1,SUMIFS($AI$4:$AI27,$C$4:$C27,$C28)+1,"")</f>
        <v>12</v>
      </c>
      <c r="AK28" s="43">
        <f>IF(OR($C28="",$K28=""),0,IF(COUNTIFS($C$5:$C28,$C28,$K$5:$K28,$K28)=1,1,0))</f>
        <v>1</v>
      </c>
      <c r="AL28" s="43">
        <f>IF($AK28=1,SUMIFS($AK$4:$AK27,$C$4:$C27,$C28)+1,"")</f>
        <v>8</v>
      </c>
      <c r="AM28" s="43">
        <f>IF(OR($C28="",$G28=""),0,IF(COUNTIFS($C$5:$C28,$C28,$G$5:$G28,$G28)=1,1,0))</f>
        <v>1</v>
      </c>
      <c r="AN28" s="43">
        <f>IF($AM28=1,SUMIFS($AM$4:$AM27,$C$4:$C27,$C28)+1,"")</f>
        <v>17</v>
      </c>
    </row>
    <row r="29">
      <c r="A29" s="44" t="str">
        <f>IF(OR($B29="",$D29=""),"","TX"&amp;TEXT(ROW()-4,"0000"))</f>
        <v>TX0025</v>
      </c>
      <c r="B29" s="42" t="n">
        <v>46300</v>
      </c>
      <c r="C29" s="47">
        <f>IF($B29="","",YEAR($B29)*100+MONTH($B29))</f>
        <v>202610</v>
      </c>
      <c r="D29" s="37" t="inlineStr">
        <is>
          <t>MB-D</t>
        </is>
      </c>
      <c r="E29" s="45" t="str">
        <f>IF($D29="","",IFERROR(INDEX(CARDS!$B$5:$B$34,MATCH($D29,CARDS!$A$5:$A$34,0)),"⚠ Card ID?"))</f>
        <v>MB</v>
      </c>
      <c r="F29" s="45" t="str">
        <f>IF($D29="","",IFERROR(INDEX(CARDS!$C$5:$C$34,MATCH($D29,CARDS!$A$5:$A$34,0)),"⚠ Card ID?"))</f>
        <v>Cashback Demo D</v>
      </c>
      <c r="G29" s="37" t="inlineStr">
        <is>
          <t>Kichi Kichi</t>
        </is>
      </c>
      <c r="H29" s="37" t="inlineStr">
        <is>
          <t>Ăn tối</t>
        </is>
      </c>
      <c r="I29" s="41" t="n">
        <v>5812</v>
      </c>
      <c r="J29" s="45" t="str">
        <f>IF($I29="","",IFERROR(INDEX(MCC_MASTER!$B$5:$B$504,MATCH($I29,MCC_MASTER!$A$5:$A$504,0)),"⚠ MCC chưa có"))</f>
        <v>Eating Places / Restaurants</v>
      </c>
      <c r="K29" s="45" t="str">
        <f>IF($I29="","",IFERROR(IF(INDEX(MCC_MASTER!$C$5:$C$504,MATCH($I29,MCC_MASTER!$A$5:$A$504,0))="","Chưa phân loại",INDEX(MCC_MASTER!$C$5:$C$504,MATCH($I29,MCC_MASTER!$A$5:$A$504,0))),"Chưa phân loại"))</f>
        <v>Dining</v>
      </c>
      <c r="L29" s="40" t="n">
        <v>6000000</v>
      </c>
      <c r="M29" s="48">
        <f>IF(OR($B29="",$D29=""),"",IF($AC29=0,0,IF(ISNUMBER(INDEX(CASHBACK_RULES!$L$5:$L$304,$AC29)),MAX(0,MIN($L29,INDEX(CASHBACK_RULES!$L$5:$L$304,$AC29)-$AH29)),MAX(0,$L29))))</f>
        <v>5000000</v>
      </c>
      <c r="N29" s="49">
        <f>IF(OR($B29="",$D29=""),"",IF($AC29&gt;0,INDEX(CASHBACK_RULES!$I$5:$I$304,$AC29),0))</f>
        <v>0.08</v>
      </c>
      <c r="O29" s="48">
        <f>IF(OR($B29="",$D29=""),"",ROUND($M29*$N29,0))</f>
        <v>400000</v>
      </c>
      <c r="P29" s="48">
        <f>IF($AC29&gt;0,IF(ISNUMBER(INDEX(CASHBACK_RULES!$J$5:$J$304,$AC29)),INDEX(CASHBACK_RULES!$J$5:$J$304,$AC29),"∞"),"")</f>
        <v>500000</v>
      </c>
      <c r="Q29" s="48">
        <f>IF(OR($B29="",$D29=""),"",IF($AC29=0,0,MAX(0,MIN($O29,IF(ISNUMBER($P29),$P29-$AF29,1E+15),IF(ISNUMBER($AA29),$AA29-$AG29,1E+15)))))</f>
        <v>400000</v>
      </c>
      <c r="R29" s="48">
        <f>IF(OR($B29="",$D29=""),"",IF($AC29=0,"",IF(AND(NOT(ISNUMBER($P29)),NOT(ISNUMBER($AA29))),"∞",MAX(0,MIN(IF(ISNUMBER($P29),$P29-$AF29-$Q29,1E+15),IF(ISNUMBER($AA29),$AA29-$AG29-$Q29,1E+15))))))</f>
        <v>100000</v>
      </c>
      <c r="S29" s="47">
        <f>IF($AD29="","",YEAR($AD29)*100+MONTH($AD29))</f>
        <v>202611</v>
      </c>
      <c r="T29" s="50">
        <f>IF($AD29="","",IFERROR(IF(INDEX(CARDS!$I$5:$I$34,MATCH($D29,CARDS!$A$5:$A$34,0))="","",IF(INDEX(CARDS!$I$5:$I$34,MATCH($D29,CARDS!$A$5:$A$34,0))&gt;INDEX(CARDS!$H$5:$H$34,MATCH($D29,CARDS!$A$5:$A$34,0)),DATE(YEAR($AD29),MONTH($AD29),MIN(INDEX(CARDS!$I$5:$I$34,MATCH($D29,CARDS!$A$5:$A$34,0)),DAY(EOMONTH($AD29,0)))),DATE(YEAR($AD29),MONTH($AD29)+1,MIN(INDEX(CARDS!$I$5:$I$34,MATCH($D29,CARDS!$A$5:$A$34,0)),DAY(EOMONTH($AD29,1)))))),""))</f>
        <v>46334.0</v>
      </c>
      <c r="U29" s="38" t="inlineStr">
        <is>
          <t>Posted</t>
        </is>
      </c>
      <c r="V29" s="37" t="inlineStr">
        <is>
          <t>SAMPLE DATA — có thể xóa — Max Eligible Spending 5tr</t>
        </is>
      </c>
      <c r="W29" s="38" t="n"/>
      <c r="X29" s="38" t="inlineStr">
        <is>
          <t>Chưa thanh toán</t>
        </is>
      </c>
      <c r="Y29" s="44" t="str">
        <f>IF($AC29&gt;0,INDEX(CASHBACK_RULES!$A$5:$A$304,$AC29),"")</f>
        <v>R024</v>
      </c>
      <c r="Z29" s="45" t="str">
        <f>IF($AC29&gt;0,INDEX(CASHBACK_RULES!$E$5:$E$304,$AC29)&amp;"","")</f>
        <v>Dining</v>
      </c>
      <c r="AA29" s="48">
        <f>IF($AC29&gt;0,IF(ISNUMBER(INDEX(CASHBACK_RULES!$K$5:$K$304,$AC29)),INDEX(CASHBACK_RULES!$K$5:$K$304,$AC29),"∞"),"")</f>
        <v>600000</v>
      </c>
      <c r="AB29" s="44" t="str">
        <f>IF(OR($B29="",$D29=""),"",IF($U29="Cancelled","Đã hủy",IF($AC29=0,"Không được hoàn",IF($Q29=0,IF(OR($O29&gt;0,$M29&lt;$L29),"Đã đạt cap","Không được hoàn"),IF(OR($Q29&lt;$O29,$M29&lt;$L29),"Hoàn một phần","Được hoàn")))))</f>
        <v>Hoàn một phần</v>
      </c>
      <c r="AC29" s="43">
        <f>IF(OR($B29="",$D29="",$I29="",$L29=""),0,IF($U29="Cancelled",0,IF($W29&lt;&gt;"",IFERROR(IF(INDEX(CASHBACK_RULES!$B$5:$B$304,MATCH($W29,CASHBACK_RULES!$A$5:$A$304,0))=$D29,MATCH($W29,CASHBACK_RULES!$A$5:$A$304,0),0),0),IFERROR(MATCH(1,INDEX((CASHBACK_RULES!$B$5:$B$304=$D29)*(CASHBACK_RULES!$G$5:$G$304=$I29)*(((CASHBACK_RULES!$N$5:$N$304="")+(CASHBACK_RULES!$N$5:$N$304&lt;=$B29))&gt;0)*(((CASHBACK_RULES!$O$5:$O$304="")+(CASHBACK_RULES!$O$5:$O$304&gt;=$B29))&gt;0)*(((CASHBACK_RULES!$M$5:$M$304="")+(CASHBACK_RULES!$M$5:$M$304&lt;=$L29))&gt;0),0),0),0))))</f>
        <v>24</v>
      </c>
      <c r="AD29" s="51">
        <f>IF(OR($B29="",$D29=""),"",IFERROR(IF(INDEX(CARDS!$H$5:$H$34,MATCH($D29,CARDS!$A$5:$A$34,0))="","",IF(DAY($B29)&lt;=INDEX(CARDS!$H$5:$H$34,MATCH($D29,CARDS!$A$5:$A$34,0)),DATE(YEAR($B29),MONTH($B29),MIN(INDEX(CARDS!$H$5:$H$34,MATCH($D29,CARDS!$A$5:$A$34,0)),DAY(EOMONTH($B29,0)))),DATE(YEAR($B29),MONTH($B29)+1,MIN(INDEX(CARDS!$H$5:$H$34,MATCH($D29,CARDS!$A$5:$A$34,0)),DAY(EOMONTH($B29,1)))))),""))</f>
        <v>46327.0</v>
      </c>
      <c r="AE29" s="52" t="str">
        <f>IF($C29="","",$C29&amp;"|"&amp;COUNTIF($C$5:$C29,$C29))</f>
        <v>202610|19</v>
      </c>
      <c r="AF29" s="53">
        <f>IF($AC29&gt;0,SUMIFS(Q$4:Q28,$D$4:$D28,$D29,$Z$4:$Z28,$Z29,$C$4:$C28,$C29),0)</f>
        <v>0</v>
      </c>
      <c r="AG29" s="53">
        <f>IF($AC29&gt;0,SUMIFS(Q$4:Q28,$D$4:$D28,$D29,$C$4:$C28,$C29),0)</f>
        <v>0</v>
      </c>
      <c r="AH29" s="53">
        <f>IF($AC29&gt;0,SUMIFS(M$4:M28,$D$4:$D28,$D29,$Z$4:$Z28,$Z29,$C$4:$C28,$C29),0)</f>
        <v>0</v>
      </c>
      <c r="AI29" s="43">
        <f>IF(OR($C29="",$I29=""),0,IF(COUNTIFS($C$5:$C29,$C29,$I$5:$I29,$I29)=1,1,0))</f>
        <v>0</v>
      </c>
      <c r="AJ29" s="43" t="str">
        <f>IF($AI29=1,SUMIFS($AI$4:$AI28,$C$4:$C28,$C29)+1,"")</f>
        <v/>
      </c>
      <c r="AK29" s="43">
        <f>IF(OR($C29="",$K29=""),0,IF(COUNTIFS($C$5:$C29,$C29,$K$5:$K29,$K29)=1,1,0))</f>
        <v>0</v>
      </c>
      <c r="AL29" s="43" t="str">
        <f>IF($AK29=1,SUMIFS($AK$4:$AK28,$C$4:$C28,$C29)+1,"")</f>
        <v/>
      </c>
      <c r="AM29" s="43">
        <f>IF(OR($C29="",$G29=""),0,IF(COUNTIFS($C$5:$C29,$C29,$G$5:$G29,$G29)=1,1,0))</f>
        <v>1</v>
      </c>
      <c r="AN29" s="43">
        <f>IF($AM29=1,SUMIFS($AM$4:$AM28,$C$4:$C28,$C29)+1,"")</f>
        <v>18</v>
      </c>
    </row>
    <row r="30">
      <c r="A30" s="44" t="str">
        <f>IF(OR($B30="",$D30=""),"","TX"&amp;TEXT(ROW()-4,"0000"))</f>
        <v>TX0026</v>
      </c>
      <c r="B30" s="42" t="n">
        <v>46300</v>
      </c>
      <c r="C30" s="47">
        <f>IF($B30="","",YEAR($B30)*100+MONTH($B30))</f>
        <v>202610</v>
      </c>
      <c r="D30" s="37" t="inlineStr">
        <is>
          <t>MB-D</t>
        </is>
      </c>
      <c r="E30" s="45" t="str">
        <f>IF($D30="","",IFERROR(INDEX(CARDS!$B$5:$B$34,MATCH($D30,CARDS!$A$5:$A$34,0)),"⚠ Card ID?"))</f>
        <v>MB</v>
      </c>
      <c r="F30" s="45" t="str">
        <f>IF($D30="","",IFERROR(INDEX(CARDS!$C$5:$C$34,MATCH($D30,CARDS!$A$5:$A$34,0)),"⚠ Card ID?"))</f>
        <v>Cashback Demo D</v>
      </c>
      <c r="G30" s="37" t="inlineStr">
        <is>
          <t>Circle K</t>
        </is>
      </c>
      <c r="H30" s="37" t="inlineStr">
        <is>
          <t>Mua vặt</t>
        </is>
      </c>
      <c r="I30" s="41" t="n">
        <v>5411</v>
      </c>
      <c r="J30" s="45" t="str">
        <f>IF($I30="","",IFERROR(INDEX(MCC_MASTER!$B$5:$B$504,MATCH($I30,MCC_MASTER!$A$5:$A$504,0)),"⚠ MCC chưa có"))</f>
        <v>Grocery Stores / Supermarkets</v>
      </c>
      <c r="K30" s="45" t="str">
        <f>IF($I30="","",IFERROR(IF(INDEX(MCC_MASTER!$C$5:$C$504,MATCH($I30,MCC_MASTER!$A$5:$A$504,0))="","Chưa phân loại",INDEX(MCC_MASTER!$C$5:$C$504,MATCH($I30,MCC_MASTER!$A$5:$A$504,0))),"Chưa phân loại"))</f>
        <v>Groceries</v>
      </c>
      <c r="L30" s="40" t="n">
        <v>50000</v>
      </c>
      <c r="M30" s="48">
        <f>IF(OR($B30="",$D30=""),"",IF($AC30=0,0,IF(ISNUMBER(INDEX(CASHBACK_RULES!$L$5:$L$304,$AC30)),MAX(0,MIN($L30,INDEX(CASHBACK_RULES!$L$5:$L$304,$AC30)-$AH30)),MAX(0,$L30))))</f>
        <v>0</v>
      </c>
      <c r="N30" s="49">
        <f>IF(OR($B30="",$D30=""),"",IF($AC30&gt;0,INDEX(CASHBACK_RULES!$I$5:$I$304,$AC30),0))</f>
        <v>0</v>
      </c>
      <c r="O30" s="48">
        <f>IF(OR($B30="",$D30=""),"",ROUND($M30*$N30,0))</f>
        <v>0</v>
      </c>
      <c r="P30" s="48" t="str">
        <f>IF($AC30&gt;0,IF(ISNUMBER(INDEX(CASHBACK_RULES!$J$5:$J$304,$AC30)),INDEX(CASHBACK_RULES!$J$5:$J$304,$AC30),"∞"),"")</f>
        <v/>
      </c>
      <c r="Q30" s="48">
        <f>IF(OR($B30="",$D30=""),"",IF($AC30=0,0,MAX(0,MIN($O30,IF(ISNUMBER($P30),$P30-$AF30,1E+15),IF(ISNUMBER($AA30),$AA30-$AG30,1E+15)))))</f>
        <v>0</v>
      </c>
      <c r="R30" s="48" t="str">
        <f>IF(OR($B30="",$D30=""),"",IF($AC30=0,"",IF(AND(NOT(ISNUMBER($P30)),NOT(ISNUMBER($AA30))),"∞",MAX(0,MIN(IF(ISNUMBER($P30),$P30-$AF30-$Q30,1E+15),IF(ISNUMBER($AA30),$AA30-$AG30-$Q30,1E+15))))))</f>
        <v/>
      </c>
      <c r="S30" s="47">
        <f>IF($AD30="","",YEAR($AD30)*100+MONTH($AD30))</f>
        <v>202611</v>
      </c>
      <c r="T30" s="50">
        <f>IF($AD30="","",IFERROR(IF(INDEX(CARDS!$I$5:$I$34,MATCH($D30,CARDS!$A$5:$A$34,0))="","",IF(INDEX(CARDS!$I$5:$I$34,MATCH($D30,CARDS!$A$5:$A$34,0))&gt;INDEX(CARDS!$H$5:$H$34,MATCH($D30,CARDS!$A$5:$A$34,0)),DATE(YEAR($AD30),MONTH($AD30),MIN(INDEX(CARDS!$I$5:$I$34,MATCH($D30,CARDS!$A$5:$A$34,0)),DAY(EOMONTH($AD30,0)))),DATE(YEAR($AD30),MONTH($AD30)+1,MIN(INDEX(CARDS!$I$5:$I$34,MATCH($D30,CARDS!$A$5:$A$34,0)),DAY(EOMONTH($AD30,1)))))),""))</f>
        <v>46334.0</v>
      </c>
      <c r="U30" s="38" t="inlineStr">
        <is>
          <t>Posted</t>
        </is>
      </c>
      <c r="V30" s="37" t="inlineStr">
        <is>
          <t>SAMPLE DATA — có thể xóa — dưới Minimum Transaction</t>
        </is>
      </c>
      <c r="W30" s="38" t="n"/>
      <c r="X30" s="38" t="inlineStr">
        <is>
          <t>Chưa thanh toán</t>
        </is>
      </c>
      <c r="Y30" s="44" t="str">
        <f>IF($AC30&gt;0,INDEX(CASHBACK_RULES!$A$5:$A$304,$AC30),"")</f>
        <v/>
      </c>
      <c r="Z30" s="45" t="str">
        <f>IF($AC30&gt;0,INDEX(CASHBACK_RULES!$E$5:$E$304,$AC30)&amp;"","")</f>
        <v/>
      </c>
      <c r="AA30" s="48" t="str">
        <f>IF($AC30&gt;0,IF(ISNUMBER(INDEX(CASHBACK_RULES!$K$5:$K$304,$AC30)),INDEX(CASHBACK_RULES!$K$5:$K$304,$AC30),"∞"),"")</f>
        <v/>
      </c>
      <c r="AB30" s="44" t="str">
        <f>IF(OR($B30="",$D30=""),"",IF($U30="Cancelled","Đã hủy",IF($AC30=0,"Không được hoàn",IF($Q30=0,IF(OR($O30&gt;0,$M30&lt;$L30),"Đã đạt cap","Không được hoàn"),IF(OR($Q30&lt;$O30,$M30&lt;$L30),"Hoàn một phần","Được hoàn")))))</f>
        <v>Không được hoàn</v>
      </c>
      <c r="AC30" s="43">
        <f>IF(OR($B30="",$D30="",$I30="",$L30=""),0,IF($U30="Cancelled",0,IF($W30&lt;&gt;"",IFERROR(IF(INDEX(CASHBACK_RULES!$B$5:$B$304,MATCH($W30,CASHBACK_RULES!$A$5:$A$304,0))=$D30,MATCH($W30,CASHBACK_RULES!$A$5:$A$304,0),0),0),IFERROR(MATCH(1,INDEX((CASHBACK_RULES!$B$5:$B$304=$D30)*(CASHBACK_RULES!$G$5:$G$304=$I30)*(((CASHBACK_RULES!$N$5:$N$304="")+(CASHBACK_RULES!$N$5:$N$304&lt;=$B30))&gt;0)*(((CASHBACK_RULES!$O$5:$O$304="")+(CASHBACK_RULES!$O$5:$O$304&gt;=$B30))&gt;0)*(((CASHBACK_RULES!$M$5:$M$304="")+(CASHBACK_RULES!$M$5:$M$304&lt;=$L30))&gt;0),0),0),0))))</f>
        <v>0</v>
      </c>
      <c r="AD30" s="51">
        <f>IF(OR($B30="",$D30=""),"",IFERROR(IF(INDEX(CARDS!$H$5:$H$34,MATCH($D30,CARDS!$A$5:$A$34,0))="","",IF(DAY($B30)&lt;=INDEX(CARDS!$H$5:$H$34,MATCH($D30,CARDS!$A$5:$A$34,0)),DATE(YEAR($B30),MONTH($B30),MIN(INDEX(CARDS!$H$5:$H$34,MATCH($D30,CARDS!$A$5:$A$34,0)),DAY(EOMONTH($B30,0)))),DATE(YEAR($B30),MONTH($B30)+1,MIN(INDEX(CARDS!$H$5:$H$34,MATCH($D30,CARDS!$A$5:$A$34,0)),DAY(EOMONTH($B30,1)))))),""))</f>
        <v>46327.0</v>
      </c>
      <c r="AE30" s="52" t="str">
        <f>IF($C30="","",$C30&amp;"|"&amp;COUNTIF($C$5:$C30,$C30))</f>
        <v>202610|20</v>
      </c>
      <c r="AF30" s="53">
        <f>IF($AC30&gt;0,SUMIFS(Q$4:Q29,$D$4:$D29,$D30,$Z$4:$Z29,$Z30,$C$4:$C29,$C30),0)</f>
        <v>0</v>
      </c>
      <c r="AG30" s="53">
        <f>IF($AC30&gt;0,SUMIFS(Q$4:Q29,$D$4:$D29,$D30,$C$4:$C29,$C30),0)</f>
        <v>0</v>
      </c>
      <c r="AH30" s="53">
        <f>IF($AC30&gt;0,SUMIFS(M$4:M29,$D$4:$D29,$D30,$Z$4:$Z29,$Z30,$C$4:$C29,$C30),0)</f>
        <v>0</v>
      </c>
      <c r="AI30" s="43">
        <f>IF(OR($C30="",$I30=""),0,IF(COUNTIFS($C$5:$C30,$C30,$I$5:$I30,$I30)=1,1,0))</f>
        <v>0</v>
      </c>
      <c r="AJ30" s="43" t="str">
        <f>IF($AI30=1,SUMIFS($AI$4:$AI29,$C$4:$C29,$C30)+1,"")</f>
        <v/>
      </c>
      <c r="AK30" s="43">
        <f>IF(OR($C30="",$K30=""),0,IF(COUNTIFS($C$5:$C30,$C30,$K$5:$K30,$K30)=1,1,0))</f>
        <v>0</v>
      </c>
      <c r="AL30" s="43" t="str">
        <f>IF($AK30=1,SUMIFS($AK$4:$AK29,$C$4:$C29,$C30)+1,"")</f>
        <v/>
      </c>
      <c r="AM30" s="43">
        <f>IF(OR($C30="",$G30=""),0,IF(COUNTIFS($C$5:$C30,$C30,$G$5:$G30,$G30)=1,1,0))</f>
        <v>1</v>
      </c>
      <c r="AN30" s="43">
        <f>IF($AM30=1,SUMIFS($AM$4:$AM29,$C$4:$C29,$C30)+1,"")</f>
        <v>19</v>
      </c>
    </row>
    <row r="31">
      <c r="A31" s="44" t="str">
        <f>IF(OR($B31="",$D31=""),"","TX"&amp;TEXT(ROW()-4,"0000"))</f>
        <v>TX0027</v>
      </c>
      <c r="B31" s="42" t="n">
        <v>46300</v>
      </c>
      <c r="C31" s="47">
        <f>IF($B31="","",YEAR($B31)*100+MONTH($B31))</f>
        <v>202610</v>
      </c>
      <c r="D31" s="37" t="inlineStr">
        <is>
          <t>MB-D</t>
        </is>
      </c>
      <c r="E31" s="45" t="str">
        <f>IF($D31="","",IFERROR(INDEX(CARDS!$B$5:$B$34,MATCH($D31,CARDS!$A$5:$A$34,0)),"⚠ Card ID?"))</f>
        <v>MB</v>
      </c>
      <c r="F31" s="45" t="str">
        <f>IF($D31="","",IFERROR(INDEX(CARDS!$C$5:$C$34,MATCH($D31,CARDS!$A$5:$A$34,0)),"⚠ Card ID?"))</f>
        <v>Cashback Demo D</v>
      </c>
      <c r="G31" s="37" t="inlineStr">
        <is>
          <t>WinMart</t>
        </is>
      </c>
      <c r="H31" s="37" t="inlineStr">
        <is>
          <t>Siêu thị</t>
        </is>
      </c>
      <c r="I31" s="41" t="n">
        <v>5411</v>
      </c>
      <c r="J31" s="45" t="str">
        <f>IF($I31="","",IFERROR(INDEX(MCC_MASTER!$B$5:$B$504,MATCH($I31,MCC_MASTER!$A$5:$A$504,0)),"⚠ MCC chưa có"))</f>
        <v>Grocery Stores / Supermarkets</v>
      </c>
      <c r="K31" s="45" t="str">
        <f>IF($I31="","",IFERROR(IF(INDEX(MCC_MASTER!$C$5:$C$504,MATCH($I31,MCC_MASTER!$A$5:$A$504,0))="","Chưa phân loại",INDEX(MCC_MASTER!$C$5:$C$504,MATCH($I31,MCC_MASTER!$A$5:$A$504,0))),"Chưa phân loại"))</f>
        <v>Groceries</v>
      </c>
      <c r="L31" s="40" t="n">
        <v>1500000</v>
      </c>
      <c r="M31" s="48">
        <f>IF(OR($B31="",$D31=""),"",IF($AC31=0,0,IF(ISNUMBER(INDEX(CASHBACK_RULES!$L$5:$L$304,$AC31)),MAX(0,MIN($L31,INDEX(CASHBACK_RULES!$L$5:$L$304,$AC31)-$AH31)),MAX(0,$L31))))</f>
        <v>1500000</v>
      </c>
      <c r="N31" s="49">
        <f>IF(OR($B31="",$D31=""),"",IF($AC31&gt;0,INDEX(CASHBACK_RULES!$I$5:$I$304,$AC31),0))</f>
        <v>0.02</v>
      </c>
      <c r="O31" s="48">
        <f>IF(OR($B31="",$D31=""),"",ROUND($M31*$N31,0))</f>
        <v>30000</v>
      </c>
      <c r="P31" s="48">
        <f>IF($AC31&gt;0,IF(ISNUMBER(INDEX(CASHBACK_RULES!$J$5:$J$304,$AC31)),INDEX(CASHBACK_RULES!$J$5:$J$304,$AC31),"∞"),"")</f>
        <v>100000</v>
      </c>
      <c r="Q31" s="48">
        <f>IF(OR($B31="",$D31=""),"",IF($AC31=0,0,MAX(0,MIN($O31,IF(ISNUMBER($P31),$P31-$AF31,1E+15),IF(ISNUMBER($AA31),$AA31-$AG31,1E+15)))))</f>
        <v>30000</v>
      </c>
      <c r="R31" s="48">
        <f>IF(OR($B31="",$D31=""),"",IF($AC31=0,"",IF(AND(NOT(ISNUMBER($P31)),NOT(ISNUMBER($AA31))),"∞",MAX(0,MIN(IF(ISNUMBER($P31),$P31-$AF31-$Q31,1E+15),IF(ISNUMBER($AA31),$AA31-$AG31-$Q31,1E+15))))))</f>
        <v>70000</v>
      </c>
      <c r="S31" s="47">
        <f>IF($AD31="","",YEAR($AD31)*100+MONTH($AD31))</f>
        <v>202611</v>
      </c>
      <c r="T31" s="50">
        <f>IF($AD31="","",IFERROR(IF(INDEX(CARDS!$I$5:$I$34,MATCH($D31,CARDS!$A$5:$A$34,0))="","",IF(INDEX(CARDS!$I$5:$I$34,MATCH($D31,CARDS!$A$5:$A$34,0))&gt;INDEX(CARDS!$H$5:$H$34,MATCH($D31,CARDS!$A$5:$A$34,0)),DATE(YEAR($AD31),MONTH($AD31),MIN(INDEX(CARDS!$I$5:$I$34,MATCH($D31,CARDS!$A$5:$A$34,0)),DAY(EOMONTH($AD31,0)))),DATE(YEAR($AD31),MONTH($AD31)+1,MIN(INDEX(CARDS!$I$5:$I$34,MATCH($D31,CARDS!$A$5:$A$34,0)),DAY(EOMONTH($AD31,1)))))),""))</f>
        <v>46334.0</v>
      </c>
      <c r="U31" s="38" t="inlineStr">
        <is>
          <t>Posted</t>
        </is>
      </c>
      <c r="V31" s="37" t="inlineStr">
        <is>
          <t>SAMPLE DATA — có thể xóa</t>
        </is>
      </c>
      <c r="W31" s="38" t="n"/>
      <c r="X31" s="38" t="inlineStr">
        <is>
          <t>Chưa thanh toán</t>
        </is>
      </c>
      <c r="Y31" s="44" t="str">
        <f>IF($AC31&gt;0,INDEX(CASHBACK_RULES!$A$5:$A$304,$AC31),"")</f>
        <v>R026</v>
      </c>
      <c r="Z31" s="45" t="str">
        <f>IF($AC31&gt;0,INDEX(CASHBACK_RULES!$E$5:$E$304,$AC31)&amp;"","")</f>
        <v>Groceries</v>
      </c>
      <c r="AA31" s="48">
        <f>IF($AC31&gt;0,IF(ISNUMBER(INDEX(CASHBACK_RULES!$K$5:$K$304,$AC31)),INDEX(CASHBACK_RULES!$K$5:$K$304,$AC31),"∞"),"")</f>
        <v>600000</v>
      </c>
      <c r="AB31" s="44" t="str">
        <f>IF(OR($B31="",$D31=""),"",IF($U31="Cancelled","Đã hủy",IF($AC31=0,"Không được hoàn",IF($Q31=0,IF(OR($O31&gt;0,$M31&lt;$L31),"Đã đạt cap","Không được hoàn"),IF(OR($Q31&lt;$O31,$M31&lt;$L31),"Hoàn một phần","Được hoàn")))))</f>
        <v>Được hoàn</v>
      </c>
      <c r="AC31" s="43">
        <f>IF(OR($B31="",$D31="",$I31="",$L31=""),0,IF($U31="Cancelled",0,IF($W31&lt;&gt;"",IFERROR(IF(INDEX(CASHBACK_RULES!$B$5:$B$304,MATCH($W31,CASHBACK_RULES!$A$5:$A$304,0))=$D31,MATCH($W31,CASHBACK_RULES!$A$5:$A$304,0),0),0),IFERROR(MATCH(1,INDEX((CASHBACK_RULES!$B$5:$B$304=$D31)*(CASHBACK_RULES!$G$5:$G$304=$I31)*(((CASHBACK_RULES!$N$5:$N$304="")+(CASHBACK_RULES!$N$5:$N$304&lt;=$B31))&gt;0)*(((CASHBACK_RULES!$O$5:$O$304="")+(CASHBACK_RULES!$O$5:$O$304&gt;=$B31))&gt;0)*(((CASHBACK_RULES!$M$5:$M$304="")+(CASHBACK_RULES!$M$5:$M$304&lt;=$L31))&gt;0),0),0),0))))</f>
        <v>26</v>
      </c>
      <c r="AD31" s="51">
        <f>IF(OR($B31="",$D31=""),"",IFERROR(IF(INDEX(CARDS!$H$5:$H$34,MATCH($D31,CARDS!$A$5:$A$34,0))="","",IF(DAY($B31)&lt;=INDEX(CARDS!$H$5:$H$34,MATCH($D31,CARDS!$A$5:$A$34,0)),DATE(YEAR($B31),MONTH($B31),MIN(INDEX(CARDS!$H$5:$H$34,MATCH($D31,CARDS!$A$5:$A$34,0)),DAY(EOMONTH($B31,0)))),DATE(YEAR($B31),MONTH($B31)+1,MIN(INDEX(CARDS!$H$5:$H$34,MATCH($D31,CARDS!$A$5:$A$34,0)),DAY(EOMONTH($B31,1)))))),""))</f>
        <v>46327.0</v>
      </c>
      <c r="AE31" s="52" t="str">
        <f>IF($C31="","",$C31&amp;"|"&amp;COUNTIF($C$5:$C31,$C31))</f>
        <v>202610|21</v>
      </c>
      <c r="AF31" s="53">
        <f>IF($AC31&gt;0,SUMIFS(Q$4:Q30,$D$4:$D30,$D31,$Z$4:$Z30,$Z31,$C$4:$C30,$C31),0)</f>
        <v>0</v>
      </c>
      <c r="AG31" s="53">
        <f>IF($AC31&gt;0,SUMIFS(Q$4:Q30,$D$4:$D30,$D31,$C$4:$C30,$C31),0)</f>
        <v>400000</v>
      </c>
      <c r="AH31" s="53">
        <f>IF($AC31&gt;0,SUMIFS(M$4:M30,$D$4:$D30,$D31,$Z$4:$Z30,$Z31,$C$4:$C30,$C31),0)</f>
        <v>0</v>
      </c>
      <c r="AI31" s="43">
        <f>IF(OR($C31="",$I31=""),0,IF(COUNTIFS($C$5:$C31,$C31,$I$5:$I31,$I31)=1,1,0))</f>
        <v>0</v>
      </c>
      <c r="AJ31" s="43" t="str">
        <f>IF($AI31=1,SUMIFS($AI$4:$AI30,$C$4:$C30,$C31)+1,"")</f>
        <v/>
      </c>
      <c r="AK31" s="43">
        <f>IF(OR($C31="",$K31=""),0,IF(COUNTIFS($C$5:$C31,$C31,$K$5:$K31,$K31)=1,1,0))</f>
        <v>0</v>
      </c>
      <c r="AL31" s="43" t="str">
        <f>IF($AK31=1,SUMIFS($AK$4:$AK30,$C$4:$C30,$C31)+1,"")</f>
        <v/>
      </c>
      <c r="AM31" s="43">
        <f>IF(OR($C31="",$G31=""),0,IF(COUNTIFS($C$5:$C31,$C31,$G$5:$G31,$G31)=1,1,0))</f>
        <v>0</v>
      </c>
      <c r="AN31" s="43" t="str">
        <f>IF($AM31=1,SUMIFS($AM$4:$AM30,$C$4:$C30,$C31)+1,"")</f>
        <v/>
      </c>
    </row>
    <row r="32">
      <c r="A32" s="44" t="str">
        <f>IF(OR($B32="",$D32=""),"","TX"&amp;TEXT(ROW()-4,"0000"))</f>
        <v>TX0028</v>
      </c>
      <c r="B32" s="42" t="n">
        <v>46300</v>
      </c>
      <c r="C32" s="47">
        <f>IF($B32="","",YEAR($B32)*100+MONTH($B32))</f>
        <v>202610</v>
      </c>
      <c r="D32" s="37" t="inlineStr">
        <is>
          <t>MB-D</t>
        </is>
      </c>
      <c r="E32" s="45" t="str">
        <f>IF($D32="","",IFERROR(INDEX(CARDS!$B$5:$B$34,MATCH($D32,CARDS!$A$5:$A$34,0)),"⚠ Card ID?"))</f>
        <v>MB</v>
      </c>
      <c r="F32" s="45" t="str">
        <f>IF($D32="","",IFERROR(INDEX(CARDS!$C$5:$C$34,MATCH($D32,CARDS!$A$5:$A$34,0)),"⚠ Card ID?"))</f>
        <v>Cashback Demo D</v>
      </c>
      <c r="G32" s="37" t="inlineStr">
        <is>
          <t>Petrolimex</t>
        </is>
      </c>
      <c r="H32" s="37" t="inlineStr">
        <is>
          <t>Xăng</t>
        </is>
      </c>
      <c r="I32" s="41" t="n">
        <v>5541</v>
      </c>
      <c r="J32" s="45" t="str">
        <f>IF($I32="","",IFERROR(INDEX(MCC_MASTER!$B$5:$B$504,MATCH($I32,MCC_MASTER!$A$5:$A$504,0)),"⚠ MCC chưa có"))</f>
        <v>Service Stations</v>
      </c>
      <c r="K32" s="45" t="str">
        <f>IF($I32="","",IFERROR(IF(INDEX(MCC_MASTER!$C$5:$C$504,MATCH($I32,MCC_MASTER!$A$5:$A$504,0))="","Chưa phân loại",INDEX(MCC_MASTER!$C$5:$C$504,MATCH($I32,MCC_MASTER!$A$5:$A$504,0))),"Chưa phân loại"))</f>
        <v>Fuel</v>
      </c>
      <c r="L32" s="40" t="n">
        <v>2000000</v>
      </c>
      <c r="M32" s="48">
        <f>IF(OR($B32="",$D32=""),"",IF($AC32=0,0,IF(ISNUMBER(INDEX(CASHBACK_RULES!$L$5:$L$304,$AC32)),MAX(0,MIN($L32,INDEX(CASHBACK_RULES!$L$5:$L$304,$AC32)-$AH32)),MAX(0,$L32))))</f>
        <v>2000000</v>
      </c>
      <c r="N32" s="49">
        <f>IF(OR($B32="",$D32=""),"",IF($AC32&gt;0,INDEX(CASHBACK_RULES!$I$5:$I$304,$AC32),0))</f>
        <v>0.03</v>
      </c>
      <c r="O32" s="48">
        <f>IF(OR($B32="",$D32=""),"",ROUND($M32*$N32,0))</f>
        <v>60000</v>
      </c>
      <c r="P32" s="48">
        <f>IF($AC32&gt;0,IF(ISNUMBER(INDEX(CASHBACK_RULES!$J$5:$J$304,$AC32)),INDEX(CASHBACK_RULES!$J$5:$J$304,$AC32),"∞"),"")</f>
        <v>200000</v>
      </c>
      <c r="Q32" s="48">
        <f>IF(OR($B32="",$D32=""),"",IF($AC32=0,0,MAX(0,MIN($O32,IF(ISNUMBER($P32),$P32-$AF32,1E+15),IF(ISNUMBER($AA32),$AA32-$AG32,1E+15)))))</f>
        <v>60000</v>
      </c>
      <c r="R32" s="48">
        <f>IF(OR($B32="",$D32=""),"",IF($AC32=0,"",IF(AND(NOT(ISNUMBER($P32)),NOT(ISNUMBER($AA32))),"∞",MAX(0,MIN(IF(ISNUMBER($P32),$P32-$AF32-$Q32,1E+15),IF(ISNUMBER($AA32),$AA32-$AG32-$Q32,1E+15))))))</f>
        <v>110000</v>
      </c>
      <c r="S32" s="47">
        <f>IF($AD32="","",YEAR($AD32)*100+MONTH($AD32))</f>
        <v>202611</v>
      </c>
      <c r="T32" s="50">
        <f>IF($AD32="","",IFERROR(IF(INDEX(CARDS!$I$5:$I$34,MATCH($D32,CARDS!$A$5:$A$34,0))="","",IF(INDEX(CARDS!$I$5:$I$34,MATCH($D32,CARDS!$A$5:$A$34,0))&gt;INDEX(CARDS!$H$5:$H$34,MATCH($D32,CARDS!$A$5:$A$34,0)),DATE(YEAR($AD32),MONTH($AD32),MIN(INDEX(CARDS!$I$5:$I$34,MATCH($D32,CARDS!$A$5:$A$34,0)),DAY(EOMONTH($AD32,0)))),DATE(YEAR($AD32),MONTH($AD32)+1,MIN(INDEX(CARDS!$I$5:$I$34,MATCH($D32,CARDS!$A$5:$A$34,0)),DAY(EOMONTH($AD32,1)))))),""))</f>
        <v>46334.0</v>
      </c>
      <c r="U32" s="38" t="inlineStr">
        <is>
          <t>Posted</t>
        </is>
      </c>
      <c r="V32" s="37" t="inlineStr">
        <is>
          <t>SAMPLE DATA — có thể xóa</t>
        </is>
      </c>
      <c r="W32" s="38" t="n"/>
      <c r="X32" s="38" t="inlineStr">
        <is>
          <t>Chưa thanh toán</t>
        </is>
      </c>
      <c r="Y32" s="44" t="str">
        <f>IF($AC32&gt;0,INDEX(CASHBACK_RULES!$A$5:$A$304,$AC32),"")</f>
        <v>R025</v>
      </c>
      <c r="Z32" s="45" t="str">
        <f>IF($AC32&gt;0,INDEX(CASHBACK_RULES!$E$5:$E$304,$AC32)&amp;"","")</f>
        <v>Fuel</v>
      </c>
      <c r="AA32" s="48">
        <f>IF($AC32&gt;0,IF(ISNUMBER(INDEX(CASHBACK_RULES!$K$5:$K$304,$AC32)),INDEX(CASHBACK_RULES!$K$5:$K$304,$AC32),"∞"),"")</f>
        <v>600000</v>
      </c>
      <c r="AB32" s="44" t="str">
        <f>IF(OR($B32="",$D32=""),"",IF($U32="Cancelled","Đã hủy",IF($AC32=0,"Không được hoàn",IF($Q32=0,IF(OR($O32&gt;0,$M32&lt;$L32),"Đã đạt cap","Không được hoàn"),IF(OR($Q32&lt;$O32,$M32&lt;$L32),"Hoàn một phần","Được hoàn")))))</f>
        <v>Được hoàn</v>
      </c>
      <c r="AC32" s="43">
        <f>IF(OR($B32="",$D32="",$I32="",$L32=""),0,IF($U32="Cancelled",0,IF($W32&lt;&gt;"",IFERROR(IF(INDEX(CASHBACK_RULES!$B$5:$B$304,MATCH($W32,CASHBACK_RULES!$A$5:$A$304,0))=$D32,MATCH($W32,CASHBACK_RULES!$A$5:$A$304,0),0),0),IFERROR(MATCH(1,INDEX((CASHBACK_RULES!$B$5:$B$304=$D32)*(CASHBACK_RULES!$G$5:$G$304=$I32)*(((CASHBACK_RULES!$N$5:$N$304="")+(CASHBACK_RULES!$N$5:$N$304&lt;=$B32))&gt;0)*(((CASHBACK_RULES!$O$5:$O$304="")+(CASHBACK_RULES!$O$5:$O$304&gt;=$B32))&gt;0)*(((CASHBACK_RULES!$M$5:$M$304="")+(CASHBACK_RULES!$M$5:$M$304&lt;=$L32))&gt;0),0),0),0))))</f>
        <v>25</v>
      </c>
      <c r="AD32" s="51">
        <f>IF(OR($B32="",$D32=""),"",IFERROR(IF(INDEX(CARDS!$H$5:$H$34,MATCH($D32,CARDS!$A$5:$A$34,0))="","",IF(DAY($B32)&lt;=INDEX(CARDS!$H$5:$H$34,MATCH($D32,CARDS!$A$5:$A$34,0)),DATE(YEAR($B32),MONTH($B32),MIN(INDEX(CARDS!$H$5:$H$34,MATCH($D32,CARDS!$A$5:$A$34,0)),DAY(EOMONTH($B32,0)))),DATE(YEAR($B32),MONTH($B32)+1,MIN(INDEX(CARDS!$H$5:$H$34,MATCH($D32,CARDS!$A$5:$A$34,0)),DAY(EOMONTH($B32,1)))))),""))</f>
        <v>46327.0</v>
      </c>
      <c r="AE32" s="52" t="str">
        <f>IF($C32="","",$C32&amp;"|"&amp;COUNTIF($C$5:$C32,$C32))</f>
        <v>202610|22</v>
      </c>
      <c r="AF32" s="53">
        <f>IF($AC32&gt;0,SUMIFS(Q$4:Q31,$D$4:$D31,$D32,$Z$4:$Z31,$Z32,$C$4:$C31,$C32),0)</f>
        <v>0</v>
      </c>
      <c r="AG32" s="53">
        <f>IF($AC32&gt;0,SUMIFS(Q$4:Q31,$D$4:$D31,$D32,$C$4:$C31,$C32),0)</f>
        <v>430000</v>
      </c>
      <c r="AH32" s="53">
        <f>IF($AC32&gt;0,SUMIFS(M$4:M31,$D$4:$D31,$D32,$Z$4:$Z31,$Z32,$C$4:$C31,$C32),0)</f>
        <v>0</v>
      </c>
      <c r="AI32" s="43">
        <f>IF(OR($C32="",$I32=""),0,IF(COUNTIFS($C$5:$C32,$C32,$I$5:$I32,$I32)=1,1,0))</f>
        <v>0</v>
      </c>
      <c r="AJ32" s="43" t="str">
        <f>IF($AI32=1,SUMIFS($AI$4:$AI31,$C$4:$C31,$C32)+1,"")</f>
        <v/>
      </c>
      <c r="AK32" s="43">
        <f>IF(OR($C32="",$K32=""),0,IF(COUNTIFS($C$5:$C32,$C32,$K$5:$K32,$K32)=1,1,0))</f>
        <v>0</v>
      </c>
      <c r="AL32" s="43" t="str">
        <f>IF($AK32=1,SUMIFS($AK$4:$AK31,$C$4:$C31,$C32)+1,"")</f>
        <v/>
      </c>
      <c r="AM32" s="43">
        <f>IF(OR($C32="",$G32=""),0,IF(COUNTIFS($C$5:$C32,$C32,$G$5:$G32,$G32)=1,1,0))</f>
        <v>0</v>
      </c>
      <c r="AN32" s="43" t="str">
        <f>IF($AM32=1,SUMIFS($AM$4:$AM31,$C$4:$C31,$C32)+1,"")</f>
        <v/>
      </c>
    </row>
    <row r="33">
      <c r="A33" s="44" t="str">
        <f>IF(OR($B33="",$D33=""),"","TX"&amp;TEXT(ROW()-4,"0000"))</f>
        <v>TX0029</v>
      </c>
      <c r="B33" s="42" t="n">
        <v>46300</v>
      </c>
      <c r="C33" s="47">
        <f>IF($B33="","",YEAR($B33)*100+MONTH($B33))</f>
        <v>202610</v>
      </c>
      <c r="D33" s="37" t="inlineStr">
        <is>
          <t>ACB-E</t>
        </is>
      </c>
      <c r="E33" s="45" t="str">
        <f>IF($D33="","",IFERROR(INDEX(CARDS!$B$5:$B$34,MATCH($D33,CARDS!$A$5:$A$34,0)),"⚠ Card ID?"))</f>
        <v>ACB</v>
      </c>
      <c r="F33" s="45" t="str">
        <f>IF($D33="","",IFERROR(INDEX(CARDS!$C$5:$C$34,MATCH($D33,CARDS!$A$5:$A$34,0)),"⚠ Card ID?"))</f>
        <v>Demo E (không cashback)</v>
      </c>
      <c r="G33" s="37" t="inlineStr">
        <is>
          <t>Shopee</t>
        </is>
      </c>
      <c r="H33" s="37" t="inlineStr">
        <is>
          <t>Online</t>
        </is>
      </c>
      <c r="I33" s="41" t="n">
        <v>5399</v>
      </c>
      <c r="J33" s="45" t="str">
        <f>IF($I33="","",IFERROR(INDEX(MCC_MASTER!$B$5:$B$504,MATCH($I33,MCC_MASTER!$A$5:$A$504,0)),"⚠ MCC chưa có"))</f>
        <v>Misc. General Merchandise</v>
      </c>
      <c r="K33" s="45" t="str">
        <f>IF($I33="","",IFERROR(IF(INDEX(MCC_MASTER!$C$5:$C$504,MATCH($I33,MCC_MASTER!$A$5:$A$504,0))="","Chưa phân loại",INDEX(MCC_MASTER!$C$5:$C$504,MATCH($I33,MCC_MASTER!$A$5:$A$504,0))),"Chưa phân loại"))</f>
        <v>Shopping</v>
      </c>
      <c r="L33" s="40" t="n">
        <v>1000000</v>
      </c>
      <c r="M33" s="48">
        <f>IF(OR($B33="",$D33=""),"",IF($AC33=0,0,IF(ISNUMBER(INDEX(CASHBACK_RULES!$L$5:$L$304,$AC33)),MAX(0,MIN($L33,INDEX(CASHBACK_RULES!$L$5:$L$304,$AC33)-$AH33)),MAX(0,$L33))))</f>
        <v>0</v>
      </c>
      <c r="N33" s="49">
        <f>IF(OR($B33="",$D33=""),"",IF($AC33&gt;0,INDEX(CASHBACK_RULES!$I$5:$I$304,$AC33),0))</f>
        <v>0</v>
      </c>
      <c r="O33" s="48">
        <f>IF(OR($B33="",$D33=""),"",ROUND($M33*$N33,0))</f>
        <v>0</v>
      </c>
      <c r="P33" s="48" t="str">
        <f>IF($AC33&gt;0,IF(ISNUMBER(INDEX(CASHBACK_RULES!$J$5:$J$304,$AC33)),INDEX(CASHBACK_RULES!$J$5:$J$304,$AC33),"∞"),"")</f>
        <v/>
      </c>
      <c r="Q33" s="48">
        <f>IF(OR($B33="",$D33=""),"",IF($AC33=0,0,MAX(0,MIN($O33,IF(ISNUMBER($P33),$P33-$AF33,1E+15),IF(ISNUMBER($AA33),$AA33-$AG33,1E+15)))))</f>
        <v>0</v>
      </c>
      <c r="R33" s="48" t="str">
        <f>IF(OR($B33="",$D33=""),"",IF($AC33=0,"",IF(AND(NOT(ISNUMBER($P33)),NOT(ISNUMBER($AA33))),"∞",MAX(0,MIN(IF(ISNUMBER($P33),$P33-$AF33-$Q33,1E+15),IF(ISNUMBER($AA33),$AA33-$AG33-$Q33,1E+15))))))</f>
        <v/>
      </c>
      <c r="S33" s="47">
        <f>IF($AD33="","",YEAR($AD33)*100+MONTH($AD33))</f>
        <v>202610</v>
      </c>
      <c r="T33" s="50">
        <f>IF($AD33="","",IFERROR(IF(INDEX(CARDS!$I$5:$I$34,MATCH($D33,CARDS!$A$5:$A$34,0))="","",IF(INDEX(CARDS!$I$5:$I$34,MATCH($D33,CARDS!$A$5:$A$34,0))&gt;INDEX(CARDS!$H$5:$H$34,MATCH($D33,CARDS!$A$5:$A$34,0)),DATE(YEAR($AD33),MONTH($AD33),MIN(INDEX(CARDS!$I$5:$I$34,MATCH($D33,CARDS!$A$5:$A$34,0)),DAY(EOMONTH($AD33,0)))),DATE(YEAR($AD33),MONTH($AD33)+1,MIN(INDEX(CARDS!$I$5:$I$34,MATCH($D33,CARDS!$A$5:$A$34,0)),DAY(EOMONTH($AD33,1)))))),""))</f>
        <v>46329.0</v>
      </c>
      <c r="U33" s="38" t="inlineStr">
        <is>
          <t>Posted</t>
        </is>
      </c>
      <c r="V33" s="37" t="inlineStr">
        <is>
          <t>SAMPLE DATA — có thể xóa — thẻ không có rule</t>
        </is>
      </c>
      <c r="W33" s="38" t="n"/>
      <c r="X33" s="38" t="inlineStr">
        <is>
          <t>Chưa thanh toán</t>
        </is>
      </c>
      <c r="Y33" s="44" t="str">
        <f>IF($AC33&gt;0,INDEX(CASHBACK_RULES!$A$5:$A$304,$AC33),"")</f>
        <v/>
      </c>
      <c r="Z33" s="45" t="str">
        <f>IF($AC33&gt;0,INDEX(CASHBACK_RULES!$E$5:$E$304,$AC33)&amp;"","")</f>
        <v/>
      </c>
      <c r="AA33" s="48" t="str">
        <f>IF($AC33&gt;0,IF(ISNUMBER(INDEX(CASHBACK_RULES!$K$5:$K$304,$AC33)),INDEX(CASHBACK_RULES!$K$5:$K$304,$AC33),"∞"),"")</f>
        <v/>
      </c>
      <c r="AB33" s="44" t="str">
        <f>IF(OR($B33="",$D33=""),"",IF($U33="Cancelled","Đã hủy",IF($AC33=0,"Không được hoàn",IF($Q33=0,IF(OR($O33&gt;0,$M33&lt;$L33),"Đã đạt cap","Không được hoàn"),IF(OR($Q33&lt;$O33,$M33&lt;$L33),"Hoàn một phần","Được hoàn")))))</f>
        <v>Không được hoàn</v>
      </c>
      <c r="AC33" s="43">
        <f>IF(OR($B33="",$D33="",$I33="",$L33=""),0,IF($U33="Cancelled",0,IF($W33&lt;&gt;"",IFERROR(IF(INDEX(CASHBACK_RULES!$B$5:$B$304,MATCH($W33,CASHBACK_RULES!$A$5:$A$304,0))=$D33,MATCH($W33,CASHBACK_RULES!$A$5:$A$304,0),0),0),IFERROR(MATCH(1,INDEX((CASHBACK_RULES!$B$5:$B$304=$D33)*(CASHBACK_RULES!$G$5:$G$304=$I33)*(((CASHBACK_RULES!$N$5:$N$304="")+(CASHBACK_RULES!$N$5:$N$304&lt;=$B33))&gt;0)*(((CASHBACK_RULES!$O$5:$O$304="")+(CASHBACK_RULES!$O$5:$O$304&gt;=$B33))&gt;0)*(((CASHBACK_RULES!$M$5:$M$304="")+(CASHBACK_RULES!$M$5:$M$304&lt;=$L33))&gt;0),0),0),0))))</f>
        <v>0</v>
      </c>
      <c r="AD33" s="51">
        <f>IF(OR($B33="",$D33=""),"",IFERROR(IF(INDEX(CARDS!$H$5:$H$34,MATCH($D33,CARDS!$A$5:$A$34,0))="","",IF(DAY($B33)&lt;=INDEX(CARDS!$H$5:$H$34,MATCH($D33,CARDS!$A$5:$A$34,0)),DATE(YEAR($B33),MONTH($B33),MIN(INDEX(CARDS!$H$5:$H$34,MATCH($D33,CARDS!$A$5:$A$34,0)),DAY(EOMONTH($B33,0)))),DATE(YEAR($B33),MONTH($B33)+1,MIN(INDEX(CARDS!$H$5:$H$34,MATCH($D33,CARDS!$A$5:$A$34,0)),DAY(EOMONTH($B33,1)))))),""))</f>
        <v>46310.0</v>
      </c>
      <c r="AE33" s="52" t="str">
        <f>IF($C33="","",$C33&amp;"|"&amp;COUNTIF($C$5:$C33,$C33))</f>
        <v>202610|23</v>
      </c>
      <c r="AF33" s="53">
        <f>IF($AC33&gt;0,SUMIFS(Q$4:Q32,$D$4:$D32,$D33,$Z$4:$Z32,$Z33,$C$4:$C32,$C33),0)</f>
        <v>0</v>
      </c>
      <c r="AG33" s="53">
        <f>IF($AC33&gt;0,SUMIFS(Q$4:Q32,$D$4:$D32,$D33,$C$4:$C32,$C33),0)</f>
        <v>0</v>
      </c>
      <c r="AH33" s="53">
        <f>IF($AC33&gt;0,SUMIFS(M$4:M32,$D$4:$D32,$D33,$Z$4:$Z32,$Z33,$C$4:$C32,$C33),0)</f>
        <v>0</v>
      </c>
      <c r="AI33" s="43">
        <f>IF(OR($C33="",$I33=""),0,IF(COUNTIFS($C$5:$C33,$C33,$I$5:$I33,$I33)=1,1,0))</f>
        <v>0</v>
      </c>
      <c r="AJ33" s="43" t="str">
        <f>IF($AI33=1,SUMIFS($AI$4:$AI32,$C$4:$C32,$C33)+1,"")</f>
        <v/>
      </c>
      <c r="AK33" s="43">
        <f>IF(OR($C33="",$K33=""),0,IF(COUNTIFS($C$5:$C33,$C33,$K$5:$K33,$K33)=1,1,0))</f>
        <v>0</v>
      </c>
      <c r="AL33" s="43" t="str">
        <f>IF($AK33=1,SUMIFS($AK$4:$AK32,$C$4:$C32,$C33)+1,"")</f>
        <v/>
      </c>
      <c r="AM33" s="43">
        <f>IF(OR($C33="",$G33=""),0,IF(COUNTIFS($C$5:$C33,$C33,$G$5:$G33,$G33)=1,1,0))</f>
        <v>1</v>
      </c>
      <c r="AN33" s="43">
        <f>IF($AM33=1,SUMIFS($AM$4:$AM32,$C$4:$C32,$C33)+1,"")</f>
        <v>20</v>
      </c>
    </row>
    <row r="34">
      <c r="A34" s="44" t="str">
        <f>IF(OR($B34="",$D34=""),"","TX"&amp;TEXT(ROW()-4,"0000"))</f>
        <v>TX0030</v>
      </c>
      <c r="B34" s="42" t="n">
        <v>46300</v>
      </c>
      <c r="C34" s="47">
        <f>IF($B34="","",YEAR($B34)*100+MONTH($B34))</f>
        <v>202610</v>
      </c>
      <c r="D34" s="37" t="inlineStr">
        <is>
          <t>VIB-A</t>
        </is>
      </c>
      <c r="E34" s="45" t="str">
        <f>IF($D34="","",IFERROR(INDEX(CARDS!$B$5:$B$34,MATCH($D34,CARDS!$A$5:$A$34,0)),"⚠ Card ID?"))</f>
        <v>VIB</v>
      </c>
      <c r="F34" s="45" t="str">
        <f>IF($D34="","",IFERROR(INDEX(CARDS!$C$5:$C$34,MATCH($D34,CARDS!$A$5:$A$34,0)),"⚠ Card ID?"))</f>
        <v>Cashback Demo A</v>
      </c>
      <c r="G34" s="37" t="inlineStr">
        <is>
          <t>Tiki</t>
        </is>
      </c>
      <c r="H34" s="37" t="inlineStr">
        <is>
          <t>Online</t>
        </is>
      </c>
      <c r="I34" s="41" t="n">
        <v>5311</v>
      </c>
      <c r="J34" s="45" t="str">
        <f>IF($I34="","",IFERROR(INDEX(MCC_MASTER!$B$5:$B$504,MATCH($I34,MCC_MASTER!$A$5:$A$504,0)),"⚠ MCC chưa có"))</f>
        <v>Department Stores</v>
      </c>
      <c r="K34" s="45" t="str">
        <f>IF($I34="","",IFERROR(IF(INDEX(MCC_MASTER!$C$5:$C$504,MATCH($I34,MCC_MASTER!$A$5:$A$504,0))="","Chưa phân loại",INDEX(MCC_MASTER!$C$5:$C$504,MATCH($I34,MCC_MASTER!$A$5:$A$504,0))),"Chưa phân loại"))</f>
        <v>Shopping</v>
      </c>
      <c r="L34" s="40" t="n">
        <v>1000000</v>
      </c>
      <c r="M34" s="48">
        <f>IF(OR($B34="",$D34=""),"",IF($AC34=0,0,IF(ISNUMBER(INDEX(CASHBACK_RULES!$L$5:$L$304,$AC34)),MAX(0,MIN($L34,INDEX(CASHBACK_RULES!$L$5:$L$304,$AC34)-$AH34)),MAX(0,$L34))))</f>
        <v>1000000</v>
      </c>
      <c r="N34" s="49">
        <f>IF(OR($B34="",$D34=""),"",IF($AC34&gt;0,INDEX(CASHBACK_RULES!$I$5:$I$304,$AC34),0))</f>
        <v>0.1</v>
      </c>
      <c r="O34" s="48">
        <f>IF(OR($B34="",$D34=""),"",ROUND($M34*$N34,0))</f>
        <v>100000</v>
      </c>
      <c r="P34" s="48">
        <f>IF($AC34&gt;0,IF(ISNUMBER(INDEX(CASHBACK_RULES!$J$5:$J$304,$AC34)),INDEX(CASHBACK_RULES!$J$5:$J$304,$AC34),"∞"),"")</f>
        <v>500000</v>
      </c>
      <c r="Q34" s="48">
        <f>IF(OR($B34="",$D34=""),"",IF($AC34=0,0,MAX(0,MIN($O34,IF(ISNUMBER($P34),$P34-$AF34,1E+15),IF(ISNUMBER($AA34),$AA34-$AG34,1E+15)))))</f>
        <v>0</v>
      </c>
      <c r="R34" s="48">
        <f>IF(OR($B34="",$D34=""),"",IF($AC34=0,"",IF(AND(NOT(ISNUMBER($P34)),NOT(ISNUMBER($AA34))),"∞",MAX(0,MIN(IF(ISNUMBER($P34),$P34-$AF34-$Q34,1E+15),IF(ISNUMBER($AA34),$AA34-$AG34-$Q34,1E+15))))))</f>
        <v>0</v>
      </c>
      <c r="S34" s="47">
        <f>IF($AD34="","",YEAR($AD34)*100+MONTH($AD34))</f>
        <v>202610</v>
      </c>
      <c r="T34" s="50">
        <f>IF($AD34="","",IFERROR(IF(INDEX(CARDS!$I$5:$I$34,MATCH($D34,CARDS!$A$5:$A$34,0))="","",IF(INDEX(CARDS!$I$5:$I$34,MATCH($D34,CARDS!$A$5:$A$34,0))&gt;INDEX(CARDS!$H$5:$H$34,MATCH($D34,CARDS!$A$5:$A$34,0)),DATE(YEAR($AD34),MONTH($AD34),MIN(INDEX(CARDS!$I$5:$I$34,MATCH($D34,CARDS!$A$5:$A$34,0)),DAY(EOMONTH($AD34,0)))),DATE(YEAR($AD34),MONTH($AD34)+1,MIN(INDEX(CARDS!$I$5:$I$34,MATCH($D34,CARDS!$A$5:$A$34,0)),DAY(EOMONTH($AD34,1)))))),""))</f>
        <v>46320.0</v>
      </c>
      <c r="U34" s="38" t="inlineStr">
        <is>
          <t>Posted</t>
        </is>
      </c>
      <c r="V34" s="37" t="inlineStr">
        <is>
          <t>SAMPLE DATA — có thể xóa — nhóm 2 đã đạt cap</t>
        </is>
      </c>
      <c r="W34" s="38" t="n"/>
      <c r="X34" s="38" t="inlineStr">
        <is>
          <t>Chưa thanh toán</t>
        </is>
      </c>
      <c r="Y34" s="44" t="str">
        <f>IF($AC34&gt;0,INDEX(CASHBACK_RULES!$A$5:$A$304,$AC34),"")</f>
        <v>R013</v>
      </c>
      <c r="Z34" s="45" t="str">
        <f>IF($AC34&gt;0,INDEX(CASHBACK_RULES!$E$5:$E$304,$AC34)&amp;"","")</f>
        <v>Group 2</v>
      </c>
      <c r="AA34" s="48">
        <f>IF($AC34&gt;0,IF(ISNUMBER(INDEX(CASHBACK_RULES!$K$5:$K$304,$AC34)),INDEX(CASHBACK_RULES!$K$5:$K$304,$AC34),"∞"),"")</f>
        <v>1000000</v>
      </c>
      <c r="AB34" s="44" t="str">
        <f>IF(OR($B34="",$D34=""),"",IF($U34="Cancelled","Đã hủy",IF($AC34=0,"Không được hoàn",IF($Q34=0,IF(OR($O34&gt;0,$M34&lt;$L34),"Đã đạt cap","Không được hoàn"),IF(OR($Q34&lt;$O34,$M34&lt;$L34),"Hoàn một phần","Được hoàn")))))</f>
        <v>Đã đạt cap</v>
      </c>
      <c r="AC34" s="43">
        <f>IF(OR($B34="",$D34="",$I34="",$L34=""),0,IF($U34="Cancelled",0,IF($W34&lt;&gt;"",IFERROR(IF(INDEX(CASHBACK_RULES!$B$5:$B$304,MATCH($W34,CASHBACK_RULES!$A$5:$A$304,0))=$D34,MATCH($W34,CASHBACK_RULES!$A$5:$A$304,0),0),0),IFERROR(MATCH(1,INDEX((CASHBACK_RULES!$B$5:$B$304=$D34)*(CASHBACK_RULES!$G$5:$G$304=$I34)*(((CASHBACK_RULES!$N$5:$N$304="")+(CASHBACK_RULES!$N$5:$N$304&lt;=$B34))&gt;0)*(((CASHBACK_RULES!$O$5:$O$304="")+(CASHBACK_RULES!$O$5:$O$304&gt;=$B34))&gt;0)*(((CASHBACK_RULES!$M$5:$M$304="")+(CASHBACK_RULES!$M$5:$M$304&lt;=$L34))&gt;0),0),0),0))))</f>
        <v>13</v>
      </c>
      <c r="AD34" s="51">
        <f>IF(OR($B34="",$D34=""),"",IFERROR(IF(INDEX(CARDS!$H$5:$H$34,MATCH($D34,CARDS!$A$5:$A$34,0))="","",IF(DAY($B34)&lt;=INDEX(CARDS!$H$5:$H$34,MATCH($D34,CARDS!$A$5:$A$34,0)),DATE(YEAR($B34),MONTH($B34),MIN(INDEX(CARDS!$H$5:$H$34,MATCH($D34,CARDS!$A$5:$A$34,0)),DAY(EOMONTH($B34,0)))),DATE(YEAR($B34),MONTH($B34)+1,MIN(INDEX(CARDS!$H$5:$H$34,MATCH($D34,CARDS!$A$5:$A$34,0)),DAY(EOMONTH($B34,1)))))),""))</f>
        <v>46300.0</v>
      </c>
      <c r="AE34" s="52" t="str">
        <f>IF($C34="","",$C34&amp;"|"&amp;COUNTIF($C$5:$C34,$C34))</f>
        <v>202610|24</v>
      </c>
      <c r="AF34" s="53">
        <f>IF($AC34&gt;0,SUMIFS(Q$4:Q33,$D$4:$D33,$D34,$Z$4:$Z33,$Z34,$C$4:$C33,$C34),0)</f>
        <v>500000</v>
      </c>
      <c r="AG34" s="53">
        <f>IF($AC34&gt;0,SUMIFS(Q$4:Q33,$D$4:$D33,$D34,$C$4:$C33,$C34),0)</f>
        <v>1000000</v>
      </c>
      <c r="AH34" s="53">
        <f>IF($AC34&gt;0,SUMIFS(M$4:M33,$D$4:$D33,$D34,$Z$4:$Z33,$Z34,$C$4:$C33,$C34),0)</f>
        <v>5000000</v>
      </c>
      <c r="AI34" s="43">
        <f>IF(OR($C34="",$I34=""),0,IF(COUNTIFS($C$5:$C34,$C34,$I$5:$I34,$I34)=1,1,0))</f>
        <v>0</v>
      </c>
      <c r="AJ34" s="43" t="str">
        <f>IF($AI34=1,SUMIFS($AI$4:$AI33,$C$4:$C33,$C34)+1,"")</f>
        <v/>
      </c>
      <c r="AK34" s="43">
        <f>IF(OR($C34="",$K34=""),0,IF(COUNTIFS($C$5:$C34,$C34,$K$5:$K34,$K34)=1,1,0))</f>
        <v>0</v>
      </c>
      <c r="AL34" s="43" t="str">
        <f>IF($AK34=1,SUMIFS($AK$4:$AK33,$C$4:$C33,$C34)+1,"")</f>
        <v/>
      </c>
      <c r="AM34" s="43">
        <f>IF(OR($C34="",$G34=""),0,IF(COUNTIFS($C$5:$C34,$C34,$G$5:$G34,$G34)=1,1,0))</f>
        <v>1</v>
      </c>
      <c r="AN34" s="43">
        <f>IF($AM34=1,SUMIFS($AM$4:$AM33,$C$4:$C33,$C34)+1,"")</f>
        <v>21</v>
      </c>
    </row>
    <row r="35">
      <c r="A35" s="44" t="str">
        <f>IF(OR($B35="",$D35=""),"","TX"&amp;TEXT(ROW()-4,"0000"))</f>
        <v/>
      </c>
      <c r="B35" s="42" t="n"/>
      <c r="C35" s="47" t="str">
        <f>IF($B35="","",YEAR($B35)*100+MONTH($B35))</f>
        <v/>
      </c>
      <c r="D35" s="37" t="n"/>
      <c r="E35" s="45" t="str">
        <f>IF($D35="","",IFERROR(INDEX(CARDS!$B$5:$B$34,MATCH($D35,CARDS!$A$5:$A$34,0)),"⚠ Card ID?"))</f>
        <v/>
      </c>
      <c r="F35" s="45" t="str">
        <f>IF($D35="","",IFERROR(INDEX(CARDS!$C$5:$C$34,MATCH($D35,CARDS!$A$5:$A$34,0)),"⚠ Card ID?"))</f>
        <v/>
      </c>
      <c r="G35" s="37" t="n"/>
      <c r="H35" s="37" t="n"/>
      <c r="I35" s="41" t="n"/>
      <c r="J35" s="45" t="str">
        <f>IF($I35="","",IFERROR(INDEX(MCC_MASTER!$B$5:$B$504,MATCH($I35,MCC_MASTER!$A$5:$A$504,0)),"⚠ MCC chưa có"))</f>
        <v/>
      </c>
      <c r="K35" s="45" t="str">
        <f>IF($I35="","",IFERROR(IF(INDEX(MCC_MASTER!$C$5:$C$504,MATCH($I35,MCC_MASTER!$A$5:$A$504,0))="","Chưa phân loại",INDEX(MCC_MASTER!$C$5:$C$504,MATCH($I35,MCC_MASTER!$A$5:$A$504,0))),"Chưa phân loại"))</f>
        <v/>
      </c>
      <c r="L35" s="40" t="n"/>
      <c r="M35" s="48" t="str">
        <f>IF(OR($B35="",$D35=""),"",IF($AC35=0,0,IF(ISNUMBER(INDEX(CASHBACK_RULES!$L$5:$L$304,$AC35)),MAX(0,MIN($L35,INDEX(CASHBACK_RULES!$L$5:$L$304,$AC35)-$AH35)),MAX(0,$L35))))</f>
        <v/>
      </c>
      <c r="N35" s="49" t="str">
        <f>IF(OR($B35="",$D35=""),"",IF($AC35&gt;0,INDEX(CASHBACK_RULES!$I$5:$I$304,$AC35),0))</f>
        <v/>
      </c>
      <c r="O35" s="48" t="str">
        <f>IF(OR($B35="",$D35=""),"",ROUND($M35*$N35,0))</f>
        <v/>
      </c>
      <c r="P35" s="48" t="str">
        <f>IF($AC35&gt;0,IF(ISNUMBER(INDEX(CASHBACK_RULES!$J$5:$J$304,$AC35)),INDEX(CASHBACK_RULES!$J$5:$J$304,$AC35),"∞"),"")</f>
        <v/>
      </c>
      <c r="Q35" s="48" t="str">
        <f>IF(OR($B35="",$D35=""),"",IF($AC35=0,0,MAX(0,MIN($O35,IF(ISNUMBER($P35),$P35-$AF35,1E+15),IF(ISNUMBER($AA35),$AA35-$AG35,1E+15)))))</f>
        <v/>
      </c>
      <c r="R35" s="48" t="str">
        <f>IF(OR($B35="",$D35=""),"",IF($AC35=0,"",IF(AND(NOT(ISNUMBER($P35)),NOT(ISNUMBER($AA35))),"∞",MAX(0,MIN(IF(ISNUMBER($P35),$P35-$AF35-$Q35,1E+15),IF(ISNUMBER($AA35),$AA35-$AG35-$Q35,1E+15))))))</f>
        <v/>
      </c>
      <c r="S35" s="47" t="str">
        <f>IF($AD35="","",YEAR($AD35)*100+MONTH($AD35))</f>
        <v/>
      </c>
      <c r="T35" s="50" t="str">
        <f>IF($AD35="","",IFERROR(IF(INDEX(CARDS!$I$5:$I$34,MATCH($D35,CARDS!$A$5:$A$34,0))="","",IF(INDEX(CARDS!$I$5:$I$34,MATCH($D35,CARDS!$A$5:$A$34,0))&gt;INDEX(CARDS!$H$5:$H$34,MATCH($D35,CARDS!$A$5:$A$34,0)),DATE(YEAR($AD35),MONTH($AD35),MIN(INDEX(CARDS!$I$5:$I$34,MATCH($D35,CARDS!$A$5:$A$34,0)),DAY(EOMONTH($AD35,0)))),DATE(YEAR($AD35),MONTH($AD35)+1,MIN(INDEX(CARDS!$I$5:$I$34,MATCH($D35,CARDS!$A$5:$A$34,0)),DAY(EOMONTH($AD35,1)))))),""))</f>
        <v/>
      </c>
      <c r="U35" s="38" t="n"/>
      <c r="V35" s="37" t="n"/>
      <c r="W35" s="38" t="n"/>
      <c r="X35" s="38" t="n"/>
      <c r="Y35" s="44" t="str">
        <f>IF($AC35&gt;0,INDEX(CASHBACK_RULES!$A$5:$A$304,$AC35),"")</f>
        <v/>
      </c>
      <c r="Z35" s="45" t="str">
        <f>IF($AC35&gt;0,INDEX(CASHBACK_RULES!$E$5:$E$304,$AC35)&amp;"","")</f>
        <v/>
      </c>
      <c r="AA35" s="48" t="str">
        <f>IF($AC35&gt;0,IF(ISNUMBER(INDEX(CASHBACK_RULES!$K$5:$K$304,$AC35)),INDEX(CASHBACK_RULES!$K$5:$K$304,$AC35),"∞"),"")</f>
        <v/>
      </c>
      <c r="AB35" s="44" t="str">
        <f>IF(OR($B35="",$D35=""),"",IF($U35="Cancelled","Đã hủy",IF($AC35=0,"Không được hoàn",IF($Q35=0,IF(OR($O35&gt;0,$M35&lt;$L35),"Đã đạt cap","Không được hoàn"),IF(OR($Q35&lt;$O35,$M35&lt;$L35),"Hoàn một phần","Được hoàn")))))</f>
        <v/>
      </c>
      <c r="AC35" s="43">
        <f>IF(OR($B35="",$D35="",$I35="",$L35=""),0,IF($U35="Cancelled",0,IF($W35&lt;&gt;"",IFERROR(IF(INDEX(CASHBACK_RULES!$B$5:$B$304,MATCH($W35,CASHBACK_RULES!$A$5:$A$304,0))=$D35,MATCH($W35,CASHBACK_RULES!$A$5:$A$304,0),0),0),IFERROR(MATCH(1,INDEX((CASHBACK_RULES!$B$5:$B$304=$D35)*(CASHBACK_RULES!$G$5:$G$304=$I35)*(((CASHBACK_RULES!$N$5:$N$304="")+(CASHBACK_RULES!$N$5:$N$304&lt;=$B35))&gt;0)*(((CASHBACK_RULES!$O$5:$O$304="")+(CASHBACK_RULES!$O$5:$O$304&gt;=$B35))&gt;0)*(((CASHBACK_RULES!$M$5:$M$304="")+(CASHBACK_RULES!$M$5:$M$304&lt;=$L35))&gt;0),0),0),0))))</f>
        <v>0</v>
      </c>
      <c r="AD35" s="51" t="str">
        <f>IF(OR($B35="",$D35=""),"",IFERROR(IF(INDEX(CARDS!$H$5:$H$34,MATCH($D35,CARDS!$A$5:$A$34,0))="","",IF(DAY($B35)&lt;=INDEX(CARDS!$H$5:$H$34,MATCH($D35,CARDS!$A$5:$A$34,0)),DATE(YEAR($B35),MONTH($B35),MIN(INDEX(CARDS!$H$5:$H$34,MATCH($D35,CARDS!$A$5:$A$34,0)),DAY(EOMONTH($B35,0)))),DATE(YEAR($B35),MONTH($B35)+1,MIN(INDEX(CARDS!$H$5:$H$34,MATCH($D35,CARDS!$A$5:$A$34,0)),DAY(EOMONTH($B35,1)))))),""))</f>
        <v/>
      </c>
      <c r="AE35" s="52" t="str">
        <f>IF($C35="","",$C35&amp;"|"&amp;COUNTIF($C$5:$C35,$C35))</f>
        <v/>
      </c>
      <c r="AF35" s="53">
        <f>IF($AC35&gt;0,SUMIFS(Q$4:Q34,$D$4:$D34,$D35,$Z$4:$Z34,$Z35,$C$4:$C34,$C35),0)</f>
        <v>0</v>
      </c>
      <c r="AG35" s="53">
        <f>IF($AC35&gt;0,SUMIFS(Q$4:Q34,$D$4:$D34,$D35,$C$4:$C34,$C35),0)</f>
        <v>0</v>
      </c>
      <c r="AH35" s="53">
        <f>IF($AC35&gt;0,SUMIFS(M$4:M34,$D$4:$D34,$D35,$Z$4:$Z34,$Z35,$C$4:$C34,$C35),0)</f>
        <v>0</v>
      </c>
      <c r="AI35" s="43">
        <f>IF(OR($C35="",$I35=""),0,IF(COUNTIFS($C$5:$C35,$C35,$I$5:$I35,$I35)=1,1,0))</f>
        <v>0</v>
      </c>
      <c r="AJ35" s="43" t="str">
        <f>IF($AI35=1,SUMIFS($AI$4:$AI34,$C$4:$C34,$C35)+1,"")</f>
        <v/>
      </c>
      <c r="AK35" s="43">
        <f>IF(OR($C35="",$K35=""),0,IF(COUNTIFS($C$5:$C35,$C35,$K$5:$K35,$K35)=1,1,0))</f>
        <v>0</v>
      </c>
      <c r="AL35" s="43" t="str">
        <f>IF($AK35=1,SUMIFS($AK$4:$AK34,$C$4:$C34,$C35)+1,"")</f>
        <v/>
      </c>
      <c r="AM35" s="43">
        <f>IF(OR($C35="",$G35=""),0,IF(COUNTIFS($C$5:$C35,$C35,$G$5:$G35,$G35)=1,1,0))</f>
        <v>0</v>
      </c>
      <c r="AN35" s="43" t="str">
        <f>IF($AM35=1,SUMIFS($AM$4:$AM34,$C$4:$C34,$C35)+1,"")</f>
        <v/>
      </c>
    </row>
    <row r="36">
      <c r="A36" s="44" t="str">
        <f>IF(OR($B36="",$D36=""),"","TX"&amp;TEXT(ROW()-4,"0000"))</f>
        <v/>
      </c>
      <c r="B36" s="42" t="n"/>
      <c r="C36" s="47" t="str">
        <f>IF($B36="","",YEAR($B36)*100+MONTH($B36))</f>
        <v/>
      </c>
      <c r="D36" s="37" t="n"/>
      <c r="E36" s="45" t="str">
        <f>IF($D36="","",IFERROR(INDEX(CARDS!$B$5:$B$34,MATCH($D36,CARDS!$A$5:$A$34,0)),"⚠ Card ID?"))</f>
        <v/>
      </c>
      <c r="F36" s="45" t="str">
        <f>IF($D36="","",IFERROR(INDEX(CARDS!$C$5:$C$34,MATCH($D36,CARDS!$A$5:$A$34,0)),"⚠ Card ID?"))</f>
        <v/>
      </c>
      <c r="G36" s="37" t="n"/>
      <c r="H36" s="37" t="n"/>
      <c r="I36" s="41" t="n"/>
      <c r="J36" s="45" t="str">
        <f>IF($I36="","",IFERROR(INDEX(MCC_MASTER!$B$5:$B$504,MATCH($I36,MCC_MASTER!$A$5:$A$504,0)),"⚠ MCC chưa có"))</f>
        <v/>
      </c>
      <c r="K36" s="45" t="str">
        <f>IF($I36="","",IFERROR(IF(INDEX(MCC_MASTER!$C$5:$C$504,MATCH($I36,MCC_MASTER!$A$5:$A$504,0))="","Chưa phân loại",INDEX(MCC_MASTER!$C$5:$C$504,MATCH($I36,MCC_MASTER!$A$5:$A$504,0))),"Chưa phân loại"))</f>
        <v/>
      </c>
      <c r="L36" s="40" t="n"/>
      <c r="M36" s="48" t="str">
        <f>IF(OR($B36="",$D36=""),"",IF($AC36=0,0,IF(ISNUMBER(INDEX(CASHBACK_RULES!$L$5:$L$304,$AC36)),MAX(0,MIN($L36,INDEX(CASHBACK_RULES!$L$5:$L$304,$AC36)-$AH36)),MAX(0,$L36))))</f>
        <v/>
      </c>
      <c r="N36" s="49" t="str">
        <f>IF(OR($B36="",$D36=""),"",IF($AC36&gt;0,INDEX(CASHBACK_RULES!$I$5:$I$304,$AC36),0))</f>
        <v/>
      </c>
      <c r="O36" s="48" t="str">
        <f>IF(OR($B36="",$D36=""),"",ROUND($M36*$N36,0))</f>
        <v/>
      </c>
      <c r="P36" s="48" t="str">
        <f>IF($AC36&gt;0,IF(ISNUMBER(INDEX(CASHBACK_RULES!$J$5:$J$304,$AC36)),INDEX(CASHBACK_RULES!$J$5:$J$304,$AC36),"∞"),"")</f>
        <v/>
      </c>
      <c r="Q36" s="48" t="str">
        <f>IF(OR($B36="",$D36=""),"",IF($AC36=0,0,MAX(0,MIN($O36,IF(ISNUMBER($P36),$P36-$AF36,1E+15),IF(ISNUMBER($AA36),$AA36-$AG36,1E+15)))))</f>
        <v/>
      </c>
      <c r="R36" s="48" t="str">
        <f>IF(OR($B36="",$D36=""),"",IF($AC36=0,"",IF(AND(NOT(ISNUMBER($P36)),NOT(ISNUMBER($AA36))),"∞",MAX(0,MIN(IF(ISNUMBER($P36),$P36-$AF36-$Q36,1E+15),IF(ISNUMBER($AA36),$AA36-$AG36-$Q36,1E+15))))))</f>
        <v/>
      </c>
      <c r="S36" s="47" t="str">
        <f>IF($AD36="","",YEAR($AD36)*100+MONTH($AD36))</f>
        <v/>
      </c>
      <c r="T36" s="50" t="str">
        <f>IF($AD36="","",IFERROR(IF(INDEX(CARDS!$I$5:$I$34,MATCH($D36,CARDS!$A$5:$A$34,0))="","",IF(INDEX(CARDS!$I$5:$I$34,MATCH($D36,CARDS!$A$5:$A$34,0))&gt;INDEX(CARDS!$H$5:$H$34,MATCH($D36,CARDS!$A$5:$A$34,0)),DATE(YEAR($AD36),MONTH($AD36),MIN(INDEX(CARDS!$I$5:$I$34,MATCH($D36,CARDS!$A$5:$A$34,0)),DAY(EOMONTH($AD36,0)))),DATE(YEAR($AD36),MONTH($AD36)+1,MIN(INDEX(CARDS!$I$5:$I$34,MATCH($D36,CARDS!$A$5:$A$34,0)),DAY(EOMONTH($AD36,1)))))),""))</f>
        <v/>
      </c>
      <c r="U36" s="38" t="n"/>
      <c r="V36" s="37" t="n"/>
      <c r="W36" s="38" t="n"/>
      <c r="X36" s="38" t="n"/>
      <c r="Y36" s="44" t="str">
        <f>IF($AC36&gt;0,INDEX(CASHBACK_RULES!$A$5:$A$304,$AC36),"")</f>
        <v/>
      </c>
      <c r="Z36" s="45" t="str">
        <f>IF($AC36&gt;0,INDEX(CASHBACK_RULES!$E$5:$E$304,$AC36)&amp;"","")</f>
        <v/>
      </c>
      <c r="AA36" s="48" t="str">
        <f>IF($AC36&gt;0,IF(ISNUMBER(INDEX(CASHBACK_RULES!$K$5:$K$304,$AC36)),INDEX(CASHBACK_RULES!$K$5:$K$304,$AC36),"∞"),"")</f>
        <v/>
      </c>
      <c r="AB36" s="44" t="str">
        <f>IF(OR($B36="",$D36=""),"",IF($U36="Cancelled","Đã hủy",IF($AC36=0,"Không được hoàn",IF($Q36=0,IF(OR($O36&gt;0,$M36&lt;$L36),"Đã đạt cap","Không được hoàn"),IF(OR($Q36&lt;$O36,$M36&lt;$L36),"Hoàn một phần","Được hoàn")))))</f>
        <v/>
      </c>
      <c r="AC36" s="43">
        <f>IF(OR($B36="",$D36="",$I36="",$L36=""),0,IF($U36="Cancelled",0,IF($W36&lt;&gt;"",IFERROR(IF(INDEX(CASHBACK_RULES!$B$5:$B$304,MATCH($W36,CASHBACK_RULES!$A$5:$A$304,0))=$D36,MATCH($W36,CASHBACK_RULES!$A$5:$A$304,0),0),0),IFERROR(MATCH(1,INDEX((CASHBACK_RULES!$B$5:$B$304=$D36)*(CASHBACK_RULES!$G$5:$G$304=$I36)*(((CASHBACK_RULES!$N$5:$N$304="")+(CASHBACK_RULES!$N$5:$N$304&lt;=$B36))&gt;0)*(((CASHBACK_RULES!$O$5:$O$304="")+(CASHBACK_RULES!$O$5:$O$304&gt;=$B36))&gt;0)*(((CASHBACK_RULES!$M$5:$M$304="")+(CASHBACK_RULES!$M$5:$M$304&lt;=$L36))&gt;0),0),0),0))))</f>
        <v>0</v>
      </c>
      <c r="AD36" s="51" t="str">
        <f>IF(OR($B36="",$D36=""),"",IFERROR(IF(INDEX(CARDS!$H$5:$H$34,MATCH($D36,CARDS!$A$5:$A$34,0))="","",IF(DAY($B36)&lt;=INDEX(CARDS!$H$5:$H$34,MATCH($D36,CARDS!$A$5:$A$34,0)),DATE(YEAR($B36),MONTH($B36),MIN(INDEX(CARDS!$H$5:$H$34,MATCH($D36,CARDS!$A$5:$A$34,0)),DAY(EOMONTH($B36,0)))),DATE(YEAR($B36),MONTH($B36)+1,MIN(INDEX(CARDS!$H$5:$H$34,MATCH($D36,CARDS!$A$5:$A$34,0)),DAY(EOMONTH($B36,1)))))),""))</f>
        <v/>
      </c>
      <c r="AE36" s="52" t="str">
        <f>IF($C36="","",$C36&amp;"|"&amp;COUNTIF($C$5:$C36,$C36))</f>
        <v/>
      </c>
      <c r="AF36" s="53">
        <f>IF($AC36&gt;0,SUMIFS(Q$4:Q35,$D$4:$D35,$D36,$Z$4:$Z35,$Z36,$C$4:$C35,$C36),0)</f>
        <v>0</v>
      </c>
      <c r="AG36" s="53">
        <f>IF($AC36&gt;0,SUMIFS(Q$4:Q35,$D$4:$D35,$D36,$C$4:$C35,$C36),0)</f>
        <v>0</v>
      </c>
      <c r="AH36" s="53">
        <f>IF($AC36&gt;0,SUMIFS(M$4:M35,$D$4:$D35,$D36,$Z$4:$Z35,$Z36,$C$4:$C35,$C36),0)</f>
        <v>0</v>
      </c>
      <c r="AI36" s="43">
        <f>IF(OR($C36="",$I36=""),0,IF(COUNTIFS($C$5:$C36,$C36,$I$5:$I36,$I36)=1,1,0))</f>
        <v>0</v>
      </c>
      <c r="AJ36" s="43" t="str">
        <f>IF($AI36=1,SUMIFS($AI$4:$AI35,$C$4:$C35,$C36)+1,"")</f>
        <v/>
      </c>
      <c r="AK36" s="43">
        <f>IF(OR($C36="",$K36=""),0,IF(COUNTIFS($C$5:$C36,$C36,$K$5:$K36,$K36)=1,1,0))</f>
        <v>0</v>
      </c>
      <c r="AL36" s="43" t="str">
        <f>IF($AK36=1,SUMIFS($AK$4:$AK35,$C$4:$C35,$C36)+1,"")</f>
        <v/>
      </c>
      <c r="AM36" s="43">
        <f>IF(OR($C36="",$G36=""),0,IF(COUNTIFS($C$5:$C36,$C36,$G$5:$G36,$G36)=1,1,0))</f>
        <v>0</v>
      </c>
      <c r="AN36" s="43" t="str">
        <f>IF($AM36=1,SUMIFS($AM$4:$AM35,$C$4:$C35,$C36)+1,"")</f>
        <v/>
      </c>
    </row>
    <row r="37">
      <c r="A37" s="44" t="str">
        <f>IF(OR($B37="",$D37=""),"","TX"&amp;TEXT(ROW()-4,"0000"))</f>
        <v/>
      </c>
      <c r="B37" s="42" t="n"/>
      <c r="C37" s="47" t="str">
        <f>IF($B37="","",YEAR($B37)*100+MONTH($B37))</f>
        <v/>
      </c>
      <c r="D37" s="37" t="n"/>
      <c r="E37" s="45" t="str">
        <f>IF($D37="","",IFERROR(INDEX(CARDS!$B$5:$B$34,MATCH($D37,CARDS!$A$5:$A$34,0)),"⚠ Card ID?"))</f>
        <v/>
      </c>
      <c r="F37" s="45" t="str">
        <f>IF($D37="","",IFERROR(INDEX(CARDS!$C$5:$C$34,MATCH($D37,CARDS!$A$5:$A$34,0)),"⚠ Card ID?"))</f>
        <v/>
      </c>
      <c r="G37" s="37" t="n"/>
      <c r="H37" s="37" t="n"/>
      <c r="I37" s="41" t="n"/>
      <c r="J37" s="45" t="str">
        <f>IF($I37="","",IFERROR(INDEX(MCC_MASTER!$B$5:$B$504,MATCH($I37,MCC_MASTER!$A$5:$A$504,0)),"⚠ MCC chưa có"))</f>
        <v/>
      </c>
      <c r="K37" s="45" t="str">
        <f>IF($I37="","",IFERROR(IF(INDEX(MCC_MASTER!$C$5:$C$504,MATCH($I37,MCC_MASTER!$A$5:$A$504,0))="","Chưa phân loại",INDEX(MCC_MASTER!$C$5:$C$504,MATCH($I37,MCC_MASTER!$A$5:$A$504,0))),"Chưa phân loại"))</f>
        <v/>
      </c>
      <c r="L37" s="40" t="n"/>
      <c r="M37" s="48" t="str">
        <f>IF(OR($B37="",$D37=""),"",IF($AC37=0,0,IF(ISNUMBER(INDEX(CASHBACK_RULES!$L$5:$L$304,$AC37)),MAX(0,MIN($L37,INDEX(CASHBACK_RULES!$L$5:$L$304,$AC37)-$AH37)),MAX(0,$L37))))</f>
        <v/>
      </c>
      <c r="N37" s="49" t="str">
        <f>IF(OR($B37="",$D37=""),"",IF($AC37&gt;0,INDEX(CASHBACK_RULES!$I$5:$I$304,$AC37),0))</f>
        <v/>
      </c>
      <c r="O37" s="48" t="str">
        <f>IF(OR($B37="",$D37=""),"",ROUND($M37*$N37,0))</f>
        <v/>
      </c>
      <c r="P37" s="48" t="str">
        <f>IF($AC37&gt;0,IF(ISNUMBER(INDEX(CASHBACK_RULES!$J$5:$J$304,$AC37)),INDEX(CASHBACK_RULES!$J$5:$J$304,$AC37),"∞"),"")</f>
        <v/>
      </c>
      <c r="Q37" s="48" t="str">
        <f>IF(OR($B37="",$D37=""),"",IF($AC37=0,0,MAX(0,MIN($O37,IF(ISNUMBER($P37),$P37-$AF37,1E+15),IF(ISNUMBER($AA37),$AA37-$AG37,1E+15)))))</f>
        <v/>
      </c>
      <c r="R37" s="48" t="str">
        <f>IF(OR($B37="",$D37=""),"",IF($AC37=0,"",IF(AND(NOT(ISNUMBER($P37)),NOT(ISNUMBER($AA37))),"∞",MAX(0,MIN(IF(ISNUMBER($P37),$P37-$AF37-$Q37,1E+15),IF(ISNUMBER($AA37),$AA37-$AG37-$Q37,1E+15))))))</f>
        <v/>
      </c>
      <c r="S37" s="47" t="str">
        <f>IF($AD37="","",YEAR($AD37)*100+MONTH($AD37))</f>
        <v/>
      </c>
      <c r="T37" s="50" t="str">
        <f>IF($AD37="","",IFERROR(IF(INDEX(CARDS!$I$5:$I$34,MATCH($D37,CARDS!$A$5:$A$34,0))="","",IF(INDEX(CARDS!$I$5:$I$34,MATCH($D37,CARDS!$A$5:$A$34,0))&gt;INDEX(CARDS!$H$5:$H$34,MATCH($D37,CARDS!$A$5:$A$34,0)),DATE(YEAR($AD37),MONTH($AD37),MIN(INDEX(CARDS!$I$5:$I$34,MATCH($D37,CARDS!$A$5:$A$34,0)),DAY(EOMONTH($AD37,0)))),DATE(YEAR($AD37),MONTH($AD37)+1,MIN(INDEX(CARDS!$I$5:$I$34,MATCH($D37,CARDS!$A$5:$A$34,0)),DAY(EOMONTH($AD37,1)))))),""))</f>
        <v/>
      </c>
      <c r="U37" s="38" t="n"/>
      <c r="V37" s="37" t="n"/>
      <c r="W37" s="38" t="n"/>
      <c r="X37" s="38" t="n"/>
      <c r="Y37" s="44" t="str">
        <f>IF($AC37&gt;0,INDEX(CASHBACK_RULES!$A$5:$A$304,$AC37),"")</f>
        <v/>
      </c>
      <c r="Z37" s="45" t="str">
        <f>IF($AC37&gt;0,INDEX(CASHBACK_RULES!$E$5:$E$304,$AC37)&amp;"","")</f>
        <v/>
      </c>
      <c r="AA37" s="48" t="str">
        <f>IF($AC37&gt;0,IF(ISNUMBER(INDEX(CASHBACK_RULES!$K$5:$K$304,$AC37)),INDEX(CASHBACK_RULES!$K$5:$K$304,$AC37),"∞"),"")</f>
        <v/>
      </c>
      <c r="AB37" s="44" t="str">
        <f>IF(OR($B37="",$D37=""),"",IF($U37="Cancelled","Đã hủy",IF($AC37=0,"Không được hoàn",IF($Q37=0,IF(OR($O37&gt;0,$M37&lt;$L37),"Đã đạt cap","Không được hoàn"),IF(OR($Q37&lt;$O37,$M37&lt;$L37),"Hoàn một phần","Được hoàn")))))</f>
        <v/>
      </c>
      <c r="AC37" s="43">
        <f>IF(OR($B37="",$D37="",$I37="",$L37=""),0,IF($U37="Cancelled",0,IF($W37&lt;&gt;"",IFERROR(IF(INDEX(CASHBACK_RULES!$B$5:$B$304,MATCH($W37,CASHBACK_RULES!$A$5:$A$304,0))=$D37,MATCH($W37,CASHBACK_RULES!$A$5:$A$304,0),0),0),IFERROR(MATCH(1,INDEX((CASHBACK_RULES!$B$5:$B$304=$D37)*(CASHBACK_RULES!$G$5:$G$304=$I37)*(((CASHBACK_RULES!$N$5:$N$304="")+(CASHBACK_RULES!$N$5:$N$304&lt;=$B37))&gt;0)*(((CASHBACK_RULES!$O$5:$O$304="")+(CASHBACK_RULES!$O$5:$O$304&gt;=$B37))&gt;0)*(((CASHBACK_RULES!$M$5:$M$304="")+(CASHBACK_RULES!$M$5:$M$304&lt;=$L37))&gt;0),0),0),0))))</f>
        <v>0</v>
      </c>
      <c r="AD37" s="51" t="str">
        <f>IF(OR($B37="",$D37=""),"",IFERROR(IF(INDEX(CARDS!$H$5:$H$34,MATCH($D37,CARDS!$A$5:$A$34,0))="","",IF(DAY($B37)&lt;=INDEX(CARDS!$H$5:$H$34,MATCH($D37,CARDS!$A$5:$A$34,0)),DATE(YEAR($B37),MONTH($B37),MIN(INDEX(CARDS!$H$5:$H$34,MATCH($D37,CARDS!$A$5:$A$34,0)),DAY(EOMONTH($B37,0)))),DATE(YEAR($B37),MONTH($B37)+1,MIN(INDEX(CARDS!$H$5:$H$34,MATCH($D37,CARDS!$A$5:$A$34,0)),DAY(EOMONTH($B37,1)))))),""))</f>
        <v/>
      </c>
      <c r="AE37" s="52" t="str">
        <f>IF($C37="","",$C37&amp;"|"&amp;COUNTIF($C$5:$C37,$C37))</f>
        <v/>
      </c>
      <c r="AF37" s="53">
        <f>IF($AC37&gt;0,SUMIFS(Q$4:Q36,$D$4:$D36,$D37,$Z$4:$Z36,$Z37,$C$4:$C36,$C37),0)</f>
        <v>0</v>
      </c>
      <c r="AG37" s="53">
        <f>IF($AC37&gt;0,SUMIFS(Q$4:Q36,$D$4:$D36,$D37,$C$4:$C36,$C37),0)</f>
        <v>0</v>
      </c>
      <c r="AH37" s="53">
        <f>IF($AC37&gt;0,SUMIFS(M$4:M36,$D$4:$D36,$D37,$Z$4:$Z36,$Z37,$C$4:$C36,$C37),0)</f>
        <v>0</v>
      </c>
      <c r="AI37" s="43">
        <f>IF(OR($C37="",$I37=""),0,IF(COUNTIFS($C$5:$C37,$C37,$I$5:$I37,$I37)=1,1,0))</f>
        <v>0</v>
      </c>
      <c r="AJ37" s="43" t="str">
        <f>IF($AI37=1,SUMIFS($AI$4:$AI36,$C$4:$C36,$C37)+1,"")</f>
        <v/>
      </c>
      <c r="AK37" s="43">
        <f>IF(OR($C37="",$K37=""),0,IF(COUNTIFS($C$5:$C37,$C37,$K$5:$K37,$K37)=1,1,0))</f>
        <v>0</v>
      </c>
      <c r="AL37" s="43" t="str">
        <f>IF($AK37=1,SUMIFS($AK$4:$AK36,$C$4:$C36,$C37)+1,"")</f>
        <v/>
      </c>
      <c r="AM37" s="43">
        <f>IF(OR($C37="",$G37=""),0,IF(COUNTIFS($C$5:$C37,$C37,$G$5:$G37,$G37)=1,1,0))</f>
        <v>0</v>
      </c>
      <c r="AN37" s="43" t="str">
        <f>IF($AM37=1,SUMIFS($AM$4:$AM36,$C$4:$C36,$C37)+1,"")</f>
        <v/>
      </c>
    </row>
    <row r="38">
      <c r="A38" s="44" t="str">
        <f>IF(OR($B38="",$D38=""),"","TX"&amp;TEXT(ROW()-4,"0000"))</f>
        <v/>
      </c>
      <c r="B38" s="42" t="n"/>
      <c r="C38" s="47" t="str">
        <f>IF($B38="","",YEAR($B38)*100+MONTH($B38))</f>
        <v/>
      </c>
      <c r="D38" s="37" t="n"/>
      <c r="E38" s="45" t="str">
        <f>IF($D38="","",IFERROR(INDEX(CARDS!$B$5:$B$34,MATCH($D38,CARDS!$A$5:$A$34,0)),"⚠ Card ID?"))</f>
        <v/>
      </c>
      <c r="F38" s="45" t="str">
        <f>IF($D38="","",IFERROR(INDEX(CARDS!$C$5:$C$34,MATCH($D38,CARDS!$A$5:$A$34,0)),"⚠ Card ID?"))</f>
        <v/>
      </c>
      <c r="G38" s="37" t="n"/>
      <c r="H38" s="37" t="n"/>
      <c r="I38" s="41" t="n"/>
      <c r="J38" s="45" t="str">
        <f>IF($I38="","",IFERROR(INDEX(MCC_MASTER!$B$5:$B$504,MATCH($I38,MCC_MASTER!$A$5:$A$504,0)),"⚠ MCC chưa có"))</f>
        <v/>
      </c>
      <c r="K38" s="45" t="str">
        <f>IF($I38="","",IFERROR(IF(INDEX(MCC_MASTER!$C$5:$C$504,MATCH($I38,MCC_MASTER!$A$5:$A$504,0))="","Chưa phân loại",INDEX(MCC_MASTER!$C$5:$C$504,MATCH($I38,MCC_MASTER!$A$5:$A$504,0))),"Chưa phân loại"))</f>
        <v/>
      </c>
      <c r="L38" s="40" t="n"/>
      <c r="M38" s="48" t="str">
        <f>IF(OR($B38="",$D38=""),"",IF($AC38=0,0,IF(ISNUMBER(INDEX(CASHBACK_RULES!$L$5:$L$304,$AC38)),MAX(0,MIN($L38,INDEX(CASHBACK_RULES!$L$5:$L$304,$AC38)-$AH38)),MAX(0,$L38))))</f>
        <v/>
      </c>
      <c r="N38" s="49" t="str">
        <f>IF(OR($B38="",$D38=""),"",IF($AC38&gt;0,INDEX(CASHBACK_RULES!$I$5:$I$304,$AC38),0))</f>
        <v/>
      </c>
      <c r="O38" s="48" t="str">
        <f>IF(OR($B38="",$D38=""),"",ROUND($M38*$N38,0))</f>
        <v/>
      </c>
      <c r="P38" s="48" t="str">
        <f>IF($AC38&gt;0,IF(ISNUMBER(INDEX(CASHBACK_RULES!$J$5:$J$304,$AC38)),INDEX(CASHBACK_RULES!$J$5:$J$304,$AC38),"∞"),"")</f>
        <v/>
      </c>
      <c r="Q38" s="48" t="str">
        <f>IF(OR($B38="",$D38=""),"",IF($AC38=0,0,MAX(0,MIN($O38,IF(ISNUMBER($P38),$P38-$AF38,1E+15),IF(ISNUMBER($AA38),$AA38-$AG38,1E+15)))))</f>
        <v/>
      </c>
      <c r="R38" s="48" t="str">
        <f>IF(OR($B38="",$D38=""),"",IF($AC38=0,"",IF(AND(NOT(ISNUMBER($P38)),NOT(ISNUMBER($AA38))),"∞",MAX(0,MIN(IF(ISNUMBER($P38),$P38-$AF38-$Q38,1E+15),IF(ISNUMBER($AA38),$AA38-$AG38-$Q38,1E+15))))))</f>
        <v/>
      </c>
      <c r="S38" s="47" t="str">
        <f>IF($AD38="","",YEAR($AD38)*100+MONTH($AD38))</f>
        <v/>
      </c>
      <c r="T38" s="50" t="str">
        <f>IF($AD38="","",IFERROR(IF(INDEX(CARDS!$I$5:$I$34,MATCH($D38,CARDS!$A$5:$A$34,0))="","",IF(INDEX(CARDS!$I$5:$I$34,MATCH($D38,CARDS!$A$5:$A$34,0))&gt;INDEX(CARDS!$H$5:$H$34,MATCH($D38,CARDS!$A$5:$A$34,0)),DATE(YEAR($AD38),MONTH($AD38),MIN(INDEX(CARDS!$I$5:$I$34,MATCH($D38,CARDS!$A$5:$A$34,0)),DAY(EOMONTH($AD38,0)))),DATE(YEAR($AD38),MONTH($AD38)+1,MIN(INDEX(CARDS!$I$5:$I$34,MATCH($D38,CARDS!$A$5:$A$34,0)),DAY(EOMONTH($AD38,1)))))),""))</f>
        <v/>
      </c>
      <c r="U38" s="38" t="n"/>
      <c r="V38" s="37" t="n"/>
      <c r="W38" s="38" t="n"/>
      <c r="X38" s="38" t="n"/>
      <c r="Y38" s="44" t="str">
        <f>IF($AC38&gt;0,INDEX(CASHBACK_RULES!$A$5:$A$304,$AC38),"")</f>
        <v/>
      </c>
      <c r="Z38" s="45" t="str">
        <f>IF($AC38&gt;0,INDEX(CASHBACK_RULES!$E$5:$E$304,$AC38)&amp;"","")</f>
        <v/>
      </c>
      <c r="AA38" s="48" t="str">
        <f>IF($AC38&gt;0,IF(ISNUMBER(INDEX(CASHBACK_RULES!$K$5:$K$304,$AC38)),INDEX(CASHBACK_RULES!$K$5:$K$304,$AC38),"∞"),"")</f>
        <v/>
      </c>
      <c r="AB38" s="44" t="str">
        <f>IF(OR($B38="",$D38=""),"",IF($U38="Cancelled","Đã hủy",IF($AC38=0,"Không được hoàn",IF($Q38=0,IF(OR($O38&gt;0,$M38&lt;$L38),"Đã đạt cap","Không được hoàn"),IF(OR($Q38&lt;$O38,$M38&lt;$L38),"Hoàn một phần","Được hoàn")))))</f>
        <v/>
      </c>
      <c r="AC38" s="43">
        <f>IF(OR($B38="",$D38="",$I38="",$L38=""),0,IF($U38="Cancelled",0,IF($W38&lt;&gt;"",IFERROR(IF(INDEX(CASHBACK_RULES!$B$5:$B$304,MATCH($W38,CASHBACK_RULES!$A$5:$A$304,0))=$D38,MATCH($W38,CASHBACK_RULES!$A$5:$A$304,0),0),0),IFERROR(MATCH(1,INDEX((CASHBACK_RULES!$B$5:$B$304=$D38)*(CASHBACK_RULES!$G$5:$G$304=$I38)*(((CASHBACK_RULES!$N$5:$N$304="")+(CASHBACK_RULES!$N$5:$N$304&lt;=$B38))&gt;0)*(((CASHBACK_RULES!$O$5:$O$304="")+(CASHBACK_RULES!$O$5:$O$304&gt;=$B38))&gt;0)*(((CASHBACK_RULES!$M$5:$M$304="")+(CASHBACK_RULES!$M$5:$M$304&lt;=$L38))&gt;0),0),0),0))))</f>
        <v>0</v>
      </c>
      <c r="AD38" s="51" t="str">
        <f>IF(OR($B38="",$D38=""),"",IFERROR(IF(INDEX(CARDS!$H$5:$H$34,MATCH($D38,CARDS!$A$5:$A$34,0))="","",IF(DAY($B38)&lt;=INDEX(CARDS!$H$5:$H$34,MATCH($D38,CARDS!$A$5:$A$34,0)),DATE(YEAR($B38),MONTH($B38),MIN(INDEX(CARDS!$H$5:$H$34,MATCH($D38,CARDS!$A$5:$A$34,0)),DAY(EOMONTH($B38,0)))),DATE(YEAR($B38),MONTH($B38)+1,MIN(INDEX(CARDS!$H$5:$H$34,MATCH($D38,CARDS!$A$5:$A$34,0)),DAY(EOMONTH($B38,1)))))),""))</f>
        <v/>
      </c>
      <c r="AE38" s="52" t="str">
        <f>IF($C38="","",$C38&amp;"|"&amp;COUNTIF($C$5:$C38,$C38))</f>
        <v/>
      </c>
      <c r="AF38" s="53">
        <f>IF($AC38&gt;0,SUMIFS(Q$4:Q37,$D$4:$D37,$D38,$Z$4:$Z37,$Z38,$C$4:$C37,$C38),0)</f>
        <v>0</v>
      </c>
      <c r="AG38" s="53">
        <f>IF($AC38&gt;0,SUMIFS(Q$4:Q37,$D$4:$D37,$D38,$C$4:$C37,$C38),0)</f>
        <v>0</v>
      </c>
      <c r="AH38" s="53">
        <f>IF($AC38&gt;0,SUMIFS(M$4:M37,$D$4:$D37,$D38,$Z$4:$Z37,$Z38,$C$4:$C37,$C38),0)</f>
        <v>0</v>
      </c>
      <c r="AI38" s="43">
        <f>IF(OR($C38="",$I38=""),0,IF(COUNTIFS($C$5:$C38,$C38,$I$5:$I38,$I38)=1,1,0))</f>
        <v>0</v>
      </c>
      <c r="AJ38" s="43" t="str">
        <f>IF($AI38=1,SUMIFS($AI$4:$AI37,$C$4:$C37,$C38)+1,"")</f>
        <v/>
      </c>
      <c r="AK38" s="43">
        <f>IF(OR($C38="",$K38=""),0,IF(COUNTIFS($C$5:$C38,$C38,$K$5:$K38,$K38)=1,1,0))</f>
        <v>0</v>
      </c>
      <c r="AL38" s="43" t="str">
        <f>IF($AK38=1,SUMIFS($AK$4:$AK37,$C$4:$C37,$C38)+1,"")</f>
        <v/>
      </c>
      <c r="AM38" s="43">
        <f>IF(OR($C38="",$G38=""),0,IF(COUNTIFS($C$5:$C38,$C38,$G$5:$G38,$G38)=1,1,0))</f>
        <v>0</v>
      </c>
      <c r="AN38" s="43" t="str">
        <f>IF($AM38=1,SUMIFS($AM$4:$AM37,$C$4:$C37,$C38)+1,"")</f>
        <v/>
      </c>
    </row>
    <row r="39">
      <c r="A39" s="44" t="str">
        <f>IF(OR($B39="",$D39=""),"","TX"&amp;TEXT(ROW()-4,"0000"))</f>
        <v/>
      </c>
      <c r="B39" s="42" t="n"/>
      <c r="C39" s="47" t="str">
        <f>IF($B39="","",YEAR($B39)*100+MONTH($B39))</f>
        <v/>
      </c>
      <c r="D39" s="37" t="n"/>
      <c r="E39" s="45" t="str">
        <f>IF($D39="","",IFERROR(INDEX(CARDS!$B$5:$B$34,MATCH($D39,CARDS!$A$5:$A$34,0)),"⚠ Card ID?"))</f>
        <v/>
      </c>
      <c r="F39" s="45" t="str">
        <f>IF($D39="","",IFERROR(INDEX(CARDS!$C$5:$C$34,MATCH($D39,CARDS!$A$5:$A$34,0)),"⚠ Card ID?"))</f>
        <v/>
      </c>
      <c r="G39" s="37" t="n"/>
      <c r="H39" s="37" t="n"/>
      <c r="I39" s="41" t="n"/>
      <c r="J39" s="45" t="str">
        <f>IF($I39="","",IFERROR(INDEX(MCC_MASTER!$B$5:$B$504,MATCH($I39,MCC_MASTER!$A$5:$A$504,0)),"⚠ MCC chưa có"))</f>
        <v/>
      </c>
      <c r="K39" s="45" t="str">
        <f>IF($I39="","",IFERROR(IF(INDEX(MCC_MASTER!$C$5:$C$504,MATCH($I39,MCC_MASTER!$A$5:$A$504,0))="","Chưa phân loại",INDEX(MCC_MASTER!$C$5:$C$504,MATCH($I39,MCC_MASTER!$A$5:$A$504,0))),"Chưa phân loại"))</f>
        <v/>
      </c>
      <c r="L39" s="40" t="n"/>
      <c r="M39" s="48" t="str">
        <f>IF(OR($B39="",$D39=""),"",IF($AC39=0,0,IF(ISNUMBER(INDEX(CASHBACK_RULES!$L$5:$L$304,$AC39)),MAX(0,MIN($L39,INDEX(CASHBACK_RULES!$L$5:$L$304,$AC39)-$AH39)),MAX(0,$L39))))</f>
        <v/>
      </c>
      <c r="N39" s="49" t="str">
        <f>IF(OR($B39="",$D39=""),"",IF($AC39&gt;0,INDEX(CASHBACK_RULES!$I$5:$I$304,$AC39),0))</f>
        <v/>
      </c>
      <c r="O39" s="48" t="str">
        <f>IF(OR($B39="",$D39=""),"",ROUND($M39*$N39,0))</f>
        <v/>
      </c>
      <c r="P39" s="48" t="str">
        <f>IF($AC39&gt;0,IF(ISNUMBER(INDEX(CASHBACK_RULES!$J$5:$J$304,$AC39)),INDEX(CASHBACK_RULES!$J$5:$J$304,$AC39),"∞"),"")</f>
        <v/>
      </c>
      <c r="Q39" s="48" t="str">
        <f>IF(OR($B39="",$D39=""),"",IF($AC39=0,0,MAX(0,MIN($O39,IF(ISNUMBER($P39),$P39-$AF39,1E+15),IF(ISNUMBER($AA39),$AA39-$AG39,1E+15)))))</f>
        <v/>
      </c>
      <c r="R39" s="48" t="str">
        <f>IF(OR($B39="",$D39=""),"",IF($AC39=0,"",IF(AND(NOT(ISNUMBER($P39)),NOT(ISNUMBER($AA39))),"∞",MAX(0,MIN(IF(ISNUMBER($P39),$P39-$AF39-$Q39,1E+15),IF(ISNUMBER($AA39),$AA39-$AG39-$Q39,1E+15))))))</f>
        <v/>
      </c>
      <c r="S39" s="47" t="str">
        <f>IF($AD39="","",YEAR($AD39)*100+MONTH($AD39))</f>
        <v/>
      </c>
      <c r="T39" s="50" t="str">
        <f>IF($AD39="","",IFERROR(IF(INDEX(CARDS!$I$5:$I$34,MATCH($D39,CARDS!$A$5:$A$34,0))="","",IF(INDEX(CARDS!$I$5:$I$34,MATCH($D39,CARDS!$A$5:$A$34,0))&gt;INDEX(CARDS!$H$5:$H$34,MATCH($D39,CARDS!$A$5:$A$34,0)),DATE(YEAR($AD39),MONTH($AD39),MIN(INDEX(CARDS!$I$5:$I$34,MATCH($D39,CARDS!$A$5:$A$34,0)),DAY(EOMONTH($AD39,0)))),DATE(YEAR($AD39),MONTH($AD39)+1,MIN(INDEX(CARDS!$I$5:$I$34,MATCH($D39,CARDS!$A$5:$A$34,0)),DAY(EOMONTH($AD39,1)))))),""))</f>
        <v/>
      </c>
      <c r="U39" s="38" t="n"/>
      <c r="V39" s="37" t="n"/>
      <c r="W39" s="38" t="n"/>
      <c r="X39" s="38" t="n"/>
      <c r="Y39" s="44" t="str">
        <f>IF($AC39&gt;0,INDEX(CASHBACK_RULES!$A$5:$A$304,$AC39),"")</f>
        <v/>
      </c>
      <c r="Z39" s="45" t="str">
        <f>IF($AC39&gt;0,INDEX(CASHBACK_RULES!$E$5:$E$304,$AC39)&amp;"","")</f>
        <v/>
      </c>
      <c r="AA39" s="48" t="str">
        <f>IF($AC39&gt;0,IF(ISNUMBER(INDEX(CASHBACK_RULES!$K$5:$K$304,$AC39)),INDEX(CASHBACK_RULES!$K$5:$K$304,$AC39),"∞"),"")</f>
        <v/>
      </c>
      <c r="AB39" s="44" t="str">
        <f>IF(OR($B39="",$D39=""),"",IF($U39="Cancelled","Đã hủy",IF($AC39=0,"Không được hoàn",IF($Q39=0,IF(OR($O39&gt;0,$M39&lt;$L39),"Đã đạt cap","Không được hoàn"),IF(OR($Q39&lt;$O39,$M39&lt;$L39),"Hoàn một phần","Được hoàn")))))</f>
        <v/>
      </c>
      <c r="AC39" s="43">
        <f>IF(OR($B39="",$D39="",$I39="",$L39=""),0,IF($U39="Cancelled",0,IF($W39&lt;&gt;"",IFERROR(IF(INDEX(CASHBACK_RULES!$B$5:$B$304,MATCH($W39,CASHBACK_RULES!$A$5:$A$304,0))=$D39,MATCH($W39,CASHBACK_RULES!$A$5:$A$304,0),0),0),IFERROR(MATCH(1,INDEX((CASHBACK_RULES!$B$5:$B$304=$D39)*(CASHBACK_RULES!$G$5:$G$304=$I39)*(((CASHBACK_RULES!$N$5:$N$304="")+(CASHBACK_RULES!$N$5:$N$304&lt;=$B39))&gt;0)*(((CASHBACK_RULES!$O$5:$O$304="")+(CASHBACK_RULES!$O$5:$O$304&gt;=$B39))&gt;0)*(((CASHBACK_RULES!$M$5:$M$304="")+(CASHBACK_RULES!$M$5:$M$304&lt;=$L39))&gt;0),0),0),0))))</f>
        <v>0</v>
      </c>
      <c r="AD39" s="51" t="str">
        <f>IF(OR($B39="",$D39=""),"",IFERROR(IF(INDEX(CARDS!$H$5:$H$34,MATCH($D39,CARDS!$A$5:$A$34,0))="","",IF(DAY($B39)&lt;=INDEX(CARDS!$H$5:$H$34,MATCH($D39,CARDS!$A$5:$A$34,0)),DATE(YEAR($B39),MONTH($B39),MIN(INDEX(CARDS!$H$5:$H$34,MATCH($D39,CARDS!$A$5:$A$34,0)),DAY(EOMONTH($B39,0)))),DATE(YEAR($B39),MONTH($B39)+1,MIN(INDEX(CARDS!$H$5:$H$34,MATCH($D39,CARDS!$A$5:$A$34,0)),DAY(EOMONTH($B39,1)))))),""))</f>
        <v/>
      </c>
      <c r="AE39" s="52" t="str">
        <f>IF($C39="","",$C39&amp;"|"&amp;COUNTIF($C$5:$C39,$C39))</f>
        <v/>
      </c>
      <c r="AF39" s="53">
        <f>IF($AC39&gt;0,SUMIFS(Q$4:Q38,$D$4:$D38,$D39,$Z$4:$Z38,$Z39,$C$4:$C38,$C39),0)</f>
        <v>0</v>
      </c>
      <c r="AG39" s="53">
        <f>IF($AC39&gt;0,SUMIFS(Q$4:Q38,$D$4:$D38,$D39,$C$4:$C38,$C39),0)</f>
        <v>0</v>
      </c>
      <c r="AH39" s="53">
        <f>IF($AC39&gt;0,SUMIFS(M$4:M38,$D$4:$D38,$D39,$Z$4:$Z38,$Z39,$C$4:$C38,$C39),0)</f>
        <v>0</v>
      </c>
      <c r="AI39" s="43">
        <f>IF(OR($C39="",$I39=""),0,IF(COUNTIFS($C$5:$C39,$C39,$I$5:$I39,$I39)=1,1,0))</f>
        <v>0</v>
      </c>
      <c r="AJ39" s="43" t="str">
        <f>IF($AI39=1,SUMIFS($AI$4:$AI38,$C$4:$C38,$C39)+1,"")</f>
        <v/>
      </c>
      <c r="AK39" s="43">
        <f>IF(OR($C39="",$K39=""),0,IF(COUNTIFS($C$5:$C39,$C39,$K$5:$K39,$K39)=1,1,0))</f>
        <v>0</v>
      </c>
      <c r="AL39" s="43" t="str">
        <f>IF($AK39=1,SUMIFS($AK$4:$AK38,$C$4:$C38,$C39)+1,"")</f>
        <v/>
      </c>
      <c r="AM39" s="43">
        <f>IF(OR($C39="",$G39=""),0,IF(COUNTIFS($C$5:$C39,$C39,$G$5:$G39,$G39)=1,1,0))</f>
        <v>0</v>
      </c>
      <c r="AN39" s="43" t="str">
        <f>IF($AM39=1,SUMIFS($AM$4:$AM38,$C$4:$C38,$C39)+1,"")</f>
        <v/>
      </c>
    </row>
    <row r="40">
      <c r="A40" s="44" t="str">
        <f>IF(OR($B40="",$D40=""),"","TX"&amp;TEXT(ROW()-4,"0000"))</f>
        <v/>
      </c>
      <c r="B40" s="42" t="n"/>
      <c r="C40" s="47" t="str">
        <f>IF($B40="","",YEAR($B40)*100+MONTH($B40))</f>
        <v/>
      </c>
      <c r="D40" s="37" t="n"/>
      <c r="E40" s="45" t="str">
        <f>IF($D40="","",IFERROR(INDEX(CARDS!$B$5:$B$34,MATCH($D40,CARDS!$A$5:$A$34,0)),"⚠ Card ID?"))</f>
        <v/>
      </c>
      <c r="F40" s="45" t="str">
        <f>IF($D40="","",IFERROR(INDEX(CARDS!$C$5:$C$34,MATCH($D40,CARDS!$A$5:$A$34,0)),"⚠ Card ID?"))</f>
        <v/>
      </c>
      <c r="G40" s="37" t="n"/>
      <c r="H40" s="37" t="n"/>
      <c r="I40" s="41" t="n"/>
      <c r="J40" s="45" t="str">
        <f>IF($I40="","",IFERROR(INDEX(MCC_MASTER!$B$5:$B$504,MATCH($I40,MCC_MASTER!$A$5:$A$504,0)),"⚠ MCC chưa có"))</f>
        <v/>
      </c>
      <c r="K40" s="45" t="str">
        <f>IF($I40="","",IFERROR(IF(INDEX(MCC_MASTER!$C$5:$C$504,MATCH($I40,MCC_MASTER!$A$5:$A$504,0))="","Chưa phân loại",INDEX(MCC_MASTER!$C$5:$C$504,MATCH($I40,MCC_MASTER!$A$5:$A$504,0))),"Chưa phân loại"))</f>
        <v/>
      </c>
      <c r="L40" s="40" t="n"/>
      <c r="M40" s="48" t="str">
        <f>IF(OR($B40="",$D40=""),"",IF($AC40=0,0,IF(ISNUMBER(INDEX(CASHBACK_RULES!$L$5:$L$304,$AC40)),MAX(0,MIN($L40,INDEX(CASHBACK_RULES!$L$5:$L$304,$AC40)-$AH40)),MAX(0,$L40))))</f>
        <v/>
      </c>
      <c r="N40" s="49" t="str">
        <f>IF(OR($B40="",$D40=""),"",IF($AC40&gt;0,INDEX(CASHBACK_RULES!$I$5:$I$304,$AC40),0))</f>
        <v/>
      </c>
      <c r="O40" s="48" t="str">
        <f>IF(OR($B40="",$D40=""),"",ROUND($M40*$N40,0))</f>
        <v/>
      </c>
      <c r="P40" s="48" t="str">
        <f>IF($AC40&gt;0,IF(ISNUMBER(INDEX(CASHBACK_RULES!$J$5:$J$304,$AC40)),INDEX(CASHBACK_RULES!$J$5:$J$304,$AC40),"∞"),"")</f>
        <v/>
      </c>
      <c r="Q40" s="48" t="str">
        <f>IF(OR($B40="",$D40=""),"",IF($AC40=0,0,MAX(0,MIN($O40,IF(ISNUMBER($P40),$P40-$AF40,1E+15),IF(ISNUMBER($AA40),$AA40-$AG40,1E+15)))))</f>
        <v/>
      </c>
      <c r="R40" s="48" t="str">
        <f>IF(OR($B40="",$D40=""),"",IF($AC40=0,"",IF(AND(NOT(ISNUMBER($P40)),NOT(ISNUMBER($AA40))),"∞",MAX(0,MIN(IF(ISNUMBER($P40),$P40-$AF40-$Q40,1E+15),IF(ISNUMBER($AA40),$AA40-$AG40-$Q40,1E+15))))))</f>
        <v/>
      </c>
      <c r="S40" s="47" t="str">
        <f>IF($AD40="","",YEAR($AD40)*100+MONTH($AD40))</f>
        <v/>
      </c>
      <c r="T40" s="50" t="str">
        <f>IF($AD40="","",IFERROR(IF(INDEX(CARDS!$I$5:$I$34,MATCH($D40,CARDS!$A$5:$A$34,0))="","",IF(INDEX(CARDS!$I$5:$I$34,MATCH($D40,CARDS!$A$5:$A$34,0))&gt;INDEX(CARDS!$H$5:$H$34,MATCH($D40,CARDS!$A$5:$A$34,0)),DATE(YEAR($AD40),MONTH($AD40),MIN(INDEX(CARDS!$I$5:$I$34,MATCH($D40,CARDS!$A$5:$A$34,0)),DAY(EOMONTH($AD40,0)))),DATE(YEAR($AD40),MONTH($AD40)+1,MIN(INDEX(CARDS!$I$5:$I$34,MATCH($D40,CARDS!$A$5:$A$34,0)),DAY(EOMONTH($AD40,1)))))),""))</f>
        <v/>
      </c>
      <c r="U40" s="38" t="n"/>
      <c r="V40" s="37" t="n"/>
      <c r="W40" s="38" t="n"/>
      <c r="X40" s="38" t="n"/>
      <c r="Y40" s="44" t="str">
        <f>IF($AC40&gt;0,INDEX(CASHBACK_RULES!$A$5:$A$304,$AC40),"")</f>
        <v/>
      </c>
      <c r="Z40" s="45" t="str">
        <f>IF($AC40&gt;0,INDEX(CASHBACK_RULES!$E$5:$E$304,$AC40)&amp;"","")</f>
        <v/>
      </c>
      <c r="AA40" s="48" t="str">
        <f>IF($AC40&gt;0,IF(ISNUMBER(INDEX(CASHBACK_RULES!$K$5:$K$304,$AC40)),INDEX(CASHBACK_RULES!$K$5:$K$304,$AC40),"∞"),"")</f>
        <v/>
      </c>
      <c r="AB40" s="44" t="str">
        <f>IF(OR($B40="",$D40=""),"",IF($U40="Cancelled","Đã hủy",IF($AC40=0,"Không được hoàn",IF($Q40=0,IF(OR($O40&gt;0,$M40&lt;$L40),"Đã đạt cap","Không được hoàn"),IF(OR($Q40&lt;$O40,$M40&lt;$L40),"Hoàn một phần","Được hoàn")))))</f>
        <v/>
      </c>
      <c r="AC40" s="43">
        <f>IF(OR($B40="",$D40="",$I40="",$L40=""),0,IF($U40="Cancelled",0,IF($W40&lt;&gt;"",IFERROR(IF(INDEX(CASHBACK_RULES!$B$5:$B$304,MATCH($W40,CASHBACK_RULES!$A$5:$A$304,0))=$D40,MATCH($W40,CASHBACK_RULES!$A$5:$A$304,0),0),0),IFERROR(MATCH(1,INDEX((CASHBACK_RULES!$B$5:$B$304=$D40)*(CASHBACK_RULES!$G$5:$G$304=$I40)*(((CASHBACK_RULES!$N$5:$N$304="")+(CASHBACK_RULES!$N$5:$N$304&lt;=$B40))&gt;0)*(((CASHBACK_RULES!$O$5:$O$304="")+(CASHBACK_RULES!$O$5:$O$304&gt;=$B40))&gt;0)*(((CASHBACK_RULES!$M$5:$M$304="")+(CASHBACK_RULES!$M$5:$M$304&lt;=$L40))&gt;0),0),0),0))))</f>
        <v>0</v>
      </c>
      <c r="AD40" s="51" t="str">
        <f>IF(OR($B40="",$D40=""),"",IFERROR(IF(INDEX(CARDS!$H$5:$H$34,MATCH($D40,CARDS!$A$5:$A$34,0))="","",IF(DAY($B40)&lt;=INDEX(CARDS!$H$5:$H$34,MATCH($D40,CARDS!$A$5:$A$34,0)),DATE(YEAR($B40),MONTH($B40),MIN(INDEX(CARDS!$H$5:$H$34,MATCH($D40,CARDS!$A$5:$A$34,0)),DAY(EOMONTH($B40,0)))),DATE(YEAR($B40),MONTH($B40)+1,MIN(INDEX(CARDS!$H$5:$H$34,MATCH($D40,CARDS!$A$5:$A$34,0)),DAY(EOMONTH($B40,1)))))),""))</f>
        <v/>
      </c>
      <c r="AE40" s="52" t="str">
        <f>IF($C40="","",$C40&amp;"|"&amp;COUNTIF($C$5:$C40,$C40))</f>
        <v/>
      </c>
      <c r="AF40" s="53">
        <f>IF($AC40&gt;0,SUMIFS(Q$4:Q39,$D$4:$D39,$D40,$Z$4:$Z39,$Z40,$C$4:$C39,$C40),0)</f>
        <v>0</v>
      </c>
      <c r="AG40" s="53">
        <f>IF($AC40&gt;0,SUMIFS(Q$4:Q39,$D$4:$D39,$D40,$C$4:$C39,$C40),0)</f>
        <v>0</v>
      </c>
      <c r="AH40" s="53">
        <f>IF($AC40&gt;0,SUMIFS(M$4:M39,$D$4:$D39,$D40,$Z$4:$Z39,$Z40,$C$4:$C39,$C40),0)</f>
        <v>0</v>
      </c>
      <c r="AI40" s="43">
        <f>IF(OR($C40="",$I40=""),0,IF(COUNTIFS($C$5:$C40,$C40,$I$5:$I40,$I40)=1,1,0))</f>
        <v>0</v>
      </c>
      <c r="AJ40" s="43" t="str">
        <f>IF($AI40=1,SUMIFS($AI$4:$AI39,$C$4:$C39,$C40)+1,"")</f>
        <v/>
      </c>
      <c r="AK40" s="43">
        <f>IF(OR($C40="",$K40=""),0,IF(COUNTIFS($C$5:$C40,$C40,$K$5:$K40,$K40)=1,1,0))</f>
        <v>0</v>
      </c>
      <c r="AL40" s="43" t="str">
        <f>IF($AK40=1,SUMIFS($AK$4:$AK39,$C$4:$C39,$C40)+1,"")</f>
        <v/>
      </c>
      <c r="AM40" s="43">
        <f>IF(OR($C40="",$G40=""),0,IF(COUNTIFS($C$5:$C40,$C40,$G$5:$G40,$G40)=1,1,0))</f>
        <v>0</v>
      </c>
      <c r="AN40" s="43" t="str">
        <f>IF($AM40=1,SUMIFS($AM$4:$AM39,$C$4:$C39,$C40)+1,"")</f>
        <v/>
      </c>
    </row>
    <row r="41">
      <c r="A41" s="44" t="str">
        <f>IF(OR($B41="",$D41=""),"","TX"&amp;TEXT(ROW()-4,"0000"))</f>
        <v/>
      </c>
      <c r="B41" s="42" t="n"/>
      <c r="C41" s="47" t="str">
        <f>IF($B41="","",YEAR($B41)*100+MONTH($B41))</f>
        <v/>
      </c>
      <c r="D41" s="37" t="n"/>
      <c r="E41" s="45" t="str">
        <f>IF($D41="","",IFERROR(INDEX(CARDS!$B$5:$B$34,MATCH($D41,CARDS!$A$5:$A$34,0)),"⚠ Card ID?"))</f>
        <v/>
      </c>
      <c r="F41" s="45" t="str">
        <f>IF($D41="","",IFERROR(INDEX(CARDS!$C$5:$C$34,MATCH($D41,CARDS!$A$5:$A$34,0)),"⚠ Card ID?"))</f>
        <v/>
      </c>
      <c r="G41" s="37" t="n"/>
      <c r="H41" s="37" t="n"/>
      <c r="I41" s="41" t="n"/>
      <c r="J41" s="45" t="str">
        <f>IF($I41="","",IFERROR(INDEX(MCC_MASTER!$B$5:$B$504,MATCH($I41,MCC_MASTER!$A$5:$A$504,0)),"⚠ MCC chưa có"))</f>
        <v/>
      </c>
      <c r="K41" s="45" t="str">
        <f>IF($I41="","",IFERROR(IF(INDEX(MCC_MASTER!$C$5:$C$504,MATCH($I41,MCC_MASTER!$A$5:$A$504,0))="","Chưa phân loại",INDEX(MCC_MASTER!$C$5:$C$504,MATCH($I41,MCC_MASTER!$A$5:$A$504,0))),"Chưa phân loại"))</f>
        <v/>
      </c>
      <c r="L41" s="40" t="n"/>
      <c r="M41" s="48" t="str">
        <f>IF(OR($B41="",$D41=""),"",IF($AC41=0,0,IF(ISNUMBER(INDEX(CASHBACK_RULES!$L$5:$L$304,$AC41)),MAX(0,MIN($L41,INDEX(CASHBACK_RULES!$L$5:$L$304,$AC41)-$AH41)),MAX(0,$L41))))</f>
        <v/>
      </c>
      <c r="N41" s="49" t="str">
        <f>IF(OR($B41="",$D41=""),"",IF($AC41&gt;0,INDEX(CASHBACK_RULES!$I$5:$I$304,$AC41),0))</f>
        <v/>
      </c>
      <c r="O41" s="48" t="str">
        <f>IF(OR($B41="",$D41=""),"",ROUND($M41*$N41,0))</f>
        <v/>
      </c>
      <c r="P41" s="48" t="str">
        <f>IF($AC41&gt;0,IF(ISNUMBER(INDEX(CASHBACK_RULES!$J$5:$J$304,$AC41)),INDEX(CASHBACK_RULES!$J$5:$J$304,$AC41),"∞"),"")</f>
        <v/>
      </c>
      <c r="Q41" s="48" t="str">
        <f>IF(OR($B41="",$D41=""),"",IF($AC41=0,0,MAX(0,MIN($O41,IF(ISNUMBER($P41),$P41-$AF41,1E+15),IF(ISNUMBER($AA41),$AA41-$AG41,1E+15)))))</f>
        <v/>
      </c>
      <c r="R41" s="48" t="str">
        <f>IF(OR($B41="",$D41=""),"",IF($AC41=0,"",IF(AND(NOT(ISNUMBER($P41)),NOT(ISNUMBER($AA41))),"∞",MAX(0,MIN(IF(ISNUMBER($P41),$P41-$AF41-$Q41,1E+15),IF(ISNUMBER($AA41),$AA41-$AG41-$Q41,1E+15))))))</f>
        <v/>
      </c>
      <c r="S41" s="47" t="str">
        <f>IF($AD41="","",YEAR($AD41)*100+MONTH($AD41))</f>
        <v/>
      </c>
      <c r="T41" s="50" t="str">
        <f>IF($AD41="","",IFERROR(IF(INDEX(CARDS!$I$5:$I$34,MATCH($D41,CARDS!$A$5:$A$34,0))="","",IF(INDEX(CARDS!$I$5:$I$34,MATCH($D41,CARDS!$A$5:$A$34,0))&gt;INDEX(CARDS!$H$5:$H$34,MATCH($D41,CARDS!$A$5:$A$34,0)),DATE(YEAR($AD41),MONTH($AD41),MIN(INDEX(CARDS!$I$5:$I$34,MATCH($D41,CARDS!$A$5:$A$34,0)),DAY(EOMONTH($AD41,0)))),DATE(YEAR($AD41),MONTH($AD41)+1,MIN(INDEX(CARDS!$I$5:$I$34,MATCH($D41,CARDS!$A$5:$A$34,0)),DAY(EOMONTH($AD41,1)))))),""))</f>
        <v/>
      </c>
      <c r="U41" s="38" t="n"/>
      <c r="V41" s="37" t="n"/>
      <c r="W41" s="38" t="n"/>
      <c r="X41" s="38" t="n"/>
      <c r="Y41" s="44" t="str">
        <f>IF($AC41&gt;0,INDEX(CASHBACK_RULES!$A$5:$A$304,$AC41),"")</f>
        <v/>
      </c>
      <c r="Z41" s="45" t="str">
        <f>IF($AC41&gt;0,INDEX(CASHBACK_RULES!$E$5:$E$304,$AC41)&amp;"","")</f>
        <v/>
      </c>
      <c r="AA41" s="48" t="str">
        <f>IF($AC41&gt;0,IF(ISNUMBER(INDEX(CASHBACK_RULES!$K$5:$K$304,$AC41)),INDEX(CASHBACK_RULES!$K$5:$K$304,$AC41),"∞"),"")</f>
        <v/>
      </c>
      <c r="AB41" s="44" t="str">
        <f>IF(OR($B41="",$D41=""),"",IF($U41="Cancelled","Đã hủy",IF($AC41=0,"Không được hoàn",IF($Q41=0,IF(OR($O41&gt;0,$M41&lt;$L41),"Đã đạt cap","Không được hoàn"),IF(OR($Q41&lt;$O41,$M41&lt;$L41),"Hoàn một phần","Được hoàn")))))</f>
        <v/>
      </c>
      <c r="AC41" s="43">
        <f>IF(OR($B41="",$D41="",$I41="",$L41=""),0,IF($U41="Cancelled",0,IF($W41&lt;&gt;"",IFERROR(IF(INDEX(CASHBACK_RULES!$B$5:$B$304,MATCH($W41,CASHBACK_RULES!$A$5:$A$304,0))=$D41,MATCH($W41,CASHBACK_RULES!$A$5:$A$304,0),0),0),IFERROR(MATCH(1,INDEX((CASHBACK_RULES!$B$5:$B$304=$D41)*(CASHBACK_RULES!$G$5:$G$304=$I41)*(((CASHBACK_RULES!$N$5:$N$304="")+(CASHBACK_RULES!$N$5:$N$304&lt;=$B41))&gt;0)*(((CASHBACK_RULES!$O$5:$O$304="")+(CASHBACK_RULES!$O$5:$O$304&gt;=$B41))&gt;0)*(((CASHBACK_RULES!$M$5:$M$304="")+(CASHBACK_RULES!$M$5:$M$304&lt;=$L41))&gt;0),0),0),0))))</f>
        <v>0</v>
      </c>
      <c r="AD41" s="51" t="str">
        <f>IF(OR($B41="",$D41=""),"",IFERROR(IF(INDEX(CARDS!$H$5:$H$34,MATCH($D41,CARDS!$A$5:$A$34,0))="","",IF(DAY($B41)&lt;=INDEX(CARDS!$H$5:$H$34,MATCH($D41,CARDS!$A$5:$A$34,0)),DATE(YEAR($B41),MONTH($B41),MIN(INDEX(CARDS!$H$5:$H$34,MATCH($D41,CARDS!$A$5:$A$34,0)),DAY(EOMONTH($B41,0)))),DATE(YEAR($B41),MONTH($B41)+1,MIN(INDEX(CARDS!$H$5:$H$34,MATCH($D41,CARDS!$A$5:$A$34,0)),DAY(EOMONTH($B41,1)))))),""))</f>
        <v/>
      </c>
      <c r="AE41" s="52" t="str">
        <f>IF($C41="","",$C41&amp;"|"&amp;COUNTIF($C$5:$C41,$C41))</f>
        <v/>
      </c>
      <c r="AF41" s="53">
        <f>IF($AC41&gt;0,SUMIFS(Q$4:Q40,$D$4:$D40,$D41,$Z$4:$Z40,$Z41,$C$4:$C40,$C41),0)</f>
        <v>0</v>
      </c>
      <c r="AG41" s="53">
        <f>IF($AC41&gt;0,SUMIFS(Q$4:Q40,$D$4:$D40,$D41,$C$4:$C40,$C41),0)</f>
        <v>0</v>
      </c>
      <c r="AH41" s="53">
        <f>IF($AC41&gt;0,SUMIFS(M$4:M40,$D$4:$D40,$D41,$Z$4:$Z40,$Z41,$C$4:$C40,$C41),0)</f>
        <v>0</v>
      </c>
      <c r="AI41" s="43">
        <f>IF(OR($C41="",$I41=""),0,IF(COUNTIFS($C$5:$C41,$C41,$I$5:$I41,$I41)=1,1,0))</f>
        <v>0</v>
      </c>
      <c r="AJ41" s="43" t="str">
        <f>IF($AI41=1,SUMIFS($AI$4:$AI40,$C$4:$C40,$C41)+1,"")</f>
        <v/>
      </c>
      <c r="AK41" s="43">
        <f>IF(OR($C41="",$K41=""),0,IF(COUNTIFS($C$5:$C41,$C41,$K$5:$K41,$K41)=1,1,0))</f>
        <v>0</v>
      </c>
      <c r="AL41" s="43" t="str">
        <f>IF($AK41=1,SUMIFS($AK$4:$AK40,$C$4:$C40,$C41)+1,"")</f>
        <v/>
      </c>
      <c r="AM41" s="43">
        <f>IF(OR($C41="",$G41=""),0,IF(COUNTIFS($C$5:$C41,$C41,$G$5:$G41,$G41)=1,1,0))</f>
        <v>0</v>
      </c>
      <c r="AN41" s="43" t="str">
        <f>IF($AM41=1,SUMIFS($AM$4:$AM40,$C$4:$C40,$C41)+1,"")</f>
        <v/>
      </c>
    </row>
    <row r="42">
      <c r="A42" s="44" t="str">
        <f>IF(OR($B42="",$D42=""),"","TX"&amp;TEXT(ROW()-4,"0000"))</f>
        <v/>
      </c>
      <c r="B42" s="42" t="n"/>
      <c r="C42" s="47" t="str">
        <f>IF($B42="","",YEAR($B42)*100+MONTH($B42))</f>
        <v/>
      </c>
      <c r="D42" s="37" t="n"/>
      <c r="E42" s="45" t="str">
        <f>IF($D42="","",IFERROR(INDEX(CARDS!$B$5:$B$34,MATCH($D42,CARDS!$A$5:$A$34,0)),"⚠ Card ID?"))</f>
        <v/>
      </c>
      <c r="F42" s="45" t="str">
        <f>IF($D42="","",IFERROR(INDEX(CARDS!$C$5:$C$34,MATCH($D42,CARDS!$A$5:$A$34,0)),"⚠ Card ID?"))</f>
        <v/>
      </c>
      <c r="G42" s="37" t="n"/>
      <c r="H42" s="37" t="n"/>
      <c r="I42" s="41" t="n"/>
      <c r="J42" s="45" t="str">
        <f>IF($I42="","",IFERROR(INDEX(MCC_MASTER!$B$5:$B$504,MATCH($I42,MCC_MASTER!$A$5:$A$504,0)),"⚠ MCC chưa có"))</f>
        <v/>
      </c>
      <c r="K42" s="45" t="str">
        <f>IF($I42="","",IFERROR(IF(INDEX(MCC_MASTER!$C$5:$C$504,MATCH($I42,MCC_MASTER!$A$5:$A$504,0))="","Chưa phân loại",INDEX(MCC_MASTER!$C$5:$C$504,MATCH($I42,MCC_MASTER!$A$5:$A$504,0))),"Chưa phân loại"))</f>
        <v/>
      </c>
      <c r="L42" s="40" t="n"/>
      <c r="M42" s="48" t="str">
        <f>IF(OR($B42="",$D42=""),"",IF($AC42=0,0,IF(ISNUMBER(INDEX(CASHBACK_RULES!$L$5:$L$304,$AC42)),MAX(0,MIN($L42,INDEX(CASHBACK_RULES!$L$5:$L$304,$AC42)-$AH42)),MAX(0,$L42))))</f>
        <v/>
      </c>
      <c r="N42" s="49" t="str">
        <f>IF(OR($B42="",$D42=""),"",IF($AC42&gt;0,INDEX(CASHBACK_RULES!$I$5:$I$304,$AC42),0))</f>
        <v/>
      </c>
      <c r="O42" s="48" t="str">
        <f>IF(OR($B42="",$D42=""),"",ROUND($M42*$N42,0))</f>
        <v/>
      </c>
      <c r="P42" s="48" t="str">
        <f>IF($AC42&gt;0,IF(ISNUMBER(INDEX(CASHBACK_RULES!$J$5:$J$304,$AC42)),INDEX(CASHBACK_RULES!$J$5:$J$304,$AC42),"∞"),"")</f>
        <v/>
      </c>
      <c r="Q42" s="48" t="str">
        <f>IF(OR($B42="",$D42=""),"",IF($AC42=0,0,MAX(0,MIN($O42,IF(ISNUMBER($P42),$P42-$AF42,1E+15),IF(ISNUMBER($AA42),$AA42-$AG42,1E+15)))))</f>
        <v/>
      </c>
      <c r="R42" s="48" t="str">
        <f>IF(OR($B42="",$D42=""),"",IF($AC42=0,"",IF(AND(NOT(ISNUMBER($P42)),NOT(ISNUMBER($AA42))),"∞",MAX(0,MIN(IF(ISNUMBER($P42),$P42-$AF42-$Q42,1E+15),IF(ISNUMBER($AA42),$AA42-$AG42-$Q42,1E+15))))))</f>
        <v/>
      </c>
      <c r="S42" s="47" t="str">
        <f>IF($AD42="","",YEAR($AD42)*100+MONTH($AD42))</f>
        <v/>
      </c>
      <c r="T42" s="50" t="str">
        <f>IF($AD42="","",IFERROR(IF(INDEX(CARDS!$I$5:$I$34,MATCH($D42,CARDS!$A$5:$A$34,0))="","",IF(INDEX(CARDS!$I$5:$I$34,MATCH($D42,CARDS!$A$5:$A$34,0))&gt;INDEX(CARDS!$H$5:$H$34,MATCH($D42,CARDS!$A$5:$A$34,0)),DATE(YEAR($AD42),MONTH($AD42),MIN(INDEX(CARDS!$I$5:$I$34,MATCH($D42,CARDS!$A$5:$A$34,0)),DAY(EOMONTH($AD42,0)))),DATE(YEAR($AD42),MONTH($AD42)+1,MIN(INDEX(CARDS!$I$5:$I$34,MATCH($D42,CARDS!$A$5:$A$34,0)),DAY(EOMONTH($AD42,1)))))),""))</f>
        <v/>
      </c>
      <c r="U42" s="38" t="n"/>
      <c r="V42" s="37" t="n"/>
      <c r="W42" s="38" t="n"/>
      <c r="X42" s="38" t="n"/>
      <c r="Y42" s="44" t="str">
        <f>IF($AC42&gt;0,INDEX(CASHBACK_RULES!$A$5:$A$304,$AC42),"")</f>
        <v/>
      </c>
      <c r="Z42" s="45" t="str">
        <f>IF($AC42&gt;0,INDEX(CASHBACK_RULES!$E$5:$E$304,$AC42)&amp;"","")</f>
        <v/>
      </c>
      <c r="AA42" s="48" t="str">
        <f>IF($AC42&gt;0,IF(ISNUMBER(INDEX(CASHBACK_RULES!$K$5:$K$304,$AC42)),INDEX(CASHBACK_RULES!$K$5:$K$304,$AC42),"∞"),"")</f>
        <v/>
      </c>
      <c r="AB42" s="44" t="str">
        <f>IF(OR($B42="",$D42=""),"",IF($U42="Cancelled","Đã hủy",IF($AC42=0,"Không được hoàn",IF($Q42=0,IF(OR($O42&gt;0,$M42&lt;$L42),"Đã đạt cap","Không được hoàn"),IF(OR($Q42&lt;$O42,$M42&lt;$L42),"Hoàn một phần","Được hoàn")))))</f>
        <v/>
      </c>
      <c r="AC42" s="43">
        <f>IF(OR($B42="",$D42="",$I42="",$L42=""),0,IF($U42="Cancelled",0,IF($W42&lt;&gt;"",IFERROR(IF(INDEX(CASHBACK_RULES!$B$5:$B$304,MATCH($W42,CASHBACK_RULES!$A$5:$A$304,0))=$D42,MATCH($W42,CASHBACK_RULES!$A$5:$A$304,0),0),0),IFERROR(MATCH(1,INDEX((CASHBACK_RULES!$B$5:$B$304=$D42)*(CASHBACK_RULES!$G$5:$G$304=$I42)*(((CASHBACK_RULES!$N$5:$N$304="")+(CASHBACK_RULES!$N$5:$N$304&lt;=$B42))&gt;0)*(((CASHBACK_RULES!$O$5:$O$304="")+(CASHBACK_RULES!$O$5:$O$304&gt;=$B42))&gt;0)*(((CASHBACK_RULES!$M$5:$M$304="")+(CASHBACK_RULES!$M$5:$M$304&lt;=$L42))&gt;0),0),0),0))))</f>
        <v>0</v>
      </c>
      <c r="AD42" s="51" t="str">
        <f>IF(OR($B42="",$D42=""),"",IFERROR(IF(INDEX(CARDS!$H$5:$H$34,MATCH($D42,CARDS!$A$5:$A$34,0))="","",IF(DAY($B42)&lt;=INDEX(CARDS!$H$5:$H$34,MATCH($D42,CARDS!$A$5:$A$34,0)),DATE(YEAR($B42),MONTH($B42),MIN(INDEX(CARDS!$H$5:$H$34,MATCH($D42,CARDS!$A$5:$A$34,0)),DAY(EOMONTH($B42,0)))),DATE(YEAR($B42),MONTH($B42)+1,MIN(INDEX(CARDS!$H$5:$H$34,MATCH($D42,CARDS!$A$5:$A$34,0)),DAY(EOMONTH($B42,1)))))),""))</f>
        <v/>
      </c>
      <c r="AE42" s="52" t="str">
        <f>IF($C42="","",$C42&amp;"|"&amp;COUNTIF($C$5:$C42,$C42))</f>
        <v/>
      </c>
      <c r="AF42" s="53">
        <f>IF($AC42&gt;0,SUMIFS(Q$4:Q41,$D$4:$D41,$D42,$Z$4:$Z41,$Z42,$C$4:$C41,$C42),0)</f>
        <v>0</v>
      </c>
      <c r="AG42" s="53">
        <f>IF($AC42&gt;0,SUMIFS(Q$4:Q41,$D$4:$D41,$D42,$C$4:$C41,$C42),0)</f>
        <v>0</v>
      </c>
      <c r="AH42" s="53">
        <f>IF($AC42&gt;0,SUMIFS(M$4:M41,$D$4:$D41,$D42,$Z$4:$Z41,$Z42,$C$4:$C41,$C42),0)</f>
        <v>0</v>
      </c>
      <c r="AI42" s="43">
        <f>IF(OR($C42="",$I42=""),0,IF(COUNTIFS($C$5:$C42,$C42,$I$5:$I42,$I42)=1,1,0))</f>
        <v>0</v>
      </c>
      <c r="AJ42" s="43" t="str">
        <f>IF($AI42=1,SUMIFS($AI$4:$AI41,$C$4:$C41,$C42)+1,"")</f>
        <v/>
      </c>
      <c r="AK42" s="43">
        <f>IF(OR($C42="",$K42=""),0,IF(COUNTIFS($C$5:$C42,$C42,$K$5:$K42,$K42)=1,1,0))</f>
        <v>0</v>
      </c>
      <c r="AL42" s="43" t="str">
        <f>IF($AK42=1,SUMIFS($AK$4:$AK41,$C$4:$C41,$C42)+1,"")</f>
        <v/>
      </c>
      <c r="AM42" s="43">
        <f>IF(OR($C42="",$G42=""),0,IF(COUNTIFS($C$5:$C42,$C42,$G$5:$G42,$G42)=1,1,0))</f>
        <v>0</v>
      </c>
      <c r="AN42" s="43" t="str">
        <f>IF($AM42=1,SUMIFS($AM$4:$AM41,$C$4:$C41,$C42)+1,"")</f>
        <v/>
      </c>
    </row>
    <row r="43">
      <c r="A43" s="44" t="str">
        <f>IF(OR($B43="",$D43=""),"","TX"&amp;TEXT(ROW()-4,"0000"))</f>
        <v/>
      </c>
      <c r="B43" s="42" t="n"/>
      <c r="C43" s="47" t="str">
        <f>IF($B43="","",YEAR($B43)*100+MONTH($B43))</f>
        <v/>
      </c>
      <c r="D43" s="37" t="n"/>
      <c r="E43" s="45" t="str">
        <f>IF($D43="","",IFERROR(INDEX(CARDS!$B$5:$B$34,MATCH($D43,CARDS!$A$5:$A$34,0)),"⚠ Card ID?"))</f>
        <v/>
      </c>
      <c r="F43" s="45" t="str">
        <f>IF($D43="","",IFERROR(INDEX(CARDS!$C$5:$C$34,MATCH($D43,CARDS!$A$5:$A$34,0)),"⚠ Card ID?"))</f>
        <v/>
      </c>
      <c r="G43" s="37" t="n"/>
      <c r="H43" s="37" t="n"/>
      <c r="I43" s="41" t="n"/>
      <c r="J43" s="45" t="str">
        <f>IF($I43="","",IFERROR(INDEX(MCC_MASTER!$B$5:$B$504,MATCH($I43,MCC_MASTER!$A$5:$A$504,0)),"⚠ MCC chưa có"))</f>
        <v/>
      </c>
      <c r="K43" s="45" t="str">
        <f>IF($I43="","",IFERROR(IF(INDEX(MCC_MASTER!$C$5:$C$504,MATCH($I43,MCC_MASTER!$A$5:$A$504,0))="","Chưa phân loại",INDEX(MCC_MASTER!$C$5:$C$504,MATCH($I43,MCC_MASTER!$A$5:$A$504,0))),"Chưa phân loại"))</f>
        <v/>
      </c>
      <c r="L43" s="40" t="n"/>
      <c r="M43" s="48" t="str">
        <f>IF(OR($B43="",$D43=""),"",IF($AC43=0,0,IF(ISNUMBER(INDEX(CASHBACK_RULES!$L$5:$L$304,$AC43)),MAX(0,MIN($L43,INDEX(CASHBACK_RULES!$L$5:$L$304,$AC43)-$AH43)),MAX(0,$L43))))</f>
        <v/>
      </c>
      <c r="N43" s="49" t="str">
        <f>IF(OR($B43="",$D43=""),"",IF($AC43&gt;0,INDEX(CASHBACK_RULES!$I$5:$I$304,$AC43),0))</f>
        <v/>
      </c>
      <c r="O43" s="48" t="str">
        <f>IF(OR($B43="",$D43=""),"",ROUND($M43*$N43,0))</f>
        <v/>
      </c>
      <c r="P43" s="48" t="str">
        <f>IF($AC43&gt;0,IF(ISNUMBER(INDEX(CASHBACK_RULES!$J$5:$J$304,$AC43)),INDEX(CASHBACK_RULES!$J$5:$J$304,$AC43),"∞"),"")</f>
        <v/>
      </c>
      <c r="Q43" s="48" t="str">
        <f>IF(OR($B43="",$D43=""),"",IF($AC43=0,0,MAX(0,MIN($O43,IF(ISNUMBER($P43),$P43-$AF43,1E+15),IF(ISNUMBER($AA43),$AA43-$AG43,1E+15)))))</f>
        <v/>
      </c>
      <c r="R43" s="48" t="str">
        <f>IF(OR($B43="",$D43=""),"",IF($AC43=0,"",IF(AND(NOT(ISNUMBER($P43)),NOT(ISNUMBER($AA43))),"∞",MAX(0,MIN(IF(ISNUMBER($P43),$P43-$AF43-$Q43,1E+15),IF(ISNUMBER($AA43),$AA43-$AG43-$Q43,1E+15))))))</f>
        <v/>
      </c>
      <c r="S43" s="47" t="str">
        <f>IF($AD43="","",YEAR($AD43)*100+MONTH($AD43))</f>
        <v/>
      </c>
      <c r="T43" s="50" t="str">
        <f>IF($AD43="","",IFERROR(IF(INDEX(CARDS!$I$5:$I$34,MATCH($D43,CARDS!$A$5:$A$34,0))="","",IF(INDEX(CARDS!$I$5:$I$34,MATCH($D43,CARDS!$A$5:$A$34,0))&gt;INDEX(CARDS!$H$5:$H$34,MATCH($D43,CARDS!$A$5:$A$34,0)),DATE(YEAR($AD43),MONTH($AD43),MIN(INDEX(CARDS!$I$5:$I$34,MATCH($D43,CARDS!$A$5:$A$34,0)),DAY(EOMONTH($AD43,0)))),DATE(YEAR($AD43),MONTH($AD43)+1,MIN(INDEX(CARDS!$I$5:$I$34,MATCH($D43,CARDS!$A$5:$A$34,0)),DAY(EOMONTH($AD43,1)))))),""))</f>
        <v/>
      </c>
      <c r="U43" s="38" t="n"/>
      <c r="V43" s="37" t="n"/>
      <c r="W43" s="38" t="n"/>
      <c r="X43" s="38" t="n"/>
      <c r="Y43" s="44" t="str">
        <f>IF($AC43&gt;0,INDEX(CASHBACK_RULES!$A$5:$A$304,$AC43),"")</f>
        <v/>
      </c>
      <c r="Z43" s="45" t="str">
        <f>IF($AC43&gt;0,INDEX(CASHBACK_RULES!$E$5:$E$304,$AC43)&amp;"","")</f>
        <v/>
      </c>
      <c r="AA43" s="48" t="str">
        <f>IF($AC43&gt;0,IF(ISNUMBER(INDEX(CASHBACK_RULES!$K$5:$K$304,$AC43)),INDEX(CASHBACK_RULES!$K$5:$K$304,$AC43),"∞"),"")</f>
        <v/>
      </c>
      <c r="AB43" s="44" t="str">
        <f>IF(OR($B43="",$D43=""),"",IF($U43="Cancelled","Đã hủy",IF($AC43=0,"Không được hoàn",IF($Q43=0,IF(OR($O43&gt;0,$M43&lt;$L43),"Đã đạt cap","Không được hoàn"),IF(OR($Q43&lt;$O43,$M43&lt;$L43),"Hoàn một phần","Được hoàn")))))</f>
        <v/>
      </c>
      <c r="AC43" s="43">
        <f>IF(OR($B43="",$D43="",$I43="",$L43=""),0,IF($U43="Cancelled",0,IF($W43&lt;&gt;"",IFERROR(IF(INDEX(CASHBACK_RULES!$B$5:$B$304,MATCH($W43,CASHBACK_RULES!$A$5:$A$304,0))=$D43,MATCH($W43,CASHBACK_RULES!$A$5:$A$304,0),0),0),IFERROR(MATCH(1,INDEX((CASHBACK_RULES!$B$5:$B$304=$D43)*(CASHBACK_RULES!$G$5:$G$304=$I43)*(((CASHBACK_RULES!$N$5:$N$304="")+(CASHBACK_RULES!$N$5:$N$304&lt;=$B43))&gt;0)*(((CASHBACK_RULES!$O$5:$O$304="")+(CASHBACK_RULES!$O$5:$O$304&gt;=$B43))&gt;0)*(((CASHBACK_RULES!$M$5:$M$304="")+(CASHBACK_RULES!$M$5:$M$304&lt;=$L43))&gt;0),0),0),0))))</f>
        <v>0</v>
      </c>
      <c r="AD43" s="51" t="str">
        <f>IF(OR($B43="",$D43=""),"",IFERROR(IF(INDEX(CARDS!$H$5:$H$34,MATCH($D43,CARDS!$A$5:$A$34,0))="","",IF(DAY($B43)&lt;=INDEX(CARDS!$H$5:$H$34,MATCH($D43,CARDS!$A$5:$A$34,0)),DATE(YEAR($B43),MONTH($B43),MIN(INDEX(CARDS!$H$5:$H$34,MATCH($D43,CARDS!$A$5:$A$34,0)),DAY(EOMONTH($B43,0)))),DATE(YEAR($B43),MONTH($B43)+1,MIN(INDEX(CARDS!$H$5:$H$34,MATCH($D43,CARDS!$A$5:$A$34,0)),DAY(EOMONTH($B43,1)))))),""))</f>
        <v/>
      </c>
      <c r="AE43" s="52" t="str">
        <f>IF($C43="","",$C43&amp;"|"&amp;COUNTIF($C$5:$C43,$C43))</f>
        <v/>
      </c>
      <c r="AF43" s="53">
        <f>IF($AC43&gt;0,SUMIFS(Q$4:Q42,$D$4:$D42,$D43,$Z$4:$Z42,$Z43,$C$4:$C42,$C43),0)</f>
        <v>0</v>
      </c>
      <c r="AG43" s="53">
        <f>IF($AC43&gt;0,SUMIFS(Q$4:Q42,$D$4:$D42,$D43,$C$4:$C42,$C43),0)</f>
        <v>0</v>
      </c>
      <c r="AH43" s="53">
        <f>IF($AC43&gt;0,SUMIFS(M$4:M42,$D$4:$D42,$D43,$Z$4:$Z42,$Z43,$C$4:$C42,$C43),0)</f>
        <v>0</v>
      </c>
      <c r="AI43" s="43">
        <f>IF(OR($C43="",$I43=""),0,IF(COUNTIFS($C$5:$C43,$C43,$I$5:$I43,$I43)=1,1,0))</f>
        <v>0</v>
      </c>
      <c r="AJ43" s="43" t="str">
        <f>IF($AI43=1,SUMIFS($AI$4:$AI42,$C$4:$C42,$C43)+1,"")</f>
        <v/>
      </c>
      <c r="AK43" s="43">
        <f>IF(OR($C43="",$K43=""),0,IF(COUNTIFS($C$5:$C43,$C43,$K$5:$K43,$K43)=1,1,0))</f>
        <v>0</v>
      </c>
      <c r="AL43" s="43" t="str">
        <f>IF($AK43=1,SUMIFS($AK$4:$AK42,$C$4:$C42,$C43)+1,"")</f>
        <v/>
      </c>
      <c r="AM43" s="43">
        <f>IF(OR($C43="",$G43=""),0,IF(COUNTIFS($C$5:$C43,$C43,$G$5:$G43,$G43)=1,1,0))</f>
        <v>0</v>
      </c>
      <c r="AN43" s="43" t="str">
        <f>IF($AM43=1,SUMIFS($AM$4:$AM42,$C$4:$C42,$C43)+1,"")</f>
        <v/>
      </c>
    </row>
    <row r="44">
      <c r="A44" s="44" t="str">
        <f>IF(OR($B44="",$D44=""),"","TX"&amp;TEXT(ROW()-4,"0000"))</f>
        <v/>
      </c>
      <c r="B44" s="42" t="n"/>
      <c r="C44" s="47" t="str">
        <f>IF($B44="","",YEAR($B44)*100+MONTH($B44))</f>
        <v/>
      </c>
      <c r="D44" s="37" t="n"/>
      <c r="E44" s="45" t="str">
        <f>IF($D44="","",IFERROR(INDEX(CARDS!$B$5:$B$34,MATCH($D44,CARDS!$A$5:$A$34,0)),"⚠ Card ID?"))</f>
        <v/>
      </c>
      <c r="F44" s="45" t="str">
        <f>IF($D44="","",IFERROR(INDEX(CARDS!$C$5:$C$34,MATCH($D44,CARDS!$A$5:$A$34,0)),"⚠ Card ID?"))</f>
        <v/>
      </c>
      <c r="G44" s="37" t="n"/>
      <c r="H44" s="37" t="n"/>
      <c r="I44" s="41" t="n"/>
      <c r="J44" s="45" t="str">
        <f>IF($I44="","",IFERROR(INDEX(MCC_MASTER!$B$5:$B$504,MATCH($I44,MCC_MASTER!$A$5:$A$504,0)),"⚠ MCC chưa có"))</f>
        <v/>
      </c>
      <c r="K44" s="45" t="str">
        <f>IF($I44="","",IFERROR(IF(INDEX(MCC_MASTER!$C$5:$C$504,MATCH($I44,MCC_MASTER!$A$5:$A$504,0))="","Chưa phân loại",INDEX(MCC_MASTER!$C$5:$C$504,MATCH($I44,MCC_MASTER!$A$5:$A$504,0))),"Chưa phân loại"))</f>
        <v/>
      </c>
      <c r="L44" s="40" t="n"/>
      <c r="M44" s="48" t="str">
        <f>IF(OR($B44="",$D44=""),"",IF($AC44=0,0,IF(ISNUMBER(INDEX(CASHBACK_RULES!$L$5:$L$304,$AC44)),MAX(0,MIN($L44,INDEX(CASHBACK_RULES!$L$5:$L$304,$AC44)-$AH44)),MAX(0,$L44))))</f>
        <v/>
      </c>
      <c r="N44" s="49" t="str">
        <f>IF(OR($B44="",$D44=""),"",IF($AC44&gt;0,INDEX(CASHBACK_RULES!$I$5:$I$304,$AC44),0))</f>
        <v/>
      </c>
      <c r="O44" s="48" t="str">
        <f>IF(OR($B44="",$D44=""),"",ROUND($M44*$N44,0))</f>
        <v/>
      </c>
      <c r="P44" s="48" t="str">
        <f>IF($AC44&gt;0,IF(ISNUMBER(INDEX(CASHBACK_RULES!$J$5:$J$304,$AC44)),INDEX(CASHBACK_RULES!$J$5:$J$304,$AC44),"∞"),"")</f>
        <v/>
      </c>
      <c r="Q44" s="48" t="str">
        <f>IF(OR($B44="",$D44=""),"",IF($AC44=0,0,MAX(0,MIN($O44,IF(ISNUMBER($P44),$P44-$AF44,1E+15),IF(ISNUMBER($AA44),$AA44-$AG44,1E+15)))))</f>
        <v/>
      </c>
      <c r="R44" s="48" t="str">
        <f>IF(OR($B44="",$D44=""),"",IF($AC44=0,"",IF(AND(NOT(ISNUMBER($P44)),NOT(ISNUMBER($AA44))),"∞",MAX(0,MIN(IF(ISNUMBER($P44),$P44-$AF44-$Q44,1E+15),IF(ISNUMBER($AA44),$AA44-$AG44-$Q44,1E+15))))))</f>
        <v/>
      </c>
      <c r="S44" s="47" t="str">
        <f>IF($AD44="","",YEAR($AD44)*100+MONTH($AD44))</f>
        <v/>
      </c>
      <c r="T44" s="50" t="str">
        <f>IF($AD44="","",IFERROR(IF(INDEX(CARDS!$I$5:$I$34,MATCH($D44,CARDS!$A$5:$A$34,0))="","",IF(INDEX(CARDS!$I$5:$I$34,MATCH($D44,CARDS!$A$5:$A$34,0))&gt;INDEX(CARDS!$H$5:$H$34,MATCH($D44,CARDS!$A$5:$A$34,0)),DATE(YEAR($AD44),MONTH($AD44),MIN(INDEX(CARDS!$I$5:$I$34,MATCH($D44,CARDS!$A$5:$A$34,0)),DAY(EOMONTH($AD44,0)))),DATE(YEAR($AD44),MONTH($AD44)+1,MIN(INDEX(CARDS!$I$5:$I$34,MATCH($D44,CARDS!$A$5:$A$34,0)),DAY(EOMONTH($AD44,1)))))),""))</f>
        <v/>
      </c>
      <c r="U44" s="38" t="n"/>
      <c r="V44" s="37" t="n"/>
      <c r="W44" s="38" t="n"/>
      <c r="X44" s="38" t="n"/>
      <c r="Y44" s="44" t="str">
        <f>IF($AC44&gt;0,INDEX(CASHBACK_RULES!$A$5:$A$304,$AC44),"")</f>
        <v/>
      </c>
      <c r="Z44" s="45" t="str">
        <f>IF($AC44&gt;0,INDEX(CASHBACK_RULES!$E$5:$E$304,$AC44)&amp;"","")</f>
        <v/>
      </c>
      <c r="AA44" s="48" t="str">
        <f>IF($AC44&gt;0,IF(ISNUMBER(INDEX(CASHBACK_RULES!$K$5:$K$304,$AC44)),INDEX(CASHBACK_RULES!$K$5:$K$304,$AC44),"∞"),"")</f>
        <v/>
      </c>
      <c r="AB44" s="44" t="str">
        <f>IF(OR($B44="",$D44=""),"",IF($U44="Cancelled","Đã hủy",IF($AC44=0,"Không được hoàn",IF($Q44=0,IF(OR($O44&gt;0,$M44&lt;$L44),"Đã đạt cap","Không được hoàn"),IF(OR($Q44&lt;$O44,$M44&lt;$L44),"Hoàn một phần","Được hoàn")))))</f>
        <v/>
      </c>
      <c r="AC44" s="43">
        <f>IF(OR($B44="",$D44="",$I44="",$L44=""),0,IF($U44="Cancelled",0,IF($W44&lt;&gt;"",IFERROR(IF(INDEX(CASHBACK_RULES!$B$5:$B$304,MATCH($W44,CASHBACK_RULES!$A$5:$A$304,0))=$D44,MATCH($W44,CASHBACK_RULES!$A$5:$A$304,0),0),0),IFERROR(MATCH(1,INDEX((CASHBACK_RULES!$B$5:$B$304=$D44)*(CASHBACK_RULES!$G$5:$G$304=$I44)*(((CASHBACK_RULES!$N$5:$N$304="")+(CASHBACK_RULES!$N$5:$N$304&lt;=$B44))&gt;0)*(((CASHBACK_RULES!$O$5:$O$304="")+(CASHBACK_RULES!$O$5:$O$304&gt;=$B44))&gt;0)*(((CASHBACK_RULES!$M$5:$M$304="")+(CASHBACK_RULES!$M$5:$M$304&lt;=$L44))&gt;0),0),0),0))))</f>
        <v>0</v>
      </c>
      <c r="AD44" s="51" t="str">
        <f>IF(OR($B44="",$D44=""),"",IFERROR(IF(INDEX(CARDS!$H$5:$H$34,MATCH($D44,CARDS!$A$5:$A$34,0))="","",IF(DAY($B44)&lt;=INDEX(CARDS!$H$5:$H$34,MATCH($D44,CARDS!$A$5:$A$34,0)),DATE(YEAR($B44),MONTH($B44),MIN(INDEX(CARDS!$H$5:$H$34,MATCH($D44,CARDS!$A$5:$A$34,0)),DAY(EOMONTH($B44,0)))),DATE(YEAR($B44),MONTH($B44)+1,MIN(INDEX(CARDS!$H$5:$H$34,MATCH($D44,CARDS!$A$5:$A$34,0)),DAY(EOMONTH($B44,1)))))),""))</f>
        <v/>
      </c>
      <c r="AE44" s="52" t="str">
        <f>IF($C44="","",$C44&amp;"|"&amp;COUNTIF($C$5:$C44,$C44))</f>
        <v/>
      </c>
      <c r="AF44" s="53">
        <f>IF($AC44&gt;0,SUMIFS(Q$4:Q43,$D$4:$D43,$D44,$Z$4:$Z43,$Z44,$C$4:$C43,$C44),0)</f>
        <v>0</v>
      </c>
      <c r="AG44" s="53">
        <f>IF($AC44&gt;0,SUMIFS(Q$4:Q43,$D$4:$D43,$D44,$C$4:$C43,$C44),0)</f>
        <v>0</v>
      </c>
      <c r="AH44" s="53">
        <f>IF($AC44&gt;0,SUMIFS(M$4:M43,$D$4:$D43,$D44,$Z$4:$Z43,$Z44,$C$4:$C43,$C44),0)</f>
        <v>0</v>
      </c>
      <c r="AI44" s="43">
        <f>IF(OR($C44="",$I44=""),0,IF(COUNTIFS($C$5:$C44,$C44,$I$5:$I44,$I44)=1,1,0))</f>
        <v>0</v>
      </c>
      <c r="AJ44" s="43" t="str">
        <f>IF($AI44=1,SUMIFS($AI$4:$AI43,$C$4:$C43,$C44)+1,"")</f>
        <v/>
      </c>
      <c r="AK44" s="43">
        <f>IF(OR($C44="",$K44=""),0,IF(COUNTIFS($C$5:$C44,$C44,$K$5:$K44,$K44)=1,1,0))</f>
        <v>0</v>
      </c>
      <c r="AL44" s="43" t="str">
        <f>IF($AK44=1,SUMIFS($AK$4:$AK43,$C$4:$C43,$C44)+1,"")</f>
        <v/>
      </c>
      <c r="AM44" s="43">
        <f>IF(OR($C44="",$G44=""),0,IF(COUNTIFS($C$5:$C44,$C44,$G$5:$G44,$G44)=1,1,0))</f>
        <v>0</v>
      </c>
      <c r="AN44" s="43" t="str">
        <f>IF($AM44=1,SUMIFS($AM$4:$AM43,$C$4:$C43,$C44)+1,"")</f>
        <v/>
      </c>
    </row>
    <row r="45">
      <c r="A45" s="44" t="str">
        <f>IF(OR($B45="",$D45=""),"","TX"&amp;TEXT(ROW()-4,"0000"))</f>
        <v/>
      </c>
      <c r="B45" s="42" t="n"/>
      <c r="C45" s="47" t="str">
        <f>IF($B45="","",YEAR($B45)*100+MONTH($B45))</f>
        <v/>
      </c>
      <c r="D45" s="37" t="n"/>
      <c r="E45" s="45" t="str">
        <f>IF($D45="","",IFERROR(INDEX(CARDS!$B$5:$B$34,MATCH($D45,CARDS!$A$5:$A$34,0)),"⚠ Card ID?"))</f>
        <v/>
      </c>
      <c r="F45" s="45" t="str">
        <f>IF($D45="","",IFERROR(INDEX(CARDS!$C$5:$C$34,MATCH($D45,CARDS!$A$5:$A$34,0)),"⚠ Card ID?"))</f>
        <v/>
      </c>
      <c r="G45" s="37" t="n"/>
      <c r="H45" s="37" t="n"/>
      <c r="I45" s="41" t="n"/>
      <c r="J45" s="45" t="str">
        <f>IF($I45="","",IFERROR(INDEX(MCC_MASTER!$B$5:$B$504,MATCH($I45,MCC_MASTER!$A$5:$A$504,0)),"⚠ MCC chưa có"))</f>
        <v/>
      </c>
      <c r="K45" s="45" t="str">
        <f>IF($I45="","",IFERROR(IF(INDEX(MCC_MASTER!$C$5:$C$504,MATCH($I45,MCC_MASTER!$A$5:$A$504,0))="","Chưa phân loại",INDEX(MCC_MASTER!$C$5:$C$504,MATCH($I45,MCC_MASTER!$A$5:$A$504,0))),"Chưa phân loại"))</f>
        <v/>
      </c>
      <c r="L45" s="40" t="n"/>
      <c r="M45" s="48" t="str">
        <f>IF(OR($B45="",$D45=""),"",IF($AC45=0,0,IF(ISNUMBER(INDEX(CASHBACK_RULES!$L$5:$L$304,$AC45)),MAX(0,MIN($L45,INDEX(CASHBACK_RULES!$L$5:$L$304,$AC45)-$AH45)),MAX(0,$L45))))</f>
        <v/>
      </c>
      <c r="N45" s="49" t="str">
        <f>IF(OR($B45="",$D45=""),"",IF($AC45&gt;0,INDEX(CASHBACK_RULES!$I$5:$I$304,$AC45),0))</f>
        <v/>
      </c>
      <c r="O45" s="48" t="str">
        <f>IF(OR($B45="",$D45=""),"",ROUND($M45*$N45,0))</f>
        <v/>
      </c>
      <c r="P45" s="48" t="str">
        <f>IF($AC45&gt;0,IF(ISNUMBER(INDEX(CASHBACK_RULES!$J$5:$J$304,$AC45)),INDEX(CASHBACK_RULES!$J$5:$J$304,$AC45),"∞"),"")</f>
        <v/>
      </c>
      <c r="Q45" s="48" t="str">
        <f>IF(OR($B45="",$D45=""),"",IF($AC45=0,0,MAX(0,MIN($O45,IF(ISNUMBER($P45),$P45-$AF45,1E+15),IF(ISNUMBER($AA45),$AA45-$AG45,1E+15)))))</f>
        <v/>
      </c>
      <c r="R45" s="48" t="str">
        <f>IF(OR($B45="",$D45=""),"",IF($AC45=0,"",IF(AND(NOT(ISNUMBER($P45)),NOT(ISNUMBER($AA45))),"∞",MAX(0,MIN(IF(ISNUMBER($P45),$P45-$AF45-$Q45,1E+15),IF(ISNUMBER($AA45),$AA45-$AG45-$Q45,1E+15))))))</f>
        <v/>
      </c>
      <c r="S45" s="47" t="str">
        <f>IF($AD45="","",YEAR($AD45)*100+MONTH($AD45))</f>
        <v/>
      </c>
      <c r="T45" s="50" t="str">
        <f>IF($AD45="","",IFERROR(IF(INDEX(CARDS!$I$5:$I$34,MATCH($D45,CARDS!$A$5:$A$34,0))="","",IF(INDEX(CARDS!$I$5:$I$34,MATCH($D45,CARDS!$A$5:$A$34,0))&gt;INDEX(CARDS!$H$5:$H$34,MATCH($D45,CARDS!$A$5:$A$34,0)),DATE(YEAR($AD45),MONTH($AD45),MIN(INDEX(CARDS!$I$5:$I$34,MATCH($D45,CARDS!$A$5:$A$34,0)),DAY(EOMONTH($AD45,0)))),DATE(YEAR($AD45),MONTH($AD45)+1,MIN(INDEX(CARDS!$I$5:$I$34,MATCH($D45,CARDS!$A$5:$A$34,0)),DAY(EOMONTH($AD45,1)))))),""))</f>
        <v/>
      </c>
      <c r="U45" s="38" t="n"/>
      <c r="V45" s="37" t="n"/>
      <c r="W45" s="38" t="n"/>
      <c r="X45" s="38" t="n"/>
      <c r="Y45" s="44" t="str">
        <f>IF($AC45&gt;0,INDEX(CASHBACK_RULES!$A$5:$A$304,$AC45),"")</f>
        <v/>
      </c>
      <c r="Z45" s="45" t="str">
        <f>IF($AC45&gt;0,INDEX(CASHBACK_RULES!$E$5:$E$304,$AC45)&amp;"","")</f>
        <v/>
      </c>
      <c r="AA45" s="48" t="str">
        <f>IF($AC45&gt;0,IF(ISNUMBER(INDEX(CASHBACK_RULES!$K$5:$K$304,$AC45)),INDEX(CASHBACK_RULES!$K$5:$K$304,$AC45),"∞"),"")</f>
        <v/>
      </c>
      <c r="AB45" s="44" t="str">
        <f>IF(OR($B45="",$D45=""),"",IF($U45="Cancelled","Đã hủy",IF($AC45=0,"Không được hoàn",IF($Q45=0,IF(OR($O45&gt;0,$M45&lt;$L45),"Đã đạt cap","Không được hoàn"),IF(OR($Q45&lt;$O45,$M45&lt;$L45),"Hoàn một phần","Được hoàn")))))</f>
        <v/>
      </c>
      <c r="AC45" s="43">
        <f>IF(OR($B45="",$D45="",$I45="",$L45=""),0,IF($U45="Cancelled",0,IF($W45&lt;&gt;"",IFERROR(IF(INDEX(CASHBACK_RULES!$B$5:$B$304,MATCH($W45,CASHBACK_RULES!$A$5:$A$304,0))=$D45,MATCH($W45,CASHBACK_RULES!$A$5:$A$304,0),0),0),IFERROR(MATCH(1,INDEX((CASHBACK_RULES!$B$5:$B$304=$D45)*(CASHBACK_RULES!$G$5:$G$304=$I45)*(((CASHBACK_RULES!$N$5:$N$304="")+(CASHBACK_RULES!$N$5:$N$304&lt;=$B45))&gt;0)*(((CASHBACK_RULES!$O$5:$O$304="")+(CASHBACK_RULES!$O$5:$O$304&gt;=$B45))&gt;0)*(((CASHBACK_RULES!$M$5:$M$304="")+(CASHBACK_RULES!$M$5:$M$304&lt;=$L45))&gt;0),0),0),0))))</f>
        <v>0</v>
      </c>
      <c r="AD45" s="51" t="str">
        <f>IF(OR($B45="",$D45=""),"",IFERROR(IF(INDEX(CARDS!$H$5:$H$34,MATCH($D45,CARDS!$A$5:$A$34,0))="","",IF(DAY($B45)&lt;=INDEX(CARDS!$H$5:$H$34,MATCH($D45,CARDS!$A$5:$A$34,0)),DATE(YEAR($B45),MONTH($B45),MIN(INDEX(CARDS!$H$5:$H$34,MATCH($D45,CARDS!$A$5:$A$34,0)),DAY(EOMONTH($B45,0)))),DATE(YEAR($B45),MONTH($B45)+1,MIN(INDEX(CARDS!$H$5:$H$34,MATCH($D45,CARDS!$A$5:$A$34,0)),DAY(EOMONTH($B45,1)))))),""))</f>
        <v/>
      </c>
      <c r="AE45" s="52" t="str">
        <f>IF($C45="","",$C45&amp;"|"&amp;COUNTIF($C$5:$C45,$C45))</f>
        <v/>
      </c>
      <c r="AF45" s="53">
        <f>IF($AC45&gt;0,SUMIFS(Q$4:Q44,$D$4:$D44,$D45,$Z$4:$Z44,$Z45,$C$4:$C44,$C45),0)</f>
        <v>0</v>
      </c>
      <c r="AG45" s="53">
        <f>IF($AC45&gt;0,SUMIFS(Q$4:Q44,$D$4:$D44,$D45,$C$4:$C44,$C45),0)</f>
        <v>0</v>
      </c>
      <c r="AH45" s="53">
        <f>IF($AC45&gt;0,SUMIFS(M$4:M44,$D$4:$D44,$D45,$Z$4:$Z44,$Z45,$C$4:$C44,$C45),0)</f>
        <v>0</v>
      </c>
      <c r="AI45" s="43">
        <f>IF(OR($C45="",$I45=""),0,IF(COUNTIFS($C$5:$C45,$C45,$I$5:$I45,$I45)=1,1,0))</f>
        <v>0</v>
      </c>
      <c r="AJ45" s="43" t="str">
        <f>IF($AI45=1,SUMIFS($AI$4:$AI44,$C$4:$C44,$C45)+1,"")</f>
        <v/>
      </c>
      <c r="AK45" s="43">
        <f>IF(OR($C45="",$K45=""),0,IF(COUNTIFS($C$5:$C45,$C45,$K$5:$K45,$K45)=1,1,0))</f>
        <v>0</v>
      </c>
      <c r="AL45" s="43" t="str">
        <f>IF($AK45=1,SUMIFS($AK$4:$AK44,$C$4:$C44,$C45)+1,"")</f>
        <v/>
      </c>
      <c r="AM45" s="43">
        <f>IF(OR($C45="",$G45=""),0,IF(COUNTIFS($C$5:$C45,$C45,$G$5:$G45,$G45)=1,1,0))</f>
        <v>0</v>
      </c>
      <c r="AN45" s="43" t="str">
        <f>IF($AM45=1,SUMIFS($AM$4:$AM44,$C$4:$C44,$C45)+1,"")</f>
        <v/>
      </c>
    </row>
    <row r="46">
      <c r="A46" s="44" t="str">
        <f>IF(OR($B46="",$D46=""),"","TX"&amp;TEXT(ROW()-4,"0000"))</f>
        <v/>
      </c>
      <c r="B46" s="42" t="n"/>
      <c r="C46" s="47" t="str">
        <f>IF($B46="","",YEAR($B46)*100+MONTH($B46))</f>
        <v/>
      </c>
      <c r="D46" s="37" t="n"/>
      <c r="E46" s="45" t="str">
        <f>IF($D46="","",IFERROR(INDEX(CARDS!$B$5:$B$34,MATCH($D46,CARDS!$A$5:$A$34,0)),"⚠ Card ID?"))</f>
        <v/>
      </c>
      <c r="F46" s="45" t="str">
        <f>IF($D46="","",IFERROR(INDEX(CARDS!$C$5:$C$34,MATCH($D46,CARDS!$A$5:$A$34,0)),"⚠ Card ID?"))</f>
        <v/>
      </c>
      <c r="G46" s="37" t="n"/>
      <c r="H46" s="37" t="n"/>
      <c r="I46" s="41" t="n"/>
      <c r="J46" s="45" t="str">
        <f>IF($I46="","",IFERROR(INDEX(MCC_MASTER!$B$5:$B$504,MATCH($I46,MCC_MASTER!$A$5:$A$504,0)),"⚠ MCC chưa có"))</f>
        <v/>
      </c>
      <c r="K46" s="45" t="str">
        <f>IF($I46="","",IFERROR(IF(INDEX(MCC_MASTER!$C$5:$C$504,MATCH($I46,MCC_MASTER!$A$5:$A$504,0))="","Chưa phân loại",INDEX(MCC_MASTER!$C$5:$C$504,MATCH($I46,MCC_MASTER!$A$5:$A$504,0))),"Chưa phân loại"))</f>
        <v/>
      </c>
      <c r="L46" s="40" t="n"/>
      <c r="M46" s="48" t="str">
        <f>IF(OR($B46="",$D46=""),"",IF($AC46=0,0,IF(ISNUMBER(INDEX(CASHBACK_RULES!$L$5:$L$304,$AC46)),MAX(0,MIN($L46,INDEX(CASHBACK_RULES!$L$5:$L$304,$AC46)-$AH46)),MAX(0,$L46))))</f>
        <v/>
      </c>
      <c r="N46" s="49" t="str">
        <f>IF(OR($B46="",$D46=""),"",IF($AC46&gt;0,INDEX(CASHBACK_RULES!$I$5:$I$304,$AC46),0))</f>
        <v/>
      </c>
      <c r="O46" s="48" t="str">
        <f>IF(OR($B46="",$D46=""),"",ROUND($M46*$N46,0))</f>
        <v/>
      </c>
      <c r="P46" s="48" t="str">
        <f>IF($AC46&gt;0,IF(ISNUMBER(INDEX(CASHBACK_RULES!$J$5:$J$304,$AC46)),INDEX(CASHBACK_RULES!$J$5:$J$304,$AC46),"∞"),"")</f>
        <v/>
      </c>
      <c r="Q46" s="48" t="str">
        <f>IF(OR($B46="",$D46=""),"",IF($AC46=0,0,MAX(0,MIN($O46,IF(ISNUMBER($P46),$P46-$AF46,1E+15),IF(ISNUMBER($AA46),$AA46-$AG46,1E+15)))))</f>
        <v/>
      </c>
      <c r="R46" s="48" t="str">
        <f>IF(OR($B46="",$D46=""),"",IF($AC46=0,"",IF(AND(NOT(ISNUMBER($P46)),NOT(ISNUMBER($AA46))),"∞",MAX(0,MIN(IF(ISNUMBER($P46),$P46-$AF46-$Q46,1E+15),IF(ISNUMBER($AA46),$AA46-$AG46-$Q46,1E+15))))))</f>
        <v/>
      </c>
      <c r="S46" s="47" t="str">
        <f>IF($AD46="","",YEAR($AD46)*100+MONTH($AD46))</f>
        <v/>
      </c>
      <c r="T46" s="50" t="str">
        <f>IF($AD46="","",IFERROR(IF(INDEX(CARDS!$I$5:$I$34,MATCH($D46,CARDS!$A$5:$A$34,0))="","",IF(INDEX(CARDS!$I$5:$I$34,MATCH($D46,CARDS!$A$5:$A$34,0))&gt;INDEX(CARDS!$H$5:$H$34,MATCH($D46,CARDS!$A$5:$A$34,0)),DATE(YEAR($AD46),MONTH($AD46),MIN(INDEX(CARDS!$I$5:$I$34,MATCH($D46,CARDS!$A$5:$A$34,0)),DAY(EOMONTH($AD46,0)))),DATE(YEAR($AD46),MONTH($AD46)+1,MIN(INDEX(CARDS!$I$5:$I$34,MATCH($D46,CARDS!$A$5:$A$34,0)),DAY(EOMONTH($AD46,1)))))),""))</f>
        <v/>
      </c>
      <c r="U46" s="38" t="n"/>
      <c r="V46" s="37" t="n"/>
      <c r="W46" s="38" t="n"/>
      <c r="X46" s="38" t="n"/>
      <c r="Y46" s="44" t="str">
        <f>IF($AC46&gt;0,INDEX(CASHBACK_RULES!$A$5:$A$304,$AC46),"")</f>
        <v/>
      </c>
      <c r="Z46" s="45" t="str">
        <f>IF($AC46&gt;0,INDEX(CASHBACK_RULES!$E$5:$E$304,$AC46)&amp;"","")</f>
        <v/>
      </c>
      <c r="AA46" s="48" t="str">
        <f>IF($AC46&gt;0,IF(ISNUMBER(INDEX(CASHBACK_RULES!$K$5:$K$304,$AC46)),INDEX(CASHBACK_RULES!$K$5:$K$304,$AC46),"∞"),"")</f>
        <v/>
      </c>
      <c r="AB46" s="44" t="str">
        <f>IF(OR($B46="",$D46=""),"",IF($U46="Cancelled","Đã hủy",IF($AC46=0,"Không được hoàn",IF($Q46=0,IF(OR($O46&gt;0,$M46&lt;$L46),"Đã đạt cap","Không được hoàn"),IF(OR($Q46&lt;$O46,$M46&lt;$L46),"Hoàn một phần","Được hoàn")))))</f>
        <v/>
      </c>
      <c r="AC46" s="43">
        <f>IF(OR($B46="",$D46="",$I46="",$L46=""),0,IF($U46="Cancelled",0,IF($W46&lt;&gt;"",IFERROR(IF(INDEX(CASHBACK_RULES!$B$5:$B$304,MATCH($W46,CASHBACK_RULES!$A$5:$A$304,0))=$D46,MATCH($W46,CASHBACK_RULES!$A$5:$A$304,0),0),0),IFERROR(MATCH(1,INDEX((CASHBACK_RULES!$B$5:$B$304=$D46)*(CASHBACK_RULES!$G$5:$G$304=$I46)*(((CASHBACK_RULES!$N$5:$N$304="")+(CASHBACK_RULES!$N$5:$N$304&lt;=$B46))&gt;0)*(((CASHBACK_RULES!$O$5:$O$304="")+(CASHBACK_RULES!$O$5:$O$304&gt;=$B46))&gt;0)*(((CASHBACK_RULES!$M$5:$M$304="")+(CASHBACK_RULES!$M$5:$M$304&lt;=$L46))&gt;0),0),0),0))))</f>
        <v>0</v>
      </c>
      <c r="AD46" s="51" t="str">
        <f>IF(OR($B46="",$D46=""),"",IFERROR(IF(INDEX(CARDS!$H$5:$H$34,MATCH($D46,CARDS!$A$5:$A$34,0))="","",IF(DAY($B46)&lt;=INDEX(CARDS!$H$5:$H$34,MATCH($D46,CARDS!$A$5:$A$34,0)),DATE(YEAR($B46),MONTH($B46),MIN(INDEX(CARDS!$H$5:$H$34,MATCH($D46,CARDS!$A$5:$A$34,0)),DAY(EOMONTH($B46,0)))),DATE(YEAR($B46),MONTH($B46)+1,MIN(INDEX(CARDS!$H$5:$H$34,MATCH($D46,CARDS!$A$5:$A$34,0)),DAY(EOMONTH($B46,1)))))),""))</f>
        <v/>
      </c>
      <c r="AE46" s="52" t="str">
        <f>IF($C46="","",$C46&amp;"|"&amp;COUNTIF($C$5:$C46,$C46))</f>
        <v/>
      </c>
      <c r="AF46" s="53">
        <f>IF($AC46&gt;0,SUMIFS(Q$4:Q45,$D$4:$D45,$D46,$Z$4:$Z45,$Z46,$C$4:$C45,$C46),0)</f>
        <v>0</v>
      </c>
      <c r="AG46" s="53">
        <f>IF($AC46&gt;0,SUMIFS(Q$4:Q45,$D$4:$D45,$D46,$C$4:$C45,$C46),0)</f>
        <v>0</v>
      </c>
      <c r="AH46" s="53">
        <f>IF($AC46&gt;0,SUMIFS(M$4:M45,$D$4:$D45,$D46,$Z$4:$Z45,$Z46,$C$4:$C45,$C46),0)</f>
        <v>0</v>
      </c>
      <c r="AI46" s="43">
        <f>IF(OR($C46="",$I46=""),0,IF(COUNTIFS($C$5:$C46,$C46,$I$5:$I46,$I46)=1,1,0))</f>
        <v>0</v>
      </c>
      <c r="AJ46" s="43" t="str">
        <f>IF($AI46=1,SUMIFS($AI$4:$AI45,$C$4:$C45,$C46)+1,"")</f>
        <v/>
      </c>
      <c r="AK46" s="43">
        <f>IF(OR($C46="",$K46=""),0,IF(COUNTIFS($C$5:$C46,$C46,$K$5:$K46,$K46)=1,1,0))</f>
        <v>0</v>
      </c>
      <c r="AL46" s="43" t="str">
        <f>IF($AK46=1,SUMIFS($AK$4:$AK45,$C$4:$C45,$C46)+1,"")</f>
        <v/>
      </c>
      <c r="AM46" s="43">
        <f>IF(OR($C46="",$G46=""),0,IF(COUNTIFS($C$5:$C46,$C46,$G$5:$G46,$G46)=1,1,0))</f>
        <v>0</v>
      </c>
      <c r="AN46" s="43" t="str">
        <f>IF($AM46=1,SUMIFS($AM$4:$AM45,$C$4:$C45,$C46)+1,"")</f>
        <v/>
      </c>
    </row>
    <row r="47">
      <c r="A47" s="44" t="str">
        <f>IF(OR($B47="",$D47=""),"","TX"&amp;TEXT(ROW()-4,"0000"))</f>
        <v/>
      </c>
      <c r="B47" s="42" t="n"/>
      <c r="C47" s="47" t="str">
        <f>IF($B47="","",YEAR($B47)*100+MONTH($B47))</f>
        <v/>
      </c>
      <c r="D47" s="37" t="n"/>
      <c r="E47" s="45" t="str">
        <f>IF($D47="","",IFERROR(INDEX(CARDS!$B$5:$B$34,MATCH($D47,CARDS!$A$5:$A$34,0)),"⚠ Card ID?"))</f>
        <v/>
      </c>
      <c r="F47" s="45" t="str">
        <f>IF($D47="","",IFERROR(INDEX(CARDS!$C$5:$C$34,MATCH($D47,CARDS!$A$5:$A$34,0)),"⚠ Card ID?"))</f>
        <v/>
      </c>
      <c r="G47" s="37" t="n"/>
      <c r="H47" s="37" t="n"/>
      <c r="I47" s="41" t="n"/>
      <c r="J47" s="45" t="str">
        <f>IF($I47="","",IFERROR(INDEX(MCC_MASTER!$B$5:$B$504,MATCH($I47,MCC_MASTER!$A$5:$A$504,0)),"⚠ MCC chưa có"))</f>
        <v/>
      </c>
      <c r="K47" s="45" t="str">
        <f>IF($I47="","",IFERROR(IF(INDEX(MCC_MASTER!$C$5:$C$504,MATCH($I47,MCC_MASTER!$A$5:$A$504,0))="","Chưa phân loại",INDEX(MCC_MASTER!$C$5:$C$504,MATCH($I47,MCC_MASTER!$A$5:$A$504,0))),"Chưa phân loại"))</f>
        <v/>
      </c>
      <c r="L47" s="40" t="n"/>
      <c r="M47" s="48" t="str">
        <f>IF(OR($B47="",$D47=""),"",IF($AC47=0,0,IF(ISNUMBER(INDEX(CASHBACK_RULES!$L$5:$L$304,$AC47)),MAX(0,MIN($L47,INDEX(CASHBACK_RULES!$L$5:$L$304,$AC47)-$AH47)),MAX(0,$L47))))</f>
        <v/>
      </c>
      <c r="N47" s="49" t="str">
        <f>IF(OR($B47="",$D47=""),"",IF($AC47&gt;0,INDEX(CASHBACK_RULES!$I$5:$I$304,$AC47),0))</f>
        <v/>
      </c>
      <c r="O47" s="48" t="str">
        <f>IF(OR($B47="",$D47=""),"",ROUND($M47*$N47,0))</f>
        <v/>
      </c>
      <c r="P47" s="48" t="str">
        <f>IF($AC47&gt;0,IF(ISNUMBER(INDEX(CASHBACK_RULES!$J$5:$J$304,$AC47)),INDEX(CASHBACK_RULES!$J$5:$J$304,$AC47),"∞"),"")</f>
        <v/>
      </c>
      <c r="Q47" s="48" t="str">
        <f>IF(OR($B47="",$D47=""),"",IF($AC47=0,0,MAX(0,MIN($O47,IF(ISNUMBER($P47),$P47-$AF47,1E+15),IF(ISNUMBER($AA47),$AA47-$AG47,1E+15)))))</f>
        <v/>
      </c>
      <c r="R47" s="48" t="str">
        <f>IF(OR($B47="",$D47=""),"",IF($AC47=0,"",IF(AND(NOT(ISNUMBER($P47)),NOT(ISNUMBER($AA47))),"∞",MAX(0,MIN(IF(ISNUMBER($P47),$P47-$AF47-$Q47,1E+15),IF(ISNUMBER($AA47),$AA47-$AG47-$Q47,1E+15))))))</f>
        <v/>
      </c>
      <c r="S47" s="47" t="str">
        <f>IF($AD47="","",YEAR($AD47)*100+MONTH($AD47))</f>
        <v/>
      </c>
      <c r="T47" s="50" t="str">
        <f>IF($AD47="","",IFERROR(IF(INDEX(CARDS!$I$5:$I$34,MATCH($D47,CARDS!$A$5:$A$34,0))="","",IF(INDEX(CARDS!$I$5:$I$34,MATCH($D47,CARDS!$A$5:$A$34,0))&gt;INDEX(CARDS!$H$5:$H$34,MATCH($D47,CARDS!$A$5:$A$34,0)),DATE(YEAR($AD47),MONTH($AD47),MIN(INDEX(CARDS!$I$5:$I$34,MATCH($D47,CARDS!$A$5:$A$34,0)),DAY(EOMONTH($AD47,0)))),DATE(YEAR($AD47),MONTH($AD47)+1,MIN(INDEX(CARDS!$I$5:$I$34,MATCH($D47,CARDS!$A$5:$A$34,0)),DAY(EOMONTH($AD47,1)))))),""))</f>
        <v/>
      </c>
      <c r="U47" s="38" t="n"/>
      <c r="V47" s="37" t="n"/>
      <c r="W47" s="38" t="n"/>
      <c r="X47" s="38" t="n"/>
      <c r="Y47" s="44" t="str">
        <f>IF($AC47&gt;0,INDEX(CASHBACK_RULES!$A$5:$A$304,$AC47),"")</f>
        <v/>
      </c>
      <c r="Z47" s="45" t="str">
        <f>IF($AC47&gt;0,INDEX(CASHBACK_RULES!$E$5:$E$304,$AC47)&amp;"","")</f>
        <v/>
      </c>
      <c r="AA47" s="48" t="str">
        <f>IF($AC47&gt;0,IF(ISNUMBER(INDEX(CASHBACK_RULES!$K$5:$K$304,$AC47)),INDEX(CASHBACK_RULES!$K$5:$K$304,$AC47),"∞"),"")</f>
        <v/>
      </c>
      <c r="AB47" s="44" t="str">
        <f>IF(OR($B47="",$D47=""),"",IF($U47="Cancelled","Đã hủy",IF($AC47=0,"Không được hoàn",IF($Q47=0,IF(OR($O47&gt;0,$M47&lt;$L47),"Đã đạt cap","Không được hoàn"),IF(OR($Q47&lt;$O47,$M47&lt;$L47),"Hoàn một phần","Được hoàn")))))</f>
        <v/>
      </c>
      <c r="AC47" s="43">
        <f>IF(OR($B47="",$D47="",$I47="",$L47=""),0,IF($U47="Cancelled",0,IF($W47&lt;&gt;"",IFERROR(IF(INDEX(CASHBACK_RULES!$B$5:$B$304,MATCH($W47,CASHBACK_RULES!$A$5:$A$304,0))=$D47,MATCH($W47,CASHBACK_RULES!$A$5:$A$304,0),0),0),IFERROR(MATCH(1,INDEX((CASHBACK_RULES!$B$5:$B$304=$D47)*(CASHBACK_RULES!$G$5:$G$304=$I47)*(((CASHBACK_RULES!$N$5:$N$304="")+(CASHBACK_RULES!$N$5:$N$304&lt;=$B47))&gt;0)*(((CASHBACK_RULES!$O$5:$O$304="")+(CASHBACK_RULES!$O$5:$O$304&gt;=$B47))&gt;0)*(((CASHBACK_RULES!$M$5:$M$304="")+(CASHBACK_RULES!$M$5:$M$304&lt;=$L47))&gt;0),0),0),0))))</f>
        <v>0</v>
      </c>
      <c r="AD47" s="51" t="str">
        <f>IF(OR($B47="",$D47=""),"",IFERROR(IF(INDEX(CARDS!$H$5:$H$34,MATCH($D47,CARDS!$A$5:$A$34,0))="","",IF(DAY($B47)&lt;=INDEX(CARDS!$H$5:$H$34,MATCH($D47,CARDS!$A$5:$A$34,0)),DATE(YEAR($B47),MONTH($B47),MIN(INDEX(CARDS!$H$5:$H$34,MATCH($D47,CARDS!$A$5:$A$34,0)),DAY(EOMONTH($B47,0)))),DATE(YEAR($B47),MONTH($B47)+1,MIN(INDEX(CARDS!$H$5:$H$34,MATCH($D47,CARDS!$A$5:$A$34,0)),DAY(EOMONTH($B47,1)))))),""))</f>
        <v/>
      </c>
      <c r="AE47" s="52" t="str">
        <f>IF($C47="","",$C47&amp;"|"&amp;COUNTIF($C$5:$C47,$C47))</f>
        <v/>
      </c>
      <c r="AF47" s="53">
        <f>IF($AC47&gt;0,SUMIFS(Q$4:Q46,$D$4:$D46,$D47,$Z$4:$Z46,$Z47,$C$4:$C46,$C47),0)</f>
        <v>0</v>
      </c>
      <c r="AG47" s="53">
        <f>IF($AC47&gt;0,SUMIFS(Q$4:Q46,$D$4:$D46,$D47,$C$4:$C46,$C47),0)</f>
        <v>0</v>
      </c>
      <c r="AH47" s="53">
        <f>IF($AC47&gt;0,SUMIFS(M$4:M46,$D$4:$D46,$D47,$Z$4:$Z46,$Z47,$C$4:$C46,$C47),0)</f>
        <v>0</v>
      </c>
      <c r="AI47" s="43">
        <f>IF(OR($C47="",$I47=""),0,IF(COUNTIFS($C$5:$C47,$C47,$I$5:$I47,$I47)=1,1,0))</f>
        <v>0</v>
      </c>
      <c r="AJ47" s="43" t="str">
        <f>IF($AI47=1,SUMIFS($AI$4:$AI46,$C$4:$C46,$C47)+1,"")</f>
        <v/>
      </c>
      <c r="AK47" s="43">
        <f>IF(OR($C47="",$K47=""),0,IF(COUNTIFS($C$5:$C47,$C47,$K$5:$K47,$K47)=1,1,0))</f>
        <v>0</v>
      </c>
      <c r="AL47" s="43" t="str">
        <f>IF($AK47=1,SUMIFS($AK$4:$AK46,$C$4:$C46,$C47)+1,"")</f>
        <v/>
      </c>
      <c r="AM47" s="43">
        <f>IF(OR($C47="",$G47=""),0,IF(COUNTIFS($C$5:$C47,$C47,$G$5:$G47,$G47)=1,1,0))</f>
        <v>0</v>
      </c>
      <c r="AN47" s="43" t="str">
        <f>IF($AM47=1,SUMIFS($AM$4:$AM46,$C$4:$C46,$C47)+1,"")</f>
        <v/>
      </c>
    </row>
    <row r="48">
      <c r="A48" s="44" t="str">
        <f>IF(OR($B48="",$D48=""),"","TX"&amp;TEXT(ROW()-4,"0000"))</f>
        <v/>
      </c>
      <c r="B48" s="42" t="n"/>
      <c r="C48" s="47" t="str">
        <f>IF($B48="","",YEAR($B48)*100+MONTH($B48))</f>
        <v/>
      </c>
      <c r="D48" s="37" t="n"/>
      <c r="E48" s="45" t="str">
        <f>IF($D48="","",IFERROR(INDEX(CARDS!$B$5:$B$34,MATCH($D48,CARDS!$A$5:$A$34,0)),"⚠ Card ID?"))</f>
        <v/>
      </c>
      <c r="F48" s="45" t="str">
        <f>IF($D48="","",IFERROR(INDEX(CARDS!$C$5:$C$34,MATCH($D48,CARDS!$A$5:$A$34,0)),"⚠ Card ID?"))</f>
        <v/>
      </c>
      <c r="G48" s="37" t="n"/>
      <c r="H48" s="37" t="n"/>
      <c r="I48" s="41" t="n"/>
      <c r="J48" s="45" t="str">
        <f>IF($I48="","",IFERROR(INDEX(MCC_MASTER!$B$5:$B$504,MATCH($I48,MCC_MASTER!$A$5:$A$504,0)),"⚠ MCC chưa có"))</f>
        <v/>
      </c>
      <c r="K48" s="45" t="str">
        <f>IF($I48="","",IFERROR(IF(INDEX(MCC_MASTER!$C$5:$C$504,MATCH($I48,MCC_MASTER!$A$5:$A$504,0))="","Chưa phân loại",INDEX(MCC_MASTER!$C$5:$C$504,MATCH($I48,MCC_MASTER!$A$5:$A$504,0))),"Chưa phân loại"))</f>
        <v/>
      </c>
      <c r="L48" s="40" t="n"/>
      <c r="M48" s="48" t="str">
        <f>IF(OR($B48="",$D48=""),"",IF($AC48=0,0,IF(ISNUMBER(INDEX(CASHBACK_RULES!$L$5:$L$304,$AC48)),MAX(0,MIN($L48,INDEX(CASHBACK_RULES!$L$5:$L$304,$AC48)-$AH48)),MAX(0,$L48))))</f>
        <v/>
      </c>
      <c r="N48" s="49" t="str">
        <f>IF(OR($B48="",$D48=""),"",IF($AC48&gt;0,INDEX(CASHBACK_RULES!$I$5:$I$304,$AC48),0))</f>
        <v/>
      </c>
      <c r="O48" s="48" t="str">
        <f>IF(OR($B48="",$D48=""),"",ROUND($M48*$N48,0))</f>
        <v/>
      </c>
      <c r="P48" s="48" t="str">
        <f>IF($AC48&gt;0,IF(ISNUMBER(INDEX(CASHBACK_RULES!$J$5:$J$304,$AC48)),INDEX(CASHBACK_RULES!$J$5:$J$304,$AC48),"∞"),"")</f>
        <v/>
      </c>
      <c r="Q48" s="48" t="str">
        <f>IF(OR($B48="",$D48=""),"",IF($AC48=0,0,MAX(0,MIN($O48,IF(ISNUMBER($P48),$P48-$AF48,1E+15),IF(ISNUMBER($AA48),$AA48-$AG48,1E+15)))))</f>
        <v/>
      </c>
      <c r="R48" s="48" t="str">
        <f>IF(OR($B48="",$D48=""),"",IF($AC48=0,"",IF(AND(NOT(ISNUMBER($P48)),NOT(ISNUMBER($AA48))),"∞",MAX(0,MIN(IF(ISNUMBER($P48),$P48-$AF48-$Q48,1E+15),IF(ISNUMBER($AA48),$AA48-$AG48-$Q48,1E+15))))))</f>
        <v/>
      </c>
      <c r="S48" s="47" t="str">
        <f>IF($AD48="","",YEAR($AD48)*100+MONTH($AD48))</f>
        <v/>
      </c>
      <c r="T48" s="50" t="str">
        <f>IF($AD48="","",IFERROR(IF(INDEX(CARDS!$I$5:$I$34,MATCH($D48,CARDS!$A$5:$A$34,0))="","",IF(INDEX(CARDS!$I$5:$I$34,MATCH($D48,CARDS!$A$5:$A$34,0))&gt;INDEX(CARDS!$H$5:$H$34,MATCH($D48,CARDS!$A$5:$A$34,0)),DATE(YEAR($AD48),MONTH($AD48),MIN(INDEX(CARDS!$I$5:$I$34,MATCH($D48,CARDS!$A$5:$A$34,0)),DAY(EOMONTH($AD48,0)))),DATE(YEAR($AD48),MONTH($AD48)+1,MIN(INDEX(CARDS!$I$5:$I$34,MATCH($D48,CARDS!$A$5:$A$34,0)),DAY(EOMONTH($AD48,1)))))),""))</f>
        <v/>
      </c>
      <c r="U48" s="38" t="n"/>
      <c r="V48" s="37" t="n"/>
      <c r="W48" s="38" t="n"/>
      <c r="X48" s="38" t="n"/>
      <c r="Y48" s="44" t="str">
        <f>IF($AC48&gt;0,INDEX(CASHBACK_RULES!$A$5:$A$304,$AC48),"")</f>
        <v/>
      </c>
      <c r="Z48" s="45" t="str">
        <f>IF($AC48&gt;0,INDEX(CASHBACK_RULES!$E$5:$E$304,$AC48)&amp;"","")</f>
        <v/>
      </c>
      <c r="AA48" s="48" t="str">
        <f>IF($AC48&gt;0,IF(ISNUMBER(INDEX(CASHBACK_RULES!$K$5:$K$304,$AC48)),INDEX(CASHBACK_RULES!$K$5:$K$304,$AC48),"∞"),"")</f>
        <v/>
      </c>
      <c r="AB48" s="44" t="str">
        <f>IF(OR($B48="",$D48=""),"",IF($U48="Cancelled","Đã hủy",IF($AC48=0,"Không được hoàn",IF($Q48=0,IF(OR($O48&gt;0,$M48&lt;$L48),"Đã đạt cap","Không được hoàn"),IF(OR($Q48&lt;$O48,$M48&lt;$L48),"Hoàn một phần","Được hoàn")))))</f>
        <v/>
      </c>
      <c r="AC48" s="43">
        <f>IF(OR($B48="",$D48="",$I48="",$L48=""),0,IF($U48="Cancelled",0,IF($W48&lt;&gt;"",IFERROR(IF(INDEX(CASHBACK_RULES!$B$5:$B$304,MATCH($W48,CASHBACK_RULES!$A$5:$A$304,0))=$D48,MATCH($W48,CASHBACK_RULES!$A$5:$A$304,0),0),0),IFERROR(MATCH(1,INDEX((CASHBACK_RULES!$B$5:$B$304=$D48)*(CASHBACK_RULES!$G$5:$G$304=$I48)*(((CASHBACK_RULES!$N$5:$N$304="")+(CASHBACK_RULES!$N$5:$N$304&lt;=$B48))&gt;0)*(((CASHBACK_RULES!$O$5:$O$304="")+(CASHBACK_RULES!$O$5:$O$304&gt;=$B48))&gt;0)*(((CASHBACK_RULES!$M$5:$M$304="")+(CASHBACK_RULES!$M$5:$M$304&lt;=$L48))&gt;0),0),0),0))))</f>
        <v>0</v>
      </c>
      <c r="AD48" s="51" t="str">
        <f>IF(OR($B48="",$D48=""),"",IFERROR(IF(INDEX(CARDS!$H$5:$H$34,MATCH($D48,CARDS!$A$5:$A$34,0))="","",IF(DAY($B48)&lt;=INDEX(CARDS!$H$5:$H$34,MATCH($D48,CARDS!$A$5:$A$34,0)),DATE(YEAR($B48),MONTH($B48),MIN(INDEX(CARDS!$H$5:$H$34,MATCH($D48,CARDS!$A$5:$A$34,0)),DAY(EOMONTH($B48,0)))),DATE(YEAR($B48),MONTH($B48)+1,MIN(INDEX(CARDS!$H$5:$H$34,MATCH($D48,CARDS!$A$5:$A$34,0)),DAY(EOMONTH($B48,1)))))),""))</f>
        <v/>
      </c>
      <c r="AE48" s="52" t="str">
        <f>IF($C48="","",$C48&amp;"|"&amp;COUNTIF($C$5:$C48,$C48))</f>
        <v/>
      </c>
      <c r="AF48" s="53">
        <f>IF($AC48&gt;0,SUMIFS(Q$4:Q47,$D$4:$D47,$D48,$Z$4:$Z47,$Z48,$C$4:$C47,$C48),0)</f>
        <v>0</v>
      </c>
      <c r="AG48" s="53">
        <f>IF($AC48&gt;0,SUMIFS(Q$4:Q47,$D$4:$D47,$D48,$C$4:$C47,$C48),0)</f>
        <v>0</v>
      </c>
      <c r="AH48" s="53">
        <f>IF($AC48&gt;0,SUMIFS(M$4:M47,$D$4:$D47,$D48,$Z$4:$Z47,$Z48,$C$4:$C47,$C48),0)</f>
        <v>0</v>
      </c>
      <c r="AI48" s="43">
        <f>IF(OR($C48="",$I48=""),0,IF(COUNTIFS($C$5:$C48,$C48,$I$5:$I48,$I48)=1,1,0))</f>
        <v>0</v>
      </c>
      <c r="AJ48" s="43" t="str">
        <f>IF($AI48=1,SUMIFS($AI$4:$AI47,$C$4:$C47,$C48)+1,"")</f>
        <v/>
      </c>
      <c r="AK48" s="43">
        <f>IF(OR($C48="",$K48=""),0,IF(COUNTIFS($C$5:$C48,$C48,$K$5:$K48,$K48)=1,1,0))</f>
        <v>0</v>
      </c>
      <c r="AL48" s="43" t="str">
        <f>IF($AK48=1,SUMIFS($AK$4:$AK47,$C$4:$C47,$C48)+1,"")</f>
        <v/>
      </c>
      <c r="AM48" s="43">
        <f>IF(OR($C48="",$G48=""),0,IF(COUNTIFS($C$5:$C48,$C48,$G$5:$G48,$G48)=1,1,0))</f>
        <v>0</v>
      </c>
      <c r="AN48" s="43" t="str">
        <f>IF($AM48=1,SUMIFS($AM$4:$AM47,$C$4:$C47,$C48)+1,"")</f>
        <v/>
      </c>
    </row>
    <row r="49">
      <c r="A49" s="44" t="str">
        <f>IF(OR($B49="",$D49=""),"","TX"&amp;TEXT(ROW()-4,"0000"))</f>
        <v/>
      </c>
      <c r="B49" s="42" t="n"/>
      <c r="C49" s="47" t="str">
        <f>IF($B49="","",YEAR($B49)*100+MONTH($B49))</f>
        <v/>
      </c>
      <c r="D49" s="37" t="n"/>
      <c r="E49" s="45" t="str">
        <f>IF($D49="","",IFERROR(INDEX(CARDS!$B$5:$B$34,MATCH($D49,CARDS!$A$5:$A$34,0)),"⚠ Card ID?"))</f>
        <v/>
      </c>
      <c r="F49" s="45" t="str">
        <f>IF($D49="","",IFERROR(INDEX(CARDS!$C$5:$C$34,MATCH($D49,CARDS!$A$5:$A$34,0)),"⚠ Card ID?"))</f>
        <v/>
      </c>
      <c r="G49" s="37" t="n"/>
      <c r="H49" s="37" t="n"/>
      <c r="I49" s="41" t="n"/>
      <c r="J49" s="45" t="str">
        <f>IF($I49="","",IFERROR(INDEX(MCC_MASTER!$B$5:$B$504,MATCH($I49,MCC_MASTER!$A$5:$A$504,0)),"⚠ MCC chưa có"))</f>
        <v/>
      </c>
      <c r="K49" s="45" t="str">
        <f>IF($I49="","",IFERROR(IF(INDEX(MCC_MASTER!$C$5:$C$504,MATCH($I49,MCC_MASTER!$A$5:$A$504,0))="","Chưa phân loại",INDEX(MCC_MASTER!$C$5:$C$504,MATCH($I49,MCC_MASTER!$A$5:$A$504,0))),"Chưa phân loại"))</f>
        <v/>
      </c>
      <c r="L49" s="40" t="n"/>
      <c r="M49" s="48" t="str">
        <f>IF(OR($B49="",$D49=""),"",IF($AC49=0,0,IF(ISNUMBER(INDEX(CASHBACK_RULES!$L$5:$L$304,$AC49)),MAX(0,MIN($L49,INDEX(CASHBACK_RULES!$L$5:$L$304,$AC49)-$AH49)),MAX(0,$L49))))</f>
        <v/>
      </c>
      <c r="N49" s="49" t="str">
        <f>IF(OR($B49="",$D49=""),"",IF($AC49&gt;0,INDEX(CASHBACK_RULES!$I$5:$I$304,$AC49),0))</f>
        <v/>
      </c>
      <c r="O49" s="48" t="str">
        <f>IF(OR($B49="",$D49=""),"",ROUND($M49*$N49,0))</f>
        <v/>
      </c>
      <c r="P49" s="48" t="str">
        <f>IF($AC49&gt;0,IF(ISNUMBER(INDEX(CASHBACK_RULES!$J$5:$J$304,$AC49)),INDEX(CASHBACK_RULES!$J$5:$J$304,$AC49),"∞"),"")</f>
        <v/>
      </c>
      <c r="Q49" s="48" t="str">
        <f>IF(OR($B49="",$D49=""),"",IF($AC49=0,0,MAX(0,MIN($O49,IF(ISNUMBER($P49),$P49-$AF49,1E+15),IF(ISNUMBER($AA49),$AA49-$AG49,1E+15)))))</f>
        <v/>
      </c>
      <c r="R49" s="48" t="str">
        <f>IF(OR($B49="",$D49=""),"",IF($AC49=0,"",IF(AND(NOT(ISNUMBER($P49)),NOT(ISNUMBER($AA49))),"∞",MAX(0,MIN(IF(ISNUMBER($P49),$P49-$AF49-$Q49,1E+15),IF(ISNUMBER($AA49),$AA49-$AG49-$Q49,1E+15))))))</f>
        <v/>
      </c>
      <c r="S49" s="47" t="str">
        <f>IF($AD49="","",YEAR($AD49)*100+MONTH($AD49))</f>
        <v/>
      </c>
      <c r="T49" s="50" t="str">
        <f>IF($AD49="","",IFERROR(IF(INDEX(CARDS!$I$5:$I$34,MATCH($D49,CARDS!$A$5:$A$34,0))="","",IF(INDEX(CARDS!$I$5:$I$34,MATCH($D49,CARDS!$A$5:$A$34,0))&gt;INDEX(CARDS!$H$5:$H$34,MATCH($D49,CARDS!$A$5:$A$34,0)),DATE(YEAR($AD49),MONTH($AD49),MIN(INDEX(CARDS!$I$5:$I$34,MATCH($D49,CARDS!$A$5:$A$34,0)),DAY(EOMONTH($AD49,0)))),DATE(YEAR($AD49),MONTH($AD49)+1,MIN(INDEX(CARDS!$I$5:$I$34,MATCH($D49,CARDS!$A$5:$A$34,0)),DAY(EOMONTH($AD49,1)))))),""))</f>
        <v/>
      </c>
      <c r="U49" s="38" t="n"/>
      <c r="V49" s="37" t="n"/>
      <c r="W49" s="38" t="n"/>
      <c r="X49" s="38" t="n"/>
      <c r="Y49" s="44" t="str">
        <f>IF($AC49&gt;0,INDEX(CASHBACK_RULES!$A$5:$A$304,$AC49),"")</f>
        <v/>
      </c>
      <c r="Z49" s="45" t="str">
        <f>IF($AC49&gt;0,INDEX(CASHBACK_RULES!$E$5:$E$304,$AC49)&amp;"","")</f>
        <v/>
      </c>
      <c r="AA49" s="48" t="str">
        <f>IF($AC49&gt;0,IF(ISNUMBER(INDEX(CASHBACK_RULES!$K$5:$K$304,$AC49)),INDEX(CASHBACK_RULES!$K$5:$K$304,$AC49),"∞"),"")</f>
        <v/>
      </c>
      <c r="AB49" s="44" t="str">
        <f>IF(OR($B49="",$D49=""),"",IF($U49="Cancelled","Đã hủy",IF($AC49=0,"Không được hoàn",IF($Q49=0,IF(OR($O49&gt;0,$M49&lt;$L49),"Đã đạt cap","Không được hoàn"),IF(OR($Q49&lt;$O49,$M49&lt;$L49),"Hoàn một phần","Được hoàn")))))</f>
        <v/>
      </c>
      <c r="AC49" s="43">
        <f>IF(OR($B49="",$D49="",$I49="",$L49=""),0,IF($U49="Cancelled",0,IF($W49&lt;&gt;"",IFERROR(IF(INDEX(CASHBACK_RULES!$B$5:$B$304,MATCH($W49,CASHBACK_RULES!$A$5:$A$304,0))=$D49,MATCH($W49,CASHBACK_RULES!$A$5:$A$304,0),0),0),IFERROR(MATCH(1,INDEX((CASHBACK_RULES!$B$5:$B$304=$D49)*(CASHBACK_RULES!$G$5:$G$304=$I49)*(((CASHBACK_RULES!$N$5:$N$304="")+(CASHBACK_RULES!$N$5:$N$304&lt;=$B49))&gt;0)*(((CASHBACK_RULES!$O$5:$O$304="")+(CASHBACK_RULES!$O$5:$O$304&gt;=$B49))&gt;0)*(((CASHBACK_RULES!$M$5:$M$304="")+(CASHBACK_RULES!$M$5:$M$304&lt;=$L49))&gt;0),0),0),0))))</f>
        <v>0</v>
      </c>
      <c r="AD49" s="51" t="str">
        <f>IF(OR($B49="",$D49=""),"",IFERROR(IF(INDEX(CARDS!$H$5:$H$34,MATCH($D49,CARDS!$A$5:$A$34,0))="","",IF(DAY($B49)&lt;=INDEX(CARDS!$H$5:$H$34,MATCH($D49,CARDS!$A$5:$A$34,0)),DATE(YEAR($B49),MONTH($B49),MIN(INDEX(CARDS!$H$5:$H$34,MATCH($D49,CARDS!$A$5:$A$34,0)),DAY(EOMONTH($B49,0)))),DATE(YEAR($B49),MONTH($B49)+1,MIN(INDEX(CARDS!$H$5:$H$34,MATCH($D49,CARDS!$A$5:$A$34,0)),DAY(EOMONTH($B49,1)))))),""))</f>
        <v/>
      </c>
      <c r="AE49" s="52" t="str">
        <f>IF($C49="","",$C49&amp;"|"&amp;COUNTIF($C$5:$C49,$C49))</f>
        <v/>
      </c>
      <c r="AF49" s="53">
        <f>IF($AC49&gt;0,SUMIFS(Q$4:Q48,$D$4:$D48,$D49,$Z$4:$Z48,$Z49,$C$4:$C48,$C49),0)</f>
        <v>0</v>
      </c>
      <c r="AG49" s="53">
        <f>IF($AC49&gt;0,SUMIFS(Q$4:Q48,$D$4:$D48,$D49,$C$4:$C48,$C49),0)</f>
        <v>0</v>
      </c>
      <c r="AH49" s="53">
        <f>IF($AC49&gt;0,SUMIFS(M$4:M48,$D$4:$D48,$D49,$Z$4:$Z48,$Z49,$C$4:$C48,$C49),0)</f>
        <v>0</v>
      </c>
      <c r="AI49" s="43">
        <f>IF(OR($C49="",$I49=""),0,IF(COUNTIFS($C$5:$C49,$C49,$I$5:$I49,$I49)=1,1,0))</f>
        <v>0</v>
      </c>
      <c r="AJ49" s="43" t="str">
        <f>IF($AI49=1,SUMIFS($AI$4:$AI48,$C$4:$C48,$C49)+1,"")</f>
        <v/>
      </c>
      <c r="AK49" s="43">
        <f>IF(OR($C49="",$K49=""),0,IF(COUNTIFS($C$5:$C49,$C49,$K$5:$K49,$K49)=1,1,0))</f>
        <v>0</v>
      </c>
      <c r="AL49" s="43" t="str">
        <f>IF($AK49=1,SUMIFS($AK$4:$AK48,$C$4:$C48,$C49)+1,"")</f>
        <v/>
      </c>
      <c r="AM49" s="43">
        <f>IF(OR($C49="",$G49=""),0,IF(COUNTIFS($C$5:$C49,$C49,$G$5:$G49,$G49)=1,1,0))</f>
        <v>0</v>
      </c>
      <c r="AN49" s="43" t="str">
        <f>IF($AM49=1,SUMIFS($AM$4:$AM48,$C$4:$C48,$C49)+1,"")</f>
        <v/>
      </c>
    </row>
    <row r="50">
      <c r="A50" s="44" t="str">
        <f>IF(OR($B50="",$D50=""),"","TX"&amp;TEXT(ROW()-4,"0000"))</f>
        <v/>
      </c>
      <c r="B50" s="42" t="n"/>
      <c r="C50" s="47" t="str">
        <f>IF($B50="","",YEAR($B50)*100+MONTH($B50))</f>
        <v/>
      </c>
      <c r="D50" s="37" t="n"/>
      <c r="E50" s="45" t="str">
        <f>IF($D50="","",IFERROR(INDEX(CARDS!$B$5:$B$34,MATCH($D50,CARDS!$A$5:$A$34,0)),"⚠ Card ID?"))</f>
        <v/>
      </c>
      <c r="F50" s="45" t="str">
        <f>IF($D50="","",IFERROR(INDEX(CARDS!$C$5:$C$34,MATCH($D50,CARDS!$A$5:$A$34,0)),"⚠ Card ID?"))</f>
        <v/>
      </c>
      <c r="G50" s="37" t="n"/>
      <c r="H50" s="37" t="n"/>
      <c r="I50" s="41" t="n"/>
      <c r="J50" s="45" t="str">
        <f>IF($I50="","",IFERROR(INDEX(MCC_MASTER!$B$5:$B$504,MATCH($I50,MCC_MASTER!$A$5:$A$504,0)),"⚠ MCC chưa có"))</f>
        <v/>
      </c>
      <c r="K50" s="45" t="str">
        <f>IF($I50="","",IFERROR(IF(INDEX(MCC_MASTER!$C$5:$C$504,MATCH($I50,MCC_MASTER!$A$5:$A$504,0))="","Chưa phân loại",INDEX(MCC_MASTER!$C$5:$C$504,MATCH($I50,MCC_MASTER!$A$5:$A$504,0))),"Chưa phân loại"))</f>
        <v/>
      </c>
      <c r="L50" s="40" t="n"/>
      <c r="M50" s="48" t="str">
        <f>IF(OR($B50="",$D50=""),"",IF($AC50=0,0,IF(ISNUMBER(INDEX(CASHBACK_RULES!$L$5:$L$304,$AC50)),MAX(0,MIN($L50,INDEX(CASHBACK_RULES!$L$5:$L$304,$AC50)-$AH50)),MAX(0,$L50))))</f>
        <v/>
      </c>
      <c r="N50" s="49" t="str">
        <f>IF(OR($B50="",$D50=""),"",IF($AC50&gt;0,INDEX(CASHBACK_RULES!$I$5:$I$304,$AC50),0))</f>
        <v/>
      </c>
      <c r="O50" s="48" t="str">
        <f>IF(OR($B50="",$D50=""),"",ROUND($M50*$N50,0))</f>
        <v/>
      </c>
      <c r="P50" s="48" t="str">
        <f>IF($AC50&gt;0,IF(ISNUMBER(INDEX(CASHBACK_RULES!$J$5:$J$304,$AC50)),INDEX(CASHBACK_RULES!$J$5:$J$304,$AC50),"∞"),"")</f>
        <v/>
      </c>
      <c r="Q50" s="48" t="str">
        <f>IF(OR($B50="",$D50=""),"",IF($AC50=0,0,MAX(0,MIN($O50,IF(ISNUMBER($P50),$P50-$AF50,1E+15),IF(ISNUMBER($AA50),$AA50-$AG50,1E+15)))))</f>
        <v/>
      </c>
      <c r="R50" s="48" t="str">
        <f>IF(OR($B50="",$D50=""),"",IF($AC50=0,"",IF(AND(NOT(ISNUMBER($P50)),NOT(ISNUMBER($AA50))),"∞",MAX(0,MIN(IF(ISNUMBER($P50),$P50-$AF50-$Q50,1E+15),IF(ISNUMBER($AA50),$AA50-$AG50-$Q50,1E+15))))))</f>
        <v/>
      </c>
      <c r="S50" s="47" t="str">
        <f>IF($AD50="","",YEAR($AD50)*100+MONTH($AD50))</f>
        <v/>
      </c>
      <c r="T50" s="50" t="str">
        <f>IF($AD50="","",IFERROR(IF(INDEX(CARDS!$I$5:$I$34,MATCH($D50,CARDS!$A$5:$A$34,0))="","",IF(INDEX(CARDS!$I$5:$I$34,MATCH($D50,CARDS!$A$5:$A$34,0))&gt;INDEX(CARDS!$H$5:$H$34,MATCH($D50,CARDS!$A$5:$A$34,0)),DATE(YEAR($AD50),MONTH($AD50),MIN(INDEX(CARDS!$I$5:$I$34,MATCH($D50,CARDS!$A$5:$A$34,0)),DAY(EOMONTH($AD50,0)))),DATE(YEAR($AD50),MONTH($AD50)+1,MIN(INDEX(CARDS!$I$5:$I$34,MATCH($D50,CARDS!$A$5:$A$34,0)),DAY(EOMONTH($AD50,1)))))),""))</f>
        <v/>
      </c>
      <c r="U50" s="38" t="n"/>
      <c r="V50" s="37" t="n"/>
      <c r="W50" s="38" t="n"/>
      <c r="X50" s="38" t="n"/>
      <c r="Y50" s="44" t="str">
        <f>IF($AC50&gt;0,INDEX(CASHBACK_RULES!$A$5:$A$304,$AC50),"")</f>
        <v/>
      </c>
      <c r="Z50" s="45" t="str">
        <f>IF($AC50&gt;0,INDEX(CASHBACK_RULES!$E$5:$E$304,$AC50)&amp;"","")</f>
        <v/>
      </c>
      <c r="AA50" s="48" t="str">
        <f>IF($AC50&gt;0,IF(ISNUMBER(INDEX(CASHBACK_RULES!$K$5:$K$304,$AC50)),INDEX(CASHBACK_RULES!$K$5:$K$304,$AC50),"∞"),"")</f>
        <v/>
      </c>
      <c r="AB50" s="44" t="str">
        <f>IF(OR($B50="",$D50=""),"",IF($U50="Cancelled","Đã hủy",IF($AC50=0,"Không được hoàn",IF($Q50=0,IF(OR($O50&gt;0,$M50&lt;$L50),"Đã đạt cap","Không được hoàn"),IF(OR($Q50&lt;$O50,$M50&lt;$L50),"Hoàn một phần","Được hoàn")))))</f>
        <v/>
      </c>
      <c r="AC50" s="43">
        <f>IF(OR($B50="",$D50="",$I50="",$L50=""),0,IF($U50="Cancelled",0,IF($W50&lt;&gt;"",IFERROR(IF(INDEX(CASHBACK_RULES!$B$5:$B$304,MATCH($W50,CASHBACK_RULES!$A$5:$A$304,0))=$D50,MATCH($W50,CASHBACK_RULES!$A$5:$A$304,0),0),0),IFERROR(MATCH(1,INDEX((CASHBACK_RULES!$B$5:$B$304=$D50)*(CASHBACK_RULES!$G$5:$G$304=$I50)*(((CASHBACK_RULES!$N$5:$N$304="")+(CASHBACK_RULES!$N$5:$N$304&lt;=$B50))&gt;0)*(((CASHBACK_RULES!$O$5:$O$304="")+(CASHBACK_RULES!$O$5:$O$304&gt;=$B50))&gt;0)*(((CASHBACK_RULES!$M$5:$M$304="")+(CASHBACK_RULES!$M$5:$M$304&lt;=$L50))&gt;0),0),0),0))))</f>
        <v>0</v>
      </c>
      <c r="AD50" s="51" t="str">
        <f>IF(OR($B50="",$D50=""),"",IFERROR(IF(INDEX(CARDS!$H$5:$H$34,MATCH($D50,CARDS!$A$5:$A$34,0))="","",IF(DAY($B50)&lt;=INDEX(CARDS!$H$5:$H$34,MATCH($D50,CARDS!$A$5:$A$34,0)),DATE(YEAR($B50),MONTH($B50),MIN(INDEX(CARDS!$H$5:$H$34,MATCH($D50,CARDS!$A$5:$A$34,0)),DAY(EOMONTH($B50,0)))),DATE(YEAR($B50),MONTH($B50)+1,MIN(INDEX(CARDS!$H$5:$H$34,MATCH($D50,CARDS!$A$5:$A$34,0)),DAY(EOMONTH($B50,1)))))),""))</f>
        <v/>
      </c>
      <c r="AE50" s="52" t="str">
        <f>IF($C50="","",$C50&amp;"|"&amp;COUNTIF($C$5:$C50,$C50))</f>
        <v/>
      </c>
      <c r="AF50" s="53">
        <f>IF($AC50&gt;0,SUMIFS(Q$4:Q49,$D$4:$D49,$D50,$Z$4:$Z49,$Z50,$C$4:$C49,$C50),0)</f>
        <v>0</v>
      </c>
      <c r="AG50" s="53">
        <f>IF($AC50&gt;0,SUMIFS(Q$4:Q49,$D$4:$D49,$D50,$C$4:$C49,$C50),0)</f>
        <v>0</v>
      </c>
      <c r="AH50" s="53">
        <f>IF($AC50&gt;0,SUMIFS(M$4:M49,$D$4:$D49,$D50,$Z$4:$Z49,$Z50,$C$4:$C49,$C50),0)</f>
        <v>0</v>
      </c>
      <c r="AI50" s="43">
        <f>IF(OR($C50="",$I50=""),0,IF(COUNTIFS($C$5:$C50,$C50,$I$5:$I50,$I50)=1,1,0))</f>
        <v>0</v>
      </c>
      <c r="AJ50" s="43" t="str">
        <f>IF($AI50=1,SUMIFS($AI$4:$AI49,$C$4:$C49,$C50)+1,"")</f>
        <v/>
      </c>
      <c r="AK50" s="43">
        <f>IF(OR($C50="",$K50=""),0,IF(COUNTIFS($C$5:$C50,$C50,$K$5:$K50,$K50)=1,1,0))</f>
        <v>0</v>
      </c>
      <c r="AL50" s="43" t="str">
        <f>IF($AK50=1,SUMIFS($AK$4:$AK49,$C$4:$C49,$C50)+1,"")</f>
        <v/>
      </c>
      <c r="AM50" s="43">
        <f>IF(OR($C50="",$G50=""),0,IF(COUNTIFS($C$5:$C50,$C50,$G$5:$G50,$G50)=1,1,0))</f>
        <v>0</v>
      </c>
      <c r="AN50" s="43" t="str">
        <f>IF($AM50=1,SUMIFS($AM$4:$AM49,$C$4:$C49,$C50)+1,"")</f>
        <v/>
      </c>
    </row>
    <row r="51">
      <c r="A51" s="44" t="str">
        <f>IF(OR($B51="",$D51=""),"","TX"&amp;TEXT(ROW()-4,"0000"))</f>
        <v/>
      </c>
      <c r="B51" s="42" t="n"/>
      <c r="C51" s="47" t="str">
        <f>IF($B51="","",YEAR($B51)*100+MONTH($B51))</f>
        <v/>
      </c>
      <c r="D51" s="37" t="n"/>
      <c r="E51" s="45" t="str">
        <f>IF($D51="","",IFERROR(INDEX(CARDS!$B$5:$B$34,MATCH($D51,CARDS!$A$5:$A$34,0)),"⚠ Card ID?"))</f>
        <v/>
      </c>
      <c r="F51" s="45" t="str">
        <f>IF($D51="","",IFERROR(INDEX(CARDS!$C$5:$C$34,MATCH($D51,CARDS!$A$5:$A$34,0)),"⚠ Card ID?"))</f>
        <v/>
      </c>
      <c r="G51" s="37" t="n"/>
      <c r="H51" s="37" t="n"/>
      <c r="I51" s="41" t="n"/>
      <c r="J51" s="45" t="str">
        <f>IF($I51="","",IFERROR(INDEX(MCC_MASTER!$B$5:$B$504,MATCH($I51,MCC_MASTER!$A$5:$A$504,0)),"⚠ MCC chưa có"))</f>
        <v/>
      </c>
      <c r="K51" s="45" t="str">
        <f>IF($I51="","",IFERROR(IF(INDEX(MCC_MASTER!$C$5:$C$504,MATCH($I51,MCC_MASTER!$A$5:$A$504,0))="","Chưa phân loại",INDEX(MCC_MASTER!$C$5:$C$504,MATCH($I51,MCC_MASTER!$A$5:$A$504,0))),"Chưa phân loại"))</f>
        <v/>
      </c>
      <c r="L51" s="40" t="n"/>
      <c r="M51" s="48" t="str">
        <f>IF(OR($B51="",$D51=""),"",IF($AC51=0,0,IF(ISNUMBER(INDEX(CASHBACK_RULES!$L$5:$L$304,$AC51)),MAX(0,MIN($L51,INDEX(CASHBACK_RULES!$L$5:$L$304,$AC51)-$AH51)),MAX(0,$L51))))</f>
        <v/>
      </c>
      <c r="N51" s="49" t="str">
        <f>IF(OR($B51="",$D51=""),"",IF($AC51&gt;0,INDEX(CASHBACK_RULES!$I$5:$I$304,$AC51),0))</f>
        <v/>
      </c>
      <c r="O51" s="48" t="str">
        <f>IF(OR($B51="",$D51=""),"",ROUND($M51*$N51,0))</f>
        <v/>
      </c>
      <c r="P51" s="48" t="str">
        <f>IF($AC51&gt;0,IF(ISNUMBER(INDEX(CASHBACK_RULES!$J$5:$J$304,$AC51)),INDEX(CASHBACK_RULES!$J$5:$J$304,$AC51),"∞"),"")</f>
        <v/>
      </c>
      <c r="Q51" s="48" t="str">
        <f>IF(OR($B51="",$D51=""),"",IF($AC51=0,0,MAX(0,MIN($O51,IF(ISNUMBER($P51),$P51-$AF51,1E+15),IF(ISNUMBER($AA51),$AA51-$AG51,1E+15)))))</f>
        <v/>
      </c>
      <c r="R51" s="48" t="str">
        <f>IF(OR($B51="",$D51=""),"",IF($AC51=0,"",IF(AND(NOT(ISNUMBER($P51)),NOT(ISNUMBER($AA51))),"∞",MAX(0,MIN(IF(ISNUMBER($P51),$P51-$AF51-$Q51,1E+15),IF(ISNUMBER($AA51),$AA51-$AG51-$Q51,1E+15))))))</f>
        <v/>
      </c>
      <c r="S51" s="47" t="str">
        <f>IF($AD51="","",YEAR($AD51)*100+MONTH($AD51))</f>
        <v/>
      </c>
      <c r="T51" s="50" t="str">
        <f>IF($AD51="","",IFERROR(IF(INDEX(CARDS!$I$5:$I$34,MATCH($D51,CARDS!$A$5:$A$34,0))="","",IF(INDEX(CARDS!$I$5:$I$34,MATCH($D51,CARDS!$A$5:$A$34,0))&gt;INDEX(CARDS!$H$5:$H$34,MATCH($D51,CARDS!$A$5:$A$34,0)),DATE(YEAR($AD51),MONTH($AD51),MIN(INDEX(CARDS!$I$5:$I$34,MATCH($D51,CARDS!$A$5:$A$34,0)),DAY(EOMONTH($AD51,0)))),DATE(YEAR($AD51),MONTH($AD51)+1,MIN(INDEX(CARDS!$I$5:$I$34,MATCH($D51,CARDS!$A$5:$A$34,0)),DAY(EOMONTH($AD51,1)))))),""))</f>
        <v/>
      </c>
      <c r="U51" s="38" t="n"/>
      <c r="V51" s="37" t="n"/>
      <c r="W51" s="38" t="n"/>
      <c r="X51" s="38" t="n"/>
      <c r="Y51" s="44" t="str">
        <f>IF($AC51&gt;0,INDEX(CASHBACK_RULES!$A$5:$A$304,$AC51),"")</f>
        <v/>
      </c>
      <c r="Z51" s="45" t="str">
        <f>IF($AC51&gt;0,INDEX(CASHBACK_RULES!$E$5:$E$304,$AC51)&amp;"","")</f>
        <v/>
      </c>
      <c r="AA51" s="48" t="str">
        <f>IF($AC51&gt;0,IF(ISNUMBER(INDEX(CASHBACK_RULES!$K$5:$K$304,$AC51)),INDEX(CASHBACK_RULES!$K$5:$K$304,$AC51),"∞"),"")</f>
        <v/>
      </c>
      <c r="AB51" s="44" t="str">
        <f>IF(OR($B51="",$D51=""),"",IF($U51="Cancelled","Đã hủy",IF($AC51=0,"Không được hoàn",IF($Q51=0,IF(OR($O51&gt;0,$M51&lt;$L51),"Đã đạt cap","Không được hoàn"),IF(OR($Q51&lt;$O51,$M51&lt;$L51),"Hoàn một phần","Được hoàn")))))</f>
        <v/>
      </c>
      <c r="AC51" s="43">
        <f>IF(OR($B51="",$D51="",$I51="",$L51=""),0,IF($U51="Cancelled",0,IF($W51&lt;&gt;"",IFERROR(IF(INDEX(CASHBACK_RULES!$B$5:$B$304,MATCH($W51,CASHBACK_RULES!$A$5:$A$304,0))=$D51,MATCH($W51,CASHBACK_RULES!$A$5:$A$304,0),0),0),IFERROR(MATCH(1,INDEX((CASHBACK_RULES!$B$5:$B$304=$D51)*(CASHBACK_RULES!$G$5:$G$304=$I51)*(((CASHBACK_RULES!$N$5:$N$304="")+(CASHBACK_RULES!$N$5:$N$304&lt;=$B51))&gt;0)*(((CASHBACK_RULES!$O$5:$O$304="")+(CASHBACK_RULES!$O$5:$O$304&gt;=$B51))&gt;0)*(((CASHBACK_RULES!$M$5:$M$304="")+(CASHBACK_RULES!$M$5:$M$304&lt;=$L51))&gt;0),0),0),0))))</f>
        <v>0</v>
      </c>
      <c r="AD51" s="51" t="str">
        <f>IF(OR($B51="",$D51=""),"",IFERROR(IF(INDEX(CARDS!$H$5:$H$34,MATCH($D51,CARDS!$A$5:$A$34,0))="","",IF(DAY($B51)&lt;=INDEX(CARDS!$H$5:$H$34,MATCH($D51,CARDS!$A$5:$A$34,0)),DATE(YEAR($B51),MONTH($B51),MIN(INDEX(CARDS!$H$5:$H$34,MATCH($D51,CARDS!$A$5:$A$34,0)),DAY(EOMONTH($B51,0)))),DATE(YEAR($B51),MONTH($B51)+1,MIN(INDEX(CARDS!$H$5:$H$34,MATCH($D51,CARDS!$A$5:$A$34,0)),DAY(EOMONTH($B51,1)))))),""))</f>
        <v/>
      </c>
      <c r="AE51" s="52" t="str">
        <f>IF($C51="","",$C51&amp;"|"&amp;COUNTIF($C$5:$C51,$C51))</f>
        <v/>
      </c>
      <c r="AF51" s="53">
        <f>IF($AC51&gt;0,SUMIFS(Q$4:Q50,$D$4:$D50,$D51,$Z$4:$Z50,$Z51,$C$4:$C50,$C51),0)</f>
        <v>0</v>
      </c>
      <c r="AG51" s="53">
        <f>IF($AC51&gt;0,SUMIFS(Q$4:Q50,$D$4:$D50,$D51,$C$4:$C50,$C51),0)</f>
        <v>0</v>
      </c>
      <c r="AH51" s="53">
        <f>IF($AC51&gt;0,SUMIFS(M$4:M50,$D$4:$D50,$D51,$Z$4:$Z50,$Z51,$C$4:$C50,$C51),0)</f>
        <v>0</v>
      </c>
      <c r="AI51" s="43">
        <f>IF(OR($C51="",$I51=""),0,IF(COUNTIFS($C$5:$C51,$C51,$I$5:$I51,$I51)=1,1,0))</f>
        <v>0</v>
      </c>
      <c r="AJ51" s="43" t="str">
        <f>IF($AI51=1,SUMIFS($AI$4:$AI50,$C$4:$C50,$C51)+1,"")</f>
        <v/>
      </c>
      <c r="AK51" s="43">
        <f>IF(OR($C51="",$K51=""),0,IF(COUNTIFS($C$5:$C51,$C51,$K$5:$K51,$K51)=1,1,0))</f>
        <v>0</v>
      </c>
      <c r="AL51" s="43" t="str">
        <f>IF($AK51=1,SUMIFS($AK$4:$AK50,$C$4:$C50,$C51)+1,"")</f>
        <v/>
      </c>
      <c r="AM51" s="43">
        <f>IF(OR($C51="",$G51=""),0,IF(COUNTIFS($C$5:$C51,$C51,$G$5:$G51,$G51)=1,1,0))</f>
        <v>0</v>
      </c>
      <c r="AN51" s="43" t="str">
        <f>IF($AM51=1,SUMIFS($AM$4:$AM50,$C$4:$C50,$C51)+1,"")</f>
        <v/>
      </c>
    </row>
    <row r="52">
      <c r="A52" s="44" t="str">
        <f>IF(OR($B52="",$D52=""),"","TX"&amp;TEXT(ROW()-4,"0000"))</f>
        <v/>
      </c>
      <c r="B52" s="42" t="n"/>
      <c r="C52" s="47" t="str">
        <f>IF($B52="","",YEAR($B52)*100+MONTH($B52))</f>
        <v/>
      </c>
      <c r="D52" s="37" t="n"/>
      <c r="E52" s="45" t="str">
        <f>IF($D52="","",IFERROR(INDEX(CARDS!$B$5:$B$34,MATCH($D52,CARDS!$A$5:$A$34,0)),"⚠ Card ID?"))</f>
        <v/>
      </c>
      <c r="F52" s="45" t="str">
        <f>IF($D52="","",IFERROR(INDEX(CARDS!$C$5:$C$34,MATCH($D52,CARDS!$A$5:$A$34,0)),"⚠ Card ID?"))</f>
        <v/>
      </c>
      <c r="G52" s="37" t="n"/>
      <c r="H52" s="37" t="n"/>
      <c r="I52" s="41" t="n"/>
      <c r="J52" s="45" t="str">
        <f>IF($I52="","",IFERROR(INDEX(MCC_MASTER!$B$5:$B$504,MATCH($I52,MCC_MASTER!$A$5:$A$504,0)),"⚠ MCC chưa có"))</f>
        <v/>
      </c>
      <c r="K52" s="45" t="str">
        <f>IF($I52="","",IFERROR(IF(INDEX(MCC_MASTER!$C$5:$C$504,MATCH($I52,MCC_MASTER!$A$5:$A$504,0))="","Chưa phân loại",INDEX(MCC_MASTER!$C$5:$C$504,MATCH($I52,MCC_MASTER!$A$5:$A$504,0))),"Chưa phân loại"))</f>
        <v/>
      </c>
      <c r="L52" s="40" t="n"/>
      <c r="M52" s="48" t="str">
        <f>IF(OR($B52="",$D52=""),"",IF($AC52=0,0,IF(ISNUMBER(INDEX(CASHBACK_RULES!$L$5:$L$304,$AC52)),MAX(0,MIN($L52,INDEX(CASHBACK_RULES!$L$5:$L$304,$AC52)-$AH52)),MAX(0,$L52))))</f>
        <v/>
      </c>
      <c r="N52" s="49" t="str">
        <f>IF(OR($B52="",$D52=""),"",IF($AC52&gt;0,INDEX(CASHBACK_RULES!$I$5:$I$304,$AC52),0))</f>
        <v/>
      </c>
      <c r="O52" s="48" t="str">
        <f>IF(OR($B52="",$D52=""),"",ROUND($M52*$N52,0))</f>
        <v/>
      </c>
      <c r="P52" s="48" t="str">
        <f>IF($AC52&gt;0,IF(ISNUMBER(INDEX(CASHBACK_RULES!$J$5:$J$304,$AC52)),INDEX(CASHBACK_RULES!$J$5:$J$304,$AC52),"∞"),"")</f>
        <v/>
      </c>
      <c r="Q52" s="48" t="str">
        <f>IF(OR($B52="",$D52=""),"",IF($AC52=0,0,MAX(0,MIN($O52,IF(ISNUMBER($P52),$P52-$AF52,1E+15),IF(ISNUMBER($AA52),$AA52-$AG52,1E+15)))))</f>
        <v/>
      </c>
      <c r="R52" s="48" t="str">
        <f>IF(OR($B52="",$D52=""),"",IF($AC52=0,"",IF(AND(NOT(ISNUMBER($P52)),NOT(ISNUMBER($AA52))),"∞",MAX(0,MIN(IF(ISNUMBER($P52),$P52-$AF52-$Q52,1E+15),IF(ISNUMBER($AA52),$AA52-$AG52-$Q52,1E+15))))))</f>
        <v/>
      </c>
      <c r="S52" s="47" t="str">
        <f>IF($AD52="","",YEAR($AD52)*100+MONTH($AD52))</f>
        <v/>
      </c>
      <c r="T52" s="50" t="str">
        <f>IF($AD52="","",IFERROR(IF(INDEX(CARDS!$I$5:$I$34,MATCH($D52,CARDS!$A$5:$A$34,0))="","",IF(INDEX(CARDS!$I$5:$I$34,MATCH($D52,CARDS!$A$5:$A$34,0))&gt;INDEX(CARDS!$H$5:$H$34,MATCH($D52,CARDS!$A$5:$A$34,0)),DATE(YEAR($AD52),MONTH($AD52),MIN(INDEX(CARDS!$I$5:$I$34,MATCH($D52,CARDS!$A$5:$A$34,0)),DAY(EOMONTH($AD52,0)))),DATE(YEAR($AD52),MONTH($AD52)+1,MIN(INDEX(CARDS!$I$5:$I$34,MATCH($D52,CARDS!$A$5:$A$34,0)),DAY(EOMONTH($AD52,1)))))),""))</f>
        <v/>
      </c>
      <c r="U52" s="38" t="n"/>
      <c r="V52" s="37" t="n"/>
      <c r="W52" s="38" t="n"/>
      <c r="X52" s="38" t="n"/>
      <c r="Y52" s="44" t="str">
        <f>IF($AC52&gt;0,INDEX(CASHBACK_RULES!$A$5:$A$304,$AC52),"")</f>
        <v/>
      </c>
      <c r="Z52" s="45" t="str">
        <f>IF($AC52&gt;0,INDEX(CASHBACK_RULES!$E$5:$E$304,$AC52)&amp;"","")</f>
        <v/>
      </c>
      <c r="AA52" s="48" t="str">
        <f>IF($AC52&gt;0,IF(ISNUMBER(INDEX(CASHBACK_RULES!$K$5:$K$304,$AC52)),INDEX(CASHBACK_RULES!$K$5:$K$304,$AC52),"∞"),"")</f>
        <v/>
      </c>
      <c r="AB52" s="44" t="str">
        <f>IF(OR($B52="",$D52=""),"",IF($U52="Cancelled","Đã hủy",IF($AC52=0,"Không được hoàn",IF($Q52=0,IF(OR($O52&gt;0,$M52&lt;$L52),"Đã đạt cap","Không được hoàn"),IF(OR($Q52&lt;$O52,$M52&lt;$L52),"Hoàn một phần","Được hoàn")))))</f>
        <v/>
      </c>
      <c r="AC52" s="43">
        <f>IF(OR($B52="",$D52="",$I52="",$L52=""),0,IF($U52="Cancelled",0,IF($W52&lt;&gt;"",IFERROR(IF(INDEX(CASHBACK_RULES!$B$5:$B$304,MATCH($W52,CASHBACK_RULES!$A$5:$A$304,0))=$D52,MATCH($W52,CASHBACK_RULES!$A$5:$A$304,0),0),0),IFERROR(MATCH(1,INDEX((CASHBACK_RULES!$B$5:$B$304=$D52)*(CASHBACK_RULES!$G$5:$G$304=$I52)*(((CASHBACK_RULES!$N$5:$N$304="")+(CASHBACK_RULES!$N$5:$N$304&lt;=$B52))&gt;0)*(((CASHBACK_RULES!$O$5:$O$304="")+(CASHBACK_RULES!$O$5:$O$304&gt;=$B52))&gt;0)*(((CASHBACK_RULES!$M$5:$M$304="")+(CASHBACK_RULES!$M$5:$M$304&lt;=$L52))&gt;0),0),0),0))))</f>
        <v>0</v>
      </c>
      <c r="AD52" s="51" t="str">
        <f>IF(OR($B52="",$D52=""),"",IFERROR(IF(INDEX(CARDS!$H$5:$H$34,MATCH($D52,CARDS!$A$5:$A$34,0))="","",IF(DAY($B52)&lt;=INDEX(CARDS!$H$5:$H$34,MATCH($D52,CARDS!$A$5:$A$34,0)),DATE(YEAR($B52),MONTH($B52),MIN(INDEX(CARDS!$H$5:$H$34,MATCH($D52,CARDS!$A$5:$A$34,0)),DAY(EOMONTH($B52,0)))),DATE(YEAR($B52),MONTH($B52)+1,MIN(INDEX(CARDS!$H$5:$H$34,MATCH($D52,CARDS!$A$5:$A$34,0)),DAY(EOMONTH($B52,1)))))),""))</f>
        <v/>
      </c>
      <c r="AE52" s="52" t="str">
        <f>IF($C52="","",$C52&amp;"|"&amp;COUNTIF($C$5:$C52,$C52))</f>
        <v/>
      </c>
      <c r="AF52" s="53">
        <f>IF($AC52&gt;0,SUMIFS(Q$4:Q51,$D$4:$D51,$D52,$Z$4:$Z51,$Z52,$C$4:$C51,$C52),0)</f>
        <v>0</v>
      </c>
      <c r="AG52" s="53">
        <f>IF($AC52&gt;0,SUMIFS(Q$4:Q51,$D$4:$D51,$D52,$C$4:$C51,$C52),0)</f>
        <v>0</v>
      </c>
      <c r="AH52" s="53">
        <f>IF($AC52&gt;0,SUMIFS(M$4:M51,$D$4:$D51,$D52,$Z$4:$Z51,$Z52,$C$4:$C51,$C52),0)</f>
        <v>0</v>
      </c>
      <c r="AI52" s="43">
        <f>IF(OR($C52="",$I52=""),0,IF(COUNTIFS($C$5:$C52,$C52,$I$5:$I52,$I52)=1,1,0))</f>
        <v>0</v>
      </c>
      <c r="AJ52" s="43" t="str">
        <f>IF($AI52=1,SUMIFS($AI$4:$AI51,$C$4:$C51,$C52)+1,"")</f>
        <v/>
      </c>
      <c r="AK52" s="43">
        <f>IF(OR($C52="",$K52=""),0,IF(COUNTIFS($C$5:$C52,$C52,$K$5:$K52,$K52)=1,1,0))</f>
        <v>0</v>
      </c>
      <c r="AL52" s="43" t="str">
        <f>IF($AK52=1,SUMIFS($AK$4:$AK51,$C$4:$C51,$C52)+1,"")</f>
        <v/>
      </c>
      <c r="AM52" s="43">
        <f>IF(OR($C52="",$G52=""),0,IF(COUNTIFS($C$5:$C52,$C52,$G$5:$G52,$G52)=1,1,0))</f>
        <v>0</v>
      </c>
      <c r="AN52" s="43" t="str">
        <f>IF($AM52=1,SUMIFS($AM$4:$AM51,$C$4:$C51,$C52)+1,"")</f>
        <v/>
      </c>
    </row>
    <row r="53">
      <c r="A53" s="44" t="str">
        <f>IF(OR($B53="",$D53=""),"","TX"&amp;TEXT(ROW()-4,"0000"))</f>
        <v/>
      </c>
      <c r="B53" s="42" t="n"/>
      <c r="C53" s="47" t="str">
        <f>IF($B53="","",YEAR($B53)*100+MONTH($B53))</f>
        <v/>
      </c>
      <c r="D53" s="37" t="n"/>
      <c r="E53" s="45" t="str">
        <f>IF($D53="","",IFERROR(INDEX(CARDS!$B$5:$B$34,MATCH($D53,CARDS!$A$5:$A$34,0)),"⚠ Card ID?"))</f>
        <v/>
      </c>
      <c r="F53" s="45" t="str">
        <f>IF($D53="","",IFERROR(INDEX(CARDS!$C$5:$C$34,MATCH($D53,CARDS!$A$5:$A$34,0)),"⚠ Card ID?"))</f>
        <v/>
      </c>
      <c r="G53" s="37" t="n"/>
      <c r="H53" s="37" t="n"/>
      <c r="I53" s="41" t="n"/>
      <c r="J53" s="45" t="str">
        <f>IF($I53="","",IFERROR(INDEX(MCC_MASTER!$B$5:$B$504,MATCH($I53,MCC_MASTER!$A$5:$A$504,0)),"⚠ MCC chưa có"))</f>
        <v/>
      </c>
      <c r="K53" s="45" t="str">
        <f>IF($I53="","",IFERROR(IF(INDEX(MCC_MASTER!$C$5:$C$504,MATCH($I53,MCC_MASTER!$A$5:$A$504,0))="","Chưa phân loại",INDEX(MCC_MASTER!$C$5:$C$504,MATCH($I53,MCC_MASTER!$A$5:$A$504,0))),"Chưa phân loại"))</f>
        <v/>
      </c>
      <c r="L53" s="40" t="n"/>
      <c r="M53" s="48" t="str">
        <f>IF(OR($B53="",$D53=""),"",IF($AC53=0,0,IF(ISNUMBER(INDEX(CASHBACK_RULES!$L$5:$L$304,$AC53)),MAX(0,MIN($L53,INDEX(CASHBACK_RULES!$L$5:$L$304,$AC53)-$AH53)),MAX(0,$L53))))</f>
        <v/>
      </c>
      <c r="N53" s="49" t="str">
        <f>IF(OR($B53="",$D53=""),"",IF($AC53&gt;0,INDEX(CASHBACK_RULES!$I$5:$I$304,$AC53),0))</f>
        <v/>
      </c>
      <c r="O53" s="48" t="str">
        <f>IF(OR($B53="",$D53=""),"",ROUND($M53*$N53,0))</f>
        <v/>
      </c>
      <c r="P53" s="48" t="str">
        <f>IF($AC53&gt;0,IF(ISNUMBER(INDEX(CASHBACK_RULES!$J$5:$J$304,$AC53)),INDEX(CASHBACK_RULES!$J$5:$J$304,$AC53),"∞"),"")</f>
        <v/>
      </c>
      <c r="Q53" s="48" t="str">
        <f>IF(OR($B53="",$D53=""),"",IF($AC53=0,0,MAX(0,MIN($O53,IF(ISNUMBER($P53),$P53-$AF53,1E+15),IF(ISNUMBER($AA53),$AA53-$AG53,1E+15)))))</f>
        <v/>
      </c>
      <c r="R53" s="48" t="str">
        <f>IF(OR($B53="",$D53=""),"",IF($AC53=0,"",IF(AND(NOT(ISNUMBER($P53)),NOT(ISNUMBER($AA53))),"∞",MAX(0,MIN(IF(ISNUMBER($P53),$P53-$AF53-$Q53,1E+15),IF(ISNUMBER($AA53),$AA53-$AG53-$Q53,1E+15))))))</f>
        <v/>
      </c>
      <c r="S53" s="47" t="str">
        <f>IF($AD53="","",YEAR($AD53)*100+MONTH($AD53))</f>
        <v/>
      </c>
      <c r="T53" s="50" t="str">
        <f>IF($AD53="","",IFERROR(IF(INDEX(CARDS!$I$5:$I$34,MATCH($D53,CARDS!$A$5:$A$34,0))="","",IF(INDEX(CARDS!$I$5:$I$34,MATCH($D53,CARDS!$A$5:$A$34,0))&gt;INDEX(CARDS!$H$5:$H$34,MATCH($D53,CARDS!$A$5:$A$34,0)),DATE(YEAR($AD53),MONTH($AD53),MIN(INDEX(CARDS!$I$5:$I$34,MATCH($D53,CARDS!$A$5:$A$34,0)),DAY(EOMONTH($AD53,0)))),DATE(YEAR($AD53),MONTH($AD53)+1,MIN(INDEX(CARDS!$I$5:$I$34,MATCH($D53,CARDS!$A$5:$A$34,0)),DAY(EOMONTH($AD53,1)))))),""))</f>
        <v/>
      </c>
      <c r="U53" s="38" t="n"/>
      <c r="V53" s="37" t="n"/>
      <c r="W53" s="38" t="n"/>
      <c r="X53" s="38" t="n"/>
      <c r="Y53" s="44" t="str">
        <f>IF($AC53&gt;0,INDEX(CASHBACK_RULES!$A$5:$A$304,$AC53),"")</f>
        <v/>
      </c>
      <c r="Z53" s="45" t="str">
        <f>IF($AC53&gt;0,INDEX(CASHBACK_RULES!$E$5:$E$304,$AC53)&amp;"","")</f>
        <v/>
      </c>
      <c r="AA53" s="48" t="str">
        <f>IF($AC53&gt;0,IF(ISNUMBER(INDEX(CASHBACK_RULES!$K$5:$K$304,$AC53)),INDEX(CASHBACK_RULES!$K$5:$K$304,$AC53),"∞"),"")</f>
        <v/>
      </c>
      <c r="AB53" s="44" t="str">
        <f>IF(OR($B53="",$D53=""),"",IF($U53="Cancelled","Đã hủy",IF($AC53=0,"Không được hoàn",IF($Q53=0,IF(OR($O53&gt;0,$M53&lt;$L53),"Đã đạt cap","Không được hoàn"),IF(OR($Q53&lt;$O53,$M53&lt;$L53),"Hoàn một phần","Được hoàn")))))</f>
        <v/>
      </c>
      <c r="AC53" s="43">
        <f>IF(OR($B53="",$D53="",$I53="",$L53=""),0,IF($U53="Cancelled",0,IF($W53&lt;&gt;"",IFERROR(IF(INDEX(CASHBACK_RULES!$B$5:$B$304,MATCH($W53,CASHBACK_RULES!$A$5:$A$304,0))=$D53,MATCH($W53,CASHBACK_RULES!$A$5:$A$304,0),0),0),IFERROR(MATCH(1,INDEX((CASHBACK_RULES!$B$5:$B$304=$D53)*(CASHBACK_RULES!$G$5:$G$304=$I53)*(((CASHBACK_RULES!$N$5:$N$304="")+(CASHBACK_RULES!$N$5:$N$304&lt;=$B53))&gt;0)*(((CASHBACK_RULES!$O$5:$O$304="")+(CASHBACK_RULES!$O$5:$O$304&gt;=$B53))&gt;0)*(((CASHBACK_RULES!$M$5:$M$304="")+(CASHBACK_RULES!$M$5:$M$304&lt;=$L53))&gt;0),0),0),0))))</f>
        <v>0</v>
      </c>
      <c r="AD53" s="51" t="str">
        <f>IF(OR($B53="",$D53=""),"",IFERROR(IF(INDEX(CARDS!$H$5:$H$34,MATCH($D53,CARDS!$A$5:$A$34,0))="","",IF(DAY($B53)&lt;=INDEX(CARDS!$H$5:$H$34,MATCH($D53,CARDS!$A$5:$A$34,0)),DATE(YEAR($B53),MONTH($B53),MIN(INDEX(CARDS!$H$5:$H$34,MATCH($D53,CARDS!$A$5:$A$34,0)),DAY(EOMONTH($B53,0)))),DATE(YEAR($B53),MONTH($B53)+1,MIN(INDEX(CARDS!$H$5:$H$34,MATCH($D53,CARDS!$A$5:$A$34,0)),DAY(EOMONTH($B53,1)))))),""))</f>
        <v/>
      </c>
      <c r="AE53" s="52" t="str">
        <f>IF($C53="","",$C53&amp;"|"&amp;COUNTIF($C$5:$C53,$C53))</f>
        <v/>
      </c>
      <c r="AF53" s="53">
        <f>IF($AC53&gt;0,SUMIFS(Q$4:Q52,$D$4:$D52,$D53,$Z$4:$Z52,$Z53,$C$4:$C52,$C53),0)</f>
        <v>0</v>
      </c>
      <c r="AG53" s="53">
        <f>IF($AC53&gt;0,SUMIFS(Q$4:Q52,$D$4:$D52,$D53,$C$4:$C52,$C53),0)</f>
        <v>0</v>
      </c>
      <c r="AH53" s="53">
        <f>IF($AC53&gt;0,SUMIFS(M$4:M52,$D$4:$D52,$D53,$Z$4:$Z52,$Z53,$C$4:$C52,$C53),0)</f>
        <v>0</v>
      </c>
      <c r="AI53" s="43">
        <f>IF(OR($C53="",$I53=""),0,IF(COUNTIFS($C$5:$C53,$C53,$I$5:$I53,$I53)=1,1,0))</f>
        <v>0</v>
      </c>
      <c r="AJ53" s="43" t="str">
        <f>IF($AI53=1,SUMIFS($AI$4:$AI52,$C$4:$C52,$C53)+1,"")</f>
        <v/>
      </c>
      <c r="AK53" s="43">
        <f>IF(OR($C53="",$K53=""),0,IF(COUNTIFS($C$5:$C53,$C53,$K$5:$K53,$K53)=1,1,0))</f>
        <v>0</v>
      </c>
      <c r="AL53" s="43" t="str">
        <f>IF($AK53=1,SUMIFS($AK$4:$AK52,$C$4:$C52,$C53)+1,"")</f>
        <v/>
      </c>
      <c r="AM53" s="43">
        <f>IF(OR($C53="",$G53=""),0,IF(COUNTIFS($C$5:$C53,$C53,$G$5:$G53,$G53)=1,1,0))</f>
        <v>0</v>
      </c>
      <c r="AN53" s="43" t="str">
        <f>IF($AM53=1,SUMIFS($AM$4:$AM52,$C$4:$C52,$C53)+1,"")</f>
        <v/>
      </c>
    </row>
    <row r="54">
      <c r="A54" s="44" t="str">
        <f>IF(OR($B54="",$D54=""),"","TX"&amp;TEXT(ROW()-4,"0000"))</f>
        <v/>
      </c>
      <c r="B54" s="42" t="n"/>
      <c r="C54" s="47" t="str">
        <f>IF($B54="","",YEAR($B54)*100+MONTH($B54))</f>
        <v/>
      </c>
      <c r="D54" s="37" t="n"/>
      <c r="E54" s="45" t="str">
        <f>IF($D54="","",IFERROR(INDEX(CARDS!$B$5:$B$34,MATCH($D54,CARDS!$A$5:$A$34,0)),"⚠ Card ID?"))</f>
        <v/>
      </c>
      <c r="F54" s="45" t="str">
        <f>IF($D54="","",IFERROR(INDEX(CARDS!$C$5:$C$34,MATCH($D54,CARDS!$A$5:$A$34,0)),"⚠ Card ID?"))</f>
        <v/>
      </c>
      <c r="G54" s="37" t="n"/>
      <c r="H54" s="37" t="n"/>
      <c r="I54" s="41" t="n"/>
      <c r="J54" s="45" t="str">
        <f>IF($I54="","",IFERROR(INDEX(MCC_MASTER!$B$5:$B$504,MATCH($I54,MCC_MASTER!$A$5:$A$504,0)),"⚠ MCC chưa có"))</f>
        <v/>
      </c>
      <c r="K54" s="45" t="str">
        <f>IF($I54="","",IFERROR(IF(INDEX(MCC_MASTER!$C$5:$C$504,MATCH($I54,MCC_MASTER!$A$5:$A$504,0))="","Chưa phân loại",INDEX(MCC_MASTER!$C$5:$C$504,MATCH($I54,MCC_MASTER!$A$5:$A$504,0))),"Chưa phân loại"))</f>
        <v/>
      </c>
      <c r="L54" s="40" t="n"/>
      <c r="M54" s="48" t="str">
        <f>IF(OR($B54="",$D54=""),"",IF($AC54=0,0,IF(ISNUMBER(INDEX(CASHBACK_RULES!$L$5:$L$304,$AC54)),MAX(0,MIN($L54,INDEX(CASHBACK_RULES!$L$5:$L$304,$AC54)-$AH54)),MAX(0,$L54))))</f>
        <v/>
      </c>
      <c r="N54" s="49" t="str">
        <f>IF(OR($B54="",$D54=""),"",IF($AC54&gt;0,INDEX(CASHBACK_RULES!$I$5:$I$304,$AC54),0))</f>
        <v/>
      </c>
      <c r="O54" s="48" t="str">
        <f>IF(OR($B54="",$D54=""),"",ROUND($M54*$N54,0))</f>
        <v/>
      </c>
      <c r="P54" s="48" t="str">
        <f>IF($AC54&gt;0,IF(ISNUMBER(INDEX(CASHBACK_RULES!$J$5:$J$304,$AC54)),INDEX(CASHBACK_RULES!$J$5:$J$304,$AC54),"∞"),"")</f>
        <v/>
      </c>
      <c r="Q54" s="48" t="str">
        <f>IF(OR($B54="",$D54=""),"",IF($AC54=0,0,MAX(0,MIN($O54,IF(ISNUMBER($P54),$P54-$AF54,1E+15),IF(ISNUMBER($AA54),$AA54-$AG54,1E+15)))))</f>
        <v/>
      </c>
      <c r="R54" s="48" t="str">
        <f>IF(OR($B54="",$D54=""),"",IF($AC54=0,"",IF(AND(NOT(ISNUMBER($P54)),NOT(ISNUMBER($AA54))),"∞",MAX(0,MIN(IF(ISNUMBER($P54),$P54-$AF54-$Q54,1E+15),IF(ISNUMBER($AA54),$AA54-$AG54-$Q54,1E+15))))))</f>
        <v/>
      </c>
      <c r="S54" s="47" t="str">
        <f>IF($AD54="","",YEAR($AD54)*100+MONTH($AD54))</f>
        <v/>
      </c>
      <c r="T54" s="50" t="str">
        <f>IF($AD54="","",IFERROR(IF(INDEX(CARDS!$I$5:$I$34,MATCH($D54,CARDS!$A$5:$A$34,0))="","",IF(INDEX(CARDS!$I$5:$I$34,MATCH($D54,CARDS!$A$5:$A$34,0))&gt;INDEX(CARDS!$H$5:$H$34,MATCH($D54,CARDS!$A$5:$A$34,0)),DATE(YEAR($AD54),MONTH($AD54),MIN(INDEX(CARDS!$I$5:$I$34,MATCH($D54,CARDS!$A$5:$A$34,0)),DAY(EOMONTH($AD54,0)))),DATE(YEAR($AD54),MONTH($AD54)+1,MIN(INDEX(CARDS!$I$5:$I$34,MATCH($D54,CARDS!$A$5:$A$34,0)),DAY(EOMONTH($AD54,1)))))),""))</f>
        <v/>
      </c>
      <c r="U54" s="38" t="n"/>
      <c r="V54" s="37" t="n"/>
      <c r="W54" s="38" t="n"/>
      <c r="X54" s="38" t="n"/>
      <c r="Y54" s="44" t="str">
        <f>IF($AC54&gt;0,INDEX(CASHBACK_RULES!$A$5:$A$304,$AC54),"")</f>
        <v/>
      </c>
      <c r="Z54" s="45" t="str">
        <f>IF($AC54&gt;0,INDEX(CASHBACK_RULES!$E$5:$E$304,$AC54)&amp;"","")</f>
        <v/>
      </c>
      <c r="AA54" s="48" t="str">
        <f>IF($AC54&gt;0,IF(ISNUMBER(INDEX(CASHBACK_RULES!$K$5:$K$304,$AC54)),INDEX(CASHBACK_RULES!$K$5:$K$304,$AC54),"∞"),"")</f>
        <v/>
      </c>
      <c r="AB54" s="44" t="str">
        <f>IF(OR($B54="",$D54=""),"",IF($U54="Cancelled","Đã hủy",IF($AC54=0,"Không được hoàn",IF($Q54=0,IF(OR($O54&gt;0,$M54&lt;$L54),"Đã đạt cap","Không được hoàn"),IF(OR($Q54&lt;$O54,$M54&lt;$L54),"Hoàn một phần","Được hoàn")))))</f>
        <v/>
      </c>
      <c r="AC54" s="43">
        <f>IF(OR($B54="",$D54="",$I54="",$L54=""),0,IF($U54="Cancelled",0,IF($W54&lt;&gt;"",IFERROR(IF(INDEX(CASHBACK_RULES!$B$5:$B$304,MATCH($W54,CASHBACK_RULES!$A$5:$A$304,0))=$D54,MATCH($W54,CASHBACK_RULES!$A$5:$A$304,0),0),0),IFERROR(MATCH(1,INDEX((CASHBACK_RULES!$B$5:$B$304=$D54)*(CASHBACK_RULES!$G$5:$G$304=$I54)*(((CASHBACK_RULES!$N$5:$N$304="")+(CASHBACK_RULES!$N$5:$N$304&lt;=$B54))&gt;0)*(((CASHBACK_RULES!$O$5:$O$304="")+(CASHBACK_RULES!$O$5:$O$304&gt;=$B54))&gt;0)*(((CASHBACK_RULES!$M$5:$M$304="")+(CASHBACK_RULES!$M$5:$M$304&lt;=$L54))&gt;0),0),0),0))))</f>
        <v>0</v>
      </c>
      <c r="AD54" s="51" t="str">
        <f>IF(OR($B54="",$D54=""),"",IFERROR(IF(INDEX(CARDS!$H$5:$H$34,MATCH($D54,CARDS!$A$5:$A$34,0))="","",IF(DAY($B54)&lt;=INDEX(CARDS!$H$5:$H$34,MATCH($D54,CARDS!$A$5:$A$34,0)),DATE(YEAR($B54),MONTH($B54),MIN(INDEX(CARDS!$H$5:$H$34,MATCH($D54,CARDS!$A$5:$A$34,0)),DAY(EOMONTH($B54,0)))),DATE(YEAR($B54),MONTH($B54)+1,MIN(INDEX(CARDS!$H$5:$H$34,MATCH($D54,CARDS!$A$5:$A$34,0)),DAY(EOMONTH($B54,1)))))),""))</f>
        <v/>
      </c>
      <c r="AE54" s="52" t="str">
        <f>IF($C54="","",$C54&amp;"|"&amp;COUNTIF($C$5:$C54,$C54))</f>
        <v/>
      </c>
      <c r="AF54" s="53">
        <f>IF($AC54&gt;0,SUMIFS(Q$4:Q53,$D$4:$D53,$D54,$Z$4:$Z53,$Z54,$C$4:$C53,$C54),0)</f>
        <v>0</v>
      </c>
      <c r="AG54" s="53">
        <f>IF($AC54&gt;0,SUMIFS(Q$4:Q53,$D$4:$D53,$D54,$C$4:$C53,$C54),0)</f>
        <v>0</v>
      </c>
      <c r="AH54" s="53">
        <f>IF($AC54&gt;0,SUMIFS(M$4:M53,$D$4:$D53,$D54,$Z$4:$Z53,$Z54,$C$4:$C53,$C54),0)</f>
        <v>0</v>
      </c>
      <c r="AI54" s="43">
        <f>IF(OR($C54="",$I54=""),0,IF(COUNTIFS($C$5:$C54,$C54,$I$5:$I54,$I54)=1,1,0))</f>
        <v>0</v>
      </c>
      <c r="AJ54" s="43" t="str">
        <f>IF($AI54=1,SUMIFS($AI$4:$AI53,$C$4:$C53,$C54)+1,"")</f>
        <v/>
      </c>
      <c r="AK54" s="43">
        <f>IF(OR($C54="",$K54=""),0,IF(COUNTIFS($C$5:$C54,$C54,$K$5:$K54,$K54)=1,1,0))</f>
        <v>0</v>
      </c>
      <c r="AL54" s="43" t="str">
        <f>IF($AK54=1,SUMIFS($AK$4:$AK53,$C$4:$C53,$C54)+1,"")</f>
        <v/>
      </c>
      <c r="AM54" s="43">
        <f>IF(OR($C54="",$G54=""),0,IF(COUNTIFS($C$5:$C54,$C54,$G$5:$G54,$G54)=1,1,0))</f>
        <v>0</v>
      </c>
      <c r="AN54" s="43" t="str">
        <f>IF($AM54=1,SUMIFS($AM$4:$AM53,$C$4:$C53,$C54)+1,"")</f>
        <v/>
      </c>
    </row>
    <row r="55">
      <c r="A55" s="44" t="str">
        <f>IF(OR($B55="",$D55=""),"","TX"&amp;TEXT(ROW()-4,"0000"))</f>
        <v/>
      </c>
      <c r="B55" s="42" t="n"/>
      <c r="C55" s="47" t="str">
        <f>IF($B55="","",YEAR($B55)*100+MONTH($B55))</f>
        <v/>
      </c>
      <c r="D55" s="37" t="n"/>
      <c r="E55" s="45" t="str">
        <f>IF($D55="","",IFERROR(INDEX(CARDS!$B$5:$B$34,MATCH($D55,CARDS!$A$5:$A$34,0)),"⚠ Card ID?"))</f>
        <v/>
      </c>
      <c r="F55" s="45" t="str">
        <f>IF($D55="","",IFERROR(INDEX(CARDS!$C$5:$C$34,MATCH($D55,CARDS!$A$5:$A$34,0)),"⚠ Card ID?"))</f>
        <v/>
      </c>
      <c r="G55" s="37" t="n"/>
      <c r="H55" s="37" t="n"/>
      <c r="I55" s="41" t="n"/>
      <c r="J55" s="45" t="str">
        <f>IF($I55="","",IFERROR(INDEX(MCC_MASTER!$B$5:$B$504,MATCH($I55,MCC_MASTER!$A$5:$A$504,0)),"⚠ MCC chưa có"))</f>
        <v/>
      </c>
      <c r="K55" s="45" t="str">
        <f>IF($I55="","",IFERROR(IF(INDEX(MCC_MASTER!$C$5:$C$504,MATCH($I55,MCC_MASTER!$A$5:$A$504,0))="","Chưa phân loại",INDEX(MCC_MASTER!$C$5:$C$504,MATCH($I55,MCC_MASTER!$A$5:$A$504,0))),"Chưa phân loại"))</f>
        <v/>
      </c>
      <c r="L55" s="40" t="n"/>
      <c r="M55" s="48" t="str">
        <f>IF(OR($B55="",$D55=""),"",IF($AC55=0,0,IF(ISNUMBER(INDEX(CASHBACK_RULES!$L$5:$L$304,$AC55)),MAX(0,MIN($L55,INDEX(CASHBACK_RULES!$L$5:$L$304,$AC55)-$AH55)),MAX(0,$L55))))</f>
        <v/>
      </c>
      <c r="N55" s="49" t="str">
        <f>IF(OR($B55="",$D55=""),"",IF($AC55&gt;0,INDEX(CASHBACK_RULES!$I$5:$I$304,$AC55),0))</f>
        <v/>
      </c>
      <c r="O55" s="48" t="str">
        <f>IF(OR($B55="",$D55=""),"",ROUND($M55*$N55,0))</f>
        <v/>
      </c>
      <c r="P55" s="48" t="str">
        <f>IF($AC55&gt;0,IF(ISNUMBER(INDEX(CASHBACK_RULES!$J$5:$J$304,$AC55)),INDEX(CASHBACK_RULES!$J$5:$J$304,$AC55),"∞"),"")</f>
        <v/>
      </c>
      <c r="Q55" s="48" t="str">
        <f>IF(OR($B55="",$D55=""),"",IF($AC55=0,0,MAX(0,MIN($O55,IF(ISNUMBER($P55),$P55-$AF55,1E+15),IF(ISNUMBER($AA55),$AA55-$AG55,1E+15)))))</f>
        <v/>
      </c>
      <c r="R55" s="48" t="str">
        <f>IF(OR($B55="",$D55=""),"",IF($AC55=0,"",IF(AND(NOT(ISNUMBER($P55)),NOT(ISNUMBER($AA55))),"∞",MAX(0,MIN(IF(ISNUMBER($P55),$P55-$AF55-$Q55,1E+15),IF(ISNUMBER($AA55),$AA55-$AG55-$Q55,1E+15))))))</f>
        <v/>
      </c>
      <c r="S55" s="47" t="str">
        <f>IF($AD55="","",YEAR($AD55)*100+MONTH($AD55))</f>
        <v/>
      </c>
      <c r="T55" s="50" t="str">
        <f>IF($AD55="","",IFERROR(IF(INDEX(CARDS!$I$5:$I$34,MATCH($D55,CARDS!$A$5:$A$34,0))="","",IF(INDEX(CARDS!$I$5:$I$34,MATCH($D55,CARDS!$A$5:$A$34,0))&gt;INDEX(CARDS!$H$5:$H$34,MATCH($D55,CARDS!$A$5:$A$34,0)),DATE(YEAR($AD55),MONTH($AD55),MIN(INDEX(CARDS!$I$5:$I$34,MATCH($D55,CARDS!$A$5:$A$34,0)),DAY(EOMONTH($AD55,0)))),DATE(YEAR($AD55),MONTH($AD55)+1,MIN(INDEX(CARDS!$I$5:$I$34,MATCH($D55,CARDS!$A$5:$A$34,0)),DAY(EOMONTH($AD55,1)))))),""))</f>
        <v/>
      </c>
      <c r="U55" s="38" t="n"/>
      <c r="V55" s="37" t="n"/>
      <c r="W55" s="38" t="n"/>
      <c r="X55" s="38" t="n"/>
      <c r="Y55" s="44" t="str">
        <f>IF($AC55&gt;0,INDEX(CASHBACK_RULES!$A$5:$A$304,$AC55),"")</f>
        <v/>
      </c>
      <c r="Z55" s="45" t="str">
        <f>IF($AC55&gt;0,INDEX(CASHBACK_RULES!$E$5:$E$304,$AC55)&amp;"","")</f>
        <v/>
      </c>
      <c r="AA55" s="48" t="str">
        <f>IF($AC55&gt;0,IF(ISNUMBER(INDEX(CASHBACK_RULES!$K$5:$K$304,$AC55)),INDEX(CASHBACK_RULES!$K$5:$K$304,$AC55),"∞"),"")</f>
        <v/>
      </c>
      <c r="AB55" s="44" t="str">
        <f>IF(OR($B55="",$D55=""),"",IF($U55="Cancelled","Đã hủy",IF($AC55=0,"Không được hoàn",IF($Q55=0,IF(OR($O55&gt;0,$M55&lt;$L55),"Đã đạt cap","Không được hoàn"),IF(OR($Q55&lt;$O55,$M55&lt;$L55),"Hoàn một phần","Được hoàn")))))</f>
        <v/>
      </c>
      <c r="AC55" s="43">
        <f>IF(OR($B55="",$D55="",$I55="",$L55=""),0,IF($U55="Cancelled",0,IF($W55&lt;&gt;"",IFERROR(IF(INDEX(CASHBACK_RULES!$B$5:$B$304,MATCH($W55,CASHBACK_RULES!$A$5:$A$304,0))=$D55,MATCH($W55,CASHBACK_RULES!$A$5:$A$304,0),0),0),IFERROR(MATCH(1,INDEX((CASHBACK_RULES!$B$5:$B$304=$D55)*(CASHBACK_RULES!$G$5:$G$304=$I55)*(((CASHBACK_RULES!$N$5:$N$304="")+(CASHBACK_RULES!$N$5:$N$304&lt;=$B55))&gt;0)*(((CASHBACK_RULES!$O$5:$O$304="")+(CASHBACK_RULES!$O$5:$O$304&gt;=$B55))&gt;0)*(((CASHBACK_RULES!$M$5:$M$304="")+(CASHBACK_RULES!$M$5:$M$304&lt;=$L55))&gt;0),0),0),0))))</f>
        <v>0</v>
      </c>
      <c r="AD55" s="51" t="str">
        <f>IF(OR($B55="",$D55=""),"",IFERROR(IF(INDEX(CARDS!$H$5:$H$34,MATCH($D55,CARDS!$A$5:$A$34,0))="","",IF(DAY($B55)&lt;=INDEX(CARDS!$H$5:$H$34,MATCH($D55,CARDS!$A$5:$A$34,0)),DATE(YEAR($B55),MONTH($B55),MIN(INDEX(CARDS!$H$5:$H$34,MATCH($D55,CARDS!$A$5:$A$34,0)),DAY(EOMONTH($B55,0)))),DATE(YEAR($B55),MONTH($B55)+1,MIN(INDEX(CARDS!$H$5:$H$34,MATCH($D55,CARDS!$A$5:$A$34,0)),DAY(EOMONTH($B55,1)))))),""))</f>
        <v/>
      </c>
      <c r="AE55" s="52" t="str">
        <f>IF($C55="","",$C55&amp;"|"&amp;COUNTIF($C$5:$C55,$C55))</f>
        <v/>
      </c>
      <c r="AF55" s="53">
        <f>IF($AC55&gt;0,SUMIFS(Q$4:Q54,$D$4:$D54,$D55,$Z$4:$Z54,$Z55,$C$4:$C54,$C55),0)</f>
        <v>0</v>
      </c>
      <c r="AG55" s="53">
        <f>IF($AC55&gt;0,SUMIFS(Q$4:Q54,$D$4:$D54,$D55,$C$4:$C54,$C55),0)</f>
        <v>0</v>
      </c>
      <c r="AH55" s="53">
        <f>IF($AC55&gt;0,SUMIFS(M$4:M54,$D$4:$D54,$D55,$Z$4:$Z54,$Z55,$C$4:$C54,$C55),0)</f>
        <v>0</v>
      </c>
      <c r="AI55" s="43">
        <f>IF(OR($C55="",$I55=""),0,IF(COUNTIFS($C$5:$C55,$C55,$I$5:$I55,$I55)=1,1,0))</f>
        <v>0</v>
      </c>
      <c r="AJ55" s="43" t="str">
        <f>IF($AI55=1,SUMIFS($AI$4:$AI54,$C$4:$C54,$C55)+1,"")</f>
        <v/>
      </c>
      <c r="AK55" s="43">
        <f>IF(OR($C55="",$K55=""),0,IF(COUNTIFS($C$5:$C55,$C55,$K$5:$K55,$K55)=1,1,0))</f>
        <v>0</v>
      </c>
      <c r="AL55" s="43" t="str">
        <f>IF($AK55=1,SUMIFS($AK$4:$AK54,$C$4:$C54,$C55)+1,"")</f>
        <v/>
      </c>
      <c r="AM55" s="43">
        <f>IF(OR($C55="",$G55=""),0,IF(COUNTIFS($C$5:$C55,$C55,$G$5:$G55,$G55)=1,1,0))</f>
        <v>0</v>
      </c>
      <c r="AN55" s="43" t="str">
        <f>IF($AM55=1,SUMIFS($AM$4:$AM54,$C$4:$C54,$C55)+1,"")</f>
        <v/>
      </c>
    </row>
    <row r="56">
      <c r="A56" s="44" t="str">
        <f>IF(OR($B56="",$D56=""),"","TX"&amp;TEXT(ROW()-4,"0000"))</f>
        <v/>
      </c>
      <c r="B56" s="42" t="n"/>
      <c r="C56" s="47" t="str">
        <f>IF($B56="","",YEAR($B56)*100+MONTH($B56))</f>
        <v/>
      </c>
      <c r="D56" s="37" t="n"/>
      <c r="E56" s="45" t="str">
        <f>IF($D56="","",IFERROR(INDEX(CARDS!$B$5:$B$34,MATCH($D56,CARDS!$A$5:$A$34,0)),"⚠ Card ID?"))</f>
        <v/>
      </c>
      <c r="F56" s="45" t="str">
        <f>IF($D56="","",IFERROR(INDEX(CARDS!$C$5:$C$34,MATCH($D56,CARDS!$A$5:$A$34,0)),"⚠ Card ID?"))</f>
        <v/>
      </c>
      <c r="G56" s="37" t="n"/>
      <c r="H56" s="37" t="n"/>
      <c r="I56" s="41" t="n"/>
      <c r="J56" s="45" t="str">
        <f>IF($I56="","",IFERROR(INDEX(MCC_MASTER!$B$5:$B$504,MATCH($I56,MCC_MASTER!$A$5:$A$504,0)),"⚠ MCC chưa có"))</f>
        <v/>
      </c>
      <c r="K56" s="45" t="str">
        <f>IF($I56="","",IFERROR(IF(INDEX(MCC_MASTER!$C$5:$C$504,MATCH($I56,MCC_MASTER!$A$5:$A$504,0))="","Chưa phân loại",INDEX(MCC_MASTER!$C$5:$C$504,MATCH($I56,MCC_MASTER!$A$5:$A$504,0))),"Chưa phân loại"))</f>
        <v/>
      </c>
      <c r="L56" s="40" t="n"/>
      <c r="M56" s="48" t="str">
        <f>IF(OR($B56="",$D56=""),"",IF($AC56=0,0,IF(ISNUMBER(INDEX(CASHBACK_RULES!$L$5:$L$304,$AC56)),MAX(0,MIN($L56,INDEX(CASHBACK_RULES!$L$5:$L$304,$AC56)-$AH56)),MAX(0,$L56))))</f>
        <v/>
      </c>
      <c r="N56" s="49" t="str">
        <f>IF(OR($B56="",$D56=""),"",IF($AC56&gt;0,INDEX(CASHBACK_RULES!$I$5:$I$304,$AC56),0))</f>
        <v/>
      </c>
      <c r="O56" s="48" t="str">
        <f>IF(OR($B56="",$D56=""),"",ROUND($M56*$N56,0))</f>
        <v/>
      </c>
      <c r="P56" s="48" t="str">
        <f>IF($AC56&gt;0,IF(ISNUMBER(INDEX(CASHBACK_RULES!$J$5:$J$304,$AC56)),INDEX(CASHBACK_RULES!$J$5:$J$304,$AC56),"∞"),"")</f>
        <v/>
      </c>
      <c r="Q56" s="48" t="str">
        <f>IF(OR($B56="",$D56=""),"",IF($AC56=0,0,MAX(0,MIN($O56,IF(ISNUMBER($P56),$P56-$AF56,1E+15),IF(ISNUMBER($AA56),$AA56-$AG56,1E+15)))))</f>
        <v/>
      </c>
      <c r="R56" s="48" t="str">
        <f>IF(OR($B56="",$D56=""),"",IF($AC56=0,"",IF(AND(NOT(ISNUMBER($P56)),NOT(ISNUMBER($AA56))),"∞",MAX(0,MIN(IF(ISNUMBER($P56),$P56-$AF56-$Q56,1E+15),IF(ISNUMBER($AA56),$AA56-$AG56-$Q56,1E+15))))))</f>
        <v/>
      </c>
      <c r="S56" s="47" t="str">
        <f>IF($AD56="","",YEAR($AD56)*100+MONTH($AD56))</f>
        <v/>
      </c>
      <c r="T56" s="50" t="str">
        <f>IF($AD56="","",IFERROR(IF(INDEX(CARDS!$I$5:$I$34,MATCH($D56,CARDS!$A$5:$A$34,0))="","",IF(INDEX(CARDS!$I$5:$I$34,MATCH($D56,CARDS!$A$5:$A$34,0))&gt;INDEX(CARDS!$H$5:$H$34,MATCH($D56,CARDS!$A$5:$A$34,0)),DATE(YEAR($AD56),MONTH($AD56),MIN(INDEX(CARDS!$I$5:$I$34,MATCH($D56,CARDS!$A$5:$A$34,0)),DAY(EOMONTH($AD56,0)))),DATE(YEAR($AD56),MONTH($AD56)+1,MIN(INDEX(CARDS!$I$5:$I$34,MATCH($D56,CARDS!$A$5:$A$34,0)),DAY(EOMONTH($AD56,1)))))),""))</f>
        <v/>
      </c>
      <c r="U56" s="38" t="n"/>
      <c r="V56" s="37" t="n"/>
      <c r="W56" s="38" t="n"/>
      <c r="X56" s="38" t="n"/>
      <c r="Y56" s="44" t="str">
        <f>IF($AC56&gt;0,INDEX(CASHBACK_RULES!$A$5:$A$304,$AC56),"")</f>
        <v/>
      </c>
      <c r="Z56" s="45" t="str">
        <f>IF($AC56&gt;0,INDEX(CASHBACK_RULES!$E$5:$E$304,$AC56)&amp;"","")</f>
        <v/>
      </c>
      <c r="AA56" s="48" t="str">
        <f>IF($AC56&gt;0,IF(ISNUMBER(INDEX(CASHBACK_RULES!$K$5:$K$304,$AC56)),INDEX(CASHBACK_RULES!$K$5:$K$304,$AC56),"∞"),"")</f>
        <v/>
      </c>
      <c r="AB56" s="44" t="str">
        <f>IF(OR($B56="",$D56=""),"",IF($U56="Cancelled","Đã hủy",IF($AC56=0,"Không được hoàn",IF($Q56=0,IF(OR($O56&gt;0,$M56&lt;$L56),"Đã đạt cap","Không được hoàn"),IF(OR($Q56&lt;$O56,$M56&lt;$L56),"Hoàn một phần","Được hoàn")))))</f>
        <v/>
      </c>
      <c r="AC56" s="43">
        <f>IF(OR($B56="",$D56="",$I56="",$L56=""),0,IF($U56="Cancelled",0,IF($W56&lt;&gt;"",IFERROR(IF(INDEX(CASHBACK_RULES!$B$5:$B$304,MATCH($W56,CASHBACK_RULES!$A$5:$A$304,0))=$D56,MATCH($W56,CASHBACK_RULES!$A$5:$A$304,0),0),0),IFERROR(MATCH(1,INDEX((CASHBACK_RULES!$B$5:$B$304=$D56)*(CASHBACK_RULES!$G$5:$G$304=$I56)*(((CASHBACK_RULES!$N$5:$N$304="")+(CASHBACK_RULES!$N$5:$N$304&lt;=$B56))&gt;0)*(((CASHBACK_RULES!$O$5:$O$304="")+(CASHBACK_RULES!$O$5:$O$304&gt;=$B56))&gt;0)*(((CASHBACK_RULES!$M$5:$M$304="")+(CASHBACK_RULES!$M$5:$M$304&lt;=$L56))&gt;0),0),0),0))))</f>
        <v>0</v>
      </c>
      <c r="AD56" s="51" t="str">
        <f>IF(OR($B56="",$D56=""),"",IFERROR(IF(INDEX(CARDS!$H$5:$H$34,MATCH($D56,CARDS!$A$5:$A$34,0))="","",IF(DAY($B56)&lt;=INDEX(CARDS!$H$5:$H$34,MATCH($D56,CARDS!$A$5:$A$34,0)),DATE(YEAR($B56),MONTH($B56),MIN(INDEX(CARDS!$H$5:$H$34,MATCH($D56,CARDS!$A$5:$A$34,0)),DAY(EOMONTH($B56,0)))),DATE(YEAR($B56),MONTH($B56)+1,MIN(INDEX(CARDS!$H$5:$H$34,MATCH($D56,CARDS!$A$5:$A$34,0)),DAY(EOMONTH($B56,1)))))),""))</f>
        <v/>
      </c>
      <c r="AE56" s="52" t="str">
        <f>IF($C56="","",$C56&amp;"|"&amp;COUNTIF($C$5:$C56,$C56))</f>
        <v/>
      </c>
      <c r="AF56" s="53">
        <f>IF($AC56&gt;0,SUMIFS(Q$4:Q55,$D$4:$D55,$D56,$Z$4:$Z55,$Z56,$C$4:$C55,$C56),0)</f>
        <v>0</v>
      </c>
      <c r="AG56" s="53">
        <f>IF($AC56&gt;0,SUMIFS(Q$4:Q55,$D$4:$D55,$D56,$C$4:$C55,$C56),0)</f>
        <v>0</v>
      </c>
      <c r="AH56" s="53">
        <f>IF($AC56&gt;0,SUMIFS(M$4:M55,$D$4:$D55,$D56,$Z$4:$Z55,$Z56,$C$4:$C55,$C56),0)</f>
        <v>0</v>
      </c>
      <c r="AI56" s="43">
        <f>IF(OR($C56="",$I56=""),0,IF(COUNTIFS($C$5:$C56,$C56,$I$5:$I56,$I56)=1,1,0))</f>
        <v>0</v>
      </c>
      <c r="AJ56" s="43" t="str">
        <f>IF($AI56=1,SUMIFS($AI$4:$AI55,$C$4:$C55,$C56)+1,"")</f>
        <v/>
      </c>
      <c r="AK56" s="43">
        <f>IF(OR($C56="",$K56=""),0,IF(COUNTIFS($C$5:$C56,$C56,$K$5:$K56,$K56)=1,1,0))</f>
        <v>0</v>
      </c>
      <c r="AL56" s="43" t="str">
        <f>IF($AK56=1,SUMIFS($AK$4:$AK55,$C$4:$C55,$C56)+1,"")</f>
        <v/>
      </c>
      <c r="AM56" s="43">
        <f>IF(OR($C56="",$G56=""),0,IF(COUNTIFS($C$5:$C56,$C56,$G$5:$G56,$G56)=1,1,0))</f>
        <v>0</v>
      </c>
      <c r="AN56" s="43" t="str">
        <f>IF($AM56=1,SUMIFS($AM$4:$AM55,$C$4:$C55,$C56)+1,"")</f>
        <v/>
      </c>
    </row>
    <row r="57">
      <c r="A57" s="44" t="str">
        <f>IF(OR($B57="",$D57=""),"","TX"&amp;TEXT(ROW()-4,"0000"))</f>
        <v/>
      </c>
      <c r="B57" s="42" t="n"/>
      <c r="C57" s="47" t="str">
        <f>IF($B57="","",YEAR($B57)*100+MONTH($B57))</f>
        <v/>
      </c>
      <c r="D57" s="37" t="n"/>
      <c r="E57" s="45" t="str">
        <f>IF($D57="","",IFERROR(INDEX(CARDS!$B$5:$B$34,MATCH($D57,CARDS!$A$5:$A$34,0)),"⚠ Card ID?"))</f>
        <v/>
      </c>
      <c r="F57" s="45" t="str">
        <f>IF($D57="","",IFERROR(INDEX(CARDS!$C$5:$C$34,MATCH($D57,CARDS!$A$5:$A$34,0)),"⚠ Card ID?"))</f>
        <v/>
      </c>
      <c r="G57" s="37" t="n"/>
      <c r="H57" s="37" t="n"/>
      <c r="I57" s="41" t="n"/>
      <c r="J57" s="45" t="str">
        <f>IF($I57="","",IFERROR(INDEX(MCC_MASTER!$B$5:$B$504,MATCH($I57,MCC_MASTER!$A$5:$A$504,0)),"⚠ MCC chưa có"))</f>
        <v/>
      </c>
      <c r="K57" s="45" t="str">
        <f>IF($I57="","",IFERROR(IF(INDEX(MCC_MASTER!$C$5:$C$504,MATCH($I57,MCC_MASTER!$A$5:$A$504,0))="","Chưa phân loại",INDEX(MCC_MASTER!$C$5:$C$504,MATCH($I57,MCC_MASTER!$A$5:$A$504,0))),"Chưa phân loại"))</f>
        <v/>
      </c>
      <c r="L57" s="40" t="n"/>
      <c r="M57" s="48" t="str">
        <f>IF(OR($B57="",$D57=""),"",IF($AC57=0,0,IF(ISNUMBER(INDEX(CASHBACK_RULES!$L$5:$L$304,$AC57)),MAX(0,MIN($L57,INDEX(CASHBACK_RULES!$L$5:$L$304,$AC57)-$AH57)),MAX(0,$L57))))</f>
        <v/>
      </c>
      <c r="N57" s="49" t="str">
        <f>IF(OR($B57="",$D57=""),"",IF($AC57&gt;0,INDEX(CASHBACK_RULES!$I$5:$I$304,$AC57),0))</f>
        <v/>
      </c>
      <c r="O57" s="48" t="str">
        <f>IF(OR($B57="",$D57=""),"",ROUND($M57*$N57,0))</f>
        <v/>
      </c>
      <c r="P57" s="48" t="str">
        <f>IF($AC57&gt;0,IF(ISNUMBER(INDEX(CASHBACK_RULES!$J$5:$J$304,$AC57)),INDEX(CASHBACK_RULES!$J$5:$J$304,$AC57),"∞"),"")</f>
        <v/>
      </c>
      <c r="Q57" s="48" t="str">
        <f>IF(OR($B57="",$D57=""),"",IF($AC57=0,0,MAX(0,MIN($O57,IF(ISNUMBER($P57),$P57-$AF57,1E+15),IF(ISNUMBER($AA57),$AA57-$AG57,1E+15)))))</f>
        <v/>
      </c>
      <c r="R57" s="48" t="str">
        <f>IF(OR($B57="",$D57=""),"",IF($AC57=0,"",IF(AND(NOT(ISNUMBER($P57)),NOT(ISNUMBER($AA57))),"∞",MAX(0,MIN(IF(ISNUMBER($P57),$P57-$AF57-$Q57,1E+15),IF(ISNUMBER($AA57),$AA57-$AG57-$Q57,1E+15))))))</f>
        <v/>
      </c>
      <c r="S57" s="47" t="str">
        <f>IF($AD57="","",YEAR($AD57)*100+MONTH($AD57))</f>
        <v/>
      </c>
      <c r="T57" s="50" t="str">
        <f>IF($AD57="","",IFERROR(IF(INDEX(CARDS!$I$5:$I$34,MATCH($D57,CARDS!$A$5:$A$34,0))="","",IF(INDEX(CARDS!$I$5:$I$34,MATCH($D57,CARDS!$A$5:$A$34,0))&gt;INDEX(CARDS!$H$5:$H$34,MATCH($D57,CARDS!$A$5:$A$34,0)),DATE(YEAR($AD57),MONTH($AD57),MIN(INDEX(CARDS!$I$5:$I$34,MATCH($D57,CARDS!$A$5:$A$34,0)),DAY(EOMONTH($AD57,0)))),DATE(YEAR($AD57),MONTH($AD57)+1,MIN(INDEX(CARDS!$I$5:$I$34,MATCH($D57,CARDS!$A$5:$A$34,0)),DAY(EOMONTH($AD57,1)))))),""))</f>
        <v/>
      </c>
      <c r="U57" s="38" t="n"/>
      <c r="V57" s="37" t="n"/>
      <c r="W57" s="38" t="n"/>
      <c r="X57" s="38" t="n"/>
      <c r="Y57" s="44" t="str">
        <f>IF($AC57&gt;0,INDEX(CASHBACK_RULES!$A$5:$A$304,$AC57),"")</f>
        <v/>
      </c>
      <c r="Z57" s="45" t="str">
        <f>IF($AC57&gt;0,INDEX(CASHBACK_RULES!$E$5:$E$304,$AC57)&amp;"","")</f>
        <v/>
      </c>
      <c r="AA57" s="48" t="str">
        <f>IF($AC57&gt;0,IF(ISNUMBER(INDEX(CASHBACK_RULES!$K$5:$K$304,$AC57)),INDEX(CASHBACK_RULES!$K$5:$K$304,$AC57),"∞"),"")</f>
        <v/>
      </c>
      <c r="AB57" s="44" t="str">
        <f>IF(OR($B57="",$D57=""),"",IF($U57="Cancelled","Đã hủy",IF($AC57=0,"Không được hoàn",IF($Q57=0,IF(OR($O57&gt;0,$M57&lt;$L57),"Đã đạt cap","Không được hoàn"),IF(OR($Q57&lt;$O57,$M57&lt;$L57),"Hoàn một phần","Được hoàn")))))</f>
        <v/>
      </c>
      <c r="AC57" s="43">
        <f>IF(OR($B57="",$D57="",$I57="",$L57=""),0,IF($U57="Cancelled",0,IF($W57&lt;&gt;"",IFERROR(IF(INDEX(CASHBACK_RULES!$B$5:$B$304,MATCH($W57,CASHBACK_RULES!$A$5:$A$304,0))=$D57,MATCH($W57,CASHBACK_RULES!$A$5:$A$304,0),0),0),IFERROR(MATCH(1,INDEX((CASHBACK_RULES!$B$5:$B$304=$D57)*(CASHBACK_RULES!$G$5:$G$304=$I57)*(((CASHBACK_RULES!$N$5:$N$304="")+(CASHBACK_RULES!$N$5:$N$304&lt;=$B57))&gt;0)*(((CASHBACK_RULES!$O$5:$O$304="")+(CASHBACK_RULES!$O$5:$O$304&gt;=$B57))&gt;0)*(((CASHBACK_RULES!$M$5:$M$304="")+(CASHBACK_RULES!$M$5:$M$304&lt;=$L57))&gt;0),0),0),0))))</f>
        <v>0</v>
      </c>
      <c r="AD57" s="51" t="str">
        <f>IF(OR($B57="",$D57=""),"",IFERROR(IF(INDEX(CARDS!$H$5:$H$34,MATCH($D57,CARDS!$A$5:$A$34,0))="","",IF(DAY($B57)&lt;=INDEX(CARDS!$H$5:$H$34,MATCH($D57,CARDS!$A$5:$A$34,0)),DATE(YEAR($B57),MONTH($B57),MIN(INDEX(CARDS!$H$5:$H$34,MATCH($D57,CARDS!$A$5:$A$34,0)),DAY(EOMONTH($B57,0)))),DATE(YEAR($B57),MONTH($B57)+1,MIN(INDEX(CARDS!$H$5:$H$34,MATCH($D57,CARDS!$A$5:$A$34,0)),DAY(EOMONTH($B57,1)))))),""))</f>
        <v/>
      </c>
      <c r="AE57" s="52" t="str">
        <f>IF($C57="","",$C57&amp;"|"&amp;COUNTIF($C$5:$C57,$C57))</f>
        <v/>
      </c>
      <c r="AF57" s="53">
        <f>IF($AC57&gt;0,SUMIFS(Q$4:Q56,$D$4:$D56,$D57,$Z$4:$Z56,$Z57,$C$4:$C56,$C57),0)</f>
        <v>0</v>
      </c>
      <c r="AG57" s="53">
        <f>IF($AC57&gt;0,SUMIFS(Q$4:Q56,$D$4:$D56,$D57,$C$4:$C56,$C57),0)</f>
        <v>0</v>
      </c>
      <c r="AH57" s="53">
        <f>IF($AC57&gt;0,SUMIFS(M$4:M56,$D$4:$D56,$D57,$Z$4:$Z56,$Z57,$C$4:$C56,$C57),0)</f>
        <v>0</v>
      </c>
      <c r="AI57" s="43">
        <f>IF(OR($C57="",$I57=""),0,IF(COUNTIFS($C$5:$C57,$C57,$I$5:$I57,$I57)=1,1,0))</f>
        <v>0</v>
      </c>
      <c r="AJ57" s="43" t="str">
        <f>IF($AI57=1,SUMIFS($AI$4:$AI56,$C$4:$C56,$C57)+1,"")</f>
        <v/>
      </c>
      <c r="AK57" s="43">
        <f>IF(OR($C57="",$K57=""),0,IF(COUNTIFS($C$5:$C57,$C57,$K$5:$K57,$K57)=1,1,0))</f>
        <v>0</v>
      </c>
      <c r="AL57" s="43" t="str">
        <f>IF($AK57=1,SUMIFS($AK$4:$AK56,$C$4:$C56,$C57)+1,"")</f>
        <v/>
      </c>
      <c r="AM57" s="43">
        <f>IF(OR($C57="",$G57=""),0,IF(COUNTIFS($C$5:$C57,$C57,$G$5:$G57,$G57)=1,1,0))</f>
        <v>0</v>
      </c>
      <c r="AN57" s="43" t="str">
        <f>IF($AM57=1,SUMIFS($AM$4:$AM56,$C$4:$C56,$C57)+1,"")</f>
        <v/>
      </c>
    </row>
    <row r="58">
      <c r="A58" s="44" t="str">
        <f>IF(OR($B58="",$D58=""),"","TX"&amp;TEXT(ROW()-4,"0000"))</f>
        <v/>
      </c>
      <c r="B58" s="42" t="n"/>
      <c r="C58" s="47" t="str">
        <f>IF($B58="","",YEAR($B58)*100+MONTH($B58))</f>
        <v/>
      </c>
      <c r="D58" s="37" t="n"/>
      <c r="E58" s="45" t="str">
        <f>IF($D58="","",IFERROR(INDEX(CARDS!$B$5:$B$34,MATCH($D58,CARDS!$A$5:$A$34,0)),"⚠ Card ID?"))</f>
        <v/>
      </c>
      <c r="F58" s="45" t="str">
        <f>IF($D58="","",IFERROR(INDEX(CARDS!$C$5:$C$34,MATCH($D58,CARDS!$A$5:$A$34,0)),"⚠ Card ID?"))</f>
        <v/>
      </c>
      <c r="G58" s="37" t="n"/>
      <c r="H58" s="37" t="n"/>
      <c r="I58" s="41" t="n"/>
      <c r="J58" s="45" t="str">
        <f>IF($I58="","",IFERROR(INDEX(MCC_MASTER!$B$5:$B$504,MATCH($I58,MCC_MASTER!$A$5:$A$504,0)),"⚠ MCC chưa có"))</f>
        <v/>
      </c>
      <c r="K58" s="45" t="str">
        <f>IF($I58="","",IFERROR(IF(INDEX(MCC_MASTER!$C$5:$C$504,MATCH($I58,MCC_MASTER!$A$5:$A$504,0))="","Chưa phân loại",INDEX(MCC_MASTER!$C$5:$C$504,MATCH($I58,MCC_MASTER!$A$5:$A$504,0))),"Chưa phân loại"))</f>
        <v/>
      </c>
      <c r="L58" s="40" t="n"/>
      <c r="M58" s="48" t="str">
        <f>IF(OR($B58="",$D58=""),"",IF($AC58=0,0,IF(ISNUMBER(INDEX(CASHBACK_RULES!$L$5:$L$304,$AC58)),MAX(0,MIN($L58,INDEX(CASHBACK_RULES!$L$5:$L$304,$AC58)-$AH58)),MAX(0,$L58))))</f>
        <v/>
      </c>
      <c r="N58" s="49" t="str">
        <f>IF(OR($B58="",$D58=""),"",IF($AC58&gt;0,INDEX(CASHBACK_RULES!$I$5:$I$304,$AC58),0))</f>
        <v/>
      </c>
      <c r="O58" s="48" t="str">
        <f>IF(OR($B58="",$D58=""),"",ROUND($M58*$N58,0))</f>
        <v/>
      </c>
      <c r="P58" s="48" t="str">
        <f>IF($AC58&gt;0,IF(ISNUMBER(INDEX(CASHBACK_RULES!$J$5:$J$304,$AC58)),INDEX(CASHBACK_RULES!$J$5:$J$304,$AC58),"∞"),"")</f>
        <v/>
      </c>
      <c r="Q58" s="48" t="str">
        <f>IF(OR($B58="",$D58=""),"",IF($AC58=0,0,MAX(0,MIN($O58,IF(ISNUMBER($P58),$P58-$AF58,1E+15),IF(ISNUMBER($AA58),$AA58-$AG58,1E+15)))))</f>
        <v/>
      </c>
      <c r="R58" s="48" t="str">
        <f>IF(OR($B58="",$D58=""),"",IF($AC58=0,"",IF(AND(NOT(ISNUMBER($P58)),NOT(ISNUMBER($AA58))),"∞",MAX(0,MIN(IF(ISNUMBER($P58),$P58-$AF58-$Q58,1E+15),IF(ISNUMBER($AA58),$AA58-$AG58-$Q58,1E+15))))))</f>
        <v/>
      </c>
      <c r="S58" s="47" t="str">
        <f>IF($AD58="","",YEAR($AD58)*100+MONTH($AD58))</f>
        <v/>
      </c>
      <c r="T58" s="50" t="str">
        <f>IF($AD58="","",IFERROR(IF(INDEX(CARDS!$I$5:$I$34,MATCH($D58,CARDS!$A$5:$A$34,0))="","",IF(INDEX(CARDS!$I$5:$I$34,MATCH($D58,CARDS!$A$5:$A$34,0))&gt;INDEX(CARDS!$H$5:$H$34,MATCH($D58,CARDS!$A$5:$A$34,0)),DATE(YEAR($AD58),MONTH($AD58),MIN(INDEX(CARDS!$I$5:$I$34,MATCH($D58,CARDS!$A$5:$A$34,0)),DAY(EOMONTH($AD58,0)))),DATE(YEAR($AD58),MONTH($AD58)+1,MIN(INDEX(CARDS!$I$5:$I$34,MATCH($D58,CARDS!$A$5:$A$34,0)),DAY(EOMONTH($AD58,1)))))),""))</f>
        <v/>
      </c>
      <c r="U58" s="38" t="n"/>
      <c r="V58" s="37" t="n"/>
      <c r="W58" s="38" t="n"/>
      <c r="X58" s="38" t="n"/>
      <c r="Y58" s="44" t="str">
        <f>IF($AC58&gt;0,INDEX(CASHBACK_RULES!$A$5:$A$304,$AC58),"")</f>
        <v/>
      </c>
      <c r="Z58" s="45" t="str">
        <f>IF($AC58&gt;0,INDEX(CASHBACK_RULES!$E$5:$E$304,$AC58)&amp;"","")</f>
        <v/>
      </c>
      <c r="AA58" s="48" t="str">
        <f>IF($AC58&gt;0,IF(ISNUMBER(INDEX(CASHBACK_RULES!$K$5:$K$304,$AC58)),INDEX(CASHBACK_RULES!$K$5:$K$304,$AC58),"∞"),"")</f>
        <v/>
      </c>
      <c r="AB58" s="44" t="str">
        <f>IF(OR($B58="",$D58=""),"",IF($U58="Cancelled","Đã hủy",IF($AC58=0,"Không được hoàn",IF($Q58=0,IF(OR($O58&gt;0,$M58&lt;$L58),"Đã đạt cap","Không được hoàn"),IF(OR($Q58&lt;$O58,$M58&lt;$L58),"Hoàn một phần","Được hoàn")))))</f>
        <v/>
      </c>
      <c r="AC58" s="43">
        <f>IF(OR($B58="",$D58="",$I58="",$L58=""),0,IF($U58="Cancelled",0,IF($W58&lt;&gt;"",IFERROR(IF(INDEX(CASHBACK_RULES!$B$5:$B$304,MATCH($W58,CASHBACK_RULES!$A$5:$A$304,0))=$D58,MATCH($W58,CASHBACK_RULES!$A$5:$A$304,0),0),0),IFERROR(MATCH(1,INDEX((CASHBACK_RULES!$B$5:$B$304=$D58)*(CASHBACK_RULES!$G$5:$G$304=$I58)*(((CASHBACK_RULES!$N$5:$N$304="")+(CASHBACK_RULES!$N$5:$N$304&lt;=$B58))&gt;0)*(((CASHBACK_RULES!$O$5:$O$304="")+(CASHBACK_RULES!$O$5:$O$304&gt;=$B58))&gt;0)*(((CASHBACK_RULES!$M$5:$M$304="")+(CASHBACK_RULES!$M$5:$M$304&lt;=$L58))&gt;0),0),0),0))))</f>
        <v>0</v>
      </c>
      <c r="AD58" s="51" t="str">
        <f>IF(OR($B58="",$D58=""),"",IFERROR(IF(INDEX(CARDS!$H$5:$H$34,MATCH($D58,CARDS!$A$5:$A$34,0))="","",IF(DAY($B58)&lt;=INDEX(CARDS!$H$5:$H$34,MATCH($D58,CARDS!$A$5:$A$34,0)),DATE(YEAR($B58),MONTH($B58),MIN(INDEX(CARDS!$H$5:$H$34,MATCH($D58,CARDS!$A$5:$A$34,0)),DAY(EOMONTH($B58,0)))),DATE(YEAR($B58),MONTH($B58)+1,MIN(INDEX(CARDS!$H$5:$H$34,MATCH($D58,CARDS!$A$5:$A$34,0)),DAY(EOMONTH($B58,1)))))),""))</f>
        <v/>
      </c>
      <c r="AE58" s="52" t="str">
        <f>IF($C58="","",$C58&amp;"|"&amp;COUNTIF($C$5:$C58,$C58))</f>
        <v/>
      </c>
      <c r="AF58" s="53">
        <f>IF($AC58&gt;0,SUMIFS(Q$4:Q57,$D$4:$D57,$D58,$Z$4:$Z57,$Z58,$C$4:$C57,$C58),0)</f>
        <v>0</v>
      </c>
      <c r="AG58" s="53">
        <f>IF($AC58&gt;0,SUMIFS(Q$4:Q57,$D$4:$D57,$D58,$C$4:$C57,$C58),0)</f>
        <v>0</v>
      </c>
      <c r="AH58" s="53">
        <f>IF($AC58&gt;0,SUMIFS(M$4:M57,$D$4:$D57,$D58,$Z$4:$Z57,$Z58,$C$4:$C57,$C58),0)</f>
        <v>0</v>
      </c>
      <c r="AI58" s="43">
        <f>IF(OR($C58="",$I58=""),0,IF(COUNTIFS($C$5:$C58,$C58,$I$5:$I58,$I58)=1,1,0))</f>
        <v>0</v>
      </c>
      <c r="AJ58" s="43" t="str">
        <f>IF($AI58=1,SUMIFS($AI$4:$AI57,$C$4:$C57,$C58)+1,"")</f>
        <v/>
      </c>
      <c r="AK58" s="43">
        <f>IF(OR($C58="",$K58=""),0,IF(COUNTIFS($C$5:$C58,$C58,$K$5:$K58,$K58)=1,1,0))</f>
        <v>0</v>
      </c>
      <c r="AL58" s="43" t="str">
        <f>IF($AK58=1,SUMIFS($AK$4:$AK57,$C$4:$C57,$C58)+1,"")</f>
        <v/>
      </c>
      <c r="AM58" s="43">
        <f>IF(OR($C58="",$G58=""),0,IF(COUNTIFS($C$5:$C58,$C58,$G$5:$G58,$G58)=1,1,0))</f>
        <v>0</v>
      </c>
      <c r="AN58" s="43" t="str">
        <f>IF($AM58=1,SUMIFS($AM$4:$AM57,$C$4:$C57,$C58)+1,"")</f>
        <v/>
      </c>
    </row>
    <row r="59">
      <c r="A59" s="44" t="str">
        <f>IF(OR($B59="",$D59=""),"","TX"&amp;TEXT(ROW()-4,"0000"))</f>
        <v/>
      </c>
      <c r="B59" s="42" t="n"/>
      <c r="C59" s="47" t="str">
        <f>IF($B59="","",YEAR($B59)*100+MONTH($B59))</f>
        <v/>
      </c>
      <c r="D59" s="37" t="n"/>
      <c r="E59" s="45" t="str">
        <f>IF($D59="","",IFERROR(INDEX(CARDS!$B$5:$B$34,MATCH($D59,CARDS!$A$5:$A$34,0)),"⚠ Card ID?"))</f>
        <v/>
      </c>
      <c r="F59" s="45" t="str">
        <f>IF($D59="","",IFERROR(INDEX(CARDS!$C$5:$C$34,MATCH($D59,CARDS!$A$5:$A$34,0)),"⚠ Card ID?"))</f>
        <v/>
      </c>
      <c r="G59" s="37" t="n"/>
      <c r="H59" s="37" t="n"/>
      <c r="I59" s="41" t="n"/>
      <c r="J59" s="45" t="str">
        <f>IF($I59="","",IFERROR(INDEX(MCC_MASTER!$B$5:$B$504,MATCH($I59,MCC_MASTER!$A$5:$A$504,0)),"⚠ MCC chưa có"))</f>
        <v/>
      </c>
      <c r="K59" s="45" t="str">
        <f>IF($I59="","",IFERROR(IF(INDEX(MCC_MASTER!$C$5:$C$504,MATCH($I59,MCC_MASTER!$A$5:$A$504,0))="","Chưa phân loại",INDEX(MCC_MASTER!$C$5:$C$504,MATCH($I59,MCC_MASTER!$A$5:$A$504,0))),"Chưa phân loại"))</f>
        <v/>
      </c>
      <c r="L59" s="40" t="n"/>
      <c r="M59" s="48" t="str">
        <f>IF(OR($B59="",$D59=""),"",IF($AC59=0,0,IF(ISNUMBER(INDEX(CASHBACK_RULES!$L$5:$L$304,$AC59)),MAX(0,MIN($L59,INDEX(CASHBACK_RULES!$L$5:$L$304,$AC59)-$AH59)),MAX(0,$L59))))</f>
        <v/>
      </c>
      <c r="N59" s="49" t="str">
        <f>IF(OR($B59="",$D59=""),"",IF($AC59&gt;0,INDEX(CASHBACK_RULES!$I$5:$I$304,$AC59),0))</f>
        <v/>
      </c>
      <c r="O59" s="48" t="str">
        <f>IF(OR($B59="",$D59=""),"",ROUND($M59*$N59,0))</f>
        <v/>
      </c>
      <c r="P59" s="48" t="str">
        <f>IF($AC59&gt;0,IF(ISNUMBER(INDEX(CASHBACK_RULES!$J$5:$J$304,$AC59)),INDEX(CASHBACK_RULES!$J$5:$J$304,$AC59),"∞"),"")</f>
        <v/>
      </c>
      <c r="Q59" s="48" t="str">
        <f>IF(OR($B59="",$D59=""),"",IF($AC59=0,0,MAX(0,MIN($O59,IF(ISNUMBER($P59),$P59-$AF59,1E+15),IF(ISNUMBER($AA59),$AA59-$AG59,1E+15)))))</f>
        <v/>
      </c>
      <c r="R59" s="48" t="str">
        <f>IF(OR($B59="",$D59=""),"",IF($AC59=0,"",IF(AND(NOT(ISNUMBER($P59)),NOT(ISNUMBER($AA59))),"∞",MAX(0,MIN(IF(ISNUMBER($P59),$P59-$AF59-$Q59,1E+15),IF(ISNUMBER($AA59),$AA59-$AG59-$Q59,1E+15))))))</f>
        <v/>
      </c>
      <c r="S59" s="47" t="str">
        <f>IF($AD59="","",YEAR($AD59)*100+MONTH($AD59))</f>
        <v/>
      </c>
      <c r="T59" s="50" t="str">
        <f>IF($AD59="","",IFERROR(IF(INDEX(CARDS!$I$5:$I$34,MATCH($D59,CARDS!$A$5:$A$34,0))="","",IF(INDEX(CARDS!$I$5:$I$34,MATCH($D59,CARDS!$A$5:$A$34,0))&gt;INDEX(CARDS!$H$5:$H$34,MATCH($D59,CARDS!$A$5:$A$34,0)),DATE(YEAR($AD59),MONTH($AD59),MIN(INDEX(CARDS!$I$5:$I$34,MATCH($D59,CARDS!$A$5:$A$34,0)),DAY(EOMONTH($AD59,0)))),DATE(YEAR($AD59),MONTH($AD59)+1,MIN(INDEX(CARDS!$I$5:$I$34,MATCH($D59,CARDS!$A$5:$A$34,0)),DAY(EOMONTH($AD59,1)))))),""))</f>
        <v/>
      </c>
      <c r="U59" s="38" t="n"/>
      <c r="V59" s="37" t="n"/>
      <c r="W59" s="38" t="n"/>
      <c r="X59" s="38" t="n"/>
      <c r="Y59" s="44" t="str">
        <f>IF($AC59&gt;0,INDEX(CASHBACK_RULES!$A$5:$A$304,$AC59),"")</f>
        <v/>
      </c>
      <c r="Z59" s="45" t="str">
        <f>IF($AC59&gt;0,INDEX(CASHBACK_RULES!$E$5:$E$304,$AC59)&amp;"","")</f>
        <v/>
      </c>
      <c r="AA59" s="48" t="str">
        <f>IF($AC59&gt;0,IF(ISNUMBER(INDEX(CASHBACK_RULES!$K$5:$K$304,$AC59)),INDEX(CASHBACK_RULES!$K$5:$K$304,$AC59),"∞"),"")</f>
        <v/>
      </c>
      <c r="AB59" s="44" t="str">
        <f>IF(OR($B59="",$D59=""),"",IF($U59="Cancelled","Đã hủy",IF($AC59=0,"Không được hoàn",IF($Q59=0,IF(OR($O59&gt;0,$M59&lt;$L59),"Đã đạt cap","Không được hoàn"),IF(OR($Q59&lt;$O59,$M59&lt;$L59),"Hoàn một phần","Được hoàn")))))</f>
        <v/>
      </c>
      <c r="AC59" s="43">
        <f>IF(OR($B59="",$D59="",$I59="",$L59=""),0,IF($U59="Cancelled",0,IF($W59&lt;&gt;"",IFERROR(IF(INDEX(CASHBACK_RULES!$B$5:$B$304,MATCH($W59,CASHBACK_RULES!$A$5:$A$304,0))=$D59,MATCH($W59,CASHBACK_RULES!$A$5:$A$304,0),0),0),IFERROR(MATCH(1,INDEX((CASHBACK_RULES!$B$5:$B$304=$D59)*(CASHBACK_RULES!$G$5:$G$304=$I59)*(((CASHBACK_RULES!$N$5:$N$304="")+(CASHBACK_RULES!$N$5:$N$304&lt;=$B59))&gt;0)*(((CASHBACK_RULES!$O$5:$O$304="")+(CASHBACK_RULES!$O$5:$O$304&gt;=$B59))&gt;0)*(((CASHBACK_RULES!$M$5:$M$304="")+(CASHBACK_RULES!$M$5:$M$304&lt;=$L59))&gt;0),0),0),0))))</f>
        <v>0</v>
      </c>
      <c r="AD59" s="51" t="str">
        <f>IF(OR($B59="",$D59=""),"",IFERROR(IF(INDEX(CARDS!$H$5:$H$34,MATCH($D59,CARDS!$A$5:$A$34,0))="","",IF(DAY($B59)&lt;=INDEX(CARDS!$H$5:$H$34,MATCH($D59,CARDS!$A$5:$A$34,0)),DATE(YEAR($B59),MONTH($B59),MIN(INDEX(CARDS!$H$5:$H$34,MATCH($D59,CARDS!$A$5:$A$34,0)),DAY(EOMONTH($B59,0)))),DATE(YEAR($B59),MONTH($B59)+1,MIN(INDEX(CARDS!$H$5:$H$34,MATCH($D59,CARDS!$A$5:$A$34,0)),DAY(EOMONTH($B59,1)))))),""))</f>
        <v/>
      </c>
      <c r="AE59" s="52" t="str">
        <f>IF($C59="","",$C59&amp;"|"&amp;COUNTIF($C$5:$C59,$C59))</f>
        <v/>
      </c>
      <c r="AF59" s="53">
        <f>IF($AC59&gt;0,SUMIFS(Q$4:Q58,$D$4:$D58,$D59,$Z$4:$Z58,$Z59,$C$4:$C58,$C59),0)</f>
        <v>0</v>
      </c>
      <c r="AG59" s="53">
        <f>IF($AC59&gt;0,SUMIFS(Q$4:Q58,$D$4:$D58,$D59,$C$4:$C58,$C59),0)</f>
        <v>0</v>
      </c>
      <c r="AH59" s="53">
        <f>IF($AC59&gt;0,SUMIFS(M$4:M58,$D$4:$D58,$D59,$Z$4:$Z58,$Z59,$C$4:$C58,$C59),0)</f>
        <v>0</v>
      </c>
      <c r="AI59" s="43">
        <f>IF(OR($C59="",$I59=""),0,IF(COUNTIFS($C$5:$C59,$C59,$I$5:$I59,$I59)=1,1,0))</f>
        <v>0</v>
      </c>
      <c r="AJ59" s="43" t="str">
        <f>IF($AI59=1,SUMIFS($AI$4:$AI58,$C$4:$C58,$C59)+1,"")</f>
        <v/>
      </c>
      <c r="AK59" s="43">
        <f>IF(OR($C59="",$K59=""),0,IF(COUNTIFS($C$5:$C59,$C59,$K$5:$K59,$K59)=1,1,0))</f>
        <v>0</v>
      </c>
      <c r="AL59" s="43" t="str">
        <f>IF($AK59=1,SUMIFS($AK$4:$AK58,$C$4:$C58,$C59)+1,"")</f>
        <v/>
      </c>
      <c r="AM59" s="43">
        <f>IF(OR($C59="",$G59=""),0,IF(COUNTIFS($C$5:$C59,$C59,$G$5:$G59,$G59)=1,1,0))</f>
        <v>0</v>
      </c>
      <c r="AN59" s="43" t="str">
        <f>IF($AM59=1,SUMIFS($AM$4:$AM58,$C$4:$C58,$C59)+1,"")</f>
        <v/>
      </c>
    </row>
    <row r="60">
      <c r="A60" s="44" t="str">
        <f>IF(OR($B60="",$D60=""),"","TX"&amp;TEXT(ROW()-4,"0000"))</f>
        <v/>
      </c>
      <c r="B60" s="42" t="n"/>
      <c r="C60" s="47" t="str">
        <f>IF($B60="","",YEAR($B60)*100+MONTH($B60))</f>
        <v/>
      </c>
      <c r="D60" s="37" t="n"/>
      <c r="E60" s="45" t="str">
        <f>IF($D60="","",IFERROR(INDEX(CARDS!$B$5:$B$34,MATCH($D60,CARDS!$A$5:$A$34,0)),"⚠ Card ID?"))</f>
        <v/>
      </c>
      <c r="F60" s="45" t="str">
        <f>IF($D60="","",IFERROR(INDEX(CARDS!$C$5:$C$34,MATCH($D60,CARDS!$A$5:$A$34,0)),"⚠ Card ID?"))</f>
        <v/>
      </c>
      <c r="G60" s="37" t="n"/>
      <c r="H60" s="37" t="n"/>
      <c r="I60" s="41" t="n"/>
      <c r="J60" s="45" t="str">
        <f>IF($I60="","",IFERROR(INDEX(MCC_MASTER!$B$5:$B$504,MATCH($I60,MCC_MASTER!$A$5:$A$504,0)),"⚠ MCC chưa có"))</f>
        <v/>
      </c>
      <c r="K60" s="45" t="str">
        <f>IF($I60="","",IFERROR(IF(INDEX(MCC_MASTER!$C$5:$C$504,MATCH($I60,MCC_MASTER!$A$5:$A$504,0))="","Chưa phân loại",INDEX(MCC_MASTER!$C$5:$C$504,MATCH($I60,MCC_MASTER!$A$5:$A$504,0))),"Chưa phân loại"))</f>
        <v/>
      </c>
      <c r="L60" s="40" t="n"/>
      <c r="M60" s="48" t="str">
        <f>IF(OR($B60="",$D60=""),"",IF($AC60=0,0,IF(ISNUMBER(INDEX(CASHBACK_RULES!$L$5:$L$304,$AC60)),MAX(0,MIN($L60,INDEX(CASHBACK_RULES!$L$5:$L$304,$AC60)-$AH60)),MAX(0,$L60))))</f>
        <v/>
      </c>
      <c r="N60" s="49" t="str">
        <f>IF(OR($B60="",$D60=""),"",IF($AC60&gt;0,INDEX(CASHBACK_RULES!$I$5:$I$304,$AC60),0))</f>
        <v/>
      </c>
      <c r="O60" s="48" t="str">
        <f>IF(OR($B60="",$D60=""),"",ROUND($M60*$N60,0))</f>
        <v/>
      </c>
      <c r="P60" s="48" t="str">
        <f>IF($AC60&gt;0,IF(ISNUMBER(INDEX(CASHBACK_RULES!$J$5:$J$304,$AC60)),INDEX(CASHBACK_RULES!$J$5:$J$304,$AC60),"∞"),"")</f>
        <v/>
      </c>
      <c r="Q60" s="48" t="str">
        <f>IF(OR($B60="",$D60=""),"",IF($AC60=0,0,MAX(0,MIN($O60,IF(ISNUMBER($P60),$P60-$AF60,1E+15),IF(ISNUMBER($AA60),$AA60-$AG60,1E+15)))))</f>
        <v/>
      </c>
      <c r="R60" s="48" t="str">
        <f>IF(OR($B60="",$D60=""),"",IF($AC60=0,"",IF(AND(NOT(ISNUMBER($P60)),NOT(ISNUMBER($AA60))),"∞",MAX(0,MIN(IF(ISNUMBER($P60),$P60-$AF60-$Q60,1E+15),IF(ISNUMBER($AA60),$AA60-$AG60-$Q60,1E+15))))))</f>
        <v/>
      </c>
      <c r="S60" s="47" t="str">
        <f>IF($AD60="","",YEAR($AD60)*100+MONTH($AD60))</f>
        <v/>
      </c>
      <c r="T60" s="50" t="str">
        <f>IF($AD60="","",IFERROR(IF(INDEX(CARDS!$I$5:$I$34,MATCH($D60,CARDS!$A$5:$A$34,0))="","",IF(INDEX(CARDS!$I$5:$I$34,MATCH($D60,CARDS!$A$5:$A$34,0))&gt;INDEX(CARDS!$H$5:$H$34,MATCH($D60,CARDS!$A$5:$A$34,0)),DATE(YEAR($AD60),MONTH($AD60),MIN(INDEX(CARDS!$I$5:$I$34,MATCH($D60,CARDS!$A$5:$A$34,0)),DAY(EOMONTH($AD60,0)))),DATE(YEAR($AD60),MONTH($AD60)+1,MIN(INDEX(CARDS!$I$5:$I$34,MATCH($D60,CARDS!$A$5:$A$34,0)),DAY(EOMONTH($AD60,1)))))),""))</f>
        <v/>
      </c>
      <c r="U60" s="38" t="n"/>
      <c r="V60" s="37" t="n"/>
      <c r="W60" s="38" t="n"/>
      <c r="X60" s="38" t="n"/>
      <c r="Y60" s="44" t="str">
        <f>IF($AC60&gt;0,INDEX(CASHBACK_RULES!$A$5:$A$304,$AC60),"")</f>
        <v/>
      </c>
      <c r="Z60" s="45" t="str">
        <f>IF($AC60&gt;0,INDEX(CASHBACK_RULES!$E$5:$E$304,$AC60)&amp;"","")</f>
        <v/>
      </c>
      <c r="AA60" s="48" t="str">
        <f>IF($AC60&gt;0,IF(ISNUMBER(INDEX(CASHBACK_RULES!$K$5:$K$304,$AC60)),INDEX(CASHBACK_RULES!$K$5:$K$304,$AC60),"∞"),"")</f>
        <v/>
      </c>
      <c r="AB60" s="44" t="str">
        <f>IF(OR($B60="",$D60=""),"",IF($U60="Cancelled","Đã hủy",IF($AC60=0,"Không được hoàn",IF($Q60=0,IF(OR($O60&gt;0,$M60&lt;$L60),"Đã đạt cap","Không được hoàn"),IF(OR($Q60&lt;$O60,$M60&lt;$L60),"Hoàn một phần","Được hoàn")))))</f>
        <v/>
      </c>
      <c r="AC60" s="43">
        <f>IF(OR($B60="",$D60="",$I60="",$L60=""),0,IF($U60="Cancelled",0,IF($W60&lt;&gt;"",IFERROR(IF(INDEX(CASHBACK_RULES!$B$5:$B$304,MATCH($W60,CASHBACK_RULES!$A$5:$A$304,0))=$D60,MATCH($W60,CASHBACK_RULES!$A$5:$A$304,0),0),0),IFERROR(MATCH(1,INDEX((CASHBACK_RULES!$B$5:$B$304=$D60)*(CASHBACK_RULES!$G$5:$G$304=$I60)*(((CASHBACK_RULES!$N$5:$N$304="")+(CASHBACK_RULES!$N$5:$N$304&lt;=$B60))&gt;0)*(((CASHBACK_RULES!$O$5:$O$304="")+(CASHBACK_RULES!$O$5:$O$304&gt;=$B60))&gt;0)*(((CASHBACK_RULES!$M$5:$M$304="")+(CASHBACK_RULES!$M$5:$M$304&lt;=$L60))&gt;0),0),0),0))))</f>
        <v>0</v>
      </c>
      <c r="AD60" s="51" t="str">
        <f>IF(OR($B60="",$D60=""),"",IFERROR(IF(INDEX(CARDS!$H$5:$H$34,MATCH($D60,CARDS!$A$5:$A$34,0))="","",IF(DAY($B60)&lt;=INDEX(CARDS!$H$5:$H$34,MATCH($D60,CARDS!$A$5:$A$34,0)),DATE(YEAR($B60),MONTH($B60),MIN(INDEX(CARDS!$H$5:$H$34,MATCH($D60,CARDS!$A$5:$A$34,0)),DAY(EOMONTH($B60,0)))),DATE(YEAR($B60),MONTH($B60)+1,MIN(INDEX(CARDS!$H$5:$H$34,MATCH($D60,CARDS!$A$5:$A$34,0)),DAY(EOMONTH($B60,1)))))),""))</f>
        <v/>
      </c>
      <c r="AE60" s="52" t="str">
        <f>IF($C60="","",$C60&amp;"|"&amp;COUNTIF($C$5:$C60,$C60))</f>
        <v/>
      </c>
      <c r="AF60" s="53">
        <f>IF($AC60&gt;0,SUMIFS(Q$4:Q59,$D$4:$D59,$D60,$Z$4:$Z59,$Z60,$C$4:$C59,$C60),0)</f>
        <v>0</v>
      </c>
      <c r="AG60" s="53">
        <f>IF($AC60&gt;0,SUMIFS(Q$4:Q59,$D$4:$D59,$D60,$C$4:$C59,$C60),0)</f>
        <v>0</v>
      </c>
      <c r="AH60" s="53">
        <f>IF($AC60&gt;0,SUMIFS(M$4:M59,$D$4:$D59,$D60,$Z$4:$Z59,$Z60,$C$4:$C59,$C60),0)</f>
        <v>0</v>
      </c>
      <c r="AI60" s="43">
        <f>IF(OR($C60="",$I60=""),0,IF(COUNTIFS($C$5:$C60,$C60,$I$5:$I60,$I60)=1,1,0))</f>
        <v>0</v>
      </c>
      <c r="AJ60" s="43" t="str">
        <f>IF($AI60=1,SUMIFS($AI$4:$AI59,$C$4:$C59,$C60)+1,"")</f>
        <v/>
      </c>
      <c r="AK60" s="43">
        <f>IF(OR($C60="",$K60=""),0,IF(COUNTIFS($C$5:$C60,$C60,$K$5:$K60,$K60)=1,1,0))</f>
        <v>0</v>
      </c>
      <c r="AL60" s="43" t="str">
        <f>IF($AK60=1,SUMIFS($AK$4:$AK59,$C$4:$C59,$C60)+1,"")</f>
        <v/>
      </c>
      <c r="AM60" s="43">
        <f>IF(OR($C60="",$G60=""),0,IF(COUNTIFS($C$5:$C60,$C60,$G$5:$G60,$G60)=1,1,0))</f>
        <v>0</v>
      </c>
      <c r="AN60" s="43" t="str">
        <f>IF($AM60=1,SUMIFS($AM$4:$AM59,$C$4:$C59,$C60)+1,"")</f>
        <v/>
      </c>
    </row>
    <row r="61">
      <c r="A61" s="44" t="str">
        <f>IF(OR($B61="",$D61=""),"","TX"&amp;TEXT(ROW()-4,"0000"))</f>
        <v/>
      </c>
      <c r="B61" s="42" t="n"/>
      <c r="C61" s="47" t="str">
        <f>IF($B61="","",YEAR($B61)*100+MONTH($B61))</f>
        <v/>
      </c>
      <c r="D61" s="37" t="n"/>
      <c r="E61" s="45" t="str">
        <f>IF($D61="","",IFERROR(INDEX(CARDS!$B$5:$B$34,MATCH($D61,CARDS!$A$5:$A$34,0)),"⚠ Card ID?"))</f>
        <v/>
      </c>
      <c r="F61" s="45" t="str">
        <f>IF($D61="","",IFERROR(INDEX(CARDS!$C$5:$C$34,MATCH($D61,CARDS!$A$5:$A$34,0)),"⚠ Card ID?"))</f>
        <v/>
      </c>
      <c r="G61" s="37" t="n"/>
      <c r="H61" s="37" t="n"/>
      <c r="I61" s="41" t="n"/>
      <c r="J61" s="45" t="str">
        <f>IF($I61="","",IFERROR(INDEX(MCC_MASTER!$B$5:$B$504,MATCH($I61,MCC_MASTER!$A$5:$A$504,0)),"⚠ MCC chưa có"))</f>
        <v/>
      </c>
      <c r="K61" s="45" t="str">
        <f>IF($I61="","",IFERROR(IF(INDEX(MCC_MASTER!$C$5:$C$504,MATCH($I61,MCC_MASTER!$A$5:$A$504,0))="","Chưa phân loại",INDEX(MCC_MASTER!$C$5:$C$504,MATCH($I61,MCC_MASTER!$A$5:$A$504,0))),"Chưa phân loại"))</f>
        <v/>
      </c>
      <c r="L61" s="40" t="n"/>
      <c r="M61" s="48" t="str">
        <f>IF(OR($B61="",$D61=""),"",IF($AC61=0,0,IF(ISNUMBER(INDEX(CASHBACK_RULES!$L$5:$L$304,$AC61)),MAX(0,MIN($L61,INDEX(CASHBACK_RULES!$L$5:$L$304,$AC61)-$AH61)),MAX(0,$L61))))</f>
        <v/>
      </c>
      <c r="N61" s="49" t="str">
        <f>IF(OR($B61="",$D61=""),"",IF($AC61&gt;0,INDEX(CASHBACK_RULES!$I$5:$I$304,$AC61),0))</f>
        <v/>
      </c>
      <c r="O61" s="48" t="str">
        <f>IF(OR($B61="",$D61=""),"",ROUND($M61*$N61,0))</f>
        <v/>
      </c>
      <c r="P61" s="48" t="str">
        <f>IF($AC61&gt;0,IF(ISNUMBER(INDEX(CASHBACK_RULES!$J$5:$J$304,$AC61)),INDEX(CASHBACK_RULES!$J$5:$J$304,$AC61),"∞"),"")</f>
        <v/>
      </c>
      <c r="Q61" s="48" t="str">
        <f>IF(OR($B61="",$D61=""),"",IF($AC61=0,0,MAX(0,MIN($O61,IF(ISNUMBER($P61),$P61-$AF61,1E+15),IF(ISNUMBER($AA61),$AA61-$AG61,1E+15)))))</f>
        <v/>
      </c>
      <c r="R61" s="48" t="str">
        <f>IF(OR($B61="",$D61=""),"",IF($AC61=0,"",IF(AND(NOT(ISNUMBER($P61)),NOT(ISNUMBER($AA61))),"∞",MAX(0,MIN(IF(ISNUMBER($P61),$P61-$AF61-$Q61,1E+15),IF(ISNUMBER($AA61),$AA61-$AG61-$Q61,1E+15))))))</f>
        <v/>
      </c>
      <c r="S61" s="47" t="str">
        <f>IF($AD61="","",YEAR($AD61)*100+MONTH($AD61))</f>
        <v/>
      </c>
      <c r="T61" s="50" t="str">
        <f>IF($AD61="","",IFERROR(IF(INDEX(CARDS!$I$5:$I$34,MATCH($D61,CARDS!$A$5:$A$34,0))="","",IF(INDEX(CARDS!$I$5:$I$34,MATCH($D61,CARDS!$A$5:$A$34,0))&gt;INDEX(CARDS!$H$5:$H$34,MATCH($D61,CARDS!$A$5:$A$34,0)),DATE(YEAR($AD61),MONTH($AD61),MIN(INDEX(CARDS!$I$5:$I$34,MATCH($D61,CARDS!$A$5:$A$34,0)),DAY(EOMONTH($AD61,0)))),DATE(YEAR($AD61),MONTH($AD61)+1,MIN(INDEX(CARDS!$I$5:$I$34,MATCH($D61,CARDS!$A$5:$A$34,0)),DAY(EOMONTH($AD61,1)))))),""))</f>
        <v/>
      </c>
      <c r="U61" s="38" t="n"/>
      <c r="V61" s="37" t="n"/>
      <c r="W61" s="38" t="n"/>
      <c r="X61" s="38" t="n"/>
      <c r="Y61" s="44" t="str">
        <f>IF($AC61&gt;0,INDEX(CASHBACK_RULES!$A$5:$A$304,$AC61),"")</f>
        <v/>
      </c>
      <c r="Z61" s="45" t="str">
        <f>IF($AC61&gt;0,INDEX(CASHBACK_RULES!$E$5:$E$304,$AC61)&amp;"","")</f>
        <v/>
      </c>
      <c r="AA61" s="48" t="str">
        <f>IF($AC61&gt;0,IF(ISNUMBER(INDEX(CASHBACK_RULES!$K$5:$K$304,$AC61)),INDEX(CASHBACK_RULES!$K$5:$K$304,$AC61),"∞"),"")</f>
        <v/>
      </c>
      <c r="AB61" s="44" t="str">
        <f>IF(OR($B61="",$D61=""),"",IF($U61="Cancelled","Đã hủy",IF($AC61=0,"Không được hoàn",IF($Q61=0,IF(OR($O61&gt;0,$M61&lt;$L61),"Đã đạt cap","Không được hoàn"),IF(OR($Q61&lt;$O61,$M61&lt;$L61),"Hoàn một phần","Được hoàn")))))</f>
        <v/>
      </c>
      <c r="AC61" s="43">
        <f>IF(OR($B61="",$D61="",$I61="",$L61=""),0,IF($U61="Cancelled",0,IF($W61&lt;&gt;"",IFERROR(IF(INDEX(CASHBACK_RULES!$B$5:$B$304,MATCH($W61,CASHBACK_RULES!$A$5:$A$304,0))=$D61,MATCH($W61,CASHBACK_RULES!$A$5:$A$304,0),0),0),IFERROR(MATCH(1,INDEX((CASHBACK_RULES!$B$5:$B$304=$D61)*(CASHBACK_RULES!$G$5:$G$304=$I61)*(((CASHBACK_RULES!$N$5:$N$304="")+(CASHBACK_RULES!$N$5:$N$304&lt;=$B61))&gt;0)*(((CASHBACK_RULES!$O$5:$O$304="")+(CASHBACK_RULES!$O$5:$O$304&gt;=$B61))&gt;0)*(((CASHBACK_RULES!$M$5:$M$304="")+(CASHBACK_RULES!$M$5:$M$304&lt;=$L61))&gt;0),0),0),0))))</f>
        <v>0</v>
      </c>
      <c r="AD61" s="51" t="str">
        <f>IF(OR($B61="",$D61=""),"",IFERROR(IF(INDEX(CARDS!$H$5:$H$34,MATCH($D61,CARDS!$A$5:$A$34,0))="","",IF(DAY($B61)&lt;=INDEX(CARDS!$H$5:$H$34,MATCH($D61,CARDS!$A$5:$A$34,0)),DATE(YEAR($B61),MONTH($B61),MIN(INDEX(CARDS!$H$5:$H$34,MATCH($D61,CARDS!$A$5:$A$34,0)),DAY(EOMONTH($B61,0)))),DATE(YEAR($B61),MONTH($B61)+1,MIN(INDEX(CARDS!$H$5:$H$34,MATCH($D61,CARDS!$A$5:$A$34,0)),DAY(EOMONTH($B61,1)))))),""))</f>
        <v/>
      </c>
      <c r="AE61" s="52" t="str">
        <f>IF($C61="","",$C61&amp;"|"&amp;COUNTIF($C$5:$C61,$C61))</f>
        <v/>
      </c>
      <c r="AF61" s="53">
        <f>IF($AC61&gt;0,SUMIFS(Q$4:Q60,$D$4:$D60,$D61,$Z$4:$Z60,$Z61,$C$4:$C60,$C61),0)</f>
        <v>0</v>
      </c>
      <c r="AG61" s="53">
        <f>IF($AC61&gt;0,SUMIFS(Q$4:Q60,$D$4:$D60,$D61,$C$4:$C60,$C61),0)</f>
        <v>0</v>
      </c>
      <c r="AH61" s="53">
        <f>IF($AC61&gt;0,SUMIFS(M$4:M60,$D$4:$D60,$D61,$Z$4:$Z60,$Z61,$C$4:$C60,$C61),0)</f>
        <v>0</v>
      </c>
      <c r="AI61" s="43">
        <f>IF(OR($C61="",$I61=""),0,IF(COUNTIFS($C$5:$C61,$C61,$I$5:$I61,$I61)=1,1,0))</f>
        <v>0</v>
      </c>
      <c r="AJ61" s="43" t="str">
        <f>IF($AI61=1,SUMIFS($AI$4:$AI60,$C$4:$C60,$C61)+1,"")</f>
        <v/>
      </c>
      <c r="AK61" s="43">
        <f>IF(OR($C61="",$K61=""),0,IF(COUNTIFS($C$5:$C61,$C61,$K$5:$K61,$K61)=1,1,0))</f>
        <v>0</v>
      </c>
      <c r="AL61" s="43" t="str">
        <f>IF($AK61=1,SUMIFS($AK$4:$AK60,$C$4:$C60,$C61)+1,"")</f>
        <v/>
      </c>
      <c r="AM61" s="43">
        <f>IF(OR($C61="",$G61=""),0,IF(COUNTIFS($C$5:$C61,$C61,$G$5:$G61,$G61)=1,1,0))</f>
        <v>0</v>
      </c>
      <c r="AN61" s="43" t="str">
        <f>IF($AM61=1,SUMIFS($AM$4:$AM60,$C$4:$C60,$C61)+1,"")</f>
        <v/>
      </c>
    </row>
    <row r="62">
      <c r="A62" s="44" t="str">
        <f>IF(OR($B62="",$D62=""),"","TX"&amp;TEXT(ROW()-4,"0000"))</f>
        <v/>
      </c>
      <c r="B62" s="42" t="n"/>
      <c r="C62" s="47" t="str">
        <f>IF($B62="","",YEAR($B62)*100+MONTH($B62))</f>
        <v/>
      </c>
      <c r="D62" s="37" t="n"/>
      <c r="E62" s="45" t="str">
        <f>IF($D62="","",IFERROR(INDEX(CARDS!$B$5:$B$34,MATCH($D62,CARDS!$A$5:$A$34,0)),"⚠ Card ID?"))</f>
        <v/>
      </c>
      <c r="F62" s="45" t="str">
        <f>IF($D62="","",IFERROR(INDEX(CARDS!$C$5:$C$34,MATCH($D62,CARDS!$A$5:$A$34,0)),"⚠ Card ID?"))</f>
        <v/>
      </c>
      <c r="G62" s="37" t="n"/>
      <c r="H62" s="37" t="n"/>
      <c r="I62" s="41" t="n"/>
      <c r="J62" s="45" t="str">
        <f>IF($I62="","",IFERROR(INDEX(MCC_MASTER!$B$5:$B$504,MATCH($I62,MCC_MASTER!$A$5:$A$504,0)),"⚠ MCC chưa có"))</f>
        <v/>
      </c>
      <c r="K62" s="45" t="str">
        <f>IF($I62="","",IFERROR(IF(INDEX(MCC_MASTER!$C$5:$C$504,MATCH($I62,MCC_MASTER!$A$5:$A$504,0))="","Chưa phân loại",INDEX(MCC_MASTER!$C$5:$C$504,MATCH($I62,MCC_MASTER!$A$5:$A$504,0))),"Chưa phân loại"))</f>
        <v/>
      </c>
      <c r="L62" s="40" t="n"/>
      <c r="M62" s="48" t="str">
        <f>IF(OR($B62="",$D62=""),"",IF($AC62=0,0,IF(ISNUMBER(INDEX(CASHBACK_RULES!$L$5:$L$304,$AC62)),MAX(0,MIN($L62,INDEX(CASHBACK_RULES!$L$5:$L$304,$AC62)-$AH62)),MAX(0,$L62))))</f>
        <v/>
      </c>
      <c r="N62" s="49" t="str">
        <f>IF(OR($B62="",$D62=""),"",IF($AC62&gt;0,INDEX(CASHBACK_RULES!$I$5:$I$304,$AC62),0))</f>
        <v/>
      </c>
      <c r="O62" s="48" t="str">
        <f>IF(OR($B62="",$D62=""),"",ROUND($M62*$N62,0))</f>
        <v/>
      </c>
      <c r="P62" s="48" t="str">
        <f>IF($AC62&gt;0,IF(ISNUMBER(INDEX(CASHBACK_RULES!$J$5:$J$304,$AC62)),INDEX(CASHBACK_RULES!$J$5:$J$304,$AC62),"∞"),"")</f>
        <v/>
      </c>
      <c r="Q62" s="48" t="str">
        <f>IF(OR($B62="",$D62=""),"",IF($AC62=0,0,MAX(0,MIN($O62,IF(ISNUMBER($P62),$P62-$AF62,1E+15),IF(ISNUMBER($AA62),$AA62-$AG62,1E+15)))))</f>
        <v/>
      </c>
      <c r="R62" s="48" t="str">
        <f>IF(OR($B62="",$D62=""),"",IF($AC62=0,"",IF(AND(NOT(ISNUMBER($P62)),NOT(ISNUMBER($AA62))),"∞",MAX(0,MIN(IF(ISNUMBER($P62),$P62-$AF62-$Q62,1E+15),IF(ISNUMBER($AA62),$AA62-$AG62-$Q62,1E+15))))))</f>
        <v/>
      </c>
      <c r="S62" s="47" t="str">
        <f>IF($AD62="","",YEAR($AD62)*100+MONTH($AD62))</f>
        <v/>
      </c>
      <c r="T62" s="50" t="str">
        <f>IF($AD62="","",IFERROR(IF(INDEX(CARDS!$I$5:$I$34,MATCH($D62,CARDS!$A$5:$A$34,0))="","",IF(INDEX(CARDS!$I$5:$I$34,MATCH($D62,CARDS!$A$5:$A$34,0))&gt;INDEX(CARDS!$H$5:$H$34,MATCH($D62,CARDS!$A$5:$A$34,0)),DATE(YEAR($AD62),MONTH($AD62),MIN(INDEX(CARDS!$I$5:$I$34,MATCH($D62,CARDS!$A$5:$A$34,0)),DAY(EOMONTH($AD62,0)))),DATE(YEAR($AD62),MONTH($AD62)+1,MIN(INDEX(CARDS!$I$5:$I$34,MATCH($D62,CARDS!$A$5:$A$34,0)),DAY(EOMONTH($AD62,1)))))),""))</f>
        <v/>
      </c>
      <c r="U62" s="38" t="n"/>
      <c r="V62" s="37" t="n"/>
      <c r="W62" s="38" t="n"/>
      <c r="X62" s="38" t="n"/>
      <c r="Y62" s="44" t="str">
        <f>IF($AC62&gt;0,INDEX(CASHBACK_RULES!$A$5:$A$304,$AC62),"")</f>
        <v/>
      </c>
      <c r="Z62" s="45" t="str">
        <f>IF($AC62&gt;0,INDEX(CASHBACK_RULES!$E$5:$E$304,$AC62)&amp;"","")</f>
        <v/>
      </c>
      <c r="AA62" s="48" t="str">
        <f>IF($AC62&gt;0,IF(ISNUMBER(INDEX(CASHBACK_RULES!$K$5:$K$304,$AC62)),INDEX(CASHBACK_RULES!$K$5:$K$304,$AC62),"∞"),"")</f>
        <v/>
      </c>
      <c r="AB62" s="44" t="str">
        <f>IF(OR($B62="",$D62=""),"",IF($U62="Cancelled","Đã hủy",IF($AC62=0,"Không được hoàn",IF($Q62=0,IF(OR($O62&gt;0,$M62&lt;$L62),"Đã đạt cap","Không được hoàn"),IF(OR($Q62&lt;$O62,$M62&lt;$L62),"Hoàn một phần","Được hoàn")))))</f>
        <v/>
      </c>
      <c r="AC62" s="43">
        <f>IF(OR($B62="",$D62="",$I62="",$L62=""),0,IF($U62="Cancelled",0,IF($W62&lt;&gt;"",IFERROR(IF(INDEX(CASHBACK_RULES!$B$5:$B$304,MATCH($W62,CASHBACK_RULES!$A$5:$A$304,0))=$D62,MATCH($W62,CASHBACK_RULES!$A$5:$A$304,0),0),0),IFERROR(MATCH(1,INDEX((CASHBACK_RULES!$B$5:$B$304=$D62)*(CASHBACK_RULES!$G$5:$G$304=$I62)*(((CASHBACK_RULES!$N$5:$N$304="")+(CASHBACK_RULES!$N$5:$N$304&lt;=$B62))&gt;0)*(((CASHBACK_RULES!$O$5:$O$304="")+(CASHBACK_RULES!$O$5:$O$304&gt;=$B62))&gt;0)*(((CASHBACK_RULES!$M$5:$M$304="")+(CASHBACK_RULES!$M$5:$M$304&lt;=$L62))&gt;0),0),0),0))))</f>
        <v>0</v>
      </c>
      <c r="AD62" s="51" t="str">
        <f>IF(OR($B62="",$D62=""),"",IFERROR(IF(INDEX(CARDS!$H$5:$H$34,MATCH($D62,CARDS!$A$5:$A$34,0))="","",IF(DAY($B62)&lt;=INDEX(CARDS!$H$5:$H$34,MATCH($D62,CARDS!$A$5:$A$34,0)),DATE(YEAR($B62),MONTH($B62),MIN(INDEX(CARDS!$H$5:$H$34,MATCH($D62,CARDS!$A$5:$A$34,0)),DAY(EOMONTH($B62,0)))),DATE(YEAR($B62),MONTH($B62)+1,MIN(INDEX(CARDS!$H$5:$H$34,MATCH($D62,CARDS!$A$5:$A$34,0)),DAY(EOMONTH($B62,1)))))),""))</f>
        <v/>
      </c>
      <c r="AE62" s="52" t="str">
        <f>IF($C62="","",$C62&amp;"|"&amp;COUNTIF($C$5:$C62,$C62))</f>
        <v/>
      </c>
      <c r="AF62" s="53">
        <f>IF($AC62&gt;0,SUMIFS(Q$4:Q61,$D$4:$D61,$D62,$Z$4:$Z61,$Z62,$C$4:$C61,$C62),0)</f>
        <v>0</v>
      </c>
      <c r="AG62" s="53">
        <f>IF($AC62&gt;0,SUMIFS(Q$4:Q61,$D$4:$D61,$D62,$C$4:$C61,$C62),0)</f>
        <v>0</v>
      </c>
      <c r="AH62" s="53">
        <f>IF($AC62&gt;0,SUMIFS(M$4:M61,$D$4:$D61,$D62,$Z$4:$Z61,$Z62,$C$4:$C61,$C62),0)</f>
        <v>0</v>
      </c>
      <c r="AI62" s="43">
        <f>IF(OR($C62="",$I62=""),0,IF(COUNTIFS($C$5:$C62,$C62,$I$5:$I62,$I62)=1,1,0))</f>
        <v>0</v>
      </c>
      <c r="AJ62" s="43" t="str">
        <f>IF($AI62=1,SUMIFS($AI$4:$AI61,$C$4:$C61,$C62)+1,"")</f>
        <v/>
      </c>
      <c r="AK62" s="43">
        <f>IF(OR($C62="",$K62=""),0,IF(COUNTIFS($C$5:$C62,$C62,$K$5:$K62,$K62)=1,1,0))</f>
        <v>0</v>
      </c>
      <c r="AL62" s="43" t="str">
        <f>IF($AK62=1,SUMIFS($AK$4:$AK61,$C$4:$C61,$C62)+1,"")</f>
        <v/>
      </c>
      <c r="AM62" s="43">
        <f>IF(OR($C62="",$G62=""),0,IF(COUNTIFS($C$5:$C62,$C62,$G$5:$G62,$G62)=1,1,0))</f>
        <v>0</v>
      </c>
      <c r="AN62" s="43" t="str">
        <f>IF($AM62=1,SUMIFS($AM$4:$AM61,$C$4:$C61,$C62)+1,"")</f>
        <v/>
      </c>
    </row>
    <row r="63">
      <c r="A63" s="44" t="str">
        <f>IF(OR($B63="",$D63=""),"","TX"&amp;TEXT(ROW()-4,"0000"))</f>
        <v/>
      </c>
      <c r="B63" s="42" t="n"/>
      <c r="C63" s="47" t="str">
        <f>IF($B63="","",YEAR($B63)*100+MONTH($B63))</f>
        <v/>
      </c>
      <c r="D63" s="37" t="n"/>
      <c r="E63" s="45" t="str">
        <f>IF($D63="","",IFERROR(INDEX(CARDS!$B$5:$B$34,MATCH($D63,CARDS!$A$5:$A$34,0)),"⚠ Card ID?"))</f>
        <v/>
      </c>
      <c r="F63" s="45" t="str">
        <f>IF($D63="","",IFERROR(INDEX(CARDS!$C$5:$C$34,MATCH($D63,CARDS!$A$5:$A$34,0)),"⚠ Card ID?"))</f>
        <v/>
      </c>
      <c r="G63" s="37" t="n"/>
      <c r="H63" s="37" t="n"/>
      <c r="I63" s="41" t="n"/>
      <c r="J63" s="45" t="str">
        <f>IF($I63="","",IFERROR(INDEX(MCC_MASTER!$B$5:$B$504,MATCH($I63,MCC_MASTER!$A$5:$A$504,0)),"⚠ MCC chưa có"))</f>
        <v/>
      </c>
      <c r="K63" s="45" t="str">
        <f>IF($I63="","",IFERROR(IF(INDEX(MCC_MASTER!$C$5:$C$504,MATCH($I63,MCC_MASTER!$A$5:$A$504,0))="","Chưa phân loại",INDEX(MCC_MASTER!$C$5:$C$504,MATCH($I63,MCC_MASTER!$A$5:$A$504,0))),"Chưa phân loại"))</f>
        <v/>
      </c>
      <c r="L63" s="40" t="n"/>
      <c r="M63" s="48" t="str">
        <f>IF(OR($B63="",$D63=""),"",IF($AC63=0,0,IF(ISNUMBER(INDEX(CASHBACK_RULES!$L$5:$L$304,$AC63)),MAX(0,MIN($L63,INDEX(CASHBACK_RULES!$L$5:$L$304,$AC63)-$AH63)),MAX(0,$L63))))</f>
        <v/>
      </c>
      <c r="N63" s="49" t="str">
        <f>IF(OR($B63="",$D63=""),"",IF($AC63&gt;0,INDEX(CASHBACK_RULES!$I$5:$I$304,$AC63),0))</f>
        <v/>
      </c>
      <c r="O63" s="48" t="str">
        <f>IF(OR($B63="",$D63=""),"",ROUND($M63*$N63,0))</f>
        <v/>
      </c>
      <c r="P63" s="48" t="str">
        <f>IF($AC63&gt;0,IF(ISNUMBER(INDEX(CASHBACK_RULES!$J$5:$J$304,$AC63)),INDEX(CASHBACK_RULES!$J$5:$J$304,$AC63),"∞"),"")</f>
        <v/>
      </c>
      <c r="Q63" s="48" t="str">
        <f>IF(OR($B63="",$D63=""),"",IF($AC63=0,0,MAX(0,MIN($O63,IF(ISNUMBER($P63),$P63-$AF63,1E+15),IF(ISNUMBER($AA63),$AA63-$AG63,1E+15)))))</f>
        <v/>
      </c>
      <c r="R63" s="48" t="str">
        <f>IF(OR($B63="",$D63=""),"",IF($AC63=0,"",IF(AND(NOT(ISNUMBER($P63)),NOT(ISNUMBER($AA63))),"∞",MAX(0,MIN(IF(ISNUMBER($P63),$P63-$AF63-$Q63,1E+15),IF(ISNUMBER($AA63),$AA63-$AG63-$Q63,1E+15))))))</f>
        <v/>
      </c>
      <c r="S63" s="47" t="str">
        <f>IF($AD63="","",YEAR($AD63)*100+MONTH($AD63))</f>
        <v/>
      </c>
      <c r="T63" s="50" t="str">
        <f>IF($AD63="","",IFERROR(IF(INDEX(CARDS!$I$5:$I$34,MATCH($D63,CARDS!$A$5:$A$34,0))="","",IF(INDEX(CARDS!$I$5:$I$34,MATCH($D63,CARDS!$A$5:$A$34,0))&gt;INDEX(CARDS!$H$5:$H$34,MATCH($D63,CARDS!$A$5:$A$34,0)),DATE(YEAR($AD63),MONTH($AD63),MIN(INDEX(CARDS!$I$5:$I$34,MATCH($D63,CARDS!$A$5:$A$34,0)),DAY(EOMONTH($AD63,0)))),DATE(YEAR($AD63),MONTH($AD63)+1,MIN(INDEX(CARDS!$I$5:$I$34,MATCH($D63,CARDS!$A$5:$A$34,0)),DAY(EOMONTH($AD63,1)))))),""))</f>
        <v/>
      </c>
      <c r="U63" s="38" t="n"/>
      <c r="V63" s="37" t="n"/>
      <c r="W63" s="38" t="n"/>
      <c r="X63" s="38" t="n"/>
      <c r="Y63" s="44" t="str">
        <f>IF($AC63&gt;0,INDEX(CASHBACK_RULES!$A$5:$A$304,$AC63),"")</f>
        <v/>
      </c>
      <c r="Z63" s="45" t="str">
        <f>IF($AC63&gt;0,INDEX(CASHBACK_RULES!$E$5:$E$304,$AC63)&amp;"","")</f>
        <v/>
      </c>
      <c r="AA63" s="48" t="str">
        <f>IF($AC63&gt;0,IF(ISNUMBER(INDEX(CASHBACK_RULES!$K$5:$K$304,$AC63)),INDEX(CASHBACK_RULES!$K$5:$K$304,$AC63),"∞"),"")</f>
        <v/>
      </c>
      <c r="AB63" s="44" t="str">
        <f>IF(OR($B63="",$D63=""),"",IF($U63="Cancelled","Đã hủy",IF($AC63=0,"Không được hoàn",IF($Q63=0,IF(OR($O63&gt;0,$M63&lt;$L63),"Đã đạt cap","Không được hoàn"),IF(OR($Q63&lt;$O63,$M63&lt;$L63),"Hoàn một phần","Được hoàn")))))</f>
        <v/>
      </c>
      <c r="AC63" s="43">
        <f>IF(OR($B63="",$D63="",$I63="",$L63=""),0,IF($U63="Cancelled",0,IF($W63&lt;&gt;"",IFERROR(IF(INDEX(CASHBACK_RULES!$B$5:$B$304,MATCH($W63,CASHBACK_RULES!$A$5:$A$304,0))=$D63,MATCH($W63,CASHBACK_RULES!$A$5:$A$304,0),0),0),IFERROR(MATCH(1,INDEX((CASHBACK_RULES!$B$5:$B$304=$D63)*(CASHBACK_RULES!$G$5:$G$304=$I63)*(((CASHBACK_RULES!$N$5:$N$304="")+(CASHBACK_RULES!$N$5:$N$304&lt;=$B63))&gt;0)*(((CASHBACK_RULES!$O$5:$O$304="")+(CASHBACK_RULES!$O$5:$O$304&gt;=$B63))&gt;0)*(((CASHBACK_RULES!$M$5:$M$304="")+(CASHBACK_RULES!$M$5:$M$304&lt;=$L63))&gt;0),0),0),0))))</f>
        <v>0</v>
      </c>
      <c r="AD63" s="51" t="str">
        <f>IF(OR($B63="",$D63=""),"",IFERROR(IF(INDEX(CARDS!$H$5:$H$34,MATCH($D63,CARDS!$A$5:$A$34,0))="","",IF(DAY($B63)&lt;=INDEX(CARDS!$H$5:$H$34,MATCH($D63,CARDS!$A$5:$A$34,0)),DATE(YEAR($B63),MONTH($B63),MIN(INDEX(CARDS!$H$5:$H$34,MATCH($D63,CARDS!$A$5:$A$34,0)),DAY(EOMONTH($B63,0)))),DATE(YEAR($B63),MONTH($B63)+1,MIN(INDEX(CARDS!$H$5:$H$34,MATCH($D63,CARDS!$A$5:$A$34,0)),DAY(EOMONTH($B63,1)))))),""))</f>
        <v/>
      </c>
      <c r="AE63" s="52" t="str">
        <f>IF($C63="","",$C63&amp;"|"&amp;COUNTIF($C$5:$C63,$C63))</f>
        <v/>
      </c>
      <c r="AF63" s="53">
        <f>IF($AC63&gt;0,SUMIFS(Q$4:Q62,$D$4:$D62,$D63,$Z$4:$Z62,$Z63,$C$4:$C62,$C63),0)</f>
        <v>0</v>
      </c>
      <c r="AG63" s="53">
        <f>IF($AC63&gt;0,SUMIFS(Q$4:Q62,$D$4:$D62,$D63,$C$4:$C62,$C63),0)</f>
        <v>0</v>
      </c>
      <c r="AH63" s="53">
        <f>IF($AC63&gt;0,SUMIFS(M$4:M62,$D$4:$D62,$D63,$Z$4:$Z62,$Z63,$C$4:$C62,$C63),0)</f>
        <v>0</v>
      </c>
      <c r="AI63" s="43">
        <f>IF(OR($C63="",$I63=""),0,IF(COUNTIFS($C$5:$C63,$C63,$I$5:$I63,$I63)=1,1,0))</f>
        <v>0</v>
      </c>
      <c r="AJ63" s="43" t="str">
        <f>IF($AI63=1,SUMIFS($AI$4:$AI62,$C$4:$C62,$C63)+1,"")</f>
        <v/>
      </c>
      <c r="AK63" s="43">
        <f>IF(OR($C63="",$K63=""),0,IF(COUNTIFS($C$5:$C63,$C63,$K$5:$K63,$K63)=1,1,0))</f>
        <v>0</v>
      </c>
      <c r="AL63" s="43" t="str">
        <f>IF($AK63=1,SUMIFS($AK$4:$AK62,$C$4:$C62,$C63)+1,"")</f>
        <v/>
      </c>
      <c r="AM63" s="43">
        <f>IF(OR($C63="",$G63=""),0,IF(COUNTIFS($C$5:$C63,$C63,$G$5:$G63,$G63)=1,1,0))</f>
        <v>0</v>
      </c>
      <c r="AN63" s="43" t="str">
        <f>IF($AM63=1,SUMIFS($AM$4:$AM62,$C$4:$C62,$C63)+1,"")</f>
        <v/>
      </c>
    </row>
    <row r="64">
      <c r="A64" s="44" t="str">
        <f>IF(OR($B64="",$D64=""),"","TX"&amp;TEXT(ROW()-4,"0000"))</f>
        <v/>
      </c>
      <c r="B64" s="42" t="n"/>
      <c r="C64" s="47" t="str">
        <f>IF($B64="","",YEAR($B64)*100+MONTH($B64))</f>
        <v/>
      </c>
      <c r="D64" s="37" t="n"/>
      <c r="E64" s="45" t="str">
        <f>IF($D64="","",IFERROR(INDEX(CARDS!$B$5:$B$34,MATCH($D64,CARDS!$A$5:$A$34,0)),"⚠ Card ID?"))</f>
        <v/>
      </c>
      <c r="F64" s="45" t="str">
        <f>IF($D64="","",IFERROR(INDEX(CARDS!$C$5:$C$34,MATCH($D64,CARDS!$A$5:$A$34,0)),"⚠ Card ID?"))</f>
        <v/>
      </c>
      <c r="G64" s="37" t="n"/>
      <c r="H64" s="37" t="n"/>
      <c r="I64" s="41" t="n"/>
      <c r="J64" s="45" t="str">
        <f>IF($I64="","",IFERROR(INDEX(MCC_MASTER!$B$5:$B$504,MATCH($I64,MCC_MASTER!$A$5:$A$504,0)),"⚠ MCC chưa có"))</f>
        <v/>
      </c>
      <c r="K64" s="45" t="str">
        <f>IF($I64="","",IFERROR(IF(INDEX(MCC_MASTER!$C$5:$C$504,MATCH($I64,MCC_MASTER!$A$5:$A$504,0))="","Chưa phân loại",INDEX(MCC_MASTER!$C$5:$C$504,MATCH($I64,MCC_MASTER!$A$5:$A$504,0))),"Chưa phân loại"))</f>
        <v/>
      </c>
      <c r="L64" s="40" t="n"/>
      <c r="M64" s="48" t="str">
        <f>IF(OR($B64="",$D64=""),"",IF($AC64=0,0,IF(ISNUMBER(INDEX(CASHBACK_RULES!$L$5:$L$304,$AC64)),MAX(0,MIN($L64,INDEX(CASHBACK_RULES!$L$5:$L$304,$AC64)-$AH64)),MAX(0,$L64))))</f>
        <v/>
      </c>
      <c r="N64" s="49" t="str">
        <f>IF(OR($B64="",$D64=""),"",IF($AC64&gt;0,INDEX(CASHBACK_RULES!$I$5:$I$304,$AC64),0))</f>
        <v/>
      </c>
      <c r="O64" s="48" t="str">
        <f>IF(OR($B64="",$D64=""),"",ROUND($M64*$N64,0))</f>
        <v/>
      </c>
      <c r="P64" s="48" t="str">
        <f>IF($AC64&gt;0,IF(ISNUMBER(INDEX(CASHBACK_RULES!$J$5:$J$304,$AC64)),INDEX(CASHBACK_RULES!$J$5:$J$304,$AC64),"∞"),"")</f>
        <v/>
      </c>
      <c r="Q64" s="48" t="str">
        <f>IF(OR($B64="",$D64=""),"",IF($AC64=0,0,MAX(0,MIN($O64,IF(ISNUMBER($P64),$P64-$AF64,1E+15),IF(ISNUMBER($AA64),$AA64-$AG64,1E+15)))))</f>
        <v/>
      </c>
      <c r="R64" s="48" t="str">
        <f>IF(OR($B64="",$D64=""),"",IF($AC64=0,"",IF(AND(NOT(ISNUMBER($P64)),NOT(ISNUMBER($AA64))),"∞",MAX(0,MIN(IF(ISNUMBER($P64),$P64-$AF64-$Q64,1E+15),IF(ISNUMBER($AA64),$AA64-$AG64-$Q64,1E+15))))))</f>
        <v/>
      </c>
      <c r="S64" s="47" t="str">
        <f>IF($AD64="","",YEAR($AD64)*100+MONTH($AD64))</f>
        <v/>
      </c>
      <c r="T64" s="50" t="str">
        <f>IF($AD64="","",IFERROR(IF(INDEX(CARDS!$I$5:$I$34,MATCH($D64,CARDS!$A$5:$A$34,0))="","",IF(INDEX(CARDS!$I$5:$I$34,MATCH($D64,CARDS!$A$5:$A$34,0))&gt;INDEX(CARDS!$H$5:$H$34,MATCH($D64,CARDS!$A$5:$A$34,0)),DATE(YEAR($AD64),MONTH($AD64),MIN(INDEX(CARDS!$I$5:$I$34,MATCH($D64,CARDS!$A$5:$A$34,0)),DAY(EOMONTH($AD64,0)))),DATE(YEAR($AD64),MONTH($AD64)+1,MIN(INDEX(CARDS!$I$5:$I$34,MATCH($D64,CARDS!$A$5:$A$34,0)),DAY(EOMONTH($AD64,1)))))),""))</f>
        <v/>
      </c>
      <c r="U64" s="38" t="n"/>
      <c r="V64" s="37" t="n"/>
      <c r="W64" s="38" t="n"/>
      <c r="X64" s="38" t="n"/>
      <c r="Y64" s="44" t="str">
        <f>IF($AC64&gt;0,INDEX(CASHBACK_RULES!$A$5:$A$304,$AC64),"")</f>
        <v/>
      </c>
      <c r="Z64" s="45" t="str">
        <f>IF($AC64&gt;0,INDEX(CASHBACK_RULES!$E$5:$E$304,$AC64)&amp;"","")</f>
        <v/>
      </c>
      <c r="AA64" s="48" t="str">
        <f>IF($AC64&gt;0,IF(ISNUMBER(INDEX(CASHBACK_RULES!$K$5:$K$304,$AC64)),INDEX(CASHBACK_RULES!$K$5:$K$304,$AC64),"∞"),"")</f>
        <v/>
      </c>
      <c r="AB64" s="44" t="str">
        <f>IF(OR($B64="",$D64=""),"",IF($U64="Cancelled","Đã hủy",IF($AC64=0,"Không được hoàn",IF($Q64=0,IF(OR($O64&gt;0,$M64&lt;$L64),"Đã đạt cap","Không được hoàn"),IF(OR($Q64&lt;$O64,$M64&lt;$L64),"Hoàn một phần","Được hoàn")))))</f>
        <v/>
      </c>
      <c r="AC64" s="43">
        <f>IF(OR($B64="",$D64="",$I64="",$L64=""),0,IF($U64="Cancelled",0,IF($W64&lt;&gt;"",IFERROR(IF(INDEX(CASHBACK_RULES!$B$5:$B$304,MATCH($W64,CASHBACK_RULES!$A$5:$A$304,0))=$D64,MATCH($W64,CASHBACK_RULES!$A$5:$A$304,0),0),0),IFERROR(MATCH(1,INDEX((CASHBACK_RULES!$B$5:$B$304=$D64)*(CASHBACK_RULES!$G$5:$G$304=$I64)*(((CASHBACK_RULES!$N$5:$N$304="")+(CASHBACK_RULES!$N$5:$N$304&lt;=$B64))&gt;0)*(((CASHBACK_RULES!$O$5:$O$304="")+(CASHBACK_RULES!$O$5:$O$304&gt;=$B64))&gt;0)*(((CASHBACK_RULES!$M$5:$M$304="")+(CASHBACK_RULES!$M$5:$M$304&lt;=$L64))&gt;0),0),0),0))))</f>
        <v>0</v>
      </c>
      <c r="AD64" s="51" t="str">
        <f>IF(OR($B64="",$D64=""),"",IFERROR(IF(INDEX(CARDS!$H$5:$H$34,MATCH($D64,CARDS!$A$5:$A$34,0))="","",IF(DAY($B64)&lt;=INDEX(CARDS!$H$5:$H$34,MATCH($D64,CARDS!$A$5:$A$34,0)),DATE(YEAR($B64),MONTH($B64),MIN(INDEX(CARDS!$H$5:$H$34,MATCH($D64,CARDS!$A$5:$A$34,0)),DAY(EOMONTH($B64,0)))),DATE(YEAR($B64),MONTH($B64)+1,MIN(INDEX(CARDS!$H$5:$H$34,MATCH($D64,CARDS!$A$5:$A$34,0)),DAY(EOMONTH($B64,1)))))),""))</f>
        <v/>
      </c>
      <c r="AE64" s="52" t="str">
        <f>IF($C64="","",$C64&amp;"|"&amp;COUNTIF($C$5:$C64,$C64))</f>
        <v/>
      </c>
      <c r="AF64" s="53">
        <f>IF($AC64&gt;0,SUMIFS(Q$4:Q63,$D$4:$D63,$D64,$Z$4:$Z63,$Z64,$C$4:$C63,$C64),0)</f>
        <v>0</v>
      </c>
      <c r="AG64" s="53">
        <f>IF($AC64&gt;0,SUMIFS(Q$4:Q63,$D$4:$D63,$D64,$C$4:$C63,$C64),0)</f>
        <v>0</v>
      </c>
      <c r="AH64" s="53">
        <f>IF($AC64&gt;0,SUMIFS(M$4:M63,$D$4:$D63,$D64,$Z$4:$Z63,$Z64,$C$4:$C63,$C64),0)</f>
        <v>0</v>
      </c>
      <c r="AI64" s="43">
        <f>IF(OR($C64="",$I64=""),0,IF(COUNTIFS($C$5:$C64,$C64,$I$5:$I64,$I64)=1,1,0))</f>
        <v>0</v>
      </c>
      <c r="AJ64" s="43" t="str">
        <f>IF($AI64=1,SUMIFS($AI$4:$AI63,$C$4:$C63,$C64)+1,"")</f>
        <v/>
      </c>
      <c r="AK64" s="43">
        <f>IF(OR($C64="",$K64=""),0,IF(COUNTIFS($C$5:$C64,$C64,$K$5:$K64,$K64)=1,1,0))</f>
        <v>0</v>
      </c>
      <c r="AL64" s="43" t="str">
        <f>IF($AK64=1,SUMIFS($AK$4:$AK63,$C$4:$C63,$C64)+1,"")</f>
        <v/>
      </c>
      <c r="AM64" s="43">
        <f>IF(OR($C64="",$G64=""),0,IF(COUNTIFS($C$5:$C64,$C64,$G$5:$G64,$G64)=1,1,0))</f>
        <v>0</v>
      </c>
      <c r="AN64" s="43" t="str">
        <f>IF($AM64=1,SUMIFS($AM$4:$AM63,$C$4:$C63,$C64)+1,"")</f>
        <v/>
      </c>
    </row>
    <row r="65">
      <c r="A65" s="44" t="str">
        <f>IF(OR($B65="",$D65=""),"","TX"&amp;TEXT(ROW()-4,"0000"))</f>
        <v/>
      </c>
      <c r="B65" s="42" t="n"/>
      <c r="C65" s="47" t="str">
        <f>IF($B65="","",YEAR($B65)*100+MONTH($B65))</f>
        <v/>
      </c>
      <c r="D65" s="37" t="n"/>
      <c r="E65" s="45" t="str">
        <f>IF($D65="","",IFERROR(INDEX(CARDS!$B$5:$B$34,MATCH($D65,CARDS!$A$5:$A$34,0)),"⚠ Card ID?"))</f>
        <v/>
      </c>
      <c r="F65" s="45" t="str">
        <f>IF($D65="","",IFERROR(INDEX(CARDS!$C$5:$C$34,MATCH($D65,CARDS!$A$5:$A$34,0)),"⚠ Card ID?"))</f>
        <v/>
      </c>
      <c r="G65" s="37" t="n"/>
      <c r="H65" s="37" t="n"/>
      <c r="I65" s="41" t="n"/>
      <c r="J65" s="45" t="str">
        <f>IF($I65="","",IFERROR(INDEX(MCC_MASTER!$B$5:$B$504,MATCH($I65,MCC_MASTER!$A$5:$A$504,0)),"⚠ MCC chưa có"))</f>
        <v/>
      </c>
      <c r="K65" s="45" t="str">
        <f>IF($I65="","",IFERROR(IF(INDEX(MCC_MASTER!$C$5:$C$504,MATCH($I65,MCC_MASTER!$A$5:$A$504,0))="","Chưa phân loại",INDEX(MCC_MASTER!$C$5:$C$504,MATCH($I65,MCC_MASTER!$A$5:$A$504,0))),"Chưa phân loại"))</f>
        <v/>
      </c>
      <c r="L65" s="40" t="n"/>
      <c r="M65" s="48" t="str">
        <f>IF(OR($B65="",$D65=""),"",IF($AC65=0,0,IF(ISNUMBER(INDEX(CASHBACK_RULES!$L$5:$L$304,$AC65)),MAX(0,MIN($L65,INDEX(CASHBACK_RULES!$L$5:$L$304,$AC65)-$AH65)),MAX(0,$L65))))</f>
        <v/>
      </c>
      <c r="N65" s="49" t="str">
        <f>IF(OR($B65="",$D65=""),"",IF($AC65&gt;0,INDEX(CASHBACK_RULES!$I$5:$I$304,$AC65),0))</f>
        <v/>
      </c>
      <c r="O65" s="48" t="str">
        <f>IF(OR($B65="",$D65=""),"",ROUND($M65*$N65,0))</f>
        <v/>
      </c>
      <c r="P65" s="48" t="str">
        <f>IF($AC65&gt;0,IF(ISNUMBER(INDEX(CASHBACK_RULES!$J$5:$J$304,$AC65)),INDEX(CASHBACK_RULES!$J$5:$J$304,$AC65),"∞"),"")</f>
        <v/>
      </c>
      <c r="Q65" s="48" t="str">
        <f>IF(OR($B65="",$D65=""),"",IF($AC65=0,0,MAX(0,MIN($O65,IF(ISNUMBER($P65),$P65-$AF65,1E+15),IF(ISNUMBER($AA65),$AA65-$AG65,1E+15)))))</f>
        <v/>
      </c>
      <c r="R65" s="48" t="str">
        <f>IF(OR($B65="",$D65=""),"",IF($AC65=0,"",IF(AND(NOT(ISNUMBER($P65)),NOT(ISNUMBER($AA65))),"∞",MAX(0,MIN(IF(ISNUMBER($P65),$P65-$AF65-$Q65,1E+15),IF(ISNUMBER($AA65),$AA65-$AG65-$Q65,1E+15))))))</f>
        <v/>
      </c>
      <c r="S65" s="47" t="str">
        <f>IF($AD65="","",YEAR($AD65)*100+MONTH($AD65))</f>
        <v/>
      </c>
      <c r="T65" s="50" t="str">
        <f>IF($AD65="","",IFERROR(IF(INDEX(CARDS!$I$5:$I$34,MATCH($D65,CARDS!$A$5:$A$34,0))="","",IF(INDEX(CARDS!$I$5:$I$34,MATCH($D65,CARDS!$A$5:$A$34,0))&gt;INDEX(CARDS!$H$5:$H$34,MATCH($D65,CARDS!$A$5:$A$34,0)),DATE(YEAR($AD65),MONTH($AD65),MIN(INDEX(CARDS!$I$5:$I$34,MATCH($D65,CARDS!$A$5:$A$34,0)),DAY(EOMONTH($AD65,0)))),DATE(YEAR($AD65),MONTH($AD65)+1,MIN(INDEX(CARDS!$I$5:$I$34,MATCH($D65,CARDS!$A$5:$A$34,0)),DAY(EOMONTH($AD65,1)))))),""))</f>
        <v/>
      </c>
      <c r="U65" s="38" t="n"/>
      <c r="V65" s="37" t="n"/>
      <c r="W65" s="38" t="n"/>
      <c r="X65" s="38" t="n"/>
      <c r="Y65" s="44" t="str">
        <f>IF($AC65&gt;0,INDEX(CASHBACK_RULES!$A$5:$A$304,$AC65),"")</f>
        <v/>
      </c>
      <c r="Z65" s="45" t="str">
        <f>IF($AC65&gt;0,INDEX(CASHBACK_RULES!$E$5:$E$304,$AC65)&amp;"","")</f>
        <v/>
      </c>
      <c r="AA65" s="48" t="str">
        <f>IF($AC65&gt;0,IF(ISNUMBER(INDEX(CASHBACK_RULES!$K$5:$K$304,$AC65)),INDEX(CASHBACK_RULES!$K$5:$K$304,$AC65),"∞"),"")</f>
        <v/>
      </c>
      <c r="AB65" s="44" t="str">
        <f>IF(OR($B65="",$D65=""),"",IF($U65="Cancelled","Đã hủy",IF($AC65=0,"Không được hoàn",IF($Q65=0,IF(OR($O65&gt;0,$M65&lt;$L65),"Đã đạt cap","Không được hoàn"),IF(OR($Q65&lt;$O65,$M65&lt;$L65),"Hoàn một phần","Được hoàn")))))</f>
        <v/>
      </c>
      <c r="AC65" s="43">
        <f>IF(OR($B65="",$D65="",$I65="",$L65=""),0,IF($U65="Cancelled",0,IF($W65&lt;&gt;"",IFERROR(IF(INDEX(CASHBACK_RULES!$B$5:$B$304,MATCH($W65,CASHBACK_RULES!$A$5:$A$304,0))=$D65,MATCH($W65,CASHBACK_RULES!$A$5:$A$304,0),0),0),IFERROR(MATCH(1,INDEX((CASHBACK_RULES!$B$5:$B$304=$D65)*(CASHBACK_RULES!$G$5:$G$304=$I65)*(((CASHBACK_RULES!$N$5:$N$304="")+(CASHBACK_RULES!$N$5:$N$304&lt;=$B65))&gt;0)*(((CASHBACK_RULES!$O$5:$O$304="")+(CASHBACK_RULES!$O$5:$O$304&gt;=$B65))&gt;0)*(((CASHBACK_RULES!$M$5:$M$304="")+(CASHBACK_RULES!$M$5:$M$304&lt;=$L65))&gt;0),0),0),0))))</f>
        <v>0</v>
      </c>
      <c r="AD65" s="51" t="str">
        <f>IF(OR($B65="",$D65=""),"",IFERROR(IF(INDEX(CARDS!$H$5:$H$34,MATCH($D65,CARDS!$A$5:$A$34,0))="","",IF(DAY($B65)&lt;=INDEX(CARDS!$H$5:$H$34,MATCH($D65,CARDS!$A$5:$A$34,0)),DATE(YEAR($B65),MONTH($B65),MIN(INDEX(CARDS!$H$5:$H$34,MATCH($D65,CARDS!$A$5:$A$34,0)),DAY(EOMONTH($B65,0)))),DATE(YEAR($B65),MONTH($B65)+1,MIN(INDEX(CARDS!$H$5:$H$34,MATCH($D65,CARDS!$A$5:$A$34,0)),DAY(EOMONTH($B65,1)))))),""))</f>
        <v/>
      </c>
      <c r="AE65" s="52" t="str">
        <f>IF($C65="","",$C65&amp;"|"&amp;COUNTIF($C$5:$C65,$C65))</f>
        <v/>
      </c>
      <c r="AF65" s="53">
        <f>IF($AC65&gt;0,SUMIFS(Q$4:Q64,$D$4:$D64,$D65,$Z$4:$Z64,$Z65,$C$4:$C64,$C65),0)</f>
        <v>0</v>
      </c>
      <c r="AG65" s="53">
        <f>IF($AC65&gt;0,SUMIFS(Q$4:Q64,$D$4:$D64,$D65,$C$4:$C64,$C65),0)</f>
        <v>0</v>
      </c>
      <c r="AH65" s="53">
        <f>IF($AC65&gt;0,SUMIFS(M$4:M64,$D$4:$D64,$D65,$Z$4:$Z64,$Z65,$C$4:$C64,$C65),0)</f>
        <v>0</v>
      </c>
      <c r="AI65" s="43">
        <f>IF(OR($C65="",$I65=""),0,IF(COUNTIFS($C$5:$C65,$C65,$I$5:$I65,$I65)=1,1,0))</f>
        <v>0</v>
      </c>
      <c r="AJ65" s="43" t="str">
        <f>IF($AI65=1,SUMIFS($AI$4:$AI64,$C$4:$C64,$C65)+1,"")</f>
        <v/>
      </c>
      <c r="AK65" s="43">
        <f>IF(OR($C65="",$K65=""),0,IF(COUNTIFS($C$5:$C65,$C65,$K$5:$K65,$K65)=1,1,0))</f>
        <v>0</v>
      </c>
      <c r="AL65" s="43" t="str">
        <f>IF($AK65=1,SUMIFS($AK$4:$AK64,$C$4:$C64,$C65)+1,"")</f>
        <v/>
      </c>
      <c r="AM65" s="43">
        <f>IF(OR($C65="",$G65=""),0,IF(COUNTIFS($C$5:$C65,$C65,$G$5:$G65,$G65)=1,1,0))</f>
        <v>0</v>
      </c>
      <c r="AN65" s="43" t="str">
        <f>IF($AM65=1,SUMIFS($AM$4:$AM64,$C$4:$C64,$C65)+1,"")</f>
        <v/>
      </c>
    </row>
    <row r="66">
      <c r="A66" s="44" t="str">
        <f>IF(OR($B66="",$D66=""),"","TX"&amp;TEXT(ROW()-4,"0000"))</f>
        <v/>
      </c>
      <c r="B66" s="42" t="n"/>
      <c r="C66" s="47" t="str">
        <f>IF($B66="","",YEAR($B66)*100+MONTH($B66))</f>
        <v/>
      </c>
      <c r="D66" s="37" t="n"/>
      <c r="E66" s="45" t="str">
        <f>IF($D66="","",IFERROR(INDEX(CARDS!$B$5:$B$34,MATCH($D66,CARDS!$A$5:$A$34,0)),"⚠ Card ID?"))</f>
        <v/>
      </c>
      <c r="F66" s="45" t="str">
        <f>IF($D66="","",IFERROR(INDEX(CARDS!$C$5:$C$34,MATCH($D66,CARDS!$A$5:$A$34,0)),"⚠ Card ID?"))</f>
        <v/>
      </c>
      <c r="G66" s="37" t="n"/>
      <c r="H66" s="37" t="n"/>
      <c r="I66" s="41" t="n"/>
      <c r="J66" s="45" t="str">
        <f>IF($I66="","",IFERROR(INDEX(MCC_MASTER!$B$5:$B$504,MATCH($I66,MCC_MASTER!$A$5:$A$504,0)),"⚠ MCC chưa có"))</f>
        <v/>
      </c>
      <c r="K66" s="45" t="str">
        <f>IF($I66="","",IFERROR(IF(INDEX(MCC_MASTER!$C$5:$C$504,MATCH($I66,MCC_MASTER!$A$5:$A$504,0))="","Chưa phân loại",INDEX(MCC_MASTER!$C$5:$C$504,MATCH($I66,MCC_MASTER!$A$5:$A$504,0))),"Chưa phân loại"))</f>
        <v/>
      </c>
      <c r="L66" s="40" t="n"/>
      <c r="M66" s="48" t="str">
        <f>IF(OR($B66="",$D66=""),"",IF($AC66=0,0,IF(ISNUMBER(INDEX(CASHBACK_RULES!$L$5:$L$304,$AC66)),MAX(0,MIN($L66,INDEX(CASHBACK_RULES!$L$5:$L$304,$AC66)-$AH66)),MAX(0,$L66))))</f>
        <v/>
      </c>
      <c r="N66" s="49" t="str">
        <f>IF(OR($B66="",$D66=""),"",IF($AC66&gt;0,INDEX(CASHBACK_RULES!$I$5:$I$304,$AC66),0))</f>
        <v/>
      </c>
      <c r="O66" s="48" t="str">
        <f>IF(OR($B66="",$D66=""),"",ROUND($M66*$N66,0))</f>
        <v/>
      </c>
      <c r="P66" s="48" t="str">
        <f>IF($AC66&gt;0,IF(ISNUMBER(INDEX(CASHBACK_RULES!$J$5:$J$304,$AC66)),INDEX(CASHBACK_RULES!$J$5:$J$304,$AC66),"∞"),"")</f>
        <v/>
      </c>
      <c r="Q66" s="48" t="str">
        <f>IF(OR($B66="",$D66=""),"",IF($AC66=0,0,MAX(0,MIN($O66,IF(ISNUMBER($P66),$P66-$AF66,1E+15),IF(ISNUMBER($AA66),$AA66-$AG66,1E+15)))))</f>
        <v/>
      </c>
      <c r="R66" s="48" t="str">
        <f>IF(OR($B66="",$D66=""),"",IF($AC66=0,"",IF(AND(NOT(ISNUMBER($P66)),NOT(ISNUMBER($AA66))),"∞",MAX(0,MIN(IF(ISNUMBER($P66),$P66-$AF66-$Q66,1E+15),IF(ISNUMBER($AA66),$AA66-$AG66-$Q66,1E+15))))))</f>
        <v/>
      </c>
      <c r="S66" s="47" t="str">
        <f>IF($AD66="","",YEAR($AD66)*100+MONTH($AD66))</f>
        <v/>
      </c>
      <c r="T66" s="50" t="str">
        <f>IF($AD66="","",IFERROR(IF(INDEX(CARDS!$I$5:$I$34,MATCH($D66,CARDS!$A$5:$A$34,0))="","",IF(INDEX(CARDS!$I$5:$I$34,MATCH($D66,CARDS!$A$5:$A$34,0))&gt;INDEX(CARDS!$H$5:$H$34,MATCH($D66,CARDS!$A$5:$A$34,0)),DATE(YEAR($AD66),MONTH($AD66),MIN(INDEX(CARDS!$I$5:$I$34,MATCH($D66,CARDS!$A$5:$A$34,0)),DAY(EOMONTH($AD66,0)))),DATE(YEAR($AD66),MONTH($AD66)+1,MIN(INDEX(CARDS!$I$5:$I$34,MATCH($D66,CARDS!$A$5:$A$34,0)),DAY(EOMONTH($AD66,1)))))),""))</f>
        <v/>
      </c>
      <c r="U66" s="38" t="n"/>
      <c r="V66" s="37" t="n"/>
      <c r="W66" s="38" t="n"/>
      <c r="X66" s="38" t="n"/>
      <c r="Y66" s="44" t="str">
        <f>IF($AC66&gt;0,INDEX(CASHBACK_RULES!$A$5:$A$304,$AC66),"")</f>
        <v/>
      </c>
      <c r="Z66" s="45" t="str">
        <f>IF($AC66&gt;0,INDEX(CASHBACK_RULES!$E$5:$E$304,$AC66)&amp;"","")</f>
        <v/>
      </c>
      <c r="AA66" s="48" t="str">
        <f>IF($AC66&gt;0,IF(ISNUMBER(INDEX(CASHBACK_RULES!$K$5:$K$304,$AC66)),INDEX(CASHBACK_RULES!$K$5:$K$304,$AC66),"∞"),"")</f>
        <v/>
      </c>
      <c r="AB66" s="44" t="str">
        <f>IF(OR($B66="",$D66=""),"",IF($U66="Cancelled","Đã hủy",IF($AC66=0,"Không được hoàn",IF($Q66=0,IF(OR($O66&gt;0,$M66&lt;$L66),"Đã đạt cap","Không được hoàn"),IF(OR($Q66&lt;$O66,$M66&lt;$L66),"Hoàn một phần","Được hoàn")))))</f>
        <v/>
      </c>
      <c r="AC66" s="43">
        <f>IF(OR($B66="",$D66="",$I66="",$L66=""),0,IF($U66="Cancelled",0,IF($W66&lt;&gt;"",IFERROR(IF(INDEX(CASHBACK_RULES!$B$5:$B$304,MATCH($W66,CASHBACK_RULES!$A$5:$A$304,0))=$D66,MATCH($W66,CASHBACK_RULES!$A$5:$A$304,0),0),0),IFERROR(MATCH(1,INDEX((CASHBACK_RULES!$B$5:$B$304=$D66)*(CASHBACK_RULES!$G$5:$G$304=$I66)*(((CASHBACK_RULES!$N$5:$N$304="")+(CASHBACK_RULES!$N$5:$N$304&lt;=$B66))&gt;0)*(((CASHBACK_RULES!$O$5:$O$304="")+(CASHBACK_RULES!$O$5:$O$304&gt;=$B66))&gt;0)*(((CASHBACK_RULES!$M$5:$M$304="")+(CASHBACK_RULES!$M$5:$M$304&lt;=$L66))&gt;0),0),0),0))))</f>
        <v>0</v>
      </c>
      <c r="AD66" s="51" t="str">
        <f>IF(OR($B66="",$D66=""),"",IFERROR(IF(INDEX(CARDS!$H$5:$H$34,MATCH($D66,CARDS!$A$5:$A$34,0))="","",IF(DAY($B66)&lt;=INDEX(CARDS!$H$5:$H$34,MATCH($D66,CARDS!$A$5:$A$34,0)),DATE(YEAR($B66),MONTH($B66),MIN(INDEX(CARDS!$H$5:$H$34,MATCH($D66,CARDS!$A$5:$A$34,0)),DAY(EOMONTH($B66,0)))),DATE(YEAR($B66),MONTH($B66)+1,MIN(INDEX(CARDS!$H$5:$H$34,MATCH($D66,CARDS!$A$5:$A$34,0)),DAY(EOMONTH($B66,1)))))),""))</f>
        <v/>
      </c>
      <c r="AE66" s="52" t="str">
        <f>IF($C66="","",$C66&amp;"|"&amp;COUNTIF($C$5:$C66,$C66))</f>
        <v/>
      </c>
      <c r="AF66" s="53">
        <f>IF($AC66&gt;0,SUMIFS(Q$4:Q65,$D$4:$D65,$D66,$Z$4:$Z65,$Z66,$C$4:$C65,$C66),0)</f>
        <v>0</v>
      </c>
      <c r="AG66" s="53">
        <f>IF($AC66&gt;0,SUMIFS(Q$4:Q65,$D$4:$D65,$D66,$C$4:$C65,$C66),0)</f>
        <v>0</v>
      </c>
      <c r="AH66" s="53">
        <f>IF($AC66&gt;0,SUMIFS(M$4:M65,$D$4:$D65,$D66,$Z$4:$Z65,$Z66,$C$4:$C65,$C66),0)</f>
        <v>0</v>
      </c>
      <c r="AI66" s="43">
        <f>IF(OR($C66="",$I66=""),0,IF(COUNTIFS($C$5:$C66,$C66,$I$5:$I66,$I66)=1,1,0))</f>
        <v>0</v>
      </c>
      <c r="AJ66" s="43" t="str">
        <f>IF($AI66=1,SUMIFS($AI$4:$AI65,$C$4:$C65,$C66)+1,"")</f>
        <v/>
      </c>
      <c r="AK66" s="43">
        <f>IF(OR($C66="",$K66=""),0,IF(COUNTIFS($C$5:$C66,$C66,$K$5:$K66,$K66)=1,1,0))</f>
        <v>0</v>
      </c>
      <c r="AL66" s="43" t="str">
        <f>IF($AK66=1,SUMIFS($AK$4:$AK65,$C$4:$C65,$C66)+1,"")</f>
        <v/>
      </c>
      <c r="AM66" s="43">
        <f>IF(OR($C66="",$G66=""),0,IF(COUNTIFS($C$5:$C66,$C66,$G$5:$G66,$G66)=1,1,0))</f>
        <v>0</v>
      </c>
      <c r="AN66" s="43" t="str">
        <f>IF($AM66=1,SUMIFS($AM$4:$AM65,$C$4:$C65,$C66)+1,"")</f>
        <v/>
      </c>
    </row>
    <row r="67">
      <c r="A67" s="44" t="str">
        <f>IF(OR($B67="",$D67=""),"","TX"&amp;TEXT(ROW()-4,"0000"))</f>
        <v/>
      </c>
      <c r="B67" s="42" t="n"/>
      <c r="C67" s="47" t="str">
        <f>IF($B67="","",YEAR($B67)*100+MONTH($B67))</f>
        <v/>
      </c>
      <c r="D67" s="37" t="n"/>
      <c r="E67" s="45" t="str">
        <f>IF($D67="","",IFERROR(INDEX(CARDS!$B$5:$B$34,MATCH($D67,CARDS!$A$5:$A$34,0)),"⚠ Card ID?"))</f>
        <v/>
      </c>
      <c r="F67" s="45" t="str">
        <f>IF($D67="","",IFERROR(INDEX(CARDS!$C$5:$C$34,MATCH($D67,CARDS!$A$5:$A$34,0)),"⚠ Card ID?"))</f>
        <v/>
      </c>
      <c r="G67" s="37" t="n"/>
      <c r="H67" s="37" t="n"/>
      <c r="I67" s="41" t="n"/>
      <c r="J67" s="45" t="str">
        <f>IF($I67="","",IFERROR(INDEX(MCC_MASTER!$B$5:$B$504,MATCH($I67,MCC_MASTER!$A$5:$A$504,0)),"⚠ MCC chưa có"))</f>
        <v/>
      </c>
      <c r="K67" s="45" t="str">
        <f>IF($I67="","",IFERROR(IF(INDEX(MCC_MASTER!$C$5:$C$504,MATCH($I67,MCC_MASTER!$A$5:$A$504,0))="","Chưa phân loại",INDEX(MCC_MASTER!$C$5:$C$504,MATCH($I67,MCC_MASTER!$A$5:$A$504,0))),"Chưa phân loại"))</f>
        <v/>
      </c>
      <c r="L67" s="40" t="n"/>
      <c r="M67" s="48" t="str">
        <f>IF(OR($B67="",$D67=""),"",IF($AC67=0,0,IF(ISNUMBER(INDEX(CASHBACK_RULES!$L$5:$L$304,$AC67)),MAX(0,MIN($L67,INDEX(CASHBACK_RULES!$L$5:$L$304,$AC67)-$AH67)),MAX(0,$L67))))</f>
        <v/>
      </c>
      <c r="N67" s="49" t="str">
        <f>IF(OR($B67="",$D67=""),"",IF($AC67&gt;0,INDEX(CASHBACK_RULES!$I$5:$I$304,$AC67),0))</f>
        <v/>
      </c>
      <c r="O67" s="48" t="str">
        <f>IF(OR($B67="",$D67=""),"",ROUND($M67*$N67,0))</f>
        <v/>
      </c>
      <c r="P67" s="48" t="str">
        <f>IF($AC67&gt;0,IF(ISNUMBER(INDEX(CASHBACK_RULES!$J$5:$J$304,$AC67)),INDEX(CASHBACK_RULES!$J$5:$J$304,$AC67),"∞"),"")</f>
        <v/>
      </c>
      <c r="Q67" s="48" t="str">
        <f>IF(OR($B67="",$D67=""),"",IF($AC67=0,0,MAX(0,MIN($O67,IF(ISNUMBER($P67),$P67-$AF67,1E+15),IF(ISNUMBER($AA67),$AA67-$AG67,1E+15)))))</f>
        <v/>
      </c>
      <c r="R67" s="48" t="str">
        <f>IF(OR($B67="",$D67=""),"",IF($AC67=0,"",IF(AND(NOT(ISNUMBER($P67)),NOT(ISNUMBER($AA67))),"∞",MAX(0,MIN(IF(ISNUMBER($P67),$P67-$AF67-$Q67,1E+15),IF(ISNUMBER($AA67),$AA67-$AG67-$Q67,1E+15))))))</f>
        <v/>
      </c>
      <c r="S67" s="47" t="str">
        <f>IF($AD67="","",YEAR($AD67)*100+MONTH($AD67))</f>
        <v/>
      </c>
      <c r="T67" s="50" t="str">
        <f>IF($AD67="","",IFERROR(IF(INDEX(CARDS!$I$5:$I$34,MATCH($D67,CARDS!$A$5:$A$34,0))="","",IF(INDEX(CARDS!$I$5:$I$34,MATCH($D67,CARDS!$A$5:$A$34,0))&gt;INDEX(CARDS!$H$5:$H$34,MATCH($D67,CARDS!$A$5:$A$34,0)),DATE(YEAR($AD67),MONTH($AD67),MIN(INDEX(CARDS!$I$5:$I$34,MATCH($D67,CARDS!$A$5:$A$34,0)),DAY(EOMONTH($AD67,0)))),DATE(YEAR($AD67),MONTH($AD67)+1,MIN(INDEX(CARDS!$I$5:$I$34,MATCH($D67,CARDS!$A$5:$A$34,0)),DAY(EOMONTH($AD67,1)))))),""))</f>
        <v/>
      </c>
      <c r="U67" s="38" t="n"/>
      <c r="V67" s="37" t="n"/>
      <c r="W67" s="38" t="n"/>
      <c r="X67" s="38" t="n"/>
      <c r="Y67" s="44" t="str">
        <f>IF($AC67&gt;0,INDEX(CASHBACK_RULES!$A$5:$A$304,$AC67),"")</f>
        <v/>
      </c>
      <c r="Z67" s="45" t="str">
        <f>IF($AC67&gt;0,INDEX(CASHBACK_RULES!$E$5:$E$304,$AC67)&amp;"","")</f>
        <v/>
      </c>
      <c r="AA67" s="48" t="str">
        <f>IF($AC67&gt;0,IF(ISNUMBER(INDEX(CASHBACK_RULES!$K$5:$K$304,$AC67)),INDEX(CASHBACK_RULES!$K$5:$K$304,$AC67),"∞"),"")</f>
        <v/>
      </c>
      <c r="AB67" s="44" t="str">
        <f>IF(OR($B67="",$D67=""),"",IF($U67="Cancelled","Đã hủy",IF($AC67=0,"Không được hoàn",IF($Q67=0,IF(OR($O67&gt;0,$M67&lt;$L67),"Đã đạt cap","Không được hoàn"),IF(OR($Q67&lt;$O67,$M67&lt;$L67),"Hoàn một phần","Được hoàn")))))</f>
        <v/>
      </c>
      <c r="AC67" s="43">
        <f>IF(OR($B67="",$D67="",$I67="",$L67=""),0,IF($U67="Cancelled",0,IF($W67&lt;&gt;"",IFERROR(IF(INDEX(CASHBACK_RULES!$B$5:$B$304,MATCH($W67,CASHBACK_RULES!$A$5:$A$304,0))=$D67,MATCH($W67,CASHBACK_RULES!$A$5:$A$304,0),0),0),IFERROR(MATCH(1,INDEX((CASHBACK_RULES!$B$5:$B$304=$D67)*(CASHBACK_RULES!$G$5:$G$304=$I67)*(((CASHBACK_RULES!$N$5:$N$304="")+(CASHBACK_RULES!$N$5:$N$304&lt;=$B67))&gt;0)*(((CASHBACK_RULES!$O$5:$O$304="")+(CASHBACK_RULES!$O$5:$O$304&gt;=$B67))&gt;0)*(((CASHBACK_RULES!$M$5:$M$304="")+(CASHBACK_RULES!$M$5:$M$304&lt;=$L67))&gt;0),0),0),0))))</f>
        <v>0</v>
      </c>
      <c r="AD67" s="51" t="str">
        <f>IF(OR($B67="",$D67=""),"",IFERROR(IF(INDEX(CARDS!$H$5:$H$34,MATCH($D67,CARDS!$A$5:$A$34,0))="","",IF(DAY($B67)&lt;=INDEX(CARDS!$H$5:$H$34,MATCH($D67,CARDS!$A$5:$A$34,0)),DATE(YEAR($B67),MONTH($B67),MIN(INDEX(CARDS!$H$5:$H$34,MATCH($D67,CARDS!$A$5:$A$34,0)),DAY(EOMONTH($B67,0)))),DATE(YEAR($B67),MONTH($B67)+1,MIN(INDEX(CARDS!$H$5:$H$34,MATCH($D67,CARDS!$A$5:$A$34,0)),DAY(EOMONTH($B67,1)))))),""))</f>
        <v/>
      </c>
      <c r="AE67" s="52" t="str">
        <f>IF($C67="","",$C67&amp;"|"&amp;COUNTIF($C$5:$C67,$C67))</f>
        <v/>
      </c>
      <c r="AF67" s="53">
        <f>IF($AC67&gt;0,SUMIFS(Q$4:Q66,$D$4:$D66,$D67,$Z$4:$Z66,$Z67,$C$4:$C66,$C67),0)</f>
        <v>0</v>
      </c>
      <c r="AG67" s="53">
        <f>IF($AC67&gt;0,SUMIFS(Q$4:Q66,$D$4:$D66,$D67,$C$4:$C66,$C67),0)</f>
        <v>0</v>
      </c>
      <c r="AH67" s="53">
        <f>IF($AC67&gt;0,SUMIFS(M$4:M66,$D$4:$D66,$D67,$Z$4:$Z66,$Z67,$C$4:$C66,$C67),0)</f>
        <v>0</v>
      </c>
      <c r="AI67" s="43">
        <f>IF(OR($C67="",$I67=""),0,IF(COUNTIFS($C$5:$C67,$C67,$I$5:$I67,$I67)=1,1,0))</f>
        <v>0</v>
      </c>
      <c r="AJ67" s="43" t="str">
        <f>IF($AI67=1,SUMIFS($AI$4:$AI66,$C$4:$C66,$C67)+1,"")</f>
        <v/>
      </c>
      <c r="AK67" s="43">
        <f>IF(OR($C67="",$K67=""),0,IF(COUNTIFS($C$5:$C67,$C67,$K$5:$K67,$K67)=1,1,0))</f>
        <v>0</v>
      </c>
      <c r="AL67" s="43" t="str">
        <f>IF($AK67=1,SUMIFS($AK$4:$AK66,$C$4:$C66,$C67)+1,"")</f>
        <v/>
      </c>
      <c r="AM67" s="43">
        <f>IF(OR($C67="",$G67=""),0,IF(COUNTIFS($C$5:$C67,$C67,$G$5:$G67,$G67)=1,1,0))</f>
        <v>0</v>
      </c>
      <c r="AN67" s="43" t="str">
        <f>IF($AM67=1,SUMIFS($AM$4:$AM66,$C$4:$C66,$C67)+1,"")</f>
        <v/>
      </c>
    </row>
    <row r="68">
      <c r="A68" s="44" t="str">
        <f>IF(OR($B68="",$D68=""),"","TX"&amp;TEXT(ROW()-4,"0000"))</f>
        <v/>
      </c>
      <c r="B68" s="42" t="n"/>
      <c r="C68" s="47" t="str">
        <f>IF($B68="","",YEAR($B68)*100+MONTH($B68))</f>
        <v/>
      </c>
      <c r="D68" s="37" t="n"/>
      <c r="E68" s="45" t="str">
        <f>IF($D68="","",IFERROR(INDEX(CARDS!$B$5:$B$34,MATCH($D68,CARDS!$A$5:$A$34,0)),"⚠ Card ID?"))</f>
        <v/>
      </c>
      <c r="F68" s="45" t="str">
        <f>IF($D68="","",IFERROR(INDEX(CARDS!$C$5:$C$34,MATCH($D68,CARDS!$A$5:$A$34,0)),"⚠ Card ID?"))</f>
        <v/>
      </c>
      <c r="G68" s="37" t="n"/>
      <c r="H68" s="37" t="n"/>
      <c r="I68" s="41" t="n"/>
      <c r="J68" s="45" t="str">
        <f>IF($I68="","",IFERROR(INDEX(MCC_MASTER!$B$5:$B$504,MATCH($I68,MCC_MASTER!$A$5:$A$504,0)),"⚠ MCC chưa có"))</f>
        <v/>
      </c>
      <c r="K68" s="45" t="str">
        <f>IF($I68="","",IFERROR(IF(INDEX(MCC_MASTER!$C$5:$C$504,MATCH($I68,MCC_MASTER!$A$5:$A$504,0))="","Chưa phân loại",INDEX(MCC_MASTER!$C$5:$C$504,MATCH($I68,MCC_MASTER!$A$5:$A$504,0))),"Chưa phân loại"))</f>
        <v/>
      </c>
      <c r="L68" s="40" t="n"/>
      <c r="M68" s="48" t="str">
        <f>IF(OR($B68="",$D68=""),"",IF($AC68=0,0,IF(ISNUMBER(INDEX(CASHBACK_RULES!$L$5:$L$304,$AC68)),MAX(0,MIN($L68,INDEX(CASHBACK_RULES!$L$5:$L$304,$AC68)-$AH68)),MAX(0,$L68))))</f>
        <v/>
      </c>
      <c r="N68" s="49" t="str">
        <f>IF(OR($B68="",$D68=""),"",IF($AC68&gt;0,INDEX(CASHBACK_RULES!$I$5:$I$304,$AC68),0))</f>
        <v/>
      </c>
      <c r="O68" s="48" t="str">
        <f>IF(OR($B68="",$D68=""),"",ROUND($M68*$N68,0))</f>
        <v/>
      </c>
      <c r="P68" s="48" t="str">
        <f>IF($AC68&gt;0,IF(ISNUMBER(INDEX(CASHBACK_RULES!$J$5:$J$304,$AC68)),INDEX(CASHBACK_RULES!$J$5:$J$304,$AC68),"∞"),"")</f>
        <v/>
      </c>
      <c r="Q68" s="48" t="str">
        <f>IF(OR($B68="",$D68=""),"",IF($AC68=0,0,MAX(0,MIN($O68,IF(ISNUMBER($P68),$P68-$AF68,1E+15),IF(ISNUMBER($AA68),$AA68-$AG68,1E+15)))))</f>
        <v/>
      </c>
      <c r="R68" s="48" t="str">
        <f>IF(OR($B68="",$D68=""),"",IF($AC68=0,"",IF(AND(NOT(ISNUMBER($P68)),NOT(ISNUMBER($AA68))),"∞",MAX(0,MIN(IF(ISNUMBER($P68),$P68-$AF68-$Q68,1E+15),IF(ISNUMBER($AA68),$AA68-$AG68-$Q68,1E+15))))))</f>
        <v/>
      </c>
      <c r="S68" s="47" t="str">
        <f>IF($AD68="","",YEAR($AD68)*100+MONTH($AD68))</f>
        <v/>
      </c>
      <c r="T68" s="50" t="str">
        <f>IF($AD68="","",IFERROR(IF(INDEX(CARDS!$I$5:$I$34,MATCH($D68,CARDS!$A$5:$A$34,0))="","",IF(INDEX(CARDS!$I$5:$I$34,MATCH($D68,CARDS!$A$5:$A$34,0))&gt;INDEX(CARDS!$H$5:$H$34,MATCH($D68,CARDS!$A$5:$A$34,0)),DATE(YEAR($AD68),MONTH($AD68),MIN(INDEX(CARDS!$I$5:$I$34,MATCH($D68,CARDS!$A$5:$A$34,0)),DAY(EOMONTH($AD68,0)))),DATE(YEAR($AD68),MONTH($AD68)+1,MIN(INDEX(CARDS!$I$5:$I$34,MATCH($D68,CARDS!$A$5:$A$34,0)),DAY(EOMONTH($AD68,1)))))),""))</f>
        <v/>
      </c>
      <c r="U68" s="38" t="n"/>
      <c r="V68" s="37" t="n"/>
      <c r="W68" s="38" t="n"/>
      <c r="X68" s="38" t="n"/>
      <c r="Y68" s="44" t="str">
        <f>IF($AC68&gt;0,INDEX(CASHBACK_RULES!$A$5:$A$304,$AC68),"")</f>
        <v/>
      </c>
      <c r="Z68" s="45" t="str">
        <f>IF($AC68&gt;0,INDEX(CASHBACK_RULES!$E$5:$E$304,$AC68)&amp;"","")</f>
        <v/>
      </c>
      <c r="AA68" s="48" t="str">
        <f>IF($AC68&gt;0,IF(ISNUMBER(INDEX(CASHBACK_RULES!$K$5:$K$304,$AC68)),INDEX(CASHBACK_RULES!$K$5:$K$304,$AC68),"∞"),"")</f>
        <v/>
      </c>
      <c r="AB68" s="44" t="str">
        <f>IF(OR($B68="",$D68=""),"",IF($U68="Cancelled","Đã hủy",IF($AC68=0,"Không được hoàn",IF($Q68=0,IF(OR($O68&gt;0,$M68&lt;$L68),"Đã đạt cap","Không được hoàn"),IF(OR($Q68&lt;$O68,$M68&lt;$L68),"Hoàn một phần","Được hoàn")))))</f>
        <v/>
      </c>
      <c r="AC68" s="43">
        <f>IF(OR($B68="",$D68="",$I68="",$L68=""),0,IF($U68="Cancelled",0,IF($W68&lt;&gt;"",IFERROR(IF(INDEX(CASHBACK_RULES!$B$5:$B$304,MATCH($W68,CASHBACK_RULES!$A$5:$A$304,0))=$D68,MATCH($W68,CASHBACK_RULES!$A$5:$A$304,0),0),0),IFERROR(MATCH(1,INDEX((CASHBACK_RULES!$B$5:$B$304=$D68)*(CASHBACK_RULES!$G$5:$G$304=$I68)*(((CASHBACK_RULES!$N$5:$N$304="")+(CASHBACK_RULES!$N$5:$N$304&lt;=$B68))&gt;0)*(((CASHBACK_RULES!$O$5:$O$304="")+(CASHBACK_RULES!$O$5:$O$304&gt;=$B68))&gt;0)*(((CASHBACK_RULES!$M$5:$M$304="")+(CASHBACK_RULES!$M$5:$M$304&lt;=$L68))&gt;0),0),0),0))))</f>
        <v>0</v>
      </c>
      <c r="AD68" s="51" t="str">
        <f>IF(OR($B68="",$D68=""),"",IFERROR(IF(INDEX(CARDS!$H$5:$H$34,MATCH($D68,CARDS!$A$5:$A$34,0))="","",IF(DAY($B68)&lt;=INDEX(CARDS!$H$5:$H$34,MATCH($D68,CARDS!$A$5:$A$34,0)),DATE(YEAR($B68),MONTH($B68),MIN(INDEX(CARDS!$H$5:$H$34,MATCH($D68,CARDS!$A$5:$A$34,0)),DAY(EOMONTH($B68,0)))),DATE(YEAR($B68),MONTH($B68)+1,MIN(INDEX(CARDS!$H$5:$H$34,MATCH($D68,CARDS!$A$5:$A$34,0)),DAY(EOMONTH($B68,1)))))),""))</f>
        <v/>
      </c>
      <c r="AE68" s="52" t="str">
        <f>IF($C68="","",$C68&amp;"|"&amp;COUNTIF($C$5:$C68,$C68))</f>
        <v/>
      </c>
      <c r="AF68" s="53">
        <f>IF($AC68&gt;0,SUMIFS(Q$4:Q67,$D$4:$D67,$D68,$Z$4:$Z67,$Z68,$C$4:$C67,$C68),0)</f>
        <v>0</v>
      </c>
      <c r="AG68" s="53">
        <f>IF($AC68&gt;0,SUMIFS(Q$4:Q67,$D$4:$D67,$D68,$C$4:$C67,$C68),0)</f>
        <v>0</v>
      </c>
      <c r="AH68" s="53">
        <f>IF($AC68&gt;0,SUMIFS(M$4:M67,$D$4:$D67,$D68,$Z$4:$Z67,$Z68,$C$4:$C67,$C68),0)</f>
        <v>0</v>
      </c>
      <c r="AI68" s="43">
        <f>IF(OR($C68="",$I68=""),0,IF(COUNTIFS($C$5:$C68,$C68,$I$5:$I68,$I68)=1,1,0))</f>
        <v>0</v>
      </c>
      <c r="AJ68" s="43" t="str">
        <f>IF($AI68=1,SUMIFS($AI$4:$AI67,$C$4:$C67,$C68)+1,"")</f>
        <v/>
      </c>
      <c r="AK68" s="43">
        <f>IF(OR($C68="",$K68=""),0,IF(COUNTIFS($C$5:$C68,$C68,$K$5:$K68,$K68)=1,1,0))</f>
        <v>0</v>
      </c>
      <c r="AL68" s="43" t="str">
        <f>IF($AK68=1,SUMIFS($AK$4:$AK67,$C$4:$C67,$C68)+1,"")</f>
        <v/>
      </c>
      <c r="AM68" s="43">
        <f>IF(OR($C68="",$G68=""),0,IF(COUNTIFS($C$5:$C68,$C68,$G$5:$G68,$G68)=1,1,0))</f>
        <v>0</v>
      </c>
      <c r="AN68" s="43" t="str">
        <f>IF($AM68=1,SUMIFS($AM$4:$AM67,$C$4:$C67,$C68)+1,"")</f>
        <v/>
      </c>
    </row>
    <row r="69">
      <c r="A69" s="44" t="str">
        <f>IF(OR($B69="",$D69=""),"","TX"&amp;TEXT(ROW()-4,"0000"))</f>
        <v/>
      </c>
      <c r="B69" s="42" t="n"/>
      <c r="C69" s="47" t="str">
        <f>IF($B69="","",YEAR($B69)*100+MONTH($B69))</f>
        <v/>
      </c>
      <c r="D69" s="37" t="n"/>
      <c r="E69" s="45" t="str">
        <f>IF($D69="","",IFERROR(INDEX(CARDS!$B$5:$B$34,MATCH($D69,CARDS!$A$5:$A$34,0)),"⚠ Card ID?"))</f>
        <v/>
      </c>
      <c r="F69" s="45" t="str">
        <f>IF($D69="","",IFERROR(INDEX(CARDS!$C$5:$C$34,MATCH($D69,CARDS!$A$5:$A$34,0)),"⚠ Card ID?"))</f>
        <v/>
      </c>
      <c r="G69" s="37" t="n"/>
      <c r="H69" s="37" t="n"/>
      <c r="I69" s="41" t="n"/>
      <c r="J69" s="45" t="str">
        <f>IF($I69="","",IFERROR(INDEX(MCC_MASTER!$B$5:$B$504,MATCH($I69,MCC_MASTER!$A$5:$A$504,0)),"⚠ MCC chưa có"))</f>
        <v/>
      </c>
      <c r="K69" s="45" t="str">
        <f>IF($I69="","",IFERROR(IF(INDEX(MCC_MASTER!$C$5:$C$504,MATCH($I69,MCC_MASTER!$A$5:$A$504,0))="","Chưa phân loại",INDEX(MCC_MASTER!$C$5:$C$504,MATCH($I69,MCC_MASTER!$A$5:$A$504,0))),"Chưa phân loại"))</f>
        <v/>
      </c>
      <c r="L69" s="40" t="n"/>
      <c r="M69" s="48" t="str">
        <f>IF(OR($B69="",$D69=""),"",IF($AC69=0,0,IF(ISNUMBER(INDEX(CASHBACK_RULES!$L$5:$L$304,$AC69)),MAX(0,MIN($L69,INDEX(CASHBACK_RULES!$L$5:$L$304,$AC69)-$AH69)),MAX(0,$L69))))</f>
        <v/>
      </c>
      <c r="N69" s="49" t="str">
        <f>IF(OR($B69="",$D69=""),"",IF($AC69&gt;0,INDEX(CASHBACK_RULES!$I$5:$I$304,$AC69),0))</f>
        <v/>
      </c>
      <c r="O69" s="48" t="str">
        <f>IF(OR($B69="",$D69=""),"",ROUND($M69*$N69,0))</f>
        <v/>
      </c>
      <c r="P69" s="48" t="str">
        <f>IF($AC69&gt;0,IF(ISNUMBER(INDEX(CASHBACK_RULES!$J$5:$J$304,$AC69)),INDEX(CASHBACK_RULES!$J$5:$J$304,$AC69),"∞"),"")</f>
        <v/>
      </c>
      <c r="Q69" s="48" t="str">
        <f>IF(OR($B69="",$D69=""),"",IF($AC69=0,0,MAX(0,MIN($O69,IF(ISNUMBER($P69),$P69-$AF69,1E+15),IF(ISNUMBER($AA69),$AA69-$AG69,1E+15)))))</f>
        <v/>
      </c>
      <c r="R69" s="48" t="str">
        <f>IF(OR($B69="",$D69=""),"",IF($AC69=0,"",IF(AND(NOT(ISNUMBER($P69)),NOT(ISNUMBER($AA69))),"∞",MAX(0,MIN(IF(ISNUMBER($P69),$P69-$AF69-$Q69,1E+15),IF(ISNUMBER($AA69),$AA69-$AG69-$Q69,1E+15))))))</f>
        <v/>
      </c>
      <c r="S69" s="47" t="str">
        <f>IF($AD69="","",YEAR($AD69)*100+MONTH($AD69))</f>
        <v/>
      </c>
      <c r="T69" s="50" t="str">
        <f>IF($AD69="","",IFERROR(IF(INDEX(CARDS!$I$5:$I$34,MATCH($D69,CARDS!$A$5:$A$34,0))="","",IF(INDEX(CARDS!$I$5:$I$34,MATCH($D69,CARDS!$A$5:$A$34,0))&gt;INDEX(CARDS!$H$5:$H$34,MATCH($D69,CARDS!$A$5:$A$34,0)),DATE(YEAR($AD69),MONTH($AD69),MIN(INDEX(CARDS!$I$5:$I$34,MATCH($D69,CARDS!$A$5:$A$34,0)),DAY(EOMONTH($AD69,0)))),DATE(YEAR($AD69),MONTH($AD69)+1,MIN(INDEX(CARDS!$I$5:$I$34,MATCH($D69,CARDS!$A$5:$A$34,0)),DAY(EOMONTH($AD69,1)))))),""))</f>
        <v/>
      </c>
      <c r="U69" s="38" t="n"/>
      <c r="V69" s="37" t="n"/>
      <c r="W69" s="38" t="n"/>
      <c r="X69" s="38" t="n"/>
      <c r="Y69" s="44" t="str">
        <f>IF($AC69&gt;0,INDEX(CASHBACK_RULES!$A$5:$A$304,$AC69),"")</f>
        <v/>
      </c>
      <c r="Z69" s="45" t="str">
        <f>IF($AC69&gt;0,INDEX(CASHBACK_RULES!$E$5:$E$304,$AC69)&amp;"","")</f>
        <v/>
      </c>
      <c r="AA69" s="48" t="str">
        <f>IF($AC69&gt;0,IF(ISNUMBER(INDEX(CASHBACK_RULES!$K$5:$K$304,$AC69)),INDEX(CASHBACK_RULES!$K$5:$K$304,$AC69),"∞"),"")</f>
        <v/>
      </c>
      <c r="AB69" s="44" t="str">
        <f>IF(OR($B69="",$D69=""),"",IF($U69="Cancelled","Đã hủy",IF($AC69=0,"Không được hoàn",IF($Q69=0,IF(OR($O69&gt;0,$M69&lt;$L69),"Đã đạt cap","Không được hoàn"),IF(OR($Q69&lt;$O69,$M69&lt;$L69),"Hoàn một phần","Được hoàn")))))</f>
        <v/>
      </c>
      <c r="AC69" s="43">
        <f>IF(OR($B69="",$D69="",$I69="",$L69=""),0,IF($U69="Cancelled",0,IF($W69&lt;&gt;"",IFERROR(IF(INDEX(CASHBACK_RULES!$B$5:$B$304,MATCH($W69,CASHBACK_RULES!$A$5:$A$304,0))=$D69,MATCH($W69,CASHBACK_RULES!$A$5:$A$304,0),0),0),IFERROR(MATCH(1,INDEX((CASHBACK_RULES!$B$5:$B$304=$D69)*(CASHBACK_RULES!$G$5:$G$304=$I69)*(((CASHBACK_RULES!$N$5:$N$304="")+(CASHBACK_RULES!$N$5:$N$304&lt;=$B69))&gt;0)*(((CASHBACK_RULES!$O$5:$O$304="")+(CASHBACK_RULES!$O$5:$O$304&gt;=$B69))&gt;0)*(((CASHBACK_RULES!$M$5:$M$304="")+(CASHBACK_RULES!$M$5:$M$304&lt;=$L69))&gt;0),0),0),0))))</f>
        <v>0</v>
      </c>
      <c r="AD69" s="51" t="str">
        <f>IF(OR($B69="",$D69=""),"",IFERROR(IF(INDEX(CARDS!$H$5:$H$34,MATCH($D69,CARDS!$A$5:$A$34,0))="","",IF(DAY($B69)&lt;=INDEX(CARDS!$H$5:$H$34,MATCH($D69,CARDS!$A$5:$A$34,0)),DATE(YEAR($B69),MONTH($B69),MIN(INDEX(CARDS!$H$5:$H$34,MATCH($D69,CARDS!$A$5:$A$34,0)),DAY(EOMONTH($B69,0)))),DATE(YEAR($B69),MONTH($B69)+1,MIN(INDEX(CARDS!$H$5:$H$34,MATCH($D69,CARDS!$A$5:$A$34,0)),DAY(EOMONTH($B69,1)))))),""))</f>
        <v/>
      </c>
      <c r="AE69" s="52" t="str">
        <f>IF($C69="","",$C69&amp;"|"&amp;COUNTIF($C$5:$C69,$C69))</f>
        <v/>
      </c>
      <c r="AF69" s="53">
        <f>IF($AC69&gt;0,SUMIFS(Q$4:Q68,$D$4:$D68,$D69,$Z$4:$Z68,$Z69,$C$4:$C68,$C69),0)</f>
        <v>0</v>
      </c>
      <c r="AG69" s="53">
        <f>IF($AC69&gt;0,SUMIFS(Q$4:Q68,$D$4:$D68,$D69,$C$4:$C68,$C69),0)</f>
        <v>0</v>
      </c>
      <c r="AH69" s="53">
        <f>IF($AC69&gt;0,SUMIFS(M$4:M68,$D$4:$D68,$D69,$Z$4:$Z68,$Z69,$C$4:$C68,$C69),0)</f>
        <v>0</v>
      </c>
      <c r="AI69" s="43">
        <f>IF(OR($C69="",$I69=""),0,IF(COUNTIFS($C$5:$C69,$C69,$I$5:$I69,$I69)=1,1,0))</f>
        <v>0</v>
      </c>
      <c r="AJ69" s="43" t="str">
        <f>IF($AI69=1,SUMIFS($AI$4:$AI68,$C$4:$C68,$C69)+1,"")</f>
        <v/>
      </c>
      <c r="AK69" s="43">
        <f>IF(OR($C69="",$K69=""),0,IF(COUNTIFS($C$5:$C69,$C69,$K$5:$K69,$K69)=1,1,0))</f>
        <v>0</v>
      </c>
      <c r="AL69" s="43" t="str">
        <f>IF($AK69=1,SUMIFS($AK$4:$AK68,$C$4:$C68,$C69)+1,"")</f>
        <v/>
      </c>
      <c r="AM69" s="43">
        <f>IF(OR($C69="",$G69=""),0,IF(COUNTIFS($C$5:$C69,$C69,$G$5:$G69,$G69)=1,1,0))</f>
        <v>0</v>
      </c>
      <c r="AN69" s="43" t="str">
        <f>IF($AM69=1,SUMIFS($AM$4:$AM68,$C$4:$C68,$C69)+1,"")</f>
        <v/>
      </c>
    </row>
    <row r="70">
      <c r="A70" s="44" t="str">
        <f>IF(OR($B70="",$D70=""),"","TX"&amp;TEXT(ROW()-4,"0000"))</f>
        <v/>
      </c>
      <c r="B70" s="42" t="n"/>
      <c r="C70" s="47" t="str">
        <f>IF($B70="","",YEAR($B70)*100+MONTH($B70))</f>
        <v/>
      </c>
      <c r="D70" s="37" t="n"/>
      <c r="E70" s="45" t="str">
        <f>IF($D70="","",IFERROR(INDEX(CARDS!$B$5:$B$34,MATCH($D70,CARDS!$A$5:$A$34,0)),"⚠ Card ID?"))</f>
        <v/>
      </c>
      <c r="F70" s="45" t="str">
        <f>IF($D70="","",IFERROR(INDEX(CARDS!$C$5:$C$34,MATCH($D70,CARDS!$A$5:$A$34,0)),"⚠ Card ID?"))</f>
        <v/>
      </c>
      <c r="G70" s="37" t="n"/>
      <c r="H70" s="37" t="n"/>
      <c r="I70" s="41" t="n"/>
      <c r="J70" s="45" t="str">
        <f>IF($I70="","",IFERROR(INDEX(MCC_MASTER!$B$5:$B$504,MATCH($I70,MCC_MASTER!$A$5:$A$504,0)),"⚠ MCC chưa có"))</f>
        <v/>
      </c>
      <c r="K70" s="45" t="str">
        <f>IF($I70="","",IFERROR(IF(INDEX(MCC_MASTER!$C$5:$C$504,MATCH($I70,MCC_MASTER!$A$5:$A$504,0))="","Chưa phân loại",INDEX(MCC_MASTER!$C$5:$C$504,MATCH($I70,MCC_MASTER!$A$5:$A$504,0))),"Chưa phân loại"))</f>
        <v/>
      </c>
      <c r="L70" s="40" t="n"/>
      <c r="M70" s="48" t="str">
        <f>IF(OR($B70="",$D70=""),"",IF($AC70=0,0,IF(ISNUMBER(INDEX(CASHBACK_RULES!$L$5:$L$304,$AC70)),MAX(0,MIN($L70,INDEX(CASHBACK_RULES!$L$5:$L$304,$AC70)-$AH70)),MAX(0,$L70))))</f>
        <v/>
      </c>
      <c r="N70" s="49" t="str">
        <f>IF(OR($B70="",$D70=""),"",IF($AC70&gt;0,INDEX(CASHBACK_RULES!$I$5:$I$304,$AC70),0))</f>
        <v/>
      </c>
      <c r="O70" s="48" t="str">
        <f>IF(OR($B70="",$D70=""),"",ROUND($M70*$N70,0))</f>
        <v/>
      </c>
      <c r="P70" s="48" t="str">
        <f>IF($AC70&gt;0,IF(ISNUMBER(INDEX(CASHBACK_RULES!$J$5:$J$304,$AC70)),INDEX(CASHBACK_RULES!$J$5:$J$304,$AC70),"∞"),"")</f>
        <v/>
      </c>
      <c r="Q70" s="48" t="str">
        <f>IF(OR($B70="",$D70=""),"",IF($AC70=0,0,MAX(0,MIN($O70,IF(ISNUMBER($P70),$P70-$AF70,1E+15),IF(ISNUMBER($AA70),$AA70-$AG70,1E+15)))))</f>
        <v/>
      </c>
      <c r="R70" s="48" t="str">
        <f>IF(OR($B70="",$D70=""),"",IF($AC70=0,"",IF(AND(NOT(ISNUMBER($P70)),NOT(ISNUMBER($AA70))),"∞",MAX(0,MIN(IF(ISNUMBER($P70),$P70-$AF70-$Q70,1E+15),IF(ISNUMBER($AA70),$AA70-$AG70-$Q70,1E+15))))))</f>
        <v/>
      </c>
      <c r="S70" s="47" t="str">
        <f>IF($AD70="","",YEAR($AD70)*100+MONTH($AD70))</f>
        <v/>
      </c>
      <c r="T70" s="50" t="str">
        <f>IF($AD70="","",IFERROR(IF(INDEX(CARDS!$I$5:$I$34,MATCH($D70,CARDS!$A$5:$A$34,0))="","",IF(INDEX(CARDS!$I$5:$I$34,MATCH($D70,CARDS!$A$5:$A$34,0))&gt;INDEX(CARDS!$H$5:$H$34,MATCH($D70,CARDS!$A$5:$A$34,0)),DATE(YEAR($AD70),MONTH($AD70),MIN(INDEX(CARDS!$I$5:$I$34,MATCH($D70,CARDS!$A$5:$A$34,0)),DAY(EOMONTH($AD70,0)))),DATE(YEAR($AD70),MONTH($AD70)+1,MIN(INDEX(CARDS!$I$5:$I$34,MATCH($D70,CARDS!$A$5:$A$34,0)),DAY(EOMONTH($AD70,1)))))),""))</f>
        <v/>
      </c>
      <c r="U70" s="38" t="n"/>
      <c r="V70" s="37" t="n"/>
      <c r="W70" s="38" t="n"/>
      <c r="X70" s="38" t="n"/>
      <c r="Y70" s="44" t="str">
        <f>IF($AC70&gt;0,INDEX(CASHBACK_RULES!$A$5:$A$304,$AC70),"")</f>
        <v/>
      </c>
      <c r="Z70" s="45" t="str">
        <f>IF($AC70&gt;0,INDEX(CASHBACK_RULES!$E$5:$E$304,$AC70)&amp;"","")</f>
        <v/>
      </c>
      <c r="AA70" s="48" t="str">
        <f>IF($AC70&gt;0,IF(ISNUMBER(INDEX(CASHBACK_RULES!$K$5:$K$304,$AC70)),INDEX(CASHBACK_RULES!$K$5:$K$304,$AC70),"∞"),"")</f>
        <v/>
      </c>
      <c r="AB70" s="44" t="str">
        <f>IF(OR($B70="",$D70=""),"",IF($U70="Cancelled","Đã hủy",IF($AC70=0,"Không được hoàn",IF($Q70=0,IF(OR($O70&gt;0,$M70&lt;$L70),"Đã đạt cap","Không được hoàn"),IF(OR($Q70&lt;$O70,$M70&lt;$L70),"Hoàn một phần","Được hoàn")))))</f>
        <v/>
      </c>
      <c r="AC70" s="43">
        <f>IF(OR($B70="",$D70="",$I70="",$L70=""),0,IF($U70="Cancelled",0,IF($W70&lt;&gt;"",IFERROR(IF(INDEX(CASHBACK_RULES!$B$5:$B$304,MATCH($W70,CASHBACK_RULES!$A$5:$A$304,0))=$D70,MATCH($W70,CASHBACK_RULES!$A$5:$A$304,0),0),0),IFERROR(MATCH(1,INDEX((CASHBACK_RULES!$B$5:$B$304=$D70)*(CASHBACK_RULES!$G$5:$G$304=$I70)*(((CASHBACK_RULES!$N$5:$N$304="")+(CASHBACK_RULES!$N$5:$N$304&lt;=$B70))&gt;0)*(((CASHBACK_RULES!$O$5:$O$304="")+(CASHBACK_RULES!$O$5:$O$304&gt;=$B70))&gt;0)*(((CASHBACK_RULES!$M$5:$M$304="")+(CASHBACK_RULES!$M$5:$M$304&lt;=$L70))&gt;0),0),0),0))))</f>
        <v>0</v>
      </c>
      <c r="AD70" s="51" t="str">
        <f>IF(OR($B70="",$D70=""),"",IFERROR(IF(INDEX(CARDS!$H$5:$H$34,MATCH($D70,CARDS!$A$5:$A$34,0))="","",IF(DAY($B70)&lt;=INDEX(CARDS!$H$5:$H$34,MATCH($D70,CARDS!$A$5:$A$34,0)),DATE(YEAR($B70),MONTH($B70),MIN(INDEX(CARDS!$H$5:$H$34,MATCH($D70,CARDS!$A$5:$A$34,0)),DAY(EOMONTH($B70,0)))),DATE(YEAR($B70),MONTH($B70)+1,MIN(INDEX(CARDS!$H$5:$H$34,MATCH($D70,CARDS!$A$5:$A$34,0)),DAY(EOMONTH($B70,1)))))),""))</f>
        <v/>
      </c>
      <c r="AE70" s="52" t="str">
        <f>IF($C70="","",$C70&amp;"|"&amp;COUNTIF($C$5:$C70,$C70))</f>
        <v/>
      </c>
      <c r="AF70" s="53">
        <f>IF($AC70&gt;0,SUMIFS(Q$4:Q69,$D$4:$D69,$D70,$Z$4:$Z69,$Z70,$C$4:$C69,$C70),0)</f>
        <v>0</v>
      </c>
      <c r="AG70" s="53">
        <f>IF($AC70&gt;0,SUMIFS(Q$4:Q69,$D$4:$D69,$D70,$C$4:$C69,$C70),0)</f>
        <v>0</v>
      </c>
      <c r="AH70" s="53">
        <f>IF($AC70&gt;0,SUMIFS(M$4:M69,$D$4:$D69,$D70,$Z$4:$Z69,$Z70,$C$4:$C69,$C70),0)</f>
        <v>0</v>
      </c>
      <c r="AI70" s="43">
        <f>IF(OR($C70="",$I70=""),0,IF(COUNTIFS($C$5:$C70,$C70,$I$5:$I70,$I70)=1,1,0))</f>
        <v>0</v>
      </c>
      <c r="AJ70" s="43" t="str">
        <f>IF($AI70=1,SUMIFS($AI$4:$AI69,$C$4:$C69,$C70)+1,"")</f>
        <v/>
      </c>
      <c r="AK70" s="43">
        <f>IF(OR($C70="",$K70=""),0,IF(COUNTIFS($C$5:$C70,$C70,$K$5:$K70,$K70)=1,1,0))</f>
        <v>0</v>
      </c>
      <c r="AL70" s="43" t="str">
        <f>IF($AK70=1,SUMIFS($AK$4:$AK69,$C$4:$C69,$C70)+1,"")</f>
        <v/>
      </c>
      <c r="AM70" s="43">
        <f>IF(OR($C70="",$G70=""),0,IF(COUNTIFS($C$5:$C70,$C70,$G$5:$G70,$G70)=1,1,0))</f>
        <v>0</v>
      </c>
      <c r="AN70" s="43" t="str">
        <f>IF($AM70=1,SUMIFS($AM$4:$AM69,$C$4:$C69,$C70)+1,"")</f>
        <v/>
      </c>
    </row>
    <row r="71">
      <c r="A71" s="44" t="str">
        <f>IF(OR($B71="",$D71=""),"","TX"&amp;TEXT(ROW()-4,"0000"))</f>
        <v/>
      </c>
      <c r="B71" s="42" t="n"/>
      <c r="C71" s="47" t="str">
        <f>IF($B71="","",YEAR($B71)*100+MONTH($B71))</f>
        <v/>
      </c>
      <c r="D71" s="37" t="n"/>
      <c r="E71" s="45" t="str">
        <f>IF($D71="","",IFERROR(INDEX(CARDS!$B$5:$B$34,MATCH($D71,CARDS!$A$5:$A$34,0)),"⚠ Card ID?"))</f>
        <v/>
      </c>
      <c r="F71" s="45" t="str">
        <f>IF($D71="","",IFERROR(INDEX(CARDS!$C$5:$C$34,MATCH($D71,CARDS!$A$5:$A$34,0)),"⚠ Card ID?"))</f>
        <v/>
      </c>
      <c r="G71" s="37" t="n"/>
      <c r="H71" s="37" t="n"/>
      <c r="I71" s="41" t="n"/>
      <c r="J71" s="45" t="str">
        <f>IF($I71="","",IFERROR(INDEX(MCC_MASTER!$B$5:$B$504,MATCH($I71,MCC_MASTER!$A$5:$A$504,0)),"⚠ MCC chưa có"))</f>
        <v/>
      </c>
      <c r="K71" s="45" t="str">
        <f>IF($I71="","",IFERROR(IF(INDEX(MCC_MASTER!$C$5:$C$504,MATCH($I71,MCC_MASTER!$A$5:$A$504,0))="","Chưa phân loại",INDEX(MCC_MASTER!$C$5:$C$504,MATCH($I71,MCC_MASTER!$A$5:$A$504,0))),"Chưa phân loại"))</f>
        <v/>
      </c>
      <c r="L71" s="40" t="n"/>
      <c r="M71" s="48" t="str">
        <f>IF(OR($B71="",$D71=""),"",IF($AC71=0,0,IF(ISNUMBER(INDEX(CASHBACK_RULES!$L$5:$L$304,$AC71)),MAX(0,MIN($L71,INDEX(CASHBACK_RULES!$L$5:$L$304,$AC71)-$AH71)),MAX(0,$L71))))</f>
        <v/>
      </c>
      <c r="N71" s="49" t="str">
        <f>IF(OR($B71="",$D71=""),"",IF($AC71&gt;0,INDEX(CASHBACK_RULES!$I$5:$I$304,$AC71),0))</f>
        <v/>
      </c>
      <c r="O71" s="48" t="str">
        <f>IF(OR($B71="",$D71=""),"",ROUND($M71*$N71,0))</f>
        <v/>
      </c>
      <c r="P71" s="48" t="str">
        <f>IF($AC71&gt;0,IF(ISNUMBER(INDEX(CASHBACK_RULES!$J$5:$J$304,$AC71)),INDEX(CASHBACK_RULES!$J$5:$J$304,$AC71),"∞"),"")</f>
        <v/>
      </c>
      <c r="Q71" s="48" t="str">
        <f>IF(OR($B71="",$D71=""),"",IF($AC71=0,0,MAX(0,MIN($O71,IF(ISNUMBER($P71),$P71-$AF71,1E+15),IF(ISNUMBER($AA71),$AA71-$AG71,1E+15)))))</f>
        <v/>
      </c>
      <c r="R71" s="48" t="str">
        <f>IF(OR($B71="",$D71=""),"",IF($AC71=0,"",IF(AND(NOT(ISNUMBER($P71)),NOT(ISNUMBER($AA71))),"∞",MAX(0,MIN(IF(ISNUMBER($P71),$P71-$AF71-$Q71,1E+15),IF(ISNUMBER($AA71),$AA71-$AG71-$Q71,1E+15))))))</f>
        <v/>
      </c>
      <c r="S71" s="47" t="str">
        <f>IF($AD71="","",YEAR($AD71)*100+MONTH($AD71))</f>
        <v/>
      </c>
      <c r="T71" s="50" t="str">
        <f>IF($AD71="","",IFERROR(IF(INDEX(CARDS!$I$5:$I$34,MATCH($D71,CARDS!$A$5:$A$34,0))="","",IF(INDEX(CARDS!$I$5:$I$34,MATCH($D71,CARDS!$A$5:$A$34,0))&gt;INDEX(CARDS!$H$5:$H$34,MATCH($D71,CARDS!$A$5:$A$34,0)),DATE(YEAR($AD71),MONTH($AD71),MIN(INDEX(CARDS!$I$5:$I$34,MATCH($D71,CARDS!$A$5:$A$34,0)),DAY(EOMONTH($AD71,0)))),DATE(YEAR($AD71),MONTH($AD71)+1,MIN(INDEX(CARDS!$I$5:$I$34,MATCH($D71,CARDS!$A$5:$A$34,0)),DAY(EOMONTH($AD71,1)))))),""))</f>
        <v/>
      </c>
      <c r="U71" s="38" t="n"/>
      <c r="V71" s="37" t="n"/>
      <c r="W71" s="38" t="n"/>
      <c r="X71" s="38" t="n"/>
      <c r="Y71" s="44" t="str">
        <f>IF($AC71&gt;0,INDEX(CASHBACK_RULES!$A$5:$A$304,$AC71),"")</f>
        <v/>
      </c>
      <c r="Z71" s="45" t="str">
        <f>IF($AC71&gt;0,INDEX(CASHBACK_RULES!$E$5:$E$304,$AC71)&amp;"","")</f>
        <v/>
      </c>
      <c r="AA71" s="48" t="str">
        <f>IF($AC71&gt;0,IF(ISNUMBER(INDEX(CASHBACK_RULES!$K$5:$K$304,$AC71)),INDEX(CASHBACK_RULES!$K$5:$K$304,$AC71),"∞"),"")</f>
        <v/>
      </c>
      <c r="AB71" s="44" t="str">
        <f>IF(OR($B71="",$D71=""),"",IF($U71="Cancelled","Đã hủy",IF($AC71=0,"Không được hoàn",IF($Q71=0,IF(OR($O71&gt;0,$M71&lt;$L71),"Đã đạt cap","Không được hoàn"),IF(OR($Q71&lt;$O71,$M71&lt;$L71),"Hoàn một phần","Được hoàn")))))</f>
        <v/>
      </c>
      <c r="AC71" s="43">
        <f>IF(OR($B71="",$D71="",$I71="",$L71=""),0,IF($U71="Cancelled",0,IF($W71&lt;&gt;"",IFERROR(IF(INDEX(CASHBACK_RULES!$B$5:$B$304,MATCH($W71,CASHBACK_RULES!$A$5:$A$304,0))=$D71,MATCH($W71,CASHBACK_RULES!$A$5:$A$304,0),0),0),IFERROR(MATCH(1,INDEX((CASHBACK_RULES!$B$5:$B$304=$D71)*(CASHBACK_RULES!$G$5:$G$304=$I71)*(((CASHBACK_RULES!$N$5:$N$304="")+(CASHBACK_RULES!$N$5:$N$304&lt;=$B71))&gt;0)*(((CASHBACK_RULES!$O$5:$O$304="")+(CASHBACK_RULES!$O$5:$O$304&gt;=$B71))&gt;0)*(((CASHBACK_RULES!$M$5:$M$304="")+(CASHBACK_RULES!$M$5:$M$304&lt;=$L71))&gt;0),0),0),0))))</f>
        <v>0</v>
      </c>
      <c r="AD71" s="51" t="str">
        <f>IF(OR($B71="",$D71=""),"",IFERROR(IF(INDEX(CARDS!$H$5:$H$34,MATCH($D71,CARDS!$A$5:$A$34,0))="","",IF(DAY($B71)&lt;=INDEX(CARDS!$H$5:$H$34,MATCH($D71,CARDS!$A$5:$A$34,0)),DATE(YEAR($B71),MONTH($B71),MIN(INDEX(CARDS!$H$5:$H$34,MATCH($D71,CARDS!$A$5:$A$34,0)),DAY(EOMONTH($B71,0)))),DATE(YEAR($B71),MONTH($B71)+1,MIN(INDEX(CARDS!$H$5:$H$34,MATCH($D71,CARDS!$A$5:$A$34,0)),DAY(EOMONTH($B71,1)))))),""))</f>
        <v/>
      </c>
      <c r="AE71" s="52" t="str">
        <f>IF($C71="","",$C71&amp;"|"&amp;COUNTIF($C$5:$C71,$C71))</f>
        <v/>
      </c>
      <c r="AF71" s="53">
        <f>IF($AC71&gt;0,SUMIFS(Q$4:Q70,$D$4:$D70,$D71,$Z$4:$Z70,$Z71,$C$4:$C70,$C71),0)</f>
        <v>0</v>
      </c>
      <c r="AG71" s="53">
        <f>IF($AC71&gt;0,SUMIFS(Q$4:Q70,$D$4:$D70,$D71,$C$4:$C70,$C71),0)</f>
        <v>0</v>
      </c>
      <c r="AH71" s="53">
        <f>IF($AC71&gt;0,SUMIFS(M$4:M70,$D$4:$D70,$D71,$Z$4:$Z70,$Z71,$C$4:$C70,$C71),0)</f>
        <v>0</v>
      </c>
      <c r="AI71" s="43">
        <f>IF(OR($C71="",$I71=""),0,IF(COUNTIFS($C$5:$C71,$C71,$I$5:$I71,$I71)=1,1,0))</f>
        <v>0</v>
      </c>
      <c r="AJ71" s="43" t="str">
        <f>IF($AI71=1,SUMIFS($AI$4:$AI70,$C$4:$C70,$C71)+1,"")</f>
        <v/>
      </c>
      <c r="AK71" s="43">
        <f>IF(OR($C71="",$K71=""),0,IF(COUNTIFS($C$5:$C71,$C71,$K$5:$K71,$K71)=1,1,0))</f>
        <v>0</v>
      </c>
      <c r="AL71" s="43" t="str">
        <f>IF($AK71=1,SUMIFS($AK$4:$AK70,$C$4:$C70,$C71)+1,"")</f>
        <v/>
      </c>
      <c r="AM71" s="43">
        <f>IF(OR($C71="",$G71=""),0,IF(COUNTIFS($C$5:$C71,$C71,$G$5:$G71,$G71)=1,1,0))</f>
        <v>0</v>
      </c>
      <c r="AN71" s="43" t="str">
        <f>IF($AM71=1,SUMIFS($AM$4:$AM70,$C$4:$C70,$C71)+1,"")</f>
        <v/>
      </c>
    </row>
    <row r="72">
      <c r="A72" s="44" t="str">
        <f>IF(OR($B72="",$D72=""),"","TX"&amp;TEXT(ROW()-4,"0000"))</f>
        <v/>
      </c>
      <c r="B72" s="42" t="n"/>
      <c r="C72" s="47" t="str">
        <f>IF($B72="","",YEAR($B72)*100+MONTH($B72))</f>
        <v/>
      </c>
      <c r="D72" s="37" t="n"/>
      <c r="E72" s="45" t="str">
        <f>IF($D72="","",IFERROR(INDEX(CARDS!$B$5:$B$34,MATCH($D72,CARDS!$A$5:$A$34,0)),"⚠ Card ID?"))</f>
        <v/>
      </c>
      <c r="F72" s="45" t="str">
        <f>IF($D72="","",IFERROR(INDEX(CARDS!$C$5:$C$34,MATCH($D72,CARDS!$A$5:$A$34,0)),"⚠ Card ID?"))</f>
        <v/>
      </c>
      <c r="G72" s="37" t="n"/>
      <c r="H72" s="37" t="n"/>
      <c r="I72" s="41" t="n"/>
      <c r="J72" s="45" t="str">
        <f>IF($I72="","",IFERROR(INDEX(MCC_MASTER!$B$5:$B$504,MATCH($I72,MCC_MASTER!$A$5:$A$504,0)),"⚠ MCC chưa có"))</f>
        <v/>
      </c>
      <c r="K72" s="45" t="str">
        <f>IF($I72="","",IFERROR(IF(INDEX(MCC_MASTER!$C$5:$C$504,MATCH($I72,MCC_MASTER!$A$5:$A$504,0))="","Chưa phân loại",INDEX(MCC_MASTER!$C$5:$C$504,MATCH($I72,MCC_MASTER!$A$5:$A$504,0))),"Chưa phân loại"))</f>
        <v/>
      </c>
      <c r="L72" s="40" t="n"/>
      <c r="M72" s="48" t="str">
        <f>IF(OR($B72="",$D72=""),"",IF($AC72=0,0,IF(ISNUMBER(INDEX(CASHBACK_RULES!$L$5:$L$304,$AC72)),MAX(0,MIN($L72,INDEX(CASHBACK_RULES!$L$5:$L$304,$AC72)-$AH72)),MAX(0,$L72))))</f>
        <v/>
      </c>
      <c r="N72" s="49" t="str">
        <f>IF(OR($B72="",$D72=""),"",IF($AC72&gt;0,INDEX(CASHBACK_RULES!$I$5:$I$304,$AC72),0))</f>
        <v/>
      </c>
      <c r="O72" s="48" t="str">
        <f>IF(OR($B72="",$D72=""),"",ROUND($M72*$N72,0))</f>
        <v/>
      </c>
      <c r="P72" s="48" t="str">
        <f>IF($AC72&gt;0,IF(ISNUMBER(INDEX(CASHBACK_RULES!$J$5:$J$304,$AC72)),INDEX(CASHBACK_RULES!$J$5:$J$304,$AC72),"∞"),"")</f>
        <v/>
      </c>
      <c r="Q72" s="48" t="str">
        <f>IF(OR($B72="",$D72=""),"",IF($AC72=0,0,MAX(0,MIN($O72,IF(ISNUMBER($P72),$P72-$AF72,1E+15),IF(ISNUMBER($AA72),$AA72-$AG72,1E+15)))))</f>
        <v/>
      </c>
      <c r="R72" s="48" t="str">
        <f>IF(OR($B72="",$D72=""),"",IF($AC72=0,"",IF(AND(NOT(ISNUMBER($P72)),NOT(ISNUMBER($AA72))),"∞",MAX(0,MIN(IF(ISNUMBER($P72),$P72-$AF72-$Q72,1E+15),IF(ISNUMBER($AA72),$AA72-$AG72-$Q72,1E+15))))))</f>
        <v/>
      </c>
      <c r="S72" s="47" t="str">
        <f>IF($AD72="","",YEAR($AD72)*100+MONTH($AD72))</f>
        <v/>
      </c>
      <c r="T72" s="50" t="str">
        <f>IF($AD72="","",IFERROR(IF(INDEX(CARDS!$I$5:$I$34,MATCH($D72,CARDS!$A$5:$A$34,0))="","",IF(INDEX(CARDS!$I$5:$I$34,MATCH($D72,CARDS!$A$5:$A$34,0))&gt;INDEX(CARDS!$H$5:$H$34,MATCH($D72,CARDS!$A$5:$A$34,0)),DATE(YEAR($AD72),MONTH($AD72),MIN(INDEX(CARDS!$I$5:$I$34,MATCH($D72,CARDS!$A$5:$A$34,0)),DAY(EOMONTH($AD72,0)))),DATE(YEAR($AD72),MONTH($AD72)+1,MIN(INDEX(CARDS!$I$5:$I$34,MATCH($D72,CARDS!$A$5:$A$34,0)),DAY(EOMONTH($AD72,1)))))),""))</f>
        <v/>
      </c>
      <c r="U72" s="38" t="n"/>
      <c r="V72" s="37" t="n"/>
      <c r="W72" s="38" t="n"/>
      <c r="X72" s="38" t="n"/>
      <c r="Y72" s="44" t="str">
        <f>IF($AC72&gt;0,INDEX(CASHBACK_RULES!$A$5:$A$304,$AC72),"")</f>
        <v/>
      </c>
      <c r="Z72" s="45" t="str">
        <f>IF($AC72&gt;0,INDEX(CASHBACK_RULES!$E$5:$E$304,$AC72)&amp;"","")</f>
        <v/>
      </c>
      <c r="AA72" s="48" t="str">
        <f>IF($AC72&gt;0,IF(ISNUMBER(INDEX(CASHBACK_RULES!$K$5:$K$304,$AC72)),INDEX(CASHBACK_RULES!$K$5:$K$304,$AC72),"∞"),"")</f>
        <v/>
      </c>
      <c r="AB72" s="44" t="str">
        <f>IF(OR($B72="",$D72=""),"",IF($U72="Cancelled","Đã hủy",IF($AC72=0,"Không được hoàn",IF($Q72=0,IF(OR($O72&gt;0,$M72&lt;$L72),"Đã đạt cap","Không được hoàn"),IF(OR($Q72&lt;$O72,$M72&lt;$L72),"Hoàn một phần","Được hoàn")))))</f>
        <v/>
      </c>
      <c r="AC72" s="43">
        <f>IF(OR($B72="",$D72="",$I72="",$L72=""),0,IF($U72="Cancelled",0,IF($W72&lt;&gt;"",IFERROR(IF(INDEX(CASHBACK_RULES!$B$5:$B$304,MATCH($W72,CASHBACK_RULES!$A$5:$A$304,0))=$D72,MATCH($W72,CASHBACK_RULES!$A$5:$A$304,0),0),0),IFERROR(MATCH(1,INDEX((CASHBACK_RULES!$B$5:$B$304=$D72)*(CASHBACK_RULES!$G$5:$G$304=$I72)*(((CASHBACK_RULES!$N$5:$N$304="")+(CASHBACK_RULES!$N$5:$N$304&lt;=$B72))&gt;0)*(((CASHBACK_RULES!$O$5:$O$304="")+(CASHBACK_RULES!$O$5:$O$304&gt;=$B72))&gt;0)*(((CASHBACK_RULES!$M$5:$M$304="")+(CASHBACK_RULES!$M$5:$M$304&lt;=$L72))&gt;0),0),0),0))))</f>
        <v>0</v>
      </c>
      <c r="AD72" s="51" t="str">
        <f>IF(OR($B72="",$D72=""),"",IFERROR(IF(INDEX(CARDS!$H$5:$H$34,MATCH($D72,CARDS!$A$5:$A$34,0))="","",IF(DAY($B72)&lt;=INDEX(CARDS!$H$5:$H$34,MATCH($D72,CARDS!$A$5:$A$34,0)),DATE(YEAR($B72),MONTH($B72),MIN(INDEX(CARDS!$H$5:$H$34,MATCH($D72,CARDS!$A$5:$A$34,0)),DAY(EOMONTH($B72,0)))),DATE(YEAR($B72),MONTH($B72)+1,MIN(INDEX(CARDS!$H$5:$H$34,MATCH($D72,CARDS!$A$5:$A$34,0)),DAY(EOMONTH($B72,1)))))),""))</f>
        <v/>
      </c>
      <c r="AE72" s="52" t="str">
        <f>IF($C72="","",$C72&amp;"|"&amp;COUNTIF($C$5:$C72,$C72))</f>
        <v/>
      </c>
      <c r="AF72" s="53">
        <f>IF($AC72&gt;0,SUMIFS(Q$4:Q71,$D$4:$D71,$D72,$Z$4:$Z71,$Z72,$C$4:$C71,$C72),0)</f>
        <v>0</v>
      </c>
      <c r="AG72" s="53">
        <f>IF($AC72&gt;0,SUMIFS(Q$4:Q71,$D$4:$D71,$D72,$C$4:$C71,$C72),0)</f>
        <v>0</v>
      </c>
      <c r="AH72" s="53">
        <f>IF($AC72&gt;0,SUMIFS(M$4:M71,$D$4:$D71,$D72,$Z$4:$Z71,$Z72,$C$4:$C71,$C72),0)</f>
        <v>0</v>
      </c>
      <c r="AI72" s="43">
        <f>IF(OR($C72="",$I72=""),0,IF(COUNTIFS($C$5:$C72,$C72,$I$5:$I72,$I72)=1,1,0))</f>
        <v>0</v>
      </c>
      <c r="AJ72" s="43" t="str">
        <f>IF($AI72=1,SUMIFS($AI$4:$AI71,$C$4:$C71,$C72)+1,"")</f>
        <v/>
      </c>
      <c r="AK72" s="43">
        <f>IF(OR($C72="",$K72=""),0,IF(COUNTIFS($C$5:$C72,$C72,$K$5:$K72,$K72)=1,1,0))</f>
        <v>0</v>
      </c>
      <c r="AL72" s="43" t="str">
        <f>IF($AK72=1,SUMIFS($AK$4:$AK71,$C$4:$C71,$C72)+1,"")</f>
        <v/>
      </c>
      <c r="AM72" s="43">
        <f>IF(OR($C72="",$G72=""),0,IF(COUNTIFS($C$5:$C72,$C72,$G$5:$G72,$G72)=1,1,0))</f>
        <v>0</v>
      </c>
      <c r="AN72" s="43" t="str">
        <f>IF($AM72=1,SUMIFS($AM$4:$AM71,$C$4:$C71,$C72)+1,"")</f>
        <v/>
      </c>
    </row>
    <row r="73">
      <c r="A73" s="44" t="str">
        <f>IF(OR($B73="",$D73=""),"","TX"&amp;TEXT(ROW()-4,"0000"))</f>
        <v/>
      </c>
      <c r="B73" s="42" t="n"/>
      <c r="C73" s="47" t="str">
        <f>IF($B73="","",YEAR($B73)*100+MONTH($B73))</f>
        <v/>
      </c>
      <c r="D73" s="37" t="n"/>
      <c r="E73" s="45" t="str">
        <f>IF($D73="","",IFERROR(INDEX(CARDS!$B$5:$B$34,MATCH($D73,CARDS!$A$5:$A$34,0)),"⚠ Card ID?"))</f>
        <v/>
      </c>
      <c r="F73" s="45" t="str">
        <f>IF($D73="","",IFERROR(INDEX(CARDS!$C$5:$C$34,MATCH($D73,CARDS!$A$5:$A$34,0)),"⚠ Card ID?"))</f>
        <v/>
      </c>
      <c r="G73" s="37" t="n"/>
      <c r="H73" s="37" t="n"/>
      <c r="I73" s="41" t="n"/>
      <c r="J73" s="45" t="str">
        <f>IF($I73="","",IFERROR(INDEX(MCC_MASTER!$B$5:$B$504,MATCH($I73,MCC_MASTER!$A$5:$A$504,0)),"⚠ MCC chưa có"))</f>
        <v/>
      </c>
      <c r="K73" s="45" t="str">
        <f>IF($I73="","",IFERROR(IF(INDEX(MCC_MASTER!$C$5:$C$504,MATCH($I73,MCC_MASTER!$A$5:$A$504,0))="","Chưa phân loại",INDEX(MCC_MASTER!$C$5:$C$504,MATCH($I73,MCC_MASTER!$A$5:$A$504,0))),"Chưa phân loại"))</f>
        <v/>
      </c>
      <c r="L73" s="40" t="n"/>
      <c r="M73" s="48" t="str">
        <f>IF(OR($B73="",$D73=""),"",IF($AC73=0,0,IF(ISNUMBER(INDEX(CASHBACK_RULES!$L$5:$L$304,$AC73)),MAX(0,MIN($L73,INDEX(CASHBACK_RULES!$L$5:$L$304,$AC73)-$AH73)),MAX(0,$L73))))</f>
        <v/>
      </c>
      <c r="N73" s="49" t="str">
        <f>IF(OR($B73="",$D73=""),"",IF($AC73&gt;0,INDEX(CASHBACK_RULES!$I$5:$I$304,$AC73),0))</f>
        <v/>
      </c>
      <c r="O73" s="48" t="str">
        <f>IF(OR($B73="",$D73=""),"",ROUND($M73*$N73,0))</f>
        <v/>
      </c>
      <c r="P73" s="48" t="str">
        <f>IF($AC73&gt;0,IF(ISNUMBER(INDEX(CASHBACK_RULES!$J$5:$J$304,$AC73)),INDEX(CASHBACK_RULES!$J$5:$J$304,$AC73),"∞"),"")</f>
        <v/>
      </c>
      <c r="Q73" s="48" t="str">
        <f>IF(OR($B73="",$D73=""),"",IF($AC73=0,0,MAX(0,MIN($O73,IF(ISNUMBER($P73),$P73-$AF73,1E+15),IF(ISNUMBER($AA73),$AA73-$AG73,1E+15)))))</f>
        <v/>
      </c>
      <c r="R73" s="48" t="str">
        <f>IF(OR($B73="",$D73=""),"",IF($AC73=0,"",IF(AND(NOT(ISNUMBER($P73)),NOT(ISNUMBER($AA73))),"∞",MAX(0,MIN(IF(ISNUMBER($P73),$P73-$AF73-$Q73,1E+15),IF(ISNUMBER($AA73),$AA73-$AG73-$Q73,1E+15))))))</f>
        <v/>
      </c>
      <c r="S73" s="47" t="str">
        <f>IF($AD73="","",YEAR($AD73)*100+MONTH($AD73))</f>
        <v/>
      </c>
      <c r="T73" s="50" t="str">
        <f>IF($AD73="","",IFERROR(IF(INDEX(CARDS!$I$5:$I$34,MATCH($D73,CARDS!$A$5:$A$34,0))="","",IF(INDEX(CARDS!$I$5:$I$34,MATCH($D73,CARDS!$A$5:$A$34,0))&gt;INDEX(CARDS!$H$5:$H$34,MATCH($D73,CARDS!$A$5:$A$34,0)),DATE(YEAR($AD73),MONTH($AD73),MIN(INDEX(CARDS!$I$5:$I$34,MATCH($D73,CARDS!$A$5:$A$34,0)),DAY(EOMONTH($AD73,0)))),DATE(YEAR($AD73),MONTH($AD73)+1,MIN(INDEX(CARDS!$I$5:$I$34,MATCH($D73,CARDS!$A$5:$A$34,0)),DAY(EOMONTH($AD73,1)))))),""))</f>
        <v/>
      </c>
      <c r="U73" s="38" t="n"/>
      <c r="V73" s="37" t="n"/>
      <c r="W73" s="38" t="n"/>
      <c r="X73" s="38" t="n"/>
      <c r="Y73" s="44" t="str">
        <f>IF($AC73&gt;0,INDEX(CASHBACK_RULES!$A$5:$A$304,$AC73),"")</f>
        <v/>
      </c>
      <c r="Z73" s="45" t="str">
        <f>IF($AC73&gt;0,INDEX(CASHBACK_RULES!$E$5:$E$304,$AC73)&amp;"","")</f>
        <v/>
      </c>
      <c r="AA73" s="48" t="str">
        <f>IF($AC73&gt;0,IF(ISNUMBER(INDEX(CASHBACK_RULES!$K$5:$K$304,$AC73)),INDEX(CASHBACK_RULES!$K$5:$K$304,$AC73),"∞"),"")</f>
        <v/>
      </c>
      <c r="AB73" s="44" t="str">
        <f>IF(OR($B73="",$D73=""),"",IF($U73="Cancelled","Đã hủy",IF($AC73=0,"Không được hoàn",IF($Q73=0,IF(OR($O73&gt;0,$M73&lt;$L73),"Đã đạt cap","Không được hoàn"),IF(OR($Q73&lt;$O73,$M73&lt;$L73),"Hoàn một phần","Được hoàn")))))</f>
        <v/>
      </c>
      <c r="AC73" s="43">
        <f>IF(OR($B73="",$D73="",$I73="",$L73=""),0,IF($U73="Cancelled",0,IF($W73&lt;&gt;"",IFERROR(IF(INDEX(CASHBACK_RULES!$B$5:$B$304,MATCH($W73,CASHBACK_RULES!$A$5:$A$304,0))=$D73,MATCH($W73,CASHBACK_RULES!$A$5:$A$304,0),0),0),IFERROR(MATCH(1,INDEX((CASHBACK_RULES!$B$5:$B$304=$D73)*(CASHBACK_RULES!$G$5:$G$304=$I73)*(((CASHBACK_RULES!$N$5:$N$304="")+(CASHBACK_RULES!$N$5:$N$304&lt;=$B73))&gt;0)*(((CASHBACK_RULES!$O$5:$O$304="")+(CASHBACK_RULES!$O$5:$O$304&gt;=$B73))&gt;0)*(((CASHBACK_RULES!$M$5:$M$304="")+(CASHBACK_RULES!$M$5:$M$304&lt;=$L73))&gt;0),0),0),0))))</f>
        <v>0</v>
      </c>
      <c r="AD73" s="51" t="str">
        <f>IF(OR($B73="",$D73=""),"",IFERROR(IF(INDEX(CARDS!$H$5:$H$34,MATCH($D73,CARDS!$A$5:$A$34,0))="","",IF(DAY($B73)&lt;=INDEX(CARDS!$H$5:$H$34,MATCH($D73,CARDS!$A$5:$A$34,0)),DATE(YEAR($B73),MONTH($B73),MIN(INDEX(CARDS!$H$5:$H$34,MATCH($D73,CARDS!$A$5:$A$34,0)),DAY(EOMONTH($B73,0)))),DATE(YEAR($B73),MONTH($B73)+1,MIN(INDEX(CARDS!$H$5:$H$34,MATCH($D73,CARDS!$A$5:$A$34,0)),DAY(EOMONTH($B73,1)))))),""))</f>
        <v/>
      </c>
      <c r="AE73" s="52" t="str">
        <f>IF($C73="","",$C73&amp;"|"&amp;COUNTIF($C$5:$C73,$C73))</f>
        <v/>
      </c>
      <c r="AF73" s="53">
        <f>IF($AC73&gt;0,SUMIFS(Q$4:Q72,$D$4:$D72,$D73,$Z$4:$Z72,$Z73,$C$4:$C72,$C73),0)</f>
        <v>0</v>
      </c>
      <c r="AG73" s="53">
        <f>IF($AC73&gt;0,SUMIFS(Q$4:Q72,$D$4:$D72,$D73,$C$4:$C72,$C73),0)</f>
        <v>0</v>
      </c>
      <c r="AH73" s="53">
        <f>IF($AC73&gt;0,SUMIFS(M$4:M72,$D$4:$D72,$D73,$Z$4:$Z72,$Z73,$C$4:$C72,$C73),0)</f>
        <v>0</v>
      </c>
      <c r="AI73" s="43">
        <f>IF(OR($C73="",$I73=""),0,IF(COUNTIFS($C$5:$C73,$C73,$I$5:$I73,$I73)=1,1,0))</f>
        <v>0</v>
      </c>
      <c r="AJ73" s="43" t="str">
        <f>IF($AI73=1,SUMIFS($AI$4:$AI72,$C$4:$C72,$C73)+1,"")</f>
        <v/>
      </c>
      <c r="AK73" s="43">
        <f>IF(OR($C73="",$K73=""),0,IF(COUNTIFS($C$5:$C73,$C73,$K$5:$K73,$K73)=1,1,0))</f>
        <v>0</v>
      </c>
      <c r="AL73" s="43" t="str">
        <f>IF($AK73=1,SUMIFS($AK$4:$AK72,$C$4:$C72,$C73)+1,"")</f>
        <v/>
      </c>
      <c r="AM73" s="43">
        <f>IF(OR($C73="",$G73=""),0,IF(COUNTIFS($C$5:$C73,$C73,$G$5:$G73,$G73)=1,1,0))</f>
        <v>0</v>
      </c>
      <c r="AN73" s="43" t="str">
        <f>IF($AM73=1,SUMIFS($AM$4:$AM72,$C$4:$C72,$C73)+1,"")</f>
        <v/>
      </c>
    </row>
    <row r="74">
      <c r="A74" s="44" t="str">
        <f>IF(OR($B74="",$D74=""),"","TX"&amp;TEXT(ROW()-4,"0000"))</f>
        <v/>
      </c>
      <c r="B74" s="42" t="n"/>
      <c r="C74" s="47" t="str">
        <f>IF($B74="","",YEAR($B74)*100+MONTH($B74))</f>
        <v/>
      </c>
      <c r="D74" s="37" t="n"/>
      <c r="E74" s="45" t="str">
        <f>IF($D74="","",IFERROR(INDEX(CARDS!$B$5:$B$34,MATCH($D74,CARDS!$A$5:$A$34,0)),"⚠ Card ID?"))</f>
        <v/>
      </c>
      <c r="F74" s="45" t="str">
        <f>IF($D74="","",IFERROR(INDEX(CARDS!$C$5:$C$34,MATCH($D74,CARDS!$A$5:$A$34,0)),"⚠ Card ID?"))</f>
        <v/>
      </c>
      <c r="G74" s="37" t="n"/>
      <c r="H74" s="37" t="n"/>
      <c r="I74" s="41" t="n"/>
      <c r="J74" s="45" t="str">
        <f>IF($I74="","",IFERROR(INDEX(MCC_MASTER!$B$5:$B$504,MATCH($I74,MCC_MASTER!$A$5:$A$504,0)),"⚠ MCC chưa có"))</f>
        <v/>
      </c>
      <c r="K74" s="45" t="str">
        <f>IF($I74="","",IFERROR(IF(INDEX(MCC_MASTER!$C$5:$C$504,MATCH($I74,MCC_MASTER!$A$5:$A$504,0))="","Chưa phân loại",INDEX(MCC_MASTER!$C$5:$C$504,MATCH($I74,MCC_MASTER!$A$5:$A$504,0))),"Chưa phân loại"))</f>
        <v/>
      </c>
      <c r="L74" s="40" t="n"/>
      <c r="M74" s="48" t="str">
        <f>IF(OR($B74="",$D74=""),"",IF($AC74=0,0,IF(ISNUMBER(INDEX(CASHBACK_RULES!$L$5:$L$304,$AC74)),MAX(0,MIN($L74,INDEX(CASHBACK_RULES!$L$5:$L$304,$AC74)-$AH74)),MAX(0,$L74))))</f>
        <v/>
      </c>
      <c r="N74" s="49" t="str">
        <f>IF(OR($B74="",$D74=""),"",IF($AC74&gt;0,INDEX(CASHBACK_RULES!$I$5:$I$304,$AC74),0))</f>
        <v/>
      </c>
      <c r="O74" s="48" t="str">
        <f>IF(OR($B74="",$D74=""),"",ROUND($M74*$N74,0))</f>
        <v/>
      </c>
      <c r="P74" s="48" t="str">
        <f>IF($AC74&gt;0,IF(ISNUMBER(INDEX(CASHBACK_RULES!$J$5:$J$304,$AC74)),INDEX(CASHBACK_RULES!$J$5:$J$304,$AC74),"∞"),"")</f>
        <v/>
      </c>
      <c r="Q74" s="48" t="str">
        <f>IF(OR($B74="",$D74=""),"",IF($AC74=0,0,MAX(0,MIN($O74,IF(ISNUMBER($P74),$P74-$AF74,1E+15),IF(ISNUMBER($AA74),$AA74-$AG74,1E+15)))))</f>
        <v/>
      </c>
      <c r="R74" s="48" t="str">
        <f>IF(OR($B74="",$D74=""),"",IF($AC74=0,"",IF(AND(NOT(ISNUMBER($P74)),NOT(ISNUMBER($AA74))),"∞",MAX(0,MIN(IF(ISNUMBER($P74),$P74-$AF74-$Q74,1E+15),IF(ISNUMBER($AA74),$AA74-$AG74-$Q74,1E+15))))))</f>
        <v/>
      </c>
      <c r="S74" s="47" t="str">
        <f>IF($AD74="","",YEAR($AD74)*100+MONTH($AD74))</f>
        <v/>
      </c>
      <c r="T74" s="50" t="str">
        <f>IF($AD74="","",IFERROR(IF(INDEX(CARDS!$I$5:$I$34,MATCH($D74,CARDS!$A$5:$A$34,0))="","",IF(INDEX(CARDS!$I$5:$I$34,MATCH($D74,CARDS!$A$5:$A$34,0))&gt;INDEX(CARDS!$H$5:$H$34,MATCH($D74,CARDS!$A$5:$A$34,0)),DATE(YEAR($AD74),MONTH($AD74),MIN(INDEX(CARDS!$I$5:$I$34,MATCH($D74,CARDS!$A$5:$A$34,0)),DAY(EOMONTH($AD74,0)))),DATE(YEAR($AD74),MONTH($AD74)+1,MIN(INDEX(CARDS!$I$5:$I$34,MATCH($D74,CARDS!$A$5:$A$34,0)),DAY(EOMONTH($AD74,1)))))),""))</f>
        <v/>
      </c>
      <c r="U74" s="38" t="n"/>
      <c r="V74" s="37" t="n"/>
      <c r="W74" s="38" t="n"/>
      <c r="X74" s="38" t="n"/>
      <c r="Y74" s="44" t="str">
        <f>IF($AC74&gt;0,INDEX(CASHBACK_RULES!$A$5:$A$304,$AC74),"")</f>
        <v/>
      </c>
      <c r="Z74" s="45" t="str">
        <f>IF($AC74&gt;0,INDEX(CASHBACK_RULES!$E$5:$E$304,$AC74)&amp;"","")</f>
        <v/>
      </c>
      <c r="AA74" s="48" t="str">
        <f>IF($AC74&gt;0,IF(ISNUMBER(INDEX(CASHBACK_RULES!$K$5:$K$304,$AC74)),INDEX(CASHBACK_RULES!$K$5:$K$304,$AC74),"∞"),"")</f>
        <v/>
      </c>
      <c r="AB74" s="44" t="str">
        <f>IF(OR($B74="",$D74=""),"",IF($U74="Cancelled","Đã hủy",IF($AC74=0,"Không được hoàn",IF($Q74=0,IF(OR($O74&gt;0,$M74&lt;$L74),"Đã đạt cap","Không được hoàn"),IF(OR($Q74&lt;$O74,$M74&lt;$L74),"Hoàn một phần","Được hoàn")))))</f>
        <v/>
      </c>
      <c r="AC74" s="43">
        <f>IF(OR($B74="",$D74="",$I74="",$L74=""),0,IF($U74="Cancelled",0,IF($W74&lt;&gt;"",IFERROR(IF(INDEX(CASHBACK_RULES!$B$5:$B$304,MATCH($W74,CASHBACK_RULES!$A$5:$A$304,0))=$D74,MATCH($W74,CASHBACK_RULES!$A$5:$A$304,0),0),0),IFERROR(MATCH(1,INDEX((CASHBACK_RULES!$B$5:$B$304=$D74)*(CASHBACK_RULES!$G$5:$G$304=$I74)*(((CASHBACK_RULES!$N$5:$N$304="")+(CASHBACK_RULES!$N$5:$N$304&lt;=$B74))&gt;0)*(((CASHBACK_RULES!$O$5:$O$304="")+(CASHBACK_RULES!$O$5:$O$304&gt;=$B74))&gt;0)*(((CASHBACK_RULES!$M$5:$M$304="")+(CASHBACK_RULES!$M$5:$M$304&lt;=$L74))&gt;0),0),0),0))))</f>
        <v>0</v>
      </c>
      <c r="AD74" s="51" t="str">
        <f>IF(OR($B74="",$D74=""),"",IFERROR(IF(INDEX(CARDS!$H$5:$H$34,MATCH($D74,CARDS!$A$5:$A$34,0))="","",IF(DAY($B74)&lt;=INDEX(CARDS!$H$5:$H$34,MATCH($D74,CARDS!$A$5:$A$34,0)),DATE(YEAR($B74),MONTH($B74),MIN(INDEX(CARDS!$H$5:$H$34,MATCH($D74,CARDS!$A$5:$A$34,0)),DAY(EOMONTH($B74,0)))),DATE(YEAR($B74),MONTH($B74)+1,MIN(INDEX(CARDS!$H$5:$H$34,MATCH($D74,CARDS!$A$5:$A$34,0)),DAY(EOMONTH($B74,1)))))),""))</f>
        <v/>
      </c>
      <c r="AE74" s="52" t="str">
        <f>IF($C74="","",$C74&amp;"|"&amp;COUNTIF($C$5:$C74,$C74))</f>
        <v/>
      </c>
      <c r="AF74" s="53">
        <f>IF($AC74&gt;0,SUMIFS(Q$4:Q73,$D$4:$D73,$D74,$Z$4:$Z73,$Z74,$C$4:$C73,$C74),0)</f>
        <v>0</v>
      </c>
      <c r="AG74" s="53">
        <f>IF($AC74&gt;0,SUMIFS(Q$4:Q73,$D$4:$D73,$D74,$C$4:$C73,$C74),0)</f>
        <v>0</v>
      </c>
      <c r="AH74" s="53">
        <f>IF($AC74&gt;0,SUMIFS(M$4:M73,$D$4:$D73,$D74,$Z$4:$Z73,$Z74,$C$4:$C73,$C74),0)</f>
        <v>0</v>
      </c>
      <c r="AI74" s="43">
        <f>IF(OR($C74="",$I74=""),0,IF(COUNTIFS($C$5:$C74,$C74,$I$5:$I74,$I74)=1,1,0))</f>
        <v>0</v>
      </c>
      <c r="AJ74" s="43" t="str">
        <f>IF($AI74=1,SUMIFS($AI$4:$AI73,$C$4:$C73,$C74)+1,"")</f>
        <v/>
      </c>
      <c r="AK74" s="43">
        <f>IF(OR($C74="",$K74=""),0,IF(COUNTIFS($C$5:$C74,$C74,$K$5:$K74,$K74)=1,1,0))</f>
        <v>0</v>
      </c>
      <c r="AL74" s="43" t="str">
        <f>IF($AK74=1,SUMIFS($AK$4:$AK73,$C$4:$C73,$C74)+1,"")</f>
        <v/>
      </c>
      <c r="AM74" s="43">
        <f>IF(OR($C74="",$G74=""),0,IF(COUNTIFS($C$5:$C74,$C74,$G$5:$G74,$G74)=1,1,0))</f>
        <v>0</v>
      </c>
      <c r="AN74" s="43" t="str">
        <f>IF($AM74=1,SUMIFS($AM$4:$AM73,$C$4:$C73,$C74)+1,"")</f>
        <v/>
      </c>
    </row>
    <row r="75">
      <c r="A75" s="44" t="str">
        <f>IF(OR($B75="",$D75=""),"","TX"&amp;TEXT(ROW()-4,"0000"))</f>
        <v/>
      </c>
      <c r="B75" s="42" t="n"/>
      <c r="C75" s="47" t="str">
        <f>IF($B75="","",YEAR($B75)*100+MONTH($B75))</f>
        <v/>
      </c>
      <c r="D75" s="37" t="n"/>
      <c r="E75" s="45" t="str">
        <f>IF($D75="","",IFERROR(INDEX(CARDS!$B$5:$B$34,MATCH($D75,CARDS!$A$5:$A$34,0)),"⚠ Card ID?"))</f>
        <v/>
      </c>
      <c r="F75" s="45" t="str">
        <f>IF($D75="","",IFERROR(INDEX(CARDS!$C$5:$C$34,MATCH($D75,CARDS!$A$5:$A$34,0)),"⚠ Card ID?"))</f>
        <v/>
      </c>
      <c r="G75" s="37" t="n"/>
      <c r="H75" s="37" t="n"/>
      <c r="I75" s="41" t="n"/>
      <c r="J75" s="45" t="str">
        <f>IF($I75="","",IFERROR(INDEX(MCC_MASTER!$B$5:$B$504,MATCH($I75,MCC_MASTER!$A$5:$A$504,0)),"⚠ MCC chưa có"))</f>
        <v/>
      </c>
      <c r="K75" s="45" t="str">
        <f>IF($I75="","",IFERROR(IF(INDEX(MCC_MASTER!$C$5:$C$504,MATCH($I75,MCC_MASTER!$A$5:$A$504,0))="","Chưa phân loại",INDEX(MCC_MASTER!$C$5:$C$504,MATCH($I75,MCC_MASTER!$A$5:$A$504,0))),"Chưa phân loại"))</f>
        <v/>
      </c>
      <c r="L75" s="40" t="n"/>
      <c r="M75" s="48" t="str">
        <f>IF(OR($B75="",$D75=""),"",IF($AC75=0,0,IF(ISNUMBER(INDEX(CASHBACK_RULES!$L$5:$L$304,$AC75)),MAX(0,MIN($L75,INDEX(CASHBACK_RULES!$L$5:$L$304,$AC75)-$AH75)),MAX(0,$L75))))</f>
        <v/>
      </c>
      <c r="N75" s="49" t="str">
        <f>IF(OR($B75="",$D75=""),"",IF($AC75&gt;0,INDEX(CASHBACK_RULES!$I$5:$I$304,$AC75),0))</f>
        <v/>
      </c>
      <c r="O75" s="48" t="str">
        <f>IF(OR($B75="",$D75=""),"",ROUND($M75*$N75,0))</f>
        <v/>
      </c>
      <c r="P75" s="48" t="str">
        <f>IF($AC75&gt;0,IF(ISNUMBER(INDEX(CASHBACK_RULES!$J$5:$J$304,$AC75)),INDEX(CASHBACK_RULES!$J$5:$J$304,$AC75),"∞"),"")</f>
        <v/>
      </c>
      <c r="Q75" s="48" t="str">
        <f>IF(OR($B75="",$D75=""),"",IF($AC75=0,0,MAX(0,MIN($O75,IF(ISNUMBER($P75),$P75-$AF75,1E+15),IF(ISNUMBER($AA75),$AA75-$AG75,1E+15)))))</f>
        <v/>
      </c>
      <c r="R75" s="48" t="str">
        <f>IF(OR($B75="",$D75=""),"",IF($AC75=0,"",IF(AND(NOT(ISNUMBER($P75)),NOT(ISNUMBER($AA75))),"∞",MAX(0,MIN(IF(ISNUMBER($P75),$P75-$AF75-$Q75,1E+15),IF(ISNUMBER($AA75),$AA75-$AG75-$Q75,1E+15))))))</f>
        <v/>
      </c>
      <c r="S75" s="47" t="str">
        <f>IF($AD75="","",YEAR($AD75)*100+MONTH($AD75))</f>
        <v/>
      </c>
      <c r="T75" s="50" t="str">
        <f>IF($AD75="","",IFERROR(IF(INDEX(CARDS!$I$5:$I$34,MATCH($D75,CARDS!$A$5:$A$34,0))="","",IF(INDEX(CARDS!$I$5:$I$34,MATCH($D75,CARDS!$A$5:$A$34,0))&gt;INDEX(CARDS!$H$5:$H$34,MATCH($D75,CARDS!$A$5:$A$34,0)),DATE(YEAR($AD75),MONTH($AD75),MIN(INDEX(CARDS!$I$5:$I$34,MATCH($D75,CARDS!$A$5:$A$34,0)),DAY(EOMONTH($AD75,0)))),DATE(YEAR($AD75),MONTH($AD75)+1,MIN(INDEX(CARDS!$I$5:$I$34,MATCH($D75,CARDS!$A$5:$A$34,0)),DAY(EOMONTH($AD75,1)))))),""))</f>
        <v/>
      </c>
      <c r="U75" s="38" t="n"/>
      <c r="V75" s="37" t="n"/>
      <c r="W75" s="38" t="n"/>
      <c r="X75" s="38" t="n"/>
      <c r="Y75" s="44" t="str">
        <f>IF($AC75&gt;0,INDEX(CASHBACK_RULES!$A$5:$A$304,$AC75),"")</f>
        <v/>
      </c>
      <c r="Z75" s="45" t="str">
        <f>IF($AC75&gt;0,INDEX(CASHBACK_RULES!$E$5:$E$304,$AC75)&amp;"","")</f>
        <v/>
      </c>
      <c r="AA75" s="48" t="str">
        <f>IF($AC75&gt;0,IF(ISNUMBER(INDEX(CASHBACK_RULES!$K$5:$K$304,$AC75)),INDEX(CASHBACK_RULES!$K$5:$K$304,$AC75),"∞"),"")</f>
        <v/>
      </c>
      <c r="AB75" s="44" t="str">
        <f>IF(OR($B75="",$D75=""),"",IF($U75="Cancelled","Đã hủy",IF($AC75=0,"Không được hoàn",IF($Q75=0,IF(OR($O75&gt;0,$M75&lt;$L75),"Đã đạt cap","Không được hoàn"),IF(OR($Q75&lt;$O75,$M75&lt;$L75),"Hoàn một phần","Được hoàn")))))</f>
        <v/>
      </c>
      <c r="AC75" s="43">
        <f>IF(OR($B75="",$D75="",$I75="",$L75=""),0,IF($U75="Cancelled",0,IF($W75&lt;&gt;"",IFERROR(IF(INDEX(CASHBACK_RULES!$B$5:$B$304,MATCH($W75,CASHBACK_RULES!$A$5:$A$304,0))=$D75,MATCH($W75,CASHBACK_RULES!$A$5:$A$304,0),0),0),IFERROR(MATCH(1,INDEX((CASHBACK_RULES!$B$5:$B$304=$D75)*(CASHBACK_RULES!$G$5:$G$304=$I75)*(((CASHBACK_RULES!$N$5:$N$304="")+(CASHBACK_RULES!$N$5:$N$304&lt;=$B75))&gt;0)*(((CASHBACK_RULES!$O$5:$O$304="")+(CASHBACK_RULES!$O$5:$O$304&gt;=$B75))&gt;0)*(((CASHBACK_RULES!$M$5:$M$304="")+(CASHBACK_RULES!$M$5:$M$304&lt;=$L75))&gt;0),0),0),0))))</f>
        <v>0</v>
      </c>
      <c r="AD75" s="51" t="str">
        <f>IF(OR($B75="",$D75=""),"",IFERROR(IF(INDEX(CARDS!$H$5:$H$34,MATCH($D75,CARDS!$A$5:$A$34,0))="","",IF(DAY($B75)&lt;=INDEX(CARDS!$H$5:$H$34,MATCH($D75,CARDS!$A$5:$A$34,0)),DATE(YEAR($B75),MONTH($B75),MIN(INDEX(CARDS!$H$5:$H$34,MATCH($D75,CARDS!$A$5:$A$34,0)),DAY(EOMONTH($B75,0)))),DATE(YEAR($B75),MONTH($B75)+1,MIN(INDEX(CARDS!$H$5:$H$34,MATCH($D75,CARDS!$A$5:$A$34,0)),DAY(EOMONTH($B75,1)))))),""))</f>
        <v/>
      </c>
      <c r="AE75" s="52" t="str">
        <f>IF($C75="","",$C75&amp;"|"&amp;COUNTIF($C$5:$C75,$C75))</f>
        <v/>
      </c>
      <c r="AF75" s="53">
        <f>IF($AC75&gt;0,SUMIFS(Q$4:Q74,$D$4:$D74,$D75,$Z$4:$Z74,$Z75,$C$4:$C74,$C75),0)</f>
        <v>0</v>
      </c>
      <c r="AG75" s="53">
        <f>IF($AC75&gt;0,SUMIFS(Q$4:Q74,$D$4:$D74,$D75,$C$4:$C74,$C75),0)</f>
        <v>0</v>
      </c>
      <c r="AH75" s="53">
        <f>IF($AC75&gt;0,SUMIFS(M$4:M74,$D$4:$D74,$D75,$Z$4:$Z74,$Z75,$C$4:$C74,$C75),0)</f>
        <v>0</v>
      </c>
      <c r="AI75" s="43">
        <f>IF(OR($C75="",$I75=""),0,IF(COUNTIFS($C$5:$C75,$C75,$I$5:$I75,$I75)=1,1,0))</f>
        <v>0</v>
      </c>
      <c r="AJ75" s="43" t="str">
        <f>IF($AI75=1,SUMIFS($AI$4:$AI74,$C$4:$C74,$C75)+1,"")</f>
        <v/>
      </c>
      <c r="AK75" s="43">
        <f>IF(OR($C75="",$K75=""),0,IF(COUNTIFS($C$5:$C75,$C75,$K$5:$K75,$K75)=1,1,0))</f>
        <v>0</v>
      </c>
      <c r="AL75" s="43" t="str">
        <f>IF($AK75=1,SUMIFS($AK$4:$AK74,$C$4:$C74,$C75)+1,"")</f>
        <v/>
      </c>
      <c r="AM75" s="43">
        <f>IF(OR($C75="",$G75=""),0,IF(COUNTIFS($C$5:$C75,$C75,$G$5:$G75,$G75)=1,1,0))</f>
        <v>0</v>
      </c>
      <c r="AN75" s="43" t="str">
        <f>IF($AM75=1,SUMIFS($AM$4:$AM74,$C$4:$C74,$C75)+1,"")</f>
        <v/>
      </c>
    </row>
    <row r="76">
      <c r="A76" s="44" t="str">
        <f>IF(OR($B76="",$D76=""),"","TX"&amp;TEXT(ROW()-4,"0000"))</f>
        <v/>
      </c>
      <c r="B76" s="42" t="n"/>
      <c r="C76" s="47" t="str">
        <f>IF($B76="","",YEAR($B76)*100+MONTH($B76))</f>
        <v/>
      </c>
      <c r="D76" s="37" t="n"/>
      <c r="E76" s="45" t="str">
        <f>IF($D76="","",IFERROR(INDEX(CARDS!$B$5:$B$34,MATCH($D76,CARDS!$A$5:$A$34,0)),"⚠ Card ID?"))</f>
        <v/>
      </c>
      <c r="F76" s="45" t="str">
        <f>IF($D76="","",IFERROR(INDEX(CARDS!$C$5:$C$34,MATCH($D76,CARDS!$A$5:$A$34,0)),"⚠ Card ID?"))</f>
        <v/>
      </c>
      <c r="G76" s="37" t="n"/>
      <c r="H76" s="37" t="n"/>
      <c r="I76" s="41" t="n"/>
      <c r="J76" s="45" t="str">
        <f>IF($I76="","",IFERROR(INDEX(MCC_MASTER!$B$5:$B$504,MATCH($I76,MCC_MASTER!$A$5:$A$504,0)),"⚠ MCC chưa có"))</f>
        <v/>
      </c>
      <c r="K76" s="45" t="str">
        <f>IF($I76="","",IFERROR(IF(INDEX(MCC_MASTER!$C$5:$C$504,MATCH($I76,MCC_MASTER!$A$5:$A$504,0))="","Chưa phân loại",INDEX(MCC_MASTER!$C$5:$C$504,MATCH($I76,MCC_MASTER!$A$5:$A$504,0))),"Chưa phân loại"))</f>
        <v/>
      </c>
      <c r="L76" s="40" t="n"/>
      <c r="M76" s="48" t="str">
        <f>IF(OR($B76="",$D76=""),"",IF($AC76=0,0,IF(ISNUMBER(INDEX(CASHBACK_RULES!$L$5:$L$304,$AC76)),MAX(0,MIN($L76,INDEX(CASHBACK_RULES!$L$5:$L$304,$AC76)-$AH76)),MAX(0,$L76))))</f>
        <v/>
      </c>
      <c r="N76" s="49" t="str">
        <f>IF(OR($B76="",$D76=""),"",IF($AC76&gt;0,INDEX(CASHBACK_RULES!$I$5:$I$304,$AC76),0))</f>
        <v/>
      </c>
      <c r="O76" s="48" t="str">
        <f>IF(OR($B76="",$D76=""),"",ROUND($M76*$N76,0))</f>
        <v/>
      </c>
      <c r="P76" s="48" t="str">
        <f>IF($AC76&gt;0,IF(ISNUMBER(INDEX(CASHBACK_RULES!$J$5:$J$304,$AC76)),INDEX(CASHBACK_RULES!$J$5:$J$304,$AC76),"∞"),"")</f>
        <v/>
      </c>
      <c r="Q76" s="48" t="str">
        <f>IF(OR($B76="",$D76=""),"",IF($AC76=0,0,MAX(0,MIN($O76,IF(ISNUMBER($P76),$P76-$AF76,1E+15),IF(ISNUMBER($AA76),$AA76-$AG76,1E+15)))))</f>
        <v/>
      </c>
      <c r="R76" s="48" t="str">
        <f>IF(OR($B76="",$D76=""),"",IF($AC76=0,"",IF(AND(NOT(ISNUMBER($P76)),NOT(ISNUMBER($AA76))),"∞",MAX(0,MIN(IF(ISNUMBER($P76),$P76-$AF76-$Q76,1E+15),IF(ISNUMBER($AA76),$AA76-$AG76-$Q76,1E+15))))))</f>
        <v/>
      </c>
      <c r="S76" s="47" t="str">
        <f>IF($AD76="","",YEAR($AD76)*100+MONTH($AD76))</f>
        <v/>
      </c>
      <c r="T76" s="50" t="str">
        <f>IF($AD76="","",IFERROR(IF(INDEX(CARDS!$I$5:$I$34,MATCH($D76,CARDS!$A$5:$A$34,0))="","",IF(INDEX(CARDS!$I$5:$I$34,MATCH($D76,CARDS!$A$5:$A$34,0))&gt;INDEX(CARDS!$H$5:$H$34,MATCH($D76,CARDS!$A$5:$A$34,0)),DATE(YEAR($AD76),MONTH($AD76),MIN(INDEX(CARDS!$I$5:$I$34,MATCH($D76,CARDS!$A$5:$A$34,0)),DAY(EOMONTH($AD76,0)))),DATE(YEAR($AD76),MONTH($AD76)+1,MIN(INDEX(CARDS!$I$5:$I$34,MATCH($D76,CARDS!$A$5:$A$34,0)),DAY(EOMONTH($AD76,1)))))),""))</f>
        <v/>
      </c>
      <c r="U76" s="38" t="n"/>
      <c r="V76" s="37" t="n"/>
      <c r="W76" s="38" t="n"/>
      <c r="X76" s="38" t="n"/>
      <c r="Y76" s="44" t="str">
        <f>IF($AC76&gt;0,INDEX(CASHBACK_RULES!$A$5:$A$304,$AC76),"")</f>
        <v/>
      </c>
      <c r="Z76" s="45" t="str">
        <f>IF($AC76&gt;0,INDEX(CASHBACK_RULES!$E$5:$E$304,$AC76)&amp;"","")</f>
        <v/>
      </c>
      <c r="AA76" s="48" t="str">
        <f>IF($AC76&gt;0,IF(ISNUMBER(INDEX(CASHBACK_RULES!$K$5:$K$304,$AC76)),INDEX(CASHBACK_RULES!$K$5:$K$304,$AC76),"∞"),"")</f>
        <v/>
      </c>
      <c r="AB76" s="44" t="str">
        <f>IF(OR($B76="",$D76=""),"",IF($U76="Cancelled","Đã hủy",IF($AC76=0,"Không được hoàn",IF($Q76=0,IF(OR($O76&gt;0,$M76&lt;$L76),"Đã đạt cap","Không được hoàn"),IF(OR($Q76&lt;$O76,$M76&lt;$L76),"Hoàn một phần","Được hoàn")))))</f>
        <v/>
      </c>
      <c r="AC76" s="43">
        <f>IF(OR($B76="",$D76="",$I76="",$L76=""),0,IF($U76="Cancelled",0,IF($W76&lt;&gt;"",IFERROR(IF(INDEX(CASHBACK_RULES!$B$5:$B$304,MATCH($W76,CASHBACK_RULES!$A$5:$A$304,0))=$D76,MATCH($W76,CASHBACK_RULES!$A$5:$A$304,0),0),0),IFERROR(MATCH(1,INDEX((CASHBACK_RULES!$B$5:$B$304=$D76)*(CASHBACK_RULES!$G$5:$G$304=$I76)*(((CASHBACK_RULES!$N$5:$N$304="")+(CASHBACK_RULES!$N$5:$N$304&lt;=$B76))&gt;0)*(((CASHBACK_RULES!$O$5:$O$304="")+(CASHBACK_RULES!$O$5:$O$304&gt;=$B76))&gt;0)*(((CASHBACK_RULES!$M$5:$M$304="")+(CASHBACK_RULES!$M$5:$M$304&lt;=$L76))&gt;0),0),0),0))))</f>
        <v>0</v>
      </c>
      <c r="AD76" s="51" t="str">
        <f>IF(OR($B76="",$D76=""),"",IFERROR(IF(INDEX(CARDS!$H$5:$H$34,MATCH($D76,CARDS!$A$5:$A$34,0))="","",IF(DAY($B76)&lt;=INDEX(CARDS!$H$5:$H$34,MATCH($D76,CARDS!$A$5:$A$34,0)),DATE(YEAR($B76),MONTH($B76),MIN(INDEX(CARDS!$H$5:$H$34,MATCH($D76,CARDS!$A$5:$A$34,0)),DAY(EOMONTH($B76,0)))),DATE(YEAR($B76),MONTH($B76)+1,MIN(INDEX(CARDS!$H$5:$H$34,MATCH($D76,CARDS!$A$5:$A$34,0)),DAY(EOMONTH($B76,1)))))),""))</f>
        <v/>
      </c>
      <c r="AE76" s="52" t="str">
        <f>IF($C76="","",$C76&amp;"|"&amp;COUNTIF($C$5:$C76,$C76))</f>
        <v/>
      </c>
      <c r="AF76" s="53">
        <f>IF($AC76&gt;0,SUMIFS(Q$4:Q75,$D$4:$D75,$D76,$Z$4:$Z75,$Z76,$C$4:$C75,$C76),0)</f>
        <v>0</v>
      </c>
      <c r="AG76" s="53">
        <f>IF($AC76&gt;0,SUMIFS(Q$4:Q75,$D$4:$D75,$D76,$C$4:$C75,$C76),0)</f>
        <v>0</v>
      </c>
      <c r="AH76" s="53">
        <f>IF($AC76&gt;0,SUMIFS(M$4:M75,$D$4:$D75,$D76,$Z$4:$Z75,$Z76,$C$4:$C75,$C76),0)</f>
        <v>0</v>
      </c>
      <c r="AI76" s="43">
        <f>IF(OR($C76="",$I76=""),0,IF(COUNTIFS($C$5:$C76,$C76,$I$5:$I76,$I76)=1,1,0))</f>
        <v>0</v>
      </c>
      <c r="AJ76" s="43" t="str">
        <f>IF($AI76=1,SUMIFS($AI$4:$AI75,$C$4:$C75,$C76)+1,"")</f>
        <v/>
      </c>
      <c r="AK76" s="43">
        <f>IF(OR($C76="",$K76=""),0,IF(COUNTIFS($C$5:$C76,$C76,$K$5:$K76,$K76)=1,1,0))</f>
        <v>0</v>
      </c>
      <c r="AL76" s="43" t="str">
        <f>IF($AK76=1,SUMIFS($AK$4:$AK75,$C$4:$C75,$C76)+1,"")</f>
        <v/>
      </c>
      <c r="AM76" s="43">
        <f>IF(OR($C76="",$G76=""),0,IF(COUNTIFS($C$5:$C76,$C76,$G$5:$G76,$G76)=1,1,0))</f>
        <v>0</v>
      </c>
      <c r="AN76" s="43" t="str">
        <f>IF($AM76=1,SUMIFS($AM$4:$AM75,$C$4:$C75,$C76)+1,"")</f>
        <v/>
      </c>
    </row>
    <row r="77">
      <c r="A77" s="44" t="str">
        <f>IF(OR($B77="",$D77=""),"","TX"&amp;TEXT(ROW()-4,"0000"))</f>
        <v/>
      </c>
      <c r="B77" s="42" t="n"/>
      <c r="C77" s="47" t="str">
        <f>IF($B77="","",YEAR($B77)*100+MONTH($B77))</f>
        <v/>
      </c>
      <c r="D77" s="37" t="n"/>
      <c r="E77" s="45" t="str">
        <f>IF($D77="","",IFERROR(INDEX(CARDS!$B$5:$B$34,MATCH($D77,CARDS!$A$5:$A$34,0)),"⚠ Card ID?"))</f>
        <v/>
      </c>
      <c r="F77" s="45" t="str">
        <f>IF($D77="","",IFERROR(INDEX(CARDS!$C$5:$C$34,MATCH($D77,CARDS!$A$5:$A$34,0)),"⚠ Card ID?"))</f>
        <v/>
      </c>
      <c r="G77" s="37" t="n"/>
      <c r="H77" s="37" t="n"/>
      <c r="I77" s="41" t="n"/>
      <c r="J77" s="45" t="str">
        <f>IF($I77="","",IFERROR(INDEX(MCC_MASTER!$B$5:$B$504,MATCH($I77,MCC_MASTER!$A$5:$A$504,0)),"⚠ MCC chưa có"))</f>
        <v/>
      </c>
      <c r="K77" s="45" t="str">
        <f>IF($I77="","",IFERROR(IF(INDEX(MCC_MASTER!$C$5:$C$504,MATCH($I77,MCC_MASTER!$A$5:$A$504,0))="","Chưa phân loại",INDEX(MCC_MASTER!$C$5:$C$504,MATCH($I77,MCC_MASTER!$A$5:$A$504,0))),"Chưa phân loại"))</f>
        <v/>
      </c>
      <c r="L77" s="40" t="n"/>
      <c r="M77" s="48" t="str">
        <f>IF(OR($B77="",$D77=""),"",IF($AC77=0,0,IF(ISNUMBER(INDEX(CASHBACK_RULES!$L$5:$L$304,$AC77)),MAX(0,MIN($L77,INDEX(CASHBACK_RULES!$L$5:$L$304,$AC77)-$AH77)),MAX(0,$L77))))</f>
        <v/>
      </c>
      <c r="N77" s="49" t="str">
        <f>IF(OR($B77="",$D77=""),"",IF($AC77&gt;0,INDEX(CASHBACK_RULES!$I$5:$I$304,$AC77),0))</f>
        <v/>
      </c>
      <c r="O77" s="48" t="str">
        <f>IF(OR($B77="",$D77=""),"",ROUND($M77*$N77,0))</f>
        <v/>
      </c>
      <c r="P77" s="48" t="str">
        <f>IF($AC77&gt;0,IF(ISNUMBER(INDEX(CASHBACK_RULES!$J$5:$J$304,$AC77)),INDEX(CASHBACK_RULES!$J$5:$J$304,$AC77),"∞"),"")</f>
        <v/>
      </c>
      <c r="Q77" s="48" t="str">
        <f>IF(OR($B77="",$D77=""),"",IF($AC77=0,0,MAX(0,MIN($O77,IF(ISNUMBER($P77),$P77-$AF77,1E+15),IF(ISNUMBER($AA77),$AA77-$AG77,1E+15)))))</f>
        <v/>
      </c>
      <c r="R77" s="48" t="str">
        <f>IF(OR($B77="",$D77=""),"",IF($AC77=0,"",IF(AND(NOT(ISNUMBER($P77)),NOT(ISNUMBER($AA77))),"∞",MAX(0,MIN(IF(ISNUMBER($P77),$P77-$AF77-$Q77,1E+15),IF(ISNUMBER($AA77),$AA77-$AG77-$Q77,1E+15))))))</f>
        <v/>
      </c>
      <c r="S77" s="47" t="str">
        <f>IF($AD77="","",YEAR($AD77)*100+MONTH($AD77))</f>
        <v/>
      </c>
      <c r="T77" s="50" t="str">
        <f>IF($AD77="","",IFERROR(IF(INDEX(CARDS!$I$5:$I$34,MATCH($D77,CARDS!$A$5:$A$34,0))="","",IF(INDEX(CARDS!$I$5:$I$34,MATCH($D77,CARDS!$A$5:$A$34,0))&gt;INDEX(CARDS!$H$5:$H$34,MATCH($D77,CARDS!$A$5:$A$34,0)),DATE(YEAR($AD77),MONTH($AD77),MIN(INDEX(CARDS!$I$5:$I$34,MATCH($D77,CARDS!$A$5:$A$34,0)),DAY(EOMONTH($AD77,0)))),DATE(YEAR($AD77),MONTH($AD77)+1,MIN(INDEX(CARDS!$I$5:$I$34,MATCH($D77,CARDS!$A$5:$A$34,0)),DAY(EOMONTH($AD77,1)))))),""))</f>
        <v/>
      </c>
      <c r="U77" s="38" t="n"/>
      <c r="V77" s="37" t="n"/>
      <c r="W77" s="38" t="n"/>
      <c r="X77" s="38" t="n"/>
      <c r="Y77" s="44" t="str">
        <f>IF($AC77&gt;0,INDEX(CASHBACK_RULES!$A$5:$A$304,$AC77),"")</f>
        <v/>
      </c>
      <c r="Z77" s="45" t="str">
        <f>IF($AC77&gt;0,INDEX(CASHBACK_RULES!$E$5:$E$304,$AC77)&amp;"","")</f>
        <v/>
      </c>
      <c r="AA77" s="48" t="str">
        <f>IF($AC77&gt;0,IF(ISNUMBER(INDEX(CASHBACK_RULES!$K$5:$K$304,$AC77)),INDEX(CASHBACK_RULES!$K$5:$K$304,$AC77),"∞"),"")</f>
        <v/>
      </c>
      <c r="AB77" s="44" t="str">
        <f>IF(OR($B77="",$D77=""),"",IF($U77="Cancelled","Đã hủy",IF($AC77=0,"Không được hoàn",IF($Q77=0,IF(OR($O77&gt;0,$M77&lt;$L77),"Đã đạt cap","Không được hoàn"),IF(OR($Q77&lt;$O77,$M77&lt;$L77),"Hoàn một phần","Được hoàn")))))</f>
        <v/>
      </c>
      <c r="AC77" s="43">
        <f>IF(OR($B77="",$D77="",$I77="",$L77=""),0,IF($U77="Cancelled",0,IF($W77&lt;&gt;"",IFERROR(IF(INDEX(CASHBACK_RULES!$B$5:$B$304,MATCH($W77,CASHBACK_RULES!$A$5:$A$304,0))=$D77,MATCH($W77,CASHBACK_RULES!$A$5:$A$304,0),0),0),IFERROR(MATCH(1,INDEX((CASHBACK_RULES!$B$5:$B$304=$D77)*(CASHBACK_RULES!$G$5:$G$304=$I77)*(((CASHBACK_RULES!$N$5:$N$304="")+(CASHBACK_RULES!$N$5:$N$304&lt;=$B77))&gt;0)*(((CASHBACK_RULES!$O$5:$O$304="")+(CASHBACK_RULES!$O$5:$O$304&gt;=$B77))&gt;0)*(((CASHBACK_RULES!$M$5:$M$304="")+(CASHBACK_RULES!$M$5:$M$304&lt;=$L77))&gt;0),0),0),0))))</f>
        <v>0</v>
      </c>
      <c r="AD77" s="51" t="str">
        <f>IF(OR($B77="",$D77=""),"",IFERROR(IF(INDEX(CARDS!$H$5:$H$34,MATCH($D77,CARDS!$A$5:$A$34,0))="","",IF(DAY($B77)&lt;=INDEX(CARDS!$H$5:$H$34,MATCH($D77,CARDS!$A$5:$A$34,0)),DATE(YEAR($B77),MONTH($B77),MIN(INDEX(CARDS!$H$5:$H$34,MATCH($D77,CARDS!$A$5:$A$34,0)),DAY(EOMONTH($B77,0)))),DATE(YEAR($B77),MONTH($B77)+1,MIN(INDEX(CARDS!$H$5:$H$34,MATCH($D77,CARDS!$A$5:$A$34,0)),DAY(EOMONTH($B77,1)))))),""))</f>
        <v/>
      </c>
      <c r="AE77" s="52" t="str">
        <f>IF($C77="","",$C77&amp;"|"&amp;COUNTIF($C$5:$C77,$C77))</f>
        <v/>
      </c>
      <c r="AF77" s="53">
        <f>IF($AC77&gt;0,SUMIFS(Q$4:Q76,$D$4:$D76,$D77,$Z$4:$Z76,$Z77,$C$4:$C76,$C77),0)</f>
        <v>0</v>
      </c>
      <c r="AG77" s="53">
        <f>IF($AC77&gt;0,SUMIFS(Q$4:Q76,$D$4:$D76,$D77,$C$4:$C76,$C77),0)</f>
        <v>0</v>
      </c>
      <c r="AH77" s="53">
        <f>IF($AC77&gt;0,SUMIFS(M$4:M76,$D$4:$D76,$D77,$Z$4:$Z76,$Z77,$C$4:$C76,$C77),0)</f>
        <v>0</v>
      </c>
      <c r="AI77" s="43">
        <f>IF(OR($C77="",$I77=""),0,IF(COUNTIFS($C$5:$C77,$C77,$I$5:$I77,$I77)=1,1,0))</f>
        <v>0</v>
      </c>
      <c r="AJ77" s="43" t="str">
        <f>IF($AI77=1,SUMIFS($AI$4:$AI76,$C$4:$C76,$C77)+1,"")</f>
        <v/>
      </c>
      <c r="AK77" s="43">
        <f>IF(OR($C77="",$K77=""),0,IF(COUNTIFS($C$5:$C77,$C77,$K$5:$K77,$K77)=1,1,0))</f>
        <v>0</v>
      </c>
      <c r="AL77" s="43" t="str">
        <f>IF($AK77=1,SUMIFS($AK$4:$AK76,$C$4:$C76,$C77)+1,"")</f>
        <v/>
      </c>
      <c r="AM77" s="43">
        <f>IF(OR($C77="",$G77=""),0,IF(COUNTIFS($C$5:$C77,$C77,$G$5:$G77,$G77)=1,1,0))</f>
        <v>0</v>
      </c>
      <c r="AN77" s="43" t="str">
        <f>IF($AM77=1,SUMIFS($AM$4:$AM76,$C$4:$C76,$C77)+1,"")</f>
        <v/>
      </c>
    </row>
    <row r="78">
      <c r="A78" s="44" t="str">
        <f>IF(OR($B78="",$D78=""),"","TX"&amp;TEXT(ROW()-4,"0000"))</f>
        <v/>
      </c>
      <c r="B78" s="42" t="n"/>
      <c r="C78" s="47" t="str">
        <f>IF($B78="","",YEAR($B78)*100+MONTH($B78))</f>
        <v/>
      </c>
      <c r="D78" s="37" t="n"/>
      <c r="E78" s="45" t="str">
        <f>IF($D78="","",IFERROR(INDEX(CARDS!$B$5:$B$34,MATCH($D78,CARDS!$A$5:$A$34,0)),"⚠ Card ID?"))</f>
        <v/>
      </c>
      <c r="F78" s="45" t="str">
        <f>IF($D78="","",IFERROR(INDEX(CARDS!$C$5:$C$34,MATCH($D78,CARDS!$A$5:$A$34,0)),"⚠ Card ID?"))</f>
        <v/>
      </c>
      <c r="G78" s="37" t="n"/>
      <c r="H78" s="37" t="n"/>
      <c r="I78" s="41" t="n"/>
      <c r="J78" s="45" t="str">
        <f>IF($I78="","",IFERROR(INDEX(MCC_MASTER!$B$5:$B$504,MATCH($I78,MCC_MASTER!$A$5:$A$504,0)),"⚠ MCC chưa có"))</f>
        <v/>
      </c>
      <c r="K78" s="45" t="str">
        <f>IF($I78="","",IFERROR(IF(INDEX(MCC_MASTER!$C$5:$C$504,MATCH($I78,MCC_MASTER!$A$5:$A$504,0))="","Chưa phân loại",INDEX(MCC_MASTER!$C$5:$C$504,MATCH($I78,MCC_MASTER!$A$5:$A$504,0))),"Chưa phân loại"))</f>
        <v/>
      </c>
      <c r="L78" s="40" t="n"/>
      <c r="M78" s="48" t="str">
        <f>IF(OR($B78="",$D78=""),"",IF($AC78=0,0,IF(ISNUMBER(INDEX(CASHBACK_RULES!$L$5:$L$304,$AC78)),MAX(0,MIN($L78,INDEX(CASHBACK_RULES!$L$5:$L$304,$AC78)-$AH78)),MAX(0,$L78))))</f>
        <v/>
      </c>
      <c r="N78" s="49" t="str">
        <f>IF(OR($B78="",$D78=""),"",IF($AC78&gt;0,INDEX(CASHBACK_RULES!$I$5:$I$304,$AC78),0))</f>
        <v/>
      </c>
      <c r="O78" s="48" t="str">
        <f>IF(OR($B78="",$D78=""),"",ROUND($M78*$N78,0))</f>
        <v/>
      </c>
      <c r="P78" s="48" t="str">
        <f>IF($AC78&gt;0,IF(ISNUMBER(INDEX(CASHBACK_RULES!$J$5:$J$304,$AC78)),INDEX(CASHBACK_RULES!$J$5:$J$304,$AC78),"∞"),"")</f>
        <v/>
      </c>
      <c r="Q78" s="48" t="str">
        <f>IF(OR($B78="",$D78=""),"",IF($AC78=0,0,MAX(0,MIN($O78,IF(ISNUMBER($P78),$P78-$AF78,1E+15),IF(ISNUMBER($AA78),$AA78-$AG78,1E+15)))))</f>
        <v/>
      </c>
      <c r="R78" s="48" t="str">
        <f>IF(OR($B78="",$D78=""),"",IF($AC78=0,"",IF(AND(NOT(ISNUMBER($P78)),NOT(ISNUMBER($AA78))),"∞",MAX(0,MIN(IF(ISNUMBER($P78),$P78-$AF78-$Q78,1E+15),IF(ISNUMBER($AA78),$AA78-$AG78-$Q78,1E+15))))))</f>
        <v/>
      </c>
      <c r="S78" s="47" t="str">
        <f>IF($AD78="","",YEAR($AD78)*100+MONTH($AD78))</f>
        <v/>
      </c>
      <c r="T78" s="50" t="str">
        <f>IF($AD78="","",IFERROR(IF(INDEX(CARDS!$I$5:$I$34,MATCH($D78,CARDS!$A$5:$A$34,0))="","",IF(INDEX(CARDS!$I$5:$I$34,MATCH($D78,CARDS!$A$5:$A$34,0))&gt;INDEX(CARDS!$H$5:$H$34,MATCH($D78,CARDS!$A$5:$A$34,0)),DATE(YEAR($AD78),MONTH($AD78),MIN(INDEX(CARDS!$I$5:$I$34,MATCH($D78,CARDS!$A$5:$A$34,0)),DAY(EOMONTH($AD78,0)))),DATE(YEAR($AD78),MONTH($AD78)+1,MIN(INDEX(CARDS!$I$5:$I$34,MATCH($D78,CARDS!$A$5:$A$34,0)),DAY(EOMONTH($AD78,1)))))),""))</f>
        <v/>
      </c>
      <c r="U78" s="38" t="n"/>
      <c r="V78" s="37" t="n"/>
      <c r="W78" s="38" t="n"/>
      <c r="X78" s="38" t="n"/>
      <c r="Y78" s="44" t="str">
        <f>IF($AC78&gt;0,INDEX(CASHBACK_RULES!$A$5:$A$304,$AC78),"")</f>
        <v/>
      </c>
      <c r="Z78" s="45" t="str">
        <f>IF($AC78&gt;0,INDEX(CASHBACK_RULES!$E$5:$E$304,$AC78)&amp;"","")</f>
        <v/>
      </c>
      <c r="AA78" s="48" t="str">
        <f>IF($AC78&gt;0,IF(ISNUMBER(INDEX(CASHBACK_RULES!$K$5:$K$304,$AC78)),INDEX(CASHBACK_RULES!$K$5:$K$304,$AC78),"∞"),"")</f>
        <v/>
      </c>
      <c r="AB78" s="44" t="str">
        <f>IF(OR($B78="",$D78=""),"",IF($U78="Cancelled","Đã hủy",IF($AC78=0,"Không được hoàn",IF($Q78=0,IF(OR($O78&gt;0,$M78&lt;$L78),"Đã đạt cap","Không được hoàn"),IF(OR($Q78&lt;$O78,$M78&lt;$L78),"Hoàn một phần","Được hoàn")))))</f>
        <v/>
      </c>
      <c r="AC78" s="43">
        <f>IF(OR($B78="",$D78="",$I78="",$L78=""),0,IF($U78="Cancelled",0,IF($W78&lt;&gt;"",IFERROR(IF(INDEX(CASHBACK_RULES!$B$5:$B$304,MATCH($W78,CASHBACK_RULES!$A$5:$A$304,0))=$D78,MATCH($W78,CASHBACK_RULES!$A$5:$A$304,0),0),0),IFERROR(MATCH(1,INDEX((CASHBACK_RULES!$B$5:$B$304=$D78)*(CASHBACK_RULES!$G$5:$G$304=$I78)*(((CASHBACK_RULES!$N$5:$N$304="")+(CASHBACK_RULES!$N$5:$N$304&lt;=$B78))&gt;0)*(((CASHBACK_RULES!$O$5:$O$304="")+(CASHBACK_RULES!$O$5:$O$304&gt;=$B78))&gt;0)*(((CASHBACK_RULES!$M$5:$M$304="")+(CASHBACK_RULES!$M$5:$M$304&lt;=$L78))&gt;0),0),0),0))))</f>
        <v>0</v>
      </c>
      <c r="AD78" s="51" t="str">
        <f>IF(OR($B78="",$D78=""),"",IFERROR(IF(INDEX(CARDS!$H$5:$H$34,MATCH($D78,CARDS!$A$5:$A$34,0))="","",IF(DAY($B78)&lt;=INDEX(CARDS!$H$5:$H$34,MATCH($D78,CARDS!$A$5:$A$34,0)),DATE(YEAR($B78),MONTH($B78),MIN(INDEX(CARDS!$H$5:$H$34,MATCH($D78,CARDS!$A$5:$A$34,0)),DAY(EOMONTH($B78,0)))),DATE(YEAR($B78),MONTH($B78)+1,MIN(INDEX(CARDS!$H$5:$H$34,MATCH($D78,CARDS!$A$5:$A$34,0)),DAY(EOMONTH($B78,1)))))),""))</f>
        <v/>
      </c>
      <c r="AE78" s="52" t="str">
        <f>IF($C78="","",$C78&amp;"|"&amp;COUNTIF($C$5:$C78,$C78))</f>
        <v/>
      </c>
      <c r="AF78" s="53">
        <f>IF($AC78&gt;0,SUMIFS(Q$4:Q77,$D$4:$D77,$D78,$Z$4:$Z77,$Z78,$C$4:$C77,$C78),0)</f>
        <v>0</v>
      </c>
      <c r="AG78" s="53">
        <f>IF($AC78&gt;0,SUMIFS(Q$4:Q77,$D$4:$D77,$D78,$C$4:$C77,$C78),0)</f>
        <v>0</v>
      </c>
      <c r="AH78" s="53">
        <f>IF($AC78&gt;0,SUMIFS(M$4:M77,$D$4:$D77,$D78,$Z$4:$Z77,$Z78,$C$4:$C77,$C78),0)</f>
        <v>0</v>
      </c>
      <c r="AI78" s="43">
        <f>IF(OR($C78="",$I78=""),0,IF(COUNTIFS($C$5:$C78,$C78,$I$5:$I78,$I78)=1,1,0))</f>
        <v>0</v>
      </c>
      <c r="AJ78" s="43" t="str">
        <f>IF($AI78=1,SUMIFS($AI$4:$AI77,$C$4:$C77,$C78)+1,"")</f>
        <v/>
      </c>
      <c r="AK78" s="43">
        <f>IF(OR($C78="",$K78=""),0,IF(COUNTIFS($C$5:$C78,$C78,$K$5:$K78,$K78)=1,1,0))</f>
        <v>0</v>
      </c>
      <c r="AL78" s="43" t="str">
        <f>IF($AK78=1,SUMIFS($AK$4:$AK77,$C$4:$C77,$C78)+1,"")</f>
        <v/>
      </c>
      <c r="AM78" s="43">
        <f>IF(OR($C78="",$G78=""),0,IF(COUNTIFS($C$5:$C78,$C78,$G$5:$G78,$G78)=1,1,0))</f>
        <v>0</v>
      </c>
      <c r="AN78" s="43" t="str">
        <f>IF($AM78=1,SUMIFS($AM$4:$AM77,$C$4:$C77,$C78)+1,"")</f>
        <v/>
      </c>
    </row>
    <row r="79">
      <c r="A79" s="44" t="str">
        <f>IF(OR($B79="",$D79=""),"","TX"&amp;TEXT(ROW()-4,"0000"))</f>
        <v/>
      </c>
      <c r="B79" s="42" t="n"/>
      <c r="C79" s="47" t="str">
        <f>IF($B79="","",YEAR($B79)*100+MONTH($B79))</f>
        <v/>
      </c>
      <c r="D79" s="37" t="n"/>
      <c r="E79" s="45" t="str">
        <f>IF($D79="","",IFERROR(INDEX(CARDS!$B$5:$B$34,MATCH($D79,CARDS!$A$5:$A$34,0)),"⚠ Card ID?"))</f>
        <v/>
      </c>
      <c r="F79" s="45" t="str">
        <f>IF($D79="","",IFERROR(INDEX(CARDS!$C$5:$C$34,MATCH($D79,CARDS!$A$5:$A$34,0)),"⚠ Card ID?"))</f>
        <v/>
      </c>
      <c r="G79" s="37" t="n"/>
      <c r="H79" s="37" t="n"/>
      <c r="I79" s="41" t="n"/>
      <c r="J79" s="45" t="str">
        <f>IF($I79="","",IFERROR(INDEX(MCC_MASTER!$B$5:$B$504,MATCH($I79,MCC_MASTER!$A$5:$A$504,0)),"⚠ MCC chưa có"))</f>
        <v/>
      </c>
      <c r="K79" s="45" t="str">
        <f>IF($I79="","",IFERROR(IF(INDEX(MCC_MASTER!$C$5:$C$504,MATCH($I79,MCC_MASTER!$A$5:$A$504,0))="","Chưa phân loại",INDEX(MCC_MASTER!$C$5:$C$504,MATCH($I79,MCC_MASTER!$A$5:$A$504,0))),"Chưa phân loại"))</f>
        <v/>
      </c>
      <c r="L79" s="40" t="n"/>
      <c r="M79" s="48" t="str">
        <f>IF(OR($B79="",$D79=""),"",IF($AC79=0,0,IF(ISNUMBER(INDEX(CASHBACK_RULES!$L$5:$L$304,$AC79)),MAX(0,MIN($L79,INDEX(CASHBACK_RULES!$L$5:$L$304,$AC79)-$AH79)),MAX(0,$L79))))</f>
        <v/>
      </c>
      <c r="N79" s="49" t="str">
        <f>IF(OR($B79="",$D79=""),"",IF($AC79&gt;0,INDEX(CASHBACK_RULES!$I$5:$I$304,$AC79),0))</f>
        <v/>
      </c>
      <c r="O79" s="48" t="str">
        <f>IF(OR($B79="",$D79=""),"",ROUND($M79*$N79,0))</f>
        <v/>
      </c>
      <c r="P79" s="48" t="str">
        <f>IF($AC79&gt;0,IF(ISNUMBER(INDEX(CASHBACK_RULES!$J$5:$J$304,$AC79)),INDEX(CASHBACK_RULES!$J$5:$J$304,$AC79),"∞"),"")</f>
        <v/>
      </c>
      <c r="Q79" s="48" t="str">
        <f>IF(OR($B79="",$D79=""),"",IF($AC79=0,0,MAX(0,MIN($O79,IF(ISNUMBER($P79),$P79-$AF79,1E+15),IF(ISNUMBER($AA79),$AA79-$AG79,1E+15)))))</f>
        <v/>
      </c>
      <c r="R79" s="48" t="str">
        <f>IF(OR($B79="",$D79=""),"",IF($AC79=0,"",IF(AND(NOT(ISNUMBER($P79)),NOT(ISNUMBER($AA79))),"∞",MAX(0,MIN(IF(ISNUMBER($P79),$P79-$AF79-$Q79,1E+15),IF(ISNUMBER($AA79),$AA79-$AG79-$Q79,1E+15))))))</f>
        <v/>
      </c>
      <c r="S79" s="47" t="str">
        <f>IF($AD79="","",YEAR($AD79)*100+MONTH($AD79))</f>
        <v/>
      </c>
      <c r="T79" s="50" t="str">
        <f>IF($AD79="","",IFERROR(IF(INDEX(CARDS!$I$5:$I$34,MATCH($D79,CARDS!$A$5:$A$34,0))="","",IF(INDEX(CARDS!$I$5:$I$34,MATCH($D79,CARDS!$A$5:$A$34,0))&gt;INDEX(CARDS!$H$5:$H$34,MATCH($D79,CARDS!$A$5:$A$34,0)),DATE(YEAR($AD79),MONTH($AD79),MIN(INDEX(CARDS!$I$5:$I$34,MATCH($D79,CARDS!$A$5:$A$34,0)),DAY(EOMONTH($AD79,0)))),DATE(YEAR($AD79),MONTH($AD79)+1,MIN(INDEX(CARDS!$I$5:$I$34,MATCH($D79,CARDS!$A$5:$A$34,0)),DAY(EOMONTH($AD79,1)))))),""))</f>
        <v/>
      </c>
      <c r="U79" s="38" t="n"/>
      <c r="V79" s="37" t="n"/>
      <c r="W79" s="38" t="n"/>
      <c r="X79" s="38" t="n"/>
      <c r="Y79" s="44" t="str">
        <f>IF($AC79&gt;0,INDEX(CASHBACK_RULES!$A$5:$A$304,$AC79),"")</f>
        <v/>
      </c>
      <c r="Z79" s="45" t="str">
        <f>IF($AC79&gt;0,INDEX(CASHBACK_RULES!$E$5:$E$304,$AC79)&amp;"","")</f>
        <v/>
      </c>
      <c r="AA79" s="48" t="str">
        <f>IF($AC79&gt;0,IF(ISNUMBER(INDEX(CASHBACK_RULES!$K$5:$K$304,$AC79)),INDEX(CASHBACK_RULES!$K$5:$K$304,$AC79),"∞"),"")</f>
        <v/>
      </c>
      <c r="AB79" s="44" t="str">
        <f>IF(OR($B79="",$D79=""),"",IF($U79="Cancelled","Đã hủy",IF($AC79=0,"Không được hoàn",IF($Q79=0,IF(OR($O79&gt;0,$M79&lt;$L79),"Đã đạt cap","Không được hoàn"),IF(OR($Q79&lt;$O79,$M79&lt;$L79),"Hoàn một phần","Được hoàn")))))</f>
        <v/>
      </c>
      <c r="AC79" s="43">
        <f>IF(OR($B79="",$D79="",$I79="",$L79=""),0,IF($U79="Cancelled",0,IF($W79&lt;&gt;"",IFERROR(IF(INDEX(CASHBACK_RULES!$B$5:$B$304,MATCH($W79,CASHBACK_RULES!$A$5:$A$304,0))=$D79,MATCH($W79,CASHBACK_RULES!$A$5:$A$304,0),0),0),IFERROR(MATCH(1,INDEX((CASHBACK_RULES!$B$5:$B$304=$D79)*(CASHBACK_RULES!$G$5:$G$304=$I79)*(((CASHBACK_RULES!$N$5:$N$304="")+(CASHBACK_RULES!$N$5:$N$304&lt;=$B79))&gt;0)*(((CASHBACK_RULES!$O$5:$O$304="")+(CASHBACK_RULES!$O$5:$O$304&gt;=$B79))&gt;0)*(((CASHBACK_RULES!$M$5:$M$304="")+(CASHBACK_RULES!$M$5:$M$304&lt;=$L79))&gt;0),0),0),0))))</f>
        <v>0</v>
      </c>
      <c r="AD79" s="51" t="str">
        <f>IF(OR($B79="",$D79=""),"",IFERROR(IF(INDEX(CARDS!$H$5:$H$34,MATCH($D79,CARDS!$A$5:$A$34,0))="","",IF(DAY($B79)&lt;=INDEX(CARDS!$H$5:$H$34,MATCH($D79,CARDS!$A$5:$A$34,0)),DATE(YEAR($B79),MONTH($B79),MIN(INDEX(CARDS!$H$5:$H$34,MATCH($D79,CARDS!$A$5:$A$34,0)),DAY(EOMONTH($B79,0)))),DATE(YEAR($B79),MONTH($B79)+1,MIN(INDEX(CARDS!$H$5:$H$34,MATCH($D79,CARDS!$A$5:$A$34,0)),DAY(EOMONTH($B79,1)))))),""))</f>
        <v/>
      </c>
      <c r="AE79" s="52" t="str">
        <f>IF($C79="","",$C79&amp;"|"&amp;COUNTIF($C$5:$C79,$C79))</f>
        <v/>
      </c>
      <c r="AF79" s="53">
        <f>IF($AC79&gt;0,SUMIFS(Q$4:Q78,$D$4:$D78,$D79,$Z$4:$Z78,$Z79,$C$4:$C78,$C79),0)</f>
        <v>0</v>
      </c>
      <c r="AG79" s="53">
        <f>IF($AC79&gt;0,SUMIFS(Q$4:Q78,$D$4:$D78,$D79,$C$4:$C78,$C79),0)</f>
        <v>0</v>
      </c>
      <c r="AH79" s="53">
        <f>IF($AC79&gt;0,SUMIFS(M$4:M78,$D$4:$D78,$D79,$Z$4:$Z78,$Z79,$C$4:$C78,$C79),0)</f>
        <v>0</v>
      </c>
      <c r="AI79" s="43">
        <f>IF(OR($C79="",$I79=""),0,IF(COUNTIFS($C$5:$C79,$C79,$I$5:$I79,$I79)=1,1,0))</f>
        <v>0</v>
      </c>
      <c r="AJ79" s="43" t="str">
        <f>IF($AI79=1,SUMIFS($AI$4:$AI78,$C$4:$C78,$C79)+1,"")</f>
        <v/>
      </c>
      <c r="AK79" s="43">
        <f>IF(OR($C79="",$K79=""),0,IF(COUNTIFS($C$5:$C79,$C79,$K$5:$K79,$K79)=1,1,0))</f>
        <v>0</v>
      </c>
      <c r="AL79" s="43" t="str">
        <f>IF($AK79=1,SUMIFS($AK$4:$AK78,$C$4:$C78,$C79)+1,"")</f>
        <v/>
      </c>
      <c r="AM79" s="43">
        <f>IF(OR($C79="",$G79=""),0,IF(COUNTIFS($C$5:$C79,$C79,$G$5:$G79,$G79)=1,1,0))</f>
        <v>0</v>
      </c>
      <c r="AN79" s="43" t="str">
        <f>IF($AM79=1,SUMIFS($AM$4:$AM78,$C$4:$C78,$C79)+1,"")</f>
        <v/>
      </c>
    </row>
    <row r="80">
      <c r="A80" s="44" t="str">
        <f>IF(OR($B80="",$D80=""),"","TX"&amp;TEXT(ROW()-4,"0000"))</f>
        <v/>
      </c>
      <c r="B80" s="42" t="n"/>
      <c r="C80" s="47" t="str">
        <f>IF($B80="","",YEAR($B80)*100+MONTH($B80))</f>
        <v/>
      </c>
      <c r="D80" s="37" t="n"/>
      <c r="E80" s="45" t="str">
        <f>IF($D80="","",IFERROR(INDEX(CARDS!$B$5:$B$34,MATCH($D80,CARDS!$A$5:$A$34,0)),"⚠ Card ID?"))</f>
        <v/>
      </c>
      <c r="F80" s="45" t="str">
        <f>IF($D80="","",IFERROR(INDEX(CARDS!$C$5:$C$34,MATCH($D80,CARDS!$A$5:$A$34,0)),"⚠ Card ID?"))</f>
        <v/>
      </c>
      <c r="G80" s="37" t="n"/>
      <c r="H80" s="37" t="n"/>
      <c r="I80" s="41" t="n"/>
      <c r="J80" s="45" t="str">
        <f>IF($I80="","",IFERROR(INDEX(MCC_MASTER!$B$5:$B$504,MATCH($I80,MCC_MASTER!$A$5:$A$504,0)),"⚠ MCC chưa có"))</f>
        <v/>
      </c>
      <c r="K80" s="45" t="str">
        <f>IF($I80="","",IFERROR(IF(INDEX(MCC_MASTER!$C$5:$C$504,MATCH($I80,MCC_MASTER!$A$5:$A$504,0))="","Chưa phân loại",INDEX(MCC_MASTER!$C$5:$C$504,MATCH($I80,MCC_MASTER!$A$5:$A$504,0))),"Chưa phân loại"))</f>
        <v/>
      </c>
      <c r="L80" s="40" t="n"/>
      <c r="M80" s="48" t="str">
        <f>IF(OR($B80="",$D80=""),"",IF($AC80=0,0,IF(ISNUMBER(INDEX(CASHBACK_RULES!$L$5:$L$304,$AC80)),MAX(0,MIN($L80,INDEX(CASHBACK_RULES!$L$5:$L$304,$AC80)-$AH80)),MAX(0,$L80))))</f>
        <v/>
      </c>
      <c r="N80" s="49" t="str">
        <f>IF(OR($B80="",$D80=""),"",IF($AC80&gt;0,INDEX(CASHBACK_RULES!$I$5:$I$304,$AC80),0))</f>
        <v/>
      </c>
      <c r="O80" s="48" t="str">
        <f>IF(OR($B80="",$D80=""),"",ROUND($M80*$N80,0))</f>
        <v/>
      </c>
      <c r="P80" s="48" t="str">
        <f>IF($AC80&gt;0,IF(ISNUMBER(INDEX(CASHBACK_RULES!$J$5:$J$304,$AC80)),INDEX(CASHBACK_RULES!$J$5:$J$304,$AC80),"∞"),"")</f>
        <v/>
      </c>
      <c r="Q80" s="48" t="str">
        <f>IF(OR($B80="",$D80=""),"",IF($AC80=0,0,MAX(0,MIN($O80,IF(ISNUMBER($P80),$P80-$AF80,1E+15),IF(ISNUMBER($AA80),$AA80-$AG80,1E+15)))))</f>
        <v/>
      </c>
      <c r="R80" s="48" t="str">
        <f>IF(OR($B80="",$D80=""),"",IF($AC80=0,"",IF(AND(NOT(ISNUMBER($P80)),NOT(ISNUMBER($AA80))),"∞",MAX(0,MIN(IF(ISNUMBER($P80),$P80-$AF80-$Q80,1E+15),IF(ISNUMBER($AA80),$AA80-$AG80-$Q80,1E+15))))))</f>
        <v/>
      </c>
      <c r="S80" s="47" t="str">
        <f>IF($AD80="","",YEAR($AD80)*100+MONTH($AD80))</f>
        <v/>
      </c>
      <c r="T80" s="50" t="str">
        <f>IF($AD80="","",IFERROR(IF(INDEX(CARDS!$I$5:$I$34,MATCH($D80,CARDS!$A$5:$A$34,0))="","",IF(INDEX(CARDS!$I$5:$I$34,MATCH($D80,CARDS!$A$5:$A$34,0))&gt;INDEX(CARDS!$H$5:$H$34,MATCH($D80,CARDS!$A$5:$A$34,0)),DATE(YEAR($AD80),MONTH($AD80),MIN(INDEX(CARDS!$I$5:$I$34,MATCH($D80,CARDS!$A$5:$A$34,0)),DAY(EOMONTH($AD80,0)))),DATE(YEAR($AD80),MONTH($AD80)+1,MIN(INDEX(CARDS!$I$5:$I$34,MATCH($D80,CARDS!$A$5:$A$34,0)),DAY(EOMONTH($AD80,1)))))),""))</f>
        <v/>
      </c>
      <c r="U80" s="38" t="n"/>
      <c r="V80" s="37" t="n"/>
      <c r="W80" s="38" t="n"/>
      <c r="X80" s="38" t="n"/>
      <c r="Y80" s="44" t="str">
        <f>IF($AC80&gt;0,INDEX(CASHBACK_RULES!$A$5:$A$304,$AC80),"")</f>
        <v/>
      </c>
      <c r="Z80" s="45" t="str">
        <f>IF($AC80&gt;0,INDEX(CASHBACK_RULES!$E$5:$E$304,$AC80)&amp;"","")</f>
        <v/>
      </c>
      <c r="AA80" s="48" t="str">
        <f>IF($AC80&gt;0,IF(ISNUMBER(INDEX(CASHBACK_RULES!$K$5:$K$304,$AC80)),INDEX(CASHBACK_RULES!$K$5:$K$304,$AC80),"∞"),"")</f>
        <v/>
      </c>
      <c r="AB80" s="44" t="str">
        <f>IF(OR($B80="",$D80=""),"",IF($U80="Cancelled","Đã hủy",IF($AC80=0,"Không được hoàn",IF($Q80=0,IF(OR($O80&gt;0,$M80&lt;$L80),"Đã đạt cap","Không được hoàn"),IF(OR($Q80&lt;$O80,$M80&lt;$L80),"Hoàn một phần","Được hoàn")))))</f>
        <v/>
      </c>
      <c r="AC80" s="43">
        <f>IF(OR($B80="",$D80="",$I80="",$L80=""),0,IF($U80="Cancelled",0,IF($W80&lt;&gt;"",IFERROR(IF(INDEX(CASHBACK_RULES!$B$5:$B$304,MATCH($W80,CASHBACK_RULES!$A$5:$A$304,0))=$D80,MATCH($W80,CASHBACK_RULES!$A$5:$A$304,0),0),0),IFERROR(MATCH(1,INDEX((CASHBACK_RULES!$B$5:$B$304=$D80)*(CASHBACK_RULES!$G$5:$G$304=$I80)*(((CASHBACK_RULES!$N$5:$N$304="")+(CASHBACK_RULES!$N$5:$N$304&lt;=$B80))&gt;0)*(((CASHBACK_RULES!$O$5:$O$304="")+(CASHBACK_RULES!$O$5:$O$304&gt;=$B80))&gt;0)*(((CASHBACK_RULES!$M$5:$M$304="")+(CASHBACK_RULES!$M$5:$M$304&lt;=$L80))&gt;0),0),0),0))))</f>
        <v>0</v>
      </c>
      <c r="AD80" s="51" t="str">
        <f>IF(OR($B80="",$D80=""),"",IFERROR(IF(INDEX(CARDS!$H$5:$H$34,MATCH($D80,CARDS!$A$5:$A$34,0))="","",IF(DAY($B80)&lt;=INDEX(CARDS!$H$5:$H$34,MATCH($D80,CARDS!$A$5:$A$34,0)),DATE(YEAR($B80),MONTH($B80),MIN(INDEX(CARDS!$H$5:$H$34,MATCH($D80,CARDS!$A$5:$A$34,0)),DAY(EOMONTH($B80,0)))),DATE(YEAR($B80),MONTH($B80)+1,MIN(INDEX(CARDS!$H$5:$H$34,MATCH($D80,CARDS!$A$5:$A$34,0)),DAY(EOMONTH($B80,1)))))),""))</f>
        <v/>
      </c>
      <c r="AE80" s="52" t="str">
        <f>IF($C80="","",$C80&amp;"|"&amp;COUNTIF($C$5:$C80,$C80))</f>
        <v/>
      </c>
      <c r="AF80" s="53">
        <f>IF($AC80&gt;0,SUMIFS(Q$4:Q79,$D$4:$D79,$D80,$Z$4:$Z79,$Z80,$C$4:$C79,$C80),0)</f>
        <v>0</v>
      </c>
      <c r="AG80" s="53">
        <f>IF($AC80&gt;0,SUMIFS(Q$4:Q79,$D$4:$D79,$D80,$C$4:$C79,$C80),0)</f>
        <v>0</v>
      </c>
      <c r="AH80" s="53">
        <f>IF($AC80&gt;0,SUMIFS(M$4:M79,$D$4:$D79,$D80,$Z$4:$Z79,$Z80,$C$4:$C79,$C80),0)</f>
        <v>0</v>
      </c>
      <c r="AI80" s="43">
        <f>IF(OR($C80="",$I80=""),0,IF(COUNTIFS($C$5:$C80,$C80,$I$5:$I80,$I80)=1,1,0))</f>
        <v>0</v>
      </c>
      <c r="AJ80" s="43" t="str">
        <f>IF($AI80=1,SUMIFS($AI$4:$AI79,$C$4:$C79,$C80)+1,"")</f>
        <v/>
      </c>
      <c r="AK80" s="43">
        <f>IF(OR($C80="",$K80=""),0,IF(COUNTIFS($C$5:$C80,$C80,$K$5:$K80,$K80)=1,1,0))</f>
        <v>0</v>
      </c>
      <c r="AL80" s="43" t="str">
        <f>IF($AK80=1,SUMIFS($AK$4:$AK79,$C$4:$C79,$C80)+1,"")</f>
        <v/>
      </c>
      <c r="AM80" s="43">
        <f>IF(OR($C80="",$G80=""),0,IF(COUNTIFS($C$5:$C80,$C80,$G$5:$G80,$G80)=1,1,0))</f>
        <v>0</v>
      </c>
      <c r="AN80" s="43" t="str">
        <f>IF($AM80=1,SUMIFS($AM$4:$AM79,$C$4:$C79,$C80)+1,"")</f>
        <v/>
      </c>
    </row>
    <row r="81">
      <c r="A81" s="44" t="str">
        <f>IF(OR($B81="",$D81=""),"","TX"&amp;TEXT(ROW()-4,"0000"))</f>
        <v/>
      </c>
      <c r="B81" s="42" t="n"/>
      <c r="C81" s="47" t="str">
        <f>IF($B81="","",YEAR($B81)*100+MONTH($B81))</f>
        <v/>
      </c>
      <c r="D81" s="37" t="n"/>
      <c r="E81" s="45" t="str">
        <f>IF($D81="","",IFERROR(INDEX(CARDS!$B$5:$B$34,MATCH($D81,CARDS!$A$5:$A$34,0)),"⚠ Card ID?"))</f>
        <v/>
      </c>
      <c r="F81" s="45" t="str">
        <f>IF($D81="","",IFERROR(INDEX(CARDS!$C$5:$C$34,MATCH($D81,CARDS!$A$5:$A$34,0)),"⚠ Card ID?"))</f>
        <v/>
      </c>
      <c r="G81" s="37" t="n"/>
      <c r="H81" s="37" t="n"/>
      <c r="I81" s="41" t="n"/>
      <c r="J81" s="45" t="str">
        <f>IF($I81="","",IFERROR(INDEX(MCC_MASTER!$B$5:$B$504,MATCH($I81,MCC_MASTER!$A$5:$A$504,0)),"⚠ MCC chưa có"))</f>
        <v/>
      </c>
      <c r="K81" s="45" t="str">
        <f>IF($I81="","",IFERROR(IF(INDEX(MCC_MASTER!$C$5:$C$504,MATCH($I81,MCC_MASTER!$A$5:$A$504,0))="","Chưa phân loại",INDEX(MCC_MASTER!$C$5:$C$504,MATCH($I81,MCC_MASTER!$A$5:$A$504,0))),"Chưa phân loại"))</f>
        <v/>
      </c>
      <c r="L81" s="40" t="n"/>
      <c r="M81" s="48" t="str">
        <f>IF(OR($B81="",$D81=""),"",IF($AC81=0,0,IF(ISNUMBER(INDEX(CASHBACK_RULES!$L$5:$L$304,$AC81)),MAX(0,MIN($L81,INDEX(CASHBACK_RULES!$L$5:$L$304,$AC81)-$AH81)),MAX(0,$L81))))</f>
        <v/>
      </c>
      <c r="N81" s="49" t="str">
        <f>IF(OR($B81="",$D81=""),"",IF($AC81&gt;0,INDEX(CASHBACK_RULES!$I$5:$I$304,$AC81),0))</f>
        <v/>
      </c>
      <c r="O81" s="48" t="str">
        <f>IF(OR($B81="",$D81=""),"",ROUND($M81*$N81,0))</f>
        <v/>
      </c>
      <c r="P81" s="48" t="str">
        <f>IF($AC81&gt;0,IF(ISNUMBER(INDEX(CASHBACK_RULES!$J$5:$J$304,$AC81)),INDEX(CASHBACK_RULES!$J$5:$J$304,$AC81),"∞"),"")</f>
        <v/>
      </c>
      <c r="Q81" s="48" t="str">
        <f>IF(OR($B81="",$D81=""),"",IF($AC81=0,0,MAX(0,MIN($O81,IF(ISNUMBER($P81),$P81-$AF81,1E+15),IF(ISNUMBER($AA81),$AA81-$AG81,1E+15)))))</f>
        <v/>
      </c>
      <c r="R81" s="48" t="str">
        <f>IF(OR($B81="",$D81=""),"",IF($AC81=0,"",IF(AND(NOT(ISNUMBER($P81)),NOT(ISNUMBER($AA81))),"∞",MAX(0,MIN(IF(ISNUMBER($P81),$P81-$AF81-$Q81,1E+15),IF(ISNUMBER($AA81),$AA81-$AG81-$Q81,1E+15))))))</f>
        <v/>
      </c>
      <c r="S81" s="47" t="str">
        <f>IF($AD81="","",YEAR($AD81)*100+MONTH($AD81))</f>
        <v/>
      </c>
      <c r="T81" s="50" t="str">
        <f>IF($AD81="","",IFERROR(IF(INDEX(CARDS!$I$5:$I$34,MATCH($D81,CARDS!$A$5:$A$34,0))="","",IF(INDEX(CARDS!$I$5:$I$34,MATCH($D81,CARDS!$A$5:$A$34,0))&gt;INDEX(CARDS!$H$5:$H$34,MATCH($D81,CARDS!$A$5:$A$34,0)),DATE(YEAR($AD81),MONTH($AD81),MIN(INDEX(CARDS!$I$5:$I$34,MATCH($D81,CARDS!$A$5:$A$34,0)),DAY(EOMONTH($AD81,0)))),DATE(YEAR($AD81),MONTH($AD81)+1,MIN(INDEX(CARDS!$I$5:$I$34,MATCH($D81,CARDS!$A$5:$A$34,0)),DAY(EOMONTH($AD81,1)))))),""))</f>
        <v/>
      </c>
      <c r="U81" s="38" t="n"/>
      <c r="V81" s="37" t="n"/>
      <c r="W81" s="38" t="n"/>
      <c r="X81" s="38" t="n"/>
      <c r="Y81" s="44" t="str">
        <f>IF($AC81&gt;0,INDEX(CASHBACK_RULES!$A$5:$A$304,$AC81),"")</f>
        <v/>
      </c>
      <c r="Z81" s="45" t="str">
        <f>IF($AC81&gt;0,INDEX(CASHBACK_RULES!$E$5:$E$304,$AC81)&amp;"","")</f>
        <v/>
      </c>
      <c r="AA81" s="48" t="str">
        <f>IF($AC81&gt;0,IF(ISNUMBER(INDEX(CASHBACK_RULES!$K$5:$K$304,$AC81)),INDEX(CASHBACK_RULES!$K$5:$K$304,$AC81),"∞"),"")</f>
        <v/>
      </c>
      <c r="AB81" s="44" t="str">
        <f>IF(OR($B81="",$D81=""),"",IF($U81="Cancelled","Đã hủy",IF($AC81=0,"Không được hoàn",IF($Q81=0,IF(OR($O81&gt;0,$M81&lt;$L81),"Đã đạt cap","Không được hoàn"),IF(OR($Q81&lt;$O81,$M81&lt;$L81),"Hoàn một phần","Được hoàn")))))</f>
        <v/>
      </c>
      <c r="AC81" s="43">
        <f>IF(OR($B81="",$D81="",$I81="",$L81=""),0,IF($U81="Cancelled",0,IF($W81&lt;&gt;"",IFERROR(IF(INDEX(CASHBACK_RULES!$B$5:$B$304,MATCH($W81,CASHBACK_RULES!$A$5:$A$304,0))=$D81,MATCH($W81,CASHBACK_RULES!$A$5:$A$304,0),0),0),IFERROR(MATCH(1,INDEX((CASHBACK_RULES!$B$5:$B$304=$D81)*(CASHBACK_RULES!$G$5:$G$304=$I81)*(((CASHBACK_RULES!$N$5:$N$304="")+(CASHBACK_RULES!$N$5:$N$304&lt;=$B81))&gt;0)*(((CASHBACK_RULES!$O$5:$O$304="")+(CASHBACK_RULES!$O$5:$O$304&gt;=$B81))&gt;0)*(((CASHBACK_RULES!$M$5:$M$304="")+(CASHBACK_RULES!$M$5:$M$304&lt;=$L81))&gt;0),0),0),0))))</f>
        <v>0</v>
      </c>
      <c r="AD81" s="51" t="str">
        <f>IF(OR($B81="",$D81=""),"",IFERROR(IF(INDEX(CARDS!$H$5:$H$34,MATCH($D81,CARDS!$A$5:$A$34,0))="","",IF(DAY($B81)&lt;=INDEX(CARDS!$H$5:$H$34,MATCH($D81,CARDS!$A$5:$A$34,0)),DATE(YEAR($B81),MONTH($B81),MIN(INDEX(CARDS!$H$5:$H$34,MATCH($D81,CARDS!$A$5:$A$34,0)),DAY(EOMONTH($B81,0)))),DATE(YEAR($B81),MONTH($B81)+1,MIN(INDEX(CARDS!$H$5:$H$34,MATCH($D81,CARDS!$A$5:$A$34,0)),DAY(EOMONTH($B81,1)))))),""))</f>
        <v/>
      </c>
      <c r="AE81" s="52" t="str">
        <f>IF($C81="","",$C81&amp;"|"&amp;COUNTIF($C$5:$C81,$C81))</f>
        <v/>
      </c>
      <c r="AF81" s="53">
        <f>IF($AC81&gt;0,SUMIFS(Q$4:Q80,$D$4:$D80,$D81,$Z$4:$Z80,$Z81,$C$4:$C80,$C81),0)</f>
        <v>0</v>
      </c>
      <c r="AG81" s="53">
        <f>IF($AC81&gt;0,SUMIFS(Q$4:Q80,$D$4:$D80,$D81,$C$4:$C80,$C81),0)</f>
        <v>0</v>
      </c>
      <c r="AH81" s="53">
        <f>IF($AC81&gt;0,SUMIFS(M$4:M80,$D$4:$D80,$D81,$Z$4:$Z80,$Z81,$C$4:$C80,$C81),0)</f>
        <v>0</v>
      </c>
      <c r="AI81" s="43">
        <f>IF(OR($C81="",$I81=""),0,IF(COUNTIFS($C$5:$C81,$C81,$I$5:$I81,$I81)=1,1,0))</f>
        <v>0</v>
      </c>
      <c r="AJ81" s="43" t="str">
        <f>IF($AI81=1,SUMIFS($AI$4:$AI80,$C$4:$C80,$C81)+1,"")</f>
        <v/>
      </c>
      <c r="AK81" s="43">
        <f>IF(OR($C81="",$K81=""),0,IF(COUNTIFS($C$5:$C81,$C81,$K$5:$K81,$K81)=1,1,0))</f>
        <v>0</v>
      </c>
      <c r="AL81" s="43" t="str">
        <f>IF($AK81=1,SUMIFS($AK$4:$AK80,$C$4:$C80,$C81)+1,"")</f>
        <v/>
      </c>
      <c r="AM81" s="43">
        <f>IF(OR($C81="",$G81=""),0,IF(COUNTIFS($C$5:$C81,$C81,$G$5:$G81,$G81)=1,1,0))</f>
        <v>0</v>
      </c>
      <c r="AN81" s="43" t="str">
        <f>IF($AM81=1,SUMIFS($AM$4:$AM80,$C$4:$C80,$C81)+1,"")</f>
        <v/>
      </c>
    </row>
    <row r="82">
      <c r="A82" s="44" t="str">
        <f>IF(OR($B82="",$D82=""),"","TX"&amp;TEXT(ROW()-4,"0000"))</f>
        <v/>
      </c>
      <c r="B82" s="42" t="n"/>
      <c r="C82" s="47" t="str">
        <f>IF($B82="","",YEAR($B82)*100+MONTH($B82))</f>
        <v/>
      </c>
      <c r="D82" s="37" t="n"/>
      <c r="E82" s="45" t="str">
        <f>IF($D82="","",IFERROR(INDEX(CARDS!$B$5:$B$34,MATCH($D82,CARDS!$A$5:$A$34,0)),"⚠ Card ID?"))</f>
        <v/>
      </c>
      <c r="F82" s="45" t="str">
        <f>IF($D82="","",IFERROR(INDEX(CARDS!$C$5:$C$34,MATCH($D82,CARDS!$A$5:$A$34,0)),"⚠ Card ID?"))</f>
        <v/>
      </c>
      <c r="G82" s="37" t="n"/>
      <c r="H82" s="37" t="n"/>
      <c r="I82" s="41" t="n"/>
      <c r="J82" s="45" t="str">
        <f>IF($I82="","",IFERROR(INDEX(MCC_MASTER!$B$5:$B$504,MATCH($I82,MCC_MASTER!$A$5:$A$504,0)),"⚠ MCC chưa có"))</f>
        <v/>
      </c>
      <c r="K82" s="45" t="str">
        <f>IF($I82="","",IFERROR(IF(INDEX(MCC_MASTER!$C$5:$C$504,MATCH($I82,MCC_MASTER!$A$5:$A$504,0))="","Chưa phân loại",INDEX(MCC_MASTER!$C$5:$C$504,MATCH($I82,MCC_MASTER!$A$5:$A$504,0))),"Chưa phân loại"))</f>
        <v/>
      </c>
      <c r="L82" s="40" t="n"/>
      <c r="M82" s="48" t="str">
        <f>IF(OR($B82="",$D82=""),"",IF($AC82=0,0,IF(ISNUMBER(INDEX(CASHBACK_RULES!$L$5:$L$304,$AC82)),MAX(0,MIN($L82,INDEX(CASHBACK_RULES!$L$5:$L$304,$AC82)-$AH82)),MAX(0,$L82))))</f>
        <v/>
      </c>
      <c r="N82" s="49" t="str">
        <f>IF(OR($B82="",$D82=""),"",IF($AC82&gt;0,INDEX(CASHBACK_RULES!$I$5:$I$304,$AC82),0))</f>
        <v/>
      </c>
      <c r="O82" s="48" t="str">
        <f>IF(OR($B82="",$D82=""),"",ROUND($M82*$N82,0))</f>
        <v/>
      </c>
      <c r="P82" s="48" t="str">
        <f>IF($AC82&gt;0,IF(ISNUMBER(INDEX(CASHBACK_RULES!$J$5:$J$304,$AC82)),INDEX(CASHBACK_RULES!$J$5:$J$304,$AC82),"∞"),"")</f>
        <v/>
      </c>
      <c r="Q82" s="48" t="str">
        <f>IF(OR($B82="",$D82=""),"",IF($AC82=0,0,MAX(0,MIN($O82,IF(ISNUMBER($P82),$P82-$AF82,1E+15),IF(ISNUMBER($AA82),$AA82-$AG82,1E+15)))))</f>
        <v/>
      </c>
      <c r="R82" s="48" t="str">
        <f>IF(OR($B82="",$D82=""),"",IF($AC82=0,"",IF(AND(NOT(ISNUMBER($P82)),NOT(ISNUMBER($AA82))),"∞",MAX(0,MIN(IF(ISNUMBER($P82),$P82-$AF82-$Q82,1E+15),IF(ISNUMBER($AA82),$AA82-$AG82-$Q82,1E+15))))))</f>
        <v/>
      </c>
      <c r="S82" s="47" t="str">
        <f>IF($AD82="","",YEAR($AD82)*100+MONTH($AD82))</f>
        <v/>
      </c>
      <c r="T82" s="50" t="str">
        <f>IF($AD82="","",IFERROR(IF(INDEX(CARDS!$I$5:$I$34,MATCH($D82,CARDS!$A$5:$A$34,0))="","",IF(INDEX(CARDS!$I$5:$I$34,MATCH($D82,CARDS!$A$5:$A$34,0))&gt;INDEX(CARDS!$H$5:$H$34,MATCH($D82,CARDS!$A$5:$A$34,0)),DATE(YEAR($AD82),MONTH($AD82),MIN(INDEX(CARDS!$I$5:$I$34,MATCH($D82,CARDS!$A$5:$A$34,0)),DAY(EOMONTH($AD82,0)))),DATE(YEAR($AD82),MONTH($AD82)+1,MIN(INDEX(CARDS!$I$5:$I$34,MATCH($D82,CARDS!$A$5:$A$34,0)),DAY(EOMONTH($AD82,1)))))),""))</f>
        <v/>
      </c>
      <c r="U82" s="38" t="n"/>
      <c r="V82" s="37" t="n"/>
      <c r="W82" s="38" t="n"/>
      <c r="X82" s="38" t="n"/>
      <c r="Y82" s="44" t="str">
        <f>IF($AC82&gt;0,INDEX(CASHBACK_RULES!$A$5:$A$304,$AC82),"")</f>
        <v/>
      </c>
      <c r="Z82" s="45" t="str">
        <f>IF($AC82&gt;0,INDEX(CASHBACK_RULES!$E$5:$E$304,$AC82)&amp;"","")</f>
        <v/>
      </c>
      <c r="AA82" s="48" t="str">
        <f>IF($AC82&gt;0,IF(ISNUMBER(INDEX(CASHBACK_RULES!$K$5:$K$304,$AC82)),INDEX(CASHBACK_RULES!$K$5:$K$304,$AC82),"∞"),"")</f>
        <v/>
      </c>
      <c r="AB82" s="44" t="str">
        <f>IF(OR($B82="",$D82=""),"",IF($U82="Cancelled","Đã hủy",IF($AC82=0,"Không được hoàn",IF($Q82=0,IF(OR($O82&gt;0,$M82&lt;$L82),"Đã đạt cap","Không được hoàn"),IF(OR($Q82&lt;$O82,$M82&lt;$L82),"Hoàn một phần","Được hoàn")))))</f>
        <v/>
      </c>
      <c r="AC82" s="43">
        <f>IF(OR($B82="",$D82="",$I82="",$L82=""),0,IF($U82="Cancelled",0,IF($W82&lt;&gt;"",IFERROR(IF(INDEX(CASHBACK_RULES!$B$5:$B$304,MATCH($W82,CASHBACK_RULES!$A$5:$A$304,0))=$D82,MATCH($W82,CASHBACK_RULES!$A$5:$A$304,0),0),0),IFERROR(MATCH(1,INDEX((CASHBACK_RULES!$B$5:$B$304=$D82)*(CASHBACK_RULES!$G$5:$G$304=$I82)*(((CASHBACK_RULES!$N$5:$N$304="")+(CASHBACK_RULES!$N$5:$N$304&lt;=$B82))&gt;0)*(((CASHBACK_RULES!$O$5:$O$304="")+(CASHBACK_RULES!$O$5:$O$304&gt;=$B82))&gt;0)*(((CASHBACK_RULES!$M$5:$M$304="")+(CASHBACK_RULES!$M$5:$M$304&lt;=$L82))&gt;0),0),0),0))))</f>
        <v>0</v>
      </c>
      <c r="AD82" s="51" t="str">
        <f>IF(OR($B82="",$D82=""),"",IFERROR(IF(INDEX(CARDS!$H$5:$H$34,MATCH($D82,CARDS!$A$5:$A$34,0))="","",IF(DAY($B82)&lt;=INDEX(CARDS!$H$5:$H$34,MATCH($D82,CARDS!$A$5:$A$34,0)),DATE(YEAR($B82),MONTH($B82),MIN(INDEX(CARDS!$H$5:$H$34,MATCH($D82,CARDS!$A$5:$A$34,0)),DAY(EOMONTH($B82,0)))),DATE(YEAR($B82),MONTH($B82)+1,MIN(INDEX(CARDS!$H$5:$H$34,MATCH($D82,CARDS!$A$5:$A$34,0)),DAY(EOMONTH($B82,1)))))),""))</f>
        <v/>
      </c>
      <c r="AE82" s="52" t="str">
        <f>IF($C82="","",$C82&amp;"|"&amp;COUNTIF($C$5:$C82,$C82))</f>
        <v/>
      </c>
      <c r="AF82" s="53">
        <f>IF($AC82&gt;0,SUMIFS(Q$4:Q81,$D$4:$D81,$D82,$Z$4:$Z81,$Z82,$C$4:$C81,$C82),0)</f>
        <v>0</v>
      </c>
      <c r="AG82" s="53">
        <f>IF($AC82&gt;0,SUMIFS(Q$4:Q81,$D$4:$D81,$D82,$C$4:$C81,$C82),0)</f>
        <v>0</v>
      </c>
      <c r="AH82" s="53">
        <f>IF($AC82&gt;0,SUMIFS(M$4:M81,$D$4:$D81,$D82,$Z$4:$Z81,$Z82,$C$4:$C81,$C82),0)</f>
        <v>0</v>
      </c>
      <c r="AI82" s="43">
        <f>IF(OR($C82="",$I82=""),0,IF(COUNTIFS($C$5:$C82,$C82,$I$5:$I82,$I82)=1,1,0))</f>
        <v>0</v>
      </c>
      <c r="AJ82" s="43" t="str">
        <f>IF($AI82=1,SUMIFS($AI$4:$AI81,$C$4:$C81,$C82)+1,"")</f>
        <v/>
      </c>
      <c r="AK82" s="43">
        <f>IF(OR($C82="",$K82=""),0,IF(COUNTIFS($C$5:$C82,$C82,$K$5:$K82,$K82)=1,1,0))</f>
        <v>0</v>
      </c>
      <c r="AL82" s="43" t="str">
        <f>IF($AK82=1,SUMIFS($AK$4:$AK81,$C$4:$C81,$C82)+1,"")</f>
        <v/>
      </c>
      <c r="AM82" s="43">
        <f>IF(OR($C82="",$G82=""),0,IF(COUNTIFS($C$5:$C82,$C82,$G$5:$G82,$G82)=1,1,0))</f>
        <v>0</v>
      </c>
      <c r="AN82" s="43" t="str">
        <f>IF($AM82=1,SUMIFS($AM$4:$AM81,$C$4:$C81,$C82)+1,"")</f>
        <v/>
      </c>
    </row>
    <row r="83">
      <c r="A83" s="44" t="str">
        <f>IF(OR($B83="",$D83=""),"","TX"&amp;TEXT(ROW()-4,"0000"))</f>
        <v/>
      </c>
      <c r="B83" s="42" t="n"/>
      <c r="C83" s="47" t="str">
        <f>IF($B83="","",YEAR($B83)*100+MONTH($B83))</f>
        <v/>
      </c>
      <c r="D83" s="37" t="n"/>
      <c r="E83" s="45" t="str">
        <f>IF($D83="","",IFERROR(INDEX(CARDS!$B$5:$B$34,MATCH($D83,CARDS!$A$5:$A$34,0)),"⚠ Card ID?"))</f>
        <v/>
      </c>
      <c r="F83" s="45" t="str">
        <f>IF($D83="","",IFERROR(INDEX(CARDS!$C$5:$C$34,MATCH($D83,CARDS!$A$5:$A$34,0)),"⚠ Card ID?"))</f>
        <v/>
      </c>
      <c r="G83" s="37" t="n"/>
      <c r="H83" s="37" t="n"/>
      <c r="I83" s="41" t="n"/>
      <c r="J83" s="45" t="str">
        <f>IF($I83="","",IFERROR(INDEX(MCC_MASTER!$B$5:$B$504,MATCH($I83,MCC_MASTER!$A$5:$A$504,0)),"⚠ MCC chưa có"))</f>
        <v/>
      </c>
      <c r="K83" s="45" t="str">
        <f>IF($I83="","",IFERROR(IF(INDEX(MCC_MASTER!$C$5:$C$504,MATCH($I83,MCC_MASTER!$A$5:$A$504,0))="","Chưa phân loại",INDEX(MCC_MASTER!$C$5:$C$504,MATCH($I83,MCC_MASTER!$A$5:$A$504,0))),"Chưa phân loại"))</f>
        <v/>
      </c>
      <c r="L83" s="40" t="n"/>
      <c r="M83" s="48" t="str">
        <f>IF(OR($B83="",$D83=""),"",IF($AC83=0,0,IF(ISNUMBER(INDEX(CASHBACK_RULES!$L$5:$L$304,$AC83)),MAX(0,MIN($L83,INDEX(CASHBACK_RULES!$L$5:$L$304,$AC83)-$AH83)),MAX(0,$L83))))</f>
        <v/>
      </c>
      <c r="N83" s="49" t="str">
        <f>IF(OR($B83="",$D83=""),"",IF($AC83&gt;0,INDEX(CASHBACK_RULES!$I$5:$I$304,$AC83),0))</f>
        <v/>
      </c>
      <c r="O83" s="48" t="str">
        <f>IF(OR($B83="",$D83=""),"",ROUND($M83*$N83,0))</f>
        <v/>
      </c>
      <c r="P83" s="48" t="str">
        <f>IF($AC83&gt;0,IF(ISNUMBER(INDEX(CASHBACK_RULES!$J$5:$J$304,$AC83)),INDEX(CASHBACK_RULES!$J$5:$J$304,$AC83),"∞"),"")</f>
        <v/>
      </c>
      <c r="Q83" s="48" t="str">
        <f>IF(OR($B83="",$D83=""),"",IF($AC83=0,0,MAX(0,MIN($O83,IF(ISNUMBER($P83),$P83-$AF83,1E+15),IF(ISNUMBER($AA83),$AA83-$AG83,1E+15)))))</f>
        <v/>
      </c>
      <c r="R83" s="48" t="str">
        <f>IF(OR($B83="",$D83=""),"",IF($AC83=0,"",IF(AND(NOT(ISNUMBER($P83)),NOT(ISNUMBER($AA83))),"∞",MAX(0,MIN(IF(ISNUMBER($P83),$P83-$AF83-$Q83,1E+15),IF(ISNUMBER($AA83),$AA83-$AG83-$Q83,1E+15))))))</f>
        <v/>
      </c>
      <c r="S83" s="47" t="str">
        <f>IF($AD83="","",YEAR($AD83)*100+MONTH($AD83))</f>
        <v/>
      </c>
      <c r="T83" s="50" t="str">
        <f>IF($AD83="","",IFERROR(IF(INDEX(CARDS!$I$5:$I$34,MATCH($D83,CARDS!$A$5:$A$34,0))="","",IF(INDEX(CARDS!$I$5:$I$34,MATCH($D83,CARDS!$A$5:$A$34,0))&gt;INDEX(CARDS!$H$5:$H$34,MATCH($D83,CARDS!$A$5:$A$34,0)),DATE(YEAR($AD83),MONTH($AD83),MIN(INDEX(CARDS!$I$5:$I$34,MATCH($D83,CARDS!$A$5:$A$34,0)),DAY(EOMONTH($AD83,0)))),DATE(YEAR($AD83),MONTH($AD83)+1,MIN(INDEX(CARDS!$I$5:$I$34,MATCH($D83,CARDS!$A$5:$A$34,0)),DAY(EOMONTH($AD83,1)))))),""))</f>
        <v/>
      </c>
      <c r="U83" s="38" t="n"/>
      <c r="V83" s="37" t="n"/>
      <c r="W83" s="38" t="n"/>
      <c r="X83" s="38" t="n"/>
      <c r="Y83" s="44" t="str">
        <f>IF($AC83&gt;0,INDEX(CASHBACK_RULES!$A$5:$A$304,$AC83),"")</f>
        <v/>
      </c>
      <c r="Z83" s="45" t="str">
        <f>IF($AC83&gt;0,INDEX(CASHBACK_RULES!$E$5:$E$304,$AC83)&amp;"","")</f>
        <v/>
      </c>
      <c r="AA83" s="48" t="str">
        <f>IF($AC83&gt;0,IF(ISNUMBER(INDEX(CASHBACK_RULES!$K$5:$K$304,$AC83)),INDEX(CASHBACK_RULES!$K$5:$K$304,$AC83),"∞"),"")</f>
        <v/>
      </c>
      <c r="AB83" s="44" t="str">
        <f>IF(OR($B83="",$D83=""),"",IF($U83="Cancelled","Đã hủy",IF($AC83=0,"Không được hoàn",IF($Q83=0,IF(OR($O83&gt;0,$M83&lt;$L83),"Đã đạt cap","Không được hoàn"),IF(OR($Q83&lt;$O83,$M83&lt;$L83),"Hoàn một phần","Được hoàn")))))</f>
        <v/>
      </c>
      <c r="AC83" s="43">
        <f>IF(OR($B83="",$D83="",$I83="",$L83=""),0,IF($U83="Cancelled",0,IF($W83&lt;&gt;"",IFERROR(IF(INDEX(CASHBACK_RULES!$B$5:$B$304,MATCH($W83,CASHBACK_RULES!$A$5:$A$304,0))=$D83,MATCH($W83,CASHBACK_RULES!$A$5:$A$304,0),0),0),IFERROR(MATCH(1,INDEX((CASHBACK_RULES!$B$5:$B$304=$D83)*(CASHBACK_RULES!$G$5:$G$304=$I83)*(((CASHBACK_RULES!$N$5:$N$304="")+(CASHBACK_RULES!$N$5:$N$304&lt;=$B83))&gt;0)*(((CASHBACK_RULES!$O$5:$O$304="")+(CASHBACK_RULES!$O$5:$O$304&gt;=$B83))&gt;0)*(((CASHBACK_RULES!$M$5:$M$304="")+(CASHBACK_RULES!$M$5:$M$304&lt;=$L83))&gt;0),0),0),0))))</f>
        <v>0</v>
      </c>
      <c r="AD83" s="51" t="str">
        <f>IF(OR($B83="",$D83=""),"",IFERROR(IF(INDEX(CARDS!$H$5:$H$34,MATCH($D83,CARDS!$A$5:$A$34,0))="","",IF(DAY($B83)&lt;=INDEX(CARDS!$H$5:$H$34,MATCH($D83,CARDS!$A$5:$A$34,0)),DATE(YEAR($B83),MONTH($B83),MIN(INDEX(CARDS!$H$5:$H$34,MATCH($D83,CARDS!$A$5:$A$34,0)),DAY(EOMONTH($B83,0)))),DATE(YEAR($B83),MONTH($B83)+1,MIN(INDEX(CARDS!$H$5:$H$34,MATCH($D83,CARDS!$A$5:$A$34,0)),DAY(EOMONTH($B83,1)))))),""))</f>
        <v/>
      </c>
      <c r="AE83" s="52" t="str">
        <f>IF($C83="","",$C83&amp;"|"&amp;COUNTIF($C$5:$C83,$C83))</f>
        <v/>
      </c>
      <c r="AF83" s="53">
        <f>IF($AC83&gt;0,SUMIFS(Q$4:Q82,$D$4:$D82,$D83,$Z$4:$Z82,$Z83,$C$4:$C82,$C83),0)</f>
        <v>0</v>
      </c>
      <c r="AG83" s="53">
        <f>IF($AC83&gt;0,SUMIFS(Q$4:Q82,$D$4:$D82,$D83,$C$4:$C82,$C83),0)</f>
        <v>0</v>
      </c>
      <c r="AH83" s="53">
        <f>IF($AC83&gt;0,SUMIFS(M$4:M82,$D$4:$D82,$D83,$Z$4:$Z82,$Z83,$C$4:$C82,$C83),0)</f>
        <v>0</v>
      </c>
      <c r="AI83" s="43">
        <f>IF(OR($C83="",$I83=""),0,IF(COUNTIFS($C$5:$C83,$C83,$I$5:$I83,$I83)=1,1,0))</f>
        <v>0</v>
      </c>
      <c r="AJ83" s="43" t="str">
        <f>IF($AI83=1,SUMIFS($AI$4:$AI82,$C$4:$C82,$C83)+1,"")</f>
        <v/>
      </c>
      <c r="AK83" s="43">
        <f>IF(OR($C83="",$K83=""),0,IF(COUNTIFS($C$5:$C83,$C83,$K$5:$K83,$K83)=1,1,0))</f>
        <v>0</v>
      </c>
      <c r="AL83" s="43" t="str">
        <f>IF($AK83=1,SUMIFS($AK$4:$AK82,$C$4:$C82,$C83)+1,"")</f>
        <v/>
      </c>
      <c r="AM83" s="43">
        <f>IF(OR($C83="",$G83=""),0,IF(COUNTIFS($C$5:$C83,$C83,$G$5:$G83,$G83)=1,1,0))</f>
        <v>0</v>
      </c>
      <c r="AN83" s="43" t="str">
        <f>IF($AM83=1,SUMIFS($AM$4:$AM82,$C$4:$C82,$C83)+1,"")</f>
        <v/>
      </c>
    </row>
    <row r="84">
      <c r="A84" s="44" t="str">
        <f>IF(OR($B84="",$D84=""),"","TX"&amp;TEXT(ROW()-4,"0000"))</f>
        <v/>
      </c>
      <c r="B84" s="42" t="n"/>
      <c r="C84" s="47" t="str">
        <f>IF($B84="","",YEAR($B84)*100+MONTH($B84))</f>
        <v/>
      </c>
      <c r="D84" s="37" t="n"/>
      <c r="E84" s="45" t="str">
        <f>IF($D84="","",IFERROR(INDEX(CARDS!$B$5:$B$34,MATCH($D84,CARDS!$A$5:$A$34,0)),"⚠ Card ID?"))</f>
        <v/>
      </c>
      <c r="F84" s="45" t="str">
        <f>IF($D84="","",IFERROR(INDEX(CARDS!$C$5:$C$34,MATCH($D84,CARDS!$A$5:$A$34,0)),"⚠ Card ID?"))</f>
        <v/>
      </c>
      <c r="G84" s="37" t="n"/>
      <c r="H84" s="37" t="n"/>
      <c r="I84" s="41" t="n"/>
      <c r="J84" s="45" t="str">
        <f>IF($I84="","",IFERROR(INDEX(MCC_MASTER!$B$5:$B$504,MATCH($I84,MCC_MASTER!$A$5:$A$504,0)),"⚠ MCC chưa có"))</f>
        <v/>
      </c>
      <c r="K84" s="45" t="str">
        <f>IF($I84="","",IFERROR(IF(INDEX(MCC_MASTER!$C$5:$C$504,MATCH($I84,MCC_MASTER!$A$5:$A$504,0))="","Chưa phân loại",INDEX(MCC_MASTER!$C$5:$C$504,MATCH($I84,MCC_MASTER!$A$5:$A$504,0))),"Chưa phân loại"))</f>
        <v/>
      </c>
      <c r="L84" s="40" t="n"/>
      <c r="M84" s="48" t="str">
        <f>IF(OR($B84="",$D84=""),"",IF($AC84=0,0,IF(ISNUMBER(INDEX(CASHBACK_RULES!$L$5:$L$304,$AC84)),MAX(0,MIN($L84,INDEX(CASHBACK_RULES!$L$5:$L$304,$AC84)-$AH84)),MAX(0,$L84))))</f>
        <v/>
      </c>
      <c r="N84" s="49" t="str">
        <f>IF(OR($B84="",$D84=""),"",IF($AC84&gt;0,INDEX(CASHBACK_RULES!$I$5:$I$304,$AC84),0))</f>
        <v/>
      </c>
      <c r="O84" s="48" t="str">
        <f>IF(OR($B84="",$D84=""),"",ROUND($M84*$N84,0))</f>
        <v/>
      </c>
      <c r="P84" s="48" t="str">
        <f>IF($AC84&gt;0,IF(ISNUMBER(INDEX(CASHBACK_RULES!$J$5:$J$304,$AC84)),INDEX(CASHBACK_RULES!$J$5:$J$304,$AC84),"∞"),"")</f>
        <v/>
      </c>
      <c r="Q84" s="48" t="str">
        <f>IF(OR($B84="",$D84=""),"",IF($AC84=0,0,MAX(0,MIN($O84,IF(ISNUMBER($P84),$P84-$AF84,1E+15),IF(ISNUMBER($AA84),$AA84-$AG84,1E+15)))))</f>
        <v/>
      </c>
      <c r="R84" s="48" t="str">
        <f>IF(OR($B84="",$D84=""),"",IF($AC84=0,"",IF(AND(NOT(ISNUMBER($P84)),NOT(ISNUMBER($AA84))),"∞",MAX(0,MIN(IF(ISNUMBER($P84),$P84-$AF84-$Q84,1E+15),IF(ISNUMBER($AA84),$AA84-$AG84-$Q84,1E+15))))))</f>
        <v/>
      </c>
      <c r="S84" s="47" t="str">
        <f>IF($AD84="","",YEAR($AD84)*100+MONTH($AD84))</f>
        <v/>
      </c>
      <c r="T84" s="50" t="str">
        <f>IF($AD84="","",IFERROR(IF(INDEX(CARDS!$I$5:$I$34,MATCH($D84,CARDS!$A$5:$A$34,0))="","",IF(INDEX(CARDS!$I$5:$I$34,MATCH($D84,CARDS!$A$5:$A$34,0))&gt;INDEX(CARDS!$H$5:$H$34,MATCH($D84,CARDS!$A$5:$A$34,0)),DATE(YEAR($AD84),MONTH($AD84),MIN(INDEX(CARDS!$I$5:$I$34,MATCH($D84,CARDS!$A$5:$A$34,0)),DAY(EOMONTH($AD84,0)))),DATE(YEAR($AD84),MONTH($AD84)+1,MIN(INDEX(CARDS!$I$5:$I$34,MATCH($D84,CARDS!$A$5:$A$34,0)),DAY(EOMONTH($AD84,1)))))),""))</f>
        <v/>
      </c>
      <c r="U84" s="38" t="n"/>
      <c r="V84" s="37" t="n"/>
      <c r="W84" s="38" t="n"/>
      <c r="X84" s="38" t="n"/>
      <c r="Y84" s="44" t="str">
        <f>IF($AC84&gt;0,INDEX(CASHBACK_RULES!$A$5:$A$304,$AC84),"")</f>
        <v/>
      </c>
      <c r="Z84" s="45" t="str">
        <f>IF($AC84&gt;0,INDEX(CASHBACK_RULES!$E$5:$E$304,$AC84)&amp;"","")</f>
        <v/>
      </c>
      <c r="AA84" s="48" t="str">
        <f>IF($AC84&gt;0,IF(ISNUMBER(INDEX(CASHBACK_RULES!$K$5:$K$304,$AC84)),INDEX(CASHBACK_RULES!$K$5:$K$304,$AC84),"∞"),"")</f>
        <v/>
      </c>
      <c r="AB84" s="44" t="str">
        <f>IF(OR($B84="",$D84=""),"",IF($U84="Cancelled","Đã hủy",IF($AC84=0,"Không được hoàn",IF($Q84=0,IF(OR($O84&gt;0,$M84&lt;$L84),"Đã đạt cap","Không được hoàn"),IF(OR($Q84&lt;$O84,$M84&lt;$L84),"Hoàn một phần","Được hoàn")))))</f>
        <v/>
      </c>
      <c r="AC84" s="43">
        <f>IF(OR($B84="",$D84="",$I84="",$L84=""),0,IF($U84="Cancelled",0,IF($W84&lt;&gt;"",IFERROR(IF(INDEX(CASHBACK_RULES!$B$5:$B$304,MATCH($W84,CASHBACK_RULES!$A$5:$A$304,0))=$D84,MATCH($W84,CASHBACK_RULES!$A$5:$A$304,0),0),0),IFERROR(MATCH(1,INDEX((CASHBACK_RULES!$B$5:$B$304=$D84)*(CASHBACK_RULES!$G$5:$G$304=$I84)*(((CASHBACK_RULES!$N$5:$N$304="")+(CASHBACK_RULES!$N$5:$N$304&lt;=$B84))&gt;0)*(((CASHBACK_RULES!$O$5:$O$304="")+(CASHBACK_RULES!$O$5:$O$304&gt;=$B84))&gt;0)*(((CASHBACK_RULES!$M$5:$M$304="")+(CASHBACK_RULES!$M$5:$M$304&lt;=$L84))&gt;0),0),0),0))))</f>
        <v>0</v>
      </c>
      <c r="AD84" s="51" t="str">
        <f>IF(OR($B84="",$D84=""),"",IFERROR(IF(INDEX(CARDS!$H$5:$H$34,MATCH($D84,CARDS!$A$5:$A$34,0))="","",IF(DAY($B84)&lt;=INDEX(CARDS!$H$5:$H$34,MATCH($D84,CARDS!$A$5:$A$34,0)),DATE(YEAR($B84),MONTH($B84),MIN(INDEX(CARDS!$H$5:$H$34,MATCH($D84,CARDS!$A$5:$A$34,0)),DAY(EOMONTH($B84,0)))),DATE(YEAR($B84),MONTH($B84)+1,MIN(INDEX(CARDS!$H$5:$H$34,MATCH($D84,CARDS!$A$5:$A$34,0)),DAY(EOMONTH($B84,1)))))),""))</f>
        <v/>
      </c>
      <c r="AE84" s="52" t="str">
        <f>IF($C84="","",$C84&amp;"|"&amp;COUNTIF($C$5:$C84,$C84))</f>
        <v/>
      </c>
      <c r="AF84" s="53">
        <f>IF($AC84&gt;0,SUMIFS(Q$4:Q83,$D$4:$D83,$D84,$Z$4:$Z83,$Z84,$C$4:$C83,$C84),0)</f>
        <v>0</v>
      </c>
      <c r="AG84" s="53">
        <f>IF($AC84&gt;0,SUMIFS(Q$4:Q83,$D$4:$D83,$D84,$C$4:$C83,$C84),0)</f>
        <v>0</v>
      </c>
      <c r="AH84" s="53">
        <f>IF($AC84&gt;0,SUMIFS(M$4:M83,$D$4:$D83,$D84,$Z$4:$Z83,$Z84,$C$4:$C83,$C84),0)</f>
        <v>0</v>
      </c>
      <c r="AI84" s="43">
        <f>IF(OR($C84="",$I84=""),0,IF(COUNTIFS($C$5:$C84,$C84,$I$5:$I84,$I84)=1,1,0))</f>
        <v>0</v>
      </c>
      <c r="AJ84" s="43" t="str">
        <f>IF($AI84=1,SUMIFS($AI$4:$AI83,$C$4:$C83,$C84)+1,"")</f>
        <v/>
      </c>
      <c r="AK84" s="43">
        <f>IF(OR($C84="",$K84=""),0,IF(COUNTIFS($C$5:$C84,$C84,$K$5:$K84,$K84)=1,1,0))</f>
        <v>0</v>
      </c>
      <c r="AL84" s="43" t="str">
        <f>IF($AK84=1,SUMIFS($AK$4:$AK83,$C$4:$C83,$C84)+1,"")</f>
        <v/>
      </c>
      <c r="AM84" s="43">
        <f>IF(OR($C84="",$G84=""),0,IF(COUNTIFS($C$5:$C84,$C84,$G$5:$G84,$G84)=1,1,0))</f>
        <v>0</v>
      </c>
      <c r="AN84" s="43" t="str">
        <f>IF($AM84=1,SUMIFS($AM$4:$AM83,$C$4:$C83,$C84)+1,"")</f>
        <v/>
      </c>
    </row>
    <row r="85">
      <c r="A85" s="44" t="str">
        <f>IF(OR($B85="",$D85=""),"","TX"&amp;TEXT(ROW()-4,"0000"))</f>
        <v/>
      </c>
      <c r="B85" s="42" t="n"/>
      <c r="C85" s="47" t="str">
        <f>IF($B85="","",YEAR($B85)*100+MONTH($B85))</f>
        <v/>
      </c>
      <c r="D85" s="37" t="n"/>
      <c r="E85" s="45" t="str">
        <f>IF($D85="","",IFERROR(INDEX(CARDS!$B$5:$B$34,MATCH($D85,CARDS!$A$5:$A$34,0)),"⚠ Card ID?"))</f>
        <v/>
      </c>
      <c r="F85" s="45" t="str">
        <f>IF($D85="","",IFERROR(INDEX(CARDS!$C$5:$C$34,MATCH($D85,CARDS!$A$5:$A$34,0)),"⚠ Card ID?"))</f>
        <v/>
      </c>
      <c r="G85" s="37" t="n"/>
      <c r="H85" s="37" t="n"/>
      <c r="I85" s="41" t="n"/>
      <c r="J85" s="45" t="str">
        <f>IF($I85="","",IFERROR(INDEX(MCC_MASTER!$B$5:$B$504,MATCH($I85,MCC_MASTER!$A$5:$A$504,0)),"⚠ MCC chưa có"))</f>
        <v/>
      </c>
      <c r="K85" s="45" t="str">
        <f>IF($I85="","",IFERROR(IF(INDEX(MCC_MASTER!$C$5:$C$504,MATCH($I85,MCC_MASTER!$A$5:$A$504,0))="","Chưa phân loại",INDEX(MCC_MASTER!$C$5:$C$504,MATCH($I85,MCC_MASTER!$A$5:$A$504,0))),"Chưa phân loại"))</f>
        <v/>
      </c>
      <c r="L85" s="40" t="n"/>
      <c r="M85" s="48" t="str">
        <f>IF(OR($B85="",$D85=""),"",IF($AC85=0,0,IF(ISNUMBER(INDEX(CASHBACK_RULES!$L$5:$L$304,$AC85)),MAX(0,MIN($L85,INDEX(CASHBACK_RULES!$L$5:$L$304,$AC85)-$AH85)),MAX(0,$L85))))</f>
        <v/>
      </c>
      <c r="N85" s="49" t="str">
        <f>IF(OR($B85="",$D85=""),"",IF($AC85&gt;0,INDEX(CASHBACK_RULES!$I$5:$I$304,$AC85),0))</f>
        <v/>
      </c>
      <c r="O85" s="48" t="str">
        <f>IF(OR($B85="",$D85=""),"",ROUND($M85*$N85,0))</f>
        <v/>
      </c>
      <c r="P85" s="48" t="str">
        <f>IF($AC85&gt;0,IF(ISNUMBER(INDEX(CASHBACK_RULES!$J$5:$J$304,$AC85)),INDEX(CASHBACK_RULES!$J$5:$J$304,$AC85),"∞"),"")</f>
        <v/>
      </c>
      <c r="Q85" s="48" t="str">
        <f>IF(OR($B85="",$D85=""),"",IF($AC85=0,0,MAX(0,MIN($O85,IF(ISNUMBER($P85),$P85-$AF85,1E+15),IF(ISNUMBER($AA85),$AA85-$AG85,1E+15)))))</f>
        <v/>
      </c>
      <c r="R85" s="48" t="str">
        <f>IF(OR($B85="",$D85=""),"",IF($AC85=0,"",IF(AND(NOT(ISNUMBER($P85)),NOT(ISNUMBER($AA85))),"∞",MAX(0,MIN(IF(ISNUMBER($P85),$P85-$AF85-$Q85,1E+15),IF(ISNUMBER($AA85),$AA85-$AG85-$Q85,1E+15))))))</f>
        <v/>
      </c>
      <c r="S85" s="47" t="str">
        <f>IF($AD85="","",YEAR($AD85)*100+MONTH($AD85))</f>
        <v/>
      </c>
      <c r="T85" s="50" t="str">
        <f>IF($AD85="","",IFERROR(IF(INDEX(CARDS!$I$5:$I$34,MATCH($D85,CARDS!$A$5:$A$34,0))="","",IF(INDEX(CARDS!$I$5:$I$34,MATCH($D85,CARDS!$A$5:$A$34,0))&gt;INDEX(CARDS!$H$5:$H$34,MATCH($D85,CARDS!$A$5:$A$34,0)),DATE(YEAR($AD85),MONTH($AD85),MIN(INDEX(CARDS!$I$5:$I$34,MATCH($D85,CARDS!$A$5:$A$34,0)),DAY(EOMONTH($AD85,0)))),DATE(YEAR($AD85),MONTH($AD85)+1,MIN(INDEX(CARDS!$I$5:$I$34,MATCH($D85,CARDS!$A$5:$A$34,0)),DAY(EOMONTH($AD85,1)))))),""))</f>
        <v/>
      </c>
      <c r="U85" s="38" t="n"/>
      <c r="V85" s="37" t="n"/>
      <c r="W85" s="38" t="n"/>
      <c r="X85" s="38" t="n"/>
      <c r="Y85" s="44" t="str">
        <f>IF($AC85&gt;0,INDEX(CASHBACK_RULES!$A$5:$A$304,$AC85),"")</f>
        <v/>
      </c>
      <c r="Z85" s="45" t="str">
        <f>IF($AC85&gt;0,INDEX(CASHBACK_RULES!$E$5:$E$304,$AC85)&amp;"","")</f>
        <v/>
      </c>
      <c r="AA85" s="48" t="str">
        <f>IF($AC85&gt;0,IF(ISNUMBER(INDEX(CASHBACK_RULES!$K$5:$K$304,$AC85)),INDEX(CASHBACK_RULES!$K$5:$K$304,$AC85),"∞"),"")</f>
        <v/>
      </c>
      <c r="AB85" s="44" t="str">
        <f>IF(OR($B85="",$D85=""),"",IF($U85="Cancelled","Đã hủy",IF($AC85=0,"Không được hoàn",IF($Q85=0,IF(OR($O85&gt;0,$M85&lt;$L85),"Đã đạt cap","Không được hoàn"),IF(OR($Q85&lt;$O85,$M85&lt;$L85),"Hoàn một phần","Được hoàn")))))</f>
        <v/>
      </c>
      <c r="AC85" s="43">
        <f>IF(OR($B85="",$D85="",$I85="",$L85=""),0,IF($U85="Cancelled",0,IF($W85&lt;&gt;"",IFERROR(IF(INDEX(CASHBACK_RULES!$B$5:$B$304,MATCH($W85,CASHBACK_RULES!$A$5:$A$304,0))=$D85,MATCH($W85,CASHBACK_RULES!$A$5:$A$304,0),0),0),IFERROR(MATCH(1,INDEX((CASHBACK_RULES!$B$5:$B$304=$D85)*(CASHBACK_RULES!$G$5:$G$304=$I85)*(((CASHBACK_RULES!$N$5:$N$304="")+(CASHBACK_RULES!$N$5:$N$304&lt;=$B85))&gt;0)*(((CASHBACK_RULES!$O$5:$O$304="")+(CASHBACK_RULES!$O$5:$O$304&gt;=$B85))&gt;0)*(((CASHBACK_RULES!$M$5:$M$304="")+(CASHBACK_RULES!$M$5:$M$304&lt;=$L85))&gt;0),0),0),0))))</f>
        <v>0</v>
      </c>
      <c r="AD85" s="51" t="str">
        <f>IF(OR($B85="",$D85=""),"",IFERROR(IF(INDEX(CARDS!$H$5:$H$34,MATCH($D85,CARDS!$A$5:$A$34,0))="","",IF(DAY($B85)&lt;=INDEX(CARDS!$H$5:$H$34,MATCH($D85,CARDS!$A$5:$A$34,0)),DATE(YEAR($B85),MONTH($B85),MIN(INDEX(CARDS!$H$5:$H$34,MATCH($D85,CARDS!$A$5:$A$34,0)),DAY(EOMONTH($B85,0)))),DATE(YEAR($B85),MONTH($B85)+1,MIN(INDEX(CARDS!$H$5:$H$34,MATCH($D85,CARDS!$A$5:$A$34,0)),DAY(EOMONTH($B85,1)))))),""))</f>
        <v/>
      </c>
      <c r="AE85" s="52" t="str">
        <f>IF($C85="","",$C85&amp;"|"&amp;COUNTIF($C$5:$C85,$C85))</f>
        <v/>
      </c>
      <c r="AF85" s="53">
        <f>IF($AC85&gt;0,SUMIFS(Q$4:Q84,$D$4:$D84,$D85,$Z$4:$Z84,$Z85,$C$4:$C84,$C85),0)</f>
        <v>0</v>
      </c>
      <c r="AG85" s="53">
        <f>IF($AC85&gt;0,SUMIFS(Q$4:Q84,$D$4:$D84,$D85,$C$4:$C84,$C85),0)</f>
        <v>0</v>
      </c>
      <c r="AH85" s="53">
        <f>IF($AC85&gt;0,SUMIFS(M$4:M84,$D$4:$D84,$D85,$Z$4:$Z84,$Z85,$C$4:$C84,$C85),0)</f>
        <v>0</v>
      </c>
      <c r="AI85" s="43">
        <f>IF(OR($C85="",$I85=""),0,IF(COUNTIFS($C$5:$C85,$C85,$I$5:$I85,$I85)=1,1,0))</f>
        <v>0</v>
      </c>
      <c r="AJ85" s="43" t="str">
        <f>IF($AI85=1,SUMIFS($AI$4:$AI84,$C$4:$C84,$C85)+1,"")</f>
        <v/>
      </c>
      <c r="AK85" s="43">
        <f>IF(OR($C85="",$K85=""),0,IF(COUNTIFS($C$5:$C85,$C85,$K$5:$K85,$K85)=1,1,0))</f>
        <v>0</v>
      </c>
      <c r="AL85" s="43" t="str">
        <f>IF($AK85=1,SUMIFS($AK$4:$AK84,$C$4:$C84,$C85)+1,"")</f>
        <v/>
      </c>
      <c r="AM85" s="43">
        <f>IF(OR($C85="",$G85=""),0,IF(COUNTIFS($C$5:$C85,$C85,$G$5:$G85,$G85)=1,1,0))</f>
        <v>0</v>
      </c>
      <c r="AN85" s="43" t="str">
        <f>IF($AM85=1,SUMIFS($AM$4:$AM84,$C$4:$C84,$C85)+1,"")</f>
        <v/>
      </c>
    </row>
    <row r="86">
      <c r="A86" s="44" t="str">
        <f>IF(OR($B86="",$D86=""),"","TX"&amp;TEXT(ROW()-4,"0000"))</f>
        <v/>
      </c>
      <c r="B86" s="42" t="n"/>
      <c r="C86" s="47" t="str">
        <f>IF($B86="","",YEAR($B86)*100+MONTH($B86))</f>
        <v/>
      </c>
      <c r="D86" s="37" t="n"/>
      <c r="E86" s="45" t="str">
        <f>IF($D86="","",IFERROR(INDEX(CARDS!$B$5:$B$34,MATCH($D86,CARDS!$A$5:$A$34,0)),"⚠ Card ID?"))</f>
        <v/>
      </c>
      <c r="F86" s="45" t="str">
        <f>IF($D86="","",IFERROR(INDEX(CARDS!$C$5:$C$34,MATCH($D86,CARDS!$A$5:$A$34,0)),"⚠ Card ID?"))</f>
        <v/>
      </c>
      <c r="G86" s="37" t="n"/>
      <c r="H86" s="37" t="n"/>
      <c r="I86" s="41" t="n"/>
      <c r="J86" s="45" t="str">
        <f>IF($I86="","",IFERROR(INDEX(MCC_MASTER!$B$5:$B$504,MATCH($I86,MCC_MASTER!$A$5:$A$504,0)),"⚠ MCC chưa có"))</f>
        <v/>
      </c>
      <c r="K86" s="45" t="str">
        <f>IF($I86="","",IFERROR(IF(INDEX(MCC_MASTER!$C$5:$C$504,MATCH($I86,MCC_MASTER!$A$5:$A$504,0))="","Chưa phân loại",INDEX(MCC_MASTER!$C$5:$C$504,MATCH($I86,MCC_MASTER!$A$5:$A$504,0))),"Chưa phân loại"))</f>
        <v/>
      </c>
      <c r="L86" s="40" t="n"/>
      <c r="M86" s="48" t="str">
        <f>IF(OR($B86="",$D86=""),"",IF($AC86=0,0,IF(ISNUMBER(INDEX(CASHBACK_RULES!$L$5:$L$304,$AC86)),MAX(0,MIN($L86,INDEX(CASHBACK_RULES!$L$5:$L$304,$AC86)-$AH86)),MAX(0,$L86))))</f>
        <v/>
      </c>
      <c r="N86" s="49" t="str">
        <f>IF(OR($B86="",$D86=""),"",IF($AC86&gt;0,INDEX(CASHBACK_RULES!$I$5:$I$304,$AC86),0))</f>
        <v/>
      </c>
      <c r="O86" s="48" t="str">
        <f>IF(OR($B86="",$D86=""),"",ROUND($M86*$N86,0))</f>
        <v/>
      </c>
      <c r="P86" s="48" t="str">
        <f>IF($AC86&gt;0,IF(ISNUMBER(INDEX(CASHBACK_RULES!$J$5:$J$304,$AC86)),INDEX(CASHBACK_RULES!$J$5:$J$304,$AC86),"∞"),"")</f>
        <v/>
      </c>
      <c r="Q86" s="48" t="str">
        <f>IF(OR($B86="",$D86=""),"",IF($AC86=0,0,MAX(0,MIN($O86,IF(ISNUMBER($P86),$P86-$AF86,1E+15),IF(ISNUMBER($AA86),$AA86-$AG86,1E+15)))))</f>
        <v/>
      </c>
      <c r="R86" s="48" t="str">
        <f>IF(OR($B86="",$D86=""),"",IF($AC86=0,"",IF(AND(NOT(ISNUMBER($P86)),NOT(ISNUMBER($AA86))),"∞",MAX(0,MIN(IF(ISNUMBER($P86),$P86-$AF86-$Q86,1E+15),IF(ISNUMBER($AA86),$AA86-$AG86-$Q86,1E+15))))))</f>
        <v/>
      </c>
      <c r="S86" s="47" t="str">
        <f>IF($AD86="","",YEAR($AD86)*100+MONTH($AD86))</f>
        <v/>
      </c>
      <c r="T86" s="50" t="str">
        <f>IF($AD86="","",IFERROR(IF(INDEX(CARDS!$I$5:$I$34,MATCH($D86,CARDS!$A$5:$A$34,0))="","",IF(INDEX(CARDS!$I$5:$I$34,MATCH($D86,CARDS!$A$5:$A$34,0))&gt;INDEX(CARDS!$H$5:$H$34,MATCH($D86,CARDS!$A$5:$A$34,0)),DATE(YEAR($AD86),MONTH($AD86),MIN(INDEX(CARDS!$I$5:$I$34,MATCH($D86,CARDS!$A$5:$A$34,0)),DAY(EOMONTH($AD86,0)))),DATE(YEAR($AD86),MONTH($AD86)+1,MIN(INDEX(CARDS!$I$5:$I$34,MATCH($D86,CARDS!$A$5:$A$34,0)),DAY(EOMONTH($AD86,1)))))),""))</f>
        <v/>
      </c>
      <c r="U86" s="38" t="n"/>
      <c r="V86" s="37" t="n"/>
      <c r="W86" s="38" t="n"/>
      <c r="X86" s="38" t="n"/>
      <c r="Y86" s="44" t="str">
        <f>IF($AC86&gt;0,INDEX(CASHBACK_RULES!$A$5:$A$304,$AC86),"")</f>
        <v/>
      </c>
      <c r="Z86" s="45" t="str">
        <f>IF($AC86&gt;0,INDEX(CASHBACK_RULES!$E$5:$E$304,$AC86)&amp;"","")</f>
        <v/>
      </c>
      <c r="AA86" s="48" t="str">
        <f>IF($AC86&gt;0,IF(ISNUMBER(INDEX(CASHBACK_RULES!$K$5:$K$304,$AC86)),INDEX(CASHBACK_RULES!$K$5:$K$304,$AC86),"∞"),"")</f>
        <v/>
      </c>
      <c r="AB86" s="44" t="str">
        <f>IF(OR($B86="",$D86=""),"",IF($U86="Cancelled","Đã hủy",IF($AC86=0,"Không được hoàn",IF($Q86=0,IF(OR($O86&gt;0,$M86&lt;$L86),"Đã đạt cap","Không được hoàn"),IF(OR($Q86&lt;$O86,$M86&lt;$L86),"Hoàn một phần","Được hoàn")))))</f>
        <v/>
      </c>
      <c r="AC86" s="43">
        <f>IF(OR($B86="",$D86="",$I86="",$L86=""),0,IF($U86="Cancelled",0,IF($W86&lt;&gt;"",IFERROR(IF(INDEX(CASHBACK_RULES!$B$5:$B$304,MATCH($W86,CASHBACK_RULES!$A$5:$A$304,0))=$D86,MATCH($W86,CASHBACK_RULES!$A$5:$A$304,0),0),0),IFERROR(MATCH(1,INDEX((CASHBACK_RULES!$B$5:$B$304=$D86)*(CASHBACK_RULES!$G$5:$G$304=$I86)*(((CASHBACK_RULES!$N$5:$N$304="")+(CASHBACK_RULES!$N$5:$N$304&lt;=$B86))&gt;0)*(((CASHBACK_RULES!$O$5:$O$304="")+(CASHBACK_RULES!$O$5:$O$304&gt;=$B86))&gt;0)*(((CASHBACK_RULES!$M$5:$M$304="")+(CASHBACK_RULES!$M$5:$M$304&lt;=$L86))&gt;0),0),0),0))))</f>
        <v>0</v>
      </c>
      <c r="AD86" s="51" t="str">
        <f>IF(OR($B86="",$D86=""),"",IFERROR(IF(INDEX(CARDS!$H$5:$H$34,MATCH($D86,CARDS!$A$5:$A$34,0))="","",IF(DAY($B86)&lt;=INDEX(CARDS!$H$5:$H$34,MATCH($D86,CARDS!$A$5:$A$34,0)),DATE(YEAR($B86),MONTH($B86),MIN(INDEX(CARDS!$H$5:$H$34,MATCH($D86,CARDS!$A$5:$A$34,0)),DAY(EOMONTH($B86,0)))),DATE(YEAR($B86),MONTH($B86)+1,MIN(INDEX(CARDS!$H$5:$H$34,MATCH($D86,CARDS!$A$5:$A$34,0)),DAY(EOMONTH($B86,1)))))),""))</f>
        <v/>
      </c>
      <c r="AE86" s="52" t="str">
        <f>IF($C86="","",$C86&amp;"|"&amp;COUNTIF($C$5:$C86,$C86))</f>
        <v/>
      </c>
      <c r="AF86" s="53">
        <f>IF($AC86&gt;0,SUMIFS(Q$4:Q85,$D$4:$D85,$D86,$Z$4:$Z85,$Z86,$C$4:$C85,$C86),0)</f>
        <v>0</v>
      </c>
      <c r="AG86" s="53">
        <f>IF($AC86&gt;0,SUMIFS(Q$4:Q85,$D$4:$D85,$D86,$C$4:$C85,$C86),0)</f>
        <v>0</v>
      </c>
      <c r="AH86" s="53">
        <f>IF($AC86&gt;0,SUMIFS(M$4:M85,$D$4:$D85,$D86,$Z$4:$Z85,$Z86,$C$4:$C85,$C86),0)</f>
        <v>0</v>
      </c>
      <c r="AI86" s="43">
        <f>IF(OR($C86="",$I86=""),0,IF(COUNTIFS($C$5:$C86,$C86,$I$5:$I86,$I86)=1,1,0))</f>
        <v>0</v>
      </c>
      <c r="AJ86" s="43" t="str">
        <f>IF($AI86=1,SUMIFS($AI$4:$AI85,$C$4:$C85,$C86)+1,"")</f>
        <v/>
      </c>
      <c r="AK86" s="43">
        <f>IF(OR($C86="",$K86=""),0,IF(COUNTIFS($C$5:$C86,$C86,$K$5:$K86,$K86)=1,1,0))</f>
        <v>0</v>
      </c>
      <c r="AL86" s="43" t="str">
        <f>IF($AK86=1,SUMIFS($AK$4:$AK85,$C$4:$C85,$C86)+1,"")</f>
        <v/>
      </c>
      <c r="AM86" s="43">
        <f>IF(OR($C86="",$G86=""),0,IF(COUNTIFS($C$5:$C86,$C86,$G$5:$G86,$G86)=1,1,0))</f>
        <v>0</v>
      </c>
      <c r="AN86" s="43" t="str">
        <f>IF($AM86=1,SUMIFS($AM$4:$AM85,$C$4:$C85,$C86)+1,"")</f>
        <v/>
      </c>
    </row>
    <row r="87">
      <c r="A87" s="44" t="str">
        <f>IF(OR($B87="",$D87=""),"","TX"&amp;TEXT(ROW()-4,"0000"))</f>
        <v/>
      </c>
      <c r="B87" s="42" t="n"/>
      <c r="C87" s="47" t="str">
        <f>IF($B87="","",YEAR($B87)*100+MONTH($B87))</f>
        <v/>
      </c>
      <c r="D87" s="37" t="n"/>
      <c r="E87" s="45" t="str">
        <f>IF($D87="","",IFERROR(INDEX(CARDS!$B$5:$B$34,MATCH($D87,CARDS!$A$5:$A$34,0)),"⚠ Card ID?"))</f>
        <v/>
      </c>
      <c r="F87" s="45" t="str">
        <f>IF($D87="","",IFERROR(INDEX(CARDS!$C$5:$C$34,MATCH($D87,CARDS!$A$5:$A$34,0)),"⚠ Card ID?"))</f>
        <v/>
      </c>
      <c r="G87" s="37" t="n"/>
      <c r="H87" s="37" t="n"/>
      <c r="I87" s="41" t="n"/>
      <c r="J87" s="45" t="str">
        <f>IF($I87="","",IFERROR(INDEX(MCC_MASTER!$B$5:$B$504,MATCH($I87,MCC_MASTER!$A$5:$A$504,0)),"⚠ MCC chưa có"))</f>
        <v/>
      </c>
      <c r="K87" s="45" t="str">
        <f>IF($I87="","",IFERROR(IF(INDEX(MCC_MASTER!$C$5:$C$504,MATCH($I87,MCC_MASTER!$A$5:$A$504,0))="","Chưa phân loại",INDEX(MCC_MASTER!$C$5:$C$504,MATCH($I87,MCC_MASTER!$A$5:$A$504,0))),"Chưa phân loại"))</f>
        <v/>
      </c>
      <c r="L87" s="40" t="n"/>
      <c r="M87" s="48" t="str">
        <f>IF(OR($B87="",$D87=""),"",IF($AC87=0,0,IF(ISNUMBER(INDEX(CASHBACK_RULES!$L$5:$L$304,$AC87)),MAX(0,MIN($L87,INDEX(CASHBACK_RULES!$L$5:$L$304,$AC87)-$AH87)),MAX(0,$L87))))</f>
        <v/>
      </c>
      <c r="N87" s="49" t="str">
        <f>IF(OR($B87="",$D87=""),"",IF($AC87&gt;0,INDEX(CASHBACK_RULES!$I$5:$I$304,$AC87),0))</f>
        <v/>
      </c>
      <c r="O87" s="48" t="str">
        <f>IF(OR($B87="",$D87=""),"",ROUND($M87*$N87,0))</f>
        <v/>
      </c>
      <c r="P87" s="48" t="str">
        <f>IF($AC87&gt;0,IF(ISNUMBER(INDEX(CASHBACK_RULES!$J$5:$J$304,$AC87)),INDEX(CASHBACK_RULES!$J$5:$J$304,$AC87),"∞"),"")</f>
        <v/>
      </c>
      <c r="Q87" s="48" t="str">
        <f>IF(OR($B87="",$D87=""),"",IF($AC87=0,0,MAX(0,MIN($O87,IF(ISNUMBER($P87),$P87-$AF87,1E+15),IF(ISNUMBER($AA87),$AA87-$AG87,1E+15)))))</f>
        <v/>
      </c>
      <c r="R87" s="48" t="str">
        <f>IF(OR($B87="",$D87=""),"",IF($AC87=0,"",IF(AND(NOT(ISNUMBER($P87)),NOT(ISNUMBER($AA87))),"∞",MAX(0,MIN(IF(ISNUMBER($P87),$P87-$AF87-$Q87,1E+15),IF(ISNUMBER($AA87),$AA87-$AG87-$Q87,1E+15))))))</f>
        <v/>
      </c>
      <c r="S87" s="47" t="str">
        <f>IF($AD87="","",YEAR($AD87)*100+MONTH($AD87))</f>
        <v/>
      </c>
      <c r="T87" s="50" t="str">
        <f>IF($AD87="","",IFERROR(IF(INDEX(CARDS!$I$5:$I$34,MATCH($D87,CARDS!$A$5:$A$34,0))="","",IF(INDEX(CARDS!$I$5:$I$34,MATCH($D87,CARDS!$A$5:$A$34,0))&gt;INDEX(CARDS!$H$5:$H$34,MATCH($D87,CARDS!$A$5:$A$34,0)),DATE(YEAR($AD87),MONTH($AD87),MIN(INDEX(CARDS!$I$5:$I$34,MATCH($D87,CARDS!$A$5:$A$34,0)),DAY(EOMONTH($AD87,0)))),DATE(YEAR($AD87),MONTH($AD87)+1,MIN(INDEX(CARDS!$I$5:$I$34,MATCH($D87,CARDS!$A$5:$A$34,0)),DAY(EOMONTH($AD87,1)))))),""))</f>
        <v/>
      </c>
      <c r="U87" s="38" t="n"/>
      <c r="V87" s="37" t="n"/>
      <c r="W87" s="38" t="n"/>
      <c r="X87" s="38" t="n"/>
      <c r="Y87" s="44" t="str">
        <f>IF($AC87&gt;0,INDEX(CASHBACK_RULES!$A$5:$A$304,$AC87),"")</f>
        <v/>
      </c>
      <c r="Z87" s="45" t="str">
        <f>IF($AC87&gt;0,INDEX(CASHBACK_RULES!$E$5:$E$304,$AC87)&amp;"","")</f>
        <v/>
      </c>
      <c r="AA87" s="48" t="str">
        <f>IF($AC87&gt;0,IF(ISNUMBER(INDEX(CASHBACK_RULES!$K$5:$K$304,$AC87)),INDEX(CASHBACK_RULES!$K$5:$K$304,$AC87),"∞"),"")</f>
        <v/>
      </c>
      <c r="AB87" s="44" t="str">
        <f>IF(OR($B87="",$D87=""),"",IF($U87="Cancelled","Đã hủy",IF($AC87=0,"Không được hoàn",IF($Q87=0,IF(OR($O87&gt;0,$M87&lt;$L87),"Đã đạt cap","Không được hoàn"),IF(OR($Q87&lt;$O87,$M87&lt;$L87),"Hoàn một phần","Được hoàn")))))</f>
        <v/>
      </c>
      <c r="AC87" s="43">
        <f>IF(OR($B87="",$D87="",$I87="",$L87=""),0,IF($U87="Cancelled",0,IF($W87&lt;&gt;"",IFERROR(IF(INDEX(CASHBACK_RULES!$B$5:$B$304,MATCH($W87,CASHBACK_RULES!$A$5:$A$304,0))=$D87,MATCH($W87,CASHBACK_RULES!$A$5:$A$304,0),0),0),IFERROR(MATCH(1,INDEX((CASHBACK_RULES!$B$5:$B$304=$D87)*(CASHBACK_RULES!$G$5:$G$304=$I87)*(((CASHBACK_RULES!$N$5:$N$304="")+(CASHBACK_RULES!$N$5:$N$304&lt;=$B87))&gt;0)*(((CASHBACK_RULES!$O$5:$O$304="")+(CASHBACK_RULES!$O$5:$O$304&gt;=$B87))&gt;0)*(((CASHBACK_RULES!$M$5:$M$304="")+(CASHBACK_RULES!$M$5:$M$304&lt;=$L87))&gt;0),0),0),0))))</f>
        <v>0</v>
      </c>
      <c r="AD87" s="51" t="str">
        <f>IF(OR($B87="",$D87=""),"",IFERROR(IF(INDEX(CARDS!$H$5:$H$34,MATCH($D87,CARDS!$A$5:$A$34,0))="","",IF(DAY($B87)&lt;=INDEX(CARDS!$H$5:$H$34,MATCH($D87,CARDS!$A$5:$A$34,0)),DATE(YEAR($B87),MONTH($B87),MIN(INDEX(CARDS!$H$5:$H$34,MATCH($D87,CARDS!$A$5:$A$34,0)),DAY(EOMONTH($B87,0)))),DATE(YEAR($B87),MONTH($B87)+1,MIN(INDEX(CARDS!$H$5:$H$34,MATCH($D87,CARDS!$A$5:$A$34,0)),DAY(EOMONTH($B87,1)))))),""))</f>
        <v/>
      </c>
      <c r="AE87" s="52" t="str">
        <f>IF($C87="","",$C87&amp;"|"&amp;COUNTIF($C$5:$C87,$C87))</f>
        <v/>
      </c>
      <c r="AF87" s="53">
        <f>IF($AC87&gt;0,SUMIFS(Q$4:Q86,$D$4:$D86,$D87,$Z$4:$Z86,$Z87,$C$4:$C86,$C87),0)</f>
        <v>0</v>
      </c>
      <c r="AG87" s="53">
        <f>IF($AC87&gt;0,SUMIFS(Q$4:Q86,$D$4:$D86,$D87,$C$4:$C86,$C87),0)</f>
        <v>0</v>
      </c>
      <c r="AH87" s="53">
        <f>IF($AC87&gt;0,SUMIFS(M$4:M86,$D$4:$D86,$D87,$Z$4:$Z86,$Z87,$C$4:$C86,$C87),0)</f>
        <v>0</v>
      </c>
      <c r="AI87" s="43">
        <f>IF(OR($C87="",$I87=""),0,IF(COUNTIFS($C$5:$C87,$C87,$I$5:$I87,$I87)=1,1,0))</f>
        <v>0</v>
      </c>
      <c r="AJ87" s="43" t="str">
        <f>IF($AI87=1,SUMIFS($AI$4:$AI86,$C$4:$C86,$C87)+1,"")</f>
        <v/>
      </c>
      <c r="AK87" s="43">
        <f>IF(OR($C87="",$K87=""),0,IF(COUNTIFS($C$5:$C87,$C87,$K$5:$K87,$K87)=1,1,0))</f>
        <v>0</v>
      </c>
      <c r="AL87" s="43" t="str">
        <f>IF($AK87=1,SUMIFS($AK$4:$AK86,$C$4:$C86,$C87)+1,"")</f>
        <v/>
      </c>
      <c r="AM87" s="43">
        <f>IF(OR($C87="",$G87=""),0,IF(COUNTIFS($C$5:$C87,$C87,$G$5:$G87,$G87)=1,1,0))</f>
        <v>0</v>
      </c>
      <c r="AN87" s="43" t="str">
        <f>IF($AM87=1,SUMIFS($AM$4:$AM86,$C$4:$C86,$C87)+1,"")</f>
        <v/>
      </c>
    </row>
    <row r="88">
      <c r="A88" s="44" t="str">
        <f>IF(OR($B88="",$D88=""),"","TX"&amp;TEXT(ROW()-4,"0000"))</f>
        <v/>
      </c>
      <c r="B88" s="42" t="n"/>
      <c r="C88" s="47" t="str">
        <f>IF($B88="","",YEAR($B88)*100+MONTH($B88))</f>
        <v/>
      </c>
      <c r="D88" s="37" t="n"/>
      <c r="E88" s="45" t="str">
        <f>IF($D88="","",IFERROR(INDEX(CARDS!$B$5:$B$34,MATCH($D88,CARDS!$A$5:$A$34,0)),"⚠ Card ID?"))</f>
        <v/>
      </c>
      <c r="F88" s="45" t="str">
        <f>IF($D88="","",IFERROR(INDEX(CARDS!$C$5:$C$34,MATCH($D88,CARDS!$A$5:$A$34,0)),"⚠ Card ID?"))</f>
        <v/>
      </c>
      <c r="G88" s="37" t="n"/>
      <c r="H88" s="37" t="n"/>
      <c r="I88" s="41" t="n"/>
      <c r="J88" s="45" t="str">
        <f>IF($I88="","",IFERROR(INDEX(MCC_MASTER!$B$5:$B$504,MATCH($I88,MCC_MASTER!$A$5:$A$504,0)),"⚠ MCC chưa có"))</f>
        <v/>
      </c>
      <c r="K88" s="45" t="str">
        <f>IF($I88="","",IFERROR(IF(INDEX(MCC_MASTER!$C$5:$C$504,MATCH($I88,MCC_MASTER!$A$5:$A$504,0))="","Chưa phân loại",INDEX(MCC_MASTER!$C$5:$C$504,MATCH($I88,MCC_MASTER!$A$5:$A$504,0))),"Chưa phân loại"))</f>
        <v/>
      </c>
      <c r="L88" s="40" t="n"/>
      <c r="M88" s="48" t="str">
        <f>IF(OR($B88="",$D88=""),"",IF($AC88=0,0,IF(ISNUMBER(INDEX(CASHBACK_RULES!$L$5:$L$304,$AC88)),MAX(0,MIN($L88,INDEX(CASHBACK_RULES!$L$5:$L$304,$AC88)-$AH88)),MAX(0,$L88))))</f>
        <v/>
      </c>
      <c r="N88" s="49" t="str">
        <f>IF(OR($B88="",$D88=""),"",IF($AC88&gt;0,INDEX(CASHBACK_RULES!$I$5:$I$304,$AC88),0))</f>
        <v/>
      </c>
      <c r="O88" s="48" t="str">
        <f>IF(OR($B88="",$D88=""),"",ROUND($M88*$N88,0))</f>
        <v/>
      </c>
      <c r="P88" s="48" t="str">
        <f>IF($AC88&gt;0,IF(ISNUMBER(INDEX(CASHBACK_RULES!$J$5:$J$304,$AC88)),INDEX(CASHBACK_RULES!$J$5:$J$304,$AC88),"∞"),"")</f>
        <v/>
      </c>
      <c r="Q88" s="48" t="str">
        <f>IF(OR($B88="",$D88=""),"",IF($AC88=0,0,MAX(0,MIN($O88,IF(ISNUMBER($P88),$P88-$AF88,1E+15),IF(ISNUMBER($AA88),$AA88-$AG88,1E+15)))))</f>
        <v/>
      </c>
      <c r="R88" s="48" t="str">
        <f>IF(OR($B88="",$D88=""),"",IF($AC88=0,"",IF(AND(NOT(ISNUMBER($P88)),NOT(ISNUMBER($AA88))),"∞",MAX(0,MIN(IF(ISNUMBER($P88),$P88-$AF88-$Q88,1E+15),IF(ISNUMBER($AA88),$AA88-$AG88-$Q88,1E+15))))))</f>
        <v/>
      </c>
      <c r="S88" s="47" t="str">
        <f>IF($AD88="","",YEAR($AD88)*100+MONTH($AD88))</f>
        <v/>
      </c>
      <c r="T88" s="50" t="str">
        <f>IF($AD88="","",IFERROR(IF(INDEX(CARDS!$I$5:$I$34,MATCH($D88,CARDS!$A$5:$A$34,0))="","",IF(INDEX(CARDS!$I$5:$I$34,MATCH($D88,CARDS!$A$5:$A$34,0))&gt;INDEX(CARDS!$H$5:$H$34,MATCH($D88,CARDS!$A$5:$A$34,0)),DATE(YEAR($AD88),MONTH($AD88),MIN(INDEX(CARDS!$I$5:$I$34,MATCH($D88,CARDS!$A$5:$A$34,0)),DAY(EOMONTH($AD88,0)))),DATE(YEAR($AD88),MONTH($AD88)+1,MIN(INDEX(CARDS!$I$5:$I$34,MATCH($D88,CARDS!$A$5:$A$34,0)),DAY(EOMONTH($AD88,1)))))),""))</f>
        <v/>
      </c>
      <c r="U88" s="38" t="n"/>
      <c r="V88" s="37" t="n"/>
      <c r="W88" s="38" t="n"/>
      <c r="X88" s="38" t="n"/>
      <c r="Y88" s="44" t="str">
        <f>IF($AC88&gt;0,INDEX(CASHBACK_RULES!$A$5:$A$304,$AC88),"")</f>
        <v/>
      </c>
      <c r="Z88" s="45" t="str">
        <f>IF($AC88&gt;0,INDEX(CASHBACK_RULES!$E$5:$E$304,$AC88)&amp;"","")</f>
        <v/>
      </c>
      <c r="AA88" s="48" t="str">
        <f>IF($AC88&gt;0,IF(ISNUMBER(INDEX(CASHBACK_RULES!$K$5:$K$304,$AC88)),INDEX(CASHBACK_RULES!$K$5:$K$304,$AC88),"∞"),"")</f>
        <v/>
      </c>
      <c r="AB88" s="44" t="str">
        <f>IF(OR($B88="",$D88=""),"",IF($U88="Cancelled","Đã hủy",IF($AC88=0,"Không được hoàn",IF($Q88=0,IF(OR($O88&gt;0,$M88&lt;$L88),"Đã đạt cap","Không được hoàn"),IF(OR($Q88&lt;$O88,$M88&lt;$L88),"Hoàn một phần","Được hoàn")))))</f>
        <v/>
      </c>
      <c r="AC88" s="43">
        <f>IF(OR($B88="",$D88="",$I88="",$L88=""),0,IF($U88="Cancelled",0,IF($W88&lt;&gt;"",IFERROR(IF(INDEX(CASHBACK_RULES!$B$5:$B$304,MATCH($W88,CASHBACK_RULES!$A$5:$A$304,0))=$D88,MATCH($W88,CASHBACK_RULES!$A$5:$A$304,0),0),0),IFERROR(MATCH(1,INDEX((CASHBACK_RULES!$B$5:$B$304=$D88)*(CASHBACK_RULES!$G$5:$G$304=$I88)*(((CASHBACK_RULES!$N$5:$N$304="")+(CASHBACK_RULES!$N$5:$N$304&lt;=$B88))&gt;0)*(((CASHBACK_RULES!$O$5:$O$304="")+(CASHBACK_RULES!$O$5:$O$304&gt;=$B88))&gt;0)*(((CASHBACK_RULES!$M$5:$M$304="")+(CASHBACK_RULES!$M$5:$M$304&lt;=$L88))&gt;0),0),0),0))))</f>
        <v>0</v>
      </c>
      <c r="AD88" s="51" t="str">
        <f>IF(OR($B88="",$D88=""),"",IFERROR(IF(INDEX(CARDS!$H$5:$H$34,MATCH($D88,CARDS!$A$5:$A$34,0))="","",IF(DAY($B88)&lt;=INDEX(CARDS!$H$5:$H$34,MATCH($D88,CARDS!$A$5:$A$34,0)),DATE(YEAR($B88),MONTH($B88),MIN(INDEX(CARDS!$H$5:$H$34,MATCH($D88,CARDS!$A$5:$A$34,0)),DAY(EOMONTH($B88,0)))),DATE(YEAR($B88),MONTH($B88)+1,MIN(INDEX(CARDS!$H$5:$H$34,MATCH($D88,CARDS!$A$5:$A$34,0)),DAY(EOMONTH($B88,1)))))),""))</f>
        <v/>
      </c>
      <c r="AE88" s="52" t="str">
        <f>IF($C88="","",$C88&amp;"|"&amp;COUNTIF($C$5:$C88,$C88))</f>
        <v/>
      </c>
      <c r="AF88" s="53">
        <f>IF($AC88&gt;0,SUMIFS(Q$4:Q87,$D$4:$D87,$D88,$Z$4:$Z87,$Z88,$C$4:$C87,$C88),0)</f>
        <v>0</v>
      </c>
      <c r="AG88" s="53">
        <f>IF($AC88&gt;0,SUMIFS(Q$4:Q87,$D$4:$D87,$D88,$C$4:$C87,$C88),0)</f>
        <v>0</v>
      </c>
      <c r="AH88" s="53">
        <f>IF($AC88&gt;0,SUMIFS(M$4:M87,$D$4:$D87,$D88,$Z$4:$Z87,$Z88,$C$4:$C87,$C88),0)</f>
        <v>0</v>
      </c>
      <c r="AI88" s="43">
        <f>IF(OR($C88="",$I88=""),0,IF(COUNTIFS($C$5:$C88,$C88,$I$5:$I88,$I88)=1,1,0))</f>
        <v>0</v>
      </c>
      <c r="AJ88" s="43" t="str">
        <f>IF($AI88=1,SUMIFS($AI$4:$AI87,$C$4:$C87,$C88)+1,"")</f>
        <v/>
      </c>
      <c r="AK88" s="43">
        <f>IF(OR($C88="",$K88=""),0,IF(COUNTIFS($C$5:$C88,$C88,$K$5:$K88,$K88)=1,1,0))</f>
        <v>0</v>
      </c>
      <c r="AL88" s="43" t="str">
        <f>IF($AK88=1,SUMIFS($AK$4:$AK87,$C$4:$C87,$C88)+1,"")</f>
        <v/>
      </c>
      <c r="AM88" s="43">
        <f>IF(OR($C88="",$G88=""),0,IF(COUNTIFS($C$5:$C88,$C88,$G$5:$G88,$G88)=1,1,0))</f>
        <v>0</v>
      </c>
      <c r="AN88" s="43" t="str">
        <f>IF($AM88=1,SUMIFS($AM$4:$AM87,$C$4:$C87,$C88)+1,"")</f>
        <v/>
      </c>
    </row>
    <row r="89">
      <c r="A89" s="44" t="str">
        <f>IF(OR($B89="",$D89=""),"","TX"&amp;TEXT(ROW()-4,"0000"))</f>
        <v/>
      </c>
      <c r="B89" s="42" t="n"/>
      <c r="C89" s="47" t="str">
        <f>IF($B89="","",YEAR($B89)*100+MONTH($B89))</f>
        <v/>
      </c>
      <c r="D89" s="37" t="n"/>
      <c r="E89" s="45" t="str">
        <f>IF($D89="","",IFERROR(INDEX(CARDS!$B$5:$B$34,MATCH($D89,CARDS!$A$5:$A$34,0)),"⚠ Card ID?"))</f>
        <v/>
      </c>
      <c r="F89" s="45" t="str">
        <f>IF($D89="","",IFERROR(INDEX(CARDS!$C$5:$C$34,MATCH($D89,CARDS!$A$5:$A$34,0)),"⚠ Card ID?"))</f>
        <v/>
      </c>
      <c r="G89" s="37" t="n"/>
      <c r="H89" s="37" t="n"/>
      <c r="I89" s="41" t="n"/>
      <c r="J89" s="45" t="str">
        <f>IF($I89="","",IFERROR(INDEX(MCC_MASTER!$B$5:$B$504,MATCH($I89,MCC_MASTER!$A$5:$A$504,0)),"⚠ MCC chưa có"))</f>
        <v/>
      </c>
      <c r="K89" s="45" t="str">
        <f>IF($I89="","",IFERROR(IF(INDEX(MCC_MASTER!$C$5:$C$504,MATCH($I89,MCC_MASTER!$A$5:$A$504,0))="","Chưa phân loại",INDEX(MCC_MASTER!$C$5:$C$504,MATCH($I89,MCC_MASTER!$A$5:$A$504,0))),"Chưa phân loại"))</f>
        <v/>
      </c>
      <c r="L89" s="40" t="n"/>
      <c r="M89" s="48" t="str">
        <f>IF(OR($B89="",$D89=""),"",IF($AC89=0,0,IF(ISNUMBER(INDEX(CASHBACK_RULES!$L$5:$L$304,$AC89)),MAX(0,MIN($L89,INDEX(CASHBACK_RULES!$L$5:$L$304,$AC89)-$AH89)),MAX(0,$L89))))</f>
        <v/>
      </c>
      <c r="N89" s="49" t="str">
        <f>IF(OR($B89="",$D89=""),"",IF($AC89&gt;0,INDEX(CASHBACK_RULES!$I$5:$I$304,$AC89),0))</f>
        <v/>
      </c>
      <c r="O89" s="48" t="str">
        <f>IF(OR($B89="",$D89=""),"",ROUND($M89*$N89,0))</f>
        <v/>
      </c>
      <c r="P89" s="48" t="str">
        <f>IF($AC89&gt;0,IF(ISNUMBER(INDEX(CASHBACK_RULES!$J$5:$J$304,$AC89)),INDEX(CASHBACK_RULES!$J$5:$J$304,$AC89),"∞"),"")</f>
        <v/>
      </c>
      <c r="Q89" s="48" t="str">
        <f>IF(OR($B89="",$D89=""),"",IF($AC89=0,0,MAX(0,MIN($O89,IF(ISNUMBER($P89),$P89-$AF89,1E+15),IF(ISNUMBER($AA89),$AA89-$AG89,1E+15)))))</f>
        <v/>
      </c>
      <c r="R89" s="48" t="str">
        <f>IF(OR($B89="",$D89=""),"",IF($AC89=0,"",IF(AND(NOT(ISNUMBER($P89)),NOT(ISNUMBER($AA89))),"∞",MAX(0,MIN(IF(ISNUMBER($P89),$P89-$AF89-$Q89,1E+15),IF(ISNUMBER($AA89),$AA89-$AG89-$Q89,1E+15))))))</f>
        <v/>
      </c>
      <c r="S89" s="47" t="str">
        <f>IF($AD89="","",YEAR($AD89)*100+MONTH($AD89))</f>
        <v/>
      </c>
      <c r="T89" s="50" t="str">
        <f>IF($AD89="","",IFERROR(IF(INDEX(CARDS!$I$5:$I$34,MATCH($D89,CARDS!$A$5:$A$34,0))="","",IF(INDEX(CARDS!$I$5:$I$34,MATCH($D89,CARDS!$A$5:$A$34,0))&gt;INDEX(CARDS!$H$5:$H$34,MATCH($D89,CARDS!$A$5:$A$34,0)),DATE(YEAR($AD89),MONTH($AD89),MIN(INDEX(CARDS!$I$5:$I$34,MATCH($D89,CARDS!$A$5:$A$34,0)),DAY(EOMONTH($AD89,0)))),DATE(YEAR($AD89),MONTH($AD89)+1,MIN(INDEX(CARDS!$I$5:$I$34,MATCH($D89,CARDS!$A$5:$A$34,0)),DAY(EOMONTH($AD89,1)))))),""))</f>
        <v/>
      </c>
      <c r="U89" s="38" t="n"/>
      <c r="V89" s="37" t="n"/>
      <c r="W89" s="38" t="n"/>
      <c r="X89" s="38" t="n"/>
      <c r="Y89" s="44" t="str">
        <f>IF($AC89&gt;0,INDEX(CASHBACK_RULES!$A$5:$A$304,$AC89),"")</f>
        <v/>
      </c>
      <c r="Z89" s="45" t="str">
        <f>IF($AC89&gt;0,INDEX(CASHBACK_RULES!$E$5:$E$304,$AC89)&amp;"","")</f>
        <v/>
      </c>
      <c r="AA89" s="48" t="str">
        <f>IF($AC89&gt;0,IF(ISNUMBER(INDEX(CASHBACK_RULES!$K$5:$K$304,$AC89)),INDEX(CASHBACK_RULES!$K$5:$K$304,$AC89),"∞"),"")</f>
        <v/>
      </c>
      <c r="AB89" s="44" t="str">
        <f>IF(OR($B89="",$D89=""),"",IF($U89="Cancelled","Đã hủy",IF($AC89=0,"Không được hoàn",IF($Q89=0,IF(OR($O89&gt;0,$M89&lt;$L89),"Đã đạt cap","Không được hoàn"),IF(OR($Q89&lt;$O89,$M89&lt;$L89),"Hoàn một phần","Được hoàn")))))</f>
        <v/>
      </c>
      <c r="AC89" s="43">
        <f>IF(OR($B89="",$D89="",$I89="",$L89=""),0,IF($U89="Cancelled",0,IF($W89&lt;&gt;"",IFERROR(IF(INDEX(CASHBACK_RULES!$B$5:$B$304,MATCH($W89,CASHBACK_RULES!$A$5:$A$304,0))=$D89,MATCH($W89,CASHBACK_RULES!$A$5:$A$304,0),0),0),IFERROR(MATCH(1,INDEX((CASHBACK_RULES!$B$5:$B$304=$D89)*(CASHBACK_RULES!$G$5:$G$304=$I89)*(((CASHBACK_RULES!$N$5:$N$304="")+(CASHBACK_RULES!$N$5:$N$304&lt;=$B89))&gt;0)*(((CASHBACK_RULES!$O$5:$O$304="")+(CASHBACK_RULES!$O$5:$O$304&gt;=$B89))&gt;0)*(((CASHBACK_RULES!$M$5:$M$304="")+(CASHBACK_RULES!$M$5:$M$304&lt;=$L89))&gt;0),0),0),0))))</f>
        <v>0</v>
      </c>
      <c r="AD89" s="51" t="str">
        <f>IF(OR($B89="",$D89=""),"",IFERROR(IF(INDEX(CARDS!$H$5:$H$34,MATCH($D89,CARDS!$A$5:$A$34,0))="","",IF(DAY($B89)&lt;=INDEX(CARDS!$H$5:$H$34,MATCH($D89,CARDS!$A$5:$A$34,0)),DATE(YEAR($B89),MONTH($B89),MIN(INDEX(CARDS!$H$5:$H$34,MATCH($D89,CARDS!$A$5:$A$34,0)),DAY(EOMONTH($B89,0)))),DATE(YEAR($B89),MONTH($B89)+1,MIN(INDEX(CARDS!$H$5:$H$34,MATCH($D89,CARDS!$A$5:$A$34,0)),DAY(EOMONTH($B89,1)))))),""))</f>
        <v/>
      </c>
      <c r="AE89" s="52" t="str">
        <f>IF($C89="","",$C89&amp;"|"&amp;COUNTIF($C$5:$C89,$C89))</f>
        <v/>
      </c>
      <c r="AF89" s="53">
        <f>IF($AC89&gt;0,SUMIFS(Q$4:Q88,$D$4:$D88,$D89,$Z$4:$Z88,$Z89,$C$4:$C88,$C89),0)</f>
        <v>0</v>
      </c>
      <c r="AG89" s="53">
        <f>IF($AC89&gt;0,SUMIFS(Q$4:Q88,$D$4:$D88,$D89,$C$4:$C88,$C89),0)</f>
        <v>0</v>
      </c>
      <c r="AH89" s="53">
        <f>IF($AC89&gt;0,SUMIFS(M$4:M88,$D$4:$D88,$D89,$Z$4:$Z88,$Z89,$C$4:$C88,$C89),0)</f>
        <v>0</v>
      </c>
      <c r="AI89" s="43">
        <f>IF(OR($C89="",$I89=""),0,IF(COUNTIFS($C$5:$C89,$C89,$I$5:$I89,$I89)=1,1,0))</f>
        <v>0</v>
      </c>
      <c r="AJ89" s="43" t="str">
        <f>IF($AI89=1,SUMIFS($AI$4:$AI88,$C$4:$C88,$C89)+1,"")</f>
        <v/>
      </c>
      <c r="AK89" s="43">
        <f>IF(OR($C89="",$K89=""),0,IF(COUNTIFS($C$5:$C89,$C89,$K$5:$K89,$K89)=1,1,0))</f>
        <v>0</v>
      </c>
      <c r="AL89" s="43" t="str">
        <f>IF($AK89=1,SUMIFS($AK$4:$AK88,$C$4:$C88,$C89)+1,"")</f>
        <v/>
      </c>
      <c r="AM89" s="43">
        <f>IF(OR($C89="",$G89=""),0,IF(COUNTIFS($C$5:$C89,$C89,$G$5:$G89,$G89)=1,1,0))</f>
        <v>0</v>
      </c>
      <c r="AN89" s="43" t="str">
        <f>IF($AM89=1,SUMIFS($AM$4:$AM88,$C$4:$C88,$C89)+1,"")</f>
        <v/>
      </c>
    </row>
    <row r="90">
      <c r="A90" s="44" t="str">
        <f>IF(OR($B90="",$D90=""),"","TX"&amp;TEXT(ROW()-4,"0000"))</f>
        <v/>
      </c>
      <c r="B90" s="42" t="n"/>
      <c r="C90" s="47" t="str">
        <f>IF($B90="","",YEAR($B90)*100+MONTH($B90))</f>
        <v/>
      </c>
      <c r="D90" s="37" t="n"/>
      <c r="E90" s="45" t="str">
        <f>IF($D90="","",IFERROR(INDEX(CARDS!$B$5:$B$34,MATCH($D90,CARDS!$A$5:$A$34,0)),"⚠ Card ID?"))</f>
        <v/>
      </c>
      <c r="F90" s="45" t="str">
        <f>IF($D90="","",IFERROR(INDEX(CARDS!$C$5:$C$34,MATCH($D90,CARDS!$A$5:$A$34,0)),"⚠ Card ID?"))</f>
        <v/>
      </c>
      <c r="G90" s="37" t="n"/>
      <c r="H90" s="37" t="n"/>
      <c r="I90" s="41" t="n"/>
      <c r="J90" s="45" t="str">
        <f>IF($I90="","",IFERROR(INDEX(MCC_MASTER!$B$5:$B$504,MATCH($I90,MCC_MASTER!$A$5:$A$504,0)),"⚠ MCC chưa có"))</f>
        <v/>
      </c>
      <c r="K90" s="45" t="str">
        <f>IF($I90="","",IFERROR(IF(INDEX(MCC_MASTER!$C$5:$C$504,MATCH($I90,MCC_MASTER!$A$5:$A$504,0))="","Chưa phân loại",INDEX(MCC_MASTER!$C$5:$C$504,MATCH($I90,MCC_MASTER!$A$5:$A$504,0))),"Chưa phân loại"))</f>
        <v/>
      </c>
      <c r="L90" s="40" t="n"/>
      <c r="M90" s="48" t="str">
        <f>IF(OR($B90="",$D90=""),"",IF($AC90=0,0,IF(ISNUMBER(INDEX(CASHBACK_RULES!$L$5:$L$304,$AC90)),MAX(0,MIN($L90,INDEX(CASHBACK_RULES!$L$5:$L$304,$AC90)-$AH90)),MAX(0,$L90))))</f>
        <v/>
      </c>
      <c r="N90" s="49" t="str">
        <f>IF(OR($B90="",$D90=""),"",IF($AC90&gt;0,INDEX(CASHBACK_RULES!$I$5:$I$304,$AC90),0))</f>
        <v/>
      </c>
      <c r="O90" s="48" t="str">
        <f>IF(OR($B90="",$D90=""),"",ROUND($M90*$N90,0))</f>
        <v/>
      </c>
      <c r="P90" s="48" t="str">
        <f>IF($AC90&gt;0,IF(ISNUMBER(INDEX(CASHBACK_RULES!$J$5:$J$304,$AC90)),INDEX(CASHBACK_RULES!$J$5:$J$304,$AC90),"∞"),"")</f>
        <v/>
      </c>
      <c r="Q90" s="48" t="str">
        <f>IF(OR($B90="",$D90=""),"",IF($AC90=0,0,MAX(0,MIN($O90,IF(ISNUMBER($P90),$P90-$AF90,1E+15),IF(ISNUMBER($AA90),$AA90-$AG90,1E+15)))))</f>
        <v/>
      </c>
      <c r="R90" s="48" t="str">
        <f>IF(OR($B90="",$D90=""),"",IF($AC90=0,"",IF(AND(NOT(ISNUMBER($P90)),NOT(ISNUMBER($AA90))),"∞",MAX(0,MIN(IF(ISNUMBER($P90),$P90-$AF90-$Q90,1E+15),IF(ISNUMBER($AA90),$AA90-$AG90-$Q90,1E+15))))))</f>
        <v/>
      </c>
      <c r="S90" s="47" t="str">
        <f>IF($AD90="","",YEAR($AD90)*100+MONTH($AD90))</f>
        <v/>
      </c>
      <c r="T90" s="50" t="str">
        <f>IF($AD90="","",IFERROR(IF(INDEX(CARDS!$I$5:$I$34,MATCH($D90,CARDS!$A$5:$A$34,0))="","",IF(INDEX(CARDS!$I$5:$I$34,MATCH($D90,CARDS!$A$5:$A$34,0))&gt;INDEX(CARDS!$H$5:$H$34,MATCH($D90,CARDS!$A$5:$A$34,0)),DATE(YEAR($AD90),MONTH($AD90),MIN(INDEX(CARDS!$I$5:$I$34,MATCH($D90,CARDS!$A$5:$A$34,0)),DAY(EOMONTH($AD90,0)))),DATE(YEAR($AD90),MONTH($AD90)+1,MIN(INDEX(CARDS!$I$5:$I$34,MATCH($D90,CARDS!$A$5:$A$34,0)),DAY(EOMONTH($AD90,1)))))),""))</f>
        <v/>
      </c>
      <c r="U90" s="38" t="n"/>
      <c r="V90" s="37" t="n"/>
      <c r="W90" s="38" t="n"/>
      <c r="X90" s="38" t="n"/>
      <c r="Y90" s="44" t="str">
        <f>IF($AC90&gt;0,INDEX(CASHBACK_RULES!$A$5:$A$304,$AC90),"")</f>
        <v/>
      </c>
      <c r="Z90" s="45" t="str">
        <f>IF($AC90&gt;0,INDEX(CASHBACK_RULES!$E$5:$E$304,$AC90)&amp;"","")</f>
        <v/>
      </c>
      <c r="AA90" s="48" t="str">
        <f>IF($AC90&gt;0,IF(ISNUMBER(INDEX(CASHBACK_RULES!$K$5:$K$304,$AC90)),INDEX(CASHBACK_RULES!$K$5:$K$304,$AC90),"∞"),"")</f>
        <v/>
      </c>
      <c r="AB90" s="44" t="str">
        <f>IF(OR($B90="",$D90=""),"",IF($U90="Cancelled","Đã hủy",IF($AC90=0,"Không được hoàn",IF($Q90=0,IF(OR($O90&gt;0,$M90&lt;$L90),"Đã đạt cap","Không được hoàn"),IF(OR($Q90&lt;$O90,$M90&lt;$L90),"Hoàn một phần","Được hoàn")))))</f>
        <v/>
      </c>
      <c r="AC90" s="43">
        <f>IF(OR($B90="",$D90="",$I90="",$L90=""),0,IF($U90="Cancelled",0,IF($W90&lt;&gt;"",IFERROR(IF(INDEX(CASHBACK_RULES!$B$5:$B$304,MATCH($W90,CASHBACK_RULES!$A$5:$A$304,0))=$D90,MATCH($W90,CASHBACK_RULES!$A$5:$A$304,0),0),0),IFERROR(MATCH(1,INDEX((CASHBACK_RULES!$B$5:$B$304=$D90)*(CASHBACK_RULES!$G$5:$G$304=$I90)*(((CASHBACK_RULES!$N$5:$N$304="")+(CASHBACK_RULES!$N$5:$N$304&lt;=$B90))&gt;0)*(((CASHBACK_RULES!$O$5:$O$304="")+(CASHBACK_RULES!$O$5:$O$304&gt;=$B90))&gt;0)*(((CASHBACK_RULES!$M$5:$M$304="")+(CASHBACK_RULES!$M$5:$M$304&lt;=$L90))&gt;0),0),0),0))))</f>
        <v>0</v>
      </c>
      <c r="AD90" s="51" t="str">
        <f>IF(OR($B90="",$D90=""),"",IFERROR(IF(INDEX(CARDS!$H$5:$H$34,MATCH($D90,CARDS!$A$5:$A$34,0))="","",IF(DAY($B90)&lt;=INDEX(CARDS!$H$5:$H$34,MATCH($D90,CARDS!$A$5:$A$34,0)),DATE(YEAR($B90),MONTH($B90),MIN(INDEX(CARDS!$H$5:$H$34,MATCH($D90,CARDS!$A$5:$A$34,0)),DAY(EOMONTH($B90,0)))),DATE(YEAR($B90),MONTH($B90)+1,MIN(INDEX(CARDS!$H$5:$H$34,MATCH($D90,CARDS!$A$5:$A$34,0)),DAY(EOMONTH($B90,1)))))),""))</f>
        <v/>
      </c>
      <c r="AE90" s="52" t="str">
        <f>IF($C90="","",$C90&amp;"|"&amp;COUNTIF($C$5:$C90,$C90))</f>
        <v/>
      </c>
      <c r="AF90" s="53">
        <f>IF($AC90&gt;0,SUMIFS(Q$4:Q89,$D$4:$D89,$D90,$Z$4:$Z89,$Z90,$C$4:$C89,$C90),0)</f>
        <v>0</v>
      </c>
      <c r="AG90" s="53">
        <f>IF($AC90&gt;0,SUMIFS(Q$4:Q89,$D$4:$D89,$D90,$C$4:$C89,$C90),0)</f>
        <v>0</v>
      </c>
      <c r="AH90" s="53">
        <f>IF($AC90&gt;0,SUMIFS(M$4:M89,$D$4:$D89,$D90,$Z$4:$Z89,$Z90,$C$4:$C89,$C90),0)</f>
        <v>0</v>
      </c>
      <c r="AI90" s="43">
        <f>IF(OR($C90="",$I90=""),0,IF(COUNTIFS($C$5:$C90,$C90,$I$5:$I90,$I90)=1,1,0))</f>
        <v>0</v>
      </c>
      <c r="AJ90" s="43" t="str">
        <f>IF($AI90=1,SUMIFS($AI$4:$AI89,$C$4:$C89,$C90)+1,"")</f>
        <v/>
      </c>
      <c r="AK90" s="43">
        <f>IF(OR($C90="",$K90=""),0,IF(COUNTIFS($C$5:$C90,$C90,$K$5:$K90,$K90)=1,1,0))</f>
        <v>0</v>
      </c>
      <c r="AL90" s="43" t="str">
        <f>IF($AK90=1,SUMIFS($AK$4:$AK89,$C$4:$C89,$C90)+1,"")</f>
        <v/>
      </c>
      <c r="AM90" s="43">
        <f>IF(OR($C90="",$G90=""),0,IF(COUNTIFS($C$5:$C90,$C90,$G$5:$G90,$G90)=1,1,0))</f>
        <v>0</v>
      </c>
      <c r="AN90" s="43" t="str">
        <f>IF($AM90=1,SUMIFS($AM$4:$AM89,$C$4:$C89,$C90)+1,"")</f>
        <v/>
      </c>
    </row>
    <row r="91">
      <c r="A91" s="44" t="str">
        <f>IF(OR($B91="",$D91=""),"","TX"&amp;TEXT(ROW()-4,"0000"))</f>
        <v/>
      </c>
      <c r="B91" s="42" t="n"/>
      <c r="C91" s="47" t="str">
        <f>IF($B91="","",YEAR($B91)*100+MONTH($B91))</f>
        <v/>
      </c>
      <c r="D91" s="37" t="n"/>
      <c r="E91" s="45" t="str">
        <f>IF($D91="","",IFERROR(INDEX(CARDS!$B$5:$B$34,MATCH($D91,CARDS!$A$5:$A$34,0)),"⚠ Card ID?"))</f>
        <v/>
      </c>
      <c r="F91" s="45" t="str">
        <f>IF($D91="","",IFERROR(INDEX(CARDS!$C$5:$C$34,MATCH($D91,CARDS!$A$5:$A$34,0)),"⚠ Card ID?"))</f>
        <v/>
      </c>
      <c r="G91" s="37" t="n"/>
      <c r="H91" s="37" t="n"/>
      <c r="I91" s="41" t="n"/>
      <c r="J91" s="45" t="str">
        <f>IF($I91="","",IFERROR(INDEX(MCC_MASTER!$B$5:$B$504,MATCH($I91,MCC_MASTER!$A$5:$A$504,0)),"⚠ MCC chưa có"))</f>
        <v/>
      </c>
      <c r="K91" s="45" t="str">
        <f>IF($I91="","",IFERROR(IF(INDEX(MCC_MASTER!$C$5:$C$504,MATCH($I91,MCC_MASTER!$A$5:$A$504,0))="","Chưa phân loại",INDEX(MCC_MASTER!$C$5:$C$504,MATCH($I91,MCC_MASTER!$A$5:$A$504,0))),"Chưa phân loại"))</f>
        <v/>
      </c>
      <c r="L91" s="40" t="n"/>
      <c r="M91" s="48" t="str">
        <f>IF(OR($B91="",$D91=""),"",IF($AC91=0,0,IF(ISNUMBER(INDEX(CASHBACK_RULES!$L$5:$L$304,$AC91)),MAX(0,MIN($L91,INDEX(CASHBACK_RULES!$L$5:$L$304,$AC91)-$AH91)),MAX(0,$L91))))</f>
        <v/>
      </c>
      <c r="N91" s="49" t="str">
        <f>IF(OR($B91="",$D91=""),"",IF($AC91&gt;0,INDEX(CASHBACK_RULES!$I$5:$I$304,$AC91),0))</f>
        <v/>
      </c>
      <c r="O91" s="48" t="str">
        <f>IF(OR($B91="",$D91=""),"",ROUND($M91*$N91,0))</f>
        <v/>
      </c>
      <c r="P91" s="48" t="str">
        <f>IF($AC91&gt;0,IF(ISNUMBER(INDEX(CASHBACK_RULES!$J$5:$J$304,$AC91)),INDEX(CASHBACK_RULES!$J$5:$J$304,$AC91),"∞"),"")</f>
        <v/>
      </c>
      <c r="Q91" s="48" t="str">
        <f>IF(OR($B91="",$D91=""),"",IF($AC91=0,0,MAX(0,MIN($O91,IF(ISNUMBER($P91),$P91-$AF91,1E+15),IF(ISNUMBER($AA91),$AA91-$AG91,1E+15)))))</f>
        <v/>
      </c>
      <c r="R91" s="48" t="str">
        <f>IF(OR($B91="",$D91=""),"",IF($AC91=0,"",IF(AND(NOT(ISNUMBER($P91)),NOT(ISNUMBER($AA91))),"∞",MAX(0,MIN(IF(ISNUMBER($P91),$P91-$AF91-$Q91,1E+15),IF(ISNUMBER($AA91),$AA91-$AG91-$Q91,1E+15))))))</f>
        <v/>
      </c>
      <c r="S91" s="47" t="str">
        <f>IF($AD91="","",YEAR($AD91)*100+MONTH($AD91))</f>
        <v/>
      </c>
      <c r="T91" s="50" t="str">
        <f>IF($AD91="","",IFERROR(IF(INDEX(CARDS!$I$5:$I$34,MATCH($D91,CARDS!$A$5:$A$34,0))="","",IF(INDEX(CARDS!$I$5:$I$34,MATCH($D91,CARDS!$A$5:$A$34,0))&gt;INDEX(CARDS!$H$5:$H$34,MATCH($D91,CARDS!$A$5:$A$34,0)),DATE(YEAR($AD91),MONTH($AD91),MIN(INDEX(CARDS!$I$5:$I$34,MATCH($D91,CARDS!$A$5:$A$34,0)),DAY(EOMONTH($AD91,0)))),DATE(YEAR($AD91),MONTH($AD91)+1,MIN(INDEX(CARDS!$I$5:$I$34,MATCH($D91,CARDS!$A$5:$A$34,0)),DAY(EOMONTH($AD91,1)))))),""))</f>
        <v/>
      </c>
      <c r="U91" s="38" t="n"/>
      <c r="V91" s="37" t="n"/>
      <c r="W91" s="38" t="n"/>
      <c r="X91" s="38" t="n"/>
      <c r="Y91" s="44" t="str">
        <f>IF($AC91&gt;0,INDEX(CASHBACK_RULES!$A$5:$A$304,$AC91),"")</f>
        <v/>
      </c>
      <c r="Z91" s="45" t="str">
        <f>IF($AC91&gt;0,INDEX(CASHBACK_RULES!$E$5:$E$304,$AC91)&amp;"","")</f>
        <v/>
      </c>
      <c r="AA91" s="48" t="str">
        <f>IF($AC91&gt;0,IF(ISNUMBER(INDEX(CASHBACK_RULES!$K$5:$K$304,$AC91)),INDEX(CASHBACK_RULES!$K$5:$K$304,$AC91),"∞"),"")</f>
        <v/>
      </c>
      <c r="AB91" s="44" t="str">
        <f>IF(OR($B91="",$D91=""),"",IF($U91="Cancelled","Đã hủy",IF($AC91=0,"Không được hoàn",IF($Q91=0,IF(OR($O91&gt;0,$M91&lt;$L91),"Đã đạt cap","Không được hoàn"),IF(OR($Q91&lt;$O91,$M91&lt;$L91),"Hoàn một phần","Được hoàn")))))</f>
        <v/>
      </c>
      <c r="AC91" s="43">
        <f>IF(OR($B91="",$D91="",$I91="",$L91=""),0,IF($U91="Cancelled",0,IF($W91&lt;&gt;"",IFERROR(IF(INDEX(CASHBACK_RULES!$B$5:$B$304,MATCH($W91,CASHBACK_RULES!$A$5:$A$304,0))=$D91,MATCH($W91,CASHBACK_RULES!$A$5:$A$304,0),0),0),IFERROR(MATCH(1,INDEX((CASHBACK_RULES!$B$5:$B$304=$D91)*(CASHBACK_RULES!$G$5:$G$304=$I91)*(((CASHBACK_RULES!$N$5:$N$304="")+(CASHBACK_RULES!$N$5:$N$304&lt;=$B91))&gt;0)*(((CASHBACK_RULES!$O$5:$O$304="")+(CASHBACK_RULES!$O$5:$O$304&gt;=$B91))&gt;0)*(((CASHBACK_RULES!$M$5:$M$304="")+(CASHBACK_RULES!$M$5:$M$304&lt;=$L91))&gt;0),0),0),0))))</f>
        <v>0</v>
      </c>
      <c r="AD91" s="51" t="str">
        <f>IF(OR($B91="",$D91=""),"",IFERROR(IF(INDEX(CARDS!$H$5:$H$34,MATCH($D91,CARDS!$A$5:$A$34,0))="","",IF(DAY($B91)&lt;=INDEX(CARDS!$H$5:$H$34,MATCH($D91,CARDS!$A$5:$A$34,0)),DATE(YEAR($B91),MONTH($B91),MIN(INDEX(CARDS!$H$5:$H$34,MATCH($D91,CARDS!$A$5:$A$34,0)),DAY(EOMONTH($B91,0)))),DATE(YEAR($B91),MONTH($B91)+1,MIN(INDEX(CARDS!$H$5:$H$34,MATCH($D91,CARDS!$A$5:$A$34,0)),DAY(EOMONTH($B91,1)))))),""))</f>
        <v/>
      </c>
      <c r="AE91" s="52" t="str">
        <f>IF($C91="","",$C91&amp;"|"&amp;COUNTIF($C$5:$C91,$C91))</f>
        <v/>
      </c>
      <c r="AF91" s="53">
        <f>IF($AC91&gt;0,SUMIFS(Q$4:Q90,$D$4:$D90,$D91,$Z$4:$Z90,$Z91,$C$4:$C90,$C91),0)</f>
        <v>0</v>
      </c>
      <c r="AG91" s="53">
        <f>IF($AC91&gt;0,SUMIFS(Q$4:Q90,$D$4:$D90,$D91,$C$4:$C90,$C91),0)</f>
        <v>0</v>
      </c>
      <c r="AH91" s="53">
        <f>IF($AC91&gt;0,SUMIFS(M$4:M90,$D$4:$D90,$D91,$Z$4:$Z90,$Z91,$C$4:$C90,$C91),0)</f>
        <v>0</v>
      </c>
      <c r="AI91" s="43">
        <f>IF(OR($C91="",$I91=""),0,IF(COUNTIFS($C$5:$C91,$C91,$I$5:$I91,$I91)=1,1,0))</f>
        <v>0</v>
      </c>
      <c r="AJ91" s="43" t="str">
        <f>IF($AI91=1,SUMIFS($AI$4:$AI90,$C$4:$C90,$C91)+1,"")</f>
        <v/>
      </c>
      <c r="AK91" s="43">
        <f>IF(OR($C91="",$K91=""),0,IF(COUNTIFS($C$5:$C91,$C91,$K$5:$K91,$K91)=1,1,0))</f>
        <v>0</v>
      </c>
      <c r="AL91" s="43" t="str">
        <f>IF($AK91=1,SUMIFS($AK$4:$AK90,$C$4:$C90,$C91)+1,"")</f>
        <v/>
      </c>
      <c r="AM91" s="43">
        <f>IF(OR($C91="",$G91=""),0,IF(COUNTIFS($C$5:$C91,$C91,$G$5:$G91,$G91)=1,1,0))</f>
        <v>0</v>
      </c>
      <c r="AN91" s="43" t="str">
        <f>IF($AM91=1,SUMIFS($AM$4:$AM90,$C$4:$C90,$C91)+1,"")</f>
        <v/>
      </c>
    </row>
    <row r="92">
      <c r="A92" s="44" t="str">
        <f>IF(OR($B92="",$D92=""),"","TX"&amp;TEXT(ROW()-4,"0000"))</f>
        <v/>
      </c>
      <c r="B92" s="42" t="n"/>
      <c r="C92" s="47" t="str">
        <f>IF($B92="","",YEAR($B92)*100+MONTH($B92))</f>
        <v/>
      </c>
      <c r="D92" s="37" t="n"/>
      <c r="E92" s="45" t="str">
        <f>IF($D92="","",IFERROR(INDEX(CARDS!$B$5:$B$34,MATCH($D92,CARDS!$A$5:$A$34,0)),"⚠ Card ID?"))</f>
        <v/>
      </c>
      <c r="F92" s="45" t="str">
        <f>IF($D92="","",IFERROR(INDEX(CARDS!$C$5:$C$34,MATCH($D92,CARDS!$A$5:$A$34,0)),"⚠ Card ID?"))</f>
        <v/>
      </c>
      <c r="G92" s="37" t="n"/>
      <c r="H92" s="37" t="n"/>
      <c r="I92" s="41" t="n"/>
      <c r="J92" s="45" t="str">
        <f>IF($I92="","",IFERROR(INDEX(MCC_MASTER!$B$5:$B$504,MATCH($I92,MCC_MASTER!$A$5:$A$504,0)),"⚠ MCC chưa có"))</f>
        <v/>
      </c>
      <c r="K92" s="45" t="str">
        <f>IF($I92="","",IFERROR(IF(INDEX(MCC_MASTER!$C$5:$C$504,MATCH($I92,MCC_MASTER!$A$5:$A$504,0))="","Chưa phân loại",INDEX(MCC_MASTER!$C$5:$C$504,MATCH($I92,MCC_MASTER!$A$5:$A$504,0))),"Chưa phân loại"))</f>
        <v/>
      </c>
      <c r="L92" s="40" t="n"/>
      <c r="M92" s="48" t="str">
        <f>IF(OR($B92="",$D92=""),"",IF($AC92=0,0,IF(ISNUMBER(INDEX(CASHBACK_RULES!$L$5:$L$304,$AC92)),MAX(0,MIN($L92,INDEX(CASHBACK_RULES!$L$5:$L$304,$AC92)-$AH92)),MAX(0,$L92))))</f>
        <v/>
      </c>
      <c r="N92" s="49" t="str">
        <f>IF(OR($B92="",$D92=""),"",IF($AC92&gt;0,INDEX(CASHBACK_RULES!$I$5:$I$304,$AC92),0))</f>
        <v/>
      </c>
      <c r="O92" s="48" t="str">
        <f>IF(OR($B92="",$D92=""),"",ROUND($M92*$N92,0))</f>
        <v/>
      </c>
      <c r="P92" s="48" t="str">
        <f>IF($AC92&gt;0,IF(ISNUMBER(INDEX(CASHBACK_RULES!$J$5:$J$304,$AC92)),INDEX(CASHBACK_RULES!$J$5:$J$304,$AC92),"∞"),"")</f>
        <v/>
      </c>
      <c r="Q92" s="48" t="str">
        <f>IF(OR($B92="",$D92=""),"",IF($AC92=0,0,MAX(0,MIN($O92,IF(ISNUMBER($P92),$P92-$AF92,1E+15),IF(ISNUMBER($AA92),$AA92-$AG92,1E+15)))))</f>
        <v/>
      </c>
      <c r="R92" s="48" t="str">
        <f>IF(OR($B92="",$D92=""),"",IF($AC92=0,"",IF(AND(NOT(ISNUMBER($P92)),NOT(ISNUMBER($AA92))),"∞",MAX(0,MIN(IF(ISNUMBER($P92),$P92-$AF92-$Q92,1E+15),IF(ISNUMBER($AA92),$AA92-$AG92-$Q92,1E+15))))))</f>
        <v/>
      </c>
      <c r="S92" s="47" t="str">
        <f>IF($AD92="","",YEAR($AD92)*100+MONTH($AD92))</f>
        <v/>
      </c>
      <c r="T92" s="50" t="str">
        <f>IF($AD92="","",IFERROR(IF(INDEX(CARDS!$I$5:$I$34,MATCH($D92,CARDS!$A$5:$A$34,0))="","",IF(INDEX(CARDS!$I$5:$I$34,MATCH($D92,CARDS!$A$5:$A$34,0))&gt;INDEX(CARDS!$H$5:$H$34,MATCH($D92,CARDS!$A$5:$A$34,0)),DATE(YEAR($AD92),MONTH($AD92),MIN(INDEX(CARDS!$I$5:$I$34,MATCH($D92,CARDS!$A$5:$A$34,0)),DAY(EOMONTH($AD92,0)))),DATE(YEAR($AD92),MONTH($AD92)+1,MIN(INDEX(CARDS!$I$5:$I$34,MATCH($D92,CARDS!$A$5:$A$34,0)),DAY(EOMONTH($AD92,1)))))),""))</f>
        <v/>
      </c>
      <c r="U92" s="38" t="n"/>
      <c r="V92" s="37" t="n"/>
      <c r="W92" s="38" t="n"/>
      <c r="X92" s="38" t="n"/>
      <c r="Y92" s="44" t="str">
        <f>IF($AC92&gt;0,INDEX(CASHBACK_RULES!$A$5:$A$304,$AC92),"")</f>
        <v/>
      </c>
      <c r="Z92" s="45" t="str">
        <f>IF($AC92&gt;0,INDEX(CASHBACK_RULES!$E$5:$E$304,$AC92)&amp;"","")</f>
        <v/>
      </c>
      <c r="AA92" s="48" t="str">
        <f>IF($AC92&gt;0,IF(ISNUMBER(INDEX(CASHBACK_RULES!$K$5:$K$304,$AC92)),INDEX(CASHBACK_RULES!$K$5:$K$304,$AC92),"∞"),"")</f>
        <v/>
      </c>
      <c r="AB92" s="44" t="str">
        <f>IF(OR($B92="",$D92=""),"",IF($U92="Cancelled","Đã hủy",IF($AC92=0,"Không được hoàn",IF($Q92=0,IF(OR($O92&gt;0,$M92&lt;$L92),"Đã đạt cap","Không được hoàn"),IF(OR($Q92&lt;$O92,$M92&lt;$L92),"Hoàn một phần","Được hoàn")))))</f>
        <v/>
      </c>
      <c r="AC92" s="43">
        <f>IF(OR($B92="",$D92="",$I92="",$L92=""),0,IF($U92="Cancelled",0,IF($W92&lt;&gt;"",IFERROR(IF(INDEX(CASHBACK_RULES!$B$5:$B$304,MATCH($W92,CASHBACK_RULES!$A$5:$A$304,0))=$D92,MATCH($W92,CASHBACK_RULES!$A$5:$A$304,0),0),0),IFERROR(MATCH(1,INDEX((CASHBACK_RULES!$B$5:$B$304=$D92)*(CASHBACK_RULES!$G$5:$G$304=$I92)*(((CASHBACK_RULES!$N$5:$N$304="")+(CASHBACK_RULES!$N$5:$N$304&lt;=$B92))&gt;0)*(((CASHBACK_RULES!$O$5:$O$304="")+(CASHBACK_RULES!$O$5:$O$304&gt;=$B92))&gt;0)*(((CASHBACK_RULES!$M$5:$M$304="")+(CASHBACK_RULES!$M$5:$M$304&lt;=$L92))&gt;0),0),0),0))))</f>
        <v>0</v>
      </c>
      <c r="AD92" s="51" t="str">
        <f>IF(OR($B92="",$D92=""),"",IFERROR(IF(INDEX(CARDS!$H$5:$H$34,MATCH($D92,CARDS!$A$5:$A$34,0))="","",IF(DAY($B92)&lt;=INDEX(CARDS!$H$5:$H$34,MATCH($D92,CARDS!$A$5:$A$34,0)),DATE(YEAR($B92),MONTH($B92),MIN(INDEX(CARDS!$H$5:$H$34,MATCH($D92,CARDS!$A$5:$A$34,0)),DAY(EOMONTH($B92,0)))),DATE(YEAR($B92),MONTH($B92)+1,MIN(INDEX(CARDS!$H$5:$H$34,MATCH($D92,CARDS!$A$5:$A$34,0)),DAY(EOMONTH($B92,1)))))),""))</f>
        <v/>
      </c>
      <c r="AE92" s="52" t="str">
        <f>IF($C92="","",$C92&amp;"|"&amp;COUNTIF($C$5:$C92,$C92))</f>
        <v/>
      </c>
      <c r="AF92" s="53">
        <f>IF($AC92&gt;0,SUMIFS(Q$4:Q91,$D$4:$D91,$D92,$Z$4:$Z91,$Z92,$C$4:$C91,$C92),0)</f>
        <v>0</v>
      </c>
      <c r="AG92" s="53">
        <f>IF($AC92&gt;0,SUMIFS(Q$4:Q91,$D$4:$D91,$D92,$C$4:$C91,$C92),0)</f>
        <v>0</v>
      </c>
      <c r="AH92" s="53">
        <f>IF($AC92&gt;0,SUMIFS(M$4:M91,$D$4:$D91,$D92,$Z$4:$Z91,$Z92,$C$4:$C91,$C92),0)</f>
        <v>0</v>
      </c>
      <c r="AI92" s="43">
        <f>IF(OR($C92="",$I92=""),0,IF(COUNTIFS($C$5:$C92,$C92,$I$5:$I92,$I92)=1,1,0))</f>
        <v>0</v>
      </c>
      <c r="AJ92" s="43" t="str">
        <f>IF($AI92=1,SUMIFS($AI$4:$AI91,$C$4:$C91,$C92)+1,"")</f>
        <v/>
      </c>
      <c r="AK92" s="43">
        <f>IF(OR($C92="",$K92=""),0,IF(COUNTIFS($C$5:$C92,$C92,$K$5:$K92,$K92)=1,1,0))</f>
        <v>0</v>
      </c>
      <c r="AL92" s="43" t="str">
        <f>IF($AK92=1,SUMIFS($AK$4:$AK91,$C$4:$C91,$C92)+1,"")</f>
        <v/>
      </c>
      <c r="AM92" s="43">
        <f>IF(OR($C92="",$G92=""),0,IF(COUNTIFS($C$5:$C92,$C92,$G$5:$G92,$G92)=1,1,0))</f>
        <v>0</v>
      </c>
      <c r="AN92" s="43" t="str">
        <f>IF($AM92=1,SUMIFS($AM$4:$AM91,$C$4:$C91,$C92)+1,"")</f>
        <v/>
      </c>
    </row>
    <row r="93">
      <c r="A93" s="44" t="str">
        <f>IF(OR($B93="",$D93=""),"","TX"&amp;TEXT(ROW()-4,"0000"))</f>
        <v/>
      </c>
      <c r="B93" s="42" t="n"/>
      <c r="C93" s="47" t="str">
        <f>IF($B93="","",YEAR($B93)*100+MONTH($B93))</f>
        <v/>
      </c>
      <c r="D93" s="37" t="n"/>
      <c r="E93" s="45" t="str">
        <f>IF($D93="","",IFERROR(INDEX(CARDS!$B$5:$B$34,MATCH($D93,CARDS!$A$5:$A$34,0)),"⚠ Card ID?"))</f>
        <v/>
      </c>
      <c r="F93" s="45" t="str">
        <f>IF($D93="","",IFERROR(INDEX(CARDS!$C$5:$C$34,MATCH($D93,CARDS!$A$5:$A$34,0)),"⚠ Card ID?"))</f>
        <v/>
      </c>
      <c r="G93" s="37" t="n"/>
      <c r="H93" s="37" t="n"/>
      <c r="I93" s="41" t="n"/>
      <c r="J93" s="45" t="str">
        <f>IF($I93="","",IFERROR(INDEX(MCC_MASTER!$B$5:$B$504,MATCH($I93,MCC_MASTER!$A$5:$A$504,0)),"⚠ MCC chưa có"))</f>
        <v/>
      </c>
      <c r="K93" s="45" t="str">
        <f>IF($I93="","",IFERROR(IF(INDEX(MCC_MASTER!$C$5:$C$504,MATCH($I93,MCC_MASTER!$A$5:$A$504,0))="","Chưa phân loại",INDEX(MCC_MASTER!$C$5:$C$504,MATCH($I93,MCC_MASTER!$A$5:$A$504,0))),"Chưa phân loại"))</f>
        <v/>
      </c>
      <c r="L93" s="40" t="n"/>
      <c r="M93" s="48" t="str">
        <f>IF(OR($B93="",$D93=""),"",IF($AC93=0,0,IF(ISNUMBER(INDEX(CASHBACK_RULES!$L$5:$L$304,$AC93)),MAX(0,MIN($L93,INDEX(CASHBACK_RULES!$L$5:$L$304,$AC93)-$AH93)),MAX(0,$L93))))</f>
        <v/>
      </c>
      <c r="N93" s="49" t="str">
        <f>IF(OR($B93="",$D93=""),"",IF($AC93&gt;0,INDEX(CASHBACK_RULES!$I$5:$I$304,$AC93),0))</f>
        <v/>
      </c>
      <c r="O93" s="48" t="str">
        <f>IF(OR($B93="",$D93=""),"",ROUND($M93*$N93,0))</f>
        <v/>
      </c>
      <c r="P93" s="48" t="str">
        <f>IF($AC93&gt;0,IF(ISNUMBER(INDEX(CASHBACK_RULES!$J$5:$J$304,$AC93)),INDEX(CASHBACK_RULES!$J$5:$J$304,$AC93),"∞"),"")</f>
        <v/>
      </c>
      <c r="Q93" s="48" t="str">
        <f>IF(OR($B93="",$D93=""),"",IF($AC93=0,0,MAX(0,MIN($O93,IF(ISNUMBER($P93),$P93-$AF93,1E+15),IF(ISNUMBER($AA93),$AA93-$AG93,1E+15)))))</f>
        <v/>
      </c>
      <c r="R93" s="48" t="str">
        <f>IF(OR($B93="",$D93=""),"",IF($AC93=0,"",IF(AND(NOT(ISNUMBER($P93)),NOT(ISNUMBER($AA93))),"∞",MAX(0,MIN(IF(ISNUMBER($P93),$P93-$AF93-$Q93,1E+15),IF(ISNUMBER($AA93),$AA93-$AG93-$Q93,1E+15))))))</f>
        <v/>
      </c>
      <c r="S93" s="47" t="str">
        <f>IF($AD93="","",YEAR($AD93)*100+MONTH($AD93))</f>
        <v/>
      </c>
      <c r="T93" s="50" t="str">
        <f>IF($AD93="","",IFERROR(IF(INDEX(CARDS!$I$5:$I$34,MATCH($D93,CARDS!$A$5:$A$34,0))="","",IF(INDEX(CARDS!$I$5:$I$34,MATCH($D93,CARDS!$A$5:$A$34,0))&gt;INDEX(CARDS!$H$5:$H$34,MATCH($D93,CARDS!$A$5:$A$34,0)),DATE(YEAR($AD93),MONTH($AD93),MIN(INDEX(CARDS!$I$5:$I$34,MATCH($D93,CARDS!$A$5:$A$34,0)),DAY(EOMONTH($AD93,0)))),DATE(YEAR($AD93),MONTH($AD93)+1,MIN(INDEX(CARDS!$I$5:$I$34,MATCH($D93,CARDS!$A$5:$A$34,0)),DAY(EOMONTH($AD93,1)))))),""))</f>
        <v/>
      </c>
      <c r="U93" s="38" t="n"/>
      <c r="V93" s="37" t="n"/>
      <c r="W93" s="38" t="n"/>
      <c r="X93" s="38" t="n"/>
      <c r="Y93" s="44" t="str">
        <f>IF($AC93&gt;0,INDEX(CASHBACK_RULES!$A$5:$A$304,$AC93),"")</f>
        <v/>
      </c>
      <c r="Z93" s="45" t="str">
        <f>IF($AC93&gt;0,INDEX(CASHBACK_RULES!$E$5:$E$304,$AC93)&amp;"","")</f>
        <v/>
      </c>
      <c r="AA93" s="48" t="str">
        <f>IF($AC93&gt;0,IF(ISNUMBER(INDEX(CASHBACK_RULES!$K$5:$K$304,$AC93)),INDEX(CASHBACK_RULES!$K$5:$K$304,$AC93),"∞"),"")</f>
        <v/>
      </c>
      <c r="AB93" s="44" t="str">
        <f>IF(OR($B93="",$D93=""),"",IF($U93="Cancelled","Đã hủy",IF($AC93=0,"Không được hoàn",IF($Q93=0,IF(OR($O93&gt;0,$M93&lt;$L93),"Đã đạt cap","Không được hoàn"),IF(OR($Q93&lt;$O93,$M93&lt;$L93),"Hoàn một phần","Được hoàn")))))</f>
        <v/>
      </c>
      <c r="AC93" s="43">
        <f>IF(OR($B93="",$D93="",$I93="",$L93=""),0,IF($U93="Cancelled",0,IF($W93&lt;&gt;"",IFERROR(IF(INDEX(CASHBACK_RULES!$B$5:$B$304,MATCH($W93,CASHBACK_RULES!$A$5:$A$304,0))=$D93,MATCH($W93,CASHBACK_RULES!$A$5:$A$304,0),0),0),IFERROR(MATCH(1,INDEX((CASHBACK_RULES!$B$5:$B$304=$D93)*(CASHBACK_RULES!$G$5:$G$304=$I93)*(((CASHBACK_RULES!$N$5:$N$304="")+(CASHBACK_RULES!$N$5:$N$304&lt;=$B93))&gt;0)*(((CASHBACK_RULES!$O$5:$O$304="")+(CASHBACK_RULES!$O$5:$O$304&gt;=$B93))&gt;0)*(((CASHBACK_RULES!$M$5:$M$304="")+(CASHBACK_RULES!$M$5:$M$304&lt;=$L93))&gt;0),0),0),0))))</f>
        <v>0</v>
      </c>
      <c r="AD93" s="51" t="str">
        <f>IF(OR($B93="",$D93=""),"",IFERROR(IF(INDEX(CARDS!$H$5:$H$34,MATCH($D93,CARDS!$A$5:$A$34,0))="","",IF(DAY($B93)&lt;=INDEX(CARDS!$H$5:$H$34,MATCH($D93,CARDS!$A$5:$A$34,0)),DATE(YEAR($B93),MONTH($B93),MIN(INDEX(CARDS!$H$5:$H$34,MATCH($D93,CARDS!$A$5:$A$34,0)),DAY(EOMONTH($B93,0)))),DATE(YEAR($B93),MONTH($B93)+1,MIN(INDEX(CARDS!$H$5:$H$34,MATCH($D93,CARDS!$A$5:$A$34,0)),DAY(EOMONTH($B93,1)))))),""))</f>
        <v/>
      </c>
      <c r="AE93" s="52" t="str">
        <f>IF($C93="","",$C93&amp;"|"&amp;COUNTIF($C$5:$C93,$C93))</f>
        <v/>
      </c>
      <c r="AF93" s="53">
        <f>IF($AC93&gt;0,SUMIFS(Q$4:Q92,$D$4:$D92,$D93,$Z$4:$Z92,$Z93,$C$4:$C92,$C93),0)</f>
        <v>0</v>
      </c>
      <c r="AG93" s="53">
        <f>IF($AC93&gt;0,SUMIFS(Q$4:Q92,$D$4:$D92,$D93,$C$4:$C92,$C93),0)</f>
        <v>0</v>
      </c>
      <c r="AH93" s="53">
        <f>IF($AC93&gt;0,SUMIFS(M$4:M92,$D$4:$D92,$D93,$Z$4:$Z92,$Z93,$C$4:$C92,$C93),0)</f>
        <v>0</v>
      </c>
      <c r="AI93" s="43">
        <f>IF(OR($C93="",$I93=""),0,IF(COUNTIFS($C$5:$C93,$C93,$I$5:$I93,$I93)=1,1,0))</f>
        <v>0</v>
      </c>
      <c r="AJ93" s="43" t="str">
        <f>IF($AI93=1,SUMIFS($AI$4:$AI92,$C$4:$C92,$C93)+1,"")</f>
        <v/>
      </c>
      <c r="AK93" s="43">
        <f>IF(OR($C93="",$K93=""),0,IF(COUNTIFS($C$5:$C93,$C93,$K$5:$K93,$K93)=1,1,0))</f>
        <v>0</v>
      </c>
      <c r="AL93" s="43" t="str">
        <f>IF($AK93=1,SUMIFS($AK$4:$AK92,$C$4:$C92,$C93)+1,"")</f>
        <v/>
      </c>
      <c r="AM93" s="43">
        <f>IF(OR($C93="",$G93=""),0,IF(COUNTIFS($C$5:$C93,$C93,$G$5:$G93,$G93)=1,1,0))</f>
        <v>0</v>
      </c>
      <c r="AN93" s="43" t="str">
        <f>IF($AM93=1,SUMIFS($AM$4:$AM92,$C$4:$C92,$C93)+1,"")</f>
        <v/>
      </c>
    </row>
    <row r="94">
      <c r="A94" s="44" t="str">
        <f>IF(OR($B94="",$D94=""),"","TX"&amp;TEXT(ROW()-4,"0000"))</f>
        <v/>
      </c>
      <c r="B94" s="42" t="n"/>
      <c r="C94" s="47" t="str">
        <f>IF($B94="","",YEAR($B94)*100+MONTH($B94))</f>
        <v/>
      </c>
      <c r="D94" s="37" t="n"/>
      <c r="E94" s="45" t="str">
        <f>IF($D94="","",IFERROR(INDEX(CARDS!$B$5:$B$34,MATCH($D94,CARDS!$A$5:$A$34,0)),"⚠ Card ID?"))</f>
        <v/>
      </c>
      <c r="F94" s="45" t="str">
        <f>IF($D94="","",IFERROR(INDEX(CARDS!$C$5:$C$34,MATCH($D94,CARDS!$A$5:$A$34,0)),"⚠ Card ID?"))</f>
        <v/>
      </c>
      <c r="G94" s="37" t="n"/>
      <c r="H94" s="37" t="n"/>
      <c r="I94" s="41" t="n"/>
      <c r="J94" s="45" t="str">
        <f>IF($I94="","",IFERROR(INDEX(MCC_MASTER!$B$5:$B$504,MATCH($I94,MCC_MASTER!$A$5:$A$504,0)),"⚠ MCC chưa có"))</f>
        <v/>
      </c>
      <c r="K94" s="45" t="str">
        <f>IF($I94="","",IFERROR(IF(INDEX(MCC_MASTER!$C$5:$C$504,MATCH($I94,MCC_MASTER!$A$5:$A$504,0))="","Chưa phân loại",INDEX(MCC_MASTER!$C$5:$C$504,MATCH($I94,MCC_MASTER!$A$5:$A$504,0))),"Chưa phân loại"))</f>
        <v/>
      </c>
      <c r="L94" s="40" t="n"/>
      <c r="M94" s="48" t="str">
        <f>IF(OR($B94="",$D94=""),"",IF($AC94=0,0,IF(ISNUMBER(INDEX(CASHBACK_RULES!$L$5:$L$304,$AC94)),MAX(0,MIN($L94,INDEX(CASHBACK_RULES!$L$5:$L$304,$AC94)-$AH94)),MAX(0,$L94))))</f>
        <v/>
      </c>
      <c r="N94" s="49" t="str">
        <f>IF(OR($B94="",$D94=""),"",IF($AC94&gt;0,INDEX(CASHBACK_RULES!$I$5:$I$304,$AC94),0))</f>
        <v/>
      </c>
      <c r="O94" s="48" t="str">
        <f>IF(OR($B94="",$D94=""),"",ROUND($M94*$N94,0))</f>
        <v/>
      </c>
      <c r="P94" s="48" t="str">
        <f>IF($AC94&gt;0,IF(ISNUMBER(INDEX(CASHBACK_RULES!$J$5:$J$304,$AC94)),INDEX(CASHBACK_RULES!$J$5:$J$304,$AC94),"∞"),"")</f>
        <v/>
      </c>
      <c r="Q94" s="48" t="str">
        <f>IF(OR($B94="",$D94=""),"",IF($AC94=0,0,MAX(0,MIN($O94,IF(ISNUMBER($P94),$P94-$AF94,1E+15),IF(ISNUMBER($AA94),$AA94-$AG94,1E+15)))))</f>
        <v/>
      </c>
      <c r="R94" s="48" t="str">
        <f>IF(OR($B94="",$D94=""),"",IF($AC94=0,"",IF(AND(NOT(ISNUMBER($P94)),NOT(ISNUMBER($AA94))),"∞",MAX(0,MIN(IF(ISNUMBER($P94),$P94-$AF94-$Q94,1E+15),IF(ISNUMBER($AA94),$AA94-$AG94-$Q94,1E+15))))))</f>
        <v/>
      </c>
      <c r="S94" s="47" t="str">
        <f>IF($AD94="","",YEAR($AD94)*100+MONTH($AD94))</f>
        <v/>
      </c>
      <c r="T94" s="50" t="str">
        <f>IF($AD94="","",IFERROR(IF(INDEX(CARDS!$I$5:$I$34,MATCH($D94,CARDS!$A$5:$A$34,0))="","",IF(INDEX(CARDS!$I$5:$I$34,MATCH($D94,CARDS!$A$5:$A$34,0))&gt;INDEX(CARDS!$H$5:$H$34,MATCH($D94,CARDS!$A$5:$A$34,0)),DATE(YEAR($AD94),MONTH($AD94),MIN(INDEX(CARDS!$I$5:$I$34,MATCH($D94,CARDS!$A$5:$A$34,0)),DAY(EOMONTH($AD94,0)))),DATE(YEAR($AD94),MONTH($AD94)+1,MIN(INDEX(CARDS!$I$5:$I$34,MATCH($D94,CARDS!$A$5:$A$34,0)),DAY(EOMONTH($AD94,1)))))),""))</f>
        <v/>
      </c>
      <c r="U94" s="38" t="n"/>
      <c r="V94" s="37" t="n"/>
      <c r="W94" s="38" t="n"/>
      <c r="X94" s="38" t="n"/>
      <c r="Y94" s="44" t="str">
        <f>IF($AC94&gt;0,INDEX(CASHBACK_RULES!$A$5:$A$304,$AC94),"")</f>
        <v/>
      </c>
      <c r="Z94" s="45" t="str">
        <f>IF($AC94&gt;0,INDEX(CASHBACK_RULES!$E$5:$E$304,$AC94)&amp;"","")</f>
        <v/>
      </c>
      <c r="AA94" s="48" t="str">
        <f>IF($AC94&gt;0,IF(ISNUMBER(INDEX(CASHBACK_RULES!$K$5:$K$304,$AC94)),INDEX(CASHBACK_RULES!$K$5:$K$304,$AC94),"∞"),"")</f>
        <v/>
      </c>
      <c r="AB94" s="44" t="str">
        <f>IF(OR($B94="",$D94=""),"",IF($U94="Cancelled","Đã hủy",IF($AC94=0,"Không được hoàn",IF($Q94=0,IF(OR($O94&gt;0,$M94&lt;$L94),"Đã đạt cap","Không được hoàn"),IF(OR($Q94&lt;$O94,$M94&lt;$L94),"Hoàn một phần","Được hoàn")))))</f>
        <v/>
      </c>
      <c r="AC94" s="43">
        <f>IF(OR($B94="",$D94="",$I94="",$L94=""),0,IF($U94="Cancelled",0,IF($W94&lt;&gt;"",IFERROR(IF(INDEX(CASHBACK_RULES!$B$5:$B$304,MATCH($W94,CASHBACK_RULES!$A$5:$A$304,0))=$D94,MATCH($W94,CASHBACK_RULES!$A$5:$A$304,0),0),0),IFERROR(MATCH(1,INDEX((CASHBACK_RULES!$B$5:$B$304=$D94)*(CASHBACK_RULES!$G$5:$G$304=$I94)*(((CASHBACK_RULES!$N$5:$N$304="")+(CASHBACK_RULES!$N$5:$N$304&lt;=$B94))&gt;0)*(((CASHBACK_RULES!$O$5:$O$304="")+(CASHBACK_RULES!$O$5:$O$304&gt;=$B94))&gt;0)*(((CASHBACK_RULES!$M$5:$M$304="")+(CASHBACK_RULES!$M$5:$M$304&lt;=$L94))&gt;0),0),0),0))))</f>
        <v>0</v>
      </c>
      <c r="AD94" s="51" t="str">
        <f>IF(OR($B94="",$D94=""),"",IFERROR(IF(INDEX(CARDS!$H$5:$H$34,MATCH($D94,CARDS!$A$5:$A$34,0))="","",IF(DAY($B94)&lt;=INDEX(CARDS!$H$5:$H$34,MATCH($D94,CARDS!$A$5:$A$34,0)),DATE(YEAR($B94),MONTH($B94),MIN(INDEX(CARDS!$H$5:$H$34,MATCH($D94,CARDS!$A$5:$A$34,0)),DAY(EOMONTH($B94,0)))),DATE(YEAR($B94),MONTH($B94)+1,MIN(INDEX(CARDS!$H$5:$H$34,MATCH($D94,CARDS!$A$5:$A$34,0)),DAY(EOMONTH($B94,1)))))),""))</f>
        <v/>
      </c>
      <c r="AE94" s="52" t="str">
        <f>IF($C94="","",$C94&amp;"|"&amp;COUNTIF($C$5:$C94,$C94))</f>
        <v/>
      </c>
      <c r="AF94" s="53">
        <f>IF($AC94&gt;0,SUMIFS(Q$4:Q93,$D$4:$D93,$D94,$Z$4:$Z93,$Z94,$C$4:$C93,$C94),0)</f>
        <v>0</v>
      </c>
      <c r="AG94" s="53">
        <f>IF($AC94&gt;0,SUMIFS(Q$4:Q93,$D$4:$D93,$D94,$C$4:$C93,$C94),0)</f>
        <v>0</v>
      </c>
      <c r="AH94" s="53">
        <f>IF($AC94&gt;0,SUMIFS(M$4:M93,$D$4:$D93,$D94,$Z$4:$Z93,$Z94,$C$4:$C93,$C94),0)</f>
        <v>0</v>
      </c>
      <c r="AI94" s="43">
        <f>IF(OR($C94="",$I94=""),0,IF(COUNTIFS($C$5:$C94,$C94,$I$5:$I94,$I94)=1,1,0))</f>
        <v>0</v>
      </c>
      <c r="AJ94" s="43" t="str">
        <f>IF($AI94=1,SUMIFS($AI$4:$AI93,$C$4:$C93,$C94)+1,"")</f>
        <v/>
      </c>
      <c r="AK94" s="43">
        <f>IF(OR($C94="",$K94=""),0,IF(COUNTIFS($C$5:$C94,$C94,$K$5:$K94,$K94)=1,1,0))</f>
        <v>0</v>
      </c>
      <c r="AL94" s="43" t="str">
        <f>IF($AK94=1,SUMIFS($AK$4:$AK93,$C$4:$C93,$C94)+1,"")</f>
        <v/>
      </c>
      <c r="AM94" s="43">
        <f>IF(OR($C94="",$G94=""),0,IF(COUNTIFS($C$5:$C94,$C94,$G$5:$G94,$G94)=1,1,0))</f>
        <v>0</v>
      </c>
      <c r="AN94" s="43" t="str">
        <f>IF($AM94=1,SUMIFS($AM$4:$AM93,$C$4:$C93,$C94)+1,"")</f>
        <v/>
      </c>
    </row>
    <row r="95">
      <c r="A95" s="44" t="str">
        <f>IF(OR($B95="",$D95=""),"","TX"&amp;TEXT(ROW()-4,"0000"))</f>
        <v/>
      </c>
      <c r="B95" s="42" t="n"/>
      <c r="C95" s="47" t="str">
        <f>IF($B95="","",YEAR($B95)*100+MONTH($B95))</f>
        <v/>
      </c>
      <c r="D95" s="37" t="n"/>
      <c r="E95" s="45" t="str">
        <f>IF($D95="","",IFERROR(INDEX(CARDS!$B$5:$B$34,MATCH($D95,CARDS!$A$5:$A$34,0)),"⚠ Card ID?"))</f>
        <v/>
      </c>
      <c r="F95" s="45" t="str">
        <f>IF($D95="","",IFERROR(INDEX(CARDS!$C$5:$C$34,MATCH($D95,CARDS!$A$5:$A$34,0)),"⚠ Card ID?"))</f>
        <v/>
      </c>
      <c r="G95" s="37" t="n"/>
      <c r="H95" s="37" t="n"/>
      <c r="I95" s="41" t="n"/>
      <c r="J95" s="45" t="str">
        <f>IF($I95="","",IFERROR(INDEX(MCC_MASTER!$B$5:$B$504,MATCH($I95,MCC_MASTER!$A$5:$A$504,0)),"⚠ MCC chưa có"))</f>
        <v/>
      </c>
      <c r="K95" s="45" t="str">
        <f>IF($I95="","",IFERROR(IF(INDEX(MCC_MASTER!$C$5:$C$504,MATCH($I95,MCC_MASTER!$A$5:$A$504,0))="","Chưa phân loại",INDEX(MCC_MASTER!$C$5:$C$504,MATCH($I95,MCC_MASTER!$A$5:$A$504,0))),"Chưa phân loại"))</f>
        <v/>
      </c>
      <c r="L95" s="40" t="n"/>
      <c r="M95" s="48" t="str">
        <f>IF(OR($B95="",$D95=""),"",IF($AC95=0,0,IF(ISNUMBER(INDEX(CASHBACK_RULES!$L$5:$L$304,$AC95)),MAX(0,MIN($L95,INDEX(CASHBACK_RULES!$L$5:$L$304,$AC95)-$AH95)),MAX(0,$L95))))</f>
        <v/>
      </c>
      <c r="N95" s="49" t="str">
        <f>IF(OR($B95="",$D95=""),"",IF($AC95&gt;0,INDEX(CASHBACK_RULES!$I$5:$I$304,$AC95),0))</f>
        <v/>
      </c>
      <c r="O95" s="48" t="str">
        <f>IF(OR($B95="",$D95=""),"",ROUND($M95*$N95,0))</f>
        <v/>
      </c>
      <c r="P95" s="48" t="str">
        <f>IF($AC95&gt;0,IF(ISNUMBER(INDEX(CASHBACK_RULES!$J$5:$J$304,$AC95)),INDEX(CASHBACK_RULES!$J$5:$J$304,$AC95),"∞"),"")</f>
        <v/>
      </c>
      <c r="Q95" s="48" t="str">
        <f>IF(OR($B95="",$D95=""),"",IF($AC95=0,0,MAX(0,MIN($O95,IF(ISNUMBER($P95),$P95-$AF95,1E+15),IF(ISNUMBER($AA95),$AA95-$AG95,1E+15)))))</f>
        <v/>
      </c>
      <c r="R95" s="48" t="str">
        <f>IF(OR($B95="",$D95=""),"",IF($AC95=0,"",IF(AND(NOT(ISNUMBER($P95)),NOT(ISNUMBER($AA95))),"∞",MAX(0,MIN(IF(ISNUMBER($P95),$P95-$AF95-$Q95,1E+15),IF(ISNUMBER($AA95),$AA95-$AG95-$Q95,1E+15))))))</f>
        <v/>
      </c>
      <c r="S95" s="47" t="str">
        <f>IF($AD95="","",YEAR($AD95)*100+MONTH($AD95))</f>
        <v/>
      </c>
      <c r="T95" s="50" t="str">
        <f>IF($AD95="","",IFERROR(IF(INDEX(CARDS!$I$5:$I$34,MATCH($D95,CARDS!$A$5:$A$34,0))="","",IF(INDEX(CARDS!$I$5:$I$34,MATCH($D95,CARDS!$A$5:$A$34,0))&gt;INDEX(CARDS!$H$5:$H$34,MATCH($D95,CARDS!$A$5:$A$34,0)),DATE(YEAR($AD95),MONTH($AD95),MIN(INDEX(CARDS!$I$5:$I$34,MATCH($D95,CARDS!$A$5:$A$34,0)),DAY(EOMONTH($AD95,0)))),DATE(YEAR($AD95),MONTH($AD95)+1,MIN(INDEX(CARDS!$I$5:$I$34,MATCH($D95,CARDS!$A$5:$A$34,0)),DAY(EOMONTH($AD95,1)))))),""))</f>
        <v/>
      </c>
      <c r="U95" s="38" t="n"/>
      <c r="V95" s="37" t="n"/>
      <c r="W95" s="38" t="n"/>
      <c r="X95" s="38" t="n"/>
      <c r="Y95" s="44" t="str">
        <f>IF($AC95&gt;0,INDEX(CASHBACK_RULES!$A$5:$A$304,$AC95),"")</f>
        <v/>
      </c>
      <c r="Z95" s="45" t="str">
        <f>IF($AC95&gt;0,INDEX(CASHBACK_RULES!$E$5:$E$304,$AC95)&amp;"","")</f>
        <v/>
      </c>
      <c r="AA95" s="48" t="str">
        <f>IF($AC95&gt;0,IF(ISNUMBER(INDEX(CASHBACK_RULES!$K$5:$K$304,$AC95)),INDEX(CASHBACK_RULES!$K$5:$K$304,$AC95),"∞"),"")</f>
        <v/>
      </c>
      <c r="AB95" s="44" t="str">
        <f>IF(OR($B95="",$D95=""),"",IF($U95="Cancelled","Đã hủy",IF($AC95=0,"Không được hoàn",IF($Q95=0,IF(OR($O95&gt;0,$M95&lt;$L95),"Đã đạt cap","Không được hoàn"),IF(OR($Q95&lt;$O95,$M95&lt;$L95),"Hoàn một phần","Được hoàn")))))</f>
        <v/>
      </c>
      <c r="AC95" s="43">
        <f>IF(OR($B95="",$D95="",$I95="",$L95=""),0,IF($U95="Cancelled",0,IF($W95&lt;&gt;"",IFERROR(IF(INDEX(CASHBACK_RULES!$B$5:$B$304,MATCH($W95,CASHBACK_RULES!$A$5:$A$304,0))=$D95,MATCH($W95,CASHBACK_RULES!$A$5:$A$304,0),0),0),IFERROR(MATCH(1,INDEX((CASHBACK_RULES!$B$5:$B$304=$D95)*(CASHBACK_RULES!$G$5:$G$304=$I95)*(((CASHBACK_RULES!$N$5:$N$304="")+(CASHBACK_RULES!$N$5:$N$304&lt;=$B95))&gt;0)*(((CASHBACK_RULES!$O$5:$O$304="")+(CASHBACK_RULES!$O$5:$O$304&gt;=$B95))&gt;0)*(((CASHBACK_RULES!$M$5:$M$304="")+(CASHBACK_RULES!$M$5:$M$304&lt;=$L95))&gt;0),0),0),0))))</f>
        <v>0</v>
      </c>
      <c r="AD95" s="51" t="str">
        <f>IF(OR($B95="",$D95=""),"",IFERROR(IF(INDEX(CARDS!$H$5:$H$34,MATCH($D95,CARDS!$A$5:$A$34,0))="","",IF(DAY($B95)&lt;=INDEX(CARDS!$H$5:$H$34,MATCH($D95,CARDS!$A$5:$A$34,0)),DATE(YEAR($B95),MONTH($B95),MIN(INDEX(CARDS!$H$5:$H$34,MATCH($D95,CARDS!$A$5:$A$34,0)),DAY(EOMONTH($B95,0)))),DATE(YEAR($B95),MONTH($B95)+1,MIN(INDEX(CARDS!$H$5:$H$34,MATCH($D95,CARDS!$A$5:$A$34,0)),DAY(EOMONTH($B95,1)))))),""))</f>
        <v/>
      </c>
      <c r="AE95" s="52" t="str">
        <f>IF($C95="","",$C95&amp;"|"&amp;COUNTIF($C$5:$C95,$C95))</f>
        <v/>
      </c>
      <c r="AF95" s="53">
        <f>IF($AC95&gt;0,SUMIFS(Q$4:Q94,$D$4:$D94,$D95,$Z$4:$Z94,$Z95,$C$4:$C94,$C95),0)</f>
        <v>0</v>
      </c>
      <c r="AG95" s="53">
        <f>IF($AC95&gt;0,SUMIFS(Q$4:Q94,$D$4:$D94,$D95,$C$4:$C94,$C95),0)</f>
        <v>0</v>
      </c>
      <c r="AH95" s="53">
        <f>IF($AC95&gt;0,SUMIFS(M$4:M94,$D$4:$D94,$D95,$Z$4:$Z94,$Z95,$C$4:$C94,$C95),0)</f>
        <v>0</v>
      </c>
      <c r="AI95" s="43">
        <f>IF(OR($C95="",$I95=""),0,IF(COUNTIFS($C$5:$C95,$C95,$I$5:$I95,$I95)=1,1,0))</f>
        <v>0</v>
      </c>
      <c r="AJ95" s="43" t="str">
        <f>IF($AI95=1,SUMIFS($AI$4:$AI94,$C$4:$C94,$C95)+1,"")</f>
        <v/>
      </c>
      <c r="AK95" s="43">
        <f>IF(OR($C95="",$K95=""),0,IF(COUNTIFS($C$5:$C95,$C95,$K$5:$K95,$K95)=1,1,0))</f>
        <v>0</v>
      </c>
      <c r="AL95" s="43" t="str">
        <f>IF($AK95=1,SUMIFS($AK$4:$AK94,$C$4:$C94,$C95)+1,"")</f>
        <v/>
      </c>
      <c r="AM95" s="43">
        <f>IF(OR($C95="",$G95=""),0,IF(COUNTIFS($C$5:$C95,$C95,$G$5:$G95,$G95)=1,1,0))</f>
        <v>0</v>
      </c>
      <c r="AN95" s="43" t="str">
        <f>IF($AM95=1,SUMIFS($AM$4:$AM94,$C$4:$C94,$C95)+1,"")</f>
        <v/>
      </c>
    </row>
    <row r="96">
      <c r="A96" s="44" t="str">
        <f>IF(OR($B96="",$D96=""),"","TX"&amp;TEXT(ROW()-4,"0000"))</f>
        <v/>
      </c>
      <c r="B96" s="42" t="n"/>
      <c r="C96" s="47" t="str">
        <f>IF($B96="","",YEAR($B96)*100+MONTH($B96))</f>
        <v/>
      </c>
      <c r="D96" s="37" t="n"/>
      <c r="E96" s="45" t="str">
        <f>IF($D96="","",IFERROR(INDEX(CARDS!$B$5:$B$34,MATCH($D96,CARDS!$A$5:$A$34,0)),"⚠ Card ID?"))</f>
        <v/>
      </c>
      <c r="F96" s="45" t="str">
        <f>IF($D96="","",IFERROR(INDEX(CARDS!$C$5:$C$34,MATCH($D96,CARDS!$A$5:$A$34,0)),"⚠ Card ID?"))</f>
        <v/>
      </c>
      <c r="G96" s="37" t="n"/>
      <c r="H96" s="37" t="n"/>
      <c r="I96" s="41" t="n"/>
      <c r="J96" s="45" t="str">
        <f>IF($I96="","",IFERROR(INDEX(MCC_MASTER!$B$5:$B$504,MATCH($I96,MCC_MASTER!$A$5:$A$504,0)),"⚠ MCC chưa có"))</f>
        <v/>
      </c>
      <c r="K96" s="45" t="str">
        <f>IF($I96="","",IFERROR(IF(INDEX(MCC_MASTER!$C$5:$C$504,MATCH($I96,MCC_MASTER!$A$5:$A$504,0))="","Chưa phân loại",INDEX(MCC_MASTER!$C$5:$C$504,MATCH($I96,MCC_MASTER!$A$5:$A$504,0))),"Chưa phân loại"))</f>
        <v/>
      </c>
      <c r="L96" s="40" t="n"/>
      <c r="M96" s="48" t="str">
        <f>IF(OR($B96="",$D96=""),"",IF($AC96=0,0,IF(ISNUMBER(INDEX(CASHBACK_RULES!$L$5:$L$304,$AC96)),MAX(0,MIN($L96,INDEX(CASHBACK_RULES!$L$5:$L$304,$AC96)-$AH96)),MAX(0,$L96))))</f>
        <v/>
      </c>
      <c r="N96" s="49" t="str">
        <f>IF(OR($B96="",$D96=""),"",IF($AC96&gt;0,INDEX(CASHBACK_RULES!$I$5:$I$304,$AC96),0))</f>
        <v/>
      </c>
      <c r="O96" s="48" t="str">
        <f>IF(OR($B96="",$D96=""),"",ROUND($M96*$N96,0))</f>
        <v/>
      </c>
      <c r="P96" s="48" t="str">
        <f>IF($AC96&gt;0,IF(ISNUMBER(INDEX(CASHBACK_RULES!$J$5:$J$304,$AC96)),INDEX(CASHBACK_RULES!$J$5:$J$304,$AC96),"∞"),"")</f>
        <v/>
      </c>
      <c r="Q96" s="48" t="str">
        <f>IF(OR($B96="",$D96=""),"",IF($AC96=0,0,MAX(0,MIN($O96,IF(ISNUMBER($P96),$P96-$AF96,1E+15),IF(ISNUMBER($AA96),$AA96-$AG96,1E+15)))))</f>
        <v/>
      </c>
      <c r="R96" s="48" t="str">
        <f>IF(OR($B96="",$D96=""),"",IF($AC96=0,"",IF(AND(NOT(ISNUMBER($P96)),NOT(ISNUMBER($AA96))),"∞",MAX(0,MIN(IF(ISNUMBER($P96),$P96-$AF96-$Q96,1E+15),IF(ISNUMBER($AA96),$AA96-$AG96-$Q96,1E+15))))))</f>
        <v/>
      </c>
      <c r="S96" s="47" t="str">
        <f>IF($AD96="","",YEAR($AD96)*100+MONTH($AD96))</f>
        <v/>
      </c>
      <c r="T96" s="50" t="str">
        <f>IF($AD96="","",IFERROR(IF(INDEX(CARDS!$I$5:$I$34,MATCH($D96,CARDS!$A$5:$A$34,0))="","",IF(INDEX(CARDS!$I$5:$I$34,MATCH($D96,CARDS!$A$5:$A$34,0))&gt;INDEX(CARDS!$H$5:$H$34,MATCH($D96,CARDS!$A$5:$A$34,0)),DATE(YEAR($AD96),MONTH($AD96),MIN(INDEX(CARDS!$I$5:$I$34,MATCH($D96,CARDS!$A$5:$A$34,0)),DAY(EOMONTH($AD96,0)))),DATE(YEAR($AD96),MONTH($AD96)+1,MIN(INDEX(CARDS!$I$5:$I$34,MATCH($D96,CARDS!$A$5:$A$34,0)),DAY(EOMONTH($AD96,1)))))),""))</f>
        <v/>
      </c>
      <c r="U96" s="38" t="n"/>
      <c r="V96" s="37" t="n"/>
      <c r="W96" s="38" t="n"/>
      <c r="X96" s="38" t="n"/>
      <c r="Y96" s="44" t="str">
        <f>IF($AC96&gt;0,INDEX(CASHBACK_RULES!$A$5:$A$304,$AC96),"")</f>
        <v/>
      </c>
      <c r="Z96" s="45" t="str">
        <f>IF($AC96&gt;0,INDEX(CASHBACK_RULES!$E$5:$E$304,$AC96)&amp;"","")</f>
        <v/>
      </c>
      <c r="AA96" s="48" t="str">
        <f>IF($AC96&gt;0,IF(ISNUMBER(INDEX(CASHBACK_RULES!$K$5:$K$304,$AC96)),INDEX(CASHBACK_RULES!$K$5:$K$304,$AC96),"∞"),"")</f>
        <v/>
      </c>
      <c r="AB96" s="44" t="str">
        <f>IF(OR($B96="",$D96=""),"",IF($U96="Cancelled","Đã hủy",IF($AC96=0,"Không được hoàn",IF($Q96=0,IF(OR($O96&gt;0,$M96&lt;$L96),"Đã đạt cap","Không được hoàn"),IF(OR($Q96&lt;$O96,$M96&lt;$L96),"Hoàn một phần","Được hoàn")))))</f>
        <v/>
      </c>
      <c r="AC96" s="43">
        <f>IF(OR($B96="",$D96="",$I96="",$L96=""),0,IF($U96="Cancelled",0,IF($W96&lt;&gt;"",IFERROR(IF(INDEX(CASHBACK_RULES!$B$5:$B$304,MATCH($W96,CASHBACK_RULES!$A$5:$A$304,0))=$D96,MATCH($W96,CASHBACK_RULES!$A$5:$A$304,0),0),0),IFERROR(MATCH(1,INDEX((CASHBACK_RULES!$B$5:$B$304=$D96)*(CASHBACK_RULES!$G$5:$G$304=$I96)*(((CASHBACK_RULES!$N$5:$N$304="")+(CASHBACK_RULES!$N$5:$N$304&lt;=$B96))&gt;0)*(((CASHBACK_RULES!$O$5:$O$304="")+(CASHBACK_RULES!$O$5:$O$304&gt;=$B96))&gt;0)*(((CASHBACK_RULES!$M$5:$M$304="")+(CASHBACK_RULES!$M$5:$M$304&lt;=$L96))&gt;0),0),0),0))))</f>
        <v>0</v>
      </c>
      <c r="AD96" s="51" t="str">
        <f>IF(OR($B96="",$D96=""),"",IFERROR(IF(INDEX(CARDS!$H$5:$H$34,MATCH($D96,CARDS!$A$5:$A$34,0))="","",IF(DAY($B96)&lt;=INDEX(CARDS!$H$5:$H$34,MATCH($D96,CARDS!$A$5:$A$34,0)),DATE(YEAR($B96),MONTH($B96),MIN(INDEX(CARDS!$H$5:$H$34,MATCH($D96,CARDS!$A$5:$A$34,0)),DAY(EOMONTH($B96,0)))),DATE(YEAR($B96),MONTH($B96)+1,MIN(INDEX(CARDS!$H$5:$H$34,MATCH($D96,CARDS!$A$5:$A$34,0)),DAY(EOMONTH($B96,1)))))),""))</f>
        <v/>
      </c>
      <c r="AE96" s="52" t="str">
        <f>IF($C96="","",$C96&amp;"|"&amp;COUNTIF($C$5:$C96,$C96))</f>
        <v/>
      </c>
      <c r="AF96" s="53">
        <f>IF($AC96&gt;0,SUMIFS(Q$4:Q95,$D$4:$D95,$D96,$Z$4:$Z95,$Z96,$C$4:$C95,$C96),0)</f>
        <v>0</v>
      </c>
      <c r="AG96" s="53">
        <f>IF($AC96&gt;0,SUMIFS(Q$4:Q95,$D$4:$D95,$D96,$C$4:$C95,$C96),0)</f>
        <v>0</v>
      </c>
      <c r="AH96" s="53">
        <f>IF($AC96&gt;0,SUMIFS(M$4:M95,$D$4:$D95,$D96,$Z$4:$Z95,$Z96,$C$4:$C95,$C96),0)</f>
        <v>0</v>
      </c>
      <c r="AI96" s="43">
        <f>IF(OR($C96="",$I96=""),0,IF(COUNTIFS($C$5:$C96,$C96,$I$5:$I96,$I96)=1,1,0))</f>
        <v>0</v>
      </c>
      <c r="AJ96" s="43" t="str">
        <f>IF($AI96=1,SUMIFS($AI$4:$AI95,$C$4:$C95,$C96)+1,"")</f>
        <v/>
      </c>
      <c r="AK96" s="43">
        <f>IF(OR($C96="",$K96=""),0,IF(COUNTIFS($C$5:$C96,$C96,$K$5:$K96,$K96)=1,1,0))</f>
        <v>0</v>
      </c>
      <c r="AL96" s="43" t="str">
        <f>IF($AK96=1,SUMIFS($AK$4:$AK95,$C$4:$C95,$C96)+1,"")</f>
        <v/>
      </c>
      <c r="AM96" s="43">
        <f>IF(OR($C96="",$G96=""),0,IF(COUNTIFS($C$5:$C96,$C96,$G$5:$G96,$G96)=1,1,0))</f>
        <v>0</v>
      </c>
      <c r="AN96" s="43" t="str">
        <f>IF($AM96=1,SUMIFS($AM$4:$AM95,$C$4:$C95,$C96)+1,"")</f>
        <v/>
      </c>
    </row>
    <row r="97">
      <c r="A97" s="44" t="str">
        <f>IF(OR($B97="",$D97=""),"","TX"&amp;TEXT(ROW()-4,"0000"))</f>
        <v/>
      </c>
      <c r="B97" s="42" t="n"/>
      <c r="C97" s="47" t="str">
        <f>IF($B97="","",YEAR($B97)*100+MONTH($B97))</f>
        <v/>
      </c>
      <c r="D97" s="37" t="n"/>
      <c r="E97" s="45" t="str">
        <f>IF($D97="","",IFERROR(INDEX(CARDS!$B$5:$B$34,MATCH($D97,CARDS!$A$5:$A$34,0)),"⚠ Card ID?"))</f>
        <v/>
      </c>
      <c r="F97" s="45" t="str">
        <f>IF($D97="","",IFERROR(INDEX(CARDS!$C$5:$C$34,MATCH($D97,CARDS!$A$5:$A$34,0)),"⚠ Card ID?"))</f>
        <v/>
      </c>
      <c r="G97" s="37" t="n"/>
      <c r="H97" s="37" t="n"/>
      <c r="I97" s="41" t="n"/>
      <c r="J97" s="45" t="str">
        <f>IF($I97="","",IFERROR(INDEX(MCC_MASTER!$B$5:$B$504,MATCH($I97,MCC_MASTER!$A$5:$A$504,0)),"⚠ MCC chưa có"))</f>
        <v/>
      </c>
      <c r="K97" s="45" t="str">
        <f>IF($I97="","",IFERROR(IF(INDEX(MCC_MASTER!$C$5:$C$504,MATCH($I97,MCC_MASTER!$A$5:$A$504,0))="","Chưa phân loại",INDEX(MCC_MASTER!$C$5:$C$504,MATCH($I97,MCC_MASTER!$A$5:$A$504,0))),"Chưa phân loại"))</f>
        <v/>
      </c>
      <c r="L97" s="40" t="n"/>
      <c r="M97" s="48" t="str">
        <f>IF(OR($B97="",$D97=""),"",IF($AC97=0,0,IF(ISNUMBER(INDEX(CASHBACK_RULES!$L$5:$L$304,$AC97)),MAX(0,MIN($L97,INDEX(CASHBACK_RULES!$L$5:$L$304,$AC97)-$AH97)),MAX(0,$L97))))</f>
        <v/>
      </c>
      <c r="N97" s="49" t="str">
        <f>IF(OR($B97="",$D97=""),"",IF($AC97&gt;0,INDEX(CASHBACK_RULES!$I$5:$I$304,$AC97),0))</f>
        <v/>
      </c>
      <c r="O97" s="48" t="str">
        <f>IF(OR($B97="",$D97=""),"",ROUND($M97*$N97,0))</f>
        <v/>
      </c>
      <c r="P97" s="48" t="str">
        <f>IF($AC97&gt;0,IF(ISNUMBER(INDEX(CASHBACK_RULES!$J$5:$J$304,$AC97)),INDEX(CASHBACK_RULES!$J$5:$J$304,$AC97),"∞"),"")</f>
        <v/>
      </c>
      <c r="Q97" s="48" t="str">
        <f>IF(OR($B97="",$D97=""),"",IF($AC97=0,0,MAX(0,MIN($O97,IF(ISNUMBER($P97),$P97-$AF97,1E+15),IF(ISNUMBER($AA97),$AA97-$AG97,1E+15)))))</f>
        <v/>
      </c>
      <c r="R97" s="48" t="str">
        <f>IF(OR($B97="",$D97=""),"",IF($AC97=0,"",IF(AND(NOT(ISNUMBER($P97)),NOT(ISNUMBER($AA97))),"∞",MAX(0,MIN(IF(ISNUMBER($P97),$P97-$AF97-$Q97,1E+15),IF(ISNUMBER($AA97),$AA97-$AG97-$Q97,1E+15))))))</f>
        <v/>
      </c>
      <c r="S97" s="47" t="str">
        <f>IF($AD97="","",YEAR($AD97)*100+MONTH($AD97))</f>
        <v/>
      </c>
      <c r="T97" s="50" t="str">
        <f>IF($AD97="","",IFERROR(IF(INDEX(CARDS!$I$5:$I$34,MATCH($D97,CARDS!$A$5:$A$34,0))="","",IF(INDEX(CARDS!$I$5:$I$34,MATCH($D97,CARDS!$A$5:$A$34,0))&gt;INDEX(CARDS!$H$5:$H$34,MATCH($D97,CARDS!$A$5:$A$34,0)),DATE(YEAR($AD97),MONTH($AD97),MIN(INDEX(CARDS!$I$5:$I$34,MATCH($D97,CARDS!$A$5:$A$34,0)),DAY(EOMONTH($AD97,0)))),DATE(YEAR($AD97),MONTH($AD97)+1,MIN(INDEX(CARDS!$I$5:$I$34,MATCH($D97,CARDS!$A$5:$A$34,0)),DAY(EOMONTH($AD97,1)))))),""))</f>
        <v/>
      </c>
      <c r="U97" s="38" t="n"/>
      <c r="V97" s="37" t="n"/>
      <c r="W97" s="38" t="n"/>
      <c r="X97" s="38" t="n"/>
      <c r="Y97" s="44" t="str">
        <f>IF($AC97&gt;0,INDEX(CASHBACK_RULES!$A$5:$A$304,$AC97),"")</f>
        <v/>
      </c>
      <c r="Z97" s="45" t="str">
        <f>IF($AC97&gt;0,INDEX(CASHBACK_RULES!$E$5:$E$304,$AC97)&amp;"","")</f>
        <v/>
      </c>
      <c r="AA97" s="48" t="str">
        <f>IF($AC97&gt;0,IF(ISNUMBER(INDEX(CASHBACK_RULES!$K$5:$K$304,$AC97)),INDEX(CASHBACK_RULES!$K$5:$K$304,$AC97),"∞"),"")</f>
        <v/>
      </c>
      <c r="AB97" s="44" t="str">
        <f>IF(OR($B97="",$D97=""),"",IF($U97="Cancelled","Đã hủy",IF($AC97=0,"Không được hoàn",IF($Q97=0,IF(OR($O97&gt;0,$M97&lt;$L97),"Đã đạt cap","Không được hoàn"),IF(OR($Q97&lt;$O97,$M97&lt;$L97),"Hoàn một phần","Được hoàn")))))</f>
        <v/>
      </c>
      <c r="AC97" s="43">
        <f>IF(OR($B97="",$D97="",$I97="",$L97=""),0,IF($U97="Cancelled",0,IF($W97&lt;&gt;"",IFERROR(IF(INDEX(CASHBACK_RULES!$B$5:$B$304,MATCH($W97,CASHBACK_RULES!$A$5:$A$304,0))=$D97,MATCH($W97,CASHBACK_RULES!$A$5:$A$304,0),0),0),IFERROR(MATCH(1,INDEX((CASHBACK_RULES!$B$5:$B$304=$D97)*(CASHBACK_RULES!$G$5:$G$304=$I97)*(((CASHBACK_RULES!$N$5:$N$304="")+(CASHBACK_RULES!$N$5:$N$304&lt;=$B97))&gt;0)*(((CASHBACK_RULES!$O$5:$O$304="")+(CASHBACK_RULES!$O$5:$O$304&gt;=$B97))&gt;0)*(((CASHBACK_RULES!$M$5:$M$304="")+(CASHBACK_RULES!$M$5:$M$304&lt;=$L97))&gt;0),0),0),0))))</f>
        <v>0</v>
      </c>
      <c r="AD97" s="51" t="str">
        <f>IF(OR($B97="",$D97=""),"",IFERROR(IF(INDEX(CARDS!$H$5:$H$34,MATCH($D97,CARDS!$A$5:$A$34,0))="","",IF(DAY($B97)&lt;=INDEX(CARDS!$H$5:$H$34,MATCH($D97,CARDS!$A$5:$A$34,0)),DATE(YEAR($B97),MONTH($B97),MIN(INDEX(CARDS!$H$5:$H$34,MATCH($D97,CARDS!$A$5:$A$34,0)),DAY(EOMONTH($B97,0)))),DATE(YEAR($B97),MONTH($B97)+1,MIN(INDEX(CARDS!$H$5:$H$34,MATCH($D97,CARDS!$A$5:$A$34,0)),DAY(EOMONTH($B97,1)))))),""))</f>
        <v/>
      </c>
      <c r="AE97" s="52" t="str">
        <f>IF($C97="","",$C97&amp;"|"&amp;COUNTIF($C$5:$C97,$C97))</f>
        <v/>
      </c>
      <c r="AF97" s="53">
        <f>IF($AC97&gt;0,SUMIFS(Q$4:Q96,$D$4:$D96,$D97,$Z$4:$Z96,$Z97,$C$4:$C96,$C97),0)</f>
        <v>0</v>
      </c>
      <c r="AG97" s="53">
        <f>IF($AC97&gt;0,SUMIFS(Q$4:Q96,$D$4:$D96,$D97,$C$4:$C96,$C97),0)</f>
        <v>0</v>
      </c>
      <c r="AH97" s="53">
        <f>IF($AC97&gt;0,SUMIFS(M$4:M96,$D$4:$D96,$D97,$Z$4:$Z96,$Z97,$C$4:$C96,$C97),0)</f>
        <v>0</v>
      </c>
      <c r="AI97" s="43">
        <f>IF(OR($C97="",$I97=""),0,IF(COUNTIFS($C$5:$C97,$C97,$I$5:$I97,$I97)=1,1,0))</f>
        <v>0</v>
      </c>
      <c r="AJ97" s="43" t="str">
        <f>IF($AI97=1,SUMIFS($AI$4:$AI96,$C$4:$C96,$C97)+1,"")</f>
        <v/>
      </c>
      <c r="AK97" s="43">
        <f>IF(OR($C97="",$K97=""),0,IF(COUNTIFS($C$5:$C97,$C97,$K$5:$K97,$K97)=1,1,0))</f>
        <v>0</v>
      </c>
      <c r="AL97" s="43" t="str">
        <f>IF($AK97=1,SUMIFS($AK$4:$AK96,$C$4:$C96,$C97)+1,"")</f>
        <v/>
      </c>
      <c r="AM97" s="43">
        <f>IF(OR($C97="",$G97=""),0,IF(COUNTIFS($C$5:$C97,$C97,$G$5:$G97,$G97)=1,1,0))</f>
        <v>0</v>
      </c>
      <c r="AN97" s="43" t="str">
        <f>IF($AM97=1,SUMIFS($AM$4:$AM96,$C$4:$C96,$C97)+1,"")</f>
        <v/>
      </c>
    </row>
    <row r="98">
      <c r="A98" s="44" t="str">
        <f>IF(OR($B98="",$D98=""),"","TX"&amp;TEXT(ROW()-4,"0000"))</f>
        <v/>
      </c>
      <c r="B98" s="42" t="n"/>
      <c r="C98" s="47" t="str">
        <f>IF($B98="","",YEAR($B98)*100+MONTH($B98))</f>
        <v/>
      </c>
      <c r="D98" s="37" t="n"/>
      <c r="E98" s="45" t="str">
        <f>IF($D98="","",IFERROR(INDEX(CARDS!$B$5:$B$34,MATCH($D98,CARDS!$A$5:$A$34,0)),"⚠ Card ID?"))</f>
        <v/>
      </c>
      <c r="F98" s="45" t="str">
        <f>IF($D98="","",IFERROR(INDEX(CARDS!$C$5:$C$34,MATCH($D98,CARDS!$A$5:$A$34,0)),"⚠ Card ID?"))</f>
        <v/>
      </c>
      <c r="G98" s="37" t="n"/>
      <c r="H98" s="37" t="n"/>
      <c r="I98" s="41" t="n"/>
      <c r="J98" s="45" t="str">
        <f>IF($I98="","",IFERROR(INDEX(MCC_MASTER!$B$5:$B$504,MATCH($I98,MCC_MASTER!$A$5:$A$504,0)),"⚠ MCC chưa có"))</f>
        <v/>
      </c>
      <c r="K98" s="45" t="str">
        <f>IF($I98="","",IFERROR(IF(INDEX(MCC_MASTER!$C$5:$C$504,MATCH($I98,MCC_MASTER!$A$5:$A$504,0))="","Chưa phân loại",INDEX(MCC_MASTER!$C$5:$C$504,MATCH($I98,MCC_MASTER!$A$5:$A$504,0))),"Chưa phân loại"))</f>
        <v/>
      </c>
      <c r="L98" s="40" t="n"/>
      <c r="M98" s="48" t="str">
        <f>IF(OR($B98="",$D98=""),"",IF($AC98=0,0,IF(ISNUMBER(INDEX(CASHBACK_RULES!$L$5:$L$304,$AC98)),MAX(0,MIN($L98,INDEX(CASHBACK_RULES!$L$5:$L$304,$AC98)-$AH98)),MAX(0,$L98))))</f>
        <v/>
      </c>
      <c r="N98" s="49" t="str">
        <f>IF(OR($B98="",$D98=""),"",IF($AC98&gt;0,INDEX(CASHBACK_RULES!$I$5:$I$304,$AC98),0))</f>
        <v/>
      </c>
      <c r="O98" s="48" t="str">
        <f>IF(OR($B98="",$D98=""),"",ROUND($M98*$N98,0))</f>
        <v/>
      </c>
      <c r="P98" s="48" t="str">
        <f>IF($AC98&gt;0,IF(ISNUMBER(INDEX(CASHBACK_RULES!$J$5:$J$304,$AC98)),INDEX(CASHBACK_RULES!$J$5:$J$304,$AC98),"∞"),"")</f>
        <v/>
      </c>
      <c r="Q98" s="48" t="str">
        <f>IF(OR($B98="",$D98=""),"",IF($AC98=0,0,MAX(0,MIN($O98,IF(ISNUMBER($P98),$P98-$AF98,1E+15),IF(ISNUMBER($AA98),$AA98-$AG98,1E+15)))))</f>
        <v/>
      </c>
      <c r="R98" s="48" t="str">
        <f>IF(OR($B98="",$D98=""),"",IF($AC98=0,"",IF(AND(NOT(ISNUMBER($P98)),NOT(ISNUMBER($AA98))),"∞",MAX(0,MIN(IF(ISNUMBER($P98),$P98-$AF98-$Q98,1E+15),IF(ISNUMBER($AA98),$AA98-$AG98-$Q98,1E+15))))))</f>
        <v/>
      </c>
      <c r="S98" s="47" t="str">
        <f>IF($AD98="","",YEAR($AD98)*100+MONTH($AD98))</f>
        <v/>
      </c>
      <c r="T98" s="50" t="str">
        <f>IF($AD98="","",IFERROR(IF(INDEX(CARDS!$I$5:$I$34,MATCH($D98,CARDS!$A$5:$A$34,0))="","",IF(INDEX(CARDS!$I$5:$I$34,MATCH($D98,CARDS!$A$5:$A$34,0))&gt;INDEX(CARDS!$H$5:$H$34,MATCH($D98,CARDS!$A$5:$A$34,0)),DATE(YEAR($AD98),MONTH($AD98),MIN(INDEX(CARDS!$I$5:$I$34,MATCH($D98,CARDS!$A$5:$A$34,0)),DAY(EOMONTH($AD98,0)))),DATE(YEAR($AD98),MONTH($AD98)+1,MIN(INDEX(CARDS!$I$5:$I$34,MATCH($D98,CARDS!$A$5:$A$34,0)),DAY(EOMONTH($AD98,1)))))),""))</f>
        <v/>
      </c>
      <c r="U98" s="38" t="n"/>
      <c r="V98" s="37" t="n"/>
      <c r="W98" s="38" t="n"/>
      <c r="X98" s="38" t="n"/>
      <c r="Y98" s="44" t="str">
        <f>IF($AC98&gt;0,INDEX(CASHBACK_RULES!$A$5:$A$304,$AC98),"")</f>
        <v/>
      </c>
      <c r="Z98" s="45" t="str">
        <f>IF($AC98&gt;0,INDEX(CASHBACK_RULES!$E$5:$E$304,$AC98)&amp;"","")</f>
        <v/>
      </c>
      <c r="AA98" s="48" t="str">
        <f>IF($AC98&gt;0,IF(ISNUMBER(INDEX(CASHBACK_RULES!$K$5:$K$304,$AC98)),INDEX(CASHBACK_RULES!$K$5:$K$304,$AC98),"∞"),"")</f>
        <v/>
      </c>
      <c r="AB98" s="44" t="str">
        <f>IF(OR($B98="",$D98=""),"",IF($U98="Cancelled","Đã hủy",IF($AC98=0,"Không được hoàn",IF($Q98=0,IF(OR($O98&gt;0,$M98&lt;$L98),"Đã đạt cap","Không được hoàn"),IF(OR($Q98&lt;$O98,$M98&lt;$L98),"Hoàn một phần","Được hoàn")))))</f>
        <v/>
      </c>
      <c r="AC98" s="43">
        <f>IF(OR($B98="",$D98="",$I98="",$L98=""),0,IF($U98="Cancelled",0,IF($W98&lt;&gt;"",IFERROR(IF(INDEX(CASHBACK_RULES!$B$5:$B$304,MATCH($W98,CASHBACK_RULES!$A$5:$A$304,0))=$D98,MATCH($W98,CASHBACK_RULES!$A$5:$A$304,0),0),0),IFERROR(MATCH(1,INDEX((CASHBACK_RULES!$B$5:$B$304=$D98)*(CASHBACK_RULES!$G$5:$G$304=$I98)*(((CASHBACK_RULES!$N$5:$N$304="")+(CASHBACK_RULES!$N$5:$N$304&lt;=$B98))&gt;0)*(((CASHBACK_RULES!$O$5:$O$304="")+(CASHBACK_RULES!$O$5:$O$304&gt;=$B98))&gt;0)*(((CASHBACK_RULES!$M$5:$M$304="")+(CASHBACK_RULES!$M$5:$M$304&lt;=$L98))&gt;0),0),0),0))))</f>
        <v>0</v>
      </c>
      <c r="AD98" s="51" t="str">
        <f>IF(OR($B98="",$D98=""),"",IFERROR(IF(INDEX(CARDS!$H$5:$H$34,MATCH($D98,CARDS!$A$5:$A$34,0))="","",IF(DAY($B98)&lt;=INDEX(CARDS!$H$5:$H$34,MATCH($D98,CARDS!$A$5:$A$34,0)),DATE(YEAR($B98),MONTH($B98),MIN(INDEX(CARDS!$H$5:$H$34,MATCH($D98,CARDS!$A$5:$A$34,0)),DAY(EOMONTH($B98,0)))),DATE(YEAR($B98),MONTH($B98)+1,MIN(INDEX(CARDS!$H$5:$H$34,MATCH($D98,CARDS!$A$5:$A$34,0)),DAY(EOMONTH($B98,1)))))),""))</f>
        <v/>
      </c>
      <c r="AE98" s="52" t="str">
        <f>IF($C98="","",$C98&amp;"|"&amp;COUNTIF($C$5:$C98,$C98))</f>
        <v/>
      </c>
      <c r="AF98" s="53">
        <f>IF($AC98&gt;0,SUMIFS(Q$4:Q97,$D$4:$D97,$D98,$Z$4:$Z97,$Z98,$C$4:$C97,$C98),0)</f>
        <v>0</v>
      </c>
      <c r="AG98" s="53">
        <f>IF($AC98&gt;0,SUMIFS(Q$4:Q97,$D$4:$D97,$D98,$C$4:$C97,$C98),0)</f>
        <v>0</v>
      </c>
      <c r="AH98" s="53">
        <f>IF($AC98&gt;0,SUMIFS(M$4:M97,$D$4:$D97,$D98,$Z$4:$Z97,$Z98,$C$4:$C97,$C98),0)</f>
        <v>0</v>
      </c>
      <c r="AI98" s="43">
        <f>IF(OR($C98="",$I98=""),0,IF(COUNTIFS($C$5:$C98,$C98,$I$5:$I98,$I98)=1,1,0))</f>
        <v>0</v>
      </c>
      <c r="AJ98" s="43" t="str">
        <f>IF($AI98=1,SUMIFS($AI$4:$AI97,$C$4:$C97,$C98)+1,"")</f>
        <v/>
      </c>
      <c r="AK98" s="43">
        <f>IF(OR($C98="",$K98=""),0,IF(COUNTIFS($C$5:$C98,$C98,$K$5:$K98,$K98)=1,1,0))</f>
        <v>0</v>
      </c>
      <c r="AL98" s="43" t="str">
        <f>IF($AK98=1,SUMIFS($AK$4:$AK97,$C$4:$C97,$C98)+1,"")</f>
        <v/>
      </c>
      <c r="AM98" s="43">
        <f>IF(OR($C98="",$G98=""),0,IF(COUNTIFS($C$5:$C98,$C98,$G$5:$G98,$G98)=1,1,0))</f>
        <v>0</v>
      </c>
      <c r="AN98" s="43" t="str">
        <f>IF($AM98=1,SUMIFS($AM$4:$AM97,$C$4:$C97,$C98)+1,"")</f>
        <v/>
      </c>
    </row>
    <row r="99">
      <c r="A99" s="44" t="str">
        <f>IF(OR($B99="",$D99=""),"","TX"&amp;TEXT(ROW()-4,"0000"))</f>
        <v/>
      </c>
      <c r="B99" s="42" t="n"/>
      <c r="C99" s="47" t="str">
        <f>IF($B99="","",YEAR($B99)*100+MONTH($B99))</f>
        <v/>
      </c>
      <c r="D99" s="37" t="n"/>
      <c r="E99" s="45" t="str">
        <f>IF($D99="","",IFERROR(INDEX(CARDS!$B$5:$B$34,MATCH($D99,CARDS!$A$5:$A$34,0)),"⚠ Card ID?"))</f>
        <v/>
      </c>
      <c r="F99" s="45" t="str">
        <f>IF($D99="","",IFERROR(INDEX(CARDS!$C$5:$C$34,MATCH($D99,CARDS!$A$5:$A$34,0)),"⚠ Card ID?"))</f>
        <v/>
      </c>
      <c r="G99" s="37" t="n"/>
      <c r="H99" s="37" t="n"/>
      <c r="I99" s="41" t="n"/>
      <c r="J99" s="45" t="str">
        <f>IF($I99="","",IFERROR(INDEX(MCC_MASTER!$B$5:$B$504,MATCH($I99,MCC_MASTER!$A$5:$A$504,0)),"⚠ MCC chưa có"))</f>
        <v/>
      </c>
      <c r="K99" s="45" t="str">
        <f>IF($I99="","",IFERROR(IF(INDEX(MCC_MASTER!$C$5:$C$504,MATCH($I99,MCC_MASTER!$A$5:$A$504,0))="","Chưa phân loại",INDEX(MCC_MASTER!$C$5:$C$504,MATCH($I99,MCC_MASTER!$A$5:$A$504,0))),"Chưa phân loại"))</f>
        <v/>
      </c>
      <c r="L99" s="40" t="n"/>
      <c r="M99" s="48" t="str">
        <f>IF(OR($B99="",$D99=""),"",IF($AC99=0,0,IF(ISNUMBER(INDEX(CASHBACK_RULES!$L$5:$L$304,$AC99)),MAX(0,MIN($L99,INDEX(CASHBACK_RULES!$L$5:$L$304,$AC99)-$AH99)),MAX(0,$L99))))</f>
        <v/>
      </c>
      <c r="N99" s="49" t="str">
        <f>IF(OR($B99="",$D99=""),"",IF($AC99&gt;0,INDEX(CASHBACK_RULES!$I$5:$I$304,$AC99),0))</f>
        <v/>
      </c>
      <c r="O99" s="48" t="str">
        <f>IF(OR($B99="",$D99=""),"",ROUND($M99*$N99,0))</f>
        <v/>
      </c>
      <c r="P99" s="48" t="str">
        <f>IF($AC99&gt;0,IF(ISNUMBER(INDEX(CASHBACK_RULES!$J$5:$J$304,$AC99)),INDEX(CASHBACK_RULES!$J$5:$J$304,$AC99),"∞"),"")</f>
        <v/>
      </c>
      <c r="Q99" s="48" t="str">
        <f>IF(OR($B99="",$D99=""),"",IF($AC99=0,0,MAX(0,MIN($O99,IF(ISNUMBER($P99),$P99-$AF99,1E+15),IF(ISNUMBER($AA99),$AA99-$AG99,1E+15)))))</f>
        <v/>
      </c>
      <c r="R99" s="48" t="str">
        <f>IF(OR($B99="",$D99=""),"",IF($AC99=0,"",IF(AND(NOT(ISNUMBER($P99)),NOT(ISNUMBER($AA99))),"∞",MAX(0,MIN(IF(ISNUMBER($P99),$P99-$AF99-$Q99,1E+15),IF(ISNUMBER($AA99),$AA99-$AG99-$Q99,1E+15))))))</f>
        <v/>
      </c>
      <c r="S99" s="47" t="str">
        <f>IF($AD99="","",YEAR($AD99)*100+MONTH($AD99))</f>
        <v/>
      </c>
      <c r="T99" s="50" t="str">
        <f>IF($AD99="","",IFERROR(IF(INDEX(CARDS!$I$5:$I$34,MATCH($D99,CARDS!$A$5:$A$34,0))="","",IF(INDEX(CARDS!$I$5:$I$34,MATCH($D99,CARDS!$A$5:$A$34,0))&gt;INDEX(CARDS!$H$5:$H$34,MATCH($D99,CARDS!$A$5:$A$34,0)),DATE(YEAR($AD99),MONTH($AD99),MIN(INDEX(CARDS!$I$5:$I$34,MATCH($D99,CARDS!$A$5:$A$34,0)),DAY(EOMONTH($AD99,0)))),DATE(YEAR($AD99),MONTH($AD99)+1,MIN(INDEX(CARDS!$I$5:$I$34,MATCH($D99,CARDS!$A$5:$A$34,0)),DAY(EOMONTH($AD99,1)))))),""))</f>
        <v/>
      </c>
      <c r="U99" s="38" t="n"/>
      <c r="V99" s="37" t="n"/>
      <c r="W99" s="38" t="n"/>
      <c r="X99" s="38" t="n"/>
      <c r="Y99" s="44" t="str">
        <f>IF($AC99&gt;0,INDEX(CASHBACK_RULES!$A$5:$A$304,$AC99),"")</f>
        <v/>
      </c>
      <c r="Z99" s="45" t="str">
        <f>IF($AC99&gt;0,INDEX(CASHBACK_RULES!$E$5:$E$304,$AC99)&amp;"","")</f>
        <v/>
      </c>
      <c r="AA99" s="48" t="str">
        <f>IF($AC99&gt;0,IF(ISNUMBER(INDEX(CASHBACK_RULES!$K$5:$K$304,$AC99)),INDEX(CASHBACK_RULES!$K$5:$K$304,$AC99),"∞"),"")</f>
        <v/>
      </c>
      <c r="AB99" s="44" t="str">
        <f>IF(OR($B99="",$D99=""),"",IF($U99="Cancelled","Đã hủy",IF($AC99=0,"Không được hoàn",IF($Q99=0,IF(OR($O99&gt;0,$M99&lt;$L99),"Đã đạt cap","Không được hoàn"),IF(OR($Q99&lt;$O99,$M99&lt;$L99),"Hoàn một phần","Được hoàn")))))</f>
        <v/>
      </c>
      <c r="AC99" s="43">
        <f>IF(OR($B99="",$D99="",$I99="",$L99=""),0,IF($U99="Cancelled",0,IF($W99&lt;&gt;"",IFERROR(IF(INDEX(CASHBACK_RULES!$B$5:$B$304,MATCH($W99,CASHBACK_RULES!$A$5:$A$304,0))=$D99,MATCH($W99,CASHBACK_RULES!$A$5:$A$304,0),0),0),IFERROR(MATCH(1,INDEX((CASHBACK_RULES!$B$5:$B$304=$D99)*(CASHBACK_RULES!$G$5:$G$304=$I99)*(((CASHBACK_RULES!$N$5:$N$304="")+(CASHBACK_RULES!$N$5:$N$304&lt;=$B99))&gt;0)*(((CASHBACK_RULES!$O$5:$O$304="")+(CASHBACK_RULES!$O$5:$O$304&gt;=$B99))&gt;0)*(((CASHBACK_RULES!$M$5:$M$304="")+(CASHBACK_RULES!$M$5:$M$304&lt;=$L99))&gt;0),0),0),0))))</f>
        <v>0</v>
      </c>
      <c r="AD99" s="51" t="str">
        <f>IF(OR($B99="",$D99=""),"",IFERROR(IF(INDEX(CARDS!$H$5:$H$34,MATCH($D99,CARDS!$A$5:$A$34,0))="","",IF(DAY($B99)&lt;=INDEX(CARDS!$H$5:$H$34,MATCH($D99,CARDS!$A$5:$A$34,0)),DATE(YEAR($B99),MONTH($B99),MIN(INDEX(CARDS!$H$5:$H$34,MATCH($D99,CARDS!$A$5:$A$34,0)),DAY(EOMONTH($B99,0)))),DATE(YEAR($B99),MONTH($B99)+1,MIN(INDEX(CARDS!$H$5:$H$34,MATCH($D99,CARDS!$A$5:$A$34,0)),DAY(EOMONTH($B99,1)))))),""))</f>
        <v/>
      </c>
      <c r="AE99" s="52" t="str">
        <f>IF($C99="","",$C99&amp;"|"&amp;COUNTIF($C$5:$C99,$C99))</f>
        <v/>
      </c>
      <c r="AF99" s="53">
        <f>IF($AC99&gt;0,SUMIFS(Q$4:Q98,$D$4:$D98,$D99,$Z$4:$Z98,$Z99,$C$4:$C98,$C99),0)</f>
        <v>0</v>
      </c>
      <c r="AG99" s="53">
        <f>IF($AC99&gt;0,SUMIFS(Q$4:Q98,$D$4:$D98,$D99,$C$4:$C98,$C99),0)</f>
        <v>0</v>
      </c>
      <c r="AH99" s="53">
        <f>IF($AC99&gt;0,SUMIFS(M$4:M98,$D$4:$D98,$D99,$Z$4:$Z98,$Z99,$C$4:$C98,$C99),0)</f>
        <v>0</v>
      </c>
      <c r="AI99" s="43">
        <f>IF(OR($C99="",$I99=""),0,IF(COUNTIFS($C$5:$C99,$C99,$I$5:$I99,$I99)=1,1,0))</f>
        <v>0</v>
      </c>
      <c r="AJ99" s="43" t="str">
        <f>IF($AI99=1,SUMIFS($AI$4:$AI98,$C$4:$C98,$C99)+1,"")</f>
        <v/>
      </c>
      <c r="AK99" s="43">
        <f>IF(OR($C99="",$K99=""),0,IF(COUNTIFS($C$5:$C99,$C99,$K$5:$K99,$K99)=1,1,0))</f>
        <v>0</v>
      </c>
      <c r="AL99" s="43" t="str">
        <f>IF($AK99=1,SUMIFS($AK$4:$AK98,$C$4:$C98,$C99)+1,"")</f>
        <v/>
      </c>
      <c r="AM99" s="43">
        <f>IF(OR($C99="",$G99=""),0,IF(COUNTIFS($C$5:$C99,$C99,$G$5:$G99,$G99)=1,1,0))</f>
        <v>0</v>
      </c>
      <c r="AN99" s="43" t="str">
        <f>IF($AM99=1,SUMIFS($AM$4:$AM98,$C$4:$C98,$C99)+1,"")</f>
        <v/>
      </c>
    </row>
    <row r="100">
      <c r="A100" s="44" t="str">
        <f>IF(OR($B100="",$D100=""),"","TX"&amp;TEXT(ROW()-4,"0000"))</f>
        <v/>
      </c>
      <c r="B100" s="42" t="n"/>
      <c r="C100" s="47" t="str">
        <f>IF($B100="","",YEAR($B100)*100+MONTH($B100))</f>
        <v/>
      </c>
      <c r="D100" s="37" t="n"/>
      <c r="E100" s="45" t="str">
        <f>IF($D100="","",IFERROR(INDEX(CARDS!$B$5:$B$34,MATCH($D100,CARDS!$A$5:$A$34,0)),"⚠ Card ID?"))</f>
        <v/>
      </c>
      <c r="F100" s="45" t="str">
        <f>IF($D100="","",IFERROR(INDEX(CARDS!$C$5:$C$34,MATCH($D100,CARDS!$A$5:$A$34,0)),"⚠ Card ID?"))</f>
        <v/>
      </c>
      <c r="G100" s="37" t="n"/>
      <c r="H100" s="37" t="n"/>
      <c r="I100" s="41" t="n"/>
      <c r="J100" s="45" t="str">
        <f>IF($I100="","",IFERROR(INDEX(MCC_MASTER!$B$5:$B$504,MATCH($I100,MCC_MASTER!$A$5:$A$504,0)),"⚠ MCC chưa có"))</f>
        <v/>
      </c>
      <c r="K100" s="45" t="str">
        <f>IF($I100="","",IFERROR(IF(INDEX(MCC_MASTER!$C$5:$C$504,MATCH($I100,MCC_MASTER!$A$5:$A$504,0))="","Chưa phân loại",INDEX(MCC_MASTER!$C$5:$C$504,MATCH($I100,MCC_MASTER!$A$5:$A$504,0))),"Chưa phân loại"))</f>
        <v/>
      </c>
      <c r="L100" s="40" t="n"/>
      <c r="M100" s="48" t="str">
        <f>IF(OR($B100="",$D100=""),"",IF($AC100=0,0,IF(ISNUMBER(INDEX(CASHBACK_RULES!$L$5:$L$304,$AC100)),MAX(0,MIN($L100,INDEX(CASHBACK_RULES!$L$5:$L$304,$AC100)-$AH100)),MAX(0,$L100))))</f>
        <v/>
      </c>
      <c r="N100" s="49" t="str">
        <f>IF(OR($B100="",$D100=""),"",IF($AC100&gt;0,INDEX(CASHBACK_RULES!$I$5:$I$304,$AC100),0))</f>
        <v/>
      </c>
      <c r="O100" s="48" t="str">
        <f>IF(OR($B100="",$D100=""),"",ROUND($M100*$N100,0))</f>
        <v/>
      </c>
      <c r="P100" s="48" t="str">
        <f>IF($AC100&gt;0,IF(ISNUMBER(INDEX(CASHBACK_RULES!$J$5:$J$304,$AC100)),INDEX(CASHBACK_RULES!$J$5:$J$304,$AC100),"∞"),"")</f>
        <v/>
      </c>
      <c r="Q100" s="48" t="str">
        <f>IF(OR($B100="",$D100=""),"",IF($AC100=0,0,MAX(0,MIN($O100,IF(ISNUMBER($P100),$P100-$AF100,1E+15),IF(ISNUMBER($AA100),$AA100-$AG100,1E+15)))))</f>
        <v/>
      </c>
      <c r="R100" s="48" t="str">
        <f>IF(OR($B100="",$D100=""),"",IF($AC100=0,"",IF(AND(NOT(ISNUMBER($P100)),NOT(ISNUMBER($AA100))),"∞",MAX(0,MIN(IF(ISNUMBER($P100),$P100-$AF100-$Q100,1E+15),IF(ISNUMBER($AA100),$AA100-$AG100-$Q100,1E+15))))))</f>
        <v/>
      </c>
      <c r="S100" s="47" t="str">
        <f>IF($AD100="","",YEAR($AD100)*100+MONTH($AD100))</f>
        <v/>
      </c>
      <c r="T100" s="50" t="str">
        <f>IF($AD100="","",IFERROR(IF(INDEX(CARDS!$I$5:$I$34,MATCH($D100,CARDS!$A$5:$A$34,0))="","",IF(INDEX(CARDS!$I$5:$I$34,MATCH($D100,CARDS!$A$5:$A$34,0))&gt;INDEX(CARDS!$H$5:$H$34,MATCH($D100,CARDS!$A$5:$A$34,0)),DATE(YEAR($AD100),MONTH($AD100),MIN(INDEX(CARDS!$I$5:$I$34,MATCH($D100,CARDS!$A$5:$A$34,0)),DAY(EOMONTH($AD100,0)))),DATE(YEAR($AD100),MONTH($AD100)+1,MIN(INDEX(CARDS!$I$5:$I$34,MATCH($D100,CARDS!$A$5:$A$34,0)),DAY(EOMONTH($AD100,1)))))),""))</f>
        <v/>
      </c>
      <c r="U100" s="38" t="n"/>
      <c r="V100" s="37" t="n"/>
      <c r="W100" s="38" t="n"/>
      <c r="X100" s="38" t="n"/>
      <c r="Y100" s="44" t="str">
        <f>IF($AC100&gt;0,INDEX(CASHBACK_RULES!$A$5:$A$304,$AC100),"")</f>
        <v/>
      </c>
      <c r="Z100" s="45" t="str">
        <f>IF($AC100&gt;0,INDEX(CASHBACK_RULES!$E$5:$E$304,$AC100)&amp;"","")</f>
        <v/>
      </c>
      <c r="AA100" s="48" t="str">
        <f>IF($AC100&gt;0,IF(ISNUMBER(INDEX(CASHBACK_RULES!$K$5:$K$304,$AC100)),INDEX(CASHBACK_RULES!$K$5:$K$304,$AC100),"∞"),"")</f>
        <v/>
      </c>
      <c r="AB100" s="44" t="str">
        <f>IF(OR($B100="",$D100=""),"",IF($U100="Cancelled","Đã hủy",IF($AC100=0,"Không được hoàn",IF($Q100=0,IF(OR($O100&gt;0,$M100&lt;$L100),"Đã đạt cap","Không được hoàn"),IF(OR($Q100&lt;$O100,$M100&lt;$L100),"Hoàn một phần","Được hoàn")))))</f>
        <v/>
      </c>
      <c r="AC100" s="43">
        <f>IF(OR($B100="",$D100="",$I100="",$L100=""),0,IF($U100="Cancelled",0,IF($W100&lt;&gt;"",IFERROR(IF(INDEX(CASHBACK_RULES!$B$5:$B$304,MATCH($W100,CASHBACK_RULES!$A$5:$A$304,0))=$D100,MATCH($W100,CASHBACK_RULES!$A$5:$A$304,0),0),0),IFERROR(MATCH(1,INDEX((CASHBACK_RULES!$B$5:$B$304=$D100)*(CASHBACK_RULES!$G$5:$G$304=$I100)*(((CASHBACK_RULES!$N$5:$N$304="")+(CASHBACK_RULES!$N$5:$N$304&lt;=$B100))&gt;0)*(((CASHBACK_RULES!$O$5:$O$304="")+(CASHBACK_RULES!$O$5:$O$304&gt;=$B100))&gt;0)*(((CASHBACK_RULES!$M$5:$M$304="")+(CASHBACK_RULES!$M$5:$M$304&lt;=$L100))&gt;0),0),0),0))))</f>
        <v>0</v>
      </c>
      <c r="AD100" s="51" t="str">
        <f>IF(OR($B100="",$D100=""),"",IFERROR(IF(INDEX(CARDS!$H$5:$H$34,MATCH($D100,CARDS!$A$5:$A$34,0))="","",IF(DAY($B100)&lt;=INDEX(CARDS!$H$5:$H$34,MATCH($D100,CARDS!$A$5:$A$34,0)),DATE(YEAR($B100),MONTH($B100),MIN(INDEX(CARDS!$H$5:$H$34,MATCH($D100,CARDS!$A$5:$A$34,0)),DAY(EOMONTH($B100,0)))),DATE(YEAR($B100),MONTH($B100)+1,MIN(INDEX(CARDS!$H$5:$H$34,MATCH($D100,CARDS!$A$5:$A$34,0)),DAY(EOMONTH($B100,1)))))),""))</f>
        <v/>
      </c>
      <c r="AE100" s="52" t="str">
        <f>IF($C100="","",$C100&amp;"|"&amp;COUNTIF($C$5:$C100,$C100))</f>
        <v/>
      </c>
      <c r="AF100" s="53">
        <f>IF($AC100&gt;0,SUMIFS(Q$4:Q99,$D$4:$D99,$D100,$Z$4:$Z99,$Z100,$C$4:$C99,$C100),0)</f>
        <v>0</v>
      </c>
      <c r="AG100" s="53">
        <f>IF($AC100&gt;0,SUMIFS(Q$4:Q99,$D$4:$D99,$D100,$C$4:$C99,$C100),0)</f>
        <v>0</v>
      </c>
      <c r="AH100" s="53">
        <f>IF($AC100&gt;0,SUMIFS(M$4:M99,$D$4:$D99,$D100,$Z$4:$Z99,$Z100,$C$4:$C99,$C100),0)</f>
        <v>0</v>
      </c>
      <c r="AI100" s="43">
        <f>IF(OR($C100="",$I100=""),0,IF(COUNTIFS($C$5:$C100,$C100,$I$5:$I100,$I100)=1,1,0))</f>
        <v>0</v>
      </c>
      <c r="AJ100" s="43" t="str">
        <f>IF($AI100=1,SUMIFS($AI$4:$AI99,$C$4:$C99,$C100)+1,"")</f>
        <v/>
      </c>
      <c r="AK100" s="43">
        <f>IF(OR($C100="",$K100=""),0,IF(COUNTIFS($C$5:$C100,$C100,$K$5:$K100,$K100)=1,1,0))</f>
        <v>0</v>
      </c>
      <c r="AL100" s="43" t="str">
        <f>IF($AK100=1,SUMIFS($AK$4:$AK99,$C$4:$C99,$C100)+1,"")</f>
        <v/>
      </c>
      <c r="AM100" s="43">
        <f>IF(OR($C100="",$G100=""),0,IF(COUNTIFS($C$5:$C100,$C100,$G$5:$G100,$G100)=1,1,0))</f>
        <v>0</v>
      </c>
      <c r="AN100" s="43" t="str">
        <f>IF($AM100=1,SUMIFS($AM$4:$AM99,$C$4:$C99,$C100)+1,"")</f>
        <v/>
      </c>
    </row>
    <row r="101">
      <c r="A101" s="44" t="str">
        <f>IF(OR($B101="",$D101=""),"","TX"&amp;TEXT(ROW()-4,"0000"))</f>
        <v/>
      </c>
      <c r="B101" s="42" t="n"/>
      <c r="C101" s="47" t="str">
        <f>IF($B101="","",YEAR($B101)*100+MONTH($B101))</f>
        <v/>
      </c>
      <c r="D101" s="37" t="n"/>
      <c r="E101" s="45" t="str">
        <f>IF($D101="","",IFERROR(INDEX(CARDS!$B$5:$B$34,MATCH($D101,CARDS!$A$5:$A$34,0)),"⚠ Card ID?"))</f>
        <v/>
      </c>
      <c r="F101" s="45" t="str">
        <f>IF($D101="","",IFERROR(INDEX(CARDS!$C$5:$C$34,MATCH($D101,CARDS!$A$5:$A$34,0)),"⚠ Card ID?"))</f>
        <v/>
      </c>
      <c r="G101" s="37" t="n"/>
      <c r="H101" s="37" t="n"/>
      <c r="I101" s="41" t="n"/>
      <c r="J101" s="45" t="str">
        <f>IF($I101="","",IFERROR(INDEX(MCC_MASTER!$B$5:$B$504,MATCH($I101,MCC_MASTER!$A$5:$A$504,0)),"⚠ MCC chưa có"))</f>
        <v/>
      </c>
      <c r="K101" s="45" t="str">
        <f>IF($I101="","",IFERROR(IF(INDEX(MCC_MASTER!$C$5:$C$504,MATCH($I101,MCC_MASTER!$A$5:$A$504,0))="","Chưa phân loại",INDEX(MCC_MASTER!$C$5:$C$504,MATCH($I101,MCC_MASTER!$A$5:$A$504,0))),"Chưa phân loại"))</f>
        <v/>
      </c>
      <c r="L101" s="40" t="n"/>
      <c r="M101" s="48" t="str">
        <f>IF(OR($B101="",$D101=""),"",IF($AC101=0,0,IF(ISNUMBER(INDEX(CASHBACK_RULES!$L$5:$L$304,$AC101)),MAX(0,MIN($L101,INDEX(CASHBACK_RULES!$L$5:$L$304,$AC101)-$AH101)),MAX(0,$L101))))</f>
        <v/>
      </c>
      <c r="N101" s="49" t="str">
        <f>IF(OR($B101="",$D101=""),"",IF($AC101&gt;0,INDEX(CASHBACK_RULES!$I$5:$I$304,$AC101),0))</f>
        <v/>
      </c>
      <c r="O101" s="48" t="str">
        <f>IF(OR($B101="",$D101=""),"",ROUND($M101*$N101,0))</f>
        <v/>
      </c>
      <c r="P101" s="48" t="str">
        <f>IF($AC101&gt;0,IF(ISNUMBER(INDEX(CASHBACK_RULES!$J$5:$J$304,$AC101)),INDEX(CASHBACK_RULES!$J$5:$J$304,$AC101),"∞"),"")</f>
        <v/>
      </c>
      <c r="Q101" s="48" t="str">
        <f>IF(OR($B101="",$D101=""),"",IF($AC101=0,0,MAX(0,MIN($O101,IF(ISNUMBER($P101),$P101-$AF101,1E+15),IF(ISNUMBER($AA101),$AA101-$AG101,1E+15)))))</f>
        <v/>
      </c>
      <c r="R101" s="48" t="str">
        <f>IF(OR($B101="",$D101=""),"",IF($AC101=0,"",IF(AND(NOT(ISNUMBER($P101)),NOT(ISNUMBER($AA101))),"∞",MAX(0,MIN(IF(ISNUMBER($P101),$P101-$AF101-$Q101,1E+15),IF(ISNUMBER($AA101),$AA101-$AG101-$Q101,1E+15))))))</f>
        <v/>
      </c>
      <c r="S101" s="47" t="str">
        <f>IF($AD101="","",YEAR($AD101)*100+MONTH($AD101))</f>
        <v/>
      </c>
      <c r="T101" s="50" t="str">
        <f>IF($AD101="","",IFERROR(IF(INDEX(CARDS!$I$5:$I$34,MATCH($D101,CARDS!$A$5:$A$34,0))="","",IF(INDEX(CARDS!$I$5:$I$34,MATCH($D101,CARDS!$A$5:$A$34,0))&gt;INDEX(CARDS!$H$5:$H$34,MATCH($D101,CARDS!$A$5:$A$34,0)),DATE(YEAR($AD101),MONTH($AD101),MIN(INDEX(CARDS!$I$5:$I$34,MATCH($D101,CARDS!$A$5:$A$34,0)),DAY(EOMONTH($AD101,0)))),DATE(YEAR($AD101),MONTH($AD101)+1,MIN(INDEX(CARDS!$I$5:$I$34,MATCH($D101,CARDS!$A$5:$A$34,0)),DAY(EOMONTH($AD101,1)))))),""))</f>
        <v/>
      </c>
      <c r="U101" s="38" t="n"/>
      <c r="V101" s="37" t="n"/>
      <c r="W101" s="38" t="n"/>
      <c r="X101" s="38" t="n"/>
      <c r="Y101" s="44" t="str">
        <f>IF($AC101&gt;0,INDEX(CASHBACK_RULES!$A$5:$A$304,$AC101),"")</f>
        <v/>
      </c>
      <c r="Z101" s="45" t="str">
        <f>IF($AC101&gt;0,INDEX(CASHBACK_RULES!$E$5:$E$304,$AC101)&amp;"","")</f>
        <v/>
      </c>
      <c r="AA101" s="48" t="str">
        <f>IF($AC101&gt;0,IF(ISNUMBER(INDEX(CASHBACK_RULES!$K$5:$K$304,$AC101)),INDEX(CASHBACK_RULES!$K$5:$K$304,$AC101),"∞"),"")</f>
        <v/>
      </c>
      <c r="AB101" s="44" t="str">
        <f>IF(OR($B101="",$D101=""),"",IF($U101="Cancelled","Đã hủy",IF($AC101=0,"Không được hoàn",IF($Q101=0,IF(OR($O101&gt;0,$M101&lt;$L101),"Đã đạt cap","Không được hoàn"),IF(OR($Q101&lt;$O101,$M101&lt;$L101),"Hoàn một phần","Được hoàn")))))</f>
        <v/>
      </c>
      <c r="AC101" s="43">
        <f>IF(OR($B101="",$D101="",$I101="",$L101=""),0,IF($U101="Cancelled",0,IF($W101&lt;&gt;"",IFERROR(IF(INDEX(CASHBACK_RULES!$B$5:$B$304,MATCH($W101,CASHBACK_RULES!$A$5:$A$304,0))=$D101,MATCH($W101,CASHBACK_RULES!$A$5:$A$304,0),0),0),IFERROR(MATCH(1,INDEX((CASHBACK_RULES!$B$5:$B$304=$D101)*(CASHBACK_RULES!$G$5:$G$304=$I101)*(((CASHBACK_RULES!$N$5:$N$304="")+(CASHBACK_RULES!$N$5:$N$304&lt;=$B101))&gt;0)*(((CASHBACK_RULES!$O$5:$O$304="")+(CASHBACK_RULES!$O$5:$O$304&gt;=$B101))&gt;0)*(((CASHBACK_RULES!$M$5:$M$304="")+(CASHBACK_RULES!$M$5:$M$304&lt;=$L101))&gt;0),0),0),0))))</f>
        <v>0</v>
      </c>
      <c r="AD101" s="51" t="str">
        <f>IF(OR($B101="",$D101=""),"",IFERROR(IF(INDEX(CARDS!$H$5:$H$34,MATCH($D101,CARDS!$A$5:$A$34,0))="","",IF(DAY($B101)&lt;=INDEX(CARDS!$H$5:$H$34,MATCH($D101,CARDS!$A$5:$A$34,0)),DATE(YEAR($B101),MONTH($B101),MIN(INDEX(CARDS!$H$5:$H$34,MATCH($D101,CARDS!$A$5:$A$34,0)),DAY(EOMONTH($B101,0)))),DATE(YEAR($B101),MONTH($B101)+1,MIN(INDEX(CARDS!$H$5:$H$34,MATCH($D101,CARDS!$A$5:$A$34,0)),DAY(EOMONTH($B101,1)))))),""))</f>
        <v/>
      </c>
      <c r="AE101" s="52" t="str">
        <f>IF($C101="","",$C101&amp;"|"&amp;COUNTIF($C$5:$C101,$C101))</f>
        <v/>
      </c>
      <c r="AF101" s="53">
        <f>IF($AC101&gt;0,SUMIFS(Q$4:Q100,$D$4:$D100,$D101,$Z$4:$Z100,$Z101,$C$4:$C100,$C101),0)</f>
        <v>0</v>
      </c>
      <c r="AG101" s="53">
        <f>IF($AC101&gt;0,SUMIFS(Q$4:Q100,$D$4:$D100,$D101,$C$4:$C100,$C101),0)</f>
        <v>0</v>
      </c>
      <c r="AH101" s="53">
        <f>IF($AC101&gt;0,SUMIFS(M$4:M100,$D$4:$D100,$D101,$Z$4:$Z100,$Z101,$C$4:$C100,$C101),0)</f>
        <v>0</v>
      </c>
      <c r="AI101" s="43">
        <f>IF(OR($C101="",$I101=""),0,IF(COUNTIFS($C$5:$C101,$C101,$I$5:$I101,$I101)=1,1,0))</f>
        <v>0</v>
      </c>
      <c r="AJ101" s="43" t="str">
        <f>IF($AI101=1,SUMIFS($AI$4:$AI100,$C$4:$C100,$C101)+1,"")</f>
        <v/>
      </c>
      <c r="AK101" s="43">
        <f>IF(OR($C101="",$K101=""),0,IF(COUNTIFS($C$5:$C101,$C101,$K$5:$K101,$K101)=1,1,0))</f>
        <v>0</v>
      </c>
      <c r="AL101" s="43" t="str">
        <f>IF($AK101=1,SUMIFS($AK$4:$AK100,$C$4:$C100,$C101)+1,"")</f>
        <v/>
      </c>
      <c r="AM101" s="43">
        <f>IF(OR($C101="",$G101=""),0,IF(COUNTIFS($C$5:$C101,$C101,$G$5:$G101,$G101)=1,1,0))</f>
        <v>0</v>
      </c>
      <c r="AN101" s="43" t="str">
        <f>IF($AM101=1,SUMIFS($AM$4:$AM100,$C$4:$C100,$C101)+1,"")</f>
        <v/>
      </c>
    </row>
    <row r="102">
      <c r="A102" s="44" t="str">
        <f>IF(OR($B102="",$D102=""),"","TX"&amp;TEXT(ROW()-4,"0000"))</f>
        <v/>
      </c>
      <c r="B102" s="42" t="n"/>
      <c r="C102" s="47" t="str">
        <f>IF($B102="","",YEAR($B102)*100+MONTH($B102))</f>
        <v/>
      </c>
      <c r="D102" s="37" t="n"/>
      <c r="E102" s="45" t="str">
        <f>IF($D102="","",IFERROR(INDEX(CARDS!$B$5:$B$34,MATCH($D102,CARDS!$A$5:$A$34,0)),"⚠ Card ID?"))</f>
        <v/>
      </c>
      <c r="F102" s="45" t="str">
        <f>IF($D102="","",IFERROR(INDEX(CARDS!$C$5:$C$34,MATCH($D102,CARDS!$A$5:$A$34,0)),"⚠ Card ID?"))</f>
        <v/>
      </c>
      <c r="G102" s="37" t="n"/>
      <c r="H102" s="37" t="n"/>
      <c r="I102" s="41" t="n"/>
      <c r="J102" s="45" t="str">
        <f>IF($I102="","",IFERROR(INDEX(MCC_MASTER!$B$5:$B$504,MATCH($I102,MCC_MASTER!$A$5:$A$504,0)),"⚠ MCC chưa có"))</f>
        <v/>
      </c>
      <c r="K102" s="45" t="str">
        <f>IF($I102="","",IFERROR(IF(INDEX(MCC_MASTER!$C$5:$C$504,MATCH($I102,MCC_MASTER!$A$5:$A$504,0))="","Chưa phân loại",INDEX(MCC_MASTER!$C$5:$C$504,MATCH($I102,MCC_MASTER!$A$5:$A$504,0))),"Chưa phân loại"))</f>
        <v/>
      </c>
      <c r="L102" s="40" t="n"/>
      <c r="M102" s="48" t="str">
        <f>IF(OR($B102="",$D102=""),"",IF($AC102=0,0,IF(ISNUMBER(INDEX(CASHBACK_RULES!$L$5:$L$304,$AC102)),MAX(0,MIN($L102,INDEX(CASHBACK_RULES!$L$5:$L$304,$AC102)-$AH102)),MAX(0,$L102))))</f>
        <v/>
      </c>
      <c r="N102" s="49" t="str">
        <f>IF(OR($B102="",$D102=""),"",IF($AC102&gt;0,INDEX(CASHBACK_RULES!$I$5:$I$304,$AC102),0))</f>
        <v/>
      </c>
      <c r="O102" s="48" t="str">
        <f>IF(OR($B102="",$D102=""),"",ROUND($M102*$N102,0))</f>
        <v/>
      </c>
      <c r="P102" s="48" t="str">
        <f>IF($AC102&gt;0,IF(ISNUMBER(INDEX(CASHBACK_RULES!$J$5:$J$304,$AC102)),INDEX(CASHBACK_RULES!$J$5:$J$304,$AC102),"∞"),"")</f>
        <v/>
      </c>
      <c r="Q102" s="48" t="str">
        <f>IF(OR($B102="",$D102=""),"",IF($AC102=0,0,MAX(0,MIN($O102,IF(ISNUMBER($P102),$P102-$AF102,1E+15),IF(ISNUMBER($AA102),$AA102-$AG102,1E+15)))))</f>
        <v/>
      </c>
      <c r="R102" s="48" t="str">
        <f>IF(OR($B102="",$D102=""),"",IF($AC102=0,"",IF(AND(NOT(ISNUMBER($P102)),NOT(ISNUMBER($AA102))),"∞",MAX(0,MIN(IF(ISNUMBER($P102),$P102-$AF102-$Q102,1E+15),IF(ISNUMBER($AA102),$AA102-$AG102-$Q102,1E+15))))))</f>
        <v/>
      </c>
      <c r="S102" s="47" t="str">
        <f>IF($AD102="","",YEAR($AD102)*100+MONTH($AD102))</f>
        <v/>
      </c>
      <c r="T102" s="50" t="str">
        <f>IF($AD102="","",IFERROR(IF(INDEX(CARDS!$I$5:$I$34,MATCH($D102,CARDS!$A$5:$A$34,0))="","",IF(INDEX(CARDS!$I$5:$I$34,MATCH($D102,CARDS!$A$5:$A$34,0))&gt;INDEX(CARDS!$H$5:$H$34,MATCH($D102,CARDS!$A$5:$A$34,0)),DATE(YEAR($AD102),MONTH($AD102),MIN(INDEX(CARDS!$I$5:$I$34,MATCH($D102,CARDS!$A$5:$A$34,0)),DAY(EOMONTH($AD102,0)))),DATE(YEAR($AD102),MONTH($AD102)+1,MIN(INDEX(CARDS!$I$5:$I$34,MATCH($D102,CARDS!$A$5:$A$34,0)),DAY(EOMONTH($AD102,1)))))),""))</f>
        <v/>
      </c>
      <c r="U102" s="38" t="n"/>
      <c r="V102" s="37" t="n"/>
      <c r="W102" s="38" t="n"/>
      <c r="X102" s="38" t="n"/>
      <c r="Y102" s="44" t="str">
        <f>IF($AC102&gt;0,INDEX(CASHBACK_RULES!$A$5:$A$304,$AC102),"")</f>
        <v/>
      </c>
      <c r="Z102" s="45" t="str">
        <f>IF($AC102&gt;0,INDEX(CASHBACK_RULES!$E$5:$E$304,$AC102)&amp;"","")</f>
        <v/>
      </c>
      <c r="AA102" s="48" t="str">
        <f>IF($AC102&gt;0,IF(ISNUMBER(INDEX(CASHBACK_RULES!$K$5:$K$304,$AC102)),INDEX(CASHBACK_RULES!$K$5:$K$304,$AC102),"∞"),"")</f>
        <v/>
      </c>
      <c r="AB102" s="44" t="str">
        <f>IF(OR($B102="",$D102=""),"",IF($U102="Cancelled","Đã hủy",IF($AC102=0,"Không được hoàn",IF($Q102=0,IF(OR($O102&gt;0,$M102&lt;$L102),"Đã đạt cap","Không được hoàn"),IF(OR($Q102&lt;$O102,$M102&lt;$L102),"Hoàn một phần","Được hoàn")))))</f>
        <v/>
      </c>
      <c r="AC102" s="43">
        <f>IF(OR($B102="",$D102="",$I102="",$L102=""),0,IF($U102="Cancelled",0,IF($W102&lt;&gt;"",IFERROR(IF(INDEX(CASHBACK_RULES!$B$5:$B$304,MATCH($W102,CASHBACK_RULES!$A$5:$A$304,0))=$D102,MATCH($W102,CASHBACK_RULES!$A$5:$A$304,0),0),0),IFERROR(MATCH(1,INDEX((CASHBACK_RULES!$B$5:$B$304=$D102)*(CASHBACK_RULES!$G$5:$G$304=$I102)*(((CASHBACK_RULES!$N$5:$N$304="")+(CASHBACK_RULES!$N$5:$N$304&lt;=$B102))&gt;0)*(((CASHBACK_RULES!$O$5:$O$304="")+(CASHBACK_RULES!$O$5:$O$304&gt;=$B102))&gt;0)*(((CASHBACK_RULES!$M$5:$M$304="")+(CASHBACK_RULES!$M$5:$M$304&lt;=$L102))&gt;0),0),0),0))))</f>
        <v>0</v>
      </c>
      <c r="AD102" s="51" t="str">
        <f>IF(OR($B102="",$D102=""),"",IFERROR(IF(INDEX(CARDS!$H$5:$H$34,MATCH($D102,CARDS!$A$5:$A$34,0))="","",IF(DAY($B102)&lt;=INDEX(CARDS!$H$5:$H$34,MATCH($D102,CARDS!$A$5:$A$34,0)),DATE(YEAR($B102),MONTH($B102),MIN(INDEX(CARDS!$H$5:$H$34,MATCH($D102,CARDS!$A$5:$A$34,0)),DAY(EOMONTH($B102,0)))),DATE(YEAR($B102),MONTH($B102)+1,MIN(INDEX(CARDS!$H$5:$H$34,MATCH($D102,CARDS!$A$5:$A$34,0)),DAY(EOMONTH($B102,1)))))),""))</f>
        <v/>
      </c>
      <c r="AE102" s="52" t="str">
        <f>IF($C102="","",$C102&amp;"|"&amp;COUNTIF($C$5:$C102,$C102))</f>
        <v/>
      </c>
      <c r="AF102" s="53">
        <f>IF($AC102&gt;0,SUMIFS(Q$4:Q101,$D$4:$D101,$D102,$Z$4:$Z101,$Z102,$C$4:$C101,$C102),0)</f>
        <v>0</v>
      </c>
      <c r="AG102" s="53">
        <f>IF($AC102&gt;0,SUMIFS(Q$4:Q101,$D$4:$D101,$D102,$C$4:$C101,$C102),0)</f>
        <v>0</v>
      </c>
      <c r="AH102" s="53">
        <f>IF($AC102&gt;0,SUMIFS(M$4:M101,$D$4:$D101,$D102,$Z$4:$Z101,$Z102,$C$4:$C101,$C102),0)</f>
        <v>0</v>
      </c>
      <c r="AI102" s="43">
        <f>IF(OR($C102="",$I102=""),0,IF(COUNTIFS($C$5:$C102,$C102,$I$5:$I102,$I102)=1,1,0))</f>
        <v>0</v>
      </c>
      <c r="AJ102" s="43" t="str">
        <f>IF($AI102=1,SUMIFS($AI$4:$AI101,$C$4:$C101,$C102)+1,"")</f>
        <v/>
      </c>
      <c r="AK102" s="43">
        <f>IF(OR($C102="",$K102=""),0,IF(COUNTIFS($C$5:$C102,$C102,$K$5:$K102,$K102)=1,1,0))</f>
        <v>0</v>
      </c>
      <c r="AL102" s="43" t="str">
        <f>IF($AK102=1,SUMIFS($AK$4:$AK101,$C$4:$C101,$C102)+1,"")</f>
        <v/>
      </c>
      <c r="AM102" s="43">
        <f>IF(OR($C102="",$G102=""),0,IF(COUNTIFS($C$5:$C102,$C102,$G$5:$G102,$G102)=1,1,0))</f>
        <v>0</v>
      </c>
      <c r="AN102" s="43" t="str">
        <f>IF($AM102=1,SUMIFS($AM$4:$AM101,$C$4:$C101,$C102)+1,"")</f>
        <v/>
      </c>
    </row>
    <row r="103">
      <c r="A103" s="44" t="str">
        <f>IF(OR($B103="",$D103=""),"","TX"&amp;TEXT(ROW()-4,"0000"))</f>
        <v/>
      </c>
      <c r="B103" s="42" t="n"/>
      <c r="C103" s="47" t="str">
        <f>IF($B103="","",YEAR($B103)*100+MONTH($B103))</f>
        <v/>
      </c>
      <c r="D103" s="37" t="n"/>
      <c r="E103" s="45" t="str">
        <f>IF($D103="","",IFERROR(INDEX(CARDS!$B$5:$B$34,MATCH($D103,CARDS!$A$5:$A$34,0)),"⚠ Card ID?"))</f>
        <v/>
      </c>
      <c r="F103" s="45" t="str">
        <f>IF($D103="","",IFERROR(INDEX(CARDS!$C$5:$C$34,MATCH($D103,CARDS!$A$5:$A$34,0)),"⚠ Card ID?"))</f>
        <v/>
      </c>
      <c r="G103" s="37" t="n"/>
      <c r="H103" s="37" t="n"/>
      <c r="I103" s="41" t="n"/>
      <c r="J103" s="45" t="str">
        <f>IF($I103="","",IFERROR(INDEX(MCC_MASTER!$B$5:$B$504,MATCH($I103,MCC_MASTER!$A$5:$A$504,0)),"⚠ MCC chưa có"))</f>
        <v/>
      </c>
      <c r="K103" s="45" t="str">
        <f>IF($I103="","",IFERROR(IF(INDEX(MCC_MASTER!$C$5:$C$504,MATCH($I103,MCC_MASTER!$A$5:$A$504,0))="","Chưa phân loại",INDEX(MCC_MASTER!$C$5:$C$504,MATCH($I103,MCC_MASTER!$A$5:$A$504,0))),"Chưa phân loại"))</f>
        <v/>
      </c>
      <c r="L103" s="40" t="n"/>
      <c r="M103" s="48" t="str">
        <f>IF(OR($B103="",$D103=""),"",IF($AC103=0,0,IF(ISNUMBER(INDEX(CASHBACK_RULES!$L$5:$L$304,$AC103)),MAX(0,MIN($L103,INDEX(CASHBACK_RULES!$L$5:$L$304,$AC103)-$AH103)),MAX(0,$L103))))</f>
        <v/>
      </c>
      <c r="N103" s="49" t="str">
        <f>IF(OR($B103="",$D103=""),"",IF($AC103&gt;0,INDEX(CASHBACK_RULES!$I$5:$I$304,$AC103),0))</f>
        <v/>
      </c>
      <c r="O103" s="48" t="str">
        <f>IF(OR($B103="",$D103=""),"",ROUND($M103*$N103,0))</f>
        <v/>
      </c>
      <c r="P103" s="48" t="str">
        <f>IF($AC103&gt;0,IF(ISNUMBER(INDEX(CASHBACK_RULES!$J$5:$J$304,$AC103)),INDEX(CASHBACK_RULES!$J$5:$J$304,$AC103),"∞"),"")</f>
        <v/>
      </c>
      <c r="Q103" s="48" t="str">
        <f>IF(OR($B103="",$D103=""),"",IF($AC103=0,0,MAX(0,MIN($O103,IF(ISNUMBER($P103),$P103-$AF103,1E+15),IF(ISNUMBER($AA103),$AA103-$AG103,1E+15)))))</f>
        <v/>
      </c>
      <c r="R103" s="48" t="str">
        <f>IF(OR($B103="",$D103=""),"",IF($AC103=0,"",IF(AND(NOT(ISNUMBER($P103)),NOT(ISNUMBER($AA103))),"∞",MAX(0,MIN(IF(ISNUMBER($P103),$P103-$AF103-$Q103,1E+15),IF(ISNUMBER($AA103),$AA103-$AG103-$Q103,1E+15))))))</f>
        <v/>
      </c>
      <c r="S103" s="47" t="str">
        <f>IF($AD103="","",YEAR($AD103)*100+MONTH($AD103))</f>
        <v/>
      </c>
      <c r="T103" s="50" t="str">
        <f>IF($AD103="","",IFERROR(IF(INDEX(CARDS!$I$5:$I$34,MATCH($D103,CARDS!$A$5:$A$34,0))="","",IF(INDEX(CARDS!$I$5:$I$34,MATCH($D103,CARDS!$A$5:$A$34,0))&gt;INDEX(CARDS!$H$5:$H$34,MATCH($D103,CARDS!$A$5:$A$34,0)),DATE(YEAR($AD103),MONTH($AD103),MIN(INDEX(CARDS!$I$5:$I$34,MATCH($D103,CARDS!$A$5:$A$34,0)),DAY(EOMONTH($AD103,0)))),DATE(YEAR($AD103),MONTH($AD103)+1,MIN(INDEX(CARDS!$I$5:$I$34,MATCH($D103,CARDS!$A$5:$A$34,0)),DAY(EOMONTH($AD103,1)))))),""))</f>
        <v/>
      </c>
      <c r="U103" s="38" t="n"/>
      <c r="V103" s="37" t="n"/>
      <c r="W103" s="38" t="n"/>
      <c r="X103" s="38" t="n"/>
      <c r="Y103" s="44" t="str">
        <f>IF($AC103&gt;0,INDEX(CASHBACK_RULES!$A$5:$A$304,$AC103),"")</f>
        <v/>
      </c>
      <c r="Z103" s="45" t="str">
        <f>IF($AC103&gt;0,INDEX(CASHBACK_RULES!$E$5:$E$304,$AC103)&amp;"","")</f>
        <v/>
      </c>
      <c r="AA103" s="48" t="str">
        <f>IF($AC103&gt;0,IF(ISNUMBER(INDEX(CASHBACK_RULES!$K$5:$K$304,$AC103)),INDEX(CASHBACK_RULES!$K$5:$K$304,$AC103),"∞"),"")</f>
        <v/>
      </c>
      <c r="AB103" s="44" t="str">
        <f>IF(OR($B103="",$D103=""),"",IF($U103="Cancelled","Đã hủy",IF($AC103=0,"Không được hoàn",IF($Q103=0,IF(OR($O103&gt;0,$M103&lt;$L103),"Đã đạt cap","Không được hoàn"),IF(OR($Q103&lt;$O103,$M103&lt;$L103),"Hoàn một phần","Được hoàn")))))</f>
        <v/>
      </c>
      <c r="AC103" s="43">
        <f>IF(OR($B103="",$D103="",$I103="",$L103=""),0,IF($U103="Cancelled",0,IF($W103&lt;&gt;"",IFERROR(IF(INDEX(CASHBACK_RULES!$B$5:$B$304,MATCH($W103,CASHBACK_RULES!$A$5:$A$304,0))=$D103,MATCH($W103,CASHBACK_RULES!$A$5:$A$304,0),0),0),IFERROR(MATCH(1,INDEX((CASHBACK_RULES!$B$5:$B$304=$D103)*(CASHBACK_RULES!$G$5:$G$304=$I103)*(((CASHBACK_RULES!$N$5:$N$304="")+(CASHBACK_RULES!$N$5:$N$304&lt;=$B103))&gt;0)*(((CASHBACK_RULES!$O$5:$O$304="")+(CASHBACK_RULES!$O$5:$O$304&gt;=$B103))&gt;0)*(((CASHBACK_RULES!$M$5:$M$304="")+(CASHBACK_RULES!$M$5:$M$304&lt;=$L103))&gt;0),0),0),0))))</f>
        <v>0</v>
      </c>
      <c r="AD103" s="51" t="str">
        <f>IF(OR($B103="",$D103=""),"",IFERROR(IF(INDEX(CARDS!$H$5:$H$34,MATCH($D103,CARDS!$A$5:$A$34,0))="","",IF(DAY($B103)&lt;=INDEX(CARDS!$H$5:$H$34,MATCH($D103,CARDS!$A$5:$A$34,0)),DATE(YEAR($B103),MONTH($B103),MIN(INDEX(CARDS!$H$5:$H$34,MATCH($D103,CARDS!$A$5:$A$34,0)),DAY(EOMONTH($B103,0)))),DATE(YEAR($B103),MONTH($B103)+1,MIN(INDEX(CARDS!$H$5:$H$34,MATCH($D103,CARDS!$A$5:$A$34,0)),DAY(EOMONTH($B103,1)))))),""))</f>
        <v/>
      </c>
      <c r="AE103" s="52" t="str">
        <f>IF($C103="","",$C103&amp;"|"&amp;COUNTIF($C$5:$C103,$C103))</f>
        <v/>
      </c>
      <c r="AF103" s="53">
        <f>IF($AC103&gt;0,SUMIFS(Q$4:Q102,$D$4:$D102,$D103,$Z$4:$Z102,$Z103,$C$4:$C102,$C103),0)</f>
        <v>0</v>
      </c>
      <c r="AG103" s="53">
        <f>IF($AC103&gt;0,SUMIFS(Q$4:Q102,$D$4:$D102,$D103,$C$4:$C102,$C103),0)</f>
        <v>0</v>
      </c>
      <c r="AH103" s="53">
        <f>IF($AC103&gt;0,SUMIFS(M$4:M102,$D$4:$D102,$D103,$Z$4:$Z102,$Z103,$C$4:$C102,$C103),0)</f>
        <v>0</v>
      </c>
      <c r="AI103" s="43">
        <f>IF(OR($C103="",$I103=""),0,IF(COUNTIFS($C$5:$C103,$C103,$I$5:$I103,$I103)=1,1,0))</f>
        <v>0</v>
      </c>
      <c r="AJ103" s="43" t="str">
        <f>IF($AI103=1,SUMIFS($AI$4:$AI102,$C$4:$C102,$C103)+1,"")</f>
        <v/>
      </c>
      <c r="AK103" s="43">
        <f>IF(OR($C103="",$K103=""),0,IF(COUNTIFS($C$5:$C103,$C103,$K$5:$K103,$K103)=1,1,0))</f>
        <v>0</v>
      </c>
      <c r="AL103" s="43" t="str">
        <f>IF($AK103=1,SUMIFS($AK$4:$AK102,$C$4:$C102,$C103)+1,"")</f>
        <v/>
      </c>
      <c r="AM103" s="43">
        <f>IF(OR($C103="",$G103=""),0,IF(COUNTIFS($C$5:$C103,$C103,$G$5:$G103,$G103)=1,1,0))</f>
        <v>0</v>
      </c>
      <c r="AN103" s="43" t="str">
        <f>IF($AM103=1,SUMIFS($AM$4:$AM102,$C$4:$C102,$C103)+1,"")</f>
        <v/>
      </c>
    </row>
    <row r="104">
      <c r="A104" s="44" t="str">
        <f>IF(OR($B104="",$D104=""),"","TX"&amp;TEXT(ROW()-4,"0000"))</f>
        <v/>
      </c>
      <c r="B104" s="42" t="n"/>
      <c r="C104" s="47" t="str">
        <f>IF($B104="","",YEAR($B104)*100+MONTH($B104))</f>
        <v/>
      </c>
      <c r="D104" s="37" t="n"/>
      <c r="E104" s="45" t="str">
        <f>IF($D104="","",IFERROR(INDEX(CARDS!$B$5:$B$34,MATCH($D104,CARDS!$A$5:$A$34,0)),"⚠ Card ID?"))</f>
        <v/>
      </c>
      <c r="F104" s="45" t="str">
        <f>IF($D104="","",IFERROR(INDEX(CARDS!$C$5:$C$34,MATCH($D104,CARDS!$A$5:$A$34,0)),"⚠ Card ID?"))</f>
        <v/>
      </c>
      <c r="G104" s="37" t="n"/>
      <c r="H104" s="37" t="n"/>
      <c r="I104" s="41" t="n"/>
      <c r="J104" s="45" t="str">
        <f>IF($I104="","",IFERROR(INDEX(MCC_MASTER!$B$5:$B$504,MATCH($I104,MCC_MASTER!$A$5:$A$504,0)),"⚠ MCC chưa có"))</f>
        <v/>
      </c>
      <c r="K104" s="45" t="str">
        <f>IF($I104="","",IFERROR(IF(INDEX(MCC_MASTER!$C$5:$C$504,MATCH($I104,MCC_MASTER!$A$5:$A$504,0))="","Chưa phân loại",INDEX(MCC_MASTER!$C$5:$C$504,MATCH($I104,MCC_MASTER!$A$5:$A$504,0))),"Chưa phân loại"))</f>
        <v/>
      </c>
      <c r="L104" s="40" t="n"/>
      <c r="M104" s="48" t="str">
        <f>IF(OR($B104="",$D104=""),"",IF($AC104=0,0,IF(ISNUMBER(INDEX(CASHBACK_RULES!$L$5:$L$304,$AC104)),MAX(0,MIN($L104,INDEX(CASHBACK_RULES!$L$5:$L$304,$AC104)-$AH104)),MAX(0,$L104))))</f>
        <v/>
      </c>
      <c r="N104" s="49" t="str">
        <f>IF(OR($B104="",$D104=""),"",IF($AC104&gt;0,INDEX(CASHBACK_RULES!$I$5:$I$304,$AC104),0))</f>
        <v/>
      </c>
      <c r="O104" s="48" t="str">
        <f>IF(OR($B104="",$D104=""),"",ROUND($M104*$N104,0))</f>
        <v/>
      </c>
      <c r="P104" s="48" t="str">
        <f>IF($AC104&gt;0,IF(ISNUMBER(INDEX(CASHBACK_RULES!$J$5:$J$304,$AC104)),INDEX(CASHBACK_RULES!$J$5:$J$304,$AC104),"∞"),"")</f>
        <v/>
      </c>
      <c r="Q104" s="48" t="str">
        <f>IF(OR($B104="",$D104=""),"",IF($AC104=0,0,MAX(0,MIN($O104,IF(ISNUMBER($P104),$P104-$AF104,1E+15),IF(ISNUMBER($AA104),$AA104-$AG104,1E+15)))))</f>
        <v/>
      </c>
      <c r="R104" s="48" t="str">
        <f>IF(OR($B104="",$D104=""),"",IF($AC104=0,"",IF(AND(NOT(ISNUMBER($P104)),NOT(ISNUMBER($AA104))),"∞",MAX(0,MIN(IF(ISNUMBER($P104),$P104-$AF104-$Q104,1E+15),IF(ISNUMBER($AA104),$AA104-$AG104-$Q104,1E+15))))))</f>
        <v/>
      </c>
      <c r="S104" s="47" t="str">
        <f>IF($AD104="","",YEAR($AD104)*100+MONTH($AD104))</f>
        <v/>
      </c>
      <c r="T104" s="50" t="str">
        <f>IF($AD104="","",IFERROR(IF(INDEX(CARDS!$I$5:$I$34,MATCH($D104,CARDS!$A$5:$A$34,0))="","",IF(INDEX(CARDS!$I$5:$I$34,MATCH($D104,CARDS!$A$5:$A$34,0))&gt;INDEX(CARDS!$H$5:$H$34,MATCH($D104,CARDS!$A$5:$A$34,0)),DATE(YEAR($AD104),MONTH($AD104),MIN(INDEX(CARDS!$I$5:$I$34,MATCH($D104,CARDS!$A$5:$A$34,0)),DAY(EOMONTH($AD104,0)))),DATE(YEAR($AD104),MONTH($AD104)+1,MIN(INDEX(CARDS!$I$5:$I$34,MATCH($D104,CARDS!$A$5:$A$34,0)),DAY(EOMONTH($AD104,1)))))),""))</f>
        <v/>
      </c>
      <c r="U104" s="38" t="n"/>
      <c r="V104" s="37" t="n"/>
      <c r="W104" s="38" t="n"/>
      <c r="X104" s="38" t="n"/>
      <c r="Y104" s="44" t="str">
        <f>IF($AC104&gt;0,INDEX(CASHBACK_RULES!$A$5:$A$304,$AC104),"")</f>
        <v/>
      </c>
      <c r="Z104" s="45" t="str">
        <f>IF($AC104&gt;0,INDEX(CASHBACK_RULES!$E$5:$E$304,$AC104)&amp;"","")</f>
        <v/>
      </c>
      <c r="AA104" s="48" t="str">
        <f>IF($AC104&gt;0,IF(ISNUMBER(INDEX(CASHBACK_RULES!$K$5:$K$304,$AC104)),INDEX(CASHBACK_RULES!$K$5:$K$304,$AC104),"∞"),"")</f>
        <v/>
      </c>
      <c r="AB104" s="44" t="str">
        <f>IF(OR($B104="",$D104=""),"",IF($U104="Cancelled","Đã hủy",IF($AC104=0,"Không được hoàn",IF($Q104=0,IF(OR($O104&gt;0,$M104&lt;$L104),"Đã đạt cap","Không được hoàn"),IF(OR($Q104&lt;$O104,$M104&lt;$L104),"Hoàn một phần","Được hoàn")))))</f>
        <v/>
      </c>
      <c r="AC104" s="43">
        <f>IF(OR($B104="",$D104="",$I104="",$L104=""),0,IF($U104="Cancelled",0,IF($W104&lt;&gt;"",IFERROR(IF(INDEX(CASHBACK_RULES!$B$5:$B$304,MATCH($W104,CASHBACK_RULES!$A$5:$A$304,0))=$D104,MATCH($W104,CASHBACK_RULES!$A$5:$A$304,0),0),0),IFERROR(MATCH(1,INDEX((CASHBACK_RULES!$B$5:$B$304=$D104)*(CASHBACK_RULES!$G$5:$G$304=$I104)*(((CASHBACK_RULES!$N$5:$N$304="")+(CASHBACK_RULES!$N$5:$N$304&lt;=$B104))&gt;0)*(((CASHBACK_RULES!$O$5:$O$304="")+(CASHBACK_RULES!$O$5:$O$304&gt;=$B104))&gt;0)*(((CASHBACK_RULES!$M$5:$M$304="")+(CASHBACK_RULES!$M$5:$M$304&lt;=$L104))&gt;0),0),0),0))))</f>
        <v>0</v>
      </c>
      <c r="AD104" s="51" t="str">
        <f>IF(OR($B104="",$D104=""),"",IFERROR(IF(INDEX(CARDS!$H$5:$H$34,MATCH($D104,CARDS!$A$5:$A$34,0))="","",IF(DAY($B104)&lt;=INDEX(CARDS!$H$5:$H$34,MATCH($D104,CARDS!$A$5:$A$34,0)),DATE(YEAR($B104),MONTH($B104),MIN(INDEX(CARDS!$H$5:$H$34,MATCH($D104,CARDS!$A$5:$A$34,0)),DAY(EOMONTH($B104,0)))),DATE(YEAR($B104),MONTH($B104)+1,MIN(INDEX(CARDS!$H$5:$H$34,MATCH($D104,CARDS!$A$5:$A$34,0)),DAY(EOMONTH($B104,1)))))),""))</f>
        <v/>
      </c>
      <c r="AE104" s="52" t="str">
        <f>IF($C104="","",$C104&amp;"|"&amp;COUNTIF($C$5:$C104,$C104))</f>
        <v/>
      </c>
      <c r="AF104" s="53">
        <f>IF($AC104&gt;0,SUMIFS(Q$4:Q103,$D$4:$D103,$D104,$Z$4:$Z103,$Z104,$C$4:$C103,$C104),0)</f>
        <v>0</v>
      </c>
      <c r="AG104" s="53">
        <f>IF($AC104&gt;0,SUMIFS(Q$4:Q103,$D$4:$D103,$D104,$C$4:$C103,$C104),0)</f>
        <v>0</v>
      </c>
      <c r="AH104" s="53">
        <f>IF($AC104&gt;0,SUMIFS(M$4:M103,$D$4:$D103,$D104,$Z$4:$Z103,$Z104,$C$4:$C103,$C104),0)</f>
        <v>0</v>
      </c>
      <c r="AI104" s="43">
        <f>IF(OR($C104="",$I104=""),0,IF(COUNTIFS($C$5:$C104,$C104,$I$5:$I104,$I104)=1,1,0))</f>
        <v>0</v>
      </c>
      <c r="AJ104" s="43" t="str">
        <f>IF($AI104=1,SUMIFS($AI$4:$AI103,$C$4:$C103,$C104)+1,"")</f>
        <v/>
      </c>
      <c r="AK104" s="43">
        <f>IF(OR($C104="",$K104=""),0,IF(COUNTIFS($C$5:$C104,$C104,$K$5:$K104,$K104)=1,1,0))</f>
        <v>0</v>
      </c>
      <c r="AL104" s="43" t="str">
        <f>IF($AK104=1,SUMIFS($AK$4:$AK103,$C$4:$C103,$C104)+1,"")</f>
        <v/>
      </c>
      <c r="AM104" s="43">
        <f>IF(OR($C104="",$G104=""),0,IF(COUNTIFS($C$5:$C104,$C104,$G$5:$G104,$G104)=1,1,0))</f>
        <v>0</v>
      </c>
      <c r="AN104" s="43" t="str">
        <f>IF($AM104=1,SUMIFS($AM$4:$AM103,$C$4:$C103,$C104)+1,"")</f>
        <v/>
      </c>
    </row>
    <row r="105">
      <c r="A105" s="44" t="str">
        <f>IF(OR($B105="",$D105=""),"","TX"&amp;TEXT(ROW()-4,"0000"))</f>
        <v/>
      </c>
      <c r="B105" s="42" t="n"/>
      <c r="C105" s="47" t="str">
        <f>IF($B105="","",YEAR($B105)*100+MONTH($B105))</f>
        <v/>
      </c>
      <c r="D105" s="37" t="n"/>
      <c r="E105" s="45" t="str">
        <f>IF($D105="","",IFERROR(INDEX(CARDS!$B$5:$B$34,MATCH($D105,CARDS!$A$5:$A$34,0)),"⚠ Card ID?"))</f>
        <v/>
      </c>
      <c r="F105" s="45" t="str">
        <f>IF($D105="","",IFERROR(INDEX(CARDS!$C$5:$C$34,MATCH($D105,CARDS!$A$5:$A$34,0)),"⚠ Card ID?"))</f>
        <v/>
      </c>
      <c r="G105" s="37" t="n"/>
      <c r="H105" s="37" t="n"/>
      <c r="I105" s="41" t="n"/>
      <c r="J105" s="45" t="str">
        <f>IF($I105="","",IFERROR(INDEX(MCC_MASTER!$B$5:$B$504,MATCH($I105,MCC_MASTER!$A$5:$A$504,0)),"⚠ MCC chưa có"))</f>
        <v/>
      </c>
      <c r="K105" s="45" t="str">
        <f>IF($I105="","",IFERROR(IF(INDEX(MCC_MASTER!$C$5:$C$504,MATCH($I105,MCC_MASTER!$A$5:$A$504,0))="","Chưa phân loại",INDEX(MCC_MASTER!$C$5:$C$504,MATCH($I105,MCC_MASTER!$A$5:$A$504,0))),"Chưa phân loại"))</f>
        <v/>
      </c>
      <c r="L105" s="40" t="n"/>
      <c r="M105" s="48" t="str">
        <f>IF(OR($B105="",$D105=""),"",IF($AC105=0,0,IF(ISNUMBER(INDEX(CASHBACK_RULES!$L$5:$L$304,$AC105)),MAX(0,MIN($L105,INDEX(CASHBACK_RULES!$L$5:$L$304,$AC105)-$AH105)),MAX(0,$L105))))</f>
        <v/>
      </c>
      <c r="N105" s="49" t="str">
        <f>IF(OR($B105="",$D105=""),"",IF($AC105&gt;0,INDEX(CASHBACK_RULES!$I$5:$I$304,$AC105),0))</f>
        <v/>
      </c>
      <c r="O105" s="48" t="str">
        <f>IF(OR($B105="",$D105=""),"",ROUND($M105*$N105,0))</f>
        <v/>
      </c>
      <c r="P105" s="48" t="str">
        <f>IF($AC105&gt;0,IF(ISNUMBER(INDEX(CASHBACK_RULES!$J$5:$J$304,$AC105)),INDEX(CASHBACK_RULES!$J$5:$J$304,$AC105),"∞"),"")</f>
        <v/>
      </c>
      <c r="Q105" s="48" t="str">
        <f>IF(OR($B105="",$D105=""),"",IF($AC105=0,0,MAX(0,MIN($O105,IF(ISNUMBER($P105),$P105-$AF105,1E+15),IF(ISNUMBER($AA105),$AA105-$AG105,1E+15)))))</f>
        <v/>
      </c>
      <c r="R105" s="48" t="str">
        <f>IF(OR($B105="",$D105=""),"",IF($AC105=0,"",IF(AND(NOT(ISNUMBER($P105)),NOT(ISNUMBER($AA105))),"∞",MAX(0,MIN(IF(ISNUMBER($P105),$P105-$AF105-$Q105,1E+15),IF(ISNUMBER($AA105),$AA105-$AG105-$Q105,1E+15))))))</f>
        <v/>
      </c>
      <c r="S105" s="47" t="str">
        <f>IF($AD105="","",YEAR($AD105)*100+MONTH($AD105))</f>
        <v/>
      </c>
      <c r="T105" s="50" t="str">
        <f>IF($AD105="","",IFERROR(IF(INDEX(CARDS!$I$5:$I$34,MATCH($D105,CARDS!$A$5:$A$34,0))="","",IF(INDEX(CARDS!$I$5:$I$34,MATCH($D105,CARDS!$A$5:$A$34,0))&gt;INDEX(CARDS!$H$5:$H$34,MATCH($D105,CARDS!$A$5:$A$34,0)),DATE(YEAR($AD105),MONTH($AD105),MIN(INDEX(CARDS!$I$5:$I$34,MATCH($D105,CARDS!$A$5:$A$34,0)),DAY(EOMONTH($AD105,0)))),DATE(YEAR($AD105),MONTH($AD105)+1,MIN(INDEX(CARDS!$I$5:$I$34,MATCH($D105,CARDS!$A$5:$A$34,0)),DAY(EOMONTH($AD105,1)))))),""))</f>
        <v/>
      </c>
      <c r="U105" s="38" t="n"/>
      <c r="V105" s="37" t="n"/>
      <c r="W105" s="38" t="n"/>
      <c r="X105" s="38" t="n"/>
      <c r="Y105" s="44" t="str">
        <f>IF($AC105&gt;0,INDEX(CASHBACK_RULES!$A$5:$A$304,$AC105),"")</f>
        <v/>
      </c>
      <c r="Z105" s="45" t="str">
        <f>IF($AC105&gt;0,INDEX(CASHBACK_RULES!$E$5:$E$304,$AC105)&amp;"","")</f>
        <v/>
      </c>
      <c r="AA105" s="48" t="str">
        <f>IF($AC105&gt;0,IF(ISNUMBER(INDEX(CASHBACK_RULES!$K$5:$K$304,$AC105)),INDEX(CASHBACK_RULES!$K$5:$K$304,$AC105),"∞"),"")</f>
        <v/>
      </c>
      <c r="AB105" s="44" t="str">
        <f>IF(OR($B105="",$D105=""),"",IF($U105="Cancelled","Đã hủy",IF($AC105=0,"Không được hoàn",IF($Q105=0,IF(OR($O105&gt;0,$M105&lt;$L105),"Đã đạt cap","Không được hoàn"),IF(OR($Q105&lt;$O105,$M105&lt;$L105),"Hoàn một phần","Được hoàn")))))</f>
        <v/>
      </c>
      <c r="AC105" s="43">
        <f>IF(OR($B105="",$D105="",$I105="",$L105=""),0,IF($U105="Cancelled",0,IF($W105&lt;&gt;"",IFERROR(IF(INDEX(CASHBACK_RULES!$B$5:$B$304,MATCH($W105,CASHBACK_RULES!$A$5:$A$304,0))=$D105,MATCH($W105,CASHBACK_RULES!$A$5:$A$304,0),0),0),IFERROR(MATCH(1,INDEX((CASHBACK_RULES!$B$5:$B$304=$D105)*(CASHBACK_RULES!$G$5:$G$304=$I105)*(((CASHBACK_RULES!$N$5:$N$304="")+(CASHBACK_RULES!$N$5:$N$304&lt;=$B105))&gt;0)*(((CASHBACK_RULES!$O$5:$O$304="")+(CASHBACK_RULES!$O$5:$O$304&gt;=$B105))&gt;0)*(((CASHBACK_RULES!$M$5:$M$304="")+(CASHBACK_RULES!$M$5:$M$304&lt;=$L105))&gt;0),0),0),0))))</f>
        <v>0</v>
      </c>
      <c r="AD105" s="51" t="str">
        <f>IF(OR($B105="",$D105=""),"",IFERROR(IF(INDEX(CARDS!$H$5:$H$34,MATCH($D105,CARDS!$A$5:$A$34,0))="","",IF(DAY($B105)&lt;=INDEX(CARDS!$H$5:$H$34,MATCH($D105,CARDS!$A$5:$A$34,0)),DATE(YEAR($B105),MONTH($B105),MIN(INDEX(CARDS!$H$5:$H$34,MATCH($D105,CARDS!$A$5:$A$34,0)),DAY(EOMONTH($B105,0)))),DATE(YEAR($B105),MONTH($B105)+1,MIN(INDEX(CARDS!$H$5:$H$34,MATCH($D105,CARDS!$A$5:$A$34,0)),DAY(EOMONTH($B105,1)))))),""))</f>
        <v/>
      </c>
      <c r="AE105" s="52" t="str">
        <f>IF($C105="","",$C105&amp;"|"&amp;COUNTIF($C$5:$C105,$C105))</f>
        <v/>
      </c>
      <c r="AF105" s="53">
        <f>IF($AC105&gt;0,SUMIFS(Q$4:Q104,$D$4:$D104,$D105,$Z$4:$Z104,$Z105,$C$4:$C104,$C105),0)</f>
        <v>0</v>
      </c>
      <c r="AG105" s="53">
        <f>IF($AC105&gt;0,SUMIFS(Q$4:Q104,$D$4:$D104,$D105,$C$4:$C104,$C105),0)</f>
        <v>0</v>
      </c>
      <c r="AH105" s="53">
        <f>IF($AC105&gt;0,SUMIFS(M$4:M104,$D$4:$D104,$D105,$Z$4:$Z104,$Z105,$C$4:$C104,$C105),0)</f>
        <v>0</v>
      </c>
      <c r="AI105" s="43">
        <f>IF(OR($C105="",$I105=""),0,IF(COUNTIFS($C$5:$C105,$C105,$I$5:$I105,$I105)=1,1,0))</f>
        <v>0</v>
      </c>
      <c r="AJ105" s="43" t="str">
        <f>IF($AI105=1,SUMIFS($AI$4:$AI104,$C$4:$C104,$C105)+1,"")</f>
        <v/>
      </c>
      <c r="AK105" s="43">
        <f>IF(OR($C105="",$K105=""),0,IF(COUNTIFS($C$5:$C105,$C105,$K$5:$K105,$K105)=1,1,0))</f>
        <v>0</v>
      </c>
      <c r="AL105" s="43" t="str">
        <f>IF($AK105=1,SUMIFS($AK$4:$AK104,$C$4:$C104,$C105)+1,"")</f>
        <v/>
      </c>
      <c r="AM105" s="43">
        <f>IF(OR($C105="",$G105=""),0,IF(COUNTIFS($C$5:$C105,$C105,$G$5:$G105,$G105)=1,1,0))</f>
        <v>0</v>
      </c>
      <c r="AN105" s="43" t="str">
        <f>IF($AM105=1,SUMIFS($AM$4:$AM104,$C$4:$C104,$C105)+1,"")</f>
        <v/>
      </c>
    </row>
    <row r="106">
      <c r="A106" s="44" t="str">
        <f>IF(OR($B106="",$D106=""),"","TX"&amp;TEXT(ROW()-4,"0000"))</f>
        <v/>
      </c>
      <c r="B106" s="42" t="n"/>
      <c r="C106" s="47" t="str">
        <f>IF($B106="","",YEAR($B106)*100+MONTH($B106))</f>
        <v/>
      </c>
      <c r="D106" s="37" t="n"/>
      <c r="E106" s="45" t="str">
        <f>IF($D106="","",IFERROR(INDEX(CARDS!$B$5:$B$34,MATCH($D106,CARDS!$A$5:$A$34,0)),"⚠ Card ID?"))</f>
        <v/>
      </c>
      <c r="F106" s="45" t="str">
        <f>IF($D106="","",IFERROR(INDEX(CARDS!$C$5:$C$34,MATCH($D106,CARDS!$A$5:$A$34,0)),"⚠ Card ID?"))</f>
        <v/>
      </c>
      <c r="G106" s="37" t="n"/>
      <c r="H106" s="37" t="n"/>
      <c r="I106" s="41" t="n"/>
      <c r="J106" s="45" t="str">
        <f>IF($I106="","",IFERROR(INDEX(MCC_MASTER!$B$5:$B$504,MATCH($I106,MCC_MASTER!$A$5:$A$504,0)),"⚠ MCC chưa có"))</f>
        <v/>
      </c>
      <c r="K106" s="45" t="str">
        <f>IF($I106="","",IFERROR(IF(INDEX(MCC_MASTER!$C$5:$C$504,MATCH($I106,MCC_MASTER!$A$5:$A$504,0))="","Chưa phân loại",INDEX(MCC_MASTER!$C$5:$C$504,MATCH($I106,MCC_MASTER!$A$5:$A$504,0))),"Chưa phân loại"))</f>
        <v/>
      </c>
      <c r="L106" s="40" t="n"/>
      <c r="M106" s="48" t="str">
        <f>IF(OR($B106="",$D106=""),"",IF($AC106=0,0,IF(ISNUMBER(INDEX(CASHBACK_RULES!$L$5:$L$304,$AC106)),MAX(0,MIN($L106,INDEX(CASHBACK_RULES!$L$5:$L$304,$AC106)-$AH106)),MAX(0,$L106))))</f>
        <v/>
      </c>
      <c r="N106" s="49" t="str">
        <f>IF(OR($B106="",$D106=""),"",IF($AC106&gt;0,INDEX(CASHBACK_RULES!$I$5:$I$304,$AC106),0))</f>
        <v/>
      </c>
      <c r="O106" s="48" t="str">
        <f>IF(OR($B106="",$D106=""),"",ROUND($M106*$N106,0))</f>
        <v/>
      </c>
      <c r="P106" s="48" t="str">
        <f>IF($AC106&gt;0,IF(ISNUMBER(INDEX(CASHBACK_RULES!$J$5:$J$304,$AC106)),INDEX(CASHBACK_RULES!$J$5:$J$304,$AC106),"∞"),"")</f>
        <v/>
      </c>
      <c r="Q106" s="48" t="str">
        <f>IF(OR($B106="",$D106=""),"",IF($AC106=0,0,MAX(0,MIN($O106,IF(ISNUMBER($P106),$P106-$AF106,1E+15),IF(ISNUMBER($AA106),$AA106-$AG106,1E+15)))))</f>
        <v/>
      </c>
      <c r="R106" s="48" t="str">
        <f>IF(OR($B106="",$D106=""),"",IF($AC106=0,"",IF(AND(NOT(ISNUMBER($P106)),NOT(ISNUMBER($AA106))),"∞",MAX(0,MIN(IF(ISNUMBER($P106),$P106-$AF106-$Q106,1E+15),IF(ISNUMBER($AA106),$AA106-$AG106-$Q106,1E+15))))))</f>
        <v/>
      </c>
      <c r="S106" s="47" t="str">
        <f>IF($AD106="","",YEAR($AD106)*100+MONTH($AD106))</f>
        <v/>
      </c>
      <c r="T106" s="50" t="str">
        <f>IF($AD106="","",IFERROR(IF(INDEX(CARDS!$I$5:$I$34,MATCH($D106,CARDS!$A$5:$A$34,0))="","",IF(INDEX(CARDS!$I$5:$I$34,MATCH($D106,CARDS!$A$5:$A$34,0))&gt;INDEX(CARDS!$H$5:$H$34,MATCH($D106,CARDS!$A$5:$A$34,0)),DATE(YEAR($AD106),MONTH($AD106),MIN(INDEX(CARDS!$I$5:$I$34,MATCH($D106,CARDS!$A$5:$A$34,0)),DAY(EOMONTH($AD106,0)))),DATE(YEAR($AD106),MONTH($AD106)+1,MIN(INDEX(CARDS!$I$5:$I$34,MATCH($D106,CARDS!$A$5:$A$34,0)),DAY(EOMONTH($AD106,1)))))),""))</f>
        <v/>
      </c>
      <c r="U106" s="38" t="n"/>
      <c r="V106" s="37" t="n"/>
      <c r="W106" s="38" t="n"/>
      <c r="X106" s="38" t="n"/>
      <c r="Y106" s="44" t="str">
        <f>IF($AC106&gt;0,INDEX(CASHBACK_RULES!$A$5:$A$304,$AC106),"")</f>
        <v/>
      </c>
      <c r="Z106" s="45" t="str">
        <f>IF($AC106&gt;0,INDEX(CASHBACK_RULES!$E$5:$E$304,$AC106)&amp;"","")</f>
        <v/>
      </c>
      <c r="AA106" s="48" t="str">
        <f>IF($AC106&gt;0,IF(ISNUMBER(INDEX(CASHBACK_RULES!$K$5:$K$304,$AC106)),INDEX(CASHBACK_RULES!$K$5:$K$304,$AC106),"∞"),"")</f>
        <v/>
      </c>
      <c r="AB106" s="44" t="str">
        <f>IF(OR($B106="",$D106=""),"",IF($U106="Cancelled","Đã hủy",IF($AC106=0,"Không được hoàn",IF($Q106=0,IF(OR($O106&gt;0,$M106&lt;$L106),"Đã đạt cap","Không được hoàn"),IF(OR($Q106&lt;$O106,$M106&lt;$L106),"Hoàn một phần","Được hoàn")))))</f>
        <v/>
      </c>
      <c r="AC106" s="43">
        <f>IF(OR($B106="",$D106="",$I106="",$L106=""),0,IF($U106="Cancelled",0,IF($W106&lt;&gt;"",IFERROR(IF(INDEX(CASHBACK_RULES!$B$5:$B$304,MATCH($W106,CASHBACK_RULES!$A$5:$A$304,0))=$D106,MATCH($W106,CASHBACK_RULES!$A$5:$A$304,0),0),0),IFERROR(MATCH(1,INDEX((CASHBACK_RULES!$B$5:$B$304=$D106)*(CASHBACK_RULES!$G$5:$G$304=$I106)*(((CASHBACK_RULES!$N$5:$N$304="")+(CASHBACK_RULES!$N$5:$N$304&lt;=$B106))&gt;0)*(((CASHBACK_RULES!$O$5:$O$304="")+(CASHBACK_RULES!$O$5:$O$304&gt;=$B106))&gt;0)*(((CASHBACK_RULES!$M$5:$M$304="")+(CASHBACK_RULES!$M$5:$M$304&lt;=$L106))&gt;0),0),0),0))))</f>
        <v>0</v>
      </c>
      <c r="AD106" s="51" t="str">
        <f>IF(OR($B106="",$D106=""),"",IFERROR(IF(INDEX(CARDS!$H$5:$H$34,MATCH($D106,CARDS!$A$5:$A$34,0))="","",IF(DAY($B106)&lt;=INDEX(CARDS!$H$5:$H$34,MATCH($D106,CARDS!$A$5:$A$34,0)),DATE(YEAR($B106),MONTH($B106),MIN(INDEX(CARDS!$H$5:$H$34,MATCH($D106,CARDS!$A$5:$A$34,0)),DAY(EOMONTH($B106,0)))),DATE(YEAR($B106),MONTH($B106)+1,MIN(INDEX(CARDS!$H$5:$H$34,MATCH($D106,CARDS!$A$5:$A$34,0)),DAY(EOMONTH($B106,1)))))),""))</f>
        <v/>
      </c>
      <c r="AE106" s="52" t="str">
        <f>IF($C106="","",$C106&amp;"|"&amp;COUNTIF($C$5:$C106,$C106))</f>
        <v/>
      </c>
      <c r="AF106" s="53">
        <f>IF($AC106&gt;0,SUMIFS(Q$4:Q105,$D$4:$D105,$D106,$Z$4:$Z105,$Z106,$C$4:$C105,$C106),0)</f>
        <v>0</v>
      </c>
      <c r="AG106" s="53">
        <f>IF($AC106&gt;0,SUMIFS(Q$4:Q105,$D$4:$D105,$D106,$C$4:$C105,$C106),0)</f>
        <v>0</v>
      </c>
      <c r="AH106" s="53">
        <f>IF($AC106&gt;0,SUMIFS(M$4:M105,$D$4:$D105,$D106,$Z$4:$Z105,$Z106,$C$4:$C105,$C106),0)</f>
        <v>0</v>
      </c>
      <c r="AI106" s="43">
        <f>IF(OR($C106="",$I106=""),0,IF(COUNTIFS($C$5:$C106,$C106,$I$5:$I106,$I106)=1,1,0))</f>
        <v>0</v>
      </c>
      <c r="AJ106" s="43" t="str">
        <f>IF($AI106=1,SUMIFS($AI$4:$AI105,$C$4:$C105,$C106)+1,"")</f>
        <v/>
      </c>
      <c r="AK106" s="43">
        <f>IF(OR($C106="",$K106=""),0,IF(COUNTIFS($C$5:$C106,$C106,$K$5:$K106,$K106)=1,1,0))</f>
        <v>0</v>
      </c>
      <c r="AL106" s="43" t="str">
        <f>IF($AK106=1,SUMIFS($AK$4:$AK105,$C$4:$C105,$C106)+1,"")</f>
        <v/>
      </c>
      <c r="AM106" s="43">
        <f>IF(OR($C106="",$G106=""),0,IF(COUNTIFS($C$5:$C106,$C106,$G$5:$G106,$G106)=1,1,0))</f>
        <v>0</v>
      </c>
      <c r="AN106" s="43" t="str">
        <f>IF($AM106=1,SUMIFS($AM$4:$AM105,$C$4:$C105,$C106)+1,"")</f>
        <v/>
      </c>
    </row>
    <row r="107">
      <c r="A107" s="44" t="str">
        <f>IF(OR($B107="",$D107=""),"","TX"&amp;TEXT(ROW()-4,"0000"))</f>
        <v/>
      </c>
      <c r="B107" s="42" t="n"/>
      <c r="C107" s="47" t="str">
        <f>IF($B107="","",YEAR($B107)*100+MONTH($B107))</f>
        <v/>
      </c>
      <c r="D107" s="37" t="n"/>
      <c r="E107" s="45" t="str">
        <f>IF($D107="","",IFERROR(INDEX(CARDS!$B$5:$B$34,MATCH($D107,CARDS!$A$5:$A$34,0)),"⚠ Card ID?"))</f>
        <v/>
      </c>
      <c r="F107" s="45" t="str">
        <f>IF($D107="","",IFERROR(INDEX(CARDS!$C$5:$C$34,MATCH($D107,CARDS!$A$5:$A$34,0)),"⚠ Card ID?"))</f>
        <v/>
      </c>
      <c r="G107" s="37" t="n"/>
      <c r="H107" s="37" t="n"/>
      <c r="I107" s="41" t="n"/>
      <c r="J107" s="45" t="str">
        <f>IF($I107="","",IFERROR(INDEX(MCC_MASTER!$B$5:$B$504,MATCH($I107,MCC_MASTER!$A$5:$A$504,0)),"⚠ MCC chưa có"))</f>
        <v/>
      </c>
      <c r="K107" s="45" t="str">
        <f>IF($I107="","",IFERROR(IF(INDEX(MCC_MASTER!$C$5:$C$504,MATCH($I107,MCC_MASTER!$A$5:$A$504,0))="","Chưa phân loại",INDEX(MCC_MASTER!$C$5:$C$504,MATCH($I107,MCC_MASTER!$A$5:$A$504,0))),"Chưa phân loại"))</f>
        <v/>
      </c>
      <c r="L107" s="40" t="n"/>
      <c r="M107" s="48" t="str">
        <f>IF(OR($B107="",$D107=""),"",IF($AC107=0,0,IF(ISNUMBER(INDEX(CASHBACK_RULES!$L$5:$L$304,$AC107)),MAX(0,MIN($L107,INDEX(CASHBACK_RULES!$L$5:$L$304,$AC107)-$AH107)),MAX(0,$L107))))</f>
        <v/>
      </c>
      <c r="N107" s="49" t="str">
        <f>IF(OR($B107="",$D107=""),"",IF($AC107&gt;0,INDEX(CASHBACK_RULES!$I$5:$I$304,$AC107),0))</f>
        <v/>
      </c>
      <c r="O107" s="48" t="str">
        <f>IF(OR($B107="",$D107=""),"",ROUND($M107*$N107,0))</f>
        <v/>
      </c>
      <c r="P107" s="48" t="str">
        <f>IF($AC107&gt;0,IF(ISNUMBER(INDEX(CASHBACK_RULES!$J$5:$J$304,$AC107)),INDEX(CASHBACK_RULES!$J$5:$J$304,$AC107),"∞"),"")</f>
        <v/>
      </c>
      <c r="Q107" s="48" t="str">
        <f>IF(OR($B107="",$D107=""),"",IF($AC107=0,0,MAX(0,MIN($O107,IF(ISNUMBER($P107),$P107-$AF107,1E+15),IF(ISNUMBER($AA107),$AA107-$AG107,1E+15)))))</f>
        <v/>
      </c>
      <c r="R107" s="48" t="str">
        <f>IF(OR($B107="",$D107=""),"",IF($AC107=0,"",IF(AND(NOT(ISNUMBER($P107)),NOT(ISNUMBER($AA107))),"∞",MAX(0,MIN(IF(ISNUMBER($P107),$P107-$AF107-$Q107,1E+15),IF(ISNUMBER($AA107),$AA107-$AG107-$Q107,1E+15))))))</f>
        <v/>
      </c>
      <c r="S107" s="47" t="str">
        <f>IF($AD107="","",YEAR($AD107)*100+MONTH($AD107))</f>
        <v/>
      </c>
      <c r="T107" s="50" t="str">
        <f>IF($AD107="","",IFERROR(IF(INDEX(CARDS!$I$5:$I$34,MATCH($D107,CARDS!$A$5:$A$34,0))="","",IF(INDEX(CARDS!$I$5:$I$34,MATCH($D107,CARDS!$A$5:$A$34,0))&gt;INDEX(CARDS!$H$5:$H$34,MATCH($D107,CARDS!$A$5:$A$34,0)),DATE(YEAR($AD107),MONTH($AD107),MIN(INDEX(CARDS!$I$5:$I$34,MATCH($D107,CARDS!$A$5:$A$34,0)),DAY(EOMONTH($AD107,0)))),DATE(YEAR($AD107),MONTH($AD107)+1,MIN(INDEX(CARDS!$I$5:$I$34,MATCH($D107,CARDS!$A$5:$A$34,0)),DAY(EOMONTH($AD107,1)))))),""))</f>
        <v/>
      </c>
      <c r="U107" s="38" t="n"/>
      <c r="V107" s="37" t="n"/>
      <c r="W107" s="38" t="n"/>
      <c r="X107" s="38" t="n"/>
      <c r="Y107" s="44" t="str">
        <f>IF($AC107&gt;0,INDEX(CASHBACK_RULES!$A$5:$A$304,$AC107),"")</f>
        <v/>
      </c>
      <c r="Z107" s="45" t="str">
        <f>IF($AC107&gt;0,INDEX(CASHBACK_RULES!$E$5:$E$304,$AC107)&amp;"","")</f>
        <v/>
      </c>
      <c r="AA107" s="48" t="str">
        <f>IF($AC107&gt;0,IF(ISNUMBER(INDEX(CASHBACK_RULES!$K$5:$K$304,$AC107)),INDEX(CASHBACK_RULES!$K$5:$K$304,$AC107),"∞"),"")</f>
        <v/>
      </c>
      <c r="AB107" s="44" t="str">
        <f>IF(OR($B107="",$D107=""),"",IF($U107="Cancelled","Đã hủy",IF($AC107=0,"Không được hoàn",IF($Q107=0,IF(OR($O107&gt;0,$M107&lt;$L107),"Đã đạt cap","Không được hoàn"),IF(OR($Q107&lt;$O107,$M107&lt;$L107),"Hoàn một phần","Được hoàn")))))</f>
        <v/>
      </c>
      <c r="AC107" s="43">
        <f>IF(OR($B107="",$D107="",$I107="",$L107=""),0,IF($U107="Cancelled",0,IF($W107&lt;&gt;"",IFERROR(IF(INDEX(CASHBACK_RULES!$B$5:$B$304,MATCH($W107,CASHBACK_RULES!$A$5:$A$304,0))=$D107,MATCH($W107,CASHBACK_RULES!$A$5:$A$304,0),0),0),IFERROR(MATCH(1,INDEX((CASHBACK_RULES!$B$5:$B$304=$D107)*(CASHBACK_RULES!$G$5:$G$304=$I107)*(((CASHBACK_RULES!$N$5:$N$304="")+(CASHBACK_RULES!$N$5:$N$304&lt;=$B107))&gt;0)*(((CASHBACK_RULES!$O$5:$O$304="")+(CASHBACK_RULES!$O$5:$O$304&gt;=$B107))&gt;0)*(((CASHBACK_RULES!$M$5:$M$304="")+(CASHBACK_RULES!$M$5:$M$304&lt;=$L107))&gt;0),0),0),0))))</f>
        <v>0</v>
      </c>
      <c r="AD107" s="51" t="str">
        <f>IF(OR($B107="",$D107=""),"",IFERROR(IF(INDEX(CARDS!$H$5:$H$34,MATCH($D107,CARDS!$A$5:$A$34,0))="","",IF(DAY($B107)&lt;=INDEX(CARDS!$H$5:$H$34,MATCH($D107,CARDS!$A$5:$A$34,0)),DATE(YEAR($B107),MONTH($B107),MIN(INDEX(CARDS!$H$5:$H$34,MATCH($D107,CARDS!$A$5:$A$34,0)),DAY(EOMONTH($B107,0)))),DATE(YEAR($B107),MONTH($B107)+1,MIN(INDEX(CARDS!$H$5:$H$34,MATCH($D107,CARDS!$A$5:$A$34,0)),DAY(EOMONTH($B107,1)))))),""))</f>
        <v/>
      </c>
      <c r="AE107" s="52" t="str">
        <f>IF($C107="","",$C107&amp;"|"&amp;COUNTIF($C$5:$C107,$C107))</f>
        <v/>
      </c>
      <c r="AF107" s="53">
        <f>IF($AC107&gt;0,SUMIFS(Q$4:Q106,$D$4:$D106,$D107,$Z$4:$Z106,$Z107,$C$4:$C106,$C107),0)</f>
        <v>0</v>
      </c>
      <c r="AG107" s="53">
        <f>IF($AC107&gt;0,SUMIFS(Q$4:Q106,$D$4:$D106,$D107,$C$4:$C106,$C107),0)</f>
        <v>0</v>
      </c>
      <c r="AH107" s="53">
        <f>IF($AC107&gt;0,SUMIFS(M$4:M106,$D$4:$D106,$D107,$Z$4:$Z106,$Z107,$C$4:$C106,$C107),0)</f>
        <v>0</v>
      </c>
      <c r="AI107" s="43">
        <f>IF(OR($C107="",$I107=""),0,IF(COUNTIFS($C$5:$C107,$C107,$I$5:$I107,$I107)=1,1,0))</f>
        <v>0</v>
      </c>
      <c r="AJ107" s="43" t="str">
        <f>IF($AI107=1,SUMIFS($AI$4:$AI106,$C$4:$C106,$C107)+1,"")</f>
        <v/>
      </c>
      <c r="AK107" s="43">
        <f>IF(OR($C107="",$K107=""),0,IF(COUNTIFS($C$5:$C107,$C107,$K$5:$K107,$K107)=1,1,0))</f>
        <v>0</v>
      </c>
      <c r="AL107" s="43" t="str">
        <f>IF($AK107=1,SUMIFS($AK$4:$AK106,$C$4:$C106,$C107)+1,"")</f>
        <v/>
      </c>
      <c r="AM107" s="43">
        <f>IF(OR($C107="",$G107=""),0,IF(COUNTIFS($C$5:$C107,$C107,$G$5:$G107,$G107)=1,1,0))</f>
        <v>0</v>
      </c>
      <c r="AN107" s="43" t="str">
        <f>IF($AM107=1,SUMIFS($AM$4:$AM106,$C$4:$C106,$C107)+1,"")</f>
        <v/>
      </c>
    </row>
    <row r="108">
      <c r="A108" s="44" t="str">
        <f>IF(OR($B108="",$D108=""),"","TX"&amp;TEXT(ROW()-4,"0000"))</f>
        <v/>
      </c>
      <c r="B108" s="42" t="n"/>
      <c r="C108" s="47" t="str">
        <f>IF($B108="","",YEAR($B108)*100+MONTH($B108))</f>
        <v/>
      </c>
      <c r="D108" s="37" t="n"/>
      <c r="E108" s="45" t="str">
        <f>IF($D108="","",IFERROR(INDEX(CARDS!$B$5:$B$34,MATCH($D108,CARDS!$A$5:$A$34,0)),"⚠ Card ID?"))</f>
        <v/>
      </c>
      <c r="F108" s="45" t="str">
        <f>IF($D108="","",IFERROR(INDEX(CARDS!$C$5:$C$34,MATCH($D108,CARDS!$A$5:$A$34,0)),"⚠ Card ID?"))</f>
        <v/>
      </c>
      <c r="G108" s="37" t="n"/>
      <c r="H108" s="37" t="n"/>
      <c r="I108" s="41" t="n"/>
      <c r="J108" s="45" t="str">
        <f>IF($I108="","",IFERROR(INDEX(MCC_MASTER!$B$5:$B$504,MATCH($I108,MCC_MASTER!$A$5:$A$504,0)),"⚠ MCC chưa có"))</f>
        <v/>
      </c>
      <c r="K108" s="45" t="str">
        <f>IF($I108="","",IFERROR(IF(INDEX(MCC_MASTER!$C$5:$C$504,MATCH($I108,MCC_MASTER!$A$5:$A$504,0))="","Chưa phân loại",INDEX(MCC_MASTER!$C$5:$C$504,MATCH($I108,MCC_MASTER!$A$5:$A$504,0))),"Chưa phân loại"))</f>
        <v/>
      </c>
      <c r="L108" s="40" t="n"/>
      <c r="M108" s="48" t="str">
        <f>IF(OR($B108="",$D108=""),"",IF($AC108=0,0,IF(ISNUMBER(INDEX(CASHBACK_RULES!$L$5:$L$304,$AC108)),MAX(0,MIN($L108,INDEX(CASHBACK_RULES!$L$5:$L$304,$AC108)-$AH108)),MAX(0,$L108))))</f>
        <v/>
      </c>
      <c r="N108" s="49" t="str">
        <f>IF(OR($B108="",$D108=""),"",IF($AC108&gt;0,INDEX(CASHBACK_RULES!$I$5:$I$304,$AC108),0))</f>
        <v/>
      </c>
      <c r="O108" s="48" t="str">
        <f>IF(OR($B108="",$D108=""),"",ROUND($M108*$N108,0))</f>
        <v/>
      </c>
      <c r="P108" s="48" t="str">
        <f>IF($AC108&gt;0,IF(ISNUMBER(INDEX(CASHBACK_RULES!$J$5:$J$304,$AC108)),INDEX(CASHBACK_RULES!$J$5:$J$304,$AC108),"∞"),"")</f>
        <v/>
      </c>
      <c r="Q108" s="48" t="str">
        <f>IF(OR($B108="",$D108=""),"",IF($AC108=0,0,MAX(0,MIN($O108,IF(ISNUMBER($P108),$P108-$AF108,1E+15),IF(ISNUMBER($AA108),$AA108-$AG108,1E+15)))))</f>
        <v/>
      </c>
      <c r="R108" s="48" t="str">
        <f>IF(OR($B108="",$D108=""),"",IF($AC108=0,"",IF(AND(NOT(ISNUMBER($P108)),NOT(ISNUMBER($AA108))),"∞",MAX(0,MIN(IF(ISNUMBER($P108),$P108-$AF108-$Q108,1E+15),IF(ISNUMBER($AA108),$AA108-$AG108-$Q108,1E+15))))))</f>
        <v/>
      </c>
      <c r="S108" s="47" t="str">
        <f>IF($AD108="","",YEAR($AD108)*100+MONTH($AD108))</f>
        <v/>
      </c>
      <c r="T108" s="50" t="str">
        <f>IF($AD108="","",IFERROR(IF(INDEX(CARDS!$I$5:$I$34,MATCH($D108,CARDS!$A$5:$A$34,0))="","",IF(INDEX(CARDS!$I$5:$I$34,MATCH($D108,CARDS!$A$5:$A$34,0))&gt;INDEX(CARDS!$H$5:$H$34,MATCH($D108,CARDS!$A$5:$A$34,0)),DATE(YEAR($AD108),MONTH($AD108),MIN(INDEX(CARDS!$I$5:$I$34,MATCH($D108,CARDS!$A$5:$A$34,0)),DAY(EOMONTH($AD108,0)))),DATE(YEAR($AD108),MONTH($AD108)+1,MIN(INDEX(CARDS!$I$5:$I$34,MATCH($D108,CARDS!$A$5:$A$34,0)),DAY(EOMONTH($AD108,1)))))),""))</f>
        <v/>
      </c>
      <c r="U108" s="38" t="n"/>
      <c r="V108" s="37" t="n"/>
      <c r="W108" s="38" t="n"/>
      <c r="X108" s="38" t="n"/>
      <c r="Y108" s="44" t="str">
        <f>IF($AC108&gt;0,INDEX(CASHBACK_RULES!$A$5:$A$304,$AC108),"")</f>
        <v/>
      </c>
      <c r="Z108" s="45" t="str">
        <f>IF($AC108&gt;0,INDEX(CASHBACK_RULES!$E$5:$E$304,$AC108)&amp;"","")</f>
        <v/>
      </c>
      <c r="AA108" s="48" t="str">
        <f>IF($AC108&gt;0,IF(ISNUMBER(INDEX(CASHBACK_RULES!$K$5:$K$304,$AC108)),INDEX(CASHBACK_RULES!$K$5:$K$304,$AC108),"∞"),"")</f>
        <v/>
      </c>
      <c r="AB108" s="44" t="str">
        <f>IF(OR($B108="",$D108=""),"",IF($U108="Cancelled","Đã hủy",IF($AC108=0,"Không được hoàn",IF($Q108=0,IF(OR($O108&gt;0,$M108&lt;$L108),"Đã đạt cap","Không được hoàn"),IF(OR($Q108&lt;$O108,$M108&lt;$L108),"Hoàn một phần","Được hoàn")))))</f>
        <v/>
      </c>
      <c r="AC108" s="43">
        <f>IF(OR($B108="",$D108="",$I108="",$L108=""),0,IF($U108="Cancelled",0,IF($W108&lt;&gt;"",IFERROR(IF(INDEX(CASHBACK_RULES!$B$5:$B$304,MATCH($W108,CASHBACK_RULES!$A$5:$A$304,0))=$D108,MATCH($W108,CASHBACK_RULES!$A$5:$A$304,0),0),0),IFERROR(MATCH(1,INDEX((CASHBACK_RULES!$B$5:$B$304=$D108)*(CASHBACK_RULES!$G$5:$G$304=$I108)*(((CASHBACK_RULES!$N$5:$N$304="")+(CASHBACK_RULES!$N$5:$N$304&lt;=$B108))&gt;0)*(((CASHBACK_RULES!$O$5:$O$304="")+(CASHBACK_RULES!$O$5:$O$304&gt;=$B108))&gt;0)*(((CASHBACK_RULES!$M$5:$M$304="")+(CASHBACK_RULES!$M$5:$M$304&lt;=$L108))&gt;0),0),0),0))))</f>
        <v>0</v>
      </c>
      <c r="AD108" s="51" t="str">
        <f>IF(OR($B108="",$D108=""),"",IFERROR(IF(INDEX(CARDS!$H$5:$H$34,MATCH($D108,CARDS!$A$5:$A$34,0))="","",IF(DAY($B108)&lt;=INDEX(CARDS!$H$5:$H$34,MATCH($D108,CARDS!$A$5:$A$34,0)),DATE(YEAR($B108),MONTH($B108),MIN(INDEX(CARDS!$H$5:$H$34,MATCH($D108,CARDS!$A$5:$A$34,0)),DAY(EOMONTH($B108,0)))),DATE(YEAR($B108),MONTH($B108)+1,MIN(INDEX(CARDS!$H$5:$H$34,MATCH($D108,CARDS!$A$5:$A$34,0)),DAY(EOMONTH($B108,1)))))),""))</f>
        <v/>
      </c>
      <c r="AE108" s="52" t="str">
        <f>IF($C108="","",$C108&amp;"|"&amp;COUNTIF($C$5:$C108,$C108))</f>
        <v/>
      </c>
      <c r="AF108" s="53">
        <f>IF($AC108&gt;0,SUMIFS(Q$4:Q107,$D$4:$D107,$D108,$Z$4:$Z107,$Z108,$C$4:$C107,$C108),0)</f>
        <v>0</v>
      </c>
      <c r="AG108" s="53">
        <f>IF($AC108&gt;0,SUMIFS(Q$4:Q107,$D$4:$D107,$D108,$C$4:$C107,$C108),0)</f>
        <v>0</v>
      </c>
      <c r="AH108" s="53">
        <f>IF($AC108&gt;0,SUMIFS(M$4:M107,$D$4:$D107,$D108,$Z$4:$Z107,$Z108,$C$4:$C107,$C108),0)</f>
        <v>0</v>
      </c>
      <c r="AI108" s="43">
        <f>IF(OR($C108="",$I108=""),0,IF(COUNTIFS($C$5:$C108,$C108,$I$5:$I108,$I108)=1,1,0))</f>
        <v>0</v>
      </c>
      <c r="AJ108" s="43" t="str">
        <f>IF($AI108=1,SUMIFS($AI$4:$AI107,$C$4:$C107,$C108)+1,"")</f>
        <v/>
      </c>
      <c r="AK108" s="43">
        <f>IF(OR($C108="",$K108=""),0,IF(COUNTIFS($C$5:$C108,$C108,$K$5:$K108,$K108)=1,1,0))</f>
        <v>0</v>
      </c>
      <c r="AL108" s="43" t="str">
        <f>IF($AK108=1,SUMIFS($AK$4:$AK107,$C$4:$C107,$C108)+1,"")</f>
        <v/>
      </c>
      <c r="AM108" s="43">
        <f>IF(OR($C108="",$G108=""),0,IF(COUNTIFS($C$5:$C108,$C108,$G$5:$G108,$G108)=1,1,0))</f>
        <v>0</v>
      </c>
      <c r="AN108" s="43" t="str">
        <f>IF($AM108=1,SUMIFS($AM$4:$AM107,$C$4:$C107,$C108)+1,"")</f>
        <v/>
      </c>
    </row>
    <row r="109">
      <c r="A109" s="44" t="str">
        <f>IF(OR($B109="",$D109=""),"","TX"&amp;TEXT(ROW()-4,"0000"))</f>
        <v/>
      </c>
      <c r="B109" s="42" t="n"/>
      <c r="C109" s="47" t="str">
        <f>IF($B109="","",YEAR($B109)*100+MONTH($B109))</f>
        <v/>
      </c>
      <c r="D109" s="37" t="n"/>
      <c r="E109" s="45" t="str">
        <f>IF($D109="","",IFERROR(INDEX(CARDS!$B$5:$B$34,MATCH($D109,CARDS!$A$5:$A$34,0)),"⚠ Card ID?"))</f>
        <v/>
      </c>
      <c r="F109" s="45" t="str">
        <f>IF($D109="","",IFERROR(INDEX(CARDS!$C$5:$C$34,MATCH($D109,CARDS!$A$5:$A$34,0)),"⚠ Card ID?"))</f>
        <v/>
      </c>
      <c r="G109" s="37" t="n"/>
      <c r="H109" s="37" t="n"/>
      <c r="I109" s="41" t="n"/>
      <c r="J109" s="45" t="str">
        <f>IF($I109="","",IFERROR(INDEX(MCC_MASTER!$B$5:$B$504,MATCH($I109,MCC_MASTER!$A$5:$A$504,0)),"⚠ MCC chưa có"))</f>
        <v/>
      </c>
      <c r="K109" s="45" t="str">
        <f>IF($I109="","",IFERROR(IF(INDEX(MCC_MASTER!$C$5:$C$504,MATCH($I109,MCC_MASTER!$A$5:$A$504,0))="","Chưa phân loại",INDEX(MCC_MASTER!$C$5:$C$504,MATCH($I109,MCC_MASTER!$A$5:$A$504,0))),"Chưa phân loại"))</f>
        <v/>
      </c>
      <c r="L109" s="40" t="n"/>
      <c r="M109" s="48" t="str">
        <f>IF(OR($B109="",$D109=""),"",IF($AC109=0,0,IF(ISNUMBER(INDEX(CASHBACK_RULES!$L$5:$L$304,$AC109)),MAX(0,MIN($L109,INDEX(CASHBACK_RULES!$L$5:$L$304,$AC109)-$AH109)),MAX(0,$L109))))</f>
        <v/>
      </c>
      <c r="N109" s="49" t="str">
        <f>IF(OR($B109="",$D109=""),"",IF($AC109&gt;0,INDEX(CASHBACK_RULES!$I$5:$I$304,$AC109),0))</f>
        <v/>
      </c>
      <c r="O109" s="48" t="str">
        <f>IF(OR($B109="",$D109=""),"",ROUND($M109*$N109,0))</f>
        <v/>
      </c>
      <c r="P109" s="48" t="str">
        <f>IF($AC109&gt;0,IF(ISNUMBER(INDEX(CASHBACK_RULES!$J$5:$J$304,$AC109)),INDEX(CASHBACK_RULES!$J$5:$J$304,$AC109),"∞"),"")</f>
        <v/>
      </c>
      <c r="Q109" s="48" t="str">
        <f>IF(OR($B109="",$D109=""),"",IF($AC109=0,0,MAX(0,MIN($O109,IF(ISNUMBER($P109),$P109-$AF109,1E+15),IF(ISNUMBER($AA109),$AA109-$AG109,1E+15)))))</f>
        <v/>
      </c>
      <c r="R109" s="48" t="str">
        <f>IF(OR($B109="",$D109=""),"",IF($AC109=0,"",IF(AND(NOT(ISNUMBER($P109)),NOT(ISNUMBER($AA109))),"∞",MAX(0,MIN(IF(ISNUMBER($P109),$P109-$AF109-$Q109,1E+15),IF(ISNUMBER($AA109),$AA109-$AG109-$Q109,1E+15))))))</f>
        <v/>
      </c>
      <c r="S109" s="47" t="str">
        <f>IF($AD109="","",YEAR($AD109)*100+MONTH($AD109))</f>
        <v/>
      </c>
      <c r="T109" s="50" t="str">
        <f>IF($AD109="","",IFERROR(IF(INDEX(CARDS!$I$5:$I$34,MATCH($D109,CARDS!$A$5:$A$34,0))="","",IF(INDEX(CARDS!$I$5:$I$34,MATCH($D109,CARDS!$A$5:$A$34,0))&gt;INDEX(CARDS!$H$5:$H$34,MATCH($D109,CARDS!$A$5:$A$34,0)),DATE(YEAR($AD109),MONTH($AD109),MIN(INDEX(CARDS!$I$5:$I$34,MATCH($D109,CARDS!$A$5:$A$34,0)),DAY(EOMONTH($AD109,0)))),DATE(YEAR($AD109),MONTH($AD109)+1,MIN(INDEX(CARDS!$I$5:$I$34,MATCH($D109,CARDS!$A$5:$A$34,0)),DAY(EOMONTH($AD109,1)))))),""))</f>
        <v/>
      </c>
      <c r="U109" s="38" t="n"/>
      <c r="V109" s="37" t="n"/>
      <c r="W109" s="38" t="n"/>
      <c r="X109" s="38" t="n"/>
      <c r="Y109" s="44" t="str">
        <f>IF($AC109&gt;0,INDEX(CASHBACK_RULES!$A$5:$A$304,$AC109),"")</f>
        <v/>
      </c>
      <c r="Z109" s="45" t="str">
        <f>IF($AC109&gt;0,INDEX(CASHBACK_RULES!$E$5:$E$304,$AC109)&amp;"","")</f>
        <v/>
      </c>
      <c r="AA109" s="48" t="str">
        <f>IF($AC109&gt;0,IF(ISNUMBER(INDEX(CASHBACK_RULES!$K$5:$K$304,$AC109)),INDEX(CASHBACK_RULES!$K$5:$K$304,$AC109),"∞"),"")</f>
        <v/>
      </c>
      <c r="AB109" s="44" t="str">
        <f>IF(OR($B109="",$D109=""),"",IF($U109="Cancelled","Đã hủy",IF($AC109=0,"Không được hoàn",IF($Q109=0,IF(OR($O109&gt;0,$M109&lt;$L109),"Đã đạt cap","Không được hoàn"),IF(OR($Q109&lt;$O109,$M109&lt;$L109),"Hoàn một phần","Được hoàn")))))</f>
        <v/>
      </c>
      <c r="AC109" s="43">
        <f>IF(OR($B109="",$D109="",$I109="",$L109=""),0,IF($U109="Cancelled",0,IF($W109&lt;&gt;"",IFERROR(IF(INDEX(CASHBACK_RULES!$B$5:$B$304,MATCH($W109,CASHBACK_RULES!$A$5:$A$304,0))=$D109,MATCH($W109,CASHBACK_RULES!$A$5:$A$304,0),0),0),IFERROR(MATCH(1,INDEX((CASHBACK_RULES!$B$5:$B$304=$D109)*(CASHBACK_RULES!$G$5:$G$304=$I109)*(((CASHBACK_RULES!$N$5:$N$304="")+(CASHBACK_RULES!$N$5:$N$304&lt;=$B109))&gt;0)*(((CASHBACK_RULES!$O$5:$O$304="")+(CASHBACK_RULES!$O$5:$O$304&gt;=$B109))&gt;0)*(((CASHBACK_RULES!$M$5:$M$304="")+(CASHBACK_RULES!$M$5:$M$304&lt;=$L109))&gt;0),0),0),0))))</f>
        <v>0</v>
      </c>
      <c r="AD109" s="51" t="str">
        <f>IF(OR($B109="",$D109=""),"",IFERROR(IF(INDEX(CARDS!$H$5:$H$34,MATCH($D109,CARDS!$A$5:$A$34,0))="","",IF(DAY($B109)&lt;=INDEX(CARDS!$H$5:$H$34,MATCH($D109,CARDS!$A$5:$A$34,0)),DATE(YEAR($B109),MONTH($B109),MIN(INDEX(CARDS!$H$5:$H$34,MATCH($D109,CARDS!$A$5:$A$34,0)),DAY(EOMONTH($B109,0)))),DATE(YEAR($B109),MONTH($B109)+1,MIN(INDEX(CARDS!$H$5:$H$34,MATCH($D109,CARDS!$A$5:$A$34,0)),DAY(EOMONTH($B109,1)))))),""))</f>
        <v/>
      </c>
      <c r="AE109" s="52" t="str">
        <f>IF($C109="","",$C109&amp;"|"&amp;COUNTIF($C$5:$C109,$C109))</f>
        <v/>
      </c>
      <c r="AF109" s="53">
        <f>IF($AC109&gt;0,SUMIFS(Q$4:Q108,$D$4:$D108,$D109,$Z$4:$Z108,$Z109,$C$4:$C108,$C109),0)</f>
        <v>0</v>
      </c>
      <c r="AG109" s="53">
        <f>IF($AC109&gt;0,SUMIFS(Q$4:Q108,$D$4:$D108,$D109,$C$4:$C108,$C109),0)</f>
        <v>0</v>
      </c>
      <c r="AH109" s="53">
        <f>IF($AC109&gt;0,SUMIFS(M$4:M108,$D$4:$D108,$D109,$Z$4:$Z108,$Z109,$C$4:$C108,$C109),0)</f>
        <v>0</v>
      </c>
      <c r="AI109" s="43">
        <f>IF(OR($C109="",$I109=""),0,IF(COUNTIFS($C$5:$C109,$C109,$I$5:$I109,$I109)=1,1,0))</f>
        <v>0</v>
      </c>
      <c r="AJ109" s="43" t="str">
        <f>IF($AI109=1,SUMIFS($AI$4:$AI108,$C$4:$C108,$C109)+1,"")</f>
        <v/>
      </c>
      <c r="AK109" s="43">
        <f>IF(OR($C109="",$K109=""),0,IF(COUNTIFS($C$5:$C109,$C109,$K$5:$K109,$K109)=1,1,0))</f>
        <v>0</v>
      </c>
      <c r="AL109" s="43" t="str">
        <f>IF($AK109=1,SUMIFS($AK$4:$AK108,$C$4:$C108,$C109)+1,"")</f>
        <v/>
      </c>
      <c r="AM109" s="43">
        <f>IF(OR($C109="",$G109=""),0,IF(COUNTIFS($C$5:$C109,$C109,$G$5:$G109,$G109)=1,1,0))</f>
        <v>0</v>
      </c>
      <c r="AN109" s="43" t="str">
        <f>IF($AM109=1,SUMIFS($AM$4:$AM108,$C$4:$C108,$C109)+1,"")</f>
        <v/>
      </c>
    </row>
    <row r="110">
      <c r="A110" s="44" t="str">
        <f>IF(OR($B110="",$D110=""),"","TX"&amp;TEXT(ROW()-4,"0000"))</f>
        <v/>
      </c>
      <c r="B110" s="42" t="n"/>
      <c r="C110" s="47" t="str">
        <f>IF($B110="","",YEAR($B110)*100+MONTH($B110))</f>
        <v/>
      </c>
      <c r="D110" s="37" t="n"/>
      <c r="E110" s="45" t="str">
        <f>IF($D110="","",IFERROR(INDEX(CARDS!$B$5:$B$34,MATCH($D110,CARDS!$A$5:$A$34,0)),"⚠ Card ID?"))</f>
        <v/>
      </c>
      <c r="F110" s="45" t="str">
        <f>IF($D110="","",IFERROR(INDEX(CARDS!$C$5:$C$34,MATCH($D110,CARDS!$A$5:$A$34,0)),"⚠ Card ID?"))</f>
        <v/>
      </c>
      <c r="G110" s="37" t="n"/>
      <c r="H110" s="37" t="n"/>
      <c r="I110" s="41" t="n"/>
      <c r="J110" s="45" t="str">
        <f>IF($I110="","",IFERROR(INDEX(MCC_MASTER!$B$5:$B$504,MATCH($I110,MCC_MASTER!$A$5:$A$504,0)),"⚠ MCC chưa có"))</f>
        <v/>
      </c>
      <c r="K110" s="45" t="str">
        <f>IF($I110="","",IFERROR(IF(INDEX(MCC_MASTER!$C$5:$C$504,MATCH($I110,MCC_MASTER!$A$5:$A$504,0))="","Chưa phân loại",INDEX(MCC_MASTER!$C$5:$C$504,MATCH($I110,MCC_MASTER!$A$5:$A$504,0))),"Chưa phân loại"))</f>
        <v/>
      </c>
      <c r="L110" s="40" t="n"/>
      <c r="M110" s="48" t="str">
        <f>IF(OR($B110="",$D110=""),"",IF($AC110=0,0,IF(ISNUMBER(INDEX(CASHBACK_RULES!$L$5:$L$304,$AC110)),MAX(0,MIN($L110,INDEX(CASHBACK_RULES!$L$5:$L$304,$AC110)-$AH110)),MAX(0,$L110))))</f>
        <v/>
      </c>
      <c r="N110" s="49" t="str">
        <f>IF(OR($B110="",$D110=""),"",IF($AC110&gt;0,INDEX(CASHBACK_RULES!$I$5:$I$304,$AC110),0))</f>
        <v/>
      </c>
      <c r="O110" s="48" t="str">
        <f>IF(OR($B110="",$D110=""),"",ROUND($M110*$N110,0))</f>
        <v/>
      </c>
      <c r="P110" s="48" t="str">
        <f>IF($AC110&gt;0,IF(ISNUMBER(INDEX(CASHBACK_RULES!$J$5:$J$304,$AC110)),INDEX(CASHBACK_RULES!$J$5:$J$304,$AC110),"∞"),"")</f>
        <v/>
      </c>
      <c r="Q110" s="48" t="str">
        <f>IF(OR($B110="",$D110=""),"",IF($AC110=0,0,MAX(0,MIN($O110,IF(ISNUMBER($P110),$P110-$AF110,1E+15),IF(ISNUMBER($AA110),$AA110-$AG110,1E+15)))))</f>
        <v/>
      </c>
      <c r="R110" s="48" t="str">
        <f>IF(OR($B110="",$D110=""),"",IF($AC110=0,"",IF(AND(NOT(ISNUMBER($P110)),NOT(ISNUMBER($AA110))),"∞",MAX(0,MIN(IF(ISNUMBER($P110),$P110-$AF110-$Q110,1E+15),IF(ISNUMBER($AA110),$AA110-$AG110-$Q110,1E+15))))))</f>
        <v/>
      </c>
      <c r="S110" s="47" t="str">
        <f>IF($AD110="","",YEAR($AD110)*100+MONTH($AD110))</f>
        <v/>
      </c>
      <c r="T110" s="50" t="str">
        <f>IF($AD110="","",IFERROR(IF(INDEX(CARDS!$I$5:$I$34,MATCH($D110,CARDS!$A$5:$A$34,0))="","",IF(INDEX(CARDS!$I$5:$I$34,MATCH($D110,CARDS!$A$5:$A$34,0))&gt;INDEX(CARDS!$H$5:$H$34,MATCH($D110,CARDS!$A$5:$A$34,0)),DATE(YEAR($AD110),MONTH($AD110),MIN(INDEX(CARDS!$I$5:$I$34,MATCH($D110,CARDS!$A$5:$A$34,0)),DAY(EOMONTH($AD110,0)))),DATE(YEAR($AD110),MONTH($AD110)+1,MIN(INDEX(CARDS!$I$5:$I$34,MATCH($D110,CARDS!$A$5:$A$34,0)),DAY(EOMONTH($AD110,1)))))),""))</f>
        <v/>
      </c>
      <c r="U110" s="38" t="n"/>
      <c r="V110" s="37" t="n"/>
      <c r="W110" s="38" t="n"/>
      <c r="X110" s="38" t="n"/>
      <c r="Y110" s="44" t="str">
        <f>IF($AC110&gt;0,INDEX(CASHBACK_RULES!$A$5:$A$304,$AC110),"")</f>
        <v/>
      </c>
      <c r="Z110" s="45" t="str">
        <f>IF($AC110&gt;0,INDEX(CASHBACK_RULES!$E$5:$E$304,$AC110)&amp;"","")</f>
        <v/>
      </c>
      <c r="AA110" s="48" t="str">
        <f>IF($AC110&gt;0,IF(ISNUMBER(INDEX(CASHBACK_RULES!$K$5:$K$304,$AC110)),INDEX(CASHBACK_RULES!$K$5:$K$304,$AC110),"∞"),"")</f>
        <v/>
      </c>
      <c r="AB110" s="44" t="str">
        <f>IF(OR($B110="",$D110=""),"",IF($U110="Cancelled","Đã hủy",IF($AC110=0,"Không được hoàn",IF($Q110=0,IF(OR($O110&gt;0,$M110&lt;$L110),"Đã đạt cap","Không được hoàn"),IF(OR($Q110&lt;$O110,$M110&lt;$L110),"Hoàn một phần","Được hoàn")))))</f>
        <v/>
      </c>
      <c r="AC110" s="43">
        <f>IF(OR($B110="",$D110="",$I110="",$L110=""),0,IF($U110="Cancelled",0,IF($W110&lt;&gt;"",IFERROR(IF(INDEX(CASHBACK_RULES!$B$5:$B$304,MATCH($W110,CASHBACK_RULES!$A$5:$A$304,0))=$D110,MATCH($W110,CASHBACK_RULES!$A$5:$A$304,0),0),0),IFERROR(MATCH(1,INDEX((CASHBACK_RULES!$B$5:$B$304=$D110)*(CASHBACK_RULES!$G$5:$G$304=$I110)*(((CASHBACK_RULES!$N$5:$N$304="")+(CASHBACK_RULES!$N$5:$N$304&lt;=$B110))&gt;0)*(((CASHBACK_RULES!$O$5:$O$304="")+(CASHBACK_RULES!$O$5:$O$304&gt;=$B110))&gt;0)*(((CASHBACK_RULES!$M$5:$M$304="")+(CASHBACK_RULES!$M$5:$M$304&lt;=$L110))&gt;0),0),0),0))))</f>
        <v>0</v>
      </c>
      <c r="AD110" s="51" t="str">
        <f>IF(OR($B110="",$D110=""),"",IFERROR(IF(INDEX(CARDS!$H$5:$H$34,MATCH($D110,CARDS!$A$5:$A$34,0))="","",IF(DAY($B110)&lt;=INDEX(CARDS!$H$5:$H$34,MATCH($D110,CARDS!$A$5:$A$34,0)),DATE(YEAR($B110),MONTH($B110),MIN(INDEX(CARDS!$H$5:$H$34,MATCH($D110,CARDS!$A$5:$A$34,0)),DAY(EOMONTH($B110,0)))),DATE(YEAR($B110),MONTH($B110)+1,MIN(INDEX(CARDS!$H$5:$H$34,MATCH($D110,CARDS!$A$5:$A$34,0)),DAY(EOMONTH($B110,1)))))),""))</f>
        <v/>
      </c>
      <c r="AE110" s="52" t="str">
        <f>IF($C110="","",$C110&amp;"|"&amp;COUNTIF($C$5:$C110,$C110))</f>
        <v/>
      </c>
      <c r="AF110" s="53">
        <f>IF($AC110&gt;0,SUMIFS(Q$4:Q109,$D$4:$D109,$D110,$Z$4:$Z109,$Z110,$C$4:$C109,$C110),0)</f>
        <v>0</v>
      </c>
      <c r="AG110" s="53">
        <f>IF($AC110&gt;0,SUMIFS(Q$4:Q109,$D$4:$D109,$D110,$C$4:$C109,$C110),0)</f>
        <v>0</v>
      </c>
      <c r="AH110" s="53">
        <f>IF($AC110&gt;0,SUMIFS(M$4:M109,$D$4:$D109,$D110,$Z$4:$Z109,$Z110,$C$4:$C109,$C110),0)</f>
        <v>0</v>
      </c>
      <c r="AI110" s="43">
        <f>IF(OR($C110="",$I110=""),0,IF(COUNTIFS($C$5:$C110,$C110,$I$5:$I110,$I110)=1,1,0))</f>
        <v>0</v>
      </c>
      <c r="AJ110" s="43" t="str">
        <f>IF($AI110=1,SUMIFS($AI$4:$AI109,$C$4:$C109,$C110)+1,"")</f>
        <v/>
      </c>
      <c r="AK110" s="43">
        <f>IF(OR($C110="",$K110=""),0,IF(COUNTIFS($C$5:$C110,$C110,$K$5:$K110,$K110)=1,1,0))</f>
        <v>0</v>
      </c>
      <c r="AL110" s="43" t="str">
        <f>IF($AK110=1,SUMIFS($AK$4:$AK109,$C$4:$C109,$C110)+1,"")</f>
        <v/>
      </c>
      <c r="AM110" s="43">
        <f>IF(OR($C110="",$G110=""),0,IF(COUNTIFS($C$5:$C110,$C110,$G$5:$G110,$G110)=1,1,0))</f>
        <v>0</v>
      </c>
      <c r="AN110" s="43" t="str">
        <f>IF($AM110=1,SUMIFS($AM$4:$AM109,$C$4:$C109,$C110)+1,"")</f>
        <v/>
      </c>
    </row>
    <row r="111">
      <c r="A111" s="44" t="str">
        <f>IF(OR($B111="",$D111=""),"","TX"&amp;TEXT(ROW()-4,"0000"))</f>
        <v/>
      </c>
      <c r="B111" s="42" t="n"/>
      <c r="C111" s="47" t="str">
        <f>IF($B111="","",YEAR($B111)*100+MONTH($B111))</f>
        <v/>
      </c>
      <c r="D111" s="37" t="n"/>
      <c r="E111" s="45" t="str">
        <f>IF($D111="","",IFERROR(INDEX(CARDS!$B$5:$B$34,MATCH($D111,CARDS!$A$5:$A$34,0)),"⚠ Card ID?"))</f>
        <v/>
      </c>
      <c r="F111" s="45" t="str">
        <f>IF($D111="","",IFERROR(INDEX(CARDS!$C$5:$C$34,MATCH($D111,CARDS!$A$5:$A$34,0)),"⚠ Card ID?"))</f>
        <v/>
      </c>
      <c r="G111" s="37" t="n"/>
      <c r="H111" s="37" t="n"/>
      <c r="I111" s="41" t="n"/>
      <c r="J111" s="45" t="str">
        <f>IF($I111="","",IFERROR(INDEX(MCC_MASTER!$B$5:$B$504,MATCH($I111,MCC_MASTER!$A$5:$A$504,0)),"⚠ MCC chưa có"))</f>
        <v/>
      </c>
      <c r="K111" s="45" t="str">
        <f>IF($I111="","",IFERROR(IF(INDEX(MCC_MASTER!$C$5:$C$504,MATCH($I111,MCC_MASTER!$A$5:$A$504,0))="","Chưa phân loại",INDEX(MCC_MASTER!$C$5:$C$504,MATCH($I111,MCC_MASTER!$A$5:$A$504,0))),"Chưa phân loại"))</f>
        <v/>
      </c>
      <c r="L111" s="40" t="n"/>
      <c r="M111" s="48" t="str">
        <f>IF(OR($B111="",$D111=""),"",IF($AC111=0,0,IF(ISNUMBER(INDEX(CASHBACK_RULES!$L$5:$L$304,$AC111)),MAX(0,MIN($L111,INDEX(CASHBACK_RULES!$L$5:$L$304,$AC111)-$AH111)),MAX(0,$L111))))</f>
        <v/>
      </c>
      <c r="N111" s="49" t="str">
        <f>IF(OR($B111="",$D111=""),"",IF($AC111&gt;0,INDEX(CASHBACK_RULES!$I$5:$I$304,$AC111),0))</f>
        <v/>
      </c>
      <c r="O111" s="48" t="str">
        <f>IF(OR($B111="",$D111=""),"",ROUND($M111*$N111,0))</f>
        <v/>
      </c>
      <c r="P111" s="48" t="str">
        <f>IF($AC111&gt;0,IF(ISNUMBER(INDEX(CASHBACK_RULES!$J$5:$J$304,$AC111)),INDEX(CASHBACK_RULES!$J$5:$J$304,$AC111),"∞"),"")</f>
        <v/>
      </c>
      <c r="Q111" s="48" t="str">
        <f>IF(OR($B111="",$D111=""),"",IF($AC111=0,0,MAX(0,MIN($O111,IF(ISNUMBER($P111),$P111-$AF111,1E+15),IF(ISNUMBER($AA111),$AA111-$AG111,1E+15)))))</f>
        <v/>
      </c>
      <c r="R111" s="48" t="str">
        <f>IF(OR($B111="",$D111=""),"",IF($AC111=0,"",IF(AND(NOT(ISNUMBER($P111)),NOT(ISNUMBER($AA111))),"∞",MAX(0,MIN(IF(ISNUMBER($P111),$P111-$AF111-$Q111,1E+15),IF(ISNUMBER($AA111),$AA111-$AG111-$Q111,1E+15))))))</f>
        <v/>
      </c>
      <c r="S111" s="47" t="str">
        <f>IF($AD111="","",YEAR($AD111)*100+MONTH($AD111))</f>
        <v/>
      </c>
      <c r="T111" s="50" t="str">
        <f>IF($AD111="","",IFERROR(IF(INDEX(CARDS!$I$5:$I$34,MATCH($D111,CARDS!$A$5:$A$34,0))="","",IF(INDEX(CARDS!$I$5:$I$34,MATCH($D111,CARDS!$A$5:$A$34,0))&gt;INDEX(CARDS!$H$5:$H$34,MATCH($D111,CARDS!$A$5:$A$34,0)),DATE(YEAR($AD111),MONTH($AD111),MIN(INDEX(CARDS!$I$5:$I$34,MATCH($D111,CARDS!$A$5:$A$34,0)),DAY(EOMONTH($AD111,0)))),DATE(YEAR($AD111),MONTH($AD111)+1,MIN(INDEX(CARDS!$I$5:$I$34,MATCH($D111,CARDS!$A$5:$A$34,0)),DAY(EOMONTH($AD111,1)))))),""))</f>
        <v/>
      </c>
      <c r="U111" s="38" t="n"/>
      <c r="V111" s="37" t="n"/>
      <c r="W111" s="38" t="n"/>
      <c r="X111" s="38" t="n"/>
      <c r="Y111" s="44" t="str">
        <f>IF($AC111&gt;0,INDEX(CASHBACK_RULES!$A$5:$A$304,$AC111),"")</f>
        <v/>
      </c>
      <c r="Z111" s="45" t="str">
        <f>IF($AC111&gt;0,INDEX(CASHBACK_RULES!$E$5:$E$304,$AC111)&amp;"","")</f>
        <v/>
      </c>
      <c r="AA111" s="48" t="str">
        <f>IF($AC111&gt;0,IF(ISNUMBER(INDEX(CASHBACK_RULES!$K$5:$K$304,$AC111)),INDEX(CASHBACK_RULES!$K$5:$K$304,$AC111),"∞"),"")</f>
        <v/>
      </c>
      <c r="AB111" s="44" t="str">
        <f>IF(OR($B111="",$D111=""),"",IF($U111="Cancelled","Đã hủy",IF($AC111=0,"Không được hoàn",IF($Q111=0,IF(OR($O111&gt;0,$M111&lt;$L111),"Đã đạt cap","Không được hoàn"),IF(OR($Q111&lt;$O111,$M111&lt;$L111),"Hoàn một phần","Được hoàn")))))</f>
        <v/>
      </c>
      <c r="AC111" s="43">
        <f>IF(OR($B111="",$D111="",$I111="",$L111=""),0,IF($U111="Cancelled",0,IF($W111&lt;&gt;"",IFERROR(IF(INDEX(CASHBACK_RULES!$B$5:$B$304,MATCH($W111,CASHBACK_RULES!$A$5:$A$304,0))=$D111,MATCH($W111,CASHBACK_RULES!$A$5:$A$304,0),0),0),IFERROR(MATCH(1,INDEX((CASHBACK_RULES!$B$5:$B$304=$D111)*(CASHBACK_RULES!$G$5:$G$304=$I111)*(((CASHBACK_RULES!$N$5:$N$304="")+(CASHBACK_RULES!$N$5:$N$304&lt;=$B111))&gt;0)*(((CASHBACK_RULES!$O$5:$O$304="")+(CASHBACK_RULES!$O$5:$O$304&gt;=$B111))&gt;0)*(((CASHBACK_RULES!$M$5:$M$304="")+(CASHBACK_RULES!$M$5:$M$304&lt;=$L111))&gt;0),0),0),0))))</f>
        <v>0</v>
      </c>
      <c r="AD111" s="51" t="str">
        <f>IF(OR($B111="",$D111=""),"",IFERROR(IF(INDEX(CARDS!$H$5:$H$34,MATCH($D111,CARDS!$A$5:$A$34,0))="","",IF(DAY($B111)&lt;=INDEX(CARDS!$H$5:$H$34,MATCH($D111,CARDS!$A$5:$A$34,0)),DATE(YEAR($B111),MONTH($B111),MIN(INDEX(CARDS!$H$5:$H$34,MATCH($D111,CARDS!$A$5:$A$34,0)),DAY(EOMONTH($B111,0)))),DATE(YEAR($B111),MONTH($B111)+1,MIN(INDEX(CARDS!$H$5:$H$34,MATCH($D111,CARDS!$A$5:$A$34,0)),DAY(EOMONTH($B111,1)))))),""))</f>
        <v/>
      </c>
      <c r="AE111" s="52" t="str">
        <f>IF($C111="","",$C111&amp;"|"&amp;COUNTIF($C$5:$C111,$C111))</f>
        <v/>
      </c>
      <c r="AF111" s="53">
        <f>IF($AC111&gt;0,SUMIFS(Q$4:Q110,$D$4:$D110,$D111,$Z$4:$Z110,$Z111,$C$4:$C110,$C111),0)</f>
        <v>0</v>
      </c>
      <c r="AG111" s="53">
        <f>IF($AC111&gt;0,SUMIFS(Q$4:Q110,$D$4:$D110,$D111,$C$4:$C110,$C111),0)</f>
        <v>0</v>
      </c>
      <c r="AH111" s="53">
        <f>IF($AC111&gt;0,SUMIFS(M$4:M110,$D$4:$D110,$D111,$Z$4:$Z110,$Z111,$C$4:$C110,$C111),0)</f>
        <v>0</v>
      </c>
      <c r="AI111" s="43">
        <f>IF(OR($C111="",$I111=""),0,IF(COUNTIFS($C$5:$C111,$C111,$I$5:$I111,$I111)=1,1,0))</f>
        <v>0</v>
      </c>
      <c r="AJ111" s="43" t="str">
        <f>IF($AI111=1,SUMIFS($AI$4:$AI110,$C$4:$C110,$C111)+1,"")</f>
        <v/>
      </c>
      <c r="AK111" s="43">
        <f>IF(OR($C111="",$K111=""),0,IF(COUNTIFS($C$5:$C111,$C111,$K$5:$K111,$K111)=1,1,0))</f>
        <v>0</v>
      </c>
      <c r="AL111" s="43" t="str">
        <f>IF($AK111=1,SUMIFS($AK$4:$AK110,$C$4:$C110,$C111)+1,"")</f>
        <v/>
      </c>
      <c r="AM111" s="43">
        <f>IF(OR($C111="",$G111=""),0,IF(COUNTIFS($C$5:$C111,$C111,$G$5:$G111,$G111)=1,1,0))</f>
        <v>0</v>
      </c>
      <c r="AN111" s="43" t="str">
        <f>IF($AM111=1,SUMIFS($AM$4:$AM110,$C$4:$C110,$C111)+1,"")</f>
        <v/>
      </c>
    </row>
    <row r="112">
      <c r="A112" s="44" t="str">
        <f>IF(OR($B112="",$D112=""),"","TX"&amp;TEXT(ROW()-4,"0000"))</f>
        <v/>
      </c>
      <c r="B112" s="42" t="n"/>
      <c r="C112" s="47" t="str">
        <f>IF($B112="","",YEAR($B112)*100+MONTH($B112))</f>
        <v/>
      </c>
      <c r="D112" s="37" t="n"/>
      <c r="E112" s="45" t="str">
        <f>IF($D112="","",IFERROR(INDEX(CARDS!$B$5:$B$34,MATCH($D112,CARDS!$A$5:$A$34,0)),"⚠ Card ID?"))</f>
        <v/>
      </c>
      <c r="F112" s="45" t="str">
        <f>IF($D112="","",IFERROR(INDEX(CARDS!$C$5:$C$34,MATCH($D112,CARDS!$A$5:$A$34,0)),"⚠ Card ID?"))</f>
        <v/>
      </c>
      <c r="G112" s="37" t="n"/>
      <c r="H112" s="37" t="n"/>
      <c r="I112" s="41" t="n"/>
      <c r="J112" s="45" t="str">
        <f>IF($I112="","",IFERROR(INDEX(MCC_MASTER!$B$5:$B$504,MATCH($I112,MCC_MASTER!$A$5:$A$504,0)),"⚠ MCC chưa có"))</f>
        <v/>
      </c>
      <c r="K112" s="45" t="str">
        <f>IF($I112="","",IFERROR(IF(INDEX(MCC_MASTER!$C$5:$C$504,MATCH($I112,MCC_MASTER!$A$5:$A$504,0))="","Chưa phân loại",INDEX(MCC_MASTER!$C$5:$C$504,MATCH($I112,MCC_MASTER!$A$5:$A$504,0))),"Chưa phân loại"))</f>
        <v/>
      </c>
      <c r="L112" s="40" t="n"/>
      <c r="M112" s="48" t="str">
        <f>IF(OR($B112="",$D112=""),"",IF($AC112=0,0,IF(ISNUMBER(INDEX(CASHBACK_RULES!$L$5:$L$304,$AC112)),MAX(0,MIN($L112,INDEX(CASHBACK_RULES!$L$5:$L$304,$AC112)-$AH112)),MAX(0,$L112))))</f>
        <v/>
      </c>
      <c r="N112" s="49" t="str">
        <f>IF(OR($B112="",$D112=""),"",IF($AC112&gt;0,INDEX(CASHBACK_RULES!$I$5:$I$304,$AC112),0))</f>
        <v/>
      </c>
      <c r="O112" s="48" t="str">
        <f>IF(OR($B112="",$D112=""),"",ROUND($M112*$N112,0))</f>
        <v/>
      </c>
      <c r="P112" s="48" t="str">
        <f>IF($AC112&gt;0,IF(ISNUMBER(INDEX(CASHBACK_RULES!$J$5:$J$304,$AC112)),INDEX(CASHBACK_RULES!$J$5:$J$304,$AC112),"∞"),"")</f>
        <v/>
      </c>
      <c r="Q112" s="48" t="str">
        <f>IF(OR($B112="",$D112=""),"",IF($AC112=0,0,MAX(0,MIN($O112,IF(ISNUMBER($P112),$P112-$AF112,1E+15),IF(ISNUMBER($AA112),$AA112-$AG112,1E+15)))))</f>
        <v/>
      </c>
      <c r="R112" s="48" t="str">
        <f>IF(OR($B112="",$D112=""),"",IF($AC112=0,"",IF(AND(NOT(ISNUMBER($P112)),NOT(ISNUMBER($AA112))),"∞",MAX(0,MIN(IF(ISNUMBER($P112),$P112-$AF112-$Q112,1E+15),IF(ISNUMBER($AA112),$AA112-$AG112-$Q112,1E+15))))))</f>
        <v/>
      </c>
      <c r="S112" s="47" t="str">
        <f>IF($AD112="","",YEAR($AD112)*100+MONTH($AD112))</f>
        <v/>
      </c>
      <c r="T112" s="50" t="str">
        <f>IF($AD112="","",IFERROR(IF(INDEX(CARDS!$I$5:$I$34,MATCH($D112,CARDS!$A$5:$A$34,0))="","",IF(INDEX(CARDS!$I$5:$I$34,MATCH($D112,CARDS!$A$5:$A$34,0))&gt;INDEX(CARDS!$H$5:$H$34,MATCH($D112,CARDS!$A$5:$A$34,0)),DATE(YEAR($AD112),MONTH($AD112),MIN(INDEX(CARDS!$I$5:$I$34,MATCH($D112,CARDS!$A$5:$A$34,0)),DAY(EOMONTH($AD112,0)))),DATE(YEAR($AD112),MONTH($AD112)+1,MIN(INDEX(CARDS!$I$5:$I$34,MATCH($D112,CARDS!$A$5:$A$34,0)),DAY(EOMONTH($AD112,1)))))),""))</f>
        <v/>
      </c>
      <c r="U112" s="38" t="n"/>
      <c r="V112" s="37" t="n"/>
      <c r="W112" s="38" t="n"/>
      <c r="X112" s="38" t="n"/>
      <c r="Y112" s="44" t="str">
        <f>IF($AC112&gt;0,INDEX(CASHBACK_RULES!$A$5:$A$304,$AC112),"")</f>
        <v/>
      </c>
      <c r="Z112" s="45" t="str">
        <f>IF($AC112&gt;0,INDEX(CASHBACK_RULES!$E$5:$E$304,$AC112)&amp;"","")</f>
        <v/>
      </c>
      <c r="AA112" s="48" t="str">
        <f>IF($AC112&gt;0,IF(ISNUMBER(INDEX(CASHBACK_RULES!$K$5:$K$304,$AC112)),INDEX(CASHBACK_RULES!$K$5:$K$304,$AC112),"∞"),"")</f>
        <v/>
      </c>
      <c r="AB112" s="44" t="str">
        <f>IF(OR($B112="",$D112=""),"",IF($U112="Cancelled","Đã hủy",IF($AC112=0,"Không được hoàn",IF($Q112=0,IF(OR($O112&gt;0,$M112&lt;$L112),"Đã đạt cap","Không được hoàn"),IF(OR($Q112&lt;$O112,$M112&lt;$L112),"Hoàn một phần","Được hoàn")))))</f>
        <v/>
      </c>
      <c r="AC112" s="43">
        <f>IF(OR($B112="",$D112="",$I112="",$L112=""),0,IF($U112="Cancelled",0,IF($W112&lt;&gt;"",IFERROR(IF(INDEX(CASHBACK_RULES!$B$5:$B$304,MATCH($W112,CASHBACK_RULES!$A$5:$A$304,0))=$D112,MATCH($W112,CASHBACK_RULES!$A$5:$A$304,0),0),0),IFERROR(MATCH(1,INDEX((CASHBACK_RULES!$B$5:$B$304=$D112)*(CASHBACK_RULES!$G$5:$G$304=$I112)*(((CASHBACK_RULES!$N$5:$N$304="")+(CASHBACK_RULES!$N$5:$N$304&lt;=$B112))&gt;0)*(((CASHBACK_RULES!$O$5:$O$304="")+(CASHBACK_RULES!$O$5:$O$304&gt;=$B112))&gt;0)*(((CASHBACK_RULES!$M$5:$M$304="")+(CASHBACK_RULES!$M$5:$M$304&lt;=$L112))&gt;0),0),0),0))))</f>
        <v>0</v>
      </c>
      <c r="AD112" s="51" t="str">
        <f>IF(OR($B112="",$D112=""),"",IFERROR(IF(INDEX(CARDS!$H$5:$H$34,MATCH($D112,CARDS!$A$5:$A$34,0))="","",IF(DAY($B112)&lt;=INDEX(CARDS!$H$5:$H$34,MATCH($D112,CARDS!$A$5:$A$34,0)),DATE(YEAR($B112),MONTH($B112),MIN(INDEX(CARDS!$H$5:$H$34,MATCH($D112,CARDS!$A$5:$A$34,0)),DAY(EOMONTH($B112,0)))),DATE(YEAR($B112),MONTH($B112)+1,MIN(INDEX(CARDS!$H$5:$H$34,MATCH($D112,CARDS!$A$5:$A$34,0)),DAY(EOMONTH($B112,1)))))),""))</f>
        <v/>
      </c>
      <c r="AE112" s="52" t="str">
        <f>IF($C112="","",$C112&amp;"|"&amp;COUNTIF($C$5:$C112,$C112))</f>
        <v/>
      </c>
      <c r="AF112" s="53">
        <f>IF($AC112&gt;0,SUMIFS(Q$4:Q111,$D$4:$D111,$D112,$Z$4:$Z111,$Z112,$C$4:$C111,$C112),0)</f>
        <v>0</v>
      </c>
      <c r="AG112" s="53">
        <f>IF($AC112&gt;0,SUMIFS(Q$4:Q111,$D$4:$D111,$D112,$C$4:$C111,$C112),0)</f>
        <v>0</v>
      </c>
      <c r="AH112" s="53">
        <f>IF($AC112&gt;0,SUMIFS(M$4:M111,$D$4:$D111,$D112,$Z$4:$Z111,$Z112,$C$4:$C111,$C112),0)</f>
        <v>0</v>
      </c>
      <c r="AI112" s="43">
        <f>IF(OR($C112="",$I112=""),0,IF(COUNTIFS($C$5:$C112,$C112,$I$5:$I112,$I112)=1,1,0))</f>
        <v>0</v>
      </c>
      <c r="AJ112" s="43" t="str">
        <f>IF($AI112=1,SUMIFS($AI$4:$AI111,$C$4:$C111,$C112)+1,"")</f>
        <v/>
      </c>
      <c r="AK112" s="43">
        <f>IF(OR($C112="",$K112=""),0,IF(COUNTIFS($C$5:$C112,$C112,$K$5:$K112,$K112)=1,1,0))</f>
        <v>0</v>
      </c>
      <c r="AL112" s="43" t="str">
        <f>IF($AK112=1,SUMIFS($AK$4:$AK111,$C$4:$C111,$C112)+1,"")</f>
        <v/>
      </c>
      <c r="AM112" s="43">
        <f>IF(OR($C112="",$G112=""),0,IF(COUNTIFS($C$5:$C112,$C112,$G$5:$G112,$G112)=1,1,0))</f>
        <v>0</v>
      </c>
      <c r="AN112" s="43" t="str">
        <f>IF($AM112=1,SUMIFS($AM$4:$AM111,$C$4:$C111,$C112)+1,"")</f>
        <v/>
      </c>
    </row>
    <row r="113">
      <c r="A113" s="44" t="str">
        <f>IF(OR($B113="",$D113=""),"","TX"&amp;TEXT(ROW()-4,"0000"))</f>
        <v/>
      </c>
      <c r="B113" s="42" t="n"/>
      <c r="C113" s="47" t="str">
        <f>IF($B113="","",YEAR($B113)*100+MONTH($B113))</f>
        <v/>
      </c>
      <c r="D113" s="37" t="n"/>
      <c r="E113" s="45" t="str">
        <f>IF($D113="","",IFERROR(INDEX(CARDS!$B$5:$B$34,MATCH($D113,CARDS!$A$5:$A$34,0)),"⚠ Card ID?"))</f>
        <v/>
      </c>
      <c r="F113" s="45" t="str">
        <f>IF($D113="","",IFERROR(INDEX(CARDS!$C$5:$C$34,MATCH($D113,CARDS!$A$5:$A$34,0)),"⚠ Card ID?"))</f>
        <v/>
      </c>
      <c r="G113" s="37" t="n"/>
      <c r="H113" s="37" t="n"/>
      <c r="I113" s="41" t="n"/>
      <c r="J113" s="45" t="str">
        <f>IF($I113="","",IFERROR(INDEX(MCC_MASTER!$B$5:$B$504,MATCH($I113,MCC_MASTER!$A$5:$A$504,0)),"⚠ MCC chưa có"))</f>
        <v/>
      </c>
      <c r="K113" s="45" t="str">
        <f>IF($I113="","",IFERROR(IF(INDEX(MCC_MASTER!$C$5:$C$504,MATCH($I113,MCC_MASTER!$A$5:$A$504,0))="","Chưa phân loại",INDEX(MCC_MASTER!$C$5:$C$504,MATCH($I113,MCC_MASTER!$A$5:$A$504,0))),"Chưa phân loại"))</f>
        <v/>
      </c>
      <c r="L113" s="40" t="n"/>
      <c r="M113" s="48" t="str">
        <f>IF(OR($B113="",$D113=""),"",IF($AC113=0,0,IF(ISNUMBER(INDEX(CASHBACK_RULES!$L$5:$L$304,$AC113)),MAX(0,MIN($L113,INDEX(CASHBACK_RULES!$L$5:$L$304,$AC113)-$AH113)),MAX(0,$L113))))</f>
        <v/>
      </c>
      <c r="N113" s="49" t="str">
        <f>IF(OR($B113="",$D113=""),"",IF($AC113&gt;0,INDEX(CASHBACK_RULES!$I$5:$I$304,$AC113),0))</f>
        <v/>
      </c>
      <c r="O113" s="48" t="str">
        <f>IF(OR($B113="",$D113=""),"",ROUND($M113*$N113,0))</f>
        <v/>
      </c>
      <c r="P113" s="48" t="str">
        <f>IF($AC113&gt;0,IF(ISNUMBER(INDEX(CASHBACK_RULES!$J$5:$J$304,$AC113)),INDEX(CASHBACK_RULES!$J$5:$J$304,$AC113),"∞"),"")</f>
        <v/>
      </c>
      <c r="Q113" s="48" t="str">
        <f>IF(OR($B113="",$D113=""),"",IF($AC113=0,0,MAX(0,MIN($O113,IF(ISNUMBER($P113),$P113-$AF113,1E+15),IF(ISNUMBER($AA113),$AA113-$AG113,1E+15)))))</f>
        <v/>
      </c>
      <c r="R113" s="48" t="str">
        <f>IF(OR($B113="",$D113=""),"",IF($AC113=0,"",IF(AND(NOT(ISNUMBER($P113)),NOT(ISNUMBER($AA113))),"∞",MAX(0,MIN(IF(ISNUMBER($P113),$P113-$AF113-$Q113,1E+15),IF(ISNUMBER($AA113),$AA113-$AG113-$Q113,1E+15))))))</f>
        <v/>
      </c>
      <c r="S113" s="47" t="str">
        <f>IF($AD113="","",YEAR($AD113)*100+MONTH($AD113))</f>
        <v/>
      </c>
      <c r="T113" s="50" t="str">
        <f>IF($AD113="","",IFERROR(IF(INDEX(CARDS!$I$5:$I$34,MATCH($D113,CARDS!$A$5:$A$34,0))="","",IF(INDEX(CARDS!$I$5:$I$34,MATCH($D113,CARDS!$A$5:$A$34,0))&gt;INDEX(CARDS!$H$5:$H$34,MATCH($D113,CARDS!$A$5:$A$34,0)),DATE(YEAR($AD113),MONTH($AD113),MIN(INDEX(CARDS!$I$5:$I$34,MATCH($D113,CARDS!$A$5:$A$34,0)),DAY(EOMONTH($AD113,0)))),DATE(YEAR($AD113),MONTH($AD113)+1,MIN(INDEX(CARDS!$I$5:$I$34,MATCH($D113,CARDS!$A$5:$A$34,0)),DAY(EOMONTH($AD113,1)))))),""))</f>
        <v/>
      </c>
      <c r="U113" s="38" t="n"/>
      <c r="V113" s="37" t="n"/>
      <c r="W113" s="38" t="n"/>
      <c r="X113" s="38" t="n"/>
      <c r="Y113" s="44" t="str">
        <f>IF($AC113&gt;0,INDEX(CASHBACK_RULES!$A$5:$A$304,$AC113),"")</f>
        <v/>
      </c>
      <c r="Z113" s="45" t="str">
        <f>IF($AC113&gt;0,INDEX(CASHBACK_RULES!$E$5:$E$304,$AC113)&amp;"","")</f>
        <v/>
      </c>
      <c r="AA113" s="48" t="str">
        <f>IF($AC113&gt;0,IF(ISNUMBER(INDEX(CASHBACK_RULES!$K$5:$K$304,$AC113)),INDEX(CASHBACK_RULES!$K$5:$K$304,$AC113),"∞"),"")</f>
        <v/>
      </c>
      <c r="AB113" s="44" t="str">
        <f>IF(OR($B113="",$D113=""),"",IF($U113="Cancelled","Đã hủy",IF($AC113=0,"Không được hoàn",IF($Q113=0,IF(OR($O113&gt;0,$M113&lt;$L113),"Đã đạt cap","Không được hoàn"),IF(OR($Q113&lt;$O113,$M113&lt;$L113),"Hoàn một phần","Được hoàn")))))</f>
        <v/>
      </c>
      <c r="AC113" s="43">
        <f>IF(OR($B113="",$D113="",$I113="",$L113=""),0,IF($U113="Cancelled",0,IF($W113&lt;&gt;"",IFERROR(IF(INDEX(CASHBACK_RULES!$B$5:$B$304,MATCH($W113,CASHBACK_RULES!$A$5:$A$304,0))=$D113,MATCH($W113,CASHBACK_RULES!$A$5:$A$304,0),0),0),IFERROR(MATCH(1,INDEX((CASHBACK_RULES!$B$5:$B$304=$D113)*(CASHBACK_RULES!$G$5:$G$304=$I113)*(((CASHBACK_RULES!$N$5:$N$304="")+(CASHBACK_RULES!$N$5:$N$304&lt;=$B113))&gt;0)*(((CASHBACK_RULES!$O$5:$O$304="")+(CASHBACK_RULES!$O$5:$O$304&gt;=$B113))&gt;0)*(((CASHBACK_RULES!$M$5:$M$304="")+(CASHBACK_RULES!$M$5:$M$304&lt;=$L113))&gt;0),0),0),0))))</f>
        <v>0</v>
      </c>
      <c r="AD113" s="51" t="str">
        <f>IF(OR($B113="",$D113=""),"",IFERROR(IF(INDEX(CARDS!$H$5:$H$34,MATCH($D113,CARDS!$A$5:$A$34,0))="","",IF(DAY($B113)&lt;=INDEX(CARDS!$H$5:$H$34,MATCH($D113,CARDS!$A$5:$A$34,0)),DATE(YEAR($B113),MONTH($B113),MIN(INDEX(CARDS!$H$5:$H$34,MATCH($D113,CARDS!$A$5:$A$34,0)),DAY(EOMONTH($B113,0)))),DATE(YEAR($B113),MONTH($B113)+1,MIN(INDEX(CARDS!$H$5:$H$34,MATCH($D113,CARDS!$A$5:$A$34,0)),DAY(EOMONTH($B113,1)))))),""))</f>
        <v/>
      </c>
      <c r="AE113" s="52" t="str">
        <f>IF($C113="","",$C113&amp;"|"&amp;COUNTIF($C$5:$C113,$C113))</f>
        <v/>
      </c>
      <c r="AF113" s="53">
        <f>IF($AC113&gt;0,SUMIFS(Q$4:Q112,$D$4:$D112,$D113,$Z$4:$Z112,$Z113,$C$4:$C112,$C113),0)</f>
        <v>0</v>
      </c>
      <c r="AG113" s="53">
        <f>IF($AC113&gt;0,SUMIFS(Q$4:Q112,$D$4:$D112,$D113,$C$4:$C112,$C113),0)</f>
        <v>0</v>
      </c>
      <c r="AH113" s="53">
        <f>IF($AC113&gt;0,SUMIFS(M$4:M112,$D$4:$D112,$D113,$Z$4:$Z112,$Z113,$C$4:$C112,$C113),0)</f>
        <v>0</v>
      </c>
      <c r="AI113" s="43">
        <f>IF(OR($C113="",$I113=""),0,IF(COUNTIFS($C$5:$C113,$C113,$I$5:$I113,$I113)=1,1,0))</f>
        <v>0</v>
      </c>
      <c r="AJ113" s="43" t="str">
        <f>IF($AI113=1,SUMIFS($AI$4:$AI112,$C$4:$C112,$C113)+1,"")</f>
        <v/>
      </c>
      <c r="AK113" s="43">
        <f>IF(OR($C113="",$K113=""),0,IF(COUNTIFS($C$5:$C113,$C113,$K$5:$K113,$K113)=1,1,0))</f>
        <v>0</v>
      </c>
      <c r="AL113" s="43" t="str">
        <f>IF($AK113=1,SUMIFS($AK$4:$AK112,$C$4:$C112,$C113)+1,"")</f>
        <v/>
      </c>
      <c r="AM113" s="43">
        <f>IF(OR($C113="",$G113=""),0,IF(COUNTIFS($C$5:$C113,$C113,$G$5:$G113,$G113)=1,1,0))</f>
        <v>0</v>
      </c>
      <c r="AN113" s="43" t="str">
        <f>IF($AM113=1,SUMIFS($AM$4:$AM112,$C$4:$C112,$C113)+1,"")</f>
        <v/>
      </c>
    </row>
    <row r="114">
      <c r="A114" s="44" t="str">
        <f>IF(OR($B114="",$D114=""),"","TX"&amp;TEXT(ROW()-4,"0000"))</f>
        <v/>
      </c>
      <c r="B114" s="42" t="n"/>
      <c r="C114" s="47" t="str">
        <f>IF($B114="","",YEAR($B114)*100+MONTH($B114))</f>
        <v/>
      </c>
      <c r="D114" s="37" t="n"/>
      <c r="E114" s="45" t="str">
        <f>IF($D114="","",IFERROR(INDEX(CARDS!$B$5:$B$34,MATCH($D114,CARDS!$A$5:$A$34,0)),"⚠ Card ID?"))</f>
        <v/>
      </c>
      <c r="F114" s="45" t="str">
        <f>IF($D114="","",IFERROR(INDEX(CARDS!$C$5:$C$34,MATCH($D114,CARDS!$A$5:$A$34,0)),"⚠ Card ID?"))</f>
        <v/>
      </c>
      <c r="G114" s="37" t="n"/>
      <c r="H114" s="37" t="n"/>
      <c r="I114" s="41" t="n"/>
      <c r="J114" s="45" t="str">
        <f>IF($I114="","",IFERROR(INDEX(MCC_MASTER!$B$5:$B$504,MATCH($I114,MCC_MASTER!$A$5:$A$504,0)),"⚠ MCC chưa có"))</f>
        <v/>
      </c>
      <c r="K114" s="45" t="str">
        <f>IF($I114="","",IFERROR(IF(INDEX(MCC_MASTER!$C$5:$C$504,MATCH($I114,MCC_MASTER!$A$5:$A$504,0))="","Chưa phân loại",INDEX(MCC_MASTER!$C$5:$C$504,MATCH($I114,MCC_MASTER!$A$5:$A$504,0))),"Chưa phân loại"))</f>
        <v/>
      </c>
      <c r="L114" s="40" t="n"/>
      <c r="M114" s="48" t="str">
        <f>IF(OR($B114="",$D114=""),"",IF($AC114=0,0,IF(ISNUMBER(INDEX(CASHBACK_RULES!$L$5:$L$304,$AC114)),MAX(0,MIN($L114,INDEX(CASHBACK_RULES!$L$5:$L$304,$AC114)-$AH114)),MAX(0,$L114))))</f>
        <v/>
      </c>
      <c r="N114" s="49" t="str">
        <f>IF(OR($B114="",$D114=""),"",IF($AC114&gt;0,INDEX(CASHBACK_RULES!$I$5:$I$304,$AC114),0))</f>
        <v/>
      </c>
      <c r="O114" s="48" t="str">
        <f>IF(OR($B114="",$D114=""),"",ROUND($M114*$N114,0))</f>
        <v/>
      </c>
      <c r="P114" s="48" t="str">
        <f>IF($AC114&gt;0,IF(ISNUMBER(INDEX(CASHBACK_RULES!$J$5:$J$304,$AC114)),INDEX(CASHBACK_RULES!$J$5:$J$304,$AC114),"∞"),"")</f>
        <v/>
      </c>
      <c r="Q114" s="48" t="str">
        <f>IF(OR($B114="",$D114=""),"",IF($AC114=0,0,MAX(0,MIN($O114,IF(ISNUMBER($P114),$P114-$AF114,1E+15),IF(ISNUMBER($AA114),$AA114-$AG114,1E+15)))))</f>
        <v/>
      </c>
      <c r="R114" s="48" t="str">
        <f>IF(OR($B114="",$D114=""),"",IF($AC114=0,"",IF(AND(NOT(ISNUMBER($P114)),NOT(ISNUMBER($AA114))),"∞",MAX(0,MIN(IF(ISNUMBER($P114),$P114-$AF114-$Q114,1E+15),IF(ISNUMBER($AA114),$AA114-$AG114-$Q114,1E+15))))))</f>
        <v/>
      </c>
      <c r="S114" s="47" t="str">
        <f>IF($AD114="","",YEAR($AD114)*100+MONTH($AD114))</f>
        <v/>
      </c>
      <c r="T114" s="50" t="str">
        <f>IF($AD114="","",IFERROR(IF(INDEX(CARDS!$I$5:$I$34,MATCH($D114,CARDS!$A$5:$A$34,0))="","",IF(INDEX(CARDS!$I$5:$I$34,MATCH($D114,CARDS!$A$5:$A$34,0))&gt;INDEX(CARDS!$H$5:$H$34,MATCH($D114,CARDS!$A$5:$A$34,0)),DATE(YEAR($AD114),MONTH($AD114),MIN(INDEX(CARDS!$I$5:$I$34,MATCH($D114,CARDS!$A$5:$A$34,0)),DAY(EOMONTH($AD114,0)))),DATE(YEAR($AD114),MONTH($AD114)+1,MIN(INDEX(CARDS!$I$5:$I$34,MATCH($D114,CARDS!$A$5:$A$34,0)),DAY(EOMONTH($AD114,1)))))),""))</f>
        <v/>
      </c>
      <c r="U114" s="38" t="n"/>
      <c r="V114" s="37" t="n"/>
      <c r="W114" s="38" t="n"/>
      <c r="X114" s="38" t="n"/>
      <c r="Y114" s="44" t="str">
        <f>IF($AC114&gt;0,INDEX(CASHBACK_RULES!$A$5:$A$304,$AC114),"")</f>
        <v/>
      </c>
      <c r="Z114" s="45" t="str">
        <f>IF($AC114&gt;0,INDEX(CASHBACK_RULES!$E$5:$E$304,$AC114)&amp;"","")</f>
        <v/>
      </c>
      <c r="AA114" s="48" t="str">
        <f>IF($AC114&gt;0,IF(ISNUMBER(INDEX(CASHBACK_RULES!$K$5:$K$304,$AC114)),INDEX(CASHBACK_RULES!$K$5:$K$304,$AC114),"∞"),"")</f>
        <v/>
      </c>
      <c r="AB114" s="44" t="str">
        <f>IF(OR($B114="",$D114=""),"",IF($U114="Cancelled","Đã hủy",IF($AC114=0,"Không được hoàn",IF($Q114=0,IF(OR($O114&gt;0,$M114&lt;$L114),"Đã đạt cap","Không được hoàn"),IF(OR($Q114&lt;$O114,$M114&lt;$L114),"Hoàn một phần","Được hoàn")))))</f>
        <v/>
      </c>
      <c r="AC114" s="43">
        <f>IF(OR($B114="",$D114="",$I114="",$L114=""),0,IF($U114="Cancelled",0,IF($W114&lt;&gt;"",IFERROR(IF(INDEX(CASHBACK_RULES!$B$5:$B$304,MATCH($W114,CASHBACK_RULES!$A$5:$A$304,0))=$D114,MATCH($W114,CASHBACK_RULES!$A$5:$A$304,0),0),0),IFERROR(MATCH(1,INDEX((CASHBACK_RULES!$B$5:$B$304=$D114)*(CASHBACK_RULES!$G$5:$G$304=$I114)*(((CASHBACK_RULES!$N$5:$N$304="")+(CASHBACK_RULES!$N$5:$N$304&lt;=$B114))&gt;0)*(((CASHBACK_RULES!$O$5:$O$304="")+(CASHBACK_RULES!$O$5:$O$304&gt;=$B114))&gt;0)*(((CASHBACK_RULES!$M$5:$M$304="")+(CASHBACK_RULES!$M$5:$M$304&lt;=$L114))&gt;0),0),0),0))))</f>
        <v>0</v>
      </c>
      <c r="AD114" s="51" t="str">
        <f>IF(OR($B114="",$D114=""),"",IFERROR(IF(INDEX(CARDS!$H$5:$H$34,MATCH($D114,CARDS!$A$5:$A$34,0))="","",IF(DAY($B114)&lt;=INDEX(CARDS!$H$5:$H$34,MATCH($D114,CARDS!$A$5:$A$34,0)),DATE(YEAR($B114),MONTH($B114),MIN(INDEX(CARDS!$H$5:$H$34,MATCH($D114,CARDS!$A$5:$A$34,0)),DAY(EOMONTH($B114,0)))),DATE(YEAR($B114),MONTH($B114)+1,MIN(INDEX(CARDS!$H$5:$H$34,MATCH($D114,CARDS!$A$5:$A$34,0)),DAY(EOMONTH($B114,1)))))),""))</f>
        <v/>
      </c>
      <c r="AE114" s="52" t="str">
        <f>IF($C114="","",$C114&amp;"|"&amp;COUNTIF($C$5:$C114,$C114))</f>
        <v/>
      </c>
      <c r="AF114" s="53">
        <f>IF($AC114&gt;0,SUMIFS(Q$4:Q113,$D$4:$D113,$D114,$Z$4:$Z113,$Z114,$C$4:$C113,$C114),0)</f>
        <v>0</v>
      </c>
      <c r="AG114" s="53">
        <f>IF($AC114&gt;0,SUMIFS(Q$4:Q113,$D$4:$D113,$D114,$C$4:$C113,$C114),0)</f>
        <v>0</v>
      </c>
      <c r="AH114" s="53">
        <f>IF($AC114&gt;0,SUMIFS(M$4:M113,$D$4:$D113,$D114,$Z$4:$Z113,$Z114,$C$4:$C113,$C114),0)</f>
        <v>0</v>
      </c>
      <c r="AI114" s="43">
        <f>IF(OR($C114="",$I114=""),0,IF(COUNTIFS($C$5:$C114,$C114,$I$5:$I114,$I114)=1,1,0))</f>
        <v>0</v>
      </c>
      <c r="AJ114" s="43" t="str">
        <f>IF($AI114=1,SUMIFS($AI$4:$AI113,$C$4:$C113,$C114)+1,"")</f>
        <v/>
      </c>
      <c r="AK114" s="43">
        <f>IF(OR($C114="",$K114=""),0,IF(COUNTIFS($C$5:$C114,$C114,$K$5:$K114,$K114)=1,1,0))</f>
        <v>0</v>
      </c>
      <c r="AL114" s="43" t="str">
        <f>IF($AK114=1,SUMIFS($AK$4:$AK113,$C$4:$C113,$C114)+1,"")</f>
        <v/>
      </c>
      <c r="AM114" s="43">
        <f>IF(OR($C114="",$G114=""),0,IF(COUNTIFS($C$5:$C114,$C114,$G$5:$G114,$G114)=1,1,0))</f>
        <v>0</v>
      </c>
      <c r="AN114" s="43" t="str">
        <f>IF($AM114=1,SUMIFS($AM$4:$AM113,$C$4:$C113,$C114)+1,"")</f>
        <v/>
      </c>
    </row>
    <row r="115">
      <c r="A115" s="44" t="str">
        <f>IF(OR($B115="",$D115=""),"","TX"&amp;TEXT(ROW()-4,"0000"))</f>
        <v/>
      </c>
      <c r="B115" s="42" t="n"/>
      <c r="C115" s="47" t="str">
        <f>IF($B115="","",YEAR($B115)*100+MONTH($B115))</f>
        <v/>
      </c>
      <c r="D115" s="37" t="n"/>
      <c r="E115" s="45" t="str">
        <f>IF($D115="","",IFERROR(INDEX(CARDS!$B$5:$B$34,MATCH($D115,CARDS!$A$5:$A$34,0)),"⚠ Card ID?"))</f>
        <v/>
      </c>
      <c r="F115" s="45" t="str">
        <f>IF($D115="","",IFERROR(INDEX(CARDS!$C$5:$C$34,MATCH($D115,CARDS!$A$5:$A$34,0)),"⚠ Card ID?"))</f>
        <v/>
      </c>
      <c r="G115" s="37" t="n"/>
      <c r="H115" s="37" t="n"/>
      <c r="I115" s="41" t="n"/>
      <c r="J115" s="45" t="str">
        <f>IF($I115="","",IFERROR(INDEX(MCC_MASTER!$B$5:$B$504,MATCH($I115,MCC_MASTER!$A$5:$A$504,0)),"⚠ MCC chưa có"))</f>
        <v/>
      </c>
      <c r="K115" s="45" t="str">
        <f>IF($I115="","",IFERROR(IF(INDEX(MCC_MASTER!$C$5:$C$504,MATCH($I115,MCC_MASTER!$A$5:$A$504,0))="","Chưa phân loại",INDEX(MCC_MASTER!$C$5:$C$504,MATCH($I115,MCC_MASTER!$A$5:$A$504,0))),"Chưa phân loại"))</f>
        <v/>
      </c>
      <c r="L115" s="40" t="n"/>
      <c r="M115" s="48" t="str">
        <f>IF(OR($B115="",$D115=""),"",IF($AC115=0,0,IF(ISNUMBER(INDEX(CASHBACK_RULES!$L$5:$L$304,$AC115)),MAX(0,MIN($L115,INDEX(CASHBACK_RULES!$L$5:$L$304,$AC115)-$AH115)),MAX(0,$L115))))</f>
        <v/>
      </c>
      <c r="N115" s="49" t="str">
        <f>IF(OR($B115="",$D115=""),"",IF($AC115&gt;0,INDEX(CASHBACK_RULES!$I$5:$I$304,$AC115),0))</f>
        <v/>
      </c>
      <c r="O115" s="48" t="str">
        <f>IF(OR($B115="",$D115=""),"",ROUND($M115*$N115,0))</f>
        <v/>
      </c>
      <c r="P115" s="48" t="str">
        <f>IF($AC115&gt;0,IF(ISNUMBER(INDEX(CASHBACK_RULES!$J$5:$J$304,$AC115)),INDEX(CASHBACK_RULES!$J$5:$J$304,$AC115),"∞"),"")</f>
        <v/>
      </c>
      <c r="Q115" s="48" t="str">
        <f>IF(OR($B115="",$D115=""),"",IF($AC115=0,0,MAX(0,MIN($O115,IF(ISNUMBER($P115),$P115-$AF115,1E+15),IF(ISNUMBER($AA115),$AA115-$AG115,1E+15)))))</f>
        <v/>
      </c>
      <c r="R115" s="48" t="str">
        <f>IF(OR($B115="",$D115=""),"",IF($AC115=0,"",IF(AND(NOT(ISNUMBER($P115)),NOT(ISNUMBER($AA115))),"∞",MAX(0,MIN(IF(ISNUMBER($P115),$P115-$AF115-$Q115,1E+15),IF(ISNUMBER($AA115),$AA115-$AG115-$Q115,1E+15))))))</f>
        <v/>
      </c>
      <c r="S115" s="47" t="str">
        <f>IF($AD115="","",YEAR($AD115)*100+MONTH($AD115))</f>
        <v/>
      </c>
      <c r="T115" s="50" t="str">
        <f>IF($AD115="","",IFERROR(IF(INDEX(CARDS!$I$5:$I$34,MATCH($D115,CARDS!$A$5:$A$34,0))="","",IF(INDEX(CARDS!$I$5:$I$34,MATCH($D115,CARDS!$A$5:$A$34,0))&gt;INDEX(CARDS!$H$5:$H$34,MATCH($D115,CARDS!$A$5:$A$34,0)),DATE(YEAR($AD115),MONTH($AD115),MIN(INDEX(CARDS!$I$5:$I$34,MATCH($D115,CARDS!$A$5:$A$34,0)),DAY(EOMONTH($AD115,0)))),DATE(YEAR($AD115),MONTH($AD115)+1,MIN(INDEX(CARDS!$I$5:$I$34,MATCH($D115,CARDS!$A$5:$A$34,0)),DAY(EOMONTH($AD115,1)))))),""))</f>
        <v/>
      </c>
      <c r="U115" s="38" t="n"/>
      <c r="V115" s="37" t="n"/>
      <c r="W115" s="38" t="n"/>
      <c r="X115" s="38" t="n"/>
      <c r="Y115" s="44" t="str">
        <f>IF($AC115&gt;0,INDEX(CASHBACK_RULES!$A$5:$A$304,$AC115),"")</f>
        <v/>
      </c>
      <c r="Z115" s="45" t="str">
        <f>IF($AC115&gt;0,INDEX(CASHBACK_RULES!$E$5:$E$304,$AC115)&amp;"","")</f>
        <v/>
      </c>
      <c r="AA115" s="48" t="str">
        <f>IF($AC115&gt;0,IF(ISNUMBER(INDEX(CASHBACK_RULES!$K$5:$K$304,$AC115)),INDEX(CASHBACK_RULES!$K$5:$K$304,$AC115),"∞"),"")</f>
        <v/>
      </c>
      <c r="AB115" s="44" t="str">
        <f>IF(OR($B115="",$D115=""),"",IF($U115="Cancelled","Đã hủy",IF($AC115=0,"Không được hoàn",IF($Q115=0,IF(OR($O115&gt;0,$M115&lt;$L115),"Đã đạt cap","Không được hoàn"),IF(OR($Q115&lt;$O115,$M115&lt;$L115),"Hoàn một phần","Được hoàn")))))</f>
        <v/>
      </c>
      <c r="AC115" s="43">
        <f>IF(OR($B115="",$D115="",$I115="",$L115=""),0,IF($U115="Cancelled",0,IF($W115&lt;&gt;"",IFERROR(IF(INDEX(CASHBACK_RULES!$B$5:$B$304,MATCH($W115,CASHBACK_RULES!$A$5:$A$304,0))=$D115,MATCH($W115,CASHBACK_RULES!$A$5:$A$304,0),0),0),IFERROR(MATCH(1,INDEX((CASHBACK_RULES!$B$5:$B$304=$D115)*(CASHBACK_RULES!$G$5:$G$304=$I115)*(((CASHBACK_RULES!$N$5:$N$304="")+(CASHBACK_RULES!$N$5:$N$304&lt;=$B115))&gt;0)*(((CASHBACK_RULES!$O$5:$O$304="")+(CASHBACK_RULES!$O$5:$O$304&gt;=$B115))&gt;0)*(((CASHBACK_RULES!$M$5:$M$304="")+(CASHBACK_RULES!$M$5:$M$304&lt;=$L115))&gt;0),0),0),0))))</f>
        <v>0</v>
      </c>
      <c r="AD115" s="51" t="str">
        <f>IF(OR($B115="",$D115=""),"",IFERROR(IF(INDEX(CARDS!$H$5:$H$34,MATCH($D115,CARDS!$A$5:$A$34,0))="","",IF(DAY($B115)&lt;=INDEX(CARDS!$H$5:$H$34,MATCH($D115,CARDS!$A$5:$A$34,0)),DATE(YEAR($B115),MONTH($B115),MIN(INDEX(CARDS!$H$5:$H$34,MATCH($D115,CARDS!$A$5:$A$34,0)),DAY(EOMONTH($B115,0)))),DATE(YEAR($B115),MONTH($B115)+1,MIN(INDEX(CARDS!$H$5:$H$34,MATCH($D115,CARDS!$A$5:$A$34,0)),DAY(EOMONTH($B115,1)))))),""))</f>
        <v/>
      </c>
      <c r="AE115" s="52" t="str">
        <f>IF($C115="","",$C115&amp;"|"&amp;COUNTIF($C$5:$C115,$C115))</f>
        <v/>
      </c>
      <c r="AF115" s="53">
        <f>IF($AC115&gt;0,SUMIFS(Q$4:Q114,$D$4:$D114,$D115,$Z$4:$Z114,$Z115,$C$4:$C114,$C115),0)</f>
        <v>0</v>
      </c>
      <c r="AG115" s="53">
        <f>IF($AC115&gt;0,SUMIFS(Q$4:Q114,$D$4:$D114,$D115,$C$4:$C114,$C115),0)</f>
        <v>0</v>
      </c>
      <c r="AH115" s="53">
        <f>IF($AC115&gt;0,SUMIFS(M$4:M114,$D$4:$D114,$D115,$Z$4:$Z114,$Z115,$C$4:$C114,$C115),0)</f>
        <v>0</v>
      </c>
      <c r="AI115" s="43">
        <f>IF(OR($C115="",$I115=""),0,IF(COUNTIFS($C$5:$C115,$C115,$I$5:$I115,$I115)=1,1,0))</f>
        <v>0</v>
      </c>
      <c r="AJ115" s="43" t="str">
        <f>IF($AI115=1,SUMIFS($AI$4:$AI114,$C$4:$C114,$C115)+1,"")</f>
        <v/>
      </c>
      <c r="AK115" s="43">
        <f>IF(OR($C115="",$K115=""),0,IF(COUNTIFS($C$5:$C115,$C115,$K$5:$K115,$K115)=1,1,0))</f>
        <v>0</v>
      </c>
      <c r="AL115" s="43" t="str">
        <f>IF($AK115=1,SUMIFS($AK$4:$AK114,$C$4:$C114,$C115)+1,"")</f>
        <v/>
      </c>
      <c r="AM115" s="43">
        <f>IF(OR($C115="",$G115=""),0,IF(COUNTIFS($C$5:$C115,$C115,$G$5:$G115,$G115)=1,1,0))</f>
        <v>0</v>
      </c>
      <c r="AN115" s="43" t="str">
        <f>IF($AM115=1,SUMIFS($AM$4:$AM114,$C$4:$C114,$C115)+1,"")</f>
        <v/>
      </c>
    </row>
    <row r="116">
      <c r="A116" s="44" t="str">
        <f>IF(OR($B116="",$D116=""),"","TX"&amp;TEXT(ROW()-4,"0000"))</f>
        <v/>
      </c>
      <c r="B116" s="42" t="n"/>
      <c r="C116" s="47" t="str">
        <f>IF($B116="","",YEAR($B116)*100+MONTH($B116))</f>
        <v/>
      </c>
      <c r="D116" s="37" t="n"/>
      <c r="E116" s="45" t="str">
        <f>IF($D116="","",IFERROR(INDEX(CARDS!$B$5:$B$34,MATCH($D116,CARDS!$A$5:$A$34,0)),"⚠ Card ID?"))</f>
        <v/>
      </c>
      <c r="F116" s="45" t="str">
        <f>IF($D116="","",IFERROR(INDEX(CARDS!$C$5:$C$34,MATCH($D116,CARDS!$A$5:$A$34,0)),"⚠ Card ID?"))</f>
        <v/>
      </c>
      <c r="G116" s="37" t="n"/>
      <c r="H116" s="37" t="n"/>
      <c r="I116" s="41" t="n"/>
      <c r="J116" s="45" t="str">
        <f>IF($I116="","",IFERROR(INDEX(MCC_MASTER!$B$5:$B$504,MATCH($I116,MCC_MASTER!$A$5:$A$504,0)),"⚠ MCC chưa có"))</f>
        <v/>
      </c>
      <c r="K116" s="45" t="str">
        <f>IF($I116="","",IFERROR(IF(INDEX(MCC_MASTER!$C$5:$C$504,MATCH($I116,MCC_MASTER!$A$5:$A$504,0))="","Chưa phân loại",INDEX(MCC_MASTER!$C$5:$C$504,MATCH($I116,MCC_MASTER!$A$5:$A$504,0))),"Chưa phân loại"))</f>
        <v/>
      </c>
      <c r="L116" s="40" t="n"/>
      <c r="M116" s="48" t="str">
        <f>IF(OR($B116="",$D116=""),"",IF($AC116=0,0,IF(ISNUMBER(INDEX(CASHBACK_RULES!$L$5:$L$304,$AC116)),MAX(0,MIN($L116,INDEX(CASHBACK_RULES!$L$5:$L$304,$AC116)-$AH116)),MAX(0,$L116))))</f>
        <v/>
      </c>
      <c r="N116" s="49" t="str">
        <f>IF(OR($B116="",$D116=""),"",IF($AC116&gt;0,INDEX(CASHBACK_RULES!$I$5:$I$304,$AC116),0))</f>
        <v/>
      </c>
      <c r="O116" s="48" t="str">
        <f>IF(OR($B116="",$D116=""),"",ROUND($M116*$N116,0))</f>
        <v/>
      </c>
      <c r="P116" s="48" t="str">
        <f>IF($AC116&gt;0,IF(ISNUMBER(INDEX(CASHBACK_RULES!$J$5:$J$304,$AC116)),INDEX(CASHBACK_RULES!$J$5:$J$304,$AC116),"∞"),"")</f>
        <v/>
      </c>
      <c r="Q116" s="48" t="str">
        <f>IF(OR($B116="",$D116=""),"",IF($AC116=0,0,MAX(0,MIN($O116,IF(ISNUMBER($P116),$P116-$AF116,1E+15),IF(ISNUMBER($AA116),$AA116-$AG116,1E+15)))))</f>
        <v/>
      </c>
      <c r="R116" s="48" t="str">
        <f>IF(OR($B116="",$D116=""),"",IF($AC116=0,"",IF(AND(NOT(ISNUMBER($P116)),NOT(ISNUMBER($AA116))),"∞",MAX(0,MIN(IF(ISNUMBER($P116),$P116-$AF116-$Q116,1E+15),IF(ISNUMBER($AA116),$AA116-$AG116-$Q116,1E+15))))))</f>
        <v/>
      </c>
      <c r="S116" s="47" t="str">
        <f>IF($AD116="","",YEAR($AD116)*100+MONTH($AD116))</f>
        <v/>
      </c>
      <c r="T116" s="50" t="str">
        <f>IF($AD116="","",IFERROR(IF(INDEX(CARDS!$I$5:$I$34,MATCH($D116,CARDS!$A$5:$A$34,0))="","",IF(INDEX(CARDS!$I$5:$I$34,MATCH($D116,CARDS!$A$5:$A$34,0))&gt;INDEX(CARDS!$H$5:$H$34,MATCH($D116,CARDS!$A$5:$A$34,0)),DATE(YEAR($AD116),MONTH($AD116),MIN(INDEX(CARDS!$I$5:$I$34,MATCH($D116,CARDS!$A$5:$A$34,0)),DAY(EOMONTH($AD116,0)))),DATE(YEAR($AD116),MONTH($AD116)+1,MIN(INDEX(CARDS!$I$5:$I$34,MATCH($D116,CARDS!$A$5:$A$34,0)),DAY(EOMONTH($AD116,1)))))),""))</f>
        <v/>
      </c>
      <c r="U116" s="38" t="n"/>
      <c r="V116" s="37" t="n"/>
      <c r="W116" s="38" t="n"/>
      <c r="X116" s="38" t="n"/>
      <c r="Y116" s="44" t="str">
        <f>IF($AC116&gt;0,INDEX(CASHBACK_RULES!$A$5:$A$304,$AC116),"")</f>
        <v/>
      </c>
      <c r="Z116" s="45" t="str">
        <f>IF($AC116&gt;0,INDEX(CASHBACK_RULES!$E$5:$E$304,$AC116)&amp;"","")</f>
        <v/>
      </c>
      <c r="AA116" s="48" t="str">
        <f>IF($AC116&gt;0,IF(ISNUMBER(INDEX(CASHBACK_RULES!$K$5:$K$304,$AC116)),INDEX(CASHBACK_RULES!$K$5:$K$304,$AC116),"∞"),"")</f>
        <v/>
      </c>
      <c r="AB116" s="44" t="str">
        <f>IF(OR($B116="",$D116=""),"",IF($U116="Cancelled","Đã hủy",IF($AC116=0,"Không được hoàn",IF($Q116=0,IF(OR($O116&gt;0,$M116&lt;$L116),"Đã đạt cap","Không được hoàn"),IF(OR($Q116&lt;$O116,$M116&lt;$L116),"Hoàn một phần","Được hoàn")))))</f>
        <v/>
      </c>
      <c r="AC116" s="43">
        <f>IF(OR($B116="",$D116="",$I116="",$L116=""),0,IF($U116="Cancelled",0,IF($W116&lt;&gt;"",IFERROR(IF(INDEX(CASHBACK_RULES!$B$5:$B$304,MATCH($W116,CASHBACK_RULES!$A$5:$A$304,0))=$D116,MATCH($W116,CASHBACK_RULES!$A$5:$A$304,0),0),0),IFERROR(MATCH(1,INDEX((CASHBACK_RULES!$B$5:$B$304=$D116)*(CASHBACK_RULES!$G$5:$G$304=$I116)*(((CASHBACK_RULES!$N$5:$N$304="")+(CASHBACK_RULES!$N$5:$N$304&lt;=$B116))&gt;0)*(((CASHBACK_RULES!$O$5:$O$304="")+(CASHBACK_RULES!$O$5:$O$304&gt;=$B116))&gt;0)*(((CASHBACK_RULES!$M$5:$M$304="")+(CASHBACK_RULES!$M$5:$M$304&lt;=$L116))&gt;0),0),0),0))))</f>
        <v>0</v>
      </c>
      <c r="AD116" s="51" t="str">
        <f>IF(OR($B116="",$D116=""),"",IFERROR(IF(INDEX(CARDS!$H$5:$H$34,MATCH($D116,CARDS!$A$5:$A$34,0))="","",IF(DAY($B116)&lt;=INDEX(CARDS!$H$5:$H$34,MATCH($D116,CARDS!$A$5:$A$34,0)),DATE(YEAR($B116),MONTH($B116),MIN(INDEX(CARDS!$H$5:$H$34,MATCH($D116,CARDS!$A$5:$A$34,0)),DAY(EOMONTH($B116,0)))),DATE(YEAR($B116),MONTH($B116)+1,MIN(INDEX(CARDS!$H$5:$H$34,MATCH($D116,CARDS!$A$5:$A$34,0)),DAY(EOMONTH($B116,1)))))),""))</f>
        <v/>
      </c>
      <c r="AE116" s="52" t="str">
        <f>IF($C116="","",$C116&amp;"|"&amp;COUNTIF($C$5:$C116,$C116))</f>
        <v/>
      </c>
      <c r="AF116" s="53">
        <f>IF($AC116&gt;0,SUMIFS(Q$4:Q115,$D$4:$D115,$D116,$Z$4:$Z115,$Z116,$C$4:$C115,$C116),0)</f>
        <v>0</v>
      </c>
      <c r="AG116" s="53">
        <f>IF($AC116&gt;0,SUMIFS(Q$4:Q115,$D$4:$D115,$D116,$C$4:$C115,$C116),0)</f>
        <v>0</v>
      </c>
      <c r="AH116" s="53">
        <f>IF($AC116&gt;0,SUMIFS(M$4:M115,$D$4:$D115,$D116,$Z$4:$Z115,$Z116,$C$4:$C115,$C116),0)</f>
        <v>0</v>
      </c>
      <c r="AI116" s="43">
        <f>IF(OR($C116="",$I116=""),0,IF(COUNTIFS($C$5:$C116,$C116,$I$5:$I116,$I116)=1,1,0))</f>
        <v>0</v>
      </c>
      <c r="AJ116" s="43" t="str">
        <f>IF($AI116=1,SUMIFS($AI$4:$AI115,$C$4:$C115,$C116)+1,"")</f>
        <v/>
      </c>
      <c r="AK116" s="43">
        <f>IF(OR($C116="",$K116=""),0,IF(COUNTIFS($C$5:$C116,$C116,$K$5:$K116,$K116)=1,1,0))</f>
        <v>0</v>
      </c>
      <c r="AL116" s="43" t="str">
        <f>IF($AK116=1,SUMIFS($AK$4:$AK115,$C$4:$C115,$C116)+1,"")</f>
        <v/>
      </c>
      <c r="AM116" s="43">
        <f>IF(OR($C116="",$G116=""),0,IF(COUNTIFS($C$5:$C116,$C116,$G$5:$G116,$G116)=1,1,0))</f>
        <v>0</v>
      </c>
      <c r="AN116" s="43" t="str">
        <f>IF($AM116=1,SUMIFS($AM$4:$AM115,$C$4:$C115,$C116)+1,"")</f>
        <v/>
      </c>
    </row>
    <row r="117">
      <c r="A117" s="44" t="str">
        <f>IF(OR($B117="",$D117=""),"","TX"&amp;TEXT(ROW()-4,"0000"))</f>
        <v/>
      </c>
      <c r="B117" s="42" t="n"/>
      <c r="C117" s="47" t="str">
        <f>IF($B117="","",YEAR($B117)*100+MONTH($B117))</f>
        <v/>
      </c>
      <c r="D117" s="37" t="n"/>
      <c r="E117" s="45" t="str">
        <f>IF($D117="","",IFERROR(INDEX(CARDS!$B$5:$B$34,MATCH($D117,CARDS!$A$5:$A$34,0)),"⚠ Card ID?"))</f>
        <v/>
      </c>
      <c r="F117" s="45" t="str">
        <f>IF($D117="","",IFERROR(INDEX(CARDS!$C$5:$C$34,MATCH($D117,CARDS!$A$5:$A$34,0)),"⚠ Card ID?"))</f>
        <v/>
      </c>
      <c r="G117" s="37" t="n"/>
      <c r="H117" s="37" t="n"/>
      <c r="I117" s="41" t="n"/>
      <c r="J117" s="45" t="str">
        <f>IF($I117="","",IFERROR(INDEX(MCC_MASTER!$B$5:$B$504,MATCH($I117,MCC_MASTER!$A$5:$A$504,0)),"⚠ MCC chưa có"))</f>
        <v/>
      </c>
      <c r="K117" s="45" t="str">
        <f>IF($I117="","",IFERROR(IF(INDEX(MCC_MASTER!$C$5:$C$504,MATCH($I117,MCC_MASTER!$A$5:$A$504,0))="","Chưa phân loại",INDEX(MCC_MASTER!$C$5:$C$504,MATCH($I117,MCC_MASTER!$A$5:$A$504,0))),"Chưa phân loại"))</f>
        <v/>
      </c>
      <c r="L117" s="40" t="n"/>
      <c r="M117" s="48" t="str">
        <f>IF(OR($B117="",$D117=""),"",IF($AC117=0,0,IF(ISNUMBER(INDEX(CASHBACK_RULES!$L$5:$L$304,$AC117)),MAX(0,MIN($L117,INDEX(CASHBACK_RULES!$L$5:$L$304,$AC117)-$AH117)),MAX(0,$L117))))</f>
        <v/>
      </c>
      <c r="N117" s="49" t="str">
        <f>IF(OR($B117="",$D117=""),"",IF($AC117&gt;0,INDEX(CASHBACK_RULES!$I$5:$I$304,$AC117),0))</f>
        <v/>
      </c>
      <c r="O117" s="48" t="str">
        <f>IF(OR($B117="",$D117=""),"",ROUND($M117*$N117,0))</f>
        <v/>
      </c>
      <c r="P117" s="48" t="str">
        <f>IF($AC117&gt;0,IF(ISNUMBER(INDEX(CASHBACK_RULES!$J$5:$J$304,$AC117)),INDEX(CASHBACK_RULES!$J$5:$J$304,$AC117),"∞"),"")</f>
        <v/>
      </c>
      <c r="Q117" s="48" t="str">
        <f>IF(OR($B117="",$D117=""),"",IF($AC117=0,0,MAX(0,MIN($O117,IF(ISNUMBER($P117),$P117-$AF117,1E+15),IF(ISNUMBER($AA117),$AA117-$AG117,1E+15)))))</f>
        <v/>
      </c>
      <c r="R117" s="48" t="str">
        <f>IF(OR($B117="",$D117=""),"",IF($AC117=0,"",IF(AND(NOT(ISNUMBER($P117)),NOT(ISNUMBER($AA117))),"∞",MAX(0,MIN(IF(ISNUMBER($P117),$P117-$AF117-$Q117,1E+15),IF(ISNUMBER($AA117),$AA117-$AG117-$Q117,1E+15))))))</f>
        <v/>
      </c>
      <c r="S117" s="47" t="str">
        <f>IF($AD117="","",YEAR($AD117)*100+MONTH($AD117))</f>
        <v/>
      </c>
      <c r="T117" s="50" t="str">
        <f>IF($AD117="","",IFERROR(IF(INDEX(CARDS!$I$5:$I$34,MATCH($D117,CARDS!$A$5:$A$34,0))="","",IF(INDEX(CARDS!$I$5:$I$34,MATCH($D117,CARDS!$A$5:$A$34,0))&gt;INDEX(CARDS!$H$5:$H$34,MATCH($D117,CARDS!$A$5:$A$34,0)),DATE(YEAR($AD117),MONTH($AD117),MIN(INDEX(CARDS!$I$5:$I$34,MATCH($D117,CARDS!$A$5:$A$34,0)),DAY(EOMONTH($AD117,0)))),DATE(YEAR($AD117),MONTH($AD117)+1,MIN(INDEX(CARDS!$I$5:$I$34,MATCH($D117,CARDS!$A$5:$A$34,0)),DAY(EOMONTH($AD117,1)))))),""))</f>
        <v/>
      </c>
      <c r="U117" s="38" t="n"/>
      <c r="V117" s="37" t="n"/>
      <c r="W117" s="38" t="n"/>
      <c r="X117" s="38" t="n"/>
      <c r="Y117" s="44" t="str">
        <f>IF($AC117&gt;0,INDEX(CASHBACK_RULES!$A$5:$A$304,$AC117),"")</f>
        <v/>
      </c>
      <c r="Z117" s="45" t="str">
        <f>IF($AC117&gt;0,INDEX(CASHBACK_RULES!$E$5:$E$304,$AC117)&amp;"","")</f>
        <v/>
      </c>
      <c r="AA117" s="48" t="str">
        <f>IF($AC117&gt;0,IF(ISNUMBER(INDEX(CASHBACK_RULES!$K$5:$K$304,$AC117)),INDEX(CASHBACK_RULES!$K$5:$K$304,$AC117),"∞"),"")</f>
        <v/>
      </c>
      <c r="AB117" s="44" t="str">
        <f>IF(OR($B117="",$D117=""),"",IF($U117="Cancelled","Đã hủy",IF($AC117=0,"Không được hoàn",IF($Q117=0,IF(OR($O117&gt;0,$M117&lt;$L117),"Đã đạt cap","Không được hoàn"),IF(OR($Q117&lt;$O117,$M117&lt;$L117),"Hoàn một phần","Được hoàn")))))</f>
        <v/>
      </c>
      <c r="AC117" s="43">
        <f>IF(OR($B117="",$D117="",$I117="",$L117=""),0,IF($U117="Cancelled",0,IF($W117&lt;&gt;"",IFERROR(IF(INDEX(CASHBACK_RULES!$B$5:$B$304,MATCH($W117,CASHBACK_RULES!$A$5:$A$304,0))=$D117,MATCH($W117,CASHBACK_RULES!$A$5:$A$304,0),0),0),IFERROR(MATCH(1,INDEX((CASHBACK_RULES!$B$5:$B$304=$D117)*(CASHBACK_RULES!$G$5:$G$304=$I117)*(((CASHBACK_RULES!$N$5:$N$304="")+(CASHBACK_RULES!$N$5:$N$304&lt;=$B117))&gt;0)*(((CASHBACK_RULES!$O$5:$O$304="")+(CASHBACK_RULES!$O$5:$O$304&gt;=$B117))&gt;0)*(((CASHBACK_RULES!$M$5:$M$304="")+(CASHBACK_RULES!$M$5:$M$304&lt;=$L117))&gt;0),0),0),0))))</f>
        <v>0</v>
      </c>
      <c r="AD117" s="51" t="str">
        <f>IF(OR($B117="",$D117=""),"",IFERROR(IF(INDEX(CARDS!$H$5:$H$34,MATCH($D117,CARDS!$A$5:$A$34,0))="","",IF(DAY($B117)&lt;=INDEX(CARDS!$H$5:$H$34,MATCH($D117,CARDS!$A$5:$A$34,0)),DATE(YEAR($B117),MONTH($B117),MIN(INDEX(CARDS!$H$5:$H$34,MATCH($D117,CARDS!$A$5:$A$34,0)),DAY(EOMONTH($B117,0)))),DATE(YEAR($B117),MONTH($B117)+1,MIN(INDEX(CARDS!$H$5:$H$34,MATCH($D117,CARDS!$A$5:$A$34,0)),DAY(EOMONTH($B117,1)))))),""))</f>
        <v/>
      </c>
      <c r="AE117" s="52" t="str">
        <f>IF($C117="","",$C117&amp;"|"&amp;COUNTIF($C$5:$C117,$C117))</f>
        <v/>
      </c>
      <c r="AF117" s="53">
        <f>IF($AC117&gt;0,SUMIFS(Q$4:Q116,$D$4:$D116,$D117,$Z$4:$Z116,$Z117,$C$4:$C116,$C117),0)</f>
        <v>0</v>
      </c>
      <c r="AG117" s="53">
        <f>IF($AC117&gt;0,SUMIFS(Q$4:Q116,$D$4:$D116,$D117,$C$4:$C116,$C117),0)</f>
        <v>0</v>
      </c>
      <c r="AH117" s="53">
        <f>IF($AC117&gt;0,SUMIFS(M$4:M116,$D$4:$D116,$D117,$Z$4:$Z116,$Z117,$C$4:$C116,$C117),0)</f>
        <v>0</v>
      </c>
      <c r="AI117" s="43">
        <f>IF(OR($C117="",$I117=""),0,IF(COUNTIFS($C$5:$C117,$C117,$I$5:$I117,$I117)=1,1,0))</f>
        <v>0</v>
      </c>
      <c r="AJ117" s="43" t="str">
        <f>IF($AI117=1,SUMIFS($AI$4:$AI116,$C$4:$C116,$C117)+1,"")</f>
        <v/>
      </c>
      <c r="AK117" s="43">
        <f>IF(OR($C117="",$K117=""),0,IF(COUNTIFS($C$5:$C117,$C117,$K$5:$K117,$K117)=1,1,0))</f>
        <v>0</v>
      </c>
      <c r="AL117" s="43" t="str">
        <f>IF($AK117=1,SUMIFS($AK$4:$AK116,$C$4:$C116,$C117)+1,"")</f>
        <v/>
      </c>
      <c r="AM117" s="43">
        <f>IF(OR($C117="",$G117=""),0,IF(COUNTIFS($C$5:$C117,$C117,$G$5:$G117,$G117)=1,1,0))</f>
        <v>0</v>
      </c>
      <c r="AN117" s="43" t="str">
        <f>IF($AM117=1,SUMIFS($AM$4:$AM116,$C$4:$C116,$C117)+1,"")</f>
        <v/>
      </c>
    </row>
    <row r="118">
      <c r="A118" s="44" t="str">
        <f>IF(OR($B118="",$D118=""),"","TX"&amp;TEXT(ROW()-4,"0000"))</f>
        <v/>
      </c>
      <c r="B118" s="42" t="n"/>
      <c r="C118" s="47" t="str">
        <f>IF($B118="","",YEAR($B118)*100+MONTH($B118))</f>
        <v/>
      </c>
      <c r="D118" s="37" t="n"/>
      <c r="E118" s="45" t="str">
        <f>IF($D118="","",IFERROR(INDEX(CARDS!$B$5:$B$34,MATCH($D118,CARDS!$A$5:$A$34,0)),"⚠ Card ID?"))</f>
        <v/>
      </c>
      <c r="F118" s="45" t="str">
        <f>IF($D118="","",IFERROR(INDEX(CARDS!$C$5:$C$34,MATCH($D118,CARDS!$A$5:$A$34,0)),"⚠ Card ID?"))</f>
        <v/>
      </c>
      <c r="G118" s="37" t="n"/>
      <c r="H118" s="37" t="n"/>
      <c r="I118" s="41" t="n"/>
      <c r="J118" s="45" t="str">
        <f>IF($I118="","",IFERROR(INDEX(MCC_MASTER!$B$5:$B$504,MATCH($I118,MCC_MASTER!$A$5:$A$504,0)),"⚠ MCC chưa có"))</f>
        <v/>
      </c>
      <c r="K118" s="45" t="str">
        <f>IF($I118="","",IFERROR(IF(INDEX(MCC_MASTER!$C$5:$C$504,MATCH($I118,MCC_MASTER!$A$5:$A$504,0))="","Chưa phân loại",INDEX(MCC_MASTER!$C$5:$C$504,MATCH($I118,MCC_MASTER!$A$5:$A$504,0))),"Chưa phân loại"))</f>
        <v/>
      </c>
      <c r="L118" s="40" t="n"/>
      <c r="M118" s="48" t="str">
        <f>IF(OR($B118="",$D118=""),"",IF($AC118=0,0,IF(ISNUMBER(INDEX(CASHBACK_RULES!$L$5:$L$304,$AC118)),MAX(0,MIN($L118,INDEX(CASHBACK_RULES!$L$5:$L$304,$AC118)-$AH118)),MAX(0,$L118))))</f>
        <v/>
      </c>
      <c r="N118" s="49" t="str">
        <f>IF(OR($B118="",$D118=""),"",IF($AC118&gt;0,INDEX(CASHBACK_RULES!$I$5:$I$304,$AC118),0))</f>
        <v/>
      </c>
      <c r="O118" s="48" t="str">
        <f>IF(OR($B118="",$D118=""),"",ROUND($M118*$N118,0))</f>
        <v/>
      </c>
      <c r="P118" s="48" t="str">
        <f>IF($AC118&gt;0,IF(ISNUMBER(INDEX(CASHBACK_RULES!$J$5:$J$304,$AC118)),INDEX(CASHBACK_RULES!$J$5:$J$304,$AC118),"∞"),"")</f>
        <v/>
      </c>
      <c r="Q118" s="48" t="str">
        <f>IF(OR($B118="",$D118=""),"",IF($AC118=0,0,MAX(0,MIN($O118,IF(ISNUMBER($P118),$P118-$AF118,1E+15),IF(ISNUMBER($AA118),$AA118-$AG118,1E+15)))))</f>
        <v/>
      </c>
      <c r="R118" s="48" t="str">
        <f>IF(OR($B118="",$D118=""),"",IF($AC118=0,"",IF(AND(NOT(ISNUMBER($P118)),NOT(ISNUMBER($AA118))),"∞",MAX(0,MIN(IF(ISNUMBER($P118),$P118-$AF118-$Q118,1E+15),IF(ISNUMBER($AA118),$AA118-$AG118-$Q118,1E+15))))))</f>
        <v/>
      </c>
      <c r="S118" s="47" t="str">
        <f>IF($AD118="","",YEAR($AD118)*100+MONTH($AD118))</f>
        <v/>
      </c>
      <c r="T118" s="50" t="str">
        <f>IF($AD118="","",IFERROR(IF(INDEX(CARDS!$I$5:$I$34,MATCH($D118,CARDS!$A$5:$A$34,0))="","",IF(INDEX(CARDS!$I$5:$I$34,MATCH($D118,CARDS!$A$5:$A$34,0))&gt;INDEX(CARDS!$H$5:$H$34,MATCH($D118,CARDS!$A$5:$A$34,0)),DATE(YEAR($AD118),MONTH($AD118),MIN(INDEX(CARDS!$I$5:$I$34,MATCH($D118,CARDS!$A$5:$A$34,0)),DAY(EOMONTH($AD118,0)))),DATE(YEAR($AD118),MONTH($AD118)+1,MIN(INDEX(CARDS!$I$5:$I$34,MATCH($D118,CARDS!$A$5:$A$34,0)),DAY(EOMONTH($AD118,1)))))),""))</f>
        <v/>
      </c>
      <c r="U118" s="38" t="n"/>
      <c r="V118" s="37" t="n"/>
      <c r="W118" s="38" t="n"/>
      <c r="X118" s="38" t="n"/>
      <c r="Y118" s="44" t="str">
        <f>IF($AC118&gt;0,INDEX(CASHBACK_RULES!$A$5:$A$304,$AC118),"")</f>
        <v/>
      </c>
      <c r="Z118" s="45" t="str">
        <f>IF($AC118&gt;0,INDEX(CASHBACK_RULES!$E$5:$E$304,$AC118)&amp;"","")</f>
        <v/>
      </c>
      <c r="AA118" s="48" t="str">
        <f>IF($AC118&gt;0,IF(ISNUMBER(INDEX(CASHBACK_RULES!$K$5:$K$304,$AC118)),INDEX(CASHBACK_RULES!$K$5:$K$304,$AC118),"∞"),"")</f>
        <v/>
      </c>
      <c r="AB118" s="44" t="str">
        <f>IF(OR($B118="",$D118=""),"",IF($U118="Cancelled","Đã hủy",IF($AC118=0,"Không được hoàn",IF($Q118=0,IF(OR($O118&gt;0,$M118&lt;$L118),"Đã đạt cap","Không được hoàn"),IF(OR($Q118&lt;$O118,$M118&lt;$L118),"Hoàn một phần","Được hoàn")))))</f>
        <v/>
      </c>
      <c r="AC118" s="43">
        <f>IF(OR($B118="",$D118="",$I118="",$L118=""),0,IF($U118="Cancelled",0,IF($W118&lt;&gt;"",IFERROR(IF(INDEX(CASHBACK_RULES!$B$5:$B$304,MATCH($W118,CASHBACK_RULES!$A$5:$A$304,0))=$D118,MATCH($W118,CASHBACK_RULES!$A$5:$A$304,0),0),0),IFERROR(MATCH(1,INDEX((CASHBACK_RULES!$B$5:$B$304=$D118)*(CASHBACK_RULES!$G$5:$G$304=$I118)*(((CASHBACK_RULES!$N$5:$N$304="")+(CASHBACK_RULES!$N$5:$N$304&lt;=$B118))&gt;0)*(((CASHBACK_RULES!$O$5:$O$304="")+(CASHBACK_RULES!$O$5:$O$304&gt;=$B118))&gt;0)*(((CASHBACK_RULES!$M$5:$M$304="")+(CASHBACK_RULES!$M$5:$M$304&lt;=$L118))&gt;0),0),0),0))))</f>
        <v>0</v>
      </c>
      <c r="AD118" s="51" t="str">
        <f>IF(OR($B118="",$D118=""),"",IFERROR(IF(INDEX(CARDS!$H$5:$H$34,MATCH($D118,CARDS!$A$5:$A$34,0))="","",IF(DAY($B118)&lt;=INDEX(CARDS!$H$5:$H$34,MATCH($D118,CARDS!$A$5:$A$34,0)),DATE(YEAR($B118),MONTH($B118),MIN(INDEX(CARDS!$H$5:$H$34,MATCH($D118,CARDS!$A$5:$A$34,0)),DAY(EOMONTH($B118,0)))),DATE(YEAR($B118),MONTH($B118)+1,MIN(INDEX(CARDS!$H$5:$H$34,MATCH($D118,CARDS!$A$5:$A$34,0)),DAY(EOMONTH($B118,1)))))),""))</f>
        <v/>
      </c>
      <c r="AE118" s="52" t="str">
        <f>IF($C118="","",$C118&amp;"|"&amp;COUNTIF($C$5:$C118,$C118))</f>
        <v/>
      </c>
      <c r="AF118" s="53">
        <f>IF($AC118&gt;0,SUMIFS(Q$4:Q117,$D$4:$D117,$D118,$Z$4:$Z117,$Z118,$C$4:$C117,$C118),0)</f>
        <v>0</v>
      </c>
      <c r="AG118" s="53">
        <f>IF($AC118&gt;0,SUMIFS(Q$4:Q117,$D$4:$D117,$D118,$C$4:$C117,$C118),0)</f>
        <v>0</v>
      </c>
      <c r="AH118" s="53">
        <f>IF($AC118&gt;0,SUMIFS(M$4:M117,$D$4:$D117,$D118,$Z$4:$Z117,$Z118,$C$4:$C117,$C118),0)</f>
        <v>0</v>
      </c>
      <c r="AI118" s="43">
        <f>IF(OR($C118="",$I118=""),0,IF(COUNTIFS($C$5:$C118,$C118,$I$5:$I118,$I118)=1,1,0))</f>
        <v>0</v>
      </c>
      <c r="AJ118" s="43" t="str">
        <f>IF($AI118=1,SUMIFS($AI$4:$AI117,$C$4:$C117,$C118)+1,"")</f>
        <v/>
      </c>
      <c r="AK118" s="43">
        <f>IF(OR($C118="",$K118=""),0,IF(COUNTIFS($C$5:$C118,$C118,$K$5:$K118,$K118)=1,1,0))</f>
        <v>0</v>
      </c>
      <c r="AL118" s="43" t="str">
        <f>IF($AK118=1,SUMIFS($AK$4:$AK117,$C$4:$C117,$C118)+1,"")</f>
        <v/>
      </c>
      <c r="AM118" s="43">
        <f>IF(OR($C118="",$G118=""),0,IF(COUNTIFS($C$5:$C118,$C118,$G$5:$G118,$G118)=1,1,0))</f>
        <v>0</v>
      </c>
      <c r="AN118" s="43" t="str">
        <f>IF($AM118=1,SUMIFS($AM$4:$AM117,$C$4:$C117,$C118)+1,"")</f>
        <v/>
      </c>
    </row>
    <row r="119">
      <c r="A119" s="44" t="str">
        <f>IF(OR($B119="",$D119=""),"","TX"&amp;TEXT(ROW()-4,"0000"))</f>
        <v/>
      </c>
      <c r="B119" s="42" t="n"/>
      <c r="C119" s="47" t="str">
        <f>IF($B119="","",YEAR($B119)*100+MONTH($B119))</f>
        <v/>
      </c>
      <c r="D119" s="37" t="n"/>
      <c r="E119" s="45" t="str">
        <f>IF($D119="","",IFERROR(INDEX(CARDS!$B$5:$B$34,MATCH($D119,CARDS!$A$5:$A$34,0)),"⚠ Card ID?"))</f>
        <v/>
      </c>
      <c r="F119" s="45" t="str">
        <f>IF($D119="","",IFERROR(INDEX(CARDS!$C$5:$C$34,MATCH($D119,CARDS!$A$5:$A$34,0)),"⚠ Card ID?"))</f>
        <v/>
      </c>
      <c r="G119" s="37" t="n"/>
      <c r="H119" s="37" t="n"/>
      <c r="I119" s="41" t="n"/>
      <c r="J119" s="45" t="str">
        <f>IF($I119="","",IFERROR(INDEX(MCC_MASTER!$B$5:$B$504,MATCH($I119,MCC_MASTER!$A$5:$A$504,0)),"⚠ MCC chưa có"))</f>
        <v/>
      </c>
      <c r="K119" s="45" t="str">
        <f>IF($I119="","",IFERROR(IF(INDEX(MCC_MASTER!$C$5:$C$504,MATCH($I119,MCC_MASTER!$A$5:$A$504,0))="","Chưa phân loại",INDEX(MCC_MASTER!$C$5:$C$504,MATCH($I119,MCC_MASTER!$A$5:$A$504,0))),"Chưa phân loại"))</f>
        <v/>
      </c>
      <c r="L119" s="40" t="n"/>
      <c r="M119" s="48" t="str">
        <f>IF(OR($B119="",$D119=""),"",IF($AC119=0,0,IF(ISNUMBER(INDEX(CASHBACK_RULES!$L$5:$L$304,$AC119)),MAX(0,MIN($L119,INDEX(CASHBACK_RULES!$L$5:$L$304,$AC119)-$AH119)),MAX(0,$L119))))</f>
        <v/>
      </c>
      <c r="N119" s="49" t="str">
        <f>IF(OR($B119="",$D119=""),"",IF($AC119&gt;0,INDEX(CASHBACK_RULES!$I$5:$I$304,$AC119),0))</f>
        <v/>
      </c>
      <c r="O119" s="48" t="str">
        <f>IF(OR($B119="",$D119=""),"",ROUND($M119*$N119,0))</f>
        <v/>
      </c>
      <c r="P119" s="48" t="str">
        <f>IF($AC119&gt;0,IF(ISNUMBER(INDEX(CASHBACK_RULES!$J$5:$J$304,$AC119)),INDEX(CASHBACK_RULES!$J$5:$J$304,$AC119),"∞"),"")</f>
        <v/>
      </c>
      <c r="Q119" s="48" t="str">
        <f>IF(OR($B119="",$D119=""),"",IF($AC119=0,0,MAX(0,MIN($O119,IF(ISNUMBER($P119),$P119-$AF119,1E+15),IF(ISNUMBER($AA119),$AA119-$AG119,1E+15)))))</f>
        <v/>
      </c>
      <c r="R119" s="48" t="str">
        <f>IF(OR($B119="",$D119=""),"",IF($AC119=0,"",IF(AND(NOT(ISNUMBER($P119)),NOT(ISNUMBER($AA119))),"∞",MAX(0,MIN(IF(ISNUMBER($P119),$P119-$AF119-$Q119,1E+15),IF(ISNUMBER($AA119),$AA119-$AG119-$Q119,1E+15))))))</f>
        <v/>
      </c>
      <c r="S119" s="47" t="str">
        <f>IF($AD119="","",YEAR($AD119)*100+MONTH($AD119))</f>
        <v/>
      </c>
      <c r="T119" s="50" t="str">
        <f>IF($AD119="","",IFERROR(IF(INDEX(CARDS!$I$5:$I$34,MATCH($D119,CARDS!$A$5:$A$34,0))="","",IF(INDEX(CARDS!$I$5:$I$34,MATCH($D119,CARDS!$A$5:$A$34,0))&gt;INDEX(CARDS!$H$5:$H$34,MATCH($D119,CARDS!$A$5:$A$34,0)),DATE(YEAR($AD119),MONTH($AD119),MIN(INDEX(CARDS!$I$5:$I$34,MATCH($D119,CARDS!$A$5:$A$34,0)),DAY(EOMONTH($AD119,0)))),DATE(YEAR($AD119),MONTH($AD119)+1,MIN(INDEX(CARDS!$I$5:$I$34,MATCH($D119,CARDS!$A$5:$A$34,0)),DAY(EOMONTH($AD119,1)))))),""))</f>
        <v/>
      </c>
      <c r="U119" s="38" t="n"/>
      <c r="V119" s="37" t="n"/>
      <c r="W119" s="38" t="n"/>
      <c r="X119" s="38" t="n"/>
      <c r="Y119" s="44" t="str">
        <f>IF($AC119&gt;0,INDEX(CASHBACK_RULES!$A$5:$A$304,$AC119),"")</f>
        <v/>
      </c>
      <c r="Z119" s="45" t="str">
        <f>IF($AC119&gt;0,INDEX(CASHBACK_RULES!$E$5:$E$304,$AC119)&amp;"","")</f>
        <v/>
      </c>
      <c r="AA119" s="48" t="str">
        <f>IF($AC119&gt;0,IF(ISNUMBER(INDEX(CASHBACK_RULES!$K$5:$K$304,$AC119)),INDEX(CASHBACK_RULES!$K$5:$K$304,$AC119),"∞"),"")</f>
        <v/>
      </c>
      <c r="AB119" s="44" t="str">
        <f>IF(OR($B119="",$D119=""),"",IF($U119="Cancelled","Đã hủy",IF($AC119=0,"Không được hoàn",IF($Q119=0,IF(OR($O119&gt;0,$M119&lt;$L119),"Đã đạt cap","Không được hoàn"),IF(OR($Q119&lt;$O119,$M119&lt;$L119),"Hoàn một phần","Được hoàn")))))</f>
        <v/>
      </c>
      <c r="AC119" s="43">
        <f>IF(OR($B119="",$D119="",$I119="",$L119=""),0,IF($U119="Cancelled",0,IF($W119&lt;&gt;"",IFERROR(IF(INDEX(CASHBACK_RULES!$B$5:$B$304,MATCH($W119,CASHBACK_RULES!$A$5:$A$304,0))=$D119,MATCH($W119,CASHBACK_RULES!$A$5:$A$304,0),0),0),IFERROR(MATCH(1,INDEX((CASHBACK_RULES!$B$5:$B$304=$D119)*(CASHBACK_RULES!$G$5:$G$304=$I119)*(((CASHBACK_RULES!$N$5:$N$304="")+(CASHBACK_RULES!$N$5:$N$304&lt;=$B119))&gt;0)*(((CASHBACK_RULES!$O$5:$O$304="")+(CASHBACK_RULES!$O$5:$O$304&gt;=$B119))&gt;0)*(((CASHBACK_RULES!$M$5:$M$304="")+(CASHBACK_RULES!$M$5:$M$304&lt;=$L119))&gt;0),0),0),0))))</f>
        <v>0</v>
      </c>
      <c r="AD119" s="51" t="str">
        <f>IF(OR($B119="",$D119=""),"",IFERROR(IF(INDEX(CARDS!$H$5:$H$34,MATCH($D119,CARDS!$A$5:$A$34,0))="","",IF(DAY($B119)&lt;=INDEX(CARDS!$H$5:$H$34,MATCH($D119,CARDS!$A$5:$A$34,0)),DATE(YEAR($B119),MONTH($B119),MIN(INDEX(CARDS!$H$5:$H$34,MATCH($D119,CARDS!$A$5:$A$34,0)),DAY(EOMONTH($B119,0)))),DATE(YEAR($B119),MONTH($B119)+1,MIN(INDEX(CARDS!$H$5:$H$34,MATCH($D119,CARDS!$A$5:$A$34,0)),DAY(EOMONTH($B119,1)))))),""))</f>
        <v/>
      </c>
      <c r="AE119" s="52" t="str">
        <f>IF($C119="","",$C119&amp;"|"&amp;COUNTIF($C$5:$C119,$C119))</f>
        <v/>
      </c>
      <c r="AF119" s="53">
        <f>IF($AC119&gt;0,SUMIFS(Q$4:Q118,$D$4:$D118,$D119,$Z$4:$Z118,$Z119,$C$4:$C118,$C119),0)</f>
        <v>0</v>
      </c>
      <c r="AG119" s="53">
        <f>IF($AC119&gt;0,SUMIFS(Q$4:Q118,$D$4:$D118,$D119,$C$4:$C118,$C119),0)</f>
        <v>0</v>
      </c>
      <c r="AH119" s="53">
        <f>IF($AC119&gt;0,SUMIFS(M$4:M118,$D$4:$D118,$D119,$Z$4:$Z118,$Z119,$C$4:$C118,$C119),0)</f>
        <v>0</v>
      </c>
      <c r="AI119" s="43">
        <f>IF(OR($C119="",$I119=""),0,IF(COUNTIFS($C$5:$C119,$C119,$I$5:$I119,$I119)=1,1,0))</f>
        <v>0</v>
      </c>
      <c r="AJ119" s="43" t="str">
        <f>IF($AI119=1,SUMIFS($AI$4:$AI118,$C$4:$C118,$C119)+1,"")</f>
        <v/>
      </c>
      <c r="AK119" s="43">
        <f>IF(OR($C119="",$K119=""),0,IF(COUNTIFS($C$5:$C119,$C119,$K$5:$K119,$K119)=1,1,0))</f>
        <v>0</v>
      </c>
      <c r="AL119" s="43" t="str">
        <f>IF($AK119=1,SUMIFS($AK$4:$AK118,$C$4:$C118,$C119)+1,"")</f>
        <v/>
      </c>
      <c r="AM119" s="43">
        <f>IF(OR($C119="",$G119=""),0,IF(COUNTIFS($C$5:$C119,$C119,$G$5:$G119,$G119)=1,1,0))</f>
        <v>0</v>
      </c>
      <c r="AN119" s="43" t="str">
        <f>IF($AM119=1,SUMIFS($AM$4:$AM118,$C$4:$C118,$C119)+1,"")</f>
        <v/>
      </c>
    </row>
    <row r="120">
      <c r="A120" s="44" t="str">
        <f>IF(OR($B120="",$D120=""),"","TX"&amp;TEXT(ROW()-4,"0000"))</f>
        <v/>
      </c>
      <c r="B120" s="42" t="n"/>
      <c r="C120" s="47" t="str">
        <f>IF($B120="","",YEAR($B120)*100+MONTH($B120))</f>
        <v/>
      </c>
      <c r="D120" s="37" t="n"/>
      <c r="E120" s="45" t="str">
        <f>IF($D120="","",IFERROR(INDEX(CARDS!$B$5:$B$34,MATCH($D120,CARDS!$A$5:$A$34,0)),"⚠ Card ID?"))</f>
        <v/>
      </c>
      <c r="F120" s="45" t="str">
        <f>IF($D120="","",IFERROR(INDEX(CARDS!$C$5:$C$34,MATCH($D120,CARDS!$A$5:$A$34,0)),"⚠ Card ID?"))</f>
        <v/>
      </c>
      <c r="G120" s="37" t="n"/>
      <c r="H120" s="37" t="n"/>
      <c r="I120" s="41" t="n"/>
      <c r="J120" s="45" t="str">
        <f>IF($I120="","",IFERROR(INDEX(MCC_MASTER!$B$5:$B$504,MATCH($I120,MCC_MASTER!$A$5:$A$504,0)),"⚠ MCC chưa có"))</f>
        <v/>
      </c>
      <c r="K120" s="45" t="str">
        <f>IF($I120="","",IFERROR(IF(INDEX(MCC_MASTER!$C$5:$C$504,MATCH($I120,MCC_MASTER!$A$5:$A$504,0))="","Chưa phân loại",INDEX(MCC_MASTER!$C$5:$C$504,MATCH($I120,MCC_MASTER!$A$5:$A$504,0))),"Chưa phân loại"))</f>
        <v/>
      </c>
      <c r="L120" s="40" t="n"/>
      <c r="M120" s="48" t="str">
        <f>IF(OR($B120="",$D120=""),"",IF($AC120=0,0,IF(ISNUMBER(INDEX(CASHBACK_RULES!$L$5:$L$304,$AC120)),MAX(0,MIN($L120,INDEX(CASHBACK_RULES!$L$5:$L$304,$AC120)-$AH120)),MAX(0,$L120))))</f>
        <v/>
      </c>
      <c r="N120" s="49" t="str">
        <f>IF(OR($B120="",$D120=""),"",IF($AC120&gt;0,INDEX(CASHBACK_RULES!$I$5:$I$304,$AC120),0))</f>
        <v/>
      </c>
      <c r="O120" s="48" t="str">
        <f>IF(OR($B120="",$D120=""),"",ROUND($M120*$N120,0))</f>
        <v/>
      </c>
      <c r="P120" s="48" t="str">
        <f>IF($AC120&gt;0,IF(ISNUMBER(INDEX(CASHBACK_RULES!$J$5:$J$304,$AC120)),INDEX(CASHBACK_RULES!$J$5:$J$304,$AC120),"∞"),"")</f>
        <v/>
      </c>
      <c r="Q120" s="48" t="str">
        <f>IF(OR($B120="",$D120=""),"",IF($AC120=0,0,MAX(0,MIN($O120,IF(ISNUMBER($P120),$P120-$AF120,1E+15),IF(ISNUMBER($AA120),$AA120-$AG120,1E+15)))))</f>
        <v/>
      </c>
      <c r="R120" s="48" t="str">
        <f>IF(OR($B120="",$D120=""),"",IF($AC120=0,"",IF(AND(NOT(ISNUMBER($P120)),NOT(ISNUMBER($AA120))),"∞",MAX(0,MIN(IF(ISNUMBER($P120),$P120-$AF120-$Q120,1E+15),IF(ISNUMBER($AA120),$AA120-$AG120-$Q120,1E+15))))))</f>
        <v/>
      </c>
      <c r="S120" s="47" t="str">
        <f>IF($AD120="","",YEAR($AD120)*100+MONTH($AD120))</f>
        <v/>
      </c>
      <c r="T120" s="50" t="str">
        <f>IF($AD120="","",IFERROR(IF(INDEX(CARDS!$I$5:$I$34,MATCH($D120,CARDS!$A$5:$A$34,0))="","",IF(INDEX(CARDS!$I$5:$I$34,MATCH($D120,CARDS!$A$5:$A$34,0))&gt;INDEX(CARDS!$H$5:$H$34,MATCH($D120,CARDS!$A$5:$A$34,0)),DATE(YEAR($AD120),MONTH($AD120),MIN(INDEX(CARDS!$I$5:$I$34,MATCH($D120,CARDS!$A$5:$A$34,0)),DAY(EOMONTH($AD120,0)))),DATE(YEAR($AD120),MONTH($AD120)+1,MIN(INDEX(CARDS!$I$5:$I$34,MATCH($D120,CARDS!$A$5:$A$34,0)),DAY(EOMONTH($AD120,1)))))),""))</f>
        <v/>
      </c>
      <c r="U120" s="38" t="n"/>
      <c r="V120" s="37" t="n"/>
      <c r="W120" s="38" t="n"/>
      <c r="X120" s="38" t="n"/>
      <c r="Y120" s="44" t="str">
        <f>IF($AC120&gt;0,INDEX(CASHBACK_RULES!$A$5:$A$304,$AC120),"")</f>
        <v/>
      </c>
      <c r="Z120" s="45" t="str">
        <f>IF($AC120&gt;0,INDEX(CASHBACK_RULES!$E$5:$E$304,$AC120)&amp;"","")</f>
        <v/>
      </c>
      <c r="AA120" s="48" t="str">
        <f>IF($AC120&gt;0,IF(ISNUMBER(INDEX(CASHBACK_RULES!$K$5:$K$304,$AC120)),INDEX(CASHBACK_RULES!$K$5:$K$304,$AC120),"∞"),"")</f>
        <v/>
      </c>
      <c r="AB120" s="44" t="str">
        <f>IF(OR($B120="",$D120=""),"",IF($U120="Cancelled","Đã hủy",IF($AC120=0,"Không được hoàn",IF($Q120=0,IF(OR($O120&gt;0,$M120&lt;$L120),"Đã đạt cap","Không được hoàn"),IF(OR($Q120&lt;$O120,$M120&lt;$L120),"Hoàn một phần","Được hoàn")))))</f>
        <v/>
      </c>
      <c r="AC120" s="43">
        <f>IF(OR($B120="",$D120="",$I120="",$L120=""),0,IF($U120="Cancelled",0,IF($W120&lt;&gt;"",IFERROR(IF(INDEX(CASHBACK_RULES!$B$5:$B$304,MATCH($W120,CASHBACK_RULES!$A$5:$A$304,0))=$D120,MATCH($W120,CASHBACK_RULES!$A$5:$A$304,0),0),0),IFERROR(MATCH(1,INDEX((CASHBACK_RULES!$B$5:$B$304=$D120)*(CASHBACK_RULES!$G$5:$G$304=$I120)*(((CASHBACK_RULES!$N$5:$N$304="")+(CASHBACK_RULES!$N$5:$N$304&lt;=$B120))&gt;0)*(((CASHBACK_RULES!$O$5:$O$304="")+(CASHBACK_RULES!$O$5:$O$304&gt;=$B120))&gt;0)*(((CASHBACK_RULES!$M$5:$M$304="")+(CASHBACK_RULES!$M$5:$M$304&lt;=$L120))&gt;0),0),0),0))))</f>
        <v>0</v>
      </c>
      <c r="AD120" s="51" t="str">
        <f>IF(OR($B120="",$D120=""),"",IFERROR(IF(INDEX(CARDS!$H$5:$H$34,MATCH($D120,CARDS!$A$5:$A$34,0))="","",IF(DAY($B120)&lt;=INDEX(CARDS!$H$5:$H$34,MATCH($D120,CARDS!$A$5:$A$34,0)),DATE(YEAR($B120),MONTH($B120),MIN(INDEX(CARDS!$H$5:$H$34,MATCH($D120,CARDS!$A$5:$A$34,0)),DAY(EOMONTH($B120,0)))),DATE(YEAR($B120),MONTH($B120)+1,MIN(INDEX(CARDS!$H$5:$H$34,MATCH($D120,CARDS!$A$5:$A$34,0)),DAY(EOMONTH($B120,1)))))),""))</f>
        <v/>
      </c>
      <c r="AE120" s="52" t="str">
        <f>IF($C120="","",$C120&amp;"|"&amp;COUNTIF($C$5:$C120,$C120))</f>
        <v/>
      </c>
      <c r="AF120" s="53">
        <f>IF($AC120&gt;0,SUMIFS(Q$4:Q119,$D$4:$D119,$D120,$Z$4:$Z119,$Z120,$C$4:$C119,$C120),0)</f>
        <v>0</v>
      </c>
      <c r="AG120" s="53">
        <f>IF($AC120&gt;0,SUMIFS(Q$4:Q119,$D$4:$D119,$D120,$C$4:$C119,$C120),0)</f>
        <v>0</v>
      </c>
      <c r="AH120" s="53">
        <f>IF($AC120&gt;0,SUMIFS(M$4:M119,$D$4:$D119,$D120,$Z$4:$Z119,$Z120,$C$4:$C119,$C120),0)</f>
        <v>0</v>
      </c>
      <c r="AI120" s="43">
        <f>IF(OR($C120="",$I120=""),0,IF(COUNTIFS($C$5:$C120,$C120,$I$5:$I120,$I120)=1,1,0))</f>
        <v>0</v>
      </c>
      <c r="AJ120" s="43" t="str">
        <f>IF($AI120=1,SUMIFS($AI$4:$AI119,$C$4:$C119,$C120)+1,"")</f>
        <v/>
      </c>
      <c r="AK120" s="43">
        <f>IF(OR($C120="",$K120=""),0,IF(COUNTIFS($C$5:$C120,$C120,$K$5:$K120,$K120)=1,1,0))</f>
        <v>0</v>
      </c>
      <c r="AL120" s="43" t="str">
        <f>IF($AK120=1,SUMIFS($AK$4:$AK119,$C$4:$C119,$C120)+1,"")</f>
        <v/>
      </c>
      <c r="AM120" s="43">
        <f>IF(OR($C120="",$G120=""),0,IF(COUNTIFS($C$5:$C120,$C120,$G$5:$G120,$G120)=1,1,0))</f>
        <v>0</v>
      </c>
      <c r="AN120" s="43" t="str">
        <f>IF($AM120=1,SUMIFS($AM$4:$AM119,$C$4:$C119,$C120)+1,"")</f>
        <v/>
      </c>
    </row>
    <row r="121">
      <c r="A121" s="44" t="str">
        <f>IF(OR($B121="",$D121=""),"","TX"&amp;TEXT(ROW()-4,"0000"))</f>
        <v/>
      </c>
      <c r="B121" s="42" t="n"/>
      <c r="C121" s="47" t="str">
        <f>IF($B121="","",YEAR($B121)*100+MONTH($B121))</f>
        <v/>
      </c>
      <c r="D121" s="37" t="n"/>
      <c r="E121" s="45" t="str">
        <f>IF($D121="","",IFERROR(INDEX(CARDS!$B$5:$B$34,MATCH($D121,CARDS!$A$5:$A$34,0)),"⚠ Card ID?"))</f>
        <v/>
      </c>
      <c r="F121" s="45" t="str">
        <f>IF($D121="","",IFERROR(INDEX(CARDS!$C$5:$C$34,MATCH($D121,CARDS!$A$5:$A$34,0)),"⚠ Card ID?"))</f>
        <v/>
      </c>
      <c r="G121" s="37" t="n"/>
      <c r="H121" s="37" t="n"/>
      <c r="I121" s="41" t="n"/>
      <c r="J121" s="45" t="str">
        <f>IF($I121="","",IFERROR(INDEX(MCC_MASTER!$B$5:$B$504,MATCH($I121,MCC_MASTER!$A$5:$A$504,0)),"⚠ MCC chưa có"))</f>
        <v/>
      </c>
      <c r="K121" s="45" t="str">
        <f>IF($I121="","",IFERROR(IF(INDEX(MCC_MASTER!$C$5:$C$504,MATCH($I121,MCC_MASTER!$A$5:$A$504,0))="","Chưa phân loại",INDEX(MCC_MASTER!$C$5:$C$504,MATCH($I121,MCC_MASTER!$A$5:$A$504,0))),"Chưa phân loại"))</f>
        <v/>
      </c>
      <c r="L121" s="40" t="n"/>
      <c r="M121" s="48" t="str">
        <f>IF(OR($B121="",$D121=""),"",IF($AC121=0,0,IF(ISNUMBER(INDEX(CASHBACK_RULES!$L$5:$L$304,$AC121)),MAX(0,MIN($L121,INDEX(CASHBACK_RULES!$L$5:$L$304,$AC121)-$AH121)),MAX(0,$L121))))</f>
        <v/>
      </c>
      <c r="N121" s="49" t="str">
        <f>IF(OR($B121="",$D121=""),"",IF($AC121&gt;0,INDEX(CASHBACK_RULES!$I$5:$I$304,$AC121),0))</f>
        <v/>
      </c>
      <c r="O121" s="48" t="str">
        <f>IF(OR($B121="",$D121=""),"",ROUND($M121*$N121,0))</f>
        <v/>
      </c>
      <c r="P121" s="48" t="str">
        <f>IF($AC121&gt;0,IF(ISNUMBER(INDEX(CASHBACK_RULES!$J$5:$J$304,$AC121)),INDEX(CASHBACK_RULES!$J$5:$J$304,$AC121),"∞"),"")</f>
        <v/>
      </c>
      <c r="Q121" s="48" t="str">
        <f>IF(OR($B121="",$D121=""),"",IF($AC121=0,0,MAX(0,MIN($O121,IF(ISNUMBER($P121),$P121-$AF121,1E+15),IF(ISNUMBER($AA121),$AA121-$AG121,1E+15)))))</f>
        <v/>
      </c>
      <c r="R121" s="48" t="str">
        <f>IF(OR($B121="",$D121=""),"",IF($AC121=0,"",IF(AND(NOT(ISNUMBER($P121)),NOT(ISNUMBER($AA121))),"∞",MAX(0,MIN(IF(ISNUMBER($P121),$P121-$AF121-$Q121,1E+15),IF(ISNUMBER($AA121),$AA121-$AG121-$Q121,1E+15))))))</f>
        <v/>
      </c>
      <c r="S121" s="47" t="str">
        <f>IF($AD121="","",YEAR($AD121)*100+MONTH($AD121))</f>
        <v/>
      </c>
      <c r="T121" s="50" t="str">
        <f>IF($AD121="","",IFERROR(IF(INDEX(CARDS!$I$5:$I$34,MATCH($D121,CARDS!$A$5:$A$34,0))="","",IF(INDEX(CARDS!$I$5:$I$34,MATCH($D121,CARDS!$A$5:$A$34,0))&gt;INDEX(CARDS!$H$5:$H$34,MATCH($D121,CARDS!$A$5:$A$34,0)),DATE(YEAR($AD121),MONTH($AD121),MIN(INDEX(CARDS!$I$5:$I$34,MATCH($D121,CARDS!$A$5:$A$34,0)),DAY(EOMONTH($AD121,0)))),DATE(YEAR($AD121),MONTH($AD121)+1,MIN(INDEX(CARDS!$I$5:$I$34,MATCH($D121,CARDS!$A$5:$A$34,0)),DAY(EOMONTH($AD121,1)))))),""))</f>
        <v/>
      </c>
      <c r="U121" s="38" t="n"/>
      <c r="V121" s="37" t="n"/>
      <c r="W121" s="38" t="n"/>
      <c r="X121" s="38" t="n"/>
      <c r="Y121" s="44" t="str">
        <f>IF($AC121&gt;0,INDEX(CASHBACK_RULES!$A$5:$A$304,$AC121),"")</f>
        <v/>
      </c>
      <c r="Z121" s="45" t="str">
        <f>IF($AC121&gt;0,INDEX(CASHBACK_RULES!$E$5:$E$304,$AC121)&amp;"","")</f>
        <v/>
      </c>
      <c r="AA121" s="48" t="str">
        <f>IF($AC121&gt;0,IF(ISNUMBER(INDEX(CASHBACK_RULES!$K$5:$K$304,$AC121)),INDEX(CASHBACK_RULES!$K$5:$K$304,$AC121),"∞"),"")</f>
        <v/>
      </c>
      <c r="AB121" s="44" t="str">
        <f>IF(OR($B121="",$D121=""),"",IF($U121="Cancelled","Đã hủy",IF($AC121=0,"Không được hoàn",IF($Q121=0,IF(OR($O121&gt;0,$M121&lt;$L121),"Đã đạt cap","Không được hoàn"),IF(OR($Q121&lt;$O121,$M121&lt;$L121),"Hoàn một phần","Được hoàn")))))</f>
        <v/>
      </c>
      <c r="AC121" s="43">
        <f>IF(OR($B121="",$D121="",$I121="",$L121=""),0,IF($U121="Cancelled",0,IF($W121&lt;&gt;"",IFERROR(IF(INDEX(CASHBACK_RULES!$B$5:$B$304,MATCH($W121,CASHBACK_RULES!$A$5:$A$304,0))=$D121,MATCH($W121,CASHBACK_RULES!$A$5:$A$304,0),0),0),IFERROR(MATCH(1,INDEX((CASHBACK_RULES!$B$5:$B$304=$D121)*(CASHBACK_RULES!$G$5:$G$304=$I121)*(((CASHBACK_RULES!$N$5:$N$304="")+(CASHBACK_RULES!$N$5:$N$304&lt;=$B121))&gt;0)*(((CASHBACK_RULES!$O$5:$O$304="")+(CASHBACK_RULES!$O$5:$O$304&gt;=$B121))&gt;0)*(((CASHBACK_RULES!$M$5:$M$304="")+(CASHBACK_RULES!$M$5:$M$304&lt;=$L121))&gt;0),0),0),0))))</f>
        <v>0</v>
      </c>
      <c r="AD121" s="51" t="str">
        <f>IF(OR($B121="",$D121=""),"",IFERROR(IF(INDEX(CARDS!$H$5:$H$34,MATCH($D121,CARDS!$A$5:$A$34,0))="","",IF(DAY($B121)&lt;=INDEX(CARDS!$H$5:$H$34,MATCH($D121,CARDS!$A$5:$A$34,0)),DATE(YEAR($B121),MONTH($B121),MIN(INDEX(CARDS!$H$5:$H$34,MATCH($D121,CARDS!$A$5:$A$34,0)),DAY(EOMONTH($B121,0)))),DATE(YEAR($B121),MONTH($B121)+1,MIN(INDEX(CARDS!$H$5:$H$34,MATCH($D121,CARDS!$A$5:$A$34,0)),DAY(EOMONTH($B121,1)))))),""))</f>
        <v/>
      </c>
      <c r="AE121" s="52" t="str">
        <f>IF($C121="","",$C121&amp;"|"&amp;COUNTIF($C$5:$C121,$C121))</f>
        <v/>
      </c>
      <c r="AF121" s="53">
        <f>IF($AC121&gt;0,SUMIFS(Q$4:Q120,$D$4:$D120,$D121,$Z$4:$Z120,$Z121,$C$4:$C120,$C121),0)</f>
        <v>0</v>
      </c>
      <c r="AG121" s="53">
        <f>IF($AC121&gt;0,SUMIFS(Q$4:Q120,$D$4:$D120,$D121,$C$4:$C120,$C121),0)</f>
        <v>0</v>
      </c>
      <c r="AH121" s="53">
        <f>IF($AC121&gt;0,SUMIFS(M$4:M120,$D$4:$D120,$D121,$Z$4:$Z120,$Z121,$C$4:$C120,$C121),0)</f>
        <v>0</v>
      </c>
      <c r="AI121" s="43">
        <f>IF(OR($C121="",$I121=""),0,IF(COUNTIFS($C$5:$C121,$C121,$I$5:$I121,$I121)=1,1,0))</f>
        <v>0</v>
      </c>
      <c r="AJ121" s="43" t="str">
        <f>IF($AI121=1,SUMIFS($AI$4:$AI120,$C$4:$C120,$C121)+1,"")</f>
        <v/>
      </c>
      <c r="AK121" s="43">
        <f>IF(OR($C121="",$K121=""),0,IF(COUNTIFS($C$5:$C121,$C121,$K$5:$K121,$K121)=1,1,0))</f>
        <v>0</v>
      </c>
      <c r="AL121" s="43" t="str">
        <f>IF($AK121=1,SUMIFS($AK$4:$AK120,$C$4:$C120,$C121)+1,"")</f>
        <v/>
      </c>
      <c r="AM121" s="43">
        <f>IF(OR($C121="",$G121=""),0,IF(COUNTIFS($C$5:$C121,$C121,$G$5:$G121,$G121)=1,1,0))</f>
        <v>0</v>
      </c>
      <c r="AN121" s="43" t="str">
        <f>IF($AM121=1,SUMIFS($AM$4:$AM120,$C$4:$C120,$C121)+1,"")</f>
        <v/>
      </c>
    </row>
    <row r="122">
      <c r="A122" s="44" t="str">
        <f>IF(OR($B122="",$D122=""),"","TX"&amp;TEXT(ROW()-4,"0000"))</f>
        <v/>
      </c>
      <c r="B122" s="42" t="n"/>
      <c r="C122" s="47" t="str">
        <f>IF($B122="","",YEAR($B122)*100+MONTH($B122))</f>
        <v/>
      </c>
      <c r="D122" s="37" t="n"/>
      <c r="E122" s="45" t="str">
        <f>IF($D122="","",IFERROR(INDEX(CARDS!$B$5:$B$34,MATCH($D122,CARDS!$A$5:$A$34,0)),"⚠ Card ID?"))</f>
        <v/>
      </c>
      <c r="F122" s="45" t="str">
        <f>IF($D122="","",IFERROR(INDEX(CARDS!$C$5:$C$34,MATCH($D122,CARDS!$A$5:$A$34,0)),"⚠ Card ID?"))</f>
        <v/>
      </c>
      <c r="G122" s="37" t="n"/>
      <c r="H122" s="37" t="n"/>
      <c r="I122" s="41" t="n"/>
      <c r="J122" s="45" t="str">
        <f>IF($I122="","",IFERROR(INDEX(MCC_MASTER!$B$5:$B$504,MATCH($I122,MCC_MASTER!$A$5:$A$504,0)),"⚠ MCC chưa có"))</f>
        <v/>
      </c>
      <c r="K122" s="45" t="str">
        <f>IF($I122="","",IFERROR(IF(INDEX(MCC_MASTER!$C$5:$C$504,MATCH($I122,MCC_MASTER!$A$5:$A$504,0))="","Chưa phân loại",INDEX(MCC_MASTER!$C$5:$C$504,MATCH($I122,MCC_MASTER!$A$5:$A$504,0))),"Chưa phân loại"))</f>
        <v/>
      </c>
      <c r="L122" s="40" t="n"/>
      <c r="M122" s="48" t="str">
        <f>IF(OR($B122="",$D122=""),"",IF($AC122=0,0,IF(ISNUMBER(INDEX(CASHBACK_RULES!$L$5:$L$304,$AC122)),MAX(0,MIN($L122,INDEX(CASHBACK_RULES!$L$5:$L$304,$AC122)-$AH122)),MAX(0,$L122))))</f>
        <v/>
      </c>
      <c r="N122" s="49" t="str">
        <f>IF(OR($B122="",$D122=""),"",IF($AC122&gt;0,INDEX(CASHBACK_RULES!$I$5:$I$304,$AC122),0))</f>
        <v/>
      </c>
      <c r="O122" s="48" t="str">
        <f>IF(OR($B122="",$D122=""),"",ROUND($M122*$N122,0))</f>
        <v/>
      </c>
      <c r="P122" s="48" t="str">
        <f>IF($AC122&gt;0,IF(ISNUMBER(INDEX(CASHBACK_RULES!$J$5:$J$304,$AC122)),INDEX(CASHBACK_RULES!$J$5:$J$304,$AC122),"∞"),"")</f>
        <v/>
      </c>
      <c r="Q122" s="48" t="str">
        <f>IF(OR($B122="",$D122=""),"",IF($AC122=0,0,MAX(0,MIN($O122,IF(ISNUMBER($P122),$P122-$AF122,1E+15),IF(ISNUMBER($AA122),$AA122-$AG122,1E+15)))))</f>
        <v/>
      </c>
      <c r="R122" s="48" t="str">
        <f>IF(OR($B122="",$D122=""),"",IF($AC122=0,"",IF(AND(NOT(ISNUMBER($P122)),NOT(ISNUMBER($AA122))),"∞",MAX(0,MIN(IF(ISNUMBER($P122),$P122-$AF122-$Q122,1E+15),IF(ISNUMBER($AA122),$AA122-$AG122-$Q122,1E+15))))))</f>
        <v/>
      </c>
      <c r="S122" s="47" t="str">
        <f>IF($AD122="","",YEAR($AD122)*100+MONTH($AD122))</f>
        <v/>
      </c>
      <c r="T122" s="50" t="str">
        <f>IF($AD122="","",IFERROR(IF(INDEX(CARDS!$I$5:$I$34,MATCH($D122,CARDS!$A$5:$A$34,0))="","",IF(INDEX(CARDS!$I$5:$I$34,MATCH($D122,CARDS!$A$5:$A$34,0))&gt;INDEX(CARDS!$H$5:$H$34,MATCH($D122,CARDS!$A$5:$A$34,0)),DATE(YEAR($AD122),MONTH($AD122),MIN(INDEX(CARDS!$I$5:$I$34,MATCH($D122,CARDS!$A$5:$A$34,0)),DAY(EOMONTH($AD122,0)))),DATE(YEAR($AD122),MONTH($AD122)+1,MIN(INDEX(CARDS!$I$5:$I$34,MATCH($D122,CARDS!$A$5:$A$34,0)),DAY(EOMONTH($AD122,1)))))),""))</f>
        <v/>
      </c>
      <c r="U122" s="38" t="n"/>
      <c r="V122" s="37" t="n"/>
      <c r="W122" s="38" t="n"/>
      <c r="X122" s="38" t="n"/>
      <c r="Y122" s="44" t="str">
        <f>IF($AC122&gt;0,INDEX(CASHBACK_RULES!$A$5:$A$304,$AC122),"")</f>
        <v/>
      </c>
      <c r="Z122" s="45" t="str">
        <f>IF($AC122&gt;0,INDEX(CASHBACK_RULES!$E$5:$E$304,$AC122)&amp;"","")</f>
        <v/>
      </c>
      <c r="AA122" s="48" t="str">
        <f>IF($AC122&gt;0,IF(ISNUMBER(INDEX(CASHBACK_RULES!$K$5:$K$304,$AC122)),INDEX(CASHBACK_RULES!$K$5:$K$304,$AC122),"∞"),"")</f>
        <v/>
      </c>
      <c r="AB122" s="44" t="str">
        <f>IF(OR($B122="",$D122=""),"",IF($U122="Cancelled","Đã hủy",IF($AC122=0,"Không được hoàn",IF($Q122=0,IF(OR($O122&gt;0,$M122&lt;$L122),"Đã đạt cap","Không được hoàn"),IF(OR($Q122&lt;$O122,$M122&lt;$L122),"Hoàn một phần","Được hoàn")))))</f>
        <v/>
      </c>
      <c r="AC122" s="43">
        <f>IF(OR($B122="",$D122="",$I122="",$L122=""),0,IF($U122="Cancelled",0,IF($W122&lt;&gt;"",IFERROR(IF(INDEX(CASHBACK_RULES!$B$5:$B$304,MATCH($W122,CASHBACK_RULES!$A$5:$A$304,0))=$D122,MATCH($W122,CASHBACK_RULES!$A$5:$A$304,0),0),0),IFERROR(MATCH(1,INDEX((CASHBACK_RULES!$B$5:$B$304=$D122)*(CASHBACK_RULES!$G$5:$G$304=$I122)*(((CASHBACK_RULES!$N$5:$N$304="")+(CASHBACK_RULES!$N$5:$N$304&lt;=$B122))&gt;0)*(((CASHBACK_RULES!$O$5:$O$304="")+(CASHBACK_RULES!$O$5:$O$304&gt;=$B122))&gt;0)*(((CASHBACK_RULES!$M$5:$M$304="")+(CASHBACK_RULES!$M$5:$M$304&lt;=$L122))&gt;0),0),0),0))))</f>
        <v>0</v>
      </c>
      <c r="AD122" s="51" t="str">
        <f>IF(OR($B122="",$D122=""),"",IFERROR(IF(INDEX(CARDS!$H$5:$H$34,MATCH($D122,CARDS!$A$5:$A$34,0))="","",IF(DAY($B122)&lt;=INDEX(CARDS!$H$5:$H$34,MATCH($D122,CARDS!$A$5:$A$34,0)),DATE(YEAR($B122),MONTH($B122),MIN(INDEX(CARDS!$H$5:$H$34,MATCH($D122,CARDS!$A$5:$A$34,0)),DAY(EOMONTH($B122,0)))),DATE(YEAR($B122),MONTH($B122)+1,MIN(INDEX(CARDS!$H$5:$H$34,MATCH($D122,CARDS!$A$5:$A$34,0)),DAY(EOMONTH($B122,1)))))),""))</f>
        <v/>
      </c>
      <c r="AE122" s="52" t="str">
        <f>IF($C122="","",$C122&amp;"|"&amp;COUNTIF($C$5:$C122,$C122))</f>
        <v/>
      </c>
      <c r="AF122" s="53">
        <f>IF($AC122&gt;0,SUMIFS(Q$4:Q121,$D$4:$D121,$D122,$Z$4:$Z121,$Z122,$C$4:$C121,$C122),0)</f>
        <v>0</v>
      </c>
      <c r="AG122" s="53">
        <f>IF($AC122&gt;0,SUMIFS(Q$4:Q121,$D$4:$D121,$D122,$C$4:$C121,$C122),0)</f>
        <v>0</v>
      </c>
      <c r="AH122" s="53">
        <f>IF($AC122&gt;0,SUMIFS(M$4:M121,$D$4:$D121,$D122,$Z$4:$Z121,$Z122,$C$4:$C121,$C122),0)</f>
        <v>0</v>
      </c>
      <c r="AI122" s="43">
        <f>IF(OR($C122="",$I122=""),0,IF(COUNTIFS($C$5:$C122,$C122,$I$5:$I122,$I122)=1,1,0))</f>
        <v>0</v>
      </c>
      <c r="AJ122" s="43" t="str">
        <f>IF($AI122=1,SUMIFS($AI$4:$AI121,$C$4:$C121,$C122)+1,"")</f>
        <v/>
      </c>
      <c r="AK122" s="43">
        <f>IF(OR($C122="",$K122=""),0,IF(COUNTIFS($C$5:$C122,$C122,$K$5:$K122,$K122)=1,1,0))</f>
        <v>0</v>
      </c>
      <c r="AL122" s="43" t="str">
        <f>IF($AK122=1,SUMIFS($AK$4:$AK121,$C$4:$C121,$C122)+1,"")</f>
        <v/>
      </c>
      <c r="AM122" s="43">
        <f>IF(OR($C122="",$G122=""),0,IF(COUNTIFS($C$5:$C122,$C122,$G$5:$G122,$G122)=1,1,0))</f>
        <v>0</v>
      </c>
      <c r="AN122" s="43" t="str">
        <f>IF($AM122=1,SUMIFS($AM$4:$AM121,$C$4:$C121,$C122)+1,"")</f>
        <v/>
      </c>
    </row>
    <row r="123">
      <c r="A123" s="44" t="str">
        <f>IF(OR($B123="",$D123=""),"","TX"&amp;TEXT(ROW()-4,"0000"))</f>
        <v/>
      </c>
      <c r="B123" s="42" t="n"/>
      <c r="C123" s="47" t="str">
        <f>IF($B123="","",YEAR($B123)*100+MONTH($B123))</f>
        <v/>
      </c>
      <c r="D123" s="37" t="n"/>
      <c r="E123" s="45" t="str">
        <f>IF($D123="","",IFERROR(INDEX(CARDS!$B$5:$B$34,MATCH($D123,CARDS!$A$5:$A$34,0)),"⚠ Card ID?"))</f>
        <v/>
      </c>
      <c r="F123" s="45" t="str">
        <f>IF($D123="","",IFERROR(INDEX(CARDS!$C$5:$C$34,MATCH($D123,CARDS!$A$5:$A$34,0)),"⚠ Card ID?"))</f>
        <v/>
      </c>
      <c r="G123" s="37" t="n"/>
      <c r="H123" s="37" t="n"/>
      <c r="I123" s="41" t="n"/>
      <c r="J123" s="45" t="str">
        <f>IF($I123="","",IFERROR(INDEX(MCC_MASTER!$B$5:$B$504,MATCH($I123,MCC_MASTER!$A$5:$A$504,0)),"⚠ MCC chưa có"))</f>
        <v/>
      </c>
      <c r="K123" s="45" t="str">
        <f>IF($I123="","",IFERROR(IF(INDEX(MCC_MASTER!$C$5:$C$504,MATCH($I123,MCC_MASTER!$A$5:$A$504,0))="","Chưa phân loại",INDEX(MCC_MASTER!$C$5:$C$504,MATCH($I123,MCC_MASTER!$A$5:$A$504,0))),"Chưa phân loại"))</f>
        <v/>
      </c>
      <c r="L123" s="40" t="n"/>
      <c r="M123" s="48" t="str">
        <f>IF(OR($B123="",$D123=""),"",IF($AC123=0,0,IF(ISNUMBER(INDEX(CASHBACK_RULES!$L$5:$L$304,$AC123)),MAX(0,MIN($L123,INDEX(CASHBACK_RULES!$L$5:$L$304,$AC123)-$AH123)),MAX(0,$L123))))</f>
        <v/>
      </c>
      <c r="N123" s="49" t="str">
        <f>IF(OR($B123="",$D123=""),"",IF($AC123&gt;0,INDEX(CASHBACK_RULES!$I$5:$I$304,$AC123),0))</f>
        <v/>
      </c>
      <c r="O123" s="48" t="str">
        <f>IF(OR($B123="",$D123=""),"",ROUND($M123*$N123,0))</f>
        <v/>
      </c>
      <c r="P123" s="48" t="str">
        <f>IF($AC123&gt;0,IF(ISNUMBER(INDEX(CASHBACK_RULES!$J$5:$J$304,$AC123)),INDEX(CASHBACK_RULES!$J$5:$J$304,$AC123),"∞"),"")</f>
        <v/>
      </c>
      <c r="Q123" s="48" t="str">
        <f>IF(OR($B123="",$D123=""),"",IF($AC123=0,0,MAX(0,MIN($O123,IF(ISNUMBER($P123),$P123-$AF123,1E+15),IF(ISNUMBER($AA123),$AA123-$AG123,1E+15)))))</f>
        <v/>
      </c>
      <c r="R123" s="48" t="str">
        <f>IF(OR($B123="",$D123=""),"",IF($AC123=0,"",IF(AND(NOT(ISNUMBER($P123)),NOT(ISNUMBER($AA123))),"∞",MAX(0,MIN(IF(ISNUMBER($P123),$P123-$AF123-$Q123,1E+15),IF(ISNUMBER($AA123),$AA123-$AG123-$Q123,1E+15))))))</f>
        <v/>
      </c>
      <c r="S123" s="47" t="str">
        <f>IF($AD123="","",YEAR($AD123)*100+MONTH($AD123))</f>
        <v/>
      </c>
      <c r="T123" s="50" t="str">
        <f>IF($AD123="","",IFERROR(IF(INDEX(CARDS!$I$5:$I$34,MATCH($D123,CARDS!$A$5:$A$34,0))="","",IF(INDEX(CARDS!$I$5:$I$34,MATCH($D123,CARDS!$A$5:$A$34,0))&gt;INDEX(CARDS!$H$5:$H$34,MATCH($D123,CARDS!$A$5:$A$34,0)),DATE(YEAR($AD123),MONTH($AD123),MIN(INDEX(CARDS!$I$5:$I$34,MATCH($D123,CARDS!$A$5:$A$34,0)),DAY(EOMONTH($AD123,0)))),DATE(YEAR($AD123),MONTH($AD123)+1,MIN(INDEX(CARDS!$I$5:$I$34,MATCH($D123,CARDS!$A$5:$A$34,0)),DAY(EOMONTH($AD123,1)))))),""))</f>
        <v/>
      </c>
      <c r="U123" s="38" t="n"/>
      <c r="V123" s="37" t="n"/>
      <c r="W123" s="38" t="n"/>
      <c r="X123" s="38" t="n"/>
      <c r="Y123" s="44" t="str">
        <f>IF($AC123&gt;0,INDEX(CASHBACK_RULES!$A$5:$A$304,$AC123),"")</f>
        <v/>
      </c>
      <c r="Z123" s="45" t="str">
        <f>IF($AC123&gt;0,INDEX(CASHBACK_RULES!$E$5:$E$304,$AC123)&amp;"","")</f>
        <v/>
      </c>
      <c r="AA123" s="48" t="str">
        <f>IF($AC123&gt;0,IF(ISNUMBER(INDEX(CASHBACK_RULES!$K$5:$K$304,$AC123)),INDEX(CASHBACK_RULES!$K$5:$K$304,$AC123),"∞"),"")</f>
        <v/>
      </c>
      <c r="AB123" s="44" t="str">
        <f>IF(OR($B123="",$D123=""),"",IF($U123="Cancelled","Đã hủy",IF($AC123=0,"Không được hoàn",IF($Q123=0,IF(OR($O123&gt;0,$M123&lt;$L123),"Đã đạt cap","Không được hoàn"),IF(OR($Q123&lt;$O123,$M123&lt;$L123),"Hoàn một phần","Được hoàn")))))</f>
        <v/>
      </c>
      <c r="AC123" s="43">
        <f>IF(OR($B123="",$D123="",$I123="",$L123=""),0,IF($U123="Cancelled",0,IF($W123&lt;&gt;"",IFERROR(IF(INDEX(CASHBACK_RULES!$B$5:$B$304,MATCH($W123,CASHBACK_RULES!$A$5:$A$304,0))=$D123,MATCH($W123,CASHBACK_RULES!$A$5:$A$304,0),0),0),IFERROR(MATCH(1,INDEX((CASHBACK_RULES!$B$5:$B$304=$D123)*(CASHBACK_RULES!$G$5:$G$304=$I123)*(((CASHBACK_RULES!$N$5:$N$304="")+(CASHBACK_RULES!$N$5:$N$304&lt;=$B123))&gt;0)*(((CASHBACK_RULES!$O$5:$O$304="")+(CASHBACK_RULES!$O$5:$O$304&gt;=$B123))&gt;0)*(((CASHBACK_RULES!$M$5:$M$304="")+(CASHBACK_RULES!$M$5:$M$304&lt;=$L123))&gt;0),0),0),0))))</f>
        <v>0</v>
      </c>
      <c r="AD123" s="51" t="str">
        <f>IF(OR($B123="",$D123=""),"",IFERROR(IF(INDEX(CARDS!$H$5:$H$34,MATCH($D123,CARDS!$A$5:$A$34,0))="","",IF(DAY($B123)&lt;=INDEX(CARDS!$H$5:$H$34,MATCH($D123,CARDS!$A$5:$A$34,0)),DATE(YEAR($B123),MONTH($B123),MIN(INDEX(CARDS!$H$5:$H$34,MATCH($D123,CARDS!$A$5:$A$34,0)),DAY(EOMONTH($B123,0)))),DATE(YEAR($B123),MONTH($B123)+1,MIN(INDEX(CARDS!$H$5:$H$34,MATCH($D123,CARDS!$A$5:$A$34,0)),DAY(EOMONTH($B123,1)))))),""))</f>
        <v/>
      </c>
      <c r="AE123" s="52" t="str">
        <f>IF($C123="","",$C123&amp;"|"&amp;COUNTIF($C$5:$C123,$C123))</f>
        <v/>
      </c>
      <c r="AF123" s="53">
        <f>IF($AC123&gt;0,SUMIFS(Q$4:Q122,$D$4:$D122,$D123,$Z$4:$Z122,$Z123,$C$4:$C122,$C123),0)</f>
        <v>0</v>
      </c>
      <c r="AG123" s="53">
        <f>IF($AC123&gt;0,SUMIFS(Q$4:Q122,$D$4:$D122,$D123,$C$4:$C122,$C123),0)</f>
        <v>0</v>
      </c>
      <c r="AH123" s="53">
        <f>IF($AC123&gt;0,SUMIFS(M$4:M122,$D$4:$D122,$D123,$Z$4:$Z122,$Z123,$C$4:$C122,$C123),0)</f>
        <v>0</v>
      </c>
      <c r="AI123" s="43">
        <f>IF(OR($C123="",$I123=""),0,IF(COUNTIFS($C$5:$C123,$C123,$I$5:$I123,$I123)=1,1,0))</f>
        <v>0</v>
      </c>
      <c r="AJ123" s="43" t="str">
        <f>IF($AI123=1,SUMIFS($AI$4:$AI122,$C$4:$C122,$C123)+1,"")</f>
        <v/>
      </c>
      <c r="AK123" s="43">
        <f>IF(OR($C123="",$K123=""),0,IF(COUNTIFS($C$5:$C123,$C123,$K$5:$K123,$K123)=1,1,0))</f>
        <v>0</v>
      </c>
      <c r="AL123" s="43" t="str">
        <f>IF($AK123=1,SUMIFS($AK$4:$AK122,$C$4:$C122,$C123)+1,"")</f>
        <v/>
      </c>
      <c r="AM123" s="43">
        <f>IF(OR($C123="",$G123=""),0,IF(COUNTIFS($C$5:$C123,$C123,$G$5:$G123,$G123)=1,1,0))</f>
        <v>0</v>
      </c>
      <c r="AN123" s="43" t="str">
        <f>IF($AM123=1,SUMIFS($AM$4:$AM122,$C$4:$C122,$C123)+1,"")</f>
        <v/>
      </c>
    </row>
    <row r="124">
      <c r="A124" s="44" t="str">
        <f>IF(OR($B124="",$D124=""),"","TX"&amp;TEXT(ROW()-4,"0000"))</f>
        <v/>
      </c>
      <c r="B124" s="42" t="n"/>
      <c r="C124" s="47" t="str">
        <f>IF($B124="","",YEAR($B124)*100+MONTH($B124))</f>
        <v/>
      </c>
      <c r="D124" s="37" t="n"/>
      <c r="E124" s="45" t="str">
        <f>IF($D124="","",IFERROR(INDEX(CARDS!$B$5:$B$34,MATCH($D124,CARDS!$A$5:$A$34,0)),"⚠ Card ID?"))</f>
        <v/>
      </c>
      <c r="F124" s="45" t="str">
        <f>IF($D124="","",IFERROR(INDEX(CARDS!$C$5:$C$34,MATCH($D124,CARDS!$A$5:$A$34,0)),"⚠ Card ID?"))</f>
        <v/>
      </c>
      <c r="G124" s="37" t="n"/>
      <c r="H124" s="37" t="n"/>
      <c r="I124" s="41" t="n"/>
      <c r="J124" s="45" t="str">
        <f>IF($I124="","",IFERROR(INDEX(MCC_MASTER!$B$5:$B$504,MATCH($I124,MCC_MASTER!$A$5:$A$504,0)),"⚠ MCC chưa có"))</f>
        <v/>
      </c>
      <c r="K124" s="45" t="str">
        <f>IF($I124="","",IFERROR(IF(INDEX(MCC_MASTER!$C$5:$C$504,MATCH($I124,MCC_MASTER!$A$5:$A$504,0))="","Chưa phân loại",INDEX(MCC_MASTER!$C$5:$C$504,MATCH($I124,MCC_MASTER!$A$5:$A$504,0))),"Chưa phân loại"))</f>
        <v/>
      </c>
      <c r="L124" s="40" t="n"/>
      <c r="M124" s="48" t="str">
        <f>IF(OR($B124="",$D124=""),"",IF($AC124=0,0,IF(ISNUMBER(INDEX(CASHBACK_RULES!$L$5:$L$304,$AC124)),MAX(0,MIN($L124,INDEX(CASHBACK_RULES!$L$5:$L$304,$AC124)-$AH124)),MAX(0,$L124))))</f>
        <v/>
      </c>
      <c r="N124" s="49" t="str">
        <f>IF(OR($B124="",$D124=""),"",IF($AC124&gt;0,INDEX(CASHBACK_RULES!$I$5:$I$304,$AC124),0))</f>
        <v/>
      </c>
      <c r="O124" s="48" t="str">
        <f>IF(OR($B124="",$D124=""),"",ROUND($M124*$N124,0))</f>
        <v/>
      </c>
      <c r="P124" s="48" t="str">
        <f>IF($AC124&gt;0,IF(ISNUMBER(INDEX(CASHBACK_RULES!$J$5:$J$304,$AC124)),INDEX(CASHBACK_RULES!$J$5:$J$304,$AC124),"∞"),"")</f>
        <v/>
      </c>
      <c r="Q124" s="48" t="str">
        <f>IF(OR($B124="",$D124=""),"",IF($AC124=0,0,MAX(0,MIN($O124,IF(ISNUMBER($P124),$P124-$AF124,1E+15),IF(ISNUMBER($AA124),$AA124-$AG124,1E+15)))))</f>
        <v/>
      </c>
      <c r="R124" s="48" t="str">
        <f>IF(OR($B124="",$D124=""),"",IF($AC124=0,"",IF(AND(NOT(ISNUMBER($P124)),NOT(ISNUMBER($AA124))),"∞",MAX(0,MIN(IF(ISNUMBER($P124),$P124-$AF124-$Q124,1E+15),IF(ISNUMBER($AA124),$AA124-$AG124-$Q124,1E+15))))))</f>
        <v/>
      </c>
      <c r="S124" s="47" t="str">
        <f>IF($AD124="","",YEAR($AD124)*100+MONTH($AD124))</f>
        <v/>
      </c>
      <c r="T124" s="50" t="str">
        <f>IF($AD124="","",IFERROR(IF(INDEX(CARDS!$I$5:$I$34,MATCH($D124,CARDS!$A$5:$A$34,0))="","",IF(INDEX(CARDS!$I$5:$I$34,MATCH($D124,CARDS!$A$5:$A$34,0))&gt;INDEX(CARDS!$H$5:$H$34,MATCH($D124,CARDS!$A$5:$A$34,0)),DATE(YEAR($AD124),MONTH($AD124),MIN(INDEX(CARDS!$I$5:$I$34,MATCH($D124,CARDS!$A$5:$A$34,0)),DAY(EOMONTH($AD124,0)))),DATE(YEAR($AD124),MONTH($AD124)+1,MIN(INDEX(CARDS!$I$5:$I$34,MATCH($D124,CARDS!$A$5:$A$34,0)),DAY(EOMONTH($AD124,1)))))),""))</f>
        <v/>
      </c>
      <c r="U124" s="38" t="n"/>
      <c r="V124" s="37" t="n"/>
      <c r="W124" s="38" t="n"/>
      <c r="X124" s="38" t="n"/>
      <c r="Y124" s="44" t="str">
        <f>IF($AC124&gt;0,INDEX(CASHBACK_RULES!$A$5:$A$304,$AC124),"")</f>
        <v/>
      </c>
      <c r="Z124" s="45" t="str">
        <f>IF($AC124&gt;0,INDEX(CASHBACK_RULES!$E$5:$E$304,$AC124)&amp;"","")</f>
        <v/>
      </c>
      <c r="AA124" s="48" t="str">
        <f>IF($AC124&gt;0,IF(ISNUMBER(INDEX(CASHBACK_RULES!$K$5:$K$304,$AC124)),INDEX(CASHBACK_RULES!$K$5:$K$304,$AC124),"∞"),"")</f>
        <v/>
      </c>
      <c r="AB124" s="44" t="str">
        <f>IF(OR($B124="",$D124=""),"",IF($U124="Cancelled","Đã hủy",IF($AC124=0,"Không được hoàn",IF($Q124=0,IF(OR($O124&gt;0,$M124&lt;$L124),"Đã đạt cap","Không được hoàn"),IF(OR($Q124&lt;$O124,$M124&lt;$L124),"Hoàn một phần","Được hoàn")))))</f>
        <v/>
      </c>
      <c r="AC124" s="43">
        <f>IF(OR($B124="",$D124="",$I124="",$L124=""),0,IF($U124="Cancelled",0,IF($W124&lt;&gt;"",IFERROR(IF(INDEX(CASHBACK_RULES!$B$5:$B$304,MATCH($W124,CASHBACK_RULES!$A$5:$A$304,0))=$D124,MATCH($W124,CASHBACK_RULES!$A$5:$A$304,0),0),0),IFERROR(MATCH(1,INDEX((CASHBACK_RULES!$B$5:$B$304=$D124)*(CASHBACK_RULES!$G$5:$G$304=$I124)*(((CASHBACK_RULES!$N$5:$N$304="")+(CASHBACK_RULES!$N$5:$N$304&lt;=$B124))&gt;0)*(((CASHBACK_RULES!$O$5:$O$304="")+(CASHBACK_RULES!$O$5:$O$304&gt;=$B124))&gt;0)*(((CASHBACK_RULES!$M$5:$M$304="")+(CASHBACK_RULES!$M$5:$M$304&lt;=$L124))&gt;0),0),0),0))))</f>
        <v>0</v>
      </c>
      <c r="AD124" s="51" t="str">
        <f>IF(OR($B124="",$D124=""),"",IFERROR(IF(INDEX(CARDS!$H$5:$H$34,MATCH($D124,CARDS!$A$5:$A$34,0))="","",IF(DAY($B124)&lt;=INDEX(CARDS!$H$5:$H$34,MATCH($D124,CARDS!$A$5:$A$34,0)),DATE(YEAR($B124),MONTH($B124),MIN(INDEX(CARDS!$H$5:$H$34,MATCH($D124,CARDS!$A$5:$A$34,0)),DAY(EOMONTH($B124,0)))),DATE(YEAR($B124),MONTH($B124)+1,MIN(INDEX(CARDS!$H$5:$H$34,MATCH($D124,CARDS!$A$5:$A$34,0)),DAY(EOMONTH($B124,1)))))),""))</f>
        <v/>
      </c>
      <c r="AE124" s="52" t="str">
        <f>IF($C124="","",$C124&amp;"|"&amp;COUNTIF($C$5:$C124,$C124))</f>
        <v/>
      </c>
      <c r="AF124" s="53">
        <f>IF($AC124&gt;0,SUMIFS(Q$4:Q123,$D$4:$D123,$D124,$Z$4:$Z123,$Z124,$C$4:$C123,$C124),0)</f>
        <v>0</v>
      </c>
      <c r="AG124" s="53">
        <f>IF($AC124&gt;0,SUMIFS(Q$4:Q123,$D$4:$D123,$D124,$C$4:$C123,$C124),0)</f>
        <v>0</v>
      </c>
      <c r="AH124" s="53">
        <f>IF($AC124&gt;0,SUMIFS(M$4:M123,$D$4:$D123,$D124,$Z$4:$Z123,$Z124,$C$4:$C123,$C124),0)</f>
        <v>0</v>
      </c>
      <c r="AI124" s="43">
        <f>IF(OR($C124="",$I124=""),0,IF(COUNTIFS($C$5:$C124,$C124,$I$5:$I124,$I124)=1,1,0))</f>
        <v>0</v>
      </c>
      <c r="AJ124" s="43" t="str">
        <f>IF($AI124=1,SUMIFS($AI$4:$AI123,$C$4:$C123,$C124)+1,"")</f>
        <v/>
      </c>
      <c r="AK124" s="43">
        <f>IF(OR($C124="",$K124=""),0,IF(COUNTIFS($C$5:$C124,$C124,$K$5:$K124,$K124)=1,1,0))</f>
        <v>0</v>
      </c>
      <c r="AL124" s="43" t="str">
        <f>IF($AK124=1,SUMIFS($AK$4:$AK123,$C$4:$C123,$C124)+1,"")</f>
        <v/>
      </c>
      <c r="AM124" s="43">
        <f>IF(OR($C124="",$G124=""),0,IF(COUNTIFS($C$5:$C124,$C124,$G$5:$G124,$G124)=1,1,0))</f>
        <v>0</v>
      </c>
      <c r="AN124" s="43" t="str">
        <f>IF($AM124=1,SUMIFS($AM$4:$AM123,$C$4:$C123,$C124)+1,"")</f>
        <v/>
      </c>
    </row>
    <row r="125">
      <c r="A125" s="44" t="str">
        <f>IF(OR($B125="",$D125=""),"","TX"&amp;TEXT(ROW()-4,"0000"))</f>
        <v/>
      </c>
      <c r="B125" s="42" t="n"/>
      <c r="C125" s="47" t="str">
        <f>IF($B125="","",YEAR($B125)*100+MONTH($B125))</f>
        <v/>
      </c>
      <c r="D125" s="37" t="n"/>
      <c r="E125" s="45" t="str">
        <f>IF($D125="","",IFERROR(INDEX(CARDS!$B$5:$B$34,MATCH($D125,CARDS!$A$5:$A$34,0)),"⚠ Card ID?"))</f>
        <v/>
      </c>
      <c r="F125" s="45" t="str">
        <f>IF($D125="","",IFERROR(INDEX(CARDS!$C$5:$C$34,MATCH($D125,CARDS!$A$5:$A$34,0)),"⚠ Card ID?"))</f>
        <v/>
      </c>
      <c r="G125" s="37" t="n"/>
      <c r="H125" s="37" t="n"/>
      <c r="I125" s="41" t="n"/>
      <c r="J125" s="45" t="str">
        <f>IF($I125="","",IFERROR(INDEX(MCC_MASTER!$B$5:$B$504,MATCH($I125,MCC_MASTER!$A$5:$A$504,0)),"⚠ MCC chưa có"))</f>
        <v/>
      </c>
      <c r="K125" s="45" t="str">
        <f>IF($I125="","",IFERROR(IF(INDEX(MCC_MASTER!$C$5:$C$504,MATCH($I125,MCC_MASTER!$A$5:$A$504,0))="","Chưa phân loại",INDEX(MCC_MASTER!$C$5:$C$504,MATCH($I125,MCC_MASTER!$A$5:$A$504,0))),"Chưa phân loại"))</f>
        <v/>
      </c>
      <c r="L125" s="40" t="n"/>
      <c r="M125" s="48" t="str">
        <f>IF(OR($B125="",$D125=""),"",IF($AC125=0,0,IF(ISNUMBER(INDEX(CASHBACK_RULES!$L$5:$L$304,$AC125)),MAX(0,MIN($L125,INDEX(CASHBACK_RULES!$L$5:$L$304,$AC125)-$AH125)),MAX(0,$L125))))</f>
        <v/>
      </c>
      <c r="N125" s="49" t="str">
        <f>IF(OR($B125="",$D125=""),"",IF($AC125&gt;0,INDEX(CASHBACK_RULES!$I$5:$I$304,$AC125),0))</f>
        <v/>
      </c>
      <c r="O125" s="48" t="str">
        <f>IF(OR($B125="",$D125=""),"",ROUND($M125*$N125,0))</f>
        <v/>
      </c>
      <c r="P125" s="48" t="str">
        <f>IF($AC125&gt;0,IF(ISNUMBER(INDEX(CASHBACK_RULES!$J$5:$J$304,$AC125)),INDEX(CASHBACK_RULES!$J$5:$J$304,$AC125),"∞"),"")</f>
        <v/>
      </c>
      <c r="Q125" s="48" t="str">
        <f>IF(OR($B125="",$D125=""),"",IF($AC125=0,0,MAX(0,MIN($O125,IF(ISNUMBER($P125),$P125-$AF125,1E+15),IF(ISNUMBER($AA125),$AA125-$AG125,1E+15)))))</f>
        <v/>
      </c>
      <c r="R125" s="48" t="str">
        <f>IF(OR($B125="",$D125=""),"",IF($AC125=0,"",IF(AND(NOT(ISNUMBER($P125)),NOT(ISNUMBER($AA125))),"∞",MAX(0,MIN(IF(ISNUMBER($P125),$P125-$AF125-$Q125,1E+15),IF(ISNUMBER($AA125),$AA125-$AG125-$Q125,1E+15))))))</f>
        <v/>
      </c>
      <c r="S125" s="47" t="str">
        <f>IF($AD125="","",YEAR($AD125)*100+MONTH($AD125))</f>
        <v/>
      </c>
      <c r="T125" s="50" t="str">
        <f>IF($AD125="","",IFERROR(IF(INDEX(CARDS!$I$5:$I$34,MATCH($D125,CARDS!$A$5:$A$34,0))="","",IF(INDEX(CARDS!$I$5:$I$34,MATCH($D125,CARDS!$A$5:$A$34,0))&gt;INDEX(CARDS!$H$5:$H$34,MATCH($D125,CARDS!$A$5:$A$34,0)),DATE(YEAR($AD125),MONTH($AD125),MIN(INDEX(CARDS!$I$5:$I$34,MATCH($D125,CARDS!$A$5:$A$34,0)),DAY(EOMONTH($AD125,0)))),DATE(YEAR($AD125),MONTH($AD125)+1,MIN(INDEX(CARDS!$I$5:$I$34,MATCH($D125,CARDS!$A$5:$A$34,0)),DAY(EOMONTH($AD125,1)))))),""))</f>
        <v/>
      </c>
      <c r="U125" s="38" t="n"/>
      <c r="V125" s="37" t="n"/>
      <c r="W125" s="38" t="n"/>
      <c r="X125" s="38" t="n"/>
      <c r="Y125" s="44" t="str">
        <f>IF($AC125&gt;0,INDEX(CASHBACK_RULES!$A$5:$A$304,$AC125),"")</f>
        <v/>
      </c>
      <c r="Z125" s="45" t="str">
        <f>IF($AC125&gt;0,INDEX(CASHBACK_RULES!$E$5:$E$304,$AC125)&amp;"","")</f>
        <v/>
      </c>
      <c r="AA125" s="48" t="str">
        <f>IF($AC125&gt;0,IF(ISNUMBER(INDEX(CASHBACK_RULES!$K$5:$K$304,$AC125)),INDEX(CASHBACK_RULES!$K$5:$K$304,$AC125),"∞"),"")</f>
        <v/>
      </c>
      <c r="AB125" s="44" t="str">
        <f>IF(OR($B125="",$D125=""),"",IF($U125="Cancelled","Đã hủy",IF($AC125=0,"Không được hoàn",IF($Q125=0,IF(OR($O125&gt;0,$M125&lt;$L125),"Đã đạt cap","Không được hoàn"),IF(OR($Q125&lt;$O125,$M125&lt;$L125),"Hoàn một phần","Được hoàn")))))</f>
        <v/>
      </c>
      <c r="AC125" s="43">
        <f>IF(OR($B125="",$D125="",$I125="",$L125=""),0,IF($U125="Cancelled",0,IF($W125&lt;&gt;"",IFERROR(IF(INDEX(CASHBACK_RULES!$B$5:$B$304,MATCH($W125,CASHBACK_RULES!$A$5:$A$304,0))=$D125,MATCH($W125,CASHBACK_RULES!$A$5:$A$304,0),0),0),IFERROR(MATCH(1,INDEX((CASHBACK_RULES!$B$5:$B$304=$D125)*(CASHBACK_RULES!$G$5:$G$304=$I125)*(((CASHBACK_RULES!$N$5:$N$304="")+(CASHBACK_RULES!$N$5:$N$304&lt;=$B125))&gt;0)*(((CASHBACK_RULES!$O$5:$O$304="")+(CASHBACK_RULES!$O$5:$O$304&gt;=$B125))&gt;0)*(((CASHBACK_RULES!$M$5:$M$304="")+(CASHBACK_RULES!$M$5:$M$304&lt;=$L125))&gt;0),0),0),0))))</f>
        <v>0</v>
      </c>
      <c r="AD125" s="51" t="str">
        <f>IF(OR($B125="",$D125=""),"",IFERROR(IF(INDEX(CARDS!$H$5:$H$34,MATCH($D125,CARDS!$A$5:$A$34,0))="","",IF(DAY($B125)&lt;=INDEX(CARDS!$H$5:$H$34,MATCH($D125,CARDS!$A$5:$A$34,0)),DATE(YEAR($B125),MONTH($B125),MIN(INDEX(CARDS!$H$5:$H$34,MATCH($D125,CARDS!$A$5:$A$34,0)),DAY(EOMONTH($B125,0)))),DATE(YEAR($B125),MONTH($B125)+1,MIN(INDEX(CARDS!$H$5:$H$34,MATCH($D125,CARDS!$A$5:$A$34,0)),DAY(EOMONTH($B125,1)))))),""))</f>
        <v/>
      </c>
      <c r="AE125" s="52" t="str">
        <f>IF($C125="","",$C125&amp;"|"&amp;COUNTIF($C$5:$C125,$C125))</f>
        <v/>
      </c>
      <c r="AF125" s="53">
        <f>IF($AC125&gt;0,SUMIFS(Q$4:Q124,$D$4:$D124,$D125,$Z$4:$Z124,$Z125,$C$4:$C124,$C125),0)</f>
        <v>0</v>
      </c>
      <c r="AG125" s="53">
        <f>IF($AC125&gt;0,SUMIFS(Q$4:Q124,$D$4:$D124,$D125,$C$4:$C124,$C125),0)</f>
        <v>0</v>
      </c>
      <c r="AH125" s="53">
        <f>IF($AC125&gt;0,SUMIFS(M$4:M124,$D$4:$D124,$D125,$Z$4:$Z124,$Z125,$C$4:$C124,$C125),0)</f>
        <v>0</v>
      </c>
      <c r="AI125" s="43">
        <f>IF(OR($C125="",$I125=""),0,IF(COUNTIFS($C$5:$C125,$C125,$I$5:$I125,$I125)=1,1,0))</f>
        <v>0</v>
      </c>
      <c r="AJ125" s="43" t="str">
        <f>IF($AI125=1,SUMIFS($AI$4:$AI124,$C$4:$C124,$C125)+1,"")</f>
        <v/>
      </c>
      <c r="AK125" s="43">
        <f>IF(OR($C125="",$K125=""),0,IF(COUNTIFS($C$5:$C125,$C125,$K$5:$K125,$K125)=1,1,0))</f>
        <v>0</v>
      </c>
      <c r="AL125" s="43" t="str">
        <f>IF($AK125=1,SUMIFS($AK$4:$AK124,$C$4:$C124,$C125)+1,"")</f>
        <v/>
      </c>
      <c r="AM125" s="43">
        <f>IF(OR($C125="",$G125=""),0,IF(COUNTIFS($C$5:$C125,$C125,$G$5:$G125,$G125)=1,1,0))</f>
        <v>0</v>
      </c>
      <c r="AN125" s="43" t="str">
        <f>IF($AM125=1,SUMIFS($AM$4:$AM124,$C$4:$C124,$C125)+1,"")</f>
        <v/>
      </c>
    </row>
    <row r="126">
      <c r="A126" s="44" t="str">
        <f>IF(OR($B126="",$D126=""),"","TX"&amp;TEXT(ROW()-4,"0000"))</f>
        <v/>
      </c>
      <c r="B126" s="42" t="n"/>
      <c r="C126" s="47" t="str">
        <f>IF($B126="","",YEAR($B126)*100+MONTH($B126))</f>
        <v/>
      </c>
      <c r="D126" s="37" t="n"/>
      <c r="E126" s="45" t="str">
        <f>IF($D126="","",IFERROR(INDEX(CARDS!$B$5:$B$34,MATCH($D126,CARDS!$A$5:$A$34,0)),"⚠ Card ID?"))</f>
        <v/>
      </c>
      <c r="F126" s="45" t="str">
        <f>IF($D126="","",IFERROR(INDEX(CARDS!$C$5:$C$34,MATCH($D126,CARDS!$A$5:$A$34,0)),"⚠ Card ID?"))</f>
        <v/>
      </c>
      <c r="G126" s="37" t="n"/>
      <c r="H126" s="37" t="n"/>
      <c r="I126" s="41" t="n"/>
      <c r="J126" s="45" t="str">
        <f>IF($I126="","",IFERROR(INDEX(MCC_MASTER!$B$5:$B$504,MATCH($I126,MCC_MASTER!$A$5:$A$504,0)),"⚠ MCC chưa có"))</f>
        <v/>
      </c>
      <c r="K126" s="45" t="str">
        <f>IF($I126="","",IFERROR(IF(INDEX(MCC_MASTER!$C$5:$C$504,MATCH($I126,MCC_MASTER!$A$5:$A$504,0))="","Chưa phân loại",INDEX(MCC_MASTER!$C$5:$C$504,MATCH($I126,MCC_MASTER!$A$5:$A$504,0))),"Chưa phân loại"))</f>
        <v/>
      </c>
      <c r="L126" s="40" t="n"/>
      <c r="M126" s="48" t="str">
        <f>IF(OR($B126="",$D126=""),"",IF($AC126=0,0,IF(ISNUMBER(INDEX(CASHBACK_RULES!$L$5:$L$304,$AC126)),MAX(0,MIN($L126,INDEX(CASHBACK_RULES!$L$5:$L$304,$AC126)-$AH126)),MAX(0,$L126))))</f>
        <v/>
      </c>
      <c r="N126" s="49" t="str">
        <f>IF(OR($B126="",$D126=""),"",IF($AC126&gt;0,INDEX(CASHBACK_RULES!$I$5:$I$304,$AC126),0))</f>
        <v/>
      </c>
      <c r="O126" s="48" t="str">
        <f>IF(OR($B126="",$D126=""),"",ROUND($M126*$N126,0))</f>
        <v/>
      </c>
      <c r="P126" s="48" t="str">
        <f>IF($AC126&gt;0,IF(ISNUMBER(INDEX(CASHBACK_RULES!$J$5:$J$304,$AC126)),INDEX(CASHBACK_RULES!$J$5:$J$304,$AC126),"∞"),"")</f>
        <v/>
      </c>
      <c r="Q126" s="48" t="str">
        <f>IF(OR($B126="",$D126=""),"",IF($AC126=0,0,MAX(0,MIN($O126,IF(ISNUMBER($P126),$P126-$AF126,1E+15),IF(ISNUMBER($AA126),$AA126-$AG126,1E+15)))))</f>
        <v/>
      </c>
      <c r="R126" s="48" t="str">
        <f>IF(OR($B126="",$D126=""),"",IF($AC126=0,"",IF(AND(NOT(ISNUMBER($P126)),NOT(ISNUMBER($AA126))),"∞",MAX(0,MIN(IF(ISNUMBER($P126),$P126-$AF126-$Q126,1E+15),IF(ISNUMBER($AA126),$AA126-$AG126-$Q126,1E+15))))))</f>
        <v/>
      </c>
      <c r="S126" s="47" t="str">
        <f>IF($AD126="","",YEAR($AD126)*100+MONTH($AD126))</f>
        <v/>
      </c>
      <c r="T126" s="50" t="str">
        <f>IF($AD126="","",IFERROR(IF(INDEX(CARDS!$I$5:$I$34,MATCH($D126,CARDS!$A$5:$A$34,0))="","",IF(INDEX(CARDS!$I$5:$I$34,MATCH($D126,CARDS!$A$5:$A$34,0))&gt;INDEX(CARDS!$H$5:$H$34,MATCH($D126,CARDS!$A$5:$A$34,0)),DATE(YEAR($AD126),MONTH($AD126),MIN(INDEX(CARDS!$I$5:$I$34,MATCH($D126,CARDS!$A$5:$A$34,0)),DAY(EOMONTH($AD126,0)))),DATE(YEAR($AD126),MONTH($AD126)+1,MIN(INDEX(CARDS!$I$5:$I$34,MATCH($D126,CARDS!$A$5:$A$34,0)),DAY(EOMONTH($AD126,1)))))),""))</f>
        <v/>
      </c>
      <c r="U126" s="38" t="n"/>
      <c r="V126" s="37" t="n"/>
      <c r="W126" s="38" t="n"/>
      <c r="X126" s="38" t="n"/>
      <c r="Y126" s="44" t="str">
        <f>IF($AC126&gt;0,INDEX(CASHBACK_RULES!$A$5:$A$304,$AC126),"")</f>
        <v/>
      </c>
      <c r="Z126" s="45" t="str">
        <f>IF($AC126&gt;0,INDEX(CASHBACK_RULES!$E$5:$E$304,$AC126)&amp;"","")</f>
        <v/>
      </c>
      <c r="AA126" s="48" t="str">
        <f>IF($AC126&gt;0,IF(ISNUMBER(INDEX(CASHBACK_RULES!$K$5:$K$304,$AC126)),INDEX(CASHBACK_RULES!$K$5:$K$304,$AC126),"∞"),"")</f>
        <v/>
      </c>
      <c r="AB126" s="44" t="str">
        <f>IF(OR($B126="",$D126=""),"",IF($U126="Cancelled","Đã hủy",IF($AC126=0,"Không được hoàn",IF($Q126=0,IF(OR($O126&gt;0,$M126&lt;$L126),"Đã đạt cap","Không được hoàn"),IF(OR($Q126&lt;$O126,$M126&lt;$L126),"Hoàn một phần","Được hoàn")))))</f>
        <v/>
      </c>
      <c r="AC126" s="43">
        <f>IF(OR($B126="",$D126="",$I126="",$L126=""),0,IF($U126="Cancelled",0,IF($W126&lt;&gt;"",IFERROR(IF(INDEX(CASHBACK_RULES!$B$5:$B$304,MATCH($W126,CASHBACK_RULES!$A$5:$A$304,0))=$D126,MATCH($W126,CASHBACK_RULES!$A$5:$A$304,0),0),0),IFERROR(MATCH(1,INDEX((CASHBACK_RULES!$B$5:$B$304=$D126)*(CASHBACK_RULES!$G$5:$G$304=$I126)*(((CASHBACK_RULES!$N$5:$N$304="")+(CASHBACK_RULES!$N$5:$N$304&lt;=$B126))&gt;0)*(((CASHBACK_RULES!$O$5:$O$304="")+(CASHBACK_RULES!$O$5:$O$304&gt;=$B126))&gt;0)*(((CASHBACK_RULES!$M$5:$M$304="")+(CASHBACK_RULES!$M$5:$M$304&lt;=$L126))&gt;0),0),0),0))))</f>
        <v>0</v>
      </c>
      <c r="AD126" s="51" t="str">
        <f>IF(OR($B126="",$D126=""),"",IFERROR(IF(INDEX(CARDS!$H$5:$H$34,MATCH($D126,CARDS!$A$5:$A$34,0))="","",IF(DAY($B126)&lt;=INDEX(CARDS!$H$5:$H$34,MATCH($D126,CARDS!$A$5:$A$34,0)),DATE(YEAR($B126),MONTH($B126),MIN(INDEX(CARDS!$H$5:$H$34,MATCH($D126,CARDS!$A$5:$A$34,0)),DAY(EOMONTH($B126,0)))),DATE(YEAR($B126),MONTH($B126)+1,MIN(INDEX(CARDS!$H$5:$H$34,MATCH($D126,CARDS!$A$5:$A$34,0)),DAY(EOMONTH($B126,1)))))),""))</f>
        <v/>
      </c>
      <c r="AE126" s="52" t="str">
        <f>IF($C126="","",$C126&amp;"|"&amp;COUNTIF($C$5:$C126,$C126))</f>
        <v/>
      </c>
      <c r="AF126" s="53">
        <f>IF($AC126&gt;0,SUMIFS(Q$4:Q125,$D$4:$D125,$D126,$Z$4:$Z125,$Z126,$C$4:$C125,$C126),0)</f>
        <v>0</v>
      </c>
      <c r="AG126" s="53">
        <f>IF($AC126&gt;0,SUMIFS(Q$4:Q125,$D$4:$D125,$D126,$C$4:$C125,$C126),0)</f>
        <v>0</v>
      </c>
      <c r="AH126" s="53">
        <f>IF($AC126&gt;0,SUMIFS(M$4:M125,$D$4:$D125,$D126,$Z$4:$Z125,$Z126,$C$4:$C125,$C126),0)</f>
        <v>0</v>
      </c>
      <c r="AI126" s="43">
        <f>IF(OR($C126="",$I126=""),0,IF(COUNTIFS($C$5:$C126,$C126,$I$5:$I126,$I126)=1,1,0))</f>
        <v>0</v>
      </c>
      <c r="AJ126" s="43" t="str">
        <f>IF($AI126=1,SUMIFS($AI$4:$AI125,$C$4:$C125,$C126)+1,"")</f>
        <v/>
      </c>
      <c r="AK126" s="43">
        <f>IF(OR($C126="",$K126=""),0,IF(COUNTIFS($C$5:$C126,$C126,$K$5:$K126,$K126)=1,1,0))</f>
        <v>0</v>
      </c>
      <c r="AL126" s="43" t="str">
        <f>IF($AK126=1,SUMIFS($AK$4:$AK125,$C$4:$C125,$C126)+1,"")</f>
        <v/>
      </c>
      <c r="AM126" s="43">
        <f>IF(OR($C126="",$G126=""),0,IF(COUNTIFS($C$5:$C126,$C126,$G$5:$G126,$G126)=1,1,0))</f>
        <v>0</v>
      </c>
      <c r="AN126" s="43" t="str">
        <f>IF($AM126=1,SUMIFS($AM$4:$AM125,$C$4:$C125,$C126)+1,"")</f>
        <v/>
      </c>
    </row>
    <row r="127">
      <c r="A127" s="44" t="str">
        <f>IF(OR($B127="",$D127=""),"","TX"&amp;TEXT(ROW()-4,"0000"))</f>
        <v/>
      </c>
      <c r="B127" s="42" t="n"/>
      <c r="C127" s="47" t="str">
        <f>IF($B127="","",YEAR($B127)*100+MONTH($B127))</f>
        <v/>
      </c>
      <c r="D127" s="37" t="n"/>
      <c r="E127" s="45" t="str">
        <f>IF($D127="","",IFERROR(INDEX(CARDS!$B$5:$B$34,MATCH($D127,CARDS!$A$5:$A$34,0)),"⚠ Card ID?"))</f>
        <v/>
      </c>
      <c r="F127" s="45" t="str">
        <f>IF($D127="","",IFERROR(INDEX(CARDS!$C$5:$C$34,MATCH($D127,CARDS!$A$5:$A$34,0)),"⚠ Card ID?"))</f>
        <v/>
      </c>
      <c r="G127" s="37" t="n"/>
      <c r="H127" s="37" t="n"/>
      <c r="I127" s="41" t="n"/>
      <c r="J127" s="45" t="str">
        <f>IF($I127="","",IFERROR(INDEX(MCC_MASTER!$B$5:$B$504,MATCH($I127,MCC_MASTER!$A$5:$A$504,0)),"⚠ MCC chưa có"))</f>
        <v/>
      </c>
      <c r="K127" s="45" t="str">
        <f>IF($I127="","",IFERROR(IF(INDEX(MCC_MASTER!$C$5:$C$504,MATCH($I127,MCC_MASTER!$A$5:$A$504,0))="","Chưa phân loại",INDEX(MCC_MASTER!$C$5:$C$504,MATCH($I127,MCC_MASTER!$A$5:$A$504,0))),"Chưa phân loại"))</f>
        <v/>
      </c>
      <c r="L127" s="40" t="n"/>
      <c r="M127" s="48" t="str">
        <f>IF(OR($B127="",$D127=""),"",IF($AC127=0,0,IF(ISNUMBER(INDEX(CASHBACK_RULES!$L$5:$L$304,$AC127)),MAX(0,MIN($L127,INDEX(CASHBACK_RULES!$L$5:$L$304,$AC127)-$AH127)),MAX(0,$L127))))</f>
        <v/>
      </c>
      <c r="N127" s="49" t="str">
        <f>IF(OR($B127="",$D127=""),"",IF($AC127&gt;0,INDEX(CASHBACK_RULES!$I$5:$I$304,$AC127),0))</f>
        <v/>
      </c>
      <c r="O127" s="48" t="str">
        <f>IF(OR($B127="",$D127=""),"",ROUND($M127*$N127,0))</f>
        <v/>
      </c>
      <c r="P127" s="48" t="str">
        <f>IF($AC127&gt;0,IF(ISNUMBER(INDEX(CASHBACK_RULES!$J$5:$J$304,$AC127)),INDEX(CASHBACK_RULES!$J$5:$J$304,$AC127),"∞"),"")</f>
        <v/>
      </c>
      <c r="Q127" s="48" t="str">
        <f>IF(OR($B127="",$D127=""),"",IF($AC127=0,0,MAX(0,MIN($O127,IF(ISNUMBER($P127),$P127-$AF127,1E+15),IF(ISNUMBER($AA127),$AA127-$AG127,1E+15)))))</f>
        <v/>
      </c>
      <c r="R127" s="48" t="str">
        <f>IF(OR($B127="",$D127=""),"",IF($AC127=0,"",IF(AND(NOT(ISNUMBER($P127)),NOT(ISNUMBER($AA127))),"∞",MAX(0,MIN(IF(ISNUMBER($P127),$P127-$AF127-$Q127,1E+15),IF(ISNUMBER($AA127),$AA127-$AG127-$Q127,1E+15))))))</f>
        <v/>
      </c>
      <c r="S127" s="47" t="str">
        <f>IF($AD127="","",YEAR($AD127)*100+MONTH($AD127))</f>
        <v/>
      </c>
      <c r="T127" s="50" t="str">
        <f>IF($AD127="","",IFERROR(IF(INDEX(CARDS!$I$5:$I$34,MATCH($D127,CARDS!$A$5:$A$34,0))="","",IF(INDEX(CARDS!$I$5:$I$34,MATCH($D127,CARDS!$A$5:$A$34,0))&gt;INDEX(CARDS!$H$5:$H$34,MATCH($D127,CARDS!$A$5:$A$34,0)),DATE(YEAR($AD127),MONTH($AD127),MIN(INDEX(CARDS!$I$5:$I$34,MATCH($D127,CARDS!$A$5:$A$34,0)),DAY(EOMONTH($AD127,0)))),DATE(YEAR($AD127),MONTH($AD127)+1,MIN(INDEX(CARDS!$I$5:$I$34,MATCH($D127,CARDS!$A$5:$A$34,0)),DAY(EOMONTH($AD127,1)))))),""))</f>
        <v/>
      </c>
      <c r="U127" s="38" t="n"/>
      <c r="V127" s="37" t="n"/>
      <c r="W127" s="38" t="n"/>
      <c r="X127" s="38" t="n"/>
      <c r="Y127" s="44" t="str">
        <f>IF($AC127&gt;0,INDEX(CASHBACK_RULES!$A$5:$A$304,$AC127),"")</f>
        <v/>
      </c>
      <c r="Z127" s="45" t="str">
        <f>IF($AC127&gt;0,INDEX(CASHBACK_RULES!$E$5:$E$304,$AC127)&amp;"","")</f>
        <v/>
      </c>
      <c r="AA127" s="48" t="str">
        <f>IF($AC127&gt;0,IF(ISNUMBER(INDEX(CASHBACK_RULES!$K$5:$K$304,$AC127)),INDEX(CASHBACK_RULES!$K$5:$K$304,$AC127),"∞"),"")</f>
        <v/>
      </c>
      <c r="AB127" s="44" t="str">
        <f>IF(OR($B127="",$D127=""),"",IF($U127="Cancelled","Đã hủy",IF($AC127=0,"Không được hoàn",IF($Q127=0,IF(OR($O127&gt;0,$M127&lt;$L127),"Đã đạt cap","Không được hoàn"),IF(OR($Q127&lt;$O127,$M127&lt;$L127),"Hoàn một phần","Được hoàn")))))</f>
        <v/>
      </c>
      <c r="AC127" s="43">
        <f>IF(OR($B127="",$D127="",$I127="",$L127=""),0,IF($U127="Cancelled",0,IF($W127&lt;&gt;"",IFERROR(IF(INDEX(CASHBACK_RULES!$B$5:$B$304,MATCH($W127,CASHBACK_RULES!$A$5:$A$304,0))=$D127,MATCH($W127,CASHBACK_RULES!$A$5:$A$304,0),0),0),IFERROR(MATCH(1,INDEX((CASHBACK_RULES!$B$5:$B$304=$D127)*(CASHBACK_RULES!$G$5:$G$304=$I127)*(((CASHBACK_RULES!$N$5:$N$304="")+(CASHBACK_RULES!$N$5:$N$304&lt;=$B127))&gt;0)*(((CASHBACK_RULES!$O$5:$O$304="")+(CASHBACK_RULES!$O$5:$O$304&gt;=$B127))&gt;0)*(((CASHBACK_RULES!$M$5:$M$304="")+(CASHBACK_RULES!$M$5:$M$304&lt;=$L127))&gt;0),0),0),0))))</f>
        <v>0</v>
      </c>
      <c r="AD127" s="51" t="str">
        <f>IF(OR($B127="",$D127=""),"",IFERROR(IF(INDEX(CARDS!$H$5:$H$34,MATCH($D127,CARDS!$A$5:$A$34,0))="","",IF(DAY($B127)&lt;=INDEX(CARDS!$H$5:$H$34,MATCH($D127,CARDS!$A$5:$A$34,0)),DATE(YEAR($B127),MONTH($B127),MIN(INDEX(CARDS!$H$5:$H$34,MATCH($D127,CARDS!$A$5:$A$34,0)),DAY(EOMONTH($B127,0)))),DATE(YEAR($B127),MONTH($B127)+1,MIN(INDEX(CARDS!$H$5:$H$34,MATCH($D127,CARDS!$A$5:$A$34,0)),DAY(EOMONTH($B127,1)))))),""))</f>
        <v/>
      </c>
      <c r="AE127" s="52" t="str">
        <f>IF($C127="","",$C127&amp;"|"&amp;COUNTIF($C$5:$C127,$C127))</f>
        <v/>
      </c>
      <c r="AF127" s="53">
        <f>IF($AC127&gt;0,SUMIFS(Q$4:Q126,$D$4:$D126,$D127,$Z$4:$Z126,$Z127,$C$4:$C126,$C127),0)</f>
        <v>0</v>
      </c>
      <c r="AG127" s="53">
        <f>IF($AC127&gt;0,SUMIFS(Q$4:Q126,$D$4:$D126,$D127,$C$4:$C126,$C127),0)</f>
        <v>0</v>
      </c>
      <c r="AH127" s="53">
        <f>IF($AC127&gt;0,SUMIFS(M$4:M126,$D$4:$D126,$D127,$Z$4:$Z126,$Z127,$C$4:$C126,$C127),0)</f>
        <v>0</v>
      </c>
      <c r="AI127" s="43">
        <f>IF(OR($C127="",$I127=""),0,IF(COUNTIFS($C$5:$C127,$C127,$I$5:$I127,$I127)=1,1,0))</f>
        <v>0</v>
      </c>
      <c r="AJ127" s="43" t="str">
        <f>IF($AI127=1,SUMIFS($AI$4:$AI126,$C$4:$C126,$C127)+1,"")</f>
        <v/>
      </c>
      <c r="AK127" s="43">
        <f>IF(OR($C127="",$K127=""),0,IF(COUNTIFS($C$5:$C127,$C127,$K$5:$K127,$K127)=1,1,0))</f>
        <v>0</v>
      </c>
      <c r="AL127" s="43" t="str">
        <f>IF($AK127=1,SUMIFS($AK$4:$AK126,$C$4:$C126,$C127)+1,"")</f>
        <v/>
      </c>
      <c r="AM127" s="43">
        <f>IF(OR($C127="",$G127=""),0,IF(COUNTIFS($C$5:$C127,$C127,$G$5:$G127,$G127)=1,1,0))</f>
        <v>0</v>
      </c>
      <c r="AN127" s="43" t="str">
        <f>IF($AM127=1,SUMIFS($AM$4:$AM126,$C$4:$C126,$C127)+1,"")</f>
        <v/>
      </c>
    </row>
    <row r="128">
      <c r="A128" s="44" t="str">
        <f>IF(OR($B128="",$D128=""),"","TX"&amp;TEXT(ROW()-4,"0000"))</f>
        <v/>
      </c>
      <c r="B128" s="42" t="n"/>
      <c r="C128" s="47" t="str">
        <f>IF($B128="","",YEAR($B128)*100+MONTH($B128))</f>
        <v/>
      </c>
      <c r="D128" s="37" t="n"/>
      <c r="E128" s="45" t="str">
        <f>IF($D128="","",IFERROR(INDEX(CARDS!$B$5:$B$34,MATCH($D128,CARDS!$A$5:$A$34,0)),"⚠ Card ID?"))</f>
        <v/>
      </c>
      <c r="F128" s="45" t="str">
        <f>IF($D128="","",IFERROR(INDEX(CARDS!$C$5:$C$34,MATCH($D128,CARDS!$A$5:$A$34,0)),"⚠ Card ID?"))</f>
        <v/>
      </c>
      <c r="G128" s="37" t="n"/>
      <c r="H128" s="37" t="n"/>
      <c r="I128" s="41" t="n"/>
      <c r="J128" s="45" t="str">
        <f>IF($I128="","",IFERROR(INDEX(MCC_MASTER!$B$5:$B$504,MATCH($I128,MCC_MASTER!$A$5:$A$504,0)),"⚠ MCC chưa có"))</f>
        <v/>
      </c>
      <c r="K128" s="45" t="str">
        <f>IF($I128="","",IFERROR(IF(INDEX(MCC_MASTER!$C$5:$C$504,MATCH($I128,MCC_MASTER!$A$5:$A$504,0))="","Chưa phân loại",INDEX(MCC_MASTER!$C$5:$C$504,MATCH($I128,MCC_MASTER!$A$5:$A$504,0))),"Chưa phân loại"))</f>
        <v/>
      </c>
      <c r="L128" s="40" t="n"/>
      <c r="M128" s="48" t="str">
        <f>IF(OR($B128="",$D128=""),"",IF($AC128=0,0,IF(ISNUMBER(INDEX(CASHBACK_RULES!$L$5:$L$304,$AC128)),MAX(0,MIN($L128,INDEX(CASHBACK_RULES!$L$5:$L$304,$AC128)-$AH128)),MAX(0,$L128))))</f>
        <v/>
      </c>
      <c r="N128" s="49" t="str">
        <f>IF(OR($B128="",$D128=""),"",IF($AC128&gt;0,INDEX(CASHBACK_RULES!$I$5:$I$304,$AC128),0))</f>
        <v/>
      </c>
      <c r="O128" s="48" t="str">
        <f>IF(OR($B128="",$D128=""),"",ROUND($M128*$N128,0))</f>
        <v/>
      </c>
      <c r="P128" s="48" t="str">
        <f>IF($AC128&gt;0,IF(ISNUMBER(INDEX(CASHBACK_RULES!$J$5:$J$304,$AC128)),INDEX(CASHBACK_RULES!$J$5:$J$304,$AC128),"∞"),"")</f>
        <v/>
      </c>
      <c r="Q128" s="48" t="str">
        <f>IF(OR($B128="",$D128=""),"",IF($AC128=0,0,MAX(0,MIN($O128,IF(ISNUMBER($P128),$P128-$AF128,1E+15),IF(ISNUMBER($AA128),$AA128-$AG128,1E+15)))))</f>
        <v/>
      </c>
      <c r="R128" s="48" t="str">
        <f>IF(OR($B128="",$D128=""),"",IF($AC128=0,"",IF(AND(NOT(ISNUMBER($P128)),NOT(ISNUMBER($AA128))),"∞",MAX(0,MIN(IF(ISNUMBER($P128),$P128-$AF128-$Q128,1E+15),IF(ISNUMBER($AA128),$AA128-$AG128-$Q128,1E+15))))))</f>
        <v/>
      </c>
      <c r="S128" s="47" t="str">
        <f>IF($AD128="","",YEAR($AD128)*100+MONTH($AD128))</f>
        <v/>
      </c>
      <c r="T128" s="50" t="str">
        <f>IF($AD128="","",IFERROR(IF(INDEX(CARDS!$I$5:$I$34,MATCH($D128,CARDS!$A$5:$A$34,0))="","",IF(INDEX(CARDS!$I$5:$I$34,MATCH($D128,CARDS!$A$5:$A$34,0))&gt;INDEX(CARDS!$H$5:$H$34,MATCH($D128,CARDS!$A$5:$A$34,0)),DATE(YEAR($AD128),MONTH($AD128),MIN(INDEX(CARDS!$I$5:$I$34,MATCH($D128,CARDS!$A$5:$A$34,0)),DAY(EOMONTH($AD128,0)))),DATE(YEAR($AD128),MONTH($AD128)+1,MIN(INDEX(CARDS!$I$5:$I$34,MATCH($D128,CARDS!$A$5:$A$34,0)),DAY(EOMONTH($AD128,1)))))),""))</f>
        <v/>
      </c>
      <c r="U128" s="38" t="n"/>
      <c r="V128" s="37" t="n"/>
      <c r="W128" s="38" t="n"/>
      <c r="X128" s="38" t="n"/>
      <c r="Y128" s="44" t="str">
        <f>IF($AC128&gt;0,INDEX(CASHBACK_RULES!$A$5:$A$304,$AC128),"")</f>
        <v/>
      </c>
      <c r="Z128" s="45" t="str">
        <f>IF($AC128&gt;0,INDEX(CASHBACK_RULES!$E$5:$E$304,$AC128)&amp;"","")</f>
        <v/>
      </c>
      <c r="AA128" s="48" t="str">
        <f>IF($AC128&gt;0,IF(ISNUMBER(INDEX(CASHBACK_RULES!$K$5:$K$304,$AC128)),INDEX(CASHBACK_RULES!$K$5:$K$304,$AC128),"∞"),"")</f>
        <v/>
      </c>
      <c r="AB128" s="44" t="str">
        <f>IF(OR($B128="",$D128=""),"",IF($U128="Cancelled","Đã hủy",IF($AC128=0,"Không được hoàn",IF($Q128=0,IF(OR($O128&gt;0,$M128&lt;$L128),"Đã đạt cap","Không được hoàn"),IF(OR($Q128&lt;$O128,$M128&lt;$L128),"Hoàn một phần","Được hoàn")))))</f>
        <v/>
      </c>
      <c r="AC128" s="43">
        <f>IF(OR($B128="",$D128="",$I128="",$L128=""),0,IF($U128="Cancelled",0,IF($W128&lt;&gt;"",IFERROR(IF(INDEX(CASHBACK_RULES!$B$5:$B$304,MATCH($W128,CASHBACK_RULES!$A$5:$A$304,0))=$D128,MATCH($W128,CASHBACK_RULES!$A$5:$A$304,0),0),0),IFERROR(MATCH(1,INDEX((CASHBACK_RULES!$B$5:$B$304=$D128)*(CASHBACK_RULES!$G$5:$G$304=$I128)*(((CASHBACK_RULES!$N$5:$N$304="")+(CASHBACK_RULES!$N$5:$N$304&lt;=$B128))&gt;0)*(((CASHBACK_RULES!$O$5:$O$304="")+(CASHBACK_RULES!$O$5:$O$304&gt;=$B128))&gt;0)*(((CASHBACK_RULES!$M$5:$M$304="")+(CASHBACK_RULES!$M$5:$M$304&lt;=$L128))&gt;0),0),0),0))))</f>
        <v>0</v>
      </c>
      <c r="AD128" s="51" t="str">
        <f>IF(OR($B128="",$D128=""),"",IFERROR(IF(INDEX(CARDS!$H$5:$H$34,MATCH($D128,CARDS!$A$5:$A$34,0))="","",IF(DAY($B128)&lt;=INDEX(CARDS!$H$5:$H$34,MATCH($D128,CARDS!$A$5:$A$34,0)),DATE(YEAR($B128),MONTH($B128),MIN(INDEX(CARDS!$H$5:$H$34,MATCH($D128,CARDS!$A$5:$A$34,0)),DAY(EOMONTH($B128,0)))),DATE(YEAR($B128),MONTH($B128)+1,MIN(INDEX(CARDS!$H$5:$H$34,MATCH($D128,CARDS!$A$5:$A$34,0)),DAY(EOMONTH($B128,1)))))),""))</f>
        <v/>
      </c>
      <c r="AE128" s="52" t="str">
        <f>IF($C128="","",$C128&amp;"|"&amp;COUNTIF($C$5:$C128,$C128))</f>
        <v/>
      </c>
      <c r="AF128" s="53">
        <f>IF($AC128&gt;0,SUMIFS(Q$4:Q127,$D$4:$D127,$D128,$Z$4:$Z127,$Z128,$C$4:$C127,$C128),0)</f>
        <v>0</v>
      </c>
      <c r="AG128" s="53">
        <f>IF($AC128&gt;0,SUMIFS(Q$4:Q127,$D$4:$D127,$D128,$C$4:$C127,$C128),0)</f>
        <v>0</v>
      </c>
      <c r="AH128" s="53">
        <f>IF($AC128&gt;0,SUMIFS(M$4:M127,$D$4:$D127,$D128,$Z$4:$Z127,$Z128,$C$4:$C127,$C128),0)</f>
        <v>0</v>
      </c>
      <c r="AI128" s="43">
        <f>IF(OR($C128="",$I128=""),0,IF(COUNTIFS($C$5:$C128,$C128,$I$5:$I128,$I128)=1,1,0))</f>
        <v>0</v>
      </c>
      <c r="AJ128" s="43" t="str">
        <f>IF($AI128=1,SUMIFS($AI$4:$AI127,$C$4:$C127,$C128)+1,"")</f>
        <v/>
      </c>
      <c r="AK128" s="43">
        <f>IF(OR($C128="",$K128=""),0,IF(COUNTIFS($C$5:$C128,$C128,$K$5:$K128,$K128)=1,1,0))</f>
        <v>0</v>
      </c>
      <c r="AL128" s="43" t="str">
        <f>IF($AK128=1,SUMIFS($AK$4:$AK127,$C$4:$C127,$C128)+1,"")</f>
        <v/>
      </c>
      <c r="AM128" s="43">
        <f>IF(OR($C128="",$G128=""),0,IF(COUNTIFS($C$5:$C128,$C128,$G$5:$G128,$G128)=1,1,0))</f>
        <v>0</v>
      </c>
      <c r="AN128" s="43" t="str">
        <f>IF($AM128=1,SUMIFS($AM$4:$AM127,$C$4:$C127,$C128)+1,"")</f>
        <v/>
      </c>
    </row>
    <row r="129">
      <c r="A129" s="44" t="str">
        <f>IF(OR($B129="",$D129=""),"","TX"&amp;TEXT(ROW()-4,"0000"))</f>
        <v/>
      </c>
      <c r="B129" s="42" t="n"/>
      <c r="C129" s="47" t="str">
        <f>IF($B129="","",YEAR($B129)*100+MONTH($B129))</f>
        <v/>
      </c>
      <c r="D129" s="37" t="n"/>
      <c r="E129" s="45" t="str">
        <f>IF($D129="","",IFERROR(INDEX(CARDS!$B$5:$B$34,MATCH($D129,CARDS!$A$5:$A$34,0)),"⚠ Card ID?"))</f>
        <v/>
      </c>
      <c r="F129" s="45" t="str">
        <f>IF($D129="","",IFERROR(INDEX(CARDS!$C$5:$C$34,MATCH($D129,CARDS!$A$5:$A$34,0)),"⚠ Card ID?"))</f>
        <v/>
      </c>
      <c r="G129" s="37" t="n"/>
      <c r="H129" s="37" t="n"/>
      <c r="I129" s="41" t="n"/>
      <c r="J129" s="45" t="str">
        <f>IF($I129="","",IFERROR(INDEX(MCC_MASTER!$B$5:$B$504,MATCH($I129,MCC_MASTER!$A$5:$A$504,0)),"⚠ MCC chưa có"))</f>
        <v/>
      </c>
      <c r="K129" s="45" t="str">
        <f>IF($I129="","",IFERROR(IF(INDEX(MCC_MASTER!$C$5:$C$504,MATCH($I129,MCC_MASTER!$A$5:$A$504,0))="","Chưa phân loại",INDEX(MCC_MASTER!$C$5:$C$504,MATCH($I129,MCC_MASTER!$A$5:$A$504,0))),"Chưa phân loại"))</f>
        <v/>
      </c>
      <c r="L129" s="40" t="n"/>
      <c r="M129" s="48" t="str">
        <f>IF(OR($B129="",$D129=""),"",IF($AC129=0,0,IF(ISNUMBER(INDEX(CASHBACK_RULES!$L$5:$L$304,$AC129)),MAX(0,MIN($L129,INDEX(CASHBACK_RULES!$L$5:$L$304,$AC129)-$AH129)),MAX(0,$L129))))</f>
        <v/>
      </c>
      <c r="N129" s="49" t="str">
        <f>IF(OR($B129="",$D129=""),"",IF($AC129&gt;0,INDEX(CASHBACK_RULES!$I$5:$I$304,$AC129),0))</f>
        <v/>
      </c>
      <c r="O129" s="48" t="str">
        <f>IF(OR($B129="",$D129=""),"",ROUND($M129*$N129,0))</f>
        <v/>
      </c>
      <c r="P129" s="48" t="str">
        <f>IF($AC129&gt;0,IF(ISNUMBER(INDEX(CASHBACK_RULES!$J$5:$J$304,$AC129)),INDEX(CASHBACK_RULES!$J$5:$J$304,$AC129),"∞"),"")</f>
        <v/>
      </c>
      <c r="Q129" s="48" t="str">
        <f>IF(OR($B129="",$D129=""),"",IF($AC129=0,0,MAX(0,MIN($O129,IF(ISNUMBER($P129),$P129-$AF129,1E+15),IF(ISNUMBER($AA129),$AA129-$AG129,1E+15)))))</f>
        <v/>
      </c>
      <c r="R129" s="48" t="str">
        <f>IF(OR($B129="",$D129=""),"",IF($AC129=0,"",IF(AND(NOT(ISNUMBER($P129)),NOT(ISNUMBER($AA129))),"∞",MAX(0,MIN(IF(ISNUMBER($P129),$P129-$AF129-$Q129,1E+15),IF(ISNUMBER($AA129),$AA129-$AG129-$Q129,1E+15))))))</f>
        <v/>
      </c>
      <c r="S129" s="47" t="str">
        <f>IF($AD129="","",YEAR($AD129)*100+MONTH($AD129))</f>
        <v/>
      </c>
      <c r="T129" s="50" t="str">
        <f>IF($AD129="","",IFERROR(IF(INDEX(CARDS!$I$5:$I$34,MATCH($D129,CARDS!$A$5:$A$34,0))="","",IF(INDEX(CARDS!$I$5:$I$34,MATCH($D129,CARDS!$A$5:$A$34,0))&gt;INDEX(CARDS!$H$5:$H$34,MATCH($D129,CARDS!$A$5:$A$34,0)),DATE(YEAR($AD129),MONTH($AD129),MIN(INDEX(CARDS!$I$5:$I$34,MATCH($D129,CARDS!$A$5:$A$34,0)),DAY(EOMONTH($AD129,0)))),DATE(YEAR($AD129),MONTH($AD129)+1,MIN(INDEX(CARDS!$I$5:$I$34,MATCH($D129,CARDS!$A$5:$A$34,0)),DAY(EOMONTH($AD129,1)))))),""))</f>
        <v/>
      </c>
      <c r="U129" s="38" t="n"/>
      <c r="V129" s="37" t="n"/>
      <c r="W129" s="38" t="n"/>
      <c r="X129" s="38" t="n"/>
      <c r="Y129" s="44" t="str">
        <f>IF($AC129&gt;0,INDEX(CASHBACK_RULES!$A$5:$A$304,$AC129),"")</f>
        <v/>
      </c>
      <c r="Z129" s="45" t="str">
        <f>IF($AC129&gt;0,INDEX(CASHBACK_RULES!$E$5:$E$304,$AC129)&amp;"","")</f>
        <v/>
      </c>
      <c r="AA129" s="48" t="str">
        <f>IF($AC129&gt;0,IF(ISNUMBER(INDEX(CASHBACK_RULES!$K$5:$K$304,$AC129)),INDEX(CASHBACK_RULES!$K$5:$K$304,$AC129),"∞"),"")</f>
        <v/>
      </c>
      <c r="AB129" s="44" t="str">
        <f>IF(OR($B129="",$D129=""),"",IF($U129="Cancelled","Đã hủy",IF($AC129=0,"Không được hoàn",IF($Q129=0,IF(OR($O129&gt;0,$M129&lt;$L129),"Đã đạt cap","Không được hoàn"),IF(OR($Q129&lt;$O129,$M129&lt;$L129),"Hoàn một phần","Được hoàn")))))</f>
        <v/>
      </c>
      <c r="AC129" s="43">
        <f>IF(OR($B129="",$D129="",$I129="",$L129=""),0,IF($U129="Cancelled",0,IF($W129&lt;&gt;"",IFERROR(IF(INDEX(CASHBACK_RULES!$B$5:$B$304,MATCH($W129,CASHBACK_RULES!$A$5:$A$304,0))=$D129,MATCH($W129,CASHBACK_RULES!$A$5:$A$304,0),0),0),IFERROR(MATCH(1,INDEX((CASHBACK_RULES!$B$5:$B$304=$D129)*(CASHBACK_RULES!$G$5:$G$304=$I129)*(((CASHBACK_RULES!$N$5:$N$304="")+(CASHBACK_RULES!$N$5:$N$304&lt;=$B129))&gt;0)*(((CASHBACK_RULES!$O$5:$O$304="")+(CASHBACK_RULES!$O$5:$O$304&gt;=$B129))&gt;0)*(((CASHBACK_RULES!$M$5:$M$304="")+(CASHBACK_RULES!$M$5:$M$304&lt;=$L129))&gt;0),0),0),0))))</f>
        <v>0</v>
      </c>
      <c r="AD129" s="51" t="str">
        <f>IF(OR($B129="",$D129=""),"",IFERROR(IF(INDEX(CARDS!$H$5:$H$34,MATCH($D129,CARDS!$A$5:$A$34,0))="","",IF(DAY($B129)&lt;=INDEX(CARDS!$H$5:$H$34,MATCH($D129,CARDS!$A$5:$A$34,0)),DATE(YEAR($B129),MONTH($B129),MIN(INDEX(CARDS!$H$5:$H$34,MATCH($D129,CARDS!$A$5:$A$34,0)),DAY(EOMONTH($B129,0)))),DATE(YEAR($B129),MONTH($B129)+1,MIN(INDEX(CARDS!$H$5:$H$34,MATCH($D129,CARDS!$A$5:$A$34,0)),DAY(EOMONTH($B129,1)))))),""))</f>
        <v/>
      </c>
      <c r="AE129" s="52" t="str">
        <f>IF($C129="","",$C129&amp;"|"&amp;COUNTIF($C$5:$C129,$C129))</f>
        <v/>
      </c>
      <c r="AF129" s="53">
        <f>IF($AC129&gt;0,SUMIFS(Q$4:Q128,$D$4:$D128,$D129,$Z$4:$Z128,$Z129,$C$4:$C128,$C129),0)</f>
        <v>0</v>
      </c>
      <c r="AG129" s="53">
        <f>IF($AC129&gt;0,SUMIFS(Q$4:Q128,$D$4:$D128,$D129,$C$4:$C128,$C129),0)</f>
        <v>0</v>
      </c>
      <c r="AH129" s="53">
        <f>IF($AC129&gt;0,SUMIFS(M$4:M128,$D$4:$D128,$D129,$Z$4:$Z128,$Z129,$C$4:$C128,$C129),0)</f>
        <v>0</v>
      </c>
      <c r="AI129" s="43">
        <f>IF(OR($C129="",$I129=""),0,IF(COUNTIFS($C$5:$C129,$C129,$I$5:$I129,$I129)=1,1,0))</f>
        <v>0</v>
      </c>
      <c r="AJ129" s="43" t="str">
        <f>IF($AI129=1,SUMIFS($AI$4:$AI128,$C$4:$C128,$C129)+1,"")</f>
        <v/>
      </c>
      <c r="AK129" s="43">
        <f>IF(OR($C129="",$K129=""),0,IF(COUNTIFS($C$5:$C129,$C129,$K$5:$K129,$K129)=1,1,0))</f>
        <v>0</v>
      </c>
      <c r="AL129" s="43" t="str">
        <f>IF($AK129=1,SUMIFS($AK$4:$AK128,$C$4:$C128,$C129)+1,"")</f>
        <v/>
      </c>
      <c r="AM129" s="43">
        <f>IF(OR($C129="",$G129=""),0,IF(COUNTIFS($C$5:$C129,$C129,$G$5:$G129,$G129)=1,1,0))</f>
        <v>0</v>
      </c>
      <c r="AN129" s="43" t="str">
        <f>IF($AM129=1,SUMIFS($AM$4:$AM128,$C$4:$C128,$C129)+1,"")</f>
        <v/>
      </c>
    </row>
    <row r="130">
      <c r="A130" s="44" t="str">
        <f>IF(OR($B130="",$D130=""),"","TX"&amp;TEXT(ROW()-4,"0000"))</f>
        <v/>
      </c>
      <c r="B130" s="42" t="n"/>
      <c r="C130" s="47" t="str">
        <f>IF($B130="","",YEAR($B130)*100+MONTH($B130))</f>
        <v/>
      </c>
      <c r="D130" s="37" t="n"/>
      <c r="E130" s="45" t="str">
        <f>IF($D130="","",IFERROR(INDEX(CARDS!$B$5:$B$34,MATCH($D130,CARDS!$A$5:$A$34,0)),"⚠ Card ID?"))</f>
        <v/>
      </c>
      <c r="F130" s="45" t="str">
        <f>IF($D130="","",IFERROR(INDEX(CARDS!$C$5:$C$34,MATCH($D130,CARDS!$A$5:$A$34,0)),"⚠ Card ID?"))</f>
        <v/>
      </c>
      <c r="G130" s="37" t="n"/>
      <c r="H130" s="37" t="n"/>
      <c r="I130" s="41" t="n"/>
      <c r="J130" s="45" t="str">
        <f>IF($I130="","",IFERROR(INDEX(MCC_MASTER!$B$5:$B$504,MATCH($I130,MCC_MASTER!$A$5:$A$504,0)),"⚠ MCC chưa có"))</f>
        <v/>
      </c>
      <c r="K130" s="45" t="str">
        <f>IF($I130="","",IFERROR(IF(INDEX(MCC_MASTER!$C$5:$C$504,MATCH($I130,MCC_MASTER!$A$5:$A$504,0))="","Chưa phân loại",INDEX(MCC_MASTER!$C$5:$C$504,MATCH($I130,MCC_MASTER!$A$5:$A$504,0))),"Chưa phân loại"))</f>
        <v/>
      </c>
      <c r="L130" s="40" t="n"/>
      <c r="M130" s="48" t="str">
        <f>IF(OR($B130="",$D130=""),"",IF($AC130=0,0,IF(ISNUMBER(INDEX(CASHBACK_RULES!$L$5:$L$304,$AC130)),MAX(0,MIN($L130,INDEX(CASHBACK_RULES!$L$5:$L$304,$AC130)-$AH130)),MAX(0,$L130))))</f>
        <v/>
      </c>
      <c r="N130" s="49" t="str">
        <f>IF(OR($B130="",$D130=""),"",IF($AC130&gt;0,INDEX(CASHBACK_RULES!$I$5:$I$304,$AC130),0))</f>
        <v/>
      </c>
      <c r="O130" s="48" t="str">
        <f>IF(OR($B130="",$D130=""),"",ROUND($M130*$N130,0))</f>
        <v/>
      </c>
      <c r="P130" s="48" t="str">
        <f>IF($AC130&gt;0,IF(ISNUMBER(INDEX(CASHBACK_RULES!$J$5:$J$304,$AC130)),INDEX(CASHBACK_RULES!$J$5:$J$304,$AC130),"∞"),"")</f>
        <v/>
      </c>
      <c r="Q130" s="48" t="str">
        <f>IF(OR($B130="",$D130=""),"",IF($AC130=0,0,MAX(0,MIN($O130,IF(ISNUMBER($P130),$P130-$AF130,1E+15),IF(ISNUMBER($AA130),$AA130-$AG130,1E+15)))))</f>
        <v/>
      </c>
      <c r="R130" s="48" t="str">
        <f>IF(OR($B130="",$D130=""),"",IF($AC130=0,"",IF(AND(NOT(ISNUMBER($P130)),NOT(ISNUMBER($AA130))),"∞",MAX(0,MIN(IF(ISNUMBER($P130),$P130-$AF130-$Q130,1E+15),IF(ISNUMBER($AA130),$AA130-$AG130-$Q130,1E+15))))))</f>
        <v/>
      </c>
      <c r="S130" s="47" t="str">
        <f>IF($AD130="","",YEAR($AD130)*100+MONTH($AD130))</f>
        <v/>
      </c>
      <c r="T130" s="50" t="str">
        <f>IF($AD130="","",IFERROR(IF(INDEX(CARDS!$I$5:$I$34,MATCH($D130,CARDS!$A$5:$A$34,0))="","",IF(INDEX(CARDS!$I$5:$I$34,MATCH($D130,CARDS!$A$5:$A$34,0))&gt;INDEX(CARDS!$H$5:$H$34,MATCH($D130,CARDS!$A$5:$A$34,0)),DATE(YEAR($AD130),MONTH($AD130),MIN(INDEX(CARDS!$I$5:$I$34,MATCH($D130,CARDS!$A$5:$A$34,0)),DAY(EOMONTH($AD130,0)))),DATE(YEAR($AD130),MONTH($AD130)+1,MIN(INDEX(CARDS!$I$5:$I$34,MATCH($D130,CARDS!$A$5:$A$34,0)),DAY(EOMONTH($AD130,1)))))),""))</f>
        <v/>
      </c>
      <c r="U130" s="38" t="n"/>
      <c r="V130" s="37" t="n"/>
      <c r="W130" s="38" t="n"/>
      <c r="X130" s="38" t="n"/>
      <c r="Y130" s="44" t="str">
        <f>IF($AC130&gt;0,INDEX(CASHBACK_RULES!$A$5:$A$304,$AC130),"")</f>
        <v/>
      </c>
      <c r="Z130" s="45" t="str">
        <f>IF($AC130&gt;0,INDEX(CASHBACK_RULES!$E$5:$E$304,$AC130)&amp;"","")</f>
        <v/>
      </c>
      <c r="AA130" s="48" t="str">
        <f>IF($AC130&gt;0,IF(ISNUMBER(INDEX(CASHBACK_RULES!$K$5:$K$304,$AC130)),INDEX(CASHBACK_RULES!$K$5:$K$304,$AC130),"∞"),"")</f>
        <v/>
      </c>
      <c r="AB130" s="44" t="str">
        <f>IF(OR($B130="",$D130=""),"",IF($U130="Cancelled","Đã hủy",IF($AC130=0,"Không được hoàn",IF($Q130=0,IF(OR($O130&gt;0,$M130&lt;$L130),"Đã đạt cap","Không được hoàn"),IF(OR($Q130&lt;$O130,$M130&lt;$L130),"Hoàn một phần","Được hoàn")))))</f>
        <v/>
      </c>
      <c r="AC130" s="43">
        <f>IF(OR($B130="",$D130="",$I130="",$L130=""),0,IF($U130="Cancelled",0,IF($W130&lt;&gt;"",IFERROR(IF(INDEX(CASHBACK_RULES!$B$5:$B$304,MATCH($W130,CASHBACK_RULES!$A$5:$A$304,0))=$D130,MATCH($W130,CASHBACK_RULES!$A$5:$A$304,0),0),0),IFERROR(MATCH(1,INDEX((CASHBACK_RULES!$B$5:$B$304=$D130)*(CASHBACK_RULES!$G$5:$G$304=$I130)*(((CASHBACK_RULES!$N$5:$N$304="")+(CASHBACK_RULES!$N$5:$N$304&lt;=$B130))&gt;0)*(((CASHBACK_RULES!$O$5:$O$304="")+(CASHBACK_RULES!$O$5:$O$304&gt;=$B130))&gt;0)*(((CASHBACK_RULES!$M$5:$M$304="")+(CASHBACK_RULES!$M$5:$M$304&lt;=$L130))&gt;0),0),0),0))))</f>
        <v>0</v>
      </c>
      <c r="AD130" s="51" t="str">
        <f>IF(OR($B130="",$D130=""),"",IFERROR(IF(INDEX(CARDS!$H$5:$H$34,MATCH($D130,CARDS!$A$5:$A$34,0))="","",IF(DAY($B130)&lt;=INDEX(CARDS!$H$5:$H$34,MATCH($D130,CARDS!$A$5:$A$34,0)),DATE(YEAR($B130),MONTH($B130),MIN(INDEX(CARDS!$H$5:$H$34,MATCH($D130,CARDS!$A$5:$A$34,0)),DAY(EOMONTH($B130,0)))),DATE(YEAR($B130),MONTH($B130)+1,MIN(INDEX(CARDS!$H$5:$H$34,MATCH($D130,CARDS!$A$5:$A$34,0)),DAY(EOMONTH($B130,1)))))),""))</f>
        <v/>
      </c>
      <c r="AE130" s="52" t="str">
        <f>IF($C130="","",$C130&amp;"|"&amp;COUNTIF($C$5:$C130,$C130))</f>
        <v/>
      </c>
      <c r="AF130" s="53">
        <f>IF($AC130&gt;0,SUMIFS(Q$4:Q129,$D$4:$D129,$D130,$Z$4:$Z129,$Z130,$C$4:$C129,$C130),0)</f>
        <v>0</v>
      </c>
      <c r="AG130" s="53">
        <f>IF($AC130&gt;0,SUMIFS(Q$4:Q129,$D$4:$D129,$D130,$C$4:$C129,$C130),0)</f>
        <v>0</v>
      </c>
      <c r="AH130" s="53">
        <f>IF($AC130&gt;0,SUMIFS(M$4:M129,$D$4:$D129,$D130,$Z$4:$Z129,$Z130,$C$4:$C129,$C130),0)</f>
        <v>0</v>
      </c>
      <c r="AI130" s="43">
        <f>IF(OR($C130="",$I130=""),0,IF(COUNTIFS($C$5:$C130,$C130,$I$5:$I130,$I130)=1,1,0))</f>
        <v>0</v>
      </c>
      <c r="AJ130" s="43" t="str">
        <f>IF($AI130=1,SUMIFS($AI$4:$AI129,$C$4:$C129,$C130)+1,"")</f>
        <v/>
      </c>
      <c r="AK130" s="43">
        <f>IF(OR($C130="",$K130=""),0,IF(COUNTIFS($C$5:$C130,$C130,$K$5:$K130,$K130)=1,1,0))</f>
        <v>0</v>
      </c>
      <c r="AL130" s="43" t="str">
        <f>IF($AK130=1,SUMIFS($AK$4:$AK129,$C$4:$C129,$C130)+1,"")</f>
        <v/>
      </c>
      <c r="AM130" s="43">
        <f>IF(OR($C130="",$G130=""),0,IF(COUNTIFS($C$5:$C130,$C130,$G$5:$G130,$G130)=1,1,0))</f>
        <v>0</v>
      </c>
      <c r="AN130" s="43" t="str">
        <f>IF($AM130=1,SUMIFS($AM$4:$AM129,$C$4:$C129,$C130)+1,"")</f>
        <v/>
      </c>
    </row>
    <row r="131">
      <c r="A131" s="44" t="str">
        <f>IF(OR($B131="",$D131=""),"","TX"&amp;TEXT(ROW()-4,"0000"))</f>
        <v/>
      </c>
      <c r="B131" s="42" t="n"/>
      <c r="C131" s="47" t="str">
        <f>IF($B131="","",YEAR($B131)*100+MONTH($B131))</f>
        <v/>
      </c>
      <c r="D131" s="37" t="n"/>
      <c r="E131" s="45" t="str">
        <f>IF($D131="","",IFERROR(INDEX(CARDS!$B$5:$B$34,MATCH($D131,CARDS!$A$5:$A$34,0)),"⚠ Card ID?"))</f>
        <v/>
      </c>
      <c r="F131" s="45" t="str">
        <f>IF($D131="","",IFERROR(INDEX(CARDS!$C$5:$C$34,MATCH($D131,CARDS!$A$5:$A$34,0)),"⚠ Card ID?"))</f>
        <v/>
      </c>
      <c r="G131" s="37" t="n"/>
      <c r="H131" s="37" t="n"/>
      <c r="I131" s="41" t="n"/>
      <c r="J131" s="45" t="str">
        <f>IF($I131="","",IFERROR(INDEX(MCC_MASTER!$B$5:$B$504,MATCH($I131,MCC_MASTER!$A$5:$A$504,0)),"⚠ MCC chưa có"))</f>
        <v/>
      </c>
      <c r="K131" s="45" t="str">
        <f>IF($I131="","",IFERROR(IF(INDEX(MCC_MASTER!$C$5:$C$504,MATCH($I131,MCC_MASTER!$A$5:$A$504,0))="","Chưa phân loại",INDEX(MCC_MASTER!$C$5:$C$504,MATCH($I131,MCC_MASTER!$A$5:$A$504,0))),"Chưa phân loại"))</f>
        <v/>
      </c>
      <c r="L131" s="40" t="n"/>
      <c r="M131" s="48" t="str">
        <f>IF(OR($B131="",$D131=""),"",IF($AC131=0,0,IF(ISNUMBER(INDEX(CASHBACK_RULES!$L$5:$L$304,$AC131)),MAX(0,MIN($L131,INDEX(CASHBACK_RULES!$L$5:$L$304,$AC131)-$AH131)),MAX(0,$L131))))</f>
        <v/>
      </c>
      <c r="N131" s="49" t="str">
        <f>IF(OR($B131="",$D131=""),"",IF($AC131&gt;0,INDEX(CASHBACK_RULES!$I$5:$I$304,$AC131),0))</f>
        <v/>
      </c>
      <c r="O131" s="48" t="str">
        <f>IF(OR($B131="",$D131=""),"",ROUND($M131*$N131,0))</f>
        <v/>
      </c>
      <c r="P131" s="48" t="str">
        <f>IF($AC131&gt;0,IF(ISNUMBER(INDEX(CASHBACK_RULES!$J$5:$J$304,$AC131)),INDEX(CASHBACK_RULES!$J$5:$J$304,$AC131),"∞"),"")</f>
        <v/>
      </c>
      <c r="Q131" s="48" t="str">
        <f>IF(OR($B131="",$D131=""),"",IF($AC131=0,0,MAX(0,MIN($O131,IF(ISNUMBER($P131),$P131-$AF131,1E+15),IF(ISNUMBER($AA131),$AA131-$AG131,1E+15)))))</f>
        <v/>
      </c>
      <c r="R131" s="48" t="str">
        <f>IF(OR($B131="",$D131=""),"",IF($AC131=0,"",IF(AND(NOT(ISNUMBER($P131)),NOT(ISNUMBER($AA131))),"∞",MAX(0,MIN(IF(ISNUMBER($P131),$P131-$AF131-$Q131,1E+15),IF(ISNUMBER($AA131),$AA131-$AG131-$Q131,1E+15))))))</f>
        <v/>
      </c>
      <c r="S131" s="47" t="str">
        <f>IF($AD131="","",YEAR($AD131)*100+MONTH($AD131))</f>
        <v/>
      </c>
      <c r="T131" s="50" t="str">
        <f>IF($AD131="","",IFERROR(IF(INDEX(CARDS!$I$5:$I$34,MATCH($D131,CARDS!$A$5:$A$34,0))="","",IF(INDEX(CARDS!$I$5:$I$34,MATCH($D131,CARDS!$A$5:$A$34,0))&gt;INDEX(CARDS!$H$5:$H$34,MATCH($D131,CARDS!$A$5:$A$34,0)),DATE(YEAR($AD131),MONTH($AD131),MIN(INDEX(CARDS!$I$5:$I$34,MATCH($D131,CARDS!$A$5:$A$34,0)),DAY(EOMONTH($AD131,0)))),DATE(YEAR($AD131),MONTH($AD131)+1,MIN(INDEX(CARDS!$I$5:$I$34,MATCH($D131,CARDS!$A$5:$A$34,0)),DAY(EOMONTH($AD131,1)))))),""))</f>
        <v/>
      </c>
      <c r="U131" s="38" t="n"/>
      <c r="V131" s="37" t="n"/>
      <c r="W131" s="38" t="n"/>
      <c r="X131" s="38" t="n"/>
      <c r="Y131" s="44" t="str">
        <f>IF($AC131&gt;0,INDEX(CASHBACK_RULES!$A$5:$A$304,$AC131),"")</f>
        <v/>
      </c>
      <c r="Z131" s="45" t="str">
        <f>IF($AC131&gt;0,INDEX(CASHBACK_RULES!$E$5:$E$304,$AC131)&amp;"","")</f>
        <v/>
      </c>
      <c r="AA131" s="48" t="str">
        <f>IF($AC131&gt;0,IF(ISNUMBER(INDEX(CASHBACK_RULES!$K$5:$K$304,$AC131)),INDEX(CASHBACK_RULES!$K$5:$K$304,$AC131),"∞"),"")</f>
        <v/>
      </c>
      <c r="AB131" s="44" t="str">
        <f>IF(OR($B131="",$D131=""),"",IF($U131="Cancelled","Đã hủy",IF($AC131=0,"Không được hoàn",IF($Q131=0,IF(OR($O131&gt;0,$M131&lt;$L131),"Đã đạt cap","Không được hoàn"),IF(OR($Q131&lt;$O131,$M131&lt;$L131),"Hoàn một phần","Được hoàn")))))</f>
        <v/>
      </c>
      <c r="AC131" s="43">
        <f>IF(OR($B131="",$D131="",$I131="",$L131=""),0,IF($U131="Cancelled",0,IF($W131&lt;&gt;"",IFERROR(IF(INDEX(CASHBACK_RULES!$B$5:$B$304,MATCH($W131,CASHBACK_RULES!$A$5:$A$304,0))=$D131,MATCH($W131,CASHBACK_RULES!$A$5:$A$304,0),0),0),IFERROR(MATCH(1,INDEX((CASHBACK_RULES!$B$5:$B$304=$D131)*(CASHBACK_RULES!$G$5:$G$304=$I131)*(((CASHBACK_RULES!$N$5:$N$304="")+(CASHBACK_RULES!$N$5:$N$304&lt;=$B131))&gt;0)*(((CASHBACK_RULES!$O$5:$O$304="")+(CASHBACK_RULES!$O$5:$O$304&gt;=$B131))&gt;0)*(((CASHBACK_RULES!$M$5:$M$304="")+(CASHBACK_RULES!$M$5:$M$304&lt;=$L131))&gt;0),0),0),0))))</f>
        <v>0</v>
      </c>
      <c r="AD131" s="51" t="str">
        <f>IF(OR($B131="",$D131=""),"",IFERROR(IF(INDEX(CARDS!$H$5:$H$34,MATCH($D131,CARDS!$A$5:$A$34,0))="","",IF(DAY($B131)&lt;=INDEX(CARDS!$H$5:$H$34,MATCH($D131,CARDS!$A$5:$A$34,0)),DATE(YEAR($B131),MONTH($B131),MIN(INDEX(CARDS!$H$5:$H$34,MATCH($D131,CARDS!$A$5:$A$34,0)),DAY(EOMONTH($B131,0)))),DATE(YEAR($B131),MONTH($B131)+1,MIN(INDEX(CARDS!$H$5:$H$34,MATCH($D131,CARDS!$A$5:$A$34,0)),DAY(EOMONTH($B131,1)))))),""))</f>
        <v/>
      </c>
      <c r="AE131" s="52" t="str">
        <f>IF($C131="","",$C131&amp;"|"&amp;COUNTIF($C$5:$C131,$C131))</f>
        <v/>
      </c>
      <c r="AF131" s="53">
        <f>IF($AC131&gt;0,SUMIFS(Q$4:Q130,$D$4:$D130,$D131,$Z$4:$Z130,$Z131,$C$4:$C130,$C131),0)</f>
        <v>0</v>
      </c>
      <c r="AG131" s="53">
        <f>IF($AC131&gt;0,SUMIFS(Q$4:Q130,$D$4:$D130,$D131,$C$4:$C130,$C131),0)</f>
        <v>0</v>
      </c>
      <c r="AH131" s="53">
        <f>IF($AC131&gt;0,SUMIFS(M$4:M130,$D$4:$D130,$D131,$Z$4:$Z130,$Z131,$C$4:$C130,$C131),0)</f>
        <v>0</v>
      </c>
      <c r="AI131" s="43">
        <f>IF(OR($C131="",$I131=""),0,IF(COUNTIFS($C$5:$C131,$C131,$I$5:$I131,$I131)=1,1,0))</f>
        <v>0</v>
      </c>
      <c r="AJ131" s="43" t="str">
        <f>IF($AI131=1,SUMIFS($AI$4:$AI130,$C$4:$C130,$C131)+1,"")</f>
        <v/>
      </c>
      <c r="AK131" s="43">
        <f>IF(OR($C131="",$K131=""),0,IF(COUNTIFS($C$5:$C131,$C131,$K$5:$K131,$K131)=1,1,0))</f>
        <v>0</v>
      </c>
      <c r="AL131" s="43" t="str">
        <f>IF($AK131=1,SUMIFS($AK$4:$AK130,$C$4:$C130,$C131)+1,"")</f>
        <v/>
      </c>
      <c r="AM131" s="43">
        <f>IF(OR($C131="",$G131=""),0,IF(COUNTIFS($C$5:$C131,$C131,$G$5:$G131,$G131)=1,1,0))</f>
        <v>0</v>
      </c>
      <c r="AN131" s="43" t="str">
        <f>IF($AM131=1,SUMIFS($AM$4:$AM130,$C$4:$C130,$C131)+1,"")</f>
        <v/>
      </c>
    </row>
    <row r="132">
      <c r="A132" s="44" t="str">
        <f>IF(OR($B132="",$D132=""),"","TX"&amp;TEXT(ROW()-4,"0000"))</f>
        <v/>
      </c>
      <c r="B132" s="42" t="n"/>
      <c r="C132" s="47" t="str">
        <f>IF($B132="","",YEAR($B132)*100+MONTH($B132))</f>
        <v/>
      </c>
      <c r="D132" s="37" t="n"/>
      <c r="E132" s="45" t="str">
        <f>IF($D132="","",IFERROR(INDEX(CARDS!$B$5:$B$34,MATCH($D132,CARDS!$A$5:$A$34,0)),"⚠ Card ID?"))</f>
        <v/>
      </c>
      <c r="F132" s="45" t="str">
        <f>IF($D132="","",IFERROR(INDEX(CARDS!$C$5:$C$34,MATCH($D132,CARDS!$A$5:$A$34,0)),"⚠ Card ID?"))</f>
        <v/>
      </c>
      <c r="G132" s="37" t="n"/>
      <c r="H132" s="37" t="n"/>
      <c r="I132" s="41" t="n"/>
      <c r="J132" s="45" t="str">
        <f>IF($I132="","",IFERROR(INDEX(MCC_MASTER!$B$5:$B$504,MATCH($I132,MCC_MASTER!$A$5:$A$504,0)),"⚠ MCC chưa có"))</f>
        <v/>
      </c>
      <c r="K132" s="45" t="str">
        <f>IF($I132="","",IFERROR(IF(INDEX(MCC_MASTER!$C$5:$C$504,MATCH($I132,MCC_MASTER!$A$5:$A$504,0))="","Chưa phân loại",INDEX(MCC_MASTER!$C$5:$C$504,MATCH($I132,MCC_MASTER!$A$5:$A$504,0))),"Chưa phân loại"))</f>
        <v/>
      </c>
      <c r="L132" s="40" t="n"/>
      <c r="M132" s="48" t="str">
        <f>IF(OR($B132="",$D132=""),"",IF($AC132=0,0,IF(ISNUMBER(INDEX(CASHBACK_RULES!$L$5:$L$304,$AC132)),MAX(0,MIN($L132,INDEX(CASHBACK_RULES!$L$5:$L$304,$AC132)-$AH132)),MAX(0,$L132))))</f>
        <v/>
      </c>
      <c r="N132" s="49" t="str">
        <f>IF(OR($B132="",$D132=""),"",IF($AC132&gt;0,INDEX(CASHBACK_RULES!$I$5:$I$304,$AC132),0))</f>
        <v/>
      </c>
      <c r="O132" s="48" t="str">
        <f>IF(OR($B132="",$D132=""),"",ROUND($M132*$N132,0))</f>
        <v/>
      </c>
      <c r="P132" s="48" t="str">
        <f>IF($AC132&gt;0,IF(ISNUMBER(INDEX(CASHBACK_RULES!$J$5:$J$304,$AC132)),INDEX(CASHBACK_RULES!$J$5:$J$304,$AC132),"∞"),"")</f>
        <v/>
      </c>
      <c r="Q132" s="48" t="str">
        <f>IF(OR($B132="",$D132=""),"",IF($AC132=0,0,MAX(0,MIN($O132,IF(ISNUMBER($P132),$P132-$AF132,1E+15),IF(ISNUMBER($AA132),$AA132-$AG132,1E+15)))))</f>
        <v/>
      </c>
      <c r="R132" s="48" t="str">
        <f>IF(OR($B132="",$D132=""),"",IF($AC132=0,"",IF(AND(NOT(ISNUMBER($P132)),NOT(ISNUMBER($AA132))),"∞",MAX(0,MIN(IF(ISNUMBER($P132),$P132-$AF132-$Q132,1E+15),IF(ISNUMBER($AA132),$AA132-$AG132-$Q132,1E+15))))))</f>
        <v/>
      </c>
      <c r="S132" s="47" t="str">
        <f>IF($AD132="","",YEAR($AD132)*100+MONTH($AD132))</f>
        <v/>
      </c>
      <c r="T132" s="50" t="str">
        <f>IF($AD132="","",IFERROR(IF(INDEX(CARDS!$I$5:$I$34,MATCH($D132,CARDS!$A$5:$A$34,0))="","",IF(INDEX(CARDS!$I$5:$I$34,MATCH($D132,CARDS!$A$5:$A$34,0))&gt;INDEX(CARDS!$H$5:$H$34,MATCH($D132,CARDS!$A$5:$A$34,0)),DATE(YEAR($AD132),MONTH($AD132),MIN(INDEX(CARDS!$I$5:$I$34,MATCH($D132,CARDS!$A$5:$A$34,0)),DAY(EOMONTH($AD132,0)))),DATE(YEAR($AD132),MONTH($AD132)+1,MIN(INDEX(CARDS!$I$5:$I$34,MATCH($D132,CARDS!$A$5:$A$34,0)),DAY(EOMONTH($AD132,1)))))),""))</f>
        <v/>
      </c>
      <c r="U132" s="38" t="n"/>
      <c r="V132" s="37" t="n"/>
      <c r="W132" s="38" t="n"/>
      <c r="X132" s="38" t="n"/>
      <c r="Y132" s="44" t="str">
        <f>IF($AC132&gt;0,INDEX(CASHBACK_RULES!$A$5:$A$304,$AC132),"")</f>
        <v/>
      </c>
      <c r="Z132" s="45" t="str">
        <f>IF($AC132&gt;0,INDEX(CASHBACK_RULES!$E$5:$E$304,$AC132)&amp;"","")</f>
        <v/>
      </c>
      <c r="AA132" s="48" t="str">
        <f>IF($AC132&gt;0,IF(ISNUMBER(INDEX(CASHBACK_RULES!$K$5:$K$304,$AC132)),INDEX(CASHBACK_RULES!$K$5:$K$304,$AC132),"∞"),"")</f>
        <v/>
      </c>
      <c r="AB132" s="44" t="str">
        <f>IF(OR($B132="",$D132=""),"",IF($U132="Cancelled","Đã hủy",IF($AC132=0,"Không được hoàn",IF($Q132=0,IF(OR($O132&gt;0,$M132&lt;$L132),"Đã đạt cap","Không được hoàn"),IF(OR($Q132&lt;$O132,$M132&lt;$L132),"Hoàn một phần","Được hoàn")))))</f>
        <v/>
      </c>
      <c r="AC132" s="43">
        <f>IF(OR($B132="",$D132="",$I132="",$L132=""),0,IF($U132="Cancelled",0,IF($W132&lt;&gt;"",IFERROR(IF(INDEX(CASHBACK_RULES!$B$5:$B$304,MATCH($W132,CASHBACK_RULES!$A$5:$A$304,0))=$D132,MATCH($W132,CASHBACK_RULES!$A$5:$A$304,0),0),0),IFERROR(MATCH(1,INDEX((CASHBACK_RULES!$B$5:$B$304=$D132)*(CASHBACK_RULES!$G$5:$G$304=$I132)*(((CASHBACK_RULES!$N$5:$N$304="")+(CASHBACK_RULES!$N$5:$N$304&lt;=$B132))&gt;0)*(((CASHBACK_RULES!$O$5:$O$304="")+(CASHBACK_RULES!$O$5:$O$304&gt;=$B132))&gt;0)*(((CASHBACK_RULES!$M$5:$M$304="")+(CASHBACK_RULES!$M$5:$M$304&lt;=$L132))&gt;0),0),0),0))))</f>
        <v>0</v>
      </c>
      <c r="AD132" s="51" t="str">
        <f>IF(OR($B132="",$D132=""),"",IFERROR(IF(INDEX(CARDS!$H$5:$H$34,MATCH($D132,CARDS!$A$5:$A$34,0))="","",IF(DAY($B132)&lt;=INDEX(CARDS!$H$5:$H$34,MATCH($D132,CARDS!$A$5:$A$34,0)),DATE(YEAR($B132),MONTH($B132),MIN(INDEX(CARDS!$H$5:$H$34,MATCH($D132,CARDS!$A$5:$A$34,0)),DAY(EOMONTH($B132,0)))),DATE(YEAR($B132),MONTH($B132)+1,MIN(INDEX(CARDS!$H$5:$H$34,MATCH($D132,CARDS!$A$5:$A$34,0)),DAY(EOMONTH($B132,1)))))),""))</f>
        <v/>
      </c>
      <c r="AE132" s="52" t="str">
        <f>IF($C132="","",$C132&amp;"|"&amp;COUNTIF($C$5:$C132,$C132))</f>
        <v/>
      </c>
      <c r="AF132" s="53">
        <f>IF($AC132&gt;0,SUMIFS(Q$4:Q131,$D$4:$D131,$D132,$Z$4:$Z131,$Z132,$C$4:$C131,$C132),0)</f>
        <v>0</v>
      </c>
      <c r="AG132" s="53">
        <f>IF($AC132&gt;0,SUMIFS(Q$4:Q131,$D$4:$D131,$D132,$C$4:$C131,$C132),0)</f>
        <v>0</v>
      </c>
      <c r="AH132" s="53">
        <f>IF($AC132&gt;0,SUMIFS(M$4:M131,$D$4:$D131,$D132,$Z$4:$Z131,$Z132,$C$4:$C131,$C132),0)</f>
        <v>0</v>
      </c>
      <c r="AI132" s="43">
        <f>IF(OR($C132="",$I132=""),0,IF(COUNTIFS($C$5:$C132,$C132,$I$5:$I132,$I132)=1,1,0))</f>
        <v>0</v>
      </c>
      <c r="AJ132" s="43" t="str">
        <f>IF($AI132=1,SUMIFS($AI$4:$AI131,$C$4:$C131,$C132)+1,"")</f>
        <v/>
      </c>
      <c r="AK132" s="43">
        <f>IF(OR($C132="",$K132=""),0,IF(COUNTIFS($C$5:$C132,$C132,$K$5:$K132,$K132)=1,1,0))</f>
        <v>0</v>
      </c>
      <c r="AL132" s="43" t="str">
        <f>IF($AK132=1,SUMIFS($AK$4:$AK131,$C$4:$C131,$C132)+1,"")</f>
        <v/>
      </c>
      <c r="AM132" s="43">
        <f>IF(OR($C132="",$G132=""),0,IF(COUNTIFS($C$5:$C132,$C132,$G$5:$G132,$G132)=1,1,0))</f>
        <v>0</v>
      </c>
      <c r="AN132" s="43" t="str">
        <f>IF($AM132=1,SUMIFS($AM$4:$AM131,$C$4:$C131,$C132)+1,"")</f>
        <v/>
      </c>
    </row>
    <row r="133">
      <c r="A133" s="44" t="str">
        <f>IF(OR($B133="",$D133=""),"","TX"&amp;TEXT(ROW()-4,"0000"))</f>
        <v/>
      </c>
      <c r="B133" s="42" t="n"/>
      <c r="C133" s="47" t="str">
        <f>IF($B133="","",YEAR($B133)*100+MONTH($B133))</f>
        <v/>
      </c>
      <c r="D133" s="37" t="n"/>
      <c r="E133" s="45" t="str">
        <f>IF($D133="","",IFERROR(INDEX(CARDS!$B$5:$B$34,MATCH($D133,CARDS!$A$5:$A$34,0)),"⚠ Card ID?"))</f>
        <v/>
      </c>
      <c r="F133" s="45" t="str">
        <f>IF($D133="","",IFERROR(INDEX(CARDS!$C$5:$C$34,MATCH($D133,CARDS!$A$5:$A$34,0)),"⚠ Card ID?"))</f>
        <v/>
      </c>
      <c r="G133" s="37" t="n"/>
      <c r="H133" s="37" t="n"/>
      <c r="I133" s="41" t="n"/>
      <c r="J133" s="45" t="str">
        <f>IF($I133="","",IFERROR(INDEX(MCC_MASTER!$B$5:$B$504,MATCH($I133,MCC_MASTER!$A$5:$A$504,0)),"⚠ MCC chưa có"))</f>
        <v/>
      </c>
      <c r="K133" s="45" t="str">
        <f>IF($I133="","",IFERROR(IF(INDEX(MCC_MASTER!$C$5:$C$504,MATCH($I133,MCC_MASTER!$A$5:$A$504,0))="","Chưa phân loại",INDEX(MCC_MASTER!$C$5:$C$504,MATCH($I133,MCC_MASTER!$A$5:$A$504,0))),"Chưa phân loại"))</f>
        <v/>
      </c>
      <c r="L133" s="40" t="n"/>
      <c r="M133" s="48" t="str">
        <f>IF(OR($B133="",$D133=""),"",IF($AC133=0,0,IF(ISNUMBER(INDEX(CASHBACK_RULES!$L$5:$L$304,$AC133)),MAX(0,MIN($L133,INDEX(CASHBACK_RULES!$L$5:$L$304,$AC133)-$AH133)),MAX(0,$L133))))</f>
        <v/>
      </c>
      <c r="N133" s="49" t="str">
        <f>IF(OR($B133="",$D133=""),"",IF($AC133&gt;0,INDEX(CASHBACK_RULES!$I$5:$I$304,$AC133),0))</f>
        <v/>
      </c>
      <c r="O133" s="48" t="str">
        <f>IF(OR($B133="",$D133=""),"",ROUND($M133*$N133,0))</f>
        <v/>
      </c>
      <c r="P133" s="48" t="str">
        <f>IF($AC133&gt;0,IF(ISNUMBER(INDEX(CASHBACK_RULES!$J$5:$J$304,$AC133)),INDEX(CASHBACK_RULES!$J$5:$J$304,$AC133),"∞"),"")</f>
        <v/>
      </c>
      <c r="Q133" s="48" t="str">
        <f>IF(OR($B133="",$D133=""),"",IF($AC133=0,0,MAX(0,MIN($O133,IF(ISNUMBER($P133),$P133-$AF133,1E+15),IF(ISNUMBER($AA133),$AA133-$AG133,1E+15)))))</f>
        <v/>
      </c>
      <c r="R133" s="48" t="str">
        <f>IF(OR($B133="",$D133=""),"",IF($AC133=0,"",IF(AND(NOT(ISNUMBER($P133)),NOT(ISNUMBER($AA133))),"∞",MAX(0,MIN(IF(ISNUMBER($P133),$P133-$AF133-$Q133,1E+15),IF(ISNUMBER($AA133),$AA133-$AG133-$Q133,1E+15))))))</f>
        <v/>
      </c>
      <c r="S133" s="47" t="str">
        <f>IF($AD133="","",YEAR($AD133)*100+MONTH($AD133))</f>
        <v/>
      </c>
      <c r="T133" s="50" t="str">
        <f>IF($AD133="","",IFERROR(IF(INDEX(CARDS!$I$5:$I$34,MATCH($D133,CARDS!$A$5:$A$34,0))="","",IF(INDEX(CARDS!$I$5:$I$34,MATCH($D133,CARDS!$A$5:$A$34,0))&gt;INDEX(CARDS!$H$5:$H$34,MATCH($D133,CARDS!$A$5:$A$34,0)),DATE(YEAR($AD133),MONTH($AD133),MIN(INDEX(CARDS!$I$5:$I$34,MATCH($D133,CARDS!$A$5:$A$34,0)),DAY(EOMONTH($AD133,0)))),DATE(YEAR($AD133),MONTH($AD133)+1,MIN(INDEX(CARDS!$I$5:$I$34,MATCH($D133,CARDS!$A$5:$A$34,0)),DAY(EOMONTH($AD133,1)))))),""))</f>
        <v/>
      </c>
      <c r="U133" s="38" t="n"/>
      <c r="V133" s="37" t="n"/>
      <c r="W133" s="38" t="n"/>
      <c r="X133" s="38" t="n"/>
      <c r="Y133" s="44" t="str">
        <f>IF($AC133&gt;0,INDEX(CASHBACK_RULES!$A$5:$A$304,$AC133),"")</f>
        <v/>
      </c>
      <c r="Z133" s="45" t="str">
        <f>IF($AC133&gt;0,INDEX(CASHBACK_RULES!$E$5:$E$304,$AC133)&amp;"","")</f>
        <v/>
      </c>
      <c r="AA133" s="48" t="str">
        <f>IF($AC133&gt;0,IF(ISNUMBER(INDEX(CASHBACK_RULES!$K$5:$K$304,$AC133)),INDEX(CASHBACK_RULES!$K$5:$K$304,$AC133),"∞"),"")</f>
        <v/>
      </c>
      <c r="AB133" s="44" t="str">
        <f>IF(OR($B133="",$D133=""),"",IF($U133="Cancelled","Đã hủy",IF($AC133=0,"Không được hoàn",IF($Q133=0,IF(OR($O133&gt;0,$M133&lt;$L133),"Đã đạt cap","Không được hoàn"),IF(OR($Q133&lt;$O133,$M133&lt;$L133),"Hoàn một phần","Được hoàn")))))</f>
        <v/>
      </c>
      <c r="AC133" s="43">
        <f>IF(OR($B133="",$D133="",$I133="",$L133=""),0,IF($U133="Cancelled",0,IF($W133&lt;&gt;"",IFERROR(IF(INDEX(CASHBACK_RULES!$B$5:$B$304,MATCH($W133,CASHBACK_RULES!$A$5:$A$304,0))=$D133,MATCH($W133,CASHBACK_RULES!$A$5:$A$304,0),0),0),IFERROR(MATCH(1,INDEX((CASHBACK_RULES!$B$5:$B$304=$D133)*(CASHBACK_RULES!$G$5:$G$304=$I133)*(((CASHBACK_RULES!$N$5:$N$304="")+(CASHBACK_RULES!$N$5:$N$304&lt;=$B133))&gt;0)*(((CASHBACK_RULES!$O$5:$O$304="")+(CASHBACK_RULES!$O$5:$O$304&gt;=$B133))&gt;0)*(((CASHBACK_RULES!$M$5:$M$304="")+(CASHBACK_RULES!$M$5:$M$304&lt;=$L133))&gt;0),0),0),0))))</f>
        <v>0</v>
      </c>
      <c r="AD133" s="51" t="str">
        <f>IF(OR($B133="",$D133=""),"",IFERROR(IF(INDEX(CARDS!$H$5:$H$34,MATCH($D133,CARDS!$A$5:$A$34,0))="","",IF(DAY($B133)&lt;=INDEX(CARDS!$H$5:$H$34,MATCH($D133,CARDS!$A$5:$A$34,0)),DATE(YEAR($B133),MONTH($B133),MIN(INDEX(CARDS!$H$5:$H$34,MATCH($D133,CARDS!$A$5:$A$34,0)),DAY(EOMONTH($B133,0)))),DATE(YEAR($B133),MONTH($B133)+1,MIN(INDEX(CARDS!$H$5:$H$34,MATCH($D133,CARDS!$A$5:$A$34,0)),DAY(EOMONTH($B133,1)))))),""))</f>
        <v/>
      </c>
      <c r="AE133" s="52" t="str">
        <f>IF($C133="","",$C133&amp;"|"&amp;COUNTIF($C$5:$C133,$C133))</f>
        <v/>
      </c>
      <c r="AF133" s="53">
        <f>IF($AC133&gt;0,SUMIFS(Q$4:Q132,$D$4:$D132,$D133,$Z$4:$Z132,$Z133,$C$4:$C132,$C133),0)</f>
        <v>0</v>
      </c>
      <c r="AG133" s="53">
        <f>IF($AC133&gt;0,SUMIFS(Q$4:Q132,$D$4:$D132,$D133,$C$4:$C132,$C133),0)</f>
        <v>0</v>
      </c>
      <c r="AH133" s="53">
        <f>IF($AC133&gt;0,SUMIFS(M$4:M132,$D$4:$D132,$D133,$Z$4:$Z132,$Z133,$C$4:$C132,$C133),0)</f>
        <v>0</v>
      </c>
      <c r="AI133" s="43">
        <f>IF(OR($C133="",$I133=""),0,IF(COUNTIFS($C$5:$C133,$C133,$I$5:$I133,$I133)=1,1,0))</f>
        <v>0</v>
      </c>
      <c r="AJ133" s="43" t="str">
        <f>IF($AI133=1,SUMIFS($AI$4:$AI132,$C$4:$C132,$C133)+1,"")</f>
        <v/>
      </c>
      <c r="AK133" s="43">
        <f>IF(OR($C133="",$K133=""),0,IF(COUNTIFS($C$5:$C133,$C133,$K$5:$K133,$K133)=1,1,0))</f>
        <v>0</v>
      </c>
      <c r="AL133" s="43" t="str">
        <f>IF($AK133=1,SUMIFS($AK$4:$AK132,$C$4:$C132,$C133)+1,"")</f>
        <v/>
      </c>
      <c r="AM133" s="43">
        <f>IF(OR($C133="",$G133=""),0,IF(COUNTIFS($C$5:$C133,$C133,$G$5:$G133,$G133)=1,1,0))</f>
        <v>0</v>
      </c>
      <c r="AN133" s="43" t="str">
        <f>IF($AM133=1,SUMIFS($AM$4:$AM132,$C$4:$C132,$C133)+1,"")</f>
        <v/>
      </c>
    </row>
    <row r="134">
      <c r="A134" s="44" t="str">
        <f>IF(OR($B134="",$D134=""),"","TX"&amp;TEXT(ROW()-4,"0000"))</f>
        <v/>
      </c>
      <c r="B134" s="42" t="n"/>
      <c r="C134" s="47" t="str">
        <f>IF($B134="","",YEAR($B134)*100+MONTH($B134))</f>
        <v/>
      </c>
      <c r="D134" s="37" t="n"/>
      <c r="E134" s="45" t="str">
        <f>IF($D134="","",IFERROR(INDEX(CARDS!$B$5:$B$34,MATCH($D134,CARDS!$A$5:$A$34,0)),"⚠ Card ID?"))</f>
        <v/>
      </c>
      <c r="F134" s="45" t="str">
        <f>IF($D134="","",IFERROR(INDEX(CARDS!$C$5:$C$34,MATCH($D134,CARDS!$A$5:$A$34,0)),"⚠ Card ID?"))</f>
        <v/>
      </c>
      <c r="G134" s="37" t="n"/>
      <c r="H134" s="37" t="n"/>
      <c r="I134" s="41" t="n"/>
      <c r="J134" s="45" t="str">
        <f>IF($I134="","",IFERROR(INDEX(MCC_MASTER!$B$5:$B$504,MATCH($I134,MCC_MASTER!$A$5:$A$504,0)),"⚠ MCC chưa có"))</f>
        <v/>
      </c>
      <c r="K134" s="45" t="str">
        <f>IF($I134="","",IFERROR(IF(INDEX(MCC_MASTER!$C$5:$C$504,MATCH($I134,MCC_MASTER!$A$5:$A$504,0))="","Chưa phân loại",INDEX(MCC_MASTER!$C$5:$C$504,MATCH($I134,MCC_MASTER!$A$5:$A$504,0))),"Chưa phân loại"))</f>
        <v/>
      </c>
      <c r="L134" s="40" t="n"/>
      <c r="M134" s="48" t="str">
        <f>IF(OR($B134="",$D134=""),"",IF($AC134=0,0,IF(ISNUMBER(INDEX(CASHBACK_RULES!$L$5:$L$304,$AC134)),MAX(0,MIN($L134,INDEX(CASHBACK_RULES!$L$5:$L$304,$AC134)-$AH134)),MAX(0,$L134))))</f>
        <v/>
      </c>
      <c r="N134" s="49" t="str">
        <f>IF(OR($B134="",$D134=""),"",IF($AC134&gt;0,INDEX(CASHBACK_RULES!$I$5:$I$304,$AC134),0))</f>
        <v/>
      </c>
      <c r="O134" s="48" t="str">
        <f>IF(OR($B134="",$D134=""),"",ROUND($M134*$N134,0))</f>
        <v/>
      </c>
      <c r="P134" s="48" t="str">
        <f>IF($AC134&gt;0,IF(ISNUMBER(INDEX(CASHBACK_RULES!$J$5:$J$304,$AC134)),INDEX(CASHBACK_RULES!$J$5:$J$304,$AC134),"∞"),"")</f>
        <v/>
      </c>
      <c r="Q134" s="48" t="str">
        <f>IF(OR($B134="",$D134=""),"",IF($AC134=0,0,MAX(0,MIN($O134,IF(ISNUMBER($P134),$P134-$AF134,1E+15),IF(ISNUMBER($AA134),$AA134-$AG134,1E+15)))))</f>
        <v/>
      </c>
      <c r="R134" s="48" t="str">
        <f>IF(OR($B134="",$D134=""),"",IF($AC134=0,"",IF(AND(NOT(ISNUMBER($P134)),NOT(ISNUMBER($AA134))),"∞",MAX(0,MIN(IF(ISNUMBER($P134),$P134-$AF134-$Q134,1E+15),IF(ISNUMBER($AA134),$AA134-$AG134-$Q134,1E+15))))))</f>
        <v/>
      </c>
      <c r="S134" s="47" t="str">
        <f>IF($AD134="","",YEAR($AD134)*100+MONTH($AD134))</f>
        <v/>
      </c>
      <c r="T134" s="50" t="str">
        <f>IF($AD134="","",IFERROR(IF(INDEX(CARDS!$I$5:$I$34,MATCH($D134,CARDS!$A$5:$A$34,0))="","",IF(INDEX(CARDS!$I$5:$I$34,MATCH($D134,CARDS!$A$5:$A$34,0))&gt;INDEX(CARDS!$H$5:$H$34,MATCH($D134,CARDS!$A$5:$A$34,0)),DATE(YEAR($AD134),MONTH($AD134),MIN(INDEX(CARDS!$I$5:$I$34,MATCH($D134,CARDS!$A$5:$A$34,0)),DAY(EOMONTH($AD134,0)))),DATE(YEAR($AD134),MONTH($AD134)+1,MIN(INDEX(CARDS!$I$5:$I$34,MATCH($D134,CARDS!$A$5:$A$34,0)),DAY(EOMONTH($AD134,1)))))),""))</f>
        <v/>
      </c>
      <c r="U134" s="38" t="n"/>
      <c r="V134" s="37" t="n"/>
      <c r="W134" s="38" t="n"/>
      <c r="X134" s="38" t="n"/>
      <c r="Y134" s="44" t="str">
        <f>IF($AC134&gt;0,INDEX(CASHBACK_RULES!$A$5:$A$304,$AC134),"")</f>
        <v/>
      </c>
      <c r="Z134" s="45" t="str">
        <f>IF($AC134&gt;0,INDEX(CASHBACK_RULES!$E$5:$E$304,$AC134)&amp;"","")</f>
        <v/>
      </c>
      <c r="AA134" s="48" t="str">
        <f>IF($AC134&gt;0,IF(ISNUMBER(INDEX(CASHBACK_RULES!$K$5:$K$304,$AC134)),INDEX(CASHBACK_RULES!$K$5:$K$304,$AC134),"∞"),"")</f>
        <v/>
      </c>
      <c r="AB134" s="44" t="str">
        <f>IF(OR($B134="",$D134=""),"",IF($U134="Cancelled","Đã hủy",IF($AC134=0,"Không được hoàn",IF($Q134=0,IF(OR($O134&gt;0,$M134&lt;$L134),"Đã đạt cap","Không được hoàn"),IF(OR($Q134&lt;$O134,$M134&lt;$L134),"Hoàn một phần","Được hoàn")))))</f>
        <v/>
      </c>
      <c r="AC134" s="43">
        <f>IF(OR($B134="",$D134="",$I134="",$L134=""),0,IF($U134="Cancelled",0,IF($W134&lt;&gt;"",IFERROR(IF(INDEX(CASHBACK_RULES!$B$5:$B$304,MATCH($W134,CASHBACK_RULES!$A$5:$A$304,0))=$D134,MATCH($W134,CASHBACK_RULES!$A$5:$A$304,0),0),0),IFERROR(MATCH(1,INDEX((CASHBACK_RULES!$B$5:$B$304=$D134)*(CASHBACK_RULES!$G$5:$G$304=$I134)*(((CASHBACK_RULES!$N$5:$N$304="")+(CASHBACK_RULES!$N$5:$N$304&lt;=$B134))&gt;0)*(((CASHBACK_RULES!$O$5:$O$304="")+(CASHBACK_RULES!$O$5:$O$304&gt;=$B134))&gt;0)*(((CASHBACK_RULES!$M$5:$M$304="")+(CASHBACK_RULES!$M$5:$M$304&lt;=$L134))&gt;0),0),0),0))))</f>
        <v>0</v>
      </c>
      <c r="AD134" s="51" t="str">
        <f>IF(OR($B134="",$D134=""),"",IFERROR(IF(INDEX(CARDS!$H$5:$H$34,MATCH($D134,CARDS!$A$5:$A$34,0))="","",IF(DAY($B134)&lt;=INDEX(CARDS!$H$5:$H$34,MATCH($D134,CARDS!$A$5:$A$34,0)),DATE(YEAR($B134),MONTH($B134),MIN(INDEX(CARDS!$H$5:$H$34,MATCH($D134,CARDS!$A$5:$A$34,0)),DAY(EOMONTH($B134,0)))),DATE(YEAR($B134),MONTH($B134)+1,MIN(INDEX(CARDS!$H$5:$H$34,MATCH($D134,CARDS!$A$5:$A$34,0)),DAY(EOMONTH($B134,1)))))),""))</f>
        <v/>
      </c>
      <c r="AE134" s="52" t="str">
        <f>IF($C134="","",$C134&amp;"|"&amp;COUNTIF($C$5:$C134,$C134))</f>
        <v/>
      </c>
      <c r="AF134" s="53">
        <f>IF($AC134&gt;0,SUMIFS(Q$4:Q133,$D$4:$D133,$D134,$Z$4:$Z133,$Z134,$C$4:$C133,$C134),0)</f>
        <v>0</v>
      </c>
      <c r="AG134" s="53">
        <f>IF($AC134&gt;0,SUMIFS(Q$4:Q133,$D$4:$D133,$D134,$C$4:$C133,$C134),0)</f>
        <v>0</v>
      </c>
      <c r="AH134" s="53">
        <f>IF($AC134&gt;0,SUMIFS(M$4:M133,$D$4:$D133,$D134,$Z$4:$Z133,$Z134,$C$4:$C133,$C134),0)</f>
        <v>0</v>
      </c>
      <c r="AI134" s="43">
        <f>IF(OR($C134="",$I134=""),0,IF(COUNTIFS($C$5:$C134,$C134,$I$5:$I134,$I134)=1,1,0))</f>
        <v>0</v>
      </c>
      <c r="AJ134" s="43" t="str">
        <f>IF($AI134=1,SUMIFS($AI$4:$AI133,$C$4:$C133,$C134)+1,"")</f>
        <v/>
      </c>
      <c r="AK134" s="43">
        <f>IF(OR($C134="",$K134=""),0,IF(COUNTIFS($C$5:$C134,$C134,$K$5:$K134,$K134)=1,1,0))</f>
        <v>0</v>
      </c>
      <c r="AL134" s="43" t="str">
        <f>IF($AK134=1,SUMIFS($AK$4:$AK133,$C$4:$C133,$C134)+1,"")</f>
        <v/>
      </c>
      <c r="AM134" s="43">
        <f>IF(OR($C134="",$G134=""),0,IF(COUNTIFS($C$5:$C134,$C134,$G$5:$G134,$G134)=1,1,0))</f>
        <v>0</v>
      </c>
      <c r="AN134" s="43" t="str">
        <f>IF($AM134=1,SUMIFS($AM$4:$AM133,$C$4:$C133,$C134)+1,"")</f>
        <v/>
      </c>
    </row>
    <row r="135">
      <c r="A135" s="44" t="str">
        <f>IF(OR($B135="",$D135=""),"","TX"&amp;TEXT(ROW()-4,"0000"))</f>
        <v/>
      </c>
      <c r="B135" s="42" t="n"/>
      <c r="C135" s="47" t="str">
        <f>IF($B135="","",YEAR($B135)*100+MONTH($B135))</f>
        <v/>
      </c>
      <c r="D135" s="37" t="n"/>
      <c r="E135" s="45" t="str">
        <f>IF($D135="","",IFERROR(INDEX(CARDS!$B$5:$B$34,MATCH($D135,CARDS!$A$5:$A$34,0)),"⚠ Card ID?"))</f>
        <v/>
      </c>
      <c r="F135" s="45" t="str">
        <f>IF($D135="","",IFERROR(INDEX(CARDS!$C$5:$C$34,MATCH($D135,CARDS!$A$5:$A$34,0)),"⚠ Card ID?"))</f>
        <v/>
      </c>
      <c r="G135" s="37" t="n"/>
      <c r="H135" s="37" t="n"/>
      <c r="I135" s="41" t="n"/>
      <c r="J135" s="45" t="str">
        <f>IF($I135="","",IFERROR(INDEX(MCC_MASTER!$B$5:$B$504,MATCH($I135,MCC_MASTER!$A$5:$A$504,0)),"⚠ MCC chưa có"))</f>
        <v/>
      </c>
      <c r="K135" s="45" t="str">
        <f>IF($I135="","",IFERROR(IF(INDEX(MCC_MASTER!$C$5:$C$504,MATCH($I135,MCC_MASTER!$A$5:$A$504,0))="","Chưa phân loại",INDEX(MCC_MASTER!$C$5:$C$504,MATCH($I135,MCC_MASTER!$A$5:$A$504,0))),"Chưa phân loại"))</f>
        <v/>
      </c>
      <c r="L135" s="40" t="n"/>
      <c r="M135" s="48" t="str">
        <f>IF(OR($B135="",$D135=""),"",IF($AC135=0,0,IF(ISNUMBER(INDEX(CASHBACK_RULES!$L$5:$L$304,$AC135)),MAX(0,MIN($L135,INDEX(CASHBACK_RULES!$L$5:$L$304,$AC135)-$AH135)),MAX(0,$L135))))</f>
        <v/>
      </c>
      <c r="N135" s="49" t="str">
        <f>IF(OR($B135="",$D135=""),"",IF($AC135&gt;0,INDEX(CASHBACK_RULES!$I$5:$I$304,$AC135),0))</f>
        <v/>
      </c>
      <c r="O135" s="48" t="str">
        <f>IF(OR($B135="",$D135=""),"",ROUND($M135*$N135,0))</f>
        <v/>
      </c>
      <c r="P135" s="48" t="str">
        <f>IF($AC135&gt;0,IF(ISNUMBER(INDEX(CASHBACK_RULES!$J$5:$J$304,$AC135)),INDEX(CASHBACK_RULES!$J$5:$J$304,$AC135),"∞"),"")</f>
        <v/>
      </c>
      <c r="Q135" s="48" t="str">
        <f>IF(OR($B135="",$D135=""),"",IF($AC135=0,0,MAX(0,MIN($O135,IF(ISNUMBER($P135),$P135-$AF135,1E+15),IF(ISNUMBER($AA135),$AA135-$AG135,1E+15)))))</f>
        <v/>
      </c>
      <c r="R135" s="48" t="str">
        <f>IF(OR($B135="",$D135=""),"",IF($AC135=0,"",IF(AND(NOT(ISNUMBER($P135)),NOT(ISNUMBER($AA135))),"∞",MAX(0,MIN(IF(ISNUMBER($P135),$P135-$AF135-$Q135,1E+15),IF(ISNUMBER($AA135),$AA135-$AG135-$Q135,1E+15))))))</f>
        <v/>
      </c>
      <c r="S135" s="47" t="str">
        <f>IF($AD135="","",YEAR($AD135)*100+MONTH($AD135))</f>
        <v/>
      </c>
      <c r="T135" s="50" t="str">
        <f>IF($AD135="","",IFERROR(IF(INDEX(CARDS!$I$5:$I$34,MATCH($D135,CARDS!$A$5:$A$34,0))="","",IF(INDEX(CARDS!$I$5:$I$34,MATCH($D135,CARDS!$A$5:$A$34,0))&gt;INDEX(CARDS!$H$5:$H$34,MATCH($D135,CARDS!$A$5:$A$34,0)),DATE(YEAR($AD135),MONTH($AD135),MIN(INDEX(CARDS!$I$5:$I$34,MATCH($D135,CARDS!$A$5:$A$34,0)),DAY(EOMONTH($AD135,0)))),DATE(YEAR($AD135),MONTH($AD135)+1,MIN(INDEX(CARDS!$I$5:$I$34,MATCH($D135,CARDS!$A$5:$A$34,0)),DAY(EOMONTH($AD135,1)))))),""))</f>
        <v/>
      </c>
      <c r="U135" s="38" t="n"/>
      <c r="V135" s="37" t="n"/>
      <c r="W135" s="38" t="n"/>
      <c r="X135" s="38" t="n"/>
      <c r="Y135" s="44" t="str">
        <f>IF($AC135&gt;0,INDEX(CASHBACK_RULES!$A$5:$A$304,$AC135),"")</f>
        <v/>
      </c>
      <c r="Z135" s="45" t="str">
        <f>IF($AC135&gt;0,INDEX(CASHBACK_RULES!$E$5:$E$304,$AC135)&amp;"","")</f>
        <v/>
      </c>
      <c r="AA135" s="48" t="str">
        <f>IF($AC135&gt;0,IF(ISNUMBER(INDEX(CASHBACK_RULES!$K$5:$K$304,$AC135)),INDEX(CASHBACK_RULES!$K$5:$K$304,$AC135),"∞"),"")</f>
        <v/>
      </c>
      <c r="AB135" s="44" t="str">
        <f>IF(OR($B135="",$D135=""),"",IF($U135="Cancelled","Đã hủy",IF($AC135=0,"Không được hoàn",IF($Q135=0,IF(OR($O135&gt;0,$M135&lt;$L135),"Đã đạt cap","Không được hoàn"),IF(OR($Q135&lt;$O135,$M135&lt;$L135),"Hoàn một phần","Được hoàn")))))</f>
        <v/>
      </c>
      <c r="AC135" s="43">
        <f>IF(OR($B135="",$D135="",$I135="",$L135=""),0,IF($U135="Cancelled",0,IF($W135&lt;&gt;"",IFERROR(IF(INDEX(CASHBACK_RULES!$B$5:$B$304,MATCH($W135,CASHBACK_RULES!$A$5:$A$304,0))=$D135,MATCH($W135,CASHBACK_RULES!$A$5:$A$304,0),0),0),IFERROR(MATCH(1,INDEX((CASHBACK_RULES!$B$5:$B$304=$D135)*(CASHBACK_RULES!$G$5:$G$304=$I135)*(((CASHBACK_RULES!$N$5:$N$304="")+(CASHBACK_RULES!$N$5:$N$304&lt;=$B135))&gt;0)*(((CASHBACK_RULES!$O$5:$O$304="")+(CASHBACK_RULES!$O$5:$O$304&gt;=$B135))&gt;0)*(((CASHBACK_RULES!$M$5:$M$304="")+(CASHBACK_RULES!$M$5:$M$304&lt;=$L135))&gt;0),0),0),0))))</f>
        <v>0</v>
      </c>
      <c r="AD135" s="51" t="str">
        <f>IF(OR($B135="",$D135=""),"",IFERROR(IF(INDEX(CARDS!$H$5:$H$34,MATCH($D135,CARDS!$A$5:$A$34,0))="","",IF(DAY($B135)&lt;=INDEX(CARDS!$H$5:$H$34,MATCH($D135,CARDS!$A$5:$A$34,0)),DATE(YEAR($B135),MONTH($B135),MIN(INDEX(CARDS!$H$5:$H$34,MATCH($D135,CARDS!$A$5:$A$34,0)),DAY(EOMONTH($B135,0)))),DATE(YEAR($B135),MONTH($B135)+1,MIN(INDEX(CARDS!$H$5:$H$34,MATCH($D135,CARDS!$A$5:$A$34,0)),DAY(EOMONTH($B135,1)))))),""))</f>
        <v/>
      </c>
      <c r="AE135" s="52" t="str">
        <f>IF($C135="","",$C135&amp;"|"&amp;COUNTIF($C$5:$C135,$C135))</f>
        <v/>
      </c>
      <c r="AF135" s="53">
        <f>IF($AC135&gt;0,SUMIFS(Q$4:Q134,$D$4:$D134,$D135,$Z$4:$Z134,$Z135,$C$4:$C134,$C135),0)</f>
        <v>0</v>
      </c>
      <c r="AG135" s="53">
        <f>IF($AC135&gt;0,SUMIFS(Q$4:Q134,$D$4:$D134,$D135,$C$4:$C134,$C135),0)</f>
        <v>0</v>
      </c>
      <c r="AH135" s="53">
        <f>IF($AC135&gt;0,SUMIFS(M$4:M134,$D$4:$D134,$D135,$Z$4:$Z134,$Z135,$C$4:$C134,$C135),0)</f>
        <v>0</v>
      </c>
      <c r="AI135" s="43">
        <f>IF(OR($C135="",$I135=""),0,IF(COUNTIFS($C$5:$C135,$C135,$I$5:$I135,$I135)=1,1,0))</f>
        <v>0</v>
      </c>
      <c r="AJ135" s="43" t="str">
        <f>IF($AI135=1,SUMIFS($AI$4:$AI134,$C$4:$C134,$C135)+1,"")</f>
        <v/>
      </c>
      <c r="AK135" s="43">
        <f>IF(OR($C135="",$K135=""),0,IF(COUNTIFS($C$5:$C135,$C135,$K$5:$K135,$K135)=1,1,0))</f>
        <v>0</v>
      </c>
      <c r="AL135" s="43" t="str">
        <f>IF($AK135=1,SUMIFS($AK$4:$AK134,$C$4:$C134,$C135)+1,"")</f>
        <v/>
      </c>
      <c r="AM135" s="43">
        <f>IF(OR($C135="",$G135=""),0,IF(COUNTIFS($C$5:$C135,$C135,$G$5:$G135,$G135)=1,1,0))</f>
        <v>0</v>
      </c>
      <c r="AN135" s="43" t="str">
        <f>IF($AM135=1,SUMIFS($AM$4:$AM134,$C$4:$C134,$C135)+1,"")</f>
        <v/>
      </c>
    </row>
    <row r="136">
      <c r="A136" s="44" t="str">
        <f>IF(OR($B136="",$D136=""),"","TX"&amp;TEXT(ROW()-4,"0000"))</f>
        <v/>
      </c>
      <c r="B136" s="42" t="n"/>
      <c r="C136" s="47" t="str">
        <f>IF($B136="","",YEAR($B136)*100+MONTH($B136))</f>
        <v/>
      </c>
      <c r="D136" s="37" t="n"/>
      <c r="E136" s="45" t="str">
        <f>IF($D136="","",IFERROR(INDEX(CARDS!$B$5:$B$34,MATCH($D136,CARDS!$A$5:$A$34,0)),"⚠ Card ID?"))</f>
        <v/>
      </c>
      <c r="F136" s="45" t="str">
        <f>IF($D136="","",IFERROR(INDEX(CARDS!$C$5:$C$34,MATCH($D136,CARDS!$A$5:$A$34,0)),"⚠ Card ID?"))</f>
        <v/>
      </c>
      <c r="G136" s="37" t="n"/>
      <c r="H136" s="37" t="n"/>
      <c r="I136" s="41" t="n"/>
      <c r="J136" s="45" t="str">
        <f>IF($I136="","",IFERROR(INDEX(MCC_MASTER!$B$5:$B$504,MATCH($I136,MCC_MASTER!$A$5:$A$504,0)),"⚠ MCC chưa có"))</f>
        <v/>
      </c>
      <c r="K136" s="45" t="str">
        <f>IF($I136="","",IFERROR(IF(INDEX(MCC_MASTER!$C$5:$C$504,MATCH($I136,MCC_MASTER!$A$5:$A$504,0))="","Chưa phân loại",INDEX(MCC_MASTER!$C$5:$C$504,MATCH($I136,MCC_MASTER!$A$5:$A$504,0))),"Chưa phân loại"))</f>
        <v/>
      </c>
      <c r="L136" s="40" t="n"/>
      <c r="M136" s="48" t="str">
        <f>IF(OR($B136="",$D136=""),"",IF($AC136=0,0,IF(ISNUMBER(INDEX(CASHBACK_RULES!$L$5:$L$304,$AC136)),MAX(0,MIN($L136,INDEX(CASHBACK_RULES!$L$5:$L$304,$AC136)-$AH136)),MAX(0,$L136))))</f>
        <v/>
      </c>
      <c r="N136" s="49" t="str">
        <f>IF(OR($B136="",$D136=""),"",IF($AC136&gt;0,INDEX(CASHBACK_RULES!$I$5:$I$304,$AC136),0))</f>
        <v/>
      </c>
      <c r="O136" s="48" t="str">
        <f>IF(OR($B136="",$D136=""),"",ROUND($M136*$N136,0))</f>
        <v/>
      </c>
      <c r="P136" s="48" t="str">
        <f>IF($AC136&gt;0,IF(ISNUMBER(INDEX(CASHBACK_RULES!$J$5:$J$304,$AC136)),INDEX(CASHBACK_RULES!$J$5:$J$304,$AC136),"∞"),"")</f>
        <v/>
      </c>
      <c r="Q136" s="48" t="str">
        <f>IF(OR($B136="",$D136=""),"",IF($AC136=0,0,MAX(0,MIN($O136,IF(ISNUMBER($P136),$P136-$AF136,1E+15),IF(ISNUMBER($AA136),$AA136-$AG136,1E+15)))))</f>
        <v/>
      </c>
      <c r="R136" s="48" t="str">
        <f>IF(OR($B136="",$D136=""),"",IF($AC136=0,"",IF(AND(NOT(ISNUMBER($P136)),NOT(ISNUMBER($AA136))),"∞",MAX(0,MIN(IF(ISNUMBER($P136),$P136-$AF136-$Q136,1E+15),IF(ISNUMBER($AA136),$AA136-$AG136-$Q136,1E+15))))))</f>
        <v/>
      </c>
      <c r="S136" s="47" t="str">
        <f>IF($AD136="","",YEAR($AD136)*100+MONTH($AD136))</f>
        <v/>
      </c>
      <c r="T136" s="50" t="str">
        <f>IF($AD136="","",IFERROR(IF(INDEX(CARDS!$I$5:$I$34,MATCH($D136,CARDS!$A$5:$A$34,0))="","",IF(INDEX(CARDS!$I$5:$I$34,MATCH($D136,CARDS!$A$5:$A$34,0))&gt;INDEX(CARDS!$H$5:$H$34,MATCH($D136,CARDS!$A$5:$A$34,0)),DATE(YEAR($AD136),MONTH($AD136),MIN(INDEX(CARDS!$I$5:$I$34,MATCH($D136,CARDS!$A$5:$A$34,0)),DAY(EOMONTH($AD136,0)))),DATE(YEAR($AD136),MONTH($AD136)+1,MIN(INDEX(CARDS!$I$5:$I$34,MATCH($D136,CARDS!$A$5:$A$34,0)),DAY(EOMONTH($AD136,1)))))),""))</f>
        <v/>
      </c>
      <c r="U136" s="38" t="n"/>
      <c r="V136" s="37" t="n"/>
      <c r="W136" s="38" t="n"/>
      <c r="X136" s="38" t="n"/>
      <c r="Y136" s="44" t="str">
        <f>IF($AC136&gt;0,INDEX(CASHBACK_RULES!$A$5:$A$304,$AC136),"")</f>
        <v/>
      </c>
      <c r="Z136" s="45" t="str">
        <f>IF($AC136&gt;0,INDEX(CASHBACK_RULES!$E$5:$E$304,$AC136)&amp;"","")</f>
        <v/>
      </c>
      <c r="AA136" s="48" t="str">
        <f>IF($AC136&gt;0,IF(ISNUMBER(INDEX(CASHBACK_RULES!$K$5:$K$304,$AC136)),INDEX(CASHBACK_RULES!$K$5:$K$304,$AC136),"∞"),"")</f>
        <v/>
      </c>
      <c r="AB136" s="44" t="str">
        <f>IF(OR($B136="",$D136=""),"",IF($U136="Cancelled","Đã hủy",IF($AC136=0,"Không được hoàn",IF($Q136=0,IF(OR($O136&gt;0,$M136&lt;$L136),"Đã đạt cap","Không được hoàn"),IF(OR($Q136&lt;$O136,$M136&lt;$L136),"Hoàn một phần","Được hoàn")))))</f>
        <v/>
      </c>
      <c r="AC136" s="43">
        <f>IF(OR($B136="",$D136="",$I136="",$L136=""),0,IF($U136="Cancelled",0,IF($W136&lt;&gt;"",IFERROR(IF(INDEX(CASHBACK_RULES!$B$5:$B$304,MATCH($W136,CASHBACK_RULES!$A$5:$A$304,0))=$D136,MATCH($W136,CASHBACK_RULES!$A$5:$A$304,0),0),0),IFERROR(MATCH(1,INDEX((CASHBACK_RULES!$B$5:$B$304=$D136)*(CASHBACK_RULES!$G$5:$G$304=$I136)*(((CASHBACK_RULES!$N$5:$N$304="")+(CASHBACK_RULES!$N$5:$N$304&lt;=$B136))&gt;0)*(((CASHBACK_RULES!$O$5:$O$304="")+(CASHBACK_RULES!$O$5:$O$304&gt;=$B136))&gt;0)*(((CASHBACK_RULES!$M$5:$M$304="")+(CASHBACK_RULES!$M$5:$M$304&lt;=$L136))&gt;0),0),0),0))))</f>
        <v>0</v>
      </c>
      <c r="AD136" s="51" t="str">
        <f>IF(OR($B136="",$D136=""),"",IFERROR(IF(INDEX(CARDS!$H$5:$H$34,MATCH($D136,CARDS!$A$5:$A$34,0))="","",IF(DAY($B136)&lt;=INDEX(CARDS!$H$5:$H$34,MATCH($D136,CARDS!$A$5:$A$34,0)),DATE(YEAR($B136),MONTH($B136),MIN(INDEX(CARDS!$H$5:$H$34,MATCH($D136,CARDS!$A$5:$A$34,0)),DAY(EOMONTH($B136,0)))),DATE(YEAR($B136),MONTH($B136)+1,MIN(INDEX(CARDS!$H$5:$H$34,MATCH($D136,CARDS!$A$5:$A$34,0)),DAY(EOMONTH($B136,1)))))),""))</f>
        <v/>
      </c>
      <c r="AE136" s="52" t="str">
        <f>IF($C136="","",$C136&amp;"|"&amp;COUNTIF($C$5:$C136,$C136))</f>
        <v/>
      </c>
      <c r="AF136" s="53">
        <f>IF($AC136&gt;0,SUMIFS(Q$4:Q135,$D$4:$D135,$D136,$Z$4:$Z135,$Z136,$C$4:$C135,$C136),0)</f>
        <v>0</v>
      </c>
      <c r="AG136" s="53">
        <f>IF($AC136&gt;0,SUMIFS(Q$4:Q135,$D$4:$D135,$D136,$C$4:$C135,$C136),0)</f>
        <v>0</v>
      </c>
      <c r="AH136" s="53">
        <f>IF($AC136&gt;0,SUMIFS(M$4:M135,$D$4:$D135,$D136,$Z$4:$Z135,$Z136,$C$4:$C135,$C136),0)</f>
        <v>0</v>
      </c>
      <c r="AI136" s="43">
        <f>IF(OR($C136="",$I136=""),0,IF(COUNTIFS($C$5:$C136,$C136,$I$5:$I136,$I136)=1,1,0))</f>
        <v>0</v>
      </c>
      <c r="AJ136" s="43" t="str">
        <f>IF($AI136=1,SUMIFS($AI$4:$AI135,$C$4:$C135,$C136)+1,"")</f>
        <v/>
      </c>
      <c r="AK136" s="43">
        <f>IF(OR($C136="",$K136=""),0,IF(COUNTIFS($C$5:$C136,$C136,$K$5:$K136,$K136)=1,1,0))</f>
        <v>0</v>
      </c>
      <c r="AL136" s="43" t="str">
        <f>IF($AK136=1,SUMIFS($AK$4:$AK135,$C$4:$C135,$C136)+1,"")</f>
        <v/>
      </c>
      <c r="AM136" s="43">
        <f>IF(OR($C136="",$G136=""),0,IF(COUNTIFS($C$5:$C136,$C136,$G$5:$G136,$G136)=1,1,0))</f>
        <v>0</v>
      </c>
      <c r="AN136" s="43" t="str">
        <f>IF($AM136=1,SUMIFS($AM$4:$AM135,$C$4:$C135,$C136)+1,"")</f>
        <v/>
      </c>
    </row>
    <row r="137">
      <c r="A137" s="44" t="str">
        <f>IF(OR($B137="",$D137=""),"","TX"&amp;TEXT(ROW()-4,"0000"))</f>
        <v/>
      </c>
      <c r="B137" s="42" t="n"/>
      <c r="C137" s="47" t="str">
        <f>IF($B137="","",YEAR($B137)*100+MONTH($B137))</f>
        <v/>
      </c>
      <c r="D137" s="37" t="n"/>
      <c r="E137" s="45" t="str">
        <f>IF($D137="","",IFERROR(INDEX(CARDS!$B$5:$B$34,MATCH($D137,CARDS!$A$5:$A$34,0)),"⚠ Card ID?"))</f>
        <v/>
      </c>
      <c r="F137" s="45" t="str">
        <f>IF($D137="","",IFERROR(INDEX(CARDS!$C$5:$C$34,MATCH($D137,CARDS!$A$5:$A$34,0)),"⚠ Card ID?"))</f>
        <v/>
      </c>
      <c r="G137" s="37" t="n"/>
      <c r="H137" s="37" t="n"/>
      <c r="I137" s="41" t="n"/>
      <c r="J137" s="45" t="str">
        <f>IF($I137="","",IFERROR(INDEX(MCC_MASTER!$B$5:$B$504,MATCH($I137,MCC_MASTER!$A$5:$A$504,0)),"⚠ MCC chưa có"))</f>
        <v/>
      </c>
      <c r="K137" s="45" t="str">
        <f>IF($I137="","",IFERROR(IF(INDEX(MCC_MASTER!$C$5:$C$504,MATCH($I137,MCC_MASTER!$A$5:$A$504,0))="","Chưa phân loại",INDEX(MCC_MASTER!$C$5:$C$504,MATCH($I137,MCC_MASTER!$A$5:$A$504,0))),"Chưa phân loại"))</f>
        <v/>
      </c>
      <c r="L137" s="40" t="n"/>
      <c r="M137" s="48" t="str">
        <f>IF(OR($B137="",$D137=""),"",IF($AC137=0,0,IF(ISNUMBER(INDEX(CASHBACK_RULES!$L$5:$L$304,$AC137)),MAX(0,MIN($L137,INDEX(CASHBACK_RULES!$L$5:$L$304,$AC137)-$AH137)),MAX(0,$L137))))</f>
        <v/>
      </c>
      <c r="N137" s="49" t="str">
        <f>IF(OR($B137="",$D137=""),"",IF($AC137&gt;0,INDEX(CASHBACK_RULES!$I$5:$I$304,$AC137),0))</f>
        <v/>
      </c>
      <c r="O137" s="48" t="str">
        <f>IF(OR($B137="",$D137=""),"",ROUND($M137*$N137,0))</f>
        <v/>
      </c>
      <c r="P137" s="48" t="str">
        <f>IF($AC137&gt;0,IF(ISNUMBER(INDEX(CASHBACK_RULES!$J$5:$J$304,$AC137)),INDEX(CASHBACK_RULES!$J$5:$J$304,$AC137),"∞"),"")</f>
        <v/>
      </c>
      <c r="Q137" s="48" t="str">
        <f>IF(OR($B137="",$D137=""),"",IF($AC137=0,0,MAX(0,MIN($O137,IF(ISNUMBER($P137),$P137-$AF137,1E+15),IF(ISNUMBER($AA137),$AA137-$AG137,1E+15)))))</f>
        <v/>
      </c>
      <c r="R137" s="48" t="str">
        <f>IF(OR($B137="",$D137=""),"",IF($AC137=0,"",IF(AND(NOT(ISNUMBER($P137)),NOT(ISNUMBER($AA137))),"∞",MAX(0,MIN(IF(ISNUMBER($P137),$P137-$AF137-$Q137,1E+15),IF(ISNUMBER($AA137),$AA137-$AG137-$Q137,1E+15))))))</f>
        <v/>
      </c>
      <c r="S137" s="47" t="str">
        <f>IF($AD137="","",YEAR($AD137)*100+MONTH($AD137))</f>
        <v/>
      </c>
      <c r="T137" s="50" t="str">
        <f>IF($AD137="","",IFERROR(IF(INDEX(CARDS!$I$5:$I$34,MATCH($D137,CARDS!$A$5:$A$34,0))="","",IF(INDEX(CARDS!$I$5:$I$34,MATCH($D137,CARDS!$A$5:$A$34,0))&gt;INDEX(CARDS!$H$5:$H$34,MATCH($D137,CARDS!$A$5:$A$34,0)),DATE(YEAR($AD137),MONTH($AD137),MIN(INDEX(CARDS!$I$5:$I$34,MATCH($D137,CARDS!$A$5:$A$34,0)),DAY(EOMONTH($AD137,0)))),DATE(YEAR($AD137),MONTH($AD137)+1,MIN(INDEX(CARDS!$I$5:$I$34,MATCH($D137,CARDS!$A$5:$A$34,0)),DAY(EOMONTH($AD137,1)))))),""))</f>
        <v/>
      </c>
      <c r="U137" s="38" t="n"/>
      <c r="V137" s="37" t="n"/>
      <c r="W137" s="38" t="n"/>
      <c r="X137" s="38" t="n"/>
      <c r="Y137" s="44" t="str">
        <f>IF($AC137&gt;0,INDEX(CASHBACK_RULES!$A$5:$A$304,$AC137),"")</f>
        <v/>
      </c>
      <c r="Z137" s="45" t="str">
        <f>IF($AC137&gt;0,INDEX(CASHBACK_RULES!$E$5:$E$304,$AC137)&amp;"","")</f>
        <v/>
      </c>
      <c r="AA137" s="48" t="str">
        <f>IF($AC137&gt;0,IF(ISNUMBER(INDEX(CASHBACK_RULES!$K$5:$K$304,$AC137)),INDEX(CASHBACK_RULES!$K$5:$K$304,$AC137),"∞"),"")</f>
        <v/>
      </c>
      <c r="AB137" s="44" t="str">
        <f>IF(OR($B137="",$D137=""),"",IF($U137="Cancelled","Đã hủy",IF($AC137=0,"Không được hoàn",IF($Q137=0,IF(OR($O137&gt;0,$M137&lt;$L137),"Đã đạt cap","Không được hoàn"),IF(OR($Q137&lt;$O137,$M137&lt;$L137),"Hoàn một phần","Được hoàn")))))</f>
        <v/>
      </c>
      <c r="AC137" s="43">
        <f>IF(OR($B137="",$D137="",$I137="",$L137=""),0,IF($U137="Cancelled",0,IF($W137&lt;&gt;"",IFERROR(IF(INDEX(CASHBACK_RULES!$B$5:$B$304,MATCH($W137,CASHBACK_RULES!$A$5:$A$304,0))=$D137,MATCH($W137,CASHBACK_RULES!$A$5:$A$304,0),0),0),IFERROR(MATCH(1,INDEX((CASHBACK_RULES!$B$5:$B$304=$D137)*(CASHBACK_RULES!$G$5:$G$304=$I137)*(((CASHBACK_RULES!$N$5:$N$304="")+(CASHBACK_RULES!$N$5:$N$304&lt;=$B137))&gt;0)*(((CASHBACK_RULES!$O$5:$O$304="")+(CASHBACK_RULES!$O$5:$O$304&gt;=$B137))&gt;0)*(((CASHBACK_RULES!$M$5:$M$304="")+(CASHBACK_RULES!$M$5:$M$304&lt;=$L137))&gt;0),0),0),0))))</f>
        <v>0</v>
      </c>
      <c r="AD137" s="51" t="str">
        <f>IF(OR($B137="",$D137=""),"",IFERROR(IF(INDEX(CARDS!$H$5:$H$34,MATCH($D137,CARDS!$A$5:$A$34,0))="","",IF(DAY($B137)&lt;=INDEX(CARDS!$H$5:$H$34,MATCH($D137,CARDS!$A$5:$A$34,0)),DATE(YEAR($B137),MONTH($B137),MIN(INDEX(CARDS!$H$5:$H$34,MATCH($D137,CARDS!$A$5:$A$34,0)),DAY(EOMONTH($B137,0)))),DATE(YEAR($B137),MONTH($B137)+1,MIN(INDEX(CARDS!$H$5:$H$34,MATCH($D137,CARDS!$A$5:$A$34,0)),DAY(EOMONTH($B137,1)))))),""))</f>
        <v/>
      </c>
      <c r="AE137" s="52" t="str">
        <f>IF($C137="","",$C137&amp;"|"&amp;COUNTIF($C$5:$C137,$C137))</f>
        <v/>
      </c>
      <c r="AF137" s="53">
        <f>IF($AC137&gt;0,SUMIFS(Q$4:Q136,$D$4:$D136,$D137,$Z$4:$Z136,$Z137,$C$4:$C136,$C137),0)</f>
        <v>0</v>
      </c>
      <c r="AG137" s="53">
        <f>IF($AC137&gt;0,SUMIFS(Q$4:Q136,$D$4:$D136,$D137,$C$4:$C136,$C137),0)</f>
        <v>0</v>
      </c>
      <c r="AH137" s="53">
        <f>IF($AC137&gt;0,SUMIFS(M$4:M136,$D$4:$D136,$D137,$Z$4:$Z136,$Z137,$C$4:$C136,$C137),0)</f>
        <v>0</v>
      </c>
      <c r="AI137" s="43">
        <f>IF(OR($C137="",$I137=""),0,IF(COUNTIFS($C$5:$C137,$C137,$I$5:$I137,$I137)=1,1,0))</f>
        <v>0</v>
      </c>
      <c r="AJ137" s="43" t="str">
        <f>IF($AI137=1,SUMIFS($AI$4:$AI136,$C$4:$C136,$C137)+1,"")</f>
        <v/>
      </c>
      <c r="AK137" s="43">
        <f>IF(OR($C137="",$K137=""),0,IF(COUNTIFS($C$5:$C137,$C137,$K$5:$K137,$K137)=1,1,0))</f>
        <v>0</v>
      </c>
      <c r="AL137" s="43" t="str">
        <f>IF($AK137=1,SUMIFS($AK$4:$AK136,$C$4:$C136,$C137)+1,"")</f>
        <v/>
      </c>
      <c r="AM137" s="43">
        <f>IF(OR($C137="",$G137=""),0,IF(COUNTIFS($C$5:$C137,$C137,$G$5:$G137,$G137)=1,1,0))</f>
        <v>0</v>
      </c>
      <c r="AN137" s="43" t="str">
        <f>IF($AM137=1,SUMIFS($AM$4:$AM136,$C$4:$C136,$C137)+1,"")</f>
        <v/>
      </c>
    </row>
    <row r="138">
      <c r="A138" s="44" t="str">
        <f>IF(OR($B138="",$D138=""),"","TX"&amp;TEXT(ROW()-4,"0000"))</f>
        <v/>
      </c>
      <c r="B138" s="42" t="n"/>
      <c r="C138" s="47" t="str">
        <f>IF($B138="","",YEAR($B138)*100+MONTH($B138))</f>
        <v/>
      </c>
      <c r="D138" s="37" t="n"/>
      <c r="E138" s="45" t="str">
        <f>IF($D138="","",IFERROR(INDEX(CARDS!$B$5:$B$34,MATCH($D138,CARDS!$A$5:$A$34,0)),"⚠ Card ID?"))</f>
        <v/>
      </c>
      <c r="F138" s="45" t="str">
        <f>IF($D138="","",IFERROR(INDEX(CARDS!$C$5:$C$34,MATCH($D138,CARDS!$A$5:$A$34,0)),"⚠ Card ID?"))</f>
        <v/>
      </c>
      <c r="G138" s="37" t="n"/>
      <c r="H138" s="37" t="n"/>
      <c r="I138" s="41" t="n"/>
      <c r="J138" s="45" t="str">
        <f>IF($I138="","",IFERROR(INDEX(MCC_MASTER!$B$5:$B$504,MATCH($I138,MCC_MASTER!$A$5:$A$504,0)),"⚠ MCC chưa có"))</f>
        <v/>
      </c>
      <c r="K138" s="45" t="str">
        <f>IF($I138="","",IFERROR(IF(INDEX(MCC_MASTER!$C$5:$C$504,MATCH($I138,MCC_MASTER!$A$5:$A$504,0))="","Chưa phân loại",INDEX(MCC_MASTER!$C$5:$C$504,MATCH($I138,MCC_MASTER!$A$5:$A$504,0))),"Chưa phân loại"))</f>
        <v/>
      </c>
      <c r="L138" s="40" t="n"/>
      <c r="M138" s="48" t="str">
        <f>IF(OR($B138="",$D138=""),"",IF($AC138=0,0,IF(ISNUMBER(INDEX(CASHBACK_RULES!$L$5:$L$304,$AC138)),MAX(0,MIN($L138,INDEX(CASHBACK_RULES!$L$5:$L$304,$AC138)-$AH138)),MAX(0,$L138))))</f>
        <v/>
      </c>
      <c r="N138" s="49" t="str">
        <f>IF(OR($B138="",$D138=""),"",IF($AC138&gt;0,INDEX(CASHBACK_RULES!$I$5:$I$304,$AC138),0))</f>
        <v/>
      </c>
      <c r="O138" s="48" t="str">
        <f>IF(OR($B138="",$D138=""),"",ROUND($M138*$N138,0))</f>
        <v/>
      </c>
      <c r="P138" s="48" t="str">
        <f>IF($AC138&gt;0,IF(ISNUMBER(INDEX(CASHBACK_RULES!$J$5:$J$304,$AC138)),INDEX(CASHBACK_RULES!$J$5:$J$304,$AC138),"∞"),"")</f>
        <v/>
      </c>
      <c r="Q138" s="48" t="str">
        <f>IF(OR($B138="",$D138=""),"",IF($AC138=0,0,MAX(0,MIN($O138,IF(ISNUMBER($P138),$P138-$AF138,1E+15),IF(ISNUMBER($AA138),$AA138-$AG138,1E+15)))))</f>
        <v/>
      </c>
      <c r="R138" s="48" t="str">
        <f>IF(OR($B138="",$D138=""),"",IF($AC138=0,"",IF(AND(NOT(ISNUMBER($P138)),NOT(ISNUMBER($AA138))),"∞",MAX(0,MIN(IF(ISNUMBER($P138),$P138-$AF138-$Q138,1E+15),IF(ISNUMBER($AA138),$AA138-$AG138-$Q138,1E+15))))))</f>
        <v/>
      </c>
      <c r="S138" s="47" t="str">
        <f>IF($AD138="","",YEAR($AD138)*100+MONTH($AD138))</f>
        <v/>
      </c>
      <c r="T138" s="50" t="str">
        <f>IF($AD138="","",IFERROR(IF(INDEX(CARDS!$I$5:$I$34,MATCH($D138,CARDS!$A$5:$A$34,0))="","",IF(INDEX(CARDS!$I$5:$I$34,MATCH($D138,CARDS!$A$5:$A$34,0))&gt;INDEX(CARDS!$H$5:$H$34,MATCH($D138,CARDS!$A$5:$A$34,0)),DATE(YEAR($AD138),MONTH($AD138),MIN(INDEX(CARDS!$I$5:$I$34,MATCH($D138,CARDS!$A$5:$A$34,0)),DAY(EOMONTH($AD138,0)))),DATE(YEAR($AD138),MONTH($AD138)+1,MIN(INDEX(CARDS!$I$5:$I$34,MATCH($D138,CARDS!$A$5:$A$34,0)),DAY(EOMONTH($AD138,1)))))),""))</f>
        <v/>
      </c>
      <c r="U138" s="38" t="n"/>
      <c r="V138" s="37" t="n"/>
      <c r="W138" s="38" t="n"/>
      <c r="X138" s="38" t="n"/>
      <c r="Y138" s="44" t="str">
        <f>IF($AC138&gt;0,INDEX(CASHBACK_RULES!$A$5:$A$304,$AC138),"")</f>
        <v/>
      </c>
      <c r="Z138" s="45" t="str">
        <f>IF($AC138&gt;0,INDEX(CASHBACK_RULES!$E$5:$E$304,$AC138)&amp;"","")</f>
        <v/>
      </c>
      <c r="AA138" s="48" t="str">
        <f>IF($AC138&gt;0,IF(ISNUMBER(INDEX(CASHBACK_RULES!$K$5:$K$304,$AC138)),INDEX(CASHBACK_RULES!$K$5:$K$304,$AC138),"∞"),"")</f>
        <v/>
      </c>
      <c r="AB138" s="44" t="str">
        <f>IF(OR($B138="",$D138=""),"",IF($U138="Cancelled","Đã hủy",IF($AC138=0,"Không được hoàn",IF($Q138=0,IF(OR($O138&gt;0,$M138&lt;$L138),"Đã đạt cap","Không được hoàn"),IF(OR($Q138&lt;$O138,$M138&lt;$L138),"Hoàn một phần","Được hoàn")))))</f>
        <v/>
      </c>
      <c r="AC138" s="43">
        <f>IF(OR($B138="",$D138="",$I138="",$L138=""),0,IF($U138="Cancelled",0,IF($W138&lt;&gt;"",IFERROR(IF(INDEX(CASHBACK_RULES!$B$5:$B$304,MATCH($W138,CASHBACK_RULES!$A$5:$A$304,0))=$D138,MATCH($W138,CASHBACK_RULES!$A$5:$A$304,0),0),0),IFERROR(MATCH(1,INDEX((CASHBACK_RULES!$B$5:$B$304=$D138)*(CASHBACK_RULES!$G$5:$G$304=$I138)*(((CASHBACK_RULES!$N$5:$N$304="")+(CASHBACK_RULES!$N$5:$N$304&lt;=$B138))&gt;0)*(((CASHBACK_RULES!$O$5:$O$304="")+(CASHBACK_RULES!$O$5:$O$304&gt;=$B138))&gt;0)*(((CASHBACK_RULES!$M$5:$M$304="")+(CASHBACK_RULES!$M$5:$M$304&lt;=$L138))&gt;0),0),0),0))))</f>
        <v>0</v>
      </c>
      <c r="AD138" s="51" t="str">
        <f>IF(OR($B138="",$D138=""),"",IFERROR(IF(INDEX(CARDS!$H$5:$H$34,MATCH($D138,CARDS!$A$5:$A$34,0))="","",IF(DAY($B138)&lt;=INDEX(CARDS!$H$5:$H$34,MATCH($D138,CARDS!$A$5:$A$34,0)),DATE(YEAR($B138),MONTH($B138),MIN(INDEX(CARDS!$H$5:$H$34,MATCH($D138,CARDS!$A$5:$A$34,0)),DAY(EOMONTH($B138,0)))),DATE(YEAR($B138),MONTH($B138)+1,MIN(INDEX(CARDS!$H$5:$H$34,MATCH($D138,CARDS!$A$5:$A$34,0)),DAY(EOMONTH($B138,1)))))),""))</f>
        <v/>
      </c>
      <c r="AE138" s="52" t="str">
        <f>IF($C138="","",$C138&amp;"|"&amp;COUNTIF($C$5:$C138,$C138))</f>
        <v/>
      </c>
      <c r="AF138" s="53">
        <f>IF($AC138&gt;0,SUMIFS(Q$4:Q137,$D$4:$D137,$D138,$Z$4:$Z137,$Z138,$C$4:$C137,$C138),0)</f>
        <v>0</v>
      </c>
      <c r="AG138" s="53">
        <f>IF($AC138&gt;0,SUMIFS(Q$4:Q137,$D$4:$D137,$D138,$C$4:$C137,$C138),0)</f>
        <v>0</v>
      </c>
      <c r="AH138" s="53">
        <f>IF($AC138&gt;0,SUMIFS(M$4:M137,$D$4:$D137,$D138,$Z$4:$Z137,$Z138,$C$4:$C137,$C138),0)</f>
        <v>0</v>
      </c>
      <c r="AI138" s="43">
        <f>IF(OR($C138="",$I138=""),0,IF(COUNTIFS($C$5:$C138,$C138,$I$5:$I138,$I138)=1,1,0))</f>
        <v>0</v>
      </c>
      <c r="AJ138" s="43" t="str">
        <f>IF($AI138=1,SUMIFS($AI$4:$AI137,$C$4:$C137,$C138)+1,"")</f>
        <v/>
      </c>
      <c r="AK138" s="43">
        <f>IF(OR($C138="",$K138=""),0,IF(COUNTIFS($C$5:$C138,$C138,$K$5:$K138,$K138)=1,1,0))</f>
        <v>0</v>
      </c>
      <c r="AL138" s="43" t="str">
        <f>IF($AK138=1,SUMIFS($AK$4:$AK137,$C$4:$C137,$C138)+1,"")</f>
        <v/>
      </c>
      <c r="AM138" s="43">
        <f>IF(OR($C138="",$G138=""),0,IF(COUNTIFS($C$5:$C138,$C138,$G$5:$G138,$G138)=1,1,0))</f>
        <v>0</v>
      </c>
      <c r="AN138" s="43" t="str">
        <f>IF($AM138=1,SUMIFS($AM$4:$AM137,$C$4:$C137,$C138)+1,"")</f>
        <v/>
      </c>
    </row>
    <row r="139">
      <c r="A139" s="44" t="str">
        <f>IF(OR($B139="",$D139=""),"","TX"&amp;TEXT(ROW()-4,"0000"))</f>
        <v/>
      </c>
      <c r="B139" s="42" t="n"/>
      <c r="C139" s="47" t="str">
        <f>IF($B139="","",YEAR($B139)*100+MONTH($B139))</f>
        <v/>
      </c>
      <c r="D139" s="37" t="n"/>
      <c r="E139" s="45" t="str">
        <f>IF($D139="","",IFERROR(INDEX(CARDS!$B$5:$B$34,MATCH($D139,CARDS!$A$5:$A$34,0)),"⚠ Card ID?"))</f>
        <v/>
      </c>
      <c r="F139" s="45" t="str">
        <f>IF($D139="","",IFERROR(INDEX(CARDS!$C$5:$C$34,MATCH($D139,CARDS!$A$5:$A$34,0)),"⚠ Card ID?"))</f>
        <v/>
      </c>
      <c r="G139" s="37" t="n"/>
      <c r="H139" s="37" t="n"/>
      <c r="I139" s="41" t="n"/>
      <c r="J139" s="45" t="str">
        <f>IF($I139="","",IFERROR(INDEX(MCC_MASTER!$B$5:$B$504,MATCH($I139,MCC_MASTER!$A$5:$A$504,0)),"⚠ MCC chưa có"))</f>
        <v/>
      </c>
      <c r="K139" s="45" t="str">
        <f>IF($I139="","",IFERROR(IF(INDEX(MCC_MASTER!$C$5:$C$504,MATCH($I139,MCC_MASTER!$A$5:$A$504,0))="","Chưa phân loại",INDEX(MCC_MASTER!$C$5:$C$504,MATCH($I139,MCC_MASTER!$A$5:$A$504,0))),"Chưa phân loại"))</f>
        <v/>
      </c>
      <c r="L139" s="40" t="n"/>
      <c r="M139" s="48" t="str">
        <f>IF(OR($B139="",$D139=""),"",IF($AC139=0,0,IF(ISNUMBER(INDEX(CASHBACK_RULES!$L$5:$L$304,$AC139)),MAX(0,MIN($L139,INDEX(CASHBACK_RULES!$L$5:$L$304,$AC139)-$AH139)),MAX(0,$L139))))</f>
        <v/>
      </c>
      <c r="N139" s="49" t="str">
        <f>IF(OR($B139="",$D139=""),"",IF($AC139&gt;0,INDEX(CASHBACK_RULES!$I$5:$I$304,$AC139),0))</f>
        <v/>
      </c>
      <c r="O139" s="48" t="str">
        <f>IF(OR($B139="",$D139=""),"",ROUND($M139*$N139,0))</f>
        <v/>
      </c>
      <c r="P139" s="48" t="str">
        <f>IF($AC139&gt;0,IF(ISNUMBER(INDEX(CASHBACK_RULES!$J$5:$J$304,$AC139)),INDEX(CASHBACK_RULES!$J$5:$J$304,$AC139),"∞"),"")</f>
        <v/>
      </c>
      <c r="Q139" s="48" t="str">
        <f>IF(OR($B139="",$D139=""),"",IF($AC139=0,0,MAX(0,MIN($O139,IF(ISNUMBER($P139),$P139-$AF139,1E+15),IF(ISNUMBER($AA139),$AA139-$AG139,1E+15)))))</f>
        <v/>
      </c>
      <c r="R139" s="48" t="str">
        <f>IF(OR($B139="",$D139=""),"",IF($AC139=0,"",IF(AND(NOT(ISNUMBER($P139)),NOT(ISNUMBER($AA139))),"∞",MAX(0,MIN(IF(ISNUMBER($P139),$P139-$AF139-$Q139,1E+15),IF(ISNUMBER($AA139),$AA139-$AG139-$Q139,1E+15))))))</f>
        <v/>
      </c>
      <c r="S139" s="47" t="str">
        <f>IF($AD139="","",YEAR($AD139)*100+MONTH($AD139))</f>
        <v/>
      </c>
      <c r="T139" s="50" t="str">
        <f>IF($AD139="","",IFERROR(IF(INDEX(CARDS!$I$5:$I$34,MATCH($D139,CARDS!$A$5:$A$34,0))="","",IF(INDEX(CARDS!$I$5:$I$34,MATCH($D139,CARDS!$A$5:$A$34,0))&gt;INDEX(CARDS!$H$5:$H$34,MATCH($D139,CARDS!$A$5:$A$34,0)),DATE(YEAR($AD139),MONTH($AD139),MIN(INDEX(CARDS!$I$5:$I$34,MATCH($D139,CARDS!$A$5:$A$34,0)),DAY(EOMONTH($AD139,0)))),DATE(YEAR($AD139),MONTH($AD139)+1,MIN(INDEX(CARDS!$I$5:$I$34,MATCH($D139,CARDS!$A$5:$A$34,0)),DAY(EOMONTH($AD139,1)))))),""))</f>
        <v/>
      </c>
      <c r="U139" s="38" t="n"/>
      <c r="V139" s="37" t="n"/>
      <c r="W139" s="38" t="n"/>
      <c r="X139" s="38" t="n"/>
      <c r="Y139" s="44" t="str">
        <f>IF($AC139&gt;0,INDEX(CASHBACK_RULES!$A$5:$A$304,$AC139),"")</f>
        <v/>
      </c>
      <c r="Z139" s="45" t="str">
        <f>IF($AC139&gt;0,INDEX(CASHBACK_RULES!$E$5:$E$304,$AC139)&amp;"","")</f>
        <v/>
      </c>
      <c r="AA139" s="48" t="str">
        <f>IF($AC139&gt;0,IF(ISNUMBER(INDEX(CASHBACK_RULES!$K$5:$K$304,$AC139)),INDEX(CASHBACK_RULES!$K$5:$K$304,$AC139),"∞"),"")</f>
        <v/>
      </c>
      <c r="AB139" s="44" t="str">
        <f>IF(OR($B139="",$D139=""),"",IF($U139="Cancelled","Đã hủy",IF($AC139=0,"Không được hoàn",IF($Q139=0,IF(OR($O139&gt;0,$M139&lt;$L139),"Đã đạt cap","Không được hoàn"),IF(OR($Q139&lt;$O139,$M139&lt;$L139),"Hoàn một phần","Được hoàn")))))</f>
        <v/>
      </c>
      <c r="AC139" s="43">
        <f>IF(OR($B139="",$D139="",$I139="",$L139=""),0,IF($U139="Cancelled",0,IF($W139&lt;&gt;"",IFERROR(IF(INDEX(CASHBACK_RULES!$B$5:$B$304,MATCH($W139,CASHBACK_RULES!$A$5:$A$304,0))=$D139,MATCH($W139,CASHBACK_RULES!$A$5:$A$304,0),0),0),IFERROR(MATCH(1,INDEX((CASHBACK_RULES!$B$5:$B$304=$D139)*(CASHBACK_RULES!$G$5:$G$304=$I139)*(((CASHBACK_RULES!$N$5:$N$304="")+(CASHBACK_RULES!$N$5:$N$304&lt;=$B139))&gt;0)*(((CASHBACK_RULES!$O$5:$O$304="")+(CASHBACK_RULES!$O$5:$O$304&gt;=$B139))&gt;0)*(((CASHBACK_RULES!$M$5:$M$304="")+(CASHBACK_RULES!$M$5:$M$304&lt;=$L139))&gt;0),0),0),0))))</f>
        <v>0</v>
      </c>
      <c r="AD139" s="51" t="str">
        <f>IF(OR($B139="",$D139=""),"",IFERROR(IF(INDEX(CARDS!$H$5:$H$34,MATCH($D139,CARDS!$A$5:$A$34,0))="","",IF(DAY($B139)&lt;=INDEX(CARDS!$H$5:$H$34,MATCH($D139,CARDS!$A$5:$A$34,0)),DATE(YEAR($B139),MONTH($B139),MIN(INDEX(CARDS!$H$5:$H$34,MATCH($D139,CARDS!$A$5:$A$34,0)),DAY(EOMONTH($B139,0)))),DATE(YEAR($B139),MONTH($B139)+1,MIN(INDEX(CARDS!$H$5:$H$34,MATCH($D139,CARDS!$A$5:$A$34,0)),DAY(EOMONTH($B139,1)))))),""))</f>
        <v/>
      </c>
      <c r="AE139" s="52" t="str">
        <f>IF($C139="","",$C139&amp;"|"&amp;COUNTIF($C$5:$C139,$C139))</f>
        <v/>
      </c>
      <c r="AF139" s="53">
        <f>IF($AC139&gt;0,SUMIFS(Q$4:Q138,$D$4:$D138,$D139,$Z$4:$Z138,$Z139,$C$4:$C138,$C139),0)</f>
        <v>0</v>
      </c>
      <c r="AG139" s="53">
        <f>IF($AC139&gt;0,SUMIFS(Q$4:Q138,$D$4:$D138,$D139,$C$4:$C138,$C139),0)</f>
        <v>0</v>
      </c>
      <c r="AH139" s="53">
        <f>IF($AC139&gt;0,SUMIFS(M$4:M138,$D$4:$D138,$D139,$Z$4:$Z138,$Z139,$C$4:$C138,$C139),0)</f>
        <v>0</v>
      </c>
      <c r="AI139" s="43">
        <f>IF(OR($C139="",$I139=""),0,IF(COUNTIFS($C$5:$C139,$C139,$I$5:$I139,$I139)=1,1,0))</f>
        <v>0</v>
      </c>
      <c r="AJ139" s="43" t="str">
        <f>IF($AI139=1,SUMIFS($AI$4:$AI138,$C$4:$C138,$C139)+1,"")</f>
        <v/>
      </c>
      <c r="AK139" s="43">
        <f>IF(OR($C139="",$K139=""),0,IF(COUNTIFS($C$5:$C139,$C139,$K$5:$K139,$K139)=1,1,0))</f>
        <v>0</v>
      </c>
      <c r="AL139" s="43" t="str">
        <f>IF($AK139=1,SUMIFS($AK$4:$AK138,$C$4:$C138,$C139)+1,"")</f>
        <v/>
      </c>
      <c r="AM139" s="43">
        <f>IF(OR($C139="",$G139=""),0,IF(COUNTIFS($C$5:$C139,$C139,$G$5:$G139,$G139)=1,1,0))</f>
        <v>0</v>
      </c>
      <c r="AN139" s="43" t="str">
        <f>IF($AM139=1,SUMIFS($AM$4:$AM138,$C$4:$C138,$C139)+1,"")</f>
        <v/>
      </c>
    </row>
    <row r="140">
      <c r="A140" s="44" t="str">
        <f>IF(OR($B140="",$D140=""),"","TX"&amp;TEXT(ROW()-4,"0000"))</f>
        <v/>
      </c>
      <c r="B140" s="42" t="n"/>
      <c r="C140" s="47" t="str">
        <f>IF($B140="","",YEAR($B140)*100+MONTH($B140))</f>
        <v/>
      </c>
      <c r="D140" s="37" t="n"/>
      <c r="E140" s="45" t="str">
        <f>IF($D140="","",IFERROR(INDEX(CARDS!$B$5:$B$34,MATCH($D140,CARDS!$A$5:$A$34,0)),"⚠ Card ID?"))</f>
        <v/>
      </c>
      <c r="F140" s="45" t="str">
        <f>IF($D140="","",IFERROR(INDEX(CARDS!$C$5:$C$34,MATCH($D140,CARDS!$A$5:$A$34,0)),"⚠ Card ID?"))</f>
        <v/>
      </c>
      <c r="G140" s="37" t="n"/>
      <c r="H140" s="37" t="n"/>
      <c r="I140" s="41" t="n"/>
      <c r="J140" s="45" t="str">
        <f>IF($I140="","",IFERROR(INDEX(MCC_MASTER!$B$5:$B$504,MATCH($I140,MCC_MASTER!$A$5:$A$504,0)),"⚠ MCC chưa có"))</f>
        <v/>
      </c>
      <c r="K140" s="45" t="str">
        <f>IF($I140="","",IFERROR(IF(INDEX(MCC_MASTER!$C$5:$C$504,MATCH($I140,MCC_MASTER!$A$5:$A$504,0))="","Chưa phân loại",INDEX(MCC_MASTER!$C$5:$C$504,MATCH($I140,MCC_MASTER!$A$5:$A$504,0))),"Chưa phân loại"))</f>
        <v/>
      </c>
      <c r="L140" s="40" t="n"/>
      <c r="M140" s="48" t="str">
        <f>IF(OR($B140="",$D140=""),"",IF($AC140=0,0,IF(ISNUMBER(INDEX(CASHBACK_RULES!$L$5:$L$304,$AC140)),MAX(0,MIN($L140,INDEX(CASHBACK_RULES!$L$5:$L$304,$AC140)-$AH140)),MAX(0,$L140))))</f>
        <v/>
      </c>
      <c r="N140" s="49" t="str">
        <f>IF(OR($B140="",$D140=""),"",IF($AC140&gt;0,INDEX(CASHBACK_RULES!$I$5:$I$304,$AC140),0))</f>
        <v/>
      </c>
      <c r="O140" s="48" t="str">
        <f>IF(OR($B140="",$D140=""),"",ROUND($M140*$N140,0))</f>
        <v/>
      </c>
      <c r="P140" s="48" t="str">
        <f>IF($AC140&gt;0,IF(ISNUMBER(INDEX(CASHBACK_RULES!$J$5:$J$304,$AC140)),INDEX(CASHBACK_RULES!$J$5:$J$304,$AC140),"∞"),"")</f>
        <v/>
      </c>
      <c r="Q140" s="48" t="str">
        <f>IF(OR($B140="",$D140=""),"",IF($AC140=0,0,MAX(0,MIN($O140,IF(ISNUMBER($P140),$P140-$AF140,1E+15),IF(ISNUMBER($AA140),$AA140-$AG140,1E+15)))))</f>
        <v/>
      </c>
      <c r="R140" s="48" t="str">
        <f>IF(OR($B140="",$D140=""),"",IF($AC140=0,"",IF(AND(NOT(ISNUMBER($P140)),NOT(ISNUMBER($AA140))),"∞",MAX(0,MIN(IF(ISNUMBER($P140),$P140-$AF140-$Q140,1E+15),IF(ISNUMBER($AA140),$AA140-$AG140-$Q140,1E+15))))))</f>
        <v/>
      </c>
      <c r="S140" s="47" t="str">
        <f>IF($AD140="","",YEAR($AD140)*100+MONTH($AD140))</f>
        <v/>
      </c>
      <c r="T140" s="50" t="str">
        <f>IF($AD140="","",IFERROR(IF(INDEX(CARDS!$I$5:$I$34,MATCH($D140,CARDS!$A$5:$A$34,0))="","",IF(INDEX(CARDS!$I$5:$I$34,MATCH($D140,CARDS!$A$5:$A$34,0))&gt;INDEX(CARDS!$H$5:$H$34,MATCH($D140,CARDS!$A$5:$A$34,0)),DATE(YEAR($AD140),MONTH($AD140),MIN(INDEX(CARDS!$I$5:$I$34,MATCH($D140,CARDS!$A$5:$A$34,0)),DAY(EOMONTH($AD140,0)))),DATE(YEAR($AD140),MONTH($AD140)+1,MIN(INDEX(CARDS!$I$5:$I$34,MATCH($D140,CARDS!$A$5:$A$34,0)),DAY(EOMONTH($AD140,1)))))),""))</f>
        <v/>
      </c>
      <c r="U140" s="38" t="n"/>
      <c r="V140" s="37" t="n"/>
      <c r="W140" s="38" t="n"/>
      <c r="X140" s="38" t="n"/>
      <c r="Y140" s="44" t="str">
        <f>IF($AC140&gt;0,INDEX(CASHBACK_RULES!$A$5:$A$304,$AC140),"")</f>
        <v/>
      </c>
      <c r="Z140" s="45" t="str">
        <f>IF($AC140&gt;0,INDEX(CASHBACK_RULES!$E$5:$E$304,$AC140)&amp;"","")</f>
        <v/>
      </c>
      <c r="AA140" s="48" t="str">
        <f>IF($AC140&gt;0,IF(ISNUMBER(INDEX(CASHBACK_RULES!$K$5:$K$304,$AC140)),INDEX(CASHBACK_RULES!$K$5:$K$304,$AC140),"∞"),"")</f>
        <v/>
      </c>
      <c r="AB140" s="44" t="str">
        <f>IF(OR($B140="",$D140=""),"",IF($U140="Cancelled","Đã hủy",IF($AC140=0,"Không được hoàn",IF($Q140=0,IF(OR($O140&gt;0,$M140&lt;$L140),"Đã đạt cap","Không được hoàn"),IF(OR($Q140&lt;$O140,$M140&lt;$L140),"Hoàn một phần","Được hoàn")))))</f>
        <v/>
      </c>
      <c r="AC140" s="43">
        <f>IF(OR($B140="",$D140="",$I140="",$L140=""),0,IF($U140="Cancelled",0,IF($W140&lt;&gt;"",IFERROR(IF(INDEX(CASHBACK_RULES!$B$5:$B$304,MATCH($W140,CASHBACK_RULES!$A$5:$A$304,0))=$D140,MATCH($W140,CASHBACK_RULES!$A$5:$A$304,0),0),0),IFERROR(MATCH(1,INDEX((CASHBACK_RULES!$B$5:$B$304=$D140)*(CASHBACK_RULES!$G$5:$G$304=$I140)*(((CASHBACK_RULES!$N$5:$N$304="")+(CASHBACK_RULES!$N$5:$N$304&lt;=$B140))&gt;0)*(((CASHBACK_RULES!$O$5:$O$304="")+(CASHBACK_RULES!$O$5:$O$304&gt;=$B140))&gt;0)*(((CASHBACK_RULES!$M$5:$M$304="")+(CASHBACK_RULES!$M$5:$M$304&lt;=$L140))&gt;0),0),0),0))))</f>
        <v>0</v>
      </c>
      <c r="AD140" s="51" t="str">
        <f>IF(OR($B140="",$D140=""),"",IFERROR(IF(INDEX(CARDS!$H$5:$H$34,MATCH($D140,CARDS!$A$5:$A$34,0))="","",IF(DAY($B140)&lt;=INDEX(CARDS!$H$5:$H$34,MATCH($D140,CARDS!$A$5:$A$34,0)),DATE(YEAR($B140),MONTH($B140),MIN(INDEX(CARDS!$H$5:$H$34,MATCH($D140,CARDS!$A$5:$A$34,0)),DAY(EOMONTH($B140,0)))),DATE(YEAR($B140),MONTH($B140)+1,MIN(INDEX(CARDS!$H$5:$H$34,MATCH($D140,CARDS!$A$5:$A$34,0)),DAY(EOMONTH($B140,1)))))),""))</f>
        <v/>
      </c>
      <c r="AE140" s="52" t="str">
        <f>IF($C140="","",$C140&amp;"|"&amp;COUNTIF($C$5:$C140,$C140))</f>
        <v/>
      </c>
      <c r="AF140" s="53">
        <f>IF($AC140&gt;0,SUMIFS(Q$4:Q139,$D$4:$D139,$D140,$Z$4:$Z139,$Z140,$C$4:$C139,$C140),0)</f>
        <v>0</v>
      </c>
      <c r="AG140" s="53">
        <f>IF($AC140&gt;0,SUMIFS(Q$4:Q139,$D$4:$D139,$D140,$C$4:$C139,$C140),0)</f>
        <v>0</v>
      </c>
      <c r="AH140" s="53">
        <f>IF($AC140&gt;0,SUMIFS(M$4:M139,$D$4:$D139,$D140,$Z$4:$Z139,$Z140,$C$4:$C139,$C140),0)</f>
        <v>0</v>
      </c>
      <c r="AI140" s="43">
        <f>IF(OR($C140="",$I140=""),0,IF(COUNTIFS($C$5:$C140,$C140,$I$5:$I140,$I140)=1,1,0))</f>
        <v>0</v>
      </c>
      <c r="AJ140" s="43" t="str">
        <f>IF($AI140=1,SUMIFS($AI$4:$AI139,$C$4:$C139,$C140)+1,"")</f>
        <v/>
      </c>
      <c r="AK140" s="43">
        <f>IF(OR($C140="",$K140=""),0,IF(COUNTIFS($C$5:$C140,$C140,$K$5:$K140,$K140)=1,1,0))</f>
        <v>0</v>
      </c>
      <c r="AL140" s="43" t="str">
        <f>IF($AK140=1,SUMIFS($AK$4:$AK139,$C$4:$C139,$C140)+1,"")</f>
        <v/>
      </c>
      <c r="AM140" s="43">
        <f>IF(OR($C140="",$G140=""),0,IF(COUNTIFS($C$5:$C140,$C140,$G$5:$G140,$G140)=1,1,0))</f>
        <v>0</v>
      </c>
      <c r="AN140" s="43" t="str">
        <f>IF($AM140=1,SUMIFS($AM$4:$AM139,$C$4:$C139,$C140)+1,"")</f>
        <v/>
      </c>
    </row>
    <row r="141">
      <c r="A141" s="44" t="str">
        <f>IF(OR($B141="",$D141=""),"","TX"&amp;TEXT(ROW()-4,"0000"))</f>
        <v/>
      </c>
      <c r="B141" s="42" t="n"/>
      <c r="C141" s="47" t="str">
        <f>IF($B141="","",YEAR($B141)*100+MONTH($B141))</f>
        <v/>
      </c>
      <c r="D141" s="37" t="n"/>
      <c r="E141" s="45" t="str">
        <f>IF($D141="","",IFERROR(INDEX(CARDS!$B$5:$B$34,MATCH($D141,CARDS!$A$5:$A$34,0)),"⚠ Card ID?"))</f>
        <v/>
      </c>
      <c r="F141" s="45" t="str">
        <f>IF($D141="","",IFERROR(INDEX(CARDS!$C$5:$C$34,MATCH($D141,CARDS!$A$5:$A$34,0)),"⚠ Card ID?"))</f>
        <v/>
      </c>
      <c r="G141" s="37" t="n"/>
      <c r="H141" s="37" t="n"/>
      <c r="I141" s="41" t="n"/>
      <c r="J141" s="45" t="str">
        <f>IF($I141="","",IFERROR(INDEX(MCC_MASTER!$B$5:$B$504,MATCH($I141,MCC_MASTER!$A$5:$A$504,0)),"⚠ MCC chưa có"))</f>
        <v/>
      </c>
      <c r="K141" s="45" t="str">
        <f>IF($I141="","",IFERROR(IF(INDEX(MCC_MASTER!$C$5:$C$504,MATCH($I141,MCC_MASTER!$A$5:$A$504,0))="","Chưa phân loại",INDEX(MCC_MASTER!$C$5:$C$504,MATCH($I141,MCC_MASTER!$A$5:$A$504,0))),"Chưa phân loại"))</f>
        <v/>
      </c>
      <c r="L141" s="40" t="n"/>
      <c r="M141" s="48" t="str">
        <f>IF(OR($B141="",$D141=""),"",IF($AC141=0,0,IF(ISNUMBER(INDEX(CASHBACK_RULES!$L$5:$L$304,$AC141)),MAX(0,MIN($L141,INDEX(CASHBACK_RULES!$L$5:$L$304,$AC141)-$AH141)),MAX(0,$L141))))</f>
        <v/>
      </c>
      <c r="N141" s="49" t="str">
        <f>IF(OR($B141="",$D141=""),"",IF($AC141&gt;0,INDEX(CASHBACK_RULES!$I$5:$I$304,$AC141),0))</f>
        <v/>
      </c>
      <c r="O141" s="48" t="str">
        <f>IF(OR($B141="",$D141=""),"",ROUND($M141*$N141,0))</f>
        <v/>
      </c>
      <c r="P141" s="48" t="str">
        <f>IF($AC141&gt;0,IF(ISNUMBER(INDEX(CASHBACK_RULES!$J$5:$J$304,$AC141)),INDEX(CASHBACK_RULES!$J$5:$J$304,$AC141),"∞"),"")</f>
        <v/>
      </c>
      <c r="Q141" s="48" t="str">
        <f>IF(OR($B141="",$D141=""),"",IF($AC141=0,0,MAX(0,MIN($O141,IF(ISNUMBER($P141),$P141-$AF141,1E+15),IF(ISNUMBER($AA141),$AA141-$AG141,1E+15)))))</f>
        <v/>
      </c>
      <c r="R141" s="48" t="str">
        <f>IF(OR($B141="",$D141=""),"",IF($AC141=0,"",IF(AND(NOT(ISNUMBER($P141)),NOT(ISNUMBER($AA141))),"∞",MAX(0,MIN(IF(ISNUMBER($P141),$P141-$AF141-$Q141,1E+15),IF(ISNUMBER($AA141),$AA141-$AG141-$Q141,1E+15))))))</f>
        <v/>
      </c>
      <c r="S141" s="47" t="str">
        <f>IF($AD141="","",YEAR($AD141)*100+MONTH($AD141))</f>
        <v/>
      </c>
      <c r="T141" s="50" t="str">
        <f>IF($AD141="","",IFERROR(IF(INDEX(CARDS!$I$5:$I$34,MATCH($D141,CARDS!$A$5:$A$34,0))="","",IF(INDEX(CARDS!$I$5:$I$34,MATCH($D141,CARDS!$A$5:$A$34,0))&gt;INDEX(CARDS!$H$5:$H$34,MATCH($D141,CARDS!$A$5:$A$34,0)),DATE(YEAR($AD141),MONTH($AD141),MIN(INDEX(CARDS!$I$5:$I$34,MATCH($D141,CARDS!$A$5:$A$34,0)),DAY(EOMONTH($AD141,0)))),DATE(YEAR($AD141),MONTH($AD141)+1,MIN(INDEX(CARDS!$I$5:$I$34,MATCH($D141,CARDS!$A$5:$A$34,0)),DAY(EOMONTH($AD141,1)))))),""))</f>
        <v/>
      </c>
      <c r="U141" s="38" t="n"/>
      <c r="V141" s="37" t="n"/>
      <c r="W141" s="38" t="n"/>
      <c r="X141" s="38" t="n"/>
      <c r="Y141" s="44" t="str">
        <f>IF($AC141&gt;0,INDEX(CASHBACK_RULES!$A$5:$A$304,$AC141),"")</f>
        <v/>
      </c>
      <c r="Z141" s="45" t="str">
        <f>IF($AC141&gt;0,INDEX(CASHBACK_RULES!$E$5:$E$304,$AC141)&amp;"","")</f>
        <v/>
      </c>
      <c r="AA141" s="48" t="str">
        <f>IF($AC141&gt;0,IF(ISNUMBER(INDEX(CASHBACK_RULES!$K$5:$K$304,$AC141)),INDEX(CASHBACK_RULES!$K$5:$K$304,$AC141),"∞"),"")</f>
        <v/>
      </c>
      <c r="AB141" s="44" t="str">
        <f>IF(OR($B141="",$D141=""),"",IF($U141="Cancelled","Đã hủy",IF($AC141=0,"Không được hoàn",IF($Q141=0,IF(OR($O141&gt;0,$M141&lt;$L141),"Đã đạt cap","Không được hoàn"),IF(OR($Q141&lt;$O141,$M141&lt;$L141),"Hoàn một phần","Được hoàn")))))</f>
        <v/>
      </c>
      <c r="AC141" s="43">
        <f>IF(OR($B141="",$D141="",$I141="",$L141=""),0,IF($U141="Cancelled",0,IF($W141&lt;&gt;"",IFERROR(IF(INDEX(CASHBACK_RULES!$B$5:$B$304,MATCH($W141,CASHBACK_RULES!$A$5:$A$304,0))=$D141,MATCH($W141,CASHBACK_RULES!$A$5:$A$304,0),0),0),IFERROR(MATCH(1,INDEX((CASHBACK_RULES!$B$5:$B$304=$D141)*(CASHBACK_RULES!$G$5:$G$304=$I141)*(((CASHBACK_RULES!$N$5:$N$304="")+(CASHBACK_RULES!$N$5:$N$304&lt;=$B141))&gt;0)*(((CASHBACK_RULES!$O$5:$O$304="")+(CASHBACK_RULES!$O$5:$O$304&gt;=$B141))&gt;0)*(((CASHBACK_RULES!$M$5:$M$304="")+(CASHBACK_RULES!$M$5:$M$304&lt;=$L141))&gt;0),0),0),0))))</f>
        <v>0</v>
      </c>
      <c r="AD141" s="51" t="str">
        <f>IF(OR($B141="",$D141=""),"",IFERROR(IF(INDEX(CARDS!$H$5:$H$34,MATCH($D141,CARDS!$A$5:$A$34,0))="","",IF(DAY($B141)&lt;=INDEX(CARDS!$H$5:$H$34,MATCH($D141,CARDS!$A$5:$A$34,0)),DATE(YEAR($B141),MONTH($B141),MIN(INDEX(CARDS!$H$5:$H$34,MATCH($D141,CARDS!$A$5:$A$34,0)),DAY(EOMONTH($B141,0)))),DATE(YEAR($B141),MONTH($B141)+1,MIN(INDEX(CARDS!$H$5:$H$34,MATCH($D141,CARDS!$A$5:$A$34,0)),DAY(EOMONTH($B141,1)))))),""))</f>
        <v/>
      </c>
      <c r="AE141" s="52" t="str">
        <f>IF($C141="","",$C141&amp;"|"&amp;COUNTIF($C$5:$C141,$C141))</f>
        <v/>
      </c>
      <c r="AF141" s="53">
        <f>IF($AC141&gt;0,SUMIFS(Q$4:Q140,$D$4:$D140,$D141,$Z$4:$Z140,$Z141,$C$4:$C140,$C141),0)</f>
        <v>0</v>
      </c>
      <c r="AG141" s="53">
        <f>IF($AC141&gt;0,SUMIFS(Q$4:Q140,$D$4:$D140,$D141,$C$4:$C140,$C141),0)</f>
        <v>0</v>
      </c>
      <c r="AH141" s="53">
        <f>IF($AC141&gt;0,SUMIFS(M$4:M140,$D$4:$D140,$D141,$Z$4:$Z140,$Z141,$C$4:$C140,$C141),0)</f>
        <v>0</v>
      </c>
      <c r="AI141" s="43">
        <f>IF(OR($C141="",$I141=""),0,IF(COUNTIFS($C$5:$C141,$C141,$I$5:$I141,$I141)=1,1,0))</f>
        <v>0</v>
      </c>
      <c r="AJ141" s="43" t="str">
        <f>IF($AI141=1,SUMIFS($AI$4:$AI140,$C$4:$C140,$C141)+1,"")</f>
        <v/>
      </c>
      <c r="AK141" s="43">
        <f>IF(OR($C141="",$K141=""),0,IF(COUNTIFS($C$5:$C141,$C141,$K$5:$K141,$K141)=1,1,0))</f>
        <v>0</v>
      </c>
      <c r="AL141" s="43" t="str">
        <f>IF($AK141=1,SUMIFS($AK$4:$AK140,$C$4:$C140,$C141)+1,"")</f>
        <v/>
      </c>
      <c r="AM141" s="43">
        <f>IF(OR($C141="",$G141=""),0,IF(COUNTIFS($C$5:$C141,$C141,$G$5:$G141,$G141)=1,1,0))</f>
        <v>0</v>
      </c>
      <c r="AN141" s="43" t="str">
        <f>IF($AM141=1,SUMIFS($AM$4:$AM140,$C$4:$C140,$C141)+1,"")</f>
        <v/>
      </c>
    </row>
    <row r="142">
      <c r="A142" s="44" t="str">
        <f>IF(OR($B142="",$D142=""),"","TX"&amp;TEXT(ROW()-4,"0000"))</f>
        <v/>
      </c>
      <c r="B142" s="42" t="n"/>
      <c r="C142" s="47" t="str">
        <f>IF($B142="","",YEAR($B142)*100+MONTH($B142))</f>
        <v/>
      </c>
      <c r="D142" s="37" t="n"/>
      <c r="E142" s="45" t="str">
        <f>IF($D142="","",IFERROR(INDEX(CARDS!$B$5:$B$34,MATCH($D142,CARDS!$A$5:$A$34,0)),"⚠ Card ID?"))</f>
        <v/>
      </c>
      <c r="F142" s="45" t="str">
        <f>IF($D142="","",IFERROR(INDEX(CARDS!$C$5:$C$34,MATCH($D142,CARDS!$A$5:$A$34,0)),"⚠ Card ID?"))</f>
        <v/>
      </c>
      <c r="G142" s="37" t="n"/>
      <c r="H142" s="37" t="n"/>
      <c r="I142" s="41" t="n"/>
      <c r="J142" s="45" t="str">
        <f>IF($I142="","",IFERROR(INDEX(MCC_MASTER!$B$5:$B$504,MATCH($I142,MCC_MASTER!$A$5:$A$504,0)),"⚠ MCC chưa có"))</f>
        <v/>
      </c>
      <c r="K142" s="45" t="str">
        <f>IF($I142="","",IFERROR(IF(INDEX(MCC_MASTER!$C$5:$C$504,MATCH($I142,MCC_MASTER!$A$5:$A$504,0))="","Chưa phân loại",INDEX(MCC_MASTER!$C$5:$C$504,MATCH($I142,MCC_MASTER!$A$5:$A$504,0))),"Chưa phân loại"))</f>
        <v/>
      </c>
      <c r="L142" s="40" t="n"/>
      <c r="M142" s="48" t="str">
        <f>IF(OR($B142="",$D142=""),"",IF($AC142=0,0,IF(ISNUMBER(INDEX(CASHBACK_RULES!$L$5:$L$304,$AC142)),MAX(0,MIN($L142,INDEX(CASHBACK_RULES!$L$5:$L$304,$AC142)-$AH142)),MAX(0,$L142))))</f>
        <v/>
      </c>
      <c r="N142" s="49" t="str">
        <f>IF(OR($B142="",$D142=""),"",IF($AC142&gt;0,INDEX(CASHBACK_RULES!$I$5:$I$304,$AC142),0))</f>
        <v/>
      </c>
      <c r="O142" s="48" t="str">
        <f>IF(OR($B142="",$D142=""),"",ROUND($M142*$N142,0))</f>
        <v/>
      </c>
      <c r="P142" s="48" t="str">
        <f>IF($AC142&gt;0,IF(ISNUMBER(INDEX(CASHBACK_RULES!$J$5:$J$304,$AC142)),INDEX(CASHBACK_RULES!$J$5:$J$304,$AC142),"∞"),"")</f>
        <v/>
      </c>
      <c r="Q142" s="48" t="str">
        <f>IF(OR($B142="",$D142=""),"",IF($AC142=0,0,MAX(0,MIN($O142,IF(ISNUMBER($P142),$P142-$AF142,1E+15),IF(ISNUMBER($AA142),$AA142-$AG142,1E+15)))))</f>
        <v/>
      </c>
      <c r="R142" s="48" t="str">
        <f>IF(OR($B142="",$D142=""),"",IF($AC142=0,"",IF(AND(NOT(ISNUMBER($P142)),NOT(ISNUMBER($AA142))),"∞",MAX(0,MIN(IF(ISNUMBER($P142),$P142-$AF142-$Q142,1E+15),IF(ISNUMBER($AA142),$AA142-$AG142-$Q142,1E+15))))))</f>
        <v/>
      </c>
      <c r="S142" s="47" t="str">
        <f>IF($AD142="","",YEAR($AD142)*100+MONTH($AD142))</f>
        <v/>
      </c>
      <c r="T142" s="50" t="str">
        <f>IF($AD142="","",IFERROR(IF(INDEX(CARDS!$I$5:$I$34,MATCH($D142,CARDS!$A$5:$A$34,0))="","",IF(INDEX(CARDS!$I$5:$I$34,MATCH($D142,CARDS!$A$5:$A$34,0))&gt;INDEX(CARDS!$H$5:$H$34,MATCH($D142,CARDS!$A$5:$A$34,0)),DATE(YEAR($AD142),MONTH($AD142),MIN(INDEX(CARDS!$I$5:$I$34,MATCH($D142,CARDS!$A$5:$A$34,0)),DAY(EOMONTH($AD142,0)))),DATE(YEAR($AD142),MONTH($AD142)+1,MIN(INDEX(CARDS!$I$5:$I$34,MATCH($D142,CARDS!$A$5:$A$34,0)),DAY(EOMONTH($AD142,1)))))),""))</f>
        <v/>
      </c>
      <c r="U142" s="38" t="n"/>
      <c r="V142" s="37" t="n"/>
      <c r="W142" s="38" t="n"/>
      <c r="X142" s="38" t="n"/>
      <c r="Y142" s="44" t="str">
        <f>IF($AC142&gt;0,INDEX(CASHBACK_RULES!$A$5:$A$304,$AC142),"")</f>
        <v/>
      </c>
      <c r="Z142" s="45" t="str">
        <f>IF($AC142&gt;0,INDEX(CASHBACK_RULES!$E$5:$E$304,$AC142)&amp;"","")</f>
        <v/>
      </c>
      <c r="AA142" s="48" t="str">
        <f>IF($AC142&gt;0,IF(ISNUMBER(INDEX(CASHBACK_RULES!$K$5:$K$304,$AC142)),INDEX(CASHBACK_RULES!$K$5:$K$304,$AC142),"∞"),"")</f>
        <v/>
      </c>
      <c r="AB142" s="44" t="str">
        <f>IF(OR($B142="",$D142=""),"",IF($U142="Cancelled","Đã hủy",IF($AC142=0,"Không được hoàn",IF($Q142=0,IF(OR($O142&gt;0,$M142&lt;$L142),"Đã đạt cap","Không được hoàn"),IF(OR($Q142&lt;$O142,$M142&lt;$L142),"Hoàn một phần","Được hoàn")))))</f>
        <v/>
      </c>
      <c r="AC142" s="43">
        <f>IF(OR($B142="",$D142="",$I142="",$L142=""),0,IF($U142="Cancelled",0,IF($W142&lt;&gt;"",IFERROR(IF(INDEX(CASHBACK_RULES!$B$5:$B$304,MATCH($W142,CASHBACK_RULES!$A$5:$A$304,0))=$D142,MATCH($W142,CASHBACK_RULES!$A$5:$A$304,0),0),0),IFERROR(MATCH(1,INDEX((CASHBACK_RULES!$B$5:$B$304=$D142)*(CASHBACK_RULES!$G$5:$G$304=$I142)*(((CASHBACK_RULES!$N$5:$N$304="")+(CASHBACK_RULES!$N$5:$N$304&lt;=$B142))&gt;0)*(((CASHBACK_RULES!$O$5:$O$304="")+(CASHBACK_RULES!$O$5:$O$304&gt;=$B142))&gt;0)*(((CASHBACK_RULES!$M$5:$M$304="")+(CASHBACK_RULES!$M$5:$M$304&lt;=$L142))&gt;0),0),0),0))))</f>
        <v>0</v>
      </c>
      <c r="AD142" s="51" t="str">
        <f>IF(OR($B142="",$D142=""),"",IFERROR(IF(INDEX(CARDS!$H$5:$H$34,MATCH($D142,CARDS!$A$5:$A$34,0))="","",IF(DAY($B142)&lt;=INDEX(CARDS!$H$5:$H$34,MATCH($D142,CARDS!$A$5:$A$34,0)),DATE(YEAR($B142),MONTH($B142),MIN(INDEX(CARDS!$H$5:$H$34,MATCH($D142,CARDS!$A$5:$A$34,0)),DAY(EOMONTH($B142,0)))),DATE(YEAR($B142),MONTH($B142)+1,MIN(INDEX(CARDS!$H$5:$H$34,MATCH($D142,CARDS!$A$5:$A$34,0)),DAY(EOMONTH($B142,1)))))),""))</f>
        <v/>
      </c>
      <c r="AE142" s="52" t="str">
        <f>IF($C142="","",$C142&amp;"|"&amp;COUNTIF($C$5:$C142,$C142))</f>
        <v/>
      </c>
      <c r="AF142" s="53">
        <f>IF($AC142&gt;0,SUMIFS(Q$4:Q141,$D$4:$D141,$D142,$Z$4:$Z141,$Z142,$C$4:$C141,$C142),0)</f>
        <v>0</v>
      </c>
      <c r="AG142" s="53">
        <f>IF($AC142&gt;0,SUMIFS(Q$4:Q141,$D$4:$D141,$D142,$C$4:$C141,$C142),0)</f>
        <v>0</v>
      </c>
      <c r="AH142" s="53">
        <f>IF($AC142&gt;0,SUMIFS(M$4:M141,$D$4:$D141,$D142,$Z$4:$Z141,$Z142,$C$4:$C141,$C142),0)</f>
        <v>0</v>
      </c>
      <c r="AI142" s="43">
        <f>IF(OR($C142="",$I142=""),0,IF(COUNTIFS($C$5:$C142,$C142,$I$5:$I142,$I142)=1,1,0))</f>
        <v>0</v>
      </c>
      <c r="AJ142" s="43" t="str">
        <f>IF($AI142=1,SUMIFS($AI$4:$AI141,$C$4:$C141,$C142)+1,"")</f>
        <v/>
      </c>
      <c r="AK142" s="43">
        <f>IF(OR($C142="",$K142=""),0,IF(COUNTIFS($C$5:$C142,$C142,$K$5:$K142,$K142)=1,1,0))</f>
        <v>0</v>
      </c>
      <c r="AL142" s="43" t="str">
        <f>IF($AK142=1,SUMIFS($AK$4:$AK141,$C$4:$C141,$C142)+1,"")</f>
        <v/>
      </c>
      <c r="AM142" s="43">
        <f>IF(OR($C142="",$G142=""),0,IF(COUNTIFS($C$5:$C142,$C142,$G$5:$G142,$G142)=1,1,0))</f>
        <v>0</v>
      </c>
      <c r="AN142" s="43" t="str">
        <f>IF($AM142=1,SUMIFS($AM$4:$AM141,$C$4:$C141,$C142)+1,"")</f>
        <v/>
      </c>
    </row>
    <row r="143">
      <c r="A143" s="44" t="str">
        <f>IF(OR($B143="",$D143=""),"","TX"&amp;TEXT(ROW()-4,"0000"))</f>
        <v/>
      </c>
      <c r="B143" s="42" t="n"/>
      <c r="C143" s="47" t="str">
        <f>IF($B143="","",YEAR($B143)*100+MONTH($B143))</f>
        <v/>
      </c>
      <c r="D143" s="37" t="n"/>
      <c r="E143" s="45" t="str">
        <f>IF($D143="","",IFERROR(INDEX(CARDS!$B$5:$B$34,MATCH($D143,CARDS!$A$5:$A$34,0)),"⚠ Card ID?"))</f>
        <v/>
      </c>
      <c r="F143" s="45" t="str">
        <f>IF($D143="","",IFERROR(INDEX(CARDS!$C$5:$C$34,MATCH($D143,CARDS!$A$5:$A$34,0)),"⚠ Card ID?"))</f>
        <v/>
      </c>
      <c r="G143" s="37" t="n"/>
      <c r="H143" s="37" t="n"/>
      <c r="I143" s="41" t="n"/>
      <c r="J143" s="45" t="str">
        <f>IF($I143="","",IFERROR(INDEX(MCC_MASTER!$B$5:$B$504,MATCH($I143,MCC_MASTER!$A$5:$A$504,0)),"⚠ MCC chưa có"))</f>
        <v/>
      </c>
      <c r="K143" s="45" t="str">
        <f>IF($I143="","",IFERROR(IF(INDEX(MCC_MASTER!$C$5:$C$504,MATCH($I143,MCC_MASTER!$A$5:$A$504,0))="","Chưa phân loại",INDEX(MCC_MASTER!$C$5:$C$504,MATCH($I143,MCC_MASTER!$A$5:$A$504,0))),"Chưa phân loại"))</f>
        <v/>
      </c>
      <c r="L143" s="40" t="n"/>
      <c r="M143" s="48" t="str">
        <f>IF(OR($B143="",$D143=""),"",IF($AC143=0,0,IF(ISNUMBER(INDEX(CASHBACK_RULES!$L$5:$L$304,$AC143)),MAX(0,MIN($L143,INDEX(CASHBACK_RULES!$L$5:$L$304,$AC143)-$AH143)),MAX(0,$L143))))</f>
        <v/>
      </c>
      <c r="N143" s="49" t="str">
        <f>IF(OR($B143="",$D143=""),"",IF($AC143&gt;0,INDEX(CASHBACK_RULES!$I$5:$I$304,$AC143),0))</f>
        <v/>
      </c>
      <c r="O143" s="48" t="str">
        <f>IF(OR($B143="",$D143=""),"",ROUND($M143*$N143,0))</f>
        <v/>
      </c>
      <c r="P143" s="48" t="str">
        <f>IF($AC143&gt;0,IF(ISNUMBER(INDEX(CASHBACK_RULES!$J$5:$J$304,$AC143)),INDEX(CASHBACK_RULES!$J$5:$J$304,$AC143),"∞"),"")</f>
        <v/>
      </c>
      <c r="Q143" s="48" t="str">
        <f>IF(OR($B143="",$D143=""),"",IF($AC143=0,0,MAX(0,MIN($O143,IF(ISNUMBER($P143),$P143-$AF143,1E+15),IF(ISNUMBER($AA143),$AA143-$AG143,1E+15)))))</f>
        <v/>
      </c>
      <c r="R143" s="48" t="str">
        <f>IF(OR($B143="",$D143=""),"",IF($AC143=0,"",IF(AND(NOT(ISNUMBER($P143)),NOT(ISNUMBER($AA143))),"∞",MAX(0,MIN(IF(ISNUMBER($P143),$P143-$AF143-$Q143,1E+15),IF(ISNUMBER($AA143),$AA143-$AG143-$Q143,1E+15))))))</f>
        <v/>
      </c>
      <c r="S143" s="47" t="str">
        <f>IF($AD143="","",YEAR($AD143)*100+MONTH($AD143))</f>
        <v/>
      </c>
      <c r="T143" s="50" t="str">
        <f>IF($AD143="","",IFERROR(IF(INDEX(CARDS!$I$5:$I$34,MATCH($D143,CARDS!$A$5:$A$34,0))="","",IF(INDEX(CARDS!$I$5:$I$34,MATCH($D143,CARDS!$A$5:$A$34,0))&gt;INDEX(CARDS!$H$5:$H$34,MATCH($D143,CARDS!$A$5:$A$34,0)),DATE(YEAR($AD143),MONTH($AD143),MIN(INDEX(CARDS!$I$5:$I$34,MATCH($D143,CARDS!$A$5:$A$34,0)),DAY(EOMONTH($AD143,0)))),DATE(YEAR($AD143),MONTH($AD143)+1,MIN(INDEX(CARDS!$I$5:$I$34,MATCH($D143,CARDS!$A$5:$A$34,0)),DAY(EOMONTH($AD143,1)))))),""))</f>
        <v/>
      </c>
      <c r="U143" s="38" t="n"/>
      <c r="V143" s="37" t="n"/>
      <c r="W143" s="38" t="n"/>
      <c r="X143" s="38" t="n"/>
      <c r="Y143" s="44" t="str">
        <f>IF($AC143&gt;0,INDEX(CASHBACK_RULES!$A$5:$A$304,$AC143),"")</f>
        <v/>
      </c>
      <c r="Z143" s="45" t="str">
        <f>IF($AC143&gt;0,INDEX(CASHBACK_RULES!$E$5:$E$304,$AC143)&amp;"","")</f>
        <v/>
      </c>
      <c r="AA143" s="48" t="str">
        <f>IF($AC143&gt;0,IF(ISNUMBER(INDEX(CASHBACK_RULES!$K$5:$K$304,$AC143)),INDEX(CASHBACK_RULES!$K$5:$K$304,$AC143),"∞"),"")</f>
        <v/>
      </c>
      <c r="AB143" s="44" t="str">
        <f>IF(OR($B143="",$D143=""),"",IF($U143="Cancelled","Đã hủy",IF($AC143=0,"Không được hoàn",IF($Q143=0,IF(OR($O143&gt;0,$M143&lt;$L143),"Đã đạt cap","Không được hoàn"),IF(OR($Q143&lt;$O143,$M143&lt;$L143),"Hoàn một phần","Được hoàn")))))</f>
        <v/>
      </c>
      <c r="AC143" s="43">
        <f>IF(OR($B143="",$D143="",$I143="",$L143=""),0,IF($U143="Cancelled",0,IF($W143&lt;&gt;"",IFERROR(IF(INDEX(CASHBACK_RULES!$B$5:$B$304,MATCH($W143,CASHBACK_RULES!$A$5:$A$304,0))=$D143,MATCH($W143,CASHBACK_RULES!$A$5:$A$304,0),0),0),IFERROR(MATCH(1,INDEX((CASHBACK_RULES!$B$5:$B$304=$D143)*(CASHBACK_RULES!$G$5:$G$304=$I143)*(((CASHBACK_RULES!$N$5:$N$304="")+(CASHBACK_RULES!$N$5:$N$304&lt;=$B143))&gt;0)*(((CASHBACK_RULES!$O$5:$O$304="")+(CASHBACK_RULES!$O$5:$O$304&gt;=$B143))&gt;0)*(((CASHBACK_RULES!$M$5:$M$304="")+(CASHBACK_RULES!$M$5:$M$304&lt;=$L143))&gt;0),0),0),0))))</f>
        <v>0</v>
      </c>
      <c r="AD143" s="51" t="str">
        <f>IF(OR($B143="",$D143=""),"",IFERROR(IF(INDEX(CARDS!$H$5:$H$34,MATCH($D143,CARDS!$A$5:$A$34,0))="","",IF(DAY($B143)&lt;=INDEX(CARDS!$H$5:$H$34,MATCH($D143,CARDS!$A$5:$A$34,0)),DATE(YEAR($B143),MONTH($B143),MIN(INDEX(CARDS!$H$5:$H$34,MATCH($D143,CARDS!$A$5:$A$34,0)),DAY(EOMONTH($B143,0)))),DATE(YEAR($B143),MONTH($B143)+1,MIN(INDEX(CARDS!$H$5:$H$34,MATCH($D143,CARDS!$A$5:$A$34,0)),DAY(EOMONTH($B143,1)))))),""))</f>
        <v/>
      </c>
      <c r="AE143" s="52" t="str">
        <f>IF($C143="","",$C143&amp;"|"&amp;COUNTIF($C$5:$C143,$C143))</f>
        <v/>
      </c>
      <c r="AF143" s="53">
        <f>IF($AC143&gt;0,SUMIFS(Q$4:Q142,$D$4:$D142,$D143,$Z$4:$Z142,$Z143,$C$4:$C142,$C143),0)</f>
        <v>0</v>
      </c>
      <c r="AG143" s="53">
        <f>IF($AC143&gt;0,SUMIFS(Q$4:Q142,$D$4:$D142,$D143,$C$4:$C142,$C143),0)</f>
        <v>0</v>
      </c>
      <c r="AH143" s="53">
        <f>IF($AC143&gt;0,SUMIFS(M$4:M142,$D$4:$D142,$D143,$Z$4:$Z142,$Z143,$C$4:$C142,$C143),0)</f>
        <v>0</v>
      </c>
      <c r="AI143" s="43">
        <f>IF(OR($C143="",$I143=""),0,IF(COUNTIFS($C$5:$C143,$C143,$I$5:$I143,$I143)=1,1,0))</f>
        <v>0</v>
      </c>
      <c r="AJ143" s="43" t="str">
        <f>IF($AI143=1,SUMIFS($AI$4:$AI142,$C$4:$C142,$C143)+1,"")</f>
        <v/>
      </c>
      <c r="AK143" s="43">
        <f>IF(OR($C143="",$K143=""),0,IF(COUNTIFS($C$5:$C143,$C143,$K$5:$K143,$K143)=1,1,0))</f>
        <v>0</v>
      </c>
      <c r="AL143" s="43" t="str">
        <f>IF($AK143=1,SUMIFS($AK$4:$AK142,$C$4:$C142,$C143)+1,"")</f>
        <v/>
      </c>
      <c r="AM143" s="43">
        <f>IF(OR($C143="",$G143=""),0,IF(COUNTIFS($C$5:$C143,$C143,$G$5:$G143,$G143)=1,1,0))</f>
        <v>0</v>
      </c>
      <c r="AN143" s="43" t="str">
        <f>IF($AM143=1,SUMIFS($AM$4:$AM142,$C$4:$C142,$C143)+1,"")</f>
        <v/>
      </c>
    </row>
    <row r="144">
      <c r="A144" s="44" t="str">
        <f>IF(OR($B144="",$D144=""),"","TX"&amp;TEXT(ROW()-4,"0000"))</f>
        <v/>
      </c>
      <c r="B144" s="42" t="n"/>
      <c r="C144" s="47" t="str">
        <f>IF($B144="","",YEAR($B144)*100+MONTH($B144))</f>
        <v/>
      </c>
      <c r="D144" s="37" t="n"/>
      <c r="E144" s="45" t="str">
        <f>IF($D144="","",IFERROR(INDEX(CARDS!$B$5:$B$34,MATCH($D144,CARDS!$A$5:$A$34,0)),"⚠ Card ID?"))</f>
        <v/>
      </c>
      <c r="F144" s="45" t="str">
        <f>IF($D144="","",IFERROR(INDEX(CARDS!$C$5:$C$34,MATCH($D144,CARDS!$A$5:$A$34,0)),"⚠ Card ID?"))</f>
        <v/>
      </c>
      <c r="G144" s="37" t="n"/>
      <c r="H144" s="37" t="n"/>
      <c r="I144" s="41" t="n"/>
      <c r="J144" s="45" t="str">
        <f>IF($I144="","",IFERROR(INDEX(MCC_MASTER!$B$5:$B$504,MATCH($I144,MCC_MASTER!$A$5:$A$504,0)),"⚠ MCC chưa có"))</f>
        <v/>
      </c>
      <c r="K144" s="45" t="str">
        <f>IF($I144="","",IFERROR(IF(INDEX(MCC_MASTER!$C$5:$C$504,MATCH($I144,MCC_MASTER!$A$5:$A$504,0))="","Chưa phân loại",INDEX(MCC_MASTER!$C$5:$C$504,MATCH($I144,MCC_MASTER!$A$5:$A$504,0))),"Chưa phân loại"))</f>
        <v/>
      </c>
      <c r="L144" s="40" t="n"/>
      <c r="M144" s="48" t="str">
        <f>IF(OR($B144="",$D144=""),"",IF($AC144=0,0,IF(ISNUMBER(INDEX(CASHBACK_RULES!$L$5:$L$304,$AC144)),MAX(0,MIN($L144,INDEX(CASHBACK_RULES!$L$5:$L$304,$AC144)-$AH144)),MAX(0,$L144))))</f>
        <v/>
      </c>
      <c r="N144" s="49" t="str">
        <f>IF(OR($B144="",$D144=""),"",IF($AC144&gt;0,INDEX(CASHBACK_RULES!$I$5:$I$304,$AC144),0))</f>
        <v/>
      </c>
      <c r="O144" s="48" t="str">
        <f>IF(OR($B144="",$D144=""),"",ROUND($M144*$N144,0))</f>
        <v/>
      </c>
      <c r="P144" s="48" t="str">
        <f>IF($AC144&gt;0,IF(ISNUMBER(INDEX(CASHBACK_RULES!$J$5:$J$304,$AC144)),INDEX(CASHBACK_RULES!$J$5:$J$304,$AC144),"∞"),"")</f>
        <v/>
      </c>
      <c r="Q144" s="48" t="str">
        <f>IF(OR($B144="",$D144=""),"",IF($AC144=0,0,MAX(0,MIN($O144,IF(ISNUMBER($P144),$P144-$AF144,1E+15),IF(ISNUMBER($AA144),$AA144-$AG144,1E+15)))))</f>
        <v/>
      </c>
      <c r="R144" s="48" t="str">
        <f>IF(OR($B144="",$D144=""),"",IF($AC144=0,"",IF(AND(NOT(ISNUMBER($P144)),NOT(ISNUMBER($AA144))),"∞",MAX(0,MIN(IF(ISNUMBER($P144),$P144-$AF144-$Q144,1E+15),IF(ISNUMBER($AA144),$AA144-$AG144-$Q144,1E+15))))))</f>
        <v/>
      </c>
      <c r="S144" s="47" t="str">
        <f>IF($AD144="","",YEAR($AD144)*100+MONTH($AD144))</f>
        <v/>
      </c>
      <c r="T144" s="50" t="str">
        <f>IF($AD144="","",IFERROR(IF(INDEX(CARDS!$I$5:$I$34,MATCH($D144,CARDS!$A$5:$A$34,0))="","",IF(INDEX(CARDS!$I$5:$I$34,MATCH($D144,CARDS!$A$5:$A$34,0))&gt;INDEX(CARDS!$H$5:$H$34,MATCH($D144,CARDS!$A$5:$A$34,0)),DATE(YEAR($AD144),MONTH($AD144),MIN(INDEX(CARDS!$I$5:$I$34,MATCH($D144,CARDS!$A$5:$A$34,0)),DAY(EOMONTH($AD144,0)))),DATE(YEAR($AD144),MONTH($AD144)+1,MIN(INDEX(CARDS!$I$5:$I$34,MATCH($D144,CARDS!$A$5:$A$34,0)),DAY(EOMONTH($AD144,1)))))),""))</f>
        <v/>
      </c>
      <c r="U144" s="38" t="n"/>
      <c r="V144" s="37" t="n"/>
      <c r="W144" s="38" t="n"/>
      <c r="X144" s="38" t="n"/>
      <c r="Y144" s="44" t="str">
        <f>IF($AC144&gt;0,INDEX(CASHBACK_RULES!$A$5:$A$304,$AC144),"")</f>
        <v/>
      </c>
      <c r="Z144" s="45" t="str">
        <f>IF($AC144&gt;0,INDEX(CASHBACK_RULES!$E$5:$E$304,$AC144)&amp;"","")</f>
        <v/>
      </c>
      <c r="AA144" s="48" t="str">
        <f>IF($AC144&gt;0,IF(ISNUMBER(INDEX(CASHBACK_RULES!$K$5:$K$304,$AC144)),INDEX(CASHBACK_RULES!$K$5:$K$304,$AC144),"∞"),"")</f>
        <v/>
      </c>
      <c r="AB144" s="44" t="str">
        <f>IF(OR($B144="",$D144=""),"",IF($U144="Cancelled","Đã hủy",IF($AC144=0,"Không được hoàn",IF($Q144=0,IF(OR($O144&gt;0,$M144&lt;$L144),"Đã đạt cap","Không được hoàn"),IF(OR($Q144&lt;$O144,$M144&lt;$L144),"Hoàn một phần","Được hoàn")))))</f>
        <v/>
      </c>
      <c r="AC144" s="43">
        <f>IF(OR($B144="",$D144="",$I144="",$L144=""),0,IF($U144="Cancelled",0,IF($W144&lt;&gt;"",IFERROR(IF(INDEX(CASHBACK_RULES!$B$5:$B$304,MATCH($W144,CASHBACK_RULES!$A$5:$A$304,0))=$D144,MATCH($W144,CASHBACK_RULES!$A$5:$A$304,0),0),0),IFERROR(MATCH(1,INDEX((CASHBACK_RULES!$B$5:$B$304=$D144)*(CASHBACK_RULES!$G$5:$G$304=$I144)*(((CASHBACK_RULES!$N$5:$N$304="")+(CASHBACK_RULES!$N$5:$N$304&lt;=$B144))&gt;0)*(((CASHBACK_RULES!$O$5:$O$304="")+(CASHBACK_RULES!$O$5:$O$304&gt;=$B144))&gt;0)*(((CASHBACK_RULES!$M$5:$M$304="")+(CASHBACK_RULES!$M$5:$M$304&lt;=$L144))&gt;0),0),0),0))))</f>
        <v>0</v>
      </c>
      <c r="AD144" s="51" t="str">
        <f>IF(OR($B144="",$D144=""),"",IFERROR(IF(INDEX(CARDS!$H$5:$H$34,MATCH($D144,CARDS!$A$5:$A$34,0))="","",IF(DAY($B144)&lt;=INDEX(CARDS!$H$5:$H$34,MATCH($D144,CARDS!$A$5:$A$34,0)),DATE(YEAR($B144),MONTH($B144),MIN(INDEX(CARDS!$H$5:$H$34,MATCH($D144,CARDS!$A$5:$A$34,0)),DAY(EOMONTH($B144,0)))),DATE(YEAR($B144),MONTH($B144)+1,MIN(INDEX(CARDS!$H$5:$H$34,MATCH($D144,CARDS!$A$5:$A$34,0)),DAY(EOMONTH($B144,1)))))),""))</f>
        <v/>
      </c>
      <c r="AE144" s="52" t="str">
        <f>IF($C144="","",$C144&amp;"|"&amp;COUNTIF($C$5:$C144,$C144))</f>
        <v/>
      </c>
      <c r="AF144" s="53">
        <f>IF($AC144&gt;0,SUMIFS(Q$4:Q143,$D$4:$D143,$D144,$Z$4:$Z143,$Z144,$C$4:$C143,$C144),0)</f>
        <v>0</v>
      </c>
      <c r="AG144" s="53">
        <f>IF($AC144&gt;0,SUMIFS(Q$4:Q143,$D$4:$D143,$D144,$C$4:$C143,$C144),0)</f>
        <v>0</v>
      </c>
      <c r="AH144" s="53">
        <f>IF($AC144&gt;0,SUMIFS(M$4:M143,$D$4:$D143,$D144,$Z$4:$Z143,$Z144,$C$4:$C143,$C144),0)</f>
        <v>0</v>
      </c>
      <c r="AI144" s="43">
        <f>IF(OR($C144="",$I144=""),0,IF(COUNTIFS($C$5:$C144,$C144,$I$5:$I144,$I144)=1,1,0))</f>
        <v>0</v>
      </c>
      <c r="AJ144" s="43" t="str">
        <f>IF($AI144=1,SUMIFS($AI$4:$AI143,$C$4:$C143,$C144)+1,"")</f>
        <v/>
      </c>
      <c r="AK144" s="43">
        <f>IF(OR($C144="",$K144=""),0,IF(COUNTIFS($C$5:$C144,$C144,$K$5:$K144,$K144)=1,1,0))</f>
        <v>0</v>
      </c>
      <c r="AL144" s="43" t="str">
        <f>IF($AK144=1,SUMIFS($AK$4:$AK143,$C$4:$C143,$C144)+1,"")</f>
        <v/>
      </c>
      <c r="AM144" s="43">
        <f>IF(OR($C144="",$G144=""),0,IF(COUNTIFS($C$5:$C144,$C144,$G$5:$G144,$G144)=1,1,0))</f>
        <v>0</v>
      </c>
      <c r="AN144" s="43" t="str">
        <f>IF($AM144=1,SUMIFS($AM$4:$AM143,$C$4:$C143,$C144)+1,"")</f>
        <v/>
      </c>
    </row>
    <row r="145">
      <c r="A145" s="44" t="str">
        <f>IF(OR($B145="",$D145=""),"","TX"&amp;TEXT(ROW()-4,"0000"))</f>
        <v/>
      </c>
      <c r="B145" s="42" t="n"/>
      <c r="C145" s="47" t="str">
        <f>IF($B145="","",YEAR($B145)*100+MONTH($B145))</f>
        <v/>
      </c>
      <c r="D145" s="37" t="n"/>
      <c r="E145" s="45" t="str">
        <f>IF($D145="","",IFERROR(INDEX(CARDS!$B$5:$B$34,MATCH($D145,CARDS!$A$5:$A$34,0)),"⚠ Card ID?"))</f>
        <v/>
      </c>
      <c r="F145" s="45" t="str">
        <f>IF($D145="","",IFERROR(INDEX(CARDS!$C$5:$C$34,MATCH($D145,CARDS!$A$5:$A$34,0)),"⚠ Card ID?"))</f>
        <v/>
      </c>
      <c r="G145" s="37" t="n"/>
      <c r="H145" s="37" t="n"/>
      <c r="I145" s="41" t="n"/>
      <c r="J145" s="45" t="str">
        <f>IF($I145="","",IFERROR(INDEX(MCC_MASTER!$B$5:$B$504,MATCH($I145,MCC_MASTER!$A$5:$A$504,0)),"⚠ MCC chưa có"))</f>
        <v/>
      </c>
      <c r="K145" s="45" t="str">
        <f>IF($I145="","",IFERROR(IF(INDEX(MCC_MASTER!$C$5:$C$504,MATCH($I145,MCC_MASTER!$A$5:$A$504,0))="","Chưa phân loại",INDEX(MCC_MASTER!$C$5:$C$504,MATCH($I145,MCC_MASTER!$A$5:$A$504,0))),"Chưa phân loại"))</f>
        <v/>
      </c>
      <c r="L145" s="40" t="n"/>
      <c r="M145" s="48" t="str">
        <f>IF(OR($B145="",$D145=""),"",IF($AC145=0,0,IF(ISNUMBER(INDEX(CASHBACK_RULES!$L$5:$L$304,$AC145)),MAX(0,MIN($L145,INDEX(CASHBACK_RULES!$L$5:$L$304,$AC145)-$AH145)),MAX(0,$L145))))</f>
        <v/>
      </c>
      <c r="N145" s="49" t="str">
        <f>IF(OR($B145="",$D145=""),"",IF($AC145&gt;0,INDEX(CASHBACK_RULES!$I$5:$I$304,$AC145),0))</f>
        <v/>
      </c>
      <c r="O145" s="48" t="str">
        <f>IF(OR($B145="",$D145=""),"",ROUND($M145*$N145,0))</f>
        <v/>
      </c>
      <c r="P145" s="48" t="str">
        <f>IF($AC145&gt;0,IF(ISNUMBER(INDEX(CASHBACK_RULES!$J$5:$J$304,$AC145)),INDEX(CASHBACK_RULES!$J$5:$J$304,$AC145),"∞"),"")</f>
        <v/>
      </c>
      <c r="Q145" s="48" t="str">
        <f>IF(OR($B145="",$D145=""),"",IF($AC145=0,0,MAX(0,MIN($O145,IF(ISNUMBER($P145),$P145-$AF145,1E+15),IF(ISNUMBER($AA145),$AA145-$AG145,1E+15)))))</f>
        <v/>
      </c>
      <c r="R145" s="48" t="str">
        <f>IF(OR($B145="",$D145=""),"",IF($AC145=0,"",IF(AND(NOT(ISNUMBER($P145)),NOT(ISNUMBER($AA145))),"∞",MAX(0,MIN(IF(ISNUMBER($P145),$P145-$AF145-$Q145,1E+15),IF(ISNUMBER($AA145),$AA145-$AG145-$Q145,1E+15))))))</f>
        <v/>
      </c>
      <c r="S145" s="47" t="str">
        <f>IF($AD145="","",YEAR($AD145)*100+MONTH($AD145))</f>
        <v/>
      </c>
      <c r="T145" s="50" t="str">
        <f>IF($AD145="","",IFERROR(IF(INDEX(CARDS!$I$5:$I$34,MATCH($D145,CARDS!$A$5:$A$34,0))="","",IF(INDEX(CARDS!$I$5:$I$34,MATCH($D145,CARDS!$A$5:$A$34,0))&gt;INDEX(CARDS!$H$5:$H$34,MATCH($D145,CARDS!$A$5:$A$34,0)),DATE(YEAR($AD145),MONTH($AD145),MIN(INDEX(CARDS!$I$5:$I$34,MATCH($D145,CARDS!$A$5:$A$34,0)),DAY(EOMONTH($AD145,0)))),DATE(YEAR($AD145),MONTH($AD145)+1,MIN(INDEX(CARDS!$I$5:$I$34,MATCH($D145,CARDS!$A$5:$A$34,0)),DAY(EOMONTH($AD145,1)))))),""))</f>
        <v/>
      </c>
      <c r="U145" s="38" t="n"/>
      <c r="V145" s="37" t="n"/>
      <c r="W145" s="38" t="n"/>
      <c r="X145" s="38" t="n"/>
      <c r="Y145" s="44" t="str">
        <f>IF($AC145&gt;0,INDEX(CASHBACK_RULES!$A$5:$A$304,$AC145),"")</f>
        <v/>
      </c>
      <c r="Z145" s="45" t="str">
        <f>IF($AC145&gt;0,INDEX(CASHBACK_RULES!$E$5:$E$304,$AC145)&amp;"","")</f>
        <v/>
      </c>
      <c r="AA145" s="48" t="str">
        <f>IF($AC145&gt;0,IF(ISNUMBER(INDEX(CASHBACK_RULES!$K$5:$K$304,$AC145)),INDEX(CASHBACK_RULES!$K$5:$K$304,$AC145),"∞"),"")</f>
        <v/>
      </c>
      <c r="AB145" s="44" t="str">
        <f>IF(OR($B145="",$D145=""),"",IF($U145="Cancelled","Đã hủy",IF($AC145=0,"Không được hoàn",IF($Q145=0,IF(OR($O145&gt;0,$M145&lt;$L145),"Đã đạt cap","Không được hoàn"),IF(OR($Q145&lt;$O145,$M145&lt;$L145),"Hoàn một phần","Được hoàn")))))</f>
        <v/>
      </c>
      <c r="AC145" s="43">
        <f>IF(OR($B145="",$D145="",$I145="",$L145=""),0,IF($U145="Cancelled",0,IF($W145&lt;&gt;"",IFERROR(IF(INDEX(CASHBACK_RULES!$B$5:$B$304,MATCH($W145,CASHBACK_RULES!$A$5:$A$304,0))=$D145,MATCH($W145,CASHBACK_RULES!$A$5:$A$304,0),0),0),IFERROR(MATCH(1,INDEX((CASHBACK_RULES!$B$5:$B$304=$D145)*(CASHBACK_RULES!$G$5:$G$304=$I145)*(((CASHBACK_RULES!$N$5:$N$304="")+(CASHBACK_RULES!$N$5:$N$304&lt;=$B145))&gt;0)*(((CASHBACK_RULES!$O$5:$O$304="")+(CASHBACK_RULES!$O$5:$O$304&gt;=$B145))&gt;0)*(((CASHBACK_RULES!$M$5:$M$304="")+(CASHBACK_RULES!$M$5:$M$304&lt;=$L145))&gt;0),0),0),0))))</f>
        <v>0</v>
      </c>
      <c r="AD145" s="51" t="str">
        <f>IF(OR($B145="",$D145=""),"",IFERROR(IF(INDEX(CARDS!$H$5:$H$34,MATCH($D145,CARDS!$A$5:$A$34,0))="","",IF(DAY($B145)&lt;=INDEX(CARDS!$H$5:$H$34,MATCH($D145,CARDS!$A$5:$A$34,0)),DATE(YEAR($B145),MONTH($B145),MIN(INDEX(CARDS!$H$5:$H$34,MATCH($D145,CARDS!$A$5:$A$34,0)),DAY(EOMONTH($B145,0)))),DATE(YEAR($B145),MONTH($B145)+1,MIN(INDEX(CARDS!$H$5:$H$34,MATCH($D145,CARDS!$A$5:$A$34,0)),DAY(EOMONTH($B145,1)))))),""))</f>
        <v/>
      </c>
      <c r="AE145" s="52" t="str">
        <f>IF($C145="","",$C145&amp;"|"&amp;COUNTIF($C$5:$C145,$C145))</f>
        <v/>
      </c>
      <c r="AF145" s="53">
        <f>IF($AC145&gt;0,SUMIFS(Q$4:Q144,$D$4:$D144,$D145,$Z$4:$Z144,$Z145,$C$4:$C144,$C145),0)</f>
        <v>0</v>
      </c>
      <c r="AG145" s="53">
        <f>IF($AC145&gt;0,SUMIFS(Q$4:Q144,$D$4:$D144,$D145,$C$4:$C144,$C145),0)</f>
        <v>0</v>
      </c>
      <c r="AH145" s="53">
        <f>IF($AC145&gt;0,SUMIFS(M$4:M144,$D$4:$D144,$D145,$Z$4:$Z144,$Z145,$C$4:$C144,$C145),0)</f>
        <v>0</v>
      </c>
      <c r="AI145" s="43">
        <f>IF(OR($C145="",$I145=""),0,IF(COUNTIFS($C$5:$C145,$C145,$I$5:$I145,$I145)=1,1,0))</f>
        <v>0</v>
      </c>
      <c r="AJ145" s="43" t="str">
        <f>IF($AI145=1,SUMIFS($AI$4:$AI144,$C$4:$C144,$C145)+1,"")</f>
        <v/>
      </c>
      <c r="AK145" s="43">
        <f>IF(OR($C145="",$K145=""),0,IF(COUNTIFS($C$5:$C145,$C145,$K$5:$K145,$K145)=1,1,0))</f>
        <v>0</v>
      </c>
      <c r="AL145" s="43" t="str">
        <f>IF($AK145=1,SUMIFS($AK$4:$AK144,$C$4:$C144,$C145)+1,"")</f>
        <v/>
      </c>
      <c r="AM145" s="43">
        <f>IF(OR($C145="",$G145=""),0,IF(COUNTIFS($C$5:$C145,$C145,$G$5:$G145,$G145)=1,1,0))</f>
        <v>0</v>
      </c>
      <c r="AN145" s="43" t="str">
        <f>IF($AM145=1,SUMIFS($AM$4:$AM144,$C$4:$C144,$C145)+1,"")</f>
        <v/>
      </c>
    </row>
    <row r="146">
      <c r="A146" s="44" t="str">
        <f>IF(OR($B146="",$D146=""),"","TX"&amp;TEXT(ROW()-4,"0000"))</f>
        <v/>
      </c>
      <c r="B146" s="42" t="n"/>
      <c r="C146" s="47" t="str">
        <f>IF($B146="","",YEAR($B146)*100+MONTH($B146))</f>
        <v/>
      </c>
      <c r="D146" s="37" t="n"/>
      <c r="E146" s="45" t="str">
        <f>IF($D146="","",IFERROR(INDEX(CARDS!$B$5:$B$34,MATCH($D146,CARDS!$A$5:$A$34,0)),"⚠ Card ID?"))</f>
        <v/>
      </c>
      <c r="F146" s="45" t="str">
        <f>IF($D146="","",IFERROR(INDEX(CARDS!$C$5:$C$34,MATCH($D146,CARDS!$A$5:$A$34,0)),"⚠ Card ID?"))</f>
        <v/>
      </c>
      <c r="G146" s="37" t="n"/>
      <c r="H146" s="37" t="n"/>
      <c r="I146" s="41" t="n"/>
      <c r="J146" s="45" t="str">
        <f>IF($I146="","",IFERROR(INDEX(MCC_MASTER!$B$5:$B$504,MATCH($I146,MCC_MASTER!$A$5:$A$504,0)),"⚠ MCC chưa có"))</f>
        <v/>
      </c>
      <c r="K146" s="45" t="str">
        <f>IF($I146="","",IFERROR(IF(INDEX(MCC_MASTER!$C$5:$C$504,MATCH($I146,MCC_MASTER!$A$5:$A$504,0))="","Chưa phân loại",INDEX(MCC_MASTER!$C$5:$C$504,MATCH($I146,MCC_MASTER!$A$5:$A$504,0))),"Chưa phân loại"))</f>
        <v/>
      </c>
      <c r="L146" s="40" t="n"/>
      <c r="M146" s="48" t="str">
        <f>IF(OR($B146="",$D146=""),"",IF($AC146=0,0,IF(ISNUMBER(INDEX(CASHBACK_RULES!$L$5:$L$304,$AC146)),MAX(0,MIN($L146,INDEX(CASHBACK_RULES!$L$5:$L$304,$AC146)-$AH146)),MAX(0,$L146))))</f>
        <v/>
      </c>
      <c r="N146" s="49" t="str">
        <f>IF(OR($B146="",$D146=""),"",IF($AC146&gt;0,INDEX(CASHBACK_RULES!$I$5:$I$304,$AC146),0))</f>
        <v/>
      </c>
      <c r="O146" s="48" t="str">
        <f>IF(OR($B146="",$D146=""),"",ROUND($M146*$N146,0))</f>
        <v/>
      </c>
      <c r="P146" s="48" t="str">
        <f>IF($AC146&gt;0,IF(ISNUMBER(INDEX(CASHBACK_RULES!$J$5:$J$304,$AC146)),INDEX(CASHBACK_RULES!$J$5:$J$304,$AC146),"∞"),"")</f>
        <v/>
      </c>
      <c r="Q146" s="48" t="str">
        <f>IF(OR($B146="",$D146=""),"",IF($AC146=0,0,MAX(0,MIN($O146,IF(ISNUMBER($P146),$P146-$AF146,1E+15),IF(ISNUMBER($AA146),$AA146-$AG146,1E+15)))))</f>
        <v/>
      </c>
      <c r="R146" s="48" t="str">
        <f>IF(OR($B146="",$D146=""),"",IF($AC146=0,"",IF(AND(NOT(ISNUMBER($P146)),NOT(ISNUMBER($AA146))),"∞",MAX(0,MIN(IF(ISNUMBER($P146),$P146-$AF146-$Q146,1E+15),IF(ISNUMBER($AA146),$AA146-$AG146-$Q146,1E+15))))))</f>
        <v/>
      </c>
      <c r="S146" s="47" t="str">
        <f>IF($AD146="","",YEAR($AD146)*100+MONTH($AD146))</f>
        <v/>
      </c>
      <c r="T146" s="50" t="str">
        <f>IF($AD146="","",IFERROR(IF(INDEX(CARDS!$I$5:$I$34,MATCH($D146,CARDS!$A$5:$A$34,0))="","",IF(INDEX(CARDS!$I$5:$I$34,MATCH($D146,CARDS!$A$5:$A$34,0))&gt;INDEX(CARDS!$H$5:$H$34,MATCH($D146,CARDS!$A$5:$A$34,0)),DATE(YEAR($AD146),MONTH($AD146),MIN(INDEX(CARDS!$I$5:$I$34,MATCH($D146,CARDS!$A$5:$A$34,0)),DAY(EOMONTH($AD146,0)))),DATE(YEAR($AD146),MONTH($AD146)+1,MIN(INDEX(CARDS!$I$5:$I$34,MATCH($D146,CARDS!$A$5:$A$34,0)),DAY(EOMONTH($AD146,1)))))),""))</f>
        <v/>
      </c>
      <c r="U146" s="38" t="n"/>
      <c r="V146" s="37" t="n"/>
      <c r="W146" s="38" t="n"/>
      <c r="X146" s="38" t="n"/>
      <c r="Y146" s="44" t="str">
        <f>IF($AC146&gt;0,INDEX(CASHBACK_RULES!$A$5:$A$304,$AC146),"")</f>
        <v/>
      </c>
      <c r="Z146" s="45" t="str">
        <f>IF($AC146&gt;0,INDEX(CASHBACK_RULES!$E$5:$E$304,$AC146)&amp;"","")</f>
        <v/>
      </c>
      <c r="AA146" s="48" t="str">
        <f>IF($AC146&gt;0,IF(ISNUMBER(INDEX(CASHBACK_RULES!$K$5:$K$304,$AC146)),INDEX(CASHBACK_RULES!$K$5:$K$304,$AC146),"∞"),"")</f>
        <v/>
      </c>
      <c r="AB146" s="44" t="str">
        <f>IF(OR($B146="",$D146=""),"",IF($U146="Cancelled","Đã hủy",IF($AC146=0,"Không được hoàn",IF($Q146=0,IF(OR($O146&gt;0,$M146&lt;$L146),"Đã đạt cap","Không được hoàn"),IF(OR($Q146&lt;$O146,$M146&lt;$L146),"Hoàn một phần","Được hoàn")))))</f>
        <v/>
      </c>
      <c r="AC146" s="43">
        <f>IF(OR($B146="",$D146="",$I146="",$L146=""),0,IF($U146="Cancelled",0,IF($W146&lt;&gt;"",IFERROR(IF(INDEX(CASHBACK_RULES!$B$5:$B$304,MATCH($W146,CASHBACK_RULES!$A$5:$A$304,0))=$D146,MATCH($W146,CASHBACK_RULES!$A$5:$A$304,0),0),0),IFERROR(MATCH(1,INDEX((CASHBACK_RULES!$B$5:$B$304=$D146)*(CASHBACK_RULES!$G$5:$G$304=$I146)*(((CASHBACK_RULES!$N$5:$N$304="")+(CASHBACK_RULES!$N$5:$N$304&lt;=$B146))&gt;0)*(((CASHBACK_RULES!$O$5:$O$304="")+(CASHBACK_RULES!$O$5:$O$304&gt;=$B146))&gt;0)*(((CASHBACK_RULES!$M$5:$M$304="")+(CASHBACK_RULES!$M$5:$M$304&lt;=$L146))&gt;0),0),0),0))))</f>
        <v>0</v>
      </c>
      <c r="AD146" s="51" t="str">
        <f>IF(OR($B146="",$D146=""),"",IFERROR(IF(INDEX(CARDS!$H$5:$H$34,MATCH($D146,CARDS!$A$5:$A$34,0))="","",IF(DAY($B146)&lt;=INDEX(CARDS!$H$5:$H$34,MATCH($D146,CARDS!$A$5:$A$34,0)),DATE(YEAR($B146),MONTH($B146),MIN(INDEX(CARDS!$H$5:$H$34,MATCH($D146,CARDS!$A$5:$A$34,0)),DAY(EOMONTH($B146,0)))),DATE(YEAR($B146),MONTH($B146)+1,MIN(INDEX(CARDS!$H$5:$H$34,MATCH($D146,CARDS!$A$5:$A$34,0)),DAY(EOMONTH($B146,1)))))),""))</f>
        <v/>
      </c>
      <c r="AE146" s="52" t="str">
        <f>IF($C146="","",$C146&amp;"|"&amp;COUNTIF($C$5:$C146,$C146))</f>
        <v/>
      </c>
      <c r="AF146" s="53">
        <f>IF($AC146&gt;0,SUMIFS(Q$4:Q145,$D$4:$D145,$D146,$Z$4:$Z145,$Z146,$C$4:$C145,$C146),0)</f>
        <v>0</v>
      </c>
      <c r="AG146" s="53">
        <f>IF($AC146&gt;0,SUMIFS(Q$4:Q145,$D$4:$D145,$D146,$C$4:$C145,$C146),0)</f>
        <v>0</v>
      </c>
      <c r="AH146" s="53">
        <f>IF($AC146&gt;0,SUMIFS(M$4:M145,$D$4:$D145,$D146,$Z$4:$Z145,$Z146,$C$4:$C145,$C146),0)</f>
        <v>0</v>
      </c>
      <c r="AI146" s="43">
        <f>IF(OR($C146="",$I146=""),0,IF(COUNTIFS($C$5:$C146,$C146,$I$5:$I146,$I146)=1,1,0))</f>
        <v>0</v>
      </c>
      <c r="AJ146" s="43" t="str">
        <f>IF($AI146=1,SUMIFS($AI$4:$AI145,$C$4:$C145,$C146)+1,"")</f>
        <v/>
      </c>
      <c r="AK146" s="43">
        <f>IF(OR($C146="",$K146=""),0,IF(COUNTIFS($C$5:$C146,$C146,$K$5:$K146,$K146)=1,1,0))</f>
        <v>0</v>
      </c>
      <c r="AL146" s="43" t="str">
        <f>IF($AK146=1,SUMIFS($AK$4:$AK145,$C$4:$C145,$C146)+1,"")</f>
        <v/>
      </c>
      <c r="AM146" s="43">
        <f>IF(OR($C146="",$G146=""),0,IF(COUNTIFS($C$5:$C146,$C146,$G$5:$G146,$G146)=1,1,0))</f>
        <v>0</v>
      </c>
      <c r="AN146" s="43" t="str">
        <f>IF($AM146=1,SUMIFS($AM$4:$AM145,$C$4:$C145,$C146)+1,"")</f>
        <v/>
      </c>
    </row>
    <row r="147">
      <c r="A147" s="44" t="str">
        <f>IF(OR($B147="",$D147=""),"","TX"&amp;TEXT(ROW()-4,"0000"))</f>
        <v/>
      </c>
      <c r="B147" s="42" t="n"/>
      <c r="C147" s="47" t="str">
        <f>IF($B147="","",YEAR($B147)*100+MONTH($B147))</f>
        <v/>
      </c>
      <c r="D147" s="37" t="n"/>
      <c r="E147" s="45" t="str">
        <f>IF($D147="","",IFERROR(INDEX(CARDS!$B$5:$B$34,MATCH($D147,CARDS!$A$5:$A$34,0)),"⚠ Card ID?"))</f>
        <v/>
      </c>
      <c r="F147" s="45" t="str">
        <f>IF($D147="","",IFERROR(INDEX(CARDS!$C$5:$C$34,MATCH($D147,CARDS!$A$5:$A$34,0)),"⚠ Card ID?"))</f>
        <v/>
      </c>
      <c r="G147" s="37" t="n"/>
      <c r="H147" s="37" t="n"/>
      <c r="I147" s="41" t="n"/>
      <c r="J147" s="45" t="str">
        <f>IF($I147="","",IFERROR(INDEX(MCC_MASTER!$B$5:$B$504,MATCH($I147,MCC_MASTER!$A$5:$A$504,0)),"⚠ MCC chưa có"))</f>
        <v/>
      </c>
      <c r="K147" s="45" t="str">
        <f>IF($I147="","",IFERROR(IF(INDEX(MCC_MASTER!$C$5:$C$504,MATCH($I147,MCC_MASTER!$A$5:$A$504,0))="","Chưa phân loại",INDEX(MCC_MASTER!$C$5:$C$504,MATCH($I147,MCC_MASTER!$A$5:$A$504,0))),"Chưa phân loại"))</f>
        <v/>
      </c>
      <c r="L147" s="40" t="n"/>
      <c r="M147" s="48" t="str">
        <f>IF(OR($B147="",$D147=""),"",IF($AC147=0,0,IF(ISNUMBER(INDEX(CASHBACK_RULES!$L$5:$L$304,$AC147)),MAX(0,MIN($L147,INDEX(CASHBACK_RULES!$L$5:$L$304,$AC147)-$AH147)),MAX(0,$L147))))</f>
        <v/>
      </c>
      <c r="N147" s="49" t="str">
        <f>IF(OR($B147="",$D147=""),"",IF($AC147&gt;0,INDEX(CASHBACK_RULES!$I$5:$I$304,$AC147),0))</f>
        <v/>
      </c>
      <c r="O147" s="48" t="str">
        <f>IF(OR($B147="",$D147=""),"",ROUND($M147*$N147,0))</f>
        <v/>
      </c>
      <c r="P147" s="48" t="str">
        <f>IF($AC147&gt;0,IF(ISNUMBER(INDEX(CASHBACK_RULES!$J$5:$J$304,$AC147)),INDEX(CASHBACK_RULES!$J$5:$J$304,$AC147),"∞"),"")</f>
        <v/>
      </c>
      <c r="Q147" s="48" t="str">
        <f>IF(OR($B147="",$D147=""),"",IF($AC147=0,0,MAX(0,MIN($O147,IF(ISNUMBER($P147),$P147-$AF147,1E+15),IF(ISNUMBER($AA147),$AA147-$AG147,1E+15)))))</f>
        <v/>
      </c>
      <c r="R147" s="48" t="str">
        <f>IF(OR($B147="",$D147=""),"",IF($AC147=0,"",IF(AND(NOT(ISNUMBER($P147)),NOT(ISNUMBER($AA147))),"∞",MAX(0,MIN(IF(ISNUMBER($P147),$P147-$AF147-$Q147,1E+15),IF(ISNUMBER($AA147),$AA147-$AG147-$Q147,1E+15))))))</f>
        <v/>
      </c>
      <c r="S147" s="47" t="str">
        <f>IF($AD147="","",YEAR($AD147)*100+MONTH($AD147))</f>
        <v/>
      </c>
      <c r="T147" s="50" t="str">
        <f>IF($AD147="","",IFERROR(IF(INDEX(CARDS!$I$5:$I$34,MATCH($D147,CARDS!$A$5:$A$34,0))="","",IF(INDEX(CARDS!$I$5:$I$34,MATCH($D147,CARDS!$A$5:$A$34,0))&gt;INDEX(CARDS!$H$5:$H$34,MATCH($D147,CARDS!$A$5:$A$34,0)),DATE(YEAR($AD147),MONTH($AD147),MIN(INDEX(CARDS!$I$5:$I$34,MATCH($D147,CARDS!$A$5:$A$34,0)),DAY(EOMONTH($AD147,0)))),DATE(YEAR($AD147),MONTH($AD147)+1,MIN(INDEX(CARDS!$I$5:$I$34,MATCH($D147,CARDS!$A$5:$A$34,0)),DAY(EOMONTH($AD147,1)))))),""))</f>
        <v/>
      </c>
      <c r="U147" s="38" t="n"/>
      <c r="V147" s="37" t="n"/>
      <c r="W147" s="38" t="n"/>
      <c r="X147" s="38" t="n"/>
      <c r="Y147" s="44" t="str">
        <f>IF($AC147&gt;0,INDEX(CASHBACK_RULES!$A$5:$A$304,$AC147),"")</f>
        <v/>
      </c>
      <c r="Z147" s="45" t="str">
        <f>IF($AC147&gt;0,INDEX(CASHBACK_RULES!$E$5:$E$304,$AC147)&amp;"","")</f>
        <v/>
      </c>
      <c r="AA147" s="48" t="str">
        <f>IF($AC147&gt;0,IF(ISNUMBER(INDEX(CASHBACK_RULES!$K$5:$K$304,$AC147)),INDEX(CASHBACK_RULES!$K$5:$K$304,$AC147),"∞"),"")</f>
        <v/>
      </c>
      <c r="AB147" s="44" t="str">
        <f>IF(OR($B147="",$D147=""),"",IF($U147="Cancelled","Đã hủy",IF($AC147=0,"Không được hoàn",IF($Q147=0,IF(OR($O147&gt;0,$M147&lt;$L147),"Đã đạt cap","Không được hoàn"),IF(OR($Q147&lt;$O147,$M147&lt;$L147),"Hoàn một phần","Được hoàn")))))</f>
        <v/>
      </c>
      <c r="AC147" s="43">
        <f>IF(OR($B147="",$D147="",$I147="",$L147=""),0,IF($U147="Cancelled",0,IF($W147&lt;&gt;"",IFERROR(IF(INDEX(CASHBACK_RULES!$B$5:$B$304,MATCH($W147,CASHBACK_RULES!$A$5:$A$304,0))=$D147,MATCH($W147,CASHBACK_RULES!$A$5:$A$304,0),0),0),IFERROR(MATCH(1,INDEX((CASHBACK_RULES!$B$5:$B$304=$D147)*(CASHBACK_RULES!$G$5:$G$304=$I147)*(((CASHBACK_RULES!$N$5:$N$304="")+(CASHBACK_RULES!$N$5:$N$304&lt;=$B147))&gt;0)*(((CASHBACK_RULES!$O$5:$O$304="")+(CASHBACK_RULES!$O$5:$O$304&gt;=$B147))&gt;0)*(((CASHBACK_RULES!$M$5:$M$304="")+(CASHBACK_RULES!$M$5:$M$304&lt;=$L147))&gt;0),0),0),0))))</f>
        <v>0</v>
      </c>
      <c r="AD147" s="51" t="str">
        <f>IF(OR($B147="",$D147=""),"",IFERROR(IF(INDEX(CARDS!$H$5:$H$34,MATCH($D147,CARDS!$A$5:$A$34,0))="","",IF(DAY($B147)&lt;=INDEX(CARDS!$H$5:$H$34,MATCH($D147,CARDS!$A$5:$A$34,0)),DATE(YEAR($B147),MONTH($B147),MIN(INDEX(CARDS!$H$5:$H$34,MATCH($D147,CARDS!$A$5:$A$34,0)),DAY(EOMONTH($B147,0)))),DATE(YEAR($B147),MONTH($B147)+1,MIN(INDEX(CARDS!$H$5:$H$34,MATCH($D147,CARDS!$A$5:$A$34,0)),DAY(EOMONTH($B147,1)))))),""))</f>
        <v/>
      </c>
      <c r="AE147" s="52" t="str">
        <f>IF($C147="","",$C147&amp;"|"&amp;COUNTIF($C$5:$C147,$C147))</f>
        <v/>
      </c>
      <c r="AF147" s="53">
        <f>IF($AC147&gt;0,SUMIFS(Q$4:Q146,$D$4:$D146,$D147,$Z$4:$Z146,$Z147,$C$4:$C146,$C147),0)</f>
        <v>0</v>
      </c>
      <c r="AG147" s="53">
        <f>IF($AC147&gt;0,SUMIFS(Q$4:Q146,$D$4:$D146,$D147,$C$4:$C146,$C147),0)</f>
        <v>0</v>
      </c>
      <c r="AH147" s="53">
        <f>IF($AC147&gt;0,SUMIFS(M$4:M146,$D$4:$D146,$D147,$Z$4:$Z146,$Z147,$C$4:$C146,$C147),0)</f>
        <v>0</v>
      </c>
      <c r="AI147" s="43">
        <f>IF(OR($C147="",$I147=""),0,IF(COUNTIFS($C$5:$C147,$C147,$I$5:$I147,$I147)=1,1,0))</f>
        <v>0</v>
      </c>
      <c r="AJ147" s="43" t="str">
        <f>IF($AI147=1,SUMIFS($AI$4:$AI146,$C$4:$C146,$C147)+1,"")</f>
        <v/>
      </c>
      <c r="AK147" s="43">
        <f>IF(OR($C147="",$K147=""),0,IF(COUNTIFS($C$5:$C147,$C147,$K$5:$K147,$K147)=1,1,0))</f>
        <v>0</v>
      </c>
      <c r="AL147" s="43" t="str">
        <f>IF($AK147=1,SUMIFS($AK$4:$AK146,$C$4:$C146,$C147)+1,"")</f>
        <v/>
      </c>
      <c r="AM147" s="43">
        <f>IF(OR($C147="",$G147=""),0,IF(COUNTIFS($C$5:$C147,$C147,$G$5:$G147,$G147)=1,1,0))</f>
        <v>0</v>
      </c>
      <c r="AN147" s="43" t="str">
        <f>IF($AM147=1,SUMIFS($AM$4:$AM146,$C$4:$C146,$C147)+1,"")</f>
        <v/>
      </c>
    </row>
    <row r="148">
      <c r="A148" s="44" t="str">
        <f>IF(OR($B148="",$D148=""),"","TX"&amp;TEXT(ROW()-4,"0000"))</f>
        <v/>
      </c>
      <c r="B148" s="42" t="n"/>
      <c r="C148" s="47" t="str">
        <f>IF($B148="","",YEAR($B148)*100+MONTH($B148))</f>
        <v/>
      </c>
      <c r="D148" s="37" t="n"/>
      <c r="E148" s="45" t="str">
        <f>IF($D148="","",IFERROR(INDEX(CARDS!$B$5:$B$34,MATCH($D148,CARDS!$A$5:$A$34,0)),"⚠ Card ID?"))</f>
        <v/>
      </c>
      <c r="F148" s="45" t="str">
        <f>IF($D148="","",IFERROR(INDEX(CARDS!$C$5:$C$34,MATCH($D148,CARDS!$A$5:$A$34,0)),"⚠ Card ID?"))</f>
        <v/>
      </c>
      <c r="G148" s="37" t="n"/>
      <c r="H148" s="37" t="n"/>
      <c r="I148" s="41" t="n"/>
      <c r="J148" s="45" t="str">
        <f>IF($I148="","",IFERROR(INDEX(MCC_MASTER!$B$5:$B$504,MATCH($I148,MCC_MASTER!$A$5:$A$504,0)),"⚠ MCC chưa có"))</f>
        <v/>
      </c>
      <c r="K148" s="45" t="str">
        <f>IF($I148="","",IFERROR(IF(INDEX(MCC_MASTER!$C$5:$C$504,MATCH($I148,MCC_MASTER!$A$5:$A$504,0))="","Chưa phân loại",INDEX(MCC_MASTER!$C$5:$C$504,MATCH($I148,MCC_MASTER!$A$5:$A$504,0))),"Chưa phân loại"))</f>
        <v/>
      </c>
      <c r="L148" s="40" t="n"/>
      <c r="M148" s="48" t="str">
        <f>IF(OR($B148="",$D148=""),"",IF($AC148=0,0,IF(ISNUMBER(INDEX(CASHBACK_RULES!$L$5:$L$304,$AC148)),MAX(0,MIN($L148,INDEX(CASHBACK_RULES!$L$5:$L$304,$AC148)-$AH148)),MAX(0,$L148))))</f>
        <v/>
      </c>
      <c r="N148" s="49" t="str">
        <f>IF(OR($B148="",$D148=""),"",IF($AC148&gt;0,INDEX(CASHBACK_RULES!$I$5:$I$304,$AC148),0))</f>
        <v/>
      </c>
      <c r="O148" s="48" t="str">
        <f>IF(OR($B148="",$D148=""),"",ROUND($M148*$N148,0))</f>
        <v/>
      </c>
      <c r="P148" s="48" t="str">
        <f>IF($AC148&gt;0,IF(ISNUMBER(INDEX(CASHBACK_RULES!$J$5:$J$304,$AC148)),INDEX(CASHBACK_RULES!$J$5:$J$304,$AC148),"∞"),"")</f>
        <v/>
      </c>
      <c r="Q148" s="48" t="str">
        <f>IF(OR($B148="",$D148=""),"",IF($AC148=0,0,MAX(0,MIN($O148,IF(ISNUMBER($P148),$P148-$AF148,1E+15),IF(ISNUMBER($AA148),$AA148-$AG148,1E+15)))))</f>
        <v/>
      </c>
      <c r="R148" s="48" t="str">
        <f>IF(OR($B148="",$D148=""),"",IF($AC148=0,"",IF(AND(NOT(ISNUMBER($P148)),NOT(ISNUMBER($AA148))),"∞",MAX(0,MIN(IF(ISNUMBER($P148),$P148-$AF148-$Q148,1E+15),IF(ISNUMBER($AA148),$AA148-$AG148-$Q148,1E+15))))))</f>
        <v/>
      </c>
      <c r="S148" s="47" t="str">
        <f>IF($AD148="","",YEAR($AD148)*100+MONTH($AD148))</f>
        <v/>
      </c>
      <c r="T148" s="50" t="str">
        <f>IF($AD148="","",IFERROR(IF(INDEX(CARDS!$I$5:$I$34,MATCH($D148,CARDS!$A$5:$A$34,0))="","",IF(INDEX(CARDS!$I$5:$I$34,MATCH($D148,CARDS!$A$5:$A$34,0))&gt;INDEX(CARDS!$H$5:$H$34,MATCH($D148,CARDS!$A$5:$A$34,0)),DATE(YEAR($AD148),MONTH($AD148),MIN(INDEX(CARDS!$I$5:$I$34,MATCH($D148,CARDS!$A$5:$A$34,0)),DAY(EOMONTH($AD148,0)))),DATE(YEAR($AD148),MONTH($AD148)+1,MIN(INDEX(CARDS!$I$5:$I$34,MATCH($D148,CARDS!$A$5:$A$34,0)),DAY(EOMONTH($AD148,1)))))),""))</f>
        <v/>
      </c>
      <c r="U148" s="38" t="n"/>
      <c r="V148" s="37" t="n"/>
      <c r="W148" s="38" t="n"/>
      <c r="X148" s="38" t="n"/>
      <c r="Y148" s="44" t="str">
        <f>IF($AC148&gt;0,INDEX(CASHBACK_RULES!$A$5:$A$304,$AC148),"")</f>
        <v/>
      </c>
      <c r="Z148" s="45" t="str">
        <f>IF($AC148&gt;0,INDEX(CASHBACK_RULES!$E$5:$E$304,$AC148)&amp;"","")</f>
        <v/>
      </c>
      <c r="AA148" s="48" t="str">
        <f>IF($AC148&gt;0,IF(ISNUMBER(INDEX(CASHBACK_RULES!$K$5:$K$304,$AC148)),INDEX(CASHBACK_RULES!$K$5:$K$304,$AC148),"∞"),"")</f>
        <v/>
      </c>
      <c r="AB148" s="44" t="str">
        <f>IF(OR($B148="",$D148=""),"",IF($U148="Cancelled","Đã hủy",IF($AC148=0,"Không được hoàn",IF($Q148=0,IF(OR($O148&gt;0,$M148&lt;$L148),"Đã đạt cap","Không được hoàn"),IF(OR($Q148&lt;$O148,$M148&lt;$L148),"Hoàn một phần","Được hoàn")))))</f>
        <v/>
      </c>
      <c r="AC148" s="43">
        <f>IF(OR($B148="",$D148="",$I148="",$L148=""),0,IF($U148="Cancelled",0,IF($W148&lt;&gt;"",IFERROR(IF(INDEX(CASHBACK_RULES!$B$5:$B$304,MATCH($W148,CASHBACK_RULES!$A$5:$A$304,0))=$D148,MATCH($W148,CASHBACK_RULES!$A$5:$A$304,0),0),0),IFERROR(MATCH(1,INDEX((CASHBACK_RULES!$B$5:$B$304=$D148)*(CASHBACK_RULES!$G$5:$G$304=$I148)*(((CASHBACK_RULES!$N$5:$N$304="")+(CASHBACK_RULES!$N$5:$N$304&lt;=$B148))&gt;0)*(((CASHBACK_RULES!$O$5:$O$304="")+(CASHBACK_RULES!$O$5:$O$304&gt;=$B148))&gt;0)*(((CASHBACK_RULES!$M$5:$M$304="")+(CASHBACK_RULES!$M$5:$M$304&lt;=$L148))&gt;0),0),0),0))))</f>
        <v>0</v>
      </c>
      <c r="AD148" s="51" t="str">
        <f>IF(OR($B148="",$D148=""),"",IFERROR(IF(INDEX(CARDS!$H$5:$H$34,MATCH($D148,CARDS!$A$5:$A$34,0))="","",IF(DAY($B148)&lt;=INDEX(CARDS!$H$5:$H$34,MATCH($D148,CARDS!$A$5:$A$34,0)),DATE(YEAR($B148),MONTH($B148),MIN(INDEX(CARDS!$H$5:$H$34,MATCH($D148,CARDS!$A$5:$A$34,0)),DAY(EOMONTH($B148,0)))),DATE(YEAR($B148),MONTH($B148)+1,MIN(INDEX(CARDS!$H$5:$H$34,MATCH($D148,CARDS!$A$5:$A$34,0)),DAY(EOMONTH($B148,1)))))),""))</f>
        <v/>
      </c>
      <c r="AE148" s="52" t="str">
        <f>IF($C148="","",$C148&amp;"|"&amp;COUNTIF($C$5:$C148,$C148))</f>
        <v/>
      </c>
      <c r="AF148" s="53">
        <f>IF($AC148&gt;0,SUMIFS(Q$4:Q147,$D$4:$D147,$D148,$Z$4:$Z147,$Z148,$C$4:$C147,$C148),0)</f>
        <v>0</v>
      </c>
      <c r="AG148" s="53">
        <f>IF($AC148&gt;0,SUMIFS(Q$4:Q147,$D$4:$D147,$D148,$C$4:$C147,$C148),0)</f>
        <v>0</v>
      </c>
      <c r="AH148" s="53">
        <f>IF($AC148&gt;0,SUMIFS(M$4:M147,$D$4:$D147,$D148,$Z$4:$Z147,$Z148,$C$4:$C147,$C148),0)</f>
        <v>0</v>
      </c>
      <c r="AI148" s="43">
        <f>IF(OR($C148="",$I148=""),0,IF(COUNTIFS($C$5:$C148,$C148,$I$5:$I148,$I148)=1,1,0))</f>
        <v>0</v>
      </c>
      <c r="AJ148" s="43" t="str">
        <f>IF($AI148=1,SUMIFS($AI$4:$AI147,$C$4:$C147,$C148)+1,"")</f>
        <v/>
      </c>
      <c r="AK148" s="43">
        <f>IF(OR($C148="",$K148=""),0,IF(COUNTIFS($C$5:$C148,$C148,$K$5:$K148,$K148)=1,1,0))</f>
        <v>0</v>
      </c>
      <c r="AL148" s="43" t="str">
        <f>IF($AK148=1,SUMIFS($AK$4:$AK147,$C$4:$C147,$C148)+1,"")</f>
        <v/>
      </c>
      <c r="AM148" s="43">
        <f>IF(OR($C148="",$G148=""),0,IF(COUNTIFS($C$5:$C148,$C148,$G$5:$G148,$G148)=1,1,0))</f>
        <v>0</v>
      </c>
      <c r="AN148" s="43" t="str">
        <f>IF($AM148=1,SUMIFS($AM$4:$AM147,$C$4:$C147,$C148)+1,"")</f>
        <v/>
      </c>
    </row>
    <row r="149">
      <c r="A149" s="44" t="str">
        <f>IF(OR($B149="",$D149=""),"","TX"&amp;TEXT(ROW()-4,"0000"))</f>
        <v/>
      </c>
      <c r="B149" s="42" t="n"/>
      <c r="C149" s="47" t="str">
        <f>IF($B149="","",YEAR($B149)*100+MONTH($B149))</f>
        <v/>
      </c>
      <c r="D149" s="37" t="n"/>
      <c r="E149" s="45" t="str">
        <f>IF($D149="","",IFERROR(INDEX(CARDS!$B$5:$B$34,MATCH($D149,CARDS!$A$5:$A$34,0)),"⚠ Card ID?"))</f>
        <v/>
      </c>
      <c r="F149" s="45" t="str">
        <f>IF($D149="","",IFERROR(INDEX(CARDS!$C$5:$C$34,MATCH($D149,CARDS!$A$5:$A$34,0)),"⚠ Card ID?"))</f>
        <v/>
      </c>
      <c r="G149" s="37" t="n"/>
      <c r="H149" s="37" t="n"/>
      <c r="I149" s="41" t="n"/>
      <c r="J149" s="45" t="str">
        <f>IF($I149="","",IFERROR(INDEX(MCC_MASTER!$B$5:$B$504,MATCH($I149,MCC_MASTER!$A$5:$A$504,0)),"⚠ MCC chưa có"))</f>
        <v/>
      </c>
      <c r="K149" s="45" t="str">
        <f>IF($I149="","",IFERROR(IF(INDEX(MCC_MASTER!$C$5:$C$504,MATCH($I149,MCC_MASTER!$A$5:$A$504,0))="","Chưa phân loại",INDEX(MCC_MASTER!$C$5:$C$504,MATCH($I149,MCC_MASTER!$A$5:$A$504,0))),"Chưa phân loại"))</f>
        <v/>
      </c>
      <c r="L149" s="40" t="n"/>
      <c r="M149" s="48" t="str">
        <f>IF(OR($B149="",$D149=""),"",IF($AC149=0,0,IF(ISNUMBER(INDEX(CASHBACK_RULES!$L$5:$L$304,$AC149)),MAX(0,MIN($L149,INDEX(CASHBACK_RULES!$L$5:$L$304,$AC149)-$AH149)),MAX(0,$L149))))</f>
        <v/>
      </c>
      <c r="N149" s="49" t="str">
        <f>IF(OR($B149="",$D149=""),"",IF($AC149&gt;0,INDEX(CASHBACK_RULES!$I$5:$I$304,$AC149),0))</f>
        <v/>
      </c>
      <c r="O149" s="48" t="str">
        <f>IF(OR($B149="",$D149=""),"",ROUND($M149*$N149,0))</f>
        <v/>
      </c>
      <c r="P149" s="48" t="str">
        <f>IF($AC149&gt;0,IF(ISNUMBER(INDEX(CASHBACK_RULES!$J$5:$J$304,$AC149)),INDEX(CASHBACK_RULES!$J$5:$J$304,$AC149),"∞"),"")</f>
        <v/>
      </c>
      <c r="Q149" s="48" t="str">
        <f>IF(OR($B149="",$D149=""),"",IF($AC149=0,0,MAX(0,MIN($O149,IF(ISNUMBER($P149),$P149-$AF149,1E+15),IF(ISNUMBER($AA149),$AA149-$AG149,1E+15)))))</f>
        <v/>
      </c>
      <c r="R149" s="48" t="str">
        <f>IF(OR($B149="",$D149=""),"",IF($AC149=0,"",IF(AND(NOT(ISNUMBER($P149)),NOT(ISNUMBER($AA149))),"∞",MAX(0,MIN(IF(ISNUMBER($P149),$P149-$AF149-$Q149,1E+15),IF(ISNUMBER($AA149),$AA149-$AG149-$Q149,1E+15))))))</f>
        <v/>
      </c>
      <c r="S149" s="47" t="str">
        <f>IF($AD149="","",YEAR($AD149)*100+MONTH($AD149))</f>
        <v/>
      </c>
      <c r="T149" s="50" t="str">
        <f>IF($AD149="","",IFERROR(IF(INDEX(CARDS!$I$5:$I$34,MATCH($D149,CARDS!$A$5:$A$34,0))="","",IF(INDEX(CARDS!$I$5:$I$34,MATCH($D149,CARDS!$A$5:$A$34,0))&gt;INDEX(CARDS!$H$5:$H$34,MATCH($D149,CARDS!$A$5:$A$34,0)),DATE(YEAR($AD149),MONTH($AD149),MIN(INDEX(CARDS!$I$5:$I$34,MATCH($D149,CARDS!$A$5:$A$34,0)),DAY(EOMONTH($AD149,0)))),DATE(YEAR($AD149),MONTH($AD149)+1,MIN(INDEX(CARDS!$I$5:$I$34,MATCH($D149,CARDS!$A$5:$A$34,0)),DAY(EOMONTH($AD149,1)))))),""))</f>
        <v/>
      </c>
      <c r="U149" s="38" t="n"/>
      <c r="V149" s="37" t="n"/>
      <c r="W149" s="38" t="n"/>
      <c r="X149" s="38" t="n"/>
      <c r="Y149" s="44" t="str">
        <f>IF($AC149&gt;0,INDEX(CASHBACK_RULES!$A$5:$A$304,$AC149),"")</f>
        <v/>
      </c>
      <c r="Z149" s="45" t="str">
        <f>IF($AC149&gt;0,INDEX(CASHBACK_RULES!$E$5:$E$304,$AC149)&amp;"","")</f>
        <v/>
      </c>
      <c r="AA149" s="48" t="str">
        <f>IF($AC149&gt;0,IF(ISNUMBER(INDEX(CASHBACK_RULES!$K$5:$K$304,$AC149)),INDEX(CASHBACK_RULES!$K$5:$K$304,$AC149),"∞"),"")</f>
        <v/>
      </c>
      <c r="AB149" s="44" t="str">
        <f>IF(OR($B149="",$D149=""),"",IF($U149="Cancelled","Đã hủy",IF($AC149=0,"Không được hoàn",IF($Q149=0,IF(OR($O149&gt;0,$M149&lt;$L149),"Đã đạt cap","Không được hoàn"),IF(OR($Q149&lt;$O149,$M149&lt;$L149),"Hoàn một phần","Được hoàn")))))</f>
        <v/>
      </c>
      <c r="AC149" s="43">
        <f>IF(OR($B149="",$D149="",$I149="",$L149=""),0,IF($U149="Cancelled",0,IF($W149&lt;&gt;"",IFERROR(IF(INDEX(CASHBACK_RULES!$B$5:$B$304,MATCH($W149,CASHBACK_RULES!$A$5:$A$304,0))=$D149,MATCH($W149,CASHBACK_RULES!$A$5:$A$304,0),0),0),IFERROR(MATCH(1,INDEX((CASHBACK_RULES!$B$5:$B$304=$D149)*(CASHBACK_RULES!$G$5:$G$304=$I149)*(((CASHBACK_RULES!$N$5:$N$304="")+(CASHBACK_RULES!$N$5:$N$304&lt;=$B149))&gt;0)*(((CASHBACK_RULES!$O$5:$O$304="")+(CASHBACK_RULES!$O$5:$O$304&gt;=$B149))&gt;0)*(((CASHBACK_RULES!$M$5:$M$304="")+(CASHBACK_RULES!$M$5:$M$304&lt;=$L149))&gt;0),0),0),0))))</f>
        <v>0</v>
      </c>
      <c r="AD149" s="51" t="str">
        <f>IF(OR($B149="",$D149=""),"",IFERROR(IF(INDEX(CARDS!$H$5:$H$34,MATCH($D149,CARDS!$A$5:$A$34,0))="","",IF(DAY($B149)&lt;=INDEX(CARDS!$H$5:$H$34,MATCH($D149,CARDS!$A$5:$A$34,0)),DATE(YEAR($B149),MONTH($B149),MIN(INDEX(CARDS!$H$5:$H$34,MATCH($D149,CARDS!$A$5:$A$34,0)),DAY(EOMONTH($B149,0)))),DATE(YEAR($B149),MONTH($B149)+1,MIN(INDEX(CARDS!$H$5:$H$34,MATCH($D149,CARDS!$A$5:$A$34,0)),DAY(EOMONTH($B149,1)))))),""))</f>
        <v/>
      </c>
      <c r="AE149" s="52" t="str">
        <f>IF($C149="","",$C149&amp;"|"&amp;COUNTIF($C$5:$C149,$C149))</f>
        <v/>
      </c>
      <c r="AF149" s="53">
        <f>IF($AC149&gt;0,SUMIFS(Q$4:Q148,$D$4:$D148,$D149,$Z$4:$Z148,$Z149,$C$4:$C148,$C149),0)</f>
        <v>0</v>
      </c>
      <c r="AG149" s="53">
        <f>IF($AC149&gt;0,SUMIFS(Q$4:Q148,$D$4:$D148,$D149,$C$4:$C148,$C149),0)</f>
        <v>0</v>
      </c>
      <c r="AH149" s="53">
        <f>IF($AC149&gt;0,SUMIFS(M$4:M148,$D$4:$D148,$D149,$Z$4:$Z148,$Z149,$C$4:$C148,$C149),0)</f>
        <v>0</v>
      </c>
      <c r="AI149" s="43">
        <f>IF(OR($C149="",$I149=""),0,IF(COUNTIFS($C$5:$C149,$C149,$I$5:$I149,$I149)=1,1,0))</f>
        <v>0</v>
      </c>
      <c r="AJ149" s="43" t="str">
        <f>IF($AI149=1,SUMIFS($AI$4:$AI148,$C$4:$C148,$C149)+1,"")</f>
        <v/>
      </c>
      <c r="AK149" s="43">
        <f>IF(OR($C149="",$K149=""),0,IF(COUNTIFS($C$5:$C149,$C149,$K$5:$K149,$K149)=1,1,0))</f>
        <v>0</v>
      </c>
      <c r="AL149" s="43" t="str">
        <f>IF($AK149=1,SUMIFS($AK$4:$AK148,$C$4:$C148,$C149)+1,"")</f>
        <v/>
      </c>
      <c r="AM149" s="43">
        <f>IF(OR($C149="",$G149=""),0,IF(COUNTIFS($C$5:$C149,$C149,$G$5:$G149,$G149)=1,1,0))</f>
        <v>0</v>
      </c>
      <c r="AN149" s="43" t="str">
        <f>IF($AM149=1,SUMIFS($AM$4:$AM148,$C$4:$C148,$C149)+1,"")</f>
        <v/>
      </c>
    </row>
    <row r="150">
      <c r="A150" s="44" t="str">
        <f>IF(OR($B150="",$D150=""),"","TX"&amp;TEXT(ROW()-4,"0000"))</f>
        <v/>
      </c>
      <c r="B150" s="42" t="n"/>
      <c r="C150" s="47" t="str">
        <f>IF($B150="","",YEAR($B150)*100+MONTH($B150))</f>
        <v/>
      </c>
      <c r="D150" s="37" t="n"/>
      <c r="E150" s="45" t="str">
        <f>IF($D150="","",IFERROR(INDEX(CARDS!$B$5:$B$34,MATCH($D150,CARDS!$A$5:$A$34,0)),"⚠ Card ID?"))</f>
        <v/>
      </c>
      <c r="F150" s="45" t="str">
        <f>IF($D150="","",IFERROR(INDEX(CARDS!$C$5:$C$34,MATCH($D150,CARDS!$A$5:$A$34,0)),"⚠ Card ID?"))</f>
        <v/>
      </c>
      <c r="G150" s="37" t="n"/>
      <c r="H150" s="37" t="n"/>
      <c r="I150" s="41" t="n"/>
      <c r="J150" s="45" t="str">
        <f>IF($I150="","",IFERROR(INDEX(MCC_MASTER!$B$5:$B$504,MATCH($I150,MCC_MASTER!$A$5:$A$504,0)),"⚠ MCC chưa có"))</f>
        <v/>
      </c>
      <c r="K150" s="45" t="str">
        <f>IF($I150="","",IFERROR(IF(INDEX(MCC_MASTER!$C$5:$C$504,MATCH($I150,MCC_MASTER!$A$5:$A$504,0))="","Chưa phân loại",INDEX(MCC_MASTER!$C$5:$C$504,MATCH($I150,MCC_MASTER!$A$5:$A$504,0))),"Chưa phân loại"))</f>
        <v/>
      </c>
      <c r="L150" s="40" t="n"/>
      <c r="M150" s="48" t="str">
        <f>IF(OR($B150="",$D150=""),"",IF($AC150=0,0,IF(ISNUMBER(INDEX(CASHBACK_RULES!$L$5:$L$304,$AC150)),MAX(0,MIN($L150,INDEX(CASHBACK_RULES!$L$5:$L$304,$AC150)-$AH150)),MAX(0,$L150))))</f>
        <v/>
      </c>
      <c r="N150" s="49" t="str">
        <f>IF(OR($B150="",$D150=""),"",IF($AC150&gt;0,INDEX(CASHBACK_RULES!$I$5:$I$304,$AC150),0))</f>
        <v/>
      </c>
      <c r="O150" s="48" t="str">
        <f>IF(OR($B150="",$D150=""),"",ROUND($M150*$N150,0))</f>
        <v/>
      </c>
      <c r="P150" s="48" t="str">
        <f>IF($AC150&gt;0,IF(ISNUMBER(INDEX(CASHBACK_RULES!$J$5:$J$304,$AC150)),INDEX(CASHBACK_RULES!$J$5:$J$304,$AC150),"∞"),"")</f>
        <v/>
      </c>
      <c r="Q150" s="48" t="str">
        <f>IF(OR($B150="",$D150=""),"",IF($AC150=0,0,MAX(0,MIN($O150,IF(ISNUMBER($P150),$P150-$AF150,1E+15),IF(ISNUMBER($AA150),$AA150-$AG150,1E+15)))))</f>
        <v/>
      </c>
      <c r="R150" s="48" t="str">
        <f>IF(OR($B150="",$D150=""),"",IF($AC150=0,"",IF(AND(NOT(ISNUMBER($P150)),NOT(ISNUMBER($AA150))),"∞",MAX(0,MIN(IF(ISNUMBER($P150),$P150-$AF150-$Q150,1E+15),IF(ISNUMBER($AA150),$AA150-$AG150-$Q150,1E+15))))))</f>
        <v/>
      </c>
      <c r="S150" s="47" t="str">
        <f>IF($AD150="","",YEAR($AD150)*100+MONTH($AD150))</f>
        <v/>
      </c>
      <c r="T150" s="50" t="str">
        <f>IF($AD150="","",IFERROR(IF(INDEX(CARDS!$I$5:$I$34,MATCH($D150,CARDS!$A$5:$A$34,0))="","",IF(INDEX(CARDS!$I$5:$I$34,MATCH($D150,CARDS!$A$5:$A$34,0))&gt;INDEX(CARDS!$H$5:$H$34,MATCH($D150,CARDS!$A$5:$A$34,0)),DATE(YEAR($AD150),MONTH($AD150),MIN(INDEX(CARDS!$I$5:$I$34,MATCH($D150,CARDS!$A$5:$A$34,0)),DAY(EOMONTH($AD150,0)))),DATE(YEAR($AD150),MONTH($AD150)+1,MIN(INDEX(CARDS!$I$5:$I$34,MATCH($D150,CARDS!$A$5:$A$34,0)),DAY(EOMONTH($AD150,1)))))),""))</f>
        <v/>
      </c>
      <c r="U150" s="38" t="n"/>
      <c r="V150" s="37" t="n"/>
      <c r="W150" s="38" t="n"/>
      <c r="X150" s="38" t="n"/>
      <c r="Y150" s="44" t="str">
        <f>IF($AC150&gt;0,INDEX(CASHBACK_RULES!$A$5:$A$304,$AC150),"")</f>
        <v/>
      </c>
      <c r="Z150" s="45" t="str">
        <f>IF($AC150&gt;0,INDEX(CASHBACK_RULES!$E$5:$E$304,$AC150)&amp;"","")</f>
        <v/>
      </c>
      <c r="AA150" s="48" t="str">
        <f>IF($AC150&gt;0,IF(ISNUMBER(INDEX(CASHBACK_RULES!$K$5:$K$304,$AC150)),INDEX(CASHBACK_RULES!$K$5:$K$304,$AC150),"∞"),"")</f>
        <v/>
      </c>
      <c r="AB150" s="44" t="str">
        <f>IF(OR($B150="",$D150=""),"",IF($U150="Cancelled","Đã hủy",IF($AC150=0,"Không được hoàn",IF($Q150=0,IF(OR($O150&gt;0,$M150&lt;$L150),"Đã đạt cap","Không được hoàn"),IF(OR($Q150&lt;$O150,$M150&lt;$L150),"Hoàn một phần","Được hoàn")))))</f>
        <v/>
      </c>
      <c r="AC150" s="43">
        <f>IF(OR($B150="",$D150="",$I150="",$L150=""),0,IF($U150="Cancelled",0,IF($W150&lt;&gt;"",IFERROR(IF(INDEX(CASHBACK_RULES!$B$5:$B$304,MATCH($W150,CASHBACK_RULES!$A$5:$A$304,0))=$D150,MATCH($W150,CASHBACK_RULES!$A$5:$A$304,0),0),0),IFERROR(MATCH(1,INDEX((CASHBACK_RULES!$B$5:$B$304=$D150)*(CASHBACK_RULES!$G$5:$G$304=$I150)*(((CASHBACK_RULES!$N$5:$N$304="")+(CASHBACK_RULES!$N$5:$N$304&lt;=$B150))&gt;0)*(((CASHBACK_RULES!$O$5:$O$304="")+(CASHBACK_RULES!$O$5:$O$304&gt;=$B150))&gt;0)*(((CASHBACK_RULES!$M$5:$M$304="")+(CASHBACK_RULES!$M$5:$M$304&lt;=$L150))&gt;0),0),0),0))))</f>
        <v>0</v>
      </c>
      <c r="AD150" s="51" t="str">
        <f>IF(OR($B150="",$D150=""),"",IFERROR(IF(INDEX(CARDS!$H$5:$H$34,MATCH($D150,CARDS!$A$5:$A$34,0))="","",IF(DAY($B150)&lt;=INDEX(CARDS!$H$5:$H$34,MATCH($D150,CARDS!$A$5:$A$34,0)),DATE(YEAR($B150),MONTH($B150),MIN(INDEX(CARDS!$H$5:$H$34,MATCH($D150,CARDS!$A$5:$A$34,0)),DAY(EOMONTH($B150,0)))),DATE(YEAR($B150),MONTH($B150)+1,MIN(INDEX(CARDS!$H$5:$H$34,MATCH($D150,CARDS!$A$5:$A$34,0)),DAY(EOMONTH($B150,1)))))),""))</f>
        <v/>
      </c>
      <c r="AE150" s="52" t="str">
        <f>IF($C150="","",$C150&amp;"|"&amp;COUNTIF($C$5:$C150,$C150))</f>
        <v/>
      </c>
      <c r="AF150" s="53">
        <f>IF($AC150&gt;0,SUMIFS(Q$4:Q149,$D$4:$D149,$D150,$Z$4:$Z149,$Z150,$C$4:$C149,$C150),0)</f>
        <v>0</v>
      </c>
      <c r="AG150" s="53">
        <f>IF($AC150&gt;0,SUMIFS(Q$4:Q149,$D$4:$D149,$D150,$C$4:$C149,$C150),0)</f>
        <v>0</v>
      </c>
      <c r="AH150" s="53">
        <f>IF($AC150&gt;0,SUMIFS(M$4:M149,$D$4:$D149,$D150,$Z$4:$Z149,$Z150,$C$4:$C149,$C150),0)</f>
        <v>0</v>
      </c>
      <c r="AI150" s="43">
        <f>IF(OR($C150="",$I150=""),0,IF(COUNTIFS($C$5:$C150,$C150,$I$5:$I150,$I150)=1,1,0))</f>
        <v>0</v>
      </c>
      <c r="AJ150" s="43" t="str">
        <f>IF($AI150=1,SUMIFS($AI$4:$AI149,$C$4:$C149,$C150)+1,"")</f>
        <v/>
      </c>
      <c r="AK150" s="43">
        <f>IF(OR($C150="",$K150=""),0,IF(COUNTIFS($C$5:$C150,$C150,$K$5:$K150,$K150)=1,1,0))</f>
        <v>0</v>
      </c>
      <c r="AL150" s="43" t="str">
        <f>IF($AK150=1,SUMIFS($AK$4:$AK149,$C$4:$C149,$C150)+1,"")</f>
        <v/>
      </c>
      <c r="AM150" s="43">
        <f>IF(OR($C150="",$G150=""),0,IF(COUNTIFS($C$5:$C150,$C150,$G$5:$G150,$G150)=1,1,0))</f>
        <v>0</v>
      </c>
      <c r="AN150" s="43" t="str">
        <f>IF($AM150=1,SUMIFS($AM$4:$AM149,$C$4:$C149,$C150)+1,"")</f>
        <v/>
      </c>
    </row>
    <row r="151">
      <c r="A151" s="44" t="str">
        <f>IF(OR($B151="",$D151=""),"","TX"&amp;TEXT(ROW()-4,"0000"))</f>
        <v/>
      </c>
      <c r="B151" s="42" t="n"/>
      <c r="C151" s="47" t="str">
        <f>IF($B151="","",YEAR($B151)*100+MONTH($B151))</f>
        <v/>
      </c>
      <c r="D151" s="37" t="n"/>
      <c r="E151" s="45" t="str">
        <f>IF($D151="","",IFERROR(INDEX(CARDS!$B$5:$B$34,MATCH($D151,CARDS!$A$5:$A$34,0)),"⚠ Card ID?"))</f>
        <v/>
      </c>
      <c r="F151" s="45" t="str">
        <f>IF($D151="","",IFERROR(INDEX(CARDS!$C$5:$C$34,MATCH($D151,CARDS!$A$5:$A$34,0)),"⚠ Card ID?"))</f>
        <v/>
      </c>
      <c r="G151" s="37" t="n"/>
      <c r="H151" s="37" t="n"/>
      <c r="I151" s="41" t="n"/>
      <c r="J151" s="45" t="str">
        <f>IF($I151="","",IFERROR(INDEX(MCC_MASTER!$B$5:$B$504,MATCH($I151,MCC_MASTER!$A$5:$A$504,0)),"⚠ MCC chưa có"))</f>
        <v/>
      </c>
      <c r="K151" s="45" t="str">
        <f>IF($I151="","",IFERROR(IF(INDEX(MCC_MASTER!$C$5:$C$504,MATCH($I151,MCC_MASTER!$A$5:$A$504,0))="","Chưa phân loại",INDEX(MCC_MASTER!$C$5:$C$504,MATCH($I151,MCC_MASTER!$A$5:$A$504,0))),"Chưa phân loại"))</f>
        <v/>
      </c>
      <c r="L151" s="40" t="n"/>
      <c r="M151" s="48" t="str">
        <f>IF(OR($B151="",$D151=""),"",IF($AC151=0,0,IF(ISNUMBER(INDEX(CASHBACK_RULES!$L$5:$L$304,$AC151)),MAX(0,MIN($L151,INDEX(CASHBACK_RULES!$L$5:$L$304,$AC151)-$AH151)),MAX(0,$L151))))</f>
        <v/>
      </c>
      <c r="N151" s="49" t="str">
        <f>IF(OR($B151="",$D151=""),"",IF($AC151&gt;0,INDEX(CASHBACK_RULES!$I$5:$I$304,$AC151),0))</f>
        <v/>
      </c>
      <c r="O151" s="48" t="str">
        <f>IF(OR($B151="",$D151=""),"",ROUND($M151*$N151,0))</f>
        <v/>
      </c>
      <c r="P151" s="48" t="str">
        <f>IF($AC151&gt;0,IF(ISNUMBER(INDEX(CASHBACK_RULES!$J$5:$J$304,$AC151)),INDEX(CASHBACK_RULES!$J$5:$J$304,$AC151),"∞"),"")</f>
        <v/>
      </c>
      <c r="Q151" s="48" t="str">
        <f>IF(OR($B151="",$D151=""),"",IF($AC151=0,0,MAX(0,MIN($O151,IF(ISNUMBER($P151),$P151-$AF151,1E+15),IF(ISNUMBER($AA151),$AA151-$AG151,1E+15)))))</f>
        <v/>
      </c>
      <c r="R151" s="48" t="str">
        <f>IF(OR($B151="",$D151=""),"",IF($AC151=0,"",IF(AND(NOT(ISNUMBER($P151)),NOT(ISNUMBER($AA151))),"∞",MAX(0,MIN(IF(ISNUMBER($P151),$P151-$AF151-$Q151,1E+15),IF(ISNUMBER($AA151),$AA151-$AG151-$Q151,1E+15))))))</f>
        <v/>
      </c>
      <c r="S151" s="47" t="str">
        <f>IF($AD151="","",YEAR($AD151)*100+MONTH($AD151))</f>
        <v/>
      </c>
      <c r="T151" s="50" t="str">
        <f>IF($AD151="","",IFERROR(IF(INDEX(CARDS!$I$5:$I$34,MATCH($D151,CARDS!$A$5:$A$34,0))="","",IF(INDEX(CARDS!$I$5:$I$34,MATCH($D151,CARDS!$A$5:$A$34,0))&gt;INDEX(CARDS!$H$5:$H$34,MATCH($D151,CARDS!$A$5:$A$34,0)),DATE(YEAR($AD151),MONTH($AD151),MIN(INDEX(CARDS!$I$5:$I$34,MATCH($D151,CARDS!$A$5:$A$34,0)),DAY(EOMONTH($AD151,0)))),DATE(YEAR($AD151),MONTH($AD151)+1,MIN(INDEX(CARDS!$I$5:$I$34,MATCH($D151,CARDS!$A$5:$A$34,0)),DAY(EOMONTH($AD151,1)))))),""))</f>
        <v/>
      </c>
      <c r="U151" s="38" t="n"/>
      <c r="V151" s="37" t="n"/>
      <c r="W151" s="38" t="n"/>
      <c r="X151" s="38" t="n"/>
      <c r="Y151" s="44" t="str">
        <f>IF($AC151&gt;0,INDEX(CASHBACK_RULES!$A$5:$A$304,$AC151),"")</f>
        <v/>
      </c>
      <c r="Z151" s="45" t="str">
        <f>IF($AC151&gt;0,INDEX(CASHBACK_RULES!$E$5:$E$304,$AC151)&amp;"","")</f>
        <v/>
      </c>
      <c r="AA151" s="48" t="str">
        <f>IF($AC151&gt;0,IF(ISNUMBER(INDEX(CASHBACK_RULES!$K$5:$K$304,$AC151)),INDEX(CASHBACK_RULES!$K$5:$K$304,$AC151),"∞"),"")</f>
        <v/>
      </c>
      <c r="AB151" s="44" t="str">
        <f>IF(OR($B151="",$D151=""),"",IF($U151="Cancelled","Đã hủy",IF($AC151=0,"Không được hoàn",IF($Q151=0,IF(OR($O151&gt;0,$M151&lt;$L151),"Đã đạt cap","Không được hoàn"),IF(OR($Q151&lt;$O151,$M151&lt;$L151),"Hoàn một phần","Được hoàn")))))</f>
        <v/>
      </c>
      <c r="AC151" s="43">
        <f>IF(OR($B151="",$D151="",$I151="",$L151=""),0,IF($U151="Cancelled",0,IF($W151&lt;&gt;"",IFERROR(IF(INDEX(CASHBACK_RULES!$B$5:$B$304,MATCH($W151,CASHBACK_RULES!$A$5:$A$304,0))=$D151,MATCH($W151,CASHBACK_RULES!$A$5:$A$304,0),0),0),IFERROR(MATCH(1,INDEX((CASHBACK_RULES!$B$5:$B$304=$D151)*(CASHBACK_RULES!$G$5:$G$304=$I151)*(((CASHBACK_RULES!$N$5:$N$304="")+(CASHBACK_RULES!$N$5:$N$304&lt;=$B151))&gt;0)*(((CASHBACK_RULES!$O$5:$O$304="")+(CASHBACK_RULES!$O$5:$O$304&gt;=$B151))&gt;0)*(((CASHBACK_RULES!$M$5:$M$304="")+(CASHBACK_RULES!$M$5:$M$304&lt;=$L151))&gt;0),0),0),0))))</f>
        <v>0</v>
      </c>
      <c r="AD151" s="51" t="str">
        <f>IF(OR($B151="",$D151=""),"",IFERROR(IF(INDEX(CARDS!$H$5:$H$34,MATCH($D151,CARDS!$A$5:$A$34,0))="","",IF(DAY($B151)&lt;=INDEX(CARDS!$H$5:$H$34,MATCH($D151,CARDS!$A$5:$A$34,0)),DATE(YEAR($B151),MONTH($B151),MIN(INDEX(CARDS!$H$5:$H$34,MATCH($D151,CARDS!$A$5:$A$34,0)),DAY(EOMONTH($B151,0)))),DATE(YEAR($B151),MONTH($B151)+1,MIN(INDEX(CARDS!$H$5:$H$34,MATCH($D151,CARDS!$A$5:$A$34,0)),DAY(EOMONTH($B151,1)))))),""))</f>
        <v/>
      </c>
      <c r="AE151" s="52" t="str">
        <f>IF($C151="","",$C151&amp;"|"&amp;COUNTIF($C$5:$C151,$C151))</f>
        <v/>
      </c>
      <c r="AF151" s="53">
        <f>IF($AC151&gt;0,SUMIFS(Q$4:Q150,$D$4:$D150,$D151,$Z$4:$Z150,$Z151,$C$4:$C150,$C151),0)</f>
        <v>0</v>
      </c>
      <c r="AG151" s="53">
        <f>IF($AC151&gt;0,SUMIFS(Q$4:Q150,$D$4:$D150,$D151,$C$4:$C150,$C151),0)</f>
        <v>0</v>
      </c>
      <c r="AH151" s="53">
        <f>IF($AC151&gt;0,SUMIFS(M$4:M150,$D$4:$D150,$D151,$Z$4:$Z150,$Z151,$C$4:$C150,$C151),0)</f>
        <v>0</v>
      </c>
      <c r="AI151" s="43">
        <f>IF(OR($C151="",$I151=""),0,IF(COUNTIFS($C$5:$C151,$C151,$I$5:$I151,$I151)=1,1,0))</f>
        <v>0</v>
      </c>
      <c r="AJ151" s="43" t="str">
        <f>IF($AI151=1,SUMIFS($AI$4:$AI150,$C$4:$C150,$C151)+1,"")</f>
        <v/>
      </c>
      <c r="AK151" s="43">
        <f>IF(OR($C151="",$K151=""),0,IF(COUNTIFS($C$5:$C151,$C151,$K$5:$K151,$K151)=1,1,0))</f>
        <v>0</v>
      </c>
      <c r="AL151" s="43" t="str">
        <f>IF($AK151=1,SUMIFS($AK$4:$AK150,$C$4:$C150,$C151)+1,"")</f>
        <v/>
      </c>
      <c r="AM151" s="43">
        <f>IF(OR($C151="",$G151=""),0,IF(COUNTIFS($C$5:$C151,$C151,$G$5:$G151,$G151)=1,1,0))</f>
        <v>0</v>
      </c>
      <c r="AN151" s="43" t="str">
        <f>IF($AM151=1,SUMIFS($AM$4:$AM150,$C$4:$C150,$C151)+1,"")</f>
        <v/>
      </c>
    </row>
    <row r="152">
      <c r="A152" s="44" t="str">
        <f>IF(OR($B152="",$D152=""),"","TX"&amp;TEXT(ROW()-4,"0000"))</f>
        <v/>
      </c>
      <c r="B152" s="42" t="n"/>
      <c r="C152" s="47" t="str">
        <f>IF($B152="","",YEAR($B152)*100+MONTH($B152))</f>
        <v/>
      </c>
      <c r="D152" s="37" t="n"/>
      <c r="E152" s="45" t="str">
        <f>IF($D152="","",IFERROR(INDEX(CARDS!$B$5:$B$34,MATCH($D152,CARDS!$A$5:$A$34,0)),"⚠ Card ID?"))</f>
        <v/>
      </c>
      <c r="F152" s="45" t="str">
        <f>IF($D152="","",IFERROR(INDEX(CARDS!$C$5:$C$34,MATCH($D152,CARDS!$A$5:$A$34,0)),"⚠ Card ID?"))</f>
        <v/>
      </c>
      <c r="G152" s="37" t="n"/>
      <c r="H152" s="37" t="n"/>
      <c r="I152" s="41" t="n"/>
      <c r="J152" s="45" t="str">
        <f>IF($I152="","",IFERROR(INDEX(MCC_MASTER!$B$5:$B$504,MATCH($I152,MCC_MASTER!$A$5:$A$504,0)),"⚠ MCC chưa có"))</f>
        <v/>
      </c>
      <c r="K152" s="45" t="str">
        <f>IF($I152="","",IFERROR(IF(INDEX(MCC_MASTER!$C$5:$C$504,MATCH($I152,MCC_MASTER!$A$5:$A$504,0))="","Chưa phân loại",INDEX(MCC_MASTER!$C$5:$C$504,MATCH($I152,MCC_MASTER!$A$5:$A$504,0))),"Chưa phân loại"))</f>
        <v/>
      </c>
      <c r="L152" s="40" t="n"/>
      <c r="M152" s="48" t="str">
        <f>IF(OR($B152="",$D152=""),"",IF($AC152=0,0,IF(ISNUMBER(INDEX(CASHBACK_RULES!$L$5:$L$304,$AC152)),MAX(0,MIN($L152,INDEX(CASHBACK_RULES!$L$5:$L$304,$AC152)-$AH152)),MAX(0,$L152))))</f>
        <v/>
      </c>
      <c r="N152" s="49" t="str">
        <f>IF(OR($B152="",$D152=""),"",IF($AC152&gt;0,INDEX(CASHBACK_RULES!$I$5:$I$304,$AC152),0))</f>
        <v/>
      </c>
      <c r="O152" s="48" t="str">
        <f>IF(OR($B152="",$D152=""),"",ROUND($M152*$N152,0))</f>
        <v/>
      </c>
      <c r="P152" s="48" t="str">
        <f>IF($AC152&gt;0,IF(ISNUMBER(INDEX(CASHBACK_RULES!$J$5:$J$304,$AC152)),INDEX(CASHBACK_RULES!$J$5:$J$304,$AC152),"∞"),"")</f>
        <v/>
      </c>
      <c r="Q152" s="48" t="str">
        <f>IF(OR($B152="",$D152=""),"",IF($AC152=0,0,MAX(0,MIN($O152,IF(ISNUMBER($P152),$P152-$AF152,1E+15),IF(ISNUMBER($AA152),$AA152-$AG152,1E+15)))))</f>
        <v/>
      </c>
      <c r="R152" s="48" t="str">
        <f>IF(OR($B152="",$D152=""),"",IF($AC152=0,"",IF(AND(NOT(ISNUMBER($P152)),NOT(ISNUMBER($AA152))),"∞",MAX(0,MIN(IF(ISNUMBER($P152),$P152-$AF152-$Q152,1E+15),IF(ISNUMBER($AA152),$AA152-$AG152-$Q152,1E+15))))))</f>
        <v/>
      </c>
      <c r="S152" s="47" t="str">
        <f>IF($AD152="","",YEAR($AD152)*100+MONTH($AD152))</f>
        <v/>
      </c>
      <c r="T152" s="50" t="str">
        <f>IF($AD152="","",IFERROR(IF(INDEX(CARDS!$I$5:$I$34,MATCH($D152,CARDS!$A$5:$A$34,0))="","",IF(INDEX(CARDS!$I$5:$I$34,MATCH($D152,CARDS!$A$5:$A$34,0))&gt;INDEX(CARDS!$H$5:$H$34,MATCH($D152,CARDS!$A$5:$A$34,0)),DATE(YEAR($AD152),MONTH($AD152),MIN(INDEX(CARDS!$I$5:$I$34,MATCH($D152,CARDS!$A$5:$A$34,0)),DAY(EOMONTH($AD152,0)))),DATE(YEAR($AD152),MONTH($AD152)+1,MIN(INDEX(CARDS!$I$5:$I$34,MATCH($D152,CARDS!$A$5:$A$34,0)),DAY(EOMONTH($AD152,1)))))),""))</f>
        <v/>
      </c>
      <c r="U152" s="38" t="n"/>
      <c r="V152" s="37" t="n"/>
      <c r="W152" s="38" t="n"/>
      <c r="X152" s="38" t="n"/>
      <c r="Y152" s="44" t="str">
        <f>IF($AC152&gt;0,INDEX(CASHBACK_RULES!$A$5:$A$304,$AC152),"")</f>
        <v/>
      </c>
      <c r="Z152" s="45" t="str">
        <f>IF($AC152&gt;0,INDEX(CASHBACK_RULES!$E$5:$E$304,$AC152)&amp;"","")</f>
        <v/>
      </c>
      <c r="AA152" s="48" t="str">
        <f>IF($AC152&gt;0,IF(ISNUMBER(INDEX(CASHBACK_RULES!$K$5:$K$304,$AC152)),INDEX(CASHBACK_RULES!$K$5:$K$304,$AC152),"∞"),"")</f>
        <v/>
      </c>
      <c r="AB152" s="44" t="str">
        <f>IF(OR($B152="",$D152=""),"",IF($U152="Cancelled","Đã hủy",IF($AC152=0,"Không được hoàn",IF($Q152=0,IF(OR($O152&gt;0,$M152&lt;$L152),"Đã đạt cap","Không được hoàn"),IF(OR($Q152&lt;$O152,$M152&lt;$L152),"Hoàn một phần","Được hoàn")))))</f>
        <v/>
      </c>
      <c r="AC152" s="43">
        <f>IF(OR($B152="",$D152="",$I152="",$L152=""),0,IF($U152="Cancelled",0,IF($W152&lt;&gt;"",IFERROR(IF(INDEX(CASHBACK_RULES!$B$5:$B$304,MATCH($W152,CASHBACK_RULES!$A$5:$A$304,0))=$D152,MATCH($W152,CASHBACK_RULES!$A$5:$A$304,0),0),0),IFERROR(MATCH(1,INDEX((CASHBACK_RULES!$B$5:$B$304=$D152)*(CASHBACK_RULES!$G$5:$G$304=$I152)*(((CASHBACK_RULES!$N$5:$N$304="")+(CASHBACK_RULES!$N$5:$N$304&lt;=$B152))&gt;0)*(((CASHBACK_RULES!$O$5:$O$304="")+(CASHBACK_RULES!$O$5:$O$304&gt;=$B152))&gt;0)*(((CASHBACK_RULES!$M$5:$M$304="")+(CASHBACK_RULES!$M$5:$M$304&lt;=$L152))&gt;0),0),0),0))))</f>
        <v>0</v>
      </c>
      <c r="AD152" s="51" t="str">
        <f>IF(OR($B152="",$D152=""),"",IFERROR(IF(INDEX(CARDS!$H$5:$H$34,MATCH($D152,CARDS!$A$5:$A$34,0))="","",IF(DAY($B152)&lt;=INDEX(CARDS!$H$5:$H$34,MATCH($D152,CARDS!$A$5:$A$34,0)),DATE(YEAR($B152),MONTH($B152),MIN(INDEX(CARDS!$H$5:$H$34,MATCH($D152,CARDS!$A$5:$A$34,0)),DAY(EOMONTH($B152,0)))),DATE(YEAR($B152),MONTH($B152)+1,MIN(INDEX(CARDS!$H$5:$H$34,MATCH($D152,CARDS!$A$5:$A$34,0)),DAY(EOMONTH($B152,1)))))),""))</f>
        <v/>
      </c>
      <c r="AE152" s="52" t="str">
        <f>IF($C152="","",$C152&amp;"|"&amp;COUNTIF($C$5:$C152,$C152))</f>
        <v/>
      </c>
      <c r="AF152" s="53">
        <f>IF($AC152&gt;0,SUMIFS(Q$4:Q151,$D$4:$D151,$D152,$Z$4:$Z151,$Z152,$C$4:$C151,$C152),0)</f>
        <v>0</v>
      </c>
      <c r="AG152" s="53">
        <f>IF($AC152&gt;0,SUMIFS(Q$4:Q151,$D$4:$D151,$D152,$C$4:$C151,$C152),0)</f>
        <v>0</v>
      </c>
      <c r="AH152" s="53">
        <f>IF($AC152&gt;0,SUMIFS(M$4:M151,$D$4:$D151,$D152,$Z$4:$Z151,$Z152,$C$4:$C151,$C152),0)</f>
        <v>0</v>
      </c>
      <c r="AI152" s="43">
        <f>IF(OR($C152="",$I152=""),0,IF(COUNTIFS($C$5:$C152,$C152,$I$5:$I152,$I152)=1,1,0))</f>
        <v>0</v>
      </c>
      <c r="AJ152" s="43" t="str">
        <f>IF($AI152=1,SUMIFS($AI$4:$AI151,$C$4:$C151,$C152)+1,"")</f>
        <v/>
      </c>
      <c r="AK152" s="43">
        <f>IF(OR($C152="",$K152=""),0,IF(COUNTIFS($C$5:$C152,$C152,$K$5:$K152,$K152)=1,1,0))</f>
        <v>0</v>
      </c>
      <c r="AL152" s="43" t="str">
        <f>IF($AK152=1,SUMIFS($AK$4:$AK151,$C$4:$C151,$C152)+1,"")</f>
        <v/>
      </c>
      <c r="AM152" s="43">
        <f>IF(OR($C152="",$G152=""),0,IF(COUNTIFS($C$5:$C152,$C152,$G$5:$G152,$G152)=1,1,0))</f>
        <v>0</v>
      </c>
      <c r="AN152" s="43" t="str">
        <f>IF($AM152=1,SUMIFS($AM$4:$AM151,$C$4:$C151,$C152)+1,"")</f>
        <v/>
      </c>
    </row>
    <row r="153">
      <c r="A153" s="44" t="str">
        <f>IF(OR($B153="",$D153=""),"","TX"&amp;TEXT(ROW()-4,"0000"))</f>
        <v/>
      </c>
      <c r="B153" s="42" t="n"/>
      <c r="C153" s="47" t="str">
        <f>IF($B153="","",YEAR($B153)*100+MONTH($B153))</f>
        <v/>
      </c>
      <c r="D153" s="37" t="n"/>
      <c r="E153" s="45" t="str">
        <f>IF($D153="","",IFERROR(INDEX(CARDS!$B$5:$B$34,MATCH($D153,CARDS!$A$5:$A$34,0)),"⚠ Card ID?"))</f>
        <v/>
      </c>
      <c r="F153" s="45" t="str">
        <f>IF($D153="","",IFERROR(INDEX(CARDS!$C$5:$C$34,MATCH($D153,CARDS!$A$5:$A$34,0)),"⚠ Card ID?"))</f>
        <v/>
      </c>
      <c r="G153" s="37" t="n"/>
      <c r="H153" s="37" t="n"/>
      <c r="I153" s="41" t="n"/>
      <c r="J153" s="45" t="str">
        <f>IF($I153="","",IFERROR(INDEX(MCC_MASTER!$B$5:$B$504,MATCH($I153,MCC_MASTER!$A$5:$A$504,0)),"⚠ MCC chưa có"))</f>
        <v/>
      </c>
      <c r="K153" s="45" t="str">
        <f>IF($I153="","",IFERROR(IF(INDEX(MCC_MASTER!$C$5:$C$504,MATCH($I153,MCC_MASTER!$A$5:$A$504,0))="","Chưa phân loại",INDEX(MCC_MASTER!$C$5:$C$504,MATCH($I153,MCC_MASTER!$A$5:$A$504,0))),"Chưa phân loại"))</f>
        <v/>
      </c>
      <c r="L153" s="40" t="n"/>
      <c r="M153" s="48" t="str">
        <f>IF(OR($B153="",$D153=""),"",IF($AC153=0,0,IF(ISNUMBER(INDEX(CASHBACK_RULES!$L$5:$L$304,$AC153)),MAX(0,MIN($L153,INDEX(CASHBACK_RULES!$L$5:$L$304,$AC153)-$AH153)),MAX(0,$L153))))</f>
        <v/>
      </c>
      <c r="N153" s="49" t="str">
        <f>IF(OR($B153="",$D153=""),"",IF($AC153&gt;0,INDEX(CASHBACK_RULES!$I$5:$I$304,$AC153),0))</f>
        <v/>
      </c>
      <c r="O153" s="48" t="str">
        <f>IF(OR($B153="",$D153=""),"",ROUND($M153*$N153,0))</f>
        <v/>
      </c>
      <c r="P153" s="48" t="str">
        <f>IF($AC153&gt;0,IF(ISNUMBER(INDEX(CASHBACK_RULES!$J$5:$J$304,$AC153)),INDEX(CASHBACK_RULES!$J$5:$J$304,$AC153),"∞"),"")</f>
        <v/>
      </c>
      <c r="Q153" s="48" t="str">
        <f>IF(OR($B153="",$D153=""),"",IF($AC153=0,0,MAX(0,MIN($O153,IF(ISNUMBER($P153),$P153-$AF153,1E+15),IF(ISNUMBER($AA153),$AA153-$AG153,1E+15)))))</f>
        <v/>
      </c>
      <c r="R153" s="48" t="str">
        <f>IF(OR($B153="",$D153=""),"",IF($AC153=0,"",IF(AND(NOT(ISNUMBER($P153)),NOT(ISNUMBER($AA153))),"∞",MAX(0,MIN(IF(ISNUMBER($P153),$P153-$AF153-$Q153,1E+15),IF(ISNUMBER($AA153),$AA153-$AG153-$Q153,1E+15))))))</f>
        <v/>
      </c>
      <c r="S153" s="47" t="str">
        <f>IF($AD153="","",YEAR($AD153)*100+MONTH($AD153))</f>
        <v/>
      </c>
      <c r="T153" s="50" t="str">
        <f>IF($AD153="","",IFERROR(IF(INDEX(CARDS!$I$5:$I$34,MATCH($D153,CARDS!$A$5:$A$34,0))="","",IF(INDEX(CARDS!$I$5:$I$34,MATCH($D153,CARDS!$A$5:$A$34,0))&gt;INDEX(CARDS!$H$5:$H$34,MATCH($D153,CARDS!$A$5:$A$34,0)),DATE(YEAR($AD153),MONTH($AD153),MIN(INDEX(CARDS!$I$5:$I$34,MATCH($D153,CARDS!$A$5:$A$34,0)),DAY(EOMONTH($AD153,0)))),DATE(YEAR($AD153),MONTH($AD153)+1,MIN(INDEX(CARDS!$I$5:$I$34,MATCH($D153,CARDS!$A$5:$A$34,0)),DAY(EOMONTH($AD153,1)))))),""))</f>
        <v/>
      </c>
      <c r="U153" s="38" t="n"/>
      <c r="V153" s="37" t="n"/>
      <c r="W153" s="38" t="n"/>
      <c r="X153" s="38" t="n"/>
      <c r="Y153" s="44" t="str">
        <f>IF($AC153&gt;0,INDEX(CASHBACK_RULES!$A$5:$A$304,$AC153),"")</f>
        <v/>
      </c>
      <c r="Z153" s="45" t="str">
        <f>IF($AC153&gt;0,INDEX(CASHBACK_RULES!$E$5:$E$304,$AC153)&amp;"","")</f>
        <v/>
      </c>
      <c r="AA153" s="48" t="str">
        <f>IF($AC153&gt;0,IF(ISNUMBER(INDEX(CASHBACK_RULES!$K$5:$K$304,$AC153)),INDEX(CASHBACK_RULES!$K$5:$K$304,$AC153),"∞"),"")</f>
        <v/>
      </c>
      <c r="AB153" s="44" t="str">
        <f>IF(OR($B153="",$D153=""),"",IF($U153="Cancelled","Đã hủy",IF($AC153=0,"Không được hoàn",IF($Q153=0,IF(OR($O153&gt;0,$M153&lt;$L153),"Đã đạt cap","Không được hoàn"),IF(OR($Q153&lt;$O153,$M153&lt;$L153),"Hoàn một phần","Được hoàn")))))</f>
        <v/>
      </c>
      <c r="AC153" s="43">
        <f>IF(OR($B153="",$D153="",$I153="",$L153=""),0,IF($U153="Cancelled",0,IF($W153&lt;&gt;"",IFERROR(IF(INDEX(CASHBACK_RULES!$B$5:$B$304,MATCH($W153,CASHBACK_RULES!$A$5:$A$304,0))=$D153,MATCH($W153,CASHBACK_RULES!$A$5:$A$304,0),0),0),IFERROR(MATCH(1,INDEX((CASHBACK_RULES!$B$5:$B$304=$D153)*(CASHBACK_RULES!$G$5:$G$304=$I153)*(((CASHBACK_RULES!$N$5:$N$304="")+(CASHBACK_RULES!$N$5:$N$304&lt;=$B153))&gt;0)*(((CASHBACK_RULES!$O$5:$O$304="")+(CASHBACK_RULES!$O$5:$O$304&gt;=$B153))&gt;0)*(((CASHBACK_RULES!$M$5:$M$304="")+(CASHBACK_RULES!$M$5:$M$304&lt;=$L153))&gt;0),0),0),0))))</f>
        <v>0</v>
      </c>
      <c r="AD153" s="51" t="str">
        <f>IF(OR($B153="",$D153=""),"",IFERROR(IF(INDEX(CARDS!$H$5:$H$34,MATCH($D153,CARDS!$A$5:$A$34,0))="","",IF(DAY($B153)&lt;=INDEX(CARDS!$H$5:$H$34,MATCH($D153,CARDS!$A$5:$A$34,0)),DATE(YEAR($B153),MONTH($B153),MIN(INDEX(CARDS!$H$5:$H$34,MATCH($D153,CARDS!$A$5:$A$34,0)),DAY(EOMONTH($B153,0)))),DATE(YEAR($B153),MONTH($B153)+1,MIN(INDEX(CARDS!$H$5:$H$34,MATCH($D153,CARDS!$A$5:$A$34,0)),DAY(EOMONTH($B153,1)))))),""))</f>
        <v/>
      </c>
      <c r="AE153" s="52" t="str">
        <f>IF($C153="","",$C153&amp;"|"&amp;COUNTIF($C$5:$C153,$C153))</f>
        <v/>
      </c>
      <c r="AF153" s="53">
        <f>IF($AC153&gt;0,SUMIFS(Q$4:Q152,$D$4:$D152,$D153,$Z$4:$Z152,$Z153,$C$4:$C152,$C153),0)</f>
        <v>0</v>
      </c>
      <c r="AG153" s="53">
        <f>IF($AC153&gt;0,SUMIFS(Q$4:Q152,$D$4:$D152,$D153,$C$4:$C152,$C153),0)</f>
        <v>0</v>
      </c>
      <c r="AH153" s="53">
        <f>IF($AC153&gt;0,SUMIFS(M$4:M152,$D$4:$D152,$D153,$Z$4:$Z152,$Z153,$C$4:$C152,$C153),0)</f>
        <v>0</v>
      </c>
      <c r="AI153" s="43">
        <f>IF(OR($C153="",$I153=""),0,IF(COUNTIFS($C$5:$C153,$C153,$I$5:$I153,$I153)=1,1,0))</f>
        <v>0</v>
      </c>
      <c r="AJ153" s="43" t="str">
        <f>IF($AI153=1,SUMIFS($AI$4:$AI152,$C$4:$C152,$C153)+1,"")</f>
        <v/>
      </c>
      <c r="AK153" s="43">
        <f>IF(OR($C153="",$K153=""),0,IF(COUNTIFS($C$5:$C153,$C153,$K$5:$K153,$K153)=1,1,0))</f>
        <v>0</v>
      </c>
      <c r="AL153" s="43" t="str">
        <f>IF($AK153=1,SUMIFS($AK$4:$AK152,$C$4:$C152,$C153)+1,"")</f>
        <v/>
      </c>
      <c r="AM153" s="43">
        <f>IF(OR($C153="",$G153=""),0,IF(COUNTIFS($C$5:$C153,$C153,$G$5:$G153,$G153)=1,1,0))</f>
        <v>0</v>
      </c>
      <c r="AN153" s="43" t="str">
        <f>IF($AM153=1,SUMIFS($AM$4:$AM152,$C$4:$C152,$C153)+1,"")</f>
        <v/>
      </c>
    </row>
    <row r="154">
      <c r="A154" s="44" t="str">
        <f>IF(OR($B154="",$D154=""),"","TX"&amp;TEXT(ROW()-4,"0000"))</f>
        <v/>
      </c>
      <c r="B154" s="42" t="n"/>
      <c r="C154" s="47" t="str">
        <f>IF($B154="","",YEAR($B154)*100+MONTH($B154))</f>
        <v/>
      </c>
      <c r="D154" s="37" t="n"/>
      <c r="E154" s="45" t="str">
        <f>IF($D154="","",IFERROR(INDEX(CARDS!$B$5:$B$34,MATCH($D154,CARDS!$A$5:$A$34,0)),"⚠ Card ID?"))</f>
        <v/>
      </c>
      <c r="F154" s="45" t="str">
        <f>IF($D154="","",IFERROR(INDEX(CARDS!$C$5:$C$34,MATCH($D154,CARDS!$A$5:$A$34,0)),"⚠ Card ID?"))</f>
        <v/>
      </c>
      <c r="G154" s="37" t="n"/>
      <c r="H154" s="37" t="n"/>
      <c r="I154" s="41" t="n"/>
      <c r="J154" s="45" t="str">
        <f>IF($I154="","",IFERROR(INDEX(MCC_MASTER!$B$5:$B$504,MATCH($I154,MCC_MASTER!$A$5:$A$504,0)),"⚠ MCC chưa có"))</f>
        <v/>
      </c>
      <c r="K154" s="45" t="str">
        <f>IF($I154="","",IFERROR(IF(INDEX(MCC_MASTER!$C$5:$C$504,MATCH($I154,MCC_MASTER!$A$5:$A$504,0))="","Chưa phân loại",INDEX(MCC_MASTER!$C$5:$C$504,MATCH($I154,MCC_MASTER!$A$5:$A$504,0))),"Chưa phân loại"))</f>
        <v/>
      </c>
      <c r="L154" s="40" t="n"/>
      <c r="M154" s="48" t="str">
        <f>IF(OR($B154="",$D154=""),"",IF($AC154=0,0,IF(ISNUMBER(INDEX(CASHBACK_RULES!$L$5:$L$304,$AC154)),MAX(0,MIN($L154,INDEX(CASHBACK_RULES!$L$5:$L$304,$AC154)-$AH154)),MAX(0,$L154))))</f>
        <v/>
      </c>
      <c r="N154" s="49" t="str">
        <f>IF(OR($B154="",$D154=""),"",IF($AC154&gt;0,INDEX(CASHBACK_RULES!$I$5:$I$304,$AC154),0))</f>
        <v/>
      </c>
      <c r="O154" s="48" t="str">
        <f>IF(OR($B154="",$D154=""),"",ROUND($M154*$N154,0))</f>
        <v/>
      </c>
      <c r="P154" s="48" t="str">
        <f>IF($AC154&gt;0,IF(ISNUMBER(INDEX(CASHBACK_RULES!$J$5:$J$304,$AC154)),INDEX(CASHBACK_RULES!$J$5:$J$304,$AC154),"∞"),"")</f>
        <v/>
      </c>
      <c r="Q154" s="48" t="str">
        <f>IF(OR($B154="",$D154=""),"",IF($AC154=0,0,MAX(0,MIN($O154,IF(ISNUMBER($P154),$P154-$AF154,1E+15),IF(ISNUMBER($AA154),$AA154-$AG154,1E+15)))))</f>
        <v/>
      </c>
      <c r="R154" s="48" t="str">
        <f>IF(OR($B154="",$D154=""),"",IF($AC154=0,"",IF(AND(NOT(ISNUMBER($P154)),NOT(ISNUMBER($AA154))),"∞",MAX(0,MIN(IF(ISNUMBER($P154),$P154-$AF154-$Q154,1E+15),IF(ISNUMBER($AA154),$AA154-$AG154-$Q154,1E+15))))))</f>
        <v/>
      </c>
      <c r="S154" s="47" t="str">
        <f>IF($AD154="","",YEAR($AD154)*100+MONTH($AD154))</f>
        <v/>
      </c>
      <c r="T154" s="50" t="str">
        <f>IF($AD154="","",IFERROR(IF(INDEX(CARDS!$I$5:$I$34,MATCH($D154,CARDS!$A$5:$A$34,0))="","",IF(INDEX(CARDS!$I$5:$I$34,MATCH($D154,CARDS!$A$5:$A$34,0))&gt;INDEX(CARDS!$H$5:$H$34,MATCH($D154,CARDS!$A$5:$A$34,0)),DATE(YEAR($AD154),MONTH($AD154),MIN(INDEX(CARDS!$I$5:$I$34,MATCH($D154,CARDS!$A$5:$A$34,0)),DAY(EOMONTH($AD154,0)))),DATE(YEAR($AD154),MONTH($AD154)+1,MIN(INDEX(CARDS!$I$5:$I$34,MATCH($D154,CARDS!$A$5:$A$34,0)),DAY(EOMONTH($AD154,1)))))),""))</f>
        <v/>
      </c>
      <c r="U154" s="38" t="n"/>
      <c r="V154" s="37" t="n"/>
      <c r="W154" s="38" t="n"/>
      <c r="X154" s="38" t="n"/>
      <c r="Y154" s="44" t="str">
        <f>IF($AC154&gt;0,INDEX(CASHBACK_RULES!$A$5:$A$304,$AC154),"")</f>
        <v/>
      </c>
      <c r="Z154" s="45" t="str">
        <f>IF($AC154&gt;0,INDEX(CASHBACK_RULES!$E$5:$E$304,$AC154)&amp;"","")</f>
        <v/>
      </c>
      <c r="AA154" s="48" t="str">
        <f>IF($AC154&gt;0,IF(ISNUMBER(INDEX(CASHBACK_RULES!$K$5:$K$304,$AC154)),INDEX(CASHBACK_RULES!$K$5:$K$304,$AC154),"∞"),"")</f>
        <v/>
      </c>
      <c r="AB154" s="44" t="str">
        <f>IF(OR($B154="",$D154=""),"",IF($U154="Cancelled","Đã hủy",IF($AC154=0,"Không được hoàn",IF($Q154=0,IF(OR($O154&gt;0,$M154&lt;$L154),"Đã đạt cap","Không được hoàn"),IF(OR($Q154&lt;$O154,$M154&lt;$L154),"Hoàn một phần","Được hoàn")))))</f>
        <v/>
      </c>
      <c r="AC154" s="43">
        <f>IF(OR($B154="",$D154="",$I154="",$L154=""),0,IF($U154="Cancelled",0,IF($W154&lt;&gt;"",IFERROR(IF(INDEX(CASHBACK_RULES!$B$5:$B$304,MATCH($W154,CASHBACK_RULES!$A$5:$A$304,0))=$D154,MATCH($W154,CASHBACK_RULES!$A$5:$A$304,0),0),0),IFERROR(MATCH(1,INDEX((CASHBACK_RULES!$B$5:$B$304=$D154)*(CASHBACK_RULES!$G$5:$G$304=$I154)*(((CASHBACK_RULES!$N$5:$N$304="")+(CASHBACK_RULES!$N$5:$N$304&lt;=$B154))&gt;0)*(((CASHBACK_RULES!$O$5:$O$304="")+(CASHBACK_RULES!$O$5:$O$304&gt;=$B154))&gt;0)*(((CASHBACK_RULES!$M$5:$M$304="")+(CASHBACK_RULES!$M$5:$M$304&lt;=$L154))&gt;0),0),0),0))))</f>
        <v>0</v>
      </c>
      <c r="AD154" s="51" t="str">
        <f>IF(OR($B154="",$D154=""),"",IFERROR(IF(INDEX(CARDS!$H$5:$H$34,MATCH($D154,CARDS!$A$5:$A$34,0))="","",IF(DAY($B154)&lt;=INDEX(CARDS!$H$5:$H$34,MATCH($D154,CARDS!$A$5:$A$34,0)),DATE(YEAR($B154),MONTH($B154),MIN(INDEX(CARDS!$H$5:$H$34,MATCH($D154,CARDS!$A$5:$A$34,0)),DAY(EOMONTH($B154,0)))),DATE(YEAR($B154),MONTH($B154)+1,MIN(INDEX(CARDS!$H$5:$H$34,MATCH($D154,CARDS!$A$5:$A$34,0)),DAY(EOMONTH($B154,1)))))),""))</f>
        <v/>
      </c>
      <c r="AE154" s="52" t="str">
        <f>IF($C154="","",$C154&amp;"|"&amp;COUNTIF($C$5:$C154,$C154))</f>
        <v/>
      </c>
      <c r="AF154" s="53">
        <f>IF($AC154&gt;0,SUMIFS(Q$4:Q153,$D$4:$D153,$D154,$Z$4:$Z153,$Z154,$C$4:$C153,$C154),0)</f>
        <v>0</v>
      </c>
      <c r="AG154" s="53">
        <f>IF($AC154&gt;0,SUMIFS(Q$4:Q153,$D$4:$D153,$D154,$C$4:$C153,$C154),0)</f>
        <v>0</v>
      </c>
      <c r="AH154" s="53">
        <f>IF($AC154&gt;0,SUMIFS(M$4:M153,$D$4:$D153,$D154,$Z$4:$Z153,$Z154,$C$4:$C153,$C154),0)</f>
        <v>0</v>
      </c>
      <c r="AI154" s="43">
        <f>IF(OR($C154="",$I154=""),0,IF(COUNTIFS($C$5:$C154,$C154,$I$5:$I154,$I154)=1,1,0))</f>
        <v>0</v>
      </c>
      <c r="AJ154" s="43" t="str">
        <f>IF($AI154=1,SUMIFS($AI$4:$AI153,$C$4:$C153,$C154)+1,"")</f>
        <v/>
      </c>
      <c r="AK154" s="43">
        <f>IF(OR($C154="",$K154=""),0,IF(COUNTIFS($C$5:$C154,$C154,$K$5:$K154,$K154)=1,1,0))</f>
        <v>0</v>
      </c>
      <c r="AL154" s="43" t="str">
        <f>IF($AK154=1,SUMIFS($AK$4:$AK153,$C$4:$C153,$C154)+1,"")</f>
        <v/>
      </c>
      <c r="AM154" s="43">
        <f>IF(OR($C154="",$G154=""),0,IF(COUNTIFS($C$5:$C154,$C154,$G$5:$G154,$G154)=1,1,0))</f>
        <v>0</v>
      </c>
      <c r="AN154" s="43" t="str">
        <f>IF($AM154=1,SUMIFS($AM$4:$AM153,$C$4:$C153,$C154)+1,"")</f>
        <v/>
      </c>
    </row>
    <row r="155">
      <c r="A155" s="44" t="str">
        <f>IF(OR($B155="",$D155=""),"","TX"&amp;TEXT(ROW()-4,"0000"))</f>
        <v/>
      </c>
      <c r="B155" s="42" t="n"/>
      <c r="C155" s="47" t="str">
        <f>IF($B155="","",YEAR($B155)*100+MONTH($B155))</f>
        <v/>
      </c>
      <c r="D155" s="37" t="n"/>
      <c r="E155" s="45" t="str">
        <f>IF($D155="","",IFERROR(INDEX(CARDS!$B$5:$B$34,MATCH($D155,CARDS!$A$5:$A$34,0)),"⚠ Card ID?"))</f>
        <v/>
      </c>
      <c r="F155" s="45" t="str">
        <f>IF($D155="","",IFERROR(INDEX(CARDS!$C$5:$C$34,MATCH($D155,CARDS!$A$5:$A$34,0)),"⚠ Card ID?"))</f>
        <v/>
      </c>
      <c r="G155" s="37" t="n"/>
      <c r="H155" s="37" t="n"/>
      <c r="I155" s="41" t="n"/>
      <c r="J155" s="45" t="str">
        <f>IF($I155="","",IFERROR(INDEX(MCC_MASTER!$B$5:$B$504,MATCH($I155,MCC_MASTER!$A$5:$A$504,0)),"⚠ MCC chưa có"))</f>
        <v/>
      </c>
      <c r="K155" s="45" t="str">
        <f>IF($I155="","",IFERROR(IF(INDEX(MCC_MASTER!$C$5:$C$504,MATCH($I155,MCC_MASTER!$A$5:$A$504,0))="","Chưa phân loại",INDEX(MCC_MASTER!$C$5:$C$504,MATCH($I155,MCC_MASTER!$A$5:$A$504,0))),"Chưa phân loại"))</f>
        <v/>
      </c>
      <c r="L155" s="40" t="n"/>
      <c r="M155" s="48" t="str">
        <f>IF(OR($B155="",$D155=""),"",IF($AC155=0,0,IF(ISNUMBER(INDEX(CASHBACK_RULES!$L$5:$L$304,$AC155)),MAX(0,MIN($L155,INDEX(CASHBACK_RULES!$L$5:$L$304,$AC155)-$AH155)),MAX(0,$L155))))</f>
        <v/>
      </c>
      <c r="N155" s="49" t="str">
        <f>IF(OR($B155="",$D155=""),"",IF($AC155&gt;0,INDEX(CASHBACK_RULES!$I$5:$I$304,$AC155),0))</f>
        <v/>
      </c>
      <c r="O155" s="48" t="str">
        <f>IF(OR($B155="",$D155=""),"",ROUND($M155*$N155,0))</f>
        <v/>
      </c>
      <c r="P155" s="48" t="str">
        <f>IF($AC155&gt;0,IF(ISNUMBER(INDEX(CASHBACK_RULES!$J$5:$J$304,$AC155)),INDEX(CASHBACK_RULES!$J$5:$J$304,$AC155),"∞"),"")</f>
        <v/>
      </c>
      <c r="Q155" s="48" t="str">
        <f>IF(OR($B155="",$D155=""),"",IF($AC155=0,0,MAX(0,MIN($O155,IF(ISNUMBER($P155),$P155-$AF155,1E+15),IF(ISNUMBER($AA155),$AA155-$AG155,1E+15)))))</f>
        <v/>
      </c>
      <c r="R155" s="48" t="str">
        <f>IF(OR($B155="",$D155=""),"",IF($AC155=0,"",IF(AND(NOT(ISNUMBER($P155)),NOT(ISNUMBER($AA155))),"∞",MAX(0,MIN(IF(ISNUMBER($P155),$P155-$AF155-$Q155,1E+15),IF(ISNUMBER($AA155),$AA155-$AG155-$Q155,1E+15))))))</f>
        <v/>
      </c>
      <c r="S155" s="47" t="str">
        <f>IF($AD155="","",YEAR($AD155)*100+MONTH($AD155))</f>
        <v/>
      </c>
      <c r="T155" s="50" t="str">
        <f>IF($AD155="","",IFERROR(IF(INDEX(CARDS!$I$5:$I$34,MATCH($D155,CARDS!$A$5:$A$34,0))="","",IF(INDEX(CARDS!$I$5:$I$34,MATCH($D155,CARDS!$A$5:$A$34,0))&gt;INDEX(CARDS!$H$5:$H$34,MATCH($D155,CARDS!$A$5:$A$34,0)),DATE(YEAR($AD155),MONTH($AD155),MIN(INDEX(CARDS!$I$5:$I$34,MATCH($D155,CARDS!$A$5:$A$34,0)),DAY(EOMONTH($AD155,0)))),DATE(YEAR($AD155),MONTH($AD155)+1,MIN(INDEX(CARDS!$I$5:$I$34,MATCH($D155,CARDS!$A$5:$A$34,0)),DAY(EOMONTH($AD155,1)))))),""))</f>
        <v/>
      </c>
      <c r="U155" s="38" t="n"/>
      <c r="V155" s="37" t="n"/>
      <c r="W155" s="38" t="n"/>
      <c r="X155" s="38" t="n"/>
      <c r="Y155" s="44" t="str">
        <f>IF($AC155&gt;0,INDEX(CASHBACK_RULES!$A$5:$A$304,$AC155),"")</f>
        <v/>
      </c>
      <c r="Z155" s="45" t="str">
        <f>IF($AC155&gt;0,INDEX(CASHBACK_RULES!$E$5:$E$304,$AC155)&amp;"","")</f>
        <v/>
      </c>
      <c r="AA155" s="48" t="str">
        <f>IF($AC155&gt;0,IF(ISNUMBER(INDEX(CASHBACK_RULES!$K$5:$K$304,$AC155)),INDEX(CASHBACK_RULES!$K$5:$K$304,$AC155),"∞"),"")</f>
        <v/>
      </c>
      <c r="AB155" s="44" t="str">
        <f>IF(OR($B155="",$D155=""),"",IF($U155="Cancelled","Đã hủy",IF($AC155=0,"Không được hoàn",IF($Q155=0,IF(OR($O155&gt;0,$M155&lt;$L155),"Đã đạt cap","Không được hoàn"),IF(OR($Q155&lt;$O155,$M155&lt;$L155),"Hoàn một phần","Được hoàn")))))</f>
        <v/>
      </c>
      <c r="AC155" s="43">
        <f>IF(OR($B155="",$D155="",$I155="",$L155=""),0,IF($U155="Cancelled",0,IF($W155&lt;&gt;"",IFERROR(IF(INDEX(CASHBACK_RULES!$B$5:$B$304,MATCH($W155,CASHBACK_RULES!$A$5:$A$304,0))=$D155,MATCH($W155,CASHBACK_RULES!$A$5:$A$304,0),0),0),IFERROR(MATCH(1,INDEX((CASHBACK_RULES!$B$5:$B$304=$D155)*(CASHBACK_RULES!$G$5:$G$304=$I155)*(((CASHBACK_RULES!$N$5:$N$304="")+(CASHBACK_RULES!$N$5:$N$304&lt;=$B155))&gt;0)*(((CASHBACK_RULES!$O$5:$O$304="")+(CASHBACK_RULES!$O$5:$O$304&gt;=$B155))&gt;0)*(((CASHBACK_RULES!$M$5:$M$304="")+(CASHBACK_RULES!$M$5:$M$304&lt;=$L155))&gt;0),0),0),0))))</f>
        <v>0</v>
      </c>
      <c r="AD155" s="51" t="str">
        <f>IF(OR($B155="",$D155=""),"",IFERROR(IF(INDEX(CARDS!$H$5:$H$34,MATCH($D155,CARDS!$A$5:$A$34,0))="","",IF(DAY($B155)&lt;=INDEX(CARDS!$H$5:$H$34,MATCH($D155,CARDS!$A$5:$A$34,0)),DATE(YEAR($B155),MONTH($B155),MIN(INDEX(CARDS!$H$5:$H$34,MATCH($D155,CARDS!$A$5:$A$34,0)),DAY(EOMONTH($B155,0)))),DATE(YEAR($B155),MONTH($B155)+1,MIN(INDEX(CARDS!$H$5:$H$34,MATCH($D155,CARDS!$A$5:$A$34,0)),DAY(EOMONTH($B155,1)))))),""))</f>
        <v/>
      </c>
      <c r="AE155" s="52" t="str">
        <f>IF($C155="","",$C155&amp;"|"&amp;COUNTIF($C$5:$C155,$C155))</f>
        <v/>
      </c>
      <c r="AF155" s="53">
        <f>IF($AC155&gt;0,SUMIFS(Q$4:Q154,$D$4:$D154,$D155,$Z$4:$Z154,$Z155,$C$4:$C154,$C155),0)</f>
        <v>0</v>
      </c>
      <c r="AG155" s="53">
        <f>IF($AC155&gt;0,SUMIFS(Q$4:Q154,$D$4:$D154,$D155,$C$4:$C154,$C155),0)</f>
        <v>0</v>
      </c>
      <c r="AH155" s="53">
        <f>IF($AC155&gt;0,SUMIFS(M$4:M154,$D$4:$D154,$D155,$Z$4:$Z154,$Z155,$C$4:$C154,$C155),0)</f>
        <v>0</v>
      </c>
      <c r="AI155" s="43">
        <f>IF(OR($C155="",$I155=""),0,IF(COUNTIFS($C$5:$C155,$C155,$I$5:$I155,$I155)=1,1,0))</f>
        <v>0</v>
      </c>
      <c r="AJ155" s="43" t="str">
        <f>IF($AI155=1,SUMIFS($AI$4:$AI154,$C$4:$C154,$C155)+1,"")</f>
        <v/>
      </c>
      <c r="AK155" s="43">
        <f>IF(OR($C155="",$K155=""),0,IF(COUNTIFS($C$5:$C155,$C155,$K$5:$K155,$K155)=1,1,0))</f>
        <v>0</v>
      </c>
      <c r="AL155" s="43" t="str">
        <f>IF($AK155=1,SUMIFS($AK$4:$AK154,$C$4:$C154,$C155)+1,"")</f>
        <v/>
      </c>
      <c r="AM155" s="43">
        <f>IF(OR($C155="",$G155=""),0,IF(COUNTIFS($C$5:$C155,$C155,$G$5:$G155,$G155)=1,1,0))</f>
        <v>0</v>
      </c>
      <c r="AN155" s="43" t="str">
        <f>IF($AM155=1,SUMIFS($AM$4:$AM154,$C$4:$C154,$C155)+1,"")</f>
        <v/>
      </c>
    </row>
    <row r="156">
      <c r="A156" s="44" t="str">
        <f>IF(OR($B156="",$D156=""),"","TX"&amp;TEXT(ROW()-4,"0000"))</f>
        <v/>
      </c>
      <c r="B156" s="42" t="n"/>
      <c r="C156" s="47" t="str">
        <f>IF($B156="","",YEAR($B156)*100+MONTH($B156))</f>
        <v/>
      </c>
      <c r="D156" s="37" t="n"/>
      <c r="E156" s="45" t="str">
        <f>IF($D156="","",IFERROR(INDEX(CARDS!$B$5:$B$34,MATCH($D156,CARDS!$A$5:$A$34,0)),"⚠ Card ID?"))</f>
        <v/>
      </c>
      <c r="F156" s="45" t="str">
        <f>IF($D156="","",IFERROR(INDEX(CARDS!$C$5:$C$34,MATCH($D156,CARDS!$A$5:$A$34,0)),"⚠ Card ID?"))</f>
        <v/>
      </c>
      <c r="G156" s="37" t="n"/>
      <c r="H156" s="37" t="n"/>
      <c r="I156" s="41" t="n"/>
      <c r="J156" s="45" t="str">
        <f>IF($I156="","",IFERROR(INDEX(MCC_MASTER!$B$5:$B$504,MATCH($I156,MCC_MASTER!$A$5:$A$504,0)),"⚠ MCC chưa có"))</f>
        <v/>
      </c>
      <c r="K156" s="45" t="str">
        <f>IF($I156="","",IFERROR(IF(INDEX(MCC_MASTER!$C$5:$C$504,MATCH($I156,MCC_MASTER!$A$5:$A$504,0))="","Chưa phân loại",INDEX(MCC_MASTER!$C$5:$C$504,MATCH($I156,MCC_MASTER!$A$5:$A$504,0))),"Chưa phân loại"))</f>
        <v/>
      </c>
      <c r="L156" s="40" t="n"/>
      <c r="M156" s="48" t="str">
        <f>IF(OR($B156="",$D156=""),"",IF($AC156=0,0,IF(ISNUMBER(INDEX(CASHBACK_RULES!$L$5:$L$304,$AC156)),MAX(0,MIN($L156,INDEX(CASHBACK_RULES!$L$5:$L$304,$AC156)-$AH156)),MAX(0,$L156))))</f>
        <v/>
      </c>
      <c r="N156" s="49" t="str">
        <f>IF(OR($B156="",$D156=""),"",IF($AC156&gt;0,INDEX(CASHBACK_RULES!$I$5:$I$304,$AC156),0))</f>
        <v/>
      </c>
      <c r="O156" s="48" t="str">
        <f>IF(OR($B156="",$D156=""),"",ROUND($M156*$N156,0))</f>
        <v/>
      </c>
      <c r="P156" s="48" t="str">
        <f>IF($AC156&gt;0,IF(ISNUMBER(INDEX(CASHBACK_RULES!$J$5:$J$304,$AC156)),INDEX(CASHBACK_RULES!$J$5:$J$304,$AC156),"∞"),"")</f>
        <v/>
      </c>
      <c r="Q156" s="48" t="str">
        <f>IF(OR($B156="",$D156=""),"",IF($AC156=0,0,MAX(0,MIN($O156,IF(ISNUMBER($P156),$P156-$AF156,1E+15),IF(ISNUMBER($AA156),$AA156-$AG156,1E+15)))))</f>
        <v/>
      </c>
      <c r="R156" s="48" t="str">
        <f>IF(OR($B156="",$D156=""),"",IF($AC156=0,"",IF(AND(NOT(ISNUMBER($P156)),NOT(ISNUMBER($AA156))),"∞",MAX(0,MIN(IF(ISNUMBER($P156),$P156-$AF156-$Q156,1E+15),IF(ISNUMBER($AA156),$AA156-$AG156-$Q156,1E+15))))))</f>
        <v/>
      </c>
      <c r="S156" s="47" t="str">
        <f>IF($AD156="","",YEAR($AD156)*100+MONTH($AD156))</f>
        <v/>
      </c>
      <c r="T156" s="50" t="str">
        <f>IF($AD156="","",IFERROR(IF(INDEX(CARDS!$I$5:$I$34,MATCH($D156,CARDS!$A$5:$A$34,0))="","",IF(INDEX(CARDS!$I$5:$I$34,MATCH($D156,CARDS!$A$5:$A$34,0))&gt;INDEX(CARDS!$H$5:$H$34,MATCH($D156,CARDS!$A$5:$A$34,0)),DATE(YEAR($AD156),MONTH($AD156),MIN(INDEX(CARDS!$I$5:$I$34,MATCH($D156,CARDS!$A$5:$A$34,0)),DAY(EOMONTH($AD156,0)))),DATE(YEAR($AD156),MONTH($AD156)+1,MIN(INDEX(CARDS!$I$5:$I$34,MATCH($D156,CARDS!$A$5:$A$34,0)),DAY(EOMONTH($AD156,1)))))),""))</f>
        <v/>
      </c>
      <c r="U156" s="38" t="n"/>
      <c r="V156" s="37" t="n"/>
      <c r="W156" s="38" t="n"/>
      <c r="X156" s="38" t="n"/>
      <c r="Y156" s="44" t="str">
        <f>IF($AC156&gt;0,INDEX(CASHBACK_RULES!$A$5:$A$304,$AC156),"")</f>
        <v/>
      </c>
      <c r="Z156" s="45" t="str">
        <f>IF($AC156&gt;0,INDEX(CASHBACK_RULES!$E$5:$E$304,$AC156)&amp;"","")</f>
        <v/>
      </c>
      <c r="AA156" s="48" t="str">
        <f>IF($AC156&gt;0,IF(ISNUMBER(INDEX(CASHBACK_RULES!$K$5:$K$304,$AC156)),INDEX(CASHBACK_RULES!$K$5:$K$304,$AC156),"∞"),"")</f>
        <v/>
      </c>
      <c r="AB156" s="44" t="str">
        <f>IF(OR($B156="",$D156=""),"",IF($U156="Cancelled","Đã hủy",IF($AC156=0,"Không được hoàn",IF($Q156=0,IF(OR($O156&gt;0,$M156&lt;$L156),"Đã đạt cap","Không được hoàn"),IF(OR($Q156&lt;$O156,$M156&lt;$L156),"Hoàn một phần","Được hoàn")))))</f>
        <v/>
      </c>
      <c r="AC156" s="43">
        <f>IF(OR($B156="",$D156="",$I156="",$L156=""),0,IF($U156="Cancelled",0,IF($W156&lt;&gt;"",IFERROR(IF(INDEX(CASHBACK_RULES!$B$5:$B$304,MATCH($W156,CASHBACK_RULES!$A$5:$A$304,0))=$D156,MATCH($W156,CASHBACK_RULES!$A$5:$A$304,0),0),0),IFERROR(MATCH(1,INDEX((CASHBACK_RULES!$B$5:$B$304=$D156)*(CASHBACK_RULES!$G$5:$G$304=$I156)*(((CASHBACK_RULES!$N$5:$N$304="")+(CASHBACK_RULES!$N$5:$N$304&lt;=$B156))&gt;0)*(((CASHBACK_RULES!$O$5:$O$304="")+(CASHBACK_RULES!$O$5:$O$304&gt;=$B156))&gt;0)*(((CASHBACK_RULES!$M$5:$M$304="")+(CASHBACK_RULES!$M$5:$M$304&lt;=$L156))&gt;0),0),0),0))))</f>
        <v>0</v>
      </c>
      <c r="AD156" s="51" t="str">
        <f>IF(OR($B156="",$D156=""),"",IFERROR(IF(INDEX(CARDS!$H$5:$H$34,MATCH($D156,CARDS!$A$5:$A$34,0))="","",IF(DAY($B156)&lt;=INDEX(CARDS!$H$5:$H$34,MATCH($D156,CARDS!$A$5:$A$34,0)),DATE(YEAR($B156),MONTH($B156),MIN(INDEX(CARDS!$H$5:$H$34,MATCH($D156,CARDS!$A$5:$A$34,0)),DAY(EOMONTH($B156,0)))),DATE(YEAR($B156),MONTH($B156)+1,MIN(INDEX(CARDS!$H$5:$H$34,MATCH($D156,CARDS!$A$5:$A$34,0)),DAY(EOMONTH($B156,1)))))),""))</f>
        <v/>
      </c>
      <c r="AE156" s="52" t="str">
        <f>IF($C156="","",$C156&amp;"|"&amp;COUNTIF($C$5:$C156,$C156))</f>
        <v/>
      </c>
      <c r="AF156" s="53">
        <f>IF($AC156&gt;0,SUMIFS(Q$4:Q155,$D$4:$D155,$D156,$Z$4:$Z155,$Z156,$C$4:$C155,$C156),0)</f>
        <v>0</v>
      </c>
      <c r="AG156" s="53">
        <f>IF($AC156&gt;0,SUMIFS(Q$4:Q155,$D$4:$D155,$D156,$C$4:$C155,$C156),0)</f>
        <v>0</v>
      </c>
      <c r="AH156" s="53">
        <f>IF($AC156&gt;0,SUMIFS(M$4:M155,$D$4:$D155,$D156,$Z$4:$Z155,$Z156,$C$4:$C155,$C156),0)</f>
        <v>0</v>
      </c>
      <c r="AI156" s="43">
        <f>IF(OR($C156="",$I156=""),0,IF(COUNTIFS($C$5:$C156,$C156,$I$5:$I156,$I156)=1,1,0))</f>
        <v>0</v>
      </c>
      <c r="AJ156" s="43" t="str">
        <f>IF($AI156=1,SUMIFS($AI$4:$AI155,$C$4:$C155,$C156)+1,"")</f>
        <v/>
      </c>
      <c r="AK156" s="43">
        <f>IF(OR($C156="",$K156=""),0,IF(COUNTIFS($C$5:$C156,$C156,$K$5:$K156,$K156)=1,1,0))</f>
        <v>0</v>
      </c>
      <c r="AL156" s="43" t="str">
        <f>IF($AK156=1,SUMIFS($AK$4:$AK155,$C$4:$C155,$C156)+1,"")</f>
        <v/>
      </c>
      <c r="AM156" s="43">
        <f>IF(OR($C156="",$G156=""),0,IF(COUNTIFS($C$5:$C156,$C156,$G$5:$G156,$G156)=1,1,0))</f>
        <v>0</v>
      </c>
      <c r="AN156" s="43" t="str">
        <f>IF($AM156=1,SUMIFS($AM$4:$AM155,$C$4:$C155,$C156)+1,"")</f>
        <v/>
      </c>
    </row>
    <row r="157">
      <c r="A157" s="44" t="str">
        <f>IF(OR($B157="",$D157=""),"","TX"&amp;TEXT(ROW()-4,"0000"))</f>
        <v/>
      </c>
      <c r="B157" s="42" t="n"/>
      <c r="C157" s="47" t="str">
        <f>IF($B157="","",YEAR($B157)*100+MONTH($B157))</f>
        <v/>
      </c>
      <c r="D157" s="37" t="n"/>
      <c r="E157" s="45" t="str">
        <f>IF($D157="","",IFERROR(INDEX(CARDS!$B$5:$B$34,MATCH($D157,CARDS!$A$5:$A$34,0)),"⚠ Card ID?"))</f>
        <v/>
      </c>
      <c r="F157" s="45" t="str">
        <f>IF($D157="","",IFERROR(INDEX(CARDS!$C$5:$C$34,MATCH($D157,CARDS!$A$5:$A$34,0)),"⚠ Card ID?"))</f>
        <v/>
      </c>
      <c r="G157" s="37" t="n"/>
      <c r="H157" s="37" t="n"/>
      <c r="I157" s="41" t="n"/>
      <c r="J157" s="45" t="str">
        <f>IF($I157="","",IFERROR(INDEX(MCC_MASTER!$B$5:$B$504,MATCH($I157,MCC_MASTER!$A$5:$A$504,0)),"⚠ MCC chưa có"))</f>
        <v/>
      </c>
      <c r="K157" s="45" t="str">
        <f>IF($I157="","",IFERROR(IF(INDEX(MCC_MASTER!$C$5:$C$504,MATCH($I157,MCC_MASTER!$A$5:$A$504,0))="","Chưa phân loại",INDEX(MCC_MASTER!$C$5:$C$504,MATCH($I157,MCC_MASTER!$A$5:$A$504,0))),"Chưa phân loại"))</f>
        <v/>
      </c>
      <c r="L157" s="40" t="n"/>
      <c r="M157" s="48" t="str">
        <f>IF(OR($B157="",$D157=""),"",IF($AC157=0,0,IF(ISNUMBER(INDEX(CASHBACK_RULES!$L$5:$L$304,$AC157)),MAX(0,MIN($L157,INDEX(CASHBACK_RULES!$L$5:$L$304,$AC157)-$AH157)),MAX(0,$L157))))</f>
        <v/>
      </c>
      <c r="N157" s="49" t="str">
        <f>IF(OR($B157="",$D157=""),"",IF($AC157&gt;0,INDEX(CASHBACK_RULES!$I$5:$I$304,$AC157),0))</f>
        <v/>
      </c>
      <c r="O157" s="48" t="str">
        <f>IF(OR($B157="",$D157=""),"",ROUND($M157*$N157,0))</f>
        <v/>
      </c>
      <c r="P157" s="48" t="str">
        <f>IF($AC157&gt;0,IF(ISNUMBER(INDEX(CASHBACK_RULES!$J$5:$J$304,$AC157)),INDEX(CASHBACK_RULES!$J$5:$J$304,$AC157),"∞"),"")</f>
        <v/>
      </c>
      <c r="Q157" s="48" t="str">
        <f>IF(OR($B157="",$D157=""),"",IF($AC157=0,0,MAX(0,MIN($O157,IF(ISNUMBER($P157),$P157-$AF157,1E+15),IF(ISNUMBER($AA157),$AA157-$AG157,1E+15)))))</f>
        <v/>
      </c>
      <c r="R157" s="48" t="str">
        <f>IF(OR($B157="",$D157=""),"",IF($AC157=0,"",IF(AND(NOT(ISNUMBER($P157)),NOT(ISNUMBER($AA157))),"∞",MAX(0,MIN(IF(ISNUMBER($P157),$P157-$AF157-$Q157,1E+15),IF(ISNUMBER($AA157),$AA157-$AG157-$Q157,1E+15))))))</f>
        <v/>
      </c>
      <c r="S157" s="47" t="str">
        <f>IF($AD157="","",YEAR($AD157)*100+MONTH($AD157))</f>
        <v/>
      </c>
      <c r="T157" s="50" t="str">
        <f>IF($AD157="","",IFERROR(IF(INDEX(CARDS!$I$5:$I$34,MATCH($D157,CARDS!$A$5:$A$34,0))="","",IF(INDEX(CARDS!$I$5:$I$34,MATCH($D157,CARDS!$A$5:$A$34,0))&gt;INDEX(CARDS!$H$5:$H$34,MATCH($D157,CARDS!$A$5:$A$34,0)),DATE(YEAR($AD157),MONTH($AD157),MIN(INDEX(CARDS!$I$5:$I$34,MATCH($D157,CARDS!$A$5:$A$34,0)),DAY(EOMONTH($AD157,0)))),DATE(YEAR($AD157),MONTH($AD157)+1,MIN(INDEX(CARDS!$I$5:$I$34,MATCH($D157,CARDS!$A$5:$A$34,0)),DAY(EOMONTH($AD157,1)))))),""))</f>
        <v/>
      </c>
      <c r="U157" s="38" t="n"/>
      <c r="V157" s="37" t="n"/>
      <c r="W157" s="38" t="n"/>
      <c r="X157" s="38" t="n"/>
      <c r="Y157" s="44" t="str">
        <f>IF($AC157&gt;0,INDEX(CASHBACK_RULES!$A$5:$A$304,$AC157),"")</f>
        <v/>
      </c>
      <c r="Z157" s="45" t="str">
        <f>IF($AC157&gt;0,INDEX(CASHBACK_RULES!$E$5:$E$304,$AC157)&amp;"","")</f>
        <v/>
      </c>
      <c r="AA157" s="48" t="str">
        <f>IF($AC157&gt;0,IF(ISNUMBER(INDEX(CASHBACK_RULES!$K$5:$K$304,$AC157)),INDEX(CASHBACK_RULES!$K$5:$K$304,$AC157),"∞"),"")</f>
        <v/>
      </c>
      <c r="AB157" s="44" t="str">
        <f>IF(OR($B157="",$D157=""),"",IF($U157="Cancelled","Đã hủy",IF($AC157=0,"Không được hoàn",IF($Q157=0,IF(OR($O157&gt;0,$M157&lt;$L157),"Đã đạt cap","Không được hoàn"),IF(OR($Q157&lt;$O157,$M157&lt;$L157),"Hoàn một phần","Được hoàn")))))</f>
        <v/>
      </c>
      <c r="AC157" s="43">
        <f>IF(OR($B157="",$D157="",$I157="",$L157=""),0,IF($U157="Cancelled",0,IF($W157&lt;&gt;"",IFERROR(IF(INDEX(CASHBACK_RULES!$B$5:$B$304,MATCH($W157,CASHBACK_RULES!$A$5:$A$304,0))=$D157,MATCH($W157,CASHBACK_RULES!$A$5:$A$304,0),0),0),IFERROR(MATCH(1,INDEX((CASHBACK_RULES!$B$5:$B$304=$D157)*(CASHBACK_RULES!$G$5:$G$304=$I157)*(((CASHBACK_RULES!$N$5:$N$304="")+(CASHBACK_RULES!$N$5:$N$304&lt;=$B157))&gt;0)*(((CASHBACK_RULES!$O$5:$O$304="")+(CASHBACK_RULES!$O$5:$O$304&gt;=$B157))&gt;0)*(((CASHBACK_RULES!$M$5:$M$304="")+(CASHBACK_RULES!$M$5:$M$304&lt;=$L157))&gt;0),0),0),0))))</f>
        <v>0</v>
      </c>
      <c r="AD157" s="51" t="str">
        <f>IF(OR($B157="",$D157=""),"",IFERROR(IF(INDEX(CARDS!$H$5:$H$34,MATCH($D157,CARDS!$A$5:$A$34,0))="","",IF(DAY($B157)&lt;=INDEX(CARDS!$H$5:$H$34,MATCH($D157,CARDS!$A$5:$A$34,0)),DATE(YEAR($B157),MONTH($B157),MIN(INDEX(CARDS!$H$5:$H$34,MATCH($D157,CARDS!$A$5:$A$34,0)),DAY(EOMONTH($B157,0)))),DATE(YEAR($B157),MONTH($B157)+1,MIN(INDEX(CARDS!$H$5:$H$34,MATCH($D157,CARDS!$A$5:$A$34,0)),DAY(EOMONTH($B157,1)))))),""))</f>
        <v/>
      </c>
      <c r="AE157" s="52" t="str">
        <f>IF($C157="","",$C157&amp;"|"&amp;COUNTIF($C$5:$C157,$C157))</f>
        <v/>
      </c>
      <c r="AF157" s="53">
        <f>IF($AC157&gt;0,SUMIFS(Q$4:Q156,$D$4:$D156,$D157,$Z$4:$Z156,$Z157,$C$4:$C156,$C157),0)</f>
        <v>0</v>
      </c>
      <c r="AG157" s="53">
        <f>IF($AC157&gt;0,SUMIFS(Q$4:Q156,$D$4:$D156,$D157,$C$4:$C156,$C157),0)</f>
        <v>0</v>
      </c>
      <c r="AH157" s="53">
        <f>IF($AC157&gt;0,SUMIFS(M$4:M156,$D$4:$D156,$D157,$Z$4:$Z156,$Z157,$C$4:$C156,$C157),0)</f>
        <v>0</v>
      </c>
      <c r="AI157" s="43">
        <f>IF(OR($C157="",$I157=""),0,IF(COUNTIFS($C$5:$C157,$C157,$I$5:$I157,$I157)=1,1,0))</f>
        <v>0</v>
      </c>
      <c r="AJ157" s="43" t="str">
        <f>IF($AI157=1,SUMIFS($AI$4:$AI156,$C$4:$C156,$C157)+1,"")</f>
        <v/>
      </c>
      <c r="AK157" s="43">
        <f>IF(OR($C157="",$K157=""),0,IF(COUNTIFS($C$5:$C157,$C157,$K$5:$K157,$K157)=1,1,0))</f>
        <v>0</v>
      </c>
      <c r="AL157" s="43" t="str">
        <f>IF($AK157=1,SUMIFS($AK$4:$AK156,$C$4:$C156,$C157)+1,"")</f>
        <v/>
      </c>
      <c r="AM157" s="43">
        <f>IF(OR($C157="",$G157=""),0,IF(COUNTIFS($C$5:$C157,$C157,$G$5:$G157,$G157)=1,1,0))</f>
        <v>0</v>
      </c>
      <c r="AN157" s="43" t="str">
        <f>IF($AM157=1,SUMIFS($AM$4:$AM156,$C$4:$C156,$C157)+1,"")</f>
        <v/>
      </c>
    </row>
    <row r="158">
      <c r="A158" s="44" t="str">
        <f>IF(OR($B158="",$D158=""),"","TX"&amp;TEXT(ROW()-4,"0000"))</f>
        <v/>
      </c>
      <c r="B158" s="42" t="n"/>
      <c r="C158" s="47" t="str">
        <f>IF($B158="","",YEAR($B158)*100+MONTH($B158))</f>
        <v/>
      </c>
      <c r="D158" s="37" t="n"/>
      <c r="E158" s="45" t="str">
        <f>IF($D158="","",IFERROR(INDEX(CARDS!$B$5:$B$34,MATCH($D158,CARDS!$A$5:$A$34,0)),"⚠ Card ID?"))</f>
        <v/>
      </c>
      <c r="F158" s="45" t="str">
        <f>IF($D158="","",IFERROR(INDEX(CARDS!$C$5:$C$34,MATCH($D158,CARDS!$A$5:$A$34,0)),"⚠ Card ID?"))</f>
        <v/>
      </c>
      <c r="G158" s="37" t="n"/>
      <c r="H158" s="37" t="n"/>
      <c r="I158" s="41" t="n"/>
      <c r="J158" s="45" t="str">
        <f>IF($I158="","",IFERROR(INDEX(MCC_MASTER!$B$5:$B$504,MATCH($I158,MCC_MASTER!$A$5:$A$504,0)),"⚠ MCC chưa có"))</f>
        <v/>
      </c>
      <c r="K158" s="45" t="str">
        <f>IF($I158="","",IFERROR(IF(INDEX(MCC_MASTER!$C$5:$C$504,MATCH($I158,MCC_MASTER!$A$5:$A$504,0))="","Chưa phân loại",INDEX(MCC_MASTER!$C$5:$C$504,MATCH($I158,MCC_MASTER!$A$5:$A$504,0))),"Chưa phân loại"))</f>
        <v/>
      </c>
      <c r="L158" s="40" t="n"/>
      <c r="M158" s="48" t="str">
        <f>IF(OR($B158="",$D158=""),"",IF($AC158=0,0,IF(ISNUMBER(INDEX(CASHBACK_RULES!$L$5:$L$304,$AC158)),MAX(0,MIN($L158,INDEX(CASHBACK_RULES!$L$5:$L$304,$AC158)-$AH158)),MAX(0,$L158))))</f>
        <v/>
      </c>
      <c r="N158" s="49" t="str">
        <f>IF(OR($B158="",$D158=""),"",IF($AC158&gt;0,INDEX(CASHBACK_RULES!$I$5:$I$304,$AC158),0))</f>
        <v/>
      </c>
      <c r="O158" s="48" t="str">
        <f>IF(OR($B158="",$D158=""),"",ROUND($M158*$N158,0))</f>
        <v/>
      </c>
      <c r="P158" s="48" t="str">
        <f>IF($AC158&gt;0,IF(ISNUMBER(INDEX(CASHBACK_RULES!$J$5:$J$304,$AC158)),INDEX(CASHBACK_RULES!$J$5:$J$304,$AC158),"∞"),"")</f>
        <v/>
      </c>
      <c r="Q158" s="48" t="str">
        <f>IF(OR($B158="",$D158=""),"",IF($AC158=0,0,MAX(0,MIN($O158,IF(ISNUMBER($P158),$P158-$AF158,1E+15),IF(ISNUMBER($AA158),$AA158-$AG158,1E+15)))))</f>
        <v/>
      </c>
      <c r="R158" s="48" t="str">
        <f>IF(OR($B158="",$D158=""),"",IF($AC158=0,"",IF(AND(NOT(ISNUMBER($P158)),NOT(ISNUMBER($AA158))),"∞",MAX(0,MIN(IF(ISNUMBER($P158),$P158-$AF158-$Q158,1E+15),IF(ISNUMBER($AA158),$AA158-$AG158-$Q158,1E+15))))))</f>
        <v/>
      </c>
      <c r="S158" s="47" t="str">
        <f>IF($AD158="","",YEAR($AD158)*100+MONTH($AD158))</f>
        <v/>
      </c>
      <c r="T158" s="50" t="str">
        <f>IF($AD158="","",IFERROR(IF(INDEX(CARDS!$I$5:$I$34,MATCH($D158,CARDS!$A$5:$A$34,0))="","",IF(INDEX(CARDS!$I$5:$I$34,MATCH($D158,CARDS!$A$5:$A$34,0))&gt;INDEX(CARDS!$H$5:$H$34,MATCH($D158,CARDS!$A$5:$A$34,0)),DATE(YEAR($AD158),MONTH($AD158),MIN(INDEX(CARDS!$I$5:$I$34,MATCH($D158,CARDS!$A$5:$A$34,0)),DAY(EOMONTH($AD158,0)))),DATE(YEAR($AD158),MONTH($AD158)+1,MIN(INDEX(CARDS!$I$5:$I$34,MATCH($D158,CARDS!$A$5:$A$34,0)),DAY(EOMONTH($AD158,1)))))),""))</f>
        <v/>
      </c>
      <c r="U158" s="38" t="n"/>
      <c r="V158" s="37" t="n"/>
      <c r="W158" s="38" t="n"/>
      <c r="X158" s="38" t="n"/>
      <c r="Y158" s="44" t="str">
        <f>IF($AC158&gt;0,INDEX(CASHBACK_RULES!$A$5:$A$304,$AC158),"")</f>
        <v/>
      </c>
      <c r="Z158" s="45" t="str">
        <f>IF($AC158&gt;0,INDEX(CASHBACK_RULES!$E$5:$E$304,$AC158)&amp;"","")</f>
        <v/>
      </c>
      <c r="AA158" s="48" t="str">
        <f>IF($AC158&gt;0,IF(ISNUMBER(INDEX(CASHBACK_RULES!$K$5:$K$304,$AC158)),INDEX(CASHBACK_RULES!$K$5:$K$304,$AC158),"∞"),"")</f>
        <v/>
      </c>
      <c r="AB158" s="44" t="str">
        <f>IF(OR($B158="",$D158=""),"",IF($U158="Cancelled","Đã hủy",IF($AC158=0,"Không được hoàn",IF($Q158=0,IF(OR($O158&gt;0,$M158&lt;$L158),"Đã đạt cap","Không được hoàn"),IF(OR($Q158&lt;$O158,$M158&lt;$L158),"Hoàn một phần","Được hoàn")))))</f>
        <v/>
      </c>
      <c r="AC158" s="43">
        <f>IF(OR($B158="",$D158="",$I158="",$L158=""),0,IF($U158="Cancelled",0,IF($W158&lt;&gt;"",IFERROR(IF(INDEX(CASHBACK_RULES!$B$5:$B$304,MATCH($W158,CASHBACK_RULES!$A$5:$A$304,0))=$D158,MATCH($W158,CASHBACK_RULES!$A$5:$A$304,0),0),0),IFERROR(MATCH(1,INDEX((CASHBACK_RULES!$B$5:$B$304=$D158)*(CASHBACK_RULES!$G$5:$G$304=$I158)*(((CASHBACK_RULES!$N$5:$N$304="")+(CASHBACK_RULES!$N$5:$N$304&lt;=$B158))&gt;0)*(((CASHBACK_RULES!$O$5:$O$304="")+(CASHBACK_RULES!$O$5:$O$304&gt;=$B158))&gt;0)*(((CASHBACK_RULES!$M$5:$M$304="")+(CASHBACK_RULES!$M$5:$M$304&lt;=$L158))&gt;0),0),0),0))))</f>
        <v>0</v>
      </c>
      <c r="AD158" s="51" t="str">
        <f>IF(OR($B158="",$D158=""),"",IFERROR(IF(INDEX(CARDS!$H$5:$H$34,MATCH($D158,CARDS!$A$5:$A$34,0))="","",IF(DAY($B158)&lt;=INDEX(CARDS!$H$5:$H$34,MATCH($D158,CARDS!$A$5:$A$34,0)),DATE(YEAR($B158),MONTH($B158),MIN(INDEX(CARDS!$H$5:$H$34,MATCH($D158,CARDS!$A$5:$A$34,0)),DAY(EOMONTH($B158,0)))),DATE(YEAR($B158),MONTH($B158)+1,MIN(INDEX(CARDS!$H$5:$H$34,MATCH($D158,CARDS!$A$5:$A$34,0)),DAY(EOMONTH($B158,1)))))),""))</f>
        <v/>
      </c>
      <c r="AE158" s="52" t="str">
        <f>IF($C158="","",$C158&amp;"|"&amp;COUNTIF($C$5:$C158,$C158))</f>
        <v/>
      </c>
      <c r="AF158" s="53">
        <f>IF($AC158&gt;0,SUMIFS(Q$4:Q157,$D$4:$D157,$D158,$Z$4:$Z157,$Z158,$C$4:$C157,$C158),0)</f>
        <v>0</v>
      </c>
      <c r="AG158" s="53">
        <f>IF($AC158&gt;0,SUMIFS(Q$4:Q157,$D$4:$D157,$D158,$C$4:$C157,$C158),0)</f>
        <v>0</v>
      </c>
      <c r="AH158" s="53">
        <f>IF($AC158&gt;0,SUMIFS(M$4:M157,$D$4:$D157,$D158,$Z$4:$Z157,$Z158,$C$4:$C157,$C158),0)</f>
        <v>0</v>
      </c>
      <c r="AI158" s="43">
        <f>IF(OR($C158="",$I158=""),0,IF(COUNTIFS($C$5:$C158,$C158,$I$5:$I158,$I158)=1,1,0))</f>
        <v>0</v>
      </c>
      <c r="AJ158" s="43" t="str">
        <f>IF($AI158=1,SUMIFS($AI$4:$AI157,$C$4:$C157,$C158)+1,"")</f>
        <v/>
      </c>
      <c r="AK158" s="43">
        <f>IF(OR($C158="",$K158=""),0,IF(COUNTIFS($C$5:$C158,$C158,$K$5:$K158,$K158)=1,1,0))</f>
        <v>0</v>
      </c>
      <c r="AL158" s="43" t="str">
        <f>IF($AK158=1,SUMIFS($AK$4:$AK157,$C$4:$C157,$C158)+1,"")</f>
        <v/>
      </c>
      <c r="AM158" s="43">
        <f>IF(OR($C158="",$G158=""),0,IF(COUNTIFS($C$5:$C158,$C158,$G$5:$G158,$G158)=1,1,0))</f>
        <v>0</v>
      </c>
      <c r="AN158" s="43" t="str">
        <f>IF($AM158=1,SUMIFS($AM$4:$AM157,$C$4:$C157,$C158)+1,"")</f>
        <v/>
      </c>
    </row>
    <row r="159">
      <c r="A159" s="44" t="str">
        <f>IF(OR($B159="",$D159=""),"","TX"&amp;TEXT(ROW()-4,"0000"))</f>
        <v/>
      </c>
      <c r="B159" s="42" t="n"/>
      <c r="C159" s="47" t="str">
        <f>IF($B159="","",YEAR($B159)*100+MONTH($B159))</f>
        <v/>
      </c>
      <c r="D159" s="37" t="n"/>
      <c r="E159" s="45" t="str">
        <f>IF($D159="","",IFERROR(INDEX(CARDS!$B$5:$B$34,MATCH($D159,CARDS!$A$5:$A$34,0)),"⚠ Card ID?"))</f>
        <v/>
      </c>
      <c r="F159" s="45" t="str">
        <f>IF($D159="","",IFERROR(INDEX(CARDS!$C$5:$C$34,MATCH($D159,CARDS!$A$5:$A$34,0)),"⚠ Card ID?"))</f>
        <v/>
      </c>
      <c r="G159" s="37" t="n"/>
      <c r="H159" s="37" t="n"/>
      <c r="I159" s="41" t="n"/>
      <c r="J159" s="45" t="str">
        <f>IF($I159="","",IFERROR(INDEX(MCC_MASTER!$B$5:$B$504,MATCH($I159,MCC_MASTER!$A$5:$A$504,0)),"⚠ MCC chưa có"))</f>
        <v/>
      </c>
      <c r="K159" s="45" t="str">
        <f>IF($I159="","",IFERROR(IF(INDEX(MCC_MASTER!$C$5:$C$504,MATCH($I159,MCC_MASTER!$A$5:$A$504,0))="","Chưa phân loại",INDEX(MCC_MASTER!$C$5:$C$504,MATCH($I159,MCC_MASTER!$A$5:$A$504,0))),"Chưa phân loại"))</f>
        <v/>
      </c>
      <c r="L159" s="40" t="n"/>
      <c r="M159" s="48" t="str">
        <f>IF(OR($B159="",$D159=""),"",IF($AC159=0,0,IF(ISNUMBER(INDEX(CASHBACK_RULES!$L$5:$L$304,$AC159)),MAX(0,MIN($L159,INDEX(CASHBACK_RULES!$L$5:$L$304,$AC159)-$AH159)),MAX(0,$L159))))</f>
        <v/>
      </c>
      <c r="N159" s="49" t="str">
        <f>IF(OR($B159="",$D159=""),"",IF($AC159&gt;0,INDEX(CASHBACK_RULES!$I$5:$I$304,$AC159),0))</f>
        <v/>
      </c>
      <c r="O159" s="48" t="str">
        <f>IF(OR($B159="",$D159=""),"",ROUND($M159*$N159,0))</f>
        <v/>
      </c>
      <c r="P159" s="48" t="str">
        <f>IF($AC159&gt;0,IF(ISNUMBER(INDEX(CASHBACK_RULES!$J$5:$J$304,$AC159)),INDEX(CASHBACK_RULES!$J$5:$J$304,$AC159),"∞"),"")</f>
        <v/>
      </c>
      <c r="Q159" s="48" t="str">
        <f>IF(OR($B159="",$D159=""),"",IF($AC159=0,0,MAX(0,MIN($O159,IF(ISNUMBER($P159),$P159-$AF159,1E+15),IF(ISNUMBER($AA159),$AA159-$AG159,1E+15)))))</f>
        <v/>
      </c>
      <c r="R159" s="48" t="str">
        <f>IF(OR($B159="",$D159=""),"",IF($AC159=0,"",IF(AND(NOT(ISNUMBER($P159)),NOT(ISNUMBER($AA159))),"∞",MAX(0,MIN(IF(ISNUMBER($P159),$P159-$AF159-$Q159,1E+15),IF(ISNUMBER($AA159),$AA159-$AG159-$Q159,1E+15))))))</f>
        <v/>
      </c>
      <c r="S159" s="47" t="str">
        <f>IF($AD159="","",YEAR($AD159)*100+MONTH($AD159))</f>
        <v/>
      </c>
      <c r="T159" s="50" t="str">
        <f>IF($AD159="","",IFERROR(IF(INDEX(CARDS!$I$5:$I$34,MATCH($D159,CARDS!$A$5:$A$34,0))="","",IF(INDEX(CARDS!$I$5:$I$34,MATCH($D159,CARDS!$A$5:$A$34,0))&gt;INDEX(CARDS!$H$5:$H$34,MATCH($D159,CARDS!$A$5:$A$34,0)),DATE(YEAR($AD159),MONTH($AD159),MIN(INDEX(CARDS!$I$5:$I$34,MATCH($D159,CARDS!$A$5:$A$34,0)),DAY(EOMONTH($AD159,0)))),DATE(YEAR($AD159),MONTH($AD159)+1,MIN(INDEX(CARDS!$I$5:$I$34,MATCH($D159,CARDS!$A$5:$A$34,0)),DAY(EOMONTH($AD159,1)))))),""))</f>
        <v/>
      </c>
      <c r="U159" s="38" t="n"/>
      <c r="V159" s="37" t="n"/>
      <c r="W159" s="38" t="n"/>
      <c r="X159" s="38" t="n"/>
      <c r="Y159" s="44" t="str">
        <f>IF($AC159&gt;0,INDEX(CASHBACK_RULES!$A$5:$A$304,$AC159),"")</f>
        <v/>
      </c>
      <c r="Z159" s="45" t="str">
        <f>IF($AC159&gt;0,INDEX(CASHBACK_RULES!$E$5:$E$304,$AC159)&amp;"","")</f>
        <v/>
      </c>
      <c r="AA159" s="48" t="str">
        <f>IF($AC159&gt;0,IF(ISNUMBER(INDEX(CASHBACK_RULES!$K$5:$K$304,$AC159)),INDEX(CASHBACK_RULES!$K$5:$K$304,$AC159),"∞"),"")</f>
        <v/>
      </c>
      <c r="AB159" s="44" t="str">
        <f>IF(OR($B159="",$D159=""),"",IF($U159="Cancelled","Đã hủy",IF($AC159=0,"Không được hoàn",IF($Q159=0,IF(OR($O159&gt;0,$M159&lt;$L159),"Đã đạt cap","Không được hoàn"),IF(OR($Q159&lt;$O159,$M159&lt;$L159),"Hoàn một phần","Được hoàn")))))</f>
        <v/>
      </c>
      <c r="AC159" s="43">
        <f>IF(OR($B159="",$D159="",$I159="",$L159=""),0,IF($U159="Cancelled",0,IF($W159&lt;&gt;"",IFERROR(IF(INDEX(CASHBACK_RULES!$B$5:$B$304,MATCH($W159,CASHBACK_RULES!$A$5:$A$304,0))=$D159,MATCH($W159,CASHBACK_RULES!$A$5:$A$304,0),0),0),IFERROR(MATCH(1,INDEX((CASHBACK_RULES!$B$5:$B$304=$D159)*(CASHBACK_RULES!$G$5:$G$304=$I159)*(((CASHBACK_RULES!$N$5:$N$304="")+(CASHBACK_RULES!$N$5:$N$304&lt;=$B159))&gt;0)*(((CASHBACK_RULES!$O$5:$O$304="")+(CASHBACK_RULES!$O$5:$O$304&gt;=$B159))&gt;0)*(((CASHBACK_RULES!$M$5:$M$304="")+(CASHBACK_RULES!$M$5:$M$304&lt;=$L159))&gt;0),0),0),0))))</f>
        <v>0</v>
      </c>
      <c r="AD159" s="51" t="str">
        <f>IF(OR($B159="",$D159=""),"",IFERROR(IF(INDEX(CARDS!$H$5:$H$34,MATCH($D159,CARDS!$A$5:$A$34,0))="","",IF(DAY($B159)&lt;=INDEX(CARDS!$H$5:$H$34,MATCH($D159,CARDS!$A$5:$A$34,0)),DATE(YEAR($B159),MONTH($B159),MIN(INDEX(CARDS!$H$5:$H$34,MATCH($D159,CARDS!$A$5:$A$34,0)),DAY(EOMONTH($B159,0)))),DATE(YEAR($B159),MONTH($B159)+1,MIN(INDEX(CARDS!$H$5:$H$34,MATCH($D159,CARDS!$A$5:$A$34,0)),DAY(EOMONTH($B159,1)))))),""))</f>
        <v/>
      </c>
      <c r="AE159" s="52" t="str">
        <f>IF($C159="","",$C159&amp;"|"&amp;COUNTIF($C$5:$C159,$C159))</f>
        <v/>
      </c>
      <c r="AF159" s="53">
        <f>IF($AC159&gt;0,SUMIFS(Q$4:Q158,$D$4:$D158,$D159,$Z$4:$Z158,$Z159,$C$4:$C158,$C159),0)</f>
        <v>0</v>
      </c>
      <c r="AG159" s="53">
        <f>IF($AC159&gt;0,SUMIFS(Q$4:Q158,$D$4:$D158,$D159,$C$4:$C158,$C159),0)</f>
        <v>0</v>
      </c>
      <c r="AH159" s="53">
        <f>IF($AC159&gt;0,SUMIFS(M$4:M158,$D$4:$D158,$D159,$Z$4:$Z158,$Z159,$C$4:$C158,$C159),0)</f>
        <v>0</v>
      </c>
      <c r="AI159" s="43">
        <f>IF(OR($C159="",$I159=""),0,IF(COUNTIFS($C$5:$C159,$C159,$I$5:$I159,$I159)=1,1,0))</f>
        <v>0</v>
      </c>
      <c r="AJ159" s="43" t="str">
        <f>IF($AI159=1,SUMIFS($AI$4:$AI158,$C$4:$C158,$C159)+1,"")</f>
        <v/>
      </c>
      <c r="AK159" s="43">
        <f>IF(OR($C159="",$K159=""),0,IF(COUNTIFS($C$5:$C159,$C159,$K$5:$K159,$K159)=1,1,0))</f>
        <v>0</v>
      </c>
      <c r="AL159" s="43" t="str">
        <f>IF($AK159=1,SUMIFS($AK$4:$AK158,$C$4:$C158,$C159)+1,"")</f>
        <v/>
      </c>
      <c r="AM159" s="43">
        <f>IF(OR($C159="",$G159=""),0,IF(COUNTIFS($C$5:$C159,$C159,$G$5:$G159,$G159)=1,1,0))</f>
        <v>0</v>
      </c>
      <c r="AN159" s="43" t="str">
        <f>IF($AM159=1,SUMIFS($AM$4:$AM158,$C$4:$C158,$C159)+1,"")</f>
        <v/>
      </c>
    </row>
    <row r="160">
      <c r="A160" s="44" t="str">
        <f>IF(OR($B160="",$D160=""),"","TX"&amp;TEXT(ROW()-4,"0000"))</f>
        <v/>
      </c>
      <c r="B160" s="42" t="n"/>
      <c r="C160" s="47" t="str">
        <f>IF($B160="","",YEAR($B160)*100+MONTH($B160))</f>
        <v/>
      </c>
      <c r="D160" s="37" t="n"/>
      <c r="E160" s="45" t="str">
        <f>IF($D160="","",IFERROR(INDEX(CARDS!$B$5:$B$34,MATCH($D160,CARDS!$A$5:$A$34,0)),"⚠ Card ID?"))</f>
        <v/>
      </c>
      <c r="F160" s="45" t="str">
        <f>IF($D160="","",IFERROR(INDEX(CARDS!$C$5:$C$34,MATCH($D160,CARDS!$A$5:$A$34,0)),"⚠ Card ID?"))</f>
        <v/>
      </c>
      <c r="G160" s="37" t="n"/>
      <c r="H160" s="37" t="n"/>
      <c r="I160" s="41" t="n"/>
      <c r="J160" s="45" t="str">
        <f>IF($I160="","",IFERROR(INDEX(MCC_MASTER!$B$5:$B$504,MATCH($I160,MCC_MASTER!$A$5:$A$504,0)),"⚠ MCC chưa có"))</f>
        <v/>
      </c>
      <c r="K160" s="45" t="str">
        <f>IF($I160="","",IFERROR(IF(INDEX(MCC_MASTER!$C$5:$C$504,MATCH($I160,MCC_MASTER!$A$5:$A$504,0))="","Chưa phân loại",INDEX(MCC_MASTER!$C$5:$C$504,MATCH($I160,MCC_MASTER!$A$5:$A$504,0))),"Chưa phân loại"))</f>
        <v/>
      </c>
      <c r="L160" s="40" t="n"/>
      <c r="M160" s="48" t="str">
        <f>IF(OR($B160="",$D160=""),"",IF($AC160=0,0,IF(ISNUMBER(INDEX(CASHBACK_RULES!$L$5:$L$304,$AC160)),MAX(0,MIN($L160,INDEX(CASHBACK_RULES!$L$5:$L$304,$AC160)-$AH160)),MAX(0,$L160))))</f>
        <v/>
      </c>
      <c r="N160" s="49" t="str">
        <f>IF(OR($B160="",$D160=""),"",IF($AC160&gt;0,INDEX(CASHBACK_RULES!$I$5:$I$304,$AC160),0))</f>
        <v/>
      </c>
      <c r="O160" s="48" t="str">
        <f>IF(OR($B160="",$D160=""),"",ROUND($M160*$N160,0))</f>
        <v/>
      </c>
      <c r="P160" s="48" t="str">
        <f>IF($AC160&gt;0,IF(ISNUMBER(INDEX(CASHBACK_RULES!$J$5:$J$304,$AC160)),INDEX(CASHBACK_RULES!$J$5:$J$304,$AC160),"∞"),"")</f>
        <v/>
      </c>
      <c r="Q160" s="48" t="str">
        <f>IF(OR($B160="",$D160=""),"",IF($AC160=0,0,MAX(0,MIN($O160,IF(ISNUMBER($P160),$P160-$AF160,1E+15),IF(ISNUMBER($AA160),$AA160-$AG160,1E+15)))))</f>
        <v/>
      </c>
      <c r="R160" s="48" t="str">
        <f>IF(OR($B160="",$D160=""),"",IF($AC160=0,"",IF(AND(NOT(ISNUMBER($P160)),NOT(ISNUMBER($AA160))),"∞",MAX(0,MIN(IF(ISNUMBER($P160),$P160-$AF160-$Q160,1E+15),IF(ISNUMBER($AA160),$AA160-$AG160-$Q160,1E+15))))))</f>
        <v/>
      </c>
      <c r="S160" s="47" t="str">
        <f>IF($AD160="","",YEAR($AD160)*100+MONTH($AD160))</f>
        <v/>
      </c>
      <c r="T160" s="50" t="str">
        <f>IF($AD160="","",IFERROR(IF(INDEX(CARDS!$I$5:$I$34,MATCH($D160,CARDS!$A$5:$A$34,0))="","",IF(INDEX(CARDS!$I$5:$I$34,MATCH($D160,CARDS!$A$5:$A$34,0))&gt;INDEX(CARDS!$H$5:$H$34,MATCH($D160,CARDS!$A$5:$A$34,0)),DATE(YEAR($AD160),MONTH($AD160),MIN(INDEX(CARDS!$I$5:$I$34,MATCH($D160,CARDS!$A$5:$A$34,0)),DAY(EOMONTH($AD160,0)))),DATE(YEAR($AD160),MONTH($AD160)+1,MIN(INDEX(CARDS!$I$5:$I$34,MATCH($D160,CARDS!$A$5:$A$34,0)),DAY(EOMONTH($AD160,1)))))),""))</f>
        <v/>
      </c>
      <c r="U160" s="38" t="n"/>
      <c r="V160" s="37" t="n"/>
      <c r="W160" s="38" t="n"/>
      <c r="X160" s="38" t="n"/>
      <c r="Y160" s="44" t="str">
        <f>IF($AC160&gt;0,INDEX(CASHBACK_RULES!$A$5:$A$304,$AC160),"")</f>
        <v/>
      </c>
      <c r="Z160" s="45" t="str">
        <f>IF($AC160&gt;0,INDEX(CASHBACK_RULES!$E$5:$E$304,$AC160)&amp;"","")</f>
        <v/>
      </c>
      <c r="AA160" s="48" t="str">
        <f>IF($AC160&gt;0,IF(ISNUMBER(INDEX(CASHBACK_RULES!$K$5:$K$304,$AC160)),INDEX(CASHBACK_RULES!$K$5:$K$304,$AC160),"∞"),"")</f>
        <v/>
      </c>
      <c r="AB160" s="44" t="str">
        <f>IF(OR($B160="",$D160=""),"",IF($U160="Cancelled","Đã hủy",IF($AC160=0,"Không được hoàn",IF($Q160=0,IF(OR($O160&gt;0,$M160&lt;$L160),"Đã đạt cap","Không được hoàn"),IF(OR($Q160&lt;$O160,$M160&lt;$L160),"Hoàn một phần","Được hoàn")))))</f>
        <v/>
      </c>
      <c r="AC160" s="43">
        <f>IF(OR($B160="",$D160="",$I160="",$L160=""),0,IF($U160="Cancelled",0,IF($W160&lt;&gt;"",IFERROR(IF(INDEX(CASHBACK_RULES!$B$5:$B$304,MATCH($W160,CASHBACK_RULES!$A$5:$A$304,0))=$D160,MATCH($W160,CASHBACK_RULES!$A$5:$A$304,0),0),0),IFERROR(MATCH(1,INDEX((CASHBACK_RULES!$B$5:$B$304=$D160)*(CASHBACK_RULES!$G$5:$G$304=$I160)*(((CASHBACK_RULES!$N$5:$N$304="")+(CASHBACK_RULES!$N$5:$N$304&lt;=$B160))&gt;0)*(((CASHBACK_RULES!$O$5:$O$304="")+(CASHBACK_RULES!$O$5:$O$304&gt;=$B160))&gt;0)*(((CASHBACK_RULES!$M$5:$M$304="")+(CASHBACK_RULES!$M$5:$M$304&lt;=$L160))&gt;0),0),0),0))))</f>
        <v>0</v>
      </c>
      <c r="AD160" s="51" t="str">
        <f>IF(OR($B160="",$D160=""),"",IFERROR(IF(INDEX(CARDS!$H$5:$H$34,MATCH($D160,CARDS!$A$5:$A$34,0))="","",IF(DAY($B160)&lt;=INDEX(CARDS!$H$5:$H$34,MATCH($D160,CARDS!$A$5:$A$34,0)),DATE(YEAR($B160),MONTH($B160),MIN(INDEX(CARDS!$H$5:$H$34,MATCH($D160,CARDS!$A$5:$A$34,0)),DAY(EOMONTH($B160,0)))),DATE(YEAR($B160),MONTH($B160)+1,MIN(INDEX(CARDS!$H$5:$H$34,MATCH($D160,CARDS!$A$5:$A$34,0)),DAY(EOMONTH($B160,1)))))),""))</f>
        <v/>
      </c>
      <c r="AE160" s="52" t="str">
        <f>IF($C160="","",$C160&amp;"|"&amp;COUNTIF($C$5:$C160,$C160))</f>
        <v/>
      </c>
      <c r="AF160" s="53">
        <f>IF($AC160&gt;0,SUMIFS(Q$4:Q159,$D$4:$D159,$D160,$Z$4:$Z159,$Z160,$C$4:$C159,$C160),0)</f>
        <v>0</v>
      </c>
      <c r="AG160" s="53">
        <f>IF($AC160&gt;0,SUMIFS(Q$4:Q159,$D$4:$D159,$D160,$C$4:$C159,$C160),0)</f>
        <v>0</v>
      </c>
      <c r="AH160" s="53">
        <f>IF($AC160&gt;0,SUMIFS(M$4:M159,$D$4:$D159,$D160,$Z$4:$Z159,$Z160,$C$4:$C159,$C160),0)</f>
        <v>0</v>
      </c>
      <c r="AI160" s="43">
        <f>IF(OR($C160="",$I160=""),0,IF(COUNTIFS($C$5:$C160,$C160,$I$5:$I160,$I160)=1,1,0))</f>
        <v>0</v>
      </c>
      <c r="AJ160" s="43" t="str">
        <f>IF($AI160=1,SUMIFS($AI$4:$AI159,$C$4:$C159,$C160)+1,"")</f>
        <v/>
      </c>
      <c r="AK160" s="43">
        <f>IF(OR($C160="",$K160=""),0,IF(COUNTIFS($C$5:$C160,$C160,$K$5:$K160,$K160)=1,1,0))</f>
        <v>0</v>
      </c>
      <c r="AL160" s="43" t="str">
        <f>IF($AK160=1,SUMIFS($AK$4:$AK159,$C$4:$C159,$C160)+1,"")</f>
        <v/>
      </c>
      <c r="AM160" s="43">
        <f>IF(OR($C160="",$G160=""),0,IF(COUNTIFS($C$5:$C160,$C160,$G$5:$G160,$G160)=1,1,0))</f>
        <v>0</v>
      </c>
      <c r="AN160" s="43" t="str">
        <f>IF($AM160=1,SUMIFS($AM$4:$AM159,$C$4:$C159,$C160)+1,"")</f>
        <v/>
      </c>
    </row>
    <row r="161">
      <c r="A161" s="44" t="str">
        <f>IF(OR($B161="",$D161=""),"","TX"&amp;TEXT(ROW()-4,"0000"))</f>
        <v/>
      </c>
      <c r="B161" s="42" t="n"/>
      <c r="C161" s="47" t="str">
        <f>IF($B161="","",YEAR($B161)*100+MONTH($B161))</f>
        <v/>
      </c>
      <c r="D161" s="37" t="n"/>
      <c r="E161" s="45" t="str">
        <f>IF($D161="","",IFERROR(INDEX(CARDS!$B$5:$B$34,MATCH($D161,CARDS!$A$5:$A$34,0)),"⚠ Card ID?"))</f>
        <v/>
      </c>
      <c r="F161" s="45" t="str">
        <f>IF($D161="","",IFERROR(INDEX(CARDS!$C$5:$C$34,MATCH($D161,CARDS!$A$5:$A$34,0)),"⚠ Card ID?"))</f>
        <v/>
      </c>
      <c r="G161" s="37" t="n"/>
      <c r="H161" s="37" t="n"/>
      <c r="I161" s="41" t="n"/>
      <c r="J161" s="45" t="str">
        <f>IF($I161="","",IFERROR(INDEX(MCC_MASTER!$B$5:$B$504,MATCH($I161,MCC_MASTER!$A$5:$A$504,0)),"⚠ MCC chưa có"))</f>
        <v/>
      </c>
      <c r="K161" s="45" t="str">
        <f>IF($I161="","",IFERROR(IF(INDEX(MCC_MASTER!$C$5:$C$504,MATCH($I161,MCC_MASTER!$A$5:$A$504,0))="","Chưa phân loại",INDEX(MCC_MASTER!$C$5:$C$504,MATCH($I161,MCC_MASTER!$A$5:$A$504,0))),"Chưa phân loại"))</f>
        <v/>
      </c>
      <c r="L161" s="40" t="n"/>
      <c r="M161" s="48" t="str">
        <f>IF(OR($B161="",$D161=""),"",IF($AC161=0,0,IF(ISNUMBER(INDEX(CASHBACK_RULES!$L$5:$L$304,$AC161)),MAX(0,MIN($L161,INDEX(CASHBACK_RULES!$L$5:$L$304,$AC161)-$AH161)),MAX(0,$L161))))</f>
        <v/>
      </c>
      <c r="N161" s="49" t="str">
        <f>IF(OR($B161="",$D161=""),"",IF($AC161&gt;0,INDEX(CASHBACK_RULES!$I$5:$I$304,$AC161),0))</f>
        <v/>
      </c>
      <c r="O161" s="48" t="str">
        <f>IF(OR($B161="",$D161=""),"",ROUND($M161*$N161,0))</f>
        <v/>
      </c>
      <c r="P161" s="48" t="str">
        <f>IF($AC161&gt;0,IF(ISNUMBER(INDEX(CASHBACK_RULES!$J$5:$J$304,$AC161)),INDEX(CASHBACK_RULES!$J$5:$J$304,$AC161),"∞"),"")</f>
        <v/>
      </c>
      <c r="Q161" s="48" t="str">
        <f>IF(OR($B161="",$D161=""),"",IF($AC161=0,0,MAX(0,MIN($O161,IF(ISNUMBER($P161),$P161-$AF161,1E+15),IF(ISNUMBER($AA161),$AA161-$AG161,1E+15)))))</f>
        <v/>
      </c>
      <c r="R161" s="48" t="str">
        <f>IF(OR($B161="",$D161=""),"",IF($AC161=0,"",IF(AND(NOT(ISNUMBER($P161)),NOT(ISNUMBER($AA161))),"∞",MAX(0,MIN(IF(ISNUMBER($P161),$P161-$AF161-$Q161,1E+15),IF(ISNUMBER($AA161),$AA161-$AG161-$Q161,1E+15))))))</f>
        <v/>
      </c>
      <c r="S161" s="47" t="str">
        <f>IF($AD161="","",YEAR($AD161)*100+MONTH($AD161))</f>
        <v/>
      </c>
      <c r="T161" s="50" t="str">
        <f>IF($AD161="","",IFERROR(IF(INDEX(CARDS!$I$5:$I$34,MATCH($D161,CARDS!$A$5:$A$34,0))="","",IF(INDEX(CARDS!$I$5:$I$34,MATCH($D161,CARDS!$A$5:$A$34,0))&gt;INDEX(CARDS!$H$5:$H$34,MATCH($D161,CARDS!$A$5:$A$34,0)),DATE(YEAR($AD161),MONTH($AD161),MIN(INDEX(CARDS!$I$5:$I$34,MATCH($D161,CARDS!$A$5:$A$34,0)),DAY(EOMONTH($AD161,0)))),DATE(YEAR($AD161),MONTH($AD161)+1,MIN(INDEX(CARDS!$I$5:$I$34,MATCH($D161,CARDS!$A$5:$A$34,0)),DAY(EOMONTH($AD161,1)))))),""))</f>
        <v/>
      </c>
      <c r="U161" s="38" t="n"/>
      <c r="V161" s="37" t="n"/>
      <c r="W161" s="38" t="n"/>
      <c r="X161" s="38" t="n"/>
      <c r="Y161" s="44" t="str">
        <f>IF($AC161&gt;0,INDEX(CASHBACK_RULES!$A$5:$A$304,$AC161),"")</f>
        <v/>
      </c>
      <c r="Z161" s="45" t="str">
        <f>IF($AC161&gt;0,INDEX(CASHBACK_RULES!$E$5:$E$304,$AC161)&amp;"","")</f>
        <v/>
      </c>
      <c r="AA161" s="48" t="str">
        <f>IF($AC161&gt;0,IF(ISNUMBER(INDEX(CASHBACK_RULES!$K$5:$K$304,$AC161)),INDEX(CASHBACK_RULES!$K$5:$K$304,$AC161),"∞"),"")</f>
        <v/>
      </c>
      <c r="AB161" s="44" t="str">
        <f>IF(OR($B161="",$D161=""),"",IF($U161="Cancelled","Đã hủy",IF($AC161=0,"Không được hoàn",IF($Q161=0,IF(OR($O161&gt;0,$M161&lt;$L161),"Đã đạt cap","Không được hoàn"),IF(OR($Q161&lt;$O161,$M161&lt;$L161),"Hoàn một phần","Được hoàn")))))</f>
        <v/>
      </c>
      <c r="AC161" s="43">
        <f>IF(OR($B161="",$D161="",$I161="",$L161=""),0,IF($U161="Cancelled",0,IF($W161&lt;&gt;"",IFERROR(IF(INDEX(CASHBACK_RULES!$B$5:$B$304,MATCH($W161,CASHBACK_RULES!$A$5:$A$304,0))=$D161,MATCH($W161,CASHBACK_RULES!$A$5:$A$304,0),0),0),IFERROR(MATCH(1,INDEX((CASHBACK_RULES!$B$5:$B$304=$D161)*(CASHBACK_RULES!$G$5:$G$304=$I161)*(((CASHBACK_RULES!$N$5:$N$304="")+(CASHBACK_RULES!$N$5:$N$304&lt;=$B161))&gt;0)*(((CASHBACK_RULES!$O$5:$O$304="")+(CASHBACK_RULES!$O$5:$O$304&gt;=$B161))&gt;0)*(((CASHBACK_RULES!$M$5:$M$304="")+(CASHBACK_RULES!$M$5:$M$304&lt;=$L161))&gt;0),0),0),0))))</f>
        <v>0</v>
      </c>
      <c r="AD161" s="51" t="str">
        <f>IF(OR($B161="",$D161=""),"",IFERROR(IF(INDEX(CARDS!$H$5:$H$34,MATCH($D161,CARDS!$A$5:$A$34,0))="","",IF(DAY($B161)&lt;=INDEX(CARDS!$H$5:$H$34,MATCH($D161,CARDS!$A$5:$A$34,0)),DATE(YEAR($B161),MONTH($B161),MIN(INDEX(CARDS!$H$5:$H$34,MATCH($D161,CARDS!$A$5:$A$34,0)),DAY(EOMONTH($B161,0)))),DATE(YEAR($B161),MONTH($B161)+1,MIN(INDEX(CARDS!$H$5:$H$34,MATCH($D161,CARDS!$A$5:$A$34,0)),DAY(EOMONTH($B161,1)))))),""))</f>
        <v/>
      </c>
      <c r="AE161" s="52" t="str">
        <f>IF($C161="","",$C161&amp;"|"&amp;COUNTIF($C$5:$C161,$C161))</f>
        <v/>
      </c>
      <c r="AF161" s="53">
        <f>IF($AC161&gt;0,SUMIFS(Q$4:Q160,$D$4:$D160,$D161,$Z$4:$Z160,$Z161,$C$4:$C160,$C161),0)</f>
        <v>0</v>
      </c>
      <c r="AG161" s="53">
        <f>IF($AC161&gt;0,SUMIFS(Q$4:Q160,$D$4:$D160,$D161,$C$4:$C160,$C161),0)</f>
        <v>0</v>
      </c>
      <c r="AH161" s="53">
        <f>IF($AC161&gt;0,SUMIFS(M$4:M160,$D$4:$D160,$D161,$Z$4:$Z160,$Z161,$C$4:$C160,$C161),0)</f>
        <v>0</v>
      </c>
      <c r="AI161" s="43">
        <f>IF(OR($C161="",$I161=""),0,IF(COUNTIFS($C$5:$C161,$C161,$I$5:$I161,$I161)=1,1,0))</f>
        <v>0</v>
      </c>
      <c r="AJ161" s="43" t="str">
        <f>IF($AI161=1,SUMIFS($AI$4:$AI160,$C$4:$C160,$C161)+1,"")</f>
        <v/>
      </c>
      <c r="AK161" s="43">
        <f>IF(OR($C161="",$K161=""),0,IF(COUNTIFS($C$5:$C161,$C161,$K$5:$K161,$K161)=1,1,0))</f>
        <v>0</v>
      </c>
      <c r="AL161" s="43" t="str">
        <f>IF($AK161=1,SUMIFS($AK$4:$AK160,$C$4:$C160,$C161)+1,"")</f>
        <v/>
      </c>
      <c r="AM161" s="43">
        <f>IF(OR($C161="",$G161=""),0,IF(COUNTIFS($C$5:$C161,$C161,$G$5:$G161,$G161)=1,1,0))</f>
        <v>0</v>
      </c>
      <c r="AN161" s="43" t="str">
        <f>IF($AM161=1,SUMIFS($AM$4:$AM160,$C$4:$C160,$C161)+1,"")</f>
        <v/>
      </c>
    </row>
    <row r="162">
      <c r="A162" s="44" t="str">
        <f>IF(OR($B162="",$D162=""),"","TX"&amp;TEXT(ROW()-4,"0000"))</f>
        <v/>
      </c>
      <c r="B162" s="42" t="n"/>
      <c r="C162" s="47" t="str">
        <f>IF($B162="","",YEAR($B162)*100+MONTH($B162))</f>
        <v/>
      </c>
      <c r="D162" s="37" t="n"/>
      <c r="E162" s="45" t="str">
        <f>IF($D162="","",IFERROR(INDEX(CARDS!$B$5:$B$34,MATCH($D162,CARDS!$A$5:$A$34,0)),"⚠ Card ID?"))</f>
        <v/>
      </c>
      <c r="F162" s="45" t="str">
        <f>IF($D162="","",IFERROR(INDEX(CARDS!$C$5:$C$34,MATCH($D162,CARDS!$A$5:$A$34,0)),"⚠ Card ID?"))</f>
        <v/>
      </c>
      <c r="G162" s="37" t="n"/>
      <c r="H162" s="37" t="n"/>
      <c r="I162" s="41" t="n"/>
      <c r="J162" s="45" t="str">
        <f>IF($I162="","",IFERROR(INDEX(MCC_MASTER!$B$5:$B$504,MATCH($I162,MCC_MASTER!$A$5:$A$504,0)),"⚠ MCC chưa có"))</f>
        <v/>
      </c>
      <c r="K162" s="45" t="str">
        <f>IF($I162="","",IFERROR(IF(INDEX(MCC_MASTER!$C$5:$C$504,MATCH($I162,MCC_MASTER!$A$5:$A$504,0))="","Chưa phân loại",INDEX(MCC_MASTER!$C$5:$C$504,MATCH($I162,MCC_MASTER!$A$5:$A$504,0))),"Chưa phân loại"))</f>
        <v/>
      </c>
      <c r="L162" s="40" t="n"/>
      <c r="M162" s="48" t="str">
        <f>IF(OR($B162="",$D162=""),"",IF($AC162=0,0,IF(ISNUMBER(INDEX(CASHBACK_RULES!$L$5:$L$304,$AC162)),MAX(0,MIN($L162,INDEX(CASHBACK_RULES!$L$5:$L$304,$AC162)-$AH162)),MAX(0,$L162))))</f>
        <v/>
      </c>
      <c r="N162" s="49" t="str">
        <f>IF(OR($B162="",$D162=""),"",IF($AC162&gt;0,INDEX(CASHBACK_RULES!$I$5:$I$304,$AC162),0))</f>
        <v/>
      </c>
      <c r="O162" s="48" t="str">
        <f>IF(OR($B162="",$D162=""),"",ROUND($M162*$N162,0))</f>
        <v/>
      </c>
      <c r="P162" s="48" t="str">
        <f>IF($AC162&gt;0,IF(ISNUMBER(INDEX(CASHBACK_RULES!$J$5:$J$304,$AC162)),INDEX(CASHBACK_RULES!$J$5:$J$304,$AC162),"∞"),"")</f>
        <v/>
      </c>
      <c r="Q162" s="48" t="str">
        <f>IF(OR($B162="",$D162=""),"",IF($AC162=0,0,MAX(0,MIN($O162,IF(ISNUMBER($P162),$P162-$AF162,1E+15),IF(ISNUMBER($AA162),$AA162-$AG162,1E+15)))))</f>
        <v/>
      </c>
      <c r="R162" s="48" t="str">
        <f>IF(OR($B162="",$D162=""),"",IF($AC162=0,"",IF(AND(NOT(ISNUMBER($P162)),NOT(ISNUMBER($AA162))),"∞",MAX(0,MIN(IF(ISNUMBER($P162),$P162-$AF162-$Q162,1E+15),IF(ISNUMBER($AA162),$AA162-$AG162-$Q162,1E+15))))))</f>
        <v/>
      </c>
      <c r="S162" s="47" t="str">
        <f>IF($AD162="","",YEAR($AD162)*100+MONTH($AD162))</f>
        <v/>
      </c>
      <c r="T162" s="50" t="str">
        <f>IF($AD162="","",IFERROR(IF(INDEX(CARDS!$I$5:$I$34,MATCH($D162,CARDS!$A$5:$A$34,0))="","",IF(INDEX(CARDS!$I$5:$I$34,MATCH($D162,CARDS!$A$5:$A$34,0))&gt;INDEX(CARDS!$H$5:$H$34,MATCH($D162,CARDS!$A$5:$A$34,0)),DATE(YEAR($AD162),MONTH($AD162),MIN(INDEX(CARDS!$I$5:$I$34,MATCH($D162,CARDS!$A$5:$A$34,0)),DAY(EOMONTH($AD162,0)))),DATE(YEAR($AD162),MONTH($AD162)+1,MIN(INDEX(CARDS!$I$5:$I$34,MATCH($D162,CARDS!$A$5:$A$34,0)),DAY(EOMONTH($AD162,1)))))),""))</f>
        <v/>
      </c>
      <c r="U162" s="38" t="n"/>
      <c r="V162" s="37" t="n"/>
      <c r="W162" s="38" t="n"/>
      <c r="X162" s="38" t="n"/>
      <c r="Y162" s="44" t="str">
        <f>IF($AC162&gt;0,INDEX(CASHBACK_RULES!$A$5:$A$304,$AC162),"")</f>
        <v/>
      </c>
      <c r="Z162" s="45" t="str">
        <f>IF($AC162&gt;0,INDEX(CASHBACK_RULES!$E$5:$E$304,$AC162)&amp;"","")</f>
        <v/>
      </c>
      <c r="AA162" s="48" t="str">
        <f>IF($AC162&gt;0,IF(ISNUMBER(INDEX(CASHBACK_RULES!$K$5:$K$304,$AC162)),INDEX(CASHBACK_RULES!$K$5:$K$304,$AC162),"∞"),"")</f>
        <v/>
      </c>
      <c r="AB162" s="44" t="str">
        <f>IF(OR($B162="",$D162=""),"",IF($U162="Cancelled","Đã hủy",IF($AC162=0,"Không được hoàn",IF($Q162=0,IF(OR($O162&gt;0,$M162&lt;$L162),"Đã đạt cap","Không được hoàn"),IF(OR($Q162&lt;$O162,$M162&lt;$L162),"Hoàn một phần","Được hoàn")))))</f>
        <v/>
      </c>
      <c r="AC162" s="43">
        <f>IF(OR($B162="",$D162="",$I162="",$L162=""),0,IF($U162="Cancelled",0,IF($W162&lt;&gt;"",IFERROR(IF(INDEX(CASHBACK_RULES!$B$5:$B$304,MATCH($W162,CASHBACK_RULES!$A$5:$A$304,0))=$D162,MATCH($W162,CASHBACK_RULES!$A$5:$A$304,0),0),0),IFERROR(MATCH(1,INDEX((CASHBACK_RULES!$B$5:$B$304=$D162)*(CASHBACK_RULES!$G$5:$G$304=$I162)*(((CASHBACK_RULES!$N$5:$N$304="")+(CASHBACK_RULES!$N$5:$N$304&lt;=$B162))&gt;0)*(((CASHBACK_RULES!$O$5:$O$304="")+(CASHBACK_RULES!$O$5:$O$304&gt;=$B162))&gt;0)*(((CASHBACK_RULES!$M$5:$M$304="")+(CASHBACK_RULES!$M$5:$M$304&lt;=$L162))&gt;0),0),0),0))))</f>
        <v>0</v>
      </c>
      <c r="AD162" s="51" t="str">
        <f>IF(OR($B162="",$D162=""),"",IFERROR(IF(INDEX(CARDS!$H$5:$H$34,MATCH($D162,CARDS!$A$5:$A$34,0))="","",IF(DAY($B162)&lt;=INDEX(CARDS!$H$5:$H$34,MATCH($D162,CARDS!$A$5:$A$34,0)),DATE(YEAR($B162),MONTH($B162),MIN(INDEX(CARDS!$H$5:$H$34,MATCH($D162,CARDS!$A$5:$A$34,0)),DAY(EOMONTH($B162,0)))),DATE(YEAR($B162),MONTH($B162)+1,MIN(INDEX(CARDS!$H$5:$H$34,MATCH($D162,CARDS!$A$5:$A$34,0)),DAY(EOMONTH($B162,1)))))),""))</f>
        <v/>
      </c>
      <c r="AE162" s="52" t="str">
        <f>IF($C162="","",$C162&amp;"|"&amp;COUNTIF($C$5:$C162,$C162))</f>
        <v/>
      </c>
      <c r="AF162" s="53">
        <f>IF($AC162&gt;0,SUMIFS(Q$4:Q161,$D$4:$D161,$D162,$Z$4:$Z161,$Z162,$C$4:$C161,$C162),0)</f>
        <v>0</v>
      </c>
      <c r="AG162" s="53">
        <f>IF($AC162&gt;0,SUMIFS(Q$4:Q161,$D$4:$D161,$D162,$C$4:$C161,$C162),0)</f>
        <v>0</v>
      </c>
      <c r="AH162" s="53">
        <f>IF($AC162&gt;0,SUMIFS(M$4:M161,$D$4:$D161,$D162,$Z$4:$Z161,$Z162,$C$4:$C161,$C162),0)</f>
        <v>0</v>
      </c>
      <c r="AI162" s="43">
        <f>IF(OR($C162="",$I162=""),0,IF(COUNTIFS($C$5:$C162,$C162,$I$5:$I162,$I162)=1,1,0))</f>
        <v>0</v>
      </c>
      <c r="AJ162" s="43" t="str">
        <f>IF($AI162=1,SUMIFS($AI$4:$AI161,$C$4:$C161,$C162)+1,"")</f>
        <v/>
      </c>
      <c r="AK162" s="43">
        <f>IF(OR($C162="",$K162=""),0,IF(COUNTIFS($C$5:$C162,$C162,$K$5:$K162,$K162)=1,1,0))</f>
        <v>0</v>
      </c>
      <c r="AL162" s="43" t="str">
        <f>IF($AK162=1,SUMIFS($AK$4:$AK161,$C$4:$C161,$C162)+1,"")</f>
        <v/>
      </c>
      <c r="AM162" s="43">
        <f>IF(OR($C162="",$G162=""),0,IF(COUNTIFS($C$5:$C162,$C162,$G$5:$G162,$G162)=1,1,0))</f>
        <v>0</v>
      </c>
      <c r="AN162" s="43" t="str">
        <f>IF($AM162=1,SUMIFS($AM$4:$AM161,$C$4:$C161,$C162)+1,"")</f>
        <v/>
      </c>
    </row>
    <row r="163">
      <c r="A163" s="44" t="str">
        <f>IF(OR($B163="",$D163=""),"","TX"&amp;TEXT(ROW()-4,"0000"))</f>
        <v/>
      </c>
      <c r="B163" s="42" t="n"/>
      <c r="C163" s="47" t="str">
        <f>IF($B163="","",YEAR($B163)*100+MONTH($B163))</f>
        <v/>
      </c>
      <c r="D163" s="37" t="n"/>
      <c r="E163" s="45" t="str">
        <f>IF($D163="","",IFERROR(INDEX(CARDS!$B$5:$B$34,MATCH($D163,CARDS!$A$5:$A$34,0)),"⚠ Card ID?"))</f>
        <v/>
      </c>
      <c r="F163" s="45" t="str">
        <f>IF($D163="","",IFERROR(INDEX(CARDS!$C$5:$C$34,MATCH($D163,CARDS!$A$5:$A$34,0)),"⚠ Card ID?"))</f>
        <v/>
      </c>
      <c r="G163" s="37" t="n"/>
      <c r="H163" s="37" t="n"/>
      <c r="I163" s="41" t="n"/>
      <c r="J163" s="45" t="str">
        <f>IF($I163="","",IFERROR(INDEX(MCC_MASTER!$B$5:$B$504,MATCH($I163,MCC_MASTER!$A$5:$A$504,0)),"⚠ MCC chưa có"))</f>
        <v/>
      </c>
      <c r="K163" s="45" t="str">
        <f>IF($I163="","",IFERROR(IF(INDEX(MCC_MASTER!$C$5:$C$504,MATCH($I163,MCC_MASTER!$A$5:$A$504,0))="","Chưa phân loại",INDEX(MCC_MASTER!$C$5:$C$504,MATCH($I163,MCC_MASTER!$A$5:$A$504,0))),"Chưa phân loại"))</f>
        <v/>
      </c>
      <c r="L163" s="40" t="n"/>
      <c r="M163" s="48" t="str">
        <f>IF(OR($B163="",$D163=""),"",IF($AC163=0,0,IF(ISNUMBER(INDEX(CASHBACK_RULES!$L$5:$L$304,$AC163)),MAX(0,MIN($L163,INDEX(CASHBACK_RULES!$L$5:$L$304,$AC163)-$AH163)),MAX(0,$L163))))</f>
        <v/>
      </c>
      <c r="N163" s="49" t="str">
        <f>IF(OR($B163="",$D163=""),"",IF($AC163&gt;0,INDEX(CASHBACK_RULES!$I$5:$I$304,$AC163),0))</f>
        <v/>
      </c>
      <c r="O163" s="48" t="str">
        <f>IF(OR($B163="",$D163=""),"",ROUND($M163*$N163,0))</f>
        <v/>
      </c>
      <c r="P163" s="48" t="str">
        <f>IF($AC163&gt;0,IF(ISNUMBER(INDEX(CASHBACK_RULES!$J$5:$J$304,$AC163)),INDEX(CASHBACK_RULES!$J$5:$J$304,$AC163),"∞"),"")</f>
        <v/>
      </c>
      <c r="Q163" s="48" t="str">
        <f>IF(OR($B163="",$D163=""),"",IF($AC163=0,0,MAX(0,MIN($O163,IF(ISNUMBER($P163),$P163-$AF163,1E+15),IF(ISNUMBER($AA163),$AA163-$AG163,1E+15)))))</f>
        <v/>
      </c>
      <c r="R163" s="48" t="str">
        <f>IF(OR($B163="",$D163=""),"",IF($AC163=0,"",IF(AND(NOT(ISNUMBER($P163)),NOT(ISNUMBER($AA163))),"∞",MAX(0,MIN(IF(ISNUMBER($P163),$P163-$AF163-$Q163,1E+15),IF(ISNUMBER($AA163),$AA163-$AG163-$Q163,1E+15))))))</f>
        <v/>
      </c>
      <c r="S163" s="47" t="str">
        <f>IF($AD163="","",YEAR($AD163)*100+MONTH($AD163))</f>
        <v/>
      </c>
      <c r="T163" s="50" t="str">
        <f>IF($AD163="","",IFERROR(IF(INDEX(CARDS!$I$5:$I$34,MATCH($D163,CARDS!$A$5:$A$34,0))="","",IF(INDEX(CARDS!$I$5:$I$34,MATCH($D163,CARDS!$A$5:$A$34,0))&gt;INDEX(CARDS!$H$5:$H$34,MATCH($D163,CARDS!$A$5:$A$34,0)),DATE(YEAR($AD163),MONTH($AD163),MIN(INDEX(CARDS!$I$5:$I$34,MATCH($D163,CARDS!$A$5:$A$34,0)),DAY(EOMONTH($AD163,0)))),DATE(YEAR($AD163),MONTH($AD163)+1,MIN(INDEX(CARDS!$I$5:$I$34,MATCH($D163,CARDS!$A$5:$A$34,0)),DAY(EOMONTH($AD163,1)))))),""))</f>
        <v/>
      </c>
      <c r="U163" s="38" t="n"/>
      <c r="V163" s="37" t="n"/>
      <c r="W163" s="38" t="n"/>
      <c r="X163" s="38" t="n"/>
      <c r="Y163" s="44" t="str">
        <f>IF($AC163&gt;0,INDEX(CASHBACK_RULES!$A$5:$A$304,$AC163),"")</f>
        <v/>
      </c>
      <c r="Z163" s="45" t="str">
        <f>IF($AC163&gt;0,INDEX(CASHBACK_RULES!$E$5:$E$304,$AC163)&amp;"","")</f>
        <v/>
      </c>
      <c r="AA163" s="48" t="str">
        <f>IF($AC163&gt;0,IF(ISNUMBER(INDEX(CASHBACK_RULES!$K$5:$K$304,$AC163)),INDEX(CASHBACK_RULES!$K$5:$K$304,$AC163),"∞"),"")</f>
        <v/>
      </c>
      <c r="AB163" s="44" t="str">
        <f>IF(OR($B163="",$D163=""),"",IF($U163="Cancelled","Đã hủy",IF($AC163=0,"Không được hoàn",IF($Q163=0,IF(OR($O163&gt;0,$M163&lt;$L163),"Đã đạt cap","Không được hoàn"),IF(OR($Q163&lt;$O163,$M163&lt;$L163),"Hoàn một phần","Được hoàn")))))</f>
        <v/>
      </c>
      <c r="AC163" s="43">
        <f>IF(OR($B163="",$D163="",$I163="",$L163=""),0,IF($U163="Cancelled",0,IF($W163&lt;&gt;"",IFERROR(IF(INDEX(CASHBACK_RULES!$B$5:$B$304,MATCH($W163,CASHBACK_RULES!$A$5:$A$304,0))=$D163,MATCH($W163,CASHBACK_RULES!$A$5:$A$304,0),0),0),IFERROR(MATCH(1,INDEX((CASHBACK_RULES!$B$5:$B$304=$D163)*(CASHBACK_RULES!$G$5:$G$304=$I163)*(((CASHBACK_RULES!$N$5:$N$304="")+(CASHBACK_RULES!$N$5:$N$304&lt;=$B163))&gt;0)*(((CASHBACK_RULES!$O$5:$O$304="")+(CASHBACK_RULES!$O$5:$O$304&gt;=$B163))&gt;0)*(((CASHBACK_RULES!$M$5:$M$304="")+(CASHBACK_RULES!$M$5:$M$304&lt;=$L163))&gt;0),0),0),0))))</f>
        <v>0</v>
      </c>
      <c r="AD163" s="51" t="str">
        <f>IF(OR($B163="",$D163=""),"",IFERROR(IF(INDEX(CARDS!$H$5:$H$34,MATCH($D163,CARDS!$A$5:$A$34,0))="","",IF(DAY($B163)&lt;=INDEX(CARDS!$H$5:$H$34,MATCH($D163,CARDS!$A$5:$A$34,0)),DATE(YEAR($B163),MONTH($B163),MIN(INDEX(CARDS!$H$5:$H$34,MATCH($D163,CARDS!$A$5:$A$34,0)),DAY(EOMONTH($B163,0)))),DATE(YEAR($B163),MONTH($B163)+1,MIN(INDEX(CARDS!$H$5:$H$34,MATCH($D163,CARDS!$A$5:$A$34,0)),DAY(EOMONTH($B163,1)))))),""))</f>
        <v/>
      </c>
      <c r="AE163" s="52" t="str">
        <f>IF($C163="","",$C163&amp;"|"&amp;COUNTIF($C$5:$C163,$C163))</f>
        <v/>
      </c>
      <c r="AF163" s="53">
        <f>IF($AC163&gt;0,SUMIFS(Q$4:Q162,$D$4:$D162,$D163,$Z$4:$Z162,$Z163,$C$4:$C162,$C163),0)</f>
        <v>0</v>
      </c>
      <c r="AG163" s="53">
        <f>IF($AC163&gt;0,SUMIFS(Q$4:Q162,$D$4:$D162,$D163,$C$4:$C162,$C163),0)</f>
        <v>0</v>
      </c>
      <c r="AH163" s="53">
        <f>IF($AC163&gt;0,SUMIFS(M$4:M162,$D$4:$D162,$D163,$Z$4:$Z162,$Z163,$C$4:$C162,$C163),0)</f>
        <v>0</v>
      </c>
      <c r="AI163" s="43">
        <f>IF(OR($C163="",$I163=""),0,IF(COUNTIFS($C$5:$C163,$C163,$I$5:$I163,$I163)=1,1,0))</f>
        <v>0</v>
      </c>
      <c r="AJ163" s="43" t="str">
        <f>IF($AI163=1,SUMIFS($AI$4:$AI162,$C$4:$C162,$C163)+1,"")</f>
        <v/>
      </c>
      <c r="AK163" s="43">
        <f>IF(OR($C163="",$K163=""),0,IF(COUNTIFS($C$5:$C163,$C163,$K$5:$K163,$K163)=1,1,0))</f>
        <v>0</v>
      </c>
      <c r="AL163" s="43" t="str">
        <f>IF($AK163=1,SUMIFS($AK$4:$AK162,$C$4:$C162,$C163)+1,"")</f>
        <v/>
      </c>
      <c r="AM163" s="43">
        <f>IF(OR($C163="",$G163=""),0,IF(COUNTIFS($C$5:$C163,$C163,$G$5:$G163,$G163)=1,1,0))</f>
        <v>0</v>
      </c>
      <c r="AN163" s="43" t="str">
        <f>IF($AM163=1,SUMIFS($AM$4:$AM162,$C$4:$C162,$C163)+1,"")</f>
        <v/>
      </c>
    </row>
    <row r="164">
      <c r="A164" s="44" t="str">
        <f>IF(OR($B164="",$D164=""),"","TX"&amp;TEXT(ROW()-4,"0000"))</f>
        <v/>
      </c>
      <c r="B164" s="42" t="n"/>
      <c r="C164" s="47" t="str">
        <f>IF($B164="","",YEAR($B164)*100+MONTH($B164))</f>
        <v/>
      </c>
      <c r="D164" s="37" t="n"/>
      <c r="E164" s="45" t="str">
        <f>IF($D164="","",IFERROR(INDEX(CARDS!$B$5:$B$34,MATCH($D164,CARDS!$A$5:$A$34,0)),"⚠ Card ID?"))</f>
        <v/>
      </c>
      <c r="F164" s="45" t="str">
        <f>IF($D164="","",IFERROR(INDEX(CARDS!$C$5:$C$34,MATCH($D164,CARDS!$A$5:$A$34,0)),"⚠ Card ID?"))</f>
        <v/>
      </c>
      <c r="G164" s="37" t="n"/>
      <c r="H164" s="37" t="n"/>
      <c r="I164" s="41" t="n"/>
      <c r="J164" s="45" t="str">
        <f>IF($I164="","",IFERROR(INDEX(MCC_MASTER!$B$5:$B$504,MATCH($I164,MCC_MASTER!$A$5:$A$504,0)),"⚠ MCC chưa có"))</f>
        <v/>
      </c>
      <c r="K164" s="45" t="str">
        <f>IF($I164="","",IFERROR(IF(INDEX(MCC_MASTER!$C$5:$C$504,MATCH($I164,MCC_MASTER!$A$5:$A$504,0))="","Chưa phân loại",INDEX(MCC_MASTER!$C$5:$C$504,MATCH($I164,MCC_MASTER!$A$5:$A$504,0))),"Chưa phân loại"))</f>
        <v/>
      </c>
      <c r="L164" s="40" t="n"/>
      <c r="M164" s="48" t="str">
        <f>IF(OR($B164="",$D164=""),"",IF($AC164=0,0,IF(ISNUMBER(INDEX(CASHBACK_RULES!$L$5:$L$304,$AC164)),MAX(0,MIN($L164,INDEX(CASHBACK_RULES!$L$5:$L$304,$AC164)-$AH164)),MAX(0,$L164))))</f>
        <v/>
      </c>
      <c r="N164" s="49" t="str">
        <f>IF(OR($B164="",$D164=""),"",IF($AC164&gt;0,INDEX(CASHBACK_RULES!$I$5:$I$304,$AC164),0))</f>
        <v/>
      </c>
      <c r="O164" s="48" t="str">
        <f>IF(OR($B164="",$D164=""),"",ROUND($M164*$N164,0))</f>
        <v/>
      </c>
      <c r="P164" s="48" t="str">
        <f>IF($AC164&gt;0,IF(ISNUMBER(INDEX(CASHBACK_RULES!$J$5:$J$304,$AC164)),INDEX(CASHBACK_RULES!$J$5:$J$304,$AC164),"∞"),"")</f>
        <v/>
      </c>
      <c r="Q164" s="48" t="str">
        <f>IF(OR($B164="",$D164=""),"",IF($AC164=0,0,MAX(0,MIN($O164,IF(ISNUMBER($P164),$P164-$AF164,1E+15),IF(ISNUMBER($AA164),$AA164-$AG164,1E+15)))))</f>
        <v/>
      </c>
      <c r="R164" s="48" t="str">
        <f>IF(OR($B164="",$D164=""),"",IF($AC164=0,"",IF(AND(NOT(ISNUMBER($P164)),NOT(ISNUMBER($AA164))),"∞",MAX(0,MIN(IF(ISNUMBER($P164),$P164-$AF164-$Q164,1E+15),IF(ISNUMBER($AA164),$AA164-$AG164-$Q164,1E+15))))))</f>
        <v/>
      </c>
      <c r="S164" s="47" t="str">
        <f>IF($AD164="","",YEAR($AD164)*100+MONTH($AD164))</f>
        <v/>
      </c>
      <c r="T164" s="50" t="str">
        <f>IF($AD164="","",IFERROR(IF(INDEX(CARDS!$I$5:$I$34,MATCH($D164,CARDS!$A$5:$A$34,0))="","",IF(INDEX(CARDS!$I$5:$I$34,MATCH($D164,CARDS!$A$5:$A$34,0))&gt;INDEX(CARDS!$H$5:$H$34,MATCH($D164,CARDS!$A$5:$A$34,0)),DATE(YEAR($AD164),MONTH($AD164),MIN(INDEX(CARDS!$I$5:$I$34,MATCH($D164,CARDS!$A$5:$A$34,0)),DAY(EOMONTH($AD164,0)))),DATE(YEAR($AD164),MONTH($AD164)+1,MIN(INDEX(CARDS!$I$5:$I$34,MATCH($D164,CARDS!$A$5:$A$34,0)),DAY(EOMONTH($AD164,1)))))),""))</f>
        <v/>
      </c>
      <c r="U164" s="38" t="n"/>
      <c r="V164" s="37" t="n"/>
      <c r="W164" s="38" t="n"/>
      <c r="X164" s="38" t="n"/>
      <c r="Y164" s="44" t="str">
        <f>IF($AC164&gt;0,INDEX(CASHBACK_RULES!$A$5:$A$304,$AC164),"")</f>
        <v/>
      </c>
      <c r="Z164" s="45" t="str">
        <f>IF($AC164&gt;0,INDEX(CASHBACK_RULES!$E$5:$E$304,$AC164)&amp;"","")</f>
        <v/>
      </c>
      <c r="AA164" s="48" t="str">
        <f>IF($AC164&gt;0,IF(ISNUMBER(INDEX(CASHBACK_RULES!$K$5:$K$304,$AC164)),INDEX(CASHBACK_RULES!$K$5:$K$304,$AC164),"∞"),"")</f>
        <v/>
      </c>
      <c r="AB164" s="44" t="str">
        <f>IF(OR($B164="",$D164=""),"",IF($U164="Cancelled","Đã hủy",IF($AC164=0,"Không được hoàn",IF($Q164=0,IF(OR($O164&gt;0,$M164&lt;$L164),"Đã đạt cap","Không được hoàn"),IF(OR($Q164&lt;$O164,$M164&lt;$L164),"Hoàn một phần","Được hoàn")))))</f>
        <v/>
      </c>
      <c r="AC164" s="43">
        <f>IF(OR($B164="",$D164="",$I164="",$L164=""),0,IF($U164="Cancelled",0,IF($W164&lt;&gt;"",IFERROR(IF(INDEX(CASHBACK_RULES!$B$5:$B$304,MATCH($W164,CASHBACK_RULES!$A$5:$A$304,0))=$D164,MATCH($W164,CASHBACK_RULES!$A$5:$A$304,0),0),0),IFERROR(MATCH(1,INDEX((CASHBACK_RULES!$B$5:$B$304=$D164)*(CASHBACK_RULES!$G$5:$G$304=$I164)*(((CASHBACK_RULES!$N$5:$N$304="")+(CASHBACK_RULES!$N$5:$N$304&lt;=$B164))&gt;0)*(((CASHBACK_RULES!$O$5:$O$304="")+(CASHBACK_RULES!$O$5:$O$304&gt;=$B164))&gt;0)*(((CASHBACK_RULES!$M$5:$M$304="")+(CASHBACK_RULES!$M$5:$M$304&lt;=$L164))&gt;0),0),0),0))))</f>
        <v>0</v>
      </c>
      <c r="AD164" s="51" t="str">
        <f>IF(OR($B164="",$D164=""),"",IFERROR(IF(INDEX(CARDS!$H$5:$H$34,MATCH($D164,CARDS!$A$5:$A$34,0))="","",IF(DAY($B164)&lt;=INDEX(CARDS!$H$5:$H$34,MATCH($D164,CARDS!$A$5:$A$34,0)),DATE(YEAR($B164),MONTH($B164),MIN(INDEX(CARDS!$H$5:$H$34,MATCH($D164,CARDS!$A$5:$A$34,0)),DAY(EOMONTH($B164,0)))),DATE(YEAR($B164),MONTH($B164)+1,MIN(INDEX(CARDS!$H$5:$H$34,MATCH($D164,CARDS!$A$5:$A$34,0)),DAY(EOMONTH($B164,1)))))),""))</f>
        <v/>
      </c>
      <c r="AE164" s="52" t="str">
        <f>IF($C164="","",$C164&amp;"|"&amp;COUNTIF($C$5:$C164,$C164))</f>
        <v/>
      </c>
      <c r="AF164" s="53">
        <f>IF($AC164&gt;0,SUMIFS(Q$4:Q163,$D$4:$D163,$D164,$Z$4:$Z163,$Z164,$C$4:$C163,$C164),0)</f>
        <v>0</v>
      </c>
      <c r="AG164" s="53">
        <f>IF($AC164&gt;0,SUMIFS(Q$4:Q163,$D$4:$D163,$D164,$C$4:$C163,$C164),0)</f>
        <v>0</v>
      </c>
      <c r="AH164" s="53">
        <f>IF($AC164&gt;0,SUMIFS(M$4:M163,$D$4:$D163,$D164,$Z$4:$Z163,$Z164,$C$4:$C163,$C164),0)</f>
        <v>0</v>
      </c>
      <c r="AI164" s="43">
        <f>IF(OR($C164="",$I164=""),0,IF(COUNTIFS($C$5:$C164,$C164,$I$5:$I164,$I164)=1,1,0))</f>
        <v>0</v>
      </c>
      <c r="AJ164" s="43" t="str">
        <f>IF($AI164=1,SUMIFS($AI$4:$AI163,$C$4:$C163,$C164)+1,"")</f>
        <v/>
      </c>
      <c r="AK164" s="43">
        <f>IF(OR($C164="",$K164=""),0,IF(COUNTIFS($C$5:$C164,$C164,$K$5:$K164,$K164)=1,1,0))</f>
        <v>0</v>
      </c>
      <c r="AL164" s="43" t="str">
        <f>IF($AK164=1,SUMIFS($AK$4:$AK163,$C$4:$C163,$C164)+1,"")</f>
        <v/>
      </c>
      <c r="AM164" s="43">
        <f>IF(OR($C164="",$G164=""),0,IF(COUNTIFS($C$5:$C164,$C164,$G$5:$G164,$G164)=1,1,0))</f>
        <v>0</v>
      </c>
      <c r="AN164" s="43" t="str">
        <f>IF($AM164=1,SUMIFS($AM$4:$AM163,$C$4:$C163,$C164)+1,"")</f>
        <v/>
      </c>
    </row>
    <row r="165">
      <c r="A165" s="44" t="str">
        <f>IF(OR($B165="",$D165=""),"","TX"&amp;TEXT(ROW()-4,"0000"))</f>
        <v/>
      </c>
      <c r="B165" s="42" t="n"/>
      <c r="C165" s="47" t="str">
        <f>IF($B165="","",YEAR($B165)*100+MONTH($B165))</f>
        <v/>
      </c>
      <c r="D165" s="37" t="n"/>
      <c r="E165" s="45" t="str">
        <f>IF($D165="","",IFERROR(INDEX(CARDS!$B$5:$B$34,MATCH($D165,CARDS!$A$5:$A$34,0)),"⚠ Card ID?"))</f>
        <v/>
      </c>
      <c r="F165" s="45" t="str">
        <f>IF($D165="","",IFERROR(INDEX(CARDS!$C$5:$C$34,MATCH($D165,CARDS!$A$5:$A$34,0)),"⚠ Card ID?"))</f>
        <v/>
      </c>
      <c r="G165" s="37" t="n"/>
      <c r="H165" s="37" t="n"/>
      <c r="I165" s="41" t="n"/>
      <c r="J165" s="45" t="str">
        <f>IF($I165="","",IFERROR(INDEX(MCC_MASTER!$B$5:$B$504,MATCH($I165,MCC_MASTER!$A$5:$A$504,0)),"⚠ MCC chưa có"))</f>
        <v/>
      </c>
      <c r="K165" s="45" t="str">
        <f>IF($I165="","",IFERROR(IF(INDEX(MCC_MASTER!$C$5:$C$504,MATCH($I165,MCC_MASTER!$A$5:$A$504,0))="","Chưa phân loại",INDEX(MCC_MASTER!$C$5:$C$504,MATCH($I165,MCC_MASTER!$A$5:$A$504,0))),"Chưa phân loại"))</f>
        <v/>
      </c>
      <c r="L165" s="40" t="n"/>
      <c r="M165" s="48" t="str">
        <f>IF(OR($B165="",$D165=""),"",IF($AC165=0,0,IF(ISNUMBER(INDEX(CASHBACK_RULES!$L$5:$L$304,$AC165)),MAX(0,MIN($L165,INDEX(CASHBACK_RULES!$L$5:$L$304,$AC165)-$AH165)),MAX(0,$L165))))</f>
        <v/>
      </c>
      <c r="N165" s="49" t="str">
        <f>IF(OR($B165="",$D165=""),"",IF($AC165&gt;0,INDEX(CASHBACK_RULES!$I$5:$I$304,$AC165),0))</f>
        <v/>
      </c>
      <c r="O165" s="48" t="str">
        <f>IF(OR($B165="",$D165=""),"",ROUND($M165*$N165,0))</f>
        <v/>
      </c>
      <c r="P165" s="48" t="str">
        <f>IF($AC165&gt;0,IF(ISNUMBER(INDEX(CASHBACK_RULES!$J$5:$J$304,$AC165)),INDEX(CASHBACK_RULES!$J$5:$J$304,$AC165),"∞"),"")</f>
        <v/>
      </c>
      <c r="Q165" s="48" t="str">
        <f>IF(OR($B165="",$D165=""),"",IF($AC165=0,0,MAX(0,MIN($O165,IF(ISNUMBER($P165),$P165-$AF165,1E+15),IF(ISNUMBER($AA165),$AA165-$AG165,1E+15)))))</f>
        <v/>
      </c>
      <c r="R165" s="48" t="str">
        <f>IF(OR($B165="",$D165=""),"",IF($AC165=0,"",IF(AND(NOT(ISNUMBER($P165)),NOT(ISNUMBER($AA165))),"∞",MAX(0,MIN(IF(ISNUMBER($P165),$P165-$AF165-$Q165,1E+15),IF(ISNUMBER($AA165),$AA165-$AG165-$Q165,1E+15))))))</f>
        <v/>
      </c>
      <c r="S165" s="47" t="str">
        <f>IF($AD165="","",YEAR($AD165)*100+MONTH($AD165))</f>
        <v/>
      </c>
      <c r="T165" s="50" t="str">
        <f>IF($AD165="","",IFERROR(IF(INDEX(CARDS!$I$5:$I$34,MATCH($D165,CARDS!$A$5:$A$34,0))="","",IF(INDEX(CARDS!$I$5:$I$34,MATCH($D165,CARDS!$A$5:$A$34,0))&gt;INDEX(CARDS!$H$5:$H$34,MATCH($D165,CARDS!$A$5:$A$34,0)),DATE(YEAR($AD165),MONTH($AD165),MIN(INDEX(CARDS!$I$5:$I$34,MATCH($D165,CARDS!$A$5:$A$34,0)),DAY(EOMONTH($AD165,0)))),DATE(YEAR($AD165),MONTH($AD165)+1,MIN(INDEX(CARDS!$I$5:$I$34,MATCH($D165,CARDS!$A$5:$A$34,0)),DAY(EOMONTH($AD165,1)))))),""))</f>
        <v/>
      </c>
      <c r="U165" s="38" t="n"/>
      <c r="V165" s="37" t="n"/>
      <c r="W165" s="38" t="n"/>
      <c r="X165" s="38" t="n"/>
      <c r="Y165" s="44" t="str">
        <f>IF($AC165&gt;0,INDEX(CASHBACK_RULES!$A$5:$A$304,$AC165),"")</f>
        <v/>
      </c>
      <c r="Z165" s="45" t="str">
        <f>IF($AC165&gt;0,INDEX(CASHBACK_RULES!$E$5:$E$304,$AC165)&amp;"","")</f>
        <v/>
      </c>
      <c r="AA165" s="48" t="str">
        <f>IF($AC165&gt;0,IF(ISNUMBER(INDEX(CASHBACK_RULES!$K$5:$K$304,$AC165)),INDEX(CASHBACK_RULES!$K$5:$K$304,$AC165),"∞"),"")</f>
        <v/>
      </c>
      <c r="AB165" s="44" t="str">
        <f>IF(OR($B165="",$D165=""),"",IF($U165="Cancelled","Đã hủy",IF($AC165=0,"Không được hoàn",IF($Q165=0,IF(OR($O165&gt;0,$M165&lt;$L165),"Đã đạt cap","Không được hoàn"),IF(OR($Q165&lt;$O165,$M165&lt;$L165),"Hoàn một phần","Được hoàn")))))</f>
        <v/>
      </c>
      <c r="AC165" s="43">
        <f>IF(OR($B165="",$D165="",$I165="",$L165=""),0,IF($U165="Cancelled",0,IF($W165&lt;&gt;"",IFERROR(IF(INDEX(CASHBACK_RULES!$B$5:$B$304,MATCH($W165,CASHBACK_RULES!$A$5:$A$304,0))=$D165,MATCH($W165,CASHBACK_RULES!$A$5:$A$304,0),0),0),IFERROR(MATCH(1,INDEX((CASHBACK_RULES!$B$5:$B$304=$D165)*(CASHBACK_RULES!$G$5:$G$304=$I165)*(((CASHBACK_RULES!$N$5:$N$304="")+(CASHBACK_RULES!$N$5:$N$304&lt;=$B165))&gt;0)*(((CASHBACK_RULES!$O$5:$O$304="")+(CASHBACK_RULES!$O$5:$O$304&gt;=$B165))&gt;0)*(((CASHBACK_RULES!$M$5:$M$304="")+(CASHBACK_RULES!$M$5:$M$304&lt;=$L165))&gt;0),0),0),0))))</f>
        <v>0</v>
      </c>
      <c r="AD165" s="51" t="str">
        <f>IF(OR($B165="",$D165=""),"",IFERROR(IF(INDEX(CARDS!$H$5:$H$34,MATCH($D165,CARDS!$A$5:$A$34,0))="","",IF(DAY($B165)&lt;=INDEX(CARDS!$H$5:$H$34,MATCH($D165,CARDS!$A$5:$A$34,0)),DATE(YEAR($B165),MONTH($B165),MIN(INDEX(CARDS!$H$5:$H$34,MATCH($D165,CARDS!$A$5:$A$34,0)),DAY(EOMONTH($B165,0)))),DATE(YEAR($B165),MONTH($B165)+1,MIN(INDEX(CARDS!$H$5:$H$34,MATCH($D165,CARDS!$A$5:$A$34,0)),DAY(EOMONTH($B165,1)))))),""))</f>
        <v/>
      </c>
      <c r="AE165" s="52" t="str">
        <f>IF($C165="","",$C165&amp;"|"&amp;COUNTIF($C$5:$C165,$C165))</f>
        <v/>
      </c>
      <c r="AF165" s="53">
        <f>IF($AC165&gt;0,SUMIFS(Q$4:Q164,$D$4:$D164,$D165,$Z$4:$Z164,$Z165,$C$4:$C164,$C165),0)</f>
        <v>0</v>
      </c>
      <c r="AG165" s="53">
        <f>IF($AC165&gt;0,SUMIFS(Q$4:Q164,$D$4:$D164,$D165,$C$4:$C164,$C165),0)</f>
        <v>0</v>
      </c>
      <c r="AH165" s="53">
        <f>IF($AC165&gt;0,SUMIFS(M$4:M164,$D$4:$D164,$D165,$Z$4:$Z164,$Z165,$C$4:$C164,$C165),0)</f>
        <v>0</v>
      </c>
      <c r="AI165" s="43">
        <f>IF(OR($C165="",$I165=""),0,IF(COUNTIFS($C$5:$C165,$C165,$I$5:$I165,$I165)=1,1,0))</f>
        <v>0</v>
      </c>
      <c r="AJ165" s="43" t="str">
        <f>IF($AI165=1,SUMIFS($AI$4:$AI164,$C$4:$C164,$C165)+1,"")</f>
        <v/>
      </c>
      <c r="AK165" s="43">
        <f>IF(OR($C165="",$K165=""),0,IF(COUNTIFS($C$5:$C165,$C165,$K$5:$K165,$K165)=1,1,0))</f>
        <v>0</v>
      </c>
      <c r="AL165" s="43" t="str">
        <f>IF($AK165=1,SUMIFS($AK$4:$AK164,$C$4:$C164,$C165)+1,"")</f>
        <v/>
      </c>
      <c r="AM165" s="43">
        <f>IF(OR($C165="",$G165=""),0,IF(COUNTIFS($C$5:$C165,$C165,$G$5:$G165,$G165)=1,1,0))</f>
        <v>0</v>
      </c>
      <c r="AN165" s="43" t="str">
        <f>IF($AM165=1,SUMIFS($AM$4:$AM164,$C$4:$C164,$C165)+1,"")</f>
        <v/>
      </c>
    </row>
    <row r="166">
      <c r="A166" s="44" t="str">
        <f>IF(OR($B166="",$D166=""),"","TX"&amp;TEXT(ROW()-4,"0000"))</f>
        <v/>
      </c>
      <c r="B166" s="42" t="n"/>
      <c r="C166" s="47" t="str">
        <f>IF($B166="","",YEAR($B166)*100+MONTH($B166))</f>
        <v/>
      </c>
      <c r="D166" s="37" t="n"/>
      <c r="E166" s="45" t="str">
        <f>IF($D166="","",IFERROR(INDEX(CARDS!$B$5:$B$34,MATCH($D166,CARDS!$A$5:$A$34,0)),"⚠ Card ID?"))</f>
        <v/>
      </c>
      <c r="F166" s="45" t="str">
        <f>IF($D166="","",IFERROR(INDEX(CARDS!$C$5:$C$34,MATCH($D166,CARDS!$A$5:$A$34,0)),"⚠ Card ID?"))</f>
        <v/>
      </c>
      <c r="G166" s="37" t="n"/>
      <c r="H166" s="37" t="n"/>
      <c r="I166" s="41" t="n"/>
      <c r="J166" s="45" t="str">
        <f>IF($I166="","",IFERROR(INDEX(MCC_MASTER!$B$5:$B$504,MATCH($I166,MCC_MASTER!$A$5:$A$504,0)),"⚠ MCC chưa có"))</f>
        <v/>
      </c>
      <c r="K166" s="45" t="str">
        <f>IF($I166="","",IFERROR(IF(INDEX(MCC_MASTER!$C$5:$C$504,MATCH($I166,MCC_MASTER!$A$5:$A$504,0))="","Chưa phân loại",INDEX(MCC_MASTER!$C$5:$C$504,MATCH($I166,MCC_MASTER!$A$5:$A$504,0))),"Chưa phân loại"))</f>
        <v/>
      </c>
      <c r="L166" s="40" t="n"/>
      <c r="M166" s="48" t="str">
        <f>IF(OR($B166="",$D166=""),"",IF($AC166=0,0,IF(ISNUMBER(INDEX(CASHBACK_RULES!$L$5:$L$304,$AC166)),MAX(0,MIN($L166,INDEX(CASHBACK_RULES!$L$5:$L$304,$AC166)-$AH166)),MAX(0,$L166))))</f>
        <v/>
      </c>
      <c r="N166" s="49" t="str">
        <f>IF(OR($B166="",$D166=""),"",IF($AC166&gt;0,INDEX(CASHBACK_RULES!$I$5:$I$304,$AC166),0))</f>
        <v/>
      </c>
      <c r="O166" s="48" t="str">
        <f>IF(OR($B166="",$D166=""),"",ROUND($M166*$N166,0))</f>
        <v/>
      </c>
      <c r="P166" s="48" t="str">
        <f>IF($AC166&gt;0,IF(ISNUMBER(INDEX(CASHBACK_RULES!$J$5:$J$304,$AC166)),INDEX(CASHBACK_RULES!$J$5:$J$304,$AC166),"∞"),"")</f>
        <v/>
      </c>
      <c r="Q166" s="48" t="str">
        <f>IF(OR($B166="",$D166=""),"",IF($AC166=0,0,MAX(0,MIN($O166,IF(ISNUMBER($P166),$P166-$AF166,1E+15),IF(ISNUMBER($AA166),$AA166-$AG166,1E+15)))))</f>
        <v/>
      </c>
      <c r="R166" s="48" t="str">
        <f>IF(OR($B166="",$D166=""),"",IF($AC166=0,"",IF(AND(NOT(ISNUMBER($P166)),NOT(ISNUMBER($AA166))),"∞",MAX(0,MIN(IF(ISNUMBER($P166),$P166-$AF166-$Q166,1E+15),IF(ISNUMBER($AA166),$AA166-$AG166-$Q166,1E+15))))))</f>
        <v/>
      </c>
      <c r="S166" s="47" t="str">
        <f>IF($AD166="","",YEAR($AD166)*100+MONTH($AD166))</f>
        <v/>
      </c>
      <c r="T166" s="50" t="str">
        <f>IF($AD166="","",IFERROR(IF(INDEX(CARDS!$I$5:$I$34,MATCH($D166,CARDS!$A$5:$A$34,0))="","",IF(INDEX(CARDS!$I$5:$I$34,MATCH($D166,CARDS!$A$5:$A$34,0))&gt;INDEX(CARDS!$H$5:$H$34,MATCH($D166,CARDS!$A$5:$A$34,0)),DATE(YEAR($AD166),MONTH($AD166),MIN(INDEX(CARDS!$I$5:$I$34,MATCH($D166,CARDS!$A$5:$A$34,0)),DAY(EOMONTH($AD166,0)))),DATE(YEAR($AD166),MONTH($AD166)+1,MIN(INDEX(CARDS!$I$5:$I$34,MATCH($D166,CARDS!$A$5:$A$34,0)),DAY(EOMONTH($AD166,1)))))),""))</f>
        <v/>
      </c>
      <c r="U166" s="38" t="n"/>
      <c r="V166" s="37" t="n"/>
      <c r="W166" s="38" t="n"/>
      <c r="X166" s="38" t="n"/>
      <c r="Y166" s="44" t="str">
        <f>IF($AC166&gt;0,INDEX(CASHBACK_RULES!$A$5:$A$304,$AC166),"")</f>
        <v/>
      </c>
      <c r="Z166" s="45" t="str">
        <f>IF($AC166&gt;0,INDEX(CASHBACK_RULES!$E$5:$E$304,$AC166)&amp;"","")</f>
        <v/>
      </c>
      <c r="AA166" s="48" t="str">
        <f>IF($AC166&gt;0,IF(ISNUMBER(INDEX(CASHBACK_RULES!$K$5:$K$304,$AC166)),INDEX(CASHBACK_RULES!$K$5:$K$304,$AC166),"∞"),"")</f>
        <v/>
      </c>
      <c r="AB166" s="44" t="str">
        <f>IF(OR($B166="",$D166=""),"",IF($U166="Cancelled","Đã hủy",IF($AC166=0,"Không được hoàn",IF($Q166=0,IF(OR($O166&gt;0,$M166&lt;$L166),"Đã đạt cap","Không được hoàn"),IF(OR($Q166&lt;$O166,$M166&lt;$L166),"Hoàn một phần","Được hoàn")))))</f>
        <v/>
      </c>
      <c r="AC166" s="43">
        <f>IF(OR($B166="",$D166="",$I166="",$L166=""),0,IF($U166="Cancelled",0,IF($W166&lt;&gt;"",IFERROR(IF(INDEX(CASHBACK_RULES!$B$5:$B$304,MATCH($W166,CASHBACK_RULES!$A$5:$A$304,0))=$D166,MATCH($W166,CASHBACK_RULES!$A$5:$A$304,0),0),0),IFERROR(MATCH(1,INDEX((CASHBACK_RULES!$B$5:$B$304=$D166)*(CASHBACK_RULES!$G$5:$G$304=$I166)*(((CASHBACK_RULES!$N$5:$N$304="")+(CASHBACK_RULES!$N$5:$N$304&lt;=$B166))&gt;0)*(((CASHBACK_RULES!$O$5:$O$304="")+(CASHBACK_RULES!$O$5:$O$304&gt;=$B166))&gt;0)*(((CASHBACK_RULES!$M$5:$M$304="")+(CASHBACK_RULES!$M$5:$M$304&lt;=$L166))&gt;0),0),0),0))))</f>
        <v>0</v>
      </c>
      <c r="AD166" s="51" t="str">
        <f>IF(OR($B166="",$D166=""),"",IFERROR(IF(INDEX(CARDS!$H$5:$H$34,MATCH($D166,CARDS!$A$5:$A$34,0))="","",IF(DAY($B166)&lt;=INDEX(CARDS!$H$5:$H$34,MATCH($D166,CARDS!$A$5:$A$34,0)),DATE(YEAR($B166),MONTH($B166),MIN(INDEX(CARDS!$H$5:$H$34,MATCH($D166,CARDS!$A$5:$A$34,0)),DAY(EOMONTH($B166,0)))),DATE(YEAR($B166),MONTH($B166)+1,MIN(INDEX(CARDS!$H$5:$H$34,MATCH($D166,CARDS!$A$5:$A$34,0)),DAY(EOMONTH($B166,1)))))),""))</f>
        <v/>
      </c>
      <c r="AE166" s="52" t="str">
        <f>IF($C166="","",$C166&amp;"|"&amp;COUNTIF($C$5:$C166,$C166))</f>
        <v/>
      </c>
      <c r="AF166" s="53">
        <f>IF($AC166&gt;0,SUMIFS(Q$4:Q165,$D$4:$D165,$D166,$Z$4:$Z165,$Z166,$C$4:$C165,$C166),0)</f>
        <v>0</v>
      </c>
      <c r="AG166" s="53">
        <f>IF($AC166&gt;0,SUMIFS(Q$4:Q165,$D$4:$D165,$D166,$C$4:$C165,$C166),0)</f>
        <v>0</v>
      </c>
      <c r="AH166" s="53">
        <f>IF($AC166&gt;0,SUMIFS(M$4:M165,$D$4:$D165,$D166,$Z$4:$Z165,$Z166,$C$4:$C165,$C166),0)</f>
        <v>0</v>
      </c>
      <c r="AI166" s="43">
        <f>IF(OR($C166="",$I166=""),0,IF(COUNTIFS($C$5:$C166,$C166,$I$5:$I166,$I166)=1,1,0))</f>
        <v>0</v>
      </c>
      <c r="AJ166" s="43" t="str">
        <f>IF($AI166=1,SUMIFS($AI$4:$AI165,$C$4:$C165,$C166)+1,"")</f>
        <v/>
      </c>
      <c r="AK166" s="43">
        <f>IF(OR($C166="",$K166=""),0,IF(COUNTIFS($C$5:$C166,$C166,$K$5:$K166,$K166)=1,1,0))</f>
        <v>0</v>
      </c>
      <c r="AL166" s="43" t="str">
        <f>IF($AK166=1,SUMIFS($AK$4:$AK165,$C$4:$C165,$C166)+1,"")</f>
        <v/>
      </c>
      <c r="AM166" s="43">
        <f>IF(OR($C166="",$G166=""),0,IF(COUNTIFS($C$5:$C166,$C166,$G$5:$G166,$G166)=1,1,0))</f>
        <v>0</v>
      </c>
      <c r="AN166" s="43" t="str">
        <f>IF($AM166=1,SUMIFS($AM$4:$AM165,$C$4:$C165,$C166)+1,"")</f>
        <v/>
      </c>
    </row>
    <row r="167">
      <c r="A167" s="44" t="str">
        <f>IF(OR($B167="",$D167=""),"","TX"&amp;TEXT(ROW()-4,"0000"))</f>
        <v/>
      </c>
      <c r="B167" s="42" t="n"/>
      <c r="C167" s="47" t="str">
        <f>IF($B167="","",YEAR($B167)*100+MONTH($B167))</f>
        <v/>
      </c>
      <c r="D167" s="37" t="n"/>
      <c r="E167" s="45" t="str">
        <f>IF($D167="","",IFERROR(INDEX(CARDS!$B$5:$B$34,MATCH($D167,CARDS!$A$5:$A$34,0)),"⚠ Card ID?"))</f>
        <v/>
      </c>
      <c r="F167" s="45" t="str">
        <f>IF($D167="","",IFERROR(INDEX(CARDS!$C$5:$C$34,MATCH($D167,CARDS!$A$5:$A$34,0)),"⚠ Card ID?"))</f>
        <v/>
      </c>
      <c r="G167" s="37" t="n"/>
      <c r="H167" s="37" t="n"/>
      <c r="I167" s="41" t="n"/>
      <c r="J167" s="45" t="str">
        <f>IF($I167="","",IFERROR(INDEX(MCC_MASTER!$B$5:$B$504,MATCH($I167,MCC_MASTER!$A$5:$A$504,0)),"⚠ MCC chưa có"))</f>
        <v/>
      </c>
      <c r="K167" s="45" t="str">
        <f>IF($I167="","",IFERROR(IF(INDEX(MCC_MASTER!$C$5:$C$504,MATCH($I167,MCC_MASTER!$A$5:$A$504,0))="","Chưa phân loại",INDEX(MCC_MASTER!$C$5:$C$504,MATCH($I167,MCC_MASTER!$A$5:$A$504,0))),"Chưa phân loại"))</f>
        <v/>
      </c>
      <c r="L167" s="40" t="n"/>
      <c r="M167" s="48" t="str">
        <f>IF(OR($B167="",$D167=""),"",IF($AC167=0,0,IF(ISNUMBER(INDEX(CASHBACK_RULES!$L$5:$L$304,$AC167)),MAX(0,MIN($L167,INDEX(CASHBACK_RULES!$L$5:$L$304,$AC167)-$AH167)),MAX(0,$L167))))</f>
        <v/>
      </c>
      <c r="N167" s="49" t="str">
        <f>IF(OR($B167="",$D167=""),"",IF($AC167&gt;0,INDEX(CASHBACK_RULES!$I$5:$I$304,$AC167),0))</f>
        <v/>
      </c>
      <c r="O167" s="48" t="str">
        <f>IF(OR($B167="",$D167=""),"",ROUND($M167*$N167,0))</f>
        <v/>
      </c>
      <c r="P167" s="48" t="str">
        <f>IF($AC167&gt;0,IF(ISNUMBER(INDEX(CASHBACK_RULES!$J$5:$J$304,$AC167)),INDEX(CASHBACK_RULES!$J$5:$J$304,$AC167),"∞"),"")</f>
        <v/>
      </c>
      <c r="Q167" s="48" t="str">
        <f>IF(OR($B167="",$D167=""),"",IF($AC167=0,0,MAX(0,MIN($O167,IF(ISNUMBER($P167),$P167-$AF167,1E+15),IF(ISNUMBER($AA167),$AA167-$AG167,1E+15)))))</f>
        <v/>
      </c>
      <c r="R167" s="48" t="str">
        <f>IF(OR($B167="",$D167=""),"",IF($AC167=0,"",IF(AND(NOT(ISNUMBER($P167)),NOT(ISNUMBER($AA167))),"∞",MAX(0,MIN(IF(ISNUMBER($P167),$P167-$AF167-$Q167,1E+15),IF(ISNUMBER($AA167),$AA167-$AG167-$Q167,1E+15))))))</f>
        <v/>
      </c>
      <c r="S167" s="47" t="str">
        <f>IF($AD167="","",YEAR($AD167)*100+MONTH($AD167))</f>
        <v/>
      </c>
      <c r="T167" s="50" t="str">
        <f>IF($AD167="","",IFERROR(IF(INDEX(CARDS!$I$5:$I$34,MATCH($D167,CARDS!$A$5:$A$34,0))="","",IF(INDEX(CARDS!$I$5:$I$34,MATCH($D167,CARDS!$A$5:$A$34,0))&gt;INDEX(CARDS!$H$5:$H$34,MATCH($D167,CARDS!$A$5:$A$34,0)),DATE(YEAR($AD167),MONTH($AD167),MIN(INDEX(CARDS!$I$5:$I$34,MATCH($D167,CARDS!$A$5:$A$34,0)),DAY(EOMONTH($AD167,0)))),DATE(YEAR($AD167),MONTH($AD167)+1,MIN(INDEX(CARDS!$I$5:$I$34,MATCH($D167,CARDS!$A$5:$A$34,0)),DAY(EOMONTH($AD167,1)))))),""))</f>
        <v/>
      </c>
      <c r="U167" s="38" t="n"/>
      <c r="V167" s="37" t="n"/>
      <c r="W167" s="38" t="n"/>
      <c r="X167" s="38" t="n"/>
      <c r="Y167" s="44" t="str">
        <f>IF($AC167&gt;0,INDEX(CASHBACK_RULES!$A$5:$A$304,$AC167),"")</f>
        <v/>
      </c>
      <c r="Z167" s="45" t="str">
        <f>IF($AC167&gt;0,INDEX(CASHBACK_RULES!$E$5:$E$304,$AC167)&amp;"","")</f>
        <v/>
      </c>
      <c r="AA167" s="48" t="str">
        <f>IF($AC167&gt;0,IF(ISNUMBER(INDEX(CASHBACK_RULES!$K$5:$K$304,$AC167)),INDEX(CASHBACK_RULES!$K$5:$K$304,$AC167),"∞"),"")</f>
        <v/>
      </c>
      <c r="AB167" s="44" t="str">
        <f>IF(OR($B167="",$D167=""),"",IF($U167="Cancelled","Đã hủy",IF($AC167=0,"Không được hoàn",IF($Q167=0,IF(OR($O167&gt;0,$M167&lt;$L167),"Đã đạt cap","Không được hoàn"),IF(OR($Q167&lt;$O167,$M167&lt;$L167),"Hoàn một phần","Được hoàn")))))</f>
        <v/>
      </c>
      <c r="AC167" s="43">
        <f>IF(OR($B167="",$D167="",$I167="",$L167=""),0,IF($U167="Cancelled",0,IF($W167&lt;&gt;"",IFERROR(IF(INDEX(CASHBACK_RULES!$B$5:$B$304,MATCH($W167,CASHBACK_RULES!$A$5:$A$304,0))=$D167,MATCH($W167,CASHBACK_RULES!$A$5:$A$304,0),0),0),IFERROR(MATCH(1,INDEX((CASHBACK_RULES!$B$5:$B$304=$D167)*(CASHBACK_RULES!$G$5:$G$304=$I167)*(((CASHBACK_RULES!$N$5:$N$304="")+(CASHBACK_RULES!$N$5:$N$304&lt;=$B167))&gt;0)*(((CASHBACK_RULES!$O$5:$O$304="")+(CASHBACK_RULES!$O$5:$O$304&gt;=$B167))&gt;0)*(((CASHBACK_RULES!$M$5:$M$304="")+(CASHBACK_RULES!$M$5:$M$304&lt;=$L167))&gt;0),0),0),0))))</f>
        <v>0</v>
      </c>
      <c r="AD167" s="51" t="str">
        <f>IF(OR($B167="",$D167=""),"",IFERROR(IF(INDEX(CARDS!$H$5:$H$34,MATCH($D167,CARDS!$A$5:$A$34,0))="","",IF(DAY($B167)&lt;=INDEX(CARDS!$H$5:$H$34,MATCH($D167,CARDS!$A$5:$A$34,0)),DATE(YEAR($B167),MONTH($B167),MIN(INDEX(CARDS!$H$5:$H$34,MATCH($D167,CARDS!$A$5:$A$34,0)),DAY(EOMONTH($B167,0)))),DATE(YEAR($B167),MONTH($B167)+1,MIN(INDEX(CARDS!$H$5:$H$34,MATCH($D167,CARDS!$A$5:$A$34,0)),DAY(EOMONTH($B167,1)))))),""))</f>
        <v/>
      </c>
      <c r="AE167" s="52" t="str">
        <f>IF($C167="","",$C167&amp;"|"&amp;COUNTIF($C$5:$C167,$C167))</f>
        <v/>
      </c>
      <c r="AF167" s="53">
        <f>IF($AC167&gt;0,SUMIFS(Q$4:Q166,$D$4:$D166,$D167,$Z$4:$Z166,$Z167,$C$4:$C166,$C167),0)</f>
        <v>0</v>
      </c>
      <c r="AG167" s="53">
        <f>IF($AC167&gt;0,SUMIFS(Q$4:Q166,$D$4:$D166,$D167,$C$4:$C166,$C167),0)</f>
        <v>0</v>
      </c>
      <c r="AH167" s="53">
        <f>IF($AC167&gt;0,SUMIFS(M$4:M166,$D$4:$D166,$D167,$Z$4:$Z166,$Z167,$C$4:$C166,$C167),0)</f>
        <v>0</v>
      </c>
      <c r="AI167" s="43">
        <f>IF(OR($C167="",$I167=""),0,IF(COUNTIFS($C$5:$C167,$C167,$I$5:$I167,$I167)=1,1,0))</f>
        <v>0</v>
      </c>
      <c r="AJ167" s="43" t="str">
        <f>IF($AI167=1,SUMIFS($AI$4:$AI166,$C$4:$C166,$C167)+1,"")</f>
        <v/>
      </c>
      <c r="AK167" s="43">
        <f>IF(OR($C167="",$K167=""),0,IF(COUNTIFS($C$5:$C167,$C167,$K$5:$K167,$K167)=1,1,0))</f>
        <v>0</v>
      </c>
      <c r="AL167" s="43" t="str">
        <f>IF($AK167=1,SUMIFS($AK$4:$AK166,$C$4:$C166,$C167)+1,"")</f>
        <v/>
      </c>
      <c r="AM167" s="43">
        <f>IF(OR($C167="",$G167=""),0,IF(COUNTIFS($C$5:$C167,$C167,$G$5:$G167,$G167)=1,1,0))</f>
        <v>0</v>
      </c>
      <c r="AN167" s="43" t="str">
        <f>IF($AM167=1,SUMIFS($AM$4:$AM166,$C$4:$C166,$C167)+1,"")</f>
        <v/>
      </c>
    </row>
    <row r="168">
      <c r="A168" s="44" t="str">
        <f>IF(OR($B168="",$D168=""),"","TX"&amp;TEXT(ROW()-4,"0000"))</f>
        <v/>
      </c>
      <c r="B168" s="42" t="n"/>
      <c r="C168" s="47" t="str">
        <f>IF($B168="","",YEAR($B168)*100+MONTH($B168))</f>
        <v/>
      </c>
      <c r="D168" s="37" t="n"/>
      <c r="E168" s="45" t="str">
        <f>IF($D168="","",IFERROR(INDEX(CARDS!$B$5:$B$34,MATCH($D168,CARDS!$A$5:$A$34,0)),"⚠ Card ID?"))</f>
        <v/>
      </c>
      <c r="F168" s="45" t="str">
        <f>IF($D168="","",IFERROR(INDEX(CARDS!$C$5:$C$34,MATCH($D168,CARDS!$A$5:$A$34,0)),"⚠ Card ID?"))</f>
        <v/>
      </c>
      <c r="G168" s="37" t="n"/>
      <c r="H168" s="37" t="n"/>
      <c r="I168" s="41" t="n"/>
      <c r="J168" s="45" t="str">
        <f>IF($I168="","",IFERROR(INDEX(MCC_MASTER!$B$5:$B$504,MATCH($I168,MCC_MASTER!$A$5:$A$504,0)),"⚠ MCC chưa có"))</f>
        <v/>
      </c>
      <c r="K168" s="45" t="str">
        <f>IF($I168="","",IFERROR(IF(INDEX(MCC_MASTER!$C$5:$C$504,MATCH($I168,MCC_MASTER!$A$5:$A$504,0))="","Chưa phân loại",INDEX(MCC_MASTER!$C$5:$C$504,MATCH($I168,MCC_MASTER!$A$5:$A$504,0))),"Chưa phân loại"))</f>
        <v/>
      </c>
      <c r="L168" s="40" t="n"/>
      <c r="M168" s="48" t="str">
        <f>IF(OR($B168="",$D168=""),"",IF($AC168=0,0,IF(ISNUMBER(INDEX(CASHBACK_RULES!$L$5:$L$304,$AC168)),MAX(0,MIN($L168,INDEX(CASHBACK_RULES!$L$5:$L$304,$AC168)-$AH168)),MAX(0,$L168))))</f>
        <v/>
      </c>
      <c r="N168" s="49" t="str">
        <f>IF(OR($B168="",$D168=""),"",IF($AC168&gt;0,INDEX(CASHBACK_RULES!$I$5:$I$304,$AC168),0))</f>
        <v/>
      </c>
      <c r="O168" s="48" t="str">
        <f>IF(OR($B168="",$D168=""),"",ROUND($M168*$N168,0))</f>
        <v/>
      </c>
      <c r="P168" s="48" t="str">
        <f>IF($AC168&gt;0,IF(ISNUMBER(INDEX(CASHBACK_RULES!$J$5:$J$304,$AC168)),INDEX(CASHBACK_RULES!$J$5:$J$304,$AC168),"∞"),"")</f>
        <v/>
      </c>
      <c r="Q168" s="48" t="str">
        <f>IF(OR($B168="",$D168=""),"",IF($AC168=0,0,MAX(0,MIN($O168,IF(ISNUMBER($P168),$P168-$AF168,1E+15),IF(ISNUMBER($AA168),$AA168-$AG168,1E+15)))))</f>
        <v/>
      </c>
      <c r="R168" s="48" t="str">
        <f>IF(OR($B168="",$D168=""),"",IF($AC168=0,"",IF(AND(NOT(ISNUMBER($P168)),NOT(ISNUMBER($AA168))),"∞",MAX(0,MIN(IF(ISNUMBER($P168),$P168-$AF168-$Q168,1E+15),IF(ISNUMBER($AA168),$AA168-$AG168-$Q168,1E+15))))))</f>
        <v/>
      </c>
      <c r="S168" s="47" t="str">
        <f>IF($AD168="","",YEAR($AD168)*100+MONTH($AD168))</f>
        <v/>
      </c>
      <c r="T168" s="50" t="str">
        <f>IF($AD168="","",IFERROR(IF(INDEX(CARDS!$I$5:$I$34,MATCH($D168,CARDS!$A$5:$A$34,0))="","",IF(INDEX(CARDS!$I$5:$I$34,MATCH($D168,CARDS!$A$5:$A$34,0))&gt;INDEX(CARDS!$H$5:$H$34,MATCH($D168,CARDS!$A$5:$A$34,0)),DATE(YEAR($AD168),MONTH($AD168),MIN(INDEX(CARDS!$I$5:$I$34,MATCH($D168,CARDS!$A$5:$A$34,0)),DAY(EOMONTH($AD168,0)))),DATE(YEAR($AD168),MONTH($AD168)+1,MIN(INDEX(CARDS!$I$5:$I$34,MATCH($D168,CARDS!$A$5:$A$34,0)),DAY(EOMONTH($AD168,1)))))),""))</f>
        <v/>
      </c>
      <c r="U168" s="38" t="n"/>
      <c r="V168" s="37" t="n"/>
      <c r="W168" s="38" t="n"/>
      <c r="X168" s="38" t="n"/>
      <c r="Y168" s="44" t="str">
        <f>IF($AC168&gt;0,INDEX(CASHBACK_RULES!$A$5:$A$304,$AC168),"")</f>
        <v/>
      </c>
      <c r="Z168" s="45" t="str">
        <f>IF($AC168&gt;0,INDEX(CASHBACK_RULES!$E$5:$E$304,$AC168)&amp;"","")</f>
        <v/>
      </c>
      <c r="AA168" s="48" t="str">
        <f>IF($AC168&gt;0,IF(ISNUMBER(INDEX(CASHBACK_RULES!$K$5:$K$304,$AC168)),INDEX(CASHBACK_RULES!$K$5:$K$304,$AC168),"∞"),"")</f>
        <v/>
      </c>
      <c r="AB168" s="44" t="str">
        <f>IF(OR($B168="",$D168=""),"",IF($U168="Cancelled","Đã hủy",IF($AC168=0,"Không được hoàn",IF($Q168=0,IF(OR($O168&gt;0,$M168&lt;$L168),"Đã đạt cap","Không được hoàn"),IF(OR($Q168&lt;$O168,$M168&lt;$L168),"Hoàn một phần","Được hoàn")))))</f>
        <v/>
      </c>
      <c r="AC168" s="43">
        <f>IF(OR($B168="",$D168="",$I168="",$L168=""),0,IF($U168="Cancelled",0,IF($W168&lt;&gt;"",IFERROR(IF(INDEX(CASHBACK_RULES!$B$5:$B$304,MATCH($W168,CASHBACK_RULES!$A$5:$A$304,0))=$D168,MATCH($W168,CASHBACK_RULES!$A$5:$A$304,0),0),0),IFERROR(MATCH(1,INDEX((CASHBACK_RULES!$B$5:$B$304=$D168)*(CASHBACK_RULES!$G$5:$G$304=$I168)*(((CASHBACK_RULES!$N$5:$N$304="")+(CASHBACK_RULES!$N$5:$N$304&lt;=$B168))&gt;0)*(((CASHBACK_RULES!$O$5:$O$304="")+(CASHBACK_RULES!$O$5:$O$304&gt;=$B168))&gt;0)*(((CASHBACK_RULES!$M$5:$M$304="")+(CASHBACK_RULES!$M$5:$M$304&lt;=$L168))&gt;0),0),0),0))))</f>
        <v>0</v>
      </c>
      <c r="AD168" s="51" t="str">
        <f>IF(OR($B168="",$D168=""),"",IFERROR(IF(INDEX(CARDS!$H$5:$H$34,MATCH($D168,CARDS!$A$5:$A$34,0))="","",IF(DAY($B168)&lt;=INDEX(CARDS!$H$5:$H$34,MATCH($D168,CARDS!$A$5:$A$34,0)),DATE(YEAR($B168),MONTH($B168),MIN(INDEX(CARDS!$H$5:$H$34,MATCH($D168,CARDS!$A$5:$A$34,0)),DAY(EOMONTH($B168,0)))),DATE(YEAR($B168),MONTH($B168)+1,MIN(INDEX(CARDS!$H$5:$H$34,MATCH($D168,CARDS!$A$5:$A$34,0)),DAY(EOMONTH($B168,1)))))),""))</f>
        <v/>
      </c>
      <c r="AE168" s="52" t="str">
        <f>IF($C168="","",$C168&amp;"|"&amp;COUNTIF($C$5:$C168,$C168))</f>
        <v/>
      </c>
      <c r="AF168" s="53">
        <f>IF($AC168&gt;0,SUMIFS(Q$4:Q167,$D$4:$D167,$D168,$Z$4:$Z167,$Z168,$C$4:$C167,$C168),0)</f>
        <v>0</v>
      </c>
      <c r="AG168" s="53">
        <f>IF($AC168&gt;0,SUMIFS(Q$4:Q167,$D$4:$D167,$D168,$C$4:$C167,$C168),0)</f>
        <v>0</v>
      </c>
      <c r="AH168" s="53">
        <f>IF($AC168&gt;0,SUMIFS(M$4:M167,$D$4:$D167,$D168,$Z$4:$Z167,$Z168,$C$4:$C167,$C168),0)</f>
        <v>0</v>
      </c>
      <c r="AI168" s="43">
        <f>IF(OR($C168="",$I168=""),0,IF(COUNTIFS($C$5:$C168,$C168,$I$5:$I168,$I168)=1,1,0))</f>
        <v>0</v>
      </c>
      <c r="AJ168" s="43" t="str">
        <f>IF($AI168=1,SUMIFS($AI$4:$AI167,$C$4:$C167,$C168)+1,"")</f>
        <v/>
      </c>
      <c r="AK168" s="43">
        <f>IF(OR($C168="",$K168=""),0,IF(COUNTIFS($C$5:$C168,$C168,$K$5:$K168,$K168)=1,1,0))</f>
        <v>0</v>
      </c>
      <c r="AL168" s="43" t="str">
        <f>IF($AK168=1,SUMIFS($AK$4:$AK167,$C$4:$C167,$C168)+1,"")</f>
        <v/>
      </c>
      <c r="AM168" s="43">
        <f>IF(OR($C168="",$G168=""),0,IF(COUNTIFS($C$5:$C168,$C168,$G$5:$G168,$G168)=1,1,0))</f>
        <v>0</v>
      </c>
      <c r="AN168" s="43" t="str">
        <f>IF($AM168=1,SUMIFS($AM$4:$AM167,$C$4:$C167,$C168)+1,"")</f>
        <v/>
      </c>
    </row>
    <row r="169">
      <c r="A169" s="44" t="str">
        <f>IF(OR($B169="",$D169=""),"","TX"&amp;TEXT(ROW()-4,"0000"))</f>
        <v/>
      </c>
      <c r="B169" s="42" t="n"/>
      <c r="C169" s="47" t="str">
        <f>IF($B169="","",YEAR($B169)*100+MONTH($B169))</f>
        <v/>
      </c>
      <c r="D169" s="37" t="n"/>
      <c r="E169" s="45" t="str">
        <f>IF($D169="","",IFERROR(INDEX(CARDS!$B$5:$B$34,MATCH($D169,CARDS!$A$5:$A$34,0)),"⚠ Card ID?"))</f>
        <v/>
      </c>
      <c r="F169" s="45" t="str">
        <f>IF($D169="","",IFERROR(INDEX(CARDS!$C$5:$C$34,MATCH($D169,CARDS!$A$5:$A$34,0)),"⚠ Card ID?"))</f>
        <v/>
      </c>
      <c r="G169" s="37" t="n"/>
      <c r="H169" s="37" t="n"/>
      <c r="I169" s="41" t="n"/>
      <c r="J169" s="45" t="str">
        <f>IF($I169="","",IFERROR(INDEX(MCC_MASTER!$B$5:$B$504,MATCH($I169,MCC_MASTER!$A$5:$A$504,0)),"⚠ MCC chưa có"))</f>
        <v/>
      </c>
      <c r="K169" s="45" t="str">
        <f>IF($I169="","",IFERROR(IF(INDEX(MCC_MASTER!$C$5:$C$504,MATCH($I169,MCC_MASTER!$A$5:$A$504,0))="","Chưa phân loại",INDEX(MCC_MASTER!$C$5:$C$504,MATCH($I169,MCC_MASTER!$A$5:$A$504,0))),"Chưa phân loại"))</f>
        <v/>
      </c>
      <c r="L169" s="40" t="n"/>
      <c r="M169" s="48" t="str">
        <f>IF(OR($B169="",$D169=""),"",IF($AC169=0,0,IF(ISNUMBER(INDEX(CASHBACK_RULES!$L$5:$L$304,$AC169)),MAX(0,MIN($L169,INDEX(CASHBACK_RULES!$L$5:$L$304,$AC169)-$AH169)),MAX(0,$L169))))</f>
        <v/>
      </c>
      <c r="N169" s="49" t="str">
        <f>IF(OR($B169="",$D169=""),"",IF($AC169&gt;0,INDEX(CASHBACK_RULES!$I$5:$I$304,$AC169),0))</f>
        <v/>
      </c>
      <c r="O169" s="48" t="str">
        <f>IF(OR($B169="",$D169=""),"",ROUND($M169*$N169,0))</f>
        <v/>
      </c>
      <c r="P169" s="48" t="str">
        <f>IF($AC169&gt;0,IF(ISNUMBER(INDEX(CASHBACK_RULES!$J$5:$J$304,$AC169)),INDEX(CASHBACK_RULES!$J$5:$J$304,$AC169),"∞"),"")</f>
        <v/>
      </c>
      <c r="Q169" s="48" t="str">
        <f>IF(OR($B169="",$D169=""),"",IF($AC169=0,0,MAX(0,MIN($O169,IF(ISNUMBER($P169),$P169-$AF169,1E+15),IF(ISNUMBER($AA169),$AA169-$AG169,1E+15)))))</f>
        <v/>
      </c>
      <c r="R169" s="48" t="str">
        <f>IF(OR($B169="",$D169=""),"",IF($AC169=0,"",IF(AND(NOT(ISNUMBER($P169)),NOT(ISNUMBER($AA169))),"∞",MAX(0,MIN(IF(ISNUMBER($P169),$P169-$AF169-$Q169,1E+15),IF(ISNUMBER($AA169),$AA169-$AG169-$Q169,1E+15))))))</f>
        <v/>
      </c>
      <c r="S169" s="47" t="str">
        <f>IF($AD169="","",YEAR($AD169)*100+MONTH($AD169))</f>
        <v/>
      </c>
      <c r="T169" s="50" t="str">
        <f>IF($AD169="","",IFERROR(IF(INDEX(CARDS!$I$5:$I$34,MATCH($D169,CARDS!$A$5:$A$34,0))="","",IF(INDEX(CARDS!$I$5:$I$34,MATCH($D169,CARDS!$A$5:$A$34,0))&gt;INDEX(CARDS!$H$5:$H$34,MATCH($D169,CARDS!$A$5:$A$34,0)),DATE(YEAR($AD169),MONTH($AD169),MIN(INDEX(CARDS!$I$5:$I$34,MATCH($D169,CARDS!$A$5:$A$34,0)),DAY(EOMONTH($AD169,0)))),DATE(YEAR($AD169),MONTH($AD169)+1,MIN(INDEX(CARDS!$I$5:$I$34,MATCH($D169,CARDS!$A$5:$A$34,0)),DAY(EOMONTH($AD169,1)))))),""))</f>
        <v/>
      </c>
      <c r="U169" s="38" t="n"/>
      <c r="V169" s="37" t="n"/>
      <c r="W169" s="38" t="n"/>
      <c r="X169" s="38" t="n"/>
      <c r="Y169" s="44" t="str">
        <f>IF($AC169&gt;0,INDEX(CASHBACK_RULES!$A$5:$A$304,$AC169),"")</f>
        <v/>
      </c>
      <c r="Z169" s="45" t="str">
        <f>IF($AC169&gt;0,INDEX(CASHBACK_RULES!$E$5:$E$304,$AC169)&amp;"","")</f>
        <v/>
      </c>
      <c r="AA169" s="48" t="str">
        <f>IF($AC169&gt;0,IF(ISNUMBER(INDEX(CASHBACK_RULES!$K$5:$K$304,$AC169)),INDEX(CASHBACK_RULES!$K$5:$K$304,$AC169),"∞"),"")</f>
        <v/>
      </c>
      <c r="AB169" s="44" t="str">
        <f>IF(OR($B169="",$D169=""),"",IF($U169="Cancelled","Đã hủy",IF($AC169=0,"Không được hoàn",IF($Q169=0,IF(OR($O169&gt;0,$M169&lt;$L169),"Đã đạt cap","Không được hoàn"),IF(OR($Q169&lt;$O169,$M169&lt;$L169),"Hoàn một phần","Được hoàn")))))</f>
        <v/>
      </c>
      <c r="AC169" s="43">
        <f>IF(OR($B169="",$D169="",$I169="",$L169=""),0,IF($U169="Cancelled",0,IF($W169&lt;&gt;"",IFERROR(IF(INDEX(CASHBACK_RULES!$B$5:$B$304,MATCH($W169,CASHBACK_RULES!$A$5:$A$304,0))=$D169,MATCH($W169,CASHBACK_RULES!$A$5:$A$304,0),0),0),IFERROR(MATCH(1,INDEX((CASHBACK_RULES!$B$5:$B$304=$D169)*(CASHBACK_RULES!$G$5:$G$304=$I169)*(((CASHBACK_RULES!$N$5:$N$304="")+(CASHBACK_RULES!$N$5:$N$304&lt;=$B169))&gt;0)*(((CASHBACK_RULES!$O$5:$O$304="")+(CASHBACK_RULES!$O$5:$O$304&gt;=$B169))&gt;0)*(((CASHBACK_RULES!$M$5:$M$304="")+(CASHBACK_RULES!$M$5:$M$304&lt;=$L169))&gt;0),0),0),0))))</f>
        <v>0</v>
      </c>
      <c r="AD169" s="51" t="str">
        <f>IF(OR($B169="",$D169=""),"",IFERROR(IF(INDEX(CARDS!$H$5:$H$34,MATCH($D169,CARDS!$A$5:$A$34,0))="","",IF(DAY($B169)&lt;=INDEX(CARDS!$H$5:$H$34,MATCH($D169,CARDS!$A$5:$A$34,0)),DATE(YEAR($B169),MONTH($B169),MIN(INDEX(CARDS!$H$5:$H$34,MATCH($D169,CARDS!$A$5:$A$34,0)),DAY(EOMONTH($B169,0)))),DATE(YEAR($B169),MONTH($B169)+1,MIN(INDEX(CARDS!$H$5:$H$34,MATCH($D169,CARDS!$A$5:$A$34,0)),DAY(EOMONTH($B169,1)))))),""))</f>
        <v/>
      </c>
      <c r="AE169" s="52" t="str">
        <f>IF($C169="","",$C169&amp;"|"&amp;COUNTIF($C$5:$C169,$C169))</f>
        <v/>
      </c>
      <c r="AF169" s="53">
        <f>IF($AC169&gt;0,SUMIFS(Q$4:Q168,$D$4:$D168,$D169,$Z$4:$Z168,$Z169,$C$4:$C168,$C169),0)</f>
        <v>0</v>
      </c>
      <c r="AG169" s="53">
        <f>IF($AC169&gt;0,SUMIFS(Q$4:Q168,$D$4:$D168,$D169,$C$4:$C168,$C169),0)</f>
        <v>0</v>
      </c>
      <c r="AH169" s="53">
        <f>IF($AC169&gt;0,SUMIFS(M$4:M168,$D$4:$D168,$D169,$Z$4:$Z168,$Z169,$C$4:$C168,$C169),0)</f>
        <v>0</v>
      </c>
      <c r="AI169" s="43">
        <f>IF(OR($C169="",$I169=""),0,IF(COUNTIFS($C$5:$C169,$C169,$I$5:$I169,$I169)=1,1,0))</f>
        <v>0</v>
      </c>
      <c r="AJ169" s="43" t="str">
        <f>IF($AI169=1,SUMIFS($AI$4:$AI168,$C$4:$C168,$C169)+1,"")</f>
        <v/>
      </c>
      <c r="AK169" s="43">
        <f>IF(OR($C169="",$K169=""),0,IF(COUNTIFS($C$5:$C169,$C169,$K$5:$K169,$K169)=1,1,0))</f>
        <v>0</v>
      </c>
      <c r="AL169" s="43" t="str">
        <f>IF($AK169=1,SUMIFS($AK$4:$AK168,$C$4:$C168,$C169)+1,"")</f>
        <v/>
      </c>
      <c r="AM169" s="43">
        <f>IF(OR($C169="",$G169=""),0,IF(COUNTIFS($C$5:$C169,$C169,$G$5:$G169,$G169)=1,1,0))</f>
        <v>0</v>
      </c>
      <c r="AN169" s="43" t="str">
        <f>IF($AM169=1,SUMIFS($AM$4:$AM168,$C$4:$C168,$C169)+1,"")</f>
        <v/>
      </c>
    </row>
    <row r="170">
      <c r="A170" s="44" t="str">
        <f>IF(OR($B170="",$D170=""),"","TX"&amp;TEXT(ROW()-4,"0000"))</f>
        <v/>
      </c>
      <c r="B170" s="42" t="n"/>
      <c r="C170" s="47" t="str">
        <f>IF($B170="","",YEAR($B170)*100+MONTH($B170))</f>
        <v/>
      </c>
      <c r="D170" s="37" t="n"/>
      <c r="E170" s="45" t="str">
        <f>IF($D170="","",IFERROR(INDEX(CARDS!$B$5:$B$34,MATCH($D170,CARDS!$A$5:$A$34,0)),"⚠ Card ID?"))</f>
        <v/>
      </c>
      <c r="F170" s="45" t="str">
        <f>IF($D170="","",IFERROR(INDEX(CARDS!$C$5:$C$34,MATCH($D170,CARDS!$A$5:$A$34,0)),"⚠ Card ID?"))</f>
        <v/>
      </c>
      <c r="G170" s="37" t="n"/>
      <c r="H170" s="37" t="n"/>
      <c r="I170" s="41" t="n"/>
      <c r="J170" s="45" t="str">
        <f>IF($I170="","",IFERROR(INDEX(MCC_MASTER!$B$5:$B$504,MATCH($I170,MCC_MASTER!$A$5:$A$504,0)),"⚠ MCC chưa có"))</f>
        <v/>
      </c>
      <c r="K170" s="45" t="str">
        <f>IF($I170="","",IFERROR(IF(INDEX(MCC_MASTER!$C$5:$C$504,MATCH($I170,MCC_MASTER!$A$5:$A$504,0))="","Chưa phân loại",INDEX(MCC_MASTER!$C$5:$C$504,MATCH($I170,MCC_MASTER!$A$5:$A$504,0))),"Chưa phân loại"))</f>
        <v/>
      </c>
      <c r="L170" s="40" t="n"/>
      <c r="M170" s="48" t="str">
        <f>IF(OR($B170="",$D170=""),"",IF($AC170=0,0,IF(ISNUMBER(INDEX(CASHBACK_RULES!$L$5:$L$304,$AC170)),MAX(0,MIN($L170,INDEX(CASHBACK_RULES!$L$5:$L$304,$AC170)-$AH170)),MAX(0,$L170))))</f>
        <v/>
      </c>
      <c r="N170" s="49" t="str">
        <f>IF(OR($B170="",$D170=""),"",IF($AC170&gt;0,INDEX(CASHBACK_RULES!$I$5:$I$304,$AC170),0))</f>
        <v/>
      </c>
      <c r="O170" s="48" t="str">
        <f>IF(OR($B170="",$D170=""),"",ROUND($M170*$N170,0))</f>
        <v/>
      </c>
      <c r="P170" s="48" t="str">
        <f>IF($AC170&gt;0,IF(ISNUMBER(INDEX(CASHBACK_RULES!$J$5:$J$304,$AC170)),INDEX(CASHBACK_RULES!$J$5:$J$304,$AC170),"∞"),"")</f>
        <v/>
      </c>
      <c r="Q170" s="48" t="str">
        <f>IF(OR($B170="",$D170=""),"",IF($AC170=0,0,MAX(0,MIN($O170,IF(ISNUMBER($P170),$P170-$AF170,1E+15),IF(ISNUMBER($AA170),$AA170-$AG170,1E+15)))))</f>
        <v/>
      </c>
      <c r="R170" s="48" t="str">
        <f>IF(OR($B170="",$D170=""),"",IF($AC170=0,"",IF(AND(NOT(ISNUMBER($P170)),NOT(ISNUMBER($AA170))),"∞",MAX(0,MIN(IF(ISNUMBER($P170),$P170-$AF170-$Q170,1E+15),IF(ISNUMBER($AA170),$AA170-$AG170-$Q170,1E+15))))))</f>
        <v/>
      </c>
      <c r="S170" s="47" t="str">
        <f>IF($AD170="","",YEAR($AD170)*100+MONTH($AD170))</f>
        <v/>
      </c>
      <c r="T170" s="50" t="str">
        <f>IF($AD170="","",IFERROR(IF(INDEX(CARDS!$I$5:$I$34,MATCH($D170,CARDS!$A$5:$A$34,0))="","",IF(INDEX(CARDS!$I$5:$I$34,MATCH($D170,CARDS!$A$5:$A$34,0))&gt;INDEX(CARDS!$H$5:$H$34,MATCH($D170,CARDS!$A$5:$A$34,0)),DATE(YEAR($AD170),MONTH($AD170),MIN(INDEX(CARDS!$I$5:$I$34,MATCH($D170,CARDS!$A$5:$A$34,0)),DAY(EOMONTH($AD170,0)))),DATE(YEAR($AD170),MONTH($AD170)+1,MIN(INDEX(CARDS!$I$5:$I$34,MATCH($D170,CARDS!$A$5:$A$34,0)),DAY(EOMONTH($AD170,1)))))),""))</f>
        <v/>
      </c>
      <c r="U170" s="38" t="n"/>
      <c r="V170" s="37" t="n"/>
      <c r="W170" s="38" t="n"/>
      <c r="X170" s="38" t="n"/>
      <c r="Y170" s="44" t="str">
        <f>IF($AC170&gt;0,INDEX(CASHBACK_RULES!$A$5:$A$304,$AC170),"")</f>
        <v/>
      </c>
      <c r="Z170" s="45" t="str">
        <f>IF($AC170&gt;0,INDEX(CASHBACK_RULES!$E$5:$E$304,$AC170)&amp;"","")</f>
        <v/>
      </c>
      <c r="AA170" s="48" t="str">
        <f>IF($AC170&gt;0,IF(ISNUMBER(INDEX(CASHBACK_RULES!$K$5:$K$304,$AC170)),INDEX(CASHBACK_RULES!$K$5:$K$304,$AC170),"∞"),"")</f>
        <v/>
      </c>
      <c r="AB170" s="44" t="str">
        <f>IF(OR($B170="",$D170=""),"",IF($U170="Cancelled","Đã hủy",IF($AC170=0,"Không được hoàn",IF($Q170=0,IF(OR($O170&gt;0,$M170&lt;$L170),"Đã đạt cap","Không được hoàn"),IF(OR($Q170&lt;$O170,$M170&lt;$L170),"Hoàn một phần","Được hoàn")))))</f>
        <v/>
      </c>
      <c r="AC170" s="43">
        <f>IF(OR($B170="",$D170="",$I170="",$L170=""),0,IF($U170="Cancelled",0,IF($W170&lt;&gt;"",IFERROR(IF(INDEX(CASHBACK_RULES!$B$5:$B$304,MATCH($W170,CASHBACK_RULES!$A$5:$A$304,0))=$D170,MATCH($W170,CASHBACK_RULES!$A$5:$A$304,0),0),0),IFERROR(MATCH(1,INDEX((CASHBACK_RULES!$B$5:$B$304=$D170)*(CASHBACK_RULES!$G$5:$G$304=$I170)*(((CASHBACK_RULES!$N$5:$N$304="")+(CASHBACK_RULES!$N$5:$N$304&lt;=$B170))&gt;0)*(((CASHBACK_RULES!$O$5:$O$304="")+(CASHBACK_RULES!$O$5:$O$304&gt;=$B170))&gt;0)*(((CASHBACK_RULES!$M$5:$M$304="")+(CASHBACK_RULES!$M$5:$M$304&lt;=$L170))&gt;0),0),0),0))))</f>
        <v>0</v>
      </c>
      <c r="AD170" s="51" t="str">
        <f>IF(OR($B170="",$D170=""),"",IFERROR(IF(INDEX(CARDS!$H$5:$H$34,MATCH($D170,CARDS!$A$5:$A$34,0))="","",IF(DAY($B170)&lt;=INDEX(CARDS!$H$5:$H$34,MATCH($D170,CARDS!$A$5:$A$34,0)),DATE(YEAR($B170),MONTH($B170),MIN(INDEX(CARDS!$H$5:$H$34,MATCH($D170,CARDS!$A$5:$A$34,0)),DAY(EOMONTH($B170,0)))),DATE(YEAR($B170),MONTH($B170)+1,MIN(INDEX(CARDS!$H$5:$H$34,MATCH($D170,CARDS!$A$5:$A$34,0)),DAY(EOMONTH($B170,1)))))),""))</f>
        <v/>
      </c>
      <c r="AE170" s="52" t="str">
        <f>IF($C170="","",$C170&amp;"|"&amp;COUNTIF($C$5:$C170,$C170))</f>
        <v/>
      </c>
      <c r="AF170" s="53">
        <f>IF($AC170&gt;0,SUMIFS(Q$4:Q169,$D$4:$D169,$D170,$Z$4:$Z169,$Z170,$C$4:$C169,$C170),0)</f>
        <v>0</v>
      </c>
      <c r="AG170" s="53">
        <f>IF($AC170&gt;0,SUMIFS(Q$4:Q169,$D$4:$D169,$D170,$C$4:$C169,$C170),0)</f>
        <v>0</v>
      </c>
      <c r="AH170" s="53">
        <f>IF($AC170&gt;0,SUMIFS(M$4:M169,$D$4:$D169,$D170,$Z$4:$Z169,$Z170,$C$4:$C169,$C170),0)</f>
        <v>0</v>
      </c>
      <c r="AI170" s="43">
        <f>IF(OR($C170="",$I170=""),0,IF(COUNTIFS($C$5:$C170,$C170,$I$5:$I170,$I170)=1,1,0))</f>
        <v>0</v>
      </c>
      <c r="AJ170" s="43" t="str">
        <f>IF($AI170=1,SUMIFS($AI$4:$AI169,$C$4:$C169,$C170)+1,"")</f>
        <v/>
      </c>
      <c r="AK170" s="43">
        <f>IF(OR($C170="",$K170=""),0,IF(COUNTIFS($C$5:$C170,$C170,$K$5:$K170,$K170)=1,1,0))</f>
        <v>0</v>
      </c>
      <c r="AL170" s="43" t="str">
        <f>IF($AK170=1,SUMIFS($AK$4:$AK169,$C$4:$C169,$C170)+1,"")</f>
        <v/>
      </c>
      <c r="AM170" s="43">
        <f>IF(OR($C170="",$G170=""),0,IF(COUNTIFS($C$5:$C170,$C170,$G$5:$G170,$G170)=1,1,0))</f>
        <v>0</v>
      </c>
      <c r="AN170" s="43" t="str">
        <f>IF($AM170=1,SUMIFS($AM$4:$AM169,$C$4:$C169,$C170)+1,"")</f>
        <v/>
      </c>
    </row>
    <row r="171">
      <c r="A171" s="44" t="str">
        <f>IF(OR($B171="",$D171=""),"","TX"&amp;TEXT(ROW()-4,"0000"))</f>
        <v/>
      </c>
      <c r="B171" s="42" t="n"/>
      <c r="C171" s="47" t="str">
        <f>IF($B171="","",YEAR($B171)*100+MONTH($B171))</f>
        <v/>
      </c>
      <c r="D171" s="37" t="n"/>
      <c r="E171" s="45" t="str">
        <f>IF($D171="","",IFERROR(INDEX(CARDS!$B$5:$B$34,MATCH($D171,CARDS!$A$5:$A$34,0)),"⚠ Card ID?"))</f>
        <v/>
      </c>
      <c r="F171" s="45" t="str">
        <f>IF($D171="","",IFERROR(INDEX(CARDS!$C$5:$C$34,MATCH($D171,CARDS!$A$5:$A$34,0)),"⚠ Card ID?"))</f>
        <v/>
      </c>
      <c r="G171" s="37" t="n"/>
      <c r="H171" s="37" t="n"/>
      <c r="I171" s="41" t="n"/>
      <c r="J171" s="45" t="str">
        <f>IF($I171="","",IFERROR(INDEX(MCC_MASTER!$B$5:$B$504,MATCH($I171,MCC_MASTER!$A$5:$A$504,0)),"⚠ MCC chưa có"))</f>
        <v/>
      </c>
      <c r="K171" s="45" t="str">
        <f>IF($I171="","",IFERROR(IF(INDEX(MCC_MASTER!$C$5:$C$504,MATCH($I171,MCC_MASTER!$A$5:$A$504,0))="","Chưa phân loại",INDEX(MCC_MASTER!$C$5:$C$504,MATCH($I171,MCC_MASTER!$A$5:$A$504,0))),"Chưa phân loại"))</f>
        <v/>
      </c>
      <c r="L171" s="40" t="n"/>
      <c r="M171" s="48" t="str">
        <f>IF(OR($B171="",$D171=""),"",IF($AC171=0,0,IF(ISNUMBER(INDEX(CASHBACK_RULES!$L$5:$L$304,$AC171)),MAX(0,MIN($L171,INDEX(CASHBACK_RULES!$L$5:$L$304,$AC171)-$AH171)),MAX(0,$L171))))</f>
        <v/>
      </c>
      <c r="N171" s="49" t="str">
        <f>IF(OR($B171="",$D171=""),"",IF($AC171&gt;0,INDEX(CASHBACK_RULES!$I$5:$I$304,$AC171),0))</f>
        <v/>
      </c>
      <c r="O171" s="48" t="str">
        <f>IF(OR($B171="",$D171=""),"",ROUND($M171*$N171,0))</f>
        <v/>
      </c>
      <c r="P171" s="48" t="str">
        <f>IF($AC171&gt;0,IF(ISNUMBER(INDEX(CASHBACK_RULES!$J$5:$J$304,$AC171)),INDEX(CASHBACK_RULES!$J$5:$J$304,$AC171),"∞"),"")</f>
        <v/>
      </c>
      <c r="Q171" s="48" t="str">
        <f>IF(OR($B171="",$D171=""),"",IF($AC171=0,0,MAX(0,MIN($O171,IF(ISNUMBER($P171),$P171-$AF171,1E+15),IF(ISNUMBER($AA171),$AA171-$AG171,1E+15)))))</f>
        <v/>
      </c>
      <c r="R171" s="48" t="str">
        <f>IF(OR($B171="",$D171=""),"",IF($AC171=0,"",IF(AND(NOT(ISNUMBER($P171)),NOT(ISNUMBER($AA171))),"∞",MAX(0,MIN(IF(ISNUMBER($P171),$P171-$AF171-$Q171,1E+15),IF(ISNUMBER($AA171),$AA171-$AG171-$Q171,1E+15))))))</f>
        <v/>
      </c>
      <c r="S171" s="47" t="str">
        <f>IF($AD171="","",YEAR($AD171)*100+MONTH($AD171))</f>
        <v/>
      </c>
      <c r="T171" s="50" t="str">
        <f>IF($AD171="","",IFERROR(IF(INDEX(CARDS!$I$5:$I$34,MATCH($D171,CARDS!$A$5:$A$34,0))="","",IF(INDEX(CARDS!$I$5:$I$34,MATCH($D171,CARDS!$A$5:$A$34,0))&gt;INDEX(CARDS!$H$5:$H$34,MATCH($D171,CARDS!$A$5:$A$34,0)),DATE(YEAR($AD171),MONTH($AD171),MIN(INDEX(CARDS!$I$5:$I$34,MATCH($D171,CARDS!$A$5:$A$34,0)),DAY(EOMONTH($AD171,0)))),DATE(YEAR($AD171),MONTH($AD171)+1,MIN(INDEX(CARDS!$I$5:$I$34,MATCH($D171,CARDS!$A$5:$A$34,0)),DAY(EOMONTH($AD171,1)))))),""))</f>
        <v/>
      </c>
      <c r="U171" s="38" t="n"/>
      <c r="V171" s="37" t="n"/>
      <c r="W171" s="38" t="n"/>
      <c r="X171" s="38" t="n"/>
      <c r="Y171" s="44" t="str">
        <f>IF($AC171&gt;0,INDEX(CASHBACK_RULES!$A$5:$A$304,$AC171),"")</f>
        <v/>
      </c>
      <c r="Z171" s="45" t="str">
        <f>IF($AC171&gt;0,INDEX(CASHBACK_RULES!$E$5:$E$304,$AC171)&amp;"","")</f>
        <v/>
      </c>
      <c r="AA171" s="48" t="str">
        <f>IF($AC171&gt;0,IF(ISNUMBER(INDEX(CASHBACK_RULES!$K$5:$K$304,$AC171)),INDEX(CASHBACK_RULES!$K$5:$K$304,$AC171),"∞"),"")</f>
        <v/>
      </c>
      <c r="AB171" s="44" t="str">
        <f>IF(OR($B171="",$D171=""),"",IF($U171="Cancelled","Đã hủy",IF($AC171=0,"Không được hoàn",IF($Q171=0,IF(OR($O171&gt;0,$M171&lt;$L171),"Đã đạt cap","Không được hoàn"),IF(OR($Q171&lt;$O171,$M171&lt;$L171),"Hoàn một phần","Được hoàn")))))</f>
        <v/>
      </c>
      <c r="AC171" s="43">
        <f>IF(OR($B171="",$D171="",$I171="",$L171=""),0,IF($U171="Cancelled",0,IF($W171&lt;&gt;"",IFERROR(IF(INDEX(CASHBACK_RULES!$B$5:$B$304,MATCH($W171,CASHBACK_RULES!$A$5:$A$304,0))=$D171,MATCH($W171,CASHBACK_RULES!$A$5:$A$304,0),0),0),IFERROR(MATCH(1,INDEX((CASHBACK_RULES!$B$5:$B$304=$D171)*(CASHBACK_RULES!$G$5:$G$304=$I171)*(((CASHBACK_RULES!$N$5:$N$304="")+(CASHBACK_RULES!$N$5:$N$304&lt;=$B171))&gt;0)*(((CASHBACK_RULES!$O$5:$O$304="")+(CASHBACK_RULES!$O$5:$O$304&gt;=$B171))&gt;0)*(((CASHBACK_RULES!$M$5:$M$304="")+(CASHBACK_RULES!$M$5:$M$304&lt;=$L171))&gt;0),0),0),0))))</f>
        <v>0</v>
      </c>
      <c r="AD171" s="51" t="str">
        <f>IF(OR($B171="",$D171=""),"",IFERROR(IF(INDEX(CARDS!$H$5:$H$34,MATCH($D171,CARDS!$A$5:$A$34,0))="","",IF(DAY($B171)&lt;=INDEX(CARDS!$H$5:$H$34,MATCH($D171,CARDS!$A$5:$A$34,0)),DATE(YEAR($B171),MONTH($B171),MIN(INDEX(CARDS!$H$5:$H$34,MATCH($D171,CARDS!$A$5:$A$34,0)),DAY(EOMONTH($B171,0)))),DATE(YEAR($B171),MONTH($B171)+1,MIN(INDEX(CARDS!$H$5:$H$34,MATCH($D171,CARDS!$A$5:$A$34,0)),DAY(EOMONTH($B171,1)))))),""))</f>
        <v/>
      </c>
      <c r="AE171" s="52" t="str">
        <f>IF($C171="","",$C171&amp;"|"&amp;COUNTIF($C$5:$C171,$C171))</f>
        <v/>
      </c>
      <c r="AF171" s="53">
        <f>IF($AC171&gt;0,SUMIFS(Q$4:Q170,$D$4:$D170,$D171,$Z$4:$Z170,$Z171,$C$4:$C170,$C171),0)</f>
        <v>0</v>
      </c>
      <c r="AG171" s="53">
        <f>IF($AC171&gt;0,SUMIFS(Q$4:Q170,$D$4:$D170,$D171,$C$4:$C170,$C171),0)</f>
        <v>0</v>
      </c>
      <c r="AH171" s="53">
        <f>IF($AC171&gt;0,SUMIFS(M$4:M170,$D$4:$D170,$D171,$Z$4:$Z170,$Z171,$C$4:$C170,$C171),0)</f>
        <v>0</v>
      </c>
      <c r="AI171" s="43">
        <f>IF(OR($C171="",$I171=""),0,IF(COUNTIFS($C$5:$C171,$C171,$I$5:$I171,$I171)=1,1,0))</f>
        <v>0</v>
      </c>
      <c r="AJ171" s="43" t="str">
        <f>IF($AI171=1,SUMIFS($AI$4:$AI170,$C$4:$C170,$C171)+1,"")</f>
        <v/>
      </c>
      <c r="AK171" s="43">
        <f>IF(OR($C171="",$K171=""),0,IF(COUNTIFS($C$5:$C171,$C171,$K$5:$K171,$K171)=1,1,0))</f>
        <v>0</v>
      </c>
      <c r="AL171" s="43" t="str">
        <f>IF($AK171=1,SUMIFS($AK$4:$AK170,$C$4:$C170,$C171)+1,"")</f>
        <v/>
      </c>
      <c r="AM171" s="43">
        <f>IF(OR($C171="",$G171=""),0,IF(COUNTIFS($C$5:$C171,$C171,$G$5:$G171,$G171)=1,1,0))</f>
        <v>0</v>
      </c>
      <c r="AN171" s="43" t="str">
        <f>IF($AM171=1,SUMIFS($AM$4:$AM170,$C$4:$C170,$C171)+1,"")</f>
        <v/>
      </c>
    </row>
    <row r="172">
      <c r="A172" s="44" t="str">
        <f>IF(OR($B172="",$D172=""),"","TX"&amp;TEXT(ROW()-4,"0000"))</f>
        <v/>
      </c>
      <c r="B172" s="42" t="n"/>
      <c r="C172" s="47" t="str">
        <f>IF($B172="","",YEAR($B172)*100+MONTH($B172))</f>
        <v/>
      </c>
      <c r="D172" s="37" t="n"/>
      <c r="E172" s="45" t="str">
        <f>IF($D172="","",IFERROR(INDEX(CARDS!$B$5:$B$34,MATCH($D172,CARDS!$A$5:$A$34,0)),"⚠ Card ID?"))</f>
        <v/>
      </c>
      <c r="F172" s="45" t="str">
        <f>IF($D172="","",IFERROR(INDEX(CARDS!$C$5:$C$34,MATCH($D172,CARDS!$A$5:$A$34,0)),"⚠ Card ID?"))</f>
        <v/>
      </c>
      <c r="G172" s="37" t="n"/>
      <c r="H172" s="37" t="n"/>
      <c r="I172" s="41" t="n"/>
      <c r="J172" s="45" t="str">
        <f>IF($I172="","",IFERROR(INDEX(MCC_MASTER!$B$5:$B$504,MATCH($I172,MCC_MASTER!$A$5:$A$504,0)),"⚠ MCC chưa có"))</f>
        <v/>
      </c>
      <c r="K172" s="45" t="str">
        <f>IF($I172="","",IFERROR(IF(INDEX(MCC_MASTER!$C$5:$C$504,MATCH($I172,MCC_MASTER!$A$5:$A$504,0))="","Chưa phân loại",INDEX(MCC_MASTER!$C$5:$C$504,MATCH($I172,MCC_MASTER!$A$5:$A$504,0))),"Chưa phân loại"))</f>
        <v/>
      </c>
      <c r="L172" s="40" t="n"/>
      <c r="M172" s="48" t="str">
        <f>IF(OR($B172="",$D172=""),"",IF($AC172=0,0,IF(ISNUMBER(INDEX(CASHBACK_RULES!$L$5:$L$304,$AC172)),MAX(0,MIN($L172,INDEX(CASHBACK_RULES!$L$5:$L$304,$AC172)-$AH172)),MAX(0,$L172))))</f>
        <v/>
      </c>
      <c r="N172" s="49" t="str">
        <f>IF(OR($B172="",$D172=""),"",IF($AC172&gt;0,INDEX(CASHBACK_RULES!$I$5:$I$304,$AC172),0))</f>
        <v/>
      </c>
      <c r="O172" s="48" t="str">
        <f>IF(OR($B172="",$D172=""),"",ROUND($M172*$N172,0))</f>
        <v/>
      </c>
      <c r="P172" s="48" t="str">
        <f>IF($AC172&gt;0,IF(ISNUMBER(INDEX(CASHBACK_RULES!$J$5:$J$304,$AC172)),INDEX(CASHBACK_RULES!$J$5:$J$304,$AC172),"∞"),"")</f>
        <v/>
      </c>
      <c r="Q172" s="48" t="str">
        <f>IF(OR($B172="",$D172=""),"",IF($AC172=0,0,MAX(0,MIN($O172,IF(ISNUMBER($P172),$P172-$AF172,1E+15),IF(ISNUMBER($AA172),$AA172-$AG172,1E+15)))))</f>
        <v/>
      </c>
      <c r="R172" s="48" t="str">
        <f>IF(OR($B172="",$D172=""),"",IF($AC172=0,"",IF(AND(NOT(ISNUMBER($P172)),NOT(ISNUMBER($AA172))),"∞",MAX(0,MIN(IF(ISNUMBER($P172),$P172-$AF172-$Q172,1E+15),IF(ISNUMBER($AA172),$AA172-$AG172-$Q172,1E+15))))))</f>
        <v/>
      </c>
      <c r="S172" s="47" t="str">
        <f>IF($AD172="","",YEAR($AD172)*100+MONTH($AD172))</f>
        <v/>
      </c>
      <c r="T172" s="50" t="str">
        <f>IF($AD172="","",IFERROR(IF(INDEX(CARDS!$I$5:$I$34,MATCH($D172,CARDS!$A$5:$A$34,0))="","",IF(INDEX(CARDS!$I$5:$I$34,MATCH($D172,CARDS!$A$5:$A$34,0))&gt;INDEX(CARDS!$H$5:$H$34,MATCH($D172,CARDS!$A$5:$A$34,0)),DATE(YEAR($AD172),MONTH($AD172),MIN(INDEX(CARDS!$I$5:$I$34,MATCH($D172,CARDS!$A$5:$A$34,0)),DAY(EOMONTH($AD172,0)))),DATE(YEAR($AD172),MONTH($AD172)+1,MIN(INDEX(CARDS!$I$5:$I$34,MATCH($D172,CARDS!$A$5:$A$34,0)),DAY(EOMONTH($AD172,1)))))),""))</f>
        <v/>
      </c>
      <c r="U172" s="38" t="n"/>
      <c r="V172" s="37" t="n"/>
      <c r="W172" s="38" t="n"/>
      <c r="X172" s="38" t="n"/>
      <c r="Y172" s="44" t="str">
        <f>IF($AC172&gt;0,INDEX(CASHBACK_RULES!$A$5:$A$304,$AC172),"")</f>
        <v/>
      </c>
      <c r="Z172" s="45" t="str">
        <f>IF($AC172&gt;0,INDEX(CASHBACK_RULES!$E$5:$E$304,$AC172)&amp;"","")</f>
        <v/>
      </c>
      <c r="AA172" s="48" t="str">
        <f>IF($AC172&gt;0,IF(ISNUMBER(INDEX(CASHBACK_RULES!$K$5:$K$304,$AC172)),INDEX(CASHBACK_RULES!$K$5:$K$304,$AC172),"∞"),"")</f>
        <v/>
      </c>
      <c r="AB172" s="44" t="str">
        <f>IF(OR($B172="",$D172=""),"",IF($U172="Cancelled","Đã hủy",IF($AC172=0,"Không được hoàn",IF($Q172=0,IF(OR($O172&gt;0,$M172&lt;$L172),"Đã đạt cap","Không được hoàn"),IF(OR($Q172&lt;$O172,$M172&lt;$L172),"Hoàn một phần","Được hoàn")))))</f>
        <v/>
      </c>
      <c r="AC172" s="43">
        <f>IF(OR($B172="",$D172="",$I172="",$L172=""),0,IF($U172="Cancelled",0,IF($W172&lt;&gt;"",IFERROR(IF(INDEX(CASHBACK_RULES!$B$5:$B$304,MATCH($W172,CASHBACK_RULES!$A$5:$A$304,0))=$D172,MATCH($W172,CASHBACK_RULES!$A$5:$A$304,0),0),0),IFERROR(MATCH(1,INDEX((CASHBACK_RULES!$B$5:$B$304=$D172)*(CASHBACK_RULES!$G$5:$G$304=$I172)*(((CASHBACK_RULES!$N$5:$N$304="")+(CASHBACK_RULES!$N$5:$N$304&lt;=$B172))&gt;0)*(((CASHBACK_RULES!$O$5:$O$304="")+(CASHBACK_RULES!$O$5:$O$304&gt;=$B172))&gt;0)*(((CASHBACK_RULES!$M$5:$M$304="")+(CASHBACK_RULES!$M$5:$M$304&lt;=$L172))&gt;0),0),0),0))))</f>
        <v>0</v>
      </c>
      <c r="AD172" s="51" t="str">
        <f>IF(OR($B172="",$D172=""),"",IFERROR(IF(INDEX(CARDS!$H$5:$H$34,MATCH($D172,CARDS!$A$5:$A$34,0))="","",IF(DAY($B172)&lt;=INDEX(CARDS!$H$5:$H$34,MATCH($D172,CARDS!$A$5:$A$34,0)),DATE(YEAR($B172),MONTH($B172),MIN(INDEX(CARDS!$H$5:$H$34,MATCH($D172,CARDS!$A$5:$A$34,0)),DAY(EOMONTH($B172,0)))),DATE(YEAR($B172),MONTH($B172)+1,MIN(INDEX(CARDS!$H$5:$H$34,MATCH($D172,CARDS!$A$5:$A$34,0)),DAY(EOMONTH($B172,1)))))),""))</f>
        <v/>
      </c>
      <c r="AE172" s="52" t="str">
        <f>IF($C172="","",$C172&amp;"|"&amp;COUNTIF($C$5:$C172,$C172))</f>
        <v/>
      </c>
      <c r="AF172" s="53">
        <f>IF($AC172&gt;0,SUMIFS(Q$4:Q171,$D$4:$D171,$D172,$Z$4:$Z171,$Z172,$C$4:$C171,$C172),0)</f>
        <v>0</v>
      </c>
      <c r="AG172" s="53">
        <f>IF($AC172&gt;0,SUMIFS(Q$4:Q171,$D$4:$D171,$D172,$C$4:$C171,$C172),0)</f>
        <v>0</v>
      </c>
      <c r="AH172" s="53">
        <f>IF($AC172&gt;0,SUMIFS(M$4:M171,$D$4:$D171,$D172,$Z$4:$Z171,$Z172,$C$4:$C171,$C172),0)</f>
        <v>0</v>
      </c>
      <c r="AI172" s="43">
        <f>IF(OR($C172="",$I172=""),0,IF(COUNTIFS($C$5:$C172,$C172,$I$5:$I172,$I172)=1,1,0))</f>
        <v>0</v>
      </c>
      <c r="AJ172" s="43" t="str">
        <f>IF($AI172=1,SUMIFS($AI$4:$AI171,$C$4:$C171,$C172)+1,"")</f>
        <v/>
      </c>
      <c r="AK172" s="43">
        <f>IF(OR($C172="",$K172=""),0,IF(COUNTIFS($C$5:$C172,$C172,$K$5:$K172,$K172)=1,1,0))</f>
        <v>0</v>
      </c>
      <c r="AL172" s="43" t="str">
        <f>IF($AK172=1,SUMIFS($AK$4:$AK171,$C$4:$C171,$C172)+1,"")</f>
        <v/>
      </c>
      <c r="AM172" s="43">
        <f>IF(OR($C172="",$G172=""),0,IF(COUNTIFS($C$5:$C172,$C172,$G$5:$G172,$G172)=1,1,0))</f>
        <v>0</v>
      </c>
      <c r="AN172" s="43" t="str">
        <f>IF($AM172=1,SUMIFS($AM$4:$AM171,$C$4:$C171,$C172)+1,"")</f>
        <v/>
      </c>
    </row>
    <row r="173">
      <c r="A173" s="44" t="str">
        <f>IF(OR($B173="",$D173=""),"","TX"&amp;TEXT(ROW()-4,"0000"))</f>
        <v/>
      </c>
      <c r="B173" s="42" t="n"/>
      <c r="C173" s="47" t="str">
        <f>IF($B173="","",YEAR($B173)*100+MONTH($B173))</f>
        <v/>
      </c>
      <c r="D173" s="37" t="n"/>
      <c r="E173" s="45" t="str">
        <f>IF($D173="","",IFERROR(INDEX(CARDS!$B$5:$B$34,MATCH($D173,CARDS!$A$5:$A$34,0)),"⚠ Card ID?"))</f>
        <v/>
      </c>
      <c r="F173" s="45" t="str">
        <f>IF($D173="","",IFERROR(INDEX(CARDS!$C$5:$C$34,MATCH($D173,CARDS!$A$5:$A$34,0)),"⚠ Card ID?"))</f>
        <v/>
      </c>
      <c r="G173" s="37" t="n"/>
      <c r="H173" s="37" t="n"/>
      <c r="I173" s="41" t="n"/>
      <c r="J173" s="45" t="str">
        <f>IF($I173="","",IFERROR(INDEX(MCC_MASTER!$B$5:$B$504,MATCH($I173,MCC_MASTER!$A$5:$A$504,0)),"⚠ MCC chưa có"))</f>
        <v/>
      </c>
      <c r="K173" s="45" t="str">
        <f>IF($I173="","",IFERROR(IF(INDEX(MCC_MASTER!$C$5:$C$504,MATCH($I173,MCC_MASTER!$A$5:$A$504,0))="","Chưa phân loại",INDEX(MCC_MASTER!$C$5:$C$504,MATCH($I173,MCC_MASTER!$A$5:$A$504,0))),"Chưa phân loại"))</f>
        <v/>
      </c>
      <c r="L173" s="40" t="n"/>
      <c r="M173" s="48" t="str">
        <f>IF(OR($B173="",$D173=""),"",IF($AC173=0,0,IF(ISNUMBER(INDEX(CASHBACK_RULES!$L$5:$L$304,$AC173)),MAX(0,MIN($L173,INDEX(CASHBACK_RULES!$L$5:$L$304,$AC173)-$AH173)),MAX(0,$L173))))</f>
        <v/>
      </c>
      <c r="N173" s="49" t="str">
        <f>IF(OR($B173="",$D173=""),"",IF($AC173&gt;0,INDEX(CASHBACK_RULES!$I$5:$I$304,$AC173),0))</f>
        <v/>
      </c>
      <c r="O173" s="48" t="str">
        <f>IF(OR($B173="",$D173=""),"",ROUND($M173*$N173,0))</f>
        <v/>
      </c>
      <c r="P173" s="48" t="str">
        <f>IF($AC173&gt;0,IF(ISNUMBER(INDEX(CASHBACK_RULES!$J$5:$J$304,$AC173)),INDEX(CASHBACK_RULES!$J$5:$J$304,$AC173),"∞"),"")</f>
        <v/>
      </c>
      <c r="Q173" s="48" t="str">
        <f>IF(OR($B173="",$D173=""),"",IF($AC173=0,0,MAX(0,MIN($O173,IF(ISNUMBER($P173),$P173-$AF173,1E+15),IF(ISNUMBER($AA173),$AA173-$AG173,1E+15)))))</f>
        <v/>
      </c>
      <c r="R173" s="48" t="str">
        <f>IF(OR($B173="",$D173=""),"",IF($AC173=0,"",IF(AND(NOT(ISNUMBER($P173)),NOT(ISNUMBER($AA173))),"∞",MAX(0,MIN(IF(ISNUMBER($P173),$P173-$AF173-$Q173,1E+15),IF(ISNUMBER($AA173),$AA173-$AG173-$Q173,1E+15))))))</f>
        <v/>
      </c>
      <c r="S173" s="47" t="str">
        <f>IF($AD173="","",YEAR($AD173)*100+MONTH($AD173))</f>
        <v/>
      </c>
      <c r="T173" s="50" t="str">
        <f>IF($AD173="","",IFERROR(IF(INDEX(CARDS!$I$5:$I$34,MATCH($D173,CARDS!$A$5:$A$34,0))="","",IF(INDEX(CARDS!$I$5:$I$34,MATCH($D173,CARDS!$A$5:$A$34,0))&gt;INDEX(CARDS!$H$5:$H$34,MATCH($D173,CARDS!$A$5:$A$34,0)),DATE(YEAR($AD173),MONTH($AD173),MIN(INDEX(CARDS!$I$5:$I$34,MATCH($D173,CARDS!$A$5:$A$34,0)),DAY(EOMONTH($AD173,0)))),DATE(YEAR($AD173),MONTH($AD173)+1,MIN(INDEX(CARDS!$I$5:$I$34,MATCH($D173,CARDS!$A$5:$A$34,0)),DAY(EOMONTH($AD173,1)))))),""))</f>
        <v/>
      </c>
      <c r="U173" s="38" t="n"/>
      <c r="V173" s="37" t="n"/>
      <c r="W173" s="38" t="n"/>
      <c r="X173" s="38" t="n"/>
      <c r="Y173" s="44" t="str">
        <f>IF($AC173&gt;0,INDEX(CASHBACK_RULES!$A$5:$A$304,$AC173),"")</f>
        <v/>
      </c>
      <c r="Z173" s="45" t="str">
        <f>IF($AC173&gt;0,INDEX(CASHBACK_RULES!$E$5:$E$304,$AC173)&amp;"","")</f>
        <v/>
      </c>
      <c r="AA173" s="48" t="str">
        <f>IF($AC173&gt;0,IF(ISNUMBER(INDEX(CASHBACK_RULES!$K$5:$K$304,$AC173)),INDEX(CASHBACK_RULES!$K$5:$K$304,$AC173),"∞"),"")</f>
        <v/>
      </c>
      <c r="AB173" s="44" t="str">
        <f>IF(OR($B173="",$D173=""),"",IF($U173="Cancelled","Đã hủy",IF($AC173=0,"Không được hoàn",IF($Q173=0,IF(OR($O173&gt;0,$M173&lt;$L173),"Đã đạt cap","Không được hoàn"),IF(OR($Q173&lt;$O173,$M173&lt;$L173),"Hoàn một phần","Được hoàn")))))</f>
        <v/>
      </c>
      <c r="AC173" s="43">
        <f>IF(OR($B173="",$D173="",$I173="",$L173=""),0,IF($U173="Cancelled",0,IF($W173&lt;&gt;"",IFERROR(IF(INDEX(CASHBACK_RULES!$B$5:$B$304,MATCH($W173,CASHBACK_RULES!$A$5:$A$304,0))=$D173,MATCH($W173,CASHBACK_RULES!$A$5:$A$304,0),0),0),IFERROR(MATCH(1,INDEX((CASHBACK_RULES!$B$5:$B$304=$D173)*(CASHBACK_RULES!$G$5:$G$304=$I173)*(((CASHBACK_RULES!$N$5:$N$304="")+(CASHBACK_RULES!$N$5:$N$304&lt;=$B173))&gt;0)*(((CASHBACK_RULES!$O$5:$O$304="")+(CASHBACK_RULES!$O$5:$O$304&gt;=$B173))&gt;0)*(((CASHBACK_RULES!$M$5:$M$304="")+(CASHBACK_RULES!$M$5:$M$304&lt;=$L173))&gt;0),0),0),0))))</f>
        <v>0</v>
      </c>
      <c r="AD173" s="51" t="str">
        <f>IF(OR($B173="",$D173=""),"",IFERROR(IF(INDEX(CARDS!$H$5:$H$34,MATCH($D173,CARDS!$A$5:$A$34,0))="","",IF(DAY($B173)&lt;=INDEX(CARDS!$H$5:$H$34,MATCH($D173,CARDS!$A$5:$A$34,0)),DATE(YEAR($B173),MONTH($B173),MIN(INDEX(CARDS!$H$5:$H$34,MATCH($D173,CARDS!$A$5:$A$34,0)),DAY(EOMONTH($B173,0)))),DATE(YEAR($B173),MONTH($B173)+1,MIN(INDEX(CARDS!$H$5:$H$34,MATCH($D173,CARDS!$A$5:$A$34,0)),DAY(EOMONTH($B173,1)))))),""))</f>
        <v/>
      </c>
      <c r="AE173" s="52" t="str">
        <f>IF($C173="","",$C173&amp;"|"&amp;COUNTIF($C$5:$C173,$C173))</f>
        <v/>
      </c>
      <c r="AF173" s="53">
        <f>IF($AC173&gt;0,SUMIFS(Q$4:Q172,$D$4:$D172,$D173,$Z$4:$Z172,$Z173,$C$4:$C172,$C173),0)</f>
        <v>0</v>
      </c>
      <c r="AG173" s="53">
        <f>IF($AC173&gt;0,SUMIFS(Q$4:Q172,$D$4:$D172,$D173,$C$4:$C172,$C173),0)</f>
        <v>0</v>
      </c>
      <c r="AH173" s="53">
        <f>IF($AC173&gt;0,SUMIFS(M$4:M172,$D$4:$D172,$D173,$Z$4:$Z172,$Z173,$C$4:$C172,$C173),0)</f>
        <v>0</v>
      </c>
      <c r="AI173" s="43">
        <f>IF(OR($C173="",$I173=""),0,IF(COUNTIFS($C$5:$C173,$C173,$I$5:$I173,$I173)=1,1,0))</f>
        <v>0</v>
      </c>
      <c r="AJ173" s="43" t="str">
        <f>IF($AI173=1,SUMIFS($AI$4:$AI172,$C$4:$C172,$C173)+1,"")</f>
        <v/>
      </c>
      <c r="AK173" s="43">
        <f>IF(OR($C173="",$K173=""),0,IF(COUNTIFS($C$5:$C173,$C173,$K$5:$K173,$K173)=1,1,0))</f>
        <v>0</v>
      </c>
      <c r="AL173" s="43" t="str">
        <f>IF($AK173=1,SUMIFS($AK$4:$AK172,$C$4:$C172,$C173)+1,"")</f>
        <v/>
      </c>
      <c r="AM173" s="43">
        <f>IF(OR($C173="",$G173=""),0,IF(COUNTIFS($C$5:$C173,$C173,$G$5:$G173,$G173)=1,1,0))</f>
        <v>0</v>
      </c>
      <c r="AN173" s="43" t="str">
        <f>IF($AM173=1,SUMIFS($AM$4:$AM172,$C$4:$C172,$C173)+1,"")</f>
        <v/>
      </c>
    </row>
    <row r="174">
      <c r="A174" s="44" t="str">
        <f>IF(OR($B174="",$D174=""),"","TX"&amp;TEXT(ROW()-4,"0000"))</f>
        <v/>
      </c>
      <c r="B174" s="42" t="n"/>
      <c r="C174" s="47" t="str">
        <f>IF($B174="","",YEAR($B174)*100+MONTH($B174))</f>
        <v/>
      </c>
      <c r="D174" s="37" t="n"/>
      <c r="E174" s="45" t="str">
        <f>IF($D174="","",IFERROR(INDEX(CARDS!$B$5:$B$34,MATCH($D174,CARDS!$A$5:$A$34,0)),"⚠ Card ID?"))</f>
        <v/>
      </c>
      <c r="F174" s="45" t="str">
        <f>IF($D174="","",IFERROR(INDEX(CARDS!$C$5:$C$34,MATCH($D174,CARDS!$A$5:$A$34,0)),"⚠ Card ID?"))</f>
        <v/>
      </c>
      <c r="G174" s="37" t="n"/>
      <c r="H174" s="37" t="n"/>
      <c r="I174" s="41" t="n"/>
      <c r="J174" s="45" t="str">
        <f>IF($I174="","",IFERROR(INDEX(MCC_MASTER!$B$5:$B$504,MATCH($I174,MCC_MASTER!$A$5:$A$504,0)),"⚠ MCC chưa có"))</f>
        <v/>
      </c>
      <c r="K174" s="45" t="str">
        <f>IF($I174="","",IFERROR(IF(INDEX(MCC_MASTER!$C$5:$C$504,MATCH($I174,MCC_MASTER!$A$5:$A$504,0))="","Chưa phân loại",INDEX(MCC_MASTER!$C$5:$C$504,MATCH($I174,MCC_MASTER!$A$5:$A$504,0))),"Chưa phân loại"))</f>
        <v/>
      </c>
      <c r="L174" s="40" t="n"/>
      <c r="M174" s="48" t="str">
        <f>IF(OR($B174="",$D174=""),"",IF($AC174=0,0,IF(ISNUMBER(INDEX(CASHBACK_RULES!$L$5:$L$304,$AC174)),MAX(0,MIN($L174,INDEX(CASHBACK_RULES!$L$5:$L$304,$AC174)-$AH174)),MAX(0,$L174))))</f>
        <v/>
      </c>
      <c r="N174" s="49" t="str">
        <f>IF(OR($B174="",$D174=""),"",IF($AC174&gt;0,INDEX(CASHBACK_RULES!$I$5:$I$304,$AC174),0))</f>
        <v/>
      </c>
      <c r="O174" s="48" t="str">
        <f>IF(OR($B174="",$D174=""),"",ROUND($M174*$N174,0))</f>
        <v/>
      </c>
      <c r="P174" s="48" t="str">
        <f>IF($AC174&gt;0,IF(ISNUMBER(INDEX(CASHBACK_RULES!$J$5:$J$304,$AC174)),INDEX(CASHBACK_RULES!$J$5:$J$304,$AC174),"∞"),"")</f>
        <v/>
      </c>
      <c r="Q174" s="48" t="str">
        <f>IF(OR($B174="",$D174=""),"",IF($AC174=0,0,MAX(0,MIN($O174,IF(ISNUMBER($P174),$P174-$AF174,1E+15),IF(ISNUMBER($AA174),$AA174-$AG174,1E+15)))))</f>
        <v/>
      </c>
      <c r="R174" s="48" t="str">
        <f>IF(OR($B174="",$D174=""),"",IF($AC174=0,"",IF(AND(NOT(ISNUMBER($P174)),NOT(ISNUMBER($AA174))),"∞",MAX(0,MIN(IF(ISNUMBER($P174),$P174-$AF174-$Q174,1E+15),IF(ISNUMBER($AA174),$AA174-$AG174-$Q174,1E+15))))))</f>
        <v/>
      </c>
      <c r="S174" s="47" t="str">
        <f>IF($AD174="","",YEAR($AD174)*100+MONTH($AD174))</f>
        <v/>
      </c>
      <c r="T174" s="50" t="str">
        <f>IF($AD174="","",IFERROR(IF(INDEX(CARDS!$I$5:$I$34,MATCH($D174,CARDS!$A$5:$A$34,0))="","",IF(INDEX(CARDS!$I$5:$I$34,MATCH($D174,CARDS!$A$5:$A$34,0))&gt;INDEX(CARDS!$H$5:$H$34,MATCH($D174,CARDS!$A$5:$A$34,0)),DATE(YEAR($AD174),MONTH($AD174),MIN(INDEX(CARDS!$I$5:$I$34,MATCH($D174,CARDS!$A$5:$A$34,0)),DAY(EOMONTH($AD174,0)))),DATE(YEAR($AD174),MONTH($AD174)+1,MIN(INDEX(CARDS!$I$5:$I$34,MATCH($D174,CARDS!$A$5:$A$34,0)),DAY(EOMONTH($AD174,1)))))),""))</f>
        <v/>
      </c>
      <c r="U174" s="38" t="n"/>
      <c r="V174" s="37" t="n"/>
      <c r="W174" s="38" t="n"/>
      <c r="X174" s="38" t="n"/>
      <c r="Y174" s="44" t="str">
        <f>IF($AC174&gt;0,INDEX(CASHBACK_RULES!$A$5:$A$304,$AC174),"")</f>
        <v/>
      </c>
      <c r="Z174" s="45" t="str">
        <f>IF($AC174&gt;0,INDEX(CASHBACK_RULES!$E$5:$E$304,$AC174)&amp;"","")</f>
        <v/>
      </c>
      <c r="AA174" s="48" t="str">
        <f>IF($AC174&gt;0,IF(ISNUMBER(INDEX(CASHBACK_RULES!$K$5:$K$304,$AC174)),INDEX(CASHBACK_RULES!$K$5:$K$304,$AC174),"∞"),"")</f>
        <v/>
      </c>
      <c r="AB174" s="44" t="str">
        <f>IF(OR($B174="",$D174=""),"",IF($U174="Cancelled","Đã hủy",IF($AC174=0,"Không được hoàn",IF($Q174=0,IF(OR($O174&gt;0,$M174&lt;$L174),"Đã đạt cap","Không được hoàn"),IF(OR($Q174&lt;$O174,$M174&lt;$L174),"Hoàn một phần","Được hoàn")))))</f>
        <v/>
      </c>
      <c r="AC174" s="43">
        <f>IF(OR($B174="",$D174="",$I174="",$L174=""),0,IF($U174="Cancelled",0,IF($W174&lt;&gt;"",IFERROR(IF(INDEX(CASHBACK_RULES!$B$5:$B$304,MATCH($W174,CASHBACK_RULES!$A$5:$A$304,0))=$D174,MATCH($W174,CASHBACK_RULES!$A$5:$A$304,0),0),0),IFERROR(MATCH(1,INDEX((CASHBACK_RULES!$B$5:$B$304=$D174)*(CASHBACK_RULES!$G$5:$G$304=$I174)*(((CASHBACK_RULES!$N$5:$N$304="")+(CASHBACK_RULES!$N$5:$N$304&lt;=$B174))&gt;0)*(((CASHBACK_RULES!$O$5:$O$304="")+(CASHBACK_RULES!$O$5:$O$304&gt;=$B174))&gt;0)*(((CASHBACK_RULES!$M$5:$M$304="")+(CASHBACK_RULES!$M$5:$M$304&lt;=$L174))&gt;0),0),0),0))))</f>
        <v>0</v>
      </c>
      <c r="AD174" s="51" t="str">
        <f>IF(OR($B174="",$D174=""),"",IFERROR(IF(INDEX(CARDS!$H$5:$H$34,MATCH($D174,CARDS!$A$5:$A$34,0))="","",IF(DAY($B174)&lt;=INDEX(CARDS!$H$5:$H$34,MATCH($D174,CARDS!$A$5:$A$34,0)),DATE(YEAR($B174),MONTH($B174),MIN(INDEX(CARDS!$H$5:$H$34,MATCH($D174,CARDS!$A$5:$A$34,0)),DAY(EOMONTH($B174,0)))),DATE(YEAR($B174),MONTH($B174)+1,MIN(INDEX(CARDS!$H$5:$H$34,MATCH($D174,CARDS!$A$5:$A$34,0)),DAY(EOMONTH($B174,1)))))),""))</f>
        <v/>
      </c>
      <c r="AE174" s="52" t="str">
        <f>IF($C174="","",$C174&amp;"|"&amp;COUNTIF($C$5:$C174,$C174))</f>
        <v/>
      </c>
      <c r="AF174" s="53">
        <f>IF($AC174&gt;0,SUMIFS(Q$4:Q173,$D$4:$D173,$D174,$Z$4:$Z173,$Z174,$C$4:$C173,$C174),0)</f>
        <v>0</v>
      </c>
      <c r="AG174" s="53">
        <f>IF($AC174&gt;0,SUMIFS(Q$4:Q173,$D$4:$D173,$D174,$C$4:$C173,$C174),0)</f>
        <v>0</v>
      </c>
      <c r="AH174" s="53">
        <f>IF($AC174&gt;0,SUMIFS(M$4:M173,$D$4:$D173,$D174,$Z$4:$Z173,$Z174,$C$4:$C173,$C174),0)</f>
        <v>0</v>
      </c>
      <c r="AI174" s="43">
        <f>IF(OR($C174="",$I174=""),0,IF(COUNTIFS($C$5:$C174,$C174,$I$5:$I174,$I174)=1,1,0))</f>
        <v>0</v>
      </c>
      <c r="AJ174" s="43" t="str">
        <f>IF($AI174=1,SUMIFS($AI$4:$AI173,$C$4:$C173,$C174)+1,"")</f>
        <v/>
      </c>
      <c r="AK174" s="43">
        <f>IF(OR($C174="",$K174=""),0,IF(COUNTIFS($C$5:$C174,$C174,$K$5:$K174,$K174)=1,1,0))</f>
        <v>0</v>
      </c>
      <c r="AL174" s="43" t="str">
        <f>IF($AK174=1,SUMIFS($AK$4:$AK173,$C$4:$C173,$C174)+1,"")</f>
        <v/>
      </c>
      <c r="AM174" s="43">
        <f>IF(OR($C174="",$G174=""),0,IF(COUNTIFS($C$5:$C174,$C174,$G$5:$G174,$G174)=1,1,0))</f>
        <v>0</v>
      </c>
      <c r="AN174" s="43" t="str">
        <f>IF($AM174=1,SUMIFS($AM$4:$AM173,$C$4:$C173,$C174)+1,"")</f>
        <v/>
      </c>
    </row>
    <row r="175">
      <c r="A175" s="44" t="str">
        <f>IF(OR($B175="",$D175=""),"","TX"&amp;TEXT(ROW()-4,"0000"))</f>
        <v/>
      </c>
      <c r="B175" s="42" t="n"/>
      <c r="C175" s="47" t="str">
        <f>IF($B175="","",YEAR($B175)*100+MONTH($B175))</f>
        <v/>
      </c>
      <c r="D175" s="37" t="n"/>
      <c r="E175" s="45" t="str">
        <f>IF($D175="","",IFERROR(INDEX(CARDS!$B$5:$B$34,MATCH($D175,CARDS!$A$5:$A$34,0)),"⚠ Card ID?"))</f>
        <v/>
      </c>
      <c r="F175" s="45" t="str">
        <f>IF($D175="","",IFERROR(INDEX(CARDS!$C$5:$C$34,MATCH($D175,CARDS!$A$5:$A$34,0)),"⚠ Card ID?"))</f>
        <v/>
      </c>
      <c r="G175" s="37" t="n"/>
      <c r="H175" s="37" t="n"/>
      <c r="I175" s="41" t="n"/>
      <c r="J175" s="45" t="str">
        <f>IF($I175="","",IFERROR(INDEX(MCC_MASTER!$B$5:$B$504,MATCH($I175,MCC_MASTER!$A$5:$A$504,0)),"⚠ MCC chưa có"))</f>
        <v/>
      </c>
      <c r="K175" s="45" t="str">
        <f>IF($I175="","",IFERROR(IF(INDEX(MCC_MASTER!$C$5:$C$504,MATCH($I175,MCC_MASTER!$A$5:$A$504,0))="","Chưa phân loại",INDEX(MCC_MASTER!$C$5:$C$504,MATCH($I175,MCC_MASTER!$A$5:$A$504,0))),"Chưa phân loại"))</f>
        <v/>
      </c>
      <c r="L175" s="40" t="n"/>
      <c r="M175" s="48" t="str">
        <f>IF(OR($B175="",$D175=""),"",IF($AC175=0,0,IF(ISNUMBER(INDEX(CASHBACK_RULES!$L$5:$L$304,$AC175)),MAX(0,MIN($L175,INDEX(CASHBACK_RULES!$L$5:$L$304,$AC175)-$AH175)),MAX(0,$L175))))</f>
        <v/>
      </c>
      <c r="N175" s="49" t="str">
        <f>IF(OR($B175="",$D175=""),"",IF($AC175&gt;0,INDEX(CASHBACK_RULES!$I$5:$I$304,$AC175),0))</f>
        <v/>
      </c>
      <c r="O175" s="48" t="str">
        <f>IF(OR($B175="",$D175=""),"",ROUND($M175*$N175,0))</f>
        <v/>
      </c>
      <c r="P175" s="48" t="str">
        <f>IF($AC175&gt;0,IF(ISNUMBER(INDEX(CASHBACK_RULES!$J$5:$J$304,$AC175)),INDEX(CASHBACK_RULES!$J$5:$J$304,$AC175),"∞"),"")</f>
        <v/>
      </c>
      <c r="Q175" s="48" t="str">
        <f>IF(OR($B175="",$D175=""),"",IF($AC175=0,0,MAX(0,MIN($O175,IF(ISNUMBER($P175),$P175-$AF175,1E+15),IF(ISNUMBER($AA175),$AA175-$AG175,1E+15)))))</f>
        <v/>
      </c>
      <c r="R175" s="48" t="str">
        <f>IF(OR($B175="",$D175=""),"",IF($AC175=0,"",IF(AND(NOT(ISNUMBER($P175)),NOT(ISNUMBER($AA175))),"∞",MAX(0,MIN(IF(ISNUMBER($P175),$P175-$AF175-$Q175,1E+15),IF(ISNUMBER($AA175),$AA175-$AG175-$Q175,1E+15))))))</f>
        <v/>
      </c>
      <c r="S175" s="47" t="str">
        <f>IF($AD175="","",YEAR($AD175)*100+MONTH($AD175))</f>
        <v/>
      </c>
      <c r="T175" s="50" t="str">
        <f>IF($AD175="","",IFERROR(IF(INDEX(CARDS!$I$5:$I$34,MATCH($D175,CARDS!$A$5:$A$34,0))="","",IF(INDEX(CARDS!$I$5:$I$34,MATCH($D175,CARDS!$A$5:$A$34,0))&gt;INDEX(CARDS!$H$5:$H$34,MATCH($D175,CARDS!$A$5:$A$34,0)),DATE(YEAR($AD175),MONTH($AD175),MIN(INDEX(CARDS!$I$5:$I$34,MATCH($D175,CARDS!$A$5:$A$34,0)),DAY(EOMONTH($AD175,0)))),DATE(YEAR($AD175),MONTH($AD175)+1,MIN(INDEX(CARDS!$I$5:$I$34,MATCH($D175,CARDS!$A$5:$A$34,0)),DAY(EOMONTH($AD175,1)))))),""))</f>
        <v/>
      </c>
      <c r="U175" s="38" t="n"/>
      <c r="V175" s="37" t="n"/>
      <c r="W175" s="38" t="n"/>
      <c r="X175" s="38" t="n"/>
      <c r="Y175" s="44" t="str">
        <f>IF($AC175&gt;0,INDEX(CASHBACK_RULES!$A$5:$A$304,$AC175),"")</f>
        <v/>
      </c>
      <c r="Z175" s="45" t="str">
        <f>IF($AC175&gt;0,INDEX(CASHBACK_RULES!$E$5:$E$304,$AC175)&amp;"","")</f>
        <v/>
      </c>
      <c r="AA175" s="48" t="str">
        <f>IF($AC175&gt;0,IF(ISNUMBER(INDEX(CASHBACK_RULES!$K$5:$K$304,$AC175)),INDEX(CASHBACK_RULES!$K$5:$K$304,$AC175),"∞"),"")</f>
        <v/>
      </c>
      <c r="AB175" s="44" t="str">
        <f>IF(OR($B175="",$D175=""),"",IF($U175="Cancelled","Đã hủy",IF($AC175=0,"Không được hoàn",IF($Q175=0,IF(OR($O175&gt;0,$M175&lt;$L175),"Đã đạt cap","Không được hoàn"),IF(OR($Q175&lt;$O175,$M175&lt;$L175),"Hoàn một phần","Được hoàn")))))</f>
        <v/>
      </c>
      <c r="AC175" s="43">
        <f>IF(OR($B175="",$D175="",$I175="",$L175=""),0,IF($U175="Cancelled",0,IF($W175&lt;&gt;"",IFERROR(IF(INDEX(CASHBACK_RULES!$B$5:$B$304,MATCH($W175,CASHBACK_RULES!$A$5:$A$304,0))=$D175,MATCH($W175,CASHBACK_RULES!$A$5:$A$304,0),0),0),IFERROR(MATCH(1,INDEX((CASHBACK_RULES!$B$5:$B$304=$D175)*(CASHBACK_RULES!$G$5:$G$304=$I175)*(((CASHBACK_RULES!$N$5:$N$304="")+(CASHBACK_RULES!$N$5:$N$304&lt;=$B175))&gt;0)*(((CASHBACK_RULES!$O$5:$O$304="")+(CASHBACK_RULES!$O$5:$O$304&gt;=$B175))&gt;0)*(((CASHBACK_RULES!$M$5:$M$304="")+(CASHBACK_RULES!$M$5:$M$304&lt;=$L175))&gt;0),0),0),0))))</f>
        <v>0</v>
      </c>
      <c r="AD175" s="51" t="str">
        <f>IF(OR($B175="",$D175=""),"",IFERROR(IF(INDEX(CARDS!$H$5:$H$34,MATCH($D175,CARDS!$A$5:$A$34,0))="","",IF(DAY($B175)&lt;=INDEX(CARDS!$H$5:$H$34,MATCH($D175,CARDS!$A$5:$A$34,0)),DATE(YEAR($B175),MONTH($B175),MIN(INDEX(CARDS!$H$5:$H$34,MATCH($D175,CARDS!$A$5:$A$34,0)),DAY(EOMONTH($B175,0)))),DATE(YEAR($B175),MONTH($B175)+1,MIN(INDEX(CARDS!$H$5:$H$34,MATCH($D175,CARDS!$A$5:$A$34,0)),DAY(EOMONTH($B175,1)))))),""))</f>
        <v/>
      </c>
      <c r="AE175" s="52" t="str">
        <f>IF($C175="","",$C175&amp;"|"&amp;COUNTIF($C$5:$C175,$C175))</f>
        <v/>
      </c>
      <c r="AF175" s="53">
        <f>IF($AC175&gt;0,SUMIFS(Q$4:Q174,$D$4:$D174,$D175,$Z$4:$Z174,$Z175,$C$4:$C174,$C175),0)</f>
        <v>0</v>
      </c>
      <c r="AG175" s="53">
        <f>IF($AC175&gt;0,SUMIFS(Q$4:Q174,$D$4:$D174,$D175,$C$4:$C174,$C175),0)</f>
        <v>0</v>
      </c>
      <c r="AH175" s="53">
        <f>IF($AC175&gt;0,SUMIFS(M$4:M174,$D$4:$D174,$D175,$Z$4:$Z174,$Z175,$C$4:$C174,$C175),0)</f>
        <v>0</v>
      </c>
      <c r="AI175" s="43">
        <f>IF(OR($C175="",$I175=""),0,IF(COUNTIFS($C$5:$C175,$C175,$I$5:$I175,$I175)=1,1,0))</f>
        <v>0</v>
      </c>
      <c r="AJ175" s="43" t="str">
        <f>IF($AI175=1,SUMIFS($AI$4:$AI174,$C$4:$C174,$C175)+1,"")</f>
        <v/>
      </c>
      <c r="AK175" s="43">
        <f>IF(OR($C175="",$K175=""),0,IF(COUNTIFS($C$5:$C175,$C175,$K$5:$K175,$K175)=1,1,0))</f>
        <v>0</v>
      </c>
      <c r="AL175" s="43" t="str">
        <f>IF($AK175=1,SUMIFS($AK$4:$AK174,$C$4:$C174,$C175)+1,"")</f>
        <v/>
      </c>
      <c r="AM175" s="43">
        <f>IF(OR($C175="",$G175=""),0,IF(COUNTIFS($C$5:$C175,$C175,$G$5:$G175,$G175)=1,1,0))</f>
        <v>0</v>
      </c>
      <c r="AN175" s="43" t="str">
        <f>IF($AM175=1,SUMIFS($AM$4:$AM174,$C$4:$C174,$C175)+1,"")</f>
        <v/>
      </c>
    </row>
    <row r="176">
      <c r="A176" s="44" t="str">
        <f>IF(OR($B176="",$D176=""),"","TX"&amp;TEXT(ROW()-4,"0000"))</f>
        <v/>
      </c>
      <c r="B176" s="42" t="n"/>
      <c r="C176" s="47" t="str">
        <f>IF($B176="","",YEAR($B176)*100+MONTH($B176))</f>
        <v/>
      </c>
      <c r="D176" s="37" t="n"/>
      <c r="E176" s="45" t="str">
        <f>IF($D176="","",IFERROR(INDEX(CARDS!$B$5:$B$34,MATCH($D176,CARDS!$A$5:$A$34,0)),"⚠ Card ID?"))</f>
        <v/>
      </c>
      <c r="F176" s="45" t="str">
        <f>IF($D176="","",IFERROR(INDEX(CARDS!$C$5:$C$34,MATCH($D176,CARDS!$A$5:$A$34,0)),"⚠ Card ID?"))</f>
        <v/>
      </c>
      <c r="G176" s="37" t="n"/>
      <c r="H176" s="37" t="n"/>
      <c r="I176" s="41" t="n"/>
      <c r="J176" s="45" t="str">
        <f>IF($I176="","",IFERROR(INDEX(MCC_MASTER!$B$5:$B$504,MATCH($I176,MCC_MASTER!$A$5:$A$504,0)),"⚠ MCC chưa có"))</f>
        <v/>
      </c>
      <c r="K176" s="45" t="str">
        <f>IF($I176="","",IFERROR(IF(INDEX(MCC_MASTER!$C$5:$C$504,MATCH($I176,MCC_MASTER!$A$5:$A$504,0))="","Chưa phân loại",INDEX(MCC_MASTER!$C$5:$C$504,MATCH($I176,MCC_MASTER!$A$5:$A$504,0))),"Chưa phân loại"))</f>
        <v/>
      </c>
      <c r="L176" s="40" t="n"/>
      <c r="M176" s="48" t="str">
        <f>IF(OR($B176="",$D176=""),"",IF($AC176=0,0,IF(ISNUMBER(INDEX(CASHBACK_RULES!$L$5:$L$304,$AC176)),MAX(0,MIN($L176,INDEX(CASHBACK_RULES!$L$5:$L$304,$AC176)-$AH176)),MAX(0,$L176))))</f>
        <v/>
      </c>
      <c r="N176" s="49" t="str">
        <f>IF(OR($B176="",$D176=""),"",IF($AC176&gt;0,INDEX(CASHBACK_RULES!$I$5:$I$304,$AC176),0))</f>
        <v/>
      </c>
      <c r="O176" s="48" t="str">
        <f>IF(OR($B176="",$D176=""),"",ROUND($M176*$N176,0))</f>
        <v/>
      </c>
      <c r="P176" s="48" t="str">
        <f>IF($AC176&gt;0,IF(ISNUMBER(INDEX(CASHBACK_RULES!$J$5:$J$304,$AC176)),INDEX(CASHBACK_RULES!$J$5:$J$304,$AC176),"∞"),"")</f>
        <v/>
      </c>
      <c r="Q176" s="48" t="str">
        <f>IF(OR($B176="",$D176=""),"",IF($AC176=0,0,MAX(0,MIN($O176,IF(ISNUMBER($P176),$P176-$AF176,1E+15),IF(ISNUMBER($AA176),$AA176-$AG176,1E+15)))))</f>
        <v/>
      </c>
      <c r="R176" s="48" t="str">
        <f>IF(OR($B176="",$D176=""),"",IF($AC176=0,"",IF(AND(NOT(ISNUMBER($P176)),NOT(ISNUMBER($AA176))),"∞",MAX(0,MIN(IF(ISNUMBER($P176),$P176-$AF176-$Q176,1E+15),IF(ISNUMBER($AA176),$AA176-$AG176-$Q176,1E+15))))))</f>
        <v/>
      </c>
      <c r="S176" s="47" t="str">
        <f>IF($AD176="","",YEAR($AD176)*100+MONTH($AD176))</f>
        <v/>
      </c>
      <c r="T176" s="50" t="str">
        <f>IF($AD176="","",IFERROR(IF(INDEX(CARDS!$I$5:$I$34,MATCH($D176,CARDS!$A$5:$A$34,0))="","",IF(INDEX(CARDS!$I$5:$I$34,MATCH($D176,CARDS!$A$5:$A$34,0))&gt;INDEX(CARDS!$H$5:$H$34,MATCH($D176,CARDS!$A$5:$A$34,0)),DATE(YEAR($AD176),MONTH($AD176),MIN(INDEX(CARDS!$I$5:$I$34,MATCH($D176,CARDS!$A$5:$A$34,0)),DAY(EOMONTH($AD176,0)))),DATE(YEAR($AD176),MONTH($AD176)+1,MIN(INDEX(CARDS!$I$5:$I$34,MATCH($D176,CARDS!$A$5:$A$34,0)),DAY(EOMONTH($AD176,1)))))),""))</f>
        <v/>
      </c>
      <c r="U176" s="38" t="n"/>
      <c r="V176" s="37" t="n"/>
      <c r="W176" s="38" t="n"/>
      <c r="X176" s="38" t="n"/>
      <c r="Y176" s="44" t="str">
        <f>IF($AC176&gt;0,INDEX(CASHBACK_RULES!$A$5:$A$304,$AC176),"")</f>
        <v/>
      </c>
      <c r="Z176" s="45" t="str">
        <f>IF($AC176&gt;0,INDEX(CASHBACK_RULES!$E$5:$E$304,$AC176)&amp;"","")</f>
        <v/>
      </c>
      <c r="AA176" s="48" t="str">
        <f>IF($AC176&gt;0,IF(ISNUMBER(INDEX(CASHBACK_RULES!$K$5:$K$304,$AC176)),INDEX(CASHBACK_RULES!$K$5:$K$304,$AC176),"∞"),"")</f>
        <v/>
      </c>
      <c r="AB176" s="44" t="str">
        <f>IF(OR($B176="",$D176=""),"",IF($U176="Cancelled","Đã hủy",IF($AC176=0,"Không được hoàn",IF($Q176=0,IF(OR($O176&gt;0,$M176&lt;$L176),"Đã đạt cap","Không được hoàn"),IF(OR($Q176&lt;$O176,$M176&lt;$L176),"Hoàn một phần","Được hoàn")))))</f>
        <v/>
      </c>
      <c r="AC176" s="43">
        <f>IF(OR($B176="",$D176="",$I176="",$L176=""),0,IF($U176="Cancelled",0,IF($W176&lt;&gt;"",IFERROR(IF(INDEX(CASHBACK_RULES!$B$5:$B$304,MATCH($W176,CASHBACK_RULES!$A$5:$A$304,0))=$D176,MATCH($W176,CASHBACK_RULES!$A$5:$A$304,0),0),0),IFERROR(MATCH(1,INDEX((CASHBACK_RULES!$B$5:$B$304=$D176)*(CASHBACK_RULES!$G$5:$G$304=$I176)*(((CASHBACK_RULES!$N$5:$N$304="")+(CASHBACK_RULES!$N$5:$N$304&lt;=$B176))&gt;0)*(((CASHBACK_RULES!$O$5:$O$304="")+(CASHBACK_RULES!$O$5:$O$304&gt;=$B176))&gt;0)*(((CASHBACK_RULES!$M$5:$M$304="")+(CASHBACK_RULES!$M$5:$M$304&lt;=$L176))&gt;0),0),0),0))))</f>
        <v>0</v>
      </c>
      <c r="AD176" s="51" t="str">
        <f>IF(OR($B176="",$D176=""),"",IFERROR(IF(INDEX(CARDS!$H$5:$H$34,MATCH($D176,CARDS!$A$5:$A$34,0))="","",IF(DAY($B176)&lt;=INDEX(CARDS!$H$5:$H$34,MATCH($D176,CARDS!$A$5:$A$34,0)),DATE(YEAR($B176),MONTH($B176),MIN(INDEX(CARDS!$H$5:$H$34,MATCH($D176,CARDS!$A$5:$A$34,0)),DAY(EOMONTH($B176,0)))),DATE(YEAR($B176),MONTH($B176)+1,MIN(INDEX(CARDS!$H$5:$H$34,MATCH($D176,CARDS!$A$5:$A$34,0)),DAY(EOMONTH($B176,1)))))),""))</f>
        <v/>
      </c>
      <c r="AE176" s="52" t="str">
        <f>IF($C176="","",$C176&amp;"|"&amp;COUNTIF($C$5:$C176,$C176))</f>
        <v/>
      </c>
      <c r="AF176" s="53">
        <f>IF($AC176&gt;0,SUMIFS(Q$4:Q175,$D$4:$D175,$D176,$Z$4:$Z175,$Z176,$C$4:$C175,$C176),0)</f>
        <v>0</v>
      </c>
      <c r="AG176" s="53">
        <f>IF($AC176&gt;0,SUMIFS(Q$4:Q175,$D$4:$D175,$D176,$C$4:$C175,$C176),0)</f>
        <v>0</v>
      </c>
      <c r="AH176" s="53">
        <f>IF($AC176&gt;0,SUMIFS(M$4:M175,$D$4:$D175,$D176,$Z$4:$Z175,$Z176,$C$4:$C175,$C176),0)</f>
        <v>0</v>
      </c>
      <c r="AI176" s="43">
        <f>IF(OR($C176="",$I176=""),0,IF(COUNTIFS($C$5:$C176,$C176,$I$5:$I176,$I176)=1,1,0))</f>
        <v>0</v>
      </c>
      <c r="AJ176" s="43" t="str">
        <f>IF($AI176=1,SUMIFS($AI$4:$AI175,$C$4:$C175,$C176)+1,"")</f>
        <v/>
      </c>
      <c r="AK176" s="43">
        <f>IF(OR($C176="",$K176=""),0,IF(COUNTIFS($C$5:$C176,$C176,$K$5:$K176,$K176)=1,1,0))</f>
        <v>0</v>
      </c>
      <c r="AL176" s="43" t="str">
        <f>IF($AK176=1,SUMIFS($AK$4:$AK175,$C$4:$C175,$C176)+1,"")</f>
        <v/>
      </c>
      <c r="AM176" s="43">
        <f>IF(OR($C176="",$G176=""),0,IF(COUNTIFS($C$5:$C176,$C176,$G$5:$G176,$G176)=1,1,0))</f>
        <v>0</v>
      </c>
      <c r="AN176" s="43" t="str">
        <f>IF($AM176=1,SUMIFS($AM$4:$AM175,$C$4:$C175,$C176)+1,"")</f>
        <v/>
      </c>
    </row>
    <row r="177">
      <c r="A177" s="44" t="str">
        <f>IF(OR($B177="",$D177=""),"","TX"&amp;TEXT(ROW()-4,"0000"))</f>
        <v/>
      </c>
      <c r="B177" s="42" t="n"/>
      <c r="C177" s="47" t="str">
        <f>IF($B177="","",YEAR($B177)*100+MONTH($B177))</f>
        <v/>
      </c>
      <c r="D177" s="37" t="n"/>
      <c r="E177" s="45" t="str">
        <f>IF($D177="","",IFERROR(INDEX(CARDS!$B$5:$B$34,MATCH($D177,CARDS!$A$5:$A$34,0)),"⚠ Card ID?"))</f>
        <v/>
      </c>
      <c r="F177" s="45" t="str">
        <f>IF($D177="","",IFERROR(INDEX(CARDS!$C$5:$C$34,MATCH($D177,CARDS!$A$5:$A$34,0)),"⚠ Card ID?"))</f>
        <v/>
      </c>
      <c r="G177" s="37" t="n"/>
      <c r="H177" s="37" t="n"/>
      <c r="I177" s="41" t="n"/>
      <c r="J177" s="45" t="str">
        <f>IF($I177="","",IFERROR(INDEX(MCC_MASTER!$B$5:$B$504,MATCH($I177,MCC_MASTER!$A$5:$A$504,0)),"⚠ MCC chưa có"))</f>
        <v/>
      </c>
      <c r="K177" s="45" t="str">
        <f>IF($I177="","",IFERROR(IF(INDEX(MCC_MASTER!$C$5:$C$504,MATCH($I177,MCC_MASTER!$A$5:$A$504,0))="","Chưa phân loại",INDEX(MCC_MASTER!$C$5:$C$504,MATCH($I177,MCC_MASTER!$A$5:$A$504,0))),"Chưa phân loại"))</f>
        <v/>
      </c>
      <c r="L177" s="40" t="n"/>
      <c r="M177" s="48" t="str">
        <f>IF(OR($B177="",$D177=""),"",IF($AC177=0,0,IF(ISNUMBER(INDEX(CASHBACK_RULES!$L$5:$L$304,$AC177)),MAX(0,MIN($L177,INDEX(CASHBACK_RULES!$L$5:$L$304,$AC177)-$AH177)),MAX(0,$L177))))</f>
        <v/>
      </c>
      <c r="N177" s="49" t="str">
        <f>IF(OR($B177="",$D177=""),"",IF($AC177&gt;0,INDEX(CASHBACK_RULES!$I$5:$I$304,$AC177),0))</f>
        <v/>
      </c>
      <c r="O177" s="48" t="str">
        <f>IF(OR($B177="",$D177=""),"",ROUND($M177*$N177,0))</f>
        <v/>
      </c>
      <c r="P177" s="48" t="str">
        <f>IF($AC177&gt;0,IF(ISNUMBER(INDEX(CASHBACK_RULES!$J$5:$J$304,$AC177)),INDEX(CASHBACK_RULES!$J$5:$J$304,$AC177),"∞"),"")</f>
        <v/>
      </c>
      <c r="Q177" s="48" t="str">
        <f>IF(OR($B177="",$D177=""),"",IF($AC177=0,0,MAX(0,MIN($O177,IF(ISNUMBER($P177),$P177-$AF177,1E+15),IF(ISNUMBER($AA177),$AA177-$AG177,1E+15)))))</f>
        <v/>
      </c>
      <c r="R177" s="48" t="str">
        <f>IF(OR($B177="",$D177=""),"",IF($AC177=0,"",IF(AND(NOT(ISNUMBER($P177)),NOT(ISNUMBER($AA177))),"∞",MAX(0,MIN(IF(ISNUMBER($P177),$P177-$AF177-$Q177,1E+15),IF(ISNUMBER($AA177),$AA177-$AG177-$Q177,1E+15))))))</f>
        <v/>
      </c>
      <c r="S177" s="47" t="str">
        <f>IF($AD177="","",YEAR($AD177)*100+MONTH($AD177))</f>
        <v/>
      </c>
      <c r="T177" s="50" t="str">
        <f>IF($AD177="","",IFERROR(IF(INDEX(CARDS!$I$5:$I$34,MATCH($D177,CARDS!$A$5:$A$34,0))="","",IF(INDEX(CARDS!$I$5:$I$34,MATCH($D177,CARDS!$A$5:$A$34,0))&gt;INDEX(CARDS!$H$5:$H$34,MATCH($D177,CARDS!$A$5:$A$34,0)),DATE(YEAR($AD177),MONTH($AD177),MIN(INDEX(CARDS!$I$5:$I$34,MATCH($D177,CARDS!$A$5:$A$34,0)),DAY(EOMONTH($AD177,0)))),DATE(YEAR($AD177),MONTH($AD177)+1,MIN(INDEX(CARDS!$I$5:$I$34,MATCH($D177,CARDS!$A$5:$A$34,0)),DAY(EOMONTH($AD177,1)))))),""))</f>
        <v/>
      </c>
      <c r="U177" s="38" t="n"/>
      <c r="V177" s="37" t="n"/>
      <c r="W177" s="38" t="n"/>
      <c r="X177" s="38" t="n"/>
      <c r="Y177" s="44" t="str">
        <f>IF($AC177&gt;0,INDEX(CASHBACK_RULES!$A$5:$A$304,$AC177),"")</f>
        <v/>
      </c>
      <c r="Z177" s="45" t="str">
        <f>IF($AC177&gt;0,INDEX(CASHBACK_RULES!$E$5:$E$304,$AC177)&amp;"","")</f>
        <v/>
      </c>
      <c r="AA177" s="48" t="str">
        <f>IF($AC177&gt;0,IF(ISNUMBER(INDEX(CASHBACK_RULES!$K$5:$K$304,$AC177)),INDEX(CASHBACK_RULES!$K$5:$K$304,$AC177),"∞"),"")</f>
        <v/>
      </c>
      <c r="AB177" s="44" t="str">
        <f>IF(OR($B177="",$D177=""),"",IF($U177="Cancelled","Đã hủy",IF($AC177=0,"Không được hoàn",IF($Q177=0,IF(OR($O177&gt;0,$M177&lt;$L177),"Đã đạt cap","Không được hoàn"),IF(OR($Q177&lt;$O177,$M177&lt;$L177),"Hoàn một phần","Được hoàn")))))</f>
        <v/>
      </c>
      <c r="AC177" s="43">
        <f>IF(OR($B177="",$D177="",$I177="",$L177=""),0,IF($U177="Cancelled",0,IF($W177&lt;&gt;"",IFERROR(IF(INDEX(CASHBACK_RULES!$B$5:$B$304,MATCH($W177,CASHBACK_RULES!$A$5:$A$304,0))=$D177,MATCH($W177,CASHBACK_RULES!$A$5:$A$304,0),0),0),IFERROR(MATCH(1,INDEX((CASHBACK_RULES!$B$5:$B$304=$D177)*(CASHBACK_RULES!$G$5:$G$304=$I177)*(((CASHBACK_RULES!$N$5:$N$304="")+(CASHBACK_RULES!$N$5:$N$304&lt;=$B177))&gt;0)*(((CASHBACK_RULES!$O$5:$O$304="")+(CASHBACK_RULES!$O$5:$O$304&gt;=$B177))&gt;0)*(((CASHBACK_RULES!$M$5:$M$304="")+(CASHBACK_RULES!$M$5:$M$304&lt;=$L177))&gt;0),0),0),0))))</f>
        <v>0</v>
      </c>
      <c r="AD177" s="51" t="str">
        <f>IF(OR($B177="",$D177=""),"",IFERROR(IF(INDEX(CARDS!$H$5:$H$34,MATCH($D177,CARDS!$A$5:$A$34,0))="","",IF(DAY($B177)&lt;=INDEX(CARDS!$H$5:$H$34,MATCH($D177,CARDS!$A$5:$A$34,0)),DATE(YEAR($B177),MONTH($B177),MIN(INDEX(CARDS!$H$5:$H$34,MATCH($D177,CARDS!$A$5:$A$34,0)),DAY(EOMONTH($B177,0)))),DATE(YEAR($B177),MONTH($B177)+1,MIN(INDEX(CARDS!$H$5:$H$34,MATCH($D177,CARDS!$A$5:$A$34,0)),DAY(EOMONTH($B177,1)))))),""))</f>
        <v/>
      </c>
      <c r="AE177" s="52" t="str">
        <f>IF($C177="","",$C177&amp;"|"&amp;COUNTIF($C$5:$C177,$C177))</f>
        <v/>
      </c>
      <c r="AF177" s="53">
        <f>IF($AC177&gt;0,SUMIFS(Q$4:Q176,$D$4:$D176,$D177,$Z$4:$Z176,$Z177,$C$4:$C176,$C177),0)</f>
        <v>0</v>
      </c>
      <c r="AG177" s="53">
        <f>IF($AC177&gt;0,SUMIFS(Q$4:Q176,$D$4:$D176,$D177,$C$4:$C176,$C177),0)</f>
        <v>0</v>
      </c>
      <c r="AH177" s="53">
        <f>IF($AC177&gt;0,SUMIFS(M$4:M176,$D$4:$D176,$D177,$Z$4:$Z176,$Z177,$C$4:$C176,$C177),0)</f>
        <v>0</v>
      </c>
      <c r="AI177" s="43">
        <f>IF(OR($C177="",$I177=""),0,IF(COUNTIFS($C$5:$C177,$C177,$I$5:$I177,$I177)=1,1,0))</f>
        <v>0</v>
      </c>
      <c r="AJ177" s="43" t="str">
        <f>IF($AI177=1,SUMIFS($AI$4:$AI176,$C$4:$C176,$C177)+1,"")</f>
        <v/>
      </c>
      <c r="AK177" s="43">
        <f>IF(OR($C177="",$K177=""),0,IF(COUNTIFS($C$5:$C177,$C177,$K$5:$K177,$K177)=1,1,0))</f>
        <v>0</v>
      </c>
      <c r="AL177" s="43" t="str">
        <f>IF($AK177=1,SUMIFS($AK$4:$AK176,$C$4:$C176,$C177)+1,"")</f>
        <v/>
      </c>
      <c r="AM177" s="43">
        <f>IF(OR($C177="",$G177=""),0,IF(COUNTIFS($C$5:$C177,$C177,$G$5:$G177,$G177)=1,1,0))</f>
        <v>0</v>
      </c>
      <c r="AN177" s="43" t="str">
        <f>IF($AM177=1,SUMIFS($AM$4:$AM176,$C$4:$C176,$C177)+1,"")</f>
        <v/>
      </c>
    </row>
    <row r="178">
      <c r="A178" s="44" t="str">
        <f>IF(OR($B178="",$D178=""),"","TX"&amp;TEXT(ROW()-4,"0000"))</f>
        <v/>
      </c>
      <c r="B178" s="42" t="n"/>
      <c r="C178" s="47" t="str">
        <f>IF($B178="","",YEAR($B178)*100+MONTH($B178))</f>
        <v/>
      </c>
      <c r="D178" s="37" t="n"/>
      <c r="E178" s="45" t="str">
        <f>IF($D178="","",IFERROR(INDEX(CARDS!$B$5:$B$34,MATCH($D178,CARDS!$A$5:$A$34,0)),"⚠ Card ID?"))</f>
        <v/>
      </c>
      <c r="F178" s="45" t="str">
        <f>IF($D178="","",IFERROR(INDEX(CARDS!$C$5:$C$34,MATCH($D178,CARDS!$A$5:$A$34,0)),"⚠ Card ID?"))</f>
        <v/>
      </c>
      <c r="G178" s="37" t="n"/>
      <c r="H178" s="37" t="n"/>
      <c r="I178" s="41" t="n"/>
      <c r="J178" s="45" t="str">
        <f>IF($I178="","",IFERROR(INDEX(MCC_MASTER!$B$5:$B$504,MATCH($I178,MCC_MASTER!$A$5:$A$504,0)),"⚠ MCC chưa có"))</f>
        <v/>
      </c>
      <c r="K178" s="45" t="str">
        <f>IF($I178="","",IFERROR(IF(INDEX(MCC_MASTER!$C$5:$C$504,MATCH($I178,MCC_MASTER!$A$5:$A$504,0))="","Chưa phân loại",INDEX(MCC_MASTER!$C$5:$C$504,MATCH($I178,MCC_MASTER!$A$5:$A$504,0))),"Chưa phân loại"))</f>
        <v/>
      </c>
      <c r="L178" s="40" t="n"/>
      <c r="M178" s="48" t="str">
        <f>IF(OR($B178="",$D178=""),"",IF($AC178=0,0,IF(ISNUMBER(INDEX(CASHBACK_RULES!$L$5:$L$304,$AC178)),MAX(0,MIN($L178,INDEX(CASHBACK_RULES!$L$5:$L$304,$AC178)-$AH178)),MAX(0,$L178))))</f>
        <v/>
      </c>
      <c r="N178" s="49" t="str">
        <f>IF(OR($B178="",$D178=""),"",IF($AC178&gt;0,INDEX(CASHBACK_RULES!$I$5:$I$304,$AC178),0))</f>
        <v/>
      </c>
      <c r="O178" s="48" t="str">
        <f>IF(OR($B178="",$D178=""),"",ROUND($M178*$N178,0))</f>
        <v/>
      </c>
      <c r="P178" s="48" t="str">
        <f>IF($AC178&gt;0,IF(ISNUMBER(INDEX(CASHBACK_RULES!$J$5:$J$304,$AC178)),INDEX(CASHBACK_RULES!$J$5:$J$304,$AC178),"∞"),"")</f>
        <v/>
      </c>
      <c r="Q178" s="48" t="str">
        <f>IF(OR($B178="",$D178=""),"",IF($AC178=0,0,MAX(0,MIN($O178,IF(ISNUMBER($P178),$P178-$AF178,1E+15),IF(ISNUMBER($AA178),$AA178-$AG178,1E+15)))))</f>
        <v/>
      </c>
      <c r="R178" s="48" t="str">
        <f>IF(OR($B178="",$D178=""),"",IF($AC178=0,"",IF(AND(NOT(ISNUMBER($P178)),NOT(ISNUMBER($AA178))),"∞",MAX(0,MIN(IF(ISNUMBER($P178),$P178-$AF178-$Q178,1E+15),IF(ISNUMBER($AA178),$AA178-$AG178-$Q178,1E+15))))))</f>
        <v/>
      </c>
      <c r="S178" s="47" t="str">
        <f>IF($AD178="","",YEAR($AD178)*100+MONTH($AD178))</f>
        <v/>
      </c>
      <c r="T178" s="50" t="str">
        <f>IF($AD178="","",IFERROR(IF(INDEX(CARDS!$I$5:$I$34,MATCH($D178,CARDS!$A$5:$A$34,0))="","",IF(INDEX(CARDS!$I$5:$I$34,MATCH($D178,CARDS!$A$5:$A$34,0))&gt;INDEX(CARDS!$H$5:$H$34,MATCH($D178,CARDS!$A$5:$A$34,0)),DATE(YEAR($AD178),MONTH($AD178),MIN(INDEX(CARDS!$I$5:$I$34,MATCH($D178,CARDS!$A$5:$A$34,0)),DAY(EOMONTH($AD178,0)))),DATE(YEAR($AD178),MONTH($AD178)+1,MIN(INDEX(CARDS!$I$5:$I$34,MATCH($D178,CARDS!$A$5:$A$34,0)),DAY(EOMONTH($AD178,1)))))),""))</f>
        <v/>
      </c>
      <c r="U178" s="38" t="n"/>
      <c r="V178" s="37" t="n"/>
      <c r="W178" s="38" t="n"/>
      <c r="X178" s="38" t="n"/>
      <c r="Y178" s="44" t="str">
        <f>IF($AC178&gt;0,INDEX(CASHBACK_RULES!$A$5:$A$304,$AC178),"")</f>
        <v/>
      </c>
      <c r="Z178" s="45" t="str">
        <f>IF($AC178&gt;0,INDEX(CASHBACK_RULES!$E$5:$E$304,$AC178)&amp;"","")</f>
        <v/>
      </c>
      <c r="AA178" s="48" t="str">
        <f>IF($AC178&gt;0,IF(ISNUMBER(INDEX(CASHBACK_RULES!$K$5:$K$304,$AC178)),INDEX(CASHBACK_RULES!$K$5:$K$304,$AC178),"∞"),"")</f>
        <v/>
      </c>
      <c r="AB178" s="44" t="str">
        <f>IF(OR($B178="",$D178=""),"",IF($U178="Cancelled","Đã hủy",IF($AC178=0,"Không được hoàn",IF($Q178=0,IF(OR($O178&gt;0,$M178&lt;$L178),"Đã đạt cap","Không được hoàn"),IF(OR($Q178&lt;$O178,$M178&lt;$L178),"Hoàn một phần","Được hoàn")))))</f>
        <v/>
      </c>
      <c r="AC178" s="43">
        <f>IF(OR($B178="",$D178="",$I178="",$L178=""),0,IF($U178="Cancelled",0,IF($W178&lt;&gt;"",IFERROR(IF(INDEX(CASHBACK_RULES!$B$5:$B$304,MATCH($W178,CASHBACK_RULES!$A$5:$A$304,0))=$D178,MATCH($W178,CASHBACK_RULES!$A$5:$A$304,0),0),0),IFERROR(MATCH(1,INDEX((CASHBACK_RULES!$B$5:$B$304=$D178)*(CASHBACK_RULES!$G$5:$G$304=$I178)*(((CASHBACK_RULES!$N$5:$N$304="")+(CASHBACK_RULES!$N$5:$N$304&lt;=$B178))&gt;0)*(((CASHBACK_RULES!$O$5:$O$304="")+(CASHBACK_RULES!$O$5:$O$304&gt;=$B178))&gt;0)*(((CASHBACK_RULES!$M$5:$M$304="")+(CASHBACK_RULES!$M$5:$M$304&lt;=$L178))&gt;0),0),0),0))))</f>
        <v>0</v>
      </c>
      <c r="AD178" s="51" t="str">
        <f>IF(OR($B178="",$D178=""),"",IFERROR(IF(INDEX(CARDS!$H$5:$H$34,MATCH($D178,CARDS!$A$5:$A$34,0))="","",IF(DAY($B178)&lt;=INDEX(CARDS!$H$5:$H$34,MATCH($D178,CARDS!$A$5:$A$34,0)),DATE(YEAR($B178),MONTH($B178),MIN(INDEX(CARDS!$H$5:$H$34,MATCH($D178,CARDS!$A$5:$A$34,0)),DAY(EOMONTH($B178,0)))),DATE(YEAR($B178),MONTH($B178)+1,MIN(INDEX(CARDS!$H$5:$H$34,MATCH($D178,CARDS!$A$5:$A$34,0)),DAY(EOMONTH($B178,1)))))),""))</f>
        <v/>
      </c>
      <c r="AE178" s="52" t="str">
        <f>IF($C178="","",$C178&amp;"|"&amp;COUNTIF($C$5:$C178,$C178))</f>
        <v/>
      </c>
      <c r="AF178" s="53">
        <f>IF($AC178&gt;0,SUMIFS(Q$4:Q177,$D$4:$D177,$D178,$Z$4:$Z177,$Z178,$C$4:$C177,$C178),0)</f>
        <v>0</v>
      </c>
      <c r="AG178" s="53">
        <f>IF($AC178&gt;0,SUMIFS(Q$4:Q177,$D$4:$D177,$D178,$C$4:$C177,$C178),0)</f>
        <v>0</v>
      </c>
      <c r="AH178" s="53">
        <f>IF($AC178&gt;0,SUMIFS(M$4:M177,$D$4:$D177,$D178,$Z$4:$Z177,$Z178,$C$4:$C177,$C178),0)</f>
        <v>0</v>
      </c>
      <c r="AI178" s="43">
        <f>IF(OR($C178="",$I178=""),0,IF(COUNTIFS($C$5:$C178,$C178,$I$5:$I178,$I178)=1,1,0))</f>
        <v>0</v>
      </c>
      <c r="AJ178" s="43" t="str">
        <f>IF($AI178=1,SUMIFS($AI$4:$AI177,$C$4:$C177,$C178)+1,"")</f>
        <v/>
      </c>
      <c r="AK178" s="43">
        <f>IF(OR($C178="",$K178=""),0,IF(COUNTIFS($C$5:$C178,$C178,$K$5:$K178,$K178)=1,1,0))</f>
        <v>0</v>
      </c>
      <c r="AL178" s="43" t="str">
        <f>IF($AK178=1,SUMIFS($AK$4:$AK177,$C$4:$C177,$C178)+1,"")</f>
        <v/>
      </c>
      <c r="AM178" s="43">
        <f>IF(OR($C178="",$G178=""),0,IF(COUNTIFS($C$5:$C178,$C178,$G$5:$G178,$G178)=1,1,0))</f>
        <v>0</v>
      </c>
      <c r="AN178" s="43" t="str">
        <f>IF($AM178=1,SUMIFS($AM$4:$AM177,$C$4:$C177,$C178)+1,"")</f>
        <v/>
      </c>
    </row>
    <row r="179">
      <c r="A179" s="44" t="str">
        <f>IF(OR($B179="",$D179=""),"","TX"&amp;TEXT(ROW()-4,"0000"))</f>
        <v/>
      </c>
      <c r="B179" s="42" t="n"/>
      <c r="C179" s="47" t="str">
        <f>IF($B179="","",YEAR($B179)*100+MONTH($B179))</f>
        <v/>
      </c>
      <c r="D179" s="37" t="n"/>
      <c r="E179" s="45" t="str">
        <f>IF($D179="","",IFERROR(INDEX(CARDS!$B$5:$B$34,MATCH($D179,CARDS!$A$5:$A$34,0)),"⚠ Card ID?"))</f>
        <v/>
      </c>
      <c r="F179" s="45" t="str">
        <f>IF($D179="","",IFERROR(INDEX(CARDS!$C$5:$C$34,MATCH($D179,CARDS!$A$5:$A$34,0)),"⚠ Card ID?"))</f>
        <v/>
      </c>
      <c r="G179" s="37" t="n"/>
      <c r="H179" s="37" t="n"/>
      <c r="I179" s="41" t="n"/>
      <c r="J179" s="45" t="str">
        <f>IF($I179="","",IFERROR(INDEX(MCC_MASTER!$B$5:$B$504,MATCH($I179,MCC_MASTER!$A$5:$A$504,0)),"⚠ MCC chưa có"))</f>
        <v/>
      </c>
      <c r="K179" s="45" t="str">
        <f>IF($I179="","",IFERROR(IF(INDEX(MCC_MASTER!$C$5:$C$504,MATCH($I179,MCC_MASTER!$A$5:$A$504,0))="","Chưa phân loại",INDEX(MCC_MASTER!$C$5:$C$504,MATCH($I179,MCC_MASTER!$A$5:$A$504,0))),"Chưa phân loại"))</f>
        <v/>
      </c>
      <c r="L179" s="40" t="n"/>
      <c r="M179" s="48" t="str">
        <f>IF(OR($B179="",$D179=""),"",IF($AC179=0,0,IF(ISNUMBER(INDEX(CASHBACK_RULES!$L$5:$L$304,$AC179)),MAX(0,MIN($L179,INDEX(CASHBACK_RULES!$L$5:$L$304,$AC179)-$AH179)),MAX(0,$L179))))</f>
        <v/>
      </c>
      <c r="N179" s="49" t="str">
        <f>IF(OR($B179="",$D179=""),"",IF($AC179&gt;0,INDEX(CASHBACK_RULES!$I$5:$I$304,$AC179),0))</f>
        <v/>
      </c>
      <c r="O179" s="48" t="str">
        <f>IF(OR($B179="",$D179=""),"",ROUND($M179*$N179,0))</f>
        <v/>
      </c>
      <c r="P179" s="48" t="str">
        <f>IF($AC179&gt;0,IF(ISNUMBER(INDEX(CASHBACK_RULES!$J$5:$J$304,$AC179)),INDEX(CASHBACK_RULES!$J$5:$J$304,$AC179),"∞"),"")</f>
        <v/>
      </c>
      <c r="Q179" s="48" t="str">
        <f>IF(OR($B179="",$D179=""),"",IF($AC179=0,0,MAX(0,MIN($O179,IF(ISNUMBER($P179),$P179-$AF179,1E+15),IF(ISNUMBER($AA179),$AA179-$AG179,1E+15)))))</f>
        <v/>
      </c>
      <c r="R179" s="48" t="str">
        <f>IF(OR($B179="",$D179=""),"",IF($AC179=0,"",IF(AND(NOT(ISNUMBER($P179)),NOT(ISNUMBER($AA179))),"∞",MAX(0,MIN(IF(ISNUMBER($P179),$P179-$AF179-$Q179,1E+15),IF(ISNUMBER($AA179),$AA179-$AG179-$Q179,1E+15))))))</f>
        <v/>
      </c>
      <c r="S179" s="47" t="str">
        <f>IF($AD179="","",YEAR($AD179)*100+MONTH($AD179))</f>
        <v/>
      </c>
      <c r="T179" s="50" t="str">
        <f>IF($AD179="","",IFERROR(IF(INDEX(CARDS!$I$5:$I$34,MATCH($D179,CARDS!$A$5:$A$34,0))="","",IF(INDEX(CARDS!$I$5:$I$34,MATCH($D179,CARDS!$A$5:$A$34,0))&gt;INDEX(CARDS!$H$5:$H$34,MATCH($D179,CARDS!$A$5:$A$34,0)),DATE(YEAR($AD179),MONTH($AD179),MIN(INDEX(CARDS!$I$5:$I$34,MATCH($D179,CARDS!$A$5:$A$34,0)),DAY(EOMONTH($AD179,0)))),DATE(YEAR($AD179),MONTH($AD179)+1,MIN(INDEX(CARDS!$I$5:$I$34,MATCH($D179,CARDS!$A$5:$A$34,0)),DAY(EOMONTH($AD179,1)))))),""))</f>
        <v/>
      </c>
      <c r="U179" s="38" t="n"/>
      <c r="V179" s="37" t="n"/>
      <c r="W179" s="38" t="n"/>
      <c r="X179" s="38" t="n"/>
      <c r="Y179" s="44" t="str">
        <f>IF($AC179&gt;0,INDEX(CASHBACK_RULES!$A$5:$A$304,$AC179),"")</f>
        <v/>
      </c>
      <c r="Z179" s="45" t="str">
        <f>IF($AC179&gt;0,INDEX(CASHBACK_RULES!$E$5:$E$304,$AC179)&amp;"","")</f>
        <v/>
      </c>
      <c r="AA179" s="48" t="str">
        <f>IF($AC179&gt;0,IF(ISNUMBER(INDEX(CASHBACK_RULES!$K$5:$K$304,$AC179)),INDEX(CASHBACK_RULES!$K$5:$K$304,$AC179),"∞"),"")</f>
        <v/>
      </c>
      <c r="AB179" s="44" t="str">
        <f>IF(OR($B179="",$D179=""),"",IF($U179="Cancelled","Đã hủy",IF($AC179=0,"Không được hoàn",IF($Q179=0,IF(OR($O179&gt;0,$M179&lt;$L179),"Đã đạt cap","Không được hoàn"),IF(OR($Q179&lt;$O179,$M179&lt;$L179),"Hoàn một phần","Được hoàn")))))</f>
        <v/>
      </c>
      <c r="AC179" s="43">
        <f>IF(OR($B179="",$D179="",$I179="",$L179=""),0,IF($U179="Cancelled",0,IF($W179&lt;&gt;"",IFERROR(IF(INDEX(CASHBACK_RULES!$B$5:$B$304,MATCH($W179,CASHBACK_RULES!$A$5:$A$304,0))=$D179,MATCH($W179,CASHBACK_RULES!$A$5:$A$304,0),0),0),IFERROR(MATCH(1,INDEX((CASHBACK_RULES!$B$5:$B$304=$D179)*(CASHBACK_RULES!$G$5:$G$304=$I179)*(((CASHBACK_RULES!$N$5:$N$304="")+(CASHBACK_RULES!$N$5:$N$304&lt;=$B179))&gt;0)*(((CASHBACK_RULES!$O$5:$O$304="")+(CASHBACK_RULES!$O$5:$O$304&gt;=$B179))&gt;0)*(((CASHBACK_RULES!$M$5:$M$304="")+(CASHBACK_RULES!$M$5:$M$304&lt;=$L179))&gt;0),0),0),0))))</f>
        <v>0</v>
      </c>
      <c r="AD179" s="51" t="str">
        <f>IF(OR($B179="",$D179=""),"",IFERROR(IF(INDEX(CARDS!$H$5:$H$34,MATCH($D179,CARDS!$A$5:$A$34,0))="","",IF(DAY($B179)&lt;=INDEX(CARDS!$H$5:$H$34,MATCH($D179,CARDS!$A$5:$A$34,0)),DATE(YEAR($B179),MONTH($B179),MIN(INDEX(CARDS!$H$5:$H$34,MATCH($D179,CARDS!$A$5:$A$34,0)),DAY(EOMONTH($B179,0)))),DATE(YEAR($B179),MONTH($B179)+1,MIN(INDEX(CARDS!$H$5:$H$34,MATCH($D179,CARDS!$A$5:$A$34,0)),DAY(EOMONTH($B179,1)))))),""))</f>
        <v/>
      </c>
      <c r="AE179" s="52" t="str">
        <f>IF($C179="","",$C179&amp;"|"&amp;COUNTIF($C$5:$C179,$C179))</f>
        <v/>
      </c>
      <c r="AF179" s="53">
        <f>IF($AC179&gt;0,SUMIFS(Q$4:Q178,$D$4:$D178,$D179,$Z$4:$Z178,$Z179,$C$4:$C178,$C179),0)</f>
        <v>0</v>
      </c>
      <c r="AG179" s="53">
        <f>IF($AC179&gt;0,SUMIFS(Q$4:Q178,$D$4:$D178,$D179,$C$4:$C178,$C179),0)</f>
        <v>0</v>
      </c>
      <c r="AH179" s="53">
        <f>IF($AC179&gt;0,SUMIFS(M$4:M178,$D$4:$D178,$D179,$Z$4:$Z178,$Z179,$C$4:$C178,$C179),0)</f>
        <v>0</v>
      </c>
      <c r="AI179" s="43">
        <f>IF(OR($C179="",$I179=""),0,IF(COUNTIFS($C$5:$C179,$C179,$I$5:$I179,$I179)=1,1,0))</f>
        <v>0</v>
      </c>
      <c r="AJ179" s="43" t="str">
        <f>IF($AI179=1,SUMIFS($AI$4:$AI178,$C$4:$C178,$C179)+1,"")</f>
        <v/>
      </c>
      <c r="AK179" s="43">
        <f>IF(OR($C179="",$K179=""),0,IF(COUNTIFS($C$5:$C179,$C179,$K$5:$K179,$K179)=1,1,0))</f>
        <v>0</v>
      </c>
      <c r="AL179" s="43" t="str">
        <f>IF($AK179=1,SUMIFS($AK$4:$AK178,$C$4:$C178,$C179)+1,"")</f>
        <v/>
      </c>
      <c r="AM179" s="43">
        <f>IF(OR($C179="",$G179=""),0,IF(COUNTIFS($C$5:$C179,$C179,$G$5:$G179,$G179)=1,1,0))</f>
        <v>0</v>
      </c>
      <c r="AN179" s="43" t="str">
        <f>IF($AM179=1,SUMIFS($AM$4:$AM178,$C$4:$C178,$C179)+1,"")</f>
        <v/>
      </c>
    </row>
    <row r="180">
      <c r="A180" s="44" t="str">
        <f>IF(OR($B180="",$D180=""),"","TX"&amp;TEXT(ROW()-4,"0000"))</f>
        <v/>
      </c>
      <c r="B180" s="42" t="n"/>
      <c r="C180" s="47" t="str">
        <f>IF($B180="","",YEAR($B180)*100+MONTH($B180))</f>
        <v/>
      </c>
      <c r="D180" s="37" t="n"/>
      <c r="E180" s="45" t="str">
        <f>IF($D180="","",IFERROR(INDEX(CARDS!$B$5:$B$34,MATCH($D180,CARDS!$A$5:$A$34,0)),"⚠ Card ID?"))</f>
        <v/>
      </c>
      <c r="F180" s="45" t="str">
        <f>IF($D180="","",IFERROR(INDEX(CARDS!$C$5:$C$34,MATCH($D180,CARDS!$A$5:$A$34,0)),"⚠ Card ID?"))</f>
        <v/>
      </c>
      <c r="G180" s="37" t="n"/>
      <c r="H180" s="37" t="n"/>
      <c r="I180" s="41" t="n"/>
      <c r="J180" s="45" t="str">
        <f>IF($I180="","",IFERROR(INDEX(MCC_MASTER!$B$5:$B$504,MATCH($I180,MCC_MASTER!$A$5:$A$504,0)),"⚠ MCC chưa có"))</f>
        <v/>
      </c>
      <c r="K180" s="45" t="str">
        <f>IF($I180="","",IFERROR(IF(INDEX(MCC_MASTER!$C$5:$C$504,MATCH($I180,MCC_MASTER!$A$5:$A$504,0))="","Chưa phân loại",INDEX(MCC_MASTER!$C$5:$C$504,MATCH($I180,MCC_MASTER!$A$5:$A$504,0))),"Chưa phân loại"))</f>
        <v/>
      </c>
      <c r="L180" s="40" t="n"/>
      <c r="M180" s="48" t="str">
        <f>IF(OR($B180="",$D180=""),"",IF($AC180=0,0,IF(ISNUMBER(INDEX(CASHBACK_RULES!$L$5:$L$304,$AC180)),MAX(0,MIN($L180,INDEX(CASHBACK_RULES!$L$5:$L$304,$AC180)-$AH180)),MAX(0,$L180))))</f>
        <v/>
      </c>
      <c r="N180" s="49" t="str">
        <f>IF(OR($B180="",$D180=""),"",IF($AC180&gt;0,INDEX(CASHBACK_RULES!$I$5:$I$304,$AC180),0))</f>
        <v/>
      </c>
      <c r="O180" s="48" t="str">
        <f>IF(OR($B180="",$D180=""),"",ROUND($M180*$N180,0))</f>
        <v/>
      </c>
      <c r="P180" s="48" t="str">
        <f>IF($AC180&gt;0,IF(ISNUMBER(INDEX(CASHBACK_RULES!$J$5:$J$304,$AC180)),INDEX(CASHBACK_RULES!$J$5:$J$304,$AC180),"∞"),"")</f>
        <v/>
      </c>
      <c r="Q180" s="48" t="str">
        <f>IF(OR($B180="",$D180=""),"",IF($AC180=0,0,MAX(0,MIN($O180,IF(ISNUMBER($P180),$P180-$AF180,1E+15),IF(ISNUMBER($AA180),$AA180-$AG180,1E+15)))))</f>
        <v/>
      </c>
      <c r="R180" s="48" t="str">
        <f>IF(OR($B180="",$D180=""),"",IF($AC180=0,"",IF(AND(NOT(ISNUMBER($P180)),NOT(ISNUMBER($AA180))),"∞",MAX(0,MIN(IF(ISNUMBER($P180),$P180-$AF180-$Q180,1E+15),IF(ISNUMBER($AA180),$AA180-$AG180-$Q180,1E+15))))))</f>
        <v/>
      </c>
      <c r="S180" s="47" t="str">
        <f>IF($AD180="","",YEAR($AD180)*100+MONTH($AD180))</f>
        <v/>
      </c>
      <c r="T180" s="50" t="str">
        <f>IF($AD180="","",IFERROR(IF(INDEX(CARDS!$I$5:$I$34,MATCH($D180,CARDS!$A$5:$A$34,0))="","",IF(INDEX(CARDS!$I$5:$I$34,MATCH($D180,CARDS!$A$5:$A$34,0))&gt;INDEX(CARDS!$H$5:$H$34,MATCH($D180,CARDS!$A$5:$A$34,0)),DATE(YEAR($AD180),MONTH($AD180),MIN(INDEX(CARDS!$I$5:$I$34,MATCH($D180,CARDS!$A$5:$A$34,0)),DAY(EOMONTH($AD180,0)))),DATE(YEAR($AD180),MONTH($AD180)+1,MIN(INDEX(CARDS!$I$5:$I$34,MATCH($D180,CARDS!$A$5:$A$34,0)),DAY(EOMONTH($AD180,1)))))),""))</f>
        <v/>
      </c>
      <c r="U180" s="38" t="n"/>
      <c r="V180" s="37" t="n"/>
      <c r="W180" s="38" t="n"/>
      <c r="X180" s="38" t="n"/>
      <c r="Y180" s="44" t="str">
        <f>IF($AC180&gt;0,INDEX(CASHBACK_RULES!$A$5:$A$304,$AC180),"")</f>
        <v/>
      </c>
      <c r="Z180" s="45" t="str">
        <f>IF($AC180&gt;0,INDEX(CASHBACK_RULES!$E$5:$E$304,$AC180)&amp;"","")</f>
        <v/>
      </c>
      <c r="AA180" s="48" t="str">
        <f>IF($AC180&gt;0,IF(ISNUMBER(INDEX(CASHBACK_RULES!$K$5:$K$304,$AC180)),INDEX(CASHBACK_RULES!$K$5:$K$304,$AC180),"∞"),"")</f>
        <v/>
      </c>
      <c r="AB180" s="44" t="str">
        <f>IF(OR($B180="",$D180=""),"",IF($U180="Cancelled","Đã hủy",IF($AC180=0,"Không được hoàn",IF($Q180=0,IF(OR($O180&gt;0,$M180&lt;$L180),"Đã đạt cap","Không được hoàn"),IF(OR($Q180&lt;$O180,$M180&lt;$L180),"Hoàn một phần","Được hoàn")))))</f>
        <v/>
      </c>
      <c r="AC180" s="43">
        <f>IF(OR($B180="",$D180="",$I180="",$L180=""),0,IF($U180="Cancelled",0,IF($W180&lt;&gt;"",IFERROR(IF(INDEX(CASHBACK_RULES!$B$5:$B$304,MATCH($W180,CASHBACK_RULES!$A$5:$A$304,0))=$D180,MATCH($W180,CASHBACK_RULES!$A$5:$A$304,0),0),0),IFERROR(MATCH(1,INDEX((CASHBACK_RULES!$B$5:$B$304=$D180)*(CASHBACK_RULES!$G$5:$G$304=$I180)*(((CASHBACK_RULES!$N$5:$N$304="")+(CASHBACK_RULES!$N$5:$N$304&lt;=$B180))&gt;0)*(((CASHBACK_RULES!$O$5:$O$304="")+(CASHBACK_RULES!$O$5:$O$304&gt;=$B180))&gt;0)*(((CASHBACK_RULES!$M$5:$M$304="")+(CASHBACK_RULES!$M$5:$M$304&lt;=$L180))&gt;0),0),0),0))))</f>
        <v>0</v>
      </c>
      <c r="AD180" s="51" t="str">
        <f>IF(OR($B180="",$D180=""),"",IFERROR(IF(INDEX(CARDS!$H$5:$H$34,MATCH($D180,CARDS!$A$5:$A$34,0))="","",IF(DAY($B180)&lt;=INDEX(CARDS!$H$5:$H$34,MATCH($D180,CARDS!$A$5:$A$34,0)),DATE(YEAR($B180),MONTH($B180),MIN(INDEX(CARDS!$H$5:$H$34,MATCH($D180,CARDS!$A$5:$A$34,0)),DAY(EOMONTH($B180,0)))),DATE(YEAR($B180),MONTH($B180)+1,MIN(INDEX(CARDS!$H$5:$H$34,MATCH($D180,CARDS!$A$5:$A$34,0)),DAY(EOMONTH($B180,1)))))),""))</f>
        <v/>
      </c>
      <c r="AE180" s="52" t="str">
        <f>IF($C180="","",$C180&amp;"|"&amp;COUNTIF($C$5:$C180,$C180))</f>
        <v/>
      </c>
      <c r="AF180" s="53">
        <f>IF($AC180&gt;0,SUMIFS(Q$4:Q179,$D$4:$D179,$D180,$Z$4:$Z179,$Z180,$C$4:$C179,$C180),0)</f>
        <v>0</v>
      </c>
      <c r="AG180" s="53">
        <f>IF($AC180&gt;0,SUMIFS(Q$4:Q179,$D$4:$D179,$D180,$C$4:$C179,$C180),0)</f>
        <v>0</v>
      </c>
      <c r="AH180" s="53">
        <f>IF($AC180&gt;0,SUMIFS(M$4:M179,$D$4:$D179,$D180,$Z$4:$Z179,$Z180,$C$4:$C179,$C180),0)</f>
        <v>0</v>
      </c>
      <c r="AI180" s="43">
        <f>IF(OR($C180="",$I180=""),0,IF(COUNTIFS($C$5:$C180,$C180,$I$5:$I180,$I180)=1,1,0))</f>
        <v>0</v>
      </c>
      <c r="AJ180" s="43" t="str">
        <f>IF($AI180=1,SUMIFS($AI$4:$AI179,$C$4:$C179,$C180)+1,"")</f>
        <v/>
      </c>
      <c r="AK180" s="43">
        <f>IF(OR($C180="",$K180=""),0,IF(COUNTIFS($C$5:$C180,$C180,$K$5:$K180,$K180)=1,1,0))</f>
        <v>0</v>
      </c>
      <c r="AL180" s="43" t="str">
        <f>IF($AK180=1,SUMIFS($AK$4:$AK179,$C$4:$C179,$C180)+1,"")</f>
        <v/>
      </c>
      <c r="AM180" s="43">
        <f>IF(OR($C180="",$G180=""),0,IF(COUNTIFS($C$5:$C180,$C180,$G$5:$G180,$G180)=1,1,0))</f>
        <v>0</v>
      </c>
      <c r="AN180" s="43" t="str">
        <f>IF($AM180=1,SUMIFS($AM$4:$AM179,$C$4:$C179,$C180)+1,"")</f>
        <v/>
      </c>
    </row>
    <row r="181">
      <c r="A181" s="44" t="str">
        <f>IF(OR($B181="",$D181=""),"","TX"&amp;TEXT(ROW()-4,"0000"))</f>
        <v/>
      </c>
      <c r="B181" s="42" t="n"/>
      <c r="C181" s="47" t="str">
        <f>IF($B181="","",YEAR($B181)*100+MONTH($B181))</f>
        <v/>
      </c>
      <c r="D181" s="37" t="n"/>
      <c r="E181" s="45" t="str">
        <f>IF($D181="","",IFERROR(INDEX(CARDS!$B$5:$B$34,MATCH($D181,CARDS!$A$5:$A$34,0)),"⚠ Card ID?"))</f>
        <v/>
      </c>
      <c r="F181" s="45" t="str">
        <f>IF($D181="","",IFERROR(INDEX(CARDS!$C$5:$C$34,MATCH($D181,CARDS!$A$5:$A$34,0)),"⚠ Card ID?"))</f>
        <v/>
      </c>
      <c r="G181" s="37" t="n"/>
      <c r="H181" s="37" t="n"/>
      <c r="I181" s="41" t="n"/>
      <c r="J181" s="45" t="str">
        <f>IF($I181="","",IFERROR(INDEX(MCC_MASTER!$B$5:$B$504,MATCH($I181,MCC_MASTER!$A$5:$A$504,0)),"⚠ MCC chưa có"))</f>
        <v/>
      </c>
      <c r="K181" s="45" t="str">
        <f>IF($I181="","",IFERROR(IF(INDEX(MCC_MASTER!$C$5:$C$504,MATCH($I181,MCC_MASTER!$A$5:$A$504,0))="","Chưa phân loại",INDEX(MCC_MASTER!$C$5:$C$504,MATCH($I181,MCC_MASTER!$A$5:$A$504,0))),"Chưa phân loại"))</f>
        <v/>
      </c>
      <c r="L181" s="40" t="n"/>
      <c r="M181" s="48" t="str">
        <f>IF(OR($B181="",$D181=""),"",IF($AC181=0,0,IF(ISNUMBER(INDEX(CASHBACK_RULES!$L$5:$L$304,$AC181)),MAX(0,MIN($L181,INDEX(CASHBACK_RULES!$L$5:$L$304,$AC181)-$AH181)),MAX(0,$L181))))</f>
        <v/>
      </c>
      <c r="N181" s="49" t="str">
        <f>IF(OR($B181="",$D181=""),"",IF($AC181&gt;0,INDEX(CASHBACK_RULES!$I$5:$I$304,$AC181),0))</f>
        <v/>
      </c>
      <c r="O181" s="48" t="str">
        <f>IF(OR($B181="",$D181=""),"",ROUND($M181*$N181,0))</f>
        <v/>
      </c>
      <c r="P181" s="48" t="str">
        <f>IF($AC181&gt;0,IF(ISNUMBER(INDEX(CASHBACK_RULES!$J$5:$J$304,$AC181)),INDEX(CASHBACK_RULES!$J$5:$J$304,$AC181),"∞"),"")</f>
        <v/>
      </c>
      <c r="Q181" s="48" t="str">
        <f>IF(OR($B181="",$D181=""),"",IF($AC181=0,0,MAX(0,MIN($O181,IF(ISNUMBER($P181),$P181-$AF181,1E+15),IF(ISNUMBER($AA181),$AA181-$AG181,1E+15)))))</f>
        <v/>
      </c>
      <c r="R181" s="48" t="str">
        <f>IF(OR($B181="",$D181=""),"",IF($AC181=0,"",IF(AND(NOT(ISNUMBER($P181)),NOT(ISNUMBER($AA181))),"∞",MAX(0,MIN(IF(ISNUMBER($P181),$P181-$AF181-$Q181,1E+15),IF(ISNUMBER($AA181),$AA181-$AG181-$Q181,1E+15))))))</f>
        <v/>
      </c>
      <c r="S181" s="47" t="str">
        <f>IF($AD181="","",YEAR($AD181)*100+MONTH($AD181))</f>
        <v/>
      </c>
      <c r="T181" s="50" t="str">
        <f>IF($AD181="","",IFERROR(IF(INDEX(CARDS!$I$5:$I$34,MATCH($D181,CARDS!$A$5:$A$34,0))="","",IF(INDEX(CARDS!$I$5:$I$34,MATCH($D181,CARDS!$A$5:$A$34,0))&gt;INDEX(CARDS!$H$5:$H$34,MATCH($D181,CARDS!$A$5:$A$34,0)),DATE(YEAR($AD181),MONTH($AD181),MIN(INDEX(CARDS!$I$5:$I$34,MATCH($D181,CARDS!$A$5:$A$34,0)),DAY(EOMONTH($AD181,0)))),DATE(YEAR($AD181),MONTH($AD181)+1,MIN(INDEX(CARDS!$I$5:$I$34,MATCH($D181,CARDS!$A$5:$A$34,0)),DAY(EOMONTH($AD181,1)))))),""))</f>
        <v/>
      </c>
      <c r="U181" s="38" t="n"/>
      <c r="V181" s="37" t="n"/>
      <c r="W181" s="38" t="n"/>
      <c r="X181" s="38" t="n"/>
      <c r="Y181" s="44" t="str">
        <f>IF($AC181&gt;0,INDEX(CASHBACK_RULES!$A$5:$A$304,$AC181),"")</f>
        <v/>
      </c>
      <c r="Z181" s="45" t="str">
        <f>IF($AC181&gt;0,INDEX(CASHBACK_RULES!$E$5:$E$304,$AC181)&amp;"","")</f>
        <v/>
      </c>
      <c r="AA181" s="48" t="str">
        <f>IF($AC181&gt;0,IF(ISNUMBER(INDEX(CASHBACK_RULES!$K$5:$K$304,$AC181)),INDEX(CASHBACK_RULES!$K$5:$K$304,$AC181),"∞"),"")</f>
        <v/>
      </c>
      <c r="AB181" s="44" t="str">
        <f>IF(OR($B181="",$D181=""),"",IF($U181="Cancelled","Đã hủy",IF($AC181=0,"Không được hoàn",IF($Q181=0,IF(OR($O181&gt;0,$M181&lt;$L181),"Đã đạt cap","Không được hoàn"),IF(OR($Q181&lt;$O181,$M181&lt;$L181),"Hoàn một phần","Được hoàn")))))</f>
        <v/>
      </c>
      <c r="AC181" s="43">
        <f>IF(OR($B181="",$D181="",$I181="",$L181=""),0,IF($U181="Cancelled",0,IF($W181&lt;&gt;"",IFERROR(IF(INDEX(CASHBACK_RULES!$B$5:$B$304,MATCH($W181,CASHBACK_RULES!$A$5:$A$304,0))=$D181,MATCH($W181,CASHBACK_RULES!$A$5:$A$304,0),0),0),IFERROR(MATCH(1,INDEX((CASHBACK_RULES!$B$5:$B$304=$D181)*(CASHBACK_RULES!$G$5:$G$304=$I181)*(((CASHBACK_RULES!$N$5:$N$304="")+(CASHBACK_RULES!$N$5:$N$304&lt;=$B181))&gt;0)*(((CASHBACK_RULES!$O$5:$O$304="")+(CASHBACK_RULES!$O$5:$O$304&gt;=$B181))&gt;0)*(((CASHBACK_RULES!$M$5:$M$304="")+(CASHBACK_RULES!$M$5:$M$304&lt;=$L181))&gt;0),0),0),0))))</f>
        <v>0</v>
      </c>
      <c r="AD181" s="51" t="str">
        <f>IF(OR($B181="",$D181=""),"",IFERROR(IF(INDEX(CARDS!$H$5:$H$34,MATCH($D181,CARDS!$A$5:$A$34,0))="","",IF(DAY($B181)&lt;=INDEX(CARDS!$H$5:$H$34,MATCH($D181,CARDS!$A$5:$A$34,0)),DATE(YEAR($B181),MONTH($B181),MIN(INDEX(CARDS!$H$5:$H$34,MATCH($D181,CARDS!$A$5:$A$34,0)),DAY(EOMONTH($B181,0)))),DATE(YEAR($B181),MONTH($B181)+1,MIN(INDEX(CARDS!$H$5:$H$34,MATCH($D181,CARDS!$A$5:$A$34,0)),DAY(EOMONTH($B181,1)))))),""))</f>
        <v/>
      </c>
      <c r="AE181" s="52" t="str">
        <f>IF($C181="","",$C181&amp;"|"&amp;COUNTIF($C$5:$C181,$C181))</f>
        <v/>
      </c>
      <c r="AF181" s="53">
        <f>IF($AC181&gt;0,SUMIFS(Q$4:Q180,$D$4:$D180,$D181,$Z$4:$Z180,$Z181,$C$4:$C180,$C181),0)</f>
        <v>0</v>
      </c>
      <c r="AG181" s="53">
        <f>IF($AC181&gt;0,SUMIFS(Q$4:Q180,$D$4:$D180,$D181,$C$4:$C180,$C181),0)</f>
        <v>0</v>
      </c>
      <c r="AH181" s="53">
        <f>IF($AC181&gt;0,SUMIFS(M$4:M180,$D$4:$D180,$D181,$Z$4:$Z180,$Z181,$C$4:$C180,$C181),0)</f>
        <v>0</v>
      </c>
      <c r="AI181" s="43">
        <f>IF(OR($C181="",$I181=""),0,IF(COUNTIFS($C$5:$C181,$C181,$I$5:$I181,$I181)=1,1,0))</f>
        <v>0</v>
      </c>
      <c r="AJ181" s="43" t="str">
        <f>IF($AI181=1,SUMIFS($AI$4:$AI180,$C$4:$C180,$C181)+1,"")</f>
        <v/>
      </c>
      <c r="AK181" s="43">
        <f>IF(OR($C181="",$K181=""),0,IF(COUNTIFS($C$5:$C181,$C181,$K$5:$K181,$K181)=1,1,0))</f>
        <v>0</v>
      </c>
      <c r="AL181" s="43" t="str">
        <f>IF($AK181=1,SUMIFS($AK$4:$AK180,$C$4:$C180,$C181)+1,"")</f>
        <v/>
      </c>
      <c r="AM181" s="43">
        <f>IF(OR($C181="",$G181=""),0,IF(COUNTIFS($C$5:$C181,$C181,$G$5:$G181,$G181)=1,1,0))</f>
        <v>0</v>
      </c>
      <c r="AN181" s="43" t="str">
        <f>IF($AM181=1,SUMIFS($AM$4:$AM180,$C$4:$C180,$C181)+1,"")</f>
        <v/>
      </c>
    </row>
    <row r="182">
      <c r="A182" s="44" t="str">
        <f>IF(OR($B182="",$D182=""),"","TX"&amp;TEXT(ROW()-4,"0000"))</f>
        <v/>
      </c>
      <c r="B182" s="42" t="n"/>
      <c r="C182" s="47" t="str">
        <f>IF($B182="","",YEAR($B182)*100+MONTH($B182))</f>
        <v/>
      </c>
      <c r="D182" s="37" t="n"/>
      <c r="E182" s="45" t="str">
        <f>IF($D182="","",IFERROR(INDEX(CARDS!$B$5:$B$34,MATCH($D182,CARDS!$A$5:$A$34,0)),"⚠ Card ID?"))</f>
        <v/>
      </c>
      <c r="F182" s="45" t="str">
        <f>IF($D182="","",IFERROR(INDEX(CARDS!$C$5:$C$34,MATCH($D182,CARDS!$A$5:$A$34,0)),"⚠ Card ID?"))</f>
        <v/>
      </c>
      <c r="G182" s="37" t="n"/>
      <c r="H182" s="37" t="n"/>
      <c r="I182" s="41" t="n"/>
      <c r="J182" s="45" t="str">
        <f>IF($I182="","",IFERROR(INDEX(MCC_MASTER!$B$5:$B$504,MATCH($I182,MCC_MASTER!$A$5:$A$504,0)),"⚠ MCC chưa có"))</f>
        <v/>
      </c>
      <c r="K182" s="45" t="str">
        <f>IF($I182="","",IFERROR(IF(INDEX(MCC_MASTER!$C$5:$C$504,MATCH($I182,MCC_MASTER!$A$5:$A$504,0))="","Chưa phân loại",INDEX(MCC_MASTER!$C$5:$C$504,MATCH($I182,MCC_MASTER!$A$5:$A$504,0))),"Chưa phân loại"))</f>
        <v/>
      </c>
      <c r="L182" s="40" t="n"/>
      <c r="M182" s="48" t="str">
        <f>IF(OR($B182="",$D182=""),"",IF($AC182=0,0,IF(ISNUMBER(INDEX(CASHBACK_RULES!$L$5:$L$304,$AC182)),MAX(0,MIN($L182,INDEX(CASHBACK_RULES!$L$5:$L$304,$AC182)-$AH182)),MAX(0,$L182))))</f>
        <v/>
      </c>
      <c r="N182" s="49" t="str">
        <f>IF(OR($B182="",$D182=""),"",IF($AC182&gt;0,INDEX(CASHBACK_RULES!$I$5:$I$304,$AC182),0))</f>
        <v/>
      </c>
      <c r="O182" s="48" t="str">
        <f>IF(OR($B182="",$D182=""),"",ROUND($M182*$N182,0))</f>
        <v/>
      </c>
      <c r="P182" s="48" t="str">
        <f>IF($AC182&gt;0,IF(ISNUMBER(INDEX(CASHBACK_RULES!$J$5:$J$304,$AC182)),INDEX(CASHBACK_RULES!$J$5:$J$304,$AC182),"∞"),"")</f>
        <v/>
      </c>
      <c r="Q182" s="48" t="str">
        <f>IF(OR($B182="",$D182=""),"",IF($AC182=0,0,MAX(0,MIN($O182,IF(ISNUMBER($P182),$P182-$AF182,1E+15),IF(ISNUMBER($AA182),$AA182-$AG182,1E+15)))))</f>
        <v/>
      </c>
      <c r="R182" s="48" t="str">
        <f>IF(OR($B182="",$D182=""),"",IF($AC182=0,"",IF(AND(NOT(ISNUMBER($P182)),NOT(ISNUMBER($AA182))),"∞",MAX(0,MIN(IF(ISNUMBER($P182),$P182-$AF182-$Q182,1E+15),IF(ISNUMBER($AA182),$AA182-$AG182-$Q182,1E+15))))))</f>
        <v/>
      </c>
      <c r="S182" s="47" t="str">
        <f>IF($AD182="","",YEAR($AD182)*100+MONTH($AD182))</f>
        <v/>
      </c>
      <c r="T182" s="50" t="str">
        <f>IF($AD182="","",IFERROR(IF(INDEX(CARDS!$I$5:$I$34,MATCH($D182,CARDS!$A$5:$A$34,0))="","",IF(INDEX(CARDS!$I$5:$I$34,MATCH($D182,CARDS!$A$5:$A$34,0))&gt;INDEX(CARDS!$H$5:$H$34,MATCH($D182,CARDS!$A$5:$A$34,0)),DATE(YEAR($AD182),MONTH($AD182),MIN(INDEX(CARDS!$I$5:$I$34,MATCH($D182,CARDS!$A$5:$A$34,0)),DAY(EOMONTH($AD182,0)))),DATE(YEAR($AD182),MONTH($AD182)+1,MIN(INDEX(CARDS!$I$5:$I$34,MATCH($D182,CARDS!$A$5:$A$34,0)),DAY(EOMONTH($AD182,1)))))),""))</f>
        <v/>
      </c>
      <c r="U182" s="38" t="n"/>
      <c r="V182" s="37" t="n"/>
      <c r="W182" s="38" t="n"/>
      <c r="X182" s="38" t="n"/>
      <c r="Y182" s="44" t="str">
        <f>IF($AC182&gt;0,INDEX(CASHBACK_RULES!$A$5:$A$304,$AC182),"")</f>
        <v/>
      </c>
      <c r="Z182" s="45" t="str">
        <f>IF($AC182&gt;0,INDEX(CASHBACK_RULES!$E$5:$E$304,$AC182)&amp;"","")</f>
        <v/>
      </c>
      <c r="AA182" s="48" t="str">
        <f>IF($AC182&gt;0,IF(ISNUMBER(INDEX(CASHBACK_RULES!$K$5:$K$304,$AC182)),INDEX(CASHBACK_RULES!$K$5:$K$304,$AC182),"∞"),"")</f>
        <v/>
      </c>
      <c r="AB182" s="44" t="str">
        <f>IF(OR($B182="",$D182=""),"",IF($U182="Cancelled","Đã hủy",IF($AC182=0,"Không được hoàn",IF($Q182=0,IF(OR($O182&gt;0,$M182&lt;$L182),"Đã đạt cap","Không được hoàn"),IF(OR($Q182&lt;$O182,$M182&lt;$L182),"Hoàn một phần","Được hoàn")))))</f>
        <v/>
      </c>
      <c r="AC182" s="43">
        <f>IF(OR($B182="",$D182="",$I182="",$L182=""),0,IF($U182="Cancelled",0,IF($W182&lt;&gt;"",IFERROR(IF(INDEX(CASHBACK_RULES!$B$5:$B$304,MATCH($W182,CASHBACK_RULES!$A$5:$A$304,0))=$D182,MATCH($W182,CASHBACK_RULES!$A$5:$A$304,0),0),0),IFERROR(MATCH(1,INDEX((CASHBACK_RULES!$B$5:$B$304=$D182)*(CASHBACK_RULES!$G$5:$G$304=$I182)*(((CASHBACK_RULES!$N$5:$N$304="")+(CASHBACK_RULES!$N$5:$N$304&lt;=$B182))&gt;0)*(((CASHBACK_RULES!$O$5:$O$304="")+(CASHBACK_RULES!$O$5:$O$304&gt;=$B182))&gt;0)*(((CASHBACK_RULES!$M$5:$M$304="")+(CASHBACK_RULES!$M$5:$M$304&lt;=$L182))&gt;0),0),0),0))))</f>
        <v>0</v>
      </c>
      <c r="AD182" s="51" t="str">
        <f>IF(OR($B182="",$D182=""),"",IFERROR(IF(INDEX(CARDS!$H$5:$H$34,MATCH($D182,CARDS!$A$5:$A$34,0))="","",IF(DAY($B182)&lt;=INDEX(CARDS!$H$5:$H$34,MATCH($D182,CARDS!$A$5:$A$34,0)),DATE(YEAR($B182),MONTH($B182),MIN(INDEX(CARDS!$H$5:$H$34,MATCH($D182,CARDS!$A$5:$A$34,0)),DAY(EOMONTH($B182,0)))),DATE(YEAR($B182),MONTH($B182)+1,MIN(INDEX(CARDS!$H$5:$H$34,MATCH($D182,CARDS!$A$5:$A$34,0)),DAY(EOMONTH($B182,1)))))),""))</f>
        <v/>
      </c>
      <c r="AE182" s="52" t="str">
        <f>IF($C182="","",$C182&amp;"|"&amp;COUNTIF($C$5:$C182,$C182))</f>
        <v/>
      </c>
      <c r="AF182" s="53">
        <f>IF($AC182&gt;0,SUMIFS(Q$4:Q181,$D$4:$D181,$D182,$Z$4:$Z181,$Z182,$C$4:$C181,$C182),0)</f>
        <v>0</v>
      </c>
      <c r="AG182" s="53">
        <f>IF($AC182&gt;0,SUMIFS(Q$4:Q181,$D$4:$D181,$D182,$C$4:$C181,$C182),0)</f>
        <v>0</v>
      </c>
      <c r="AH182" s="53">
        <f>IF($AC182&gt;0,SUMIFS(M$4:M181,$D$4:$D181,$D182,$Z$4:$Z181,$Z182,$C$4:$C181,$C182),0)</f>
        <v>0</v>
      </c>
      <c r="AI182" s="43">
        <f>IF(OR($C182="",$I182=""),0,IF(COUNTIFS($C$5:$C182,$C182,$I$5:$I182,$I182)=1,1,0))</f>
        <v>0</v>
      </c>
      <c r="AJ182" s="43" t="str">
        <f>IF($AI182=1,SUMIFS($AI$4:$AI181,$C$4:$C181,$C182)+1,"")</f>
        <v/>
      </c>
      <c r="AK182" s="43">
        <f>IF(OR($C182="",$K182=""),0,IF(COUNTIFS($C$5:$C182,$C182,$K$5:$K182,$K182)=1,1,0))</f>
        <v>0</v>
      </c>
      <c r="AL182" s="43" t="str">
        <f>IF($AK182=1,SUMIFS($AK$4:$AK181,$C$4:$C181,$C182)+1,"")</f>
        <v/>
      </c>
      <c r="AM182" s="43">
        <f>IF(OR($C182="",$G182=""),0,IF(COUNTIFS($C$5:$C182,$C182,$G$5:$G182,$G182)=1,1,0))</f>
        <v>0</v>
      </c>
      <c r="AN182" s="43" t="str">
        <f>IF($AM182=1,SUMIFS($AM$4:$AM181,$C$4:$C181,$C182)+1,"")</f>
        <v/>
      </c>
    </row>
    <row r="183">
      <c r="A183" s="44" t="str">
        <f>IF(OR($B183="",$D183=""),"","TX"&amp;TEXT(ROW()-4,"0000"))</f>
        <v/>
      </c>
      <c r="B183" s="42" t="n"/>
      <c r="C183" s="47" t="str">
        <f>IF($B183="","",YEAR($B183)*100+MONTH($B183))</f>
        <v/>
      </c>
      <c r="D183" s="37" t="n"/>
      <c r="E183" s="45" t="str">
        <f>IF($D183="","",IFERROR(INDEX(CARDS!$B$5:$B$34,MATCH($D183,CARDS!$A$5:$A$34,0)),"⚠ Card ID?"))</f>
        <v/>
      </c>
      <c r="F183" s="45" t="str">
        <f>IF($D183="","",IFERROR(INDEX(CARDS!$C$5:$C$34,MATCH($D183,CARDS!$A$5:$A$34,0)),"⚠ Card ID?"))</f>
        <v/>
      </c>
      <c r="G183" s="37" t="n"/>
      <c r="H183" s="37" t="n"/>
      <c r="I183" s="41" t="n"/>
      <c r="J183" s="45" t="str">
        <f>IF($I183="","",IFERROR(INDEX(MCC_MASTER!$B$5:$B$504,MATCH($I183,MCC_MASTER!$A$5:$A$504,0)),"⚠ MCC chưa có"))</f>
        <v/>
      </c>
      <c r="K183" s="45" t="str">
        <f>IF($I183="","",IFERROR(IF(INDEX(MCC_MASTER!$C$5:$C$504,MATCH($I183,MCC_MASTER!$A$5:$A$504,0))="","Chưa phân loại",INDEX(MCC_MASTER!$C$5:$C$504,MATCH($I183,MCC_MASTER!$A$5:$A$504,0))),"Chưa phân loại"))</f>
        <v/>
      </c>
      <c r="L183" s="40" t="n"/>
      <c r="M183" s="48" t="str">
        <f>IF(OR($B183="",$D183=""),"",IF($AC183=0,0,IF(ISNUMBER(INDEX(CASHBACK_RULES!$L$5:$L$304,$AC183)),MAX(0,MIN($L183,INDEX(CASHBACK_RULES!$L$5:$L$304,$AC183)-$AH183)),MAX(0,$L183))))</f>
        <v/>
      </c>
      <c r="N183" s="49" t="str">
        <f>IF(OR($B183="",$D183=""),"",IF($AC183&gt;0,INDEX(CASHBACK_RULES!$I$5:$I$304,$AC183),0))</f>
        <v/>
      </c>
      <c r="O183" s="48" t="str">
        <f>IF(OR($B183="",$D183=""),"",ROUND($M183*$N183,0))</f>
        <v/>
      </c>
      <c r="P183" s="48" t="str">
        <f>IF($AC183&gt;0,IF(ISNUMBER(INDEX(CASHBACK_RULES!$J$5:$J$304,$AC183)),INDEX(CASHBACK_RULES!$J$5:$J$304,$AC183),"∞"),"")</f>
        <v/>
      </c>
      <c r="Q183" s="48" t="str">
        <f>IF(OR($B183="",$D183=""),"",IF($AC183=0,0,MAX(0,MIN($O183,IF(ISNUMBER($P183),$P183-$AF183,1E+15),IF(ISNUMBER($AA183),$AA183-$AG183,1E+15)))))</f>
        <v/>
      </c>
      <c r="R183" s="48" t="str">
        <f>IF(OR($B183="",$D183=""),"",IF($AC183=0,"",IF(AND(NOT(ISNUMBER($P183)),NOT(ISNUMBER($AA183))),"∞",MAX(0,MIN(IF(ISNUMBER($P183),$P183-$AF183-$Q183,1E+15),IF(ISNUMBER($AA183),$AA183-$AG183-$Q183,1E+15))))))</f>
        <v/>
      </c>
      <c r="S183" s="47" t="str">
        <f>IF($AD183="","",YEAR($AD183)*100+MONTH($AD183))</f>
        <v/>
      </c>
      <c r="T183" s="50" t="str">
        <f>IF($AD183="","",IFERROR(IF(INDEX(CARDS!$I$5:$I$34,MATCH($D183,CARDS!$A$5:$A$34,0))="","",IF(INDEX(CARDS!$I$5:$I$34,MATCH($D183,CARDS!$A$5:$A$34,0))&gt;INDEX(CARDS!$H$5:$H$34,MATCH($D183,CARDS!$A$5:$A$34,0)),DATE(YEAR($AD183),MONTH($AD183),MIN(INDEX(CARDS!$I$5:$I$34,MATCH($D183,CARDS!$A$5:$A$34,0)),DAY(EOMONTH($AD183,0)))),DATE(YEAR($AD183),MONTH($AD183)+1,MIN(INDEX(CARDS!$I$5:$I$34,MATCH($D183,CARDS!$A$5:$A$34,0)),DAY(EOMONTH($AD183,1)))))),""))</f>
        <v/>
      </c>
      <c r="U183" s="38" t="n"/>
      <c r="V183" s="37" t="n"/>
      <c r="W183" s="38" t="n"/>
      <c r="X183" s="38" t="n"/>
      <c r="Y183" s="44" t="str">
        <f>IF($AC183&gt;0,INDEX(CASHBACK_RULES!$A$5:$A$304,$AC183),"")</f>
        <v/>
      </c>
      <c r="Z183" s="45" t="str">
        <f>IF($AC183&gt;0,INDEX(CASHBACK_RULES!$E$5:$E$304,$AC183)&amp;"","")</f>
        <v/>
      </c>
      <c r="AA183" s="48" t="str">
        <f>IF($AC183&gt;0,IF(ISNUMBER(INDEX(CASHBACK_RULES!$K$5:$K$304,$AC183)),INDEX(CASHBACK_RULES!$K$5:$K$304,$AC183),"∞"),"")</f>
        <v/>
      </c>
      <c r="AB183" s="44" t="str">
        <f>IF(OR($B183="",$D183=""),"",IF($U183="Cancelled","Đã hủy",IF($AC183=0,"Không được hoàn",IF($Q183=0,IF(OR($O183&gt;0,$M183&lt;$L183),"Đã đạt cap","Không được hoàn"),IF(OR($Q183&lt;$O183,$M183&lt;$L183),"Hoàn một phần","Được hoàn")))))</f>
        <v/>
      </c>
      <c r="AC183" s="43">
        <f>IF(OR($B183="",$D183="",$I183="",$L183=""),0,IF($U183="Cancelled",0,IF($W183&lt;&gt;"",IFERROR(IF(INDEX(CASHBACK_RULES!$B$5:$B$304,MATCH($W183,CASHBACK_RULES!$A$5:$A$304,0))=$D183,MATCH($W183,CASHBACK_RULES!$A$5:$A$304,0),0),0),IFERROR(MATCH(1,INDEX((CASHBACK_RULES!$B$5:$B$304=$D183)*(CASHBACK_RULES!$G$5:$G$304=$I183)*(((CASHBACK_RULES!$N$5:$N$304="")+(CASHBACK_RULES!$N$5:$N$304&lt;=$B183))&gt;0)*(((CASHBACK_RULES!$O$5:$O$304="")+(CASHBACK_RULES!$O$5:$O$304&gt;=$B183))&gt;0)*(((CASHBACK_RULES!$M$5:$M$304="")+(CASHBACK_RULES!$M$5:$M$304&lt;=$L183))&gt;0),0),0),0))))</f>
        <v>0</v>
      </c>
      <c r="AD183" s="51" t="str">
        <f>IF(OR($B183="",$D183=""),"",IFERROR(IF(INDEX(CARDS!$H$5:$H$34,MATCH($D183,CARDS!$A$5:$A$34,0))="","",IF(DAY($B183)&lt;=INDEX(CARDS!$H$5:$H$34,MATCH($D183,CARDS!$A$5:$A$34,0)),DATE(YEAR($B183),MONTH($B183),MIN(INDEX(CARDS!$H$5:$H$34,MATCH($D183,CARDS!$A$5:$A$34,0)),DAY(EOMONTH($B183,0)))),DATE(YEAR($B183),MONTH($B183)+1,MIN(INDEX(CARDS!$H$5:$H$34,MATCH($D183,CARDS!$A$5:$A$34,0)),DAY(EOMONTH($B183,1)))))),""))</f>
        <v/>
      </c>
      <c r="AE183" s="52" t="str">
        <f>IF($C183="","",$C183&amp;"|"&amp;COUNTIF($C$5:$C183,$C183))</f>
        <v/>
      </c>
      <c r="AF183" s="53">
        <f>IF($AC183&gt;0,SUMIFS(Q$4:Q182,$D$4:$D182,$D183,$Z$4:$Z182,$Z183,$C$4:$C182,$C183),0)</f>
        <v>0</v>
      </c>
      <c r="AG183" s="53">
        <f>IF($AC183&gt;0,SUMIFS(Q$4:Q182,$D$4:$D182,$D183,$C$4:$C182,$C183),0)</f>
        <v>0</v>
      </c>
      <c r="AH183" s="53">
        <f>IF($AC183&gt;0,SUMIFS(M$4:M182,$D$4:$D182,$D183,$Z$4:$Z182,$Z183,$C$4:$C182,$C183),0)</f>
        <v>0</v>
      </c>
      <c r="AI183" s="43">
        <f>IF(OR($C183="",$I183=""),0,IF(COUNTIFS($C$5:$C183,$C183,$I$5:$I183,$I183)=1,1,0))</f>
        <v>0</v>
      </c>
      <c r="AJ183" s="43" t="str">
        <f>IF($AI183=1,SUMIFS($AI$4:$AI182,$C$4:$C182,$C183)+1,"")</f>
        <v/>
      </c>
      <c r="AK183" s="43">
        <f>IF(OR($C183="",$K183=""),0,IF(COUNTIFS($C$5:$C183,$C183,$K$5:$K183,$K183)=1,1,0))</f>
        <v>0</v>
      </c>
      <c r="AL183" s="43" t="str">
        <f>IF($AK183=1,SUMIFS($AK$4:$AK182,$C$4:$C182,$C183)+1,"")</f>
        <v/>
      </c>
      <c r="AM183" s="43">
        <f>IF(OR($C183="",$G183=""),0,IF(COUNTIFS($C$5:$C183,$C183,$G$5:$G183,$G183)=1,1,0))</f>
        <v>0</v>
      </c>
      <c r="AN183" s="43" t="str">
        <f>IF($AM183=1,SUMIFS($AM$4:$AM182,$C$4:$C182,$C183)+1,"")</f>
        <v/>
      </c>
    </row>
    <row r="184">
      <c r="A184" s="44" t="str">
        <f>IF(OR($B184="",$D184=""),"","TX"&amp;TEXT(ROW()-4,"0000"))</f>
        <v/>
      </c>
      <c r="B184" s="42" t="n"/>
      <c r="C184" s="47" t="str">
        <f>IF($B184="","",YEAR($B184)*100+MONTH($B184))</f>
        <v/>
      </c>
      <c r="D184" s="37" t="n"/>
      <c r="E184" s="45" t="str">
        <f>IF($D184="","",IFERROR(INDEX(CARDS!$B$5:$B$34,MATCH($D184,CARDS!$A$5:$A$34,0)),"⚠ Card ID?"))</f>
        <v/>
      </c>
      <c r="F184" s="45" t="str">
        <f>IF($D184="","",IFERROR(INDEX(CARDS!$C$5:$C$34,MATCH($D184,CARDS!$A$5:$A$34,0)),"⚠ Card ID?"))</f>
        <v/>
      </c>
      <c r="G184" s="37" t="n"/>
      <c r="H184" s="37" t="n"/>
      <c r="I184" s="41" t="n"/>
      <c r="J184" s="45" t="str">
        <f>IF($I184="","",IFERROR(INDEX(MCC_MASTER!$B$5:$B$504,MATCH($I184,MCC_MASTER!$A$5:$A$504,0)),"⚠ MCC chưa có"))</f>
        <v/>
      </c>
      <c r="K184" s="45" t="str">
        <f>IF($I184="","",IFERROR(IF(INDEX(MCC_MASTER!$C$5:$C$504,MATCH($I184,MCC_MASTER!$A$5:$A$504,0))="","Chưa phân loại",INDEX(MCC_MASTER!$C$5:$C$504,MATCH($I184,MCC_MASTER!$A$5:$A$504,0))),"Chưa phân loại"))</f>
        <v/>
      </c>
      <c r="L184" s="40" t="n"/>
      <c r="M184" s="48" t="str">
        <f>IF(OR($B184="",$D184=""),"",IF($AC184=0,0,IF(ISNUMBER(INDEX(CASHBACK_RULES!$L$5:$L$304,$AC184)),MAX(0,MIN($L184,INDEX(CASHBACK_RULES!$L$5:$L$304,$AC184)-$AH184)),MAX(0,$L184))))</f>
        <v/>
      </c>
      <c r="N184" s="49" t="str">
        <f>IF(OR($B184="",$D184=""),"",IF($AC184&gt;0,INDEX(CASHBACK_RULES!$I$5:$I$304,$AC184),0))</f>
        <v/>
      </c>
      <c r="O184" s="48" t="str">
        <f>IF(OR($B184="",$D184=""),"",ROUND($M184*$N184,0))</f>
        <v/>
      </c>
      <c r="P184" s="48" t="str">
        <f>IF($AC184&gt;0,IF(ISNUMBER(INDEX(CASHBACK_RULES!$J$5:$J$304,$AC184)),INDEX(CASHBACK_RULES!$J$5:$J$304,$AC184),"∞"),"")</f>
        <v/>
      </c>
      <c r="Q184" s="48" t="str">
        <f>IF(OR($B184="",$D184=""),"",IF($AC184=0,0,MAX(0,MIN($O184,IF(ISNUMBER($P184),$P184-$AF184,1E+15),IF(ISNUMBER($AA184),$AA184-$AG184,1E+15)))))</f>
        <v/>
      </c>
      <c r="R184" s="48" t="str">
        <f>IF(OR($B184="",$D184=""),"",IF($AC184=0,"",IF(AND(NOT(ISNUMBER($P184)),NOT(ISNUMBER($AA184))),"∞",MAX(0,MIN(IF(ISNUMBER($P184),$P184-$AF184-$Q184,1E+15),IF(ISNUMBER($AA184),$AA184-$AG184-$Q184,1E+15))))))</f>
        <v/>
      </c>
      <c r="S184" s="47" t="str">
        <f>IF($AD184="","",YEAR($AD184)*100+MONTH($AD184))</f>
        <v/>
      </c>
      <c r="T184" s="50" t="str">
        <f>IF($AD184="","",IFERROR(IF(INDEX(CARDS!$I$5:$I$34,MATCH($D184,CARDS!$A$5:$A$34,0))="","",IF(INDEX(CARDS!$I$5:$I$34,MATCH($D184,CARDS!$A$5:$A$34,0))&gt;INDEX(CARDS!$H$5:$H$34,MATCH($D184,CARDS!$A$5:$A$34,0)),DATE(YEAR($AD184),MONTH($AD184),MIN(INDEX(CARDS!$I$5:$I$34,MATCH($D184,CARDS!$A$5:$A$34,0)),DAY(EOMONTH($AD184,0)))),DATE(YEAR($AD184),MONTH($AD184)+1,MIN(INDEX(CARDS!$I$5:$I$34,MATCH($D184,CARDS!$A$5:$A$34,0)),DAY(EOMONTH($AD184,1)))))),""))</f>
        <v/>
      </c>
      <c r="U184" s="38" t="n"/>
      <c r="V184" s="37" t="n"/>
      <c r="W184" s="38" t="n"/>
      <c r="X184" s="38" t="n"/>
      <c r="Y184" s="44" t="str">
        <f>IF($AC184&gt;0,INDEX(CASHBACK_RULES!$A$5:$A$304,$AC184),"")</f>
        <v/>
      </c>
      <c r="Z184" s="45" t="str">
        <f>IF($AC184&gt;0,INDEX(CASHBACK_RULES!$E$5:$E$304,$AC184)&amp;"","")</f>
        <v/>
      </c>
      <c r="AA184" s="48" t="str">
        <f>IF($AC184&gt;0,IF(ISNUMBER(INDEX(CASHBACK_RULES!$K$5:$K$304,$AC184)),INDEX(CASHBACK_RULES!$K$5:$K$304,$AC184),"∞"),"")</f>
        <v/>
      </c>
      <c r="AB184" s="44" t="str">
        <f>IF(OR($B184="",$D184=""),"",IF($U184="Cancelled","Đã hủy",IF($AC184=0,"Không được hoàn",IF($Q184=0,IF(OR($O184&gt;0,$M184&lt;$L184),"Đã đạt cap","Không được hoàn"),IF(OR($Q184&lt;$O184,$M184&lt;$L184),"Hoàn một phần","Được hoàn")))))</f>
        <v/>
      </c>
      <c r="AC184" s="43">
        <f>IF(OR($B184="",$D184="",$I184="",$L184=""),0,IF($U184="Cancelled",0,IF($W184&lt;&gt;"",IFERROR(IF(INDEX(CASHBACK_RULES!$B$5:$B$304,MATCH($W184,CASHBACK_RULES!$A$5:$A$304,0))=$D184,MATCH($W184,CASHBACK_RULES!$A$5:$A$304,0),0),0),IFERROR(MATCH(1,INDEX((CASHBACK_RULES!$B$5:$B$304=$D184)*(CASHBACK_RULES!$G$5:$G$304=$I184)*(((CASHBACK_RULES!$N$5:$N$304="")+(CASHBACK_RULES!$N$5:$N$304&lt;=$B184))&gt;0)*(((CASHBACK_RULES!$O$5:$O$304="")+(CASHBACK_RULES!$O$5:$O$304&gt;=$B184))&gt;0)*(((CASHBACK_RULES!$M$5:$M$304="")+(CASHBACK_RULES!$M$5:$M$304&lt;=$L184))&gt;0),0),0),0))))</f>
        <v>0</v>
      </c>
      <c r="AD184" s="51" t="str">
        <f>IF(OR($B184="",$D184=""),"",IFERROR(IF(INDEX(CARDS!$H$5:$H$34,MATCH($D184,CARDS!$A$5:$A$34,0))="","",IF(DAY($B184)&lt;=INDEX(CARDS!$H$5:$H$34,MATCH($D184,CARDS!$A$5:$A$34,0)),DATE(YEAR($B184),MONTH($B184),MIN(INDEX(CARDS!$H$5:$H$34,MATCH($D184,CARDS!$A$5:$A$34,0)),DAY(EOMONTH($B184,0)))),DATE(YEAR($B184),MONTH($B184)+1,MIN(INDEX(CARDS!$H$5:$H$34,MATCH($D184,CARDS!$A$5:$A$34,0)),DAY(EOMONTH($B184,1)))))),""))</f>
        <v/>
      </c>
      <c r="AE184" s="52" t="str">
        <f>IF($C184="","",$C184&amp;"|"&amp;COUNTIF($C$5:$C184,$C184))</f>
        <v/>
      </c>
      <c r="AF184" s="53">
        <f>IF($AC184&gt;0,SUMIFS(Q$4:Q183,$D$4:$D183,$D184,$Z$4:$Z183,$Z184,$C$4:$C183,$C184),0)</f>
        <v>0</v>
      </c>
      <c r="AG184" s="53">
        <f>IF($AC184&gt;0,SUMIFS(Q$4:Q183,$D$4:$D183,$D184,$C$4:$C183,$C184),0)</f>
        <v>0</v>
      </c>
      <c r="AH184" s="53">
        <f>IF($AC184&gt;0,SUMIFS(M$4:M183,$D$4:$D183,$D184,$Z$4:$Z183,$Z184,$C$4:$C183,$C184),0)</f>
        <v>0</v>
      </c>
      <c r="AI184" s="43">
        <f>IF(OR($C184="",$I184=""),0,IF(COUNTIFS($C$5:$C184,$C184,$I$5:$I184,$I184)=1,1,0))</f>
        <v>0</v>
      </c>
      <c r="AJ184" s="43" t="str">
        <f>IF($AI184=1,SUMIFS($AI$4:$AI183,$C$4:$C183,$C184)+1,"")</f>
        <v/>
      </c>
      <c r="AK184" s="43">
        <f>IF(OR($C184="",$K184=""),0,IF(COUNTIFS($C$5:$C184,$C184,$K$5:$K184,$K184)=1,1,0))</f>
        <v>0</v>
      </c>
      <c r="AL184" s="43" t="str">
        <f>IF($AK184=1,SUMIFS($AK$4:$AK183,$C$4:$C183,$C184)+1,"")</f>
        <v/>
      </c>
      <c r="AM184" s="43">
        <f>IF(OR($C184="",$G184=""),0,IF(COUNTIFS($C$5:$C184,$C184,$G$5:$G184,$G184)=1,1,0))</f>
        <v>0</v>
      </c>
      <c r="AN184" s="43" t="str">
        <f>IF($AM184=1,SUMIFS($AM$4:$AM183,$C$4:$C183,$C184)+1,"")</f>
        <v/>
      </c>
    </row>
    <row r="185">
      <c r="A185" s="44" t="str">
        <f>IF(OR($B185="",$D185=""),"","TX"&amp;TEXT(ROW()-4,"0000"))</f>
        <v/>
      </c>
      <c r="B185" s="42" t="n"/>
      <c r="C185" s="47" t="str">
        <f>IF($B185="","",YEAR($B185)*100+MONTH($B185))</f>
        <v/>
      </c>
      <c r="D185" s="37" t="n"/>
      <c r="E185" s="45" t="str">
        <f>IF($D185="","",IFERROR(INDEX(CARDS!$B$5:$B$34,MATCH($D185,CARDS!$A$5:$A$34,0)),"⚠ Card ID?"))</f>
        <v/>
      </c>
      <c r="F185" s="45" t="str">
        <f>IF($D185="","",IFERROR(INDEX(CARDS!$C$5:$C$34,MATCH($D185,CARDS!$A$5:$A$34,0)),"⚠ Card ID?"))</f>
        <v/>
      </c>
      <c r="G185" s="37" t="n"/>
      <c r="H185" s="37" t="n"/>
      <c r="I185" s="41" t="n"/>
      <c r="J185" s="45" t="str">
        <f>IF($I185="","",IFERROR(INDEX(MCC_MASTER!$B$5:$B$504,MATCH($I185,MCC_MASTER!$A$5:$A$504,0)),"⚠ MCC chưa có"))</f>
        <v/>
      </c>
      <c r="K185" s="45" t="str">
        <f>IF($I185="","",IFERROR(IF(INDEX(MCC_MASTER!$C$5:$C$504,MATCH($I185,MCC_MASTER!$A$5:$A$504,0))="","Chưa phân loại",INDEX(MCC_MASTER!$C$5:$C$504,MATCH($I185,MCC_MASTER!$A$5:$A$504,0))),"Chưa phân loại"))</f>
        <v/>
      </c>
      <c r="L185" s="40" t="n"/>
      <c r="M185" s="48" t="str">
        <f>IF(OR($B185="",$D185=""),"",IF($AC185=0,0,IF(ISNUMBER(INDEX(CASHBACK_RULES!$L$5:$L$304,$AC185)),MAX(0,MIN($L185,INDEX(CASHBACK_RULES!$L$5:$L$304,$AC185)-$AH185)),MAX(0,$L185))))</f>
        <v/>
      </c>
      <c r="N185" s="49" t="str">
        <f>IF(OR($B185="",$D185=""),"",IF($AC185&gt;0,INDEX(CASHBACK_RULES!$I$5:$I$304,$AC185),0))</f>
        <v/>
      </c>
      <c r="O185" s="48" t="str">
        <f>IF(OR($B185="",$D185=""),"",ROUND($M185*$N185,0))</f>
        <v/>
      </c>
      <c r="P185" s="48" t="str">
        <f>IF($AC185&gt;0,IF(ISNUMBER(INDEX(CASHBACK_RULES!$J$5:$J$304,$AC185)),INDEX(CASHBACK_RULES!$J$5:$J$304,$AC185),"∞"),"")</f>
        <v/>
      </c>
      <c r="Q185" s="48" t="str">
        <f>IF(OR($B185="",$D185=""),"",IF($AC185=0,0,MAX(0,MIN($O185,IF(ISNUMBER($P185),$P185-$AF185,1E+15),IF(ISNUMBER($AA185),$AA185-$AG185,1E+15)))))</f>
        <v/>
      </c>
      <c r="R185" s="48" t="str">
        <f>IF(OR($B185="",$D185=""),"",IF($AC185=0,"",IF(AND(NOT(ISNUMBER($P185)),NOT(ISNUMBER($AA185))),"∞",MAX(0,MIN(IF(ISNUMBER($P185),$P185-$AF185-$Q185,1E+15),IF(ISNUMBER($AA185),$AA185-$AG185-$Q185,1E+15))))))</f>
        <v/>
      </c>
      <c r="S185" s="47" t="str">
        <f>IF($AD185="","",YEAR($AD185)*100+MONTH($AD185))</f>
        <v/>
      </c>
      <c r="T185" s="50" t="str">
        <f>IF($AD185="","",IFERROR(IF(INDEX(CARDS!$I$5:$I$34,MATCH($D185,CARDS!$A$5:$A$34,0))="","",IF(INDEX(CARDS!$I$5:$I$34,MATCH($D185,CARDS!$A$5:$A$34,0))&gt;INDEX(CARDS!$H$5:$H$34,MATCH($D185,CARDS!$A$5:$A$34,0)),DATE(YEAR($AD185),MONTH($AD185),MIN(INDEX(CARDS!$I$5:$I$34,MATCH($D185,CARDS!$A$5:$A$34,0)),DAY(EOMONTH($AD185,0)))),DATE(YEAR($AD185),MONTH($AD185)+1,MIN(INDEX(CARDS!$I$5:$I$34,MATCH($D185,CARDS!$A$5:$A$34,0)),DAY(EOMONTH($AD185,1)))))),""))</f>
        <v/>
      </c>
      <c r="U185" s="38" t="n"/>
      <c r="V185" s="37" t="n"/>
      <c r="W185" s="38" t="n"/>
      <c r="X185" s="38" t="n"/>
      <c r="Y185" s="44" t="str">
        <f>IF($AC185&gt;0,INDEX(CASHBACK_RULES!$A$5:$A$304,$AC185),"")</f>
        <v/>
      </c>
      <c r="Z185" s="45" t="str">
        <f>IF($AC185&gt;0,INDEX(CASHBACK_RULES!$E$5:$E$304,$AC185)&amp;"","")</f>
        <v/>
      </c>
      <c r="AA185" s="48" t="str">
        <f>IF($AC185&gt;0,IF(ISNUMBER(INDEX(CASHBACK_RULES!$K$5:$K$304,$AC185)),INDEX(CASHBACK_RULES!$K$5:$K$304,$AC185),"∞"),"")</f>
        <v/>
      </c>
      <c r="AB185" s="44" t="str">
        <f>IF(OR($B185="",$D185=""),"",IF($U185="Cancelled","Đã hủy",IF($AC185=0,"Không được hoàn",IF($Q185=0,IF(OR($O185&gt;0,$M185&lt;$L185),"Đã đạt cap","Không được hoàn"),IF(OR($Q185&lt;$O185,$M185&lt;$L185),"Hoàn một phần","Được hoàn")))))</f>
        <v/>
      </c>
      <c r="AC185" s="43">
        <f>IF(OR($B185="",$D185="",$I185="",$L185=""),0,IF($U185="Cancelled",0,IF($W185&lt;&gt;"",IFERROR(IF(INDEX(CASHBACK_RULES!$B$5:$B$304,MATCH($W185,CASHBACK_RULES!$A$5:$A$304,0))=$D185,MATCH($W185,CASHBACK_RULES!$A$5:$A$304,0),0),0),IFERROR(MATCH(1,INDEX((CASHBACK_RULES!$B$5:$B$304=$D185)*(CASHBACK_RULES!$G$5:$G$304=$I185)*(((CASHBACK_RULES!$N$5:$N$304="")+(CASHBACK_RULES!$N$5:$N$304&lt;=$B185))&gt;0)*(((CASHBACK_RULES!$O$5:$O$304="")+(CASHBACK_RULES!$O$5:$O$304&gt;=$B185))&gt;0)*(((CASHBACK_RULES!$M$5:$M$304="")+(CASHBACK_RULES!$M$5:$M$304&lt;=$L185))&gt;0),0),0),0))))</f>
        <v>0</v>
      </c>
      <c r="AD185" s="51" t="str">
        <f>IF(OR($B185="",$D185=""),"",IFERROR(IF(INDEX(CARDS!$H$5:$H$34,MATCH($D185,CARDS!$A$5:$A$34,0))="","",IF(DAY($B185)&lt;=INDEX(CARDS!$H$5:$H$34,MATCH($D185,CARDS!$A$5:$A$34,0)),DATE(YEAR($B185),MONTH($B185),MIN(INDEX(CARDS!$H$5:$H$34,MATCH($D185,CARDS!$A$5:$A$34,0)),DAY(EOMONTH($B185,0)))),DATE(YEAR($B185),MONTH($B185)+1,MIN(INDEX(CARDS!$H$5:$H$34,MATCH($D185,CARDS!$A$5:$A$34,0)),DAY(EOMONTH($B185,1)))))),""))</f>
        <v/>
      </c>
      <c r="AE185" s="52" t="str">
        <f>IF($C185="","",$C185&amp;"|"&amp;COUNTIF($C$5:$C185,$C185))</f>
        <v/>
      </c>
      <c r="AF185" s="53">
        <f>IF($AC185&gt;0,SUMIFS(Q$4:Q184,$D$4:$D184,$D185,$Z$4:$Z184,$Z185,$C$4:$C184,$C185),0)</f>
        <v>0</v>
      </c>
      <c r="AG185" s="53">
        <f>IF($AC185&gt;0,SUMIFS(Q$4:Q184,$D$4:$D184,$D185,$C$4:$C184,$C185),0)</f>
        <v>0</v>
      </c>
      <c r="AH185" s="53">
        <f>IF($AC185&gt;0,SUMIFS(M$4:M184,$D$4:$D184,$D185,$Z$4:$Z184,$Z185,$C$4:$C184,$C185),0)</f>
        <v>0</v>
      </c>
      <c r="AI185" s="43">
        <f>IF(OR($C185="",$I185=""),0,IF(COUNTIFS($C$5:$C185,$C185,$I$5:$I185,$I185)=1,1,0))</f>
        <v>0</v>
      </c>
      <c r="AJ185" s="43" t="str">
        <f>IF($AI185=1,SUMIFS($AI$4:$AI184,$C$4:$C184,$C185)+1,"")</f>
        <v/>
      </c>
      <c r="AK185" s="43">
        <f>IF(OR($C185="",$K185=""),0,IF(COUNTIFS($C$5:$C185,$C185,$K$5:$K185,$K185)=1,1,0))</f>
        <v>0</v>
      </c>
      <c r="AL185" s="43" t="str">
        <f>IF($AK185=1,SUMIFS($AK$4:$AK184,$C$4:$C184,$C185)+1,"")</f>
        <v/>
      </c>
      <c r="AM185" s="43">
        <f>IF(OR($C185="",$G185=""),0,IF(COUNTIFS($C$5:$C185,$C185,$G$5:$G185,$G185)=1,1,0))</f>
        <v>0</v>
      </c>
      <c r="AN185" s="43" t="str">
        <f>IF($AM185=1,SUMIFS($AM$4:$AM184,$C$4:$C184,$C185)+1,"")</f>
        <v/>
      </c>
    </row>
    <row r="186">
      <c r="A186" s="44" t="str">
        <f>IF(OR($B186="",$D186=""),"","TX"&amp;TEXT(ROW()-4,"0000"))</f>
        <v/>
      </c>
      <c r="B186" s="42" t="n"/>
      <c r="C186" s="47" t="str">
        <f>IF($B186="","",YEAR($B186)*100+MONTH($B186))</f>
        <v/>
      </c>
      <c r="D186" s="37" t="n"/>
      <c r="E186" s="45" t="str">
        <f>IF($D186="","",IFERROR(INDEX(CARDS!$B$5:$B$34,MATCH($D186,CARDS!$A$5:$A$34,0)),"⚠ Card ID?"))</f>
        <v/>
      </c>
      <c r="F186" s="45" t="str">
        <f>IF($D186="","",IFERROR(INDEX(CARDS!$C$5:$C$34,MATCH($D186,CARDS!$A$5:$A$34,0)),"⚠ Card ID?"))</f>
        <v/>
      </c>
      <c r="G186" s="37" t="n"/>
      <c r="H186" s="37" t="n"/>
      <c r="I186" s="41" t="n"/>
      <c r="J186" s="45" t="str">
        <f>IF($I186="","",IFERROR(INDEX(MCC_MASTER!$B$5:$B$504,MATCH($I186,MCC_MASTER!$A$5:$A$504,0)),"⚠ MCC chưa có"))</f>
        <v/>
      </c>
      <c r="K186" s="45" t="str">
        <f>IF($I186="","",IFERROR(IF(INDEX(MCC_MASTER!$C$5:$C$504,MATCH($I186,MCC_MASTER!$A$5:$A$504,0))="","Chưa phân loại",INDEX(MCC_MASTER!$C$5:$C$504,MATCH($I186,MCC_MASTER!$A$5:$A$504,0))),"Chưa phân loại"))</f>
        <v/>
      </c>
      <c r="L186" s="40" t="n"/>
      <c r="M186" s="48" t="str">
        <f>IF(OR($B186="",$D186=""),"",IF($AC186=0,0,IF(ISNUMBER(INDEX(CASHBACK_RULES!$L$5:$L$304,$AC186)),MAX(0,MIN($L186,INDEX(CASHBACK_RULES!$L$5:$L$304,$AC186)-$AH186)),MAX(0,$L186))))</f>
        <v/>
      </c>
      <c r="N186" s="49" t="str">
        <f>IF(OR($B186="",$D186=""),"",IF($AC186&gt;0,INDEX(CASHBACK_RULES!$I$5:$I$304,$AC186),0))</f>
        <v/>
      </c>
      <c r="O186" s="48" t="str">
        <f>IF(OR($B186="",$D186=""),"",ROUND($M186*$N186,0))</f>
        <v/>
      </c>
      <c r="P186" s="48" t="str">
        <f>IF($AC186&gt;0,IF(ISNUMBER(INDEX(CASHBACK_RULES!$J$5:$J$304,$AC186)),INDEX(CASHBACK_RULES!$J$5:$J$304,$AC186),"∞"),"")</f>
        <v/>
      </c>
      <c r="Q186" s="48" t="str">
        <f>IF(OR($B186="",$D186=""),"",IF($AC186=0,0,MAX(0,MIN($O186,IF(ISNUMBER($P186),$P186-$AF186,1E+15),IF(ISNUMBER($AA186),$AA186-$AG186,1E+15)))))</f>
        <v/>
      </c>
      <c r="R186" s="48" t="str">
        <f>IF(OR($B186="",$D186=""),"",IF($AC186=0,"",IF(AND(NOT(ISNUMBER($P186)),NOT(ISNUMBER($AA186))),"∞",MAX(0,MIN(IF(ISNUMBER($P186),$P186-$AF186-$Q186,1E+15),IF(ISNUMBER($AA186),$AA186-$AG186-$Q186,1E+15))))))</f>
        <v/>
      </c>
      <c r="S186" s="47" t="str">
        <f>IF($AD186="","",YEAR($AD186)*100+MONTH($AD186))</f>
        <v/>
      </c>
      <c r="T186" s="50" t="str">
        <f>IF($AD186="","",IFERROR(IF(INDEX(CARDS!$I$5:$I$34,MATCH($D186,CARDS!$A$5:$A$34,0))="","",IF(INDEX(CARDS!$I$5:$I$34,MATCH($D186,CARDS!$A$5:$A$34,0))&gt;INDEX(CARDS!$H$5:$H$34,MATCH($D186,CARDS!$A$5:$A$34,0)),DATE(YEAR($AD186),MONTH($AD186),MIN(INDEX(CARDS!$I$5:$I$34,MATCH($D186,CARDS!$A$5:$A$34,0)),DAY(EOMONTH($AD186,0)))),DATE(YEAR($AD186),MONTH($AD186)+1,MIN(INDEX(CARDS!$I$5:$I$34,MATCH($D186,CARDS!$A$5:$A$34,0)),DAY(EOMONTH($AD186,1)))))),""))</f>
        <v/>
      </c>
      <c r="U186" s="38" t="n"/>
      <c r="V186" s="37" t="n"/>
      <c r="W186" s="38" t="n"/>
      <c r="X186" s="38" t="n"/>
      <c r="Y186" s="44" t="str">
        <f>IF($AC186&gt;0,INDEX(CASHBACK_RULES!$A$5:$A$304,$AC186),"")</f>
        <v/>
      </c>
      <c r="Z186" s="45" t="str">
        <f>IF($AC186&gt;0,INDEX(CASHBACK_RULES!$E$5:$E$304,$AC186)&amp;"","")</f>
        <v/>
      </c>
      <c r="AA186" s="48" t="str">
        <f>IF($AC186&gt;0,IF(ISNUMBER(INDEX(CASHBACK_RULES!$K$5:$K$304,$AC186)),INDEX(CASHBACK_RULES!$K$5:$K$304,$AC186),"∞"),"")</f>
        <v/>
      </c>
      <c r="AB186" s="44" t="str">
        <f>IF(OR($B186="",$D186=""),"",IF($U186="Cancelled","Đã hủy",IF($AC186=0,"Không được hoàn",IF($Q186=0,IF(OR($O186&gt;0,$M186&lt;$L186),"Đã đạt cap","Không được hoàn"),IF(OR($Q186&lt;$O186,$M186&lt;$L186),"Hoàn một phần","Được hoàn")))))</f>
        <v/>
      </c>
      <c r="AC186" s="43">
        <f>IF(OR($B186="",$D186="",$I186="",$L186=""),0,IF($U186="Cancelled",0,IF($W186&lt;&gt;"",IFERROR(IF(INDEX(CASHBACK_RULES!$B$5:$B$304,MATCH($W186,CASHBACK_RULES!$A$5:$A$304,0))=$D186,MATCH($W186,CASHBACK_RULES!$A$5:$A$304,0),0),0),IFERROR(MATCH(1,INDEX((CASHBACK_RULES!$B$5:$B$304=$D186)*(CASHBACK_RULES!$G$5:$G$304=$I186)*(((CASHBACK_RULES!$N$5:$N$304="")+(CASHBACK_RULES!$N$5:$N$304&lt;=$B186))&gt;0)*(((CASHBACK_RULES!$O$5:$O$304="")+(CASHBACK_RULES!$O$5:$O$304&gt;=$B186))&gt;0)*(((CASHBACK_RULES!$M$5:$M$304="")+(CASHBACK_RULES!$M$5:$M$304&lt;=$L186))&gt;0),0),0),0))))</f>
        <v>0</v>
      </c>
      <c r="AD186" s="51" t="str">
        <f>IF(OR($B186="",$D186=""),"",IFERROR(IF(INDEX(CARDS!$H$5:$H$34,MATCH($D186,CARDS!$A$5:$A$34,0))="","",IF(DAY($B186)&lt;=INDEX(CARDS!$H$5:$H$34,MATCH($D186,CARDS!$A$5:$A$34,0)),DATE(YEAR($B186),MONTH($B186),MIN(INDEX(CARDS!$H$5:$H$34,MATCH($D186,CARDS!$A$5:$A$34,0)),DAY(EOMONTH($B186,0)))),DATE(YEAR($B186),MONTH($B186)+1,MIN(INDEX(CARDS!$H$5:$H$34,MATCH($D186,CARDS!$A$5:$A$34,0)),DAY(EOMONTH($B186,1)))))),""))</f>
        <v/>
      </c>
      <c r="AE186" s="52" t="str">
        <f>IF($C186="","",$C186&amp;"|"&amp;COUNTIF($C$5:$C186,$C186))</f>
        <v/>
      </c>
      <c r="AF186" s="53">
        <f>IF($AC186&gt;0,SUMIFS(Q$4:Q185,$D$4:$D185,$D186,$Z$4:$Z185,$Z186,$C$4:$C185,$C186),0)</f>
        <v>0</v>
      </c>
      <c r="AG186" s="53">
        <f>IF($AC186&gt;0,SUMIFS(Q$4:Q185,$D$4:$D185,$D186,$C$4:$C185,$C186),0)</f>
        <v>0</v>
      </c>
      <c r="AH186" s="53">
        <f>IF($AC186&gt;0,SUMIFS(M$4:M185,$D$4:$D185,$D186,$Z$4:$Z185,$Z186,$C$4:$C185,$C186),0)</f>
        <v>0</v>
      </c>
      <c r="AI186" s="43">
        <f>IF(OR($C186="",$I186=""),0,IF(COUNTIFS($C$5:$C186,$C186,$I$5:$I186,$I186)=1,1,0))</f>
        <v>0</v>
      </c>
      <c r="AJ186" s="43" t="str">
        <f>IF($AI186=1,SUMIFS($AI$4:$AI185,$C$4:$C185,$C186)+1,"")</f>
        <v/>
      </c>
      <c r="AK186" s="43">
        <f>IF(OR($C186="",$K186=""),0,IF(COUNTIFS($C$5:$C186,$C186,$K$5:$K186,$K186)=1,1,0))</f>
        <v>0</v>
      </c>
      <c r="AL186" s="43" t="str">
        <f>IF($AK186=1,SUMIFS($AK$4:$AK185,$C$4:$C185,$C186)+1,"")</f>
        <v/>
      </c>
      <c r="AM186" s="43">
        <f>IF(OR($C186="",$G186=""),0,IF(COUNTIFS($C$5:$C186,$C186,$G$5:$G186,$G186)=1,1,0))</f>
        <v>0</v>
      </c>
      <c r="AN186" s="43" t="str">
        <f>IF($AM186=1,SUMIFS($AM$4:$AM185,$C$4:$C185,$C186)+1,"")</f>
        <v/>
      </c>
    </row>
    <row r="187">
      <c r="A187" s="44" t="str">
        <f>IF(OR($B187="",$D187=""),"","TX"&amp;TEXT(ROW()-4,"0000"))</f>
        <v/>
      </c>
      <c r="B187" s="42" t="n"/>
      <c r="C187" s="47" t="str">
        <f>IF($B187="","",YEAR($B187)*100+MONTH($B187))</f>
        <v/>
      </c>
      <c r="D187" s="37" t="n"/>
      <c r="E187" s="45" t="str">
        <f>IF($D187="","",IFERROR(INDEX(CARDS!$B$5:$B$34,MATCH($D187,CARDS!$A$5:$A$34,0)),"⚠ Card ID?"))</f>
        <v/>
      </c>
      <c r="F187" s="45" t="str">
        <f>IF($D187="","",IFERROR(INDEX(CARDS!$C$5:$C$34,MATCH($D187,CARDS!$A$5:$A$34,0)),"⚠ Card ID?"))</f>
        <v/>
      </c>
      <c r="G187" s="37" t="n"/>
      <c r="H187" s="37" t="n"/>
      <c r="I187" s="41" t="n"/>
      <c r="J187" s="45" t="str">
        <f>IF($I187="","",IFERROR(INDEX(MCC_MASTER!$B$5:$B$504,MATCH($I187,MCC_MASTER!$A$5:$A$504,0)),"⚠ MCC chưa có"))</f>
        <v/>
      </c>
      <c r="K187" s="45" t="str">
        <f>IF($I187="","",IFERROR(IF(INDEX(MCC_MASTER!$C$5:$C$504,MATCH($I187,MCC_MASTER!$A$5:$A$504,0))="","Chưa phân loại",INDEX(MCC_MASTER!$C$5:$C$504,MATCH($I187,MCC_MASTER!$A$5:$A$504,0))),"Chưa phân loại"))</f>
        <v/>
      </c>
      <c r="L187" s="40" t="n"/>
      <c r="M187" s="48" t="str">
        <f>IF(OR($B187="",$D187=""),"",IF($AC187=0,0,IF(ISNUMBER(INDEX(CASHBACK_RULES!$L$5:$L$304,$AC187)),MAX(0,MIN($L187,INDEX(CASHBACK_RULES!$L$5:$L$304,$AC187)-$AH187)),MAX(0,$L187))))</f>
        <v/>
      </c>
      <c r="N187" s="49" t="str">
        <f>IF(OR($B187="",$D187=""),"",IF($AC187&gt;0,INDEX(CASHBACK_RULES!$I$5:$I$304,$AC187),0))</f>
        <v/>
      </c>
      <c r="O187" s="48" t="str">
        <f>IF(OR($B187="",$D187=""),"",ROUND($M187*$N187,0))</f>
        <v/>
      </c>
      <c r="P187" s="48" t="str">
        <f>IF($AC187&gt;0,IF(ISNUMBER(INDEX(CASHBACK_RULES!$J$5:$J$304,$AC187)),INDEX(CASHBACK_RULES!$J$5:$J$304,$AC187),"∞"),"")</f>
        <v/>
      </c>
      <c r="Q187" s="48" t="str">
        <f>IF(OR($B187="",$D187=""),"",IF($AC187=0,0,MAX(0,MIN($O187,IF(ISNUMBER($P187),$P187-$AF187,1E+15),IF(ISNUMBER($AA187),$AA187-$AG187,1E+15)))))</f>
        <v/>
      </c>
      <c r="R187" s="48" t="str">
        <f>IF(OR($B187="",$D187=""),"",IF($AC187=0,"",IF(AND(NOT(ISNUMBER($P187)),NOT(ISNUMBER($AA187))),"∞",MAX(0,MIN(IF(ISNUMBER($P187),$P187-$AF187-$Q187,1E+15),IF(ISNUMBER($AA187),$AA187-$AG187-$Q187,1E+15))))))</f>
        <v/>
      </c>
      <c r="S187" s="47" t="str">
        <f>IF($AD187="","",YEAR($AD187)*100+MONTH($AD187))</f>
        <v/>
      </c>
      <c r="T187" s="50" t="str">
        <f>IF($AD187="","",IFERROR(IF(INDEX(CARDS!$I$5:$I$34,MATCH($D187,CARDS!$A$5:$A$34,0))="","",IF(INDEX(CARDS!$I$5:$I$34,MATCH($D187,CARDS!$A$5:$A$34,0))&gt;INDEX(CARDS!$H$5:$H$34,MATCH($D187,CARDS!$A$5:$A$34,0)),DATE(YEAR($AD187),MONTH($AD187),MIN(INDEX(CARDS!$I$5:$I$34,MATCH($D187,CARDS!$A$5:$A$34,0)),DAY(EOMONTH($AD187,0)))),DATE(YEAR($AD187),MONTH($AD187)+1,MIN(INDEX(CARDS!$I$5:$I$34,MATCH($D187,CARDS!$A$5:$A$34,0)),DAY(EOMONTH($AD187,1)))))),""))</f>
        <v/>
      </c>
      <c r="U187" s="38" t="n"/>
      <c r="V187" s="37" t="n"/>
      <c r="W187" s="38" t="n"/>
      <c r="X187" s="38" t="n"/>
      <c r="Y187" s="44" t="str">
        <f>IF($AC187&gt;0,INDEX(CASHBACK_RULES!$A$5:$A$304,$AC187),"")</f>
        <v/>
      </c>
      <c r="Z187" s="45" t="str">
        <f>IF($AC187&gt;0,INDEX(CASHBACK_RULES!$E$5:$E$304,$AC187)&amp;"","")</f>
        <v/>
      </c>
      <c r="AA187" s="48" t="str">
        <f>IF($AC187&gt;0,IF(ISNUMBER(INDEX(CASHBACK_RULES!$K$5:$K$304,$AC187)),INDEX(CASHBACK_RULES!$K$5:$K$304,$AC187),"∞"),"")</f>
        <v/>
      </c>
      <c r="AB187" s="44" t="str">
        <f>IF(OR($B187="",$D187=""),"",IF($U187="Cancelled","Đã hủy",IF($AC187=0,"Không được hoàn",IF($Q187=0,IF(OR($O187&gt;0,$M187&lt;$L187),"Đã đạt cap","Không được hoàn"),IF(OR($Q187&lt;$O187,$M187&lt;$L187),"Hoàn một phần","Được hoàn")))))</f>
        <v/>
      </c>
      <c r="AC187" s="43">
        <f>IF(OR($B187="",$D187="",$I187="",$L187=""),0,IF($U187="Cancelled",0,IF($W187&lt;&gt;"",IFERROR(IF(INDEX(CASHBACK_RULES!$B$5:$B$304,MATCH($W187,CASHBACK_RULES!$A$5:$A$304,0))=$D187,MATCH($W187,CASHBACK_RULES!$A$5:$A$304,0),0),0),IFERROR(MATCH(1,INDEX((CASHBACK_RULES!$B$5:$B$304=$D187)*(CASHBACK_RULES!$G$5:$G$304=$I187)*(((CASHBACK_RULES!$N$5:$N$304="")+(CASHBACK_RULES!$N$5:$N$304&lt;=$B187))&gt;0)*(((CASHBACK_RULES!$O$5:$O$304="")+(CASHBACK_RULES!$O$5:$O$304&gt;=$B187))&gt;0)*(((CASHBACK_RULES!$M$5:$M$304="")+(CASHBACK_RULES!$M$5:$M$304&lt;=$L187))&gt;0),0),0),0))))</f>
        <v>0</v>
      </c>
      <c r="AD187" s="51" t="str">
        <f>IF(OR($B187="",$D187=""),"",IFERROR(IF(INDEX(CARDS!$H$5:$H$34,MATCH($D187,CARDS!$A$5:$A$34,0))="","",IF(DAY($B187)&lt;=INDEX(CARDS!$H$5:$H$34,MATCH($D187,CARDS!$A$5:$A$34,0)),DATE(YEAR($B187),MONTH($B187),MIN(INDEX(CARDS!$H$5:$H$34,MATCH($D187,CARDS!$A$5:$A$34,0)),DAY(EOMONTH($B187,0)))),DATE(YEAR($B187),MONTH($B187)+1,MIN(INDEX(CARDS!$H$5:$H$34,MATCH($D187,CARDS!$A$5:$A$34,0)),DAY(EOMONTH($B187,1)))))),""))</f>
        <v/>
      </c>
      <c r="AE187" s="52" t="str">
        <f>IF($C187="","",$C187&amp;"|"&amp;COUNTIF($C$5:$C187,$C187))</f>
        <v/>
      </c>
      <c r="AF187" s="53">
        <f>IF($AC187&gt;0,SUMIFS(Q$4:Q186,$D$4:$D186,$D187,$Z$4:$Z186,$Z187,$C$4:$C186,$C187),0)</f>
        <v>0</v>
      </c>
      <c r="AG187" s="53">
        <f>IF($AC187&gt;0,SUMIFS(Q$4:Q186,$D$4:$D186,$D187,$C$4:$C186,$C187),0)</f>
        <v>0</v>
      </c>
      <c r="AH187" s="53">
        <f>IF($AC187&gt;0,SUMIFS(M$4:M186,$D$4:$D186,$D187,$Z$4:$Z186,$Z187,$C$4:$C186,$C187),0)</f>
        <v>0</v>
      </c>
      <c r="AI187" s="43">
        <f>IF(OR($C187="",$I187=""),0,IF(COUNTIFS($C$5:$C187,$C187,$I$5:$I187,$I187)=1,1,0))</f>
        <v>0</v>
      </c>
      <c r="AJ187" s="43" t="str">
        <f>IF($AI187=1,SUMIFS($AI$4:$AI186,$C$4:$C186,$C187)+1,"")</f>
        <v/>
      </c>
      <c r="AK187" s="43">
        <f>IF(OR($C187="",$K187=""),0,IF(COUNTIFS($C$5:$C187,$C187,$K$5:$K187,$K187)=1,1,0))</f>
        <v>0</v>
      </c>
      <c r="AL187" s="43" t="str">
        <f>IF($AK187=1,SUMIFS($AK$4:$AK186,$C$4:$C186,$C187)+1,"")</f>
        <v/>
      </c>
      <c r="AM187" s="43">
        <f>IF(OR($C187="",$G187=""),0,IF(COUNTIFS($C$5:$C187,$C187,$G$5:$G187,$G187)=1,1,0))</f>
        <v>0</v>
      </c>
      <c r="AN187" s="43" t="str">
        <f>IF($AM187=1,SUMIFS($AM$4:$AM186,$C$4:$C186,$C187)+1,"")</f>
        <v/>
      </c>
    </row>
    <row r="188">
      <c r="A188" s="44" t="str">
        <f>IF(OR($B188="",$D188=""),"","TX"&amp;TEXT(ROW()-4,"0000"))</f>
        <v/>
      </c>
      <c r="B188" s="42" t="n"/>
      <c r="C188" s="47" t="str">
        <f>IF($B188="","",YEAR($B188)*100+MONTH($B188))</f>
        <v/>
      </c>
      <c r="D188" s="37" t="n"/>
      <c r="E188" s="45" t="str">
        <f>IF($D188="","",IFERROR(INDEX(CARDS!$B$5:$B$34,MATCH($D188,CARDS!$A$5:$A$34,0)),"⚠ Card ID?"))</f>
        <v/>
      </c>
      <c r="F188" s="45" t="str">
        <f>IF($D188="","",IFERROR(INDEX(CARDS!$C$5:$C$34,MATCH($D188,CARDS!$A$5:$A$34,0)),"⚠ Card ID?"))</f>
        <v/>
      </c>
      <c r="G188" s="37" t="n"/>
      <c r="H188" s="37" t="n"/>
      <c r="I188" s="41" t="n"/>
      <c r="J188" s="45" t="str">
        <f>IF($I188="","",IFERROR(INDEX(MCC_MASTER!$B$5:$B$504,MATCH($I188,MCC_MASTER!$A$5:$A$504,0)),"⚠ MCC chưa có"))</f>
        <v/>
      </c>
      <c r="K188" s="45" t="str">
        <f>IF($I188="","",IFERROR(IF(INDEX(MCC_MASTER!$C$5:$C$504,MATCH($I188,MCC_MASTER!$A$5:$A$504,0))="","Chưa phân loại",INDEX(MCC_MASTER!$C$5:$C$504,MATCH($I188,MCC_MASTER!$A$5:$A$504,0))),"Chưa phân loại"))</f>
        <v/>
      </c>
      <c r="L188" s="40" t="n"/>
      <c r="M188" s="48" t="str">
        <f>IF(OR($B188="",$D188=""),"",IF($AC188=0,0,IF(ISNUMBER(INDEX(CASHBACK_RULES!$L$5:$L$304,$AC188)),MAX(0,MIN($L188,INDEX(CASHBACK_RULES!$L$5:$L$304,$AC188)-$AH188)),MAX(0,$L188))))</f>
        <v/>
      </c>
      <c r="N188" s="49" t="str">
        <f>IF(OR($B188="",$D188=""),"",IF($AC188&gt;0,INDEX(CASHBACK_RULES!$I$5:$I$304,$AC188),0))</f>
        <v/>
      </c>
      <c r="O188" s="48" t="str">
        <f>IF(OR($B188="",$D188=""),"",ROUND($M188*$N188,0))</f>
        <v/>
      </c>
      <c r="P188" s="48" t="str">
        <f>IF($AC188&gt;0,IF(ISNUMBER(INDEX(CASHBACK_RULES!$J$5:$J$304,$AC188)),INDEX(CASHBACK_RULES!$J$5:$J$304,$AC188),"∞"),"")</f>
        <v/>
      </c>
      <c r="Q188" s="48" t="str">
        <f>IF(OR($B188="",$D188=""),"",IF($AC188=0,0,MAX(0,MIN($O188,IF(ISNUMBER($P188),$P188-$AF188,1E+15),IF(ISNUMBER($AA188),$AA188-$AG188,1E+15)))))</f>
        <v/>
      </c>
      <c r="R188" s="48" t="str">
        <f>IF(OR($B188="",$D188=""),"",IF($AC188=0,"",IF(AND(NOT(ISNUMBER($P188)),NOT(ISNUMBER($AA188))),"∞",MAX(0,MIN(IF(ISNUMBER($P188),$P188-$AF188-$Q188,1E+15),IF(ISNUMBER($AA188),$AA188-$AG188-$Q188,1E+15))))))</f>
        <v/>
      </c>
      <c r="S188" s="47" t="str">
        <f>IF($AD188="","",YEAR($AD188)*100+MONTH($AD188))</f>
        <v/>
      </c>
      <c r="T188" s="50" t="str">
        <f>IF($AD188="","",IFERROR(IF(INDEX(CARDS!$I$5:$I$34,MATCH($D188,CARDS!$A$5:$A$34,0))="","",IF(INDEX(CARDS!$I$5:$I$34,MATCH($D188,CARDS!$A$5:$A$34,0))&gt;INDEX(CARDS!$H$5:$H$34,MATCH($D188,CARDS!$A$5:$A$34,0)),DATE(YEAR($AD188),MONTH($AD188),MIN(INDEX(CARDS!$I$5:$I$34,MATCH($D188,CARDS!$A$5:$A$34,0)),DAY(EOMONTH($AD188,0)))),DATE(YEAR($AD188),MONTH($AD188)+1,MIN(INDEX(CARDS!$I$5:$I$34,MATCH($D188,CARDS!$A$5:$A$34,0)),DAY(EOMONTH($AD188,1)))))),""))</f>
        <v/>
      </c>
      <c r="U188" s="38" t="n"/>
      <c r="V188" s="37" t="n"/>
      <c r="W188" s="38" t="n"/>
      <c r="X188" s="38" t="n"/>
      <c r="Y188" s="44" t="str">
        <f>IF($AC188&gt;0,INDEX(CASHBACK_RULES!$A$5:$A$304,$AC188),"")</f>
        <v/>
      </c>
      <c r="Z188" s="45" t="str">
        <f>IF($AC188&gt;0,INDEX(CASHBACK_RULES!$E$5:$E$304,$AC188)&amp;"","")</f>
        <v/>
      </c>
      <c r="AA188" s="48" t="str">
        <f>IF($AC188&gt;0,IF(ISNUMBER(INDEX(CASHBACK_RULES!$K$5:$K$304,$AC188)),INDEX(CASHBACK_RULES!$K$5:$K$304,$AC188),"∞"),"")</f>
        <v/>
      </c>
      <c r="AB188" s="44" t="str">
        <f>IF(OR($B188="",$D188=""),"",IF($U188="Cancelled","Đã hủy",IF($AC188=0,"Không được hoàn",IF($Q188=0,IF(OR($O188&gt;0,$M188&lt;$L188),"Đã đạt cap","Không được hoàn"),IF(OR($Q188&lt;$O188,$M188&lt;$L188),"Hoàn một phần","Được hoàn")))))</f>
        <v/>
      </c>
      <c r="AC188" s="43">
        <f>IF(OR($B188="",$D188="",$I188="",$L188=""),0,IF($U188="Cancelled",0,IF($W188&lt;&gt;"",IFERROR(IF(INDEX(CASHBACK_RULES!$B$5:$B$304,MATCH($W188,CASHBACK_RULES!$A$5:$A$304,0))=$D188,MATCH($W188,CASHBACK_RULES!$A$5:$A$304,0),0),0),IFERROR(MATCH(1,INDEX((CASHBACK_RULES!$B$5:$B$304=$D188)*(CASHBACK_RULES!$G$5:$G$304=$I188)*(((CASHBACK_RULES!$N$5:$N$304="")+(CASHBACK_RULES!$N$5:$N$304&lt;=$B188))&gt;0)*(((CASHBACK_RULES!$O$5:$O$304="")+(CASHBACK_RULES!$O$5:$O$304&gt;=$B188))&gt;0)*(((CASHBACK_RULES!$M$5:$M$304="")+(CASHBACK_RULES!$M$5:$M$304&lt;=$L188))&gt;0),0),0),0))))</f>
        <v>0</v>
      </c>
      <c r="AD188" s="51" t="str">
        <f>IF(OR($B188="",$D188=""),"",IFERROR(IF(INDEX(CARDS!$H$5:$H$34,MATCH($D188,CARDS!$A$5:$A$34,0))="","",IF(DAY($B188)&lt;=INDEX(CARDS!$H$5:$H$34,MATCH($D188,CARDS!$A$5:$A$34,0)),DATE(YEAR($B188),MONTH($B188),MIN(INDEX(CARDS!$H$5:$H$34,MATCH($D188,CARDS!$A$5:$A$34,0)),DAY(EOMONTH($B188,0)))),DATE(YEAR($B188),MONTH($B188)+1,MIN(INDEX(CARDS!$H$5:$H$34,MATCH($D188,CARDS!$A$5:$A$34,0)),DAY(EOMONTH($B188,1)))))),""))</f>
        <v/>
      </c>
      <c r="AE188" s="52" t="str">
        <f>IF($C188="","",$C188&amp;"|"&amp;COUNTIF($C$5:$C188,$C188))</f>
        <v/>
      </c>
      <c r="AF188" s="53">
        <f>IF($AC188&gt;0,SUMIFS(Q$4:Q187,$D$4:$D187,$D188,$Z$4:$Z187,$Z188,$C$4:$C187,$C188),0)</f>
        <v>0</v>
      </c>
      <c r="AG188" s="53">
        <f>IF($AC188&gt;0,SUMIFS(Q$4:Q187,$D$4:$D187,$D188,$C$4:$C187,$C188),0)</f>
        <v>0</v>
      </c>
      <c r="AH188" s="53">
        <f>IF($AC188&gt;0,SUMIFS(M$4:M187,$D$4:$D187,$D188,$Z$4:$Z187,$Z188,$C$4:$C187,$C188),0)</f>
        <v>0</v>
      </c>
      <c r="AI188" s="43">
        <f>IF(OR($C188="",$I188=""),0,IF(COUNTIFS($C$5:$C188,$C188,$I$5:$I188,$I188)=1,1,0))</f>
        <v>0</v>
      </c>
      <c r="AJ188" s="43" t="str">
        <f>IF($AI188=1,SUMIFS($AI$4:$AI187,$C$4:$C187,$C188)+1,"")</f>
        <v/>
      </c>
      <c r="AK188" s="43">
        <f>IF(OR($C188="",$K188=""),0,IF(COUNTIFS($C$5:$C188,$C188,$K$5:$K188,$K188)=1,1,0))</f>
        <v>0</v>
      </c>
      <c r="AL188" s="43" t="str">
        <f>IF($AK188=1,SUMIFS($AK$4:$AK187,$C$4:$C187,$C188)+1,"")</f>
        <v/>
      </c>
      <c r="AM188" s="43">
        <f>IF(OR($C188="",$G188=""),0,IF(COUNTIFS($C$5:$C188,$C188,$G$5:$G188,$G188)=1,1,0))</f>
        <v>0</v>
      </c>
      <c r="AN188" s="43" t="str">
        <f>IF($AM188=1,SUMIFS($AM$4:$AM187,$C$4:$C187,$C188)+1,"")</f>
        <v/>
      </c>
    </row>
    <row r="189">
      <c r="A189" s="44" t="str">
        <f>IF(OR($B189="",$D189=""),"","TX"&amp;TEXT(ROW()-4,"0000"))</f>
        <v/>
      </c>
      <c r="B189" s="42" t="n"/>
      <c r="C189" s="47" t="str">
        <f>IF($B189="","",YEAR($B189)*100+MONTH($B189))</f>
        <v/>
      </c>
      <c r="D189" s="37" t="n"/>
      <c r="E189" s="45" t="str">
        <f>IF($D189="","",IFERROR(INDEX(CARDS!$B$5:$B$34,MATCH($D189,CARDS!$A$5:$A$34,0)),"⚠ Card ID?"))</f>
        <v/>
      </c>
      <c r="F189" s="45" t="str">
        <f>IF($D189="","",IFERROR(INDEX(CARDS!$C$5:$C$34,MATCH($D189,CARDS!$A$5:$A$34,0)),"⚠ Card ID?"))</f>
        <v/>
      </c>
      <c r="G189" s="37" t="n"/>
      <c r="H189" s="37" t="n"/>
      <c r="I189" s="41" t="n"/>
      <c r="J189" s="45" t="str">
        <f>IF($I189="","",IFERROR(INDEX(MCC_MASTER!$B$5:$B$504,MATCH($I189,MCC_MASTER!$A$5:$A$504,0)),"⚠ MCC chưa có"))</f>
        <v/>
      </c>
      <c r="K189" s="45" t="str">
        <f>IF($I189="","",IFERROR(IF(INDEX(MCC_MASTER!$C$5:$C$504,MATCH($I189,MCC_MASTER!$A$5:$A$504,0))="","Chưa phân loại",INDEX(MCC_MASTER!$C$5:$C$504,MATCH($I189,MCC_MASTER!$A$5:$A$504,0))),"Chưa phân loại"))</f>
        <v/>
      </c>
      <c r="L189" s="40" t="n"/>
      <c r="M189" s="48" t="str">
        <f>IF(OR($B189="",$D189=""),"",IF($AC189=0,0,IF(ISNUMBER(INDEX(CASHBACK_RULES!$L$5:$L$304,$AC189)),MAX(0,MIN($L189,INDEX(CASHBACK_RULES!$L$5:$L$304,$AC189)-$AH189)),MAX(0,$L189))))</f>
        <v/>
      </c>
      <c r="N189" s="49" t="str">
        <f>IF(OR($B189="",$D189=""),"",IF($AC189&gt;0,INDEX(CASHBACK_RULES!$I$5:$I$304,$AC189),0))</f>
        <v/>
      </c>
      <c r="O189" s="48" t="str">
        <f>IF(OR($B189="",$D189=""),"",ROUND($M189*$N189,0))</f>
        <v/>
      </c>
      <c r="P189" s="48" t="str">
        <f>IF($AC189&gt;0,IF(ISNUMBER(INDEX(CASHBACK_RULES!$J$5:$J$304,$AC189)),INDEX(CASHBACK_RULES!$J$5:$J$304,$AC189),"∞"),"")</f>
        <v/>
      </c>
      <c r="Q189" s="48" t="str">
        <f>IF(OR($B189="",$D189=""),"",IF($AC189=0,0,MAX(0,MIN($O189,IF(ISNUMBER($P189),$P189-$AF189,1E+15),IF(ISNUMBER($AA189),$AA189-$AG189,1E+15)))))</f>
        <v/>
      </c>
      <c r="R189" s="48" t="str">
        <f>IF(OR($B189="",$D189=""),"",IF($AC189=0,"",IF(AND(NOT(ISNUMBER($P189)),NOT(ISNUMBER($AA189))),"∞",MAX(0,MIN(IF(ISNUMBER($P189),$P189-$AF189-$Q189,1E+15),IF(ISNUMBER($AA189),$AA189-$AG189-$Q189,1E+15))))))</f>
        <v/>
      </c>
      <c r="S189" s="47" t="str">
        <f>IF($AD189="","",YEAR($AD189)*100+MONTH($AD189))</f>
        <v/>
      </c>
      <c r="T189" s="50" t="str">
        <f>IF($AD189="","",IFERROR(IF(INDEX(CARDS!$I$5:$I$34,MATCH($D189,CARDS!$A$5:$A$34,0))="","",IF(INDEX(CARDS!$I$5:$I$34,MATCH($D189,CARDS!$A$5:$A$34,0))&gt;INDEX(CARDS!$H$5:$H$34,MATCH($D189,CARDS!$A$5:$A$34,0)),DATE(YEAR($AD189),MONTH($AD189),MIN(INDEX(CARDS!$I$5:$I$34,MATCH($D189,CARDS!$A$5:$A$34,0)),DAY(EOMONTH($AD189,0)))),DATE(YEAR($AD189),MONTH($AD189)+1,MIN(INDEX(CARDS!$I$5:$I$34,MATCH($D189,CARDS!$A$5:$A$34,0)),DAY(EOMONTH($AD189,1)))))),""))</f>
        <v/>
      </c>
      <c r="U189" s="38" t="n"/>
      <c r="V189" s="37" t="n"/>
      <c r="W189" s="38" t="n"/>
      <c r="X189" s="38" t="n"/>
      <c r="Y189" s="44" t="str">
        <f>IF($AC189&gt;0,INDEX(CASHBACK_RULES!$A$5:$A$304,$AC189),"")</f>
        <v/>
      </c>
      <c r="Z189" s="45" t="str">
        <f>IF($AC189&gt;0,INDEX(CASHBACK_RULES!$E$5:$E$304,$AC189)&amp;"","")</f>
        <v/>
      </c>
      <c r="AA189" s="48" t="str">
        <f>IF($AC189&gt;0,IF(ISNUMBER(INDEX(CASHBACK_RULES!$K$5:$K$304,$AC189)),INDEX(CASHBACK_RULES!$K$5:$K$304,$AC189),"∞"),"")</f>
        <v/>
      </c>
      <c r="AB189" s="44" t="str">
        <f>IF(OR($B189="",$D189=""),"",IF($U189="Cancelled","Đã hủy",IF($AC189=0,"Không được hoàn",IF($Q189=0,IF(OR($O189&gt;0,$M189&lt;$L189),"Đã đạt cap","Không được hoàn"),IF(OR($Q189&lt;$O189,$M189&lt;$L189),"Hoàn một phần","Được hoàn")))))</f>
        <v/>
      </c>
      <c r="AC189" s="43">
        <f>IF(OR($B189="",$D189="",$I189="",$L189=""),0,IF($U189="Cancelled",0,IF($W189&lt;&gt;"",IFERROR(IF(INDEX(CASHBACK_RULES!$B$5:$B$304,MATCH($W189,CASHBACK_RULES!$A$5:$A$304,0))=$D189,MATCH($W189,CASHBACK_RULES!$A$5:$A$304,0),0),0),IFERROR(MATCH(1,INDEX((CASHBACK_RULES!$B$5:$B$304=$D189)*(CASHBACK_RULES!$G$5:$G$304=$I189)*(((CASHBACK_RULES!$N$5:$N$304="")+(CASHBACK_RULES!$N$5:$N$304&lt;=$B189))&gt;0)*(((CASHBACK_RULES!$O$5:$O$304="")+(CASHBACK_RULES!$O$5:$O$304&gt;=$B189))&gt;0)*(((CASHBACK_RULES!$M$5:$M$304="")+(CASHBACK_RULES!$M$5:$M$304&lt;=$L189))&gt;0),0),0),0))))</f>
        <v>0</v>
      </c>
      <c r="AD189" s="51" t="str">
        <f>IF(OR($B189="",$D189=""),"",IFERROR(IF(INDEX(CARDS!$H$5:$H$34,MATCH($D189,CARDS!$A$5:$A$34,0))="","",IF(DAY($B189)&lt;=INDEX(CARDS!$H$5:$H$34,MATCH($D189,CARDS!$A$5:$A$34,0)),DATE(YEAR($B189),MONTH($B189),MIN(INDEX(CARDS!$H$5:$H$34,MATCH($D189,CARDS!$A$5:$A$34,0)),DAY(EOMONTH($B189,0)))),DATE(YEAR($B189),MONTH($B189)+1,MIN(INDEX(CARDS!$H$5:$H$34,MATCH($D189,CARDS!$A$5:$A$34,0)),DAY(EOMONTH($B189,1)))))),""))</f>
        <v/>
      </c>
      <c r="AE189" s="52" t="str">
        <f>IF($C189="","",$C189&amp;"|"&amp;COUNTIF($C$5:$C189,$C189))</f>
        <v/>
      </c>
      <c r="AF189" s="53">
        <f>IF($AC189&gt;0,SUMIFS(Q$4:Q188,$D$4:$D188,$D189,$Z$4:$Z188,$Z189,$C$4:$C188,$C189),0)</f>
        <v>0</v>
      </c>
      <c r="AG189" s="53">
        <f>IF($AC189&gt;0,SUMIFS(Q$4:Q188,$D$4:$D188,$D189,$C$4:$C188,$C189),0)</f>
        <v>0</v>
      </c>
      <c r="AH189" s="53">
        <f>IF($AC189&gt;0,SUMIFS(M$4:M188,$D$4:$D188,$D189,$Z$4:$Z188,$Z189,$C$4:$C188,$C189),0)</f>
        <v>0</v>
      </c>
      <c r="AI189" s="43">
        <f>IF(OR($C189="",$I189=""),0,IF(COUNTIFS($C$5:$C189,$C189,$I$5:$I189,$I189)=1,1,0))</f>
        <v>0</v>
      </c>
      <c r="AJ189" s="43" t="str">
        <f>IF($AI189=1,SUMIFS($AI$4:$AI188,$C$4:$C188,$C189)+1,"")</f>
        <v/>
      </c>
      <c r="AK189" s="43">
        <f>IF(OR($C189="",$K189=""),0,IF(COUNTIFS($C$5:$C189,$C189,$K$5:$K189,$K189)=1,1,0))</f>
        <v>0</v>
      </c>
      <c r="AL189" s="43" t="str">
        <f>IF($AK189=1,SUMIFS($AK$4:$AK188,$C$4:$C188,$C189)+1,"")</f>
        <v/>
      </c>
      <c r="AM189" s="43">
        <f>IF(OR($C189="",$G189=""),0,IF(COUNTIFS($C$5:$C189,$C189,$G$5:$G189,$G189)=1,1,0))</f>
        <v>0</v>
      </c>
      <c r="AN189" s="43" t="str">
        <f>IF($AM189=1,SUMIFS($AM$4:$AM188,$C$4:$C188,$C189)+1,"")</f>
        <v/>
      </c>
    </row>
    <row r="190">
      <c r="A190" s="44" t="str">
        <f>IF(OR($B190="",$D190=""),"","TX"&amp;TEXT(ROW()-4,"0000"))</f>
        <v/>
      </c>
      <c r="B190" s="42" t="n"/>
      <c r="C190" s="47" t="str">
        <f>IF($B190="","",YEAR($B190)*100+MONTH($B190))</f>
        <v/>
      </c>
      <c r="D190" s="37" t="n"/>
      <c r="E190" s="45" t="str">
        <f>IF($D190="","",IFERROR(INDEX(CARDS!$B$5:$B$34,MATCH($D190,CARDS!$A$5:$A$34,0)),"⚠ Card ID?"))</f>
        <v/>
      </c>
      <c r="F190" s="45" t="str">
        <f>IF($D190="","",IFERROR(INDEX(CARDS!$C$5:$C$34,MATCH($D190,CARDS!$A$5:$A$34,0)),"⚠ Card ID?"))</f>
        <v/>
      </c>
      <c r="G190" s="37" t="n"/>
      <c r="H190" s="37" t="n"/>
      <c r="I190" s="41" t="n"/>
      <c r="J190" s="45" t="str">
        <f>IF($I190="","",IFERROR(INDEX(MCC_MASTER!$B$5:$B$504,MATCH($I190,MCC_MASTER!$A$5:$A$504,0)),"⚠ MCC chưa có"))</f>
        <v/>
      </c>
      <c r="K190" s="45" t="str">
        <f>IF($I190="","",IFERROR(IF(INDEX(MCC_MASTER!$C$5:$C$504,MATCH($I190,MCC_MASTER!$A$5:$A$504,0))="","Chưa phân loại",INDEX(MCC_MASTER!$C$5:$C$504,MATCH($I190,MCC_MASTER!$A$5:$A$504,0))),"Chưa phân loại"))</f>
        <v/>
      </c>
      <c r="L190" s="40" t="n"/>
      <c r="M190" s="48" t="str">
        <f>IF(OR($B190="",$D190=""),"",IF($AC190=0,0,IF(ISNUMBER(INDEX(CASHBACK_RULES!$L$5:$L$304,$AC190)),MAX(0,MIN($L190,INDEX(CASHBACK_RULES!$L$5:$L$304,$AC190)-$AH190)),MAX(0,$L190))))</f>
        <v/>
      </c>
      <c r="N190" s="49" t="str">
        <f>IF(OR($B190="",$D190=""),"",IF($AC190&gt;0,INDEX(CASHBACK_RULES!$I$5:$I$304,$AC190),0))</f>
        <v/>
      </c>
      <c r="O190" s="48" t="str">
        <f>IF(OR($B190="",$D190=""),"",ROUND($M190*$N190,0))</f>
        <v/>
      </c>
      <c r="P190" s="48" t="str">
        <f>IF($AC190&gt;0,IF(ISNUMBER(INDEX(CASHBACK_RULES!$J$5:$J$304,$AC190)),INDEX(CASHBACK_RULES!$J$5:$J$304,$AC190),"∞"),"")</f>
        <v/>
      </c>
      <c r="Q190" s="48" t="str">
        <f>IF(OR($B190="",$D190=""),"",IF($AC190=0,0,MAX(0,MIN($O190,IF(ISNUMBER($P190),$P190-$AF190,1E+15),IF(ISNUMBER($AA190),$AA190-$AG190,1E+15)))))</f>
        <v/>
      </c>
      <c r="R190" s="48" t="str">
        <f>IF(OR($B190="",$D190=""),"",IF($AC190=0,"",IF(AND(NOT(ISNUMBER($P190)),NOT(ISNUMBER($AA190))),"∞",MAX(0,MIN(IF(ISNUMBER($P190),$P190-$AF190-$Q190,1E+15),IF(ISNUMBER($AA190),$AA190-$AG190-$Q190,1E+15))))))</f>
        <v/>
      </c>
      <c r="S190" s="47" t="str">
        <f>IF($AD190="","",YEAR($AD190)*100+MONTH($AD190))</f>
        <v/>
      </c>
      <c r="T190" s="50" t="str">
        <f>IF($AD190="","",IFERROR(IF(INDEX(CARDS!$I$5:$I$34,MATCH($D190,CARDS!$A$5:$A$34,0))="","",IF(INDEX(CARDS!$I$5:$I$34,MATCH($D190,CARDS!$A$5:$A$34,0))&gt;INDEX(CARDS!$H$5:$H$34,MATCH($D190,CARDS!$A$5:$A$34,0)),DATE(YEAR($AD190),MONTH($AD190),MIN(INDEX(CARDS!$I$5:$I$34,MATCH($D190,CARDS!$A$5:$A$34,0)),DAY(EOMONTH($AD190,0)))),DATE(YEAR($AD190),MONTH($AD190)+1,MIN(INDEX(CARDS!$I$5:$I$34,MATCH($D190,CARDS!$A$5:$A$34,0)),DAY(EOMONTH($AD190,1)))))),""))</f>
        <v/>
      </c>
      <c r="U190" s="38" t="n"/>
      <c r="V190" s="37" t="n"/>
      <c r="W190" s="38" t="n"/>
      <c r="X190" s="38" t="n"/>
      <c r="Y190" s="44" t="str">
        <f>IF($AC190&gt;0,INDEX(CASHBACK_RULES!$A$5:$A$304,$AC190),"")</f>
        <v/>
      </c>
      <c r="Z190" s="45" t="str">
        <f>IF($AC190&gt;0,INDEX(CASHBACK_RULES!$E$5:$E$304,$AC190)&amp;"","")</f>
        <v/>
      </c>
      <c r="AA190" s="48" t="str">
        <f>IF($AC190&gt;0,IF(ISNUMBER(INDEX(CASHBACK_RULES!$K$5:$K$304,$AC190)),INDEX(CASHBACK_RULES!$K$5:$K$304,$AC190),"∞"),"")</f>
        <v/>
      </c>
      <c r="AB190" s="44" t="str">
        <f>IF(OR($B190="",$D190=""),"",IF($U190="Cancelled","Đã hủy",IF($AC190=0,"Không được hoàn",IF($Q190=0,IF(OR($O190&gt;0,$M190&lt;$L190),"Đã đạt cap","Không được hoàn"),IF(OR($Q190&lt;$O190,$M190&lt;$L190),"Hoàn một phần","Được hoàn")))))</f>
        <v/>
      </c>
      <c r="AC190" s="43">
        <f>IF(OR($B190="",$D190="",$I190="",$L190=""),0,IF($U190="Cancelled",0,IF($W190&lt;&gt;"",IFERROR(IF(INDEX(CASHBACK_RULES!$B$5:$B$304,MATCH($W190,CASHBACK_RULES!$A$5:$A$304,0))=$D190,MATCH($W190,CASHBACK_RULES!$A$5:$A$304,0),0),0),IFERROR(MATCH(1,INDEX((CASHBACK_RULES!$B$5:$B$304=$D190)*(CASHBACK_RULES!$G$5:$G$304=$I190)*(((CASHBACK_RULES!$N$5:$N$304="")+(CASHBACK_RULES!$N$5:$N$304&lt;=$B190))&gt;0)*(((CASHBACK_RULES!$O$5:$O$304="")+(CASHBACK_RULES!$O$5:$O$304&gt;=$B190))&gt;0)*(((CASHBACK_RULES!$M$5:$M$304="")+(CASHBACK_RULES!$M$5:$M$304&lt;=$L190))&gt;0),0),0),0))))</f>
        <v>0</v>
      </c>
      <c r="AD190" s="51" t="str">
        <f>IF(OR($B190="",$D190=""),"",IFERROR(IF(INDEX(CARDS!$H$5:$H$34,MATCH($D190,CARDS!$A$5:$A$34,0))="","",IF(DAY($B190)&lt;=INDEX(CARDS!$H$5:$H$34,MATCH($D190,CARDS!$A$5:$A$34,0)),DATE(YEAR($B190),MONTH($B190),MIN(INDEX(CARDS!$H$5:$H$34,MATCH($D190,CARDS!$A$5:$A$34,0)),DAY(EOMONTH($B190,0)))),DATE(YEAR($B190),MONTH($B190)+1,MIN(INDEX(CARDS!$H$5:$H$34,MATCH($D190,CARDS!$A$5:$A$34,0)),DAY(EOMONTH($B190,1)))))),""))</f>
        <v/>
      </c>
      <c r="AE190" s="52" t="str">
        <f>IF($C190="","",$C190&amp;"|"&amp;COUNTIF($C$5:$C190,$C190))</f>
        <v/>
      </c>
      <c r="AF190" s="53">
        <f>IF($AC190&gt;0,SUMIFS(Q$4:Q189,$D$4:$D189,$D190,$Z$4:$Z189,$Z190,$C$4:$C189,$C190),0)</f>
        <v>0</v>
      </c>
      <c r="AG190" s="53">
        <f>IF($AC190&gt;0,SUMIFS(Q$4:Q189,$D$4:$D189,$D190,$C$4:$C189,$C190),0)</f>
        <v>0</v>
      </c>
      <c r="AH190" s="53">
        <f>IF($AC190&gt;0,SUMIFS(M$4:M189,$D$4:$D189,$D190,$Z$4:$Z189,$Z190,$C$4:$C189,$C190),0)</f>
        <v>0</v>
      </c>
      <c r="AI190" s="43">
        <f>IF(OR($C190="",$I190=""),0,IF(COUNTIFS($C$5:$C190,$C190,$I$5:$I190,$I190)=1,1,0))</f>
        <v>0</v>
      </c>
      <c r="AJ190" s="43" t="str">
        <f>IF($AI190=1,SUMIFS($AI$4:$AI189,$C$4:$C189,$C190)+1,"")</f>
        <v/>
      </c>
      <c r="AK190" s="43">
        <f>IF(OR($C190="",$K190=""),0,IF(COUNTIFS($C$5:$C190,$C190,$K$5:$K190,$K190)=1,1,0))</f>
        <v>0</v>
      </c>
      <c r="AL190" s="43" t="str">
        <f>IF($AK190=1,SUMIFS($AK$4:$AK189,$C$4:$C189,$C190)+1,"")</f>
        <v/>
      </c>
      <c r="AM190" s="43">
        <f>IF(OR($C190="",$G190=""),0,IF(COUNTIFS($C$5:$C190,$C190,$G$5:$G190,$G190)=1,1,0))</f>
        <v>0</v>
      </c>
      <c r="AN190" s="43" t="str">
        <f>IF($AM190=1,SUMIFS($AM$4:$AM189,$C$4:$C189,$C190)+1,"")</f>
        <v/>
      </c>
    </row>
    <row r="191">
      <c r="A191" s="44" t="str">
        <f>IF(OR($B191="",$D191=""),"","TX"&amp;TEXT(ROW()-4,"0000"))</f>
        <v/>
      </c>
      <c r="B191" s="42" t="n"/>
      <c r="C191" s="47" t="str">
        <f>IF($B191="","",YEAR($B191)*100+MONTH($B191))</f>
        <v/>
      </c>
      <c r="D191" s="37" t="n"/>
      <c r="E191" s="45" t="str">
        <f>IF($D191="","",IFERROR(INDEX(CARDS!$B$5:$B$34,MATCH($D191,CARDS!$A$5:$A$34,0)),"⚠ Card ID?"))</f>
        <v/>
      </c>
      <c r="F191" s="45" t="str">
        <f>IF($D191="","",IFERROR(INDEX(CARDS!$C$5:$C$34,MATCH($D191,CARDS!$A$5:$A$34,0)),"⚠ Card ID?"))</f>
        <v/>
      </c>
      <c r="G191" s="37" t="n"/>
      <c r="H191" s="37" t="n"/>
      <c r="I191" s="41" t="n"/>
      <c r="J191" s="45" t="str">
        <f>IF($I191="","",IFERROR(INDEX(MCC_MASTER!$B$5:$B$504,MATCH($I191,MCC_MASTER!$A$5:$A$504,0)),"⚠ MCC chưa có"))</f>
        <v/>
      </c>
      <c r="K191" s="45" t="str">
        <f>IF($I191="","",IFERROR(IF(INDEX(MCC_MASTER!$C$5:$C$504,MATCH($I191,MCC_MASTER!$A$5:$A$504,0))="","Chưa phân loại",INDEX(MCC_MASTER!$C$5:$C$504,MATCH($I191,MCC_MASTER!$A$5:$A$504,0))),"Chưa phân loại"))</f>
        <v/>
      </c>
      <c r="L191" s="40" t="n"/>
      <c r="M191" s="48" t="str">
        <f>IF(OR($B191="",$D191=""),"",IF($AC191=0,0,IF(ISNUMBER(INDEX(CASHBACK_RULES!$L$5:$L$304,$AC191)),MAX(0,MIN($L191,INDEX(CASHBACK_RULES!$L$5:$L$304,$AC191)-$AH191)),MAX(0,$L191))))</f>
        <v/>
      </c>
      <c r="N191" s="49" t="str">
        <f>IF(OR($B191="",$D191=""),"",IF($AC191&gt;0,INDEX(CASHBACK_RULES!$I$5:$I$304,$AC191),0))</f>
        <v/>
      </c>
      <c r="O191" s="48" t="str">
        <f>IF(OR($B191="",$D191=""),"",ROUND($M191*$N191,0))</f>
        <v/>
      </c>
      <c r="P191" s="48" t="str">
        <f>IF($AC191&gt;0,IF(ISNUMBER(INDEX(CASHBACK_RULES!$J$5:$J$304,$AC191)),INDEX(CASHBACK_RULES!$J$5:$J$304,$AC191),"∞"),"")</f>
        <v/>
      </c>
      <c r="Q191" s="48" t="str">
        <f>IF(OR($B191="",$D191=""),"",IF($AC191=0,0,MAX(0,MIN($O191,IF(ISNUMBER($P191),$P191-$AF191,1E+15),IF(ISNUMBER($AA191),$AA191-$AG191,1E+15)))))</f>
        <v/>
      </c>
      <c r="R191" s="48" t="str">
        <f>IF(OR($B191="",$D191=""),"",IF($AC191=0,"",IF(AND(NOT(ISNUMBER($P191)),NOT(ISNUMBER($AA191))),"∞",MAX(0,MIN(IF(ISNUMBER($P191),$P191-$AF191-$Q191,1E+15),IF(ISNUMBER($AA191),$AA191-$AG191-$Q191,1E+15))))))</f>
        <v/>
      </c>
      <c r="S191" s="47" t="str">
        <f>IF($AD191="","",YEAR($AD191)*100+MONTH($AD191))</f>
        <v/>
      </c>
      <c r="T191" s="50" t="str">
        <f>IF($AD191="","",IFERROR(IF(INDEX(CARDS!$I$5:$I$34,MATCH($D191,CARDS!$A$5:$A$34,0))="","",IF(INDEX(CARDS!$I$5:$I$34,MATCH($D191,CARDS!$A$5:$A$34,0))&gt;INDEX(CARDS!$H$5:$H$34,MATCH($D191,CARDS!$A$5:$A$34,0)),DATE(YEAR($AD191),MONTH($AD191),MIN(INDEX(CARDS!$I$5:$I$34,MATCH($D191,CARDS!$A$5:$A$34,0)),DAY(EOMONTH($AD191,0)))),DATE(YEAR($AD191),MONTH($AD191)+1,MIN(INDEX(CARDS!$I$5:$I$34,MATCH($D191,CARDS!$A$5:$A$34,0)),DAY(EOMONTH($AD191,1)))))),""))</f>
        <v/>
      </c>
      <c r="U191" s="38" t="n"/>
      <c r="V191" s="37" t="n"/>
      <c r="W191" s="38" t="n"/>
      <c r="X191" s="38" t="n"/>
      <c r="Y191" s="44" t="str">
        <f>IF($AC191&gt;0,INDEX(CASHBACK_RULES!$A$5:$A$304,$AC191),"")</f>
        <v/>
      </c>
      <c r="Z191" s="45" t="str">
        <f>IF($AC191&gt;0,INDEX(CASHBACK_RULES!$E$5:$E$304,$AC191)&amp;"","")</f>
        <v/>
      </c>
      <c r="AA191" s="48" t="str">
        <f>IF($AC191&gt;0,IF(ISNUMBER(INDEX(CASHBACK_RULES!$K$5:$K$304,$AC191)),INDEX(CASHBACK_RULES!$K$5:$K$304,$AC191),"∞"),"")</f>
        <v/>
      </c>
      <c r="AB191" s="44" t="str">
        <f>IF(OR($B191="",$D191=""),"",IF($U191="Cancelled","Đã hủy",IF($AC191=0,"Không được hoàn",IF($Q191=0,IF(OR($O191&gt;0,$M191&lt;$L191),"Đã đạt cap","Không được hoàn"),IF(OR($Q191&lt;$O191,$M191&lt;$L191),"Hoàn một phần","Được hoàn")))))</f>
        <v/>
      </c>
      <c r="AC191" s="43">
        <f>IF(OR($B191="",$D191="",$I191="",$L191=""),0,IF($U191="Cancelled",0,IF($W191&lt;&gt;"",IFERROR(IF(INDEX(CASHBACK_RULES!$B$5:$B$304,MATCH($W191,CASHBACK_RULES!$A$5:$A$304,0))=$D191,MATCH($W191,CASHBACK_RULES!$A$5:$A$304,0),0),0),IFERROR(MATCH(1,INDEX((CASHBACK_RULES!$B$5:$B$304=$D191)*(CASHBACK_RULES!$G$5:$G$304=$I191)*(((CASHBACK_RULES!$N$5:$N$304="")+(CASHBACK_RULES!$N$5:$N$304&lt;=$B191))&gt;0)*(((CASHBACK_RULES!$O$5:$O$304="")+(CASHBACK_RULES!$O$5:$O$304&gt;=$B191))&gt;0)*(((CASHBACK_RULES!$M$5:$M$304="")+(CASHBACK_RULES!$M$5:$M$304&lt;=$L191))&gt;0),0),0),0))))</f>
        <v>0</v>
      </c>
      <c r="AD191" s="51" t="str">
        <f>IF(OR($B191="",$D191=""),"",IFERROR(IF(INDEX(CARDS!$H$5:$H$34,MATCH($D191,CARDS!$A$5:$A$34,0))="","",IF(DAY($B191)&lt;=INDEX(CARDS!$H$5:$H$34,MATCH($D191,CARDS!$A$5:$A$34,0)),DATE(YEAR($B191),MONTH($B191),MIN(INDEX(CARDS!$H$5:$H$34,MATCH($D191,CARDS!$A$5:$A$34,0)),DAY(EOMONTH($B191,0)))),DATE(YEAR($B191),MONTH($B191)+1,MIN(INDEX(CARDS!$H$5:$H$34,MATCH($D191,CARDS!$A$5:$A$34,0)),DAY(EOMONTH($B191,1)))))),""))</f>
        <v/>
      </c>
      <c r="AE191" s="52" t="str">
        <f>IF($C191="","",$C191&amp;"|"&amp;COUNTIF($C$5:$C191,$C191))</f>
        <v/>
      </c>
      <c r="AF191" s="53">
        <f>IF($AC191&gt;0,SUMIFS(Q$4:Q190,$D$4:$D190,$D191,$Z$4:$Z190,$Z191,$C$4:$C190,$C191),0)</f>
        <v>0</v>
      </c>
      <c r="AG191" s="53">
        <f>IF($AC191&gt;0,SUMIFS(Q$4:Q190,$D$4:$D190,$D191,$C$4:$C190,$C191),0)</f>
        <v>0</v>
      </c>
      <c r="AH191" s="53">
        <f>IF($AC191&gt;0,SUMIFS(M$4:M190,$D$4:$D190,$D191,$Z$4:$Z190,$Z191,$C$4:$C190,$C191),0)</f>
        <v>0</v>
      </c>
      <c r="AI191" s="43">
        <f>IF(OR($C191="",$I191=""),0,IF(COUNTIFS($C$5:$C191,$C191,$I$5:$I191,$I191)=1,1,0))</f>
        <v>0</v>
      </c>
      <c r="AJ191" s="43" t="str">
        <f>IF($AI191=1,SUMIFS($AI$4:$AI190,$C$4:$C190,$C191)+1,"")</f>
        <v/>
      </c>
      <c r="AK191" s="43">
        <f>IF(OR($C191="",$K191=""),0,IF(COUNTIFS($C$5:$C191,$C191,$K$5:$K191,$K191)=1,1,0))</f>
        <v>0</v>
      </c>
      <c r="AL191" s="43" t="str">
        <f>IF($AK191=1,SUMIFS($AK$4:$AK190,$C$4:$C190,$C191)+1,"")</f>
        <v/>
      </c>
      <c r="AM191" s="43">
        <f>IF(OR($C191="",$G191=""),0,IF(COUNTIFS($C$5:$C191,$C191,$G$5:$G191,$G191)=1,1,0))</f>
        <v>0</v>
      </c>
      <c r="AN191" s="43" t="str">
        <f>IF($AM191=1,SUMIFS($AM$4:$AM190,$C$4:$C190,$C191)+1,"")</f>
        <v/>
      </c>
    </row>
    <row r="192">
      <c r="A192" s="44" t="str">
        <f>IF(OR($B192="",$D192=""),"","TX"&amp;TEXT(ROW()-4,"0000"))</f>
        <v/>
      </c>
      <c r="B192" s="42" t="n"/>
      <c r="C192" s="47" t="str">
        <f>IF($B192="","",YEAR($B192)*100+MONTH($B192))</f>
        <v/>
      </c>
      <c r="D192" s="37" t="n"/>
      <c r="E192" s="45" t="str">
        <f>IF($D192="","",IFERROR(INDEX(CARDS!$B$5:$B$34,MATCH($D192,CARDS!$A$5:$A$34,0)),"⚠ Card ID?"))</f>
        <v/>
      </c>
      <c r="F192" s="45" t="str">
        <f>IF($D192="","",IFERROR(INDEX(CARDS!$C$5:$C$34,MATCH($D192,CARDS!$A$5:$A$34,0)),"⚠ Card ID?"))</f>
        <v/>
      </c>
      <c r="G192" s="37" t="n"/>
      <c r="H192" s="37" t="n"/>
      <c r="I192" s="41" t="n"/>
      <c r="J192" s="45" t="str">
        <f>IF($I192="","",IFERROR(INDEX(MCC_MASTER!$B$5:$B$504,MATCH($I192,MCC_MASTER!$A$5:$A$504,0)),"⚠ MCC chưa có"))</f>
        <v/>
      </c>
      <c r="K192" s="45" t="str">
        <f>IF($I192="","",IFERROR(IF(INDEX(MCC_MASTER!$C$5:$C$504,MATCH($I192,MCC_MASTER!$A$5:$A$504,0))="","Chưa phân loại",INDEX(MCC_MASTER!$C$5:$C$504,MATCH($I192,MCC_MASTER!$A$5:$A$504,0))),"Chưa phân loại"))</f>
        <v/>
      </c>
      <c r="L192" s="40" t="n"/>
      <c r="M192" s="48" t="str">
        <f>IF(OR($B192="",$D192=""),"",IF($AC192=0,0,IF(ISNUMBER(INDEX(CASHBACK_RULES!$L$5:$L$304,$AC192)),MAX(0,MIN($L192,INDEX(CASHBACK_RULES!$L$5:$L$304,$AC192)-$AH192)),MAX(0,$L192))))</f>
        <v/>
      </c>
      <c r="N192" s="49" t="str">
        <f>IF(OR($B192="",$D192=""),"",IF($AC192&gt;0,INDEX(CASHBACK_RULES!$I$5:$I$304,$AC192),0))</f>
        <v/>
      </c>
      <c r="O192" s="48" t="str">
        <f>IF(OR($B192="",$D192=""),"",ROUND($M192*$N192,0))</f>
        <v/>
      </c>
      <c r="P192" s="48" t="str">
        <f>IF($AC192&gt;0,IF(ISNUMBER(INDEX(CASHBACK_RULES!$J$5:$J$304,$AC192)),INDEX(CASHBACK_RULES!$J$5:$J$304,$AC192),"∞"),"")</f>
        <v/>
      </c>
      <c r="Q192" s="48" t="str">
        <f>IF(OR($B192="",$D192=""),"",IF($AC192=0,0,MAX(0,MIN($O192,IF(ISNUMBER($P192),$P192-$AF192,1E+15),IF(ISNUMBER($AA192),$AA192-$AG192,1E+15)))))</f>
        <v/>
      </c>
      <c r="R192" s="48" t="str">
        <f>IF(OR($B192="",$D192=""),"",IF($AC192=0,"",IF(AND(NOT(ISNUMBER($P192)),NOT(ISNUMBER($AA192))),"∞",MAX(0,MIN(IF(ISNUMBER($P192),$P192-$AF192-$Q192,1E+15),IF(ISNUMBER($AA192),$AA192-$AG192-$Q192,1E+15))))))</f>
        <v/>
      </c>
      <c r="S192" s="47" t="str">
        <f>IF($AD192="","",YEAR($AD192)*100+MONTH($AD192))</f>
        <v/>
      </c>
      <c r="T192" s="50" t="str">
        <f>IF($AD192="","",IFERROR(IF(INDEX(CARDS!$I$5:$I$34,MATCH($D192,CARDS!$A$5:$A$34,0))="","",IF(INDEX(CARDS!$I$5:$I$34,MATCH($D192,CARDS!$A$5:$A$34,0))&gt;INDEX(CARDS!$H$5:$H$34,MATCH($D192,CARDS!$A$5:$A$34,0)),DATE(YEAR($AD192),MONTH($AD192),MIN(INDEX(CARDS!$I$5:$I$34,MATCH($D192,CARDS!$A$5:$A$34,0)),DAY(EOMONTH($AD192,0)))),DATE(YEAR($AD192),MONTH($AD192)+1,MIN(INDEX(CARDS!$I$5:$I$34,MATCH($D192,CARDS!$A$5:$A$34,0)),DAY(EOMONTH($AD192,1)))))),""))</f>
        <v/>
      </c>
      <c r="U192" s="38" t="n"/>
      <c r="V192" s="37" t="n"/>
      <c r="W192" s="38" t="n"/>
      <c r="X192" s="38" t="n"/>
      <c r="Y192" s="44" t="str">
        <f>IF($AC192&gt;0,INDEX(CASHBACK_RULES!$A$5:$A$304,$AC192),"")</f>
        <v/>
      </c>
      <c r="Z192" s="45" t="str">
        <f>IF($AC192&gt;0,INDEX(CASHBACK_RULES!$E$5:$E$304,$AC192)&amp;"","")</f>
        <v/>
      </c>
      <c r="AA192" s="48" t="str">
        <f>IF($AC192&gt;0,IF(ISNUMBER(INDEX(CASHBACK_RULES!$K$5:$K$304,$AC192)),INDEX(CASHBACK_RULES!$K$5:$K$304,$AC192),"∞"),"")</f>
        <v/>
      </c>
      <c r="AB192" s="44" t="str">
        <f>IF(OR($B192="",$D192=""),"",IF($U192="Cancelled","Đã hủy",IF($AC192=0,"Không được hoàn",IF($Q192=0,IF(OR($O192&gt;0,$M192&lt;$L192),"Đã đạt cap","Không được hoàn"),IF(OR($Q192&lt;$O192,$M192&lt;$L192),"Hoàn một phần","Được hoàn")))))</f>
        <v/>
      </c>
      <c r="AC192" s="43">
        <f>IF(OR($B192="",$D192="",$I192="",$L192=""),0,IF($U192="Cancelled",0,IF($W192&lt;&gt;"",IFERROR(IF(INDEX(CASHBACK_RULES!$B$5:$B$304,MATCH($W192,CASHBACK_RULES!$A$5:$A$304,0))=$D192,MATCH($W192,CASHBACK_RULES!$A$5:$A$304,0),0),0),IFERROR(MATCH(1,INDEX((CASHBACK_RULES!$B$5:$B$304=$D192)*(CASHBACK_RULES!$G$5:$G$304=$I192)*(((CASHBACK_RULES!$N$5:$N$304="")+(CASHBACK_RULES!$N$5:$N$304&lt;=$B192))&gt;0)*(((CASHBACK_RULES!$O$5:$O$304="")+(CASHBACK_RULES!$O$5:$O$304&gt;=$B192))&gt;0)*(((CASHBACK_RULES!$M$5:$M$304="")+(CASHBACK_RULES!$M$5:$M$304&lt;=$L192))&gt;0),0),0),0))))</f>
        <v>0</v>
      </c>
      <c r="AD192" s="51" t="str">
        <f>IF(OR($B192="",$D192=""),"",IFERROR(IF(INDEX(CARDS!$H$5:$H$34,MATCH($D192,CARDS!$A$5:$A$34,0))="","",IF(DAY($B192)&lt;=INDEX(CARDS!$H$5:$H$34,MATCH($D192,CARDS!$A$5:$A$34,0)),DATE(YEAR($B192),MONTH($B192),MIN(INDEX(CARDS!$H$5:$H$34,MATCH($D192,CARDS!$A$5:$A$34,0)),DAY(EOMONTH($B192,0)))),DATE(YEAR($B192),MONTH($B192)+1,MIN(INDEX(CARDS!$H$5:$H$34,MATCH($D192,CARDS!$A$5:$A$34,0)),DAY(EOMONTH($B192,1)))))),""))</f>
        <v/>
      </c>
      <c r="AE192" s="52" t="str">
        <f>IF($C192="","",$C192&amp;"|"&amp;COUNTIF($C$5:$C192,$C192))</f>
        <v/>
      </c>
      <c r="AF192" s="53">
        <f>IF($AC192&gt;0,SUMIFS(Q$4:Q191,$D$4:$D191,$D192,$Z$4:$Z191,$Z192,$C$4:$C191,$C192),0)</f>
        <v>0</v>
      </c>
      <c r="AG192" s="53">
        <f>IF($AC192&gt;0,SUMIFS(Q$4:Q191,$D$4:$D191,$D192,$C$4:$C191,$C192),0)</f>
        <v>0</v>
      </c>
      <c r="AH192" s="53">
        <f>IF($AC192&gt;0,SUMIFS(M$4:M191,$D$4:$D191,$D192,$Z$4:$Z191,$Z192,$C$4:$C191,$C192),0)</f>
        <v>0</v>
      </c>
      <c r="AI192" s="43">
        <f>IF(OR($C192="",$I192=""),0,IF(COUNTIFS($C$5:$C192,$C192,$I$5:$I192,$I192)=1,1,0))</f>
        <v>0</v>
      </c>
      <c r="AJ192" s="43" t="str">
        <f>IF($AI192=1,SUMIFS($AI$4:$AI191,$C$4:$C191,$C192)+1,"")</f>
        <v/>
      </c>
      <c r="AK192" s="43">
        <f>IF(OR($C192="",$K192=""),0,IF(COUNTIFS($C$5:$C192,$C192,$K$5:$K192,$K192)=1,1,0))</f>
        <v>0</v>
      </c>
      <c r="AL192" s="43" t="str">
        <f>IF($AK192=1,SUMIFS($AK$4:$AK191,$C$4:$C191,$C192)+1,"")</f>
        <v/>
      </c>
      <c r="AM192" s="43">
        <f>IF(OR($C192="",$G192=""),0,IF(COUNTIFS($C$5:$C192,$C192,$G$5:$G192,$G192)=1,1,0))</f>
        <v>0</v>
      </c>
      <c r="AN192" s="43" t="str">
        <f>IF($AM192=1,SUMIFS($AM$4:$AM191,$C$4:$C191,$C192)+1,"")</f>
        <v/>
      </c>
    </row>
    <row r="193">
      <c r="A193" s="44" t="str">
        <f>IF(OR($B193="",$D193=""),"","TX"&amp;TEXT(ROW()-4,"0000"))</f>
        <v/>
      </c>
      <c r="B193" s="42" t="n"/>
      <c r="C193" s="47" t="str">
        <f>IF($B193="","",YEAR($B193)*100+MONTH($B193))</f>
        <v/>
      </c>
      <c r="D193" s="37" t="n"/>
      <c r="E193" s="45" t="str">
        <f>IF($D193="","",IFERROR(INDEX(CARDS!$B$5:$B$34,MATCH($D193,CARDS!$A$5:$A$34,0)),"⚠ Card ID?"))</f>
        <v/>
      </c>
      <c r="F193" s="45" t="str">
        <f>IF($D193="","",IFERROR(INDEX(CARDS!$C$5:$C$34,MATCH($D193,CARDS!$A$5:$A$34,0)),"⚠ Card ID?"))</f>
        <v/>
      </c>
      <c r="G193" s="37" t="n"/>
      <c r="H193" s="37" t="n"/>
      <c r="I193" s="41" t="n"/>
      <c r="J193" s="45" t="str">
        <f>IF($I193="","",IFERROR(INDEX(MCC_MASTER!$B$5:$B$504,MATCH($I193,MCC_MASTER!$A$5:$A$504,0)),"⚠ MCC chưa có"))</f>
        <v/>
      </c>
      <c r="K193" s="45" t="str">
        <f>IF($I193="","",IFERROR(IF(INDEX(MCC_MASTER!$C$5:$C$504,MATCH($I193,MCC_MASTER!$A$5:$A$504,0))="","Chưa phân loại",INDEX(MCC_MASTER!$C$5:$C$504,MATCH($I193,MCC_MASTER!$A$5:$A$504,0))),"Chưa phân loại"))</f>
        <v/>
      </c>
      <c r="L193" s="40" t="n"/>
      <c r="M193" s="48" t="str">
        <f>IF(OR($B193="",$D193=""),"",IF($AC193=0,0,IF(ISNUMBER(INDEX(CASHBACK_RULES!$L$5:$L$304,$AC193)),MAX(0,MIN($L193,INDEX(CASHBACK_RULES!$L$5:$L$304,$AC193)-$AH193)),MAX(0,$L193))))</f>
        <v/>
      </c>
      <c r="N193" s="49" t="str">
        <f>IF(OR($B193="",$D193=""),"",IF($AC193&gt;0,INDEX(CASHBACK_RULES!$I$5:$I$304,$AC193),0))</f>
        <v/>
      </c>
      <c r="O193" s="48" t="str">
        <f>IF(OR($B193="",$D193=""),"",ROUND($M193*$N193,0))</f>
        <v/>
      </c>
      <c r="P193" s="48" t="str">
        <f>IF($AC193&gt;0,IF(ISNUMBER(INDEX(CASHBACK_RULES!$J$5:$J$304,$AC193)),INDEX(CASHBACK_RULES!$J$5:$J$304,$AC193),"∞"),"")</f>
        <v/>
      </c>
      <c r="Q193" s="48" t="str">
        <f>IF(OR($B193="",$D193=""),"",IF($AC193=0,0,MAX(0,MIN($O193,IF(ISNUMBER($P193),$P193-$AF193,1E+15),IF(ISNUMBER($AA193),$AA193-$AG193,1E+15)))))</f>
        <v/>
      </c>
      <c r="R193" s="48" t="str">
        <f>IF(OR($B193="",$D193=""),"",IF($AC193=0,"",IF(AND(NOT(ISNUMBER($P193)),NOT(ISNUMBER($AA193))),"∞",MAX(0,MIN(IF(ISNUMBER($P193),$P193-$AF193-$Q193,1E+15),IF(ISNUMBER($AA193),$AA193-$AG193-$Q193,1E+15))))))</f>
        <v/>
      </c>
      <c r="S193" s="47" t="str">
        <f>IF($AD193="","",YEAR($AD193)*100+MONTH($AD193))</f>
        <v/>
      </c>
      <c r="T193" s="50" t="str">
        <f>IF($AD193="","",IFERROR(IF(INDEX(CARDS!$I$5:$I$34,MATCH($D193,CARDS!$A$5:$A$34,0))="","",IF(INDEX(CARDS!$I$5:$I$34,MATCH($D193,CARDS!$A$5:$A$34,0))&gt;INDEX(CARDS!$H$5:$H$34,MATCH($D193,CARDS!$A$5:$A$34,0)),DATE(YEAR($AD193),MONTH($AD193),MIN(INDEX(CARDS!$I$5:$I$34,MATCH($D193,CARDS!$A$5:$A$34,0)),DAY(EOMONTH($AD193,0)))),DATE(YEAR($AD193),MONTH($AD193)+1,MIN(INDEX(CARDS!$I$5:$I$34,MATCH($D193,CARDS!$A$5:$A$34,0)),DAY(EOMONTH($AD193,1)))))),""))</f>
        <v/>
      </c>
      <c r="U193" s="38" t="n"/>
      <c r="V193" s="37" t="n"/>
      <c r="W193" s="38" t="n"/>
      <c r="X193" s="38" t="n"/>
      <c r="Y193" s="44" t="str">
        <f>IF($AC193&gt;0,INDEX(CASHBACK_RULES!$A$5:$A$304,$AC193),"")</f>
        <v/>
      </c>
      <c r="Z193" s="45" t="str">
        <f>IF($AC193&gt;0,INDEX(CASHBACK_RULES!$E$5:$E$304,$AC193)&amp;"","")</f>
        <v/>
      </c>
      <c r="AA193" s="48" t="str">
        <f>IF($AC193&gt;0,IF(ISNUMBER(INDEX(CASHBACK_RULES!$K$5:$K$304,$AC193)),INDEX(CASHBACK_RULES!$K$5:$K$304,$AC193),"∞"),"")</f>
        <v/>
      </c>
      <c r="AB193" s="44" t="str">
        <f>IF(OR($B193="",$D193=""),"",IF($U193="Cancelled","Đã hủy",IF($AC193=0,"Không được hoàn",IF($Q193=0,IF(OR($O193&gt;0,$M193&lt;$L193),"Đã đạt cap","Không được hoàn"),IF(OR($Q193&lt;$O193,$M193&lt;$L193),"Hoàn một phần","Được hoàn")))))</f>
        <v/>
      </c>
      <c r="AC193" s="43">
        <f>IF(OR($B193="",$D193="",$I193="",$L193=""),0,IF($U193="Cancelled",0,IF($W193&lt;&gt;"",IFERROR(IF(INDEX(CASHBACK_RULES!$B$5:$B$304,MATCH($W193,CASHBACK_RULES!$A$5:$A$304,0))=$D193,MATCH($W193,CASHBACK_RULES!$A$5:$A$304,0),0),0),IFERROR(MATCH(1,INDEX((CASHBACK_RULES!$B$5:$B$304=$D193)*(CASHBACK_RULES!$G$5:$G$304=$I193)*(((CASHBACK_RULES!$N$5:$N$304="")+(CASHBACK_RULES!$N$5:$N$304&lt;=$B193))&gt;0)*(((CASHBACK_RULES!$O$5:$O$304="")+(CASHBACK_RULES!$O$5:$O$304&gt;=$B193))&gt;0)*(((CASHBACK_RULES!$M$5:$M$304="")+(CASHBACK_RULES!$M$5:$M$304&lt;=$L193))&gt;0),0),0),0))))</f>
        <v>0</v>
      </c>
      <c r="AD193" s="51" t="str">
        <f>IF(OR($B193="",$D193=""),"",IFERROR(IF(INDEX(CARDS!$H$5:$H$34,MATCH($D193,CARDS!$A$5:$A$34,0))="","",IF(DAY($B193)&lt;=INDEX(CARDS!$H$5:$H$34,MATCH($D193,CARDS!$A$5:$A$34,0)),DATE(YEAR($B193),MONTH($B193),MIN(INDEX(CARDS!$H$5:$H$34,MATCH($D193,CARDS!$A$5:$A$34,0)),DAY(EOMONTH($B193,0)))),DATE(YEAR($B193),MONTH($B193)+1,MIN(INDEX(CARDS!$H$5:$H$34,MATCH($D193,CARDS!$A$5:$A$34,0)),DAY(EOMONTH($B193,1)))))),""))</f>
        <v/>
      </c>
      <c r="AE193" s="52" t="str">
        <f>IF($C193="","",$C193&amp;"|"&amp;COUNTIF($C$5:$C193,$C193))</f>
        <v/>
      </c>
      <c r="AF193" s="53">
        <f>IF($AC193&gt;0,SUMIFS(Q$4:Q192,$D$4:$D192,$D193,$Z$4:$Z192,$Z193,$C$4:$C192,$C193),0)</f>
        <v>0</v>
      </c>
      <c r="AG193" s="53">
        <f>IF($AC193&gt;0,SUMIFS(Q$4:Q192,$D$4:$D192,$D193,$C$4:$C192,$C193),0)</f>
        <v>0</v>
      </c>
      <c r="AH193" s="53">
        <f>IF($AC193&gt;0,SUMIFS(M$4:M192,$D$4:$D192,$D193,$Z$4:$Z192,$Z193,$C$4:$C192,$C193),0)</f>
        <v>0</v>
      </c>
      <c r="AI193" s="43">
        <f>IF(OR($C193="",$I193=""),0,IF(COUNTIFS($C$5:$C193,$C193,$I$5:$I193,$I193)=1,1,0))</f>
        <v>0</v>
      </c>
      <c r="AJ193" s="43" t="str">
        <f>IF($AI193=1,SUMIFS($AI$4:$AI192,$C$4:$C192,$C193)+1,"")</f>
        <v/>
      </c>
      <c r="AK193" s="43">
        <f>IF(OR($C193="",$K193=""),0,IF(COUNTIFS($C$5:$C193,$C193,$K$5:$K193,$K193)=1,1,0))</f>
        <v>0</v>
      </c>
      <c r="AL193" s="43" t="str">
        <f>IF($AK193=1,SUMIFS($AK$4:$AK192,$C$4:$C192,$C193)+1,"")</f>
        <v/>
      </c>
      <c r="AM193" s="43">
        <f>IF(OR($C193="",$G193=""),0,IF(COUNTIFS($C$5:$C193,$C193,$G$5:$G193,$G193)=1,1,0))</f>
        <v>0</v>
      </c>
      <c r="AN193" s="43" t="str">
        <f>IF($AM193=1,SUMIFS($AM$4:$AM192,$C$4:$C192,$C193)+1,"")</f>
        <v/>
      </c>
    </row>
    <row r="194">
      <c r="A194" s="44" t="str">
        <f>IF(OR($B194="",$D194=""),"","TX"&amp;TEXT(ROW()-4,"0000"))</f>
        <v/>
      </c>
      <c r="B194" s="42" t="n"/>
      <c r="C194" s="47" t="str">
        <f>IF($B194="","",YEAR($B194)*100+MONTH($B194))</f>
        <v/>
      </c>
      <c r="D194" s="37" t="n"/>
      <c r="E194" s="45" t="str">
        <f>IF($D194="","",IFERROR(INDEX(CARDS!$B$5:$B$34,MATCH($D194,CARDS!$A$5:$A$34,0)),"⚠ Card ID?"))</f>
        <v/>
      </c>
      <c r="F194" s="45" t="str">
        <f>IF($D194="","",IFERROR(INDEX(CARDS!$C$5:$C$34,MATCH($D194,CARDS!$A$5:$A$34,0)),"⚠ Card ID?"))</f>
        <v/>
      </c>
      <c r="G194" s="37" t="n"/>
      <c r="H194" s="37" t="n"/>
      <c r="I194" s="41" t="n"/>
      <c r="J194" s="45" t="str">
        <f>IF($I194="","",IFERROR(INDEX(MCC_MASTER!$B$5:$B$504,MATCH($I194,MCC_MASTER!$A$5:$A$504,0)),"⚠ MCC chưa có"))</f>
        <v/>
      </c>
      <c r="K194" s="45" t="str">
        <f>IF($I194="","",IFERROR(IF(INDEX(MCC_MASTER!$C$5:$C$504,MATCH($I194,MCC_MASTER!$A$5:$A$504,0))="","Chưa phân loại",INDEX(MCC_MASTER!$C$5:$C$504,MATCH($I194,MCC_MASTER!$A$5:$A$504,0))),"Chưa phân loại"))</f>
        <v/>
      </c>
      <c r="L194" s="40" t="n"/>
      <c r="M194" s="48" t="str">
        <f>IF(OR($B194="",$D194=""),"",IF($AC194=0,0,IF(ISNUMBER(INDEX(CASHBACK_RULES!$L$5:$L$304,$AC194)),MAX(0,MIN($L194,INDEX(CASHBACK_RULES!$L$5:$L$304,$AC194)-$AH194)),MAX(0,$L194))))</f>
        <v/>
      </c>
      <c r="N194" s="49" t="str">
        <f>IF(OR($B194="",$D194=""),"",IF($AC194&gt;0,INDEX(CASHBACK_RULES!$I$5:$I$304,$AC194),0))</f>
        <v/>
      </c>
      <c r="O194" s="48" t="str">
        <f>IF(OR($B194="",$D194=""),"",ROUND($M194*$N194,0))</f>
        <v/>
      </c>
      <c r="P194" s="48" t="str">
        <f>IF($AC194&gt;0,IF(ISNUMBER(INDEX(CASHBACK_RULES!$J$5:$J$304,$AC194)),INDEX(CASHBACK_RULES!$J$5:$J$304,$AC194),"∞"),"")</f>
        <v/>
      </c>
      <c r="Q194" s="48" t="str">
        <f>IF(OR($B194="",$D194=""),"",IF($AC194=0,0,MAX(0,MIN($O194,IF(ISNUMBER($P194),$P194-$AF194,1E+15),IF(ISNUMBER($AA194),$AA194-$AG194,1E+15)))))</f>
        <v/>
      </c>
      <c r="R194" s="48" t="str">
        <f>IF(OR($B194="",$D194=""),"",IF($AC194=0,"",IF(AND(NOT(ISNUMBER($P194)),NOT(ISNUMBER($AA194))),"∞",MAX(0,MIN(IF(ISNUMBER($P194),$P194-$AF194-$Q194,1E+15),IF(ISNUMBER($AA194),$AA194-$AG194-$Q194,1E+15))))))</f>
        <v/>
      </c>
      <c r="S194" s="47" t="str">
        <f>IF($AD194="","",YEAR($AD194)*100+MONTH($AD194))</f>
        <v/>
      </c>
      <c r="T194" s="50" t="str">
        <f>IF($AD194="","",IFERROR(IF(INDEX(CARDS!$I$5:$I$34,MATCH($D194,CARDS!$A$5:$A$34,0))="","",IF(INDEX(CARDS!$I$5:$I$34,MATCH($D194,CARDS!$A$5:$A$34,0))&gt;INDEX(CARDS!$H$5:$H$34,MATCH($D194,CARDS!$A$5:$A$34,0)),DATE(YEAR($AD194),MONTH($AD194),MIN(INDEX(CARDS!$I$5:$I$34,MATCH($D194,CARDS!$A$5:$A$34,0)),DAY(EOMONTH($AD194,0)))),DATE(YEAR($AD194),MONTH($AD194)+1,MIN(INDEX(CARDS!$I$5:$I$34,MATCH($D194,CARDS!$A$5:$A$34,0)),DAY(EOMONTH($AD194,1)))))),""))</f>
        <v/>
      </c>
      <c r="U194" s="38" t="n"/>
      <c r="V194" s="37" t="n"/>
      <c r="W194" s="38" t="n"/>
      <c r="X194" s="38" t="n"/>
      <c r="Y194" s="44" t="str">
        <f>IF($AC194&gt;0,INDEX(CASHBACK_RULES!$A$5:$A$304,$AC194),"")</f>
        <v/>
      </c>
      <c r="Z194" s="45" t="str">
        <f>IF($AC194&gt;0,INDEX(CASHBACK_RULES!$E$5:$E$304,$AC194)&amp;"","")</f>
        <v/>
      </c>
      <c r="AA194" s="48" t="str">
        <f>IF($AC194&gt;0,IF(ISNUMBER(INDEX(CASHBACK_RULES!$K$5:$K$304,$AC194)),INDEX(CASHBACK_RULES!$K$5:$K$304,$AC194),"∞"),"")</f>
        <v/>
      </c>
      <c r="AB194" s="44" t="str">
        <f>IF(OR($B194="",$D194=""),"",IF($U194="Cancelled","Đã hủy",IF($AC194=0,"Không được hoàn",IF($Q194=0,IF(OR($O194&gt;0,$M194&lt;$L194),"Đã đạt cap","Không được hoàn"),IF(OR($Q194&lt;$O194,$M194&lt;$L194),"Hoàn một phần","Được hoàn")))))</f>
        <v/>
      </c>
      <c r="AC194" s="43">
        <f>IF(OR($B194="",$D194="",$I194="",$L194=""),0,IF($U194="Cancelled",0,IF($W194&lt;&gt;"",IFERROR(IF(INDEX(CASHBACK_RULES!$B$5:$B$304,MATCH($W194,CASHBACK_RULES!$A$5:$A$304,0))=$D194,MATCH($W194,CASHBACK_RULES!$A$5:$A$304,0),0),0),IFERROR(MATCH(1,INDEX((CASHBACK_RULES!$B$5:$B$304=$D194)*(CASHBACK_RULES!$G$5:$G$304=$I194)*(((CASHBACK_RULES!$N$5:$N$304="")+(CASHBACK_RULES!$N$5:$N$304&lt;=$B194))&gt;0)*(((CASHBACK_RULES!$O$5:$O$304="")+(CASHBACK_RULES!$O$5:$O$304&gt;=$B194))&gt;0)*(((CASHBACK_RULES!$M$5:$M$304="")+(CASHBACK_RULES!$M$5:$M$304&lt;=$L194))&gt;0),0),0),0))))</f>
        <v>0</v>
      </c>
      <c r="AD194" s="51" t="str">
        <f>IF(OR($B194="",$D194=""),"",IFERROR(IF(INDEX(CARDS!$H$5:$H$34,MATCH($D194,CARDS!$A$5:$A$34,0))="","",IF(DAY($B194)&lt;=INDEX(CARDS!$H$5:$H$34,MATCH($D194,CARDS!$A$5:$A$34,0)),DATE(YEAR($B194),MONTH($B194),MIN(INDEX(CARDS!$H$5:$H$34,MATCH($D194,CARDS!$A$5:$A$34,0)),DAY(EOMONTH($B194,0)))),DATE(YEAR($B194),MONTH($B194)+1,MIN(INDEX(CARDS!$H$5:$H$34,MATCH($D194,CARDS!$A$5:$A$34,0)),DAY(EOMONTH($B194,1)))))),""))</f>
        <v/>
      </c>
      <c r="AE194" s="52" t="str">
        <f>IF($C194="","",$C194&amp;"|"&amp;COUNTIF($C$5:$C194,$C194))</f>
        <v/>
      </c>
      <c r="AF194" s="53">
        <f>IF($AC194&gt;0,SUMIFS(Q$4:Q193,$D$4:$D193,$D194,$Z$4:$Z193,$Z194,$C$4:$C193,$C194),0)</f>
        <v>0</v>
      </c>
      <c r="AG194" s="53">
        <f>IF($AC194&gt;0,SUMIFS(Q$4:Q193,$D$4:$D193,$D194,$C$4:$C193,$C194),0)</f>
        <v>0</v>
      </c>
      <c r="AH194" s="53">
        <f>IF($AC194&gt;0,SUMIFS(M$4:M193,$D$4:$D193,$D194,$Z$4:$Z193,$Z194,$C$4:$C193,$C194),0)</f>
        <v>0</v>
      </c>
      <c r="AI194" s="43">
        <f>IF(OR($C194="",$I194=""),0,IF(COUNTIFS($C$5:$C194,$C194,$I$5:$I194,$I194)=1,1,0))</f>
        <v>0</v>
      </c>
      <c r="AJ194" s="43" t="str">
        <f>IF($AI194=1,SUMIFS($AI$4:$AI193,$C$4:$C193,$C194)+1,"")</f>
        <v/>
      </c>
      <c r="AK194" s="43">
        <f>IF(OR($C194="",$K194=""),0,IF(COUNTIFS($C$5:$C194,$C194,$K$5:$K194,$K194)=1,1,0))</f>
        <v>0</v>
      </c>
      <c r="AL194" s="43" t="str">
        <f>IF($AK194=1,SUMIFS($AK$4:$AK193,$C$4:$C193,$C194)+1,"")</f>
        <v/>
      </c>
      <c r="AM194" s="43">
        <f>IF(OR($C194="",$G194=""),0,IF(COUNTIFS($C$5:$C194,$C194,$G$5:$G194,$G194)=1,1,0))</f>
        <v>0</v>
      </c>
      <c r="AN194" s="43" t="str">
        <f>IF($AM194=1,SUMIFS($AM$4:$AM193,$C$4:$C193,$C194)+1,"")</f>
        <v/>
      </c>
    </row>
    <row r="195">
      <c r="A195" s="44" t="str">
        <f>IF(OR($B195="",$D195=""),"","TX"&amp;TEXT(ROW()-4,"0000"))</f>
        <v/>
      </c>
      <c r="B195" s="42" t="n"/>
      <c r="C195" s="47" t="str">
        <f>IF($B195="","",YEAR($B195)*100+MONTH($B195))</f>
        <v/>
      </c>
      <c r="D195" s="37" t="n"/>
      <c r="E195" s="45" t="str">
        <f>IF($D195="","",IFERROR(INDEX(CARDS!$B$5:$B$34,MATCH($D195,CARDS!$A$5:$A$34,0)),"⚠ Card ID?"))</f>
        <v/>
      </c>
      <c r="F195" s="45" t="str">
        <f>IF($D195="","",IFERROR(INDEX(CARDS!$C$5:$C$34,MATCH($D195,CARDS!$A$5:$A$34,0)),"⚠ Card ID?"))</f>
        <v/>
      </c>
      <c r="G195" s="37" t="n"/>
      <c r="H195" s="37" t="n"/>
      <c r="I195" s="41" t="n"/>
      <c r="J195" s="45" t="str">
        <f>IF($I195="","",IFERROR(INDEX(MCC_MASTER!$B$5:$B$504,MATCH($I195,MCC_MASTER!$A$5:$A$504,0)),"⚠ MCC chưa có"))</f>
        <v/>
      </c>
      <c r="K195" s="45" t="str">
        <f>IF($I195="","",IFERROR(IF(INDEX(MCC_MASTER!$C$5:$C$504,MATCH($I195,MCC_MASTER!$A$5:$A$504,0))="","Chưa phân loại",INDEX(MCC_MASTER!$C$5:$C$504,MATCH($I195,MCC_MASTER!$A$5:$A$504,0))),"Chưa phân loại"))</f>
        <v/>
      </c>
      <c r="L195" s="40" t="n"/>
      <c r="M195" s="48" t="str">
        <f>IF(OR($B195="",$D195=""),"",IF($AC195=0,0,IF(ISNUMBER(INDEX(CASHBACK_RULES!$L$5:$L$304,$AC195)),MAX(0,MIN($L195,INDEX(CASHBACK_RULES!$L$5:$L$304,$AC195)-$AH195)),MAX(0,$L195))))</f>
        <v/>
      </c>
      <c r="N195" s="49" t="str">
        <f>IF(OR($B195="",$D195=""),"",IF($AC195&gt;0,INDEX(CASHBACK_RULES!$I$5:$I$304,$AC195),0))</f>
        <v/>
      </c>
      <c r="O195" s="48" t="str">
        <f>IF(OR($B195="",$D195=""),"",ROUND($M195*$N195,0))</f>
        <v/>
      </c>
      <c r="P195" s="48" t="str">
        <f>IF($AC195&gt;0,IF(ISNUMBER(INDEX(CASHBACK_RULES!$J$5:$J$304,$AC195)),INDEX(CASHBACK_RULES!$J$5:$J$304,$AC195),"∞"),"")</f>
        <v/>
      </c>
      <c r="Q195" s="48" t="str">
        <f>IF(OR($B195="",$D195=""),"",IF($AC195=0,0,MAX(0,MIN($O195,IF(ISNUMBER($P195),$P195-$AF195,1E+15),IF(ISNUMBER($AA195),$AA195-$AG195,1E+15)))))</f>
        <v/>
      </c>
      <c r="R195" s="48" t="str">
        <f>IF(OR($B195="",$D195=""),"",IF($AC195=0,"",IF(AND(NOT(ISNUMBER($P195)),NOT(ISNUMBER($AA195))),"∞",MAX(0,MIN(IF(ISNUMBER($P195),$P195-$AF195-$Q195,1E+15),IF(ISNUMBER($AA195),$AA195-$AG195-$Q195,1E+15))))))</f>
        <v/>
      </c>
      <c r="S195" s="47" t="str">
        <f>IF($AD195="","",YEAR($AD195)*100+MONTH($AD195))</f>
        <v/>
      </c>
      <c r="T195" s="50" t="str">
        <f>IF($AD195="","",IFERROR(IF(INDEX(CARDS!$I$5:$I$34,MATCH($D195,CARDS!$A$5:$A$34,0))="","",IF(INDEX(CARDS!$I$5:$I$34,MATCH($D195,CARDS!$A$5:$A$34,0))&gt;INDEX(CARDS!$H$5:$H$34,MATCH($D195,CARDS!$A$5:$A$34,0)),DATE(YEAR($AD195),MONTH($AD195),MIN(INDEX(CARDS!$I$5:$I$34,MATCH($D195,CARDS!$A$5:$A$34,0)),DAY(EOMONTH($AD195,0)))),DATE(YEAR($AD195),MONTH($AD195)+1,MIN(INDEX(CARDS!$I$5:$I$34,MATCH($D195,CARDS!$A$5:$A$34,0)),DAY(EOMONTH($AD195,1)))))),""))</f>
        <v/>
      </c>
      <c r="U195" s="38" t="n"/>
      <c r="V195" s="37" t="n"/>
      <c r="W195" s="38" t="n"/>
      <c r="X195" s="38" t="n"/>
      <c r="Y195" s="44" t="str">
        <f>IF($AC195&gt;0,INDEX(CASHBACK_RULES!$A$5:$A$304,$AC195),"")</f>
        <v/>
      </c>
      <c r="Z195" s="45" t="str">
        <f>IF($AC195&gt;0,INDEX(CASHBACK_RULES!$E$5:$E$304,$AC195)&amp;"","")</f>
        <v/>
      </c>
      <c r="AA195" s="48" t="str">
        <f>IF($AC195&gt;0,IF(ISNUMBER(INDEX(CASHBACK_RULES!$K$5:$K$304,$AC195)),INDEX(CASHBACK_RULES!$K$5:$K$304,$AC195),"∞"),"")</f>
        <v/>
      </c>
      <c r="AB195" s="44" t="str">
        <f>IF(OR($B195="",$D195=""),"",IF($U195="Cancelled","Đã hủy",IF($AC195=0,"Không được hoàn",IF($Q195=0,IF(OR($O195&gt;0,$M195&lt;$L195),"Đã đạt cap","Không được hoàn"),IF(OR($Q195&lt;$O195,$M195&lt;$L195),"Hoàn một phần","Được hoàn")))))</f>
        <v/>
      </c>
      <c r="AC195" s="43">
        <f>IF(OR($B195="",$D195="",$I195="",$L195=""),0,IF($U195="Cancelled",0,IF($W195&lt;&gt;"",IFERROR(IF(INDEX(CASHBACK_RULES!$B$5:$B$304,MATCH($W195,CASHBACK_RULES!$A$5:$A$304,0))=$D195,MATCH($W195,CASHBACK_RULES!$A$5:$A$304,0),0),0),IFERROR(MATCH(1,INDEX((CASHBACK_RULES!$B$5:$B$304=$D195)*(CASHBACK_RULES!$G$5:$G$304=$I195)*(((CASHBACK_RULES!$N$5:$N$304="")+(CASHBACK_RULES!$N$5:$N$304&lt;=$B195))&gt;0)*(((CASHBACK_RULES!$O$5:$O$304="")+(CASHBACK_RULES!$O$5:$O$304&gt;=$B195))&gt;0)*(((CASHBACK_RULES!$M$5:$M$304="")+(CASHBACK_RULES!$M$5:$M$304&lt;=$L195))&gt;0),0),0),0))))</f>
        <v>0</v>
      </c>
      <c r="AD195" s="51" t="str">
        <f>IF(OR($B195="",$D195=""),"",IFERROR(IF(INDEX(CARDS!$H$5:$H$34,MATCH($D195,CARDS!$A$5:$A$34,0))="","",IF(DAY($B195)&lt;=INDEX(CARDS!$H$5:$H$34,MATCH($D195,CARDS!$A$5:$A$34,0)),DATE(YEAR($B195),MONTH($B195),MIN(INDEX(CARDS!$H$5:$H$34,MATCH($D195,CARDS!$A$5:$A$34,0)),DAY(EOMONTH($B195,0)))),DATE(YEAR($B195),MONTH($B195)+1,MIN(INDEX(CARDS!$H$5:$H$34,MATCH($D195,CARDS!$A$5:$A$34,0)),DAY(EOMONTH($B195,1)))))),""))</f>
        <v/>
      </c>
      <c r="AE195" s="52" t="str">
        <f>IF($C195="","",$C195&amp;"|"&amp;COUNTIF($C$5:$C195,$C195))</f>
        <v/>
      </c>
      <c r="AF195" s="53">
        <f>IF($AC195&gt;0,SUMIFS(Q$4:Q194,$D$4:$D194,$D195,$Z$4:$Z194,$Z195,$C$4:$C194,$C195),0)</f>
        <v>0</v>
      </c>
      <c r="AG195" s="53">
        <f>IF($AC195&gt;0,SUMIFS(Q$4:Q194,$D$4:$D194,$D195,$C$4:$C194,$C195),0)</f>
        <v>0</v>
      </c>
      <c r="AH195" s="53">
        <f>IF($AC195&gt;0,SUMIFS(M$4:M194,$D$4:$D194,$D195,$Z$4:$Z194,$Z195,$C$4:$C194,$C195),0)</f>
        <v>0</v>
      </c>
      <c r="AI195" s="43">
        <f>IF(OR($C195="",$I195=""),0,IF(COUNTIFS($C$5:$C195,$C195,$I$5:$I195,$I195)=1,1,0))</f>
        <v>0</v>
      </c>
      <c r="AJ195" s="43" t="str">
        <f>IF($AI195=1,SUMIFS($AI$4:$AI194,$C$4:$C194,$C195)+1,"")</f>
        <v/>
      </c>
      <c r="AK195" s="43">
        <f>IF(OR($C195="",$K195=""),0,IF(COUNTIFS($C$5:$C195,$C195,$K$5:$K195,$K195)=1,1,0))</f>
        <v>0</v>
      </c>
      <c r="AL195" s="43" t="str">
        <f>IF($AK195=1,SUMIFS($AK$4:$AK194,$C$4:$C194,$C195)+1,"")</f>
        <v/>
      </c>
      <c r="AM195" s="43">
        <f>IF(OR($C195="",$G195=""),0,IF(COUNTIFS($C$5:$C195,$C195,$G$5:$G195,$G195)=1,1,0))</f>
        <v>0</v>
      </c>
      <c r="AN195" s="43" t="str">
        <f>IF($AM195=1,SUMIFS($AM$4:$AM194,$C$4:$C194,$C195)+1,"")</f>
        <v/>
      </c>
    </row>
    <row r="196">
      <c r="A196" s="44" t="str">
        <f>IF(OR($B196="",$D196=""),"","TX"&amp;TEXT(ROW()-4,"0000"))</f>
        <v/>
      </c>
      <c r="B196" s="42" t="n"/>
      <c r="C196" s="47" t="str">
        <f>IF($B196="","",YEAR($B196)*100+MONTH($B196))</f>
        <v/>
      </c>
      <c r="D196" s="37" t="n"/>
      <c r="E196" s="45" t="str">
        <f>IF($D196="","",IFERROR(INDEX(CARDS!$B$5:$B$34,MATCH($D196,CARDS!$A$5:$A$34,0)),"⚠ Card ID?"))</f>
        <v/>
      </c>
      <c r="F196" s="45" t="str">
        <f>IF($D196="","",IFERROR(INDEX(CARDS!$C$5:$C$34,MATCH($D196,CARDS!$A$5:$A$34,0)),"⚠ Card ID?"))</f>
        <v/>
      </c>
      <c r="G196" s="37" t="n"/>
      <c r="H196" s="37" t="n"/>
      <c r="I196" s="41" t="n"/>
      <c r="J196" s="45" t="str">
        <f>IF($I196="","",IFERROR(INDEX(MCC_MASTER!$B$5:$B$504,MATCH($I196,MCC_MASTER!$A$5:$A$504,0)),"⚠ MCC chưa có"))</f>
        <v/>
      </c>
      <c r="K196" s="45" t="str">
        <f>IF($I196="","",IFERROR(IF(INDEX(MCC_MASTER!$C$5:$C$504,MATCH($I196,MCC_MASTER!$A$5:$A$504,0))="","Chưa phân loại",INDEX(MCC_MASTER!$C$5:$C$504,MATCH($I196,MCC_MASTER!$A$5:$A$504,0))),"Chưa phân loại"))</f>
        <v/>
      </c>
      <c r="L196" s="40" t="n"/>
      <c r="M196" s="48" t="str">
        <f>IF(OR($B196="",$D196=""),"",IF($AC196=0,0,IF(ISNUMBER(INDEX(CASHBACK_RULES!$L$5:$L$304,$AC196)),MAX(0,MIN($L196,INDEX(CASHBACK_RULES!$L$5:$L$304,$AC196)-$AH196)),MAX(0,$L196))))</f>
        <v/>
      </c>
      <c r="N196" s="49" t="str">
        <f>IF(OR($B196="",$D196=""),"",IF($AC196&gt;0,INDEX(CASHBACK_RULES!$I$5:$I$304,$AC196),0))</f>
        <v/>
      </c>
      <c r="O196" s="48" t="str">
        <f>IF(OR($B196="",$D196=""),"",ROUND($M196*$N196,0))</f>
        <v/>
      </c>
      <c r="P196" s="48" t="str">
        <f>IF($AC196&gt;0,IF(ISNUMBER(INDEX(CASHBACK_RULES!$J$5:$J$304,$AC196)),INDEX(CASHBACK_RULES!$J$5:$J$304,$AC196),"∞"),"")</f>
        <v/>
      </c>
      <c r="Q196" s="48" t="str">
        <f>IF(OR($B196="",$D196=""),"",IF($AC196=0,0,MAX(0,MIN($O196,IF(ISNUMBER($P196),$P196-$AF196,1E+15),IF(ISNUMBER($AA196),$AA196-$AG196,1E+15)))))</f>
        <v/>
      </c>
      <c r="R196" s="48" t="str">
        <f>IF(OR($B196="",$D196=""),"",IF($AC196=0,"",IF(AND(NOT(ISNUMBER($P196)),NOT(ISNUMBER($AA196))),"∞",MAX(0,MIN(IF(ISNUMBER($P196),$P196-$AF196-$Q196,1E+15),IF(ISNUMBER($AA196),$AA196-$AG196-$Q196,1E+15))))))</f>
        <v/>
      </c>
      <c r="S196" s="47" t="str">
        <f>IF($AD196="","",YEAR($AD196)*100+MONTH($AD196))</f>
        <v/>
      </c>
      <c r="T196" s="50" t="str">
        <f>IF($AD196="","",IFERROR(IF(INDEX(CARDS!$I$5:$I$34,MATCH($D196,CARDS!$A$5:$A$34,0))="","",IF(INDEX(CARDS!$I$5:$I$34,MATCH($D196,CARDS!$A$5:$A$34,0))&gt;INDEX(CARDS!$H$5:$H$34,MATCH($D196,CARDS!$A$5:$A$34,0)),DATE(YEAR($AD196),MONTH($AD196),MIN(INDEX(CARDS!$I$5:$I$34,MATCH($D196,CARDS!$A$5:$A$34,0)),DAY(EOMONTH($AD196,0)))),DATE(YEAR($AD196),MONTH($AD196)+1,MIN(INDEX(CARDS!$I$5:$I$34,MATCH($D196,CARDS!$A$5:$A$34,0)),DAY(EOMONTH($AD196,1)))))),""))</f>
        <v/>
      </c>
      <c r="U196" s="38" t="n"/>
      <c r="V196" s="37" t="n"/>
      <c r="W196" s="38" t="n"/>
      <c r="X196" s="38" t="n"/>
      <c r="Y196" s="44" t="str">
        <f>IF($AC196&gt;0,INDEX(CASHBACK_RULES!$A$5:$A$304,$AC196),"")</f>
        <v/>
      </c>
      <c r="Z196" s="45" t="str">
        <f>IF($AC196&gt;0,INDEX(CASHBACK_RULES!$E$5:$E$304,$AC196)&amp;"","")</f>
        <v/>
      </c>
      <c r="AA196" s="48" t="str">
        <f>IF($AC196&gt;0,IF(ISNUMBER(INDEX(CASHBACK_RULES!$K$5:$K$304,$AC196)),INDEX(CASHBACK_RULES!$K$5:$K$304,$AC196),"∞"),"")</f>
        <v/>
      </c>
      <c r="AB196" s="44" t="str">
        <f>IF(OR($B196="",$D196=""),"",IF($U196="Cancelled","Đã hủy",IF($AC196=0,"Không được hoàn",IF($Q196=0,IF(OR($O196&gt;0,$M196&lt;$L196),"Đã đạt cap","Không được hoàn"),IF(OR($Q196&lt;$O196,$M196&lt;$L196),"Hoàn một phần","Được hoàn")))))</f>
        <v/>
      </c>
      <c r="AC196" s="43">
        <f>IF(OR($B196="",$D196="",$I196="",$L196=""),0,IF($U196="Cancelled",0,IF($W196&lt;&gt;"",IFERROR(IF(INDEX(CASHBACK_RULES!$B$5:$B$304,MATCH($W196,CASHBACK_RULES!$A$5:$A$304,0))=$D196,MATCH($W196,CASHBACK_RULES!$A$5:$A$304,0),0),0),IFERROR(MATCH(1,INDEX((CASHBACK_RULES!$B$5:$B$304=$D196)*(CASHBACK_RULES!$G$5:$G$304=$I196)*(((CASHBACK_RULES!$N$5:$N$304="")+(CASHBACK_RULES!$N$5:$N$304&lt;=$B196))&gt;0)*(((CASHBACK_RULES!$O$5:$O$304="")+(CASHBACK_RULES!$O$5:$O$304&gt;=$B196))&gt;0)*(((CASHBACK_RULES!$M$5:$M$304="")+(CASHBACK_RULES!$M$5:$M$304&lt;=$L196))&gt;0),0),0),0))))</f>
        <v>0</v>
      </c>
      <c r="AD196" s="51" t="str">
        <f>IF(OR($B196="",$D196=""),"",IFERROR(IF(INDEX(CARDS!$H$5:$H$34,MATCH($D196,CARDS!$A$5:$A$34,0))="","",IF(DAY($B196)&lt;=INDEX(CARDS!$H$5:$H$34,MATCH($D196,CARDS!$A$5:$A$34,0)),DATE(YEAR($B196),MONTH($B196),MIN(INDEX(CARDS!$H$5:$H$34,MATCH($D196,CARDS!$A$5:$A$34,0)),DAY(EOMONTH($B196,0)))),DATE(YEAR($B196),MONTH($B196)+1,MIN(INDEX(CARDS!$H$5:$H$34,MATCH($D196,CARDS!$A$5:$A$34,0)),DAY(EOMONTH($B196,1)))))),""))</f>
        <v/>
      </c>
      <c r="AE196" s="52" t="str">
        <f>IF($C196="","",$C196&amp;"|"&amp;COUNTIF($C$5:$C196,$C196))</f>
        <v/>
      </c>
      <c r="AF196" s="53">
        <f>IF($AC196&gt;0,SUMIFS(Q$4:Q195,$D$4:$D195,$D196,$Z$4:$Z195,$Z196,$C$4:$C195,$C196),0)</f>
        <v>0</v>
      </c>
      <c r="AG196" s="53">
        <f>IF($AC196&gt;0,SUMIFS(Q$4:Q195,$D$4:$D195,$D196,$C$4:$C195,$C196),0)</f>
        <v>0</v>
      </c>
      <c r="AH196" s="53">
        <f>IF($AC196&gt;0,SUMIFS(M$4:M195,$D$4:$D195,$D196,$Z$4:$Z195,$Z196,$C$4:$C195,$C196),0)</f>
        <v>0</v>
      </c>
      <c r="AI196" s="43">
        <f>IF(OR($C196="",$I196=""),0,IF(COUNTIFS($C$5:$C196,$C196,$I$5:$I196,$I196)=1,1,0))</f>
        <v>0</v>
      </c>
      <c r="AJ196" s="43" t="str">
        <f>IF($AI196=1,SUMIFS($AI$4:$AI195,$C$4:$C195,$C196)+1,"")</f>
        <v/>
      </c>
      <c r="AK196" s="43">
        <f>IF(OR($C196="",$K196=""),0,IF(COUNTIFS($C$5:$C196,$C196,$K$5:$K196,$K196)=1,1,0))</f>
        <v>0</v>
      </c>
      <c r="AL196" s="43" t="str">
        <f>IF($AK196=1,SUMIFS($AK$4:$AK195,$C$4:$C195,$C196)+1,"")</f>
        <v/>
      </c>
      <c r="AM196" s="43">
        <f>IF(OR($C196="",$G196=""),0,IF(COUNTIFS($C$5:$C196,$C196,$G$5:$G196,$G196)=1,1,0))</f>
        <v>0</v>
      </c>
      <c r="AN196" s="43" t="str">
        <f>IF($AM196=1,SUMIFS($AM$4:$AM195,$C$4:$C195,$C196)+1,"")</f>
        <v/>
      </c>
    </row>
    <row r="197">
      <c r="A197" s="44" t="str">
        <f>IF(OR($B197="",$D197=""),"","TX"&amp;TEXT(ROW()-4,"0000"))</f>
        <v/>
      </c>
      <c r="B197" s="42" t="n"/>
      <c r="C197" s="47" t="str">
        <f>IF($B197="","",YEAR($B197)*100+MONTH($B197))</f>
        <v/>
      </c>
      <c r="D197" s="37" t="n"/>
      <c r="E197" s="45" t="str">
        <f>IF($D197="","",IFERROR(INDEX(CARDS!$B$5:$B$34,MATCH($D197,CARDS!$A$5:$A$34,0)),"⚠ Card ID?"))</f>
        <v/>
      </c>
      <c r="F197" s="45" t="str">
        <f>IF($D197="","",IFERROR(INDEX(CARDS!$C$5:$C$34,MATCH($D197,CARDS!$A$5:$A$34,0)),"⚠ Card ID?"))</f>
        <v/>
      </c>
      <c r="G197" s="37" t="n"/>
      <c r="H197" s="37" t="n"/>
      <c r="I197" s="41" t="n"/>
      <c r="J197" s="45" t="str">
        <f>IF($I197="","",IFERROR(INDEX(MCC_MASTER!$B$5:$B$504,MATCH($I197,MCC_MASTER!$A$5:$A$504,0)),"⚠ MCC chưa có"))</f>
        <v/>
      </c>
      <c r="K197" s="45" t="str">
        <f>IF($I197="","",IFERROR(IF(INDEX(MCC_MASTER!$C$5:$C$504,MATCH($I197,MCC_MASTER!$A$5:$A$504,0))="","Chưa phân loại",INDEX(MCC_MASTER!$C$5:$C$504,MATCH($I197,MCC_MASTER!$A$5:$A$504,0))),"Chưa phân loại"))</f>
        <v/>
      </c>
      <c r="L197" s="40" t="n"/>
      <c r="M197" s="48" t="str">
        <f>IF(OR($B197="",$D197=""),"",IF($AC197=0,0,IF(ISNUMBER(INDEX(CASHBACK_RULES!$L$5:$L$304,$AC197)),MAX(0,MIN($L197,INDEX(CASHBACK_RULES!$L$5:$L$304,$AC197)-$AH197)),MAX(0,$L197))))</f>
        <v/>
      </c>
      <c r="N197" s="49" t="str">
        <f>IF(OR($B197="",$D197=""),"",IF($AC197&gt;0,INDEX(CASHBACK_RULES!$I$5:$I$304,$AC197),0))</f>
        <v/>
      </c>
      <c r="O197" s="48" t="str">
        <f>IF(OR($B197="",$D197=""),"",ROUND($M197*$N197,0))</f>
        <v/>
      </c>
      <c r="P197" s="48" t="str">
        <f>IF($AC197&gt;0,IF(ISNUMBER(INDEX(CASHBACK_RULES!$J$5:$J$304,$AC197)),INDEX(CASHBACK_RULES!$J$5:$J$304,$AC197),"∞"),"")</f>
        <v/>
      </c>
      <c r="Q197" s="48" t="str">
        <f>IF(OR($B197="",$D197=""),"",IF($AC197=0,0,MAX(0,MIN($O197,IF(ISNUMBER($P197),$P197-$AF197,1E+15),IF(ISNUMBER($AA197),$AA197-$AG197,1E+15)))))</f>
        <v/>
      </c>
      <c r="R197" s="48" t="str">
        <f>IF(OR($B197="",$D197=""),"",IF($AC197=0,"",IF(AND(NOT(ISNUMBER($P197)),NOT(ISNUMBER($AA197))),"∞",MAX(0,MIN(IF(ISNUMBER($P197),$P197-$AF197-$Q197,1E+15),IF(ISNUMBER($AA197),$AA197-$AG197-$Q197,1E+15))))))</f>
        <v/>
      </c>
      <c r="S197" s="47" t="str">
        <f>IF($AD197="","",YEAR($AD197)*100+MONTH($AD197))</f>
        <v/>
      </c>
      <c r="T197" s="50" t="str">
        <f>IF($AD197="","",IFERROR(IF(INDEX(CARDS!$I$5:$I$34,MATCH($D197,CARDS!$A$5:$A$34,0))="","",IF(INDEX(CARDS!$I$5:$I$34,MATCH($D197,CARDS!$A$5:$A$34,0))&gt;INDEX(CARDS!$H$5:$H$34,MATCH($D197,CARDS!$A$5:$A$34,0)),DATE(YEAR($AD197),MONTH($AD197),MIN(INDEX(CARDS!$I$5:$I$34,MATCH($D197,CARDS!$A$5:$A$34,0)),DAY(EOMONTH($AD197,0)))),DATE(YEAR($AD197),MONTH($AD197)+1,MIN(INDEX(CARDS!$I$5:$I$34,MATCH($D197,CARDS!$A$5:$A$34,0)),DAY(EOMONTH($AD197,1)))))),""))</f>
        <v/>
      </c>
      <c r="U197" s="38" t="n"/>
      <c r="V197" s="37" t="n"/>
      <c r="W197" s="38" t="n"/>
      <c r="X197" s="38" t="n"/>
      <c r="Y197" s="44" t="str">
        <f>IF($AC197&gt;0,INDEX(CASHBACK_RULES!$A$5:$A$304,$AC197),"")</f>
        <v/>
      </c>
      <c r="Z197" s="45" t="str">
        <f>IF($AC197&gt;0,INDEX(CASHBACK_RULES!$E$5:$E$304,$AC197)&amp;"","")</f>
        <v/>
      </c>
      <c r="AA197" s="48" t="str">
        <f>IF($AC197&gt;0,IF(ISNUMBER(INDEX(CASHBACK_RULES!$K$5:$K$304,$AC197)),INDEX(CASHBACK_RULES!$K$5:$K$304,$AC197),"∞"),"")</f>
        <v/>
      </c>
      <c r="AB197" s="44" t="str">
        <f>IF(OR($B197="",$D197=""),"",IF($U197="Cancelled","Đã hủy",IF($AC197=0,"Không được hoàn",IF($Q197=0,IF(OR($O197&gt;0,$M197&lt;$L197),"Đã đạt cap","Không được hoàn"),IF(OR($Q197&lt;$O197,$M197&lt;$L197),"Hoàn một phần","Được hoàn")))))</f>
        <v/>
      </c>
      <c r="AC197" s="43">
        <f>IF(OR($B197="",$D197="",$I197="",$L197=""),0,IF($U197="Cancelled",0,IF($W197&lt;&gt;"",IFERROR(IF(INDEX(CASHBACK_RULES!$B$5:$B$304,MATCH($W197,CASHBACK_RULES!$A$5:$A$304,0))=$D197,MATCH($W197,CASHBACK_RULES!$A$5:$A$304,0),0),0),IFERROR(MATCH(1,INDEX((CASHBACK_RULES!$B$5:$B$304=$D197)*(CASHBACK_RULES!$G$5:$G$304=$I197)*(((CASHBACK_RULES!$N$5:$N$304="")+(CASHBACK_RULES!$N$5:$N$304&lt;=$B197))&gt;0)*(((CASHBACK_RULES!$O$5:$O$304="")+(CASHBACK_RULES!$O$5:$O$304&gt;=$B197))&gt;0)*(((CASHBACK_RULES!$M$5:$M$304="")+(CASHBACK_RULES!$M$5:$M$304&lt;=$L197))&gt;0),0),0),0))))</f>
        <v>0</v>
      </c>
      <c r="AD197" s="51" t="str">
        <f>IF(OR($B197="",$D197=""),"",IFERROR(IF(INDEX(CARDS!$H$5:$H$34,MATCH($D197,CARDS!$A$5:$A$34,0))="","",IF(DAY($B197)&lt;=INDEX(CARDS!$H$5:$H$34,MATCH($D197,CARDS!$A$5:$A$34,0)),DATE(YEAR($B197),MONTH($B197),MIN(INDEX(CARDS!$H$5:$H$34,MATCH($D197,CARDS!$A$5:$A$34,0)),DAY(EOMONTH($B197,0)))),DATE(YEAR($B197),MONTH($B197)+1,MIN(INDEX(CARDS!$H$5:$H$34,MATCH($D197,CARDS!$A$5:$A$34,0)),DAY(EOMONTH($B197,1)))))),""))</f>
        <v/>
      </c>
      <c r="AE197" s="52" t="str">
        <f>IF($C197="","",$C197&amp;"|"&amp;COUNTIF($C$5:$C197,$C197))</f>
        <v/>
      </c>
      <c r="AF197" s="53">
        <f>IF($AC197&gt;0,SUMIFS(Q$4:Q196,$D$4:$D196,$D197,$Z$4:$Z196,$Z197,$C$4:$C196,$C197),0)</f>
        <v>0</v>
      </c>
      <c r="AG197" s="53">
        <f>IF($AC197&gt;0,SUMIFS(Q$4:Q196,$D$4:$D196,$D197,$C$4:$C196,$C197),0)</f>
        <v>0</v>
      </c>
      <c r="AH197" s="53">
        <f>IF($AC197&gt;0,SUMIFS(M$4:M196,$D$4:$D196,$D197,$Z$4:$Z196,$Z197,$C$4:$C196,$C197),0)</f>
        <v>0</v>
      </c>
      <c r="AI197" s="43">
        <f>IF(OR($C197="",$I197=""),0,IF(COUNTIFS($C$5:$C197,$C197,$I$5:$I197,$I197)=1,1,0))</f>
        <v>0</v>
      </c>
      <c r="AJ197" s="43" t="str">
        <f>IF($AI197=1,SUMIFS($AI$4:$AI196,$C$4:$C196,$C197)+1,"")</f>
        <v/>
      </c>
      <c r="AK197" s="43">
        <f>IF(OR($C197="",$K197=""),0,IF(COUNTIFS($C$5:$C197,$C197,$K$5:$K197,$K197)=1,1,0))</f>
        <v>0</v>
      </c>
      <c r="AL197" s="43" t="str">
        <f>IF($AK197=1,SUMIFS($AK$4:$AK196,$C$4:$C196,$C197)+1,"")</f>
        <v/>
      </c>
      <c r="AM197" s="43">
        <f>IF(OR($C197="",$G197=""),0,IF(COUNTIFS($C$5:$C197,$C197,$G$5:$G197,$G197)=1,1,0))</f>
        <v>0</v>
      </c>
      <c r="AN197" s="43" t="str">
        <f>IF($AM197=1,SUMIFS($AM$4:$AM196,$C$4:$C196,$C197)+1,"")</f>
        <v/>
      </c>
    </row>
    <row r="198">
      <c r="A198" s="44" t="str">
        <f>IF(OR($B198="",$D198=""),"","TX"&amp;TEXT(ROW()-4,"0000"))</f>
        <v/>
      </c>
      <c r="B198" s="42" t="n"/>
      <c r="C198" s="47" t="str">
        <f>IF($B198="","",YEAR($B198)*100+MONTH($B198))</f>
        <v/>
      </c>
      <c r="D198" s="37" t="n"/>
      <c r="E198" s="45" t="str">
        <f>IF($D198="","",IFERROR(INDEX(CARDS!$B$5:$B$34,MATCH($D198,CARDS!$A$5:$A$34,0)),"⚠ Card ID?"))</f>
        <v/>
      </c>
      <c r="F198" s="45" t="str">
        <f>IF($D198="","",IFERROR(INDEX(CARDS!$C$5:$C$34,MATCH($D198,CARDS!$A$5:$A$34,0)),"⚠ Card ID?"))</f>
        <v/>
      </c>
      <c r="G198" s="37" t="n"/>
      <c r="H198" s="37" t="n"/>
      <c r="I198" s="41" t="n"/>
      <c r="J198" s="45" t="str">
        <f>IF($I198="","",IFERROR(INDEX(MCC_MASTER!$B$5:$B$504,MATCH($I198,MCC_MASTER!$A$5:$A$504,0)),"⚠ MCC chưa có"))</f>
        <v/>
      </c>
      <c r="K198" s="45" t="str">
        <f>IF($I198="","",IFERROR(IF(INDEX(MCC_MASTER!$C$5:$C$504,MATCH($I198,MCC_MASTER!$A$5:$A$504,0))="","Chưa phân loại",INDEX(MCC_MASTER!$C$5:$C$504,MATCH($I198,MCC_MASTER!$A$5:$A$504,0))),"Chưa phân loại"))</f>
        <v/>
      </c>
      <c r="L198" s="40" t="n"/>
      <c r="M198" s="48" t="str">
        <f>IF(OR($B198="",$D198=""),"",IF($AC198=0,0,IF(ISNUMBER(INDEX(CASHBACK_RULES!$L$5:$L$304,$AC198)),MAX(0,MIN($L198,INDEX(CASHBACK_RULES!$L$5:$L$304,$AC198)-$AH198)),MAX(0,$L198))))</f>
        <v/>
      </c>
      <c r="N198" s="49" t="str">
        <f>IF(OR($B198="",$D198=""),"",IF($AC198&gt;0,INDEX(CASHBACK_RULES!$I$5:$I$304,$AC198),0))</f>
        <v/>
      </c>
      <c r="O198" s="48" t="str">
        <f>IF(OR($B198="",$D198=""),"",ROUND($M198*$N198,0))</f>
        <v/>
      </c>
      <c r="P198" s="48" t="str">
        <f>IF($AC198&gt;0,IF(ISNUMBER(INDEX(CASHBACK_RULES!$J$5:$J$304,$AC198)),INDEX(CASHBACK_RULES!$J$5:$J$304,$AC198),"∞"),"")</f>
        <v/>
      </c>
      <c r="Q198" s="48" t="str">
        <f>IF(OR($B198="",$D198=""),"",IF($AC198=0,0,MAX(0,MIN($O198,IF(ISNUMBER($P198),$P198-$AF198,1E+15),IF(ISNUMBER($AA198),$AA198-$AG198,1E+15)))))</f>
        <v/>
      </c>
      <c r="R198" s="48" t="str">
        <f>IF(OR($B198="",$D198=""),"",IF($AC198=0,"",IF(AND(NOT(ISNUMBER($P198)),NOT(ISNUMBER($AA198))),"∞",MAX(0,MIN(IF(ISNUMBER($P198),$P198-$AF198-$Q198,1E+15),IF(ISNUMBER($AA198),$AA198-$AG198-$Q198,1E+15))))))</f>
        <v/>
      </c>
      <c r="S198" s="47" t="str">
        <f>IF($AD198="","",YEAR($AD198)*100+MONTH($AD198))</f>
        <v/>
      </c>
      <c r="T198" s="50" t="str">
        <f>IF($AD198="","",IFERROR(IF(INDEX(CARDS!$I$5:$I$34,MATCH($D198,CARDS!$A$5:$A$34,0))="","",IF(INDEX(CARDS!$I$5:$I$34,MATCH($D198,CARDS!$A$5:$A$34,0))&gt;INDEX(CARDS!$H$5:$H$34,MATCH($D198,CARDS!$A$5:$A$34,0)),DATE(YEAR($AD198),MONTH($AD198),MIN(INDEX(CARDS!$I$5:$I$34,MATCH($D198,CARDS!$A$5:$A$34,0)),DAY(EOMONTH($AD198,0)))),DATE(YEAR($AD198),MONTH($AD198)+1,MIN(INDEX(CARDS!$I$5:$I$34,MATCH($D198,CARDS!$A$5:$A$34,0)),DAY(EOMONTH($AD198,1)))))),""))</f>
        <v/>
      </c>
      <c r="U198" s="38" t="n"/>
      <c r="V198" s="37" t="n"/>
      <c r="W198" s="38" t="n"/>
      <c r="X198" s="38" t="n"/>
      <c r="Y198" s="44" t="str">
        <f>IF($AC198&gt;0,INDEX(CASHBACK_RULES!$A$5:$A$304,$AC198),"")</f>
        <v/>
      </c>
      <c r="Z198" s="45" t="str">
        <f>IF($AC198&gt;0,INDEX(CASHBACK_RULES!$E$5:$E$304,$AC198)&amp;"","")</f>
        <v/>
      </c>
      <c r="AA198" s="48" t="str">
        <f>IF($AC198&gt;0,IF(ISNUMBER(INDEX(CASHBACK_RULES!$K$5:$K$304,$AC198)),INDEX(CASHBACK_RULES!$K$5:$K$304,$AC198),"∞"),"")</f>
        <v/>
      </c>
      <c r="AB198" s="44" t="str">
        <f>IF(OR($B198="",$D198=""),"",IF($U198="Cancelled","Đã hủy",IF($AC198=0,"Không được hoàn",IF($Q198=0,IF(OR($O198&gt;0,$M198&lt;$L198),"Đã đạt cap","Không được hoàn"),IF(OR($Q198&lt;$O198,$M198&lt;$L198),"Hoàn một phần","Được hoàn")))))</f>
        <v/>
      </c>
      <c r="AC198" s="43">
        <f>IF(OR($B198="",$D198="",$I198="",$L198=""),0,IF($U198="Cancelled",0,IF($W198&lt;&gt;"",IFERROR(IF(INDEX(CASHBACK_RULES!$B$5:$B$304,MATCH($W198,CASHBACK_RULES!$A$5:$A$304,0))=$D198,MATCH($W198,CASHBACK_RULES!$A$5:$A$304,0),0),0),IFERROR(MATCH(1,INDEX((CASHBACK_RULES!$B$5:$B$304=$D198)*(CASHBACK_RULES!$G$5:$G$304=$I198)*(((CASHBACK_RULES!$N$5:$N$304="")+(CASHBACK_RULES!$N$5:$N$304&lt;=$B198))&gt;0)*(((CASHBACK_RULES!$O$5:$O$304="")+(CASHBACK_RULES!$O$5:$O$304&gt;=$B198))&gt;0)*(((CASHBACK_RULES!$M$5:$M$304="")+(CASHBACK_RULES!$M$5:$M$304&lt;=$L198))&gt;0),0),0),0))))</f>
        <v>0</v>
      </c>
      <c r="AD198" s="51" t="str">
        <f>IF(OR($B198="",$D198=""),"",IFERROR(IF(INDEX(CARDS!$H$5:$H$34,MATCH($D198,CARDS!$A$5:$A$34,0))="","",IF(DAY($B198)&lt;=INDEX(CARDS!$H$5:$H$34,MATCH($D198,CARDS!$A$5:$A$34,0)),DATE(YEAR($B198),MONTH($B198),MIN(INDEX(CARDS!$H$5:$H$34,MATCH($D198,CARDS!$A$5:$A$34,0)),DAY(EOMONTH($B198,0)))),DATE(YEAR($B198),MONTH($B198)+1,MIN(INDEX(CARDS!$H$5:$H$34,MATCH($D198,CARDS!$A$5:$A$34,0)),DAY(EOMONTH($B198,1)))))),""))</f>
        <v/>
      </c>
      <c r="AE198" s="52" t="str">
        <f>IF($C198="","",$C198&amp;"|"&amp;COUNTIF($C$5:$C198,$C198))</f>
        <v/>
      </c>
      <c r="AF198" s="53">
        <f>IF($AC198&gt;0,SUMIFS(Q$4:Q197,$D$4:$D197,$D198,$Z$4:$Z197,$Z198,$C$4:$C197,$C198),0)</f>
        <v>0</v>
      </c>
      <c r="AG198" s="53">
        <f>IF($AC198&gt;0,SUMIFS(Q$4:Q197,$D$4:$D197,$D198,$C$4:$C197,$C198),0)</f>
        <v>0</v>
      </c>
      <c r="AH198" s="53">
        <f>IF($AC198&gt;0,SUMIFS(M$4:M197,$D$4:$D197,$D198,$Z$4:$Z197,$Z198,$C$4:$C197,$C198),0)</f>
        <v>0</v>
      </c>
      <c r="AI198" s="43">
        <f>IF(OR($C198="",$I198=""),0,IF(COUNTIFS($C$5:$C198,$C198,$I$5:$I198,$I198)=1,1,0))</f>
        <v>0</v>
      </c>
      <c r="AJ198" s="43" t="str">
        <f>IF($AI198=1,SUMIFS($AI$4:$AI197,$C$4:$C197,$C198)+1,"")</f>
        <v/>
      </c>
      <c r="AK198" s="43">
        <f>IF(OR($C198="",$K198=""),0,IF(COUNTIFS($C$5:$C198,$C198,$K$5:$K198,$K198)=1,1,0))</f>
        <v>0</v>
      </c>
      <c r="AL198" s="43" t="str">
        <f>IF($AK198=1,SUMIFS($AK$4:$AK197,$C$4:$C197,$C198)+1,"")</f>
        <v/>
      </c>
      <c r="AM198" s="43">
        <f>IF(OR($C198="",$G198=""),0,IF(COUNTIFS($C$5:$C198,$C198,$G$5:$G198,$G198)=1,1,0))</f>
        <v>0</v>
      </c>
      <c r="AN198" s="43" t="str">
        <f>IF($AM198=1,SUMIFS($AM$4:$AM197,$C$4:$C197,$C198)+1,"")</f>
        <v/>
      </c>
    </row>
    <row r="199">
      <c r="A199" s="44" t="str">
        <f>IF(OR($B199="",$D199=""),"","TX"&amp;TEXT(ROW()-4,"0000"))</f>
        <v/>
      </c>
      <c r="B199" s="42" t="n"/>
      <c r="C199" s="47" t="str">
        <f>IF($B199="","",YEAR($B199)*100+MONTH($B199))</f>
        <v/>
      </c>
      <c r="D199" s="37" t="n"/>
      <c r="E199" s="45" t="str">
        <f>IF($D199="","",IFERROR(INDEX(CARDS!$B$5:$B$34,MATCH($D199,CARDS!$A$5:$A$34,0)),"⚠ Card ID?"))</f>
        <v/>
      </c>
      <c r="F199" s="45" t="str">
        <f>IF($D199="","",IFERROR(INDEX(CARDS!$C$5:$C$34,MATCH($D199,CARDS!$A$5:$A$34,0)),"⚠ Card ID?"))</f>
        <v/>
      </c>
      <c r="G199" s="37" t="n"/>
      <c r="H199" s="37" t="n"/>
      <c r="I199" s="41" t="n"/>
      <c r="J199" s="45" t="str">
        <f>IF($I199="","",IFERROR(INDEX(MCC_MASTER!$B$5:$B$504,MATCH($I199,MCC_MASTER!$A$5:$A$504,0)),"⚠ MCC chưa có"))</f>
        <v/>
      </c>
      <c r="K199" s="45" t="str">
        <f>IF($I199="","",IFERROR(IF(INDEX(MCC_MASTER!$C$5:$C$504,MATCH($I199,MCC_MASTER!$A$5:$A$504,0))="","Chưa phân loại",INDEX(MCC_MASTER!$C$5:$C$504,MATCH($I199,MCC_MASTER!$A$5:$A$504,0))),"Chưa phân loại"))</f>
        <v/>
      </c>
      <c r="L199" s="40" t="n"/>
      <c r="M199" s="48" t="str">
        <f>IF(OR($B199="",$D199=""),"",IF($AC199=0,0,IF(ISNUMBER(INDEX(CASHBACK_RULES!$L$5:$L$304,$AC199)),MAX(0,MIN($L199,INDEX(CASHBACK_RULES!$L$5:$L$304,$AC199)-$AH199)),MAX(0,$L199))))</f>
        <v/>
      </c>
      <c r="N199" s="49" t="str">
        <f>IF(OR($B199="",$D199=""),"",IF($AC199&gt;0,INDEX(CASHBACK_RULES!$I$5:$I$304,$AC199),0))</f>
        <v/>
      </c>
      <c r="O199" s="48" t="str">
        <f>IF(OR($B199="",$D199=""),"",ROUND($M199*$N199,0))</f>
        <v/>
      </c>
      <c r="P199" s="48" t="str">
        <f>IF($AC199&gt;0,IF(ISNUMBER(INDEX(CASHBACK_RULES!$J$5:$J$304,$AC199)),INDEX(CASHBACK_RULES!$J$5:$J$304,$AC199),"∞"),"")</f>
        <v/>
      </c>
      <c r="Q199" s="48" t="str">
        <f>IF(OR($B199="",$D199=""),"",IF($AC199=0,0,MAX(0,MIN($O199,IF(ISNUMBER($P199),$P199-$AF199,1E+15),IF(ISNUMBER($AA199),$AA199-$AG199,1E+15)))))</f>
        <v/>
      </c>
      <c r="R199" s="48" t="str">
        <f>IF(OR($B199="",$D199=""),"",IF($AC199=0,"",IF(AND(NOT(ISNUMBER($P199)),NOT(ISNUMBER($AA199))),"∞",MAX(0,MIN(IF(ISNUMBER($P199),$P199-$AF199-$Q199,1E+15),IF(ISNUMBER($AA199),$AA199-$AG199-$Q199,1E+15))))))</f>
        <v/>
      </c>
      <c r="S199" s="47" t="str">
        <f>IF($AD199="","",YEAR($AD199)*100+MONTH($AD199))</f>
        <v/>
      </c>
      <c r="T199" s="50" t="str">
        <f>IF($AD199="","",IFERROR(IF(INDEX(CARDS!$I$5:$I$34,MATCH($D199,CARDS!$A$5:$A$34,0))="","",IF(INDEX(CARDS!$I$5:$I$34,MATCH($D199,CARDS!$A$5:$A$34,0))&gt;INDEX(CARDS!$H$5:$H$34,MATCH($D199,CARDS!$A$5:$A$34,0)),DATE(YEAR($AD199),MONTH($AD199),MIN(INDEX(CARDS!$I$5:$I$34,MATCH($D199,CARDS!$A$5:$A$34,0)),DAY(EOMONTH($AD199,0)))),DATE(YEAR($AD199),MONTH($AD199)+1,MIN(INDEX(CARDS!$I$5:$I$34,MATCH($D199,CARDS!$A$5:$A$34,0)),DAY(EOMONTH($AD199,1)))))),""))</f>
        <v/>
      </c>
      <c r="U199" s="38" t="n"/>
      <c r="V199" s="37" t="n"/>
      <c r="W199" s="38" t="n"/>
      <c r="X199" s="38" t="n"/>
      <c r="Y199" s="44" t="str">
        <f>IF($AC199&gt;0,INDEX(CASHBACK_RULES!$A$5:$A$304,$AC199),"")</f>
        <v/>
      </c>
      <c r="Z199" s="45" t="str">
        <f>IF($AC199&gt;0,INDEX(CASHBACK_RULES!$E$5:$E$304,$AC199)&amp;"","")</f>
        <v/>
      </c>
      <c r="AA199" s="48" t="str">
        <f>IF($AC199&gt;0,IF(ISNUMBER(INDEX(CASHBACK_RULES!$K$5:$K$304,$AC199)),INDEX(CASHBACK_RULES!$K$5:$K$304,$AC199),"∞"),"")</f>
        <v/>
      </c>
      <c r="AB199" s="44" t="str">
        <f>IF(OR($B199="",$D199=""),"",IF($U199="Cancelled","Đã hủy",IF($AC199=0,"Không được hoàn",IF($Q199=0,IF(OR($O199&gt;0,$M199&lt;$L199),"Đã đạt cap","Không được hoàn"),IF(OR($Q199&lt;$O199,$M199&lt;$L199),"Hoàn một phần","Được hoàn")))))</f>
        <v/>
      </c>
      <c r="AC199" s="43">
        <f>IF(OR($B199="",$D199="",$I199="",$L199=""),0,IF($U199="Cancelled",0,IF($W199&lt;&gt;"",IFERROR(IF(INDEX(CASHBACK_RULES!$B$5:$B$304,MATCH($W199,CASHBACK_RULES!$A$5:$A$304,0))=$D199,MATCH($W199,CASHBACK_RULES!$A$5:$A$304,0),0),0),IFERROR(MATCH(1,INDEX((CASHBACK_RULES!$B$5:$B$304=$D199)*(CASHBACK_RULES!$G$5:$G$304=$I199)*(((CASHBACK_RULES!$N$5:$N$304="")+(CASHBACK_RULES!$N$5:$N$304&lt;=$B199))&gt;0)*(((CASHBACK_RULES!$O$5:$O$304="")+(CASHBACK_RULES!$O$5:$O$304&gt;=$B199))&gt;0)*(((CASHBACK_RULES!$M$5:$M$304="")+(CASHBACK_RULES!$M$5:$M$304&lt;=$L199))&gt;0),0),0),0))))</f>
        <v>0</v>
      </c>
      <c r="AD199" s="51" t="str">
        <f>IF(OR($B199="",$D199=""),"",IFERROR(IF(INDEX(CARDS!$H$5:$H$34,MATCH($D199,CARDS!$A$5:$A$34,0))="","",IF(DAY($B199)&lt;=INDEX(CARDS!$H$5:$H$34,MATCH($D199,CARDS!$A$5:$A$34,0)),DATE(YEAR($B199),MONTH($B199),MIN(INDEX(CARDS!$H$5:$H$34,MATCH($D199,CARDS!$A$5:$A$34,0)),DAY(EOMONTH($B199,0)))),DATE(YEAR($B199),MONTH($B199)+1,MIN(INDEX(CARDS!$H$5:$H$34,MATCH($D199,CARDS!$A$5:$A$34,0)),DAY(EOMONTH($B199,1)))))),""))</f>
        <v/>
      </c>
      <c r="AE199" s="52" t="str">
        <f>IF($C199="","",$C199&amp;"|"&amp;COUNTIF($C$5:$C199,$C199))</f>
        <v/>
      </c>
      <c r="AF199" s="53">
        <f>IF($AC199&gt;0,SUMIFS(Q$4:Q198,$D$4:$D198,$D199,$Z$4:$Z198,$Z199,$C$4:$C198,$C199),0)</f>
        <v>0</v>
      </c>
      <c r="AG199" s="53">
        <f>IF($AC199&gt;0,SUMIFS(Q$4:Q198,$D$4:$D198,$D199,$C$4:$C198,$C199),0)</f>
        <v>0</v>
      </c>
      <c r="AH199" s="53">
        <f>IF($AC199&gt;0,SUMIFS(M$4:M198,$D$4:$D198,$D199,$Z$4:$Z198,$Z199,$C$4:$C198,$C199),0)</f>
        <v>0</v>
      </c>
      <c r="AI199" s="43">
        <f>IF(OR($C199="",$I199=""),0,IF(COUNTIFS($C$5:$C199,$C199,$I$5:$I199,$I199)=1,1,0))</f>
        <v>0</v>
      </c>
      <c r="AJ199" s="43" t="str">
        <f>IF($AI199=1,SUMIFS($AI$4:$AI198,$C$4:$C198,$C199)+1,"")</f>
        <v/>
      </c>
      <c r="AK199" s="43">
        <f>IF(OR($C199="",$K199=""),0,IF(COUNTIFS($C$5:$C199,$C199,$K$5:$K199,$K199)=1,1,0))</f>
        <v>0</v>
      </c>
      <c r="AL199" s="43" t="str">
        <f>IF($AK199=1,SUMIFS($AK$4:$AK198,$C$4:$C198,$C199)+1,"")</f>
        <v/>
      </c>
      <c r="AM199" s="43">
        <f>IF(OR($C199="",$G199=""),0,IF(COUNTIFS($C$5:$C199,$C199,$G$5:$G199,$G199)=1,1,0))</f>
        <v>0</v>
      </c>
      <c r="AN199" s="43" t="str">
        <f>IF($AM199=1,SUMIFS($AM$4:$AM198,$C$4:$C198,$C199)+1,"")</f>
        <v/>
      </c>
    </row>
    <row r="200">
      <c r="A200" s="44" t="str">
        <f>IF(OR($B200="",$D200=""),"","TX"&amp;TEXT(ROW()-4,"0000"))</f>
        <v/>
      </c>
      <c r="B200" s="42" t="n"/>
      <c r="C200" s="47" t="str">
        <f>IF($B200="","",YEAR($B200)*100+MONTH($B200))</f>
        <v/>
      </c>
      <c r="D200" s="37" t="n"/>
      <c r="E200" s="45" t="str">
        <f>IF($D200="","",IFERROR(INDEX(CARDS!$B$5:$B$34,MATCH($D200,CARDS!$A$5:$A$34,0)),"⚠ Card ID?"))</f>
        <v/>
      </c>
      <c r="F200" s="45" t="str">
        <f>IF($D200="","",IFERROR(INDEX(CARDS!$C$5:$C$34,MATCH($D200,CARDS!$A$5:$A$34,0)),"⚠ Card ID?"))</f>
        <v/>
      </c>
      <c r="G200" s="37" t="n"/>
      <c r="H200" s="37" t="n"/>
      <c r="I200" s="41" t="n"/>
      <c r="J200" s="45" t="str">
        <f>IF($I200="","",IFERROR(INDEX(MCC_MASTER!$B$5:$B$504,MATCH($I200,MCC_MASTER!$A$5:$A$504,0)),"⚠ MCC chưa có"))</f>
        <v/>
      </c>
      <c r="K200" s="45" t="str">
        <f>IF($I200="","",IFERROR(IF(INDEX(MCC_MASTER!$C$5:$C$504,MATCH($I200,MCC_MASTER!$A$5:$A$504,0))="","Chưa phân loại",INDEX(MCC_MASTER!$C$5:$C$504,MATCH($I200,MCC_MASTER!$A$5:$A$504,0))),"Chưa phân loại"))</f>
        <v/>
      </c>
      <c r="L200" s="40" t="n"/>
      <c r="M200" s="48" t="str">
        <f>IF(OR($B200="",$D200=""),"",IF($AC200=0,0,IF(ISNUMBER(INDEX(CASHBACK_RULES!$L$5:$L$304,$AC200)),MAX(0,MIN($L200,INDEX(CASHBACK_RULES!$L$5:$L$304,$AC200)-$AH200)),MAX(0,$L200))))</f>
        <v/>
      </c>
      <c r="N200" s="49" t="str">
        <f>IF(OR($B200="",$D200=""),"",IF($AC200&gt;0,INDEX(CASHBACK_RULES!$I$5:$I$304,$AC200),0))</f>
        <v/>
      </c>
      <c r="O200" s="48" t="str">
        <f>IF(OR($B200="",$D200=""),"",ROUND($M200*$N200,0))</f>
        <v/>
      </c>
      <c r="P200" s="48" t="str">
        <f>IF($AC200&gt;0,IF(ISNUMBER(INDEX(CASHBACK_RULES!$J$5:$J$304,$AC200)),INDEX(CASHBACK_RULES!$J$5:$J$304,$AC200),"∞"),"")</f>
        <v/>
      </c>
      <c r="Q200" s="48" t="str">
        <f>IF(OR($B200="",$D200=""),"",IF($AC200=0,0,MAX(0,MIN($O200,IF(ISNUMBER($P200),$P200-$AF200,1E+15),IF(ISNUMBER($AA200),$AA200-$AG200,1E+15)))))</f>
        <v/>
      </c>
      <c r="R200" s="48" t="str">
        <f>IF(OR($B200="",$D200=""),"",IF($AC200=0,"",IF(AND(NOT(ISNUMBER($P200)),NOT(ISNUMBER($AA200))),"∞",MAX(0,MIN(IF(ISNUMBER($P200),$P200-$AF200-$Q200,1E+15),IF(ISNUMBER($AA200),$AA200-$AG200-$Q200,1E+15))))))</f>
        <v/>
      </c>
      <c r="S200" s="47" t="str">
        <f>IF($AD200="","",YEAR($AD200)*100+MONTH($AD200))</f>
        <v/>
      </c>
      <c r="T200" s="50" t="str">
        <f>IF($AD200="","",IFERROR(IF(INDEX(CARDS!$I$5:$I$34,MATCH($D200,CARDS!$A$5:$A$34,0))="","",IF(INDEX(CARDS!$I$5:$I$34,MATCH($D200,CARDS!$A$5:$A$34,0))&gt;INDEX(CARDS!$H$5:$H$34,MATCH($D200,CARDS!$A$5:$A$34,0)),DATE(YEAR($AD200),MONTH($AD200),MIN(INDEX(CARDS!$I$5:$I$34,MATCH($D200,CARDS!$A$5:$A$34,0)),DAY(EOMONTH($AD200,0)))),DATE(YEAR($AD200),MONTH($AD200)+1,MIN(INDEX(CARDS!$I$5:$I$34,MATCH($D200,CARDS!$A$5:$A$34,0)),DAY(EOMONTH($AD200,1)))))),""))</f>
        <v/>
      </c>
      <c r="U200" s="38" t="n"/>
      <c r="V200" s="37" t="n"/>
      <c r="W200" s="38" t="n"/>
      <c r="X200" s="38" t="n"/>
      <c r="Y200" s="44" t="str">
        <f>IF($AC200&gt;0,INDEX(CASHBACK_RULES!$A$5:$A$304,$AC200),"")</f>
        <v/>
      </c>
      <c r="Z200" s="45" t="str">
        <f>IF($AC200&gt;0,INDEX(CASHBACK_RULES!$E$5:$E$304,$AC200)&amp;"","")</f>
        <v/>
      </c>
      <c r="AA200" s="48" t="str">
        <f>IF($AC200&gt;0,IF(ISNUMBER(INDEX(CASHBACK_RULES!$K$5:$K$304,$AC200)),INDEX(CASHBACK_RULES!$K$5:$K$304,$AC200),"∞"),"")</f>
        <v/>
      </c>
      <c r="AB200" s="44" t="str">
        <f>IF(OR($B200="",$D200=""),"",IF($U200="Cancelled","Đã hủy",IF($AC200=0,"Không được hoàn",IF($Q200=0,IF(OR($O200&gt;0,$M200&lt;$L200),"Đã đạt cap","Không được hoàn"),IF(OR($Q200&lt;$O200,$M200&lt;$L200),"Hoàn một phần","Được hoàn")))))</f>
        <v/>
      </c>
      <c r="AC200" s="43">
        <f>IF(OR($B200="",$D200="",$I200="",$L200=""),0,IF($U200="Cancelled",0,IF($W200&lt;&gt;"",IFERROR(IF(INDEX(CASHBACK_RULES!$B$5:$B$304,MATCH($W200,CASHBACK_RULES!$A$5:$A$304,0))=$D200,MATCH($W200,CASHBACK_RULES!$A$5:$A$304,0),0),0),IFERROR(MATCH(1,INDEX((CASHBACK_RULES!$B$5:$B$304=$D200)*(CASHBACK_RULES!$G$5:$G$304=$I200)*(((CASHBACK_RULES!$N$5:$N$304="")+(CASHBACK_RULES!$N$5:$N$304&lt;=$B200))&gt;0)*(((CASHBACK_RULES!$O$5:$O$304="")+(CASHBACK_RULES!$O$5:$O$304&gt;=$B200))&gt;0)*(((CASHBACK_RULES!$M$5:$M$304="")+(CASHBACK_RULES!$M$5:$M$304&lt;=$L200))&gt;0),0),0),0))))</f>
        <v>0</v>
      </c>
      <c r="AD200" s="51" t="str">
        <f>IF(OR($B200="",$D200=""),"",IFERROR(IF(INDEX(CARDS!$H$5:$H$34,MATCH($D200,CARDS!$A$5:$A$34,0))="","",IF(DAY($B200)&lt;=INDEX(CARDS!$H$5:$H$34,MATCH($D200,CARDS!$A$5:$A$34,0)),DATE(YEAR($B200),MONTH($B200),MIN(INDEX(CARDS!$H$5:$H$34,MATCH($D200,CARDS!$A$5:$A$34,0)),DAY(EOMONTH($B200,0)))),DATE(YEAR($B200),MONTH($B200)+1,MIN(INDEX(CARDS!$H$5:$H$34,MATCH($D200,CARDS!$A$5:$A$34,0)),DAY(EOMONTH($B200,1)))))),""))</f>
        <v/>
      </c>
      <c r="AE200" s="52" t="str">
        <f>IF($C200="","",$C200&amp;"|"&amp;COUNTIF($C$5:$C200,$C200))</f>
        <v/>
      </c>
      <c r="AF200" s="53">
        <f>IF($AC200&gt;0,SUMIFS(Q$4:Q199,$D$4:$D199,$D200,$Z$4:$Z199,$Z200,$C$4:$C199,$C200),0)</f>
        <v>0</v>
      </c>
      <c r="AG200" s="53">
        <f>IF($AC200&gt;0,SUMIFS(Q$4:Q199,$D$4:$D199,$D200,$C$4:$C199,$C200),0)</f>
        <v>0</v>
      </c>
      <c r="AH200" s="53">
        <f>IF($AC200&gt;0,SUMIFS(M$4:M199,$D$4:$D199,$D200,$Z$4:$Z199,$Z200,$C$4:$C199,$C200),0)</f>
        <v>0</v>
      </c>
      <c r="AI200" s="43">
        <f>IF(OR($C200="",$I200=""),0,IF(COUNTIFS($C$5:$C200,$C200,$I$5:$I200,$I200)=1,1,0))</f>
        <v>0</v>
      </c>
      <c r="AJ200" s="43" t="str">
        <f>IF($AI200=1,SUMIFS($AI$4:$AI199,$C$4:$C199,$C200)+1,"")</f>
        <v/>
      </c>
      <c r="AK200" s="43">
        <f>IF(OR($C200="",$K200=""),0,IF(COUNTIFS($C$5:$C200,$C200,$K$5:$K200,$K200)=1,1,0))</f>
        <v>0</v>
      </c>
      <c r="AL200" s="43" t="str">
        <f>IF($AK200=1,SUMIFS($AK$4:$AK199,$C$4:$C199,$C200)+1,"")</f>
        <v/>
      </c>
      <c r="AM200" s="43">
        <f>IF(OR($C200="",$G200=""),0,IF(COUNTIFS($C$5:$C200,$C200,$G$5:$G200,$G200)=1,1,0))</f>
        <v>0</v>
      </c>
      <c r="AN200" s="43" t="str">
        <f>IF($AM200=1,SUMIFS($AM$4:$AM199,$C$4:$C199,$C200)+1,"")</f>
        <v/>
      </c>
    </row>
    <row r="201">
      <c r="A201" s="44" t="str">
        <f>IF(OR($B201="",$D201=""),"","TX"&amp;TEXT(ROW()-4,"0000"))</f>
        <v/>
      </c>
      <c r="B201" s="42" t="n"/>
      <c r="C201" s="47" t="str">
        <f>IF($B201="","",YEAR($B201)*100+MONTH($B201))</f>
        <v/>
      </c>
      <c r="D201" s="37" t="n"/>
      <c r="E201" s="45" t="str">
        <f>IF($D201="","",IFERROR(INDEX(CARDS!$B$5:$B$34,MATCH($D201,CARDS!$A$5:$A$34,0)),"⚠ Card ID?"))</f>
        <v/>
      </c>
      <c r="F201" s="45" t="str">
        <f>IF($D201="","",IFERROR(INDEX(CARDS!$C$5:$C$34,MATCH($D201,CARDS!$A$5:$A$34,0)),"⚠ Card ID?"))</f>
        <v/>
      </c>
      <c r="G201" s="37" t="n"/>
      <c r="H201" s="37" t="n"/>
      <c r="I201" s="41" t="n"/>
      <c r="J201" s="45" t="str">
        <f>IF($I201="","",IFERROR(INDEX(MCC_MASTER!$B$5:$B$504,MATCH($I201,MCC_MASTER!$A$5:$A$504,0)),"⚠ MCC chưa có"))</f>
        <v/>
      </c>
      <c r="K201" s="45" t="str">
        <f>IF($I201="","",IFERROR(IF(INDEX(MCC_MASTER!$C$5:$C$504,MATCH($I201,MCC_MASTER!$A$5:$A$504,0))="","Chưa phân loại",INDEX(MCC_MASTER!$C$5:$C$504,MATCH($I201,MCC_MASTER!$A$5:$A$504,0))),"Chưa phân loại"))</f>
        <v/>
      </c>
      <c r="L201" s="40" t="n"/>
      <c r="M201" s="48" t="str">
        <f>IF(OR($B201="",$D201=""),"",IF($AC201=0,0,IF(ISNUMBER(INDEX(CASHBACK_RULES!$L$5:$L$304,$AC201)),MAX(0,MIN($L201,INDEX(CASHBACK_RULES!$L$5:$L$304,$AC201)-$AH201)),MAX(0,$L201))))</f>
        <v/>
      </c>
      <c r="N201" s="49" t="str">
        <f>IF(OR($B201="",$D201=""),"",IF($AC201&gt;0,INDEX(CASHBACK_RULES!$I$5:$I$304,$AC201),0))</f>
        <v/>
      </c>
      <c r="O201" s="48" t="str">
        <f>IF(OR($B201="",$D201=""),"",ROUND($M201*$N201,0))</f>
        <v/>
      </c>
      <c r="P201" s="48" t="str">
        <f>IF($AC201&gt;0,IF(ISNUMBER(INDEX(CASHBACK_RULES!$J$5:$J$304,$AC201)),INDEX(CASHBACK_RULES!$J$5:$J$304,$AC201),"∞"),"")</f>
        <v/>
      </c>
      <c r="Q201" s="48" t="str">
        <f>IF(OR($B201="",$D201=""),"",IF($AC201=0,0,MAX(0,MIN($O201,IF(ISNUMBER($P201),$P201-$AF201,1E+15),IF(ISNUMBER($AA201),$AA201-$AG201,1E+15)))))</f>
        <v/>
      </c>
      <c r="R201" s="48" t="str">
        <f>IF(OR($B201="",$D201=""),"",IF($AC201=0,"",IF(AND(NOT(ISNUMBER($P201)),NOT(ISNUMBER($AA201))),"∞",MAX(0,MIN(IF(ISNUMBER($P201),$P201-$AF201-$Q201,1E+15),IF(ISNUMBER($AA201),$AA201-$AG201-$Q201,1E+15))))))</f>
        <v/>
      </c>
      <c r="S201" s="47" t="str">
        <f>IF($AD201="","",YEAR($AD201)*100+MONTH($AD201))</f>
        <v/>
      </c>
      <c r="T201" s="50" t="str">
        <f>IF($AD201="","",IFERROR(IF(INDEX(CARDS!$I$5:$I$34,MATCH($D201,CARDS!$A$5:$A$34,0))="","",IF(INDEX(CARDS!$I$5:$I$34,MATCH($D201,CARDS!$A$5:$A$34,0))&gt;INDEX(CARDS!$H$5:$H$34,MATCH($D201,CARDS!$A$5:$A$34,0)),DATE(YEAR($AD201),MONTH($AD201),MIN(INDEX(CARDS!$I$5:$I$34,MATCH($D201,CARDS!$A$5:$A$34,0)),DAY(EOMONTH($AD201,0)))),DATE(YEAR($AD201),MONTH($AD201)+1,MIN(INDEX(CARDS!$I$5:$I$34,MATCH($D201,CARDS!$A$5:$A$34,0)),DAY(EOMONTH($AD201,1)))))),""))</f>
        <v/>
      </c>
      <c r="U201" s="38" t="n"/>
      <c r="V201" s="37" t="n"/>
      <c r="W201" s="38" t="n"/>
      <c r="X201" s="38" t="n"/>
      <c r="Y201" s="44" t="str">
        <f>IF($AC201&gt;0,INDEX(CASHBACK_RULES!$A$5:$A$304,$AC201),"")</f>
        <v/>
      </c>
      <c r="Z201" s="45" t="str">
        <f>IF($AC201&gt;0,INDEX(CASHBACK_RULES!$E$5:$E$304,$AC201)&amp;"","")</f>
        <v/>
      </c>
      <c r="AA201" s="48" t="str">
        <f>IF($AC201&gt;0,IF(ISNUMBER(INDEX(CASHBACK_RULES!$K$5:$K$304,$AC201)),INDEX(CASHBACK_RULES!$K$5:$K$304,$AC201),"∞"),"")</f>
        <v/>
      </c>
      <c r="AB201" s="44" t="str">
        <f>IF(OR($B201="",$D201=""),"",IF($U201="Cancelled","Đã hủy",IF($AC201=0,"Không được hoàn",IF($Q201=0,IF(OR($O201&gt;0,$M201&lt;$L201),"Đã đạt cap","Không được hoàn"),IF(OR($Q201&lt;$O201,$M201&lt;$L201),"Hoàn một phần","Được hoàn")))))</f>
        <v/>
      </c>
      <c r="AC201" s="43">
        <f>IF(OR($B201="",$D201="",$I201="",$L201=""),0,IF($U201="Cancelled",0,IF($W201&lt;&gt;"",IFERROR(IF(INDEX(CASHBACK_RULES!$B$5:$B$304,MATCH($W201,CASHBACK_RULES!$A$5:$A$304,0))=$D201,MATCH($W201,CASHBACK_RULES!$A$5:$A$304,0),0),0),IFERROR(MATCH(1,INDEX((CASHBACK_RULES!$B$5:$B$304=$D201)*(CASHBACK_RULES!$G$5:$G$304=$I201)*(((CASHBACK_RULES!$N$5:$N$304="")+(CASHBACK_RULES!$N$5:$N$304&lt;=$B201))&gt;0)*(((CASHBACK_RULES!$O$5:$O$304="")+(CASHBACK_RULES!$O$5:$O$304&gt;=$B201))&gt;0)*(((CASHBACK_RULES!$M$5:$M$304="")+(CASHBACK_RULES!$M$5:$M$304&lt;=$L201))&gt;0),0),0),0))))</f>
        <v>0</v>
      </c>
      <c r="AD201" s="51" t="str">
        <f>IF(OR($B201="",$D201=""),"",IFERROR(IF(INDEX(CARDS!$H$5:$H$34,MATCH($D201,CARDS!$A$5:$A$34,0))="","",IF(DAY($B201)&lt;=INDEX(CARDS!$H$5:$H$34,MATCH($D201,CARDS!$A$5:$A$34,0)),DATE(YEAR($B201),MONTH($B201),MIN(INDEX(CARDS!$H$5:$H$34,MATCH($D201,CARDS!$A$5:$A$34,0)),DAY(EOMONTH($B201,0)))),DATE(YEAR($B201),MONTH($B201)+1,MIN(INDEX(CARDS!$H$5:$H$34,MATCH($D201,CARDS!$A$5:$A$34,0)),DAY(EOMONTH($B201,1)))))),""))</f>
        <v/>
      </c>
      <c r="AE201" s="52" t="str">
        <f>IF($C201="","",$C201&amp;"|"&amp;COUNTIF($C$5:$C201,$C201))</f>
        <v/>
      </c>
      <c r="AF201" s="53">
        <f>IF($AC201&gt;0,SUMIFS(Q$4:Q200,$D$4:$D200,$D201,$Z$4:$Z200,$Z201,$C$4:$C200,$C201),0)</f>
        <v>0</v>
      </c>
      <c r="AG201" s="53">
        <f>IF($AC201&gt;0,SUMIFS(Q$4:Q200,$D$4:$D200,$D201,$C$4:$C200,$C201),0)</f>
        <v>0</v>
      </c>
      <c r="AH201" s="53">
        <f>IF($AC201&gt;0,SUMIFS(M$4:M200,$D$4:$D200,$D201,$Z$4:$Z200,$Z201,$C$4:$C200,$C201),0)</f>
        <v>0</v>
      </c>
      <c r="AI201" s="43">
        <f>IF(OR($C201="",$I201=""),0,IF(COUNTIFS($C$5:$C201,$C201,$I$5:$I201,$I201)=1,1,0))</f>
        <v>0</v>
      </c>
      <c r="AJ201" s="43" t="str">
        <f>IF($AI201=1,SUMIFS($AI$4:$AI200,$C$4:$C200,$C201)+1,"")</f>
        <v/>
      </c>
      <c r="AK201" s="43">
        <f>IF(OR($C201="",$K201=""),0,IF(COUNTIFS($C$5:$C201,$C201,$K$5:$K201,$K201)=1,1,0))</f>
        <v>0</v>
      </c>
      <c r="AL201" s="43" t="str">
        <f>IF($AK201=1,SUMIFS($AK$4:$AK200,$C$4:$C200,$C201)+1,"")</f>
        <v/>
      </c>
      <c r="AM201" s="43">
        <f>IF(OR($C201="",$G201=""),0,IF(COUNTIFS($C$5:$C201,$C201,$G$5:$G201,$G201)=1,1,0))</f>
        <v>0</v>
      </c>
      <c r="AN201" s="43" t="str">
        <f>IF($AM201=1,SUMIFS($AM$4:$AM200,$C$4:$C200,$C201)+1,"")</f>
        <v/>
      </c>
    </row>
    <row r="202">
      <c r="A202" s="44" t="str">
        <f>IF(OR($B202="",$D202=""),"","TX"&amp;TEXT(ROW()-4,"0000"))</f>
        <v/>
      </c>
      <c r="B202" s="42" t="n"/>
      <c r="C202" s="47" t="str">
        <f>IF($B202="","",YEAR($B202)*100+MONTH($B202))</f>
        <v/>
      </c>
      <c r="D202" s="37" t="n"/>
      <c r="E202" s="45" t="str">
        <f>IF($D202="","",IFERROR(INDEX(CARDS!$B$5:$B$34,MATCH($D202,CARDS!$A$5:$A$34,0)),"⚠ Card ID?"))</f>
        <v/>
      </c>
      <c r="F202" s="45" t="str">
        <f>IF($D202="","",IFERROR(INDEX(CARDS!$C$5:$C$34,MATCH($D202,CARDS!$A$5:$A$34,0)),"⚠ Card ID?"))</f>
        <v/>
      </c>
      <c r="G202" s="37" t="n"/>
      <c r="H202" s="37" t="n"/>
      <c r="I202" s="41" t="n"/>
      <c r="J202" s="45" t="str">
        <f>IF($I202="","",IFERROR(INDEX(MCC_MASTER!$B$5:$B$504,MATCH($I202,MCC_MASTER!$A$5:$A$504,0)),"⚠ MCC chưa có"))</f>
        <v/>
      </c>
      <c r="K202" s="45" t="str">
        <f>IF($I202="","",IFERROR(IF(INDEX(MCC_MASTER!$C$5:$C$504,MATCH($I202,MCC_MASTER!$A$5:$A$504,0))="","Chưa phân loại",INDEX(MCC_MASTER!$C$5:$C$504,MATCH($I202,MCC_MASTER!$A$5:$A$504,0))),"Chưa phân loại"))</f>
        <v/>
      </c>
      <c r="L202" s="40" t="n"/>
      <c r="M202" s="48" t="str">
        <f>IF(OR($B202="",$D202=""),"",IF($AC202=0,0,IF(ISNUMBER(INDEX(CASHBACK_RULES!$L$5:$L$304,$AC202)),MAX(0,MIN($L202,INDEX(CASHBACK_RULES!$L$5:$L$304,$AC202)-$AH202)),MAX(0,$L202))))</f>
        <v/>
      </c>
      <c r="N202" s="49" t="str">
        <f>IF(OR($B202="",$D202=""),"",IF($AC202&gt;0,INDEX(CASHBACK_RULES!$I$5:$I$304,$AC202),0))</f>
        <v/>
      </c>
      <c r="O202" s="48" t="str">
        <f>IF(OR($B202="",$D202=""),"",ROUND($M202*$N202,0))</f>
        <v/>
      </c>
      <c r="P202" s="48" t="str">
        <f>IF($AC202&gt;0,IF(ISNUMBER(INDEX(CASHBACK_RULES!$J$5:$J$304,$AC202)),INDEX(CASHBACK_RULES!$J$5:$J$304,$AC202),"∞"),"")</f>
        <v/>
      </c>
      <c r="Q202" s="48" t="str">
        <f>IF(OR($B202="",$D202=""),"",IF($AC202=0,0,MAX(0,MIN($O202,IF(ISNUMBER($P202),$P202-$AF202,1E+15),IF(ISNUMBER($AA202),$AA202-$AG202,1E+15)))))</f>
        <v/>
      </c>
      <c r="R202" s="48" t="str">
        <f>IF(OR($B202="",$D202=""),"",IF($AC202=0,"",IF(AND(NOT(ISNUMBER($P202)),NOT(ISNUMBER($AA202))),"∞",MAX(0,MIN(IF(ISNUMBER($P202),$P202-$AF202-$Q202,1E+15),IF(ISNUMBER($AA202),$AA202-$AG202-$Q202,1E+15))))))</f>
        <v/>
      </c>
      <c r="S202" s="47" t="str">
        <f>IF($AD202="","",YEAR($AD202)*100+MONTH($AD202))</f>
        <v/>
      </c>
      <c r="T202" s="50" t="str">
        <f>IF($AD202="","",IFERROR(IF(INDEX(CARDS!$I$5:$I$34,MATCH($D202,CARDS!$A$5:$A$34,0))="","",IF(INDEX(CARDS!$I$5:$I$34,MATCH($D202,CARDS!$A$5:$A$34,0))&gt;INDEX(CARDS!$H$5:$H$34,MATCH($D202,CARDS!$A$5:$A$34,0)),DATE(YEAR($AD202),MONTH($AD202),MIN(INDEX(CARDS!$I$5:$I$34,MATCH($D202,CARDS!$A$5:$A$34,0)),DAY(EOMONTH($AD202,0)))),DATE(YEAR($AD202),MONTH($AD202)+1,MIN(INDEX(CARDS!$I$5:$I$34,MATCH($D202,CARDS!$A$5:$A$34,0)),DAY(EOMONTH($AD202,1)))))),""))</f>
        <v/>
      </c>
      <c r="U202" s="38" t="n"/>
      <c r="V202" s="37" t="n"/>
      <c r="W202" s="38" t="n"/>
      <c r="X202" s="38" t="n"/>
      <c r="Y202" s="44" t="str">
        <f>IF($AC202&gt;0,INDEX(CASHBACK_RULES!$A$5:$A$304,$AC202),"")</f>
        <v/>
      </c>
      <c r="Z202" s="45" t="str">
        <f>IF($AC202&gt;0,INDEX(CASHBACK_RULES!$E$5:$E$304,$AC202)&amp;"","")</f>
        <v/>
      </c>
      <c r="AA202" s="48" t="str">
        <f>IF($AC202&gt;0,IF(ISNUMBER(INDEX(CASHBACK_RULES!$K$5:$K$304,$AC202)),INDEX(CASHBACK_RULES!$K$5:$K$304,$AC202),"∞"),"")</f>
        <v/>
      </c>
      <c r="AB202" s="44" t="str">
        <f>IF(OR($B202="",$D202=""),"",IF($U202="Cancelled","Đã hủy",IF($AC202=0,"Không được hoàn",IF($Q202=0,IF(OR($O202&gt;0,$M202&lt;$L202),"Đã đạt cap","Không được hoàn"),IF(OR($Q202&lt;$O202,$M202&lt;$L202),"Hoàn một phần","Được hoàn")))))</f>
        <v/>
      </c>
      <c r="AC202" s="43">
        <f>IF(OR($B202="",$D202="",$I202="",$L202=""),0,IF($U202="Cancelled",0,IF($W202&lt;&gt;"",IFERROR(IF(INDEX(CASHBACK_RULES!$B$5:$B$304,MATCH($W202,CASHBACK_RULES!$A$5:$A$304,0))=$D202,MATCH($W202,CASHBACK_RULES!$A$5:$A$304,0),0),0),IFERROR(MATCH(1,INDEX((CASHBACK_RULES!$B$5:$B$304=$D202)*(CASHBACK_RULES!$G$5:$G$304=$I202)*(((CASHBACK_RULES!$N$5:$N$304="")+(CASHBACK_RULES!$N$5:$N$304&lt;=$B202))&gt;0)*(((CASHBACK_RULES!$O$5:$O$304="")+(CASHBACK_RULES!$O$5:$O$304&gt;=$B202))&gt;0)*(((CASHBACK_RULES!$M$5:$M$304="")+(CASHBACK_RULES!$M$5:$M$304&lt;=$L202))&gt;0),0),0),0))))</f>
        <v>0</v>
      </c>
      <c r="AD202" s="51" t="str">
        <f>IF(OR($B202="",$D202=""),"",IFERROR(IF(INDEX(CARDS!$H$5:$H$34,MATCH($D202,CARDS!$A$5:$A$34,0))="","",IF(DAY($B202)&lt;=INDEX(CARDS!$H$5:$H$34,MATCH($D202,CARDS!$A$5:$A$34,0)),DATE(YEAR($B202),MONTH($B202),MIN(INDEX(CARDS!$H$5:$H$34,MATCH($D202,CARDS!$A$5:$A$34,0)),DAY(EOMONTH($B202,0)))),DATE(YEAR($B202),MONTH($B202)+1,MIN(INDEX(CARDS!$H$5:$H$34,MATCH($D202,CARDS!$A$5:$A$34,0)),DAY(EOMONTH($B202,1)))))),""))</f>
        <v/>
      </c>
      <c r="AE202" s="52" t="str">
        <f>IF($C202="","",$C202&amp;"|"&amp;COUNTIF($C$5:$C202,$C202))</f>
        <v/>
      </c>
      <c r="AF202" s="53">
        <f>IF($AC202&gt;0,SUMIFS(Q$4:Q201,$D$4:$D201,$D202,$Z$4:$Z201,$Z202,$C$4:$C201,$C202),0)</f>
        <v>0</v>
      </c>
      <c r="AG202" s="53">
        <f>IF($AC202&gt;0,SUMIFS(Q$4:Q201,$D$4:$D201,$D202,$C$4:$C201,$C202),0)</f>
        <v>0</v>
      </c>
      <c r="AH202" s="53">
        <f>IF($AC202&gt;0,SUMIFS(M$4:M201,$D$4:$D201,$D202,$Z$4:$Z201,$Z202,$C$4:$C201,$C202),0)</f>
        <v>0</v>
      </c>
      <c r="AI202" s="43">
        <f>IF(OR($C202="",$I202=""),0,IF(COUNTIFS($C$5:$C202,$C202,$I$5:$I202,$I202)=1,1,0))</f>
        <v>0</v>
      </c>
      <c r="AJ202" s="43" t="str">
        <f>IF($AI202=1,SUMIFS($AI$4:$AI201,$C$4:$C201,$C202)+1,"")</f>
        <v/>
      </c>
      <c r="AK202" s="43">
        <f>IF(OR($C202="",$K202=""),0,IF(COUNTIFS($C$5:$C202,$C202,$K$5:$K202,$K202)=1,1,0))</f>
        <v>0</v>
      </c>
      <c r="AL202" s="43" t="str">
        <f>IF($AK202=1,SUMIFS($AK$4:$AK201,$C$4:$C201,$C202)+1,"")</f>
        <v/>
      </c>
      <c r="AM202" s="43">
        <f>IF(OR($C202="",$G202=""),0,IF(COUNTIFS($C$5:$C202,$C202,$G$5:$G202,$G202)=1,1,0))</f>
        <v>0</v>
      </c>
      <c r="AN202" s="43" t="str">
        <f>IF($AM202=1,SUMIFS($AM$4:$AM201,$C$4:$C201,$C202)+1,"")</f>
        <v/>
      </c>
    </row>
    <row r="203">
      <c r="A203" s="44" t="str">
        <f>IF(OR($B203="",$D203=""),"","TX"&amp;TEXT(ROW()-4,"0000"))</f>
        <v/>
      </c>
      <c r="B203" s="42" t="n"/>
      <c r="C203" s="47" t="str">
        <f>IF($B203="","",YEAR($B203)*100+MONTH($B203))</f>
        <v/>
      </c>
      <c r="D203" s="37" t="n"/>
      <c r="E203" s="45" t="str">
        <f>IF($D203="","",IFERROR(INDEX(CARDS!$B$5:$B$34,MATCH($D203,CARDS!$A$5:$A$34,0)),"⚠ Card ID?"))</f>
        <v/>
      </c>
      <c r="F203" s="45" t="str">
        <f>IF($D203="","",IFERROR(INDEX(CARDS!$C$5:$C$34,MATCH($D203,CARDS!$A$5:$A$34,0)),"⚠ Card ID?"))</f>
        <v/>
      </c>
      <c r="G203" s="37" t="n"/>
      <c r="H203" s="37" t="n"/>
      <c r="I203" s="41" t="n"/>
      <c r="J203" s="45" t="str">
        <f>IF($I203="","",IFERROR(INDEX(MCC_MASTER!$B$5:$B$504,MATCH($I203,MCC_MASTER!$A$5:$A$504,0)),"⚠ MCC chưa có"))</f>
        <v/>
      </c>
      <c r="K203" s="45" t="str">
        <f>IF($I203="","",IFERROR(IF(INDEX(MCC_MASTER!$C$5:$C$504,MATCH($I203,MCC_MASTER!$A$5:$A$504,0))="","Chưa phân loại",INDEX(MCC_MASTER!$C$5:$C$504,MATCH($I203,MCC_MASTER!$A$5:$A$504,0))),"Chưa phân loại"))</f>
        <v/>
      </c>
      <c r="L203" s="40" t="n"/>
      <c r="M203" s="48" t="str">
        <f>IF(OR($B203="",$D203=""),"",IF($AC203=0,0,IF(ISNUMBER(INDEX(CASHBACK_RULES!$L$5:$L$304,$AC203)),MAX(0,MIN($L203,INDEX(CASHBACK_RULES!$L$5:$L$304,$AC203)-$AH203)),MAX(0,$L203))))</f>
        <v/>
      </c>
      <c r="N203" s="49" t="str">
        <f>IF(OR($B203="",$D203=""),"",IF($AC203&gt;0,INDEX(CASHBACK_RULES!$I$5:$I$304,$AC203),0))</f>
        <v/>
      </c>
      <c r="O203" s="48" t="str">
        <f>IF(OR($B203="",$D203=""),"",ROUND($M203*$N203,0))</f>
        <v/>
      </c>
      <c r="P203" s="48" t="str">
        <f>IF($AC203&gt;0,IF(ISNUMBER(INDEX(CASHBACK_RULES!$J$5:$J$304,$AC203)),INDEX(CASHBACK_RULES!$J$5:$J$304,$AC203),"∞"),"")</f>
        <v/>
      </c>
      <c r="Q203" s="48" t="str">
        <f>IF(OR($B203="",$D203=""),"",IF($AC203=0,0,MAX(0,MIN($O203,IF(ISNUMBER($P203),$P203-$AF203,1E+15),IF(ISNUMBER($AA203),$AA203-$AG203,1E+15)))))</f>
        <v/>
      </c>
      <c r="R203" s="48" t="str">
        <f>IF(OR($B203="",$D203=""),"",IF($AC203=0,"",IF(AND(NOT(ISNUMBER($P203)),NOT(ISNUMBER($AA203))),"∞",MAX(0,MIN(IF(ISNUMBER($P203),$P203-$AF203-$Q203,1E+15),IF(ISNUMBER($AA203),$AA203-$AG203-$Q203,1E+15))))))</f>
        <v/>
      </c>
      <c r="S203" s="47" t="str">
        <f>IF($AD203="","",YEAR($AD203)*100+MONTH($AD203))</f>
        <v/>
      </c>
      <c r="T203" s="50" t="str">
        <f>IF($AD203="","",IFERROR(IF(INDEX(CARDS!$I$5:$I$34,MATCH($D203,CARDS!$A$5:$A$34,0))="","",IF(INDEX(CARDS!$I$5:$I$34,MATCH($D203,CARDS!$A$5:$A$34,0))&gt;INDEX(CARDS!$H$5:$H$34,MATCH($D203,CARDS!$A$5:$A$34,0)),DATE(YEAR($AD203),MONTH($AD203),MIN(INDEX(CARDS!$I$5:$I$34,MATCH($D203,CARDS!$A$5:$A$34,0)),DAY(EOMONTH($AD203,0)))),DATE(YEAR($AD203),MONTH($AD203)+1,MIN(INDEX(CARDS!$I$5:$I$34,MATCH($D203,CARDS!$A$5:$A$34,0)),DAY(EOMONTH($AD203,1)))))),""))</f>
        <v/>
      </c>
      <c r="U203" s="38" t="n"/>
      <c r="V203" s="37" t="n"/>
      <c r="W203" s="38" t="n"/>
      <c r="X203" s="38" t="n"/>
      <c r="Y203" s="44" t="str">
        <f>IF($AC203&gt;0,INDEX(CASHBACK_RULES!$A$5:$A$304,$AC203),"")</f>
        <v/>
      </c>
      <c r="Z203" s="45" t="str">
        <f>IF($AC203&gt;0,INDEX(CASHBACK_RULES!$E$5:$E$304,$AC203)&amp;"","")</f>
        <v/>
      </c>
      <c r="AA203" s="48" t="str">
        <f>IF($AC203&gt;0,IF(ISNUMBER(INDEX(CASHBACK_RULES!$K$5:$K$304,$AC203)),INDEX(CASHBACK_RULES!$K$5:$K$304,$AC203),"∞"),"")</f>
        <v/>
      </c>
      <c r="AB203" s="44" t="str">
        <f>IF(OR($B203="",$D203=""),"",IF($U203="Cancelled","Đã hủy",IF($AC203=0,"Không được hoàn",IF($Q203=0,IF(OR($O203&gt;0,$M203&lt;$L203),"Đã đạt cap","Không được hoàn"),IF(OR($Q203&lt;$O203,$M203&lt;$L203),"Hoàn một phần","Được hoàn")))))</f>
        <v/>
      </c>
      <c r="AC203" s="43">
        <f>IF(OR($B203="",$D203="",$I203="",$L203=""),0,IF($U203="Cancelled",0,IF($W203&lt;&gt;"",IFERROR(IF(INDEX(CASHBACK_RULES!$B$5:$B$304,MATCH($W203,CASHBACK_RULES!$A$5:$A$304,0))=$D203,MATCH($W203,CASHBACK_RULES!$A$5:$A$304,0),0),0),IFERROR(MATCH(1,INDEX((CASHBACK_RULES!$B$5:$B$304=$D203)*(CASHBACK_RULES!$G$5:$G$304=$I203)*(((CASHBACK_RULES!$N$5:$N$304="")+(CASHBACK_RULES!$N$5:$N$304&lt;=$B203))&gt;0)*(((CASHBACK_RULES!$O$5:$O$304="")+(CASHBACK_RULES!$O$5:$O$304&gt;=$B203))&gt;0)*(((CASHBACK_RULES!$M$5:$M$304="")+(CASHBACK_RULES!$M$5:$M$304&lt;=$L203))&gt;0),0),0),0))))</f>
        <v>0</v>
      </c>
      <c r="AD203" s="51" t="str">
        <f>IF(OR($B203="",$D203=""),"",IFERROR(IF(INDEX(CARDS!$H$5:$H$34,MATCH($D203,CARDS!$A$5:$A$34,0))="","",IF(DAY($B203)&lt;=INDEX(CARDS!$H$5:$H$34,MATCH($D203,CARDS!$A$5:$A$34,0)),DATE(YEAR($B203),MONTH($B203),MIN(INDEX(CARDS!$H$5:$H$34,MATCH($D203,CARDS!$A$5:$A$34,0)),DAY(EOMONTH($B203,0)))),DATE(YEAR($B203),MONTH($B203)+1,MIN(INDEX(CARDS!$H$5:$H$34,MATCH($D203,CARDS!$A$5:$A$34,0)),DAY(EOMONTH($B203,1)))))),""))</f>
        <v/>
      </c>
      <c r="AE203" s="52" t="str">
        <f>IF($C203="","",$C203&amp;"|"&amp;COUNTIF($C$5:$C203,$C203))</f>
        <v/>
      </c>
      <c r="AF203" s="53">
        <f>IF($AC203&gt;0,SUMIFS(Q$4:Q202,$D$4:$D202,$D203,$Z$4:$Z202,$Z203,$C$4:$C202,$C203),0)</f>
        <v>0</v>
      </c>
      <c r="AG203" s="53">
        <f>IF($AC203&gt;0,SUMIFS(Q$4:Q202,$D$4:$D202,$D203,$C$4:$C202,$C203),0)</f>
        <v>0</v>
      </c>
      <c r="AH203" s="53">
        <f>IF($AC203&gt;0,SUMIFS(M$4:M202,$D$4:$D202,$D203,$Z$4:$Z202,$Z203,$C$4:$C202,$C203),0)</f>
        <v>0</v>
      </c>
      <c r="AI203" s="43">
        <f>IF(OR($C203="",$I203=""),0,IF(COUNTIFS($C$5:$C203,$C203,$I$5:$I203,$I203)=1,1,0))</f>
        <v>0</v>
      </c>
      <c r="AJ203" s="43" t="str">
        <f>IF($AI203=1,SUMIFS($AI$4:$AI202,$C$4:$C202,$C203)+1,"")</f>
        <v/>
      </c>
      <c r="AK203" s="43">
        <f>IF(OR($C203="",$K203=""),0,IF(COUNTIFS($C$5:$C203,$C203,$K$5:$K203,$K203)=1,1,0))</f>
        <v>0</v>
      </c>
      <c r="AL203" s="43" t="str">
        <f>IF($AK203=1,SUMIFS($AK$4:$AK202,$C$4:$C202,$C203)+1,"")</f>
        <v/>
      </c>
      <c r="AM203" s="43">
        <f>IF(OR($C203="",$G203=""),0,IF(COUNTIFS($C$5:$C203,$C203,$G$5:$G203,$G203)=1,1,0))</f>
        <v>0</v>
      </c>
      <c r="AN203" s="43" t="str">
        <f>IF($AM203=1,SUMIFS($AM$4:$AM202,$C$4:$C202,$C203)+1,"")</f>
        <v/>
      </c>
    </row>
    <row r="204">
      <c r="A204" s="44" t="str">
        <f>IF(OR($B204="",$D204=""),"","TX"&amp;TEXT(ROW()-4,"0000"))</f>
        <v/>
      </c>
      <c r="B204" s="42" t="n"/>
      <c r="C204" s="47" t="str">
        <f>IF($B204="","",YEAR($B204)*100+MONTH($B204))</f>
        <v/>
      </c>
      <c r="D204" s="37" t="n"/>
      <c r="E204" s="45" t="str">
        <f>IF($D204="","",IFERROR(INDEX(CARDS!$B$5:$B$34,MATCH($D204,CARDS!$A$5:$A$34,0)),"⚠ Card ID?"))</f>
        <v/>
      </c>
      <c r="F204" s="45" t="str">
        <f>IF($D204="","",IFERROR(INDEX(CARDS!$C$5:$C$34,MATCH($D204,CARDS!$A$5:$A$34,0)),"⚠ Card ID?"))</f>
        <v/>
      </c>
      <c r="G204" s="37" t="n"/>
      <c r="H204" s="37" t="n"/>
      <c r="I204" s="41" t="n"/>
      <c r="J204" s="45" t="str">
        <f>IF($I204="","",IFERROR(INDEX(MCC_MASTER!$B$5:$B$504,MATCH($I204,MCC_MASTER!$A$5:$A$504,0)),"⚠ MCC chưa có"))</f>
        <v/>
      </c>
      <c r="K204" s="45" t="str">
        <f>IF($I204="","",IFERROR(IF(INDEX(MCC_MASTER!$C$5:$C$504,MATCH($I204,MCC_MASTER!$A$5:$A$504,0))="","Chưa phân loại",INDEX(MCC_MASTER!$C$5:$C$504,MATCH($I204,MCC_MASTER!$A$5:$A$504,0))),"Chưa phân loại"))</f>
        <v/>
      </c>
      <c r="L204" s="40" t="n"/>
      <c r="M204" s="48" t="str">
        <f>IF(OR($B204="",$D204=""),"",IF($AC204=0,0,IF(ISNUMBER(INDEX(CASHBACK_RULES!$L$5:$L$304,$AC204)),MAX(0,MIN($L204,INDEX(CASHBACK_RULES!$L$5:$L$304,$AC204)-$AH204)),MAX(0,$L204))))</f>
        <v/>
      </c>
      <c r="N204" s="49" t="str">
        <f>IF(OR($B204="",$D204=""),"",IF($AC204&gt;0,INDEX(CASHBACK_RULES!$I$5:$I$304,$AC204),0))</f>
        <v/>
      </c>
      <c r="O204" s="48" t="str">
        <f>IF(OR($B204="",$D204=""),"",ROUND($M204*$N204,0))</f>
        <v/>
      </c>
      <c r="P204" s="48" t="str">
        <f>IF($AC204&gt;0,IF(ISNUMBER(INDEX(CASHBACK_RULES!$J$5:$J$304,$AC204)),INDEX(CASHBACK_RULES!$J$5:$J$304,$AC204),"∞"),"")</f>
        <v/>
      </c>
      <c r="Q204" s="48" t="str">
        <f>IF(OR($B204="",$D204=""),"",IF($AC204=0,0,MAX(0,MIN($O204,IF(ISNUMBER($P204),$P204-$AF204,1E+15),IF(ISNUMBER($AA204),$AA204-$AG204,1E+15)))))</f>
        <v/>
      </c>
      <c r="R204" s="48" t="str">
        <f>IF(OR($B204="",$D204=""),"",IF($AC204=0,"",IF(AND(NOT(ISNUMBER($P204)),NOT(ISNUMBER($AA204))),"∞",MAX(0,MIN(IF(ISNUMBER($P204),$P204-$AF204-$Q204,1E+15),IF(ISNUMBER($AA204),$AA204-$AG204-$Q204,1E+15))))))</f>
        <v/>
      </c>
      <c r="S204" s="47" t="str">
        <f>IF($AD204="","",YEAR($AD204)*100+MONTH($AD204))</f>
        <v/>
      </c>
      <c r="T204" s="50" t="str">
        <f>IF($AD204="","",IFERROR(IF(INDEX(CARDS!$I$5:$I$34,MATCH($D204,CARDS!$A$5:$A$34,0))="","",IF(INDEX(CARDS!$I$5:$I$34,MATCH($D204,CARDS!$A$5:$A$34,0))&gt;INDEX(CARDS!$H$5:$H$34,MATCH($D204,CARDS!$A$5:$A$34,0)),DATE(YEAR($AD204),MONTH($AD204),MIN(INDEX(CARDS!$I$5:$I$34,MATCH($D204,CARDS!$A$5:$A$34,0)),DAY(EOMONTH($AD204,0)))),DATE(YEAR($AD204),MONTH($AD204)+1,MIN(INDEX(CARDS!$I$5:$I$34,MATCH($D204,CARDS!$A$5:$A$34,0)),DAY(EOMONTH($AD204,1)))))),""))</f>
        <v/>
      </c>
      <c r="U204" s="38" t="n"/>
      <c r="V204" s="37" t="n"/>
      <c r="W204" s="38" t="n"/>
      <c r="X204" s="38" t="n"/>
      <c r="Y204" s="44" t="str">
        <f>IF($AC204&gt;0,INDEX(CASHBACK_RULES!$A$5:$A$304,$AC204),"")</f>
        <v/>
      </c>
      <c r="Z204" s="45" t="str">
        <f>IF($AC204&gt;0,INDEX(CASHBACK_RULES!$E$5:$E$304,$AC204)&amp;"","")</f>
        <v/>
      </c>
      <c r="AA204" s="48" t="str">
        <f>IF($AC204&gt;0,IF(ISNUMBER(INDEX(CASHBACK_RULES!$K$5:$K$304,$AC204)),INDEX(CASHBACK_RULES!$K$5:$K$304,$AC204),"∞"),"")</f>
        <v/>
      </c>
      <c r="AB204" s="44" t="str">
        <f>IF(OR($B204="",$D204=""),"",IF($U204="Cancelled","Đã hủy",IF($AC204=0,"Không được hoàn",IF($Q204=0,IF(OR($O204&gt;0,$M204&lt;$L204),"Đã đạt cap","Không được hoàn"),IF(OR($Q204&lt;$O204,$M204&lt;$L204),"Hoàn một phần","Được hoàn")))))</f>
        <v/>
      </c>
      <c r="AC204" s="43">
        <f>IF(OR($B204="",$D204="",$I204="",$L204=""),0,IF($U204="Cancelled",0,IF($W204&lt;&gt;"",IFERROR(IF(INDEX(CASHBACK_RULES!$B$5:$B$304,MATCH($W204,CASHBACK_RULES!$A$5:$A$304,0))=$D204,MATCH($W204,CASHBACK_RULES!$A$5:$A$304,0),0),0),IFERROR(MATCH(1,INDEX((CASHBACK_RULES!$B$5:$B$304=$D204)*(CASHBACK_RULES!$G$5:$G$304=$I204)*(((CASHBACK_RULES!$N$5:$N$304="")+(CASHBACK_RULES!$N$5:$N$304&lt;=$B204))&gt;0)*(((CASHBACK_RULES!$O$5:$O$304="")+(CASHBACK_RULES!$O$5:$O$304&gt;=$B204))&gt;0)*(((CASHBACK_RULES!$M$5:$M$304="")+(CASHBACK_RULES!$M$5:$M$304&lt;=$L204))&gt;0),0),0),0))))</f>
        <v>0</v>
      </c>
      <c r="AD204" s="51" t="str">
        <f>IF(OR($B204="",$D204=""),"",IFERROR(IF(INDEX(CARDS!$H$5:$H$34,MATCH($D204,CARDS!$A$5:$A$34,0))="","",IF(DAY($B204)&lt;=INDEX(CARDS!$H$5:$H$34,MATCH($D204,CARDS!$A$5:$A$34,0)),DATE(YEAR($B204),MONTH($B204),MIN(INDEX(CARDS!$H$5:$H$34,MATCH($D204,CARDS!$A$5:$A$34,0)),DAY(EOMONTH($B204,0)))),DATE(YEAR($B204),MONTH($B204)+1,MIN(INDEX(CARDS!$H$5:$H$34,MATCH($D204,CARDS!$A$5:$A$34,0)),DAY(EOMONTH($B204,1)))))),""))</f>
        <v/>
      </c>
      <c r="AE204" s="52" t="str">
        <f>IF($C204="","",$C204&amp;"|"&amp;COUNTIF($C$5:$C204,$C204))</f>
        <v/>
      </c>
      <c r="AF204" s="53">
        <f>IF($AC204&gt;0,SUMIFS(Q$4:Q203,$D$4:$D203,$D204,$Z$4:$Z203,$Z204,$C$4:$C203,$C204),0)</f>
        <v>0</v>
      </c>
      <c r="AG204" s="53">
        <f>IF($AC204&gt;0,SUMIFS(Q$4:Q203,$D$4:$D203,$D204,$C$4:$C203,$C204),0)</f>
        <v>0</v>
      </c>
      <c r="AH204" s="53">
        <f>IF($AC204&gt;0,SUMIFS(M$4:M203,$D$4:$D203,$D204,$Z$4:$Z203,$Z204,$C$4:$C203,$C204),0)</f>
        <v>0</v>
      </c>
      <c r="AI204" s="43">
        <f>IF(OR($C204="",$I204=""),0,IF(COUNTIFS($C$5:$C204,$C204,$I$5:$I204,$I204)=1,1,0))</f>
        <v>0</v>
      </c>
      <c r="AJ204" s="43" t="str">
        <f>IF($AI204=1,SUMIFS($AI$4:$AI203,$C$4:$C203,$C204)+1,"")</f>
        <v/>
      </c>
      <c r="AK204" s="43">
        <f>IF(OR($C204="",$K204=""),0,IF(COUNTIFS($C$5:$C204,$C204,$K$5:$K204,$K204)=1,1,0))</f>
        <v>0</v>
      </c>
      <c r="AL204" s="43" t="str">
        <f>IF($AK204=1,SUMIFS($AK$4:$AK203,$C$4:$C203,$C204)+1,"")</f>
        <v/>
      </c>
      <c r="AM204" s="43">
        <f>IF(OR($C204="",$G204=""),0,IF(COUNTIFS($C$5:$C204,$C204,$G$5:$G204,$G204)=1,1,0))</f>
        <v>0</v>
      </c>
      <c r="AN204" s="43" t="str">
        <f>IF($AM204=1,SUMIFS($AM$4:$AM203,$C$4:$C203,$C204)+1,"")</f>
        <v/>
      </c>
    </row>
    <row r="205">
      <c r="A205" s="44" t="str">
        <f>IF(OR($B205="",$D205=""),"","TX"&amp;TEXT(ROW()-4,"0000"))</f>
        <v/>
      </c>
      <c r="B205" s="42" t="n"/>
      <c r="C205" s="47" t="str">
        <f>IF($B205="","",YEAR($B205)*100+MONTH($B205))</f>
        <v/>
      </c>
      <c r="D205" s="37" t="n"/>
      <c r="E205" s="45" t="str">
        <f>IF($D205="","",IFERROR(INDEX(CARDS!$B$5:$B$34,MATCH($D205,CARDS!$A$5:$A$34,0)),"⚠ Card ID?"))</f>
        <v/>
      </c>
      <c r="F205" s="45" t="str">
        <f>IF($D205="","",IFERROR(INDEX(CARDS!$C$5:$C$34,MATCH($D205,CARDS!$A$5:$A$34,0)),"⚠ Card ID?"))</f>
        <v/>
      </c>
      <c r="G205" s="37" t="n"/>
      <c r="H205" s="37" t="n"/>
      <c r="I205" s="41" t="n"/>
      <c r="J205" s="45" t="str">
        <f>IF($I205="","",IFERROR(INDEX(MCC_MASTER!$B$5:$B$504,MATCH($I205,MCC_MASTER!$A$5:$A$504,0)),"⚠ MCC chưa có"))</f>
        <v/>
      </c>
      <c r="K205" s="45" t="str">
        <f>IF($I205="","",IFERROR(IF(INDEX(MCC_MASTER!$C$5:$C$504,MATCH($I205,MCC_MASTER!$A$5:$A$504,0))="","Chưa phân loại",INDEX(MCC_MASTER!$C$5:$C$504,MATCH($I205,MCC_MASTER!$A$5:$A$504,0))),"Chưa phân loại"))</f>
        <v/>
      </c>
      <c r="L205" s="40" t="n"/>
      <c r="M205" s="48" t="str">
        <f>IF(OR($B205="",$D205=""),"",IF($AC205=0,0,IF(ISNUMBER(INDEX(CASHBACK_RULES!$L$5:$L$304,$AC205)),MAX(0,MIN($L205,INDEX(CASHBACK_RULES!$L$5:$L$304,$AC205)-$AH205)),MAX(0,$L205))))</f>
        <v/>
      </c>
      <c r="N205" s="49" t="str">
        <f>IF(OR($B205="",$D205=""),"",IF($AC205&gt;0,INDEX(CASHBACK_RULES!$I$5:$I$304,$AC205),0))</f>
        <v/>
      </c>
      <c r="O205" s="48" t="str">
        <f>IF(OR($B205="",$D205=""),"",ROUND($M205*$N205,0))</f>
        <v/>
      </c>
      <c r="P205" s="48" t="str">
        <f>IF($AC205&gt;0,IF(ISNUMBER(INDEX(CASHBACK_RULES!$J$5:$J$304,$AC205)),INDEX(CASHBACK_RULES!$J$5:$J$304,$AC205),"∞"),"")</f>
        <v/>
      </c>
      <c r="Q205" s="48" t="str">
        <f>IF(OR($B205="",$D205=""),"",IF($AC205=0,0,MAX(0,MIN($O205,IF(ISNUMBER($P205),$P205-$AF205,1E+15),IF(ISNUMBER($AA205),$AA205-$AG205,1E+15)))))</f>
        <v/>
      </c>
      <c r="R205" s="48" t="str">
        <f>IF(OR($B205="",$D205=""),"",IF($AC205=0,"",IF(AND(NOT(ISNUMBER($P205)),NOT(ISNUMBER($AA205))),"∞",MAX(0,MIN(IF(ISNUMBER($P205),$P205-$AF205-$Q205,1E+15),IF(ISNUMBER($AA205),$AA205-$AG205-$Q205,1E+15))))))</f>
        <v/>
      </c>
      <c r="S205" s="47" t="str">
        <f>IF($AD205="","",YEAR($AD205)*100+MONTH($AD205))</f>
        <v/>
      </c>
      <c r="T205" s="50" t="str">
        <f>IF($AD205="","",IFERROR(IF(INDEX(CARDS!$I$5:$I$34,MATCH($D205,CARDS!$A$5:$A$34,0))="","",IF(INDEX(CARDS!$I$5:$I$34,MATCH($D205,CARDS!$A$5:$A$34,0))&gt;INDEX(CARDS!$H$5:$H$34,MATCH($D205,CARDS!$A$5:$A$34,0)),DATE(YEAR($AD205),MONTH($AD205),MIN(INDEX(CARDS!$I$5:$I$34,MATCH($D205,CARDS!$A$5:$A$34,0)),DAY(EOMONTH($AD205,0)))),DATE(YEAR($AD205),MONTH($AD205)+1,MIN(INDEX(CARDS!$I$5:$I$34,MATCH($D205,CARDS!$A$5:$A$34,0)),DAY(EOMONTH($AD205,1)))))),""))</f>
        <v/>
      </c>
      <c r="U205" s="38" t="n"/>
      <c r="V205" s="37" t="n"/>
      <c r="W205" s="38" t="n"/>
      <c r="X205" s="38" t="n"/>
      <c r="Y205" s="44" t="str">
        <f>IF($AC205&gt;0,INDEX(CASHBACK_RULES!$A$5:$A$304,$AC205),"")</f>
        <v/>
      </c>
      <c r="Z205" s="45" t="str">
        <f>IF($AC205&gt;0,INDEX(CASHBACK_RULES!$E$5:$E$304,$AC205)&amp;"","")</f>
        <v/>
      </c>
      <c r="AA205" s="48" t="str">
        <f>IF($AC205&gt;0,IF(ISNUMBER(INDEX(CASHBACK_RULES!$K$5:$K$304,$AC205)),INDEX(CASHBACK_RULES!$K$5:$K$304,$AC205),"∞"),"")</f>
        <v/>
      </c>
      <c r="AB205" s="44" t="str">
        <f>IF(OR($B205="",$D205=""),"",IF($U205="Cancelled","Đã hủy",IF($AC205=0,"Không được hoàn",IF($Q205=0,IF(OR($O205&gt;0,$M205&lt;$L205),"Đã đạt cap","Không được hoàn"),IF(OR($Q205&lt;$O205,$M205&lt;$L205),"Hoàn một phần","Được hoàn")))))</f>
        <v/>
      </c>
      <c r="AC205" s="43">
        <f>IF(OR($B205="",$D205="",$I205="",$L205=""),0,IF($U205="Cancelled",0,IF($W205&lt;&gt;"",IFERROR(IF(INDEX(CASHBACK_RULES!$B$5:$B$304,MATCH($W205,CASHBACK_RULES!$A$5:$A$304,0))=$D205,MATCH($W205,CASHBACK_RULES!$A$5:$A$304,0),0),0),IFERROR(MATCH(1,INDEX((CASHBACK_RULES!$B$5:$B$304=$D205)*(CASHBACK_RULES!$G$5:$G$304=$I205)*(((CASHBACK_RULES!$N$5:$N$304="")+(CASHBACK_RULES!$N$5:$N$304&lt;=$B205))&gt;0)*(((CASHBACK_RULES!$O$5:$O$304="")+(CASHBACK_RULES!$O$5:$O$304&gt;=$B205))&gt;0)*(((CASHBACK_RULES!$M$5:$M$304="")+(CASHBACK_RULES!$M$5:$M$304&lt;=$L205))&gt;0),0),0),0))))</f>
        <v>0</v>
      </c>
      <c r="AD205" s="51" t="str">
        <f>IF(OR($B205="",$D205=""),"",IFERROR(IF(INDEX(CARDS!$H$5:$H$34,MATCH($D205,CARDS!$A$5:$A$34,0))="","",IF(DAY($B205)&lt;=INDEX(CARDS!$H$5:$H$34,MATCH($D205,CARDS!$A$5:$A$34,0)),DATE(YEAR($B205),MONTH($B205),MIN(INDEX(CARDS!$H$5:$H$34,MATCH($D205,CARDS!$A$5:$A$34,0)),DAY(EOMONTH($B205,0)))),DATE(YEAR($B205),MONTH($B205)+1,MIN(INDEX(CARDS!$H$5:$H$34,MATCH($D205,CARDS!$A$5:$A$34,0)),DAY(EOMONTH($B205,1)))))),""))</f>
        <v/>
      </c>
      <c r="AE205" s="52" t="str">
        <f>IF($C205="","",$C205&amp;"|"&amp;COUNTIF($C$5:$C205,$C205))</f>
        <v/>
      </c>
      <c r="AF205" s="53">
        <f>IF($AC205&gt;0,SUMIFS(Q$4:Q204,$D$4:$D204,$D205,$Z$4:$Z204,$Z205,$C$4:$C204,$C205),0)</f>
        <v>0</v>
      </c>
      <c r="AG205" s="53">
        <f>IF($AC205&gt;0,SUMIFS(Q$4:Q204,$D$4:$D204,$D205,$C$4:$C204,$C205),0)</f>
        <v>0</v>
      </c>
      <c r="AH205" s="53">
        <f>IF($AC205&gt;0,SUMIFS(M$4:M204,$D$4:$D204,$D205,$Z$4:$Z204,$Z205,$C$4:$C204,$C205),0)</f>
        <v>0</v>
      </c>
      <c r="AI205" s="43">
        <f>IF(OR($C205="",$I205=""),0,IF(COUNTIFS($C$5:$C205,$C205,$I$5:$I205,$I205)=1,1,0))</f>
        <v>0</v>
      </c>
      <c r="AJ205" s="43" t="str">
        <f>IF($AI205=1,SUMIFS($AI$4:$AI204,$C$4:$C204,$C205)+1,"")</f>
        <v/>
      </c>
      <c r="AK205" s="43">
        <f>IF(OR($C205="",$K205=""),0,IF(COUNTIFS($C$5:$C205,$C205,$K$5:$K205,$K205)=1,1,0))</f>
        <v>0</v>
      </c>
      <c r="AL205" s="43" t="str">
        <f>IF($AK205=1,SUMIFS($AK$4:$AK204,$C$4:$C204,$C205)+1,"")</f>
        <v/>
      </c>
      <c r="AM205" s="43">
        <f>IF(OR($C205="",$G205=""),0,IF(COUNTIFS($C$5:$C205,$C205,$G$5:$G205,$G205)=1,1,0))</f>
        <v>0</v>
      </c>
      <c r="AN205" s="43" t="str">
        <f>IF($AM205=1,SUMIFS($AM$4:$AM204,$C$4:$C204,$C205)+1,"")</f>
        <v/>
      </c>
    </row>
    <row r="206">
      <c r="A206" s="44" t="str">
        <f>IF(OR($B206="",$D206=""),"","TX"&amp;TEXT(ROW()-4,"0000"))</f>
        <v/>
      </c>
      <c r="B206" s="42" t="n"/>
      <c r="C206" s="47" t="str">
        <f>IF($B206="","",YEAR($B206)*100+MONTH($B206))</f>
        <v/>
      </c>
      <c r="D206" s="37" t="n"/>
      <c r="E206" s="45" t="str">
        <f>IF($D206="","",IFERROR(INDEX(CARDS!$B$5:$B$34,MATCH($D206,CARDS!$A$5:$A$34,0)),"⚠ Card ID?"))</f>
        <v/>
      </c>
      <c r="F206" s="45" t="str">
        <f>IF($D206="","",IFERROR(INDEX(CARDS!$C$5:$C$34,MATCH($D206,CARDS!$A$5:$A$34,0)),"⚠ Card ID?"))</f>
        <v/>
      </c>
      <c r="G206" s="37" t="n"/>
      <c r="H206" s="37" t="n"/>
      <c r="I206" s="41" t="n"/>
      <c r="J206" s="45" t="str">
        <f>IF($I206="","",IFERROR(INDEX(MCC_MASTER!$B$5:$B$504,MATCH($I206,MCC_MASTER!$A$5:$A$504,0)),"⚠ MCC chưa có"))</f>
        <v/>
      </c>
      <c r="K206" s="45" t="str">
        <f>IF($I206="","",IFERROR(IF(INDEX(MCC_MASTER!$C$5:$C$504,MATCH($I206,MCC_MASTER!$A$5:$A$504,0))="","Chưa phân loại",INDEX(MCC_MASTER!$C$5:$C$504,MATCH($I206,MCC_MASTER!$A$5:$A$504,0))),"Chưa phân loại"))</f>
        <v/>
      </c>
      <c r="L206" s="40" t="n"/>
      <c r="M206" s="48" t="str">
        <f>IF(OR($B206="",$D206=""),"",IF($AC206=0,0,IF(ISNUMBER(INDEX(CASHBACK_RULES!$L$5:$L$304,$AC206)),MAX(0,MIN($L206,INDEX(CASHBACK_RULES!$L$5:$L$304,$AC206)-$AH206)),MAX(0,$L206))))</f>
        <v/>
      </c>
      <c r="N206" s="49" t="str">
        <f>IF(OR($B206="",$D206=""),"",IF($AC206&gt;0,INDEX(CASHBACK_RULES!$I$5:$I$304,$AC206),0))</f>
        <v/>
      </c>
      <c r="O206" s="48" t="str">
        <f>IF(OR($B206="",$D206=""),"",ROUND($M206*$N206,0))</f>
        <v/>
      </c>
      <c r="P206" s="48" t="str">
        <f>IF($AC206&gt;0,IF(ISNUMBER(INDEX(CASHBACK_RULES!$J$5:$J$304,$AC206)),INDEX(CASHBACK_RULES!$J$5:$J$304,$AC206),"∞"),"")</f>
        <v/>
      </c>
      <c r="Q206" s="48" t="str">
        <f>IF(OR($B206="",$D206=""),"",IF($AC206=0,0,MAX(0,MIN($O206,IF(ISNUMBER($P206),$P206-$AF206,1E+15),IF(ISNUMBER($AA206),$AA206-$AG206,1E+15)))))</f>
        <v/>
      </c>
      <c r="R206" s="48" t="str">
        <f>IF(OR($B206="",$D206=""),"",IF($AC206=0,"",IF(AND(NOT(ISNUMBER($P206)),NOT(ISNUMBER($AA206))),"∞",MAX(0,MIN(IF(ISNUMBER($P206),$P206-$AF206-$Q206,1E+15),IF(ISNUMBER($AA206),$AA206-$AG206-$Q206,1E+15))))))</f>
        <v/>
      </c>
      <c r="S206" s="47" t="str">
        <f>IF($AD206="","",YEAR($AD206)*100+MONTH($AD206))</f>
        <v/>
      </c>
      <c r="T206" s="50" t="str">
        <f>IF($AD206="","",IFERROR(IF(INDEX(CARDS!$I$5:$I$34,MATCH($D206,CARDS!$A$5:$A$34,0))="","",IF(INDEX(CARDS!$I$5:$I$34,MATCH($D206,CARDS!$A$5:$A$34,0))&gt;INDEX(CARDS!$H$5:$H$34,MATCH($D206,CARDS!$A$5:$A$34,0)),DATE(YEAR($AD206),MONTH($AD206),MIN(INDEX(CARDS!$I$5:$I$34,MATCH($D206,CARDS!$A$5:$A$34,0)),DAY(EOMONTH($AD206,0)))),DATE(YEAR($AD206),MONTH($AD206)+1,MIN(INDEX(CARDS!$I$5:$I$34,MATCH($D206,CARDS!$A$5:$A$34,0)),DAY(EOMONTH($AD206,1)))))),""))</f>
        <v/>
      </c>
      <c r="U206" s="38" t="n"/>
      <c r="V206" s="37" t="n"/>
      <c r="W206" s="38" t="n"/>
      <c r="X206" s="38" t="n"/>
      <c r="Y206" s="44" t="str">
        <f>IF($AC206&gt;0,INDEX(CASHBACK_RULES!$A$5:$A$304,$AC206),"")</f>
        <v/>
      </c>
      <c r="Z206" s="45" t="str">
        <f>IF($AC206&gt;0,INDEX(CASHBACK_RULES!$E$5:$E$304,$AC206)&amp;"","")</f>
        <v/>
      </c>
      <c r="AA206" s="48" t="str">
        <f>IF($AC206&gt;0,IF(ISNUMBER(INDEX(CASHBACK_RULES!$K$5:$K$304,$AC206)),INDEX(CASHBACK_RULES!$K$5:$K$304,$AC206),"∞"),"")</f>
        <v/>
      </c>
      <c r="AB206" s="44" t="str">
        <f>IF(OR($B206="",$D206=""),"",IF($U206="Cancelled","Đã hủy",IF($AC206=0,"Không được hoàn",IF($Q206=0,IF(OR($O206&gt;0,$M206&lt;$L206),"Đã đạt cap","Không được hoàn"),IF(OR($Q206&lt;$O206,$M206&lt;$L206),"Hoàn một phần","Được hoàn")))))</f>
        <v/>
      </c>
      <c r="AC206" s="43">
        <f>IF(OR($B206="",$D206="",$I206="",$L206=""),0,IF($U206="Cancelled",0,IF($W206&lt;&gt;"",IFERROR(IF(INDEX(CASHBACK_RULES!$B$5:$B$304,MATCH($W206,CASHBACK_RULES!$A$5:$A$304,0))=$D206,MATCH($W206,CASHBACK_RULES!$A$5:$A$304,0),0),0),IFERROR(MATCH(1,INDEX((CASHBACK_RULES!$B$5:$B$304=$D206)*(CASHBACK_RULES!$G$5:$G$304=$I206)*(((CASHBACK_RULES!$N$5:$N$304="")+(CASHBACK_RULES!$N$5:$N$304&lt;=$B206))&gt;0)*(((CASHBACK_RULES!$O$5:$O$304="")+(CASHBACK_RULES!$O$5:$O$304&gt;=$B206))&gt;0)*(((CASHBACK_RULES!$M$5:$M$304="")+(CASHBACK_RULES!$M$5:$M$304&lt;=$L206))&gt;0),0),0),0))))</f>
        <v>0</v>
      </c>
      <c r="AD206" s="51" t="str">
        <f>IF(OR($B206="",$D206=""),"",IFERROR(IF(INDEX(CARDS!$H$5:$H$34,MATCH($D206,CARDS!$A$5:$A$34,0))="","",IF(DAY($B206)&lt;=INDEX(CARDS!$H$5:$H$34,MATCH($D206,CARDS!$A$5:$A$34,0)),DATE(YEAR($B206),MONTH($B206),MIN(INDEX(CARDS!$H$5:$H$34,MATCH($D206,CARDS!$A$5:$A$34,0)),DAY(EOMONTH($B206,0)))),DATE(YEAR($B206),MONTH($B206)+1,MIN(INDEX(CARDS!$H$5:$H$34,MATCH($D206,CARDS!$A$5:$A$34,0)),DAY(EOMONTH($B206,1)))))),""))</f>
        <v/>
      </c>
      <c r="AE206" s="52" t="str">
        <f>IF($C206="","",$C206&amp;"|"&amp;COUNTIF($C$5:$C206,$C206))</f>
        <v/>
      </c>
      <c r="AF206" s="53">
        <f>IF($AC206&gt;0,SUMIFS(Q$4:Q205,$D$4:$D205,$D206,$Z$4:$Z205,$Z206,$C$4:$C205,$C206),0)</f>
        <v>0</v>
      </c>
      <c r="AG206" s="53">
        <f>IF($AC206&gt;0,SUMIFS(Q$4:Q205,$D$4:$D205,$D206,$C$4:$C205,$C206),0)</f>
        <v>0</v>
      </c>
      <c r="AH206" s="53">
        <f>IF($AC206&gt;0,SUMIFS(M$4:M205,$D$4:$D205,$D206,$Z$4:$Z205,$Z206,$C$4:$C205,$C206),0)</f>
        <v>0</v>
      </c>
      <c r="AI206" s="43">
        <f>IF(OR($C206="",$I206=""),0,IF(COUNTIFS($C$5:$C206,$C206,$I$5:$I206,$I206)=1,1,0))</f>
        <v>0</v>
      </c>
      <c r="AJ206" s="43" t="str">
        <f>IF($AI206=1,SUMIFS($AI$4:$AI205,$C$4:$C205,$C206)+1,"")</f>
        <v/>
      </c>
      <c r="AK206" s="43">
        <f>IF(OR($C206="",$K206=""),0,IF(COUNTIFS($C$5:$C206,$C206,$K$5:$K206,$K206)=1,1,0))</f>
        <v>0</v>
      </c>
      <c r="AL206" s="43" t="str">
        <f>IF($AK206=1,SUMIFS($AK$4:$AK205,$C$4:$C205,$C206)+1,"")</f>
        <v/>
      </c>
      <c r="AM206" s="43">
        <f>IF(OR($C206="",$G206=""),0,IF(COUNTIFS($C$5:$C206,$C206,$G$5:$G206,$G206)=1,1,0))</f>
        <v>0</v>
      </c>
      <c r="AN206" s="43" t="str">
        <f>IF($AM206=1,SUMIFS($AM$4:$AM205,$C$4:$C205,$C206)+1,"")</f>
        <v/>
      </c>
    </row>
    <row r="207">
      <c r="A207" s="44" t="str">
        <f>IF(OR($B207="",$D207=""),"","TX"&amp;TEXT(ROW()-4,"0000"))</f>
        <v/>
      </c>
      <c r="B207" s="42" t="n"/>
      <c r="C207" s="47" t="str">
        <f>IF($B207="","",YEAR($B207)*100+MONTH($B207))</f>
        <v/>
      </c>
      <c r="D207" s="37" t="n"/>
      <c r="E207" s="45" t="str">
        <f>IF($D207="","",IFERROR(INDEX(CARDS!$B$5:$B$34,MATCH($D207,CARDS!$A$5:$A$34,0)),"⚠ Card ID?"))</f>
        <v/>
      </c>
      <c r="F207" s="45" t="str">
        <f>IF($D207="","",IFERROR(INDEX(CARDS!$C$5:$C$34,MATCH($D207,CARDS!$A$5:$A$34,0)),"⚠ Card ID?"))</f>
        <v/>
      </c>
      <c r="G207" s="37" t="n"/>
      <c r="H207" s="37" t="n"/>
      <c r="I207" s="41" t="n"/>
      <c r="J207" s="45" t="str">
        <f>IF($I207="","",IFERROR(INDEX(MCC_MASTER!$B$5:$B$504,MATCH($I207,MCC_MASTER!$A$5:$A$504,0)),"⚠ MCC chưa có"))</f>
        <v/>
      </c>
      <c r="K207" s="45" t="str">
        <f>IF($I207="","",IFERROR(IF(INDEX(MCC_MASTER!$C$5:$C$504,MATCH($I207,MCC_MASTER!$A$5:$A$504,0))="","Chưa phân loại",INDEX(MCC_MASTER!$C$5:$C$504,MATCH($I207,MCC_MASTER!$A$5:$A$504,0))),"Chưa phân loại"))</f>
        <v/>
      </c>
      <c r="L207" s="40" t="n"/>
      <c r="M207" s="48" t="str">
        <f>IF(OR($B207="",$D207=""),"",IF($AC207=0,0,IF(ISNUMBER(INDEX(CASHBACK_RULES!$L$5:$L$304,$AC207)),MAX(0,MIN($L207,INDEX(CASHBACK_RULES!$L$5:$L$304,$AC207)-$AH207)),MAX(0,$L207))))</f>
        <v/>
      </c>
      <c r="N207" s="49" t="str">
        <f>IF(OR($B207="",$D207=""),"",IF($AC207&gt;0,INDEX(CASHBACK_RULES!$I$5:$I$304,$AC207),0))</f>
        <v/>
      </c>
      <c r="O207" s="48" t="str">
        <f>IF(OR($B207="",$D207=""),"",ROUND($M207*$N207,0))</f>
        <v/>
      </c>
      <c r="P207" s="48" t="str">
        <f>IF($AC207&gt;0,IF(ISNUMBER(INDEX(CASHBACK_RULES!$J$5:$J$304,$AC207)),INDEX(CASHBACK_RULES!$J$5:$J$304,$AC207),"∞"),"")</f>
        <v/>
      </c>
      <c r="Q207" s="48" t="str">
        <f>IF(OR($B207="",$D207=""),"",IF($AC207=0,0,MAX(0,MIN($O207,IF(ISNUMBER($P207),$P207-$AF207,1E+15),IF(ISNUMBER($AA207),$AA207-$AG207,1E+15)))))</f>
        <v/>
      </c>
      <c r="R207" s="48" t="str">
        <f>IF(OR($B207="",$D207=""),"",IF($AC207=0,"",IF(AND(NOT(ISNUMBER($P207)),NOT(ISNUMBER($AA207))),"∞",MAX(0,MIN(IF(ISNUMBER($P207),$P207-$AF207-$Q207,1E+15),IF(ISNUMBER($AA207),$AA207-$AG207-$Q207,1E+15))))))</f>
        <v/>
      </c>
      <c r="S207" s="47" t="str">
        <f>IF($AD207="","",YEAR($AD207)*100+MONTH($AD207))</f>
        <v/>
      </c>
      <c r="T207" s="50" t="str">
        <f>IF($AD207="","",IFERROR(IF(INDEX(CARDS!$I$5:$I$34,MATCH($D207,CARDS!$A$5:$A$34,0))="","",IF(INDEX(CARDS!$I$5:$I$34,MATCH($D207,CARDS!$A$5:$A$34,0))&gt;INDEX(CARDS!$H$5:$H$34,MATCH($D207,CARDS!$A$5:$A$34,0)),DATE(YEAR($AD207),MONTH($AD207),MIN(INDEX(CARDS!$I$5:$I$34,MATCH($D207,CARDS!$A$5:$A$34,0)),DAY(EOMONTH($AD207,0)))),DATE(YEAR($AD207),MONTH($AD207)+1,MIN(INDEX(CARDS!$I$5:$I$34,MATCH($D207,CARDS!$A$5:$A$34,0)),DAY(EOMONTH($AD207,1)))))),""))</f>
        <v/>
      </c>
      <c r="U207" s="38" t="n"/>
      <c r="V207" s="37" t="n"/>
      <c r="W207" s="38" t="n"/>
      <c r="X207" s="38" t="n"/>
      <c r="Y207" s="44" t="str">
        <f>IF($AC207&gt;0,INDEX(CASHBACK_RULES!$A$5:$A$304,$AC207),"")</f>
        <v/>
      </c>
      <c r="Z207" s="45" t="str">
        <f>IF($AC207&gt;0,INDEX(CASHBACK_RULES!$E$5:$E$304,$AC207)&amp;"","")</f>
        <v/>
      </c>
      <c r="AA207" s="48" t="str">
        <f>IF($AC207&gt;0,IF(ISNUMBER(INDEX(CASHBACK_RULES!$K$5:$K$304,$AC207)),INDEX(CASHBACK_RULES!$K$5:$K$304,$AC207),"∞"),"")</f>
        <v/>
      </c>
      <c r="AB207" s="44" t="str">
        <f>IF(OR($B207="",$D207=""),"",IF($U207="Cancelled","Đã hủy",IF($AC207=0,"Không được hoàn",IF($Q207=0,IF(OR($O207&gt;0,$M207&lt;$L207),"Đã đạt cap","Không được hoàn"),IF(OR($Q207&lt;$O207,$M207&lt;$L207),"Hoàn một phần","Được hoàn")))))</f>
        <v/>
      </c>
      <c r="AC207" s="43">
        <f>IF(OR($B207="",$D207="",$I207="",$L207=""),0,IF($U207="Cancelled",0,IF($W207&lt;&gt;"",IFERROR(IF(INDEX(CASHBACK_RULES!$B$5:$B$304,MATCH($W207,CASHBACK_RULES!$A$5:$A$304,0))=$D207,MATCH($W207,CASHBACK_RULES!$A$5:$A$304,0),0),0),IFERROR(MATCH(1,INDEX((CASHBACK_RULES!$B$5:$B$304=$D207)*(CASHBACK_RULES!$G$5:$G$304=$I207)*(((CASHBACK_RULES!$N$5:$N$304="")+(CASHBACK_RULES!$N$5:$N$304&lt;=$B207))&gt;0)*(((CASHBACK_RULES!$O$5:$O$304="")+(CASHBACK_RULES!$O$5:$O$304&gt;=$B207))&gt;0)*(((CASHBACK_RULES!$M$5:$M$304="")+(CASHBACK_RULES!$M$5:$M$304&lt;=$L207))&gt;0),0),0),0))))</f>
        <v>0</v>
      </c>
      <c r="AD207" s="51" t="str">
        <f>IF(OR($B207="",$D207=""),"",IFERROR(IF(INDEX(CARDS!$H$5:$H$34,MATCH($D207,CARDS!$A$5:$A$34,0))="","",IF(DAY($B207)&lt;=INDEX(CARDS!$H$5:$H$34,MATCH($D207,CARDS!$A$5:$A$34,0)),DATE(YEAR($B207),MONTH($B207),MIN(INDEX(CARDS!$H$5:$H$34,MATCH($D207,CARDS!$A$5:$A$34,0)),DAY(EOMONTH($B207,0)))),DATE(YEAR($B207),MONTH($B207)+1,MIN(INDEX(CARDS!$H$5:$H$34,MATCH($D207,CARDS!$A$5:$A$34,0)),DAY(EOMONTH($B207,1)))))),""))</f>
        <v/>
      </c>
      <c r="AE207" s="52" t="str">
        <f>IF($C207="","",$C207&amp;"|"&amp;COUNTIF($C$5:$C207,$C207))</f>
        <v/>
      </c>
      <c r="AF207" s="53">
        <f>IF($AC207&gt;0,SUMIFS(Q$4:Q206,$D$4:$D206,$D207,$Z$4:$Z206,$Z207,$C$4:$C206,$C207),0)</f>
        <v>0</v>
      </c>
      <c r="AG207" s="53">
        <f>IF($AC207&gt;0,SUMIFS(Q$4:Q206,$D$4:$D206,$D207,$C$4:$C206,$C207),0)</f>
        <v>0</v>
      </c>
      <c r="AH207" s="53">
        <f>IF($AC207&gt;0,SUMIFS(M$4:M206,$D$4:$D206,$D207,$Z$4:$Z206,$Z207,$C$4:$C206,$C207),0)</f>
        <v>0</v>
      </c>
      <c r="AI207" s="43">
        <f>IF(OR($C207="",$I207=""),0,IF(COUNTIFS($C$5:$C207,$C207,$I$5:$I207,$I207)=1,1,0))</f>
        <v>0</v>
      </c>
      <c r="AJ207" s="43" t="str">
        <f>IF($AI207=1,SUMIFS($AI$4:$AI206,$C$4:$C206,$C207)+1,"")</f>
        <v/>
      </c>
      <c r="AK207" s="43">
        <f>IF(OR($C207="",$K207=""),0,IF(COUNTIFS($C$5:$C207,$C207,$K$5:$K207,$K207)=1,1,0))</f>
        <v>0</v>
      </c>
      <c r="AL207" s="43" t="str">
        <f>IF($AK207=1,SUMIFS($AK$4:$AK206,$C$4:$C206,$C207)+1,"")</f>
        <v/>
      </c>
      <c r="AM207" s="43">
        <f>IF(OR($C207="",$G207=""),0,IF(COUNTIFS($C$5:$C207,$C207,$G$5:$G207,$G207)=1,1,0))</f>
        <v>0</v>
      </c>
      <c r="AN207" s="43" t="str">
        <f>IF($AM207=1,SUMIFS($AM$4:$AM206,$C$4:$C206,$C207)+1,"")</f>
        <v/>
      </c>
    </row>
    <row r="208">
      <c r="A208" s="44" t="str">
        <f>IF(OR($B208="",$D208=""),"","TX"&amp;TEXT(ROW()-4,"0000"))</f>
        <v/>
      </c>
      <c r="B208" s="42" t="n"/>
      <c r="C208" s="47" t="str">
        <f>IF($B208="","",YEAR($B208)*100+MONTH($B208))</f>
        <v/>
      </c>
      <c r="D208" s="37" t="n"/>
      <c r="E208" s="45" t="str">
        <f>IF($D208="","",IFERROR(INDEX(CARDS!$B$5:$B$34,MATCH($D208,CARDS!$A$5:$A$34,0)),"⚠ Card ID?"))</f>
        <v/>
      </c>
      <c r="F208" s="45" t="str">
        <f>IF($D208="","",IFERROR(INDEX(CARDS!$C$5:$C$34,MATCH($D208,CARDS!$A$5:$A$34,0)),"⚠ Card ID?"))</f>
        <v/>
      </c>
      <c r="G208" s="37" t="n"/>
      <c r="H208" s="37" t="n"/>
      <c r="I208" s="41" t="n"/>
      <c r="J208" s="45" t="str">
        <f>IF($I208="","",IFERROR(INDEX(MCC_MASTER!$B$5:$B$504,MATCH($I208,MCC_MASTER!$A$5:$A$504,0)),"⚠ MCC chưa có"))</f>
        <v/>
      </c>
      <c r="K208" s="45" t="str">
        <f>IF($I208="","",IFERROR(IF(INDEX(MCC_MASTER!$C$5:$C$504,MATCH($I208,MCC_MASTER!$A$5:$A$504,0))="","Chưa phân loại",INDEX(MCC_MASTER!$C$5:$C$504,MATCH($I208,MCC_MASTER!$A$5:$A$504,0))),"Chưa phân loại"))</f>
        <v/>
      </c>
      <c r="L208" s="40" t="n"/>
      <c r="M208" s="48" t="str">
        <f>IF(OR($B208="",$D208=""),"",IF($AC208=0,0,IF(ISNUMBER(INDEX(CASHBACK_RULES!$L$5:$L$304,$AC208)),MAX(0,MIN($L208,INDEX(CASHBACK_RULES!$L$5:$L$304,$AC208)-$AH208)),MAX(0,$L208))))</f>
        <v/>
      </c>
      <c r="N208" s="49" t="str">
        <f>IF(OR($B208="",$D208=""),"",IF($AC208&gt;0,INDEX(CASHBACK_RULES!$I$5:$I$304,$AC208),0))</f>
        <v/>
      </c>
      <c r="O208" s="48" t="str">
        <f>IF(OR($B208="",$D208=""),"",ROUND($M208*$N208,0))</f>
        <v/>
      </c>
      <c r="P208" s="48" t="str">
        <f>IF($AC208&gt;0,IF(ISNUMBER(INDEX(CASHBACK_RULES!$J$5:$J$304,$AC208)),INDEX(CASHBACK_RULES!$J$5:$J$304,$AC208),"∞"),"")</f>
        <v/>
      </c>
      <c r="Q208" s="48" t="str">
        <f>IF(OR($B208="",$D208=""),"",IF($AC208=0,0,MAX(0,MIN($O208,IF(ISNUMBER($P208),$P208-$AF208,1E+15),IF(ISNUMBER($AA208),$AA208-$AG208,1E+15)))))</f>
        <v/>
      </c>
      <c r="R208" s="48" t="str">
        <f>IF(OR($B208="",$D208=""),"",IF($AC208=0,"",IF(AND(NOT(ISNUMBER($P208)),NOT(ISNUMBER($AA208))),"∞",MAX(0,MIN(IF(ISNUMBER($P208),$P208-$AF208-$Q208,1E+15),IF(ISNUMBER($AA208),$AA208-$AG208-$Q208,1E+15))))))</f>
        <v/>
      </c>
      <c r="S208" s="47" t="str">
        <f>IF($AD208="","",YEAR($AD208)*100+MONTH($AD208))</f>
        <v/>
      </c>
      <c r="T208" s="50" t="str">
        <f>IF($AD208="","",IFERROR(IF(INDEX(CARDS!$I$5:$I$34,MATCH($D208,CARDS!$A$5:$A$34,0))="","",IF(INDEX(CARDS!$I$5:$I$34,MATCH($D208,CARDS!$A$5:$A$34,0))&gt;INDEX(CARDS!$H$5:$H$34,MATCH($D208,CARDS!$A$5:$A$34,0)),DATE(YEAR($AD208),MONTH($AD208),MIN(INDEX(CARDS!$I$5:$I$34,MATCH($D208,CARDS!$A$5:$A$34,0)),DAY(EOMONTH($AD208,0)))),DATE(YEAR($AD208),MONTH($AD208)+1,MIN(INDEX(CARDS!$I$5:$I$34,MATCH($D208,CARDS!$A$5:$A$34,0)),DAY(EOMONTH($AD208,1)))))),""))</f>
        <v/>
      </c>
      <c r="U208" s="38" t="n"/>
      <c r="V208" s="37" t="n"/>
      <c r="W208" s="38" t="n"/>
      <c r="X208" s="38" t="n"/>
      <c r="Y208" s="44" t="str">
        <f>IF($AC208&gt;0,INDEX(CASHBACK_RULES!$A$5:$A$304,$AC208),"")</f>
        <v/>
      </c>
      <c r="Z208" s="45" t="str">
        <f>IF($AC208&gt;0,INDEX(CASHBACK_RULES!$E$5:$E$304,$AC208)&amp;"","")</f>
        <v/>
      </c>
      <c r="AA208" s="48" t="str">
        <f>IF($AC208&gt;0,IF(ISNUMBER(INDEX(CASHBACK_RULES!$K$5:$K$304,$AC208)),INDEX(CASHBACK_RULES!$K$5:$K$304,$AC208),"∞"),"")</f>
        <v/>
      </c>
      <c r="AB208" s="44" t="str">
        <f>IF(OR($B208="",$D208=""),"",IF($U208="Cancelled","Đã hủy",IF($AC208=0,"Không được hoàn",IF($Q208=0,IF(OR($O208&gt;0,$M208&lt;$L208),"Đã đạt cap","Không được hoàn"),IF(OR($Q208&lt;$O208,$M208&lt;$L208),"Hoàn một phần","Được hoàn")))))</f>
        <v/>
      </c>
      <c r="AC208" s="43">
        <f>IF(OR($B208="",$D208="",$I208="",$L208=""),0,IF($U208="Cancelled",0,IF($W208&lt;&gt;"",IFERROR(IF(INDEX(CASHBACK_RULES!$B$5:$B$304,MATCH($W208,CASHBACK_RULES!$A$5:$A$304,0))=$D208,MATCH($W208,CASHBACK_RULES!$A$5:$A$304,0),0),0),IFERROR(MATCH(1,INDEX((CASHBACK_RULES!$B$5:$B$304=$D208)*(CASHBACK_RULES!$G$5:$G$304=$I208)*(((CASHBACK_RULES!$N$5:$N$304="")+(CASHBACK_RULES!$N$5:$N$304&lt;=$B208))&gt;0)*(((CASHBACK_RULES!$O$5:$O$304="")+(CASHBACK_RULES!$O$5:$O$304&gt;=$B208))&gt;0)*(((CASHBACK_RULES!$M$5:$M$304="")+(CASHBACK_RULES!$M$5:$M$304&lt;=$L208))&gt;0),0),0),0))))</f>
        <v>0</v>
      </c>
      <c r="AD208" s="51" t="str">
        <f>IF(OR($B208="",$D208=""),"",IFERROR(IF(INDEX(CARDS!$H$5:$H$34,MATCH($D208,CARDS!$A$5:$A$34,0))="","",IF(DAY($B208)&lt;=INDEX(CARDS!$H$5:$H$34,MATCH($D208,CARDS!$A$5:$A$34,0)),DATE(YEAR($B208),MONTH($B208),MIN(INDEX(CARDS!$H$5:$H$34,MATCH($D208,CARDS!$A$5:$A$34,0)),DAY(EOMONTH($B208,0)))),DATE(YEAR($B208),MONTH($B208)+1,MIN(INDEX(CARDS!$H$5:$H$34,MATCH($D208,CARDS!$A$5:$A$34,0)),DAY(EOMONTH($B208,1)))))),""))</f>
        <v/>
      </c>
      <c r="AE208" s="52" t="str">
        <f>IF($C208="","",$C208&amp;"|"&amp;COUNTIF($C$5:$C208,$C208))</f>
        <v/>
      </c>
      <c r="AF208" s="53">
        <f>IF($AC208&gt;0,SUMIFS(Q$4:Q207,$D$4:$D207,$D208,$Z$4:$Z207,$Z208,$C$4:$C207,$C208),0)</f>
        <v>0</v>
      </c>
      <c r="AG208" s="53">
        <f>IF($AC208&gt;0,SUMIFS(Q$4:Q207,$D$4:$D207,$D208,$C$4:$C207,$C208),0)</f>
        <v>0</v>
      </c>
      <c r="AH208" s="53">
        <f>IF($AC208&gt;0,SUMIFS(M$4:M207,$D$4:$D207,$D208,$Z$4:$Z207,$Z208,$C$4:$C207,$C208),0)</f>
        <v>0</v>
      </c>
      <c r="AI208" s="43">
        <f>IF(OR($C208="",$I208=""),0,IF(COUNTIFS($C$5:$C208,$C208,$I$5:$I208,$I208)=1,1,0))</f>
        <v>0</v>
      </c>
      <c r="AJ208" s="43" t="str">
        <f>IF($AI208=1,SUMIFS($AI$4:$AI207,$C$4:$C207,$C208)+1,"")</f>
        <v/>
      </c>
      <c r="AK208" s="43">
        <f>IF(OR($C208="",$K208=""),0,IF(COUNTIFS($C$5:$C208,$C208,$K$5:$K208,$K208)=1,1,0))</f>
        <v>0</v>
      </c>
      <c r="AL208" s="43" t="str">
        <f>IF($AK208=1,SUMIFS($AK$4:$AK207,$C$4:$C207,$C208)+1,"")</f>
        <v/>
      </c>
      <c r="AM208" s="43">
        <f>IF(OR($C208="",$G208=""),0,IF(COUNTIFS($C$5:$C208,$C208,$G$5:$G208,$G208)=1,1,0))</f>
        <v>0</v>
      </c>
      <c r="AN208" s="43" t="str">
        <f>IF($AM208=1,SUMIFS($AM$4:$AM207,$C$4:$C207,$C208)+1,"")</f>
        <v/>
      </c>
    </row>
    <row r="209">
      <c r="A209" s="44" t="str">
        <f>IF(OR($B209="",$D209=""),"","TX"&amp;TEXT(ROW()-4,"0000"))</f>
        <v/>
      </c>
      <c r="B209" s="42" t="n"/>
      <c r="C209" s="47" t="str">
        <f>IF($B209="","",YEAR($B209)*100+MONTH($B209))</f>
        <v/>
      </c>
      <c r="D209" s="37" t="n"/>
      <c r="E209" s="45" t="str">
        <f>IF($D209="","",IFERROR(INDEX(CARDS!$B$5:$B$34,MATCH($D209,CARDS!$A$5:$A$34,0)),"⚠ Card ID?"))</f>
        <v/>
      </c>
      <c r="F209" s="45" t="str">
        <f>IF($D209="","",IFERROR(INDEX(CARDS!$C$5:$C$34,MATCH($D209,CARDS!$A$5:$A$34,0)),"⚠ Card ID?"))</f>
        <v/>
      </c>
      <c r="G209" s="37" t="n"/>
      <c r="H209" s="37" t="n"/>
      <c r="I209" s="41" t="n"/>
      <c r="J209" s="45" t="str">
        <f>IF($I209="","",IFERROR(INDEX(MCC_MASTER!$B$5:$B$504,MATCH($I209,MCC_MASTER!$A$5:$A$504,0)),"⚠ MCC chưa có"))</f>
        <v/>
      </c>
      <c r="K209" s="45" t="str">
        <f>IF($I209="","",IFERROR(IF(INDEX(MCC_MASTER!$C$5:$C$504,MATCH($I209,MCC_MASTER!$A$5:$A$504,0))="","Chưa phân loại",INDEX(MCC_MASTER!$C$5:$C$504,MATCH($I209,MCC_MASTER!$A$5:$A$504,0))),"Chưa phân loại"))</f>
        <v/>
      </c>
      <c r="L209" s="40" t="n"/>
      <c r="M209" s="48" t="str">
        <f>IF(OR($B209="",$D209=""),"",IF($AC209=0,0,IF(ISNUMBER(INDEX(CASHBACK_RULES!$L$5:$L$304,$AC209)),MAX(0,MIN($L209,INDEX(CASHBACK_RULES!$L$5:$L$304,$AC209)-$AH209)),MAX(0,$L209))))</f>
        <v/>
      </c>
      <c r="N209" s="49" t="str">
        <f>IF(OR($B209="",$D209=""),"",IF($AC209&gt;0,INDEX(CASHBACK_RULES!$I$5:$I$304,$AC209),0))</f>
        <v/>
      </c>
      <c r="O209" s="48" t="str">
        <f>IF(OR($B209="",$D209=""),"",ROUND($M209*$N209,0))</f>
        <v/>
      </c>
      <c r="P209" s="48" t="str">
        <f>IF($AC209&gt;0,IF(ISNUMBER(INDEX(CASHBACK_RULES!$J$5:$J$304,$AC209)),INDEX(CASHBACK_RULES!$J$5:$J$304,$AC209),"∞"),"")</f>
        <v/>
      </c>
      <c r="Q209" s="48" t="str">
        <f>IF(OR($B209="",$D209=""),"",IF($AC209=0,0,MAX(0,MIN($O209,IF(ISNUMBER($P209),$P209-$AF209,1E+15),IF(ISNUMBER($AA209),$AA209-$AG209,1E+15)))))</f>
        <v/>
      </c>
      <c r="R209" s="48" t="str">
        <f>IF(OR($B209="",$D209=""),"",IF($AC209=0,"",IF(AND(NOT(ISNUMBER($P209)),NOT(ISNUMBER($AA209))),"∞",MAX(0,MIN(IF(ISNUMBER($P209),$P209-$AF209-$Q209,1E+15),IF(ISNUMBER($AA209),$AA209-$AG209-$Q209,1E+15))))))</f>
        <v/>
      </c>
      <c r="S209" s="47" t="str">
        <f>IF($AD209="","",YEAR($AD209)*100+MONTH($AD209))</f>
        <v/>
      </c>
      <c r="T209" s="50" t="str">
        <f>IF($AD209="","",IFERROR(IF(INDEX(CARDS!$I$5:$I$34,MATCH($D209,CARDS!$A$5:$A$34,0))="","",IF(INDEX(CARDS!$I$5:$I$34,MATCH($D209,CARDS!$A$5:$A$34,0))&gt;INDEX(CARDS!$H$5:$H$34,MATCH($D209,CARDS!$A$5:$A$34,0)),DATE(YEAR($AD209),MONTH($AD209),MIN(INDEX(CARDS!$I$5:$I$34,MATCH($D209,CARDS!$A$5:$A$34,0)),DAY(EOMONTH($AD209,0)))),DATE(YEAR($AD209),MONTH($AD209)+1,MIN(INDEX(CARDS!$I$5:$I$34,MATCH($D209,CARDS!$A$5:$A$34,0)),DAY(EOMONTH($AD209,1)))))),""))</f>
        <v/>
      </c>
      <c r="U209" s="38" t="n"/>
      <c r="V209" s="37" t="n"/>
      <c r="W209" s="38" t="n"/>
      <c r="X209" s="38" t="n"/>
      <c r="Y209" s="44" t="str">
        <f>IF($AC209&gt;0,INDEX(CASHBACK_RULES!$A$5:$A$304,$AC209),"")</f>
        <v/>
      </c>
      <c r="Z209" s="45" t="str">
        <f>IF($AC209&gt;0,INDEX(CASHBACK_RULES!$E$5:$E$304,$AC209)&amp;"","")</f>
        <v/>
      </c>
      <c r="AA209" s="48" t="str">
        <f>IF($AC209&gt;0,IF(ISNUMBER(INDEX(CASHBACK_RULES!$K$5:$K$304,$AC209)),INDEX(CASHBACK_RULES!$K$5:$K$304,$AC209),"∞"),"")</f>
        <v/>
      </c>
      <c r="AB209" s="44" t="str">
        <f>IF(OR($B209="",$D209=""),"",IF($U209="Cancelled","Đã hủy",IF($AC209=0,"Không được hoàn",IF($Q209=0,IF(OR($O209&gt;0,$M209&lt;$L209),"Đã đạt cap","Không được hoàn"),IF(OR($Q209&lt;$O209,$M209&lt;$L209),"Hoàn một phần","Được hoàn")))))</f>
        <v/>
      </c>
      <c r="AC209" s="43">
        <f>IF(OR($B209="",$D209="",$I209="",$L209=""),0,IF($U209="Cancelled",0,IF($W209&lt;&gt;"",IFERROR(IF(INDEX(CASHBACK_RULES!$B$5:$B$304,MATCH($W209,CASHBACK_RULES!$A$5:$A$304,0))=$D209,MATCH($W209,CASHBACK_RULES!$A$5:$A$304,0),0),0),IFERROR(MATCH(1,INDEX((CASHBACK_RULES!$B$5:$B$304=$D209)*(CASHBACK_RULES!$G$5:$G$304=$I209)*(((CASHBACK_RULES!$N$5:$N$304="")+(CASHBACK_RULES!$N$5:$N$304&lt;=$B209))&gt;0)*(((CASHBACK_RULES!$O$5:$O$304="")+(CASHBACK_RULES!$O$5:$O$304&gt;=$B209))&gt;0)*(((CASHBACK_RULES!$M$5:$M$304="")+(CASHBACK_RULES!$M$5:$M$304&lt;=$L209))&gt;0),0),0),0))))</f>
        <v>0</v>
      </c>
      <c r="AD209" s="51" t="str">
        <f>IF(OR($B209="",$D209=""),"",IFERROR(IF(INDEX(CARDS!$H$5:$H$34,MATCH($D209,CARDS!$A$5:$A$34,0))="","",IF(DAY($B209)&lt;=INDEX(CARDS!$H$5:$H$34,MATCH($D209,CARDS!$A$5:$A$34,0)),DATE(YEAR($B209),MONTH($B209),MIN(INDEX(CARDS!$H$5:$H$34,MATCH($D209,CARDS!$A$5:$A$34,0)),DAY(EOMONTH($B209,0)))),DATE(YEAR($B209),MONTH($B209)+1,MIN(INDEX(CARDS!$H$5:$H$34,MATCH($D209,CARDS!$A$5:$A$34,0)),DAY(EOMONTH($B209,1)))))),""))</f>
        <v/>
      </c>
      <c r="AE209" s="52" t="str">
        <f>IF($C209="","",$C209&amp;"|"&amp;COUNTIF($C$5:$C209,$C209))</f>
        <v/>
      </c>
      <c r="AF209" s="53">
        <f>IF($AC209&gt;0,SUMIFS(Q$4:Q208,$D$4:$D208,$D209,$Z$4:$Z208,$Z209,$C$4:$C208,$C209),0)</f>
        <v>0</v>
      </c>
      <c r="AG209" s="53">
        <f>IF($AC209&gt;0,SUMIFS(Q$4:Q208,$D$4:$D208,$D209,$C$4:$C208,$C209),0)</f>
        <v>0</v>
      </c>
      <c r="AH209" s="53">
        <f>IF($AC209&gt;0,SUMIFS(M$4:M208,$D$4:$D208,$D209,$Z$4:$Z208,$Z209,$C$4:$C208,$C209),0)</f>
        <v>0</v>
      </c>
      <c r="AI209" s="43">
        <f>IF(OR($C209="",$I209=""),0,IF(COUNTIFS($C$5:$C209,$C209,$I$5:$I209,$I209)=1,1,0))</f>
        <v>0</v>
      </c>
      <c r="AJ209" s="43" t="str">
        <f>IF($AI209=1,SUMIFS($AI$4:$AI208,$C$4:$C208,$C209)+1,"")</f>
        <v/>
      </c>
      <c r="AK209" s="43">
        <f>IF(OR($C209="",$K209=""),0,IF(COUNTIFS($C$5:$C209,$C209,$K$5:$K209,$K209)=1,1,0))</f>
        <v>0</v>
      </c>
      <c r="AL209" s="43" t="str">
        <f>IF($AK209=1,SUMIFS($AK$4:$AK208,$C$4:$C208,$C209)+1,"")</f>
        <v/>
      </c>
      <c r="AM209" s="43">
        <f>IF(OR($C209="",$G209=""),0,IF(COUNTIFS($C$5:$C209,$C209,$G$5:$G209,$G209)=1,1,0))</f>
        <v>0</v>
      </c>
      <c r="AN209" s="43" t="str">
        <f>IF($AM209=1,SUMIFS($AM$4:$AM208,$C$4:$C208,$C209)+1,"")</f>
        <v/>
      </c>
    </row>
    <row r="210">
      <c r="A210" s="44" t="str">
        <f>IF(OR($B210="",$D210=""),"","TX"&amp;TEXT(ROW()-4,"0000"))</f>
        <v/>
      </c>
      <c r="B210" s="42" t="n"/>
      <c r="C210" s="47" t="str">
        <f>IF($B210="","",YEAR($B210)*100+MONTH($B210))</f>
        <v/>
      </c>
      <c r="D210" s="37" t="n"/>
      <c r="E210" s="45" t="str">
        <f>IF($D210="","",IFERROR(INDEX(CARDS!$B$5:$B$34,MATCH($D210,CARDS!$A$5:$A$34,0)),"⚠ Card ID?"))</f>
        <v/>
      </c>
      <c r="F210" s="45" t="str">
        <f>IF($D210="","",IFERROR(INDEX(CARDS!$C$5:$C$34,MATCH($D210,CARDS!$A$5:$A$34,0)),"⚠ Card ID?"))</f>
        <v/>
      </c>
      <c r="G210" s="37" t="n"/>
      <c r="H210" s="37" t="n"/>
      <c r="I210" s="41" t="n"/>
      <c r="J210" s="45" t="str">
        <f>IF($I210="","",IFERROR(INDEX(MCC_MASTER!$B$5:$B$504,MATCH($I210,MCC_MASTER!$A$5:$A$504,0)),"⚠ MCC chưa có"))</f>
        <v/>
      </c>
      <c r="K210" s="45" t="str">
        <f>IF($I210="","",IFERROR(IF(INDEX(MCC_MASTER!$C$5:$C$504,MATCH($I210,MCC_MASTER!$A$5:$A$504,0))="","Chưa phân loại",INDEX(MCC_MASTER!$C$5:$C$504,MATCH($I210,MCC_MASTER!$A$5:$A$504,0))),"Chưa phân loại"))</f>
        <v/>
      </c>
      <c r="L210" s="40" t="n"/>
      <c r="M210" s="48" t="str">
        <f>IF(OR($B210="",$D210=""),"",IF($AC210=0,0,IF(ISNUMBER(INDEX(CASHBACK_RULES!$L$5:$L$304,$AC210)),MAX(0,MIN($L210,INDEX(CASHBACK_RULES!$L$5:$L$304,$AC210)-$AH210)),MAX(0,$L210))))</f>
        <v/>
      </c>
      <c r="N210" s="49" t="str">
        <f>IF(OR($B210="",$D210=""),"",IF($AC210&gt;0,INDEX(CASHBACK_RULES!$I$5:$I$304,$AC210),0))</f>
        <v/>
      </c>
      <c r="O210" s="48" t="str">
        <f>IF(OR($B210="",$D210=""),"",ROUND($M210*$N210,0))</f>
        <v/>
      </c>
      <c r="P210" s="48" t="str">
        <f>IF($AC210&gt;0,IF(ISNUMBER(INDEX(CASHBACK_RULES!$J$5:$J$304,$AC210)),INDEX(CASHBACK_RULES!$J$5:$J$304,$AC210),"∞"),"")</f>
        <v/>
      </c>
      <c r="Q210" s="48" t="str">
        <f>IF(OR($B210="",$D210=""),"",IF($AC210=0,0,MAX(0,MIN($O210,IF(ISNUMBER($P210),$P210-$AF210,1E+15),IF(ISNUMBER($AA210),$AA210-$AG210,1E+15)))))</f>
        <v/>
      </c>
      <c r="R210" s="48" t="str">
        <f>IF(OR($B210="",$D210=""),"",IF($AC210=0,"",IF(AND(NOT(ISNUMBER($P210)),NOT(ISNUMBER($AA210))),"∞",MAX(0,MIN(IF(ISNUMBER($P210),$P210-$AF210-$Q210,1E+15),IF(ISNUMBER($AA210),$AA210-$AG210-$Q210,1E+15))))))</f>
        <v/>
      </c>
      <c r="S210" s="47" t="str">
        <f>IF($AD210="","",YEAR($AD210)*100+MONTH($AD210))</f>
        <v/>
      </c>
      <c r="T210" s="50" t="str">
        <f>IF($AD210="","",IFERROR(IF(INDEX(CARDS!$I$5:$I$34,MATCH($D210,CARDS!$A$5:$A$34,0))="","",IF(INDEX(CARDS!$I$5:$I$34,MATCH($D210,CARDS!$A$5:$A$34,0))&gt;INDEX(CARDS!$H$5:$H$34,MATCH($D210,CARDS!$A$5:$A$34,0)),DATE(YEAR($AD210),MONTH($AD210),MIN(INDEX(CARDS!$I$5:$I$34,MATCH($D210,CARDS!$A$5:$A$34,0)),DAY(EOMONTH($AD210,0)))),DATE(YEAR($AD210),MONTH($AD210)+1,MIN(INDEX(CARDS!$I$5:$I$34,MATCH($D210,CARDS!$A$5:$A$34,0)),DAY(EOMONTH($AD210,1)))))),""))</f>
        <v/>
      </c>
      <c r="U210" s="38" t="n"/>
      <c r="V210" s="37" t="n"/>
      <c r="W210" s="38" t="n"/>
      <c r="X210" s="38" t="n"/>
      <c r="Y210" s="44" t="str">
        <f>IF($AC210&gt;0,INDEX(CASHBACK_RULES!$A$5:$A$304,$AC210),"")</f>
        <v/>
      </c>
      <c r="Z210" s="45" t="str">
        <f>IF($AC210&gt;0,INDEX(CASHBACK_RULES!$E$5:$E$304,$AC210)&amp;"","")</f>
        <v/>
      </c>
      <c r="AA210" s="48" t="str">
        <f>IF($AC210&gt;0,IF(ISNUMBER(INDEX(CASHBACK_RULES!$K$5:$K$304,$AC210)),INDEX(CASHBACK_RULES!$K$5:$K$304,$AC210),"∞"),"")</f>
        <v/>
      </c>
      <c r="AB210" s="44" t="str">
        <f>IF(OR($B210="",$D210=""),"",IF($U210="Cancelled","Đã hủy",IF($AC210=0,"Không được hoàn",IF($Q210=0,IF(OR($O210&gt;0,$M210&lt;$L210),"Đã đạt cap","Không được hoàn"),IF(OR($Q210&lt;$O210,$M210&lt;$L210),"Hoàn một phần","Được hoàn")))))</f>
        <v/>
      </c>
      <c r="AC210" s="43">
        <f>IF(OR($B210="",$D210="",$I210="",$L210=""),0,IF($U210="Cancelled",0,IF($W210&lt;&gt;"",IFERROR(IF(INDEX(CASHBACK_RULES!$B$5:$B$304,MATCH($W210,CASHBACK_RULES!$A$5:$A$304,0))=$D210,MATCH($W210,CASHBACK_RULES!$A$5:$A$304,0),0),0),IFERROR(MATCH(1,INDEX((CASHBACK_RULES!$B$5:$B$304=$D210)*(CASHBACK_RULES!$G$5:$G$304=$I210)*(((CASHBACK_RULES!$N$5:$N$304="")+(CASHBACK_RULES!$N$5:$N$304&lt;=$B210))&gt;0)*(((CASHBACK_RULES!$O$5:$O$304="")+(CASHBACK_RULES!$O$5:$O$304&gt;=$B210))&gt;0)*(((CASHBACK_RULES!$M$5:$M$304="")+(CASHBACK_RULES!$M$5:$M$304&lt;=$L210))&gt;0),0),0),0))))</f>
        <v>0</v>
      </c>
      <c r="AD210" s="51" t="str">
        <f>IF(OR($B210="",$D210=""),"",IFERROR(IF(INDEX(CARDS!$H$5:$H$34,MATCH($D210,CARDS!$A$5:$A$34,0))="","",IF(DAY($B210)&lt;=INDEX(CARDS!$H$5:$H$34,MATCH($D210,CARDS!$A$5:$A$34,0)),DATE(YEAR($B210),MONTH($B210),MIN(INDEX(CARDS!$H$5:$H$34,MATCH($D210,CARDS!$A$5:$A$34,0)),DAY(EOMONTH($B210,0)))),DATE(YEAR($B210),MONTH($B210)+1,MIN(INDEX(CARDS!$H$5:$H$34,MATCH($D210,CARDS!$A$5:$A$34,0)),DAY(EOMONTH($B210,1)))))),""))</f>
        <v/>
      </c>
      <c r="AE210" s="52" t="str">
        <f>IF($C210="","",$C210&amp;"|"&amp;COUNTIF($C$5:$C210,$C210))</f>
        <v/>
      </c>
      <c r="AF210" s="53">
        <f>IF($AC210&gt;0,SUMIFS(Q$4:Q209,$D$4:$D209,$D210,$Z$4:$Z209,$Z210,$C$4:$C209,$C210),0)</f>
        <v>0</v>
      </c>
      <c r="AG210" s="53">
        <f>IF($AC210&gt;0,SUMIFS(Q$4:Q209,$D$4:$D209,$D210,$C$4:$C209,$C210),0)</f>
        <v>0</v>
      </c>
      <c r="AH210" s="53">
        <f>IF($AC210&gt;0,SUMIFS(M$4:M209,$D$4:$D209,$D210,$Z$4:$Z209,$Z210,$C$4:$C209,$C210),0)</f>
        <v>0</v>
      </c>
      <c r="AI210" s="43">
        <f>IF(OR($C210="",$I210=""),0,IF(COUNTIFS($C$5:$C210,$C210,$I$5:$I210,$I210)=1,1,0))</f>
        <v>0</v>
      </c>
      <c r="AJ210" s="43" t="str">
        <f>IF($AI210=1,SUMIFS($AI$4:$AI209,$C$4:$C209,$C210)+1,"")</f>
        <v/>
      </c>
      <c r="AK210" s="43">
        <f>IF(OR($C210="",$K210=""),0,IF(COUNTIFS($C$5:$C210,$C210,$K$5:$K210,$K210)=1,1,0))</f>
        <v>0</v>
      </c>
      <c r="AL210" s="43" t="str">
        <f>IF($AK210=1,SUMIFS($AK$4:$AK209,$C$4:$C209,$C210)+1,"")</f>
        <v/>
      </c>
      <c r="AM210" s="43">
        <f>IF(OR($C210="",$G210=""),0,IF(COUNTIFS($C$5:$C210,$C210,$G$5:$G210,$G210)=1,1,0))</f>
        <v>0</v>
      </c>
      <c r="AN210" s="43" t="str">
        <f>IF($AM210=1,SUMIFS($AM$4:$AM209,$C$4:$C209,$C210)+1,"")</f>
        <v/>
      </c>
    </row>
    <row r="211">
      <c r="A211" s="44" t="str">
        <f>IF(OR($B211="",$D211=""),"","TX"&amp;TEXT(ROW()-4,"0000"))</f>
        <v/>
      </c>
      <c r="B211" s="42" t="n"/>
      <c r="C211" s="47" t="str">
        <f>IF($B211="","",YEAR($B211)*100+MONTH($B211))</f>
        <v/>
      </c>
      <c r="D211" s="37" t="n"/>
      <c r="E211" s="45" t="str">
        <f>IF($D211="","",IFERROR(INDEX(CARDS!$B$5:$B$34,MATCH($D211,CARDS!$A$5:$A$34,0)),"⚠ Card ID?"))</f>
        <v/>
      </c>
      <c r="F211" s="45" t="str">
        <f>IF($D211="","",IFERROR(INDEX(CARDS!$C$5:$C$34,MATCH($D211,CARDS!$A$5:$A$34,0)),"⚠ Card ID?"))</f>
        <v/>
      </c>
      <c r="G211" s="37" t="n"/>
      <c r="H211" s="37" t="n"/>
      <c r="I211" s="41" t="n"/>
      <c r="J211" s="45" t="str">
        <f>IF($I211="","",IFERROR(INDEX(MCC_MASTER!$B$5:$B$504,MATCH($I211,MCC_MASTER!$A$5:$A$504,0)),"⚠ MCC chưa có"))</f>
        <v/>
      </c>
      <c r="K211" s="45" t="str">
        <f>IF($I211="","",IFERROR(IF(INDEX(MCC_MASTER!$C$5:$C$504,MATCH($I211,MCC_MASTER!$A$5:$A$504,0))="","Chưa phân loại",INDEX(MCC_MASTER!$C$5:$C$504,MATCH($I211,MCC_MASTER!$A$5:$A$504,0))),"Chưa phân loại"))</f>
        <v/>
      </c>
      <c r="L211" s="40" t="n"/>
      <c r="M211" s="48" t="str">
        <f>IF(OR($B211="",$D211=""),"",IF($AC211=0,0,IF(ISNUMBER(INDEX(CASHBACK_RULES!$L$5:$L$304,$AC211)),MAX(0,MIN($L211,INDEX(CASHBACK_RULES!$L$5:$L$304,$AC211)-$AH211)),MAX(0,$L211))))</f>
        <v/>
      </c>
      <c r="N211" s="49" t="str">
        <f>IF(OR($B211="",$D211=""),"",IF($AC211&gt;0,INDEX(CASHBACK_RULES!$I$5:$I$304,$AC211),0))</f>
        <v/>
      </c>
      <c r="O211" s="48" t="str">
        <f>IF(OR($B211="",$D211=""),"",ROUND($M211*$N211,0))</f>
        <v/>
      </c>
      <c r="P211" s="48" t="str">
        <f>IF($AC211&gt;0,IF(ISNUMBER(INDEX(CASHBACK_RULES!$J$5:$J$304,$AC211)),INDEX(CASHBACK_RULES!$J$5:$J$304,$AC211),"∞"),"")</f>
        <v/>
      </c>
      <c r="Q211" s="48" t="str">
        <f>IF(OR($B211="",$D211=""),"",IF($AC211=0,0,MAX(0,MIN($O211,IF(ISNUMBER($P211),$P211-$AF211,1E+15),IF(ISNUMBER($AA211),$AA211-$AG211,1E+15)))))</f>
        <v/>
      </c>
      <c r="R211" s="48" t="str">
        <f>IF(OR($B211="",$D211=""),"",IF($AC211=0,"",IF(AND(NOT(ISNUMBER($P211)),NOT(ISNUMBER($AA211))),"∞",MAX(0,MIN(IF(ISNUMBER($P211),$P211-$AF211-$Q211,1E+15),IF(ISNUMBER($AA211),$AA211-$AG211-$Q211,1E+15))))))</f>
        <v/>
      </c>
      <c r="S211" s="47" t="str">
        <f>IF($AD211="","",YEAR($AD211)*100+MONTH($AD211))</f>
        <v/>
      </c>
      <c r="T211" s="50" t="str">
        <f>IF($AD211="","",IFERROR(IF(INDEX(CARDS!$I$5:$I$34,MATCH($D211,CARDS!$A$5:$A$34,0))="","",IF(INDEX(CARDS!$I$5:$I$34,MATCH($D211,CARDS!$A$5:$A$34,0))&gt;INDEX(CARDS!$H$5:$H$34,MATCH($D211,CARDS!$A$5:$A$34,0)),DATE(YEAR($AD211),MONTH($AD211),MIN(INDEX(CARDS!$I$5:$I$34,MATCH($D211,CARDS!$A$5:$A$34,0)),DAY(EOMONTH($AD211,0)))),DATE(YEAR($AD211),MONTH($AD211)+1,MIN(INDEX(CARDS!$I$5:$I$34,MATCH($D211,CARDS!$A$5:$A$34,0)),DAY(EOMONTH($AD211,1)))))),""))</f>
        <v/>
      </c>
      <c r="U211" s="38" t="n"/>
      <c r="V211" s="37" t="n"/>
      <c r="W211" s="38" t="n"/>
      <c r="X211" s="38" t="n"/>
      <c r="Y211" s="44" t="str">
        <f>IF($AC211&gt;0,INDEX(CASHBACK_RULES!$A$5:$A$304,$AC211),"")</f>
        <v/>
      </c>
      <c r="Z211" s="45" t="str">
        <f>IF($AC211&gt;0,INDEX(CASHBACK_RULES!$E$5:$E$304,$AC211)&amp;"","")</f>
        <v/>
      </c>
      <c r="AA211" s="48" t="str">
        <f>IF($AC211&gt;0,IF(ISNUMBER(INDEX(CASHBACK_RULES!$K$5:$K$304,$AC211)),INDEX(CASHBACK_RULES!$K$5:$K$304,$AC211),"∞"),"")</f>
        <v/>
      </c>
      <c r="AB211" s="44" t="str">
        <f>IF(OR($B211="",$D211=""),"",IF($U211="Cancelled","Đã hủy",IF($AC211=0,"Không được hoàn",IF($Q211=0,IF(OR($O211&gt;0,$M211&lt;$L211),"Đã đạt cap","Không được hoàn"),IF(OR($Q211&lt;$O211,$M211&lt;$L211),"Hoàn một phần","Được hoàn")))))</f>
        <v/>
      </c>
      <c r="AC211" s="43">
        <f>IF(OR($B211="",$D211="",$I211="",$L211=""),0,IF($U211="Cancelled",0,IF($W211&lt;&gt;"",IFERROR(IF(INDEX(CASHBACK_RULES!$B$5:$B$304,MATCH($W211,CASHBACK_RULES!$A$5:$A$304,0))=$D211,MATCH($W211,CASHBACK_RULES!$A$5:$A$304,0),0),0),IFERROR(MATCH(1,INDEX((CASHBACK_RULES!$B$5:$B$304=$D211)*(CASHBACK_RULES!$G$5:$G$304=$I211)*(((CASHBACK_RULES!$N$5:$N$304="")+(CASHBACK_RULES!$N$5:$N$304&lt;=$B211))&gt;0)*(((CASHBACK_RULES!$O$5:$O$304="")+(CASHBACK_RULES!$O$5:$O$304&gt;=$B211))&gt;0)*(((CASHBACK_RULES!$M$5:$M$304="")+(CASHBACK_RULES!$M$5:$M$304&lt;=$L211))&gt;0),0),0),0))))</f>
        <v>0</v>
      </c>
      <c r="AD211" s="51" t="str">
        <f>IF(OR($B211="",$D211=""),"",IFERROR(IF(INDEX(CARDS!$H$5:$H$34,MATCH($D211,CARDS!$A$5:$A$34,0))="","",IF(DAY($B211)&lt;=INDEX(CARDS!$H$5:$H$34,MATCH($D211,CARDS!$A$5:$A$34,0)),DATE(YEAR($B211),MONTH($B211),MIN(INDEX(CARDS!$H$5:$H$34,MATCH($D211,CARDS!$A$5:$A$34,0)),DAY(EOMONTH($B211,0)))),DATE(YEAR($B211),MONTH($B211)+1,MIN(INDEX(CARDS!$H$5:$H$34,MATCH($D211,CARDS!$A$5:$A$34,0)),DAY(EOMONTH($B211,1)))))),""))</f>
        <v/>
      </c>
      <c r="AE211" s="52" t="str">
        <f>IF($C211="","",$C211&amp;"|"&amp;COUNTIF($C$5:$C211,$C211))</f>
        <v/>
      </c>
      <c r="AF211" s="53">
        <f>IF($AC211&gt;0,SUMIFS(Q$4:Q210,$D$4:$D210,$D211,$Z$4:$Z210,$Z211,$C$4:$C210,$C211),0)</f>
        <v>0</v>
      </c>
      <c r="AG211" s="53">
        <f>IF($AC211&gt;0,SUMIFS(Q$4:Q210,$D$4:$D210,$D211,$C$4:$C210,$C211),0)</f>
        <v>0</v>
      </c>
      <c r="AH211" s="53">
        <f>IF($AC211&gt;0,SUMIFS(M$4:M210,$D$4:$D210,$D211,$Z$4:$Z210,$Z211,$C$4:$C210,$C211),0)</f>
        <v>0</v>
      </c>
      <c r="AI211" s="43">
        <f>IF(OR($C211="",$I211=""),0,IF(COUNTIFS($C$5:$C211,$C211,$I$5:$I211,$I211)=1,1,0))</f>
        <v>0</v>
      </c>
      <c r="AJ211" s="43" t="str">
        <f>IF($AI211=1,SUMIFS($AI$4:$AI210,$C$4:$C210,$C211)+1,"")</f>
        <v/>
      </c>
      <c r="AK211" s="43">
        <f>IF(OR($C211="",$K211=""),0,IF(COUNTIFS($C$5:$C211,$C211,$K$5:$K211,$K211)=1,1,0))</f>
        <v>0</v>
      </c>
      <c r="AL211" s="43" t="str">
        <f>IF($AK211=1,SUMIFS($AK$4:$AK210,$C$4:$C210,$C211)+1,"")</f>
        <v/>
      </c>
      <c r="AM211" s="43">
        <f>IF(OR($C211="",$G211=""),0,IF(COUNTIFS($C$5:$C211,$C211,$G$5:$G211,$G211)=1,1,0))</f>
        <v>0</v>
      </c>
      <c r="AN211" s="43" t="str">
        <f>IF($AM211=1,SUMIFS($AM$4:$AM210,$C$4:$C210,$C211)+1,"")</f>
        <v/>
      </c>
    </row>
    <row r="212">
      <c r="A212" s="44" t="str">
        <f>IF(OR($B212="",$D212=""),"","TX"&amp;TEXT(ROW()-4,"0000"))</f>
        <v/>
      </c>
      <c r="B212" s="42" t="n"/>
      <c r="C212" s="47" t="str">
        <f>IF($B212="","",YEAR($B212)*100+MONTH($B212))</f>
        <v/>
      </c>
      <c r="D212" s="37" t="n"/>
      <c r="E212" s="45" t="str">
        <f>IF($D212="","",IFERROR(INDEX(CARDS!$B$5:$B$34,MATCH($D212,CARDS!$A$5:$A$34,0)),"⚠ Card ID?"))</f>
        <v/>
      </c>
      <c r="F212" s="45" t="str">
        <f>IF($D212="","",IFERROR(INDEX(CARDS!$C$5:$C$34,MATCH($D212,CARDS!$A$5:$A$34,0)),"⚠ Card ID?"))</f>
        <v/>
      </c>
      <c r="G212" s="37" t="n"/>
      <c r="H212" s="37" t="n"/>
      <c r="I212" s="41" t="n"/>
      <c r="J212" s="45" t="str">
        <f>IF($I212="","",IFERROR(INDEX(MCC_MASTER!$B$5:$B$504,MATCH($I212,MCC_MASTER!$A$5:$A$504,0)),"⚠ MCC chưa có"))</f>
        <v/>
      </c>
      <c r="K212" s="45" t="str">
        <f>IF($I212="","",IFERROR(IF(INDEX(MCC_MASTER!$C$5:$C$504,MATCH($I212,MCC_MASTER!$A$5:$A$504,0))="","Chưa phân loại",INDEX(MCC_MASTER!$C$5:$C$504,MATCH($I212,MCC_MASTER!$A$5:$A$504,0))),"Chưa phân loại"))</f>
        <v/>
      </c>
      <c r="L212" s="40" t="n"/>
      <c r="M212" s="48" t="str">
        <f>IF(OR($B212="",$D212=""),"",IF($AC212=0,0,IF(ISNUMBER(INDEX(CASHBACK_RULES!$L$5:$L$304,$AC212)),MAX(0,MIN($L212,INDEX(CASHBACK_RULES!$L$5:$L$304,$AC212)-$AH212)),MAX(0,$L212))))</f>
        <v/>
      </c>
      <c r="N212" s="49" t="str">
        <f>IF(OR($B212="",$D212=""),"",IF($AC212&gt;0,INDEX(CASHBACK_RULES!$I$5:$I$304,$AC212),0))</f>
        <v/>
      </c>
      <c r="O212" s="48" t="str">
        <f>IF(OR($B212="",$D212=""),"",ROUND($M212*$N212,0))</f>
        <v/>
      </c>
      <c r="P212" s="48" t="str">
        <f>IF($AC212&gt;0,IF(ISNUMBER(INDEX(CASHBACK_RULES!$J$5:$J$304,$AC212)),INDEX(CASHBACK_RULES!$J$5:$J$304,$AC212),"∞"),"")</f>
        <v/>
      </c>
      <c r="Q212" s="48" t="str">
        <f>IF(OR($B212="",$D212=""),"",IF($AC212=0,0,MAX(0,MIN($O212,IF(ISNUMBER($P212),$P212-$AF212,1E+15),IF(ISNUMBER($AA212),$AA212-$AG212,1E+15)))))</f>
        <v/>
      </c>
      <c r="R212" s="48" t="str">
        <f>IF(OR($B212="",$D212=""),"",IF($AC212=0,"",IF(AND(NOT(ISNUMBER($P212)),NOT(ISNUMBER($AA212))),"∞",MAX(0,MIN(IF(ISNUMBER($P212),$P212-$AF212-$Q212,1E+15),IF(ISNUMBER($AA212),$AA212-$AG212-$Q212,1E+15))))))</f>
        <v/>
      </c>
      <c r="S212" s="47" t="str">
        <f>IF($AD212="","",YEAR($AD212)*100+MONTH($AD212))</f>
        <v/>
      </c>
      <c r="T212" s="50" t="str">
        <f>IF($AD212="","",IFERROR(IF(INDEX(CARDS!$I$5:$I$34,MATCH($D212,CARDS!$A$5:$A$34,0))="","",IF(INDEX(CARDS!$I$5:$I$34,MATCH($D212,CARDS!$A$5:$A$34,0))&gt;INDEX(CARDS!$H$5:$H$34,MATCH($D212,CARDS!$A$5:$A$34,0)),DATE(YEAR($AD212),MONTH($AD212),MIN(INDEX(CARDS!$I$5:$I$34,MATCH($D212,CARDS!$A$5:$A$34,0)),DAY(EOMONTH($AD212,0)))),DATE(YEAR($AD212),MONTH($AD212)+1,MIN(INDEX(CARDS!$I$5:$I$34,MATCH($D212,CARDS!$A$5:$A$34,0)),DAY(EOMONTH($AD212,1)))))),""))</f>
        <v/>
      </c>
      <c r="U212" s="38" t="n"/>
      <c r="V212" s="37" t="n"/>
      <c r="W212" s="38" t="n"/>
      <c r="X212" s="38" t="n"/>
      <c r="Y212" s="44" t="str">
        <f>IF($AC212&gt;0,INDEX(CASHBACK_RULES!$A$5:$A$304,$AC212),"")</f>
        <v/>
      </c>
      <c r="Z212" s="45" t="str">
        <f>IF($AC212&gt;0,INDEX(CASHBACK_RULES!$E$5:$E$304,$AC212)&amp;"","")</f>
        <v/>
      </c>
      <c r="AA212" s="48" t="str">
        <f>IF($AC212&gt;0,IF(ISNUMBER(INDEX(CASHBACK_RULES!$K$5:$K$304,$AC212)),INDEX(CASHBACK_RULES!$K$5:$K$304,$AC212),"∞"),"")</f>
        <v/>
      </c>
      <c r="AB212" s="44" t="str">
        <f>IF(OR($B212="",$D212=""),"",IF($U212="Cancelled","Đã hủy",IF($AC212=0,"Không được hoàn",IF($Q212=0,IF(OR($O212&gt;0,$M212&lt;$L212),"Đã đạt cap","Không được hoàn"),IF(OR($Q212&lt;$O212,$M212&lt;$L212),"Hoàn một phần","Được hoàn")))))</f>
        <v/>
      </c>
      <c r="AC212" s="43">
        <f>IF(OR($B212="",$D212="",$I212="",$L212=""),0,IF($U212="Cancelled",0,IF($W212&lt;&gt;"",IFERROR(IF(INDEX(CASHBACK_RULES!$B$5:$B$304,MATCH($W212,CASHBACK_RULES!$A$5:$A$304,0))=$D212,MATCH($W212,CASHBACK_RULES!$A$5:$A$304,0),0),0),IFERROR(MATCH(1,INDEX((CASHBACK_RULES!$B$5:$B$304=$D212)*(CASHBACK_RULES!$G$5:$G$304=$I212)*(((CASHBACK_RULES!$N$5:$N$304="")+(CASHBACK_RULES!$N$5:$N$304&lt;=$B212))&gt;0)*(((CASHBACK_RULES!$O$5:$O$304="")+(CASHBACK_RULES!$O$5:$O$304&gt;=$B212))&gt;0)*(((CASHBACK_RULES!$M$5:$M$304="")+(CASHBACK_RULES!$M$5:$M$304&lt;=$L212))&gt;0),0),0),0))))</f>
        <v>0</v>
      </c>
      <c r="AD212" s="51" t="str">
        <f>IF(OR($B212="",$D212=""),"",IFERROR(IF(INDEX(CARDS!$H$5:$H$34,MATCH($D212,CARDS!$A$5:$A$34,0))="","",IF(DAY($B212)&lt;=INDEX(CARDS!$H$5:$H$34,MATCH($D212,CARDS!$A$5:$A$34,0)),DATE(YEAR($B212),MONTH($B212),MIN(INDEX(CARDS!$H$5:$H$34,MATCH($D212,CARDS!$A$5:$A$34,0)),DAY(EOMONTH($B212,0)))),DATE(YEAR($B212),MONTH($B212)+1,MIN(INDEX(CARDS!$H$5:$H$34,MATCH($D212,CARDS!$A$5:$A$34,0)),DAY(EOMONTH($B212,1)))))),""))</f>
        <v/>
      </c>
      <c r="AE212" s="52" t="str">
        <f>IF($C212="","",$C212&amp;"|"&amp;COUNTIF($C$5:$C212,$C212))</f>
        <v/>
      </c>
      <c r="AF212" s="53">
        <f>IF($AC212&gt;0,SUMIFS(Q$4:Q211,$D$4:$D211,$D212,$Z$4:$Z211,$Z212,$C$4:$C211,$C212),0)</f>
        <v>0</v>
      </c>
      <c r="AG212" s="53">
        <f>IF($AC212&gt;0,SUMIFS(Q$4:Q211,$D$4:$D211,$D212,$C$4:$C211,$C212),0)</f>
        <v>0</v>
      </c>
      <c r="AH212" s="53">
        <f>IF($AC212&gt;0,SUMIFS(M$4:M211,$D$4:$D211,$D212,$Z$4:$Z211,$Z212,$C$4:$C211,$C212),0)</f>
        <v>0</v>
      </c>
      <c r="AI212" s="43">
        <f>IF(OR($C212="",$I212=""),0,IF(COUNTIFS($C$5:$C212,$C212,$I$5:$I212,$I212)=1,1,0))</f>
        <v>0</v>
      </c>
      <c r="AJ212" s="43" t="str">
        <f>IF($AI212=1,SUMIFS($AI$4:$AI211,$C$4:$C211,$C212)+1,"")</f>
        <v/>
      </c>
      <c r="AK212" s="43">
        <f>IF(OR($C212="",$K212=""),0,IF(COUNTIFS($C$5:$C212,$C212,$K$5:$K212,$K212)=1,1,0))</f>
        <v>0</v>
      </c>
      <c r="AL212" s="43" t="str">
        <f>IF($AK212=1,SUMIFS($AK$4:$AK211,$C$4:$C211,$C212)+1,"")</f>
        <v/>
      </c>
      <c r="AM212" s="43">
        <f>IF(OR($C212="",$G212=""),0,IF(COUNTIFS($C$5:$C212,$C212,$G$5:$G212,$G212)=1,1,0))</f>
        <v>0</v>
      </c>
      <c r="AN212" s="43" t="str">
        <f>IF($AM212=1,SUMIFS($AM$4:$AM211,$C$4:$C211,$C212)+1,"")</f>
        <v/>
      </c>
    </row>
    <row r="213">
      <c r="A213" s="44" t="str">
        <f>IF(OR($B213="",$D213=""),"","TX"&amp;TEXT(ROW()-4,"0000"))</f>
        <v/>
      </c>
      <c r="B213" s="42" t="n"/>
      <c r="C213" s="47" t="str">
        <f>IF($B213="","",YEAR($B213)*100+MONTH($B213))</f>
        <v/>
      </c>
      <c r="D213" s="37" t="n"/>
      <c r="E213" s="45" t="str">
        <f>IF($D213="","",IFERROR(INDEX(CARDS!$B$5:$B$34,MATCH($D213,CARDS!$A$5:$A$34,0)),"⚠ Card ID?"))</f>
        <v/>
      </c>
      <c r="F213" s="45" t="str">
        <f>IF($D213="","",IFERROR(INDEX(CARDS!$C$5:$C$34,MATCH($D213,CARDS!$A$5:$A$34,0)),"⚠ Card ID?"))</f>
        <v/>
      </c>
      <c r="G213" s="37" t="n"/>
      <c r="H213" s="37" t="n"/>
      <c r="I213" s="41" t="n"/>
      <c r="J213" s="45" t="str">
        <f>IF($I213="","",IFERROR(INDEX(MCC_MASTER!$B$5:$B$504,MATCH($I213,MCC_MASTER!$A$5:$A$504,0)),"⚠ MCC chưa có"))</f>
        <v/>
      </c>
      <c r="K213" s="45" t="str">
        <f>IF($I213="","",IFERROR(IF(INDEX(MCC_MASTER!$C$5:$C$504,MATCH($I213,MCC_MASTER!$A$5:$A$504,0))="","Chưa phân loại",INDEX(MCC_MASTER!$C$5:$C$504,MATCH($I213,MCC_MASTER!$A$5:$A$504,0))),"Chưa phân loại"))</f>
        <v/>
      </c>
      <c r="L213" s="40" t="n"/>
      <c r="M213" s="48" t="str">
        <f>IF(OR($B213="",$D213=""),"",IF($AC213=0,0,IF(ISNUMBER(INDEX(CASHBACK_RULES!$L$5:$L$304,$AC213)),MAX(0,MIN($L213,INDEX(CASHBACK_RULES!$L$5:$L$304,$AC213)-$AH213)),MAX(0,$L213))))</f>
        <v/>
      </c>
      <c r="N213" s="49" t="str">
        <f>IF(OR($B213="",$D213=""),"",IF($AC213&gt;0,INDEX(CASHBACK_RULES!$I$5:$I$304,$AC213),0))</f>
        <v/>
      </c>
      <c r="O213" s="48" t="str">
        <f>IF(OR($B213="",$D213=""),"",ROUND($M213*$N213,0))</f>
        <v/>
      </c>
      <c r="P213" s="48" t="str">
        <f>IF($AC213&gt;0,IF(ISNUMBER(INDEX(CASHBACK_RULES!$J$5:$J$304,$AC213)),INDEX(CASHBACK_RULES!$J$5:$J$304,$AC213),"∞"),"")</f>
        <v/>
      </c>
      <c r="Q213" s="48" t="str">
        <f>IF(OR($B213="",$D213=""),"",IF($AC213=0,0,MAX(0,MIN($O213,IF(ISNUMBER($P213),$P213-$AF213,1E+15),IF(ISNUMBER($AA213),$AA213-$AG213,1E+15)))))</f>
        <v/>
      </c>
      <c r="R213" s="48" t="str">
        <f>IF(OR($B213="",$D213=""),"",IF($AC213=0,"",IF(AND(NOT(ISNUMBER($P213)),NOT(ISNUMBER($AA213))),"∞",MAX(0,MIN(IF(ISNUMBER($P213),$P213-$AF213-$Q213,1E+15),IF(ISNUMBER($AA213),$AA213-$AG213-$Q213,1E+15))))))</f>
        <v/>
      </c>
      <c r="S213" s="47" t="str">
        <f>IF($AD213="","",YEAR($AD213)*100+MONTH($AD213))</f>
        <v/>
      </c>
      <c r="T213" s="50" t="str">
        <f>IF($AD213="","",IFERROR(IF(INDEX(CARDS!$I$5:$I$34,MATCH($D213,CARDS!$A$5:$A$34,0))="","",IF(INDEX(CARDS!$I$5:$I$34,MATCH($D213,CARDS!$A$5:$A$34,0))&gt;INDEX(CARDS!$H$5:$H$34,MATCH($D213,CARDS!$A$5:$A$34,0)),DATE(YEAR($AD213),MONTH($AD213),MIN(INDEX(CARDS!$I$5:$I$34,MATCH($D213,CARDS!$A$5:$A$34,0)),DAY(EOMONTH($AD213,0)))),DATE(YEAR($AD213),MONTH($AD213)+1,MIN(INDEX(CARDS!$I$5:$I$34,MATCH($D213,CARDS!$A$5:$A$34,0)),DAY(EOMONTH($AD213,1)))))),""))</f>
        <v/>
      </c>
      <c r="U213" s="38" t="n"/>
      <c r="V213" s="37" t="n"/>
      <c r="W213" s="38" t="n"/>
      <c r="X213" s="38" t="n"/>
      <c r="Y213" s="44" t="str">
        <f>IF($AC213&gt;0,INDEX(CASHBACK_RULES!$A$5:$A$304,$AC213),"")</f>
        <v/>
      </c>
      <c r="Z213" s="45" t="str">
        <f>IF($AC213&gt;0,INDEX(CASHBACK_RULES!$E$5:$E$304,$AC213)&amp;"","")</f>
        <v/>
      </c>
      <c r="AA213" s="48" t="str">
        <f>IF($AC213&gt;0,IF(ISNUMBER(INDEX(CASHBACK_RULES!$K$5:$K$304,$AC213)),INDEX(CASHBACK_RULES!$K$5:$K$304,$AC213),"∞"),"")</f>
        <v/>
      </c>
      <c r="AB213" s="44" t="str">
        <f>IF(OR($B213="",$D213=""),"",IF($U213="Cancelled","Đã hủy",IF($AC213=0,"Không được hoàn",IF($Q213=0,IF(OR($O213&gt;0,$M213&lt;$L213),"Đã đạt cap","Không được hoàn"),IF(OR($Q213&lt;$O213,$M213&lt;$L213),"Hoàn một phần","Được hoàn")))))</f>
        <v/>
      </c>
      <c r="AC213" s="43">
        <f>IF(OR($B213="",$D213="",$I213="",$L213=""),0,IF($U213="Cancelled",0,IF($W213&lt;&gt;"",IFERROR(IF(INDEX(CASHBACK_RULES!$B$5:$B$304,MATCH($W213,CASHBACK_RULES!$A$5:$A$304,0))=$D213,MATCH($W213,CASHBACK_RULES!$A$5:$A$304,0),0),0),IFERROR(MATCH(1,INDEX((CASHBACK_RULES!$B$5:$B$304=$D213)*(CASHBACK_RULES!$G$5:$G$304=$I213)*(((CASHBACK_RULES!$N$5:$N$304="")+(CASHBACK_RULES!$N$5:$N$304&lt;=$B213))&gt;0)*(((CASHBACK_RULES!$O$5:$O$304="")+(CASHBACK_RULES!$O$5:$O$304&gt;=$B213))&gt;0)*(((CASHBACK_RULES!$M$5:$M$304="")+(CASHBACK_RULES!$M$5:$M$304&lt;=$L213))&gt;0),0),0),0))))</f>
        <v>0</v>
      </c>
      <c r="AD213" s="51" t="str">
        <f>IF(OR($B213="",$D213=""),"",IFERROR(IF(INDEX(CARDS!$H$5:$H$34,MATCH($D213,CARDS!$A$5:$A$34,0))="","",IF(DAY($B213)&lt;=INDEX(CARDS!$H$5:$H$34,MATCH($D213,CARDS!$A$5:$A$34,0)),DATE(YEAR($B213),MONTH($B213),MIN(INDEX(CARDS!$H$5:$H$34,MATCH($D213,CARDS!$A$5:$A$34,0)),DAY(EOMONTH($B213,0)))),DATE(YEAR($B213),MONTH($B213)+1,MIN(INDEX(CARDS!$H$5:$H$34,MATCH($D213,CARDS!$A$5:$A$34,0)),DAY(EOMONTH($B213,1)))))),""))</f>
        <v/>
      </c>
      <c r="AE213" s="52" t="str">
        <f>IF($C213="","",$C213&amp;"|"&amp;COUNTIF($C$5:$C213,$C213))</f>
        <v/>
      </c>
      <c r="AF213" s="53">
        <f>IF($AC213&gt;0,SUMIFS(Q$4:Q212,$D$4:$D212,$D213,$Z$4:$Z212,$Z213,$C$4:$C212,$C213),0)</f>
        <v>0</v>
      </c>
      <c r="AG213" s="53">
        <f>IF($AC213&gt;0,SUMIFS(Q$4:Q212,$D$4:$D212,$D213,$C$4:$C212,$C213),0)</f>
        <v>0</v>
      </c>
      <c r="AH213" s="53">
        <f>IF($AC213&gt;0,SUMIFS(M$4:M212,$D$4:$D212,$D213,$Z$4:$Z212,$Z213,$C$4:$C212,$C213),0)</f>
        <v>0</v>
      </c>
      <c r="AI213" s="43">
        <f>IF(OR($C213="",$I213=""),0,IF(COUNTIFS($C$5:$C213,$C213,$I$5:$I213,$I213)=1,1,0))</f>
        <v>0</v>
      </c>
      <c r="AJ213" s="43" t="str">
        <f>IF($AI213=1,SUMIFS($AI$4:$AI212,$C$4:$C212,$C213)+1,"")</f>
        <v/>
      </c>
      <c r="AK213" s="43">
        <f>IF(OR($C213="",$K213=""),0,IF(COUNTIFS($C$5:$C213,$C213,$K$5:$K213,$K213)=1,1,0))</f>
        <v>0</v>
      </c>
      <c r="AL213" s="43" t="str">
        <f>IF($AK213=1,SUMIFS($AK$4:$AK212,$C$4:$C212,$C213)+1,"")</f>
        <v/>
      </c>
      <c r="AM213" s="43">
        <f>IF(OR($C213="",$G213=""),0,IF(COUNTIFS($C$5:$C213,$C213,$G$5:$G213,$G213)=1,1,0))</f>
        <v>0</v>
      </c>
      <c r="AN213" s="43" t="str">
        <f>IF($AM213=1,SUMIFS($AM$4:$AM212,$C$4:$C212,$C213)+1,"")</f>
        <v/>
      </c>
    </row>
    <row r="214">
      <c r="A214" s="44" t="str">
        <f>IF(OR($B214="",$D214=""),"","TX"&amp;TEXT(ROW()-4,"0000"))</f>
        <v/>
      </c>
      <c r="B214" s="42" t="n"/>
      <c r="C214" s="47" t="str">
        <f>IF($B214="","",YEAR($B214)*100+MONTH($B214))</f>
        <v/>
      </c>
      <c r="D214" s="37" t="n"/>
      <c r="E214" s="45" t="str">
        <f>IF($D214="","",IFERROR(INDEX(CARDS!$B$5:$B$34,MATCH($D214,CARDS!$A$5:$A$34,0)),"⚠ Card ID?"))</f>
        <v/>
      </c>
      <c r="F214" s="45" t="str">
        <f>IF($D214="","",IFERROR(INDEX(CARDS!$C$5:$C$34,MATCH($D214,CARDS!$A$5:$A$34,0)),"⚠ Card ID?"))</f>
        <v/>
      </c>
      <c r="G214" s="37" t="n"/>
      <c r="H214" s="37" t="n"/>
      <c r="I214" s="41" t="n"/>
      <c r="J214" s="45" t="str">
        <f>IF($I214="","",IFERROR(INDEX(MCC_MASTER!$B$5:$B$504,MATCH($I214,MCC_MASTER!$A$5:$A$504,0)),"⚠ MCC chưa có"))</f>
        <v/>
      </c>
      <c r="K214" s="45" t="str">
        <f>IF($I214="","",IFERROR(IF(INDEX(MCC_MASTER!$C$5:$C$504,MATCH($I214,MCC_MASTER!$A$5:$A$504,0))="","Chưa phân loại",INDEX(MCC_MASTER!$C$5:$C$504,MATCH($I214,MCC_MASTER!$A$5:$A$504,0))),"Chưa phân loại"))</f>
        <v/>
      </c>
      <c r="L214" s="40" t="n"/>
      <c r="M214" s="48" t="str">
        <f>IF(OR($B214="",$D214=""),"",IF($AC214=0,0,IF(ISNUMBER(INDEX(CASHBACK_RULES!$L$5:$L$304,$AC214)),MAX(0,MIN($L214,INDEX(CASHBACK_RULES!$L$5:$L$304,$AC214)-$AH214)),MAX(0,$L214))))</f>
        <v/>
      </c>
      <c r="N214" s="49" t="str">
        <f>IF(OR($B214="",$D214=""),"",IF($AC214&gt;0,INDEX(CASHBACK_RULES!$I$5:$I$304,$AC214),0))</f>
        <v/>
      </c>
      <c r="O214" s="48" t="str">
        <f>IF(OR($B214="",$D214=""),"",ROUND($M214*$N214,0))</f>
        <v/>
      </c>
      <c r="P214" s="48" t="str">
        <f>IF($AC214&gt;0,IF(ISNUMBER(INDEX(CASHBACK_RULES!$J$5:$J$304,$AC214)),INDEX(CASHBACK_RULES!$J$5:$J$304,$AC214),"∞"),"")</f>
        <v/>
      </c>
      <c r="Q214" s="48" t="str">
        <f>IF(OR($B214="",$D214=""),"",IF($AC214=0,0,MAX(0,MIN($O214,IF(ISNUMBER($P214),$P214-$AF214,1E+15),IF(ISNUMBER($AA214),$AA214-$AG214,1E+15)))))</f>
        <v/>
      </c>
      <c r="R214" s="48" t="str">
        <f>IF(OR($B214="",$D214=""),"",IF($AC214=0,"",IF(AND(NOT(ISNUMBER($P214)),NOT(ISNUMBER($AA214))),"∞",MAX(0,MIN(IF(ISNUMBER($P214),$P214-$AF214-$Q214,1E+15),IF(ISNUMBER($AA214),$AA214-$AG214-$Q214,1E+15))))))</f>
        <v/>
      </c>
      <c r="S214" s="47" t="str">
        <f>IF($AD214="","",YEAR($AD214)*100+MONTH($AD214))</f>
        <v/>
      </c>
      <c r="T214" s="50" t="str">
        <f>IF($AD214="","",IFERROR(IF(INDEX(CARDS!$I$5:$I$34,MATCH($D214,CARDS!$A$5:$A$34,0))="","",IF(INDEX(CARDS!$I$5:$I$34,MATCH($D214,CARDS!$A$5:$A$34,0))&gt;INDEX(CARDS!$H$5:$H$34,MATCH($D214,CARDS!$A$5:$A$34,0)),DATE(YEAR($AD214),MONTH($AD214),MIN(INDEX(CARDS!$I$5:$I$34,MATCH($D214,CARDS!$A$5:$A$34,0)),DAY(EOMONTH($AD214,0)))),DATE(YEAR($AD214),MONTH($AD214)+1,MIN(INDEX(CARDS!$I$5:$I$34,MATCH($D214,CARDS!$A$5:$A$34,0)),DAY(EOMONTH($AD214,1)))))),""))</f>
        <v/>
      </c>
      <c r="U214" s="38" t="n"/>
      <c r="V214" s="37" t="n"/>
      <c r="W214" s="38" t="n"/>
      <c r="X214" s="38" t="n"/>
      <c r="Y214" s="44" t="str">
        <f>IF($AC214&gt;0,INDEX(CASHBACK_RULES!$A$5:$A$304,$AC214),"")</f>
        <v/>
      </c>
      <c r="Z214" s="45" t="str">
        <f>IF($AC214&gt;0,INDEX(CASHBACK_RULES!$E$5:$E$304,$AC214)&amp;"","")</f>
        <v/>
      </c>
      <c r="AA214" s="48" t="str">
        <f>IF($AC214&gt;0,IF(ISNUMBER(INDEX(CASHBACK_RULES!$K$5:$K$304,$AC214)),INDEX(CASHBACK_RULES!$K$5:$K$304,$AC214),"∞"),"")</f>
        <v/>
      </c>
      <c r="AB214" s="44" t="str">
        <f>IF(OR($B214="",$D214=""),"",IF($U214="Cancelled","Đã hủy",IF($AC214=0,"Không được hoàn",IF($Q214=0,IF(OR($O214&gt;0,$M214&lt;$L214),"Đã đạt cap","Không được hoàn"),IF(OR($Q214&lt;$O214,$M214&lt;$L214),"Hoàn một phần","Được hoàn")))))</f>
        <v/>
      </c>
      <c r="AC214" s="43">
        <f>IF(OR($B214="",$D214="",$I214="",$L214=""),0,IF($U214="Cancelled",0,IF($W214&lt;&gt;"",IFERROR(IF(INDEX(CASHBACK_RULES!$B$5:$B$304,MATCH($W214,CASHBACK_RULES!$A$5:$A$304,0))=$D214,MATCH($W214,CASHBACK_RULES!$A$5:$A$304,0),0),0),IFERROR(MATCH(1,INDEX((CASHBACK_RULES!$B$5:$B$304=$D214)*(CASHBACK_RULES!$G$5:$G$304=$I214)*(((CASHBACK_RULES!$N$5:$N$304="")+(CASHBACK_RULES!$N$5:$N$304&lt;=$B214))&gt;0)*(((CASHBACK_RULES!$O$5:$O$304="")+(CASHBACK_RULES!$O$5:$O$304&gt;=$B214))&gt;0)*(((CASHBACK_RULES!$M$5:$M$304="")+(CASHBACK_RULES!$M$5:$M$304&lt;=$L214))&gt;0),0),0),0))))</f>
        <v>0</v>
      </c>
      <c r="AD214" s="51" t="str">
        <f>IF(OR($B214="",$D214=""),"",IFERROR(IF(INDEX(CARDS!$H$5:$H$34,MATCH($D214,CARDS!$A$5:$A$34,0))="","",IF(DAY($B214)&lt;=INDEX(CARDS!$H$5:$H$34,MATCH($D214,CARDS!$A$5:$A$34,0)),DATE(YEAR($B214),MONTH($B214),MIN(INDEX(CARDS!$H$5:$H$34,MATCH($D214,CARDS!$A$5:$A$34,0)),DAY(EOMONTH($B214,0)))),DATE(YEAR($B214),MONTH($B214)+1,MIN(INDEX(CARDS!$H$5:$H$34,MATCH($D214,CARDS!$A$5:$A$34,0)),DAY(EOMONTH($B214,1)))))),""))</f>
        <v/>
      </c>
      <c r="AE214" s="52" t="str">
        <f>IF($C214="","",$C214&amp;"|"&amp;COUNTIF($C$5:$C214,$C214))</f>
        <v/>
      </c>
      <c r="AF214" s="53">
        <f>IF($AC214&gt;0,SUMIFS(Q$4:Q213,$D$4:$D213,$D214,$Z$4:$Z213,$Z214,$C$4:$C213,$C214),0)</f>
        <v>0</v>
      </c>
      <c r="AG214" s="53">
        <f>IF($AC214&gt;0,SUMIFS(Q$4:Q213,$D$4:$D213,$D214,$C$4:$C213,$C214),0)</f>
        <v>0</v>
      </c>
      <c r="AH214" s="53">
        <f>IF($AC214&gt;0,SUMIFS(M$4:M213,$D$4:$D213,$D214,$Z$4:$Z213,$Z214,$C$4:$C213,$C214),0)</f>
        <v>0</v>
      </c>
      <c r="AI214" s="43">
        <f>IF(OR($C214="",$I214=""),0,IF(COUNTIFS($C$5:$C214,$C214,$I$5:$I214,$I214)=1,1,0))</f>
        <v>0</v>
      </c>
      <c r="AJ214" s="43" t="str">
        <f>IF($AI214=1,SUMIFS($AI$4:$AI213,$C$4:$C213,$C214)+1,"")</f>
        <v/>
      </c>
      <c r="AK214" s="43">
        <f>IF(OR($C214="",$K214=""),0,IF(COUNTIFS($C$5:$C214,$C214,$K$5:$K214,$K214)=1,1,0))</f>
        <v>0</v>
      </c>
      <c r="AL214" s="43" t="str">
        <f>IF($AK214=1,SUMIFS($AK$4:$AK213,$C$4:$C213,$C214)+1,"")</f>
        <v/>
      </c>
      <c r="AM214" s="43">
        <f>IF(OR($C214="",$G214=""),0,IF(COUNTIFS($C$5:$C214,$C214,$G$5:$G214,$G214)=1,1,0))</f>
        <v>0</v>
      </c>
      <c r="AN214" s="43" t="str">
        <f>IF($AM214=1,SUMIFS($AM$4:$AM213,$C$4:$C213,$C214)+1,"")</f>
        <v/>
      </c>
    </row>
    <row r="215">
      <c r="A215" s="44" t="str">
        <f>IF(OR($B215="",$D215=""),"","TX"&amp;TEXT(ROW()-4,"0000"))</f>
        <v/>
      </c>
      <c r="B215" s="42" t="n"/>
      <c r="C215" s="47" t="str">
        <f>IF($B215="","",YEAR($B215)*100+MONTH($B215))</f>
        <v/>
      </c>
      <c r="D215" s="37" t="n"/>
      <c r="E215" s="45" t="str">
        <f>IF($D215="","",IFERROR(INDEX(CARDS!$B$5:$B$34,MATCH($D215,CARDS!$A$5:$A$34,0)),"⚠ Card ID?"))</f>
        <v/>
      </c>
      <c r="F215" s="45" t="str">
        <f>IF($D215="","",IFERROR(INDEX(CARDS!$C$5:$C$34,MATCH($D215,CARDS!$A$5:$A$34,0)),"⚠ Card ID?"))</f>
        <v/>
      </c>
      <c r="G215" s="37" t="n"/>
      <c r="H215" s="37" t="n"/>
      <c r="I215" s="41" t="n"/>
      <c r="J215" s="45" t="str">
        <f>IF($I215="","",IFERROR(INDEX(MCC_MASTER!$B$5:$B$504,MATCH($I215,MCC_MASTER!$A$5:$A$504,0)),"⚠ MCC chưa có"))</f>
        <v/>
      </c>
      <c r="K215" s="45" t="str">
        <f>IF($I215="","",IFERROR(IF(INDEX(MCC_MASTER!$C$5:$C$504,MATCH($I215,MCC_MASTER!$A$5:$A$504,0))="","Chưa phân loại",INDEX(MCC_MASTER!$C$5:$C$504,MATCH($I215,MCC_MASTER!$A$5:$A$504,0))),"Chưa phân loại"))</f>
        <v/>
      </c>
      <c r="L215" s="40" t="n"/>
      <c r="M215" s="48" t="str">
        <f>IF(OR($B215="",$D215=""),"",IF($AC215=0,0,IF(ISNUMBER(INDEX(CASHBACK_RULES!$L$5:$L$304,$AC215)),MAX(0,MIN($L215,INDEX(CASHBACK_RULES!$L$5:$L$304,$AC215)-$AH215)),MAX(0,$L215))))</f>
        <v/>
      </c>
      <c r="N215" s="49" t="str">
        <f>IF(OR($B215="",$D215=""),"",IF($AC215&gt;0,INDEX(CASHBACK_RULES!$I$5:$I$304,$AC215),0))</f>
        <v/>
      </c>
      <c r="O215" s="48" t="str">
        <f>IF(OR($B215="",$D215=""),"",ROUND($M215*$N215,0))</f>
        <v/>
      </c>
      <c r="P215" s="48" t="str">
        <f>IF($AC215&gt;0,IF(ISNUMBER(INDEX(CASHBACK_RULES!$J$5:$J$304,$AC215)),INDEX(CASHBACK_RULES!$J$5:$J$304,$AC215),"∞"),"")</f>
        <v/>
      </c>
      <c r="Q215" s="48" t="str">
        <f>IF(OR($B215="",$D215=""),"",IF($AC215=0,0,MAX(0,MIN($O215,IF(ISNUMBER($P215),$P215-$AF215,1E+15),IF(ISNUMBER($AA215),$AA215-$AG215,1E+15)))))</f>
        <v/>
      </c>
      <c r="R215" s="48" t="str">
        <f>IF(OR($B215="",$D215=""),"",IF($AC215=0,"",IF(AND(NOT(ISNUMBER($P215)),NOT(ISNUMBER($AA215))),"∞",MAX(0,MIN(IF(ISNUMBER($P215),$P215-$AF215-$Q215,1E+15),IF(ISNUMBER($AA215),$AA215-$AG215-$Q215,1E+15))))))</f>
        <v/>
      </c>
      <c r="S215" s="47" t="str">
        <f>IF($AD215="","",YEAR($AD215)*100+MONTH($AD215))</f>
        <v/>
      </c>
      <c r="T215" s="50" t="str">
        <f>IF($AD215="","",IFERROR(IF(INDEX(CARDS!$I$5:$I$34,MATCH($D215,CARDS!$A$5:$A$34,0))="","",IF(INDEX(CARDS!$I$5:$I$34,MATCH($D215,CARDS!$A$5:$A$34,0))&gt;INDEX(CARDS!$H$5:$H$34,MATCH($D215,CARDS!$A$5:$A$34,0)),DATE(YEAR($AD215),MONTH($AD215),MIN(INDEX(CARDS!$I$5:$I$34,MATCH($D215,CARDS!$A$5:$A$34,0)),DAY(EOMONTH($AD215,0)))),DATE(YEAR($AD215),MONTH($AD215)+1,MIN(INDEX(CARDS!$I$5:$I$34,MATCH($D215,CARDS!$A$5:$A$34,0)),DAY(EOMONTH($AD215,1)))))),""))</f>
        <v/>
      </c>
      <c r="U215" s="38" t="n"/>
      <c r="V215" s="37" t="n"/>
      <c r="W215" s="38" t="n"/>
      <c r="X215" s="38" t="n"/>
      <c r="Y215" s="44" t="str">
        <f>IF($AC215&gt;0,INDEX(CASHBACK_RULES!$A$5:$A$304,$AC215),"")</f>
        <v/>
      </c>
      <c r="Z215" s="45" t="str">
        <f>IF($AC215&gt;0,INDEX(CASHBACK_RULES!$E$5:$E$304,$AC215)&amp;"","")</f>
        <v/>
      </c>
      <c r="AA215" s="48" t="str">
        <f>IF($AC215&gt;0,IF(ISNUMBER(INDEX(CASHBACK_RULES!$K$5:$K$304,$AC215)),INDEX(CASHBACK_RULES!$K$5:$K$304,$AC215),"∞"),"")</f>
        <v/>
      </c>
      <c r="AB215" s="44" t="str">
        <f>IF(OR($B215="",$D215=""),"",IF($U215="Cancelled","Đã hủy",IF($AC215=0,"Không được hoàn",IF($Q215=0,IF(OR($O215&gt;0,$M215&lt;$L215),"Đã đạt cap","Không được hoàn"),IF(OR($Q215&lt;$O215,$M215&lt;$L215),"Hoàn một phần","Được hoàn")))))</f>
        <v/>
      </c>
      <c r="AC215" s="43">
        <f>IF(OR($B215="",$D215="",$I215="",$L215=""),0,IF($U215="Cancelled",0,IF($W215&lt;&gt;"",IFERROR(IF(INDEX(CASHBACK_RULES!$B$5:$B$304,MATCH($W215,CASHBACK_RULES!$A$5:$A$304,0))=$D215,MATCH($W215,CASHBACK_RULES!$A$5:$A$304,0),0),0),IFERROR(MATCH(1,INDEX((CASHBACK_RULES!$B$5:$B$304=$D215)*(CASHBACK_RULES!$G$5:$G$304=$I215)*(((CASHBACK_RULES!$N$5:$N$304="")+(CASHBACK_RULES!$N$5:$N$304&lt;=$B215))&gt;0)*(((CASHBACK_RULES!$O$5:$O$304="")+(CASHBACK_RULES!$O$5:$O$304&gt;=$B215))&gt;0)*(((CASHBACK_RULES!$M$5:$M$304="")+(CASHBACK_RULES!$M$5:$M$304&lt;=$L215))&gt;0),0),0),0))))</f>
        <v>0</v>
      </c>
      <c r="AD215" s="51" t="str">
        <f>IF(OR($B215="",$D215=""),"",IFERROR(IF(INDEX(CARDS!$H$5:$H$34,MATCH($D215,CARDS!$A$5:$A$34,0))="","",IF(DAY($B215)&lt;=INDEX(CARDS!$H$5:$H$34,MATCH($D215,CARDS!$A$5:$A$34,0)),DATE(YEAR($B215),MONTH($B215),MIN(INDEX(CARDS!$H$5:$H$34,MATCH($D215,CARDS!$A$5:$A$34,0)),DAY(EOMONTH($B215,0)))),DATE(YEAR($B215),MONTH($B215)+1,MIN(INDEX(CARDS!$H$5:$H$34,MATCH($D215,CARDS!$A$5:$A$34,0)),DAY(EOMONTH($B215,1)))))),""))</f>
        <v/>
      </c>
      <c r="AE215" s="52" t="str">
        <f>IF($C215="","",$C215&amp;"|"&amp;COUNTIF($C$5:$C215,$C215))</f>
        <v/>
      </c>
      <c r="AF215" s="53">
        <f>IF($AC215&gt;0,SUMIFS(Q$4:Q214,$D$4:$D214,$D215,$Z$4:$Z214,$Z215,$C$4:$C214,$C215),0)</f>
        <v>0</v>
      </c>
      <c r="AG215" s="53">
        <f>IF($AC215&gt;0,SUMIFS(Q$4:Q214,$D$4:$D214,$D215,$C$4:$C214,$C215),0)</f>
        <v>0</v>
      </c>
      <c r="AH215" s="53">
        <f>IF($AC215&gt;0,SUMIFS(M$4:M214,$D$4:$D214,$D215,$Z$4:$Z214,$Z215,$C$4:$C214,$C215),0)</f>
        <v>0</v>
      </c>
      <c r="AI215" s="43">
        <f>IF(OR($C215="",$I215=""),0,IF(COUNTIFS($C$5:$C215,$C215,$I$5:$I215,$I215)=1,1,0))</f>
        <v>0</v>
      </c>
      <c r="AJ215" s="43" t="str">
        <f>IF($AI215=1,SUMIFS($AI$4:$AI214,$C$4:$C214,$C215)+1,"")</f>
        <v/>
      </c>
      <c r="AK215" s="43">
        <f>IF(OR($C215="",$K215=""),0,IF(COUNTIFS($C$5:$C215,$C215,$K$5:$K215,$K215)=1,1,0))</f>
        <v>0</v>
      </c>
      <c r="AL215" s="43" t="str">
        <f>IF($AK215=1,SUMIFS($AK$4:$AK214,$C$4:$C214,$C215)+1,"")</f>
        <v/>
      </c>
      <c r="AM215" s="43">
        <f>IF(OR($C215="",$G215=""),0,IF(COUNTIFS($C$5:$C215,$C215,$G$5:$G215,$G215)=1,1,0))</f>
        <v>0</v>
      </c>
      <c r="AN215" s="43" t="str">
        <f>IF($AM215=1,SUMIFS($AM$4:$AM214,$C$4:$C214,$C215)+1,"")</f>
        <v/>
      </c>
    </row>
    <row r="216">
      <c r="A216" s="44" t="str">
        <f>IF(OR($B216="",$D216=""),"","TX"&amp;TEXT(ROW()-4,"0000"))</f>
        <v/>
      </c>
      <c r="B216" s="42" t="n"/>
      <c r="C216" s="47" t="str">
        <f>IF($B216="","",YEAR($B216)*100+MONTH($B216))</f>
        <v/>
      </c>
      <c r="D216" s="37" t="n"/>
      <c r="E216" s="45" t="str">
        <f>IF($D216="","",IFERROR(INDEX(CARDS!$B$5:$B$34,MATCH($D216,CARDS!$A$5:$A$34,0)),"⚠ Card ID?"))</f>
        <v/>
      </c>
      <c r="F216" s="45" t="str">
        <f>IF($D216="","",IFERROR(INDEX(CARDS!$C$5:$C$34,MATCH($D216,CARDS!$A$5:$A$34,0)),"⚠ Card ID?"))</f>
        <v/>
      </c>
      <c r="G216" s="37" t="n"/>
      <c r="H216" s="37" t="n"/>
      <c r="I216" s="41" t="n"/>
      <c r="J216" s="45" t="str">
        <f>IF($I216="","",IFERROR(INDEX(MCC_MASTER!$B$5:$B$504,MATCH($I216,MCC_MASTER!$A$5:$A$504,0)),"⚠ MCC chưa có"))</f>
        <v/>
      </c>
      <c r="K216" s="45" t="str">
        <f>IF($I216="","",IFERROR(IF(INDEX(MCC_MASTER!$C$5:$C$504,MATCH($I216,MCC_MASTER!$A$5:$A$504,0))="","Chưa phân loại",INDEX(MCC_MASTER!$C$5:$C$504,MATCH($I216,MCC_MASTER!$A$5:$A$504,0))),"Chưa phân loại"))</f>
        <v/>
      </c>
      <c r="L216" s="40" t="n"/>
      <c r="M216" s="48" t="str">
        <f>IF(OR($B216="",$D216=""),"",IF($AC216=0,0,IF(ISNUMBER(INDEX(CASHBACK_RULES!$L$5:$L$304,$AC216)),MAX(0,MIN($L216,INDEX(CASHBACK_RULES!$L$5:$L$304,$AC216)-$AH216)),MAX(0,$L216))))</f>
        <v/>
      </c>
      <c r="N216" s="49" t="str">
        <f>IF(OR($B216="",$D216=""),"",IF($AC216&gt;0,INDEX(CASHBACK_RULES!$I$5:$I$304,$AC216),0))</f>
        <v/>
      </c>
      <c r="O216" s="48" t="str">
        <f>IF(OR($B216="",$D216=""),"",ROUND($M216*$N216,0))</f>
        <v/>
      </c>
      <c r="P216" s="48" t="str">
        <f>IF($AC216&gt;0,IF(ISNUMBER(INDEX(CASHBACK_RULES!$J$5:$J$304,$AC216)),INDEX(CASHBACK_RULES!$J$5:$J$304,$AC216),"∞"),"")</f>
        <v/>
      </c>
      <c r="Q216" s="48" t="str">
        <f>IF(OR($B216="",$D216=""),"",IF($AC216=0,0,MAX(0,MIN($O216,IF(ISNUMBER($P216),$P216-$AF216,1E+15),IF(ISNUMBER($AA216),$AA216-$AG216,1E+15)))))</f>
        <v/>
      </c>
      <c r="R216" s="48" t="str">
        <f>IF(OR($B216="",$D216=""),"",IF($AC216=0,"",IF(AND(NOT(ISNUMBER($P216)),NOT(ISNUMBER($AA216))),"∞",MAX(0,MIN(IF(ISNUMBER($P216),$P216-$AF216-$Q216,1E+15),IF(ISNUMBER($AA216),$AA216-$AG216-$Q216,1E+15))))))</f>
        <v/>
      </c>
      <c r="S216" s="47" t="str">
        <f>IF($AD216="","",YEAR($AD216)*100+MONTH($AD216))</f>
        <v/>
      </c>
      <c r="T216" s="50" t="str">
        <f>IF($AD216="","",IFERROR(IF(INDEX(CARDS!$I$5:$I$34,MATCH($D216,CARDS!$A$5:$A$34,0))="","",IF(INDEX(CARDS!$I$5:$I$34,MATCH($D216,CARDS!$A$5:$A$34,0))&gt;INDEX(CARDS!$H$5:$H$34,MATCH($D216,CARDS!$A$5:$A$34,0)),DATE(YEAR($AD216),MONTH($AD216),MIN(INDEX(CARDS!$I$5:$I$34,MATCH($D216,CARDS!$A$5:$A$34,0)),DAY(EOMONTH($AD216,0)))),DATE(YEAR($AD216),MONTH($AD216)+1,MIN(INDEX(CARDS!$I$5:$I$34,MATCH($D216,CARDS!$A$5:$A$34,0)),DAY(EOMONTH($AD216,1)))))),""))</f>
        <v/>
      </c>
      <c r="U216" s="38" t="n"/>
      <c r="V216" s="37" t="n"/>
      <c r="W216" s="38" t="n"/>
      <c r="X216" s="38" t="n"/>
      <c r="Y216" s="44" t="str">
        <f>IF($AC216&gt;0,INDEX(CASHBACK_RULES!$A$5:$A$304,$AC216),"")</f>
        <v/>
      </c>
      <c r="Z216" s="45" t="str">
        <f>IF($AC216&gt;0,INDEX(CASHBACK_RULES!$E$5:$E$304,$AC216)&amp;"","")</f>
        <v/>
      </c>
      <c r="AA216" s="48" t="str">
        <f>IF($AC216&gt;0,IF(ISNUMBER(INDEX(CASHBACK_RULES!$K$5:$K$304,$AC216)),INDEX(CASHBACK_RULES!$K$5:$K$304,$AC216),"∞"),"")</f>
        <v/>
      </c>
      <c r="AB216" s="44" t="str">
        <f>IF(OR($B216="",$D216=""),"",IF($U216="Cancelled","Đã hủy",IF($AC216=0,"Không được hoàn",IF($Q216=0,IF(OR($O216&gt;0,$M216&lt;$L216),"Đã đạt cap","Không được hoàn"),IF(OR($Q216&lt;$O216,$M216&lt;$L216),"Hoàn một phần","Được hoàn")))))</f>
        <v/>
      </c>
      <c r="AC216" s="43">
        <f>IF(OR($B216="",$D216="",$I216="",$L216=""),0,IF($U216="Cancelled",0,IF($W216&lt;&gt;"",IFERROR(IF(INDEX(CASHBACK_RULES!$B$5:$B$304,MATCH($W216,CASHBACK_RULES!$A$5:$A$304,0))=$D216,MATCH($W216,CASHBACK_RULES!$A$5:$A$304,0),0),0),IFERROR(MATCH(1,INDEX((CASHBACK_RULES!$B$5:$B$304=$D216)*(CASHBACK_RULES!$G$5:$G$304=$I216)*(((CASHBACK_RULES!$N$5:$N$304="")+(CASHBACK_RULES!$N$5:$N$304&lt;=$B216))&gt;0)*(((CASHBACK_RULES!$O$5:$O$304="")+(CASHBACK_RULES!$O$5:$O$304&gt;=$B216))&gt;0)*(((CASHBACK_RULES!$M$5:$M$304="")+(CASHBACK_RULES!$M$5:$M$304&lt;=$L216))&gt;0),0),0),0))))</f>
        <v>0</v>
      </c>
      <c r="AD216" s="51" t="str">
        <f>IF(OR($B216="",$D216=""),"",IFERROR(IF(INDEX(CARDS!$H$5:$H$34,MATCH($D216,CARDS!$A$5:$A$34,0))="","",IF(DAY($B216)&lt;=INDEX(CARDS!$H$5:$H$34,MATCH($D216,CARDS!$A$5:$A$34,0)),DATE(YEAR($B216),MONTH($B216),MIN(INDEX(CARDS!$H$5:$H$34,MATCH($D216,CARDS!$A$5:$A$34,0)),DAY(EOMONTH($B216,0)))),DATE(YEAR($B216),MONTH($B216)+1,MIN(INDEX(CARDS!$H$5:$H$34,MATCH($D216,CARDS!$A$5:$A$34,0)),DAY(EOMONTH($B216,1)))))),""))</f>
        <v/>
      </c>
      <c r="AE216" s="52" t="str">
        <f>IF($C216="","",$C216&amp;"|"&amp;COUNTIF($C$5:$C216,$C216))</f>
        <v/>
      </c>
      <c r="AF216" s="53">
        <f>IF($AC216&gt;0,SUMIFS(Q$4:Q215,$D$4:$D215,$D216,$Z$4:$Z215,$Z216,$C$4:$C215,$C216),0)</f>
        <v>0</v>
      </c>
      <c r="AG216" s="53">
        <f>IF($AC216&gt;0,SUMIFS(Q$4:Q215,$D$4:$D215,$D216,$C$4:$C215,$C216),0)</f>
        <v>0</v>
      </c>
      <c r="AH216" s="53">
        <f>IF($AC216&gt;0,SUMIFS(M$4:M215,$D$4:$D215,$D216,$Z$4:$Z215,$Z216,$C$4:$C215,$C216),0)</f>
        <v>0</v>
      </c>
      <c r="AI216" s="43">
        <f>IF(OR($C216="",$I216=""),0,IF(COUNTIFS($C$5:$C216,$C216,$I$5:$I216,$I216)=1,1,0))</f>
        <v>0</v>
      </c>
      <c r="AJ216" s="43" t="str">
        <f>IF($AI216=1,SUMIFS($AI$4:$AI215,$C$4:$C215,$C216)+1,"")</f>
        <v/>
      </c>
      <c r="AK216" s="43">
        <f>IF(OR($C216="",$K216=""),0,IF(COUNTIFS($C$5:$C216,$C216,$K$5:$K216,$K216)=1,1,0))</f>
        <v>0</v>
      </c>
      <c r="AL216" s="43" t="str">
        <f>IF($AK216=1,SUMIFS($AK$4:$AK215,$C$4:$C215,$C216)+1,"")</f>
        <v/>
      </c>
      <c r="AM216" s="43">
        <f>IF(OR($C216="",$G216=""),0,IF(COUNTIFS($C$5:$C216,$C216,$G$5:$G216,$G216)=1,1,0))</f>
        <v>0</v>
      </c>
      <c r="AN216" s="43" t="str">
        <f>IF($AM216=1,SUMIFS($AM$4:$AM215,$C$4:$C215,$C216)+1,"")</f>
        <v/>
      </c>
    </row>
    <row r="217">
      <c r="A217" s="44" t="str">
        <f>IF(OR($B217="",$D217=""),"","TX"&amp;TEXT(ROW()-4,"0000"))</f>
        <v/>
      </c>
      <c r="B217" s="42" t="n"/>
      <c r="C217" s="47" t="str">
        <f>IF($B217="","",YEAR($B217)*100+MONTH($B217))</f>
        <v/>
      </c>
      <c r="D217" s="37" t="n"/>
      <c r="E217" s="45" t="str">
        <f>IF($D217="","",IFERROR(INDEX(CARDS!$B$5:$B$34,MATCH($D217,CARDS!$A$5:$A$34,0)),"⚠ Card ID?"))</f>
        <v/>
      </c>
      <c r="F217" s="45" t="str">
        <f>IF($D217="","",IFERROR(INDEX(CARDS!$C$5:$C$34,MATCH($D217,CARDS!$A$5:$A$34,0)),"⚠ Card ID?"))</f>
        <v/>
      </c>
      <c r="G217" s="37" t="n"/>
      <c r="H217" s="37" t="n"/>
      <c r="I217" s="41" t="n"/>
      <c r="J217" s="45" t="str">
        <f>IF($I217="","",IFERROR(INDEX(MCC_MASTER!$B$5:$B$504,MATCH($I217,MCC_MASTER!$A$5:$A$504,0)),"⚠ MCC chưa có"))</f>
        <v/>
      </c>
      <c r="K217" s="45" t="str">
        <f>IF($I217="","",IFERROR(IF(INDEX(MCC_MASTER!$C$5:$C$504,MATCH($I217,MCC_MASTER!$A$5:$A$504,0))="","Chưa phân loại",INDEX(MCC_MASTER!$C$5:$C$504,MATCH($I217,MCC_MASTER!$A$5:$A$504,0))),"Chưa phân loại"))</f>
        <v/>
      </c>
      <c r="L217" s="40" t="n"/>
      <c r="M217" s="48" t="str">
        <f>IF(OR($B217="",$D217=""),"",IF($AC217=0,0,IF(ISNUMBER(INDEX(CASHBACK_RULES!$L$5:$L$304,$AC217)),MAX(0,MIN($L217,INDEX(CASHBACK_RULES!$L$5:$L$304,$AC217)-$AH217)),MAX(0,$L217))))</f>
        <v/>
      </c>
      <c r="N217" s="49" t="str">
        <f>IF(OR($B217="",$D217=""),"",IF($AC217&gt;0,INDEX(CASHBACK_RULES!$I$5:$I$304,$AC217),0))</f>
        <v/>
      </c>
      <c r="O217" s="48" t="str">
        <f>IF(OR($B217="",$D217=""),"",ROUND($M217*$N217,0))</f>
        <v/>
      </c>
      <c r="P217" s="48" t="str">
        <f>IF($AC217&gt;0,IF(ISNUMBER(INDEX(CASHBACK_RULES!$J$5:$J$304,$AC217)),INDEX(CASHBACK_RULES!$J$5:$J$304,$AC217),"∞"),"")</f>
        <v/>
      </c>
      <c r="Q217" s="48" t="str">
        <f>IF(OR($B217="",$D217=""),"",IF($AC217=0,0,MAX(0,MIN($O217,IF(ISNUMBER($P217),$P217-$AF217,1E+15),IF(ISNUMBER($AA217),$AA217-$AG217,1E+15)))))</f>
        <v/>
      </c>
      <c r="R217" s="48" t="str">
        <f>IF(OR($B217="",$D217=""),"",IF($AC217=0,"",IF(AND(NOT(ISNUMBER($P217)),NOT(ISNUMBER($AA217))),"∞",MAX(0,MIN(IF(ISNUMBER($P217),$P217-$AF217-$Q217,1E+15),IF(ISNUMBER($AA217),$AA217-$AG217-$Q217,1E+15))))))</f>
        <v/>
      </c>
      <c r="S217" s="47" t="str">
        <f>IF($AD217="","",YEAR($AD217)*100+MONTH($AD217))</f>
        <v/>
      </c>
      <c r="T217" s="50" t="str">
        <f>IF($AD217="","",IFERROR(IF(INDEX(CARDS!$I$5:$I$34,MATCH($D217,CARDS!$A$5:$A$34,0))="","",IF(INDEX(CARDS!$I$5:$I$34,MATCH($D217,CARDS!$A$5:$A$34,0))&gt;INDEX(CARDS!$H$5:$H$34,MATCH($D217,CARDS!$A$5:$A$34,0)),DATE(YEAR($AD217),MONTH($AD217),MIN(INDEX(CARDS!$I$5:$I$34,MATCH($D217,CARDS!$A$5:$A$34,0)),DAY(EOMONTH($AD217,0)))),DATE(YEAR($AD217),MONTH($AD217)+1,MIN(INDEX(CARDS!$I$5:$I$34,MATCH($D217,CARDS!$A$5:$A$34,0)),DAY(EOMONTH($AD217,1)))))),""))</f>
        <v/>
      </c>
      <c r="U217" s="38" t="n"/>
      <c r="V217" s="37" t="n"/>
      <c r="W217" s="38" t="n"/>
      <c r="X217" s="38" t="n"/>
      <c r="Y217" s="44" t="str">
        <f>IF($AC217&gt;0,INDEX(CASHBACK_RULES!$A$5:$A$304,$AC217),"")</f>
        <v/>
      </c>
      <c r="Z217" s="45" t="str">
        <f>IF($AC217&gt;0,INDEX(CASHBACK_RULES!$E$5:$E$304,$AC217)&amp;"","")</f>
        <v/>
      </c>
      <c r="AA217" s="48" t="str">
        <f>IF($AC217&gt;0,IF(ISNUMBER(INDEX(CASHBACK_RULES!$K$5:$K$304,$AC217)),INDEX(CASHBACK_RULES!$K$5:$K$304,$AC217),"∞"),"")</f>
        <v/>
      </c>
      <c r="AB217" s="44" t="str">
        <f>IF(OR($B217="",$D217=""),"",IF($U217="Cancelled","Đã hủy",IF($AC217=0,"Không được hoàn",IF($Q217=0,IF(OR($O217&gt;0,$M217&lt;$L217),"Đã đạt cap","Không được hoàn"),IF(OR($Q217&lt;$O217,$M217&lt;$L217),"Hoàn một phần","Được hoàn")))))</f>
        <v/>
      </c>
      <c r="AC217" s="43">
        <f>IF(OR($B217="",$D217="",$I217="",$L217=""),0,IF($U217="Cancelled",0,IF($W217&lt;&gt;"",IFERROR(IF(INDEX(CASHBACK_RULES!$B$5:$B$304,MATCH($W217,CASHBACK_RULES!$A$5:$A$304,0))=$D217,MATCH($W217,CASHBACK_RULES!$A$5:$A$304,0),0),0),IFERROR(MATCH(1,INDEX((CASHBACK_RULES!$B$5:$B$304=$D217)*(CASHBACK_RULES!$G$5:$G$304=$I217)*(((CASHBACK_RULES!$N$5:$N$304="")+(CASHBACK_RULES!$N$5:$N$304&lt;=$B217))&gt;0)*(((CASHBACK_RULES!$O$5:$O$304="")+(CASHBACK_RULES!$O$5:$O$304&gt;=$B217))&gt;0)*(((CASHBACK_RULES!$M$5:$M$304="")+(CASHBACK_RULES!$M$5:$M$304&lt;=$L217))&gt;0),0),0),0))))</f>
        <v>0</v>
      </c>
      <c r="AD217" s="51" t="str">
        <f>IF(OR($B217="",$D217=""),"",IFERROR(IF(INDEX(CARDS!$H$5:$H$34,MATCH($D217,CARDS!$A$5:$A$34,0))="","",IF(DAY($B217)&lt;=INDEX(CARDS!$H$5:$H$34,MATCH($D217,CARDS!$A$5:$A$34,0)),DATE(YEAR($B217),MONTH($B217),MIN(INDEX(CARDS!$H$5:$H$34,MATCH($D217,CARDS!$A$5:$A$34,0)),DAY(EOMONTH($B217,0)))),DATE(YEAR($B217),MONTH($B217)+1,MIN(INDEX(CARDS!$H$5:$H$34,MATCH($D217,CARDS!$A$5:$A$34,0)),DAY(EOMONTH($B217,1)))))),""))</f>
        <v/>
      </c>
      <c r="AE217" s="52" t="str">
        <f>IF($C217="","",$C217&amp;"|"&amp;COUNTIF($C$5:$C217,$C217))</f>
        <v/>
      </c>
      <c r="AF217" s="53">
        <f>IF($AC217&gt;0,SUMIFS(Q$4:Q216,$D$4:$D216,$D217,$Z$4:$Z216,$Z217,$C$4:$C216,$C217),0)</f>
        <v>0</v>
      </c>
      <c r="AG217" s="53">
        <f>IF($AC217&gt;0,SUMIFS(Q$4:Q216,$D$4:$D216,$D217,$C$4:$C216,$C217),0)</f>
        <v>0</v>
      </c>
      <c r="AH217" s="53">
        <f>IF($AC217&gt;0,SUMIFS(M$4:M216,$D$4:$D216,$D217,$Z$4:$Z216,$Z217,$C$4:$C216,$C217),0)</f>
        <v>0</v>
      </c>
      <c r="AI217" s="43">
        <f>IF(OR($C217="",$I217=""),0,IF(COUNTIFS($C$5:$C217,$C217,$I$5:$I217,$I217)=1,1,0))</f>
        <v>0</v>
      </c>
      <c r="AJ217" s="43" t="str">
        <f>IF($AI217=1,SUMIFS($AI$4:$AI216,$C$4:$C216,$C217)+1,"")</f>
        <v/>
      </c>
      <c r="AK217" s="43">
        <f>IF(OR($C217="",$K217=""),0,IF(COUNTIFS($C$5:$C217,$C217,$K$5:$K217,$K217)=1,1,0))</f>
        <v>0</v>
      </c>
      <c r="AL217" s="43" t="str">
        <f>IF($AK217=1,SUMIFS($AK$4:$AK216,$C$4:$C216,$C217)+1,"")</f>
        <v/>
      </c>
      <c r="AM217" s="43">
        <f>IF(OR($C217="",$G217=""),0,IF(COUNTIFS($C$5:$C217,$C217,$G$5:$G217,$G217)=1,1,0))</f>
        <v>0</v>
      </c>
      <c r="AN217" s="43" t="str">
        <f>IF($AM217=1,SUMIFS($AM$4:$AM216,$C$4:$C216,$C217)+1,"")</f>
        <v/>
      </c>
    </row>
    <row r="218">
      <c r="A218" s="44" t="str">
        <f>IF(OR($B218="",$D218=""),"","TX"&amp;TEXT(ROW()-4,"0000"))</f>
        <v/>
      </c>
      <c r="B218" s="42" t="n"/>
      <c r="C218" s="47" t="str">
        <f>IF($B218="","",YEAR($B218)*100+MONTH($B218))</f>
        <v/>
      </c>
      <c r="D218" s="37" t="n"/>
      <c r="E218" s="45" t="str">
        <f>IF($D218="","",IFERROR(INDEX(CARDS!$B$5:$B$34,MATCH($D218,CARDS!$A$5:$A$34,0)),"⚠ Card ID?"))</f>
        <v/>
      </c>
      <c r="F218" s="45" t="str">
        <f>IF($D218="","",IFERROR(INDEX(CARDS!$C$5:$C$34,MATCH($D218,CARDS!$A$5:$A$34,0)),"⚠ Card ID?"))</f>
        <v/>
      </c>
      <c r="G218" s="37" t="n"/>
      <c r="H218" s="37" t="n"/>
      <c r="I218" s="41" t="n"/>
      <c r="J218" s="45" t="str">
        <f>IF($I218="","",IFERROR(INDEX(MCC_MASTER!$B$5:$B$504,MATCH($I218,MCC_MASTER!$A$5:$A$504,0)),"⚠ MCC chưa có"))</f>
        <v/>
      </c>
      <c r="K218" s="45" t="str">
        <f>IF($I218="","",IFERROR(IF(INDEX(MCC_MASTER!$C$5:$C$504,MATCH($I218,MCC_MASTER!$A$5:$A$504,0))="","Chưa phân loại",INDEX(MCC_MASTER!$C$5:$C$504,MATCH($I218,MCC_MASTER!$A$5:$A$504,0))),"Chưa phân loại"))</f>
        <v/>
      </c>
      <c r="L218" s="40" t="n"/>
      <c r="M218" s="48" t="str">
        <f>IF(OR($B218="",$D218=""),"",IF($AC218=0,0,IF(ISNUMBER(INDEX(CASHBACK_RULES!$L$5:$L$304,$AC218)),MAX(0,MIN($L218,INDEX(CASHBACK_RULES!$L$5:$L$304,$AC218)-$AH218)),MAX(0,$L218))))</f>
        <v/>
      </c>
      <c r="N218" s="49" t="str">
        <f>IF(OR($B218="",$D218=""),"",IF($AC218&gt;0,INDEX(CASHBACK_RULES!$I$5:$I$304,$AC218),0))</f>
        <v/>
      </c>
      <c r="O218" s="48" t="str">
        <f>IF(OR($B218="",$D218=""),"",ROUND($M218*$N218,0))</f>
        <v/>
      </c>
      <c r="P218" s="48" t="str">
        <f>IF($AC218&gt;0,IF(ISNUMBER(INDEX(CASHBACK_RULES!$J$5:$J$304,$AC218)),INDEX(CASHBACK_RULES!$J$5:$J$304,$AC218),"∞"),"")</f>
        <v/>
      </c>
      <c r="Q218" s="48" t="str">
        <f>IF(OR($B218="",$D218=""),"",IF($AC218=0,0,MAX(0,MIN($O218,IF(ISNUMBER($P218),$P218-$AF218,1E+15),IF(ISNUMBER($AA218),$AA218-$AG218,1E+15)))))</f>
        <v/>
      </c>
      <c r="R218" s="48" t="str">
        <f>IF(OR($B218="",$D218=""),"",IF($AC218=0,"",IF(AND(NOT(ISNUMBER($P218)),NOT(ISNUMBER($AA218))),"∞",MAX(0,MIN(IF(ISNUMBER($P218),$P218-$AF218-$Q218,1E+15),IF(ISNUMBER($AA218),$AA218-$AG218-$Q218,1E+15))))))</f>
        <v/>
      </c>
      <c r="S218" s="47" t="str">
        <f>IF($AD218="","",YEAR($AD218)*100+MONTH($AD218))</f>
        <v/>
      </c>
      <c r="T218" s="50" t="str">
        <f>IF($AD218="","",IFERROR(IF(INDEX(CARDS!$I$5:$I$34,MATCH($D218,CARDS!$A$5:$A$34,0))="","",IF(INDEX(CARDS!$I$5:$I$34,MATCH($D218,CARDS!$A$5:$A$34,0))&gt;INDEX(CARDS!$H$5:$H$34,MATCH($D218,CARDS!$A$5:$A$34,0)),DATE(YEAR($AD218),MONTH($AD218),MIN(INDEX(CARDS!$I$5:$I$34,MATCH($D218,CARDS!$A$5:$A$34,0)),DAY(EOMONTH($AD218,0)))),DATE(YEAR($AD218),MONTH($AD218)+1,MIN(INDEX(CARDS!$I$5:$I$34,MATCH($D218,CARDS!$A$5:$A$34,0)),DAY(EOMONTH($AD218,1)))))),""))</f>
        <v/>
      </c>
      <c r="U218" s="38" t="n"/>
      <c r="V218" s="37" t="n"/>
      <c r="W218" s="38" t="n"/>
      <c r="X218" s="38" t="n"/>
      <c r="Y218" s="44" t="str">
        <f>IF($AC218&gt;0,INDEX(CASHBACK_RULES!$A$5:$A$304,$AC218),"")</f>
        <v/>
      </c>
      <c r="Z218" s="45" t="str">
        <f>IF($AC218&gt;0,INDEX(CASHBACK_RULES!$E$5:$E$304,$AC218)&amp;"","")</f>
        <v/>
      </c>
      <c r="AA218" s="48" t="str">
        <f>IF($AC218&gt;0,IF(ISNUMBER(INDEX(CASHBACK_RULES!$K$5:$K$304,$AC218)),INDEX(CASHBACK_RULES!$K$5:$K$304,$AC218),"∞"),"")</f>
        <v/>
      </c>
      <c r="AB218" s="44" t="str">
        <f>IF(OR($B218="",$D218=""),"",IF($U218="Cancelled","Đã hủy",IF($AC218=0,"Không được hoàn",IF($Q218=0,IF(OR($O218&gt;0,$M218&lt;$L218),"Đã đạt cap","Không được hoàn"),IF(OR($Q218&lt;$O218,$M218&lt;$L218),"Hoàn một phần","Được hoàn")))))</f>
        <v/>
      </c>
      <c r="AC218" s="43">
        <f>IF(OR($B218="",$D218="",$I218="",$L218=""),0,IF($U218="Cancelled",0,IF($W218&lt;&gt;"",IFERROR(IF(INDEX(CASHBACK_RULES!$B$5:$B$304,MATCH($W218,CASHBACK_RULES!$A$5:$A$304,0))=$D218,MATCH($W218,CASHBACK_RULES!$A$5:$A$304,0),0),0),IFERROR(MATCH(1,INDEX((CASHBACK_RULES!$B$5:$B$304=$D218)*(CASHBACK_RULES!$G$5:$G$304=$I218)*(((CASHBACK_RULES!$N$5:$N$304="")+(CASHBACK_RULES!$N$5:$N$304&lt;=$B218))&gt;0)*(((CASHBACK_RULES!$O$5:$O$304="")+(CASHBACK_RULES!$O$5:$O$304&gt;=$B218))&gt;0)*(((CASHBACK_RULES!$M$5:$M$304="")+(CASHBACK_RULES!$M$5:$M$304&lt;=$L218))&gt;0),0),0),0))))</f>
        <v>0</v>
      </c>
      <c r="AD218" s="51" t="str">
        <f>IF(OR($B218="",$D218=""),"",IFERROR(IF(INDEX(CARDS!$H$5:$H$34,MATCH($D218,CARDS!$A$5:$A$34,0))="","",IF(DAY($B218)&lt;=INDEX(CARDS!$H$5:$H$34,MATCH($D218,CARDS!$A$5:$A$34,0)),DATE(YEAR($B218),MONTH($B218),MIN(INDEX(CARDS!$H$5:$H$34,MATCH($D218,CARDS!$A$5:$A$34,0)),DAY(EOMONTH($B218,0)))),DATE(YEAR($B218),MONTH($B218)+1,MIN(INDEX(CARDS!$H$5:$H$34,MATCH($D218,CARDS!$A$5:$A$34,0)),DAY(EOMONTH($B218,1)))))),""))</f>
        <v/>
      </c>
      <c r="AE218" s="52" t="str">
        <f>IF($C218="","",$C218&amp;"|"&amp;COUNTIF($C$5:$C218,$C218))</f>
        <v/>
      </c>
      <c r="AF218" s="53">
        <f>IF($AC218&gt;0,SUMIFS(Q$4:Q217,$D$4:$D217,$D218,$Z$4:$Z217,$Z218,$C$4:$C217,$C218),0)</f>
        <v>0</v>
      </c>
      <c r="AG218" s="53">
        <f>IF($AC218&gt;0,SUMIFS(Q$4:Q217,$D$4:$D217,$D218,$C$4:$C217,$C218),0)</f>
        <v>0</v>
      </c>
      <c r="AH218" s="53">
        <f>IF($AC218&gt;0,SUMIFS(M$4:M217,$D$4:$D217,$D218,$Z$4:$Z217,$Z218,$C$4:$C217,$C218),0)</f>
        <v>0</v>
      </c>
      <c r="AI218" s="43">
        <f>IF(OR($C218="",$I218=""),0,IF(COUNTIFS($C$5:$C218,$C218,$I$5:$I218,$I218)=1,1,0))</f>
        <v>0</v>
      </c>
      <c r="AJ218" s="43" t="str">
        <f>IF($AI218=1,SUMIFS($AI$4:$AI217,$C$4:$C217,$C218)+1,"")</f>
        <v/>
      </c>
      <c r="AK218" s="43">
        <f>IF(OR($C218="",$K218=""),0,IF(COUNTIFS($C$5:$C218,$C218,$K$5:$K218,$K218)=1,1,0))</f>
        <v>0</v>
      </c>
      <c r="AL218" s="43" t="str">
        <f>IF($AK218=1,SUMIFS($AK$4:$AK217,$C$4:$C217,$C218)+1,"")</f>
        <v/>
      </c>
      <c r="AM218" s="43">
        <f>IF(OR($C218="",$G218=""),0,IF(COUNTIFS($C$5:$C218,$C218,$G$5:$G218,$G218)=1,1,0))</f>
        <v>0</v>
      </c>
      <c r="AN218" s="43" t="str">
        <f>IF($AM218=1,SUMIFS($AM$4:$AM217,$C$4:$C217,$C218)+1,"")</f>
        <v/>
      </c>
    </row>
    <row r="219">
      <c r="A219" s="44" t="str">
        <f>IF(OR($B219="",$D219=""),"","TX"&amp;TEXT(ROW()-4,"0000"))</f>
        <v/>
      </c>
      <c r="B219" s="42" t="n"/>
      <c r="C219" s="47" t="str">
        <f>IF($B219="","",YEAR($B219)*100+MONTH($B219))</f>
        <v/>
      </c>
      <c r="D219" s="37" t="n"/>
      <c r="E219" s="45" t="str">
        <f>IF($D219="","",IFERROR(INDEX(CARDS!$B$5:$B$34,MATCH($D219,CARDS!$A$5:$A$34,0)),"⚠ Card ID?"))</f>
        <v/>
      </c>
      <c r="F219" s="45" t="str">
        <f>IF($D219="","",IFERROR(INDEX(CARDS!$C$5:$C$34,MATCH($D219,CARDS!$A$5:$A$34,0)),"⚠ Card ID?"))</f>
        <v/>
      </c>
      <c r="G219" s="37" t="n"/>
      <c r="H219" s="37" t="n"/>
      <c r="I219" s="41" t="n"/>
      <c r="J219" s="45" t="str">
        <f>IF($I219="","",IFERROR(INDEX(MCC_MASTER!$B$5:$B$504,MATCH($I219,MCC_MASTER!$A$5:$A$504,0)),"⚠ MCC chưa có"))</f>
        <v/>
      </c>
      <c r="K219" s="45" t="str">
        <f>IF($I219="","",IFERROR(IF(INDEX(MCC_MASTER!$C$5:$C$504,MATCH($I219,MCC_MASTER!$A$5:$A$504,0))="","Chưa phân loại",INDEX(MCC_MASTER!$C$5:$C$504,MATCH($I219,MCC_MASTER!$A$5:$A$504,0))),"Chưa phân loại"))</f>
        <v/>
      </c>
      <c r="L219" s="40" t="n"/>
      <c r="M219" s="48" t="str">
        <f>IF(OR($B219="",$D219=""),"",IF($AC219=0,0,IF(ISNUMBER(INDEX(CASHBACK_RULES!$L$5:$L$304,$AC219)),MAX(0,MIN($L219,INDEX(CASHBACK_RULES!$L$5:$L$304,$AC219)-$AH219)),MAX(0,$L219))))</f>
        <v/>
      </c>
      <c r="N219" s="49" t="str">
        <f>IF(OR($B219="",$D219=""),"",IF($AC219&gt;0,INDEX(CASHBACK_RULES!$I$5:$I$304,$AC219),0))</f>
        <v/>
      </c>
      <c r="O219" s="48" t="str">
        <f>IF(OR($B219="",$D219=""),"",ROUND($M219*$N219,0))</f>
        <v/>
      </c>
      <c r="P219" s="48" t="str">
        <f>IF($AC219&gt;0,IF(ISNUMBER(INDEX(CASHBACK_RULES!$J$5:$J$304,$AC219)),INDEX(CASHBACK_RULES!$J$5:$J$304,$AC219),"∞"),"")</f>
        <v/>
      </c>
      <c r="Q219" s="48" t="str">
        <f>IF(OR($B219="",$D219=""),"",IF($AC219=0,0,MAX(0,MIN($O219,IF(ISNUMBER($P219),$P219-$AF219,1E+15),IF(ISNUMBER($AA219),$AA219-$AG219,1E+15)))))</f>
        <v/>
      </c>
      <c r="R219" s="48" t="str">
        <f>IF(OR($B219="",$D219=""),"",IF($AC219=0,"",IF(AND(NOT(ISNUMBER($P219)),NOT(ISNUMBER($AA219))),"∞",MAX(0,MIN(IF(ISNUMBER($P219),$P219-$AF219-$Q219,1E+15),IF(ISNUMBER($AA219),$AA219-$AG219-$Q219,1E+15))))))</f>
        <v/>
      </c>
      <c r="S219" s="47" t="str">
        <f>IF($AD219="","",YEAR($AD219)*100+MONTH($AD219))</f>
        <v/>
      </c>
      <c r="T219" s="50" t="str">
        <f>IF($AD219="","",IFERROR(IF(INDEX(CARDS!$I$5:$I$34,MATCH($D219,CARDS!$A$5:$A$34,0))="","",IF(INDEX(CARDS!$I$5:$I$34,MATCH($D219,CARDS!$A$5:$A$34,0))&gt;INDEX(CARDS!$H$5:$H$34,MATCH($D219,CARDS!$A$5:$A$34,0)),DATE(YEAR($AD219),MONTH($AD219),MIN(INDEX(CARDS!$I$5:$I$34,MATCH($D219,CARDS!$A$5:$A$34,0)),DAY(EOMONTH($AD219,0)))),DATE(YEAR($AD219),MONTH($AD219)+1,MIN(INDEX(CARDS!$I$5:$I$34,MATCH($D219,CARDS!$A$5:$A$34,0)),DAY(EOMONTH($AD219,1)))))),""))</f>
        <v/>
      </c>
      <c r="U219" s="38" t="n"/>
      <c r="V219" s="37" t="n"/>
      <c r="W219" s="38" t="n"/>
      <c r="X219" s="38" t="n"/>
      <c r="Y219" s="44" t="str">
        <f>IF($AC219&gt;0,INDEX(CASHBACK_RULES!$A$5:$A$304,$AC219),"")</f>
        <v/>
      </c>
      <c r="Z219" s="45" t="str">
        <f>IF($AC219&gt;0,INDEX(CASHBACK_RULES!$E$5:$E$304,$AC219)&amp;"","")</f>
        <v/>
      </c>
      <c r="AA219" s="48" t="str">
        <f>IF($AC219&gt;0,IF(ISNUMBER(INDEX(CASHBACK_RULES!$K$5:$K$304,$AC219)),INDEX(CASHBACK_RULES!$K$5:$K$304,$AC219),"∞"),"")</f>
        <v/>
      </c>
      <c r="AB219" s="44" t="str">
        <f>IF(OR($B219="",$D219=""),"",IF($U219="Cancelled","Đã hủy",IF($AC219=0,"Không được hoàn",IF($Q219=0,IF(OR($O219&gt;0,$M219&lt;$L219),"Đã đạt cap","Không được hoàn"),IF(OR($Q219&lt;$O219,$M219&lt;$L219),"Hoàn một phần","Được hoàn")))))</f>
        <v/>
      </c>
      <c r="AC219" s="43">
        <f>IF(OR($B219="",$D219="",$I219="",$L219=""),0,IF($U219="Cancelled",0,IF($W219&lt;&gt;"",IFERROR(IF(INDEX(CASHBACK_RULES!$B$5:$B$304,MATCH($W219,CASHBACK_RULES!$A$5:$A$304,0))=$D219,MATCH($W219,CASHBACK_RULES!$A$5:$A$304,0),0),0),IFERROR(MATCH(1,INDEX((CASHBACK_RULES!$B$5:$B$304=$D219)*(CASHBACK_RULES!$G$5:$G$304=$I219)*(((CASHBACK_RULES!$N$5:$N$304="")+(CASHBACK_RULES!$N$5:$N$304&lt;=$B219))&gt;0)*(((CASHBACK_RULES!$O$5:$O$304="")+(CASHBACK_RULES!$O$5:$O$304&gt;=$B219))&gt;0)*(((CASHBACK_RULES!$M$5:$M$304="")+(CASHBACK_RULES!$M$5:$M$304&lt;=$L219))&gt;0),0),0),0))))</f>
        <v>0</v>
      </c>
      <c r="AD219" s="51" t="str">
        <f>IF(OR($B219="",$D219=""),"",IFERROR(IF(INDEX(CARDS!$H$5:$H$34,MATCH($D219,CARDS!$A$5:$A$34,0))="","",IF(DAY($B219)&lt;=INDEX(CARDS!$H$5:$H$34,MATCH($D219,CARDS!$A$5:$A$34,0)),DATE(YEAR($B219),MONTH($B219),MIN(INDEX(CARDS!$H$5:$H$34,MATCH($D219,CARDS!$A$5:$A$34,0)),DAY(EOMONTH($B219,0)))),DATE(YEAR($B219),MONTH($B219)+1,MIN(INDEX(CARDS!$H$5:$H$34,MATCH($D219,CARDS!$A$5:$A$34,0)),DAY(EOMONTH($B219,1)))))),""))</f>
        <v/>
      </c>
      <c r="AE219" s="52" t="str">
        <f>IF($C219="","",$C219&amp;"|"&amp;COUNTIF($C$5:$C219,$C219))</f>
        <v/>
      </c>
      <c r="AF219" s="53">
        <f>IF($AC219&gt;0,SUMIFS(Q$4:Q218,$D$4:$D218,$D219,$Z$4:$Z218,$Z219,$C$4:$C218,$C219),0)</f>
        <v>0</v>
      </c>
      <c r="AG219" s="53">
        <f>IF($AC219&gt;0,SUMIFS(Q$4:Q218,$D$4:$D218,$D219,$C$4:$C218,$C219),0)</f>
        <v>0</v>
      </c>
      <c r="AH219" s="53">
        <f>IF($AC219&gt;0,SUMIFS(M$4:M218,$D$4:$D218,$D219,$Z$4:$Z218,$Z219,$C$4:$C218,$C219),0)</f>
        <v>0</v>
      </c>
      <c r="AI219" s="43">
        <f>IF(OR($C219="",$I219=""),0,IF(COUNTIFS($C$5:$C219,$C219,$I$5:$I219,$I219)=1,1,0))</f>
        <v>0</v>
      </c>
      <c r="AJ219" s="43" t="str">
        <f>IF($AI219=1,SUMIFS($AI$4:$AI218,$C$4:$C218,$C219)+1,"")</f>
        <v/>
      </c>
      <c r="AK219" s="43">
        <f>IF(OR($C219="",$K219=""),0,IF(COUNTIFS($C$5:$C219,$C219,$K$5:$K219,$K219)=1,1,0))</f>
        <v>0</v>
      </c>
      <c r="AL219" s="43" t="str">
        <f>IF($AK219=1,SUMIFS($AK$4:$AK218,$C$4:$C218,$C219)+1,"")</f>
        <v/>
      </c>
      <c r="AM219" s="43">
        <f>IF(OR($C219="",$G219=""),0,IF(COUNTIFS($C$5:$C219,$C219,$G$5:$G219,$G219)=1,1,0))</f>
        <v>0</v>
      </c>
      <c r="AN219" s="43" t="str">
        <f>IF($AM219=1,SUMIFS($AM$4:$AM218,$C$4:$C218,$C219)+1,"")</f>
        <v/>
      </c>
    </row>
    <row r="220">
      <c r="A220" s="44" t="str">
        <f>IF(OR($B220="",$D220=""),"","TX"&amp;TEXT(ROW()-4,"0000"))</f>
        <v/>
      </c>
      <c r="B220" s="42" t="n"/>
      <c r="C220" s="47" t="str">
        <f>IF($B220="","",YEAR($B220)*100+MONTH($B220))</f>
        <v/>
      </c>
      <c r="D220" s="37" t="n"/>
      <c r="E220" s="45" t="str">
        <f>IF($D220="","",IFERROR(INDEX(CARDS!$B$5:$B$34,MATCH($D220,CARDS!$A$5:$A$34,0)),"⚠ Card ID?"))</f>
        <v/>
      </c>
      <c r="F220" s="45" t="str">
        <f>IF($D220="","",IFERROR(INDEX(CARDS!$C$5:$C$34,MATCH($D220,CARDS!$A$5:$A$34,0)),"⚠ Card ID?"))</f>
        <v/>
      </c>
      <c r="G220" s="37" t="n"/>
      <c r="H220" s="37" t="n"/>
      <c r="I220" s="41" t="n"/>
      <c r="J220" s="45" t="str">
        <f>IF($I220="","",IFERROR(INDEX(MCC_MASTER!$B$5:$B$504,MATCH($I220,MCC_MASTER!$A$5:$A$504,0)),"⚠ MCC chưa có"))</f>
        <v/>
      </c>
      <c r="K220" s="45" t="str">
        <f>IF($I220="","",IFERROR(IF(INDEX(MCC_MASTER!$C$5:$C$504,MATCH($I220,MCC_MASTER!$A$5:$A$504,0))="","Chưa phân loại",INDEX(MCC_MASTER!$C$5:$C$504,MATCH($I220,MCC_MASTER!$A$5:$A$504,0))),"Chưa phân loại"))</f>
        <v/>
      </c>
      <c r="L220" s="40" t="n"/>
      <c r="M220" s="48" t="str">
        <f>IF(OR($B220="",$D220=""),"",IF($AC220=0,0,IF(ISNUMBER(INDEX(CASHBACK_RULES!$L$5:$L$304,$AC220)),MAX(0,MIN($L220,INDEX(CASHBACK_RULES!$L$5:$L$304,$AC220)-$AH220)),MAX(0,$L220))))</f>
        <v/>
      </c>
      <c r="N220" s="49" t="str">
        <f>IF(OR($B220="",$D220=""),"",IF($AC220&gt;0,INDEX(CASHBACK_RULES!$I$5:$I$304,$AC220),0))</f>
        <v/>
      </c>
      <c r="O220" s="48" t="str">
        <f>IF(OR($B220="",$D220=""),"",ROUND($M220*$N220,0))</f>
        <v/>
      </c>
      <c r="P220" s="48" t="str">
        <f>IF($AC220&gt;0,IF(ISNUMBER(INDEX(CASHBACK_RULES!$J$5:$J$304,$AC220)),INDEX(CASHBACK_RULES!$J$5:$J$304,$AC220),"∞"),"")</f>
        <v/>
      </c>
      <c r="Q220" s="48" t="str">
        <f>IF(OR($B220="",$D220=""),"",IF($AC220=0,0,MAX(0,MIN($O220,IF(ISNUMBER($P220),$P220-$AF220,1E+15),IF(ISNUMBER($AA220),$AA220-$AG220,1E+15)))))</f>
        <v/>
      </c>
      <c r="R220" s="48" t="str">
        <f>IF(OR($B220="",$D220=""),"",IF($AC220=0,"",IF(AND(NOT(ISNUMBER($P220)),NOT(ISNUMBER($AA220))),"∞",MAX(0,MIN(IF(ISNUMBER($P220),$P220-$AF220-$Q220,1E+15),IF(ISNUMBER($AA220),$AA220-$AG220-$Q220,1E+15))))))</f>
        <v/>
      </c>
      <c r="S220" s="47" t="str">
        <f>IF($AD220="","",YEAR($AD220)*100+MONTH($AD220))</f>
        <v/>
      </c>
      <c r="T220" s="50" t="str">
        <f>IF($AD220="","",IFERROR(IF(INDEX(CARDS!$I$5:$I$34,MATCH($D220,CARDS!$A$5:$A$34,0))="","",IF(INDEX(CARDS!$I$5:$I$34,MATCH($D220,CARDS!$A$5:$A$34,0))&gt;INDEX(CARDS!$H$5:$H$34,MATCH($D220,CARDS!$A$5:$A$34,0)),DATE(YEAR($AD220),MONTH($AD220),MIN(INDEX(CARDS!$I$5:$I$34,MATCH($D220,CARDS!$A$5:$A$34,0)),DAY(EOMONTH($AD220,0)))),DATE(YEAR($AD220),MONTH($AD220)+1,MIN(INDEX(CARDS!$I$5:$I$34,MATCH($D220,CARDS!$A$5:$A$34,0)),DAY(EOMONTH($AD220,1)))))),""))</f>
        <v/>
      </c>
      <c r="U220" s="38" t="n"/>
      <c r="V220" s="37" t="n"/>
      <c r="W220" s="38" t="n"/>
      <c r="X220" s="38" t="n"/>
      <c r="Y220" s="44" t="str">
        <f>IF($AC220&gt;0,INDEX(CASHBACK_RULES!$A$5:$A$304,$AC220),"")</f>
        <v/>
      </c>
      <c r="Z220" s="45" t="str">
        <f>IF($AC220&gt;0,INDEX(CASHBACK_RULES!$E$5:$E$304,$AC220)&amp;"","")</f>
        <v/>
      </c>
      <c r="AA220" s="48" t="str">
        <f>IF($AC220&gt;0,IF(ISNUMBER(INDEX(CASHBACK_RULES!$K$5:$K$304,$AC220)),INDEX(CASHBACK_RULES!$K$5:$K$304,$AC220),"∞"),"")</f>
        <v/>
      </c>
      <c r="AB220" s="44" t="str">
        <f>IF(OR($B220="",$D220=""),"",IF($U220="Cancelled","Đã hủy",IF($AC220=0,"Không được hoàn",IF($Q220=0,IF(OR($O220&gt;0,$M220&lt;$L220),"Đã đạt cap","Không được hoàn"),IF(OR($Q220&lt;$O220,$M220&lt;$L220),"Hoàn một phần","Được hoàn")))))</f>
        <v/>
      </c>
      <c r="AC220" s="43">
        <f>IF(OR($B220="",$D220="",$I220="",$L220=""),0,IF($U220="Cancelled",0,IF($W220&lt;&gt;"",IFERROR(IF(INDEX(CASHBACK_RULES!$B$5:$B$304,MATCH($W220,CASHBACK_RULES!$A$5:$A$304,0))=$D220,MATCH($W220,CASHBACK_RULES!$A$5:$A$304,0),0),0),IFERROR(MATCH(1,INDEX((CASHBACK_RULES!$B$5:$B$304=$D220)*(CASHBACK_RULES!$G$5:$G$304=$I220)*(((CASHBACK_RULES!$N$5:$N$304="")+(CASHBACK_RULES!$N$5:$N$304&lt;=$B220))&gt;0)*(((CASHBACK_RULES!$O$5:$O$304="")+(CASHBACK_RULES!$O$5:$O$304&gt;=$B220))&gt;0)*(((CASHBACK_RULES!$M$5:$M$304="")+(CASHBACK_RULES!$M$5:$M$304&lt;=$L220))&gt;0),0),0),0))))</f>
        <v>0</v>
      </c>
      <c r="AD220" s="51" t="str">
        <f>IF(OR($B220="",$D220=""),"",IFERROR(IF(INDEX(CARDS!$H$5:$H$34,MATCH($D220,CARDS!$A$5:$A$34,0))="","",IF(DAY($B220)&lt;=INDEX(CARDS!$H$5:$H$34,MATCH($D220,CARDS!$A$5:$A$34,0)),DATE(YEAR($B220),MONTH($B220),MIN(INDEX(CARDS!$H$5:$H$34,MATCH($D220,CARDS!$A$5:$A$34,0)),DAY(EOMONTH($B220,0)))),DATE(YEAR($B220),MONTH($B220)+1,MIN(INDEX(CARDS!$H$5:$H$34,MATCH($D220,CARDS!$A$5:$A$34,0)),DAY(EOMONTH($B220,1)))))),""))</f>
        <v/>
      </c>
      <c r="AE220" s="52" t="str">
        <f>IF($C220="","",$C220&amp;"|"&amp;COUNTIF($C$5:$C220,$C220))</f>
        <v/>
      </c>
      <c r="AF220" s="53">
        <f>IF($AC220&gt;0,SUMIFS(Q$4:Q219,$D$4:$D219,$D220,$Z$4:$Z219,$Z220,$C$4:$C219,$C220),0)</f>
        <v>0</v>
      </c>
      <c r="AG220" s="53">
        <f>IF($AC220&gt;0,SUMIFS(Q$4:Q219,$D$4:$D219,$D220,$C$4:$C219,$C220),0)</f>
        <v>0</v>
      </c>
      <c r="AH220" s="53">
        <f>IF($AC220&gt;0,SUMIFS(M$4:M219,$D$4:$D219,$D220,$Z$4:$Z219,$Z220,$C$4:$C219,$C220),0)</f>
        <v>0</v>
      </c>
      <c r="AI220" s="43">
        <f>IF(OR($C220="",$I220=""),0,IF(COUNTIFS($C$5:$C220,$C220,$I$5:$I220,$I220)=1,1,0))</f>
        <v>0</v>
      </c>
      <c r="AJ220" s="43" t="str">
        <f>IF($AI220=1,SUMIFS($AI$4:$AI219,$C$4:$C219,$C220)+1,"")</f>
        <v/>
      </c>
      <c r="AK220" s="43">
        <f>IF(OR($C220="",$K220=""),0,IF(COUNTIFS($C$5:$C220,$C220,$K$5:$K220,$K220)=1,1,0))</f>
        <v>0</v>
      </c>
      <c r="AL220" s="43" t="str">
        <f>IF($AK220=1,SUMIFS($AK$4:$AK219,$C$4:$C219,$C220)+1,"")</f>
        <v/>
      </c>
      <c r="AM220" s="43">
        <f>IF(OR($C220="",$G220=""),0,IF(COUNTIFS($C$5:$C220,$C220,$G$5:$G220,$G220)=1,1,0))</f>
        <v>0</v>
      </c>
      <c r="AN220" s="43" t="str">
        <f>IF($AM220=1,SUMIFS($AM$4:$AM219,$C$4:$C219,$C220)+1,"")</f>
        <v/>
      </c>
    </row>
    <row r="221">
      <c r="A221" s="44" t="str">
        <f>IF(OR($B221="",$D221=""),"","TX"&amp;TEXT(ROW()-4,"0000"))</f>
        <v/>
      </c>
      <c r="B221" s="42" t="n"/>
      <c r="C221" s="47" t="str">
        <f>IF($B221="","",YEAR($B221)*100+MONTH($B221))</f>
        <v/>
      </c>
      <c r="D221" s="37" t="n"/>
      <c r="E221" s="45" t="str">
        <f>IF($D221="","",IFERROR(INDEX(CARDS!$B$5:$B$34,MATCH($D221,CARDS!$A$5:$A$34,0)),"⚠ Card ID?"))</f>
        <v/>
      </c>
      <c r="F221" s="45" t="str">
        <f>IF($D221="","",IFERROR(INDEX(CARDS!$C$5:$C$34,MATCH($D221,CARDS!$A$5:$A$34,0)),"⚠ Card ID?"))</f>
        <v/>
      </c>
      <c r="G221" s="37" t="n"/>
      <c r="H221" s="37" t="n"/>
      <c r="I221" s="41" t="n"/>
      <c r="J221" s="45" t="str">
        <f>IF($I221="","",IFERROR(INDEX(MCC_MASTER!$B$5:$B$504,MATCH($I221,MCC_MASTER!$A$5:$A$504,0)),"⚠ MCC chưa có"))</f>
        <v/>
      </c>
      <c r="K221" s="45" t="str">
        <f>IF($I221="","",IFERROR(IF(INDEX(MCC_MASTER!$C$5:$C$504,MATCH($I221,MCC_MASTER!$A$5:$A$504,0))="","Chưa phân loại",INDEX(MCC_MASTER!$C$5:$C$504,MATCH($I221,MCC_MASTER!$A$5:$A$504,0))),"Chưa phân loại"))</f>
        <v/>
      </c>
      <c r="L221" s="40" t="n"/>
      <c r="M221" s="48" t="str">
        <f>IF(OR($B221="",$D221=""),"",IF($AC221=0,0,IF(ISNUMBER(INDEX(CASHBACK_RULES!$L$5:$L$304,$AC221)),MAX(0,MIN($L221,INDEX(CASHBACK_RULES!$L$5:$L$304,$AC221)-$AH221)),MAX(0,$L221))))</f>
        <v/>
      </c>
      <c r="N221" s="49" t="str">
        <f>IF(OR($B221="",$D221=""),"",IF($AC221&gt;0,INDEX(CASHBACK_RULES!$I$5:$I$304,$AC221),0))</f>
        <v/>
      </c>
      <c r="O221" s="48" t="str">
        <f>IF(OR($B221="",$D221=""),"",ROUND($M221*$N221,0))</f>
        <v/>
      </c>
      <c r="P221" s="48" t="str">
        <f>IF($AC221&gt;0,IF(ISNUMBER(INDEX(CASHBACK_RULES!$J$5:$J$304,$AC221)),INDEX(CASHBACK_RULES!$J$5:$J$304,$AC221),"∞"),"")</f>
        <v/>
      </c>
      <c r="Q221" s="48" t="str">
        <f>IF(OR($B221="",$D221=""),"",IF($AC221=0,0,MAX(0,MIN($O221,IF(ISNUMBER($P221),$P221-$AF221,1E+15),IF(ISNUMBER($AA221),$AA221-$AG221,1E+15)))))</f>
        <v/>
      </c>
      <c r="R221" s="48" t="str">
        <f>IF(OR($B221="",$D221=""),"",IF($AC221=0,"",IF(AND(NOT(ISNUMBER($P221)),NOT(ISNUMBER($AA221))),"∞",MAX(0,MIN(IF(ISNUMBER($P221),$P221-$AF221-$Q221,1E+15),IF(ISNUMBER($AA221),$AA221-$AG221-$Q221,1E+15))))))</f>
        <v/>
      </c>
      <c r="S221" s="47" t="str">
        <f>IF($AD221="","",YEAR($AD221)*100+MONTH($AD221))</f>
        <v/>
      </c>
      <c r="T221" s="50" t="str">
        <f>IF($AD221="","",IFERROR(IF(INDEX(CARDS!$I$5:$I$34,MATCH($D221,CARDS!$A$5:$A$34,0))="","",IF(INDEX(CARDS!$I$5:$I$34,MATCH($D221,CARDS!$A$5:$A$34,0))&gt;INDEX(CARDS!$H$5:$H$34,MATCH($D221,CARDS!$A$5:$A$34,0)),DATE(YEAR($AD221),MONTH($AD221),MIN(INDEX(CARDS!$I$5:$I$34,MATCH($D221,CARDS!$A$5:$A$34,0)),DAY(EOMONTH($AD221,0)))),DATE(YEAR($AD221),MONTH($AD221)+1,MIN(INDEX(CARDS!$I$5:$I$34,MATCH($D221,CARDS!$A$5:$A$34,0)),DAY(EOMONTH($AD221,1)))))),""))</f>
        <v/>
      </c>
      <c r="U221" s="38" t="n"/>
      <c r="V221" s="37" t="n"/>
      <c r="W221" s="38" t="n"/>
      <c r="X221" s="38" t="n"/>
      <c r="Y221" s="44" t="str">
        <f>IF($AC221&gt;0,INDEX(CASHBACK_RULES!$A$5:$A$304,$AC221),"")</f>
        <v/>
      </c>
      <c r="Z221" s="45" t="str">
        <f>IF($AC221&gt;0,INDEX(CASHBACK_RULES!$E$5:$E$304,$AC221)&amp;"","")</f>
        <v/>
      </c>
      <c r="AA221" s="48" t="str">
        <f>IF($AC221&gt;0,IF(ISNUMBER(INDEX(CASHBACK_RULES!$K$5:$K$304,$AC221)),INDEX(CASHBACK_RULES!$K$5:$K$304,$AC221),"∞"),"")</f>
        <v/>
      </c>
      <c r="AB221" s="44" t="str">
        <f>IF(OR($B221="",$D221=""),"",IF($U221="Cancelled","Đã hủy",IF($AC221=0,"Không được hoàn",IF($Q221=0,IF(OR($O221&gt;0,$M221&lt;$L221),"Đã đạt cap","Không được hoàn"),IF(OR($Q221&lt;$O221,$M221&lt;$L221),"Hoàn một phần","Được hoàn")))))</f>
        <v/>
      </c>
      <c r="AC221" s="43">
        <f>IF(OR($B221="",$D221="",$I221="",$L221=""),0,IF($U221="Cancelled",0,IF($W221&lt;&gt;"",IFERROR(IF(INDEX(CASHBACK_RULES!$B$5:$B$304,MATCH($W221,CASHBACK_RULES!$A$5:$A$304,0))=$D221,MATCH($W221,CASHBACK_RULES!$A$5:$A$304,0),0),0),IFERROR(MATCH(1,INDEX((CASHBACK_RULES!$B$5:$B$304=$D221)*(CASHBACK_RULES!$G$5:$G$304=$I221)*(((CASHBACK_RULES!$N$5:$N$304="")+(CASHBACK_RULES!$N$5:$N$304&lt;=$B221))&gt;0)*(((CASHBACK_RULES!$O$5:$O$304="")+(CASHBACK_RULES!$O$5:$O$304&gt;=$B221))&gt;0)*(((CASHBACK_RULES!$M$5:$M$304="")+(CASHBACK_RULES!$M$5:$M$304&lt;=$L221))&gt;0),0),0),0))))</f>
        <v>0</v>
      </c>
      <c r="AD221" s="51" t="str">
        <f>IF(OR($B221="",$D221=""),"",IFERROR(IF(INDEX(CARDS!$H$5:$H$34,MATCH($D221,CARDS!$A$5:$A$34,0))="","",IF(DAY($B221)&lt;=INDEX(CARDS!$H$5:$H$34,MATCH($D221,CARDS!$A$5:$A$34,0)),DATE(YEAR($B221),MONTH($B221),MIN(INDEX(CARDS!$H$5:$H$34,MATCH($D221,CARDS!$A$5:$A$34,0)),DAY(EOMONTH($B221,0)))),DATE(YEAR($B221),MONTH($B221)+1,MIN(INDEX(CARDS!$H$5:$H$34,MATCH($D221,CARDS!$A$5:$A$34,0)),DAY(EOMONTH($B221,1)))))),""))</f>
        <v/>
      </c>
      <c r="AE221" s="52" t="str">
        <f>IF($C221="","",$C221&amp;"|"&amp;COUNTIF($C$5:$C221,$C221))</f>
        <v/>
      </c>
      <c r="AF221" s="53">
        <f>IF($AC221&gt;0,SUMIFS(Q$4:Q220,$D$4:$D220,$D221,$Z$4:$Z220,$Z221,$C$4:$C220,$C221),0)</f>
        <v>0</v>
      </c>
      <c r="AG221" s="53">
        <f>IF($AC221&gt;0,SUMIFS(Q$4:Q220,$D$4:$D220,$D221,$C$4:$C220,$C221),0)</f>
        <v>0</v>
      </c>
      <c r="AH221" s="53">
        <f>IF($AC221&gt;0,SUMIFS(M$4:M220,$D$4:$D220,$D221,$Z$4:$Z220,$Z221,$C$4:$C220,$C221),0)</f>
        <v>0</v>
      </c>
      <c r="AI221" s="43">
        <f>IF(OR($C221="",$I221=""),0,IF(COUNTIFS($C$5:$C221,$C221,$I$5:$I221,$I221)=1,1,0))</f>
        <v>0</v>
      </c>
      <c r="AJ221" s="43" t="str">
        <f>IF($AI221=1,SUMIFS($AI$4:$AI220,$C$4:$C220,$C221)+1,"")</f>
        <v/>
      </c>
      <c r="AK221" s="43">
        <f>IF(OR($C221="",$K221=""),0,IF(COUNTIFS($C$5:$C221,$C221,$K$5:$K221,$K221)=1,1,0))</f>
        <v>0</v>
      </c>
      <c r="AL221" s="43" t="str">
        <f>IF($AK221=1,SUMIFS($AK$4:$AK220,$C$4:$C220,$C221)+1,"")</f>
        <v/>
      </c>
      <c r="AM221" s="43">
        <f>IF(OR($C221="",$G221=""),0,IF(COUNTIFS($C$5:$C221,$C221,$G$5:$G221,$G221)=1,1,0))</f>
        <v>0</v>
      </c>
      <c r="AN221" s="43" t="str">
        <f>IF($AM221=1,SUMIFS($AM$4:$AM220,$C$4:$C220,$C221)+1,"")</f>
        <v/>
      </c>
    </row>
    <row r="222">
      <c r="A222" s="44" t="str">
        <f>IF(OR($B222="",$D222=""),"","TX"&amp;TEXT(ROW()-4,"0000"))</f>
        <v/>
      </c>
      <c r="B222" s="42" t="n"/>
      <c r="C222" s="47" t="str">
        <f>IF($B222="","",YEAR($B222)*100+MONTH($B222))</f>
        <v/>
      </c>
      <c r="D222" s="37" t="n"/>
      <c r="E222" s="45" t="str">
        <f>IF($D222="","",IFERROR(INDEX(CARDS!$B$5:$B$34,MATCH($D222,CARDS!$A$5:$A$34,0)),"⚠ Card ID?"))</f>
        <v/>
      </c>
      <c r="F222" s="45" t="str">
        <f>IF($D222="","",IFERROR(INDEX(CARDS!$C$5:$C$34,MATCH($D222,CARDS!$A$5:$A$34,0)),"⚠ Card ID?"))</f>
        <v/>
      </c>
      <c r="G222" s="37" t="n"/>
      <c r="H222" s="37" t="n"/>
      <c r="I222" s="41" t="n"/>
      <c r="J222" s="45" t="str">
        <f>IF($I222="","",IFERROR(INDEX(MCC_MASTER!$B$5:$B$504,MATCH($I222,MCC_MASTER!$A$5:$A$504,0)),"⚠ MCC chưa có"))</f>
        <v/>
      </c>
      <c r="K222" s="45" t="str">
        <f>IF($I222="","",IFERROR(IF(INDEX(MCC_MASTER!$C$5:$C$504,MATCH($I222,MCC_MASTER!$A$5:$A$504,0))="","Chưa phân loại",INDEX(MCC_MASTER!$C$5:$C$504,MATCH($I222,MCC_MASTER!$A$5:$A$504,0))),"Chưa phân loại"))</f>
        <v/>
      </c>
      <c r="L222" s="40" t="n"/>
      <c r="M222" s="48" t="str">
        <f>IF(OR($B222="",$D222=""),"",IF($AC222=0,0,IF(ISNUMBER(INDEX(CASHBACK_RULES!$L$5:$L$304,$AC222)),MAX(0,MIN($L222,INDEX(CASHBACK_RULES!$L$5:$L$304,$AC222)-$AH222)),MAX(0,$L222))))</f>
        <v/>
      </c>
      <c r="N222" s="49" t="str">
        <f>IF(OR($B222="",$D222=""),"",IF($AC222&gt;0,INDEX(CASHBACK_RULES!$I$5:$I$304,$AC222),0))</f>
        <v/>
      </c>
      <c r="O222" s="48" t="str">
        <f>IF(OR($B222="",$D222=""),"",ROUND($M222*$N222,0))</f>
        <v/>
      </c>
      <c r="P222" s="48" t="str">
        <f>IF($AC222&gt;0,IF(ISNUMBER(INDEX(CASHBACK_RULES!$J$5:$J$304,$AC222)),INDEX(CASHBACK_RULES!$J$5:$J$304,$AC222),"∞"),"")</f>
        <v/>
      </c>
      <c r="Q222" s="48" t="str">
        <f>IF(OR($B222="",$D222=""),"",IF($AC222=0,0,MAX(0,MIN($O222,IF(ISNUMBER($P222),$P222-$AF222,1E+15),IF(ISNUMBER($AA222),$AA222-$AG222,1E+15)))))</f>
        <v/>
      </c>
      <c r="R222" s="48" t="str">
        <f>IF(OR($B222="",$D222=""),"",IF($AC222=0,"",IF(AND(NOT(ISNUMBER($P222)),NOT(ISNUMBER($AA222))),"∞",MAX(0,MIN(IF(ISNUMBER($P222),$P222-$AF222-$Q222,1E+15),IF(ISNUMBER($AA222),$AA222-$AG222-$Q222,1E+15))))))</f>
        <v/>
      </c>
      <c r="S222" s="47" t="str">
        <f>IF($AD222="","",YEAR($AD222)*100+MONTH($AD222))</f>
        <v/>
      </c>
      <c r="T222" s="50" t="str">
        <f>IF($AD222="","",IFERROR(IF(INDEX(CARDS!$I$5:$I$34,MATCH($D222,CARDS!$A$5:$A$34,0))="","",IF(INDEX(CARDS!$I$5:$I$34,MATCH($D222,CARDS!$A$5:$A$34,0))&gt;INDEX(CARDS!$H$5:$H$34,MATCH($D222,CARDS!$A$5:$A$34,0)),DATE(YEAR($AD222),MONTH($AD222),MIN(INDEX(CARDS!$I$5:$I$34,MATCH($D222,CARDS!$A$5:$A$34,0)),DAY(EOMONTH($AD222,0)))),DATE(YEAR($AD222),MONTH($AD222)+1,MIN(INDEX(CARDS!$I$5:$I$34,MATCH($D222,CARDS!$A$5:$A$34,0)),DAY(EOMONTH($AD222,1)))))),""))</f>
        <v/>
      </c>
      <c r="U222" s="38" t="n"/>
      <c r="V222" s="37" t="n"/>
      <c r="W222" s="38" t="n"/>
      <c r="X222" s="38" t="n"/>
      <c r="Y222" s="44" t="str">
        <f>IF($AC222&gt;0,INDEX(CASHBACK_RULES!$A$5:$A$304,$AC222),"")</f>
        <v/>
      </c>
      <c r="Z222" s="45" t="str">
        <f>IF($AC222&gt;0,INDEX(CASHBACK_RULES!$E$5:$E$304,$AC222)&amp;"","")</f>
        <v/>
      </c>
      <c r="AA222" s="48" t="str">
        <f>IF($AC222&gt;0,IF(ISNUMBER(INDEX(CASHBACK_RULES!$K$5:$K$304,$AC222)),INDEX(CASHBACK_RULES!$K$5:$K$304,$AC222),"∞"),"")</f>
        <v/>
      </c>
      <c r="AB222" s="44" t="str">
        <f>IF(OR($B222="",$D222=""),"",IF($U222="Cancelled","Đã hủy",IF($AC222=0,"Không được hoàn",IF($Q222=0,IF(OR($O222&gt;0,$M222&lt;$L222),"Đã đạt cap","Không được hoàn"),IF(OR($Q222&lt;$O222,$M222&lt;$L222),"Hoàn một phần","Được hoàn")))))</f>
        <v/>
      </c>
      <c r="AC222" s="43">
        <f>IF(OR($B222="",$D222="",$I222="",$L222=""),0,IF($U222="Cancelled",0,IF($W222&lt;&gt;"",IFERROR(IF(INDEX(CASHBACK_RULES!$B$5:$B$304,MATCH($W222,CASHBACK_RULES!$A$5:$A$304,0))=$D222,MATCH($W222,CASHBACK_RULES!$A$5:$A$304,0),0),0),IFERROR(MATCH(1,INDEX((CASHBACK_RULES!$B$5:$B$304=$D222)*(CASHBACK_RULES!$G$5:$G$304=$I222)*(((CASHBACK_RULES!$N$5:$N$304="")+(CASHBACK_RULES!$N$5:$N$304&lt;=$B222))&gt;0)*(((CASHBACK_RULES!$O$5:$O$304="")+(CASHBACK_RULES!$O$5:$O$304&gt;=$B222))&gt;0)*(((CASHBACK_RULES!$M$5:$M$304="")+(CASHBACK_RULES!$M$5:$M$304&lt;=$L222))&gt;0),0),0),0))))</f>
        <v>0</v>
      </c>
      <c r="AD222" s="51" t="str">
        <f>IF(OR($B222="",$D222=""),"",IFERROR(IF(INDEX(CARDS!$H$5:$H$34,MATCH($D222,CARDS!$A$5:$A$34,0))="","",IF(DAY($B222)&lt;=INDEX(CARDS!$H$5:$H$34,MATCH($D222,CARDS!$A$5:$A$34,0)),DATE(YEAR($B222),MONTH($B222),MIN(INDEX(CARDS!$H$5:$H$34,MATCH($D222,CARDS!$A$5:$A$34,0)),DAY(EOMONTH($B222,0)))),DATE(YEAR($B222),MONTH($B222)+1,MIN(INDEX(CARDS!$H$5:$H$34,MATCH($D222,CARDS!$A$5:$A$34,0)),DAY(EOMONTH($B222,1)))))),""))</f>
        <v/>
      </c>
      <c r="AE222" s="52" t="str">
        <f>IF($C222="","",$C222&amp;"|"&amp;COUNTIF($C$5:$C222,$C222))</f>
        <v/>
      </c>
      <c r="AF222" s="53">
        <f>IF($AC222&gt;0,SUMIFS(Q$4:Q221,$D$4:$D221,$D222,$Z$4:$Z221,$Z222,$C$4:$C221,$C222),0)</f>
        <v>0</v>
      </c>
      <c r="AG222" s="53">
        <f>IF($AC222&gt;0,SUMIFS(Q$4:Q221,$D$4:$D221,$D222,$C$4:$C221,$C222),0)</f>
        <v>0</v>
      </c>
      <c r="AH222" s="53">
        <f>IF($AC222&gt;0,SUMIFS(M$4:M221,$D$4:$D221,$D222,$Z$4:$Z221,$Z222,$C$4:$C221,$C222),0)</f>
        <v>0</v>
      </c>
      <c r="AI222" s="43">
        <f>IF(OR($C222="",$I222=""),0,IF(COUNTIFS($C$5:$C222,$C222,$I$5:$I222,$I222)=1,1,0))</f>
        <v>0</v>
      </c>
      <c r="AJ222" s="43" t="str">
        <f>IF($AI222=1,SUMIFS($AI$4:$AI221,$C$4:$C221,$C222)+1,"")</f>
        <v/>
      </c>
      <c r="AK222" s="43">
        <f>IF(OR($C222="",$K222=""),0,IF(COUNTIFS($C$5:$C222,$C222,$K$5:$K222,$K222)=1,1,0))</f>
        <v>0</v>
      </c>
      <c r="AL222" s="43" t="str">
        <f>IF($AK222=1,SUMIFS($AK$4:$AK221,$C$4:$C221,$C222)+1,"")</f>
        <v/>
      </c>
      <c r="AM222" s="43">
        <f>IF(OR($C222="",$G222=""),0,IF(COUNTIFS($C$5:$C222,$C222,$G$5:$G222,$G222)=1,1,0))</f>
        <v>0</v>
      </c>
      <c r="AN222" s="43" t="str">
        <f>IF($AM222=1,SUMIFS($AM$4:$AM221,$C$4:$C221,$C222)+1,"")</f>
        <v/>
      </c>
    </row>
    <row r="223">
      <c r="A223" s="44" t="str">
        <f>IF(OR($B223="",$D223=""),"","TX"&amp;TEXT(ROW()-4,"0000"))</f>
        <v/>
      </c>
      <c r="B223" s="42" t="n"/>
      <c r="C223" s="47" t="str">
        <f>IF($B223="","",YEAR($B223)*100+MONTH($B223))</f>
        <v/>
      </c>
      <c r="D223" s="37" t="n"/>
      <c r="E223" s="45" t="str">
        <f>IF($D223="","",IFERROR(INDEX(CARDS!$B$5:$B$34,MATCH($D223,CARDS!$A$5:$A$34,0)),"⚠ Card ID?"))</f>
        <v/>
      </c>
      <c r="F223" s="45" t="str">
        <f>IF($D223="","",IFERROR(INDEX(CARDS!$C$5:$C$34,MATCH($D223,CARDS!$A$5:$A$34,0)),"⚠ Card ID?"))</f>
        <v/>
      </c>
      <c r="G223" s="37" t="n"/>
      <c r="H223" s="37" t="n"/>
      <c r="I223" s="41" t="n"/>
      <c r="J223" s="45" t="str">
        <f>IF($I223="","",IFERROR(INDEX(MCC_MASTER!$B$5:$B$504,MATCH($I223,MCC_MASTER!$A$5:$A$504,0)),"⚠ MCC chưa có"))</f>
        <v/>
      </c>
      <c r="K223" s="45" t="str">
        <f>IF($I223="","",IFERROR(IF(INDEX(MCC_MASTER!$C$5:$C$504,MATCH($I223,MCC_MASTER!$A$5:$A$504,0))="","Chưa phân loại",INDEX(MCC_MASTER!$C$5:$C$504,MATCH($I223,MCC_MASTER!$A$5:$A$504,0))),"Chưa phân loại"))</f>
        <v/>
      </c>
      <c r="L223" s="40" t="n"/>
      <c r="M223" s="48" t="str">
        <f>IF(OR($B223="",$D223=""),"",IF($AC223=0,0,IF(ISNUMBER(INDEX(CASHBACK_RULES!$L$5:$L$304,$AC223)),MAX(0,MIN($L223,INDEX(CASHBACK_RULES!$L$5:$L$304,$AC223)-$AH223)),MAX(0,$L223))))</f>
        <v/>
      </c>
      <c r="N223" s="49" t="str">
        <f>IF(OR($B223="",$D223=""),"",IF($AC223&gt;0,INDEX(CASHBACK_RULES!$I$5:$I$304,$AC223),0))</f>
        <v/>
      </c>
      <c r="O223" s="48" t="str">
        <f>IF(OR($B223="",$D223=""),"",ROUND($M223*$N223,0))</f>
        <v/>
      </c>
      <c r="P223" s="48" t="str">
        <f>IF($AC223&gt;0,IF(ISNUMBER(INDEX(CASHBACK_RULES!$J$5:$J$304,$AC223)),INDEX(CASHBACK_RULES!$J$5:$J$304,$AC223),"∞"),"")</f>
        <v/>
      </c>
      <c r="Q223" s="48" t="str">
        <f>IF(OR($B223="",$D223=""),"",IF($AC223=0,0,MAX(0,MIN($O223,IF(ISNUMBER($P223),$P223-$AF223,1E+15),IF(ISNUMBER($AA223),$AA223-$AG223,1E+15)))))</f>
        <v/>
      </c>
      <c r="R223" s="48" t="str">
        <f>IF(OR($B223="",$D223=""),"",IF($AC223=0,"",IF(AND(NOT(ISNUMBER($P223)),NOT(ISNUMBER($AA223))),"∞",MAX(0,MIN(IF(ISNUMBER($P223),$P223-$AF223-$Q223,1E+15),IF(ISNUMBER($AA223),$AA223-$AG223-$Q223,1E+15))))))</f>
        <v/>
      </c>
      <c r="S223" s="47" t="str">
        <f>IF($AD223="","",YEAR($AD223)*100+MONTH($AD223))</f>
        <v/>
      </c>
      <c r="T223" s="50" t="str">
        <f>IF($AD223="","",IFERROR(IF(INDEX(CARDS!$I$5:$I$34,MATCH($D223,CARDS!$A$5:$A$34,0))="","",IF(INDEX(CARDS!$I$5:$I$34,MATCH($D223,CARDS!$A$5:$A$34,0))&gt;INDEX(CARDS!$H$5:$H$34,MATCH($D223,CARDS!$A$5:$A$34,0)),DATE(YEAR($AD223),MONTH($AD223),MIN(INDEX(CARDS!$I$5:$I$34,MATCH($D223,CARDS!$A$5:$A$34,0)),DAY(EOMONTH($AD223,0)))),DATE(YEAR($AD223),MONTH($AD223)+1,MIN(INDEX(CARDS!$I$5:$I$34,MATCH($D223,CARDS!$A$5:$A$34,0)),DAY(EOMONTH($AD223,1)))))),""))</f>
        <v/>
      </c>
      <c r="U223" s="38" t="n"/>
      <c r="V223" s="37" t="n"/>
      <c r="W223" s="38" t="n"/>
      <c r="X223" s="38" t="n"/>
      <c r="Y223" s="44" t="str">
        <f>IF($AC223&gt;0,INDEX(CASHBACK_RULES!$A$5:$A$304,$AC223),"")</f>
        <v/>
      </c>
      <c r="Z223" s="45" t="str">
        <f>IF($AC223&gt;0,INDEX(CASHBACK_RULES!$E$5:$E$304,$AC223)&amp;"","")</f>
        <v/>
      </c>
      <c r="AA223" s="48" t="str">
        <f>IF($AC223&gt;0,IF(ISNUMBER(INDEX(CASHBACK_RULES!$K$5:$K$304,$AC223)),INDEX(CASHBACK_RULES!$K$5:$K$304,$AC223),"∞"),"")</f>
        <v/>
      </c>
      <c r="AB223" s="44" t="str">
        <f>IF(OR($B223="",$D223=""),"",IF($U223="Cancelled","Đã hủy",IF($AC223=0,"Không được hoàn",IF($Q223=0,IF(OR($O223&gt;0,$M223&lt;$L223),"Đã đạt cap","Không được hoàn"),IF(OR($Q223&lt;$O223,$M223&lt;$L223),"Hoàn một phần","Được hoàn")))))</f>
        <v/>
      </c>
      <c r="AC223" s="43">
        <f>IF(OR($B223="",$D223="",$I223="",$L223=""),0,IF($U223="Cancelled",0,IF($W223&lt;&gt;"",IFERROR(IF(INDEX(CASHBACK_RULES!$B$5:$B$304,MATCH($W223,CASHBACK_RULES!$A$5:$A$304,0))=$D223,MATCH($W223,CASHBACK_RULES!$A$5:$A$304,0),0),0),IFERROR(MATCH(1,INDEX((CASHBACK_RULES!$B$5:$B$304=$D223)*(CASHBACK_RULES!$G$5:$G$304=$I223)*(((CASHBACK_RULES!$N$5:$N$304="")+(CASHBACK_RULES!$N$5:$N$304&lt;=$B223))&gt;0)*(((CASHBACK_RULES!$O$5:$O$304="")+(CASHBACK_RULES!$O$5:$O$304&gt;=$B223))&gt;0)*(((CASHBACK_RULES!$M$5:$M$304="")+(CASHBACK_RULES!$M$5:$M$304&lt;=$L223))&gt;0),0),0),0))))</f>
        <v>0</v>
      </c>
      <c r="AD223" s="51" t="str">
        <f>IF(OR($B223="",$D223=""),"",IFERROR(IF(INDEX(CARDS!$H$5:$H$34,MATCH($D223,CARDS!$A$5:$A$34,0))="","",IF(DAY($B223)&lt;=INDEX(CARDS!$H$5:$H$34,MATCH($D223,CARDS!$A$5:$A$34,0)),DATE(YEAR($B223),MONTH($B223),MIN(INDEX(CARDS!$H$5:$H$34,MATCH($D223,CARDS!$A$5:$A$34,0)),DAY(EOMONTH($B223,0)))),DATE(YEAR($B223),MONTH($B223)+1,MIN(INDEX(CARDS!$H$5:$H$34,MATCH($D223,CARDS!$A$5:$A$34,0)),DAY(EOMONTH($B223,1)))))),""))</f>
        <v/>
      </c>
      <c r="AE223" s="52" t="str">
        <f>IF($C223="","",$C223&amp;"|"&amp;COUNTIF($C$5:$C223,$C223))</f>
        <v/>
      </c>
      <c r="AF223" s="53">
        <f>IF($AC223&gt;0,SUMIFS(Q$4:Q222,$D$4:$D222,$D223,$Z$4:$Z222,$Z223,$C$4:$C222,$C223),0)</f>
        <v>0</v>
      </c>
      <c r="AG223" s="53">
        <f>IF($AC223&gt;0,SUMIFS(Q$4:Q222,$D$4:$D222,$D223,$C$4:$C222,$C223),0)</f>
        <v>0</v>
      </c>
      <c r="AH223" s="53">
        <f>IF($AC223&gt;0,SUMIFS(M$4:M222,$D$4:$D222,$D223,$Z$4:$Z222,$Z223,$C$4:$C222,$C223),0)</f>
        <v>0</v>
      </c>
      <c r="AI223" s="43">
        <f>IF(OR($C223="",$I223=""),0,IF(COUNTIFS($C$5:$C223,$C223,$I$5:$I223,$I223)=1,1,0))</f>
        <v>0</v>
      </c>
      <c r="AJ223" s="43" t="str">
        <f>IF($AI223=1,SUMIFS($AI$4:$AI222,$C$4:$C222,$C223)+1,"")</f>
        <v/>
      </c>
      <c r="AK223" s="43">
        <f>IF(OR($C223="",$K223=""),0,IF(COUNTIFS($C$5:$C223,$C223,$K$5:$K223,$K223)=1,1,0))</f>
        <v>0</v>
      </c>
      <c r="AL223" s="43" t="str">
        <f>IF($AK223=1,SUMIFS($AK$4:$AK222,$C$4:$C222,$C223)+1,"")</f>
        <v/>
      </c>
      <c r="AM223" s="43">
        <f>IF(OR($C223="",$G223=""),0,IF(COUNTIFS($C$5:$C223,$C223,$G$5:$G223,$G223)=1,1,0))</f>
        <v>0</v>
      </c>
      <c r="AN223" s="43" t="str">
        <f>IF($AM223=1,SUMIFS($AM$4:$AM222,$C$4:$C222,$C223)+1,"")</f>
        <v/>
      </c>
    </row>
    <row r="224">
      <c r="A224" s="44" t="str">
        <f>IF(OR($B224="",$D224=""),"","TX"&amp;TEXT(ROW()-4,"0000"))</f>
        <v/>
      </c>
      <c r="B224" s="42" t="n"/>
      <c r="C224" s="47" t="str">
        <f>IF($B224="","",YEAR($B224)*100+MONTH($B224))</f>
        <v/>
      </c>
      <c r="D224" s="37" t="n"/>
      <c r="E224" s="45" t="str">
        <f>IF($D224="","",IFERROR(INDEX(CARDS!$B$5:$B$34,MATCH($D224,CARDS!$A$5:$A$34,0)),"⚠ Card ID?"))</f>
        <v/>
      </c>
      <c r="F224" s="45" t="str">
        <f>IF($D224="","",IFERROR(INDEX(CARDS!$C$5:$C$34,MATCH($D224,CARDS!$A$5:$A$34,0)),"⚠ Card ID?"))</f>
        <v/>
      </c>
      <c r="G224" s="37" t="n"/>
      <c r="H224" s="37" t="n"/>
      <c r="I224" s="41" t="n"/>
      <c r="J224" s="45" t="str">
        <f>IF($I224="","",IFERROR(INDEX(MCC_MASTER!$B$5:$B$504,MATCH($I224,MCC_MASTER!$A$5:$A$504,0)),"⚠ MCC chưa có"))</f>
        <v/>
      </c>
      <c r="K224" s="45" t="str">
        <f>IF($I224="","",IFERROR(IF(INDEX(MCC_MASTER!$C$5:$C$504,MATCH($I224,MCC_MASTER!$A$5:$A$504,0))="","Chưa phân loại",INDEX(MCC_MASTER!$C$5:$C$504,MATCH($I224,MCC_MASTER!$A$5:$A$504,0))),"Chưa phân loại"))</f>
        <v/>
      </c>
      <c r="L224" s="40" t="n"/>
      <c r="M224" s="48" t="str">
        <f>IF(OR($B224="",$D224=""),"",IF($AC224=0,0,IF(ISNUMBER(INDEX(CASHBACK_RULES!$L$5:$L$304,$AC224)),MAX(0,MIN($L224,INDEX(CASHBACK_RULES!$L$5:$L$304,$AC224)-$AH224)),MAX(0,$L224))))</f>
        <v/>
      </c>
      <c r="N224" s="49" t="str">
        <f>IF(OR($B224="",$D224=""),"",IF($AC224&gt;0,INDEX(CASHBACK_RULES!$I$5:$I$304,$AC224),0))</f>
        <v/>
      </c>
      <c r="O224" s="48" t="str">
        <f>IF(OR($B224="",$D224=""),"",ROUND($M224*$N224,0))</f>
        <v/>
      </c>
      <c r="P224" s="48" t="str">
        <f>IF($AC224&gt;0,IF(ISNUMBER(INDEX(CASHBACK_RULES!$J$5:$J$304,$AC224)),INDEX(CASHBACK_RULES!$J$5:$J$304,$AC224),"∞"),"")</f>
        <v/>
      </c>
      <c r="Q224" s="48" t="str">
        <f>IF(OR($B224="",$D224=""),"",IF($AC224=0,0,MAX(0,MIN($O224,IF(ISNUMBER($P224),$P224-$AF224,1E+15),IF(ISNUMBER($AA224),$AA224-$AG224,1E+15)))))</f>
        <v/>
      </c>
      <c r="R224" s="48" t="str">
        <f>IF(OR($B224="",$D224=""),"",IF($AC224=0,"",IF(AND(NOT(ISNUMBER($P224)),NOT(ISNUMBER($AA224))),"∞",MAX(0,MIN(IF(ISNUMBER($P224),$P224-$AF224-$Q224,1E+15),IF(ISNUMBER($AA224),$AA224-$AG224-$Q224,1E+15))))))</f>
        <v/>
      </c>
      <c r="S224" s="47" t="str">
        <f>IF($AD224="","",YEAR($AD224)*100+MONTH($AD224))</f>
        <v/>
      </c>
      <c r="T224" s="50" t="str">
        <f>IF($AD224="","",IFERROR(IF(INDEX(CARDS!$I$5:$I$34,MATCH($D224,CARDS!$A$5:$A$34,0))="","",IF(INDEX(CARDS!$I$5:$I$34,MATCH($D224,CARDS!$A$5:$A$34,0))&gt;INDEX(CARDS!$H$5:$H$34,MATCH($D224,CARDS!$A$5:$A$34,0)),DATE(YEAR($AD224),MONTH($AD224),MIN(INDEX(CARDS!$I$5:$I$34,MATCH($D224,CARDS!$A$5:$A$34,0)),DAY(EOMONTH($AD224,0)))),DATE(YEAR($AD224),MONTH($AD224)+1,MIN(INDEX(CARDS!$I$5:$I$34,MATCH($D224,CARDS!$A$5:$A$34,0)),DAY(EOMONTH($AD224,1)))))),""))</f>
        <v/>
      </c>
      <c r="U224" s="38" t="n"/>
      <c r="V224" s="37" t="n"/>
      <c r="W224" s="38" t="n"/>
      <c r="X224" s="38" t="n"/>
      <c r="Y224" s="44" t="str">
        <f>IF($AC224&gt;0,INDEX(CASHBACK_RULES!$A$5:$A$304,$AC224),"")</f>
        <v/>
      </c>
      <c r="Z224" s="45" t="str">
        <f>IF($AC224&gt;0,INDEX(CASHBACK_RULES!$E$5:$E$304,$AC224)&amp;"","")</f>
        <v/>
      </c>
      <c r="AA224" s="48" t="str">
        <f>IF($AC224&gt;0,IF(ISNUMBER(INDEX(CASHBACK_RULES!$K$5:$K$304,$AC224)),INDEX(CASHBACK_RULES!$K$5:$K$304,$AC224),"∞"),"")</f>
        <v/>
      </c>
      <c r="AB224" s="44" t="str">
        <f>IF(OR($B224="",$D224=""),"",IF($U224="Cancelled","Đã hủy",IF($AC224=0,"Không được hoàn",IF($Q224=0,IF(OR($O224&gt;0,$M224&lt;$L224),"Đã đạt cap","Không được hoàn"),IF(OR($Q224&lt;$O224,$M224&lt;$L224),"Hoàn một phần","Được hoàn")))))</f>
        <v/>
      </c>
      <c r="AC224" s="43">
        <f>IF(OR($B224="",$D224="",$I224="",$L224=""),0,IF($U224="Cancelled",0,IF($W224&lt;&gt;"",IFERROR(IF(INDEX(CASHBACK_RULES!$B$5:$B$304,MATCH($W224,CASHBACK_RULES!$A$5:$A$304,0))=$D224,MATCH($W224,CASHBACK_RULES!$A$5:$A$304,0),0),0),IFERROR(MATCH(1,INDEX((CASHBACK_RULES!$B$5:$B$304=$D224)*(CASHBACK_RULES!$G$5:$G$304=$I224)*(((CASHBACK_RULES!$N$5:$N$304="")+(CASHBACK_RULES!$N$5:$N$304&lt;=$B224))&gt;0)*(((CASHBACK_RULES!$O$5:$O$304="")+(CASHBACK_RULES!$O$5:$O$304&gt;=$B224))&gt;0)*(((CASHBACK_RULES!$M$5:$M$304="")+(CASHBACK_RULES!$M$5:$M$304&lt;=$L224))&gt;0),0),0),0))))</f>
        <v>0</v>
      </c>
      <c r="AD224" s="51" t="str">
        <f>IF(OR($B224="",$D224=""),"",IFERROR(IF(INDEX(CARDS!$H$5:$H$34,MATCH($D224,CARDS!$A$5:$A$34,0))="","",IF(DAY($B224)&lt;=INDEX(CARDS!$H$5:$H$34,MATCH($D224,CARDS!$A$5:$A$34,0)),DATE(YEAR($B224),MONTH($B224),MIN(INDEX(CARDS!$H$5:$H$34,MATCH($D224,CARDS!$A$5:$A$34,0)),DAY(EOMONTH($B224,0)))),DATE(YEAR($B224),MONTH($B224)+1,MIN(INDEX(CARDS!$H$5:$H$34,MATCH($D224,CARDS!$A$5:$A$34,0)),DAY(EOMONTH($B224,1)))))),""))</f>
        <v/>
      </c>
      <c r="AE224" s="52" t="str">
        <f>IF($C224="","",$C224&amp;"|"&amp;COUNTIF($C$5:$C224,$C224))</f>
        <v/>
      </c>
      <c r="AF224" s="53">
        <f>IF($AC224&gt;0,SUMIFS(Q$4:Q223,$D$4:$D223,$D224,$Z$4:$Z223,$Z224,$C$4:$C223,$C224),0)</f>
        <v>0</v>
      </c>
      <c r="AG224" s="53">
        <f>IF($AC224&gt;0,SUMIFS(Q$4:Q223,$D$4:$D223,$D224,$C$4:$C223,$C224),0)</f>
        <v>0</v>
      </c>
      <c r="AH224" s="53">
        <f>IF($AC224&gt;0,SUMIFS(M$4:M223,$D$4:$D223,$D224,$Z$4:$Z223,$Z224,$C$4:$C223,$C224),0)</f>
        <v>0</v>
      </c>
      <c r="AI224" s="43">
        <f>IF(OR($C224="",$I224=""),0,IF(COUNTIFS($C$5:$C224,$C224,$I$5:$I224,$I224)=1,1,0))</f>
        <v>0</v>
      </c>
      <c r="AJ224" s="43" t="str">
        <f>IF($AI224=1,SUMIFS($AI$4:$AI223,$C$4:$C223,$C224)+1,"")</f>
        <v/>
      </c>
      <c r="AK224" s="43">
        <f>IF(OR($C224="",$K224=""),0,IF(COUNTIFS($C$5:$C224,$C224,$K$5:$K224,$K224)=1,1,0))</f>
        <v>0</v>
      </c>
      <c r="AL224" s="43" t="str">
        <f>IF($AK224=1,SUMIFS($AK$4:$AK223,$C$4:$C223,$C224)+1,"")</f>
        <v/>
      </c>
      <c r="AM224" s="43">
        <f>IF(OR($C224="",$G224=""),0,IF(COUNTIFS($C$5:$C224,$C224,$G$5:$G224,$G224)=1,1,0))</f>
        <v>0</v>
      </c>
      <c r="AN224" s="43" t="str">
        <f>IF($AM224=1,SUMIFS($AM$4:$AM223,$C$4:$C223,$C224)+1,"")</f>
        <v/>
      </c>
    </row>
    <row r="225">
      <c r="A225" s="44" t="str">
        <f>IF(OR($B225="",$D225=""),"","TX"&amp;TEXT(ROW()-4,"0000"))</f>
        <v/>
      </c>
      <c r="B225" s="42" t="n"/>
      <c r="C225" s="47" t="str">
        <f>IF($B225="","",YEAR($B225)*100+MONTH($B225))</f>
        <v/>
      </c>
      <c r="D225" s="37" t="n"/>
      <c r="E225" s="45" t="str">
        <f>IF($D225="","",IFERROR(INDEX(CARDS!$B$5:$B$34,MATCH($D225,CARDS!$A$5:$A$34,0)),"⚠ Card ID?"))</f>
        <v/>
      </c>
      <c r="F225" s="45" t="str">
        <f>IF($D225="","",IFERROR(INDEX(CARDS!$C$5:$C$34,MATCH($D225,CARDS!$A$5:$A$34,0)),"⚠ Card ID?"))</f>
        <v/>
      </c>
      <c r="G225" s="37" t="n"/>
      <c r="H225" s="37" t="n"/>
      <c r="I225" s="41" t="n"/>
      <c r="J225" s="45" t="str">
        <f>IF($I225="","",IFERROR(INDEX(MCC_MASTER!$B$5:$B$504,MATCH($I225,MCC_MASTER!$A$5:$A$504,0)),"⚠ MCC chưa có"))</f>
        <v/>
      </c>
      <c r="K225" s="45" t="str">
        <f>IF($I225="","",IFERROR(IF(INDEX(MCC_MASTER!$C$5:$C$504,MATCH($I225,MCC_MASTER!$A$5:$A$504,0))="","Chưa phân loại",INDEX(MCC_MASTER!$C$5:$C$504,MATCH($I225,MCC_MASTER!$A$5:$A$504,0))),"Chưa phân loại"))</f>
        <v/>
      </c>
      <c r="L225" s="40" t="n"/>
      <c r="M225" s="48" t="str">
        <f>IF(OR($B225="",$D225=""),"",IF($AC225=0,0,IF(ISNUMBER(INDEX(CASHBACK_RULES!$L$5:$L$304,$AC225)),MAX(0,MIN($L225,INDEX(CASHBACK_RULES!$L$5:$L$304,$AC225)-$AH225)),MAX(0,$L225))))</f>
        <v/>
      </c>
      <c r="N225" s="49" t="str">
        <f>IF(OR($B225="",$D225=""),"",IF($AC225&gt;0,INDEX(CASHBACK_RULES!$I$5:$I$304,$AC225),0))</f>
        <v/>
      </c>
      <c r="O225" s="48" t="str">
        <f>IF(OR($B225="",$D225=""),"",ROUND($M225*$N225,0))</f>
        <v/>
      </c>
      <c r="P225" s="48" t="str">
        <f>IF($AC225&gt;0,IF(ISNUMBER(INDEX(CASHBACK_RULES!$J$5:$J$304,$AC225)),INDEX(CASHBACK_RULES!$J$5:$J$304,$AC225),"∞"),"")</f>
        <v/>
      </c>
      <c r="Q225" s="48" t="str">
        <f>IF(OR($B225="",$D225=""),"",IF($AC225=0,0,MAX(0,MIN($O225,IF(ISNUMBER($P225),$P225-$AF225,1E+15),IF(ISNUMBER($AA225),$AA225-$AG225,1E+15)))))</f>
        <v/>
      </c>
      <c r="R225" s="48" t="str">
        <f>IF(OR($B225="",$D225=""),"",IF($AC225=0,"",IF(AND(NOT(ISNUMBER($P225)),NOT(ISNUMBER($AA225))),"∞",MAX(0,MIN(IF(ISNUMBER($P225),$P225-$AF225-$Q225,1E+15),IF(ISNUMBER($AA225),$AA225-$AG225-$Q225,1E+15))))))</f>
        <v/>
      </c>
      <c r="S225" s="47" t="str">
        <f>IF($AD225="","",YEAR($AD225)*100+MONTH($AD225))</f>
        <v/>
      </c>
      <c r="T225" s="50" t="str">
        <f>IF($AD225="","",IFERROR(IF(INDEX(CARDS!$I$5:$I$34,MATCH($D225,CARDS!$A$5:$A$34,0))="","",IF(INDEX(CARDS!$I$5:$I$34,MATCH($D225,CARDS!$A$5:$A$34,0))&gt;INDEX(CARDS!$H$5:$H$34,MATCH($D225,CARDS!$A$5:$A$34,0)),DATE(YEAR($AD225),MONTH($AD225),MIN(INDEX(CARDS!$I$5:$I$34,MATCH($D225,CARDS!$A$5:$A$34,0)),DAY(EOMONTH($AD225,0)))),DATE(YEAR($AD225),MONTH($AD225)+1,MIN(INDEX(CARDS!$I$5:$I$34,MATCH($D225,CARDS!$A$5:$A$34,0)),DAY(EOMONTH($AD225,1)))))),""))</f>
        <v/>
      </c>
      <c r="U225" s="38" t="n"/>
      <c r="V225" s="37" t="n"/>
      <c r="W225" s="38" t="n"/>
      <c r="X225" s="38" t="n"/>
      <c r="Y225" s="44" t="str">
        <f>IF($AC225&gt;0,INDEX(CASHBACK_RULES!$A$5:$A$304,$AC225),"")</f>
        <v/>
      </c>
      <c r="Z225" s="45" t="str">
        <f>IF($AC225&gt;0,INDEX(CASHBACK_RULES!$E$5:$E$304,$AC225)&amp;"","")</f>
        <v/>
      </c>
      <c r="AA225" s="48" t="str">
        <f>IF($AC225&gt;0,IF(ISNUMBER(INDEX(CASHBACK_RULES!$K$5:$K$304,$AC225)),INDEX(CASHBACK_RULES!$K$5:$K$304,$AC225),"∞"),"")</f>
        <v/>
      </c>
      <c r="AB225" s="44" t="str">
        <f>IF(OR($B225="",$D225=""),"",IF($U225="Cancelled","Đã hủy",IF($AC225=0,"Không được hoàn",IF($Q225=0,IF(OR($O225&gt;0,$M225&lt;$L225),"Đã đạt cap","Không được hoàn"),IF(OR($Q225&lt;$O225,$M225&lt;$L225),"Hoàn một phần","Được hoàn")))))</f>
        <v/>
      </c>
      <c r="AC225" s="43">
        <f>IF(OR($B225="",$D225="",$I225="",$L225=""),0,IF($U225="Cancelled",0,IF($W225&lt;&gt;"",IFERROR(IF(INDEX(CASHBACK_RULES!$B$5:$B$304,MATCH($W225,CASHBACK_RULES!$A$5:$A$304,0))=$D225,MATCH($W225,CASHBACK_RULES!$A$5:$A$304,0),0),0),IFERROR(MATCH(1,INDEX((CASHBACK_RULES!$B$5:$B$304=$D225)*(CASHBACK_RULES!$G$5:$G$304=$I225)*(((CASHBACK_RULES!$N$5:$N$304="")+(CASHBACK_RULES!$N$5:$N$304&lt;=$B225))&gt;0)*(((CASHBACK_RULES!$O$5:$O$304="")+(CASHBACK_RULES!$O$5:$O$304&gt;=$B225))&gt;0)*(((CASHBACK_RULES!$M$5:$M$304="")+(CASHBACK_RULES!$M$5:$M$304&lt;=$L225))&gt;0),0),0),0))))</f>
        <v>0</v>
      </c>
      <c r="AD225" s="51" t="str">
        <f>IF(OR($B225="",$D225=""),"",IFERROR(IF(INDEX(CARDS!$H$5:$H$34,MATCH($D225,CARDS!$A$5:$A$34,0))="","",IF(DAY($B225)&lt;=INDEX(CARDS!$H$5:$H$34,MATCH($D225,CARDS!$A$5:$A$34,0)),DATE(YEAR($B225),MONTH($B225),MIN(INDEX(CARDS!$H$5:$H$34,MATCH($D225,CARDS!$A$5:$A$34,0)),DAY(EOMONTH($B225,0)))),DATE(YEAR($B225),MONTH($B225)+1,MIN(INDEX(CARDS!$H$5:$H$34,MATCH($D225,CARDS!$A$5:$A$34,0)),DAY(EOMONTH($B225,1)))))),""))</f>
        <v/>
      </c>
      <c r="AE225" s="52" t="str">
        <f>IF($C225="","",$C225&amp;"|"&amp;COUNTIF($C$5:$C225,$C225))</f>
        <v/>
      </c>
      <c r="AF225" s="53">
        <f>IF($AC225&gt;0,SUMIFS(Q$4:Q224,$D$4:$D224,$D225,$Z$4:$Z224,$Z225,$C$4:$C224,$C225),0)</f>
        <v>0</v>
      </c>
      <c r="AG225" s="53">
        <f>IF($AC225&gt;0,SUMIFS(Q$4:Q224,$D$4:$D224,$D225,$C$4:$C224,$C225),0)</f>
        <v>0</v>
      </c>
      <c r="AH225" s="53">
        <f>IF($AC225&gt;0,SUMIFS(M$4:M224,$D$4:$D224,$D225,$Z$4:$Z224,$Z225,$C$4:$C224,$C225),0)</f>
        <v>0</v>
      </c>
      <c r="AI225" s="43">
        <f>IF(OR($C225="",$I225=""),0,IF(COUNTIFS($C$5:$C225,$C225,$I$5:$I225,$I225)=1,1,0))</f>
        <v>0</v>
      </c>
      <c r="AJ225" s="43" t="str">
        <f>IF($AI225=1,SUMIFS($AI$4:$AI224,$C$4:$C224,$C225)+1,"")</f>
        <v/>
      </c>
      <c r="AK225" s="43">
        <f>IF(OR($C225="",$K225=""),0,IF(COUNTIFS($C$5:$C225,$C225,$K$5:$K225,$K225)=1,1,0))</f>
        <v>0</v>
      </c>
      <c r="AL225" s="43" t="str">
        <f>IF($AK225=1,SUMIFS($AK$4:$AK224,$C$4:$C224,$C225)+1,"")</f>
        <v/>
      </c>
      <c r="AM225" s="43">
        <f>IF(OR($C225="",$G225=""),0,IF(COUNTIFS($C$5:$C225,$C225,$G$5:$G225,$G225)=1,1,0))</f>
        <v>0</v>
      </c>
      <c r="AN225" s="43" t="str">
        <f>IF($AM225=1,SUMIFS($AM$4:$AM224,$C$4:$C224,$C225)+1,"")</f>
        <v/>
      </c>
    </row>
    <row r="226">
      <c r="A226" s="44" t="str">
        <f>IF(OR($B226="",$D226=""),"","TX"&amp;TEXT(ROW()-4,"0000"))</f>
        <v/>
      </c>
      <c r="B226" s="42" t="n"/>
      <c r="C226" s="47" t="str">
        <f>IF($B226="","",YEAR($B226)*100+MONTH($B226))</f>
        <v/>
      </c>
      <c r="D226" s="37" t="n"/>
      <c r="E226" s="45" t="str">
        <f>IF($D226="","",IFERROR(INDEX(CARDS!$B$5:$B$34,MATCH($D226,CARDS!$A$5:$A$34,0)),"⚠ Card ID?"))</f>
        <v/>
      </c>
      <c r="F226" s="45" t="str">
        <f>IF($D226="","",IFERROR(INDEX(CARDS!$C$5:$C$34,MATCH($D226,CARDS!$A$5:$A$34,0)),"⚠ Card ID?"))</f>
        <v/>
      </c>
      <c r="G226" s="37" t="n"/>
      <c r="H226" s="37" t="n"/>
      <c r="I226" s="41" t="n"/>
      <c r="J226" s="45" t="str">
        <f>IF($I226="","",IFERROR(INDEX(MCC_MASTER!$B$5:$B$504,MATCH($I226,MCC_MASTER!$A$5:$A$504,0)),"⚠ MCC chưa có"))</f>
        <v/>
      </c>
      <c r="K226" s="45" t="str">
        <f>IF($I226="","",IFERROR(IF(INDEX(MCC_MASTER!$C$5:$C$504,MATCH($I226,MCC_MASTER!$A$5:$A$504,0))="","Chưa phân loại",INDEX(MCC_MASTER!$C$5:$C$504,MATCH($I226,MCC_MASTER!$A$5:$A$504,0))),"Chưa phân loại"))</f>
        <v/>
      </c>
      <c r="L226" s="40" t="n"/>
      <c r="M226" s="48" t="str">
        <f>IF(OR($B226="",$D226=""),"",IF($AC226=0,0,IF(ISNUMBER(INDEX(CASHBACK_RULES!$L$5:$L$304,$AC226)),MAX(0,MIN($L226,INDEX(CASHBACK_RULES!$L$5:$L$304,$AC226)-$AH226)),MAX(0,$L226))))</f>
        <v/>
      </c>
      <c r="N226" s="49" t="str">
        <f>IF(OR($B226="",$D226=""),"",IF($AC226&gt;0,INDEX(CASHBACK_RULES!$I$5:$I$304,$AC226),0))</f>
        <v/>
      </c>
      <c r="O226" s="48" t="str">
        <f>IF(OR($B226="",$D226=""),"",ROUND($M226*$N226,0))</f>
        <v/>
      </c>
      <c r="P226" s="48" t="str">
        <f>IF($AC226&gt;0,IF(ISNUMBER(INDEX(CASHBACK_RULES!$J$5:$J$304,$AC226)),INDEX(CASHBACK_RULES!$J$5:$J$304,$AC226),"∞"),"")</f>
        <v/>
      </c>
      <c r="Q226" s="48" t="str">
        <f>IF(OR($B226="",$D226=""),"",IF($AC226=0,0,MAX(0,MIN($O226,IF(ISNUMBER($P226),$P226-$AF226,1E+15),IF(ISNUMBER($AA226),$AA226-$AG226,1E+15)))))</f>
        <v/>
      </c>
      <c r="R226" s="48" t="str">
        <f>IF(OR($B226="",$D226=""),"",IF($AC226=0,"",IF(AND(NOT(ISNUMBER($P226)),NOT(ISNUMBER($AA226))),"∞",MAX(0,MIN(IF(ISNUMBER($P226),$P226-$AF226-$Q226,1E+15),IF(ISNUMBER($AA226),$AA226-$AG226-$Q226,1E+15))))))</f>
        <v/>
      </c>
      <c r="S226" s="47" t="str">
        <f>IF($AD226="","",YEAR($AD226)*100+MONTH($AD226))</f>
        <v/>
      </c>
      <c r="T226" s="50" t="str">
        <f>IF($AD226="","",IFERROR(IF(INDEX(CARDS!$I$5:$I$34,MATCH($D226,CARDS!$A$5:$A$34,0))="","",IF(INDEX(CARDS!$I$5:$I$34,MATCH($D226,CARDS!$A$5:$A$34,0))&gt;INDEX(CARDS!$H$5:$H$34,MATCH($D226,CARDS!$A$5:$A$34,0)),DATE(YEAR($AD226),MONTH($AD226),MIN(INDEX(CARDS!$I$5:$I$34,MATCH($D226,CARDS!$A$5:$A$34,0)),DAY(EOMONTH($AD226,0)))),DATE(YEAR($AD226),MONTH($AD226)+1,MIN(INDEX(CARDS!$I$5:$I$34,MATCH($D226,CARDS!$A$5:$A$34,0)),DAY(EOMONTH($AD226,1)))))),""))</f>
        <v/>
      </c>
      <c r="U226" s="38" t="n"/>
      <c r="V226" s="37" t="n"/>
      <c r="W226" s="38" t="n"/>
      <c r="X226" s="38" t="n"/>
      <c r="Y226" s="44" t="str">
        <f>IF($AC226&gt;0,INDEX(CASHBACK_RULES!$A$5:$A$304,$AC226),"")</f>
        <v/>
      </c>
      <c r="Z226" s="45" t="str">
        <f>IF($AC226&gt;0,INDEX(CASHBACK_RULES!$E$5:$E$304,$AC226)&amp;"","")</f>
        <v/>
      </c>
      <c r="AA226" s="48" t="str">
        <f>IF($AC226&gt;0,IF(ISNUMBER(INDEX(CASHBACK_RULES!$K$5:$K$304,$AC226)),INDEX(CASHBACK_RULES!$K$5:$K$304,$AC226),"∞"),"")</f>
        <v/>
      </c>
      <c r="AB226" s="44" t="str">
        <f>IF(OR($B226="",$D226=""),"",IF($U226="Cancelled","Đã hủy",IF($AC226=0,"Không được hoàn",IF($Q226=0,IF(OR($O226&gt;0,$M226&lt;$L226),"Đã đạt cap","Không được hoàn"),IF(OR($Q226&lt;$O226,$M226&lt;$L226),"Hoàn một phần","Được hoàn")))))</f>
        <v/>
      </c>
      <c r="AC226" s="43">
        <f>IF(OR($B226="",$D226="",$I226="",$L226=""),0,IF($U226="Cancelled",0,IF($W226&lt;&gt;"",IFERROR(IF(INDEX(CASHBACK_RULES!$B$5:$B$304,MATCH($W226,CASHBACK_RULES!$A$5:$A$304,0))=$D226,MATCH($W226,CASHBACK_RULES!$A$5:$A$304,0),0),0),IFERROR(MATCH(1,INDEX((CASHBACK_RULES!$B$5:$B$304=$D226)*(CASHBACK_RULES!$G$5:$G$304=$I226)*(((CASHBACK_RULES!$N$5:$N$304="")+(CASHBACK_RULES!$N$5:$N$304&lt;=$B226))&gt;0)*(((CASHBACK_RULES!$O$5:$O$304="")+(CASHBACK_RULES!$O$5:$O$304&gt;=$B226))&gt;0)*(((CASHBACK_RULES!$M$5:$M$304="")+(CASHBACK_RULES!$M$5:$M$304&lt;=$L226))&gt;0),0),0),0))))</f>
        <v>0</v>
      </c>
      <c r="AD226" s="51" t="str">
        <f>IF(OR($B226="",$D226=""),"",IFERROR(IF(INDEX(CARDS!$H$5:$H$34,MATCH($D226,CARDS!$A$5:$A$34,0))="","",IF(DAY($B226)&lt;=INDEX(CARDS!$H$5:$H$34,MATCH($D226,CARDS!$A$5:$A$34,0)),DATE(YEAR($B226),MONTH($B226),MIN(INDEX(CARDS!$H$5:$H$34,MATCH($D226,CARDS!$A$5:$A$34,0)),DAY(EOMONTH($B226,0)))),DATE(YEAR($B226),MONTH($B226)+1,MIN(INDEX(CARDS!$H$5:$H$34,MATCH($D226,CARDS!$A$5:$A$34,0)),DAY(EOMONTH($B226,1)))))),""))</f>
        <v/>
      </c>
      <c r="AE226" s="52" t="str">
        <f>IF($C226="","",$C226&amp;"|"&amp;COUNTIF($C$5:$C226,$C226))</f>
        <v/>
      </c>
      <c r="AF226" s="53">
        <f>IF($AC226&gt;0,SUMIFS(Q$4:Q225,$D$4:$D225,$D226,$Z$4:$Z225,$Z226,$C$4:$C225,$C226),0)</f>
        <v>0</v>
      </c>
      <c r="AG226" s="53">
        <f>IF($AC226&gt;0,SUMIFS(Q$4:Q225,$D$4:$D225,$D226,$C$4:$C225,$C226),0)</f>
        <v>0</v>
      </c>
      <c r="AH226" s="53">
        <f>IF($AC226&gt;0,SUMIFS(M$4:M225,$D$4:$D225,$D226,$Z$4:$Z225,$Z226,$C$4:$C225,$C226),0)</f>
        <v>0</v>
      </c>
      <c r="AI226" s="43">
        <f>IF(OR($C226="",$I226=""),0,IF(COUNTIFS($C$5:$C226,$C226,$I$5:$I226,$I226)=1,1,0))</f>
        <v>0</v>
      </c>
      <c r="AJ226" s="43" t="str">
        <f>IF($AI226=1,SUMIFS($AI$4:$AI225,$C$4:$C225,$C226)+1,"")</f>
        <v/>
      </c>
      <c r="AK226" s="43">
        <f>IF(OR($C226="",$K226=""),0,IF(COUNTIFS($C$5:$C226,$C226,$K$5:$K226,$K226)=1,1,0))</f>
        <v>0</v>
      </c>
      <c r="AL226" s="43" t="str">
        <f>IF($AK226=1,SUMIFS($AK$4:$AK225,$C$4:$C225,$C226)+1,"")</f>
        <v/>
      </c>
      <c r="AM226" s="43">
        <f>IF(OR($C226="",$G226=""),0,IF(COUNTIFS($C$5:$C226,$C226,$G$5:$G226,$G226)=1,1,0))</f>
        <v>0</v>
      </c>
      <c r="AN226" s="43" t="str">
        <f>IF($AM226=1,SUMIFS($AM$4:$AM225,$C$4:$C225,$C226)+1,"")</f>
        <v/>
      </c>
    </row>
    <row r="227">
      <c r="A227" s="44" t="str">
        <f>IF(OR($B227="",$D227=""),"","TX"&amp;TEXT(ROW()-4,"0000"))</f>
        <v/>
      </c>
      <c r="B227" s="42" t="n"/>
      <c r="C227" s="47" t="str">
        <f>IF($B227="","",YEAR($B227)*100+MONTH($B227))</f>
        <v/>
      </c>
      <c r="D227" s="37" t="n"/>
      <c r="E227" s="45" t="str">
        <f>IF($D227="","",IFERROR(INDEX(CARDS!$B$5:$B$34,MATCH($D227,CARDS!$A$5:$A$34,0)),"⚠ Card ID?"))</f>
        <v/>
      </c>
      <c r="F227" s="45" t="str">
        <f>IF($D227="","",IFERROR(INDEX(CARDS!$C$5:$C$34,MATCH($D227,CARDS!$A$5:$A$34,0)),"⚠ Card ID?"))</f>
        <v/>
      </c>
      <c r="G227" s="37" t="n"/>
      <c r="H227" s="37" t="n"/>
      <c r="I227" s="41" t="n"/>
      <c r="J227" s="45" t="str">
        <f>IF($I227="","",IFERROR(INDEX(MCC_MASTER!$B$5:$B$504,MATCH($I227,MCC_MASTER!$A$5:$A$504,0)),"⚠ MCC chưa có"))</f>
        <v/>
      </c>
      <c r="K227" s="45" t="str">
        <f>IF($I227="","",IFERROR(IF(INDEX(MCC_MASTER!$C$5:$C$504,MATCH($I227,MCC_MASTER!$A$5:$A$504,0))="","Chưa phân loại",INDEX(MCC_MASTER!$C$5:$C$504,MATCH($I227,MCC_MASTER!$A$5:$A$504,0))),"Chưa phân loại"))</f>
        <v/>
      </c>
      <c r="L227" s="40" t="n"/>
      <c r="M227" s="48" t="str">
        <f>IF(OR($B227="",$D227=""),"",IF($AC227=0,0,IF(ISNUMBER(INDEX(CASHBACK_RULES!$L$5:$L$304,$AC227)),MAX(0,MIN($L227,INDEX(CASHBACK_RULES!$L$5:$L$304,$AC227)-$AH227)),MAX(0,$L227))))</f>
        <v/>
      </c>
      <c r="N227" s="49" t="str">
        <f>IF(OR($B227="",$D227=""),"",IF($AC227&gt;0,INDEX(CASHBACK_RULES!$I$5:$I$304,$AC227),0))</f>
        <v/>
      </c>
      <c r="O227" s="48" t="str">
        <f>IF(OR($B227="",$D227=""),"",ROUND($M227*$N227,0))</f>
        <v/>
      </c>
      <c r="P227" s="48" t="str">
        <f>IF($AC227&gt;0,IF(ISNUMBER(INDEX(CASHBACK_RULES!$J$5:$J$304,$AC227)),INDEX(CASHBACK_RULES!$J$5:$J$304,$AC227),"∞"),"")</f>
        <v/>
      </c>
      <c r="Q227" s="48" t="str">
        <f>IF(OR($B227="",$D227=""),"",IF($AC227=0,0,MAX(0,MIN($O227,IF(ISNUMBER($P227),$P227-$AF227,1E+15),IF(ISNUMBER($AA227),$AA227-$AG227,1E+15)))))</f>
        <v/>
      </c>
      <c r="R227" s="48" t="str">
        <f>IF(OR($B227="",$D227=""),"",IF($AC227=0,"",IF(AND(NOT(ISNUMBER($P227)),NOT(ISNUMBER($AA227))),"∞",MAX(0,MIN(IF(ISNUMBER($P227),$P227-$AF227-$Q227,1E+15),IF(ISNUMBER($AA227),$AA227-$AG227-$Q227,1E+15))))))</f>
        <v/>
      </c>
      <c r="S227" s="47" t="str">
        <f>IF($AD227="","",YEAR($AD227)*100+MONTH($AD227))</f>
        <v/>
      </c>
      <c r="T227" s="50" t="str">
        <f>IF($AD227="","",IFERROR(IF(INDEX(CARDS!$I$5:$I$34,MATCH($D227,CARDS!$A$5:$A$34,0))="","",IF(INDEX(CARDS!$I$5:$I$34,MATCH($D227,CARDS!$A$5:$A$34,0))&gt;INDEX(CARDS!$H$5:$H$34,MATCH($D227,CARDS!$A$5:$A$34,0)),DATE(YEAR($AD227),MONTH($AD227),MIN(INDEX(CARDS!$I$5:$I$34,MATCH($D227,CARDS!$A$5:$A$34,0)),DAY(EOMONTH($AD227,0)))),DATE(YEAR($AD227),MONTH($AD227)+1,MIN(INDEX(CARDS!$I$5:$I$34,MATCH($D227,CARDS!$A$5:$A$34,0)),DAY(EOMONTH($AD227,1)))))),""))</f>
        <v/>
      </c>
      <c r="U227" s="38" t="n"/>
      <c r="V227" s="37" t="n"/>
      <c r="W227" s="38" t="n"/>
      <c r="X227" s="38" t="n"/>
      <c r="Y227" s="44" t="str">
        <f>IF($AC227&gt;0,INDEX(CASHBACK_RULES!$A$5:$A$304,$AC227),"")</f>
        <v/>
      </c>
      <c r="Z227" s="45" t="str">
        <f>IF($AC227&gt;0,INDEX(CASHBACK_RULES!$E$5:$E$304,$AC227)&amp;"","")</f>
        <v/>
      </c>
      <c r="AA227" s="48" t="str">
        <f>IF($AC227&gt;0,IF(ISNUMBER(INDEX(CASHBACK_RULES!$K$5:$K$304,$AC227)),INDEX(CASHBACK_RULES!$K$5:$K$304,$AC227),"∞"),"")</f>
        <v/>
      </c>
      <c r="AB227" s="44" t="str">
        <f>IF(OR($B227="",$D227=""),"",IF($U227="Cancelled","Đã hủy",IF($AC227=0,"Không được hoàn",IF($Q227=0,IF(OR($O227&gt;0,$M227&lt;$L227),"Đã đạt cap","Không được hoàn"),IF(OR($Q227&lt;$O227,$M227&lt;$L227),"Hoàn một phần","Được hoàn")))))</f>
        <v/>
      </c>
      <c r="AC227" s="43">
        <f>IF(OR($B227="",$D227="",$I227="",$L227=""),0,IF($U227="Cancelled",0,IF($W227&lt;&gt;"",IFERROR(IF(INDEX(CASHBACK_RULES!$B$5:$B$304,MATCH($W227,CASHBACK_RULES!$A$5:$A$304,0))=$D227,MATCH($W227,CASHBACK_RULES!$A$5:$A$304,0),0),0),IFERROR(MATCH(1,INDEX((CASHBACK_RULES!$B$5:$B$304=$D227)*(CASHBACK_RULES!$G$5:$G$304=$I227)*(((CASHBACK_RULES!$N$5:$N$304="")+(CASHBACK_RULES!$N$5:$N$304&lt;=$B227))&gt;0)*(((CASHBACK_RULES!$O$5:$O$304="")+(CASHBACK_RULES!$O$5:$O$304&gt;=$B227))&gt;0)*(((CASHBACK_RULES!$M$5:$M$304="")+(CASHBACK_RULES!$M$5:$M$304&lt;=$L227))&gt;0),0),0),0))))</f>
        <v>0</v>
      </c>
      <c r="AD227" s="51" t="str">
        <f>IF(OR($B227="",$D227=""),"",IFERROR(IF(INDEX(CARDS!$H$5:$H$34,MATCH($D227,CARDS!$A$5:$A$34,0))="","",IF(DAY($B227)&lt;=INDEX(CARDS!$H$5:$H$34,MATCH($D227,CARDS!$A$5:$A$34,0)),DATE(YEAR($B227),MONTH($B227),MIN(INDEX(CARDS!$H$5:$H$34,MATCH($D227,CARDS!$A$5:$A$34,0)),DAY(EOMONTH($B227,0)))),DATE(YEAR($B227),MONTH($B227)+1,MIN(INDEX(CARDS!$H$5:$H$34,MATCH($D227,CARDS!$A$5:$A$34,0)),DAY(EOMONTH($B227,1)))))),""))</f>
        <v/>
      </c>
      <c r="AE227" s="52" t="str">
        <f>IF($C227="","",$C227&amp;"|"&amp;COUNTIF($C$5:$C227,$C227))</f>
        <v/>
      </c>
      <c r="AF227" s="53">
        <f>IF($AC227&gt;0,SUMIFS(Q$4:Q226,$D$4:$D226,$D227,$Z$4:$Z226,$Z227,$C$4:$C226,$C227),0)</f>
        <v>0</v>
      </c>
      <c r="AG227" s="53">
        <f>IF($AC227&gt;0,SUMIFS(Q$4:Q226,$D$4:$D226,$D227,$C$4:$C226,$C227),0)</f>
        <v>0</v>
      </c>
      <c r="AH227" s="53">
        <f>IF($AC227&gt;0,SUMIFS(M$4:M226,$D$4:$D226,$D227,$Z$4:$Z226,$Z227,$C$4:$C226,$C227),0)</f>
        <v>0</v>
      </c>
      <c r="AI227" s="43">
        <f>IF(OR($C227="",$I227=""),0,IF(COUNTIFS($C$5:$C227,$C227,$I$5:$I227,$I227)=1,1,0))</f>
        <v>0</v>
      </c>
      <c r="AJ227" s="43" t="str">
        <f>IF($AI227=1,SUMIFS($AI$4:$AI226,$C$4:$C226,$C227)+1,"")</f>
        <v/>
      </c>
      <c r="AK227" s="43">
        <f>IF(OR($C227="",$K227=""),0,IF(COUNTIFS($C$5:$C227,$C227,$K$5:$K227,$K227)=1,1,0))</f>
        <v>0</v>
      </c>
      <c r="AL227" s="43" t="str">
        <f>IF($AK227=1,SUMIFS($AK$4:$AK226,$C$4:$C226,$C227)+1,"")</f>
        <v/>
      </c>
      <c r="AM227" s="43">
        <f>IF(OR($C227="",$G227=""),0,IF(COUNTIFS($C$5:$C227,$C227,$G$5:$G227,$G227)=1,1,0))</f>
        <v>0</v>
      </c>
      <c r="AN227" s="43" t="str">
        <f>IF($AM227=1,SUMIFS($AM$4:$AM226,$C$4:$C226,$C227)+1,"")</f>
        <v/>
      </c>
    </row>
    <row r="228">
      <c r="A228" s="44" t="str">
        <f>IF(OR($B228="",$D228=""),"","TX"&amp;TEXT(ROW()-4,"0000"))</f>
        <v/>
      </c>
      <c r="B228" s="42" t="n"/>
      <c r="C228" s="47" t="str">
        <f>IF($B228="","",YEAR($B228)*100+MONTH($B228))</f>
        <v/>
      </c>
      <c r="D228" s="37" t="n"/>
      <c r="E228" s="45" t="str">
        <f>IF($D228="","",IFERROR(INDEX(CARDS!$B$5:$B$34,MATCH($D228,CARDS!$A$5:$A$34,0)),"⚠ Card ID?"))</f>
        <v/>
      </c>
      <c r="F228" s="45" t="str">
        <f>IF($D228="","",IFERROR(INDEX(CARDS!$C$5:$C$34,MATCH($D228,CARDS!$A$5:$A$34,0)),"⚠ Card ID?"))</f>
        <v/>
      </c>
      <c r="G228" s="37" t="n"/>
      <c r="H228" s="37" t="n"/>
      <c r="I228" s="41" t="n"/>
      <c r="J228" s="45" t="str">
        <f>IF($I228="","",IFERROR(INDEX(MCC_MASTER!$B$5:$B$504,MATCH($I228,MCC_MASTER!$A$5:$A$504,0)),"⚠ MCC chưa có"))</f>
        <v/>
      </c>
      <c r="K228" s="45" t="str">
        <f>IF($I228="","",IFERROR(IF(INDEX(MCC_MASTER!$C$5:$C$504,MATCH($I228,MCC_MASTER!$A$5:$A$504,0))="","Chưa phân loại",INDEX(MCC_MASTER!$C$5:$C$504,MATCH($I228,MCC_MASTER!$A$5:$A$504,0))),"Chưa phân loại"))</f>
        <v/>
      </c>
      <c r="L228" s="40" t="n"/>
      <c r="M228" s="48" t="str">
        <f>IF(OR($B228="",$D228=""),"",IF($AC228=0,0,IF(ISNUMBER(INDEX(CASHBACK_RULES!$L$5:$L$304,$AC228)),MAX(0,MIN($L228,INDEX(CASHBACK_RULES!$L$5:$L$304,$AC228)-$AH228)),MAX(0,$L228))))</f>
        <v/>
      </c>
      <c r="N228" s="49" t="str">
        <f>IF(OR($B228="",$D228=""),"",IF($AC228&gt;0,INDEX(CASHBACK_RULES!$I$5:$I$304,$AC228),0))</f>
        <v/>
      </c>
      <c r="O228" s="48" t="str">
        <f>IF(OR($B228="",$D228=""),"",ROUND($M228*$N228,0))</f>
        <v/>
      </c>
      <c r="P228" s="48" t="str">
        <f>IF($AC228&gt;0,IF(ISNUMBER(INDEX(CASHBACK_RULES!$J$5:$J$304,$AC228)),INDEX(CASHBACK_RULES!$J$5:$J$304,$AC228),"∞"),"")</f>
        <v/>
      </c>
      <c r="Q228" s="48" t="str">
        <f>IF(OR($B228="",$D228=""),"",IF($AC228=0,0,MAX(0,MIN($O228,IF(ISNUMBER($P228),$P228-$AF228,1E+15),IF(ISNUMBER($AA228),$AA228-$AG228,1E+15)))))</f>
        <v/>
      </c>
      <c r="R228" s="48" t="str">
        <f>IF(OR($B228="",$D228=""),"",IF($AC228=0,"",IF(AND(NOT(ISNUMBER($P228)),NOT(ISNUMBER($AA228))),"∞",MAX(0,MIN(IF(ISNUMBER($P228),$P228-$AF228-$Q228,1E+15),IF(ISNUMBER($AA228),$AA228-$AG228-$Q228,1E+15))))))</f>
        <v/>
      </c>
      <c r="S228" s="47" t="str">
        <f>IF($AD228="","",YEAR($AD228)*100+MONTH($AD228))</f>
        <v/>
      </c>
      <c r="T228" s="50" t="str">
        <f>IF($AD228="","",IFERROR(IF(INDEX(CARDS!$I$5:$I$34,MATCH($D228,CARDS!$A$5:$A$34,0))="","",IF(INDEX(CARDS!$I$5:$I$34,MATCH($D228,CARDS!$A$5:$A$34,0))&gt;INDEX(CARDS!$H$5:$H$34,MATCH($D228,CARDS!$A$5:$A$34,0)),DATE(YEAR($AD228),MONTH($AD228),MIN(INDEX(CARDS!$I$5:$I$34,MATCH($D228,CARDS!$A$5:$A$34,0)),DAY(EOMONTH($AD228,0)))),DATE(YEAR($AD228),MONTH($AD228)+1,MIN(INDEX(CARDS!$I$5:$I$34,MATCH($D228,CARDS!$A$5:$A$34,0)),DAY(EOMONTH($AD228,1)))))),""))</f>
        <v/>
      </c>
      <c r="U228" s="38" t="n"/>
      <c r="V228" s="37" t="n"/>
      <c r="W228" s="38" t="n"/>
      <c r="X228" s="38" t="n"/>
      <c r="Y228" s="44" t="str">
        <f>IF($AC228&gt;0,INDEX(CASHBACK_RULES!$A$5:$A$304,$AC228),"")</f>
        <v/>
      </c>
      <c r="Z228" s="45" t="str">
        <f>IF($AC228&gt;0,INDEX(CASHBACK_RULES!$E$5:$E$304,$AC228)&amp;"","")</f>
        <v/>
      </c>
      <c r="AA228" s="48" t="str">
        <f>IF($AC228&gt;0,IF(ISNUMBER(INDEX(CASHBACK_RULES!$K$5:$K$304,$AC228)),INDEX(CASHBACK_RULES!$K$5:$K$304,$AC228),"∞"),"")</f>
        <v/>
      </c>
      <c r="AB228" s="44" t="str">
        <f>IF(OR($B228="",$D228=""),"",IF($U228="Cancelled","Đã hủy",IF($AC228=0,"Không được hoàn",IF($Q228=0,IF(OR($O228&gt;0,$M228&lt;$L228),"Đã đạt cap","Không được hoàn"),IF(OR($Q228&lt;$O228,$M228&lt;$L228),"Hoàn một phần","Được hoàn")))))</f>
        <v/>
      </c>
      <c r="AC228" s="43">
        <f>IF(OR($B228="",$D228="",$I228="",$L228=""),0,IF($U228="Cancelled",0,IF($W228&lt;&gt;"",IFERROR(IF(INDEX(CASHBACK_RULES!$B$5:$B$304,MATCH($W228,CASHBACK_RULES!$A$5:$A$304,0))=$D228,MATCH($W228,CASHBACK_RULES!$A$5:$A$304,0),0),0),IFERROR(MATCH(1,INDEX((CASHBACK_RULES!$B$5:$B$304=$D228)*(CASHBACK_RULES!$G$5:$G$304=$I228)*(((CASHBACK_RULES!$N$5:$N$304="")+(CASHBACK_RULES!$N$5:$N$304&lt;=$B228))&gt;0)*(((CASHBACK_RULES!$O$5:$O$304="")+(CASHBACK_RULES!$O$5:$O$304&gt;=$B228))&gt;0)*(((CASHBACK_RULES!$M$5:$M$304="")+(CASHBACK_RULES!$M$5:$M$304&lt;=$L228))&gt;0),0),0),0))))</f>
        <v>0</v>
      </c>
      <c r="AD228" s="51" t="str">
        <f>IF(OR($B228="",$D228=""),"",IFERROR(IF(INDEX(CARDS!$H$5:$H$34,MATCH($D228,CARDS!$A$5:$A$34,0))="","",IF(DAY($B228)&lt;=INDEX(CARDS!$H$5:$H$34,MATCH($D228,CARDS!$A$5:$A$34,0)),DATE(YEAR($B228),MONTH($B228),MIN(INDEX(CARDS!$H$5:$H$34,MATCH($D228,CARDS!$A$5:$A$34,0)),DAY(EOMONTH($B228,0)))),DATE(YEAR($B228),MONTH($B228)+1,MIN(INDEX(CARDS!$H$5:$H$34,MATCH($D228,CARDS!$A$5:$A$34,0)),DAY(EOMONTH($B228,1)))))),""))</f>
        <v/>
      </c>
      <c r="AE228" s="52" t="str">
        <f>IF($C228="","",$C228&amp;"|"&amp;COUNTIF($C$5:$C228,$C228))</f>
        <v/>
      </c>
      <c r="AF228" s="53">
        <f>IF($AC228&gt;0,SUMIFS(Q$4:Q227,$D$4:$D227,$D228,$Z$4:$Z227,$Z228,$C$4:$C227,$C228),0)</f>
        <v>0</v>
      </c>
      <c r="AG228" s="53">
        <f>IF($AC228&gt;0,SUMIFS(Q$4:Q227,$D$4:$D227,$D228,$C$4:$C227,$C228),0)</f>
        <v>0</v>
      </c>
      <c r="AH228" s="53">
        <f>IF($AC228&gt;0,SUMIFS(M$4:M227,$D$4:$D227,$D228,$Z$4:$Z227,$Z228,$C$4:$C227,$C228),0)</f>
        <v>0</v>
      </c>
      <c r="AI228" s="43">
        <f>IF(OR($C228="",$I228=""),0,IF(COUNTIFS($C$5:$C228,$C228,$I$5:$I228,$I228)=1,1,0))</f>
        <v>0</v>
      </c>
      <c r="AJ228" s="43" t="str">
        <f>IF($AI228=1,SUMIFS($AI$4:$AI227,$C$4:$C227,$C228)+1,"")</f>
        <v/>
      </c>
      <c r="AK228" s="43">
        <f>IF(OR($C228="",$K228=""),0,IF(COUNTIFS($C$5:$C228,$C228,$K$5:$K228,$K228)=1,1,0))</f>
        <v>0</v>
      </c>
      <c r="AL228" s="43" t="str">
        <f>IF($AK228=1,SUMIFS($AK$4:$AK227,$C$4:$C227,$C228)+1,"")</f>
        <v/>
      </c>
      <c r="AM228" s="43">
        <f>IF(OR($C228="",$G228=""),0,IF(COUNTIFS($C$5:$C228,$C228,$G$5:$G228,$G228)=1,1,0))</f>
        <v>0</v>
      </c>
      <c r="AN228" s="43" t="str">
        <f>IF($AM228=1,SUMIFS($AM$4:$AM227,$C$4:$C227,$C228)+1,"")</f>
        <v/>
      </c>
    </row>
    <row r="229">
      <c r="A229" s="44" t="str">
        <f>IF(OR($B229="",$D229=""),"","TX"&amp;TEXT(ROW()-4,"0000"))</f>
        <v/>
      </c>
      <c r="B229" s="42" t="n"/>
      <c r="C229" s="47" t="str">
        <f>IF($B229="","",YEAR($B229)*100+MONTH($B229))</f>
        <v/>
      </c>
      <c r="D229" s="37" t="n"/>
      <c r="E229" s="45" t="str">
        <f>IF($D229="","",IFERROR(INDEX(CARDS!$B$5:$B$34,MATCH($D229,CARDS!$A$5:$A$34,0)),"⚠ Card ID?"))</f>
        <v/>
      </c>
      <c r="F229" s="45" t="str">
        <f>IF($D229="","",IFERROR(INDEX(CARDS!$C$5:$C$34,MATCH($D229,CARDS!$A$5:$A$34,0)),"⚠ Card ID?"))</f>
        <v/>
      </c>
      <c r="G229" s="37" t="n"/>
      <c r="H229" s="37" t="n"/>
      <c r="I229" s="41" t="n"/>
      <c r="J229" s="45" t="str">
        <f>IF($I229="","",IFERROR(INDEX(MCC_MASTER!$B$5:$B$504,MATCH($I229,MCC_MASTER!$A$5:$A$504,0)),"⚠ MCC chưa có"))</f>
        <v/>
      </c>
      <c r="K229" s="45" t="str">
        <f>IF($I229="","",IFERROR(IF(INDEX(MCC_MASTER!$C$5:$C$504,MATCH($I229,MCC_MASTER!$A$5:$A$504,0))="","Chưa phân loại",INDEX(MCC_MASTER!$C$5:$C$504,MATCH($I229,MCC_MASTER!$A$5:$A$504,0))),"Chưa phân loại"))</f>
        <v/>
      </c>
      <c r="L229" s="40" t="n"/>
      <c r="M229" s="48" t="str">
        <f>IF(OR($B229="",$D229=""),"",IF($AC229=0,0,IF(ISNUMBER(INDEX(CASHBACK_RULES!$L$5:$L$304,$AC229)),MAX(0,MIN($L229,INDEX(CASHBACK_RULES!$L$5:$L$304,$AC229)-$AH229)),MAX(0,$L229))))</f>
        <v/>
      </c>
      <c r="N229" s="49" t="str">
        <f>IF(OR($B229="",$D229=""),"",IF($AC229&gt;0,INDEX(CASHBACK_RULES!$I$5:$I$304,$AC229),0))</f>
        <v/>
      </c>
      <c r="O229" s="48" t="str">
        <f>IF(OR($B229="",$D229=""),"",ROUND($M229*$N229,0))</f>
        <v/>
      </c>
      <c r="P229" s="48" t="str">
        <f>IF($AC229&gt;0,IF(ISNUMBER(INDEX(CASHBACK_RULES!$J$5:$J$304,$AC229)),INDEX(CASHBACK_RULES!$J$5:$J$304,$AC229),"∞"),"")</f>
        <v/>
      </c>
      <c r="Q229" s="48" t="str">
        <f>IF(OR($B229="",$D229=""),"",IF($AC229=0,0,MAX(0,MIN($O229,IF(ISNUMBER($P229),$P229-$AF229,1E+15),IF(ISNUMBER($AA229),$AA229-$AG229,1E+15)))))</f>
        <v/>
      </c>
      <c r="R229" s="48" t="str">
        <f>IF(OR($B229="",$D229=""),"",IF($AC229=0,"",IF(AND(NOT(ISNUMBER($P229)),NOT(ISNUMBER($AA229))),"∞",MAX(0,MIN(IF(ISNUMBER($P229),$P229-$AF229-$Q229,1E+15),IF(ISNUMBER($AA229),$AA229-$AG229-$Q229,1E+15))))))</f>
        <v/>
      </c>
      <c r="S229" s="47" t="str">
        <f>IF($AD229="","",YEAR($AD229)*100+MONTH($AD229))</f>
        <v/>
      </c>
      <c r="T229" s="50" t="str">
        <f>IF($AD229="","",IFERROR(IF(INDEX(CARDS!$I$5:$I$34,MATCH($D229,CARDS!$A$5:$A$34,0))="","",IF(INDEX(CARDS!$I$5:$I$34,MATCH($D229,CARDS!$A$5:$A$34,0))&gt;INDEX(CARDS!$H$5:$H$34,MATCH($D229,CARDS!$A$5:$A$34,0)),DATE(YEAR($AD229),MONTH($AD229),MIN(INDEX(CARDS!$I$5:$I$34,MATCH($D229,CARDS!$A$5:$A$34,0)),DAY(EOMONTH($AD229,0)))),DATE(YEAR($AD229),MONTH($AD229)+1,MIN(INDEX(CARDS!$I$5:$I$34,MATCH($D229,CARDS!$A$5:$A$34,0)),DAY(EOMONTH($AD229,1)))))),""))</f>
        <v/>
      </c>
      <c r="U229" s="38" t="n"/>
      <c r="V229" s="37" t="n"/>
      <c r="W229" s="38" t="n"/>
      <c r="X229" s="38" t="n"/>
      <c r="Y229" s="44" t="str">
        <f>IF($AC229&gt;0,INDEX(CASHBACK_RULES!$A$5:$A$304,$AC229),"")</f>
        <v/>
      </c>
      <c r="Z229" s="45" t="str">
        <f>IF($AC229&gt;0,INDEX(CASHBACK_RULES!$E$5:$E$304,$AC229)&amp;"","")</f>
        <v/>
      </c>
      <c r="AA229" s="48" t="str">
        <f>IF($AC229&gt;0,IF(ISNUMBER(INDEX(CASHBACK_RULES!$K$5:$K$304,$AC229)),INDEX(CASHBACK_RULES!$K$5:$K$304,$AC229),"∞"),"")</f>
        <v/>
      </c>
      <c r="AB229" s="44" t="str">
        <f>IF(OR($B229="",$D229=""),"",IF($U229="Cancelled","Đã hủy",IF($AC229=0,"Không được hoàn",IF($Q229=0,IF(OR($O229&gt;0,$M229&lt;$L229),"Đã đạt cap","Không được hoàn"),IF(OR($Q229&lt;$O229,$M229&lt;$L229),"Hoàn một phần","Được hoàn")))))</f>
        <v/>
      </c>
      <c r="AC229" s="43">
        <f>IF(OR($B229="",$D229="",$I229="",$L229=""),0,IF($U229="Cancelled",0,IF($W229&lt;&gt;"",IFERROR(IF(INDEX(CASHBACK_RULES!$B$5:$B$304,MATCH($W229,CASHBACK_RULES!$A$5:$A$304,0))=$D229,MATCH($W229,CASHBACK_RULES!$A$5:$A$304,0),0),0),IFERROR(MATCH(1,INDEX((CASHBACK_RULES!$B$5:$B$304=$D229)*(CASHBACK_RULES!$G$5:$G$304=$I229)*(((CASHBACK_RULES!$N$5:$N$304="")+(CASHBACK_RULES!$N$5:$N$304&lt;=$B229))&gt;0)*(((CASHBACK_RULES!$O$5:$O$304="")+(CASHBACK_RULES!$O$5:$O$304&gt;=$B229))&gt;0)*(((CASHBACK_RULES!$M$5:$M$304="")+(CASHBACK_RULES!$M$5:$M$304&lt;=$L229))&gt;0),0),0),0))))</f>
        <v>0</v>
      </c>
      <c r="AD229" s="51" t="str">
        <f>IF(OR($B229="",$D229=""),"",IFERROR(IF(INDEX(CARDS!$H$5:$H$34,MATCH($D229,CARDS!$A$5:$A$34,0))="","",IF(DAY($B229)&lt;=INDEX(CARDS!$H$5:$H$34,MATCH($D229,CARDS!$A$5:$A$34,0)),DATE(YEAR($B229),MONTH($B229),MIN(INDEX(CARDS!$H$5:$H$34,MATCH($D229,CARDS!$A$5:$A$34,0)),DAY(EOMONTH($B229,0)))),DATE(YEAR($B229),MONTH($B229)+1,MIN(INDEX(CARDS!$H$5:$H$34,MATCH($D229,CARDS!$A$5:$A$34,0)),DAY(EOMONTH($B229,1)))))),""))</f>
        <v/>
      </c>
      <c r="AE229" s="52" t="str">
        <f>IF($C229="","",$C229&amp;"|"&amp;COUNTIF($C$5:$C229,$C229))</f>
        <v/>
      </c>
      <c r="AF229" s="53">
        <f>IF($AC229&gt;0,SUMIFS(Q$4:Q228,$D$4:$D228,$D229,$Z$4:$Z228,$Z229,$C$4:$C228,$C229),0)</f>
        <v>0</v>
      </c>
      <c r="AG229" s="53">
        <f>IF($AC229&gt;0,SUMIFS(Q$4:Q228,$D$4:$D228,$D229,$C$4:$C228,$C229),0)</f>
        <v>0</v>
      </c>
      <c r="AH229" s="53">
        <f>IF($AC229&gt;0,SUMIFS(M$4:M228,$D$4:$D228,$D229,$Z$4:$Z228,$Z229,$C$4:$C228,$C229),0)</f>
        <v>0</v>
      </c>
      <c r="AI229" s="43">
        <f>IF(OR($C229="",$I229=""),0,IF(COUNTIFS($C$5:$C229,$C229,$I$5:$I229,$I229)=1,1,0))</f>
        <v>0</v>
      </c>
      <c r="AJ229" s="43" t="str">
        <f>IF($AI229=1,SUMIFS($AI$4:$AI228,$C$4:$C228,$C229)+1,"")</f>
        <v/>
      </c>
      <c r="AK229" s="43">
        <f>IF(OR($C229="",$K229=""),0,IF(COUNTIFS($C$5:$C229,$C229,$K$5:$K229,$K229)=1,1,0))</f>
        <v>0</v>
      </c>
      <c r="AL229" s="43" t="str">
        <f>IF($AK229=1,SUMIFS($AK$4:$AK228,$C$4:$C228,$C229)+1,"")</f>
        <v/>
      </c>
      <c r="AM229" s="43">
        <f>IF(OR($C229="",$G229=""),0,IF(COUNTIFS($C$5:$C229,$C229,$G$5:$G229,$G229)=1,1,0))</f>
        <v>0</v>
      </c>
      <c r="AN229" s="43" t="str">
        <f>IF($AM229=1,SUMIFS($AM$4:$AM228,$C$4:$C228,$C229)+1,"")</f>
        <v/>
      </c>
    </row>
    <row r="230">
      <c r="A230" s="44" t="str">
        <f>IF(OR($B230="",$D230=""),"","TX"&amp;TEXT(ROW()-4,"0000"))</f>
        <v/>
      </c>
      <c r="B230" s="42" t="n"/>
      <c r="C230" s="47" t="str">
        <f>IF($B230="","",YEAR($B230)*100+MONTH($B230))</f>
        <v/>
      </c>
      <c r="D230" s="37" t="n"/>
      <c r="E230" s="45" t="str">
        <f>IF($D230="","",IFERROR(INDEX(CARDS!$B$5:$B$34,MATCH($D230,CARDS!$A$5:$A$34,0)),"⚠ Card ID?"))</f>
        <v/>
      </c>
      <c r="F230" s="45" t="str">
        <f>IF($D230="","",IFERROR(INDEX(CARDS!$C$5:$C$34,MATCH($D230,CARDS!$A$5:$A$34,0)),"⚠ Card ID?"))</f>
        <v/>
      </c>
      <c r="G230" s="37" t="n"/>
      <c r="H230" s="37" t="n"/>
      <c r="I230" s="41" t="n"/>
      <c r="J230" s="45" t="str">
        <f>IF($I230="","",IFERROR(INDEX(MCC_MASTER!$B$5:$B$504,MATCH($I230,MCC_MASTER!$A$5:$A$504,0)),"⚠ MCC chưa có"))</f>
        <v/>
      </c>
      <c r="K230" s="45" t="str">
        <f>IF($I230="","",IFERROR(IF(INDEX(MCC_MASTER!$C$5:$C$504,MATCH($I230,MCC_MASTER!$A$5:$A$504,0))="","Chưa phân loại",INDEX(MCC_MASTER!$C$5:$C$504,MATCH($I230,MCC_MASTER!$A$5:$A$504,0))),"Chưa phân loại"))</f>
        <v/>
      </c>
      <c r="L230" s="40" t="n"/>
      <c r="M230" s="48" t="str">
        <f>IF(OR($B230="",$D230=""),"",IF($AC230=0,0,IF(ISNUMBER(INDEX(CASHBACK_RULES!$L$5:$L$304,$AC230)),MAX(0,MIN($L230,INDEX(CASHBACK_RULES!$L$5:$L$304,$AC230)-$AH230)),MAX(0,$L230))))</f>
        <v/>
      </c>
      <c r="N230" s="49" t="str">
        <f>IF(OR($B230="",$D230=""),"",IF($AC230&gt;0,INDEX(CASHBACK_RULES!$I$5:$I$304,$AC230),0))</f>
        <v/>
      </c>
      <c r="O230" s="48" t="str">
        <f>IF(OR($B230="",$D230=""),"",ROUND($M230*$N230,0))</f>
        <v/>
      </c>
      <c r="P230" s="48" t="str">
        <f>IF($AC230&gt;0,IF(ISNUMBER(INDEX(CASHBACK_RULES!$J$5:$J$304,$AC230)),INDEX(CASHBACK_RULES!$J$5:$J$304,$AC230),"∞"),"")</f>
        <v/>
      </c>
      <c r="Q230" s="48" t="str">
        <f>IF(OR($B230="",$D230=""),"",IF($AC230=0,0,MAX(0,MIN($O230,IF(ISNUMBER($P230),$P230-$AF230,1E+15),IF(ISNUMBER($AA230),$AA230-$AG230,1E+15)))))</f>
        <v/>
      </c>
      <c r="R230" s="48" t="str">
        <f>IF(OR($B230="",$D230=""),"",IF($AC230=0,"",IF(AND(NOT(ISNUMBER($P230)),NOT(ISNUMBER($AA230))),"∞",MAX(0,MIN(IF(ISNUMBER($P230),$P230-$AF230-$Q230,1E+15),IF(ISNUMBER($AA230),$AA230-$AG230-$Q230,1E+15))))))</f>
        <v/>
      </c>
      <c r="S230" s="47" t="str">
        <f>IF($AD230="","",YEAR($AD230)*100+MONTH($AD230))</f>
        <v/>
      </c>
      <c r="T230" s="50" t="str">
        <f>IF($AD230="","",IFERROR(IF(INDEX(CARDS!$I$5:$I$34,MATCH($D230,CARDS!$A$5:$A$34,0))="","",IF(INDEX(CARDS!$I$5:$I$34,MATCH($D230,CARDS!$A$5:$A$34,0))&gt;INDEX(CARDS!$H$5:$H$34,MATCH($D230,CARDS!$A$5:$A$34,0)),DATE(YEAR($AD230),MONTH($AD230),MIN(INDEX(CARDS!$I$5:$I$34,MATCH($D230,CARDS!$A$5:$A$34,0)),DAY(EOMONTH($AD230,0)))),DATE(YEAR($AD230),MONTH($AD230)+1,MIN(INDEX(CARDS!$I$5:$I$34,MATCH($D230,CARDS!$A$5:$A$34,0)),DAY(EOMONTH($AD230,1)))))),""))</f>
        <v/>
      </c>
      <c r="U230" s="38" t="n"/>
      <c r="V230" s="37" t="n"/>
      <c r="W230" s="38" t="n"/>
      <c r="X230" s="38" t="n"/>
      <c r="Y230" s="44" t="str">
        <f>IF($AC230&gt;0,INDEX(CASHBACK_RULES!$A$5:$A$304,$AC230),"")</f>
        <v/>
      </c>
      <c r="Z230" s="45" t="str">
        <f>IF($AC230&gt;0,INDEX(CASHBACK_RULES!$E$5:$E$304,$AC230)&amp;"","")</f>
        <v/>
      </c>
      <c r="AA230" s="48" t="str">
        <f>IF($AC230&gt;0,IF(ISNUMBER(INDEX(CASHBACK_RULES!$K$5:$K$304,$AC230)),INDEX(CASHBACK_RULES!$K$5:$K$304,$AC230),"∞"),"")</f>
        <v/>
      </c>
      <c r="AB230" s="44" t="str">
        <f>IF(OR($B230="",$D230=""),"",IF($U230="Cancelled","Đã hủy",IF($AC230=0,"Không được hoàn",IF($Q230=0,IF(OR($O230&gt;0,$M230&lt;$L230),"Đã đạt cap","Không được hoàn"),IF(OR($Q230&lt;$O230,$M230&lt;$L230),"Hoàn một phần","Được hoàn")))))</f>
        <v/>
      </c>
      <c r="AC230" s="43">
        <f>IF(OR($B230="",$D230="",$I230="",$L230=""),0,IF($U230="Cancelled",0,IF($W230&lt;&gt;"",IFERROR(IF(INDEX(CASHBACK_RULES!$B$5:$B$304,MATCH($W230,CASHBACK_RULES!$A$5:$A$304,0))=$D230,MATCH($W230,CASHBACK_RULES!$A$5:$A$304,0),0),0),IFERROR(MATCH(1,INDEX((CASHBACK_RULES!$B$5:$B$304=$D230)*(CASHBACK_RULES!$G$5:$G$304=$I230)*(((CASHBACK_RULES!$N$5:$N$304="")+(CASHBACK_RULES!$N$5:$N$304&lt;=$B230))&gt;0)*(((CASHBACK_RULES!$O$5:$O$304="")+(CASHBACK_RULES!$O$5:$O$304&gt;=$B230))&gt;0)*(((CASHBACK_RULES!$M$5:$M$304="")+(CASHBACK_RULES!$M$5:$M$304&lt;=$L230))&gt;0),0),0),0))))</f>
        <v>0</v>
      </c>
      <c r="AD230" s="51" t="str">
        <f>IF(OR($B230="",$D230=""),"",IFERROR(IF(INDEX(CARDS!$H$5:$H$34,MATCH($D230,CARDS!$A$5:$A$34,0))="","",IF(DAY($B230)&lt;=INDEX(CARDS!$H$5:$H$34,MATCH($D230,CARDS!$A$5:$A$34,0)),DATE(YEAR($B230),MONTH($B230),MIN(INDEX(CARDS!$H$5:$H$34,MATCH($D230,CARDS!$A$5:$A$34,0)),DAY(EOMONTH($B230,0)))),DATE(YEAR($B230),MONTH($B230)+1,MIN(INDEX(CARDS!$H$5:$H$34,MATCH($D230,CARDS!$A$5:$A$34,0)),DAY(EOMONTH($B230,1)))))),""))</f>
        <v/>
      </c>
      <c r="AE230" s="52" t="str">
        <f>IF($C230="","",$C230&amp;"|"&amp;COUNTIF($C$5:$C230,$C230))</f>
        <v/>
      </c>
      <c r="AF230" s="53">
        <f>IF($AC230&gt;0,SUMIFS(Q$4:Q229,$D$4:$D229,$D230,$Z$4:$Z229,$Z230,$C$4:$C229,$C230),0)</f>
        <v>0</v>
      </c>
      <c r="AG230" s="53">
        <f>IF($AC230&gt;0,SUMIFS(Q$4:Q229,$D$4:$D229,$D230,$C$4:$C229,$C230),0)</f>
        <v>0</v>
      </c>
      <c r="AH230" s="53">
        <f>IF($AC230&gt;0,SUMIFS(M$4:M229,$D$4:$D229,$D230,$Z$4:$Z229,$Z230,$C$4:$C229,$C230),0)</f>
        <v>0</v>
      </c>
      <c r="AI230" s="43">
        <f>IF(OR($C230="",$I230=""),0,IF(COUNTIFS($C$5:$C230,$C230,$I$5:$I230,$I230)=1,1,0))</f>
        <v>0</v>
      </c>
      <c r="AJ230" s="43" t="str">
        <f>IF($AI230=1,SUMIFS($AI$4:$AI229,$C$4:$C229,$C230)+1,"")</f>
        <v/>
      </c>
      <c r="AK230" s="43">
        <f>IF(OR($C230="",$K230=""),0,IF(COUNTIFS($C$5:$C230,$C230,$K$5:$K230,$K230)=1,1,0))</f>
        <v>0</v>
      </c>
      <c r="AL230" s="43" t="str">
        <f>IF($AK230=1,SUMIFS($AK$4:$AK229,$C$4:$C229,$C230)+1,"")</f>
        <v/>
      </c>
      <c r="AM230" s="43">
        <f>IF(OR($C230="",$G230=""),0,IF(COUNTIFS($C$5:$C230,$C230,$G$5:$G230,$G230)=1,1,0))</f>
        <v>0</v>
      </c>
      <c r="AN230" s="43" t="str">
        <f>IF($AM230=1,SUMIFS($AM$4:$AM229,$C$4:$C229,$C230)+1,"")</f>
        <v/>
      </c>
    </row>
    <row r="231">
      <c r="A231" s="44" t="str">
        <f>IF(OR($B231="",$D231=""),"","TX"&amp;TEXT(ROW()-4,"0000"))</f>
        <v/>
      </c>
      <c r="B231" s="42" t="n"/>
      <c r="C231" s="47" t="str">
        <f>IF($B231="","",YEAR($B231)*100+MONTH($B231))</f>
        <v/>
      </c>
      <c r="D231" s="37" t="n"/>
      <c r="E231" s="45" t="str">
        <f>IF($D231="","",IFERROR(INDEX(CARDS!$B$5:$B$34,MATCH($D231,CARDS!$A$5:$A$34,0)),"⚠ Card ID?"))</f>
        <v/>
      </c>
      <c r="F231" s="45" t="str">
        <f>IF($D231="","",IFERROR(INDEX(CARDS!$C$5:$C$34,MATCH($D231,CARDS!$A$5:$A$34,0)),"⚠ Card ID?"))</f>
        <v/>
      </c>
      <c r="G231" s="37" t="n"/>
      <c r="H231" s="37" t="n"/>
      <c r="I231" s="41" t="n"/>
      <c r="J231" s="45" t="str">
        <f>IF($I231="","",IFERROR(INDEX(MCC_MASTER!$B$5:$B$504,MATCH($I231,MCC_MASTER!$A$5:$A$504,0)),"⚠ MCC chưa có"))</f>
        <v/>
      </c>
      <c r="K231" s="45" t="str">
        <f>IF($I231="","",IFERROR(IF(INDEX(MCC_MASTER!$C$5:$C$504,MATCH($I231,MCC_MASTER!$A$5:$A$504,0))="","Chưa phân loại",INDEX(MCC_MASTER!$C$5:$C$504,MATCH($I231,MCC_MASTER!$A$5:$A$504,0))),"Chưa phân loại"))</f>
        <v/>
      </c>
      <c r="L231" s="40" t="n"/>
      <c r="M231" s="48" t="str">
        <f>IF(OR($B231="",$D231=""),"",IF($AC231=0,0,IF(ISNUMBER(INDEX(CASHBACK_RULES!$L$5:$L$304,$AC231)),MAX(0,MIN($L231,INDEX(CASHBACK_RULES!$L$5:$L$304,$AC231)-$AH231)),MAX(0,$L231))))</f>
        <v/>
      </c>
      <c r="N231" s="49" t="str">
        <f>IF(OR($B231="",$D231=""),"",IF($AC231&gt;0,INDEX(CASHBACK_RULES!$I$5:$I$304,$AC231),0))</f>
        <v/>
      </c>
      <c r="O231" s="48" t="str">
        <f>IF(OR($B231="",$D231=""),"",ROUND($M231*$N231,0))</f>
        <v/>
      </c>
      <c r="P231" s="48" t="str">
        <f>IF($AC231&gt;0,IF(ISNUMBER(INDEX(CASHBACK_RULES!$J$5:$J$304,$AC231)),INDEX(CASHBACK_RULES!$J$5:$J$304,$AC231),"∞"),"")</f>
        <v/>
      </c>
      <c r="Q231" s="48" t="str">
        <f>IF(OR($B231="",$D231=""),"",IF($AC231=0,0,MAX(0,MIN($O231,IF(ISNUMBER($P231),$P231-$AF231,1E+15),IF(ISNUMBER($AA231),$AA231-$AG231,1E+15)))))</f>
        <v/>
      </c>
      <c r="R231" s="48" t="str">
        <f>IF(OR($B231="",$D231=""),"",IF($AC231=0,"",IF(AND(NOT(ISNUMBER($P231)),NOT(ISNUMBER($AA231))),"∞",MAX(0,MIN(IF(ISNUMBER($P231),$P231-$AF231-$Q231,1E+15),IF(ISNUMBER($AA231),$AA231-$AG231-$Q231,1E+15))))))</f>
        <v/>
      </c>
      <c r="S231" s="47" t="str">
        <f>IF($AD231="","",YEAR($AD231)*100+MONTH($AD231))</f>
        <v/>
      </c>
      <c r="T231" s="50" t="str">
        <f>IF($AD231="","",IFERROR(IF(INDEX(CARDS!$I$5:$I$34,MATCH($D231,CARDS!$A$5:$A$34,0))="","",IF(INDEX(CARDS!$I$5:$I$34,MATCH($D231,CARDS!$A$5:$A$34,0))&gt;INDEX(CARDS!$H$5:$H$34,MATCH($D231,CARDS!$A$5:$A$34,0)),DATE(YEAR($AD231),MONTH($AD231),MIN(INDEX(CARDS!$I$5:$I$34,MATCH($D231,CARDS!$A$5:$A$34,0)),DAY(EOMONTH($AD231,0)))),DATE(YEAR($AD231),MONTH($AD231)+1,MIN(INDEX(CARDS!$I$5:$I$34,MATCH($D231,CARDS!$A$5:$A$34,0)),DAY(EOMONTH($AD231,1)))))),""))</f>
        <v/>
      </c>
      <c r="U231" s="38" t="n"/>
      <c r="V231" s="37" t="n"/>
      <c r="W231" s="38" t="n"/>
      <c r="X231" s="38" t="n"/>
      <c r="Y231" s="44" t="str">
        <f>IF($AC231&gt;0,INDEX(CASHBACK_RULES!$A$5:$A$304,$AC231),"")</f>
        <v/>
      </c>
      <c r="Z231" s="45" t="str">
        <f>IF($AC231&gt;0,INDEX(CASHBACK_RULES!$E$5:$E$304,$AC231)&amp;"","")</f>
        <v/>
      </c>
      <c r="AA231" s="48" t="str">
        <f>IF($AC231&gt;0,IF(ISNUMBER(INDEX(CASHBACK_RULES!$K$5:$K$304,$AC231)),INDEX(CASHBACK_RULES!$K$5:$K$304,$AC231),"∞"),"")</f>
        <v/>
      </c>
      <c r="AB231" s="44" t="str">
        <f>IF(OR($B231="",$D231=""),"",IF($U231="Cancelled","Đã hủy",IF($AC231=0,"Không được hoàn",IF($Q231=0,IF(OR($O231&gt;0,$M231&lt;$L231),"Đã đạt cap","Không được hoàn"),IF(OR($Q231&lt;$O231,$M231&lt;$L231),"Hoàn một phần","Được hoàn")))))</f>
        <v/>
      </c>
      <c r="AC231" s="43">
        <f>IF(OR($B231="",$D231="",$I231="",$L231=""),0,IF($U231="Cancelled",0,IF($W231&lt;&gt;"",IFERROR(IF(INDEX(CASHBACK_RULES!$B$5:$B$304,MATCH($W231,CASHBACK_RULES!$A$5:$A$304,0))=$D231,MATCH($W231,CASHBACK_RULES!$A$5:$A$304,0),0),0),IFERROR(MATCH(1,INDEX((CASHBACK_RULES!$B$5:$B$304=$D231)*(CASHBACK_RULES!$G$5:$G$304=$I231)*(((CASHBACK_RULES!$N$5:$N$304="")+(CASHBACK_RULES!$N$5:$N$304&lt;=$B231))&gt;0)*(((CASHBACK_RULES!$O$5:$O$304="")+(CASHBACK_RULES!$O$5:$O$304&gt;=$B231))&gt;0)*(((CASHBACK_RULES!$M$5:$M$304="")+(CASHBACK_RULES!$M$5:$M$304&lt;=$L231))&gt;0),0),0),0))))</f>
        <v>0</v>
      </c>
      <c r="AD231" s="51" t="str">
        <f>IF(OR($B231="",$D231=""),"",IFERROR(IF(INDEX(CARDS!$H$5:$H$34,MATCH($D231,CARDS!$A$5:$A$34,0))="","",IF(DAY($B231)&lt;=INDEX(CARDS!$H$5:$H$34,MATCH($D231,CARDS!$A$5:$A$34,0)),DATE(YEAR($B231),MONTH($B231),MIN(INDEX(CARDS!$H$5:$H$34,MATCH($D231,CARDS!$A$5:$A$34,0)),DAY(EOMONTH($B231,0)))),DATE(YEAR($B231),MONTH($B231)+1,MIN(INDEX(CARDS!$H$5:$H$34,MATCH($D231,CARDS!$A$5:$A$34,0)),DAY(EOMONTH($B231,1)))))),""))</f>
        <v/>
      </c>
      <c r="AE231" s="52" t="str">
        <f>IF($C231="","",$C231&amp;"|"&amp;COUNTIF($C$5:$C231,$C231))</f>
        <v/>
      </c>
      <c r="AF231" s="53">
        <f>IF($AC231&gt;0,SUMIFS(Q$4:Q230,$D$4:$D230,$D231,$Z$4:$Z230,$Z231,$C$4:$C230,$C231),0)</f>
        <v>0</v>
      </c>
      <c r="AG231" s="53">
        <f>IF($AC231&gt;0,SUMIFS(Q$4:Q230,$D$4:$D230,$D231,$C$4:$C230,$C231),0)</f>
        <v>0</v>
      </c>
      <c r="AH231" s="53">
        <f>IF($AC231&gt;0,SUMIFS(M$4:M230,$D$4:$D230,$D231,$Z$4:$Z230,$Z231,$C$4:$C230,$C231),0)</f>
        <v>0</v>
      </c>
      <c r="AI231" s="43">
        <f>IF(OR($C231="",$I231=""),0,IF(COUNTIFS($C$5:$C231,$C231,$I$5:$I231,$I231)=1,1,0))</f>
        <v>0</v>
      </c>
      <c r="AJ231" s="43" t="str">
        <f>IF($AI231=1,SUMIFS($AI$4:$AI230,$C$4:$C230,$C231)+1,"")</f>
        <v/>
      </c>
      <c r="AK231" s="43">
        <f>IF(OR($C231="",$K231=""),0,IF(COUNTIFS($C$5:$C231,$C231,$K$5:$K231,$K231)=1,1,0))</f>
        <v>0</v>
      </c>
      <c r="AL231" s="43" t="str">
        <f>IF($AK231=1,SUMIFS($AK$4:$AK230,$C$4:$C230,$C231)+1,"")</f>
        <v/>
      </c>
      <c r="AM231" s="43">
        <f>IF(OR($C231="",$G231=""),0,IF(COUNTIFS($C$5:$C231,$C231,$G$5:$G231,$G231)=1,1,0))</f>
        <v>0</v>
      </c>
      <c r="AN231" s="43" t="str">
        <f>IF($AM231=1,SUMIFS($AM$4:$AM230,$C$4:$C230,$C231)+1,"")</f>
        <v/>
      </c>
    </row>
    <row r="232">
      <c r="A232" s="44" t="str">
        <f>IF(OR($B232="",$D232=""),"","TX"&amp;TEXT(ROW()-4,"0000"))</f>
        <v/>
      </c>
      <c r="B232" s="42" t="n"/>
      <c r="C232" s="47" t="str">
        <f>IF($B232="","",YEAR($B232)*100+MONTH($B232))</f>
        <v/>
      </c>
      <c r="D232" s="37" t="n"/>
      <c r="E232" s="45" t="str">
        <f>IF($D232="","",IFERROR(INDEX(CARDS!$B$5:$B$34,MATCH($D232,CARDS!$A$5:$A$34,0)),"⚠ Card ID?"))</f>
        <v/>
      </c>
      <c r="F232" s="45" t="str">
        <f>IF($D232="","",IFERROR(INDEX(CARDS!$C$5:$C$34,MATCH($D232,CARDS!$A$5:$A$34,0)),"⚠ Card ID?"))</f>
        <v/>
      </c>
      <c r="G232" s="37" t="n"/>
      <c r="H232" s="37" t="n"/>
      <c r="I232" s="41" t="n"/>
      <c r="J232" s="45" t="str">
        <f>IF($I232="","",IFERROR(INDEX(MCC_MASTER!$B$5:$B$504,MATCH($I232,MCC_MASTER!$A$5:$A$504,0)),"⚠ MCC chưa có"))</f>
        <v/>
      </c>
      <c r="K232" s="45" t="str">
        <f>IF($I232="","",IFERROR(IF(INDEX(MCC_MASTER!$C$5:$C$504,MATCH($I232,MCC_MASTER!$A$5:$A$504,0))="","Chưa phân loại",INDEX(MCC_MASTER!$C$5:$C$504,MATCH($I232,MCC_MASTER!$A$5:$A$504,0))),"Chưa phân loại"))</f>
        <v/>
      </c>
      <c r="L232" s="40" t="n"/>
      <c r="M232" s="48" t="str">
        <f>IF(OR($B232="",$D232=""),"",IF($AC232=0,0,IF(ISNUMBER(INDEX(CASHBACK_RULES!$L$5:$L$304,$AC232)),MAX(0,MIN($L232,INDEX(CASHBACK_RULES!$L$5:$L$304,$AC232)-$AH232)),MAX(0,$L232))))</f>
        <v/>
      </c>
      <c r="N232" s="49" t="str">
        <f>IF(OR($B232="",$D232=""),"",IF($AC232&gt;0,INDEX(CASHBACK_RULES!$I$5:$I$304,$AC232),0))</f>
        <v/>
      </c>
      <c r="O232" s="48" t="str">
        <f>IF(OR($B232="",$D232=""),"",ROUND($M232*$N232,0))</f>
        <v/>
      </c>
      <c r="P232" s="48" t="str">
        <f>IF($AC232&gt;0,IF(ISNUMBER(INDEX(CASHBACK_RULES!$J$5:$J$304,$AC232)),INDEX(CASHBACK_RULES!$J$5:$J$304,$AC232),"∞"),"")</f>
        <v/>
      </c>
      <c r="Q232" s="48" t="str">
        <f>IF(OR($B232="",$D232=""),"",IF($AC232=0,0,MAX(0,MIN($O232,IF(ISNUMBER($P232),$P232-$AF232,1E+15),IF(ISNUMBER($AA232),$AA232-$AG232,1E+15)))))</f>
        <v/>
      </c>
      <c r="R232" s="48" t="str">
        <f>IF(OR($B232="",$D232=""),"",IF($AC232=0,"",IF(AND(NOT(ISNUMBER($P232)),NOT(ISNUMBER($AA232))),"∞",MAX(0,MIN(IF(ISNUMBER($P232),$P232-$AF232-$Q232,1E+15),IF(ISNUMBER($AA232),$AA232-$AG232-$Q232,1E+15))))))</f>
        <v/>
      </c>
      <c r="S232" s="47" t="str">
        <f>IF($AD232="","",YEAR($AD232)*100+MONTH($AD232))</f>
        <v/>
      </c>
      <c r="T232" s="50" t="str">
        <f>IF($AD232="","",IFERROR(IF(INDEX(CARDS!$I$5:$I$34,MATCH($D232,CARDS!$A$5:$A$34,0))="","",IF(INDEX(CARDS!$I$5:$I$34,MATCH($D232,CARDS!$A$5:$A$34,0))&gt;INDEX(CARDS!$H$5:$H$34,MATCH($D232,CARDS!$A$5:$A$34,0)),DATE(YEAR($AD232),MONTH($AD232),MIN(INDEX(CARDS!$I$5:$I$34,MATCH($D232,CARDS!$A$5:$A$34,0)),DAY(EOMONTH($AD232,0)))),DATE(YEAR($AD232),MONTH($AD232)+1,MIN(INDEX(CARDS!$I$5:$I$34,MATCH($D232,CARDS!$A$5:$A$34,0)),DAY(EOMONTH($AD232,1)))))),""))</f>
        <v/>
      </c>
      <c r="U232" s="38" t="n"/>
      <c r="V232" s="37" t="n"/>
      <c r="W232" s="38" t="n"/>
      <c r="X232" s="38" t="n"/>
      <c r="Y232" s="44" t="str">
        <f>IF($AC232&gt;0,INDEX(CASHBACK_RULES!$A$5:$A$304,$AC232),"")</f>
        <v/>
      </c>
      <c r="Z232" s="45" t="str">
        <f>IF($AC232&gt;0,INDEX(CASHBACK_RULES!$E$5:$E$304,$AC232)&amp;"","")</f>
        <v/>
      </c>
      <c r="AA232" s="48" t="str">
        <f>IF($AC232&gt;0,IF(ISNUMBER(INDEX(CASHBACK_RULES!$K$5:$K$304,$AC232)),INDEX(CASHBACK_RULES!$K$5:$K$304,$AC232),"∞"),"")</f>
        <v/>
      </c>
      <c r="AB232" s="44" t="str">
        <f>IF(OR($B232="",$D232=""),"",IF($U232="Cancelled","Đã hủy",IF($AC232=0,"Không được hoàn",IF($Q232=0,IF(OR($O232&gt;0,$M232&lt;$L232),"Đã đạt cap","Không được hoàn"),IF(OR($Q232&lt;$O232,$M232&lt;$L232),"Hoàn một phần","Được hoàn")))))</f>
        <v/>
      </c>
      <c r="AC232" s="43">
        <f>IF(OR($B232="",$D232="",$I232="",$L232=""),0,IF($U232="Cancelled",0,IF($W232&lt;&gt;"",IFERROR(IF(INDEX(CASHBACK_RULES!$B$5:$B$304,MATCH($W232,CASHBACK_RULES!$A$5:$A$304,0))=$D232,MATCH($W232,CASHBACK_RULES!$A$5:$A$304,0),0),0),IFERROR(MATCH(1,INDEX((CASHBACK_RULES!$B$5:$B$304=$D232)*(CASHBACK_RULES!$G$5:$G$304=$I232)*(((CASHBACK_RULES!$N$5:$N$304="")+(CASHBACK_RULES!$N$5:$N$304&lt;=$B232))&gt;0)*(((CASHBACK_RULES!$O$5:$O$304="")+(CASHBACK_RULES!$O$5:$O$304&gt;=$B232))&gt;0)*(((CASHBACK_RULES!$M$5:$M$304="")+(CASHBACK_RULES!$M$5:$M$304&lt;=$L232))&gt;0),0),0),0))))</f>
        <v>0</v>
      </c>
      <c r="AD232" s="51" t="str">
        <f>IF(OR($B232="",$D232=""),"",IFERROR(IF(INDEX(CARDS!$H$5:$H$34,MATCH($D232,CARDS!$A$5:$A$34,0))="","",IF(DAY($B232)&lt;=INDEX(CARDS!$H$5:$H$34,MATCH($D232,CARDS!$A$5:$A$34,0)),DATE(YEAR($B232),MONTH($B232),MIN(INDEX(CARDS!$H$5:$H$34,MATCH($D232,CARDS!$A$5:$A$34,0)),DAY(EOMONTH($B232,0)))),DATE(YEAR($B232),MONTH($B232)+1,MIN(INDEX(CARDS!$H$5:$H$34,MATCH($D232,CARDS!$A$5:$A$34,0)),DAY(EOMONTH($B232,1)))))),""))</f>
        <v/>
      </c>
      <c r="AE232" s="52" t="str">
        <f>IF($C232="","",$C232&amp;"|"&amp;COUNTIF($C$5:$C232,$C232))</f>
        <v/>
      </c>
      <c r="AF232" s="53">
        <f>IF($AC232&gt;0,SUMIFS(Q$4:Q231,$D$4:$D231,$D232,$Z$4:$Z231,$Z232,$C$4:$C231,$C232),0)</f>
        <v>0</v>
      </c>
      <c r="AG232" s="53">
        <f>IF($AC232&gt;0,SUMIFS(Q$4:Q231,$D$4:$D231,$D232,$C$4:$C231,$C232),0)</f>
        <v>0</v>
      </c>
      <c r="AH232" s="53">
        <f>IF($AC232&gt;0,SUMIFS(M$4:M231,$D$4:$D231,$D232,$Z$4:$Z231,$Z232,$C$4:$C231,$C232),0)</f>
        <v>0</v>
      </c>
      <c r="AI232" s="43">
        <f>IF(OR($C232="",$I232=""),0,IF(COUNTIFS($C$5:$C232,$C232,$I$5:$I232,$I232)=1,1,0))</f>
        <v>0</v>
      </c>
      <c r="AJ232" s="43" t="str">
        <f>IF($AI232=1,SUMIFS($AI$4:$AI231,$C$4:$C231,$C232)+1,"")</f>
        <v/>
      </c>
      <c r="AK232" s="43">
        <f>IF(OR($C232="",$K232=""),0,IF(COUNTIFS($C$5:$C232,$C232,$K$5:$K232,$K232)=1,1,0))</f>
        <v>0</v>
      </c>
      <c r="AL232" s="43" t="str">
        <f>IF($AK232=1,SUMIFS($AK$4:$AK231,$C$4:$C231,$C232)+1,"")</f>
        <v/>
      </c>
      <c r="AM232" s="43">
        <f>IF(OR($C232="",$G232=""),0,IF(COUNTIFS($C$5:$C232,$C232,$G$5:$G232,$G232)=1,1,0))</f>
        <v>0</v>
      </c>
      <c r="AN232" s="43" t="str">
        <f>IF($AM232=1,SUMIFS($AM$4:$AM231,$C$4:$C231,$C232)+1,"")</f>
        <v/>
      </c>
    </row>
    <row r="233">
      <c r="A233" s="44" t="str">
        <f>IF(OR($B233="",$D233=""),"","TX"&amp;TEXT(ROW()-4,"0000"))</f>
        <v/>
      </c>
      <c r="B233" s="42" t="n"/>
      <c r="C233" s="47" t="str">
        <f>IF($B233="","",YEAR($B233)*100+MONTH($B233))</f>
        <v/>
      </c>
      <c r="D233" s="37" t="n"/>
      <c r="E233" s="45" t="str">
        <f>IF($D233="","",IFERROR(INDEX(CARDS!$B$5:$B$34,MATCH($D233,CARDS!$A$5:$A$34,0)),"⚠ Card ID?"))</f>
        <v/>
      </c>
      <c r="F233" s="45" t="str">
        <f>IF($D233="","",IFERROR(INDEX(CARDS!$C$5:$C$34,MATCH($D233,CARDS!$A$5:$A$34,0)),"⚠ Card ID?"))</f>
        <v/>
      </c>
      <c r="G233" s="37" t="n"/>
      <c r="H233" s="37" t="n"/>
      <c r="I233" s="41" t="n"/>
      <c r="J233" s="45" t="str">
        <f>IF($I233="","",IFERROR(INDEX(MCC_MASTER!$B$5:$B$504,MATCH($I233,MCC_MASTER!$A$5:$A$504,0)),"⚠ MCC chưa có"))</f>
        <v/>
      </c>
      <c r="K233" s="45" t="str">
        <f>IF($I233="","",IFERROR(IF(INDEX(MCC_MASTER!$C$5:$C$504,MATCH($I233,MCC_MASTER!$A$5:$A$504,0))="","Chưa phân loại",INDEX(MCC_MASTER!$C$5:$C$504,MATCH($I233,MCC_MASTER!$A$5:$A$504,0))),"Chưa phân loại"))</f>
        <v/>
      </c>
      <c r="L233" s="40" t="n"/>
      <c r="M233" s="48" t="str">
        <f>IF(OR($B233="",$D233=""),"",IF($AC233=0,0,IF(ISNUMBER(INDEX(CASHBACK_RULES!$L$5:$L$304,$AC233)),MAX(0,MIN($L233,INDEX(CASHBACK_RULES!$L$5:$L$304,$AC233)-$AH233)),MAX(0,$L233))))</f>
        <v/>
      </c>
      <c r="N233" s="49" t="str">
        <f>IF(OR($B233="",$D233=""),"",IF($AC233&gt;0,INDEX(CASHBACK_RULES!$I$5:$I$304,$AC233),0))</f>
        <v/>
      </c>
      <c r="O233" s="48" t="str">
        <f>IF(OR($B233="",$D233=""),"",ROUND($M233*$N233,0))</f>
        <v/>
      </c>
      <c r="P233" s="48" t="str">
        <f>IF($AC233&gt;0,IF(ISNUMBER(INDEX(CASHBACK_RULES!$J$5:$J$304,$AC233)),INDEX(CASHBACK_RULES!$J$5:$J$304,$AC233),"∞"),"")</f>
        <v/>
      </c>
      <c r="Q233" s="48" t="str">
        <f>IF(OR($B233="",$D233=""),"",IF($AC233=0,0,MAX(0,MIN($O233,IF(ISNUMBER($P233),$P233-$AF233,1E+15),IF(ISNUMBER($AA233),$AA233-$AG233,1E+15)))))</f>
        <v/>
      </c>
      <c r="R233" s="48" t="str">
        <f>IF(OR($B233="",$D233=""),"",IF($AC233=0,"",IF(AND(NOT(ISNUMBER($P233)),NOT(ISNUMBER($AA233))),"∞",MAX(0,MIN(IF(ISNUMBER($P233),$P233-$AF233-$Q233,1E+15),IF(ISNUMBER($AA233),$AA233-$AG233-$Q233,1E+15))))))</f>
        <v/>
      </c>
      <c r="S233" s="47" t="str">
        <f>IF($AD233="","",YEAR($AD233)*100+MONTH($AD233))</f>
        <v/>
      </c>
      <c r="T233" s="50" t="str">
        <f>IF($AD233="","",IFERROR(IF(INDEX(CARDS!$I$5:$I$34,MATCH($D233,CARDS!$A$5:$A$34,0))="","",IF(INDEX(CARDS!$I$5:$I$34,MATCH($D233,CARDS!$A$5:$A$34,0))&gt;INDEX(CARDS!$H$5:$H$34,MATCH($D233,CARDS!$A$5:$A$34,0)),DATE(YEAR($AD233),MONTH($AD233),MIN(INDEX(CARDS!$I$5:$I$34,MATCH($D233,CARDS!$A$5:$A$34,0)),DAY(EOMONTH($AD233,0)))),DATE(YEAR($AD233),MONTH($AD233)+1,MIN(INDEX(CARDS!$I$5:$I$34,MATCH($D233,CARDS!$A$5:$A$34,0)),DAY(EOMONTH($AD233,1)))))),""))</f>
        <v/>
      </c>
      <c r="U233" s="38" t="n"/>
      <c r="V233" s="37" t="n"/>
      <c r="W233" s="38" t="n"/>
      <c r="X233" s="38" t="n"/>
      <c r="Y233" s="44" t="str">
        <f>IF($AC233&gt;0,INDEX(CASHBACK_RULES!$A$5:$A$304,$AC233),"")</f>
        <v/>
      </c>
      <c r="Z233" s="45" t="str">
        <f>IF($AC233&gt;0,INDEX(CASHBACK_RULES!$E$5:$E$304,$AC233)&amp;"","")</f>
        <v/>
      </c>
      <c r="AA233" s="48" t="str">
        <f>IF($AC233&gt;0,IF(ISNUMBER(INDEX(CASHBACK_RULES!$K$5:$K$304,$AC233)),INDEX(CASHBACK_RULES!$K$5:$K$304,$AC233),"∞"),"")</f>
        <v/>
      </c>
      <c r="AB233" s="44" t="str">
        <f>IF(OR($B233="",$D233=""),"",IF($U233="Cancelled","Đã hủy",IF($AC233=0,"Không được hoàn",IF($Q233=0,IF(OR($O233&gt;0,$M233&lt;$L233),"Đã đạt cap","Không được hoàn"),IF(OR($Q233&lt;$O233,$M233&lt;$L233),"Hoàn một phần","Được hoàn")))))</f>
        <v/>
      </c>
      <c r="AC233" s="43">
        <f>IF(OR($B233="",$D233="",$I233="",$L233=""),0,IF($U233="Cancelled",0,IF($W233&lt;&gt;"",IFERROR(IF(INDEX(CASHBACK_RULES!$B$5:$B$304,MATCH($W233,CASHBACK_RULES!$A$5:$A$304,0))=$D233,MATCH($W233,CASHBACK_RULES!$A$5:$A$304,0),0),0),IFERROR(MATCH(1,INDEX((CASHBACK_RULES!$B$5:$B$304=$D233)*(CASHBACK_RULES!$G$5:$G$304=$I233)*(((CASHBACK_RULES!$N$5:$N$304="")+(CASHBACK_RULES!$N$5:$N$304&lt;=$B233))&gt;0)*(((CASHBACK_RULES!$O$5:$O$304="")+(CASHBACK_RULES!$O$5:$O$304&gt;=$B233))&gt;0)*(((CASHBACK_RULES!$M$5:$M$304="")+(CASHBACK_RULES!$M$5:$M$304&lt;=$L233))&gt;0),0),0),0))))</f>
        <v>0</v>
      </c>
      <c r="AD233" s="51" t="str">
        <f>IF(OR($B233="",$D233=""),"",IFERROR(IF(INDEX(CARDS!$H$5:$H$34,MATCH($D233,CARDS!$A$5:$A$34,0))="","",IF(DAY($B233)&lt;=INDEX(CARDS!$H$5:$H$34,MATCH($D233,CARDS!$A$5:$A$34,0)),DATE(YEAR($B233),MONTH($B233),MIN(INDEX(CARDS!$H$5:$H$34,MATCH($D233,CARDS!$A$5:$A$34,0)),DAY(EOMONTH($B233,0)))),DATE(YEAR($B233),MONTH($B233)+1,MIN(INDEX(CARDS!$H$5:$H$34,MATCH($D233,CARDS!$A$5:$A$34,0)),DAY(EOMONTH($B233,1)))))),""))</f>
        <v/>
      </c>
      <c r="AE233" s="52" t="str">
        <f>IF($C233="","",$C233&amp;"|"&amp;COUNTIF($C$5:$C233,$C233))</f>
        <v/>
      </c>
      <c r="AF233" s="53">
        <f>IF($AC233&gt;0,SUMIFS(Q$4:Q232,$D$4:$D232,$D233,$Z$4:$Z232,$Z233,$C$4:$C232,$C233),0)</f>
        <v>0</v>
      </c>
      <c r="AG233" s="53">
        <f>IF($AC233&gt;0,SUMIFS(Q$4:Q232,$D$4:$D232,$D233,$C$4:$C232,$C233),0)</f>
        <v>0</v>
      </c>
      <c r="AH233" s="53">
        <f>IF($AC233&gt;0,SUMIFS(M$4:M232,$D$4:$D232,$D233,$Z$4:$Z232,$Z233,$C$4:$C232,$C233),0)</f>
        <v>0</v>
      </c>
      <c r="AI233" s="43">
        <f>IF(OR($C233="",$I233=""),0,IF(COUNTIFS($C$5:$C233,$C233,$I$5:$I233,$I233)=1,1,0))</f>
        <v>0</v>
      </c>
      <c r="AJ233" s="43" t="str">
        <f>IF($AI233=1,SUMIFS($AI$4:$AI232,$C$4:$C232,$C233)+1,"")</f>
        <v/>
      </c>
      <c r="AK233" s="43">
        <f>IF(OR($C233="",$K233=""),0,IF(COUNTIFS($C$5:$C233,$C233,$K$5:$K233,$K233)=1,1,0))</f>
        <v>0</v>
      </c>
      <c r="AL233" s="43" t="str">
        <f>IF($AK233=1,SUMIFS($AK$4:$AK232,$C$4:$C232,$C233)+1,"")</f>
        <v/>
      </c>
      <c r="AM233" s="43">
        <f>IF(OR($C233="",$G233=""),0,IF(COUNTIFS($C$5:$C233,$C233,$G$5:$G233,$G233)=1,1,0))</f>
        <v>0</v>
      </c>
      <c r="AN233" s="43" t="str">
        <f>IF($AM233=1,SUMIFS($AM$4:$AM232,$C$4:$C232,$C233)+1,"")</f>
        <v/>
      </c>
    </row>
    <row r="234">
      <c r="A234" s="44" t="str">
        <f>IF(OR($B234="",$D234=""),"","TX"&amp;TEXT(ROW()-4,"0000"))</f>
        <v/>
      </c>
      <c r="B234" s="42" t="n"/>
      <c r="C234" s="47" t="str">
        <f>IF($B234="","",YEAR($B234)*100+MONTH($B234))</f>
        <v/>
      </c>
      <c r="D234" s="37" t="n"/>
      <c r="E234" s="45" t="str">
        <f>IF($D234="","",IFERROR(INDEX(CARDS!$B$5:$B$34,MATCH($D234,CARDS!$A$5:$A$34,0)),"⚠ Card ID?"))</f>
        <v/>
      </c>
      <c r="F234" s="45" t="str">
        <f>IF($D234="","",IFERROR(INDEX(CARDS!$C$5:$C$34,MATCH($D234,CARDS!$A$5:$A$34,0)),"⚠ Card ID?"))</f>
        <v/>
      </c>
      <c r="G234" s="37" t="n"/>
      <c r="H234" s="37" t="n"/>
      <c r="I234" s="41" t="n"/>
      <c r="J234" s="45" t="str">
        <f>IF($I234="","",IFERROR(INDEX(MCC_MASTER!$B$5:$B$504,MATCH($I234,MCC_MASTER!$A$5:$A$504,0)),"⚠ MCC chưa có"))</f>
        <v/>
      </c>
      <c r="K234" s="45" t="str">
        <f>IF($I234="","",IFERROR(IF(INDEX(MCC_MASTER!$C$5:$C$504,MATCH($I234,MCC_MASTER!$A$5:$A$504,0))="","Chưa phân loại",INDEX(MCC_MASTER!$C$5:$C$504,MATCH($I234,MCC_MASTER!$A$5:$A$504,0))),"Chưa phân loại"))</f>
        <v/>
      </c>
      <c r="L234" s="40" t="n"/>
      <c r="M234" s="48" t="str">
        <f>IF(OR($B234="",$D234=""),"",IF($AC234=0,0,IF(ISNUMBER(INDEX(CASHBACK_RULES!$L$5:$L$304,$AC234)),MAX(0,MIN($L234,INDEX(CASHBACK_RULES!$L$5:$L$304,$AC234)-$AH234)),MAX(0,$L234))))</f>
        <v/>
      </c>
      <c r="N234" s="49" t="str">
        <f>IF(OR($B234="",$D234=""),"",IF($AC234&gt;0,INDEX(CASHBACK_RULES!$I$5:$I$304,$AC234),0))</f>
        <v/>
      </c>
      <c r="O234" s="48" t="str">
        <f>IF(OR($B234="",$D234=""),"",ROUND($M234*$N234,0))</f>
        <v/>
      </c>
      <c r="P234" s="48" t="str">
        <f>IF($AC234&gt;0,IF(ISNUMBER(INDEX(CASHBACK_RULES!$J$5:$J$304,$AC234)),INDEX(CASHBACK_RULES!$J$5:$J$304,$AC234),"∞"),"")</f>
        <v/>
      </c>
      <c r="Q234" s="48" t="str">
        <f>IF(OR($B234="",$D234=""),"",IF($AC234=0,0,MAX(0,MIN($O234,IF(ISNUMBER($P234),$P234-$AF234,1E+15),IF(ISNUMBER($AA234),$AA234-$AG234,1E+15)))))</f>
        <v/>
      </c>
      <c r="R234" s="48" t="str">
        <f>IF(OR($B234="",$D234=""),"",IF($AC234=0,"",IF(AND(NOT(ISNUMBER($P234)),NOT(ISNUMBER($AA234))),"∞",MAX(0,MIN(IF(ISNUMBER($P234),$P234-$AF234-$Q234,1E+15),IF(ISNUMBER($AA234),$AA234-$AG234-$Q234,1E+15))))))</f>
        <v/>
      </c>
      <c r="S234" s="47" t="str">
        <f>IF($AD234="","",YEAR($AD234)*100+MONTH($AD234))</f>
        <v/>
      </c>
      <c r="T234" s="50" t="str">
        <f>IF($AD234="","",IFERROR(IF(INDEX(CARDS!$I$5:$I$34,MATCH($D234,CARDS!$A$5:$A$34,0))="","",IF(INDEX(CARDS!$I$5:$I$34,MATCH($D234,CARDS!$A$5:$A$34,0))&gt;INDEX(CARDS!$H$5:$H$34,MATCH($D234,CARDS!$A$5:$A$34,0)),DATE(YEAR($AD234),MONTH($AD234),MIN(INDEX(CARDS!$I$5:$I$34,MATCH($D234,CARDS!$A$5:$A$34,0)),DAY(EOMONTH($AD234,0)))),DATE(YEAR($AD234),MONTH($AD234)+1,MIN(INDEX(CARDS!$I$5:$I$34,MATCH($D234,CARDS!$A$5:$A$34,0)),DAY(EOMONTH($AD234,1)))))),""))</f>
        <v/>
      </c>
      <c r="U234" s="38" t="n"/>
      <c r="V234" s="37" t="n"/>
      <c r="W234" s="38" t="n"/>
      <c r="X234" s="38" t="n"/>
      <c r="Y234" s="44" t="str">
        <f>IF($AC234&gt;0,INDEX(CASHBACK_RULES!$A$5:$A$304,$AC234),"")</f>
        <v/>
      </c>
      <c r="Z234" s="45" t="str">
        <f>IF($AC234&gt;0,INDEX(CASHBACK_RULES!$E$5:$E$304,$AC234)&amp;"","")</f>
        <v/>
      </c>
      <c r="AA234" s="48" t="str">
        <f>IF($AC234&gt;0,IF(ISNUMBER(INDEX(CASHBACK_RULES!$K$5:$K$304,$AC234)),INDEX(CASHBACK_RULES!$K$5:$K$304,$AC234),"∞"),"")</f>
        <v/>
      </c>
      <c r="AB234" s="44" t="str">
        <f>IF(OR($B234="",$D234=""),"",IF($U234="Cancelled","Đã hủy",IF($AC234=0,"Không được hoàn",IF($Q234=0,IF(OR($O234&gt;0,$M234&lt;$L234),"Đã đạt cap","Không được hoàn"),IF(OR($Q234&lt;$O234,$M234&lt;$L234),"Hoàn một phần","Được hoàn")))))</f>
        <v/>
      </c>
      <c r="AC234" s="43">
        <f>IF(OR($B234="",$D234="",$I234="",$L234=""),0,IF($U234="Cancelled",0,IF($W234&lt;&gt;"",IFERROR(IF(INDEX(CASHBACK_RULES!$B$5:$B$304,MATCH($W234,CASHBACK_RULES!$A$5:$A$304,0))=$D234,MATCH($W234,CASHBACK_RULES!$A$5:$A$304,0),0),0),IFERROR(MATCH(1,INDEX((CASHBACK_RULES!$B$5:$B$304=$D234)*(CASHBACK_RULES!$G$5:$G$304=$I234)*(((CASHBACK_RULES!$N$5:$N$304="")+(CASHBACK_RULES!$N$5:$N$304&lt;=$B234))&gt;0)*(((CASHBACK_RULES!$O$5:$O$304="")+(CASHBACK_RULES!$O$5:$O$304&gt;=$B234))&gt;0)*(((CASHBACK_RULES!$M$5:$M$304="")+(CASHBACK_RULES!$M$5:$M$304&lt;=$L234))&gt;0),0),0),0))))</f>
        <v>0</v>
      </c>
      <c r="AD234" s="51" t="str">
        <f>IF(OR($B234="",$D234=""),"",IFERROR(IF(INDEX(CARDS!$H$5:$H$34,MATCH($D234,CARDS!$A$5:$A$34,0))="","",IF(DAY($B234)&lt;=INDEX(CARDS!$H$5:$H$34,MATCH($D234,CARDS!$A$5:$A$34,0)),DATE(YEAR($B234),MONTH($B234),MIN(INDEX(CARDS!$H$5:$H$34,MATCH($D234,CARDS!$A$5:$A$34,0)),DAY(EOMONTH($B234,0)))),DATE(YEAR($B234),MONTH($B234)+1,MIN(INDEX(CARDS!$H$5:$H$34,MATCH($D234,CARDS!$A$5:$A$34,0)),DAY(EOMONTH($B234,1)))))),""))</f>
        <v/>
      </c>
      <c r="AE234" s="52" t="str">
        <f>IF($C234="","",$C234&amp;"|"&amp;COUNTIF($C$5:$C234,$C234))</f>
        <v/>
      </c>
      <c r="AF234" s="53">
        <f>IF($AC234&gt;0,SUMIFS(Q$4:Q233,$D$4:$D233,$D234,$Z$4:$Z233,$Z234,$C$4:$C233,$C234),0)</f>
        <v>0</v>
      </c>
      <c r="AG234" s="53">
        <f>IF($AC234&gt;0,SUMIFS(Q$4:Q233,$D$4:$D233,$D234,$C$4:$C233,$C234),0)</f>
        <v>0</v>
      </c>
      <c r="AH234" s="53">
        <f>IF($AC234&gt;0,SUMIFS(M$4:M233,$D$4:$D233,$D234,$Z$4:$Z233,$Z234,$C$4:$C233,$C234),0)</f>
        <v>0</v>
      </c>
      <c r="AI234" s="43">
        <f>IF(OR($C234="",$I234=""),0,IF(COUNTIFS($C$5:$C234,$C234,$I$5:$I234,$I234)=1,1,0))</f>
        <v>0</v>
      </c>
      <c r="AJ234" s="43" t="str">
        <f>IF($AI234=1,SUMIFS($AI$4:$AI233,$C$4:$C233,$C234)+1,"")</f>
        <v/>
      </c>
      <c r="AK234" s="43">
        <f>IF(OR($C234="",$K234=""),0,IF(COUNTIFS($C$5:$C234,$C234,$K$5:$K234,$K234)=1,1,0))</f>
        <v>0</v>
      </c>
      <c r="AL234" s="43" t="str">
        <f>IF($AK234=1,SUMIFS($AK$4:$AK233,$C$4:$C233,$C234)+1,"")</f>
        <v/>
      </c>
      <c r="AM234" s="43">
        <f>IF(OR($C234="",$G234=""),0,IF(COUNTIFS($C$5:$C234,$C234,$G$5:$G234,$G234)=1,1,0))</f>
        <v>0</v>
      </c>
      <c r="AN234" s="43" t="str">
        <f>IF($AM234=1,SUMIFS($AM$4:$AM233,$C$4:$C233,$C234)+1,"")</f>
        <v/>
      </c>
    </row>
    <row r="235">
      <c r="A235" s="44" t="str">
        <f>IF(OR($B235="",$D235=""),"","TX"&amp;TEXT(ROW()-4,"0000"))</f>
        <v/>
      </c>
      <c r="B235" s="42" t="n"/>
      <c r="C235" s="47" t="str">
        <f>IF($B235="","",YEAR($B235)*100+MONTH($B235))</f>
        <v/>
      </c>
      <c r="D235" s="37" t="n"/>
      <c r="E235" s="45" t="str">
        <f>IF($D235="","",IFERROR(INDEX(CARDS!$B$5:$B$34,MATCH($D235,CARDS!$A$5:$A$34,0)),"⚠ Card ID?"))</f>
        <v/>
      </c>
      <c r="F235" s="45" t="str">
        <f>IF($D235="","",IFERROR(INDEX(CARDS!$C$5:$C$34,MATCH($D235,CARDS!$A$5:$A$34,0)),"⚠ Card ID?"))</f>
        <v/>
      </c>
      <c r="G235" s="37" t="n"/>
      <c r="H235" s="37" t="n"/>
      <c r="I235" s="41" t="n"/>
      <c r="J235" s="45" t="str">
        <f>IF($I235="","",IFERROR(INDEX(MCC_MASTER!$B$5:$B$504,MATCH($I235,MCC_MASTER!$A$5:$A$504,0)),"⚠ MCC chưa có"))</f>
        <v/>
      </c>
      <c r="K235" s="45" t="str">
        <f>IF($I235="","",IFERROR(IF(INDEX(MCC_MASTER!$C$5:$C$504,MATCH($I235,MCC_MASTER!$A$5:$A$504,0))="","Chưa phân loại",INDEX(MCC_MASTER!$C$5:$C$504,MATCH($I235,MCC_MASTER!$A$5:$A$504,0))),"Chưa phân loại"))</f>
        <v/>
      </c>
      <c r="L235" s="40" t="n"/>
      <c r="M235" s="48" t="str">
        <f>IF(OR($B235="",$D235=""),"",IF($AC235=0,0,IF(ISNUMBER(INDEX(CASHBACK_RULES!$L$5:$L$304,$AC235)),MAX(0,MIN($L235,INDEX(CASHBACK_RULES!$L$5:$L$304,$AC235)-$AH235)),MAX(0,$L235))))</f>
        <v/>
      </c>
      <c r="N235" s="49" t="str">
        <f>IF(OR($B235="",$D235=""),"",IF($AC235&gt;0,INDEX(CASHBACK_RULES!$I$5:$I$304,$AC235),0))</f>
        <v/>
      </c>
      <c r="O235" s="48" t="str">
        <f>IF(OR($B235="",$D235=""),"",ROUND($M235*$N235,0))</f>
        <v/>
      </c>
      <c r="P235" s="48" t="str">
        <f>IF($AC235&gt;0,IF(ISNUMBER(INDEX(CASHBACK_RULES!$J$5:$J$304,$AC235)),INDEX(CASHBACK_RULES!$J$5:$J$304,$AC235),"∞"),"")</f>
        <v/>
      </c>
      <c r="Q235" s="48" t="str">
        <f>IF(OR($B235="",$D235=""),"",IF($AC235=0,0,MAX(0,MIN($O235,IF(ISNUMBER($P235),$P235-$AF235,1E+15),IF(ISNUMBER($AA235),$AA235-$AG235,1E+15)))))</f>
        <v/>
      </c>
      <c r="R235" s="48" t="str">
        <f>IF(OR($B235="",$D235=""),"",IF($AC235=0,"",IF(AND(NOT(ISNUMBER($P235)),NOT(ISNUMBER($AA235))),"∞",MAX(0,MIN(IF(ISNUMBER($P235),$P235-$AF235-$Q235,1E+15),IF(ISNUMBER($AA235),$AA235-$AG235-$Q235,1E+15))))))</f>
        <v/>
      </c>
      <c r="S235" s="47" t="str">
        <f>IF($AD235="","",YEAR($AD235)*100+MONTH($AD235))</f>
        <v/>
      </c>
      <c r="T235" s="50" t="str">
        <f>IF($AD235="","",IFERROR(IF(INDEX(CARDS!$I$5:$I$34,MATCH($D235,CARDS!$A$5:$A$34,0))="","",IF(INDEX(CARDS!$I$5:$I$34,MATCH($D235,CARDS!$A$5:$A$34,0))&gt;INDEX(CARDS!$H$5:$H$34,MATCH($D235,CARDS!$A$5:$A$34,0)),DATE(YEAR($AD235),MONTH($AD235),MIN(INDEX(CARDS!$I$5:$I$34,MATCH($D235,CARDS!$A$5:$A$34,0)),DAY(EOMONTH($AD235,0)))),DATE(YEAR($AD235),MONTH($AD235)+1,MIN(INDEX(CARDS!$I$5:$I$34,MATCH($D235,CARDS!$A$5:$A$34,0)),DAY(EOMONTH($AD235,1)))))),""))</f>
        <v/>
      </c>
      <c r="U235" s="38" t="n"/>
      <c r="V235" s="37" t="n"/>
      <c r="W235" s="38" t="n"/>
      <c r="X235" s="38" t="n"/>
      <c r="Y235" s="44" t="str">
        <f>IF($AC235&gt;0,INDEX(CASHBACK_RULES!$A$5:$A$304,$AC235),"")</f>
        <v/>
      </c>
      <c r="Z235" s="45" t="str">
        <f>IF($AC235&gt;0,INDEX(CASHBACK_RULES!$E$5:$E$304,$AC235)&amp;"","")</f>
        <v/>
      </c>
      <c r="AA235" s="48" t="str">
        <f>IF($AC235&gt;0,IF(ISNUMBER(INDEX(CASHBACK_RULES!$K$5:$K$304,$AC235)),INDEX(CASHBACK_RULES!$K$5:$K$304,$AC235),"∞"),"")</f>
        <v/>
      </c>
      <c r="AB235" s="44" t="str">
        <f>IF(OR($B235="",$D235=""),"",IF($U235="Cancelled","Đã hủy",IF($AC235=0,"Không được hoàn",IF($Q235=0,IF(OR($O235&gt;0,$M235&lt;$L235),"Đã đạt cap","Không được hoàn"),IF(OR($Q235&lt;$O235,$M235&lt;$L235),"Hoàn một phần","Được hoàn")))))</f>
        <v/>
      </c>
      <c r="AC235" s="43">
        <f>IF(OR($B235="",$D235="",$I235="",$L235=""),0,IF($U235="Cancelled",0,IF($W235&lt;&gt;"",IFERROR(IF(INDEX(CASHBACK_RULES!$B$5:$B$304,MATCH($W235,CASHBACK_RULES!$A$5:$A$304,0))=$D235,MATCH($W235,CASHBACK_RULES!$A$5:$A$304,0),0),0),IFERROR(MATCH(1,INDEX((CASHBACK_RULES!$B$5:$B$304=$D235)*(CASHBACK_RULES!$G$5:$G$304=$I235)*(((CASHBACK_RULES!$N$5:$N$304="")+(CASHBACK_RULES!$N$5:$N$304&lt;=$B235))&gt;0)*(((CASHBACK_RULES!$O$5:$O$304="")+(CASHBACK_RULES!$O$5:$O$304&gt;=$B235))&gt;0)*(((CASHBACK_RULES!$M$5:$M$304="")+(CASHBACK_RULES!$M$5:$M$304&lt;=$L235))&gt;0),0),0),0))))</f>
        <v>0</v>
      </c>
      <c r="AD235" s="51" t="str">
        <f>IF(OR($B235="",$D235=""),"",IFERROR(IF(INDEX(CARDS!$H$5:$H$34,MATCH($D235,CARDS!$A$5:$A$34,0))="","",IF(DAY($B235)&lt;=INDEX(CARDS!$H$5:$H$34,MATCH($D235,CARDS!$A$5:$A$34,0)),DATE(YEAR($B235),MONTH($B235),MIN(INDEX(CARDS!$H$5:$H$34,MATCH($D235,CARDS!$A$5:$A$34,0)),DAY(EOMONTH($B235,0)))),DATE(YEAR($B235),MONTH($B235)+1,MIN(INDEX(CARDS!$H$5:$H$34,MATCH($D235,CARDS!$A$5:$A$34,0)),DAY(EOMONTH($B235,1)))))),""))</f>
        <v/>
      </c>
      <c r="AE235" s="52" t="str">
        <f>IF($C235="","",$C235&amp;"|"&amp;COUNTIF($C$5:$C235,$C235))</f>
        <v/>
      </c>
      <c r="AF235" s="53">
        <f>IF($AC235&gt;0,SUMIFS(Q$4:Q234,$D$4:$D234,$D235,$Z$4:$Z234,$Z235,$C$4:$C234,$C235),0)</f>
        <v>0</v>
      </c>
      <c r="AG235" s="53">
        <f>IF($AC235&gt;0,SUMIFS(Q$4:Q234,$D$4:$D234,$D235,$C$4:$C234,$C235),0)</f>
        <v>0</v>
      </c>
      <c r="AH235" s="53">
        <f>IF($AC235&gt;0,SUMIFS(M$4:M234,$D$4:$D234,$D235,$Z$4:$Z234,$Z235,$C$4:$C234,$C235),0)</f>
        <v>0</v>
      </c>
      <c r="AI235" s="43">
        <f>IF(OR($C235="",$I235=""),0,IF(COUNTIFS($C$5:$C235,$C235,$I$5:$I235,$I235)=1,1,0))</f>
        <v>0</v>
      </c>
      <c r="AJ235" s="43" t="str">
        <f>IF($AI235=1,SUMIFS($AI$4:$AI234,$C$4:$C234,$C235)+1,"")</f>
        <v/>
      </c>
      <c r="AK235" s="43">
        <f>IF(OR($C235="",$K235=""),0,IF(COUNTIFS($C$5:$C235,$C235,$K$5:$K235,$K235)=1,1,0))</f>
        <v>0</v>
      </c>
      <c r="AL235" s="43" t="str">
        <f>IF($AK235=1,SUMIFS($AK$4:$AK234,$C$4:$C234,$C235)+1,"")</f>
        <v/>
      </c>
      <c r="AM235" s="43">
        <f>IF(OR($C235="",$G235=""),0,IF(COUNTIFS($C$5:$C235,$C235,$G$5:$G235,$G235)=1,1,0))</f>
        <v>0</v>
      </c>
      <c r="AN235" s="43" t="str">
        <f>IF($AM235=1,SUMIFS($AM$4:$AM234,$C$4:$C234,$C235)+1,"")</f>
        <v/>
      </c>
    </row>
    <row r="236">
      <c r="A236" s="44" t="str">
        <f>IF(OR($B236="",$D236=""),"","TX"&amp;TEXT(ROW()-4,"0000"))</f>
        <v/>
      </c>
      <c r="B236" s="42" t="n"/>
      <c r="C236" s="47" t="str">
        <f>IF($B236="","",YEAR($B236)*100+MONTH($B236))</f>
        <v/>
      </c>
      <c r="D236" s="37" t="n"/>
      <c r="E236" s="45" t="str">
        <f>IF($D236="","",IFERROR(INDEX(CARDS!$B$5:$B$34,MATCH($D236,CARDS!$A$5:$A$34,0)),"⚠ Card ID?"))</f>
        <v/>
      </c>
      <c r="F236" s="45" t="str">
        <f>IF($D236="","",IFERROR(INDEX(CARDS!$C$5:$C$34,MATCH($D236,CARDS!$A$5:$A$34,0)),"⚠ Card ID?"))</f>
        <v/>
      </c>
      <c r="G236" s="37" t="n"/>
      <c r="H236" s="37" t="n"/>
      <c r="I236" s="41" t="n"/>
      <c r="J236" s="45" t="str">
        <f>IF($I236="","",IFERROR(INDEX(MCC_MASTER!$B$5:$B$504,MATCH($I236,MCC_MASTER!$A$5:$A$504,0)),"⚠ MCC chưa có"))</f>
        <v/>
      </c>
      <c r="K236" s="45" t="str">
        <f>IF($I236="","",IFERROR(IF(INDEX(MCC_MASTER!$C$5:$C$504,MATCH($I236,MCC_MASTER!$A$5:$A$504,0))="","Chưa phân loại",INDEX(MCC_MASTER!$C$5:$C$504,MATCH($I236,MCC_MASTER!$A$5:$A$504,0))),"Chưa phân loại"))</f>
        <v/>
      </c>
      <c r="L236" s="40" t="n"/>
      <c r="M236" s="48" t="str">
        <f>IF(OR($B236="",$D236=""),"",IF($AC236=0,0,IF(ISNUMBER(INDEX(CASHBACK_RULES!$L$5:$L$304,$AC236)),MAX(0,MIN($L236,INDEX(CASHBACK_RULES!$L$5:$L$304,$AC236)-$AH236)),MAX(0,$L236))))</f>
        <v/>
      </c>
      <c r="N236" s="49" t="str">
        <f>IF(OR($B236="",$D236=""),"",IF($AC236&gt;0,INDEX(CASHBACK_RULES!$I$5:$I$304,$AC236),0))</f>
        <v/>
      </c>
      <c r="O236" s="48" t="str">
        <f>IF(OR($B236="",$D236=""),"",ROUND($M236*$N236,0))</f>
        <v/>
      </c>
      <c r="P236" s="48" t="str">
        <f>IF($AC236&gt;0,IF(ISNUMBER(INDEX(CASHBACK_RULES!$J$5:$J$304,$AC236)),INDEX(CASHBACK_RULES!$J$5:$J$304,$AC236),"∞"),"")</f>
        <v/>
      </c>
      <c r="Q236" s="48" t="str">
        <f>IF(OR($B236="",$D236=""),"",IF($AC236=0,0,MAX(0,MIN($O236,IF(ISNUMBER($P236),$P236-$AF236,1E+15),IF(ISNUMBER($AA236),$AA236-$AG236,1E+15)))))</f>
        <v/>
      </c>
      <c r="R236" s="48" t="str">
        <f>IF(OR($B236="",$D236=""),"",IF($AC236=0,"",IF(AND(NOT(ISNUMBER($P236)),NOT(ISNUMBER($AA236))),"∞",MAX(0,MIN(IF(ISNUMBER($P236),$P236-$AF236-$Q236,1E+15),IF(ISNUMBER($AA236),$AA236-$AG236-$Q236,1E+15))))))</f>
        <v/>
      </c>
      <c r="S236" s="47" t="str">
        <f>IF($AD236="","",YEAR($AD236)*100+MONTH($AD236))</f>
        <v/>
      </c>
      <c r="T236" s="50" t="str">
        <f>IF($AD236="","",IFERROR(IF(INDEX(CARDS!$I$5:$I$34,MATCH($D236,CARDS!$A$5:$A$34,0))="","",IF(INDEX(CARDS!$I$5:$I$34,MATCH($D236,CARDS!$A$5:$A$34,0))&gt;INDEX(CARDS!$H$5:$H$34,MATCH($D236,CARDS!$A$5:$A$34,0)),DATE(YEAR($AD236),MONTH($AD236),MIN(INDEX(CARDS!$I$5:$I$34,MATCH($D236,CARDS!$A$5:$A$34,0)),DAY(EOMONTH($AD236,0)))),DATE(YEAR($AD236),MONTH($AD236)+1,MIN(INDEX(CARDS!$I$5:$I$34,MATCH($D236,CARDS!$A$5:$A$34,0)),DAY(EOMONTH($AD236,1)))))),""))</f>
        <v/>
      </c>
      <c r="U236" s="38" t="n"/>
      <c r="V236" s="37" t="n"/>
      <c r="W236" s="38" t="n"/>
      <c r="X236" s="38" t="n"/>
      <c r="Y236" s="44" t="str">
        <f>IF($AC236&gt;0,INDEX(CASHBACK_RULES!$A$5:$A$304,$AC236),"")</f>
        <v/>
      </c>
      <c r="Z236" s="45" t="str">
        <f>IF($AC236&gt;0,INDEX(CASHBACK_RULES!$E$5:$E$304,$AC236)&amp;"","")</f>
        <v/>
      </c>
      <c r="AA236" s="48" t="str">
        <f>IF($AC236&gt;0,IF(ISNUMBER(INDEX(CASHBACK_RULES!$K$5:$K$304,$AC236)),INDEX(CASHBACK_RULES!$K$5:$K$304,$AC236),"∞"),"")</f>
        <v/>
      </c>
      <c r="AB236" s="44" t="str">
        <f>IF(OR($B236="",$D236=""),"",IF($U236="Cancelled","Đã hủy",IF($AC236=0,"Không được hoàn",IF($Q236=0,IF(OR($O236&gt;0,$M236&lt;$L236),"Đã đạt cap","Không được hoàn"),IF(OR($Q236&lt;$O236,$M236&lt;$L236),"Hoàn một phần","Được hoàn")))))</f>
        <v/>
      </c>
      <c r="AC236" s="43">
        <f>IF(OR($B236="",$D236="",$I236="",$L236=""),0,IF($U236="Cancelled",0,IF($W236&lt;&gt;"",IFERROR(IF(INDEX(CASHBACK_RULES!$B$5:$B$304,MATCH($W236,CASHBACK_RULES!$A$5:$A$304,0))=$D236,MATCH($W236,CASHBACK_RULES!$A$5:$A$304,0),0),0),IFERROR(MATCH(1,INDEX((CASHBACK_RULES!$B$5:$B$304=$D236)*(CASHBACK_RULES!$G$5:$G$304=$I236)*(((CASHBACK_RULES!$N$5:$N$304="")+(CASHBACK_RULES!$N$5:$N$304&lt;=$B236))&gt;0)*(((CASHBACK_RULES!$O$5:$O$304="")+(CASHBACK_RULES!$O$5:$O$304&gt;=$B236))&gt;0)*(((CASHBACK_RULES!$M$5:$M$304="")+(CASHBACK_RULES!$M$5:$M$304&lt;=$L236))&gt;0),0),0),0))))</f>
        <v>0</v>
      </c>
      <c r="AD236" s="51" t="str">
        <f>IF(OR($B236="",$D236=""),"",IFERROR(IF(INDEX(CARDS!$H$5:$H$34,MATCH($D236,CARDS!$A$5:$A$34,0))="","",IF(DAY($B236)&lt;=INDEX(CARDS!$H$5:$H$34,MATCH($D236,CARDS!$A$5:$A$34,0)),DATE(YEAR($B236),MONTH($B236),MIN(INDEX(CARDS!$H$5:$H$34,MATCH($D236,CARDS!$A$5:$A$34,0)),DAY(EOMONTH($B236,0)))),DATE(YEAR($B236),MONTH($B236)+1,MIN(INDEX(CARDS!$H$5:$H$34,MATCH($D236,CARDS!$A$5:$A$34,0)),DAY(EOMONTH($B236,1)))))),""))</f>
        <v/>
      </c>
      <c r="AE236" s="52" t="str">
        <f>IF($C236="","",$C236&amp;"|"&amp;COUNTIF($C$5:$C236,$C236))</f>
        <v/>
      </c>
      <c r="AF236" s="53">
        <f>IF($AC236&gt;0,SUMIFS(Q$4:Q235,$D$4:$D235,$D236,$Z$4:$Z235,$Z236,$C$4:$C235,$C236),0)</f>
        <v>0</v>
      </c>
      <c r="AG236" s="53">
        <f>IF($AC236&gt;0,SUMIFS(Q$4:Q235,$D$4:$D235,$D236,$C$4:$C235,$C236),0)</f>
        <v>0</v>
      </c>
      <c r="AH236" s="53">
        <f>IF($AC236&gt;0,SUMIFS(M$4:M235,$D$4:$D235,$D236,$Z$4:$Z235,$Z236,$C$4:$C235,$C236),0)</f>
        <v>0</v>
      </c>
      <c r="AI236" s="43">
        <f>IF(OR($C236="",$I236=""),0,IF(COUNTIFS($C$5:$C236,$C236,$I$5:$I236,$I236)=1,1,0))</f>
        <v>0</v>
      </c>
      <c r="AJ236" s="43" t="str">
        <f>IF($AI236=1,SUMIFS($AI$4:$AI235,$C$4:$C235,$C236)+1,"")</f>
        <v/>
      </c>
      <c r="AK236" s="43">
        <f>IF(OR($C236="",$K236=""),0,IF(COUNTIFS($C$5:$C236,$C236,$K$5:$K236,$K236)=1,1,0))</f>
        <v>0</v>
      </c>
      <c r="AL236" s="43" t="str">
        <f>IF($AK236=1,SUMIFS($AK$4:$AK235,$C$4:$C235,$C236)+1,"")</f>
        <v/>
      </c>
      <c r="AM236" s="43">
        <f>IF(OR($C236="",$G236=""),0,IF(COUNTIFS($C$5:$C236,$C236,$G$5:$G236,$G236)=1,1,0))</f>
        <v>0</v>
      </c>
      <c r="AN236" s="43" t="str">
        <f>IF($AM236=1,SUMIFS($AM$4:$AM235,$C$4:$C235,$C236)+1,"")</f>
        <v/>
      </c>
    </row>
    <row r="237">
      <c r="A237" s="44" t="str">
        <f>IF(OR($B237="",$D237=""),"","TX"&amp;TEXT(ROW()-4,"0000"))</f>
        <v/>
      </c>
      <c r="B237" s="42" t="n"/>
      <c r="C237" s="47" t="str">
        <f>IF($B237="","",YEAR($B237)*100+MONTH($B237))</f>
        <v/>
      </c>
      <c r="D237" s="37" t="n"/>
      <c r="E237" s="45" t="str">
        <f>IF($D237="","",IFERROR(INDEX(CARDS!$B$5:$B$34,MATCH($D237,CARDS!$A$5:$A$34,0)),"⚠ Card ID?"))</f>
        <v/>
      </c>
      <c r="F237" s="45" t="str">
        <f>IF($D237="","",IFERROR(INDEX(CARDS!$C$5:$C$34,MATCH($D237,CARDS!$A$5:$A$34,0)),"⚠ Card ID?"))</f>
        <v/>
      </c>
      <c r="G237" s="37" t="n"/>
      <c r="H237" s="37" t="n"/>
      <c r="I237" s="41" t="n"/>
      <c r="J237" s="45" t="str">
        <f>IF($I237="","",IFERROR(INDEX(MCC_MASTER!$B$5:$B$504,MATCH($I237,MCC_MASTER!$A$5:$A$504,0)),"⚠ MCC chưa có"))</f>
        <v/>
      </c>
      <c r="K237" s="45" t="str">
        <f>IF($I237="","",IFERROR(IF(INDEX(MCC_MASTER!$C$5:$C$504,MATCH($I237,MCC_MASTER!$A$5:$A$504,0))="","Chưa phân loại",INDEX(MCC_MASTER!$C$5:$C$504,MATCH($I237,MCC_MASTER!$A$5:$A$504,0))),"Chưa phân loại"))</f>
        <v/>
      </c>
      <c r="L237" s="40" t="n"/>
      <c r="M237" s="48" t="str">
        <f>IF(OR($B237="",$D237=""),"",IF($AC237=0,0,IF(ISNUMBER(INDEX(CASHBACK_RULES!$L$5:$L$304,$AC237)),MAX(0,MIN($L237,INDEX(CASHBACK_RULES!$L$5:$L$304,$AC237)-$AH237)),MAX(0,$L237))))</f>
        <v/>
      </c>
      <c r="N237" s="49" t="str">
        <f>IF(OR($B237="",$D237=""),"",IF($AC237&gt;0,INDEX(CASHBACK_RULES!$I$5:$I$304,$AC237),0))</f>
        <v/>
      </c>
      <c r="O237" s="48" t="str">
        <f>IF(OR($B237="",$D237=""),"",ROUND($M237*$N237,0))</f>
        <v/>
      </c>
      <c r="P237" s="48" t="str">
        <f>IF($AC237&gt;0,IF(ISNUMBER(INDEX(CASHBACK_RULES!$J$5:$J$304,$AC237)),INDEX(CASHBACK_RULES!$J$5:$J$304,$AC237),"∞"),"")</f>
        <v/>
      </c>
      <c r="Q237" s="48" t="str">
        <f>IF(OR($B237="",$D237=""),"",IF($AC237=0,0,MAX(0,MIN($O237,IF(ISNUMBER($P237),$P237-$AF237,1E+15),IF(ISNUMBER($AA237),$AA237-$AG237,1E+15)))))</f>
        <v/>
      </c>
      <c r="R237" s="48" t="str">
        <f>IF(OR($B237="",$D237=""),"",IF($AC237=0,"",IF(AND(NOT(ISNUMBER($P237)),NOT(ISNUMBER($AA237))),"∞",MAX(0,MIN(IF(ISNUMBER($P237),$P237-$AF237-$Q237,1E+15),IF(ISNUMBER($AA237),$AA237-$AG237-$Q237,1E+15))))))</f>
        <v/>
      </c>
      <c r="S237" s="47" t="str">
        <f>IF($AD237="","",YEAR($AD237)*100+MONTH($AD237))</f>
        <v/>
      </c>
      <c r="T237" s="50" t="str">
        <f>IF($AD237="","",IFERROR(IF(INDEX(CARDS!$I$5:$I$34,MATCH($D237,CARDS!$A$5:$A$34,0))="","",IF(INDEX(CARDS!$I$5:$I$34,MATCH($D237,CARDS!$A$5:$A$34,0))&gt;INDEX(CARDS!$H$5:$H$34,MATCH($D237,CARDS!$A$5:$A$34,0)),DATE(YEAR($AD237),MONTH($AD237),MIN(INDEX(CARDS!$I$5:$I$34,MATCH($D237,CARDS!$A$5:$A$34,0)),DAY(EOMONTH($AD237,0)))),DATE(YEAR($AD237),MONTH($AD237)+1,MIN(INDEX(CARDS!$I$5:$I$34,MATCH($D237,CARDS!$A$5:$A$34,0)),DAY(EOMONTH($AD237,1)))))),""))</f>
        <v/>
      </c>
      <c r="U237" s="38" t="n"/>
      <c r="V237" s="37" t="n"/>
      <c r="W237" s="38" t="n"/>
      <c r="X237" s="38" t="n"/>
      <c r="Y237" s="44" t="str">
        <f>IF($AC237&gt;0,INDEX(CASHBACK_RULES!$A$5:$A$304,$AC237),"")</f>
        <v/>
      </c>
      <c r="Z237" s="45" t="str">
        <f>IF($AC237&gt;0,INDEX(CASHBACK_RULES!$E$5:$E$304,$AC237)&amp;"","")</f>
        <v/>
      </c>
      <c r="AA237" s="48" t="str">
        <f>IF($AC237&gt;0,IF(ISNUMBER(INDEX(CASHBACK_RULES!$K$5:$K$304,$AC237)),INDEX(CASHBACK_RULES!$K$5:$K$304,$AC237),"∞"),"")</f>
        <v/>
      </c>
      <c r="AB237" s="44" t="str">
        <f>IF(OR($B237="",$D237=""),"",IF($U237="Cancelled","Đã hủy",IF($AC237=0,"Không được hoàn",IF($Q237=0,IF(OR($O237&gt;0,$M237&lt;$L237),"Đã đạt cap","Không được hoàn"),IF(OR($Q237&lt;$O237,$M237&lt;$L237),"Hoàn một phần","Được hoàn")))))</f>
        <v/>
      </c>
      <c r="AC237" s="43">
        <f>IF(OR($B237="",$D237="",$I237="",$L237=""),0,IF($U237="Cancelled",0,IF($W237&lt;&gt;"",IFERROR(IF(INDEX(CASHBACK_RULES!$B$5:$B$304,MATCH($W237,CASHBACK_RULES!$A$5:$A$304,0))=$D237,MATCH($W237,CASHBACK_RULES!$A$5:$A$304,0),0),0),IFERROR(MATCH(1,INDEX((CASHBACK_RULES!$B$5:$B$304=$D237)*(CASHBACK_RULES!$G$5:$G$304=$I237)*(((CASHBACK_RULES!$N$5:$N$304="")+(CASHBACK_RULES!$N$5:$N$304&lt;=$B237))&gt;0)*(((CASHBACK_RULES!$O$5:$O$304="")+(CASHBACK_RULES!$O$5:$O$304&gt;=$B237))&gt;0)*(((CASHBACK_RULES!$M$5:$M$304="")+(CASHBACK_RULES!$M$5:$M$304&lt;=$L237))&gt;0),0),0),0))))</f>
        <v>0</v>
      </c>
      <c r="AD237" s="51" t="str">
        <f>IF(OR($B237="",$D237=""),"",IFERROR(IF(INDEX(CARDS!$H$5:$H$34,MATCH($D237,CARDS!$A$5:$A$34,0))="","",IF(DAY($B237)&lt;=INDEX(CARDS!$H$5:$H$34,MATCH($D237,CARDS!$A$5:$A$34,0)),DATE(YEAR($B237),MONTH($B237),MIN(INDEX(CARDS!$H$5:$H$34,MATCH($D237,CARDS!$A$5:$A$34,0)),DAY(EOMONTH($B237,0)))),DATE(YEAR($B237),MONTH($B237)+1,MIN(INDEX(CARDS!$H$5:$H$34,MATCH($D237,CARDS!$A$5:$A$34,0)),DAY(EOMONTH($B237,1)))))),""))</f>
        <v/>
      </c>
      <c r="AE237" s="52" t="str">
        <f>IF($C237="","",$C237&amp;"|"&amp;COUNTIF($C$5:$C237,$C237))</f>
        <v/>
      </c>
      <c r="AF237" s="53">
        <f>IF($AC237&gt;0,SUMIFS(Q$4:Q236,$D$4:$D236,$D237,$Z$4:$Z236,$Z237,$C$4:$C236,$C237),0)</f>
        <v>0</v>
      </c>
      <c r="AG237" s="53">
        <f>IF($AC237&gt;0,SUMIFS(Q$4:Q236,$D$4:$D236,$D237,$C$4:$C236,$C237),0)</f>
        <v>0</v>
      </c>
      <c r="AH237" s="53">
        <f>IF($AC237&gt;0,SUMIFS(M$4:M236,$D$4:$D236,$D237,$Z$4:$Z236,$Z237,$C$4:$C236,$C237),0)</f>
        <v>0</v>
      </c>
      <c r="AI237" s="43">
        <f>IF(OR($C237="",$I237=""),0,IF(COUNTIFS($C$5:$C237,$C237,$I$5:$I237,$I237)=1,1,0))</f>
        <v>0</v>
      </c>
      <c r="AJ237" s="43" t="str">
        <f>IF($AI237=1,SUMIFS($AI$4:$AI236,$C$4:$C236,$C237)+1,"")</f>
        <v/>
      </c>
      <c r="AK237" s="43">
        <f>IF(OR($C237="",$K237=""),0,IF(COUNTIFS($C$5:$C237,$C237,$K$5:$K237,$K237)=1,1,0))</f>
        <v>0</v>
      </c>
      <c r="AL237" s="43" t="str">
        <f>IF($AK237=1,SUMIFS($AK$4:$AK236,$C$4:$C236,$C237)+1,"")</f>
        <v/>
      </c>
      <c r="AM237" s="43">
        <f>IF(OR($C237="",$G237=""),0,IF(COUNTIFS($C$5:$C237,$C237,$G$5:$G237,$G237)=1,1,0))</f>
        <v>0</v>
      </c>
      <c r="AN237" s="43" t="str">
        <f>IF($AM237=1,SUMIFS($AM$4:$AM236,$C$4:$C236,$C237)+1,"")</f>
        <v/>
      </c>
    </row>
    <row r="238">
      <c r="A238" s="44" t="str">
        <f>IF(OR($B238="",$D238=""),"","TX"&amp;TEXT(ROW()-4,"0000"))</f>
        <v/>
      </c>
      <c r="B238" s="42" t="n"/>
      <c r="C238" s="47" t="str">
        <f>IF($B238="","",YEAR($B238)*100+MONTH($B238))</f>
        <v/>
      </c>
      <c r="D238" s="37" t="n"/>
      <c r="E238" s="45" t="str">
        <f>IF($D238="","",IFERROR(INDEX(CARDS!$B$5:$B$34,MATCH($D238,CARDS!$A$5:$A$34,0)),"⚠ Card ID?"))</f>
        <v/>
      </c>
      <c r="F238" s="45" t="str">
        <f>IF($D238="","",IFERROR(INDEX(CARDS!$C$5:$C$34,MATCH($D238,CARDS!$A$5:$A$34,0)),"⚠ Card ID?"))</f>
        <v/>
      </c>
      <c r="G238" s="37" t="n"/>
      <c r="H238" s="37" t="n"/>
      <c r="I238" s="41" t="n"/>
      <c r="J238" s="45" t="str">
        <f>IF($I238="","",IFERROR(INDEX(MCC_MASTER!$B$5:$B$504,MATCH($I238,MCC_MASTER!$A$5:$A$504,0)),"⚠ MCC chưa có"))</f>
        <v/>
      </c>
      <c r="K238" s="45" t="str">
        <f>IF($I238="","",IFERROR(IF(INDEX(MCC_MASTER!$C$5:$C$504,MATCH($I238,MCC_MASTER!$A$5:$A$504,0))="","Chưa phân loại",INDEX(MCC_MASTER!$C$5:$C$504,MATCH($I238,MCC_MASTER!$A$5:$A$504,0))),"Chưa phân loại"))</f>
        <v/>
      </c>
      <c r="L238" s="40" t="n"/>
      <c r="M238" s="48" t="str">
        <f>IF(OR($B238="",$D238=""),"",IF($AC238=0,0,IF(ISNUMBER(INDEX(CASHBACK_RULES!$L$5:$L$304,$AC238)),MAX(0,MIN($L238,INDEX(CASHBACK_RULES!$L$5:$L$304,$AC238)-$AH238)),MAX(0,$L238))))</f>
        <v/>
      </c>
      <c r="N238" s="49" t="str">
        <f>IF(OR($B238="",$D238=""),"",IF($AC238&gt;0,INDEX(CASHBACK_RULES!$I$5:$I$304,$AC238),0))</f>
        <v/>
      </c>
      <c r="O238" s="48" t="str">
        <f>IF(OR($B238="",$D238=""),"",ROUND($M238*$N238,0))</f>
        <v/>
      </c>
      <c r="P238" s="48" t="str">
        <f>IF($AC238&gt;0,IF(ISNUMBER(INDEX(CASHBACK_RULES!$J$5:$J$304,$AC238)),INDEX(CASHBACK_RULES!$J$5:$J$304,$AC238),"∞"),"")</f>
        <v/>
      </c>
      <c r="Q238" s="48" t="str">
        <f>IF(OR($B238="",$D238=""),"",IF($AC238=0,0,MAX(0,MIN($O238,IF(ISNUMBER($P238),$P238-$AF238,1E+15),IF(ISNUMBER($AA238),$AA238-$AG238,1E+15)))))</f>
        <v/>
      </c>
      <c r="R238" s="48" t="str">
        <f>IF(OR($B238="",$D238=""),"",IF($AC238=0,"",IF(AND(NOT(ISNUMBER($P238)),NOT(ISNUMBER($AA238))),"∞",MAX(0,MIN(IF(ISNUMBER($P238),$P238-$AF238-$Q238,1E+15),IF(ISNUMBER($AA238),$AA238-$AG238-$Q238,1E+15))))))</f>
        <v/>
      </c>
      <c r="S238" s="47" t="str">
        <f>IF($AD238="","",YEAR($AD238)*100+MONTH($AD238))</f>
        <v/>
      </c>
      <c r="T238" s="50" t="str">
        <f>IF($AD238="","",IFERROR(IF(INDEX(CARDS!$I$5:$I$34,MATCH($D238,CARDS!$A$5:$A$34,0))="","",IF(INDEX(CARDS!$I$5:$I$34,MATCH($D238,CARDS!$A$5:$A$34,0))&gt;INDEX(CARDS!$H$5:$H$34,MATCH($D238,CARDS!$A$5:$A$34,0)),DATE(YEAR($AD238),MONTH($AD238),MIN(INDEX(CARDS!$I$5:$I$34,MATCH($D238,CARDS!$A$5:$A$34,0)),DAY(EOMONTH($AD238,0)))),DATE(YEAR($AD238),MONTH($AD238)+1,MIN(INDEX(CARDS!$I$5:$I$34,MATCH($D238,CARDS!$A$5:$A$34,0)),DAY(EOMONTH($AD238,1)))))),""))</f>
        <v/>
      </c>
      <c r="U238" s="38" t="n"/>
      <c r="V238" s="37" t="n"/>
      <c r="W238" s="38" t="n"/>
      <c r="X238" s="38" t="n"/>
      <c r="Y238" s="44" t="str">
        <f>IF($AC238&gt;0,INDEX(CASHBACK_RULES!$A$5:$A$304,$AC238),"")</f>
        <v/>
      </c>
      <c r="Z238" s="45" t="str">
        <f>IF($AC238&gt;0,INDEX(CASHBACK_RULES!$E$5:$E$304,$AC238)&amp;"","")</f>
        <v/>
      </c>
      <c r="AA238" s="48" t="str">
        <f>IF($AC238&gt;0,IF(ISNUMBER(INDEX(CASHBACK_RULES!$K$5:$K$304,$AC238)),INDEX(CASHBACK_RULES!$K$5:$K$304,$AC238),"∞"),"")</f>
        <v/>
      </c>
      <c r="AB238" s="44" t="str">
        <f>IF(OR($B238="",$D238=""),"",IF($U238="Cancelled","Đã hủy",IF($AC238=0,"Không được hoàn",IF($Q238=0,IF(OR($O238&gt;0,$M238&lt;$L238),"Đã đạt cap","Không được hoàn"),IF(OR($Q238&lt;$O238,$M238&lt;$L238),"Hoàn một phần","Được hoàn")))))</f>
        <v/>
      </c>
      <c r="AC238" s="43">
        <f>IF(OR($B238="",$D238="",$I238="",$L238=""),0,IF($U238="Cancelled",0,IF($W238&lt;&gt;"",IFERROR(IF(INDEX(CASHBACK_RULES!$B$5:$B$304,MATCH($W238,CASHBACK_RULES!$A$5:$A$304,0))=$D238,MATCH($W238,CASHBACK_RULES!$A$5:$A$304,0),0),0),IFERROR(MATCH(1,INDEX((CASHBACK_RULES!$B$5:$B$304=$D238)*(CASHBACK_RULES!$G$5:$G$304=$I238)*(((CASHBACK_RULES!$N$5:$N$304="")+(CASHBACK_RULES!$N$5:$N$304&lt;=$B238))&gt;0)*(((CASHBACK_RULES!$O$5:$O$304="")+(CASHBACK_RULES!$O$5:$O$304&gt;=$B238))&gt;0)*(((CASHBACK_RULES!$M$5:$M$304="")+(CASHBACK_RULES!$M$5:$M$304&lt;=$L238))&gt;0),0),0),0))))</f>
        <v>0</v>
      </c>
      <c r="AD238" s="51" t="str">
        <f>IF(OR($B238="",$D238=""),"",IFERROR(IF(INDEX(CARDS!$H$5:$H$34,MATCH($D238,CARDS!$A$5:$A$34,0))="","",IF(DAY($B238)&lt;=INDEX(CARDS!$H$5:$H$34,MATCH($D238,CARDS!$A$5:$A$34,0)),DATE(YEAR($B238),MONTH($B238),MIN(INDEX(CARDS!$H$5:$H$34,MATCH($D238,CARDS!$A$5:$A$34,0)),DAY(EOMONTH($B238,0)))),DATE(YEAR($B238),MONTH($B238)+1,MIN(INDEX(CARDS!$H$5:$H$34,MATCH($D238,CARDS!$A$5:$A$34,0)),DAY(EOMONTH($B238,1)))))),""))</f>
        <v/>
      </c>
      <c r="AE238" s="52" t="str">
        <f>IF($C238="","",$C238&amp;"|"&amp;COUNTIF($C$5:$C238,$C238))</f>
        <v/>
      </c>
      <c r="AF238" s="53">
        <f>IF($AC238&gt;0,SUMIFS(Q$4:Q237,$D$4:$D237,$D238,$Z$4:$Z237,$Z238,$C$4:$C237,$C238),0)</f>
        <v>0</v>
      </c>
      <c r="AG238" s="53">
        <f>IF($AC238&gt;0,SUMIFS(Q$4:Q237,$D$4:$D237,$D238,$C$4:$C237,$C238),0)</f>
        <v>0</v>
      </c>
      <c r="AH238" s="53">
        <f>IF($AC238&gt;0,SUMIFS(M$4:M237,$D$4:$D237,$D238,$Z$4:$Z237,$Z238,$C$4:$C237,$C238),0)</f>
        <v>0</v>
      </c>
      <c r="AI238" s="43">
        <f>IF(OR($C238="",$I238=""),0,IF(COUNTIFS($C$5:$C238,$C238,$I$5:$I238,$I238)=1,1,0))</f>
        <v>0</v>
      </c>
      <c r="AJ238" s="43" t="str">
        <f>IF($AI238=1,SUMIFS($AI$4:$AI237,$C$4:$C237,$C238)+1,"")</f>
        <v/>
      </c>
      <c r="AK238" s="43">
        <f>IF(OR($C238="",$K238=""),0,IF(COUNTIFS($C$5:$C238,$C238,$K$5:$K238,$K238)=1,1,0))</f>
        <v>0</v>
      </c>
      <c r="AL238" s="43" t="str">
        <f>IF($AK238=1,SUMIFS($AK$4:$AK237,$C$4:$C237,$C238)+1,"")</f>
        <v/>
      </c>
      <c r="AM238" s="43">
        <f>IF(OR($C238="",$G238=""),0,IF(COUNTIFS($C$5:$C238,$C238,$G$5:$G238,$G238)=1,1,0))</f>
        <v>0</v>
      </c>
      <c r="AN238" s="43" t="str">
        <f>IF($AM238=1,SUMIFS($AM$4:$AM237,$C$4:$C237,$C238)+1,"")</f>
        <v/>
      </c>
    </row>
    <row r="239">
      <c r="A239" s="44" t="str">
        <f>IF(OR($B239="",$D239=""),"","TX"&amp;TEXT(ROW()-4,"0000"))</f>
        <v/>
      </c>
      <c r="B239" s="42" t="n"/>
      <c r="C239" s="47" t="str">
        <f>IF($B239="","",YEAR($B239)*100+MONTH($B239))</f>
        <v/>
      </c>
      <c r="D239" s="37" t="n"/>
      <c r="E239" s="45" t="str">
        <f>IF($D239="","",IFERROR(INDEX(CARDS!$B$5:$B$34,MATCH($D239,CARDS!$A$5:$A$34,0)),"⚠ Card ID?"))</f>
        <v/>
      </c>
      <c r="F239" s="45" t="str">
        <f>IF($D239="","",IFERROR(INDEX(CARDS!$C$5:$C$34,MATCH($D239,CARDS!$A$5:$A$34,0)),"⚠ Card ID?"))</f>
        <v/>
      </c>
      <c r="G239" s="37" t="n"/>
      <c r="H239" s="37" t="n"/>
      <c r="I239" s="41" t="n"/>
      <c r="J239" s="45" t="str">
        <f>IF($I239="","",IFERROR(INDEX(MCC_MASTER!$B$5:$B$504,MATCH($I239,MCC_MASTER!$A$5:$A$504,0)),"⚠ MCC chưa có"))</f>
        <v/>
      </c>
      <c r="K239" s="45" t="str">
        <f>IF($I239="","",IFERROR(IF(INDEX(MCC_MASTER!$C$5:$C$504,MATCH($I239,MCC_MASTER!$A$5:$A$504,0))="","Chưa phân loại",INDEX(MCC_MASTER!$C$5:$C$504,MATCH($I239,MCC_MASTER!$A$5:$A$504,0))),"Chưa phân loại"))</f>
        <v/>
      </c>
      <c r="L239" s="40" t="n"/>
      <c r="M239" s="48" t="str">
        <f>IF(OR($B239="",$D239=""),"",IF($AC239=0,0,IF(ISNUMBER(INDEX(CASHBACK_RULES!$L$5:$L$304,$AC239)),MAX(0,MIN($L239,INDEX(CASHBACK_RULES!$L$5:$L$304,$AC239)-$AH239)),MAX(0,$L239))))</f>
        <v/>
      </c>
      <c r="N239" s="49" t="str">
        <f>IF(OR($B239="",$D239=""),"",IF($AC239&gt;0,INDEX(CASHBACK_RULES!$I$5:$I$304,$AC239),0))</f>
        <v/>
      </c>
      <c r="O239" s="48" t="str">
        <f>IF(OR($B239="",$D239=""),"",ROUND($M239*$N239,0))</f>
        <v/>
      </c>
      <c r="P239" s="48" t="str">
        <f>IF($AC239&gt;0,IF(ISNUMBER(INDEX(CASHBACK_RULES!$J$5:$J$304,$AC239)),INDEX(CASHBACK_RULES!$J$5:$J$304,$AC239),"∞"),"")</f>
        <v/>
      </c>
      <c r="Q239" s="48" t="str">
        <f>IF(OR($B239="",$D239=""),"",IF($AC239=0,0,MAX(0,MIN($O239,IF(ISNUMBER($P239),$P239-$AF239,1E+15),IF(ISNUMBER($AA239),$AA239-$AG239,1E+15)))))</f>
        <v/>
      </c>
      <c r="R239" s="48" t="str">
        <f>IF(OR($B239="",$D239=""),"",IF($AC239=0,"",IF(AND(NOT(ISNUMBER($P239)),NOT(ISNUMBER($AA239))),"∞",MAX(0,MIN(IF(ISNUMBER($P239),$P239-$AF239-$Q239,1E+15),IF(ISNUMBER($AA239),$AA239-$AG239-$Q239,1E+15))))))</f>
        <v/>
      </c>
      <c r="S239" s="47" t="str">
        <f>IF($AD239="","",YEAR($AD239)*100+MONTH($AD239))</f>
        <v/>
      </c>
      <c r="T239" s="50" t="str">
        <f>IF($AD239="","",IFERROR(IF(INDEX(CARDS!$I$5:$I$34,MATCH($D239,CARDS!$A$5:$A$34,0))="","",IF(INDEX(CARDS!$I$5:$I$34,MATCH($D239,CARDS!$A$5:$A$34,0))&gt;INDEX(CARDS!$H$5:$H$34,MATCH($D239,CARDS!$A$5:$A$34,0)),DATE(YEAR($AD239),MONTH($AD239),MIN(INDEX(CARDS!$I$5:$I$34,MATCH($D239,CARDS!$A$5:$A$34,0)),DAY(EOMONTH($AD239,0)))),DATE(YEAR($AD239),MONTH($AD239)+1,MIN(INDEX(CARDS!$I$5:$I$34,MATCH($D239,CARDS!$A$5:$A$34,0)),DAY(EOMONTH($AD239,1)))))),""))</f>
        <v/>
      </c>
      <c r="U239" s="38" t="n"/>
      <c r="V239" s="37" t="n"/>
      <c r="W239" s="38" t="n"/>
      <c r="X239" s="38" t="n"/>
      <c r="Y239" s="44" t="str">
        <f>IF($AC239&gt;0,INDEX(CASHBACK_RULES!$A$5:$A$304,$AC239),"")</f>
        <v/>
      </c>
      <c r="Z239" s="45" t="str">
        <f>IF($AC239&gt;0,INDEX(CASHBACK_RULES!$E$5:$E$304,$AC239)&amp;"","")</f>
        <v/>
      </c>
      <c r="AA239" s="48" t="str">
        <f>IF($AC239&gt;0,IF(ISNUMBER(INDEX(CASHBACK_RULES!$K$5:$K$304,$AC239)),INDEX(CASHBACK_RULES!$K$5:$K$304,$AC239),"∞"),"")</f>
        <v/>
      </c>
      <c r="AB239" s="44" t="str">
        <f>IF(OR($B239="",$D239=""),"",IF($U239="Cancelled","Đã hủy",IF($AC239=0,"Không được hoàn",IF($Q239=0,IF(OR($O239&gt;0,$M239&lt;$L239),"Đã đạt cap","Không được hoàn"),IF(OR($Q239&lt;$O239,$M239&lt;$L239),"Hoàn một phần","Được hoàn")))))</f>
        <v/>
      </c>
      <c r="AC239" s="43">
        <f>IF(OR($B239="",$D239="",$I239="",$L239=""),0,IF($U239="Cancelled",0,IF($W239&lt;&gt;"",IFERROR(IF(INDEX(CASHBACK_RULES!$B$5:$B$304,MATCH($W239,CASHBACK_RULES!$A$5:$A$304,0))=$D239,MATCH($W239,CASHBACK_RULES!$A$5:$A$304,0),0),0),IFERROR(MATCH(1,INDEX((CASHBACK_RULES!$B$5:$B$304=$D239)*(CASHBACK_RULES!$G$5:$G$304=$I239)*(((CASHBACK_RULES!$N$5:$N$304="")+(CASHBACK_RULES!$N$5:$N$304&lt;=$B239))&gt;0)*(((CASHBACK_RULES!$O$5:$O$304="")+(CASHBACK_RULES!$O$5:$O$304&gt;=$B239))&gt;0)*(((CASHBACK_RULES!$M$5:$M$304="")+(CASHBACK_RULES!$M$5:$M$304&lt;=$L239))&gt;0),0),0),0))))</f>
        <v>0</v>
      </c>
      <c r="AD239" s="51" t="str">
        <f>IF(OR($B239="",$D239=""),"",IFERROR(IF(INDEX(CARDS!$H$5:$H$34,MATCH($D239,CARDS!$A$5:$A$34,0))="","",IF(DAY($B239)&lt;=INDEX(CARDS!$H$5:$H$34,MATCH($D239,CARDS!$A$5:$A$34,0)),DATE(YEAR($B239),MONTH($B239),MIN(INDEX(CARDS!$H$5:$H$34,MATCH($D239,CARDS!$A$5:$A$34,0)),DAY(EOMONTH($B239,0)))),DATE(YEAR($B239),MONTH($B239)+1,MIN(INDEX(CARDS!$H$5:$H$34,MATCH($D239,CARDS!$A$5:$A$34,0)),DAY(EOMONTH($B239,1)))))),""))</f>
        <v/>
      </c>
      <c r="AE239" s="52" t="str">
        <f>IF($C239="","",$C239&amp;"|"&amp;COUNTIF($C$5:$C239,$C239))</f>
        <v/>
      </c>
      <c r="AF239" s="53">
        <f>IF($AC239&gt;0,SUMIFS(Q$4:Q238,$D$4:$D238,$D239,$Z$4:$Z238,$Z239,$C$4:$C238,$C239),0)</f>
        <v>0</v>
      </c>
      <c r="AG239" s="53">
        <f>IF($AC239&gt;0,SUMIFS(Q$4:Q238,$D$4:$D238,$D239,$C$4:$C238,$C239),0)</f>
        <v>0</v>
      </c>
      <c r="AH239" s="53">
        <f>IF($AC239&gt;0,SUMIFS(M$4:M238,$D$4:$D238,$D239,$Z$4:$Z238,$Z239,$C$4:$C238,$C239),0)</f>
        <v>0</v>
      </c>
      <c r="AI239" s="43">
        <f>IF(OR($C239="",$I239=""),0,IF(COUNTIFS($C$5:$C239,$C239,$I$5:$I239,$I239)=1,1,0))</f>
        <v>0</v>
      </c>
      <c r="AJ239" s="43" t="str">
        <f>IF($AI239=1,SUMIFS($AI$4:$AI238,$C$4:$C238,$C239)+1,"")</f>
        <v/>
      </c>
      <c r="AK239" s="43">
        <f>IF(OR($C239="",$K239=""),0,IF(COUNTIFS($C$5:$C239,$C239,$K$5:$K239,$K239)=1,1,0))</f>
        <v>0</v>
      </c>
      <c r="AL239" s="43" t="str">
        <f>IF($AK239=1,SUMIFS($AK$4:$AK238,$C$4:$C238,$C239)+1,"")</f>
        <v/>
      </c>
      <c r="AM239" s="43">
        <f>IF(OR($C239="",$G239=""),0,IF(COUNTIFS($C$5:$C239,$C239,$G$5:$G239,$G239)=1,1,0))</f>
        <v>0</v>
      </c>
      <c r="AN239" s="43" t="str">
        <f>IF($AM239=1,SUMIFS($AM$4:$AM238,$C$4:$C238,$C239)+1,"")</f>
        <v/>
      </c>
    </row>
    <row r="240">
      <c r="A240" s="44" t="str">
        <f>IF(OR($B240="",$D240=""),"","TX"&amp;TEXT(ROW()-4,"0000"))</f>
        <v/>
      </c>
      <c r="B240" s="42" t="n"/>
      <c r="C240" s="47" t="str">
        <f>IF($B240="","",YEAR($B240)*100+MONTH($B240))</f>
        <v/>
      </c>
      <c r="D240" s="37" t="n"/>
      <c r="E240" s="45" t="str">
        <f>IF($D240="","",IFERROR(INDEX(CARDS!$B$5:$B$34,MATCH($D240,CARDS!$A$5:$A$34,0)),"⚠ Card ID?"))</f>
        <v/>
      </c>
      <c r="F240" s="45" t="str">
        <f>IF($D240="","",IFERROR(INDEX(CARDS!$C$5:$C$34,MATCH($D240,CARDS!$A$5:$A$34,0)),"⚠ Card ID?"))</f>
        <v/>
      </c>
      <c r="G240" s="37" t="n"/>
      <c r="H240" s="37" t="n"/>
      <c r="I240" s="41" t="n"/>
      <c r="J240" s="45" t="str">
        <f>IF($I240="","",IFERROR(INDEX(MCC_MASTER!$B$5:$B$504,MATCH($I240,MCC_MASTER!$A$5:$A$504,0)),"⚠ MCC chưa có"))</f>
        <v/>
      </c>
      <c r="K240" s="45" t="str">
        <f>IF($I240="","",IFERROR(IF(INDEX(MCC_MASTER!$C$5:$C$504,MATCH($I240,MCC_MASTER!$A$5:$A$504,0))="","Chưa phân loại",INDEX(MCC_MASTER!$C$5:$C$504,MATCH($I240,MCC_MASTER!$A$5:$A$504,0))),"Chưa phân loại"))</f>
        <v/>
      </c>
      <c r="L240" s="40" t="n"/>
      <c r="M240" s="48" t="str">
        <f>IF(OR($B240="",$D240=""),"",IF($AC240=0,0,IF(ISNUMBER(INDEX(CASHBACK_RULES!$L$5:$L$304,$AC240)),MAX(0,MIN($L240,INDEX(CASHBACK_RULES!$L$5:$L$304,$AC240)-$AH240)),MAX(0,$L240))))</f>
        <v/>
      </c>
      <c r="N240" s="49" t="str">
        <f>IF(OR($B240="",$D240=""),"",IF($AC240&gt;0,INDEX(CASHBACK_RULES!$I$5:$I$304,$AC240),0))</f>
        <v/>
      </c>
      <c r="O240" s="48" t="str">
        <f>IF(OR($B240="",$D240=""),"",ROUND($M240*$N240,0))</f>
        <v/>
      </c>
      <c r="P240" s="48" t="str">
        <f>IF($AC240&gt;0,IF(ISNUMBER(INDEX(CASHBACK_RULES!$J$5:$J$304,$AC240)),INDEX(CASHBACK_RULES!$J$5:$J$304,$AC240),"∞"),"")</f>
        <v/>
      </c>
      <c r="Q240" s="48" t="str">
        <f>IF(OR($B240="",$D240=""),"",IF($AC240=0,0,MAX(0,MIN($O240,IF(ISNUMBER($P240),$P240-$AF240,1E+15),IF(ISNUMBER($AA240),$AA240-$AG240,1E+15)))))</f>
        <v/>
      </c>
      <c r="R240" s="48" t="str">
        <f>IF(OR($B240="",$D240=""),"",IF($AC240=0,"",IF(AND(NOT(ISNUMBER($P240)),NOT(ISNUMBER($AA240))),"∞",MAX(0,MIN(IF(ISNUMBER($P240),$P240-$AF240-$Q240,1E+15),IF(ISNUMBER($AA240),$AA240-$AG240-$Q240,1E+15))))))</f>
        <v/>
      </c>
      <c r="S240" s="47" t="str">
        <f>IF($AD240="","",YEAR($AD240)*100+MONTH($AD240))</f>
        <v/>
      </c>
      <c r="T240" s="50" t="str">
        <f>IF($AD240="","",IFERROR(IF(INDEX(CARDS!$I$5:$I$34,MATCH($D240,CARDS!$A$5:$A$34,0))="","",IF(INDEX(CARDS!$I$5:$I$34,MATCH($D240,CARDS!$A$5:$A$34,0))&gt;INDEX(CARDS!$H$5:$H$34,MATCH($D240,CARDS!$A$5:$A$34,0)),DATE(YEAR($AD240),MONTH($AD240),MIN(INDEX(CARDS!$I$5:$I$34,MATCH($D240,CARDS!$A$5:$A$34,0)),DAY(EOMONTH($AD240,0)))),DATE(YEAR($AD240),MONTH($AD240)+1,MIN(INDEX(CARDS!$I$5:$I$34,MATCH($D240,CARDS!$A$5:$A$34,0)),DAY(EOMONTH($AD240,1)))))),""))</f>
        <v/>
      </c>
      <c r="U240" s="38" t="n"/>
      <c r="V240" s="37" t="n"/>
      <c r="W240" s="38" t="n"/>
      <c r="X240" s="38" t="n"/>
      <c r="Y240" s="44" t="str">
        <f>IF($AC240&gt;0,INDEX(CASHBACK_RULES!$A$5:$A$304,$AC240),"")</f>
        <v/>
      </c>
      <c r="Z240" s="45" t="str">
        <f>IF($AC240&gt;0,INDEX(CASHBACK_RULES!$E$5:$E$304,$AC240)&amp;"","")</f>
        <v/>
      </c>
      <c r="AA240" s="48" t="str">
        <f>IF($AC240&gt;0,IF(ISNUMBER(INDEX(CASHBACK_RULES!$K$5:$K$304,$AC240)),INDEX(CASHBACK_RULES!$K$5:$K$304,$AC240),"∞"),"")</f>
        <v/>
      </c>
      <c r="AB240" s="44" t="str">
        <f>IF(OR($B240="",$D240=""),"",IF($U240="Cancelled","Đã hủy",IF($AC240=0,"Không được hoàn",IF($Q240=0,IF(OR($O240&gt;0,$M240&lt;$L240),"Đã đạt cap","Không được hoàn"),IF(OR($Q240&lt;$O240,$M240&lt;$L240),"Hoàn một phần","Được hoàn")))))</f>
        <v/>
      </c>
      <c r="AC240" s="43">
        <f>IF(OR($B240="",$D240="",$I240="",$L240=""),0,IF($U240="Cancelled",0,IF($W240&lt;&gt;"",IFERROR(IF(INDEX(CASHBACK_RULES!$B$5:$B$304,MATCH($W240,CASHBACK_RULES!$A$5:$A$304,0))=$D240,MATCH($W240,CASHBACK_RULES!$A$5:$A$304,0),0),0),IFERROR(MATCH(1,INDEX((CASHBACK_RULES!$B$5:$B$304=$D240)*(CASHBACK_RULES!$G$5:$G$304=$I240)*(((CASHBACK_RULES!$N$5:$N$304="")+(CASHBACK_RULES!$N$5:$N$304&lt;=$B240))&gt;0)*(((CASHBACK_RULES!$O$5:$O$304="")+(CASHBACK_RULES!$O$5:$O$304&gt;=$B240))&gt;0)*(((CASHBACK_RULES!$M$5:$M$304="")+(CASHBACK_RULES!$M$5:$M$304&lt;=$L240))&gt;0),0),0),0))))</f>
        <v>0</v>
      </c>
      <c r="AD240" s="51" t="str">
        <f>IF(OR($B240="",$D240=""),"",IFERROR(IF(INDEX(CARDS!$H$5:$H$34,MATCH($D240,CARDS!$A$5:$A$34,0))="","",IF(DAY($B240)&lt;=INDEX(CARDS!$H$5:$H$34,MATCH($D240,CARDS!$A$5:$A$34,0)),DATE(YEAR($B240),MONTH($B240),MIN(INDEX(CARDS!$H$5:$H$34,MATCH($D240,CARDS!$A$5:$A$34,0)),DAY(EOMONTH($B240,0)))),DATE(YEAR($B240),MONTH($B240)+1,MIN(INDEX(CARDS!$H$5:$H$34,MATCH($D240,CARDS!$A$5:$A$34,0)),DAY(EOMONTH($B240,1)))))),""))</f>
        <v/>
      </c>
      <c r="AE240" s="52" t="str">
        <f>IF($C240="","",$C240&amp;"|"&amp;COUNTIF($C$5:$C240,$C240))</f>
        <v/>
      </c>
      <c r="AF240" s="53">
        <f>IF($AC240&gt;0,SUMIFS(Q$4:Q239,$D$4:$D239,$D240,$Z$4:$Z239,$Z240,$C$4:$C239,$C240),0)</f>
        <v>0</v>
      </c>
      <c r="AG240" s="53">
        <f>IF($AC240&gt;0,SUMIFS(Q$4:Q239,$D$4:$D239,$D240,$C$4:$C239,$C240),0)</f>
        <v>0</v>
      </c>
      <c r="AH240" s="53">
        <f>IF($AC240&gt;0,SUMIFS(M$4:M239,$D$4:$D239,$D240,$Z$4:$Z239,$Z240,$C$4:$C239,$C240),0)</f>
        <v>0</v>
      </c>
      <c r="AI240" s="43">
        <f>IF(OR($C240="",$I240=""),0,IF(COUNTIFS($C$5:$C240,$C240,$I$5:$I240,$I240)=1,1,0))</f>
        <v>0</v>
      </c>
      <c r="AJ240" s="43" t="str">
        <f>IF($AI240=1,SUMIFS($AI$4:$AI239,$C$4:$C239,$C240)+1,"")</f>
        <v/>
      </c>
      <c r="AK240" s="43">
        <f>IF(OR($C240="",$K240=""),0,IF(COUNTIFS($C$5:$C240,$C240,$K$5:$K240,$K240)=1,1,0))</f>
        <v>0</v>
      </c>
      <c r="AL240" s="43" t="str">
        <f>IF($AK240=1,SUMIFS($AK$4:$AK239,$C$4:$C239,$C240)+1,"")</f>
        <v/>
      </c>
      <c r="AM240" s="43">
        <f>IF(OR($C240="",$G240=""),0,IF(COUNTIFS($C$5:$C240,$C240,$G$5:$G240,$G240)=1,1,0))</f>
        <v>0</v>
      </c>
      <c r="AN240" s="43" t="str">
        <f>IF($AM240=1,SUMIFS($AM$4:$AM239,$C$4:$C239,$C240)+1,"")</f>
        <v/>
      </c>
    </row>
    <row r="241">
      <c r="A241" s="44" t="str">
        <f>IF(OR($B241="",$D241=""),"","TX"&amp;TEXT(ROW()-4,"0000"))</f>
        <v/>
      </c>
      <c r="B241" s="42" t="n"/>
      <c r="C241" s="47" t="str">
        <f>IF($B241="","",YEAR($B241)*100+MONTH($B241))</f>
        <v/>
      </c>
      <c r="D241" s="37" t="n"/>
      <c r="E241" s="45" t="str">
        <f>IF($D241="","",IFERROR(INDEX(CARDS!$B$5:$B$34,MATCH($D241,CARDS!$A$5:$A$34,0)),"⚠ Card ID?"))</f>
        <v/>
      </c>
      <c r="F241" s="45" t="str">
        <f>IF($D241="","",IFERROR(INDEX(CARDS!$C$5:$C$34,MATCH($D241,CARDS!$A$5:$A$34,0)),"⚠ Card ID?"))</f>
        <v/>
      </c>
      <c r="G241" s="37" t="n"/>
      <c r="H241" s="37" t="n"/>
      <c r="I241" s="41" t="n"/>
      <c r="J241" s="45" t="str">
        <f>IF($I241="","",IFERROR(INDEX(MCC_MASTER!$B$5:$B$504,MATCH($I241,MCC_MASTER!$A$5:$A$504,0)),"⚠ MCC chưa có"))</f>
        <v/>
      </c>
      <c r="K241" s="45" t="str">
        <f>IF($I241="","",IFERROR(IF(INDEX(MCC_MASTER!$C$5:$C$504,MATCH($I241,MCC_MASTER!$A$5:$A$504,0))="","Chưa phân loại",INDEX(MCC_MASTER!$C$5:$C$504,MATCH($I241,MCC_MASTER!$A$5:$A$504,0))),"Chưa phân loại"))</f>
        <v/>
      </c>
      <c r="L241" s="40" t="n"/>
      <c r="M241" s="48" t="str">
        <f>IF(OR($B241="",$D241=""),"",IF($AC241=0,0,IF(ISNUMBER(INDEX(CASHBACK_RULES!$L$5:$L$304,$AC241)),MAX(0,MIN($L241,INDEX(CASHBACK_RULES!$L$5:$L$304,$AC241)-$AH241)),MAX(0,$L241))))</f>
        <v/>
      </c>
      <c r="N241" s="49" t="str">
        <f>IF(OR($B241="",$D241=""),"",IF($AC241&gt;0,INDEX(CASHBACK_RULES!$I$5:$I$304,$AC241),0))</f>
        <v/>
      </c>
      <c r="O241" s="48" t="str">
        <f>IF(OR($B241="",$D241=""),"",ROUND($M241*$N241,0))</f>
        <v/>
      </c>
      <c r="P241" s="48" t="str">
        <f>IF($AC241&gt;0,IF(ISNUMBER(INDEX(CASHBACK_RULES!$J$5:$J$304,$AC241)),INDEX(CASHBACK_RULES!$J$5:$J$304,$AC241),"∞"),"")</f>
        <v/>
      </c>
      <c r="Q241" s="48" t="str">
        <f>IF(OR($B241="",$D241=""),"",IF($AC241=0,0,MAX(0,MIN($O241,IF(ISNUMBER($P241),$P241-$AF241,1E+15),IF(ISNUMBER($AA241),$AA241-$AG241,1E+15)))))</f>
        <v/>
      </c>
      <c r="R241" s="48" t="str">
        <f>IF(OR($B241="",$D241=""),"",IF($AC241=0,"",IF(AND(NOT(ISNUMBER($P241)),NOT(ISNUMBER($AA241))),"∞",MAX(0,MIN(IF(ISNUMBER($P241),$P241-$AF241-$Q241,1E+15),IF(ISNUMBER($AA241),$AA241-$AG241-$Q241,1E+15))))))</f>
        <v/>
      </c>
      <c r="S241" s="47" t="str">
        <f>IF($AD241="","",YEAR($AD241)*100+MONTH($AD241))</f>
        <v/>
      </c>
      <c r="T241" s="50" t="str">
        <f>IF($AD241="","",IFERROR(IF(INDEX(CARDS!$I$5:$I$34,MATCH($D241,CARDS!$A$5:$A$34,0))="","",IF(INDEX(CARDS!$I$5:$I$34,MATCH($D241,CARDS!$A$5:$A$34,0))&gt;INDEX(CARDS!$H$5:$H$34,MATCH($D241,CARDS!$A$5:$A$34,0)),DATE(YEAR($AD241),MONTH($AD241),MIN(INDEX(CARDS!$I$5:$I$34,MATCH($D241,CARDS!$A$5:$A$34,0)),DAY(EOMONTH($AD241,0)))),DATE(YEAR($AD241),MONTH($AD241)+1,MIN(INDEX(CARDS!$I$5:$I$34,MATCH($D241,CARDS!$A$5:$A$34,0)),DAY(EOMONTH($AD241,1)))))),""))</f>
        <v/>
      </c>
      <c r="U241" s="38" t="n"/>
      <c r="V241" s="37" t="n"/>
      <c r="W241" s="38" t="n"/>
      <c r="X241" s="38" t="n"/>
      <c r="Y241" s="44" t="str">
        <f>IF($AC241&gt;0,INDEX(CASHBACK_RULES!$A$5:$A$304,$AC241),"")</f>
        <v/>
      </c>
      <c r="Z241" s="45" t="str">
        <f>IF($AC241&gt;0,INDEX(CASHBACK_RULES!$E$5:$E$304,$AC241)&amp;"","")</f>
        <v/>
      </c>
      <c r="AA241" s="48" t="str">
        <f>IF($AC241&gt;0,IF(ISNUMBER(INDEX(CASHBACK_RULES!$K$5:$K$304,$AC241)),INDEX(CASHBACK_RULES!$K$5:$K$304,$AC241),"∞"),"")</f>
        <v/>
      </c>
      <c r="AB241" s="44" t="str">
        <f>IF(OR($B241="",$D241=""),"",IF($U241="Cancelled","Đã hủy",IF($AC241=0,"Không được hoàn",IF($Q241=0,IF(OR($O241&gt;0,$M241&lt;$L241),"Đã đạt cap","Không được hoàn"),IF(OR($Q241&lt;$O241,$M241&lt;$L241),"Hoàn một phần","Được hoàn")))))</f>
        <v/>
      </c>
      <c r="AC241" s="43">
        <f>IF(OR($B241="",$D241="",$I241="",$L241=""),0,IF($U241="Cancelled",0,IF($W241&lt;&gt;"",IFERROR(IF(INDEX(CASHBACK_RULES!$B$5:$B$304,MATCH($W241,CASHBACK_RULES!$A$5:$A$304,0))=$D241,MATCH($W241,CASHBACK_RULES!$A$5:$A$304,0),0),0),IFERROR(MATCH(1,INDEX((CASHBACK_RULES!$B$5:$B$304=$D241)*(CASHBACK_RULES!$G$5:$G$304=$I241)*(((CASHBACK_RULES!$N$5:$N$304="")+(CASHBACK_RULES!$N$5:$N$304&lt;=$B241))&gt;0)*(((CASHBACK_RULES!$O$5:$O$304="")+(CASHBACK_RULES!$O$5:$O$304&gt;=$B241))&gt;0)*(((CASHBACK_RULES!$M$5:$M$304="")+(CASHBACK_RULES!$M$5:$M$304&lt;=$L241))&gt;0),0),0),0))))</f>
        <v>0</v>
      </c>
      <c r="AD241" s="51" t="str">
        <f>IF(OR($B241="",$D241=""),"",IFERROR(IF(INDEX(CARDS!$H$5:$H$34,MATCH($D241,CARDS!$A$5:$A$34,0))="","",IF(DAY($B241)&lt;=INDEX(CARDS!$H$5:$H$34,MATCH($D241,CARDS!$A$5:$A$34,0)),DATE(YEAR($B241),MONTH($B241),MIN(INDEX(CARDS!$H$5:$H$34,MATCH($D241,CARDS!$A$5:$A$34,0)),DAY(EOMONTH($B241,0)))),DATE(YEAR($B241),MONTH($B241)+1,MIN(INDEX(CARDS!$H$5:$H$34,MATCH($D241,CARDS!$A$5:$A$34,0)),DAY(EOMONTH($B241,1)))))),""))</f>
        <v/>
      </c>
      <c r="AE241" s="52" t="str">
        <f>IF($C241="","",$C241&amp;"|"&amp;COUNTIF($C$5:$C241,$C241))</f>
        <v/>
      </c>
      <c r="AF241" s="53">
        <f>IF($AC241&gt;0,SUMIFS(Q$4:Q240,$D$4:$D240,$D241,$Z$4:$Z240,$Z241,$C$4:$C240,$C241),0)</f>
        <v>0</v>
      </c>
      <c r="AG241" s="53">
        <f>IF($AC241&gt;0,SUMIFS(Q$4:Q240,$D$4:$D240,$D241,$C$4:$C240,$C241),0)</f>
        <v>0</v>
      </c>
      <c r="AH241" s="53">
        <f>IF($AC241&gt;0,SUMIFS(M$4:M240,$D$4:$D240,$D241,$Z$4:$Z240,$Z241,$C$4:$C240,$C241),0)</f>
        <v>0</v>
      </c>
      <c r="AI241" s="43">
        <f>IF(OR($C241="",$I241=""),0,IF(COUNTIFS($C$5:$C241,$C241,$I$5:$I241,$I241)=1,1,0))</f>
        <v>0</v>
      </c>
      <c r="AJ241" s="43" t="str">
        <f>IF($AI241=1,SUMIFS($AI$4:$AI240,$C$4:$C240,$C241)+1,"")</f>
        <v/>
      </c>
      <c r="AK241" s="43">
        <f>IF(OR($C241="",$K241=""),0,IF(COUNTIFS($C$5:$C241,$C241,$K$5:$K241,$K241)=1,1,0))</f>
        <v>0</v>
      </c>
      <c r="AL241" s="43" t="str">
        <f>IF($AK241=1,SUMIFS($AK$4:$AK240,$C$4:$C240,$C241)+1,"")</f>
        <v/>
      </c>
      <c r="AM241" s="43">
        <f>IF(OR($C241="",$G241=""),0,IF(COUNTIFS($C$5:$C241,$C241,$G$5:$G241,$G241)=1,1,0))</f>
        <v>0</v>
      </c>
      <c r="AN241" s="43" t="str">
        <f>IF($AM241=1,SUMIFS($AM$4:$AM240,$C$4:$C240,$C241)+1,"")</f>
        <v/>
      </c>
    </row>
    <row r="242">
      <c r="A242" s="44" t="str">
        <f>IF(OR($B242="",$D242=""),"","TX"&amp;TEXT(ROW()-4,"0000"))</f>
        <v/>
      </c>
      <c r="B242" s="42" t="n"/>
      <c r="C242" s="47" t="str">
        <f>IF($B242="","",YEAR($B242)*100+MONTH($B242))</f>
        <v/>
      </c>
      <c r="D242" s="37" t="n"/>
      <c r="E242" s="45" t="str">
        <f>IF($D242="","",IFERROR(INDEX(CARDS!$B$5:$B$34,MATCH($D242,CARDS!$A$5:$A$34,0)),"⚠ Card ID?"))</f>
        <v/>
      </c>
      <c r="F242" s="45" t="str">
        <f>IF($D242="","",IFERROR(INDEX(CARDS!$C$5:$C$34,MATCH($D242,CARDS!$A$5:$A$34,0)),"⚠ Card ID?"))</f>
        <v/>
      </c>
      <c r="G242" s="37" t="n"/>
      <c r="H242" s="37" t="n"/>
      <c r="I242" s="41" t="n"/>
      <c r="J242" s="45" t="str">
        <f>IF($I242="","",IFERROR(INDEX(MCC_MASTER!$B$5:$B$504,MATCH($I242,MCC_MASTER!$A$5:$A$504,0)),"⚠ MCC chưa có"))</f>
        <v/>
      </c>
      <c r="K242" s="45" t="str">
        <f>IF($I242="","",IFERROR(IF(INDEX(MCC_MASTER!$C$5:$C$504,MATCH($I242,MCC_MASTER!$A$5:$A$504,0))="","Chưa phân loại",INDEX(MCC_MASTER!$C$5:$C$504,MATCH($I242,MCC_MASTER!$A$5:$A$504,0))),"Chưa phân loại"))</f>
        <v/>
      </c>
      <c r="L242" s="40" t="n"/>
      <c r="M242" s="48" t="str">
        <f>IF(OR($B242="",$D242=""),"",IF($AC242=0,0,IF(ISNUMBER(INDEX(CASHBACK_RULES!$L$5:$L$304,$AC242)),MAX(0,MIN($L242,INDEX(CASHBACK_RULES!$L$5:$L$304,$AC242)-$AH242)),MAX(0,$L242))))</f>
        <v/>
      </c>
      <c r="N242" s="49" t="str">
        <f>IF(OR($B242="",$D242=""),"",IF($AC242&gt;0,INDEX(CASHBACK_RULES!$I$5:$I$304,$AC242),0))</f>
        <v/>
      </c>
      <c r="O242" s="48" t="str">
        <f>IF(OR($B242="",$D242=""),"",ROUND($M242*$N242,0))</f>
        <v/>
      </c>
      <c r="P242" s="48" t="str">
        <f>IF($AC242&gt;0,IF(ISNUMBER(INDEX(CASHBACK_RULES!$J$5:$J$304,$AC242)),INDEX(CASHBACK_RULES!$J$5:$J$304,$AC242),"∞"),"")</f>
        <v/>
      </c>
      <c r="Q242" s="48" t="str">
        <f>IF(OR($B242="",$D242=""),"",IF($AC242=0,0,MAX(0,MIN($O242,IF(ISNUMBER($P242),$P242-$AF242,1E+15),IF(ISNUMBER($AA242),$AA242-$AG242,1E+15)))))</f>
        <v/>
      </c>
      <c r="R242" s="48" t="str">
        <f>IF(OR($B242="",$D242=""),"",IF($AC242=0,"",IF(AND(NOT(ISNUMBER($P242)),NOT(ISNUMBER($AA242))),"∞",MAX(0,MIN(IF(ISNUMBER($P242),$P242-$AF242-$Q242,1E+15),IF(ISNUMBER($AA242),$AA242-$AG242-$Q242,1E+15))))))</f>
        <v/>
      </c>
      <c r="S242" s="47" t="str">
        <f>IF($AD242="","",YEAR($AD242)*100+MONTH($AD242))</f>
        <v/>
      </c>
      <c r="T242" s="50" t="str">
        <f>IF($AD242="","",IFERROR(IF(INDEX(CARDS!$I$5:$I$34,MATCH($D242,CARDS!$A$5:$A$34,0))="","",IF(INDEX(CARDS!$I$5:$I$34,MATCH($D242,CARDS!$A$5:$A$34,0))&gt;INDEX(CARDS!$H$5:$H$34,MATCH($D242,CARDS!$A$5:$A$34,0)),DATE(YEAR($AD242),MONTH($AD242),MIN(INDEX(CARDS!$I$5:$I$34,MATCH($D242,CARDS!$A$5:$A$34,0)),DAY(EOMONTH($AD242,0)))),DATE(YEAR($AD242),MONTH($AD242)+1,MIN(INDEX(CARDS!$I$5:$I$34,MATCH($D242,CARDS!$A$5:$A$34,0)),DAY(EOMONTH($AD242,1)))))),""))</f>
        <v/>
      </c>
      <c r="U242" s="38" t="n"/>
      <c r="V242" s="37" t="n"/>
      <c r="W242" s="38" t="n"/>
      <c r="X242" s="38" t="n"/>
      <c r="Y242" s="44" t="str">
        <f>IF($AC242&gt;0,INDEX(CASHBACK_RULES!$A$5:$A$304,$AC242),"")</f>
        <v/>
      </c>
      <c r="Z242" s="45" t="str">
        <f>IF($AC242&gt;0,INDEX(CASHBACK_RULES!$E$5:$E$304,$AC242)&amp;"","")</f>
        <v/>
      </c>
      <c r="AA242" s="48" t="str">
        <f>IF($AC242&gt;0,IF(ISNUMBER(INDEX(CASHBACK_RULES!$K$5:$K$304,$AC242)),INDEX(CASHBACK_RULES!$K$5:$K$304,$AC242),"∞"),"")</f>
        <v/>
      </c>
      <c r="AB242" s="44" t="str">
        <f>IF(OR($B242="",$D242=""),"",IF($U242="Cancelled","Đã hủy",IF($AC242=0,"Không được hoàn",IF($Q242=0,IF(OR($O242&gt;0,$M242&lt;$L242),"Đã đạt cap","Không được hoàn"),IF(OR($Q242&lt;$O242,$M242&lt;$L242),"Hoàn một phần","Được hoàn")))))</f>
        <v/>
      </c>
      <c r="AC242" s="43">
        <f>IF(OR($B242="",$D242="",$I242="",$L242=""),0,IF($U242="Cancelled",0,IF($W242&lt;&gt;"",IFERROR(IF(INDEX(CASHBACK_RULES!$B$5:$B$304,MATCH($W242,CASHBACK_RULES!$A$5:$A$304,0))=$D242,MATCH($W242,CASHBACK_RULES!$A$5:$A$304,0),0),0),IFERROR(MATCH(1,INDEX((CASHBACK_RULES!$B$5:$B$304=$D242)*(CASHBACK_RULES!$G$5:$G$304=$I242)*(((CASHBACK_RULES!$N$5:$N$304="")+(CASHBACK_RULES!$N$5:$N$304&lt;=$B242))&gt;0)*(((CASHBACK_RULES!$O$5:$O$304="")+(CASHBACK_RULES!$O$5:$O$304&gt;=$B242))&gt;0)*(((CASHBACK_RULES!$M$5:$M$304="")+(CASHBACK_RULES!$M$5:$M$304&lt;=$L242))&gt;0),0),0),0))))</f>
        <v>0</v>
      </c>
      <c r="AD242" s="51" t="str">
        <f>IF(OR($B242="",$D242=""),"",IFERROR(IF(INDEX(CARDS!$H$5:$H$34,MATCH($D242,CARDS!$A$5:$A$34,0))="","",IF(DAY($B242)&lt;=INDEX(CARDS!$H$5:$H$34,MATCH($D242,CARDS!$A$5:$A$34,0)),DATE(YEAR($B242),MONTH($B242),MIN(INDEX(CARDS!$H$5:$H$34,MATCH($D242,CARDS!$A$5:$A$34,0)),DAY(EOMONTH($B242,0)))),DATE(YEAR($B242),MONTH($B242)+1,MIN(INDEX(CARDS!$H$5:$H$34,MATCH($D242,CARDS!$A$5:$A$34,0)),DAY(EOMONTH($B242,1)))))),""))</f>
        <v/>
      </c>
      <c r="AE242" s="52" t="str">
        <f>IF($C242="","",$C242&amp;"|"&amp;COUNTIF($C$5:$C242,$C242))</f>
        <v/>
      </c>
      <c r="AF242" s="53">
        <f>IF($AC242&gt;0,SUMIFS(Q$4:Q241,$D$4:$D241,$D242,$Z$4:$Z241,$Z242,$C$4:$C241,$C242),0)</f>
        <v>0</v>
      </c>
      <c r="AG242" s="53">
        <f>IF($AC242&gt;0,SUMIFS(Q$4:Q241,$D$4:$D241,$D242,$C$4:$C241,$C242),0)</f>
        <v>0</v>
      </c>
      <c r="AH242" s="53">
        <f>IF($AC242&gt;0,SUMIFS(M$4:M241,$D$4:$D241,$D242,$Z$4:$Z241,$Z242,$C$4:$C241,$C242),0)</f>
        <v>0</v>
      </c>
      <c r="AI242" s="43">
        <f>IF(OR($C242="",$I242=""),0,IF(COUNTIFS($C$5:$C242,$C242,$I$5:$I242,$I242)=1,1,0))</f>
        <v>0</v>
      </c>
      <c r="AJ242" s="43" t="str">
        <f>IF($AI242=1,SUMIFS($AI$4:$AI241,$C$4:$C241,$C242)+1,"")</f>
        <v/>
      </c>
      <c r="AK242" s="43">
        <f>IF(OR($C242="",$K242=""),0,IF(COUNTIFS($C$5:$C242,$C242,$K$5:$K242,$K242)=1,1,0))</f>
        <v>0</v>
      </c>
      <c r="AL242" s="43" t="str">
        <f>IF($AK242=1,SUMIFS($AK$4:$AK241,$C$4:$C241,$C242)+1,"")</f>
        <v/>
      </c>
      <c r="AM242" s="43">
        <f>IF(OR($C242="",$G242=""),0,IF(COUNTIFS($C$5:$C242,$C242,$G$5:$G242,$G242)=1,1,0))</f>
        <v>0</v>
      </c>
      <c r="AN242" s="43" t="str">
        <f>IF($AM242=1,SUMIFS($AM$4:$AM241,$C$4:$C241,$C242)+1,"")</f>
        <v/>
      </c>
    </row>
    <row r="243">
      <c r="A243" s="44" t="str">
        <f>IF(OR($B243="",$D243=""),"","TX"&amp;TEXT(ROW()-4,"0000"))</f>
        <v/>
      </c>
      <c r="B243" s="42" t="n"/>
      <c r="C243" s="47" t="str">
        <f>IF($B243="","",YEAR($B243)*100+MONTH($B243))</f>
        <v/>
      </c>
      <c r="D243" s="37" t="n"/>
      <c r="E243" s="45" t="str">
        <f>IF($D243="","",IFERROR(INDEX(CARDS!$B$5:$B$34,MATCH($D243,CARDS!$A$5:$A$34,0)),"⚠ Card ID?"))</f>
        <v/>
      </c>
      <c r="F243" s="45" t="str">
        <f>IF($D243="","",IFERROR(INDEX(CARDS!$C$5:$C$34,MATCH($D243,CARDS!$A$5:$A$34,0)),"⚠ Card ID?"))</f>
        <v/>
      </c>
      <c r="G243" s="37" t="n"/>
      <c r="H243" s="37" t="n"/>
      <c r="I243" s="41" t="n"/>
      <c r="J243" s="45" t="str">
        <f>IF($I243="","",IFERROR(INDEX(MCC_MASTER!$B$5:$B$504,MATCH($I243,MCC_MASTER!$A$5:$A$504,0)),"⚠ MCC chưa có"))</f>
        <v/>
      </c>
      <c r="K243" s="45" t="str">
        <f>IF($I243="","",IFERROR(IF(INDEX(MCC_MASTER!$C$5:$C$504,MATCH($I243,MCC_MASTER!$A$5:$A$504,0))="","Chưa phân loại",INDEX(MCC_MASTER!$C$5:$C$504,MATCH($I243,MCC_MASTER!$A$5:$A$504,0))),"Chưa phân loại"))</f>
        <v/>
      </c>
      <c r="L243" s="40" t="n"/>
      <c r="M243" s="48" t="str">
        <f>IF(OR($B243="",$D243=""),"",IF($AC243=0,0,IF(ISNUMBER(INDEX(CASHBACK_RULES!$L$5:$L$304,$AC243)),MAX(0,MIN($L243,INDEX(CASHBACK_RULES!$L$5:$L$304,$AC243)-$AH243)),MAX(0,$L243))))</f>
        <v/>
      </c>
      <c r="N243" s="49" t="str">
        <f>IF(OR($B243="",$D243=""),"",IF($AC243&gt;0,INDEX(CASHBACK_RULES!$I$5:$I$304,$AC243),0))</f>
        <v/>
      </c>
      <c r="O243" s="48" t="str">
        <f>IF(OR($B243="",$D243=""),"",ROUND($M243*$N243,0))</f>
        <v/>
      </c>
      <c r="P243" s="48" t="str">
        <f>IF($AC243&gt;0,IF(ISNUMBER(INDEX(CASHBACK_RULES!$J$5:$J$304,$AC243)),INDEX(CASHBACK_RULES!$J$5:$J$304,$AC243),"∞"),"")</f>
        <v/>
      </c>
      <c r="Q243" s="48" t="str">
        <f>IF(OR($B243="",$D243=""),"",IF($AC243=0,0,MAX(0,MIN($O243,IF(ISNUMBER($P243),$P243-$AF243,1E+15),IF(ISNUMBER($AA243),$AA243-$AG243,1E+15)))))</f>
        <v/>
      </c>
      <c r="R243" s="48" t="str">
        <f>IF(OR($B243="",$D243=""),"",IF($AC243=0,"",IF(AND(NOT(ISNUMBER($P243)),NOT(ISNUMBER($AA243))),"∞",MAX(0,MIN(IF(ISNUMBER($P243),$P243-$AF243-$Q243,1E+15),IF(ISNUMBER($AA243),$AA243-$AG243-$Q243,1E+15))))))</f>
        <v/>
      </c>
      <c r="S243" s="47" t="str">
        <f>IF($AD243="","",YEAR($AD243)*100+MONTH($AD243))</f>
        <v/>
      </c>
      <c r="T243" s="50" t="str">
        <f>IF($AD243="","",IFERROR(IF(INDEX(CARDS!$I$5:$I$34,MATCH($D243,CARDS!$A$5:$A$34,0))="","",IF(INDEX(CARDS!$I$5:$I$34,MATCH($D243,CARDS!$A$5:$A$34,0))&gt;INDEX(CARDS!$H$5:$H$34,MATCH($D243,CARDS!$A$5:$A$34,0)),DATE(YEAR($AD243),MONTH($AD243),MIN(INDEX(CARDS!$I$5:$I$34,MATCH($D243,CARDS!$A$5:$A$34,0)),DAY(EOMONTH($AD243,0)))),DATE(YEAR($AD243),MONTH($AD243)+1,MIN(INDEX(CARDS!$I$5:$I$34,MATCH($D243,CARDS!$A$5:$A$34,0)),DAY(EOMONTH($AD243,1)))))),""))</f>
        <v/>
      </c>
      <c r="U243" s="38" t="n"/>
      <c r="V243" s="37" t="n"/>
      <c r="W243" s="38" t="n"/>
      <c r="X243" s="38" t="n"/>
      <c r="Y243" s="44" t="str">
        <f>IF($AC243&gt;0,INDEX(CASHBACK_RULES!$A$5:$A$304,$AC243),"")</f>
        <v/>
      </c>
      <c r="Z243" s="45" t="str">
        <f>IF($AC243&gt;0,INDEX(CASHBACK_RULES!$E$5:$E$304,$AC243)&amp;"","")</f>
        <v/>
      </c>
      <c r="AA243" s="48" t="str">
        <f>IF($AC243&gt;0,IF(ISNUMBER(INDEX(CASHBACK_RULES!$K$5:$K$304,$AC243)),INDEX(CASHBACK_RULES!$K$5:$K$304,$AC243),"∞"),"")</f>
        <v/>
      </c>
      <c r="AB243" s="44" t="str">
        <f>IF(OR($B243="",$D243=""),"",IF($U243="Cancelled","Đã hủy",IF($AC243=0,"Không được hoàn",IF($Q243=0,IF(OR($O243&gt;0,$M243&lt;$L243),"Đã đạt cap","Không được hoàn"),IF(OR($Q243&lt;$O243,$M243&lt;$L243),"Hoàn một phần","Được hoàn")))))</f>
        <v/>
      </c>
      <c r="AC243" s="43">
        <f>IF(OR($B243="",$D243="",$I243="",$L243=""),0,IF($U243="Cancelled",0,IF($W243&lt;&gt;"",IFERROR(IF(INDEX(CASHBACK_RULES!$B$5:$B$304,MATCH($W243,CASHBACK_RULES!$A$5:$A$304,0))=$D243,MATCH($W243,CASHBACK_RULES!$A$5:$A$304,0),0),0),IFERROR(MATCH(1,INDEX((CASHBACK_RULES!$B$5:$B$304=$D243)*(CASHBACK_RULES!$G$5:$G$304=$I243)*(((CASHBACK_RULES!$N$5:$N$304="")+(CASHBACK_RULES!$N$5:$N$304&lt;=$B243))&gt;0)*(((CASHBACK_RULES!$O$5:$O$304="")+(CASHBACK_RULES!$O$5:$O$304&gt;=$B243))&gt;0)*(((CASHBACK_RULES!$M$5:$M$304="")+(CASHBACK_RULES!$M$5:$M$304&lt;=$L243))&gt;0),0),0),0))))</f>
        <v>0</v>
      </c>
      <c r="AD243" s="51" t="str">
        <f>IF(OR($B243="",$D243=""),"",IFERROR(IF(INDEX(CARDS!$H$5:$H$34,MATCH($D243,CARDS!$A$5:$A$34,0))="","",IF(DAY($B243)&lt;=INDEX(CARDS!$H$5:$H$34,MATCH($D243,CARDS!$A$5:$A$34,0)),DATE(YEAR($B243),MONTH($B243),MIN(INDEX(CARDS!$H$5:$H$34,MATCH($D243,CARDS!$A$5:$A$34,0)),DAY(EOMONTH($B243,0)))),DATE(YEAR($B243),MONTH($B243)+1,MIN(INDEX(CARDS!$H$5:$H$34,MATCH($D243,CARDS!$A$5:$A$34,0)),DAY(EOMONTH($B243,1)))))),""))</f>
        <v/>
      </c>
      <c r="AE243" s="52" t="str">
        <f>IF($C243="","",$C243&amp;"|"&amp;COUNTIF($C$5:$C243,$C243))</f>
        <v/>
      </c>
      <c r="AF243" s="53">
        <f>IF($AC243&gt;0,SUMIFS(Q$4:Q242,$D$4:$D242,$D243,$Z$4:$Z242,$Z243,$C$4:$C242,$C243),0)</f>
        <v>0</v>
      </c>
      <c r="AG243" s="53">
        <f>IF($AC243&gt;0,SUMIFS(Q$4:Q242,$D$4:$D242,$D243,$C$4:$C242,$C243),0)</f>
        <v>0</v>
      </c>
      <c r="AH243" s="53">
        <f>IF($AC243&gt;0,SUMIFS(M$4:M242,$D$4:$D242,$D243,$Z$4:$Z242,$Z243,$C$4:$C242,$C243),0)</f>
        <v>0</v>
      </c>
      <c r="AI243" s="43">
        <f>IF(OR($C243="",$I243=""),0,IF(COUNTIFS($C$5:$C243,$C243,$I$5:$I243,$I243)=1,1,0))</f>
        <v>0</v>
      </c>
      <c r="AJ243" s="43" t="str">
        <f>IF($AI243=1,SUMIFS($AI$4:$AI242,$C$4:$C242,$C243)+1,"")</f>
        <v/>
      </c>
      <c r="AK243" s="43">
        <f>IF(OR($C243="",$K243=""),0,IF(COUNTIFS($C$5:$C243,$C243,$K$5:$K243,$K243)=1,1,0))</f>
        <v>0</v>
      </c>
      <c r="AL243" s="43" t="str">
        <f>IF($AK243=1,SUMIFS($AK$4:$AK242,$C$4:$C242,$C243)+1,"")</f>
        <v/>
      </c>
      <c r="AM243" s="43">
        <f>IF(OR($C243="",$G243=""),0,IF(COUNTIFS($C$5:$C243,$C243,$G$5:$G243,$G243)=1,1,0))</f>
        <v>0</v>
      </c>
      <c r="AN243" s="43" t="str">
        <f>IF($AM243=1,SUMIFS($AM$4:$AM242,$C$4:$C242,$C243)+1,"")</f>
        <v/>
      </c>
    </row>
    <row r="244">
      <c r="A244" s="44" t="str">
        <f>IF(OR($B244="",$D244=""),"","TX"&amp;TEXT(ROW()-4,"0000"))</f>
        <v/>
      </c>
      <c r="B244" s="42" t="n"/>
      <c r="C244" s="47" t="str">
        <f>IF($B244="","",YEAR($B244)*100+MONTH($B244))</f>
        <v/>
      </c>
      <c r="D244" s="37" t="n"/>
      <c r="E244" s="45" t="str">
        <f>IF($D244="","",IFERROR(INDEX(CARDS!$B$5:$B$34,MATCH($D244,CARDS!$A$5:$A$34,0)),"⚠ Card ID?"))</f>
        <v/>
      </c>
      <c r="F244" s="45" t="str">
        <f>IF($D244="","",IFERROR(INDEX(CARDS!$C$5:$C$34,MATCH($D244,CARDS!$A$5:$A$34,0)),"⚠ Card ID?"))</f>
        <v/>
      </c>
      <c r="G244" s="37" t="n"/>
      <c r="H244" s="37" t="n"/>
      <c r="I244" s="41" t="n"/>
      <c r="J244" s="45" t="str">
        <f>IF($I244="","",IFERROR(INDEX(MCC_MASTER!$B$5:$B$504,MATCH($I244,MCC_MASTER!$A$5:$A$504,0)),"⚠ MCC chưa có"))</f>
        <v/>
      </c>
      <c r="K244" s="45" t="str">
        <f>IF($I244="","",IFERROR(IF(INDEX(MCC_MASTER!$C$5:$C$504,MATCH($I244,MCC_MASTER!$A$5:$A$504,0))="","Chưa phân loại",INDEX(MCC_MASTER!$C$5:$C$504,MATCH($I244,MCC_MASTER!$A$5:$A$504,0))),"Chưa phân loại"))</f>
        <v/>
      </c>
      <c r="L244" s="40" t="n"/>
      <c r="M244" s="48" t="str">
        <f>IF(OR($B244="",$D244=""),"",IF($AC244=0,0,IF(ISNUMBER(INDEX(CASHBACK_RULES!$L$5:$L$304,$AC244)),MAX(0,MIN($L244,INDEX(CASHBACK_RULES!$L$5:$L$304,$AC244)-$AH244)),MAX(0,$L244))))</f>
        <v/>
      </c>
      <c r="N244" s="49" t="str">
        <f>IF(OR($B244="",$D244=""),"",IF($AC244&gt;0,INDEX(CASHBACK_RULES!$I$5:$I$304,$AC244),0))</f>
        <v/>
      </c>
      <c r="O244" s="48" t="str">
        <f>IF(OR($B244="",$D244=""),"",ROUND($M244*$N244,0))</f>
        <v/>
      </c>
      <c r="P244" s="48" t="str">
        <f>IF($AC244&gt;0,IF(ISNUMBER(INDEX(CASHBACK_RULES!$J$5:$J$304,$AC244)),INDEX(CASHBACK_RULES!$J$5:$J$304,$AC244),"∞"),"")</f>
        <v/>
      </c>
      <c r="Q244" s="48" t="str">
        <f>IF(OR($B244="",$D244=""),"",IF($AC244=0,0,MAX(0,MIN($O244,IF(ISNUMBER($P244),$P244-$AF244,1E+15),IF(ISNUMBER($AA244),$AA244-$AG244,1E+15)))))</f>
        <v/>
      </c>
      <c r="R244" s="48" t="str">
        <f>IF(OR($B244="",$D244=""),"",IF($AC244=0,"",IF(AND(NOT(ISNUMBER($P244)),NOT(ISNUMBER($AA244))),"∞",MAX(0,MIN(IF(ISNUMBER($P244),$P244-$AF244-$Q244,1E+15),IF(ISNUMBER($AA244),$AA244-$AG244-$Q244,1E+15))))))</f>
        <v/>
      </c>
      <c r="S244" s="47" t="str">
        <f>IF($AD244="","",YEAR($AD244)*100+MONTH($AD244))</f>
        <v/>
      </c>
      <c r="T244" s="50" t="str">
        <f>IF($AD244="","",IFERROR(IF(INDEX(CARDS!$I$5:$I$34,MATCH($D244,CARDS!$A$5:$A$34,0))="","",IF(INDEX(CARDS!$I$5:$I$34,MATCH($D244,CARDS!$A$5:$A$34,0))&gt;INDEX(CARDS!$H$5:$H$34,MATCH($D244,CARDS!$A$5:$A$34,0)),DATE(YEAR($AD244),MONTH($AD244),MIN(INDEX(CARDS!$I$5:$I$34,MATCH($D244,CARDS!$A$5:$A$34,0)),DAY(EOMONTH($AD244,0)))),DATE(YEAR($AD244),MONTH($AD244)+1,MIN(INDEX(CARDS!$I$5:$I$34,MATCH($D244,CARDS!$A$5:$A$34,0)),DAY(EOMONTH($AD244,1)))))),""))</f>
        <v/>
      </c>
      <c r="U244" s="38" t="n"/>
      <c r="V244" s="37" t="n"/>
      <c r="W244" s="38" t="n"/>
      <c r="X244" s="38" t="n"/>
      <c r="Y244" s="44" t="str">
        <f>IF($AC244&gt;0,INDEX(CASHBACK_RULES!$A$5:$A$304,$AC244),"")</f>
        <v/>
      </c>
      <c r="Z244" s="45" t="str">
        <f>IF($AC244&gt;0,INDEX(CASHBACK_RULES!$E$5:$E$304,$AC244)&amp;"","")</f>
        <v/>
      </c>
      <c r="AA244" s="48" t="str">
        <f>IF($AC244&gt;0,IF(ISNUMBER(INDEX(CASHBACK_RULES!$K$5:$K$304,$AC244)),INDEX(CASHBACK_RULES!$K$5:$K$304,$AC244),"∞"),"")</f>
        <v/>
      </c>
      <c r="AB244" s="44" t="str">
        <f>IF(OR($B244="",$D244=""),"",IF($U244="Cancelled","Đã hủy",IF($AC244=0,"Không được hoàn",IF($Q244=0,IF(OR($O244&gt;0,$M244&lt;$L244),"Đã đạt cap","Không được hoàn"),IF(OR($Q244&lt;$O244,$M244&lt;$L244),"Hoàn một phần","Được hoàn")))))</f>
        <v/>
      </c>
      <c r="AC244" s="43">
        <f>IF(OR($B244="",$D244="",$I244="",$L244=""),0,IF($U244="Cancelled",0,IF($W244&lt;&gt;"",IFERROR(IF(INDEX(CASHBACK_RULES!$B$5:$B$304,MATCH($W244,CASHBACK_RULES!$A$5:$A$304,0))=$D244,MATCH($W244,CASHBACK_RULES!$A$5:$A$304,0),0),0),IFERROR(MATCH(1,INDEX((CASHBACK_RULES!$B$5:$B$304=$D244)*(CASHBACK_RULES!$G$5:$G$304=$I244)*(((CASHBACK_RULES!$N$5:$N$304="")+(CASHBACK_RULES!$N$5:$N$304&lt;=$B244))&gt;0)*(((CASHBACK_RULES!$O$5:$O$304="")+(CASHBACK_RULES!$O$5:$O$304&gt;=$B244))&gt;0)*(((CASHBACK_RULES!$M$5:$M$304="")+(CASHBACK_RULES!$M$5:$M$304&lt;=$L244))&gt;0),0),0),0))))</f>
        <v>0</v>
      </c>
      <c r="AD244" s="51" t="str">
        <f>IF(OR($B244="",$D244=""),"",IFERROR(IF(INDEX(CARDS!$H$5:$H$34,MATCH($D244,CARDS!$A$5:$A$34,0))="","",IF(DAY($B244)&lt;=INDEX(CARDS!$H$5:$H$34,MATCH($D244,CARDS!$A$5:$A$34,0)),DATE(YEAR($B244),MONTH($B244),MIN(INDEX(CARDS!$H$5:$H$34,MATCH($D244,CARDS!$A$5:$A$34,0)),DAY(EOMONTH($B244,0)))),DATE(YEAR($B244),MONTH($B244)+1,MIN(INDEX(CARDS!$H$5:$H$34,MATCH($D244,CARDS!$A$5:$A$34,0)),DAY(EOMONTH($B244,1)))))),""))</f>
        <v/>
      </c>
      <c r="AE244" s="52" t="str">
        <f>IF($C244="","",$C244&amp;"|"&amp;COUNTIF($C$5:$C244,$C244))</f>
        <v/>
      </c>
      <c r="AF244" s="53">
        <f>IF($AC244&gt;0,SUMIFS(Q$4:Q243,$D$4:$D243,$D244,$Z$4:$Z243,$Z244,$C$4:$C243,$C244),0)</f>
        <v>0</v>
      </c>
      <c r="AG244" s="53">
        <f>IF($AC244&gt;0,SUMIFS(Q$4:Q243,$D$4:$D243,$D244,$C$4:$C243,$C244),0)</f>
        <v>0</v>
      </c>
      <c r="AH244" s="53">
        <f>IF($AC244&gt;0,SUMIFS(M$4:M243,$D$4:$D243,$D244,$Z$4:$Z243,$Z244,$C$4:$C243,$C244),0)</f>
        <v>0</v>
      </c>
      <c r="AI244" s="43">
        <f>IF(OR($C244="",$I244=""),0,IF(COUNTIFS($C$5:$C244,$C244,$I$5:$I244,$I244)=1,1,0))</f>
        <v>0</v>
      </c>
      <c r="AJ244" s="43" t="str">
        <f>IF($AI244=1,SUMIFS($AI$4:$AI243,$C$4:$C243,$C244)+1,"")</f>
        <v/>
      </c>
      <c r="AK244" s="43">
        <f>IF(OR($C244="",$K244=""),0,IF(COUNTIFS($C$5:$C244,$C244,$K$5:$K244,$K244)=1,1,0))</f>
        <v>0</v>
      </c>
      <c r="AL244" s="43" t="str">
        <f>IF($AK244=1,SUMIFS($AK$4:$AK243,$C$4:$C243,$C244)+1,"")</f>
        <v/>
      </c>
      <c r="AM244" s="43">
        <f>IF(OR($C244="",$G244=""),0,IF(COUNTIFS($C$5:$C244,$C244,$G$5:$G244,$G244)=1,1,0))</f>
        <v>0</v>
      </c>
      <c r="AN244" s="43" t="str">
        <f>IF($AM244=1,SUMIFS($AM$4:$AM243,$C$4:$C243,$C244)+1,"")</f>
        <v/>
      </c>
    </row>
    <row r="245">
      <c r="A245" s="44" t="str">
        <f>IF(OR($B245="",$D245=""),"","TX"&amp;TEXT(ROW()-4,"0000"))</f>
        <v/>
      </c>
      <c r="B245" s="42" t="n"/>
      <c r="C245" s="47" t="str">
        <f>IF($B245="","",YEAR($B245)*100+MONTH($B245))</f>
        <v/>
      </c>
      <c r="D245" s="37" t="n"/>
      <c r="E245" s="45" t="str">
        <f>IF($D245="","",IFERROR(INDEX(CARDS!$B$5:$B$34,MATCH($D245,CARDS!$A$5:$A$34,0)),"⚠ Card ID?"))</f>
        <v/>
      </c>
      <c r="F245" s="45" t="str">
        <f>IF($D245="","",IFERROR(INDEX(CARDS!$C$5:$C$34,MATCH($D245,CARDS!$A$5:$A$34,0)),"⚠ Card ID?"))</f>
        <v/>
      </c>
      <c r="G245" s="37" t="n"/>
      <c r="H245" s="37" t="n"/>
      <c r="I245" s="41" t="n"/>
      <c r="J245" s="45" t="str">
        <f>IF($I245="","",IFERROR(INDEX(MCC_MASTER!$B$5:$B$504,MATCH($I245,MCC_MASTER!$A$5:$A$504,0)),"⚠ MCC chưa có"))</f>
        <v/>
      </c>
      <c r="K245" s="45" t="str">
        <f>IF($I245="","",IFERROR(IF(INDEX(MCC_MASTER!$C$5:$C$504,MATCH($I245,MCC_MASTER!$A$5:$A$504,0))="","Chưa phân loại",INDEX(MCC_MASTER!$C$5:$C$504,MATCH($I245,MCC_MASTER!$A$5:$A$504,0))),"Chưa phân loại"))</f>
        <v/>
      </c>
      <c r="L245" s="40" t="n"/>
      <c r="M245" s="48" t="str">
        <f>IF(OR($B245="",$D245=""),"",IF($AC245=0,0,IF(ISNUMBER(INDEX(CASHBACK_RULES!$L$5:$L$304,$AC245)),MAX(0,MIN($L245,INDEX(CASHBACK_RULES!$L$5:$L$304,$AC245)-$AH245)),MAX(0,$L245))))</f>
        <v/>
      </c>
      <c r="N245" s="49" t="str">
        <f>IF(OR($B245="",$D245=""),"",IF($AC245&gt;0,INDEX(CASHBACK_RULES!$I$5:$I$304,$AC245),0))</f>
        <v/>
      </c>
      <c r="O245" s="48" t="str">
        <f>IF(OR($B245="",$D245=""),"",ROUND($M245*$N245,0))</f>
        <v/>
      </c>
      <c r="P245" s="48" t="str">
        <f>IF($AC245&gt;0,IF(ISNUMBER(INDEX(CASHBACK_RULES!$J$5:$J$304,$AC245)),INDEX(CASHBACK_RULES!$J$5:$J$304,$AC245),"∞"),"")</f>
        <v/>
      </c>
      <c r="Q245" s="48" t="str">
        <f>IF(OR($B245="",$D245=""),"",IF($AC245=0,0,MAX(0,MIN($O245,IF(ISNUMBER($P245),$P245-$AF245,1E+15),IF(ISNUMBER($AA245),$AA245-$AG245,1E+15)))))</f>
        <v/>
      </c>
      <c r="R245" s="48" t="str">
        <f>IF(OR($B245="",$D245=""),"",IF($AC245=0,"",IF(AND(NOT(ISNUMBER($P245)),NOT(ISNUMBER($AA245))),"∞",MAX(0,MIN(IF(ISNUMBER($P245),$P245-$AF245-$Q245,1E+15),IF(ISNUMBER($AA245),$AA245-$AG245-$Q245,1E+15))))))</f>
        <v/>
      </c>
      <c r="S245" s="47" t="str">
        <f>IF($AD245="","",YEAR($AD245)*100+MONTH($AD245))</f>
        <v/>
      </c>
      <c r="T245" s="50" t="str">
        <f>IF($AD245="","",IFERROR(IF(INDEX(CARDS!$I$5:$I$34,MATCH($D245,CARDS!$A$5:$A$34,0))="","",IF(INDEX(CARDS!$I$5:$I$34,MATCH($D245,CARDS!$A$5:$A$34,0))&gt;INDEX(CARDS!$H$5:$H$34,MATCH($D245,CARDS!$A$5:$A$34,0)),DATE(YEAR($AD245),MONTH($AD245),MIN(INDEX(CARDS!$I$5:$I$34,MATCH($D245,CARDS!$A$5:$A$34,0)),DAY(EOMONTH($AD245,0)))),DATE(YEAR($AD245),MONTH($AD245)+1,MIN(INDEX(CARDS!$I$5:$I$34,MATCH($D245,CARDS!$A$5:$A$34,0)),DAY(EOMONTH($AD245,1)))))),""))</f>
        <v/>
      </c>
      <c r="U245" s="38" t="n"/>
      <c r="V245" s="37" t="n"/>
      <c r="W245" s="38" t="n"/>
      <c r="X245" s="38" t="n"/>
      <c r="Y245" s="44" t="str">
        <f>IF($AC245&gt;0,INDEX(CASHBACK_RULES!$A$5:$A$304,$AC245),"")</f>
        <v/>
      </c>
      <c r="Z245" s="45" t="str">
        <f>IF($AC245&gt;0,INDEX(CASHBACK_RULES!$E$5:$E$304,$AC245)&amp;"","")</f>
        <v/>
      </c>
      <c r="AA245" s="48" t="str">
        <f>IF($AC245&gt;0,IF(ISNUMBER(INDEX(CASHBACK_RULES!$K$5:$K$304,$AC245)),INDEX(CASHBACK_RULES!$K$5:$K$304,$AC245),"∞"),"")</f>
        <v/>
      </c>
      <c r="AB245" s="44" t="str">
        <f>IF(OR($B245="",$D245=""),"",IF($U245="Cancelled","Đã hủy",IF($AC245=0,"Không được hoàn",IF($Q245=0,IF(OR($O245&gt;0,$M245&lt;$L245),"Đã đạt cap","Không được hoàn"),IF(OR($Q245&lt;$O245,$M245&lt;$L245),"Hoàn một phần","Được hoàn")))))</f>
        <v/>
      </c>
      <c r="AC245" s="43">
        <f>IF(OR($B245="",$D245="",$I245="",$L245=""),0,IF($U245="Cancelled",0,IF($W245&lt;&gt;"",IFERROR(IF(INDEX(CASHBACK_RULES!$B$5:$B$304,MATCH($W245,CASHBACK_RULES!$A$5:$A$304,0))=$D245,MATCH($W245,CASHBACK_RULES!$A$5:$A$304,0),0),0),IFERROR(MATCH(1,INDEX((CASHBACK_RULES!$B$5:$B$304=$D245)*(CASHBACK_RULES!$G$5:$G$304=$I245)*(((CASHBACK_RULES!$N$5:$N$304="")+(CASHBACK_RULES!$N$5:$N$304&lt;=$B245))&gt;0)*(((CASHBACK_RULES!$O$5:$O$304="")+(CASHBACK_RULES!$O$5:$O$304&gt;=$B245))&gt;0)*(((CASHBACK_RULES!$M$5:$M$304="")+(CASHBACK_RULES!$M$5:$M$304&lt;=$L245))&gt;0),0),0),0))))</f>
        <v>0</v>
      </c>
      <c r="AD245" s="51" t="str">
        <f>IF(OR($B245="",$D245=""),"",IFERROR(IF(INDEX(CARDS!$H$5:$H$34,MATCH($D245,CARDS!$A$5:$A$34,0))="","",IF(DAY($B245)&lt;=INDEX(CARDS!$H$5:$H$34,MATCH($D245,CARDS!$A$5:$A$34,0)),DATE(YEAR($B245),MONTH($B245),MIN(INDEX(CARDS!$H$5:$H$34,MATCH($D245,CARDS!$A$5:$A$34,0)),DAY(EOMONTH($B245,0)))),DATE(YEAR($B245),MONTH($B245)+1,MIN(INDEX(CARDS!$H$5:$H$34,MATCH($D245,CARDS!$A$5:$A$34,0)),DAY(EOMONTH($B245,1)))))),""))</f>
        <v/>
      </c>
      <c r="AE245" s="52" t="str">
        <f>IF($C245="","",$C245&amp;"|"&amp;COUNTIF($C$5:$C245,$C245))</f>
        <v/>
      </c>
      <c r="AF245" s="53">
        <f>IF($AC245&gt;0,SUMIFS(Q$4:Q244,$D$4:$D244,$D245,$Z$4:$Z244,$Z245,$C$4:$C244,$C245),0)</f>
        <v>0</v>
      </c>
      <c r="AG245" s="53">
        <f>IF($AC245&gt;0,SUMIFS(Q$4:Q244,$D$4:$D244,$D245,$C$4:$C244,$C245),0)</f>
        <v>0</v>
      </c>
      <c r="AH245" s="53">
        <f>IF($AC245&gt;0,SUMIFS(M$4:M244,$D$4:$D244,$D245,$Z$4:$Z244,$Z245,$C$4:$C244,$C245),0)</f>
        <v>0</v>
      </c>
      <c r="AI245" s="43">
        <f>IF(OR($C245="",$I245=""),0,IF(COUNTIFS($C$5:$C245,$C245,$I$5:$I245,$I245)=1,1,0))</f>
        <v>0</v>
      </c>
      <c r="AJ245" s="43" t="str">
        <f>IF($AI245=1,SUMIFS($AI$4:$AI244,$C$4:$C244,$C245)+1,"")</f>
        <v/>
      </c>
      <c r="AK245" s="43">
        <f>IF(OR($C245="",$K245=""),0,IF(COUNTIFS($C$5:$C245,$C245,$K$5:$K245,$K245)=1,1,0))</f>
        <v>0</v>
      </c>
      <c r="AL245" s="43" t="str">
        <f>IF($AK245=1,SUMIFS($AK$4:$AK244,$C$4:$C244,$C245)+1,"")</f>
        <v/>
      </c>
      <c r="AM245" s="43">
        <f>IF(OR($C245="",$G245=""),0,IF(COUNTIFS($C$5:$C245,$C245,$G$5:$G245,$G245)=1,1,0))</f>
        <v>0</v>
      </c>
      <c r="AN245" s="43" t="str">
        <f>IF($AM245=1,SUMIFS($AM$4:$AM244,$C$4:$C244,$C245)+1,"")</f>
        <v/>
      </c>
    </row>
    <row r="246">
      <c r="A246" s="44" t="str">
        <f>IF(OR($B246="",$D246=""),"","TX"&amp;TEXT(ROW()-4,"0000"))</f>
        <v/>
      </c>
      <c r="B246" s="42" t="n"/>
      <c r="C246" s="47" t="str">
        <f>IF($B246="","",YEAR($B246)*100+MONTH($B246))</f>
        <v/>
      </c>
      <c r="D246" s="37" t="n"/>
      <c r="E246" s="45" t="str">
        <f>IF($D246="","",IFERROR(INDEX(CARDS!$B$5:$B$34,MATCH($D246,CARDS!$A$5:$A$34,0)),"⚠ Card ID?"))</f>
        <v/>
      </c>
      <c r="F246" s="45" t="str">
        <f>IF($D246="","",IFERROR(INDEX(CARDS!$C$5:$C$34,MATCH($D246,CARDS!$A$5:$A$34,0)),"⚠ Card ID?"))</f>
        <v/>
      </c>
      <c r="G246" s="37" t="n"/>
      <c r="H246" s="37" t="n"/>
      <c r="I246" s="41" t="n"/>
      <c r="J246" s="45" t="str">
        <f>IF($I246="","",IFERROR(INDEX(MCC_MASTER!$B$5:$B$504,MATCH($I246,MCC_MASTER!$A$5:$A$504,0)),"⚠ MCC chưa có"))</f>
        <v/>
      </c>
      <c r="K246" s="45" t="str">
        <f>IF($I246="","",IFERROR(IF(INDEX(MCC_MASTER!$C$5:$C$504,MATCH($I246,MCC_MASTER!$A$5:$A$504,0))="","Chưa phân loại",INDEX(MCC_MASTER!$C$5:$C$504,MATCH($I246,MCC_MASTER!$A$5:$A$504,0))),"Chưa phân loại"))</f>
        <v/>
      </c>
      <c r="L246" s="40" t="n"/>
      <c r="M246" s="48" t="str">
        <f>IF(OR($B246="",$D246=""),"",IF($AC246=0,0,IF(ISNUMBER(INDEX(CASHBACK_RULES!$L$5:$L$304,$AC246)),MAX(0,MIN($L246,INDEX(CASHBACK_RULES!$L$5:$L$304,$AC246)-$AH246)),MAX(0,$L246))))</f>
        <v/>
      </c>
      <c r="N246" s="49" t="str">
        <f>IF(OR($B246="",$D246=""),"",IF($AC246&gt;0,INDEX(CASHBACK_RULES!$I$5:$I$304,$AC246),0))</f>
        <v/>
      </c>
      <c r="O246" s="48" t="str">
        <f>IF(OR($B246="",$D246=""),"",ROUND($M246*$N246,0))</f>
        <v/>
      </c>
      <c r="P246" s="48" t="str">
        <f>IF($AC246&gt;0,IF(ISNUMBER(INDEX(CASHBACK_RULES!$J$5:$J$304,$AC246)),INDEX(CASHBACK_RULES!$J$5:$J$304,$AC246),"∞"),"")</f>
        <v/>
      </c>
      <c r="Q246" s="48" t="str">
        <f>IF(OR($B246="",$D246=""),"",IF($AC246=0,0,MAX(0,MIN($O246,IF(ISNUMBER($P246),$P246-$AF246,1E+15),IF(ISNUMBER($AA246),$AA246-$AG246,1E+15)))))</f>
        <v/>
      </c>
      <c r="R246" s="48" t="str">
        <f>IF(OR($B246="",$D246=""),"",IF($AC246=0,"",IF(AND(NOT(ISNUMBER($P246)),NOT(ISNUMBER($AA246))),"∞",MAX(0,MIN(IF(ISNUMBER($P246),$P246-$AF246-$Q246,1E+15),IF(ISNUMBER($AA246),$AA246-$AG246-$Q246,1E+15))))))</f>
        <v/>
      </c>
      <c r="S246" s="47" t="str">
        <f>IF($AD246="","",YEAR($AD246)*100+MONTH($AD246))</f>
        <v/>
      </c>
      <c r="T246" s="50" t="str">
        <f>IF($AD246="","",IFERROR(IF(INDEX(CARDS!$I$5:$I$34,MATCH($D246,CARDS!$A$5:$A$34,0))="","",IF(INDEX(CARDS!$I$5:$I$34,MATCH($D246,CARDS!$A$5:$A$34,0))&gt;INDEX(CARDS!$H$5:$H$34,MATCH($D246,CARDS!$A$5:$A$34,0)),DATE(YEAR($AD246),MONTH($AD246),MIN(INDEX(CARDS!$I$5:$I$34,MATCH($D246,CARDS!$A$5:$A$34,0)),DAY(EOMONTH($AD246,0)))),DATE(YEAR($AD246),MONTH($AD246)+1,MIN(INDEX(CARDS!$I$5:$I$34,MATCH($D246,CARDS!$A$5:$A$34,0)),DAY(EOMONTH($AD246,1)))))),""))</f>
        <v/>
      </c>
      <c r="U246" s="38" t="n"/>
      <c r="V246" s="37" t="n"/>
      <c r="W246" s="38" t="n"/>
      <c r="X246" s="38" t="n"/>
      <c r="Y246" s="44" t="str">
        <f>IF($AC246&gt;0,INDEX(CASHBACK_RULES!$A$5:$A$304,$AC246),"")</f>
        <v/>
      </c>
      <c r="Z246" s="45" t="str">
        <f>IF($AC246&gt;0,INDEX(CASHBACK_RULES!$E$5:$E$304,$AC246)&amp;"","")</f>
        <v/>
      </c>
      <c r="AA246" s="48" t="str">
        <f>IF($AC246&gt;0,IF(ISNUMBER(INDEX(CASHBACK_RULES!$K$5:$K$304,$AC246)),INDEX(CASHBACK_RULES!$K$5:$K$304,$AC246),"∞"),"")</f>
        <v/>
      </c>
      <c r="AB246" s="44" t="str">
        <f>IF(OR($B246="",$D246=""),"",IF($U246="Cancelled","Đã hủy",IF($AC246=0,"Không được hoàn",IF($Q246=0,IF(OR($O246&gt;0,$M246&lt;$L246),"Đã đạt cap","Không được hoàn"),IF(OR($Q246&lt;$O246,$M246&lt;$L246),"Hoàn một phần","Được hoàn")))))</f>
        <v/>
      </c>
      <c r="AC246" s="43">
        <f>IF(OR($B246="",$D246="",$I246="",$L246=""),0,IF($U246="Cancelled",0,IF($W246&lt;&gt;"",IFERROR(IF(INDEX(CASHBACK_RULES!$B$5:$B$304,MATCH($W246,CASHBACK_RULES!$A$5:$A$304,0))=$D246,MATCH($W246,CASHBACK_RULES!$A$5:$A$304,0),0),0),IFERROR(MATCH(1,INDEX((CASHBACK_RULES!$B$5:$B$304=$D246)*(CASHBACK_RULES!$G$5:$G$304=$I246)*(((CASHBACK_RULES!$N$5:$N$304="")+(CASHBACK_RULES!$N$5:$N$304&lt;=$B246))&gt;0)*(((CASHBACK_RULES!$O$5:$O$304="")+(CASHBACK_RULES!$O$5:$O$304&gt;=$B246))&gt;0)*(((CASHBACK_RULES!$M$5:$M$304="")+(CASHBACK_RULES!$M$5:$M$304&lt;=$L246))&gt;0),0),0),0))))</f>
        <v>0</v>
      </c>
      <c r="AD246" s="51" t="str">
        <f>IF(OR($B246="",$D246=""),"",IFERROR(IF(INDEX(CARDS!$H$5:$H$34,MATCH($D246,CARDS!$A$5:$A$34,0))="","",IF(DAY($B246)&lt;=INDEX(CARDS!$H$5:$H$34,MATCH($D246,CARDS!$A$5:$A$34,0)),DATE(YEAR($B246),MONTH($B246),MIN(INDEX(CARDS!$H$5:$H$34,MATCH($D246,CARDS!$A$5:$A$34,0)),DAY(EOMONTH($B246,0)))),DATE(YEAR($B246),MONTH($B246)+1,MIN(INDEX(CARDS!$H$5:$H$34,MATCH($D246,CARDS!$A$5:$A$34,0)),DAY(EOMONTH($B246,1)))))),""))</f>
        <v/>
      </c>
      <c r="AE246" s="52" t="str">
        <f>IF($C246="","",$C246&amp;"|"&amp;COUNTIF($C$5:$C246,$C246))</f>
        <v/>
      </c>
      <c r="AF246" s="53">
        <f>IF($AC246&gt;0,SUMIFS(Q$4:Q245,$D$4:$D245,$D246,$Z$4:$Z245,$Z246,$C$4:$C245,$C246),0)</f>
        <v>0</v>
      </c>
      <c r="AG246" s="53">
        <f>IF($AC246&gt;0,SUMIFS(Q$4:Q245,$D$4:$D245,$D246,$C$4:$C245,$C246),0)</f>
        <v>0</v>
      </c>
      <c r="AH246" s="53">
        <f>IF($AC246&gt;0,SUMIFS(M$4:M245,$D$4:$D245,$D246,$Z$4:$Z245,$Z246,$C$4:$C245,$C246),0)</f>
        <v>0</v>
      </c>
      <c r="AI246" s="43">
        <f>IF(OR($C246="",$I246=""),0,IF(COUNTIFS($C$5:$C246,$C246,$I$5:$I246,$I246)=1,1,0))</f>
        <v>0</v>
      </c>
      <c r="AJ246" s="43" t="str">
        <f>IF($AI246=1,SUMIFS($AI$4:$AI245,$C$4:$C245,$C246)+1,"")</f>
        <v/>
      </c>
      <c r="AK246" s="43">
        <f>IF(OR($C246="",$K246=""),0,IF(COUNTIFS($C$5:$C246,$C246,$K$5:$K246,$K246)=1,1,0))</f>
        <v>0</v>
      </c>
      <c r="AL246" s="43" t="str">
        <f>IF($AK246=1,SUMIFS($AK$4:$AK245,$C$4:$C245,$C246)+1,"")</f>
        <v/>
      </c>
      <c r="AM246" s="43">
        <f>IF(OR($C246="",$G246=""),0,IF(COUNTIFS($C$5:$C246,$C246,$G$5:$G246,$G246)=1,1,0))</f>
        <v>0</v>
      </c>
      <c r="AN246" s="43" t="str">
        <f>IF($AM246=1,SUMIFS($AM$4:$AM245,$C$4:$C245,$C246)+1,"")</f>
        <v/>
      </c>
    </row>
    <row r="247">
      <c r="A247" s="44" t="str">
        <f>IF(OR($B247="",$D247=""),"","TX"&amp;TEXT(ROW()-4,"0000"))</f>
        <v/>
      </c>
      <c r="B247" s="42" t="n"/>
      <c r="C247" s="47" t="str">
        <f>IF($B247="","",YEAR($B247)*100+MONTH($B247))</f>
        <v/>
      </c>
      <c r="D247" s="37" t="n"/>
      <c r="E247" s="45" t="str">
        <f>IF($D247="","",IFERROR(INDEX(CARDS!$B$5:$B$34,MATCH($D247,CARDS!$A$5:$A$34,0)),"⚠ Card ID?"))</f>
        <v/>
      </c>
      <c r="F247" s="45" t="str">
        <f>IF($D247="","",IFERROR(INDEX(CARDS!$C$5:$C$34,MATCH($D247,CARDS!$A$5:$A$34,0)),"⚠ Card ID?"))</f>
        <v/>
      </c>
      <c r="G247" s="37" t="n"/>
      <c r="H247" s="37" t="n"/>
      <c r="I247" s="41" t="n"/>
      <c r="J247" s="45" t="str">
        <f>IF($I247="","",IFERROR(INDEX(MCC_MASTER!$B$5:$B$504,MATCH($I247,MCC_MASTER!$A$5:$A$504,0)),"⚠ MCC chưa có"))</f>
        <v/>
      </c>
      <c r="K247" s="45" t="str">
        <f>IF($I247="","",IFERROR(IF(INDEX(MCC_MASTER!$C$5:$C$504,MATCH($I247,MCC_MASTER!$A$5:$A$504,0))="","Chưa phân loại",INDEX(MCC_MASTER!$C$5:$C$504,MATCH($I247,MCC_MASTER!$A$5:$A$504,0))),"Chưa phân loại"))</f>
        <v/>
      </c>
      <c r="L247" s="40" t="n"/>
      <c r="M247" s="48" t="str">
        <f>IF(OR($B247="",$D247=""),"",IF($AC247=0,0,IF(ISNUMBER(INDEX(CASHBACK_RULES!$L$5:$L$304,$AC247)),MAX(0,MIN($L247,INDEX(CASHBACK_RULES!$L$5:$L$304,$AC247)-$AH247)),MAX(0,$L247))))</f>
        <v/>
      </c>
      <c r="N247" s="49" t="str">
        <f>IF(OR($B247="",$D247=""),"",IF($AC247&gt;0,INDEX(CASHBACK_RULES!$I$5:$I$304,$AC247),0))</f>
        <v/>
      </c>
      <c r="O247" s="48" t="str">
        <f>IF(OR($B247="",$D247=""),"",ROUND($M247*$N247,0))</f>
        <v/>
      </c>
      <c r="P247" s="48" t="str">
        <f>IF($AC247&gt;0,IF(ISNUMBER(INDEX(CASHBACK_RULES!$J$5:$J$304,$AC247)),INDEX(CASHBACK_RULES!$J$5:$J$304,$AC247),"∞"),"")</f>
        <v/>
      </c>
      <c r="Q247" s="48" t="str">
        <f>IF(OR($B247="",$D247=""),"",IF($AC247=0,0,MAX(0,MIN($O247,IF(ISNUMBER($P247),$P247-$AF247,1E+15),IF(ISNUMBER($AA247),$AA247-$AG247,1E+15)))))</f>
        <v/>
      </c>
      <c r="R247" s="48" t="str">
        <f>IF(OR($B247="",$D247=""),"",IF($AC247=0,"",IF(AND(NOT(ISNUMBER($P247)),NOT(ISNUMBER($AA247))),"∞",MAX(0,MIN(IF(ISNUMBER($P247),$P247-$AF247-$Q247,1E+15),IF(ISNUMBER($AA247),$AA247-$AG247-$Q247,1E+15))))))</f>
        <v/>
      </c>
      <c r="S247" s="47" t="str">
        <f>IF($AD247="","",YEAR($AD247)*100+MONTH($AD247))</f>
        <v/>
      </c>
      <c r="T247" s="50" t="str">
        <f>IF($AD247="","",IFERROR(IF(INDEX(CARDS!$I$5:$I$34,MATCH($D247,CARDS!$A$5:$A$34,0))="","",IF(INDEX(CARDS!$I$5:$I$34,MATCH($D247,CARDS!$A$5:$A$34,0))&gt;INDEX(CARDS!$H$5:$H$34,MATCH($D247,CARDS!$A$5:$A$34,0)),DATE(YEAR($AD247),MONTH($AD247),MIN(INDEX(CARDS!$I$5:$I$34,MATCH($D247,CARDS!$A$5:$A$34,0)),DAY(EOMONTH($AD247,0)))),DATE(YEAR($AD247),MONTH($AD247)+1,MIN(INDEX(CARDS!$I$5:$I$34,MATCH($D247,CARDS!$A$5:$A$34,0)),DAY(EOMONTH($AD247,1)))))),""))</f>
        <v/>
      </c>
      <c r="U247" s="38" t="n"/>
      <c r="V247" s="37" t="n"/>
      <c r="W247" s="38" t="n"/>
      <c r="X247" s="38" t="n"/>
      <c r="Y247" s="44" t="str">
        <f>IF($AC247&gt;0,INDEX(CASHBACK_RULES!$A$5:$A$304,$AC247),"")</f>
        <v/>
      </c>
      <c r="Z247" s="45" t="str">
        <f>IF($AC247&gt;0,INDEX(CASHBACK_RULES!$E$5:$E$304,$AC247)&amp;"","")</f>
        <v/>
      </c>
      <c r="AA247" s="48" t="str">
        <f>IF($AC247&gt;0,IF(ISNUMBER(INDEX(CASHBACK_RULES!$K$5:$K$304,$AC247)),INDEX(CASHBACK_RULES!$K$5:$K$304,$AC247),"∞"),"")</f>
        <v/>
      </c>
      <c r="AB247" s="44" t="str">
        <f>IF(OR($B247="",$D247=""),"",IF($U247="Cancelled","Đã hủy",IF($AC247=0,"Không được hoàn",IF($Q247=0,IF(OR($O247&gt;0,$M247&lt;$L247),"Đã đạt cap","Không được hoàn"),IF(OR($Q247&lt;$O247,$M247&lt;$L247),"Hoàn một phần","Được hoàn")))))</f>
        <v/>
      </c>
      <c r="AC247" s="43">
        <f>IF(OR($B247="",$D247="",$I247="",$L247=""),0,IF($U247="Cancelled",0,IF($W247&lt;&gt;"",IFERROR(IF(INDEX(CASHBACK_RULES!$B$5:$B$304,MATCH($W247,CASHBACK_RULES!$A$5:$A$304,0))=$D247,MATCH($W247,CASHBACK_RULES!$A$5:$A$304,0),0),0),IFERROR(MATCH(1,INDEX((CASHBACK_RULES!$B$5:$B$304=$D247)*(CASHBACK_RULES!$G$5:$G$304=$I247)*(((CASHBACK_RULES!$N$5:$N$304="")+(CASHBACK_RULES!$N$5:$N$304&lt;=$B247))&gt;0)*(((CASHBACK_RULES!$O$5:$O$304="")+(CASHBACK_RULES!$O$5:$O$304&gt;=$B247))&gt;0)*(((CASHBACK_RULES!$M$5:$M$304="")+(CASHBACK_RULES!$M$5:$M$304&lt;=$L247))&gt;0),0),0),0))))</f>
        <v>0</v>
      </c>
      <c r="AD247" s="51" t="str">
        <f>IF(OR($B247="",$D247=""),"",IFERROR(IF(INDEX(CARDS!$H$5:$H$34,MATCH($D247,CARDS!$A$5:$A$34,0))="","",IF(DAY($B247)&lt;=INDEX(CARDS!$H$5:$H$34,MATCH($D247,CARDS!$A$5:$A$34,0)),DATE(YEAR($B247),MONTH($B247),MIN(INDEX(CARDS!$H$5:$H$34,MATCH($D247,CARDS!$A$5:$A$34,0)),DAY(EOMONTH($B247,0)))),DATE(YEAR($B247),MONTH($B247)+1,MIN(INDEX(CARDS!$H$5:$H$34,MATCH($D247,CARDS!$A$5:$A$34,0)),DAY(EOMONTH($B247,1)))))),""))</f>
        <v/>
      </c>
      <c r="AE247" s="52" t="str">
        <f>IF($C247="","",$C247&amp;"|"&amp;COUNTIF($C$5:$C247,$C247))</f>
        <v/>
      </c>
      <c r="AF247" s="53">
        <f>IF($AC247&gt;0,SUMIFS(Q$4:Q246,$D$4:$D246,$D247,$Z$4:$Z246,$Z247,$C$4:$C246,$C247),0)</f>
        <v>0</v>
      </c>
      <c r="AG247" s="53">
        <f>IF($AC247&gt;0,SUMIFS(Q$4:Q246,$D$4:$D246,$D247,$C$4:$C246,$C247),0)</f>
        <v>0</v>
      </c>
      <c r="AH247" s="53">
        <f>IF($AC247&gt;0,SUMIFS(M$4:M246,$D$4:$D246,$D247,$Z$4:$Z246,$Z247,$C$4:$C246,$C247),0)</f>
        <v>0</v>
      </c>
      <c r="AI247" s="43">
        <f>IF(OR($C247="",$I247=""),0,IF(COUNTIFS($C$5:$C247,$C247,$I$5:$I247,$I247)=1,1,0))</f>
        <v>0</v>
      </c>
      <c r="AJ247" s="43" t="str">
        <f>IF($AI247=1,SUMIFS($AI$4:$AI246,$C$4:$C246,$C247)+1,"")</f>
        <v/>
      </c>
      <c r="AK247" s="43">
        <f>IF(OR($C247="",$K247=""),0,IF(COUNTIFS($C$5:$C247,$C247,$K$5:$K247,$K247)=1,1,0))</f>
        <v>0</v>
      </c>
      <c r="AL247" s="43" t="str">
        <f>IF($AK247=1,SUMIFS($AK$4:$AK246,$C$4:$C246,$C247)+1,"")</f>
        <v/>
      </c>
      <c r="AM247" s="43">
        <f>IF(OR($C247="",$G247=""),0,IF(COUNTIFS($C$5:$C247,$C247,$G$5:$G247,$G247)=1,1,0))</f>
        <v>0</v>
      </c>
      <c r="AN247" s="43" t="str">
        <f>IF($AM247=1,SUMIFS($AM$4:$AM246,$C$4:$C246,$C247)+1,"")</f>
        <v/>
      </c>
    </row>
    <row r="248">
      <c r="A248" s="44" t="str">
        <f>IF(OR($B248="",$D248=""),"","TX"&amp;TEXT(ROW()-4,"0000"))</f>
        <v/>
      </c>
      <c r="B248" s="42" t="n"/>
      <c r="C248" s="47" t="str">
        <f>IF($B248="","",YEAR($B248)*100+MONTH($B248))</f>
        <v/>
      </c>
      <c r="D248" s="37" t="n"/>
      <c r="E248" s="45" t="str">
        <f>IF($D248="","",IFERROR(INDEX(CARDS!$B$5:$B$34,MATCH($D248,CARDS!$A$5:$A$34,0)),"⚠ Card ID?"))</f>
        <v/>
      </c>
      <c r="F248" s="45" t="str">
        <f>IF($D248="","",IFERROR(INDEX(CARDS!$C$5:$C$34,MATCH($D248,CARDS!$A$5:$A$34,0)),"⚠ Card ID?"))</f>
        <v/>
      </c>
      <c r="G248" s="37" t="n"/>
      <c r="H248" s="37" t="n"/>
      <c r="I248" s="41" t="n"/>
      <c r="J248" s="45" t="str">
        <f>IF($I248="","",IFERROR(INDEX(MCC_MASTER!$B$5:$B$504,MATCH($I248,MCC_MASTER!$A$5:$A$504,0)),"⚠ MCC chưa có"))</f>
        <v/>
      </c>
      <c r="K248" s="45" t="str">
        <f>IF($I248="","",IFERROR(IF(INDEX(MCC_MASTER!$C$5:$C$504,MATCH($I248,MCC_MASTER!$A$5:$A$504,0))="","Chưa phân loại",INDEX(MCC_MASTER!$C$5:$C$504,MATCH($I248,MCC_MASTER!$A$5:$A$504,0))),"Chưa phân loại"))</f>
        <v/>
      </c>
      <c r="L248" s="40" t="n"/>
      <c r="M248" s="48" t="str">
        <f>IF(OR($B248="",$D248=""),"",IF($AC248=0,0,IF(ISNUMBER(INDEX(CASHBACK_RULES!$L$5:$L$304,$AC248)),MAX(0,MIN($L248,INDEX(CASHBACK_RULES!$L$5:$L$304,$AC248)-$AH248)),MAX(0,$L248))))</f>
        <v/>
      </c>
      <c r="N248" s="49" t="str">
        <f>IF(OR($B248="",$D248=""),"",IF($AC248&gt;0,INDEX(CASHBACK_RULES!$I$5:$I$304,$AC248),0))</f>
        <v/>
      </c>
      <c r="O248" s="48" t="str">
        <f>IF(OR($B248="",$D248=""),"",ROUND($M248*$N248,0))</f>
        <v/>
      </c>
      <c r="P248" s="48" t="str">
        <f>IF($AC248&gt;0,IF(ISNUMBER(INDEX(CASHBACK_RULES!$J$5:$J$304,$AC248)),INDEX(CASHBACK_RULES!$J$5:$J$304,$AC248),"∞"),"")</f>
        <v/>
      </c>
      <c r="Q248" s="48" t="str">
        <f>IF(OR($B248="",$D248=""),"",IF($AC248=0,0,MAX(0,MIN($O248,IF(ISNUMBER($P248),$P248-$AF248,1E+15),IF(ISNUMBER($AA248),$AA248-$AG248,1E+15)))))</f>
        <v/>
      </c>
      <c r="R248" s="48" t="str">
        <f>IF(OR($B248="",$D248=""),"",IF($AC248=0,"",IF(AND(NOT(ISNUMBER($P248)),NOT(ISNUMBER($AA248))),"∞",MAX(0,MIN(IF(ISNUMBER($P248),$P248-$AF248-$Q248,1E+15),IF(ISNUMBER($AA248),$AA248-$AG248-$Q248,1E+15))))))</f>
        <v/>
      </c>
      <c r="S248" s="47" t="str">
        <f>IF($AD248="","",YEAR($AD248)*100+MONTH($AD248))</f>
        <v/>
      </c>
      <c r="T248" s="50" t="str">
        <f>IF($AD248="","",IFERROR(IF(INDEX(CARDS!$I$5:$I$34,MATCH($D248,CARDS!$A$5:$A$34,0))="","",IF(INDEX(CARDS!$I$5:$I$34,MATCH($D248,CARDS!$A$5:$A$34,0))&gt;INDEX(CARDS!$H$5:$H$34,MATCH($D248,CARDS!$A$5:$A$34,0)),DATE(YEAR($AD248),MONTH($AD248),MIN(INDEX(CARDS!$I$5:$I$34,MATCH($D248,CARDS!$A$5:$A$34,0)),DAY(EOMONTH($AD248,0)))),DATE(YEAR($AD248),MONTH($AD248)+1,MIN(INDEX(CARDS!$I$5:$I$34,MATCH($D248,CARDS!$A$5:$A$34,0)),DAY(EOMONTH($AD248,1)))))),""))</f>
        <v/>
      </c>
      <c r="U248" s="38" t="n"/>
      <c r="V248" s="37" t="n"/>
      <c r="W248" s="38" t="n"/>
      <c r="X248" s="38" t="n"/>
      <c r="Y248" s="44" t="str">
        <f>IF($AC248&gt;0,INDEX(CASHBACK_RULES!$A$5:$A$304,$AC248),"")</f>
        <v/>
      </c>
      <c r="Z248" s="45" t="str">
        <f>IF($AC248&gt;0,INDEX(CASHBACK_RULES!$E$5:$E$304,$AC248)&amp;"","")</f>
        <v/>
      </c>
      <c r="AA248" s="48" t="str">
        <f>IF($AC248&gt;0,IF(ISNUMBER(INDEX(CASHBACK_RULES!$K$5:$K$304,$AC248)),INDEX(CASHBACK_RULES!$K$5:$K$304,$AC248),"∞"),"")</f>
        <v/>
      </c>
      <c r="AB248" s="44" t="str">
        <f>IF(OR($B248="",$D248=""),"",IF($U248="Cancelled","Đã hủy",IF($AC248=0,"Không được hoàn",IF($Q248=0,IF(OR($O248&gt;0,$M248&lt;$L248),"Đã đạt cap","Không được hoàn"),IF(OR($Q248&lt;$O248,$M248&lt;$L248),"Hoàn một phần","Được hoàn")))))</f>
        <v/>
      </c>
      <c r="AC248" s="43">
        <f>IF(OR($B248="",$D248="",$I248="",$L248=""),0,IF($U248="Cancelled",0,IF($W248&lt;&gt;"",IFERROR(IF(INDEX(CASHBACK_RULES!$B$5:$B$304,MATCH($W248,CASHBACK_RULES!$A$5:$A$304,0))=$D248,MATCH($W248,CASHBACK_RULES!$A$5:$A$304,0),0),0),IFERROR(MATCH(1,INDEX((CASHBACK_RULES!$B$5:$B$304=$D248)*(CASHBACK_RULES!$G$5:$G$304=$I248)*(((CASHBACK_RULES!$N$5:$N$304="")+(CASHBACK_RULES!$N$5:$N$304&lt;=$B248))&gt;0)*(((CASHBACK_RULES!$O$5:$O$304="")+(CASHBACK_RULES!$O$5:$O$304&gt;=$B248))&gt;0)*(((CASHBACK_RULES!$M$5:$M$304="")+(CASHBACK_RULES!$M$5:$M$304&lt;=$L248))&gt;0),0),0),0))))</f>
        <v>0</v>
      </c>
      <c r="AD248" s="51" t="str">
        <f>IF(OR($B248="",$D248=""),"",IFERROR(IF(INDEX(CARDS!$H$5:$H$34,MATCH($D248,CARDS!$A$5:$A$34,0))="","",IF(DAY($B248)&lt;=INDEX(CARDS!$H$5:$H$34,MATCH($D248,CARDS!$A$5:$A$34,0)),DATE(YEAR($B248),MONTH($B248),MIN(INDEX(CARDS!$H$5:$H$34,MATCH($D248,CARDS!$A$5:$A$34,0)),DAY(EOMONTH($B248,0)))),DATE(YEAR($B248),MONTH($B248)+1,MIN(INDEX(CARDS!$H$5:$H$34,MATCH($D248,CARDS!$A$5:$A$34,0)),DAY(EOMONTH($B248,1)))))),""))</f>
        <v/>
      </c>
      <c r="AE248" s="52" t="str">
        <f>IF($C248="","",$C248&amp;"|"&amp;COUNTIF($C$5:$C248,$C248))</f>
        <v/>
      </c>
      <c r="AF248" s="53">
        <f>IF($AC248&gt;0,SUMIFS(Q$4:Q247,$D$4:$D247,$D248,$Z$4:$Z247,$Z248,$C$4:$C247,$C248),0)</f>
        <v>0</v>
      </c>
      <c r="AG248" s="53">
        <f>IF($AC248&gt;0,SUMIFS(Q$4:Q247,$D$4:$D247,$D248,$C$4:$C247,$C248),0)</f>
        <v>0</v>
      </c>
      <c r="AH248" s="53">
        <f>IF($AC248&gt;0,SUMIFS(M$4:M247,$D$4:$D247,$D248,$Z$4:$Z247,$Z248,$C$4:$C247,$C248),0)</f>
        <v>0</v>
      </c>
      <c r="AI248" s="43">
        <f>IF(OR($C248="",$I248=""),0,IF(COUNTIFS($C$5:$C248,$C248,$I$5:$I248,$I248)=1,1,0))</f>
        <v>0</v>
      </c>
      <c r="AJ248" s="43" t="str">
        <f>IF($AI248=1,SUMIFS($AI$4:$AI247,$C$4:$C247,$C248)+1,"")</f>
        <v/>
      </c>
      <c r="AK248" s="43">
        <f>IF(OR($C248="",$K248=""),0,IF(COUNTIFS($C$5:$C248,$C248,$K$5:$K248,$K248)=1,1,0))</f>
        <v>0</v>
      </c>
      <c r="AL248" s="43" t="str">
        <f>IF($AK248=1,SUMIFS($AK$4:$AK247,$C$4:$C247,$C248)+1,"")</f>
        <v/>
      </c>
      <c r="AM248" s="43">
        <f>IF(OR($C248="",$G248=""),0,IF(COUNTIFS($C$5:$C248,$C248,$G$5:$G248,$G248)=1,1,0))</f>
        <v>0</v>
      </c>
      <c r="AN248" s="43" t="str">
        <f>IF($AM248=1,SUMIFS($AM$4:$AM247,$C$4:$C247,$C248)+1,"")</f>
        <v/>
      </c>
    </row>
    <row r="249">
      <c r="A249" s="44" t="str">
        <f>IF(OR($B249="",$D249=""),"","TX"&amp;TEXT(ROW()-4,"0000"))</f>
        <v/>
      </c>
      <c r="B249" s="42" t="n"/>
      <c r="C249" s="47" t="str">
        <f>IF($B249="","",YEAR($B249)*100+MONTH($B249))</f>
        <v/>
      </c>
      <c r="D249" s="37" t="n"/>
      <c r="E249" s="45" t="str">
        <f>IF($D249="","",IFERROR(INDEX(CARDS!$B$5:$B$34,MATCH($D249,CARDS!$A$5:$A$34,0)),"⚠ Card ID?"))</f>
        <v/>
      </c>
      <c r="F249" s="45" t="str">
        <f>IF($D249="","",IFERROR(INDEX(CARDS!$C$5:$C$34,MATCH($D249,CARDS!$A$5:$A$34,0)),"⚠ Card ID?"))</f>
        <v/>
      </c>
      <c r="G249" s="37" t="n"/>
      <c r="H249" s="37" t="n"/>
      <c r="I249" s="41" t="n"/>
      <c r="J249" s="45" t="str">
        <f>IF($I249="","",IFERROR(INDEX(MCC_MASTER!$B$5:$B$504,MATCH($I249,MCC_MASTER!$A$5:$A$504,0)),"⚠ MCC chưa có"))</f>
        <v/>
      </c>
      <c r="K249" s="45" t="str">
        <f>IF($I249="","",IFERROR(IF(INDEX(MCC_MASTER!$C$5:$C$504,MATCH($I249,MCC_MASTER!$A$5:$A$504,0))="","Chưa phân loại",INDEX(MCC_MASTER!$C$5:$C$504,MATCH($I249,MCC_MASTER!$A$5:$A$504,0))),"Chưa phân loại"))</f>
        <v/>
      </c>
      <c r="L249" s="40" t="n"/>
      <c r="M249" s="48" t="str">
        <f>IF(OR($B249="",$D249=""),"",IF($AC249=0,0,IF(ISNUMBER(INDEX(CASHBACK_RULES!$L$5:$L$304,$AC249)),MAX(0,MIN($L249,INDEX(CASHBACK_RULES!$L$5:$L$304,$AC249)-$AH249)),MAX(0,$L249))))</f>
        <v/>
      </c>
      <c r="N249" s="49" t="str">
        <f>IF(OR($B249="",$D249=""),"",IF($AC249&gt;0,INDEX(CASHBACK_RULES!$I$5:$I$304,$AC249),0))</f>
        <v/>
      </c>
      <c r="O249" s="48" t="str">
        <f>IF(OR($B249="",$D249=""),"",ROUND($M249*$N249,0))</f>
        <v/>
      </c>
      <c r="P249" s="48" t="str">
        <f>IF($AC249&gt;0,IF(ISNUMBER(INDEX(CASHBACK_RULES!$J$5:$J$304,$AC249)),INDEX(CASHBACK_RULES!$J$5:$J$304,$AC249),"∞"),"")</f>
        <v/>
      </c>
      <c r="Q249" s="48" t="str">
        <f>IF(OR($B249="",$D249=""),"",IF($AC249=0,0,MAX(0,MIN($O249,IF(ISNUMBER($P249),$P249-$AF249,1E+15),IF(ISNUMBER($AA249),$AA249-$AG249,1E+15)))))</f>
        <v/>
      </c>
      <c r="R249" s="48" t="str">
        <f>IF(OR($B249="",$D249=""),"",IF($AC249=0,"",IF(AND(NOT(ISNUMBER($P249)),NOT(ISNUMBER($AA249))),"∞",MAX(0,MIN(IF(ISNUMBER($P249),$P249-$AF249-$Q249,1E+15),IF(ISNUMBER($AA249),$AA249-$AG249-$Q249,1E+15))))))</f>
        <v/>
      </c>
      <c r="S249" s="47" t="str">
        <f>IF($AD249="","",YEAR($AD249)*100+MONTH($AD249))</f>
        <v/>
      </c>
      <c r="T249" s="50" t="str">
        <f>IF($AD249="","",IFERROR(IF(INDEX(CARDS!$I$5:$I$34,MATCH($D249,CARDS!$A$5:$A$34,0))="","",IF(INDEX(CARDS!$I$5:$I$34,MATCH($D249,CARDS!$A$5:$A$34,0))&gt;INDEX(CARDS!$H$5:$H$34,MATCH($D249,CARDS!$A$5:$A$34,0)),DATE(YEAR($AD249),MONTH($AD249),MIN(INDEX(CARDS!$I$5:$I$34,MATCH($D249,CARDS!$A$5:$A$34,0)),DAY(EOMONTH($AD249,0)))),DATE(YEAR($AD249),MONTH($AD249)+1,MIN(INDEX(CARDS!$I$5:$I$34,MATCH($D249,CARDS!$A$5:$A$34,0)),DAY(EOMONTH($AD249,1)))))),""))</f>
        <v/>
      </c>
      <c r="U249" s="38" t="n"/>
      <c r="V249" s="37" t="n"/>
      <c r="W249" s="38" t="n"/>
      <c r="X249" s="38" t="n"/>
      <c r="Y249" s="44" t="str">
        <f>IF($AC249&gt;0,INDEX(CASHBACK_RULES!$A$5:$A$304,$AC249),"")</f>
        <v/>
      </c>
      <c r="Z249" s="45" t="str">
        <f>IF($AC249&gt;0,INDEX(CASHBACK_RULES!$E$5:$E$304,$AC249)&amp;"","")</f>
        <v/>
      </c>
      <c r="AA249" s="48" t="str">
        <f>IF($AC249&gt;0,IF(ISNUMBER(INDEX(CASHBACK_RULES!$K$5:$K$304,$AC249)),INDEX(CASHBACK_RULES!$K$5:$K$304,$AC249),"∞"),"")</f>
        <v/>
      </c>
      <c r="AB249" s="44" t="str">
        <f>IF(OR($B249="",$D249=""),"",IF($U249="Cancelled","Đã hủy",IF($AC249=0,"Không được hoàn",IF($Q249=0,IF(OR($O249&gt;0,$M249&lt;$L249),"Đã đạt cap","Không được hoàn"),IF(OR($Q249&lt;$O249,$M249&lt;$L249),"Hoàn một phần","Được hoàn")))))</f>
        <v/>
      </c>
      <c r="AC249" s="43">
        <f>IF(OR($B249="",$D249="",$I249="",$L249=""),0,IF($U249="Cancelled",0,IF($W249&lt;&gt;"",IFERROR(IF(INDEX(CASHBACK_RULES!$B$5:$B$304,MATCH($W249,CASHBACK_RULES!$A$5:$A$304,0))=$D249,MATCH($W249,CASHBACK_RULES!$A$5:$A$304,0),0),0),IFERROR(MATCH(1,INDEX((CASHBACK_RULES!$B$5:$B$304=$D249)*(CASHBACK_RULES!$G$5:$G$304=$I249)*(((CASHBACK_RULES!$N$5:$N$304="")+(CASHBACK_RULES!$N$5:$N$304&lt;=$B249))&gt;0)*(((CASHBACK_RULES!$O$5:$O$304="")+(CASHBACK_RULES!$O$5:$O$304&gt;=$B249))&gt;0)*(((CASHBACK_RULES!$M$5:$M$304="")+(CASHBACK_RULES!$M$5:$M$304&lt;=$L249))&gt;0),0),0),0))))</f>
        <v>0</v>
      </c>
      <c r="AD249" s="51" t="str">
        <f>IF(OR($B249="",$D249=""),"",IFERROR(IF(INDEX(CARDS!$H$5:$H$34,MATCH($D249,CARDS!$A$5:$A$34,0))="","",IF(DAY($B249)&lt;=INDEX(CARDS!$H$5:$H$34,MATCH($D249,CARDS!$A$5:$A$34,0)),DATE(YEAR($B249),MONTH($B249),MIN(INDEX(CARDS!$H$5:$H$34,MATCH($D249,CARDS!$A$5:$A$34,0)),DAY(EOMONTH($B249,0)))),DATE(YEAR($B249),MONTH($B249)+1,MIN(INDEX(CARDS!$H$5:$H$34,MATCH($D249,CARDS!$A$5:$A$34,0)),DAY(EOMONTH($B249,1)))))),""))</f>
        <v/>
      </c>
      <c r="AE249" s="52" t="str">
        <f>IF($C249="","",$C249&amp;"|"&amp;COUNTIF($C$5:$C249,$C249))</f>
        <v/>
      </c>
      <c r="AF249" s="53">
        <f>IF($AC249&gt;0,SUMIFS(Q$4:Q248,$D$4:$D248,$D249,$Z$4:$Z248,$Z249,$C$4:$C248,$C249),0)</f>
        <v>0</v>
      </c>
      <c r="AG249" s="53">
        <f>IF($AC249&gt;0,SUMIFS(Q$4:Q248,$D$4:$D248,$D249,$C$4:$C248,$C249),0)</f>
        <v>0</v>
      </c>
      <c r="AH249" s="53">
        <f>IF($AC249&gt;0,SUMIFS(M$4:M248,$D$4:$D248,$D249,$Z$4:$Z248,$Z249,$C$4:$C248,$C249),0)</f>
        <v>0</v>
      </c>
      <c r="AI249" s="43">
        <f>IF(OR($C249="",$I249=""),0,IF(COUNTIFS($C$5:$C249,$C249,$I$5:$I249,$I249)=1,1,0))</f>
        <v>0</v>
      </c>
      <c r="AJ249" s="43" t="str">
        <f>IF($AI249=1,SUMIFS($AI$4:$AI248,$C$4:$C248,$C249)+1,"")</f>
        <v/>
      </c>
      <c r="AK249" s="43">
        <f>IF(OR($C249="",$K249=""),0,IF(COUNTIFS($C$5:$C249,$C249,$K$5:$K249,$K249)=1,1,0))</f>
        <v>0</v>
      </c>
      <c r="AL249" s="43" t="str">
        <f>IF($AK249=1,SUMIFS($AK$4:$AK248,$C$4:$C248,$C249)+1,"")</f>
        <v/>
      </c>
      <c r="AM249" s="43">
        <f>IF(OR($C249="",$G249=""),0,IF(COUNTIFS($C$5:$C249,$C249,$G$5:$G249,$G249)=1,1,0))</f>
        <v>0</v>
      </c>
      <c r="AN249" s="43" t="str">
        <f>IF($AM249=1,SUMIFS($AM$4:$AM248,$C$4:$C248,$C249)+1,"")</f>
        <v/>
      </c>
    </row>
    <row r="250">
      <c r="A250" s="44" t="str">
        <f>IF(OR($B250="",$D250=""),"","TX"&amp;TEXT(ROW()-4,"0000"))</f>
        <v/>
      </c>
      <c r="B250" s="42" t="n"/>
      <c r="C250" s="47" t="str">
        <f>IF($B250="","",YEAR($B250)*100+MONTH($B250))</f>
        <v/>
      </c>
      <c r="D250" s="37" t="n"/>
      <c r="E250" s="45" t="str">
        <f>IF($D250="","",IFERROR(INDEX(CARDS!$B$5:$B$34,MATCH($D250,CARDS!$A$5:$A$34,0)),"⚠ Card ID?"))</f>
        <v/>
      </c>
      <c r="F250" s="45" t="str">
        <f>IF($D250="","",IFERROR(INDEX(CARDS!$C$5:$C$34,MATCH($D250,CARDS!$A$5:$A$34,0)),"⚠ Card ID?"))</f>
        <v/>
      </c>
      <c r="G250" s="37" t="n"/>
      <c r="H250" s="37" t="n"/>
      <c r="I250" s="41" t="n"/>
      <c r="J250" s="45" t="str">
        <f>IF($I250="","",IFERROR(INDEX(MCC_MASTER!$B$5:$B$504,MATCH($I250,MCC_MASTER!$A$5:$A$504,0)),"⚠ MCC chưa có"))</f>
        <v/>
      </c>
      <c r="K250" s="45" t="str">
        <f>IF($I250="","",IFERROR(IF(INDEX(MCC_MASTER!$C$5:$C$504,MATCH($I250,MCC_MASTER!$A$5:$A$504,0))="","Chưa phân loại",INDEX(MCC_MASTER!$C$5:$C$504,MATCH($I250,MCC_MASTER!$A$5:$A$504,0))),"Chưa phân loại"))</f>
        <v/>
      </c>
      <c r="L250" s="40" t="n"/>
      <c r="M250" s="48" t="str">
        <f>IF(OR($B250="",$D250=""),"",IF($AC250=0,0,IF(ISNUMBER(INDEX(CASHBACK_RULES!$L$5:$L$304,$AC250)),MAX(0,MIN($L250,INDEX(CASHBACK_RULES!$L$5:$L$304,$AC250)-$AH250)),MAX(0,$L250))))</f>
        <v/>
      </c>
      <c r="N250" s="49" t="str">
        <f>IF(OR($B250="",$D250=""),"",IF($AC250&gt;0,INDEX(CASHBACK_RULES!$I$5:$I$304,$AC250),0))</f>
        <v/>
      </c>
      <c r="O250" s="48" t="str">
        <f>IF(OR($B250="",$D250=""),"",ROUND($M250*$N250,0))</f>
        <v/>
      </c>
      <c r="P250" s="48" t="str">
        <f>IF($AC250&gt;0,IF(ISNUMBER(INDEX(CASHBACK_RULES!$J$5:$J$304,$AC250)),INDEX(CASHBACK_RULES!$J$5:$J$304,$AC250),"∞"),"")</f>
        <v/>
      </c>
      <c r="Q250" s="48" t="str">
        <f>IF(OR($B250="",$D250=""),"",IF($AC250=0,0,MAX(0,MIN($O250,IF(ISNUMBER($P250),$P250-$AF250,1E+15),IF(ISNUMBER($AA250),$AA250-$AG250,1E+15)))))</f>
        <v/>
      </c>
      <c r="R250" s="48" t="str">
        <f>IF(OR($B250="",$D250=""),"",IF($AC250=0,"",IF(AND(NOT(ISNUMBER($P250)),NOT(ISNUMBER($AA250))),"∞",MAX(0,MIN(IF(ISNUMBER($P250),$P250-$AF250-$Q250,1E+15),IF(ISNUMBER($AA250),$AA250-$AG250-$Q250,1E+15))))))</f>
        <v/>
      </c>
      <c r="S250" s="47" t="str">
        <f>IF($AD250="","",YEAR($AD250)*100+MONTH($AD250))</f>
        <v/>
      </c>
      <c r="T250" s="50" t="str">
        <f>IF($AD250="","",IFERROR(IF(INDEX(CARDS!$I$5:$I$34,MATCH($D250,CARDS!$A$5:$A$34,0))="","",IF(INDEX(CARDS!$I$5:$I$34,MATCH($D250,CARDS!$A$5:$A$34,0))&gt;INDEX(CARDS!$H$5:$H$34,MATCH($D250,CARDS!$A$5:$A$34,0)),DATE(YEAR($AD250),MONTH($AD250),MIN(INDEX(CARDS!$I$5:$I$34,MATCH($D250,CARDS!$A$5:$A$34,0)),DAY(EOMONTH($AD250,0)))),DATE(YEAR($AD250),MONTH($AD250)+1,MIN(INDEX(CARDS!$I$5:$I$34,MATCH($D250,CARDS!$A$5:$A$34,0)),DAY(EOMONTH($AD250,1)))))),""))</f>
        <v/>
      </c>
      <c r="U250" s="38" t="n"/>
      <c r="V250" s="37" t="n"/>
      <c r="W250" s="38" t="n"/>
      <c r="X250" s="38" t="n"/>
      <c r="Y250" s="44" t="str">
        <f>IF($AC250&gt;0,INDEX(CASHBACK_RULES!$A$5:$A$304,$AC250),"")</f>
        <v/>
      </c>
      <c r="Z250" s="45" t="str">
        <f>IF($AC250&gt;0,INDEX(CASHBACK_RULES!$E$5:$E$304,$AC250)&amp;"","")</f>
        <v/>
      </c>
      <c r="AA250" s="48" t="str">
        <f>IF($AC250&gt;0,IF(ISNUMBER(INDEX(CASHBACK_RULES!$K$5:$K$304,$AC250)),INDEX(CASHBACK_RULES!$K$5:$K$304,$AC250),"∞"),"")</f>
        <v/>
      </c>
      <c r="AB250" s="44" t="str">
        <f>IF(OR($B250="",$D250=""),"",IF($U250="Cancelled","Đã hủy",IF($AC250=0,"Không được hoàn",IF($Q250=0,IF(OR($O250&gt;0,$M250&lt;$L250),"Đã đạt cap","Không được hoàn"),IF(OR($Q250&lt;$O250,$M250&lt;$L250),"Hoàn một phần","Được hoàn")))))</f>
        <v/>
      </c>
      <c r="AC250" s="43">
        <f>IF(OR($B250="",$D250="",$I250="",$L250=""),0,IF($U250="Cancelled",0,IF($W250&lt;&gt;"",IFERROR(IF(INDEX(CASHBACK_RULES!$B$5:$B$304,MATCH($W250,CASHBACK_RULES!$A$5:$A$304,0))=$D250,MATCH($W250,CASHBACK_RULES!$A$5:$A$304,0),0),0),IFERROR(MATCH(1,INDEX((CASHBACK_RULES!$B$5:$B$304=$D250)*(CASHBACK_RULES!$G$5:$G$304=$I250)*(((CASHBACK_RULES!$N$5:$N$304="")+(CASHBACK_RULES!$N$5:$N$304&lt;=$B250))&gt;0)*(((CASHBACK_RULES!$O$5:$O$304="")+(CASHBACK_RULES!$O$5:$O$304&gt;=$B250))&gt;0)*(((CASHBACK_RULES!$M$5:$M$304="")+(CASHBACK_RULES!$M$5:$M$304&lt;=$L250))&gt;0),0),0),0))))</f>
        <v>0</v>
      </c>
      <c r="AD250" s="51" t="str">
        <f>IF(OR($B250="",$D250=""),"",IFERROR(IF(INDEX(CARDS!$H$5:$H$34,MATCH($D250,CARDS!$A$5:$A$34,0))="","",IF(DAY($B250)&lt;=INDEX(CARDS!$H$5:$H$34,MATCH($D250,CARDS!$A$5:$A$34,0)),DATE(YEAR($B250),MONTH($B250),MIN(INDEX(CARDS!$H$5:$H$34,MATCH($D250,CARDS!$A$5:$A$34,0)),DAY(EOMONTH($B250,0)))),DATE(YEAR($B250),MONTH($B250)+1,MIN(INDEX(CARDS!$H$5:$H$34,MATCH($D250,CARDS!$A$5:$A$34,0)),DAY(EOMONTH($B250,1)))))),""))</f>
        <v/>
      </c>
      <c r="AE250" s="52" t="str">
        <f>IF($C250="","",$C250&amp;"|"&amp;COUNTIF($C$5:$C250,$C250))</f>
        <v/>
      </c>
      <c r="AF250" s="53">
        <f>IF($AC250&gt;0,SUMIFS(Q$4:Q249,$D$4:$D249,$D250,$Z$4:$Z249,$Z250,$C$4:$C249,$C250),0)</f>
        <v>0</v>
      </c>
      <c r="AG250" s="53">
        <f>IF($AC250&gt;0,SUMIFS(Q$4:Q249,$D$4:$D249,$D250,$C$4:$C249,$C250),0)</f>
        <v>0</v>
      </c>
      <c r="AH250" s="53">
        <f>IF($AC250&gt;0,SUMIFS(M$4:M249,$D$4:$D249,$D250,$Z$4:$Z249,$Z250,$C$4:$C249,$C250),0)</f>
        <v>0</v>
      </c>
      <c r="AI250" s="43">
        <f>IF(OR($C250="",$I250=""),0,IF(COUNTIFS($C$5:$C250,$C250,$I$5:$I250,$I250)=1,1,0))</f>
        <v>0</v>
      </c>
      <c r="AJ250" s="43" t="str">
        <f>IF($AI250=1,SUMIFS($AI$4:$AI249,$C$4:$C249,$C250)+1,"")</f>
        <v/>
      </c>
      <c r="AK250" s="43">
        <f>IF(OR($C250="",$K250=""),0,IF(COUNTIFS($C$5:$C250,$C250,$K$5:$K250,$K250)=1,1,0))</f>
        <v>0</v>
      </c>
      <c r="AL250" s="43" t="str">
        <f>IF($AK250=1,SUMIFS($AK$4:$AK249,$C$4:$C249,$C250)+1,"")</f>
        <v/>
      </c>
      <c r="AM250" s="43">
        <f>IF(OR($C250="",$G250=""),0,IF(COUNTIFS($C$5:$C250,$C250,$G$5:$G250,$G250)=1,1,0))</f>
        <v>0</v>
      </c>
      <c r="AN250" s="43" t="str">
        <f>IF($AM250=1,SUMIFS($AM$4:$AM249,$C$4:$C249,$C250)+1,"")</f>
        <v/>
      </c>
    </row>
    <row r="251">
      <c r="A251" s="44" t="str">
        <f>IF(OR($B251="",$D251=""),"","TX"&amp;TEXT(ROW()-4,"0000"))</f>
        <v/>
      </c>
      <c r="B251" s="42" t="n"/>
      <c r="C251" s="47" t="str">
        <f>IF($B251="","",YEAR($B251)*100+MONTH($B251))</f>
        <v/>
      </c>
      <c r="D251" s="37" t="n"/>
      <c r="E251" s="45" t="str">
        <f>IF($D251="","",IFERROR(INDEX(CARDS!$B$5:$B$34,MATCH($D251,CARDS!$A$5:$A$34,0)),"⚠ Card ID?"))</f>
        <v/>
      </c>
      <c r="F251" s="45" t="str">
        <f>IF($D251="","",IFERROR(INDEX(CARDS!$C$5:$C$34,MATCH($D251,CARDS!$A$5:$A$34,0)),"⚠ Card ID?"))</f>
        <v/>
      </c>
      <c r="G251" s="37" t="n"/>
      <c r="H251" s="37" t="n"/>
      <c r="I251" s="41" t="n"/>
      <c r="J251" s="45" t="str">
        <f>IF($I251="","",IFERROR(INDEX(MCC_MASTER!$B$5:$B$504,MATCH($I251,MCC_MASTER!$A$5:$A$504,0)),"⚠ MCC chưa có"))</f>
        <v/>
      </c>
      <c r="K251" s="45" t="str">
        <f>IF($I251="","",IFERROR(IF(INDEX(MCC_MASTER!$C$5:$C$504,MATCH($I251,MCC_MASTER!$A$5:$A$504,0))="","Chưa phân loại",INDEX(MCC_MASTER!$C$5:$C$504,MATCH($I251,MCC_MASTER!$A$5:$A$504,0))),"Chưa phân loại"))</f>
        <v/>
      </c>
      <c r="L251" s="40" t="n"/>
      <c r="M251" s="48" t="str">
        <f>IF(OR($B251="",$D251=""),"",IF($AC251=0,0,IF(ISNUMBER(INDEX(CASHBACK_RULES!$L$5:$L$304,$AC251)),MAX(0,MIN($L251,INDEX(CASHBACK_RULES!$L$5:$L$304,$AC251)-$AH251)),MAX(0,$L251))))</f>
        <v/>
      </c>
      <c r="N251" s="49" t="str">
        <f>IF(OR($B251="",$D251=""),"",IF($AC251&gt;0,INDEX(CASHBACK_RULES!$I$5:$I$304,$AC251),0))</f>
        <v/>
      </c>
      <c r="O251" s="48" t="str">
        <f>IF(OR($B251="",$D251=""),"",ROUND($M251*$N251,0))</f>
        <v/>
      </c>
      <c r="P251" s="48" t="str">
        <f>IF($AC251&gt;0,IF(ISNUMBER(INDEX(CASHBACK_RULES!$J$5:$J$304,$AC251)),INDEX(CASHBACK_RULES!$J$5:$J$304,$AC251),"∞"),"")</f>
        <v/>
      </c>
      <c r="Q251" s="48" t="str">
        <f>IF(OR($B251="",$D251=""),"",IF($AC251=0,0,MAX(0,MIN($O251,IF(ISNUMBER($P251),$P251-$AF251,1E+15),IF(ISNUMBER($AA251),$AA251-$AG251,1E+15)))))</f>
        <v/>
      </c>
      <c r="R251" s="48" t="str">
        <f>IF(OR($B251="",$D251=""),"",IF($AC251=0,"",IF(AND(NOT(ISNUMBER($P251)),NOT(ISNUMBER($AA251))),"∞",MAX(0,MIN(IF(ISNUMBER($P251),$P251-$AF251-$Q251,1E+15),IF(ISNUMBER($AA251),$AA251-$AG251-$Q251,1E+15))))))</f>
        <v/>
      </c>
      <c r="S251" s="47" t="str">
        <f>IF($AD251="","",YEAR($AD251)*100+MONTH($AD251))</f>
        <v/>
      </c>
      <c r="T251" s="50" t="str">
        <f>IF($AD251="","",IFERROR(IF(INDEX(CARDS!$I$5:$I$34,MATCH($D251,CARDS!$A$5:$A$34,0))="","",IF(INDEX(CARDS!$I$5:$I$34,MATCH($D251,CARDS!$A$5:$A$34,0))&gt;INDEX(CARDS!$H$5:$H$34,MATCH($D251,CARDS!$A$5:$A$34,0)),DATE(YEAR($AD251),MONTH($AD251),MIN(INDEX(CARDS!$I$5:$I$34,MATCH($D251,CARDS!$A$5:$A$34,0)),DAY(EOMONTH($AD251,0)))),DATE(YEAR($AD251),MONTH($AD251)+1,MIN(INDEX(CARDS!$I$5:$I$34,MATCH($D251,CARDS!$A$5:$A$34,0)),DAY(EOMONTH($AD251,1)))))),""))</f>
        <v/>
      </c>
      <c r="U251" s="38" t="n"/>
      <c r="V251" s="37" t="n"/>
      <c r="W251" s="38" t="n"/>
      <c r="X251" s="38" t="n"/>
      <c r="Y251" s="44" t="str">
        <f>IF($AC251&gt;0,INDEX(CASHBACK_RULES!$A$5:$A$304,$AC251),"")</f>
        <v/>
      </c>
      <c r="Z251" s="45" t="str">
        <f>IF($AC251&gt;0,INDEX(CASHBACK_RULES!$E$5:$E$304,$AC251)&amp;"","")</f>
        <v/>
      </c>
      <c r="AA251" s="48" t="str">
        <f>IF($AC251&gt;0,IF(ISNUMBER(INDEX(CASHBACK_RULES!$K$5:$K$304,$AC251)),INDEX(CASHBACK_RULES!$K$5:$K$304,$AC251),"∞"),"")</f>
        <v/>
      </c>
      <c r="AB251" s="44" t="str">
        <f>IF(OR($B251="",$D251=""),"",IF($U251="Cancelled","Đã hủy",IF($AC251=0,"Không được hoàn",IF($Q251=0,IF(OR($O251&gt;0,$M251&lt;$L251),"Đã đạt cap","Không được hoàn"),IF(OR($Q251&lt;$O251,$M251&lt;$L251),"Hoàn một phần","Được hoàn")))))</f>
        <v/>
      </c>
      <c r="AC251" s="43">
        <f>IF(OR($B251="",$D251="",$I251="",$L251=""),0,IF($U251="Cancelled",0,IF($W251&lt;&gt;"",IFERROR(IF(INDEX(CASHBACK_RULES!$B$5:$B$304,MATCH($W251,CASHBACK_RULES!$A$5:$A$304,0))=$D251,MATCH($W251,CASHBACK_RULES!$A$5:$A$304,0),0),0),IFERROR(MATCH(1,INDEX((CASHBACK_RULES!$B$5:$B$304=$D251)*(CASHBACK_RULES!$G$5:$G$304=$I251)*(((CASHBACK_RULES!$N$5:$N$304="")+(CASHBACK_RULES!$N$5:$N$304&lt;=$B251))&gt;0)*(((CASHBACK_RULES!$O$5:$O$304="")+(CASHBACK_RULES!$O$5:$O$304&gt;=$B251))&gt;0)*(((CASHBACK_RULES!$M$5:$M$304="")+(CASHBACK_RULES!$M$5:$M$304&lt;=$L251))&gt;0),0),0),0))))</f>
        <v>0</v>
      </c>
      <c r="AD251" s="51" t="str">
        <f>IF(OR($B251="",$D251=""),"",IFERROR(IF(INDEX(CARDS!$H$5:$H$34,MATCH($D251,CARDS!$A$5:$A$34,0))="","",IF(DAY($B251)&lt;=INDEX(CARDS!$H$5:$H$34,MATCH($D251,CARDS!$A$5:$A$34,0)),DATE(YEAR($B251),MONTH($B251),MIN(INDEX(CARDS!$H$5:$H$34,MATCH($D251,CARDS!$A$5:$A$34,0)),DAY(EOMONTH($B251,0)))),DATE(YEAR($B251),MONTH($B251)+1,MIN(INDEX(CARDS!$H$5:$H$34,MATCH($D251,CARDS!$A$5:$A$34,0)),DAY(EOMONTH($B251,1)))))),""))</f>
        <v/>
      </c>
      <c r="AE251" s="52" t="str">
        <f>IF($C251="","",$C251&amp;"|"&amp;COUNTIF($C$5:$C251,$C251))</f>
        <v/>
      </c>
      <c r="AF251" s="53">
        <f>IF($AC251&gt;0,SUMIFS(Q$4:Q250,$D$4:$D250,$D251,$Z$4:$Z250,$Z251,$C$4:$C250,$C251),0)</f>
        <v>0</v>
      </c>
      <c r="AG251" s="53">
        <f>IF($AC251&gt;0,SUMIFS(Q$4:Q250,$D$4:$D250,$D251,$C$4:$C250,$C251),0)</f>
        <v>0</v>
      </c>
      <c r="AH251" s="53">
        <f>IF($AC251&gt;0,SUMIFS(M$4:M250,$D$4:$D250,$D251,$Z$4:$Z250,$Z251,$C$4:$C250,$C251),0)</f>
        <v>0</v>
      </c>
      <c r="AI251" s="43">
        <f>IF(OR($C251="",$I251=""),0,IF(COUNTIFS($C$5:$C251,$C251,$I$5:$I251,$I251)=1,1,0))</f>
        <v>0</v>
      </c>
      <c r="AJ251" s="43" t="str">
        <f>IF($AI251=1,SUMIFS($AI$4:$AI250,$C$4:$C250,$C251)+1,"")</f>
        <v/>
      </c>
      <c r="AK251" s="43">
        <f>IF(OR($C251="",$K251=""),0,IF(COUNTIFS($C$5:$C251,$C251,$K$5:$K251,$K251)=1,1,0))</f>
        <v>0</v>
      </c>
      <c r="AL251" s="43" t="str">
        <f>IF($AK251=1,SUMIFS($AK$4:$AK250,$C$4:$C250,$C251)+1,"")</f>
        <v/>
      </c>
      <c r="AM251" s="43">
        <f>IF(OR($C251="",$G251=""),0,IF(COUNTIFS($C$5:$C251,$C251,$G$5:$G251,$G251)=1,1,0))</f>
        <v>0</v>
      </c>
      <c r="AN251" s="43" t="str">
        <f>IF($AM251=1,SUMIFS($AM$4:$AM250,$C$4:$C250,$C251)+1,"")</f>
        <v/>
      </c>
    </row>
    <row r="252">
      <c r="A252" s="44" t="str">
        <f>IF(OR($B252="",$D252=""),"","TX"&amp;TEXT(ROW()-4,"0000"))</f>
        <v/>
      </c>
      <c r="B252" s="42" t="n"/>
      <c r="C252" s="47" t="str">
        <f>IF($B252="","",YEAR($B252)*100+MONTH($B252))</f>
        <v/>
      </c>
      <c r="D252" s="37" t="n"/>
      <c r="E252" s="45" t="str">
        <f>IF($D252="","",IFERROR(INDEX(CARDS!$B$5:$B$34,MATCH($D252,CARDS!$A$5:$A$34,0)),"⚠ Card ID?"))</f>
        <v/>
      </c>
      <c r="F252" s="45" t="str">
        <f>IF($D252="","",IFERROR(INDEX(CARDS!$C$5:$C$34,MATCH($D252,CARDS!$A$5:$A$34,0)),"⚠ Card ID?"))</f>
        <v/>
      </c>
      <c r="G252" s="37" t="n"/>
      <c r="H252" s="37" t="n"/>
      <c r="I252" s="41" t="n"/>
      <c r="J252" s="45" t="str">
        <f>IF($I252="","",IFERROR(INDEX(MCC_MASTER!$B$5:$B$504,MATCH($I252,MCC_MASTER!$A$5:$A$504,0)),"⚠ MCC chưa có"))</f>
        <v/>
      </c>
      <c r="K252" s="45" t="str">
        <f>IF($I252="","",IFERROR(IF(INDEX(MCC_MASTER!$C$5:$C$504,MATCH($I252,MCC_MASTER!$A$5:$A$504,0))="","Chưa phân loại",INDEX(MCC_MASTER!$C$5:$C$504,MATCH($I252,MCC_MASTER!$A$5:$A$504,0))),"Chưa phân loại"))</f>
        <v/>
      </c>
      <c r="L252" s="40" t="n"/>
      <c r="M252" s="48" t="str">
        <f>IF(OR($B252="",$D252=""),"",IF($AC252=0,0,IF(ISNUMBER(INDEX(CASHBACK_RULES!$L$5:$L$304,$AC252)),MAX(0,MIN($L252,INDEX(CASHBACK_RULES!$L$5:$L$304,$AC252)-$AH252)),MAX(0,$L252))))</f>
        <v/>
      </c>
      <c r="N252" s="49" t="str">
        <f>IF(OR($B252="",$D252=""),"",IF($AC252&gt;0,INDEX(CASHBACK_RULES!$I$5:$I$304,$AC252),0))</f>
        <v/>
      </c>
      <c r="O252" s="48" t="str">
        <f>IF(OR($B252="",$D252=""),"",ROUND($M252*$N252,0))</f>
        <v/>
      </c>
      <c r="P252" s="48" t="str">
        <f>IF($AC252&gt;0,IF(ISNUMBER(INDEX(CASHBACK_RULES!$J$5:$J$304,$AC252)),INDEX(CASHBACK_RULES!$J$5:$J$304,$AC252),"∞"),"")</f>
        <v/>
      </c>
      <c r="Q252" s="48" t="str">
        <f>IF(OR($B252="",$D252=""),"",IF($AC252=0,0,MAX(0,MIN($O252,IF(ISNUMBER($P252),$P252-$AF252,1E+15),IF(ISNUMBER($AA252),$AA252-$AG252,1E+15)))))</f>
        <v/>
      </c>
      <c r="R252" s="48" t="str">
        <f>IF(OR($B252="",$D252=""),"",IF($AC252=0,"",IF(AND(NOT(ISNUMBER($P252)),NOT(ISNUMBER($AA252))),"∞",MAX(0,MIN(IF(ISNUMBER($P252),$P252-$AF252-$Q252,1E+15),IF(ISNUMBER($AA252),$AA252-$AG252-$Q252,1E+15))))))</f>
        <v/>
      </c>
      <c r="S252" s="47" t="str">
        <f>IF($AD252="","",YEAR($AD252)*100+MONTH($AD252))</f>
        <v/>
      </c>
      <c r="T252" s="50" t="str">
        <f>IF($AD252="","",IFERROR(IF(INDEX(CARDS!$I$5:$I$34,MATCH($D252,CARDS!$A$5:$A$34,0))="","",IF(INDEX(CARDS!$I$5:$I$34,MATCH($D252,CARDS!$A$5:$A$34,0))&gt;INDEX(CARDS!$H$5:$H$34,MATCH($D252,CARDS!$A$5:$A$34,0)),DATE(YEAR($AD252),MONTH($AD252),MIN(INDEX(CARDS!$I$5:$I$34,MATCH($D252,CARDS!$A$5:$A$34,0)),DAY(EOMONTH($AD252,0)))),DATE(YEAR($AD252),MONTH($AD252)+1,MIN(INDEX(CARDS!$I$5:$I$34,MATCH($D252,CARDS!$A$5:$A$34,0)),DAY(EOMONTH($AD252,1)))))),""))</f>
        <v/>
      </c>
      <c r="U252" s="38" t="n"/>
      <c r="V252" s="37" t="n"/>
      <c r="W252" s="38" t="n"/>
      <c r="X252" s="38" t="n"/>
      <c r="Y252" s="44" t="str">
        <f>IF($AC252&gt;0,INDEX(CASHBACK_RULES!$A$5:$A$304,$AC252),"")</f>
        <v/>
      </c>
      <c r="Z252" s="45" t="str">
        <f>IF($AC252&gt;0,INDEX(CASHBACK_RULES!$E$5:$E$304,$AC252)&amp;"","")</f>
        <v/>
      </c>
      <c r="AA252" s="48" t="str">
        <f>IF($AC252&gt;0,IF(ISNUMBER(INDEX(CASHBACK_RULES!$K$5:$K$304,$AC252)),INDEX(CASHBACK_RULES!$K$5:$K$304,$AC252),"∞"),"")</f>
        <v/>
      </c>
      <c r="AB252" s="44" t="str">
        <f>IF(OR($B252="",$D252=""),"",IF($U252="Cancelled","Đã hủy",IF($AC252=0,"Không được hoàn",IF($Q252=0,IF(OR($O252&gt;0,$M252&lt;$L252),"Đã đạt cap","Không được hoàn"),IF(OR($Q252&lt;$O252,$M252&lt;$L252),"Hoàn một phần","Được hoàn")))))</f>
        <v/>
      </c>
      <c r="AC252" s="43">
        <f>IF(OR($B252="",$D252="",$I252="",$L252=""),0,IF($U252="Cancelled",0,IF($W252&lt;&gt;"",IFERROR(IF(INDEX(CASHBACK_RULES!$B$5:$B$304,MATCH($W252,CASHBACK_RULES!$A$5:$A$304,0))=$D252,MATCH($W252,CASHBACK_RULES!$A$5:$A$304,0),0),0),IFERROR(MATCH(1,INDEX((CASHBACK_RULES!$B$5:$B$304=$D252)*(CASHBACK_RULES!$G$5:$G$304=$I252)*(((CASHBACK_RULES!$N$5:$N$304="")+(CASHBACK_RULES!$N$5:$N$304&lt;=$B252))&gt;0)*(((CASHBACK_RULES!$O$5:$O$304="")+(CASHBACK_RULES!$O$5:$O$304&gt;=$B252))&gt;0)*(((CASHBACK_RULES!$M$5:$M$304="")+(CASHBACK_RULES!$M$5:$M$304&lt;=$L252))&gt;0),0),0),0))))</f>
        <v>0</v>
      </c>
      <c r="AD252" s="51" t="str">
        <f>IF(OR($B252="",$D252=""),"",IFERROR(IF(INDEX(CARDS!$H$5:$H$34,MATCH($D252,CARDS!$A$5:$A$34,0))="","",IF(DAY($B252)&lt;=INDEX(CARDS!$H$5:$H$34,MATCH($D252,CARDS!$A$5:$A$34,0)),DATE(YEAR($B252),MONTH($B252),MIN(INDEX(CARDS!$H$5:$H$34,MATCH($D252,CARDS!$A$5:$A$34,0)),DAY(EOMONTH($B252,0)))),DATE(YEAR($B252),MONTH($B252)+1,MIN(INDEX(CARDS!$H$5:$H$34,MATCH($D252,CARDS!$A$5:$A$34,0)),DAY(EOMONTH($B252,1)))))),""))</f>
        <v/>
      </c>
      <c r="AE252" s="52" t="str">
        <f>IF($C252="","",$C252&amp;"|"&amp;COUNTIF($C$5:$C252,$C252))</f>
        <v/>
      </c>
      <c r="AF252" s="53">
        <f>IF($AC252&gt;0,SUMIFS(Q$4:Q251,$D$4:$D251,$D252,$Z$4:$Z251,$Z252,$C$4:$C251,$C252),0)</f>
        <v>0</v>
      </c>
      <c r="AG252" s="53">
        <f>IF($AC252&gt;0,SUMIFS(Q$4:Q251,$D$4:$D251,$D252,$C$4:$C251,$C252),0)</f>
        <v>0</v>
      </c>
      <c r="AH252" s="53">
        <f>IF($AC252&gt;0,SUMIFS(M$4:M251,$D$4:$D251,$D252,$Z$4:$Z251,$Z252,$C$4:$C251,$C252),0)</f>
        <v>0</v>
      </c>
      <c r="AI252" s="43">
        <f>IF(OR($C252="",$I252=""),0,IF(COUNTIFS($C$5:$C252,$C252,$I$5:$I252,$I252)=1,1,0))</f>
        <v>0</v>
      </c>
      <c r="AJ252" s="43" t="str">
        <f>IF($AI252=1,SUMIFS($AI$4:$AI251,$C$4:$C251,$C252)+1,"")</f>
        <v/>
      </c>
      <c r="AK252" s="43">
        <f>IF(OR($C252="",$K252=""),0,IF(COUNTIFS($C$5:$C252,$C252,$K$5:$K252,$K252)=1,1,0))</f>
        <v>0</v>
      </c>
      <c r="AL252" s="43" t="str">
        <f>IF($AK252=1,SUMIFS($AK$4:$AK251,$C$4:$C251,$C252)+1,"")</f>
        <v/>
      </c>
      <c r="AM252" s="43">
        <f>IF(OR($C252="",$G252=""),0,IF(COUNTIFS($C$5:$C252,$C252,$G$5:$G252,$G252)=1,1,0))</f>
        <v>0</v>
      </c>
      <c r="AN252" s="43" t="str">
        <f>IF($AM252=1,SUMIFS($AM$4:$AM251,$C$4:$C251,$C252)+1,"")</f>
        <v/>
      </c>
    </row>
    <row r="253">
      <c r="A253" s="44" t="str">
        <f>IF(OR($B253="",$D253=""),"","TX"&amp;TEXT(ROW()-4,"0000"))</f>
        <v/>
      </c>
      <c r="B253" s="42" t="n"/>
      <c r="C253" s="47" t="str">
        <f>IF($B253="","",YEAR($B253)*100+MONTH($B253))</f>
        <v/>
      </c>
      <c r="D253" s="37" t="n"/>
      <c r="E253" s="45" t="str">
        <f>IF($D253="","",IFERROR(INDEX(CARDS!$B$5:$B$34,MATCH($D253,CARDS!$A$5:$A$34,0)),"⚠ Card ID?"))</f>
        <v/>
      </c>
      <c r="F253" s="45" t="str">
        <f>IF($D253="","",IFERROR(INDEX(CARDS!$C$5:$C$34,MATCH($D253,CARDS!$A$5:$A$34,0)),"⚠ Card ID?"))</f>
        <v/>
      </c>
      <c r="G253" s="37" t="n"/>
      <c r="H253" s="37" t="n"/>
      <c r="I253" s="41" t="n"/>
      <c r="J253" s="45" t="str">
        <f>IF($I253="","",IFERROR(INDEX(MCC_MASTER!$B$5:$B$504,MATCH($I253,MCC_MASTER!$A$5:$A$504,0)),"⚠ MCC chưa có"))</f>
        <v/>
      </c>
      <c r="K253" s="45" t="str">
        <f>IF($I253="","",IFERROR(IF(INDEX(MCC_MASTER!$C$5:$C$504,MATCH($I253,MCC_MASTER!$A$5:$A$504,0))="","Chưa phân loại",INDEX(MCC_MASTER!$C$5:$C$504,MATCH($I253,MCC_MASTER!$A$5:$A$504,0))),"Chưa phân loại"))</f>
        <v/>
      </c>
      <c r="L253" s="40" t="n"/>
      <c r="M253" s="48" t="str">
        <f>IF(OR($B253="",$D253=""),"",IF($AC253=0,0,IF(ISNUMBER(INDEX(CASHBACK_RULES!$L$5:$L$304,$AC253)),MAX(0,MIN($L253,INDEX(CASHBACK_RULES!$L$5:$L$304,$AC253)-$AH253)),MAX(0,$L253))))</f>
        <v/>
      </c>
      <c r="N253" s="49" t="str">
        <f>IF(OR($B253="",$D253=""),"",IF($AC253&gt;0,INDEX(CASHBACK_RULES!$I$5:$I$304,$AC253),0))</f>
        <v/>
      </c>
      <c r="O253" s="48" t="str">
        <f>IF(OR($B253="",$D253=""),"",ROUND($M253*$N253,0))</f>
        <v/>
      </c>
      <c r="P253" s="48" t="str">
        <f>IF($AC253&gt;0,IF(ISNUMBER(INDEX(CASHBACK_RULES!$J$5:$J$304,$AC253)),INDEX(CASHBACK_RULES!$J$5:$J$304,$AC253),"∞"),"")</f>
        <v/>
      </c>
      <c r="Q253" s="48" t="str">
        <f>IF(OR($B253="",$D253=""),"",IF($AC253=0,0,MAX(0,MIN($O253,IF(ISNUMBER($P253),$P253-$AF253,1E+15),IF(ISNUMBER($AA253),$AA253-$AG253,1E+15)))))</f>
        <v/>
      </c>
      <c r="R253" s="48" t="str">
        <f>IF(OR($B253="",$D253=""),"",IF($AC253=0,"",IF(AND(NOT(ISNUMBER($P253)),NOT(ISNUMBER($AA253))),"∞",MAX(0,MIN(IF(ISNUMBER($P253),$P253-$AF253-$Q253,1E+15),IF(ISNUMBER($AA253),$AA253-$AG253-$Q253,1E+15))))))</f>
        <v/>
      </c>
      <c r="S253" s="47" t="str">
        <f>IF($AD253="","",YEAR($AD253)*100+MONTH($AD253))</f>
        <v/>
      </c>
      <c r="T253" s="50" t="str">
        <f>IF($AD253="","",IFERROR(IF(INDEX(CARDS!$I$5:$I$34,MATCH($D253,CARDS!$A$5:$A$34,0))="","",IF(INDEX(CARDS!$I$5:$I$34,MATCH($D253,CARDS!$A$5:$A$34,0))&gt;INDEX(CARDS!$H$5:$H$34,MATCH($D253,CARDS!$A$5:$A$34,0)),DATE(YEAR($AD253),MONTH($AD253),MIN(INDEX(CARDS!$I$5:$I$34,MATCH($D253,CARDS!$A$5:$A$34,0)),DAY(EOMONTH($AD253,0)))),DATE(YEAR($AD253),MONTH($AD253)+1,MIN(INDEX(CARDS!$I$5:$I$34,MATCH($D253,CARDS!$A$5:$A$34,0)),DAY(EOMONTH($AD253,1)))))),""))</f>
        <v/>
      </c>
      <c r="U253" s="38" t="n"/>
      <c r="V253" s="37" t="n"/>
      <c r="W253" s="38" t="n"/>
      <c r="X253" s="38" t="n"/>
      <c r="Y253" s="44" t="str">
        <f>IF($AC253&gt;0,INDEX(CASHBACK_RULES!$A$5:$A$304,$AC253),"")</f>
        <v/>
      </c>
      <c r="Z253" s="45" t="str">
        <f>IF($AC253&gt;0,INDEX(CASHBACK_RULES!$E$5:$E$304,$AC253)&amp;"","")</f>
        <v/>
      </c>
      <c r="AA253" s="48" t="str">
        <f>IF($AC253&gt;0,IF(ISNUMBER(INDEX(CASHBACK_RULES!$K$5:$K$304,$AC253)),INDEX(CASHBACK_RULES!$K$5:$K$304,$AC253),"∞"),"")</f>
        <v/>
      </c>
      <c r="AB253" s="44" t="str">
        <f>IF(OR($B253="",$D253=""),"",IF($U253="Cancelled","Đã hủy",IF($AC253=0,"Không được hoàn",IF($Q253=0,IF(OR($O253&gt;0,$M253&lt;$L253),"Đã đạt cap","Không được hoàn"),IF(OR($Q253&lt;$O253,$M253&lt;$L253),"Hoàn một phần","Được hoàn")))))</f>
        <v/>
      </c>
      <c r="AC253" s="43">
        <f>IF(OR($B253="",$D253="",$I253="",$L253=""),0,IF($U253="Cancelled",0,IF($W253&lt;&gt;"",IFERROR(IF(INDEX(CASHBACK_RULES!$B$5:$B$304,MATCH($W253,CASHBACK_RULES!$A$5:$A$304,0))=$D253,MATCH($W253,CASHBACK_RULES!$A$5:$A$304,0),0),0),IFERROR(MATCH(1,INDEX((CASHBACK_RULES!$B$5:$B$304=$D253)*(CASHBACK_RULES!$G$5:$G$304=$I253)*(((CASHBACK_RULES!$N$5:$N$304="")+(CASHBACK_RULES!$N$5:$N$304&lt;=$B253))&gt;0)*(((CASHBACK_RULES!$O$5:$O$304="")+(CASHBACK_RULES!$O$5:$O$304&gt;=$B253))&gt;0)*(((CASHBACK_RULES!$M$5:$M$304="")+(CASHBACK_RULES!$M$5:$M$304&lt;=$L253))&gt;0),0),0),0))))</f>
        <v>0</v>
      </c>
      <c r="AD253" s="51" t="str">
        <f>IF(OR($B253="",$D253=""),"",IFERROR(IF(INDEX(CARDS!$H$5:$H$34,MATCH($D253,CARDS!$A$5:$A$34,0))="","",IF(DAY($B253)&lt;=INDEX(CARDS!$H$5:$H$34,MATCH($D253,CARDS!$A$5:$A$34,0)),DATE(YEAR($B253),MONTH($B253),MIN(INDEX(CARDS!$H$5:$H$34,MATCH($D253,CARDS!$A$5:$A$34,0)),DAY(EOMONTH($B253,0)))),DATE(YEAR($B253),MONTH($B253)+1,MIN(INDEX(CARDS!$H$5:$H$34,MATCH($D253,CARDS!$A$5:$A$34,0)),DAY(EOMONTH($B253,1)))))),""))</f>
        <v/>
      </c>
      <c r="AE253" s="52" t="str">
        <f>IF($C253="","",$C253&amp;"|"&amp;COUNTIF($C$5:$C253,$C253))</f>
        <v/>
      </c>
      <c r="AF253" s="53">
        <f>IF($AC253&gt;0,SUMIFS(Q$4:Q252,$D$4:$D252,$D253,$Z$4:$Z252,$Z253,$C$4:$C252,$C253),0)</f>
        <v>0</v>
      </c>
      <c r="AG253" s="53">
        <f>IF($AC253&gt;0,SUMIFS(Q$4:Q252,$D$4:$D252,$D253,$C$4:$C252,$C253),0)</f>
        <v>0</v>
      </c>
      <c r="AH253" s="53">
        <f>IF($AC253&gt;0,SUMIFS(M$4:M252,$D$4:$D252,$D253,$Z$4:$Z252,$Z253,$C$4:$C252,$C253),0)</f>
        <v>0</v>
      </c>
      <c r="AI253" s="43">
        <f>IF(OR($C253="",$I253=""),0,IF(COUNTIFS($C$5:$C253,$C253,$I$5:$I253,$I253)=1,1,0))</f>
        <v>0</v>
      </c>
      <c r="AJ253" s="43" t="str">
        <f>IF($AI253=1,SUMIFS($AI$4:$AI252,$C$4:$C252,$C253)+1,"")</f>
        <v/>
      </c>
      <c r="AK253" s="43">
        <f>IF(OR($C253="",$K253=""),0,IF(COUNTIFS($C$5:$C253,$C253,$K$5:$K253,$K253)=1,1,0))</f>
        <v>0</v>
      </c>
      <c r="AL253" s="43" t="str">
        <f>IF($AK253=1,SUMIFS($AK$4:$AK252,$C$4:$C252,$C253)+1,"")</f>
        <v/>
      </c>
      <c r="AM253" s="43">
        <f>IF(OR($C253="",$G253=""),0,IF(COUNTIFS($C$5:$C253,$C253,$G$5:$G253,$G253)=1,1,0))</f>
        <v>0</v>
      </c>
      <c r="AN253" s="43" t="str">
        <f>IF($AM253=1,SUMIFS($AM$4:$AM252,$C$4:$C252,$C253)+1,"")</f>
        <v/>
      </c>
    </row>
    <row r="254">
      <c r="A254" s="44" t="str">
        <f>IF(OR($B254="",$D254=""),"","TX"&amp;TEXT(ROW()-4,"0000"))</f>
        <v/>
      </c>
      <c r="B254" s="42" t="n"/>
      <c r="C254" s="47" t="str">
        <f>IF($B254="","",YEAR($B254)*100+MONTH($B254))</f>
        <v/>
      </c>
      <c r="D254" s="37" t="n"/>
      <c r="E254" s="45" t="str">
        <f>IF($D254="","",IFERROR(INDEX(CARDS!$B$5:$B$34,MATCH($D254,CARDS!$A$5:$A$34,0)),"⚠ Card ID?"))</f>
        <v/>
      </c>
      <c r="F254" s="45" t="str">
        <f>IF($D254="","",IFERROR(INDEX(CARDS!$C$5:$C$34,MATCH($D254,CARDS!$A$5:$A$34,0)),"⚠ Card ID?"))</f>
        <v/>
      </c>
      <c r="G254" s="37" t="n"/>
      <c r="H254" s="37" t="n"/>
      <c r="I254" s="41" t="n"/>
      <c r="J254" s="45" t="str">
        <f>IF($I254="","",IFERROR(INDEX(MCC_MASTER!$B$5:$B$504,MATCH($I254,MCC_MASTER!$A$5:$A$504,0)),"⚠ MCC chưa có"))</f>
        <v/>
      </c>
      <c r="K254" s="45" t="str">
        <f>IF($I254="","",IFERROR(IF(INDEX(MCC_MASTER!$C$5:$C$504,MATCH($I254,MCC_MASTER!$A$5:$A$504,0))="","Chưa phân loại",INDEX(MCC_MASTER!$C$5:$C$504,MATCH($I254,MCC_MASTER!$A$5:$A$504,0))),"Chưa phân loại"))</f>
        <v/>
      </c>
      <c r="L254" s="40" t="n"/>
      <c r="M254" s="48" t="str">
        <f>IF(OR($B254="",$D254=""),"",IF($AC254=0,0,IF(ISNUMBER(INDEX(CASHBACK_RULES!$L$5:$L$304,$AC254)),MAX(0,MIN($L254,INDEX(CASHBACK_RULES!$L$5:$L$304,$AC254)-$AH254)),MAX(0,$L254))))</f>
        <v/>
      </c>
      <c r="N254" s="49" t="str">
        <f>IF(OR($B254="",$D254=""),"",IF($AC254&gt;0,INDEX(CASHBACK_RULES!$I$5:$I$304,$AC254),0))</f>
        <v/>
      </c>
      <c r="O254" s="48" t="str">
        <f>IF(OR($B254="",$D254=""),"",ROUND($M254*$N254,0))</f>
        <v/>
      </c>
      <c r="P254" s="48" t="str">
        <f>IF($AC254&gt;0,IF(ISNUMBER(INDEX(CASHBACK_RULES!$J$5:$J$304,$AC254)),INDEX(CASHBACK_RULES!$J$5:$J$304,$AC254),"∞"),"")</f>
        <v/>
      </c>
      <c r="Q254" s="48" t="str">
        <f>IF(OR($B254="",$D254=""),"",IF($AC254=0,0,MAX(0,MIN($O254,IF(ISNUMBER($P254),$P254-$AF254,1E+15),IF(ISNUMBER($AA254),$AA254-$AG254,1E+15)))))</f>
        <v/>
      </c>
      <c r="R254" s="48" t="str">
        <f>IF(OR($B254="",$D254=""),"",IF($AC254=0,"",IF(AND(NOT(ISNUMBER($P254)),NOT(ISNUMBER($AA254))),"∞",MAX(0,MIN(IF(ISNUMBER($P254),$P254-$AF254-$Q254,1E+15),IF(ISNUMBER($AA254),$AA254-$AG254-$Q254,1E+15))))))</f>
        <v/>
      </c>
      <c r="S254" s="47" t="str">
        <f>IF($AD254="","",YEAR($AD254)*100+MONTH($AD254))</f>
        <v/>
      </c>
      <c r="T254" s="50" t="str">
        <f>IF($AD254="","",IFERROR(IF(INDEX(CARDS!$I$5:$I$34,MATCH($D254,CARDS!$A$5:$A$34,0))="","",IF(INDEX(CARDS!$I$5:$I$34,MATCH($D254,CARDS!$A$5:$A$34,0))&gt;INDEX(CARDS!$H$5:$H$34,MATCH($D254,CARDS!$A$5:$A$34,0)),DATE(YEAR($AD254),MONTH($AD254),MIN(INDEX(CARDS!$I$5:$I$34,MATCH($D254,CARDS!$A$5:$A$34,0)),DAY(EOMONTH($AD254,0)))),DATE(YEAR($AD254),MONTH($AD254)+1,MIN(INDEX(CARDS!$I$5:$I$34,MATCH($D254,CARDS!$A$5:$A$34,0)),DAY(EOMONTH($AD254,1)))))),""))</f>
        <v/>
      </c>
      <c r="U254" s="38" t="n"/>
      <c r="V254" s="37" t="n"/>
      <c r="W254" s="38" t="n"/>
      <c r="X254" s="38" t="n"/>
      <c r="Y254" s="44" t="str">
        <f>IF($AC254&gt;0,INDEX(CASHBACK_RULES!$A$5:$A$304,$AC254),"")</f>
        <v/>
      </c>
      <c r="Z254" s="45" t="str">
        <f>IF($AC254&gt;0,INDEX(CASHBACK_RULES!$E$5:$E$304,$AC254)&amp;"","")</f>
        <v/>
      </c>
      <c r="AA254" s="48" t="str">
        <f>IF($AC254&gt;0,IF(ISNUMBER(INDEX(CASHBACK_RULES!$K$5:$K$304,$AC254)),INDEX(CASHBACK_RULES!$K$5:$K$304,$AC254),"∞"),"")</f>
        <v/>
      </c>
      <c r="AB254" s="44" t="str">
        <f>IF(OR($B254="",$D254=""),"",IF($U254="Cancelled","Đã hủy",IF($AC254=0,"Không được hoàn",IF($Q254=0,IF(OR($O254&gt;0,$M254&lt;$L254),"Đã đạt cap","Không được hoàn"),IF(OR($Q254&lt;$O254,$M254&lt;$L254),"Hoàn một phần","Được hoàn")))))</f>
        <v/>
      </c>
      <c r="AC254" s="43">
        <f>IF(OR($B254="",$D254="",$I254="",$L254=""),0,IF($U254="Cancelled",0,IF($W254&lt;&gt;"",IFERROR(IF(INDEX(CASHBACK_RULES!$B$5:$B$304,MATCH($W254,CASHBACK_RULES!$A$5:$A$304,0))=$D254,MATCH($W254,CASHBACK_RULES!$A$5:$A$304,0),0),0),IFERROR(MATCH(1,INDEX((CASHBACK_RULES!$B$5:$B$304=$D254)*(CASHBACK_RULES!$G$5:$G$304=$I254)*(((CASHBACK_RULES!$N$5:$N$304="")+(CASHBACK_RULES!$N$5:$N$304&lt;=$B254))&gt;0)*(((CASHBACK_RULES!$O$5:$O$304="")+(CASHBACK_RULES!$O$5:$O$304&gt;=$B254))&gt;0)*(((CASHBACK_RULES!$M$5:$M$304="")+(CASHBACK_RULES!$M$5:$M$304&lt;=$L254))&gt;0),0),0),0))))</f>
        <v>0</v>
      </c>
      <c r="AD254" s="51" t="str">
        <f>IF(OR($B254="",$D254=""),"",IFERROR(IF(INDEX(CARDS!$H$5:$H$34,MATCH($D254,CARDS!$A$5:$A$34,0))="","",IF(DAY($B254)&lt;=INDEX(CARDS!$H$5:$H$34,MATCH($D254,CARDS!$A$5:$A$34,0)),DATE(YEAR($B254),MONTH($B254),MIN(INDEX(CARDS!$H$5:$H$34,MATCH($D254,CARDS!$A$5:$A$34,0)),DAY(EOMONTH($B254,0)))),DATE(YEAR($B254),MONTH($B254)+1,MIN(INDEX(CARDS!$H$5:$H$34,MATCH($D254,CARDS!$A$5:$A$34,0)),DAY(EOMONTH($B254,1)))))),""))</f>
        <v/>
      </c>
      <c r="AE254" s="52" t="str">
        <f>IF($C254="","",$C254&amp;"|"&amp;COUNTIF($C$5:$C254,$C254))</f>
        <v/>
      </c>
      <c r="AF254" s="53">
        <f>IF($AC254&gt;0,SUMIFS(Q$4:Q253,$D$4:$D253,$D254,$Z$4:$Z253,$Z254,$C$4:$C253,$C254),0)</f>
        <v>0</v>
      </c>
      <c r="AG254" s="53">
        <f>IF($AC254&gt;0,SUMIFS(Q$4:Q253,$D$4:$D253,$D254,$C$4:$C253,$C254),0)</f>
        <v>0</v>
      </c>
      <c r="AH254" s="53">
        <f>IF($AC254&gt;0,SUMIFS(M$4:M253,$D$4:$D253,$D254,$Z$4:$Z253,$Z254,$C$4:$C253,$C254),0)</f>
        <v>0</v>
      </c>
      <c r="AI254" s="43">
        <f>IF(OR($C254="",$I254=""),0,IF(COUNTIFS($C$5:$C254,$C254,$I$5:$I254,$I254)=1,1,0))</f>
        <v>0</v>
      </c>
      <c r="AJ254" s="43" t="str">
        <f>IF($AI254=1,SUMIFS($AI$4:$AI253,$C$4:$C253,$C254)+1,"")</f>
        <v/>
      </c>
      <c r="AK254" s="43">
        <f>IF(OR($C254="",$K254=""),0,IF(COUNTIFS($C$5:$C254,$C254,$K$5:$K254,$K254)=1,1,0))</f>
        <v>0</v>
      </c>
      <c r="AL254" s="43" t="str">
        <f>IF($AK254=1,SUMIFS($AK$4:$AK253,$C$4:$C253,$C254)+1,"")</f>
        <v/>
      </c>
      <c r="AM254" s="43">
        <f>IF(OR($C254="",$G254=""),0,IF(COUNTIFS($C$5:$C254,$C254,$G$5:$G254,$G254)=1,1,0))</f>
        <v>0</v>
      </c>
      <c r="AN254" s="43" t="str">
        <f>IF($AM254=1,SUMIFS($AM$4:$AM253,$C$4:$C253,$C254)+1,"")</f>
        <v/>
      </c>
    </row>
    <row r="255">
      <c r="A255" s="44" t="str">
        <f>IF(OR($B255="",$D255=""),"","TX"&amp;TEXT(ROW()-4,"0000"))</f>
        <v/>
      </c>
      <c r="B255" s="42" t="n"/>
      <c r="C255" s="47" t="str">
        <f>IF($B255="","",YEAR($B255)*100+MONTH($B255))</f>
        <v/>
      </c>
      <c r="D255" s="37" t="n"/>
      <c r="E255" s="45" t="str">
        <f>IF($D255="","",IFERROR(INDEX(CARDS!$B$5:$B$34,MATCH($D255,CARDS!$A$5:$A$34,0)),"⚠ Card ID?"))</f>
        <v/>
      </c>
      <c r="F255" s="45" t="str">
        <f>IF($D255="","",IFERROR(INDEX(CARDS!$C$5:$C$34,MATCH($D255,CARDS!$A$5:$A$34,0)),"⚠ Card ID?"))</f>
        <v/>
      </c>
      <c r="G255" s="37" t="n"/>
      <c r="H255" s="37" t="n"/>
      <c r="I255" s="41" t="n"/>
      <c r="J255" s="45" t="str">
        <f>IF($I255="","",IFERROR(INDEX(MCC_MASTER!$B$5:$B$504,MATCH($I255,MCC_MASTER!$A$5:$A$504,0)),"⚠ MCC chưa có"))</f>
        <v/>
      </c>
      <c r="K255" s="45" t="str">
        <f>IF($I255="","",IFERROR(IF(INDEX(MCC_MASTER!$C$5:$C$504,MATCH($I255,MCC_MASTER!$A$5:$A$504,0))="","Chưa phân loại",INDEX(MCC_MASTER!$C$5:$C$504,MATCH($I255,MCC_MASTER!$A$5:$A$504,0))),"Chưa phân loại"))</f>
        <v/>
      </c>
      <c r="L255" s="40" t="n"/>
      <c r="M255" s="48" t="str">
        <f>IF(OR($B255="",$D255=""),"",IF($AC255=0,0,IF(ISNUMBER(INDEX(CASHBACK_RULES!$L$5:$L$304,$AC255)),MAX(0,MIN($L255,INDEX(CASHBACK_RULES!$L$5:$L$304,$AC255)-$AH255)),MAX(0,$L255))))</f>
        <v/>
      </c>
      <c r="N255" s="49" t="str">
        <f>IF(OR($B255="",$D255=""),"",IF($AC255&gt;0,INDEX(CASHBACK_RULES!$I$5:$I$304,$AC255),0))</f>
        <v/>
      </c>
      <c r="O255" s="48" t="str">
        <f>IF(OR($B255="",$D255=""),"",ROUND($M255*$N255,0))</f>
        <v/>
      </c>
      <c r="P255" s="48" t="str">
        <f>IF($AC255&gt;0,IF(ISNUMBER(INDEX(CASHBACK_RULES!$J$5:$J$304,$AC255)),INDEX(CASHBACK_RULES!$J$5:$J$304,$AC255),"∞"),"")</f>
        <v/>
      </c>
      <c r="Q255" s="48" t="str">
        <f>IF(OR($B255="",$D255=""),"",IF($AC255=0,0,MAX(0,MIN($O255,IF(ISNUMBER($P255),$P255-$AF255,1E+15),IF(ISNUMBER($AA255),$AA255-$AG255,1E+15)))))</f>
        <v/>
      </c>
      <c r="R255" s="48" t="str">
        <f>IF(OR($B255="",$D255=""),"",IF($AC255=0,"",IF(AND(NOT(ISNUMBER($P255)),NOT(ISNUMBER($AA255))),"∞",MAX(0,MIN(IF(ISNUMBER($P255),$P255-$AF255-$Q255,1E+15),IF(ISNUMBER($AA255),$AA255-$AG255-$Q255,1E+15))))))</f>
        <v/>
      </c>
      <c r="S255" s="47" t="str">
        <f>IF($AD255="","",YEAR($AD255)*100+MONTH($AD255))</f>
        <v/>
      </c>
      <c r="T255" s="50" t="str">
        <f>IF($AD255="","",IFERROR(IF(INDEX(CARDS!$I$5:$I$34,MATCH($D255,CARDS!$A$5:$A$34,0))="","",IF(INDEX(CARDS!$I$5:$I$34,MATCH($D255,CARDS!$A$5:$A$34,0))&gt;INDEX(CARDS!$H$5:$H$34,MATCH($D255,CARDS!$A$5:$A$34,0)),DATE(YEAR($AD255),MONTH($AD255),MIN(INDEX(CARDS!$I$5:$I$34,MATCH($D255,CARDS!$A$5:$A$34,0)),DAY(EOMONTH($AD255,0)))),DATE(YEAR($AD255),MONTH($AD255)+1,MIN(INDEX(CARDS!$I$5:$I$34,MATCH($D255,CARDS!$A$5:$A$34,0)),DAY(EOMONTH($AD255,1)))))),""))</f>
        <v/>
      </c>
      <c r="U255" s="38" t="n"/>
      <c r="V255" s="37" t="n"/>
      <c r="W255" s="38" t="n"/>
      <c r="X255" s="38" t="n"/>
      <c r="Y255" s="44" t="str">
        <f>IF($AC255&gt;0,INDEX(CASHBACK_RULES!$A$5:$A$304,$AC255),"")</f>
        <v/>
      </c>
      <c r="Z255" s="45" t="str">
        <f>IF($AC255&gt;0,INDEX(CASHBACK_RULES!$E$5:$E$304,$AC255)&amp;"","")</f>
        <v/>
      </c>
      <c r="AA255" s="48" t="str">
        <f>IF($AC255&gt;0,IF(ISNUMBER(INDEX(CASHBACK_RULES!$K$5:$K$304,$AC255)),INDEX(CASHBACK_RULES!$K$5:$K$304,$AC255),"∞"),"")</f>
        <v/>
      </c>
      <c r="AB255" s="44" t="str">
        <f>IF(OR($B255="",$D255=""),"",IF($U255="Cancelled","Đã hủy",IF($AC255=0,"Không được hoàn",IF($Q255=0,IF(OR($O255&gt;0,$M255&lt;$L255),"Đã đạt cap","Không được hoàn"),IF(OR($Q255&lt;$O255,$M255&lt;$L255),"Hoàn một phần","Được hoàn")))))</f>
        <v/>
      </c>
      <c r="AC255" s="43">
        <f>IF(OR($B255="",$D255="",$I255="",$L255=""),0,IF($U255="Cancelled",0,IF($W255&lt;&gt;"",IFERROR(IF(INDEX(CASHBACK_RULES!$B$5:$B$304,MATCH($W255,CASHBACK_RULES!$A$5:$A$304,0))=$D255,MATCH($W255,CASHBACK_RULES!$A$5:$A$304,0),0),0),IFERROR(MATCH(1,INDEX((CASHBACK_RULES!$B$5:$B$304=$D255)*(CASHBACK_RULES!$G$5:$G$304=$I255)*(((CASHBACK_RULES!$N$5:$N$304="")+(CASHBACK_RULES!$N$5:$N$304&lt;=$B255))&gt;0)*(((CASHBACK_RULES!$O$5:$O$304="")+(CASHBACK_RULES!$O$5:$O$304&gt;=$B255))&gt;0)*(((CASHBACK_RULES!$M$5:$M$304="")+(CASHBACK_RULES!$M$5:$M$304&lt;=$L255))&gt;0),0),0),0))))</f>
        <v>0</v>
      </c>
      <c r="AD255" s="51" t="str">
        <f>IF(OR($B255="",$D255=""),"",IFERROR(IF(INDEX(CARDS!$H$5:$H$34,MATCH($D255,CARDS!$A$5:$A$34,0))="","",IF(DAY($B255)&lt;=INDEX(CARDS!$H$5:$H$34,MATCH($D255,CARDS!$A$5:$A$34,0)),DATE(YEAR($B255),MONTH($B255),MIN(INDEX(CARDS!$H$5:$H$34,MATCH($D255,CARDS!$A$5:$A$34,0)),DAY(EOMONTH($B255,0)))),DATE(YEAR($B255),MONTH($B255)+1,MIN(INDEX(CARDS!$H$5:$H$34,MATCH($D255,CARDS!$A$5:$A$34,0)),DAY(EOMONTH($B255,1)))))),""))</f>
        <v/>
      </c>
      <c r="AE255" s="52" t="str">
        <f>IF($C255="","",$C255&amp;"|"&amp;COUNTIF($C$5:$C255,$C255))</f>
        <v/>
      </c>
      <c r="AF255" s="53">
        <f>IF($AC255&gt;0,SUMIFS(Q$4:Q254,$D$4:$D254,$D255,$Z$4:$Z254,$Z255,$C$4:$C254,$C255),0)</f>
        <v>0</v>
      </c>
      <c r="AG255" s="53">
        <f>IF($AC255&gt;0,SUMIFS(Q$4:Q254,$D$4:$D254,$D255,$C$4:$C254,$C255),0)</f>
        <v>0</v>
      </c>
      <c r="AH255" s="53">
        <f>IF($AC255&gt;0,SUMIFS(M$4:M254,$D$4:$D254,$D255,$Z$4:$Z254,$Z255,$C$4:$C254,$C255),0)</f>
        <v>0</v>
      </c>
      <c r="AI255" s="43">
        <f>IF(OR($C255="",$I255=""),0,IF(COUNTIFS($C$5:$C255,$C255,$I$5:$I255,$I255)=1,1,0))</f>
        <v>0</v>
      </c>
      <c r="AJ255" s="43" t="str">
        <f>IF($AI255=1,SUMIFS($AI$4:$AI254,$C$4:$C254,$C255)+1,"")</f>
        <v/>
      </c>
      <c r="AK255" s="43">
        <f>IF(OR($C255="",$K255=""),0,IF(COUNTIFS($C$5:$C255,$C255,$K$5:$K255,$K255)=1,1,0))</f>
        <v>0</v>
      </c>
      <c r="AL255" s="43" t="str">
        <f>IF($AK255=1,SUMIFS($AK$4:$AK254,$C$4:$C254,$C255)+1,"")</f>
        <v/>
      </c>
      <c r="AM255" s="43">
        <f>IF(OR($C255="",$G255=""),0,IF(COUNTIFS($C$5:$C255,$C255,$G$5:$G255,$G255)=1,1,0))</f>
        <v>0</v>
      </c>
      <c r="AN255" s="43" t="str">
        <f>IF($AM255=1,SUMIFS($AM$4:$AM254,$C$4:$C254,$C255)+1,"")</f>
        <v/>
      </c>
    </row>
    <row r="256">
      <c r="A256" s="44" t="str">
        <f>IF(OR($B256="",$D256=""),"","TX"&amp;TEXT(ROW()-4,"0000"))</f>
        <v/>
      </c>
      <c r="B256" s="42" t="n"/>
      <c r="C256" s="47" t="str">
        <f>IF($B256="","",YEAR($B256)*100+MONTH($B256))</f>
        <v/>
      </c>
      <c r="D256" s="37" t="n"/>
      <c r="E256" s="45" t="str">
        <f>IF($D256="","",IFERROR(INDEX(CARDS!$B$5:$B$34,MATCH($D256,CARDS!$A$5:$A$34,0)),"⚠ Card ID?"))</f>
        <v/>
      </c>
      <c r="F256" s="45" t="str">
        <f>IF($D256="","",IFERROR(INDEX(CARDS!$C$5:$C$34,MATCH($D256,CARDS!$A$5:$A$34,0)),"⚠ Card ID?"))</f>
        <v/>
      </c>
      <c r="G256" s="37" t="n"/>
      <c r="H256" s="37" t="n"/>
      <c r="I256" s="41" t="n"/>
      <c r="J256" s="45" t="str">
        <f>IF($I256="","",IFERROR(INDEX(MCC_MASTER!$B$5:$B$504,MATCH($I256,MCC_MASTER!$A$5:$A$504,0)),"⚠ MCC chưa có"))</f>
        <v/>
      </c>
      <c r="K256" s="45" t="str">
        <f>IF($I256="","",IFERROR(IF(INDEX(MCC_MASTER!$C$5:$C$504,MATCH($I256,MCC_MASTER!$A$5:$A$504,0))="","Chưa phân loại",INDEX(MCC_MASTER!$C$5:$C$504,MATCH($I256,MCC_MASTER!$A$5:$A$504,0))),"Chưa phân loại"))</f>
        <v/>
      </c>
      <c r="L256" s="40" t="n"/>
      <c r="M256" s="48" t="str">
        <f>IF(OR($B256="",$D256=""),"",IF($AC256=0,0,IF(ISNUMBER(INDEX(CASHBACK_RULES!$L$5:$L$304,$AC256)),MAX(0,MIN($L256,INDEX(CASHBACK_RULES!$L$5:$L$304,$AC256)-$AH256)),MAX(0,$L256))))</f>
        <v/>
      </c>
      <c r="N256" s="49" t="str">
        <f>IF(OR($B256="",$D256=""),"",IF($AC256&gt;0,INDEX(CASHBACK_RULES!$I$5:$I$304,$AC256),0))</f>
        <v/>
      </c>
      <c r="O256" s="48" t="str">
        <f>IF(OR($B256="",$D256=""),"",ROUND($M256*$N256,0))</f>
        <v/>
      </c>
      <c r="P256" s="48" t="str">
        <f>IF($AC256&gt;0,IF(ISNUMBER(INDEX(CASHBACK_RULES!$J$5:$J$304,$AC256)),INDEX(CASHBACK_RULES!$J$5:$J$304,$AC256),"∞"),"")</f>
        <v/>
      </c>
      <c r="Q256" s="48" t="str">
        <f>IF(OR($B256="",$D256=""),"",IF($AC256=0,0,MAX(0,MIN($O256,IF(ISNUMBER($P256),$P256-$AF256,1E+15),IF(ISNUMBER($AA256),$AA256-$AG256,1E+15)))))</f>
        <v/>
      </c>
      <c r="R256" s="48" t="str">
        <f>IF(OR($B256="",$D256=""),"",IF($AC256=0,"",IF(AND(NOT(ISNUMBER($P256)),NOT(ISNUMBER($AA256))),"∞",MAX(0,MIN(IF(ISNUMBER($P256),$P256-$AF256-$Q256,1E+15),IF(ISNUMBER($AA256),$AA256-$AG256-$Q256,1E+15))))))</f>
        <v/>
      </c>
      <c r="S256" s="47" t="str">
        <f>IF($AD256="","",YEAR($AD256)*100+MONTH($AD256))</f>
        <v/>
      </c>
      <c r="T256" s="50" t="str">
        <f>IF($AD256="","",IFERROR(IF(INDEX(CARDS!$I$5:$I$34,MATCH($D256,CARDS!$A$5:$A$34,0))="","",IF(INDEX(CARDS!$I$5:$I$34,MATCH($D256,CARDS!$A$5:$A$34,0))&gt;INDEX(CARDS!$H$5:$H$34,MATCH($D256,CARDS!$A$5:$A$34,0)),DATE(YEAR($AD256),MONTH($AD256),MIN(INDEX(CARDS!$I$5:$I$34,MATCH($D256,CARDS!$A$5:$A$34,0)),DAY(EOMONTH($AD256,0)))),DATE(YEAR($AD256),MONTH($AD256)+1,MIN(INDEX(CARDS!$I$5:$I$34,MATCH($D256,CARDS!$A$5:$A$34,0)),DAY(EOMONTH($AD256,1)))))),""))</f>
        <v/>
      </c>
      <c r="U256" s="38" t="n"/>
      <c r="V256" s="37" t="n"/>
      <c r="W256" s="38" t="n"/>
      <c r="X256" s="38" t="n"/>
      <c r="Y256" s="44" t="str">
        <f>IF($AC256&gt;0,INDEX(CASHBACK_RULES!$A$5:$A$304,$AC256),"")</f>
        <v/>
      </c>
      <c r="Z256" s="45" t="str">
        <f>IF($AC256&gt;0,INDEX(CASHBACK_RULES!$E$5:$E$304,$AC256)&amp;"","")</f>
        <v/>
      </c>
      <c r="AA256" s="48" t="str">
        <f>IF($AC256&gt;0,IF(ISNUMBER(INDEX(CASHBACK_RULES!$K$5:$K$304,$AC256)),INDEX(CASHBACK_RULES!$K$5:$K$304,$AC256),"∞"),"")</f>
        <v/>
      </c>
      <c r="AB256" s="44" t="str">
        <f>IF(OR($B256="",$D256=""),"",IF($U256="Cancelled","Đã hủy",IF($AC256=0,"Không được hoàn",IF($Q256=0,IF(OR($O256&gt;0,$M256&lt;$L256),"Đã đạt cap","Không được hoàn"),IF(OR($Q256&lt;$O256,$M256&lt;$L256),"Hoàn một phần","Được hoàn")))))</f>
        <v/>
      </c>
      <c r="AC256" s="43">
        <f>IF(OR($B256="",$D256="",$I256="",$L256=""),0,IF($U256="Cancelled",0,IF($W256&lt;&gt;"",IFERROR(IF(INDEX(CASHBACK_RULES!$B$5:$B$304,MATCH($W256,CASHBACK_RULES!$A$5:$A$304,0))=$D256,MATCH($W256,CASHBACK_RULES!$A$5:$A$304,0),0),0),IFERROR(MATCH(1,INDEX((CASHBACK_RULES!$B$5:$B$304=$D256)*(CASHBACK_RULES!$G$5:$G$304=$I256)*(((CASHBACK_RULES!$N$5:$N$304="")+(CASHBACK_RULES!$N$5:$N$304&lt;=$B256))&gt;0)*(((CASHBACK_RULES!$O$5:$O$304="")+(CASHBACK_RULES!$O$5:$O$304&gt;=$B256))&gt;0)*(((CASHBACK_RULES!$M$5:$M$304="")+(CASHBACK_RULES!$M$5:$M$304&lt;=$L256))&gt;0),0),0),0))))</f>
        <v>0</v>
      </c>
      <c r="AD256" s="51" t="str">
        <f>IF(OR($B256="",$D256=""),"",IFERROR(IF(INDEX(CARDS!$H$5:$H$34,MATCH($D256,CARDS!$A$5:$A$34,0))="","",IF(DAY($B256)&lt;=INDEX(CARDS!$H$5:$H$34,MATCH($D256,CARDS!$A$5:$A$34,0)),DATE(YEAR($B256),MONTH($B256),MIN(INDEX(CARDS!$H$5:$H$34,MATCH($D256,CARDS!$A$5:$A$34,0)),DAY(EOMONTH($B256,0)))),DATE(YEAR($B256),MONTH($B256)+1,MIN(INDEX(CARDS!$H$5:$H$34,MATCH($D256,CARDS!$A$5:$A$34,0)),DAY(EOMONTH($B256,1)))))),""))</f>
        <v/>
      </c>
      <c r="AE256" s="52" t="str">
        <f>IF($C256="","",$C256&amp;"|"&amp;COUNTIF($C$5:$C256,$C256))</f>
        <v/>
      </c>
      <c r="AF256" s="53">
        <f>IF($AC256&gt;0,SUMIFS(Q$4:Q255,$D$4:$D255,$D256,$Z$4:$Z255,$Z256,$C$4:$C255,$C256),0)</f>
        <v>0</v>
      </c>
      <c r="AG256" s="53">
        <f>IF($AC256&gt;0,SUMIFS(Q$4:Q255,$D$4:$D255,$D256,$C$4:$C255,$C256),0)</f>
        <v>0</v>
      </c>
      <c r="AH256" s="53">
        <f>IF($AC256&gt;0,SUMIFS(M$4:M255,$D$4:$D255,$D256,$Z$4:$Z255,$Z256,$C$4:$C255,$C256),0)</f>
        <v>0</v>
      </c>
      <c r="AI256" s="43">
        <f>IF(OR($C256="",$I256=""),0,IF(COUNTIFS($C$5:$C256,$C256,$I$5:$I256,$I256)=1,1,0))</f>
        <v>0</v>
      </c>
      <c r="AJ256" s="43" t="str">
        <f>IF($AI256=1,SUMIFS($AI$4:$AI255,$C$4:$C255,$C256)+1,"")</f>
        <v/>
      </c>
      <c r="AK256" s="43">
        <f>IF(OR($C256="",$K256=""),0,IF(COUNTIFS($C$5:$C256,$C256,$K$5:$K256,$K256)=1,1,0))</f>
        <v>0</v>
      </c>
      <c r="AL256" s="43" t="str">
        <f>IF($AK256=1,SUMIFS($AK$4:$AK255,$C$4:$C255,$C256)+1,"")</f>
        <v/>
      </c>
      <c r="AM256" s="43">
        <f>IF(OR($C256="",$G256=""),0,IF(COUNTIFS($C$5:$C256,$C256,$G$5:$G256,$G256)=1,1,0))</f>
        <v>0</v>
      </c>
      <c r="AN256" s="43" t="str">
        <f>IF($AM256=1,SUMIFS($AM$4:$AM255,$C$4:$C255,$C256)+1,"")</f>
        <v/>
      </c>
    </row>
    <row r="257">
      <c r="A257" s="44" t="str">
        <f>IF(OR($B257="",$D257=""),"","TX"&amp;TEXT(ROW()-4,"0000"))</f>
        <v/>
      </c>
      <c r="B257" s="42" t="n"/>
      <c r="C257" s="47" t="str">
        <f>IF($B257="","",YEAR($B257)*100+MONTH($B257))</f>
        <v/>
      </c>
      <c r="D257" s="37" t="n"/>
      <c r="E257" s="45" t="str">
        <f>IF($D257="","",IFERROR(INDEX(CARDS!$B$5:$B$34,MATCH($D257,CARDS!$A$5:$A$34,0)),"⚠ Card ID?"))</f>
        <v/>
      </c>
      <c r="F257" s="45" t="str">
        <f>IF($D257="","",IFERROR(INDEX(CARDS!$C$5:$C$34,MATCH($D257,CARDS!$A$5:$A$34,0)),"⚠ Card ID?"))</f>
        <v/>
      </c>
      <c r="G257" s="37" t="n"/>
      <c r="H257" s="37" t="n"/>
      <c r="I257" s="41" t="n"/>
      <c r="J257" s="45" t="str">
        <f>IF($I257="","",IFERROR(INDEX(MCC_MASTER!$B$5:$B$504,MATCH($I257,MCC_MASTER!$A$5:$A$504,0)),"⚠ MCC chưa có"))</f>
        <v/>
      </c>
      <c r="K257" s="45" t="str">
        <f>IF($I257="","",IFERROR(IF(INDEX(MCC_MASTER!$C$5:$C$504,MATCH($I257,MCC_MASTER!$A$5:$A$504,0))="","Chưa phân loại",INDEX(MCC_MASTER!$C$5:$C$504,MATCH($I257,MCC_MASTER!$A$5:$A$504,0))),"Chưa phân loại"))</f>
        <v/>
      </c>
      <c r="L257" s="40" t="n"/>
      <c r="M257" s="48" t="str">
        <f>IF(OR($B257="",$D257=""),"",IF($AC257=0,0,IF(ISNUMBER(INDEX(CASHBACK_RULES!$L$5:$L$304,$AC257)),MAX(0,MIN($L257,INDEX(CASHBACK_RULES!$L$5:$L$304,$AC257)-$AH257)),MAX(0,$L257))))</f>
        <v/>
      </c>
      <c r="N257" s="49" t="str">
        <f>IF(OR($B257="",$D257=""),"",IF($AC257&gt;0,INDEX(CASHBACK_RULES!$I$5:$I$304,$AC257),0))</f>
        <v/>
      </c>
      <c r="O257" s="48" t="str">
        <f>IF(OR($B257="",$D257=""),"",ROUND($M257*$N257,0))</f>
        <v/>
      </c>
      <c r="P257" s="48" t="str">
        <f>IF($AC257&gt;0,IF(ISNUMBER(INDEX(CASHBACK_RULES!$J$5:$J$304,$AC257)),INDEX(CASHBACK_RULES!$J$5:$J$304,$AC257),"∞"),"")</f>
        <v/>
      </c>
      <c r="Q257" s="48" t="str">
        <f>IF(OR($B257="",$D257=""),"",IF($AC257=0,0,MAX(0,MIN($O257,IF(ISNUMBER($P257),$P257-$AF257,1E+15),IF(ISNUMBER($AA257),$AA257-$AG257,1E+15)))))</f>
        <v/>
      </c>
      <c r="R257" s="48" t="str">
        <f>IF(OR($B257="",$D257=""),"",IF($AC257=0,"",IF(AND(NOT(ISNUMBER($P257)),NOT(ISNUMBER($AA257))),"∞",MAX(0,MIN(IF(ISNUMBER($P257),$P257-$AF257-$Q257,1E+15),IF(ISNUMBER($AA257),$AA257-$AG257-$Q257,1E+15))))))</f>
        <v/>
      </c>
      <c r="S257" s="47" t="str">
        <f>IF($AD257="","",YEAR($AD257)*100+MONTH($AD257))</f>
        <v/>
      </c>
      <c r="T257" s="50" t="str">
        <f>IF($AD257="","",IFERROR(IF(INDEX(CARDS!$I$5:$I$34,MATCH($D257,CARDS!$A$5:$A$34,0))="","",IF(INDEX(CARDS!$I$5:$I$34,MATCH($D257,CARDS!$A$5:$A$34,0))&gt;INDEX(CARDS!$H$5:$H$34,MATCH($D257,CARDS!$A$5:$A$34,0)),DATE(YEAR($AD257),MONTH($AD257),MIN(INDEX(CARDS!$I$5:$I$34,MATCH($D257,CARDS!$A$5:$A$34,0)),DAY(EOMONTH($AD257,0)))),DATE(YEAR($AD257),MONTH($AD257)+1,MIN(INDEX(CARDS!$I$5:$I$34,MATCH($D257,CARDS!$A$5:$A$34,0)),DAY(EOMONTH($AD257,1)))))),""))</f>
        <v/>
      </c>
      <c r="U257" s="38" t="n"/>
      <c r="V257" s="37" t="n"/>
      <c r="W257" s="38" t="n"/>
      <c r="X257" s="38" t="n"/>
      <c r="Y257" s="44" t="str">
        <f>IF($AC257&gt;0,INDEX(CASHBACK_RULES!$A$5:$A$304,$AC257),"")</f>
        <v/>
      </c>
      <c r="Z257" s="45" t="str">
        <f>IF($AC257&gt;0,INDEX(CASHBACK_RULES!$E$5:$E$304,$AC257)&amp;"","")</f>
        <v/>
      </c>
      <c r="AA257" s="48" t="str">
        <f>IF($AC257&gt;0,IF(ISNUMBER(INDEX(CASHBACK_RULES!$K$5:$K$304,$AC257)),INDEX(CASHBACK_RULES!$K$5:$K$304,$AC257),"∞"),"")</f>
        <v/>
      </c>
      <c r="AB257" s="44" t="str">
        <f>IF(OR($B257="",$D257=""),"",IF($U257="Cancelled","Đã hủy",IF($AC257=0,"Không được hoàn",IF($Q257=0,IF(OR($O257&gt;0,$M257&lt;$L257),"Đã đạt cap","Không được hoàn"),IF(OR($Q257&lt;$O257,$M257&lt;$L257),"Hoàn một phần","Được hoàn")))))</f>
        <v/>
      </c>
      <c r="AC257" s="43">
        <f>IF(OR($B257="",$D257="",$I257="",$L257=""),0,IF($U257="Cancelled",0,IF($W257&lt;&gt;"",IFERROR(IF(INDEX(CASHBACK_RULES!$B$5:$B$304,MATCH($W257,CASHBACK_RULES!$A$5:$A$304,0))=$D257,MATCH($W257,CASHBACK_RULES!$A$5:$A$304,0),0),0),IFERROR(MATCH(1,INDEX((CASHBACK_RULES!$B$5:$B$304=$D257)*(CASHBACK_RULES!$G$5:$G$304=$I257)*(((CASHBACK_RULES!$N$5:$N$304="")+(CASHBACK_RULES!$N$5:$N$304&lt;=$B257))&gt;0)*(((CASHBACK_RULES!$O$5:$O$304="")+(CASHBACK_RULES!$O$5:$O$304&gt;=$B257))&gt;0)*(((CASHBACK_RULES!$M$5:$M$304="")+(CASHBACK_RULES!$M$5:$M$304&lt;=$L257))&gt;0),0),0),0))))</f>
        <v>0</v>
      </c>
      <c r="AD257" s="51" t="str">
        <f>IF(OR($B257="",$D257=""),"",IFERROR(IF(INDEX(CARDS!$H$5:$H$34,MATCH($D257,CARDS!$A$5:$A$34,0))="","",IF(DAY($B257)&lt;=INDEX(CARDS!$H$5:$H$34,MATCH($D257,CARDS!$A$5:$A$34,0)),DATE(YEAR($B257),MONTH($B257),MIN(INDEX(CARDS!$H$5:$H$34,MATCH($D257,CARDS!$A$5:$A$34,0)),DAY(EOMONTH($B257,0)))),DATE(YEAR($B257),MONTH($B257)+1,MIN(INDEX(CARDS!$H$5:$H$34,MATCH($D257,CARDS!$A$5:$A$34,0)),DAY(EOMONTH($B257,1)))))),""))</f>
        <v/>
      </c>
      <c r="AE257" s="52" t="str">
        <f>IF($C257="","",$C257&amp;"|"&amp;COUNTIF($C$5:$C257,$C257))</f>
        <v/>
      </c>
      <c r="AF257" s="53">
        <f>IF($AC257&gt;0,SUMIFS(Q$4:Q256,$D$4:$D256,$D257,$Z$4:$Z256,$Z257,$C$4:$C256,$C257),0)</f>
        <v>0</v>
      </c>
      <c r="AG257" s="53">
        <f>IF($AC257&gt;0,SUMIFS(Q$4:Q256,$D$4:$D256,$D257,$C$4:$C256,$C257),0)</f>
        <v>0</v>
      </c>
      <c r="AH257" s="53">
        <f>IF($AC257&gt;0,SUMIFS(M$4:M256,$D$4:$D256,$D257,$Z$4:$Z256,$Z257,$C$4:$C256,$C257),0)</f>
        <v>0</v>
      </c>
      <c r="AI257" s="43">
        <f>IF(OR($C257="",$I257=""),0,IF(COUNTIFS($C$5:$C257,$C257,$I$5:$I257,$I257)=1,1,0))</f>
        <v>0</v>
      </c>
      <c r="AJ257" s="43" t="str">
        <f>IF($AI257=1,SUMIFS($AI$4:$AI256,$C$4:$C256,$C257)+1,"")</f>
        <v/>
      </c>
      <c r="AK257" s="43">
        <f>IF(OR($C257="",$K257=""),0,IF(COUNTIFS($C$5:$C257,$C257,$K$5:$K257,$K257)=1,1,0))</f>
        <v>0</v>
      </c>
      <c r="AL257" s="43" t="str">
        <f>IF($AK257=1,SUMIFS($AK$4:$AK256,$C$4:$C256,$C257)+1,"")</f>
        <v/>
      </c>
      <c r="AM257" s="43">
        <f>IF(OR($C257="",$G257=""),0,IF(COUNTIFS($C$5:$C257,$C257,$G$5:$G257,$G257)=1,1,0))</f>
        <v>0</v>
      </c>
      <c r="AN257" s="43" t="str">
        <f>IF($AM257=1,SUMIFS($AM$4:$AM256,$C$4:$C256,$C257)+1,"")</f>
        <v/>
      </c>
    </row>
    <row r="258">
      <c r="A258" s="44" t="str">
        <f>IF(OR($B258="",$D258=""),"","TX"&amp;TEXT(ROW()-4,"0000"))</f>
        <v/>
      </c>
      <c r="B258" s="42" t="n"/>
      <c r="C258" s="47" t="str">
        <f>IF($B258="","",YEAR($B258)*100+MONTH($B258))</f>
        <v/>
      </c>
      <c r="D258" s="37" t="n"/>
      <c r="E258" s="45" t="str">
        <f>IF($D258="","",IFERROR(INDEX(CARDS!$B$5:$B$34,MATCH($D258,CARDS!$A$5:$A$34,0)),"⚠ Card ID?"))</f>
        <v/>
      </c>
      <c r="F258" s="45" t="str">
        <f>IF($D258="","",IFERROR(INDEX(CARDS!$C$5:$C$34,MATCH($D258,CARDS!$A$5:$A$34,0)),"⚠ Card ID?"))</f>
        <v/>
      </c>
      <c r="G258" s="37" t="n"/>
      <c r="H258" s="37" t="n"/>
      <c r="I258" s="41" t="n"/>
      <c r="J258" s="45" t="str">
        <f>IF($I258="","",IFERROR(INDEX(MCC_MASTER!$B$5:$B$504,MATCH($I258,MCC_MASTER!$A$5:$A$504,0)),"⚠ MCC chưa có"))</f>
        <v/>
      </c>
      <c r="K258" s="45" t="str">
        <f>IF($I258="","",IFERROR(IF(INDEX(MCC_MASTER!$C$5:$C$504,MATCH($I258,MCC_MASTER!$A$5:$A$504,0))="","Chưa phân loại",INDEX(MCC_MASTER!$C$5:$C$504,MATCH($I258,MCC_MASTER!$A$5:$A$504,0))),"Chưa phân loại"))</f>
        <v/>
      </c>
      <c r="L258" s="40" t="n"/>
      <c r="M258" s="48" t="str">
        <f>IF(OR($B258="",$D258=""),"",IF($AC258=0,0,IF(ISNUMBER(INDEX(CASHBACK_RULES!$L$5:$L$304,$AC258)),MAX(0,MIN($L258,INDEX(CASHBACK_RULES!$L$5:$L$304,$AC258)-$AH258)),MAX(0,$L258))))</f>
        <v/>
      </c>
      <c r="N258" s="49" t="str">
        <f>IF(OR($B258="",$D258=""),"",IF($AC258&gt;0,INDEX(CASHBACK_RULES!$I$5:$I$304,$AC258),0))</f>
        <v/>
      </c>
      <c r="O258" s="48" t="str">
        <f>IF(OR($B258="",$D258=""),"",ROUND($M258*$N258,0))</f>
        <v/>
      </c>
      <c r="P258" s="48" t="str">
        <f>IF($AC258&gt;0,IF(ISNUMBER(INDEX(CASHBACK_RULES!$J$5:$J$304,$AC258)),INDEX(CASHBACK_RULES!$J$5:$J$304,$AC258),"∞"),"")</f>
        <v/>
      </c>
      <c r="Q258" s="48" t="str">
        <f>IF(OR($B258="",$D258=""),"",IF($AC258=0,0,MAX(0,MIN($O258,IF(ISNUMBER($P258),$P258-$AF258,1E+15),IF(ISNUMBER($AA258),$AA258-$AG258,1E+15)))))</f>
        <v/>
      </c>
      <c r="R258" s="48" t="str">
        <f>IF(OR($B258="",$D258=""),"",IF($AC258=0,"",IF(AND(NOT(ISNUMBER($P258)),NOT(ISNUMBER($AA258))),"∞",MAX(0,MIN(IF(ISNUMBER($P258),$P258-$AF258-$Q258,1E+15),IF(ISNUMBER($AA258),$AA258-$AG258-$Q258,1E+15))))))</f>
        <v/>
      </c>
      <c r="S258" s="47" t="str">
        <f>IF($AD258="","",YEAR($AD258)*100+MONTH($AD258))</f>
        <v/>
      </c>
      <c r="T258" s="50" t="str">
        <f>IF($AD258="","",IFERROR(IF(INDEX(CARDS!$I$5:$I$34,MATCH($D258,CARDS!$A$5:$A$34,0))="","",IF(INDEX(CARDS!$I$5:$I$34,MATCH($D258,CARDS!$A$5:$A$34,0))&gt;INDEX(CARDS!$H$5:$H$34,MATCH($D258,CARDS!$A$5:$A$34,0)),DATE(YEAR($AD258),MONTH($AD258),MIN(INDEX(CARDS!$I$5:$I$34,MATCH($D258,CARDS!$A$5:$A$34,0)),DAY(EOMONTH($AD258,0)))),DATE(YEAR($AD258),MONTH($AD258)+1,MIN(INDEX(CARDS!$I$5:$I$34,MATCH($D258,CARDS!$A$5:$A$34,0)),DAY(EOMONTH($AD258,1)))))),""))</f>
        <v/>
      </c>
      <c r="U258" s="38" t="n"/>
      <c r="V258" s="37" t="n"/>
      <c r="W258" s="38" t="n"/>
      <c r="X258" s="38" t="n"/>
      <c r="Y258" s="44" t="str">
        <f>IF($AC258&gt;0,INDEX(CASHBACK_RULES!$A$5:$A$304,$AC258),"")</f>
        <v/>
      </c>
      <c r="Z258" s="45" t="str">
        <f>IF($AC258&gt;0,INDEX(CASHBACK_RULES!$E$5:$E$304,$AC258)&amp;"","")</f>
        <v/>
      </c>
      <c r="AA258" s="48" t="str">
        <f>IF($AC258&gt;0,IF(ISNUMBER(INDEX(CASHBACK_RULES!$K$5:$K$304,$AC258)),INDEX(CASHBACK_RULES!$K$5:$K$304,$AC258),"∞"),"")</f>
        <v/>
      </c>
      <c r="AB258" s="44" t="str">
        <f>IF(OR($B258="",$D258=""),"",IF($U258="Cancelled","Đã hủy",IF($AC258=0,"Không được hoàn",IF($Q258=0,IF(OR($O258&gt;0,$M258&lt;$L258),"Đã đạt cap","Không được hoàn"),IF(OR($Q258&lt;$O258,$M258&lt;$L258),"Hoàn một phần","Được hoàn")))))</f>
        <v/>
      </c>
      <c r="AC258" s="43">
        <f>IF(OR($B258="",$D258="",$I258="",$L258=""),0,IF($U258="Cancelled",0,IF($W258&lt;&gt;"",IFERROR(IF(INDEX(CASHBACK_RULES!$B$5:$B$304,MATCH($W258,CASHBACK_RULES!$A$5:$A$304,0))=$D258,MATCH($W258,CASHBACK_RULES!$A$5:$A$304,0),0),0),IFERROR(MATCH(1,INDEX((CASHBACK_RULES!$B$5:$B$304=$D258)*(CASHBACK_RULES!$G$5:$G$304=$I258)*(((CASHBACK_RULES!$N$5:$N$304="")+(CASHBACK_RULES!$N$5:$N$304&lt;=$B258))&gt;0)*(((CASHBACK_RULES!$O$5:$O$304="")+(CASHBACK_RULES!$O$5:$O$304&gt;=$B258))&gt;0)*(((CASHBACK_RULES!$M$5:$M$304="")+(CASHBACK_RULES!$M$5:$M$304&lt;=$L258))&gt;0),0),0),0))))</f>
        <v>0</v>
      </c>
      <c r="AD258" s="51" t="str">
        <f>IF(OR($B258="",$D258=""),"",IFERROR(IF(INDEX(CARDS!$H$5:$H$34,MATCH($D258,CARDS!$A$5:$A$34,0))="","",IF(DAY($B258)&lt;=INDEX(CARDS!$H$5:$H$34,MATCH($D258,CARDS!$A$5:$A$34,0)),DATE(YEAR($B258),MONTH($B258),MIN(INDEX(CARDS!$H$5:$H$34,MATCH($D258,CARDS!$A$5:$A$34,0)),DAY(EOMONTH($B258,0)))),DATE(YEAR($B258),MONTH($B258)+1,MIN(INDEX(CARDS!$H$5:$H$34,MATCH($D258,CARDS!$A$5:$A$34,0)),DAY(EOMONTH($B258,1)))))),""))</f>
        <v/>
      </c>
      <c r="AE258" s="52" t="str">
        <f>IF($C258="","",$C258&amp;"|"&amp;COUNTIF($C$5:$C258,$C258))</f>
        <v/>
      </c>
      <c r="AF258" s="53">
        <f>IF($AC258&gt;0,SUMIFS(Q$4:Q257,$D$4:$D257,$D258,$Z$4:$Z257,$Z258,$C$4:$C257,$C258),0)</f>
        <v>0</v>
      </c>
      <c r="AG258" s="53">
        <f>IF($AC258&gt;0,SUMIFS(Q$4:Q257,$D$4:$D257,$D258,$C$4:$C257,$C258),0)</f>
        <v>0</v>
      </c>
      <c r="AH258" s="53">
        <f>IF($AC258&gt;0,SUMIFS(M$4:M257,$D$4:$D257,$D258,$Z$4:$Z257,$Z258,$C$4:$C257,$C258),0)</f>
        <v>0</v>
      </c>
      <c r="AI258" s="43">
        <f>IF(OR($C258="",$I258=""),0,IF(COUNTIFS($C$5:$C258,$C258,$I$5:$I258,$I258)=1,1,0))</f>
        <v>0</v>
      </c>
      <c r="AJ258" s="43" t="str">
        <f>IF($AI258=1,SUMIFS($AI$4:$AI257,$C$4:$C257,$C258)+1,"")</f>
        <v/>
      </c>
      <c r="AK258" s="43">
        <f>IF(OR($C258="",$K258=""),0,IF(COUNTIFS($C$5:$C258,$C258,$K$5:$K258,$K258)=1,1,0))</f>
        <v>0</v>
      </c>
      <c r="AL258" s="43" t="str">
        <f>IF($AK258=1,SUMIFS($AK$4:$AK257,$C$4:$C257,$C258)+1,"")</f>
        <v/>
      </c>
      <c r="AM258" s="43">
        <f>IF(OR($C258="",$G258=""),0,IF(COUNTIFS($C$5:$C258,$C258,$G$5:$G258,$G258)=1,1,0))</f>
        <v>0</v>
      </c>
      <c r="AN258" s="43" t="str">
        <f>IF($AM258=1,SUMIFS($AM$4:$AM257,$C$4:$C257,$C258)+1,"")</f>
        <v/>
      </c>
    </row>
    <row r="259">
      <c r="A259" s="44" t="str">
        <f>IF(OR($B259="",$D259=""),"","TX"&amp;TEXT(ROW()-4,"0000"))</f>
        <v/>
      </c>
      <c r="B259" s="42" t="n"/>
      <c r="C259" s="47" t="str">
        <f>IF($B259="","",YEAR($B259)*100+MONTH($B259))</f>
        <v/>
      </c>
      <c r="D259" s="37" t="n"/>
      <c r="E259" s="45" t="str">
        <f>IF($D259="","",IFERROR(INDEX(CARDS!$B$5:$B$34,MATCH($D259,CARDS!$A$5:$A$34,0)),"⚠ Card ID?"))</f>
        <v/>
      </c>
      <c r="F259" s="45" t="str">
        <f>IF($D259="","",IFERROR(INDEX(CARDS!$C$5:$C$34,MATCH($D259,CARDS!$A$5:$A$34,0)),"⚠ Card ID?"))</f>
        <v/>
      </c>
      <c r="G259" s="37" t="n"/>
      <c r="H259" s="37" t="n"/>
      <c r="I259" s="41" t="n"/>
      <c r="J259" s="45" t="str">
        <f>IF($I259="","",IFERROR(INDEX(MCC_MASTER!$B$5:$B$504,MATCH($I259,MCC_MASTER!$A$5:$A$504,0)),"⚠ MCC chưa có"))</f>
        <v/>
      </c>
      <c r="K259" s="45" t="str">
        <f>IF($I259="","",IFERROR(IF(INDEX(MCC_MASTER!$C$5:$C$504,MATCH($I259,MCC_MASTER!$A$5:$A$504,0))="","Chưa phân loại",INDEX(MCC_MASTER!$C$5:$C$504,MATCH($I259,MCC_MASTER!$A$5:$A$504,0))),"Chưa phân loại"))</f>
        <v/>
      </c>
      <c r="L259" s="40" t="n"/>
      <c r="M259" s="48" t="str">
        <f>IF(OR($B259="",$D259=""),"",IF($AC259=0,0,IF(ISNUMBER(INDEX(CASHBACK_RULES!$L$5:$L$304,$AC259)),MAX(0,MIN($L259,INDEX(CASHBACK_RULES!$L$5:$L$304,$AC259)-$AH259)),MAX(0,$L259))))</f>
        <v/>
      </c>
      <c r="N259" s="49" t="str">
        <f>IF(OR($B259="",$D259=""),"",IF($AC259&gt;0,INDEX(CASHBACK_RULES!$I$5:$I$304,$AC259),0))</f>
        <v/>
      </c>
      <c r="O259" s="48" t="str">
        <f>IF(OR($B259="",$D259=""),"",ROUND($M259*$N259,0))</f>
        <v/>
      </c>
      <c r="P259" s="48" t="str">
        <f>IF($AC259&gt;0,IF(ISNUMBER(INDEX(CASHBACK_RULES!$J$5:$J$304,$AC259)),INDEX(CASHBACK_RULES!$J$5:$J$304,$AC259),"∞"),"")</f>
        <v/>
      </c>
      <c r="Q259" s="48" t="str">
        <f>IF(OR($B259="",$D259=""),"",IF($AC259=0,0,MAX(0,MIN($O259,IF(ISNUMBER($P259),$P259-$AF259,1E+15),IF(ISNUMBER($AA259),$AA259-$AG259,1E+15)))))</f>
        <v/>
      </c>
      <c r="R259" s="48" t="str">
        <f>IF(OR($B259="",$D259=""),"",IF($AC259=0,"",IF(AND(NOT(ISNUMBER($P259)),NOT(ISNUMBER($AA259))),"∞",MAX(0,MIN(IF(ISNUMBER($P259),$P259-$AF259-$Q259,1E+15),IF(ISNUMBER($AA259),$AA259-$AG259-$Q259,1E+15))))))</f>
        <v/>
      </c>
      <c r="S259" s="47" t="str">
        <f>IF($AD259="","",YEAR($AD259)*100+MONTH($AD259))</f>
        <v/>
      </c>
      <c r="T259" s="50" t="str">
        <f>IF($AD259="","",IFERROR(IF(INDEX(CARDS!$I$5:$I$34,MATCH($D259,CARDS!$A$5:$A$34,0))="","",IF(INDEX(CARDS!$I$5:$I$34,MATCH($D259,CARDS!$A$5:$A$34,0))&gt;INDEX(CARDS!$H$5:$H$34,MATCH($D259,CARDS!$A$5:$A$34,0)),DATE(YEAR($AD259),MONTH($AD259),MIN(INDEX(CARDS!$I$5:$I$34,MATCH($D259,CARDS!$A$5:$A$34,0)),DAY(EOMONTH($AD259,0)))),DATE(YEAR($AD259),MONTH($AD259)+1,MIN(INDEX(CARDS!$I$5:$I$34,MATCH($D259,CARDS!$A$5:$A$34,0)),DAY(EOMONTH($AD259,1)))))),""))</f>
        <v/>
      </c>
      <c r="U259" s="38" t="n"/>
      <c r="V259" s="37" t="n"/>
      <c r="W259" s="38" t="n"/>
      <c r="X259" s="38" t="n"/>
      <c r="Y259" s="44" t="str">
        <f>IF($AC259&gt;0,INDEX(CASHBACK_RULES!$A$5:$A$304,$AC259),"")</f>
        <v/>
      </c>
      <c r="Z259" s="45" t="str">
        <f>IF($AC259&gt;0,INDEX(CASHBACK_RULES!$E$5:$E$304,$AC259)&amp;"","")</f>
        <v/>
      </c>
      <c r="AA259" s="48" t="str">
        <f>IF($AC259&gt;0,IF(ISNUMBER(INDEX(CASHBACK_RULES!$K$5:$K$304,$AC259)),INDEX(CASHBACK_RULES!$K$5:$K$304,$AC259),"∞"),"")</f>
        <v/>
      </c>
      <c r="AB259" s="44" t="str">
        <f>IF(OR($B259="",$D259=""),"",IF($U259="Cancelled","Đã hủy",IF($AC259=0,"Không được hoàn",IF($Q259=0,IF(OR($O259&gt;0,$M259&lt;$L259),"Đã đạt cap","Không được hoàn"),IF(OR($Q259&lt;$O259,$M259&lt;$L259),"Hoàn một phần","Được hoàn")))))</f>
        <v/>
      </c>
      <c r="AC259" s="43">
        <f>IF(OR($B259="",$D259="",$I259="",$L259=""),0,IF($U259="Cancelled",0,IF($W259&lt;&gt;"",IFERROR(IF(INDEX(CASHBACK_RULES!$B$5:$B$304,MATCH($W259,CASHBACK_RULES!$A$5:$A$304,0))=$D259,MATCH($W259,CASHBACK_RULES!$A$5:$A$304,0),0),0),IFERROR(MATCH(1,INDEX((CASHBACK_RULES!$B$5:$B$304=$D259)*(CASHBACK_RULES!$G$5:$G$304=$I259)*(((CASHBACK_RULES!$N$5:$N$304="")+(CASHBACK_RULES!$N$5:$N$304&lt;=$B259))&gt;0)*(((CASHBACK_RULES!$O$5:$O$304="")+(CASHBACK_RULES!$O$5:$O$304&gt;=$B259))&gt;0)*(((CASHBACK_RULES!$M$5:$M$304="")+(CASHBACK_RULES!$M$5:$M$304&lt;=$L259))&gt;0),0),0),0))))</f>
        <v>0</v>
      </c>
      <c r="AD259" s="51" t="str">
        <f>IF(OR($B259="",$D259=""),"",IFERROR(IF(INDEX(CARDS!$H$5:$H$34,MATCH($D259,CARDS!$A$5:$A$34,0))="","",IF(DAY($B259)&lt;=INDEX(CARDS!$H$5:$H$34,MATCH($D259,CARDS!$A$5:$A$34,0)),DATE(YEAR($B259),MONTH($B259),MIN(INDEX(CARDS!$H$5:$H$34,MATCH($D259,CARDS!$A$5:$A$34,0)),DAY(EOMONTH($B259,0)))),DATE(YEAR($B259),MONTH($B259)+1,MIN(INDEX(CARDS!$H$5:$H$34,MATCH($D259,CARDS!$A$5:$A$34,0)),DAY(EOMONTH($B259,1)))))),""))</f>
        <v/>
      </c>
      <c r="AE259" s="52" t="str">
        <f>IF($C259="","",$C259&amp;"|"&amp;COUNTIF($C$5:$C259,$C259))</f>
        <v/>
      </c>
      <c r="AF259" s="53">
        <f>IF($AC259&gt;0,SUMIFS(Q$4:Q258,$D$4:$D258,$D259,$Z$4:$Z258,$Z259,$C$4:$C258,$C259),0)</f>
        <v>0</v>
      </c>
      <c r="AG259" s="53">
        <f>IF($AC259&gt;0,SUMIFS(Q$4:Q258,$D$4:$D258,$D259,$C$4:$C258,$C259),0)</f>
        <v>0</v>
      </c>
      <c r="AH259" s="53">
        <f>IF($AC259&gt;0,SUMIFS(M$4:M258,$D$4:$D258,$D259,$Z$4:$Z258,$Z259,$C$4:$C258,$C259),0)</f>
        <v>0</v>
      </c>
      <c r="AI259" s="43">
        <f>IF(OR($C259="",$I259=""),0,IF(COUNTIFS($C$5:$C259,$C259,$I$5:$I259,$I259)=1,1,0))</f>
        <v>0</v>
      </c>
      <c r="AJ259" s="43" t="str">
        <f>IF($AI259=1,SUMIFS($AI$4:$AI258,$C$4:$C258,$C259)+1,"")</f>
        <v/>
      </c>
      <c r="AK259" s="43">
        <f>IF(OR($C259="",$K259=""),0,IF(COUNTIFS($C$5:$C259,$C259,$K$5:$K259,$K259)=1,1,0))</f>
        <v>0</v>
      </c>
      <c r="AL259" s="43" t="str">
        <f>IF($AK259=1,SUMIFS($AK$4:$AK258,$C$4:$C258,$C259)+1,"")</f>
        <v/>
      </c>
      <c r="AM259" s="43">
        <f>IF(OR($C259="",$G259=""),0,IF(COUNTIFS($C$5:$C259,$C259,$G$5:$G259,$G259)=1,1,0))</f>
        <v>0</v>
      </c>
      <c r="AN259" s="43" t="str">
        <f>IF($AM259=1,SUMIFS($AM$4:$AM258,$C$4:$C258,$C259)+1,"")</f>
        <v/>
      </c>
    </row>
    <row r="260">
      <c r="A260" s="44" t="str">
        <f>IF(OR($B260="",$D260=""),"","TX"&amp;TEXT(ROW()-4,"0000"))</f>
        <v/>
      </c>
      <c r="B260" s="42" t="n"/>
      <c r="C260" s="47" t="str">
        <f>IF($B260="","",YEAR($B260)*100+MONTH($B260))</f>
        <v/>
      </c>
      <c r="D260" s="37" t="n"/>
      <c r="E260" s="45" t="str">
        <f>IF($D260="","",IFERROR(INDEX(CARDS!$B$5:$B$34,MATCH($D260,CARDS!$A$5:$A$34,0)),"⚠ Card ID?"))</f>
        <v/>
      </c>
      <c r="F260" s="45" t="str">
        <f>IF($D260="","",IFERROR(INDEX(CARDS!$C$5:$C$34,MATCH($D260,CARDS!$A$5:$A$34,0)),"⚠ Card ID?"))</f>
        <v/>
      </c>
      <c r="G260" s="37" t="n"/>
      <c r="H260" s="37" t="n"/>
      <c r="I260" s="41" t="n"/>
      <c r="J260" s="45" t="str">
        <f>IF($I260="","",IFERROR(INDEX(MCC_MASTER!$B$5:$B$504,MATCH($I260,MCC_MASTER!$A$5:$A$504,0)),"⚠ MCC chưa có"))</f>
        <v/>
      </c>
      <c r="K260" s="45" t="str">
        <f>IF($I260="","",IFERROR(IF(INDEX(MCC_MASTER!$C$5:$C$504,MATCH($I260,MCC_MASTER!$A$5:$A$504,0))="","Chưa phân loại",INDEX(MCC_MASTER!$C$5:$C$504,MATCH($I260,MCC_MASTER!$A$5:$A$504,0))),"Chưa phân loại"))</f>
        <v/>
      </c>
      <c r="L260" s="40" t="n"/>
      <c r="M260" s="48" t="str">
        <f>IF(OR($B260="",$D260=""),"",IF($AC260=0,0,IF(ISNUMBER(INDEX(CASHBACK_RULES!$L$5:$L$304,$AC260)),MAX(0,MIN($L260,INDEX(CASHBACK_RULES!$L$5:$L$304,$AC260)-$AH260)),MAX(0,$L260))))</f>
        <v/>
      </c>
      <c r="N260" s="49" t="str">
        <f>IF(OR($B260="",$D260=""),"",IF($AC260&gt;0,INDEX(CASHBACK_RULES!$I$5:$I$304,$AC260),0))</f>
        <v/>
      </c>
      <c r="O260" s="48" t="str">
        <f>IF(OR($B260="",$D260=""),"",ROUND($M260*$N260,0))</f>
        <v/>
      </c>
      <c r="P260" s="48" t="str">
        <f>IF($AC260&gt;0,IF(ISNUMBER(INDEX(CASHBACK_RULES!$J$5:$J$304,$AC260)),INDEX(CASHBACK_RULES!$J$5:$J$304,$AC260),"∞"),"")</f>
        <v/>
      </c>
      <c r="Q260" s="48" t="str">
        <f>IF(OR($B260="",$D260=""),"",IF($AC260=0,0,MAX(0,MIN($O260,IF(ISNUMBER($P260),$P260-$AF260,1E+15),IF(ISNUMBER($AA260),$AA260-$AG260,1E+15)))))</f>
        <v/>
      </c>
      <c r="R260" s="48" t="str">
        <f>IF(OR($B260="",$D260=""),"",IF($AC260=0,"",IF(AND(NOT(ISNUMBER($P260)),NOT(ISNUMBER($AA260))),"∞",MAX(0,MIN(IF(ISNUMBER($P260),$P260-$AF260-$Q260,1E+15),IF(ISNUMBER($AA260),$AA260-$AG260-$Q260,1E+15))))))</f>
        <v/>
      </c>
      <c r="S260" s="47" t="str">
        <f>IF($AD260="","",YEAR($AD260)*100+MONTH($AD260))</f>
        <v/>
      </c>
      <c r="T260" s="50" t="str">
        <f>IF($AD260="","",IFERROR(IF(INDEX(CARDS!$I$5:$I$34,MATCH($D260,CARDS!$A$5:$A$34,0))="","",IF(INDEX(CARDS!$I$5:$I$34,MATCH($D260,CARDS!$A$5:$A$34,0))&gt;INDEX(CARDS!$H$5:$H$34,MATCH($D260,CARDS!$A$5:$A$34,0)),DATE(YEAR($AD260),MONTH($AD260),MIN(INDEX(CARDS!$I$5:$I$34,MATCH($D260,CARDS!$A$5:$A$34,0)),DAY(EOMONTH($AD260,0)))),DATE(YEAR($AD260),MONTH($AD260)+1,MIN(INDEX(CARDS!$I$5:$I$34,MATCH($D260,CARDS!$A$5:$A$34,0)),DAY(EOMONTH($AD260,1)))))),""))</f>
        <v/>
      </c>
      <c r="U260" s="38" t="n"/>
      <c r="V260" s="37" t="n"/>
      <c r="W260" s="38" t="n"/>
      <c r="X260" s="38" t="n"/>
      <c r="Y260" s="44" t="str">
        <f>IF($AC260&gt;0,INDEX(CASHBACK_RULES!$A$5:$A$304,$AC260),"")</f>
        <v/>
      </c>
      <c r="Z260" s="45" t="str">
        <f>IF($AC260&gt;0,INDEX(CASHBACK_RULES!$E$5:$E$304,$AC260)&amp;"","")</f>
        <v/>
      </c>
      <c r="AA260" s="48" t="str">
        <f>IF($AC260&gt;0,IF(ISNUMBER(INDEX(CASHBACK_RULES!$K$5:$K$304,$AC260)),INDEX(CASHBACK_RULES!$K$5:$K$304,$AC260),"∞"),"")</f>
        <v/>
      </c>
      <c r="AB260" s="44" t="str">
        <f>IF(OR($B260="",$D260=""),"",IF($U260="Cancelled","Đã hủy",IF($AC260=0,"Không được hoàn",IF($Q260=0,IF(OR($O260&gt;0,$M260&lt;$L260),"Đã đạt cap","Không được hoàn"),IF(OR($Q260&lt;$O260,$M260&lt;$L260),"Hoàn một phần","Được hoàn")))))</f>
        <v/>
      </c>
      <c r="AC260" s="43">
        <f>IF(OR($B260="",$D260="",$I260="",$L260=""),0,IF($U260="Cancelled",0,IF($W260&lt;&gt;"",IFERROR(IF(INDEX(CASHBACK_RULES!$B$5:$B$304,MATCH($W260,CASHBACK_RULES!$A$5:$A$304,0))=$D260,MATCH($W260,CASHBACK_RULES!$A$5:$A$304,0),0),0),IFERROR(MATCH(1,INDEX((CASHBACK_RULES!$B$5:$B$304=$D260)*(CASHBACK_RULES!$G$5:$G$304=$I260)*(((CASHBACK_RULES!$N$5:$N$304="")+(CASHBACK_RULES!$N$5:$N$304&lt;=$B260))&gt;0)*(((CASHBACK_RULES!$O$5:$O$304="")+(CASHBACK_RULES!$O$5:$O$304&gt;=$B260))&gt;0)*(((CASHBACK_RULES!$M$5:$M$304="")+(CASHBACK_RULES!$M$5:$M$304&lt;=$L260))&gt;0),0),0),0))))</f>
        <v>0</v>
      </c>
      <c r="AD260" s="51" t="str">
        <f>IF(OR($B260="",$D260=""),"",IFERROR(IF(INDEX(CARDS!$H$5:$H$34,MATCH($D260,CARDS!$A$5:$A$34,0))="","",IF(DAY($B260)&lt;=INDEX(CARDS!$H$5:$H$34,MATCH($D260,CARDS!$A$5:$A$34,0)),DATE(YEAR($B260),MONTH($B260),MIN(INDEX(CARDS!$H$5:$H$34,MATCH($D260,CARDS!$A$5:$A$34,0)),DAY(EOMONTH($B260,0)))),DATE(YEAR($B260),MONTH($B260)+1,MIN(INDEX(CARDS!$H$5:$H$34,MATCH($D260,CARDS!$A$5:$A$34,0)),DAY(EOMONTH($B260,1)))))),""))</f>
        <v/>
      </c>
      <c r="AE260" s="52" t="str">
        <f>IF($C260="","",$C260&amp;"|"&amp;COUNTIF($C$5:$C260,$C260))</f>
        <v/>
      </c>
      <c r="AF260" s="53">
        <f>IF($AC260&gt;0,SUMIFS(Q$4:Q259,$D$4:$D259,$D260,$Z$4:$Z259,$Z260,$C$4:$C259,$C260),0)</f>
        <v>0</v>
      </c>
      <c r="AG260" s="53">
        <f>IF($AC260&gt;0,SUMIFS(Q$4:Q259,$D$4:$D259,$D260,$C$4:$C259,$C260),0)</f>
        <v>0</v>
      </c>
      <c r="AH260" s="53">
        <f>IF($AC260&gt;0,SUMIFS(M$4:M259,$D$4:$D259,$D260,$Z$4:$Z259,$Z260,$C$4:$C259,$C260),0)</f>
        <v>0</v>
      </c>
      <c r="AI260" s="43">
        <f>IF(OR($C260="",$I260=""),0,IF(COUNTIFS($C$5:$C260,$C260,$I$5:$I260,$I260)=1,1,0))</f>
        <v>0</v>
      </c>
      <c r="AJ260" s="43" t="str">
        <f>IF($AI260=1,SUMIFS($AI$4:$AI259,$C$4:$C259,$C260)+1,"")</f>
        <v/>
      </c>
      <c r="AK260" s="43">
        <f>IF(OR($C260="",$K260=""),0,IF(COUNTIFS($C$5:$C260,$C260,$K$5:$K260,$K260)=1,1,0))</f>
        <v>0</v>
      </c>
      <c r="AL260" s="43" t="str">
        <f>IF($AK260=1,SUMIFS($AK$4:$AK259,$C$4:$C259,$C260)+1,"")</f>
        <v/>
      </c>
      <c r="AM260" s="43">
        <f>IF(OR($C260="",$G260=""),0,IF(COUNTIFS($C$5:$C260,$C260,$G$5:$G260,$G260)=1,1,0))</f>
        <v>0</v>
      </c>
      <c r="AN260" s="43" t="str">
        <f>IF($AM260=1,SUMIFS($AM$4:$AM259,$C$4:$C259,$C260)+1,"")</f>
        <v/>
      </c>
    </row>
    <row r="261">
      <c r="A261" s="44" t="str">
        <f>IF(OR($B261="",$D261=""),"","TX"&amp;TEXT(ROW()-4,"0000"))</f>
        <v/>
      </c>
      <c r="B261" s="42" t="n"/>
      <c r="C261" s="47" t="str">
        <f>IF($B261="","",YEAR($B261)*100+MONTH($B261))</f>
        <v/>
      </c>
      <c r="D261" s="37" t="n"/>
      <c r="E261" s="45" t="str">
        <f>IF($D261="","",IFERROR(INDEX(CARDS!$B$5:$B$34,MATCH($D261,CARDS!$A$5:$A$34,0)),"⚠ Card ID?"))</f>
        <v/>
      </c>
      <c r="F261" s="45" t="str">
        <f>IF($D261="","",IFERROR(INDEX(CARDS!$C$5:$C$34,MATCH($D261,CARDS!$A$5:$A$34,0)),"⚠ Card ID?"))</f>
        <v/>
      </c>
      <c r="G261" s="37" t="n"/>
      <c r="H261" s="37" t="n"/>
      <c r="I261" s="41" t="n"/>
      <c r="J261" s="45" t="str">
        <f>IF($I261="","",IFERROR(INDEX(MCC_MASTER!$B$5:$B$504,MATCH($I261,MCC_MASTER!$A$5:$A$504,0)),"⚠ MCC chưa có"))</f>
        <v/>
      </c>
      <c r="K261" s="45" t="str">
        <f>IF($I261="","",IFERROR(IF(INDEX(MCC_MASTER!$C$5:$C$504,MATCH($I261,MCC_MASTER!$A$5:$A$504,0))="","Chưa phân loại",INDEX(MCC_MASTER!$C$5:$C$504,MATCH($I261,MCC_MASTER!$A$5:$A$504,0))),"Chưa phân loại"))</f>
        <v/>
      </c>
      <c r="L261" s="40" t="n"/>
      <c r="M261" s="48" t="str">
        <f>IF(OR($B261="",$D261=""),"",IF($AC261=0,0,IF(ISNUMBER(INDEX(CASHBACK_RULES!$L$5:$L$304,$AC261)),MAX(0,MIN($L261,INDEX(CASHBACK_RULES!$L$5:$L$304,$AC261)-$AH261)),MAX(0,$L261))))</f>
        <v/>
      </c>
      <c r="N261" s="49" t="str">
        <f>IF(OR($B261="",$D261=""),"",IF($AC261&gt;0,INDEX(CASHBACK_RULES!$I$5:$I$304,$AC261),0))</f>
        <v/>
      </c>
      <c r="O261" s="48" t="str">
        <f>IF(OR($B261="",$D261=""),"",ROUND($M261*$N261,0))</f>
        <v/>
      </c>
      <c r="P261" s="48" t="str">
        <f>IF($AC261&gt;0,IF(ISNUMBER(INDEX(CASHBACK_RULES!$J$5:$J$304,$AC261)),INDEX(CASHBACK_RULES!$J$5:$J$304,$AC261),"∞"),"")</f>
        <v/>
      </c>
      <c r="Q261" s="48" t="str">
        <f>IF(OR($B261="",$D261=""),"",IF($AC261=0,0,MAX(0,MIN($O261,IF(ISNUMBER($P261),$P261-$AF261,1E+15),IF(ISNUMBER($AA261),$AA261-$AG261,1E+15)))))</f>
        <v/>
      </c>
      <c r="R261" s="48" t="str">
        <f>IF(OR($B261="",$D261=""),"",IF($AC261=0,"",IF(AND(NOT(ISNUMBER($P261)),NOT(ISNUMBER($AA261))),"∞",MAX(0,MIN(IF(ISNUMBER($P261),$P261-$AF261-$Q261,1E+15),IF(ISNUMBER($AA261),$AA261-$AG261-$Q261,1E+15))))))</f>
        <v/>
      </c>
      <c r="S261" s="47" t="str">
        <f>IF($AD261="","",YEAR($AD261)*100+MONTH($AD261))</f>
        <v/>
      </c>
      <c r="T261" s="50" t="str">
        <f>IF($AD261="","",IFERROR(IF(INDEX(CARDS!$I$5:$I$34,MATCH($D261,CARDS!$A$5:$A$34,0))="","",IF(INDEX(CARDS!$I$5:$I$34,MATCH($D261,CARDS!$A$5:$A$34,0))&gt;INDEX(CARDS!$H$5:$H$34,MATCH($D261,CARDS!$A$5:$A$34,0)),DATE(YEAR($AD261),MONTH($AD261),MIN(INDEX(CARDS!$I$5:$I$34,MATCH($D261,CARDS!$A$5:$A$34,0)),DAY(EOMONTH($AD261,0)))),DATE(YEAR($AD261),MONTH($AD261)+1,MIN(INDEX(CARDS!$I$5:$I$34,MATCH($D261,CARDS!$A$5:$A$34,0)),DAY(EOMONTH($AD261,1)))))),""))</f>
        <v/>
      </c>
      <c r="U261" s="38" t="n"/>
      <c r="V261" s="37" t="n"/>
      <c r="W261" s="38" t="n"/>
      <c r="X261" s="38" t="n"/>
      <c r="Y261" s="44" t="str">
        <f>IF($AC261&gt;0,INDEX(CASHBACK_RULES!$A$5:$A$304,$AC261),"")</f>
        <v/>
      </c>
      <c r="Z261" s="45" t="str">
        <f>IF($AC261&gt;0,INDEX(CASHBACK_RULES!$E$5:$E$304,$AC261)&amp;"","")</f>
        <v/>
      </c>
      <c r="AA261" s="48" t="str">
        <f>IF($AC261&gt;0,IF(ISNUMBER(INDEX(CASHBACK_RULES!$K$5:$K$304,$AC261)),INDEX(CASHBACK_RULES!$K$5:$K$304,$AC261),"∞"),"")</f>
        <v/>
      </c>
      <c r="AB261" s="44" t="str">
        <f>IF(OR($B261="",$D261=""),"",IF($U261="Cancelled","Đã hủy",IF($AC261=0,"Không được hoàn",IF($Q261=0,IF(OR($O261&gt;0,$M261&lt;$L261),"Đã đạt cap","Không được hoàn"),IF(OR($Q261&lt;$O261,$M261&lt;$L261),"Hoàn một phần","Được hoàn")))))</f>
        <v/>
      </c>
      <c r="AC261" s="43">
        <f>IF(OR($B261="",$D261="",$I261="",$L261=""),0,IF($U261="Cancelled",0,IF($W261&lt;&gt;"",IFERROR(IF(INDEX(CASHBACK_RULES!$B$5:$B$304,MATCH($W261,CASHBACK_RULES!$A$5:$A$304,0))=$D261,MATCH($W261,CASHBACK_RULES!$A$5:$A$304,0),0),0),IFERROR(MATCH(1,INDEX((CASHBACK_RULES!$B$5:$B$304=$D261)*(CASHBACK_RULES!$G$5:$G$304=$I261)*(((CASHBACK_RULES!$N$5:$N$304="")+(CASHBACK_RULES!$N$5:$N$304&lt;=$B261))&gt;0)*(((CASHBACK_RULES!$O$5:$O$304="")+(CASHBACK_RULES!$O$5:$O$304&gt;=$B261))&gt;0)*(((CASHBACK_RULES!$M$5:$M$304="")+(CASHBACK_RULES!$M$5:$M$304&lt;=$L261))&gt;0),0),0),0))))</f>
        <v>0</v>
      </c>
      <c r="AD261" s="51" t="str">
        <f>IF(OR($B261="",$D261=""),"",IFERROR(IF(INDEX(CARDS!$H$5:$H$34,MATCH($D261,CARDS!$A$5:$A$34,0))="","",IF(DAY($B261)&lt;=INDEX(CARDS!$H$5:$H$34,MATCH($D261,CARDS!$A$5:$A$34,0)),DATE(YEAR($B261),MONTH($B261),MIN(INDEX(CARDS!$H$5:$H$34,MATCH($D261,CARDS!$A$5:$A$34,0)),DAY(EOMONTH($B261,0)))),DATE(YEAR($B261),MONTH($B261)+1,MIN(INDEX(CARDS!$H$5:$H$34,MATCH($D261,CARDS!$A$5:$A$34,0)),DAY(EOMONTH($B261,1)))))),""))</f>
        <v/>
      </c>
      <c r="AE261" s="52" t="str">
        <f>IF($C261="","",$C261&amp;"|"&amp;COUNTIF($C$5:$C261,$C261))</f>
        <v/>
      </c>
      <c r="AF261" s="53">
        <f>IF($AC261&gt;0,SUMIFS(Q$4:Q260,$D$4:$D260,$D261,$Z$4:$Z260,$Z261,$C$4:$C260,$C261),0)</f>
        <v>0</v>
      </c>
      <c r="AG261" s="53">
        <f>IF($AC261&gt;0,SUMIFS(Q$4:Q260,$D$4:$D260,$D261,$C$4:$C260,$C261),0)</f>
        <v>0</v>
      </c>
      <c r="AH261" s="53">
        <f>IF($AC261&gt;0,SUMIFS(M$4:M260,$D$4:$D260,$D261,$Z$4:$Z260,$Z261,$C$4:$C260,$C261),0)</f>
        <v>0</v>
      </c>
      <c r="AI261" s="43">
        <f>IF(OR($C261="",$I261=""),0,IF(COUNTIFS($C$5:$C261,$C261,$I$5:$I261,$I261)=1,1,0))</f>
        <v>0</v>
      </c>
      <c r="AJ261" s="43" t="str">
        <f>IF($AI261=1,SUMIFS($AI$4:$AI260,$C$4:$C260,$C261)+1,"")</f>
        <v/>
      </c>
      <c r="AK261" s="43">
        <f>IF(OR($C261="",$K261=""),0,IF(COUNTIFS($C$5:$C261,$C261,$K$5:$K261,$K261)=1,1,0))</f>
        <v>0</v>
      </c>
      <c r="AL261" s="43" t="str">
        <f>IF($AK261=1,SUMIFS($AK$4:$AK260,$C$4:$C260,$C261)+1,"")</f>
        <v/>
      </c>
      <c r="AM261" s="43">
        <f>IF(OR($C261="",$G261=""),0,IF(COUNTIFS($C$5:$C261,$C261,$G$5:$G261,$G261)=1,1,0))</f>
        <v>0</v>
      </c>
      <c r="AN261" s="43" t="str">
        <f>IF($AM261=1,SUMIFS($AM$4:$AM260,$C$4:$C260,$C261)+1,"")</f>
        <v/>
      </c>
    </row>
    <row r="262">
      <c r="A262" s="44" t="str">
        <f>IF(OR($B262="",$D262=""),"","TX"&amp;TEXT(ROW()-4,"0000"))</f>
        <v/>
      </c>
      <c r="B262" s="42" t="n"/>
      <c r="C262" s="47" t="str">
        <f>IF($B262="","",YEAR($B262)*100+MONTH($B262))</f>
        <v/>
      </c>
      <c r="D262" s="37" t="n"/>
      <c r="E262" s="45" t="str">
        <f>IF($D262="","",IFERROR(INDEX(CARDS!$B$5:$B$34,MATCH($D262,CARDS!$A$5:$A$34,0)),"⚠ Card ID?"))</f>
        <v/>
      </c>
      <c r="F262" s="45" t="str">
        <f>IF($D262="","",IFERROR(INDEX(CARDS!$C$5:$C$34,MATCH($D262,CARDS!$A$5:$A$34,0)),"⚠ Card ID?"))</f>
        <v/>
      </c>
      <c r="G262" s="37" t="n"/>
      <c r="H262" s="37" t="n"/>
      <c r="I262" s="41" t="n"/>
      <c r="J262" s="45" t="str">
        <f>IF($I262="","",IFERROR(INDEX(MCC_MASTER!$B$5:$B$504,MATCH($I262,MCC_MASTER!$A$5:$A$504,0)),"⚠ MCC chưa có"))</f>
        <v/>
      </c>
      <c r="K262" s="45" t="str">
        <f>IF($I262="","",IFERROR(IF(INDEX(MCC_MASTER!$C$5:$C$504,MATCH($I262,MCC_MASTER!$A$5:$A$504,0))="","Chưa phân loại",INDEX(MCC_MASTER!$C$5:$C$504,MATCH($I262,MCC_MASTER!$A$5:$A$504,0))),"Chưa phân loại"))</f>
        <v/>
      </c>
      <c r="L262" s="40" t="n"/>
      <c r="M262" s="48" t="str">
        <f>IF(OR($B262="",$D262=""),"",IF($AC262=0,0,IF(ISNUMBER(INDEX(CASHBACK_RULES!$L$5:$L$304,$AC262)),MAX(0,MIN($L262,INDEX(CASHBACK_RULES!$L$5:$L$304,$AC262)-$AH262)),MAX(0,$L262))))</f>
        <v/>
      </c>
      <c r="N262" s="49" t="str">
        <f>IF(OR($B262="",$D262=""),"",IF($AC262&gt;0,INDEX(CASHBACK_RULES!$I$5:$I$304,$AC262),0))</f>
        <v/>
      </c>
      <c r="O262" s="48" t="str">
        <f>IF(OR($B262="",$D262=""),"",ROUND($M262*$N262,0))</f>
        <v/>
      </c>
      <c r="P262" s="48" t="str">
        <f>IF($AC262&gt;0,IF(ISNUMBER(INDEX(CASHBACK_RULES!$J$5:$J$304,$AC262)),INDEX(CASHBACK_RULES!$J$5:$J$304,$AC262),"∞"),"")</f>
        <v/>
      </c>
      <c r="Q262" s="48" t="str">
        <f>IF(OR($B262="",$D262=""),"",IF($AC262=0,0,MAX(0,MIN($O262,IF(ISNUMBER($P262),$P262-$AF262,1E+15),IF(ISNUMBER($AA262),$AA262-$AG262,1E+15)))))</f>
        <v/>
      </c>
      <c r="R262" s="48" t="str">
        <f>IF(OR($B262="",$D262=""),"",IF($AC262=0,"",IF(AND(NOT(ISNUMBER($P262)),NOT(ISNUMBER($AA262))),"∞",MAX(0,MIN(IF(ISNUMBER($P262),$P262-$AF262-$Q262,1E+15),IF(ISNUMBER($AA262),$AA262-$AG262-$Q262,1E+15))))))</f>
        <v/>
      </c>
      <c r="S262" s="47" t="str">
        <f>IF($AD262="","",YEAR($AD262)*100+MONTH($AD262))</f>
        <v/>
      </c>
      <c r="T262" s="50" t="str">
        <f>IF($AD262="","",IFERROR(IF(INDEX(CARDS!$I$5:$I$34,MATCH($D262,CARDS!$A$5:$A$34,0))="","",IF(INDEX(CARDS!$I$5:$I$34,MATCH($D262,CARDS!$A$5:$A$34,0))&gt;INDEX(CARDS!$H$5:$H$34,MATCH($D262,CARDS!$A$5:$A$34,0)),DATE(YEAR($AD262),MONTH($AD262),MIN(INDEX(CARDS!$I$5:$I$34,MATCH($D262,CARDS!$A$5:$A$34,0)),DAY(EOMONTH($AD262,0)))),DATE(YEAR($AD262),MONTH($AD262)+1,MIN(INDEX(CARDS!$I$5:$I$34,MATCH($D262,CARDS!$A$5:$A$34,0)),DAY(EOMONTH($AD262,1)))))),""))</f>
        <v/>
      </c>
      <c r="U262" s="38" t="n"/>
      <c r="V262" s="37" t="n"/>
      <c r="W262" s="38" t="n"/>
      <c r="X262" s="38" t="n"/>
      <c r="Y262" s="44" t="str">
        <f>IF($AC262&gt;0,INDEX(CASHBACK_RULES!$A$5:$A$304,$AC262),"")</f>
        <v/>
      </c>
      <c r="Z262" s="45" t="str">
        <f>IF($AC262&gt;0,INDEX(CASHBACK_RULES!$E$5:$E$304,$AC262)&amp;"","")</f>
        <v/>
      </c>
      <c r="AA262" s="48" t="str">
        <f>IF($AC262&gt;0,IF(ISNUMBER(INDEX(CASHBACK_RULES!$K$5:$K$304,$AC262)),INDEX(CASHBACK_RULES!$K$5:$K$304,$AC262),"∞"),"")</f>
        <v/>
      </c>
      <c r="AB262" s="44" t="str">
        <f>IF(OR($B262="",$D262=""),"",IF($U262="Cancelled","Đã hủy",IF($AC262=0,"Không được hoàn",IF($Q262=0,IF(OR($O262&gt;0,$M262&lt;$L262),"Đã đạt cap","Không được hoàn"),IF(OR($Q262&lt;$O262,$M262&lt;$L262),"Hoàn một phần","Được hoàn")))))</f>
        <v/>
      </c>
      <c r="AC262" s="43">
        <f>IF(OR($B262="",$D262="",$I262="",$L262=""),0,IF($U262="Cancelled",0,IF($W262&lt;&gt;"",IFERROR(IF(INDEX(CASHBACK_RULES!$B$5:$B$304,MATCH($W262,CASHBACK_RULES!$A$5:$A$304,0))=$D262,MATCH($W262,CASHBACK_RULES!$A$5:$A$304,0),0),0),IFERROR(MATCH(1,INDEX((CASHBACK_RULES!$B$5:$B$304=$D262)*(CASHBACK_RULES!$G$5:$G$304=$I262)*(((CASHBACK_RULES!$N$5:$N$304="")+(CASHBACK_RULES!$N$5:$N$304&lt;=$B262))&gt;0)*(((CASHBACK_RULES!$O$5:$O$304="")+(CASHBACK_RULES!$O$5:$O$304&gt;=$B262))&gt;0)*(((CASHBACK_RULES!$M$5:$M$304="")+(CASHBACK_RULES!$M$5:$M$304&lt;=$L262))&gt;0),0),0),0))))</f>
        <v>0</v>
      </c>
      <c r="AD262" s="51" t="str">
        <f>IF(OR($B262="",$D262=""),"",IFERROR(IF(INDEX(CARDS!$H$5:$H$34,MATCH($D262,CARDS!$A$5:$A$34,0))="","",IF(DAY($B262)&lt;=INDEX(CARDS!$H$5:$H$34,MATCH($D262,CARDS!$A$5:$A$34,0)),DATE(YEAR($B262),MONTH($B262),MIN(INDEX(CARDS!$H$5:$H$34,MATCH($D262,CARDS!$A$5:$A$34,0)),DAY(EOMONTH($B262,0)))),DATE(YEAR($B262),MONTH($B262)+1,MIN(INDEX(CARDS!$H$5:$H$34,MATCH($D262,CARDS!$A$5:$A$34,0)),DAY(EOMONTH($B262,1)))))),""))</f>
        <v/>
      </c>
      <c r="AE262" s="52" t="str">
        <f>IF($C262="","",$C262&amp;"|"&amp;COUNTIF($C$5:$C262,$C262))</f>
        <v/>
      </c>
      <c r="AF262" s="53">
        <f>IF($AC262&gt;0,SUMIFS(Q$4:Q261,$D$4:$D261,$D262,$Z$4:$Z261,$Z262,$C$4:$C261,$C262),0)</f>
        <v>0</v>
      </c>
      <c r="AG262" s="53">
        <f>IF($AC262&gt;0,SUMIFS(Q$4:Q261,$D$4:$D261,$D262,$C$4:$C261,$C262),0)</f>
        <v>0</v>
      </c>
      <c r="AH262" s="53">
        <f>IF($AC262&gt;0,SUMIFS(M$4:M261,$D$4:$D261,$D262,$Z$4:$Z261,$Z262,$C$4:$C261,$C262),0)</f>
        <v>0</v>
      </c>
      <c r="AI262" s="43">
        <f>IF(OR($C262="",$I262=""),0,IF(COUNTIFS($C$5:$C262,$C262,$I$5:$I262,$I262)=1,1,0))</f>
        <v>0</v>
      </c>
      <c r="AJ262" s="43" t="str">
        <f>IF($AI262=1,SUMIFS($AI$4:$AI261,$C$4:$C261,$C262)+1,"")</f>
        <v/>
      </c>
      <c r="AK262" s="43">
        <f>IF(OR($C262="",$K262=""),0,IF(COUNTIFS($C$5:$C262,$C262,$K$5:$K262,$K262)=1,1,0))</f>
        <v>0</v>
      </c>
      <c r="AL262" s="43" t="str">
        <f>IF($AK262=1,SUMIFS($AK$4:$AK261,$C$4:$C261,$C262)+1,"")</f>
        <v/>
      </c>
      <c r="AM262" s="43">
        <f>IF(OR($C262="",$G262=""),0,IF(COUNTIFS($C$5:$C262,$C262,$G$5:$G262,$G262)=1,1,0))</f>
        <v>0</v>
      </c>
      <c r="AN262" s="43" t="str">
        <f>IF($AM262=1,SUMIFS($AM$4:$AM261,$C$4:$C261,$C262)+1,"")</f>
        <v/>
      </c>
    </row>
    <row r="263">
      <c r="A263" s="44" t="str">
        <f>IF(OR($B263="",$D263=""),"","TX"&amp;TEXT(ROW()-4,"0000"))</f>
        <v/>
      </c>
      <c r="B263" s="42" t="n"/>
      <c r="C263" s="47" t="str">
        <f>IF($B263="","",YEAR($B263)*100+MONTH($B263))</f>
        <v/>
      </c>
      <c r="D263" s="37" t="n"/>
      <c r="E263" s="45" t="str">
        <f>IF($D263="","",IFERROR(INDEX(CARDS!$B$5:$B$34,MATCH($D263,CARDS!$A$5:$A$34,0)),"⚠ Card ID?"))</f>
        <v/>
      </c>
      <c r="F263" s="45" t="str">
        <f>IF($D263="","",IFERROR(INDEX(CARDS!$C$5:$C$34,MATCH($D263,CARDS!$A$5:$A$34,0)),"⚠ Card ID?"))</f>
        <v/>
      </c>
      <c r="G263" s="37" t="n"/>
      <c r="H263" s="37" t="n"/>
      <c r="I263" s="41" t="n"/>
      <c r="J263" s="45" t="str">
        <f>IF($I263="","",IFERROR(INDEX(MCC_MASTER!$B$5:$B$504,MATCH($I263,MCC_MASTER!$A$5:$A$504,0)),"⚠ MCC chưa có"))</f>
        <v/>
      </c>
      <c r="K263" s="45" t="str">
        <f>IF($I263="","",IFERROR(IF(INDEX(MCC_MASTER!$C$5:$C$504,MATCH($I263,MCC_MASTER!$A$5:$A$504,0))="","Chưa phân loại",INDEX(MCC_MASTER!$C$5:$C$504,MATCH($I263,MCC_MASTER!$A$5:$A$504,0))),"Chưa phân loại"))</f>
        <v/>
      </c>
      <c r="L263" s="40" t="n"/>
      <c r="M263" s="48" t="str">
        <f>IF(OR($B263="",$D263=""),"",IF($AC263=0,0,IF(ISNUMBER(INDEX(CASHBACK_RULES!$L$5:$L$304,$AC263)),MAX(0,MIN($L263,INDEX(CASHBACK_RULES!$L$5:$L$304,$AC263)-$AH263)),MAX(0,$L263))))</f>
        <v/>
      </c>
      <c r="N263" s="49" t="str">
        <f>IF(OR($B263="",$D263=""),"",IF($AC263&gt;0,INDEX(CASHBACK_RULES!$I$5:$I$304,$AC263),0))</f>
        <v/>
      </c>
      <c r="O263" s="48" t="str">
        <f>IF(OR($B263="",$D263=""),"",ROUND($M263*$N263,0))</f>
        <v/>
      </c>
      <c r="P263" s="48" t="str">
        <f>IF($AC263&gt;0,IF(ISNUMBER(INDEX(CASHBACK_RULES!$J$5:$J$304,$AC263)),INDEX(CASHBACK_RULES!$J$5:$J$304,$AC263),"∞"),"")</f>
        <v/>
      </c>
      <c r="Q263" s="48" t="str">
        <f>IF(OR($B263="",$D263=""),"",IF($AC263=0,0,MAX(0,MIN($O263,IF(ISNUMBER($P263),$P263-$AF263,1E+15),IF(ISNUMBER($AA263),$AA263-$AG263,1E+15)))))</f>
        <v/>
      </c>
      <c r="R263" s="48" t="str">
        <f>IF(OR($B263="",$D263=""),"",IF($AC263=0,"",IF(AND(NOT(ISNUMBER($P263)),NOT(ISNUMBER($AA263))),"∞",MAX(0,MIN(IF(ISNUMBER($P263),$P263-$AF263-$Q263,1E+15),IF(ISNUMBER($AA263),$AA263-$AG263-$Q263,1E+15))))))</f>
        <v/>
      </c>
      <c r="S263" s="47" t="str">
        <f>IF($AD263="","",YEAR($AD263)*100+MONTH($AD263))</f>
        <v/>
      </c>
      <c r="T263" s="50" t="str">
        <f>IF($AD263="","",IFERROR(IF(INDEX(CARDS!$I$5:$I$34,MATCH($D263,CARDS!$A$5:$A$34,0))="","",IF(INDEX(CARDS!$I$5:$I$34,MATCH($D263,CARDS!$A$5:$A$34,0))&gt;INDEX(CARDS!$H$5:$H$34,MATCH($D263,CARDS!$A$5:$A$34,0)),DATE(YEAR($AD263),MONTH($AD263),MIN(INDEX(CARDS!$I$5:$I$34,MATCH($D263,CARDS!$A$5:$A$34,0)),DAY(EOMONTH($AD263,0)))),DATE(YEAR($AD263),MONTH($AD263)+1,MIN(INDEX(CARDS!$I$5:$I$34,MATCH($D263,CARDS!$A$5:$A$34,0)),DAY(EOMONTH($AD263,1)))))),""))</f>
        <v/>
      </c>
      <c r="U263" s="38" t="n"/>
      <c r="V263" s="37" t="n"/>
      <c r="W263" s="38" t="n"/>
      <c r="X263" s="38" t="n"/>
      <c r="Y263" s="44" t="str">
        <f>IF($AC263&gt;0,INDEX(CASHBACK_RULES!$A$5:$A$304,$AC263),"")</f>
        <v/>
      </c>
      <c r="Z263" s="45" t="str">
        <f>IF($AC263&gt;0,INDEX(CASHBACK_RULES!$E$5:$E$304,$AC263)&amp;"","")</f>
        <v/>
      </c>
      <c r="AA263" s="48" t="str">
        <f>IF($AC263&gt;0,IF(ISNUMBER(INDEX(CASHBACK_RULES!$K$5:$K$304,$AC263)),INDEX(CASHBACK_RULES!$K$5:$K$304,$AC263),"∞"),"")</f>
        <v/>
      </c>
      <c r="AB263" s="44" t="str">
        <f>IF(OR($B263="",$D263=""),"",IF($U263="Cancelled","Đã hủy",IF($AC263=0,"Không được hoàn",IF($Q263=0,IF(OR($O263&gt;0,$M263&lt;$L263),"Đã đạt cap","Không được hoàn"),IF(OR($Q263&lt;$O263,$M263&lt;$L263),"Hoàn một phần","Được hoàn")))))</f>
        <v/>
      </c>
      <c r="AC263" s="43">
        <f>IF(OR($B263="",$D263="",$I263="",$L263=""),0,IF($U263="Cancelled",0,IF($W263&lt;&gt;"",IFERROR(IF(INDEX(CASHBACK_RULES!$B$5:$B$304,MATCH($W263,CASHBACK_RULES!$A$5:$A$304,0))=$D263,MATCH($W263,CASHBACK_RULES!$A$5:$A$304,0),0),0),IFERROR(MATCH(1,INDEX((CASHBACK_RULES!$B$5:$B$304=$D263)*(CASHBACK_RULES!$G$5:$G$304=$I263)*(((CASHBACK_RULES!$N$5:$N$304="")+(CASHBACK_RULES!$N$5:$N$304&lt;=$B263))&gt;0)*(((CASHBACK_RULES!$O$5:$O$304="")+(CASHBACK_RULES!$O$5:$O$304&gt;=$B263))&gt;0)*(((CASHBACK_RULES!$M$5:$M$304="")+(CASHBACK_RULES!$M$5:$M$304&lt;=$L263))&gt;0),0),0),0))))</f>
        <v>0</v>
      </c>
      <c r="AD263" s="51" t="str">
        <f>IF(OR($B263="",$D263=""),"",IFERROR(IF(INDEX(CARDS!$H$5:$H$34,MATCH($D263,CARDS!$A$5:$A$34,0))="","",IF(DAY($B263)&lt;=INDEX(CARDS!$H$5:$H$34,MATCH($D263,CARDS!$A$5:$A$34,0)),DATE(YEAR($B263),MONTH($B263),MIN(INDEX(CARDS!$H$5:$H$34,MATCH($D263,CARDS!$A$5:$A$34,0)),DAY(EOMONTH($B263,0)))),DATE(YEAR($B263),MONTH($B263)+1,MIN(INDEX(CARDS!$H$5:$H$34,MATCH($D263,CARDS!$A$5:$A$34,0)),DAY(EOMONTH($B263,1)))))),""))</f>
        <v/>
      </c>
      <c r="AE263" s="52" t="str">
        <f>IF($C263="","",$C263&amp;"|"&amp;COUNTIF($C$5:$C263,$C263))</f>
        <v/>
      </c>
      <c r="AF263" s="53">
        <f>IF($AC263&gt;0,SUMIFS(Q$4:Q262,$D$4:$D262,$D263,$Z$4:$Z262,$Z263,$C$4:$C262,$C263),0)</f>
        <v>0</v>
      </c>
      <c r="AG263" s="53">
        <f>IF($AC263&gt;0,SUMIFS(Q$4:Q262,$D$4:$D262,$D263,$C$4:$C262,$C263),0)</f>
        <v>0</v>
      </c>
      <c r="AH263" s="53">
        <f>IF($AC263&gt;0,SUMIFS(M$4:M262,$D$4:$D262,$D263,$Z$4:$Z262,$Z263,$C$4:$C262,$C263),0)</f>
        <v>0</v>
      </c>
      <c r="AI263" s="43">
        <f>IF(OR($C263="",$I263=""),0,IF(COUNTIFS($C$5:$C263,$C263,$I$5:$I263,$I263)=1,1,0))</f>
        <v>0</v>
      </c>
      <c r="AJ263" s="43" t="str">
        <f>IF($AI263=1,SUMIFS($AI$4:$AI262,$C$4:$C262,$C263)+1,"")</f>
        <v/>
      </c>
      <c r="AK263" s="43">
        <f>IF(OR($C263="",$K263=""),0,IF(COUNTIFS($C$5:$C263,$C263,$K$5:$K263,$K263)=1,1,0))</f>
        <v>0</v>
      </c>
      <c r="AL263" s="43" t="str">
        <f>IF($AK263=1,SUMIFS($AK$4:$AK262,$C$4:$C262,$C263)+1,"")</f>
        <v/>
      </c>
      <c r="AM263" s="43">
        <f>IF(OR($C263="",$G263=""),0,IF(COUNTIFS($C$5:$C263,$C263,$G$5:$G263,$G263)=1,1,0))</f>
        <v>0</v>
      </c>
      <c r="AN263" s="43" t="str">
        <f>IF($AM263=1,SUMIFS($AM$4:$AM262,$C$4:$C262,$C263)+1,"")</f>
        <v/>
      </c>
    </row>
    <row r="264">
      <c r="A264" s="44" t="str">
        <f>IF(OR($B264="",$D264=""),"","TX"&amp;TEXT(ROW()-4,"0000"))</f>
        <v/>
      </c>
      <c r="B264" s="42" t="n"/>
      <c r="C264" s="47" t="str">
        <f>IF($B264="","",YEAR($B264)*100+MONTH($B264))</f>
        <v/>
      </c>
      <c r="D264" s="37" t="n"/>
      <c r="E264" s="45" t="str">
        <f>IF($D264="","",IFERROR(INDEX(CARDS!$B$5:$B$34,MATCH($D264,CARDS!$A$5:$A$34,0)),"⚠ Card ID?"))</f>
        <v/>
      </c>
      <c r="F264" s="45" t="str">
        <f>IF($D264="","",IFERROR(INDEX(CARDS!$C$5:$C$34,MATCH($D264,CARDS!$A$5:$A$34,0)),"⚠ Card ID?"))</f>
        <v/>
      </c>
      <c r="G264" s="37" t="n"/>
      <c r="H264" s="37" t="n"/>
      <c r="I264" s="41" t="n"/>
      <c r="J264" s="45" t="str">
        <f>IF($I264="","",IFERROR(INDEX(MCC_MASTER!$B$5:$B$504,MATCH($I264,MCC_MASTER!$A$5:$A$504,0)),"⚠ MCC chưa có"))</f>
        <v/>
      </c>
      <c r="K264" s="45" t="str">
        <f>IF($I264="","",IFERROR(IF(INDEX(MCC_MASTER!$C$5:$C$504,MATCH($I264,MCC_MASTER!$A$5:$A$504,0))="","Chưa phân loại",INDEX(MCC_MASTER!$C$5:$C$504,MATCH($I264,MCC_MASTER!$A$5:$A$504,0))),"Chưa phân loại"))</f>
        <v/>
      </c>
      <c r="L264" s="40" t="n"/>
      <c r="M264" s="48" t="str">
        <f>IF(OR($B264="",$D264=""),"",IF($AC264=0,0,IF(ISNUMBER(INDEX(CASHBACK_RULES!$L$5:$L$304,$AC264)),MAX(0,MIN($L264,INDEX(CASHBACK_RULES!$L$5:$L$304,$AC264)-$AH264)),MAX(0,$L264))))</f>
        <v/>
      </c>
      <c r="N264" s="49" t="str">
        <f>IF(OR($B264="",$D264=""),"",IF($AC264&gt;0,INDEX(CASHBACK_RULES!$I$5:$I$304,$AC264),0))</f>
        <v/>
      </c>
      <c r="O264" s="48" t="str">
        <f>IF(OR($B264="",$D264=""),"",ROUND($M264*$N264,0))</f>
        <v/>
      </c>
      <c r="P264" s="48" t="str">
        <f>IF($AC264&gt;0,IF(ISNUMBER(INDEX(CASHBACK_RULES!$J$5:$J$304,$AC264)),INDEX(CASHBACK_RULES!$J$5:$J$304,$AC264),"∞"),"")</f>
        <v/>
      </c>
      <c r="Q264" s="48" t="str">
        <f>IF(OR($B264="",$D264=""),"",IF($AC264=0,0,MAX(0,MIN($O264,IF(ISNUMBER($P264),$P264-$AF264,1E+15),IF(ISNUMBER($AA264),$AA264-$AG264,1E+15)))))</f>
        <v/>
      </c>
      <c r="R264" s="48" t="str">
        <f>IF(OR($B264="",$D264=""),"",IF($AC264=0,"",IF(AND(NOT(ISNUMBER($P264)),NOT(ISNUMBER($AA264))),"∞",MAX(0,MIN(IF(ISNUMBER($P264),$P264-$AF264-$Q264,1E+15),IF(ISNUMBER($AA264),$AA264-$AG264-$Q264,1E+15))))))</f>
        <v/>
      </c>
      <c r="S264" s="47" t="str">
        <f>IF($AD264="","",YEAR($AD264)*100+MONTH($AD264))</f>
        <v/>
      </c>
      <c r="T264" s="50" t="str">
        <f>IF($AD264="","",IFERROR(IF(INDEX(CARDS!$I$5:$I$34,MATCH($D264,CARDS!$A$5:$A$34,0))="","",IF(INDEX(CARDS!$I$5:$I$34,MATCH($D264,CARDS!$A$5:$A$34,0))&gt;INDEX(CARDS!$H$5:$H$34,MATCH($D264,CARDS!$A$5:$A$34,0)),DATE(YEAR($AD264),MONTH($AD264),MIN(INDEX(CARDS!$I$5:$I$34,MATCH($D264,CARDS!$A$5:$A$34,0)),DAY(EOMONTH($AD264,0)))),DATE(YEAR($AD264),MONTH($AD264)+1,MIN(INDEX(CARDS!$I$5:$I$34,MATCH($D264,CARDS!$A$5:$A$34,0)),DAY(EOMONTH($AD264,1)))))),""))</f>
        <v/>
      </c>
      <c r="U264" s="38" t="n"/>
      <c r="V264" s="37" t="n"/>
      <c r="W264" s="38" t="n"/>
      <c r="X264" s="38" t="n"/>
      <c r="Y264" s="44" t="str">
        <f>IF($AC264&gt;0,INDEX(CASHBACK_RULES!$A$5:$A$304,$AC264),"")</f>
        <v/>
      </c>
      <c r="Z264" s="45" t="str">
        <f>IF($AC264&gt;0,INDEX(CASHBACK_RULES!$E$5:$E$304,$AC264)&amp;"","")</f>
        <v/>
      </c>
      <c r="AA264" s="48" t="str">
        <f>IF($AC264&gt;0,IF(ISNUMBER(INDEX(CASHBACK_RULES!$K$5:$K$304,$AC264)),INDEX(CASHBACK_RULES!$K$5:$K$304,$AC264),"∞"),"")</f>
        <v/>
      </c>
      <c r="AB264" s="44" t="str">
        <f>IF(OR($B264="",$D264=""),"",IF($U264="Cancelled","Đã hủy",IF($AC264=0,"Không được hoàn",IF($Q264=0,IF(OR($O264&gt;0,$M264&lt;$L264),"Đã đạt cap","Không được hoàn"),IF(OR($Q264&lt;$O264,$M264&lt;$L264),"Hoàn một phần","Được hoàn")))))</f>
        <v/>
      </c>
      <c r="AC264" s="43">
        <f>IF(OR($B264="",$D264="",$I264="",$L264=""),0,IF($U264="Cancelled",0,IF($W264&lt;&gt;"",IFERROR(IF(INDEX(CASHBACK_RULES!$B$5:$B$304,MATCH($W264,CASHBACK_RULES!$A$5:$A$304,0))=$D264,MATCH($W264,CASHBACK_RULES!$A$5:$A$304,0),0),0),IFERROR(MATCH(1,INDEX((CASHBACK_RULES!$B$5:$B$304=$D264)*(CASHBACK_RULES!$G$5:$G$304=$I264)*(((CASHBACK_RULES!$N$5:$N$304="")+(CASHBACK_RULES!$N$5:$N$304&lt;=$B264))&gt;0)*(((CASHBACK_RULES!$O$5:$O$304="")+(CASHBACK_RULES!$O$5:$O$304&gt;=$B264))&gt;0)*(((CASHBACK_RULES!$M$5:$M$304="")+(CASHBACK_RULES!$M$5:$M$304&lt;=$L264))&gt;0),0),0),0))))</f>
        <v>0</v>
      </c>
      <c r="AD264" s="51" t="str">
        <f>IF(OR($B264="",$D264=""),"",IFERROR(IF(INDEX(CARDS!$H$5:$H$34,MATCH($D264,CARDS!$A$5:$A$34,0))="","",IF(DAY($B264)&lt;=INDEX(CARDS!$H$5:$H$34,MATCH($D264,CARDS!$A$5:$A$34,0)),DATE(YEAR($B264),MONTH($B264),MIN(INDEX(CARDS!$H$5:$H$34,MATCH($D264,CARDS!$A$5:$A$34,0)),DAY(EOMONTH($B264,0)))),DATE(YEAR($B264),MONTH($B264)+1,MIN(INDEX(CARDS!$H$5:$H$34,MATCH($D264,CARDS!$A$5:$A$34,0)),DAY(EOMONTH($B264,1)))))),""))</f>
        <v/>
      </c>
      <c r="AE264" s="52" t="str">
        <f>IF($C264="","",$C264&amp;"|"&amp;COUNTIF($C$5:$C264,$C264))</f>
        <v/>
      </c>
      <c r="AF264" s="53">
        <f>IF($AC264&gt;0,SUMIFS(Q$4:Q263,$D$4:$D263,$D264,$Z$4:$Z263,$Z264,$C$4:$C263,$C264),0)</f>
        <v>0</v>
      </c>
      <c r="AG264" s="53">
        <f>IF($AC264&gt;0,SUMIFS(Q$4:Q263,$D$4:$D263,$D264,$C$4:$C263,$C264),0)</f>
        <v>0</v>
      </c>
      <c r="AH264" s="53">
        <f>IF($AC264&gt;0,SUMIFS(M$4:M263,$D$4:$D263,$D264,$Z$4:$Z263,$Z264,$C$4:$C263,$C264),0)</f>
        <v>0</v>
      </c>
      <c r="AI264" s="43">
        <f>IF(OR($C264="",$I264=""),0,IF(COUNTIFS($C$5:$C264,$C264,$I$5:$I264,$I264)=1,1,0))</f>
        <v>0</v>
      </c>
      <c r="AJ264" s="43" t="str">
        <f>IF($AI264=1,SUMIFS($AI$4:$AI263,$C$4:$C263,$C264)+1,"")</f>
        <v/>
      </c>
      <c r="AK264" s="43">
        <f>IF(OR($C264="",$K264=""),0,IF(COUNTIFS($C$5:$C264,$C264,$K$5:$K264,$K264)=1,1,0))</f>
        <v>0</v>
      </c>
      <c r="AL264" s="43" t="str">
        <f>IF($AK264=1,SUMIFS($AK$4:$AK263,$C$4:$C263,$C264)+1,"")</f>
        <v/>
      </c>
      <c r="AM264" s="43">
        <f>IF(OR($C264="",$G264=""),0,IF(COUNTIFS($C$5:$C264,$C264,$G$5:$G264,$G264)=1,1,0))</f>
        <v>0</v>
      </c>
      <c r="AN264" s="43" t="str">
        <f>IF($AM264=1,SUMIFS($AM$4:$AM263,$C$4:$C263,$C264)+1,"")</f>
        <v/>
      </c>
    </row>
    <row r="265">
      <c r="A265" s="44" t="str">
        <f>IF(OR($B265="",$D265=""),"","TX"&amp;TEXT(ROW()-4,"0000"))</f>
        <v/>
      </c>
      <c r="B265" s="42" t="n"/>
      <c r="C265" s="47" t="str">
        <f>IF($B265="","",YEAR($B265)*100+MONTH($B265))</f>
        <v/>
      </c>
      <c r="D265" s="37" t="n"/>
      <c r="E265" s="45" t="str">
        <f>IF($D265="","",IFERROR(INDEX(CARDS!$B$5:$B$34,MATCH($D265,CARDS!$A$5:$A$34,0)),"⚠ Card ID?"))</f>
        <v/>
      </c>
      <c r="F265" s="45" t="str">
        <f>IF($D265="","",IFERROR(INDEX(CARDS!$C$5:$C$34,MATCH($D265,CARDS!$A$5:$A$34,0)),"⚠ Card ID?"))</f>
        <v/>
      </c>
      <c r="G265" s="37" t="n"/>
      <c r="H265" s="37" t="n"/>
      <c r="I265" s="41" t="n"/>
      <c r="J265" s="45" t="str">
        <f>IF($I265="","",IFERROR(INDEX(MCC_MASTER!$B$5:$B$504,MATCH($I265,MCC_MASTER!$A$5:$A$504,0)),"⚠ MCC chưa có"))</f>
        <v/>
      </c>
      <c r="K265" s="45" t="str">
        <f>IF($I265="","",IFERROR(IF(INDEX(MCC_MASTER!$C$5:$C$504,MATCH($I265,MCC_MASTER!$A$5:$A$504,0))="","Chưa phân loại",INDEX(MCC_MASTER!$C$5:$C$504,MATCH($I265,MCC_MASTER!$A$5:$A$504,0))),"Chưa phân loại"))</f>
        <v/>
      </c>
      <c r="L265" s="40" t="n"/>
      <c r="M265" s="48" t="str">
        <f>IF(OR($B265="",$D265=""),"",IF($AC265=0,0,IF(ISNUMBER(INDEX(CASHBACK_RULES!$L$5:$L$304,$AC265)),MAX(0,MIN($L265,INDEX(CASHBACK_RULES!$L$5:$L$304,$AC265)-$AH265)),MAX(0,$L265))))</f>
        <v/>
      </c>
      <c r="N265" s="49" t="str">
        <f>IF(OR($B265="",$D265=""),"",IF($AC265&gt;0,INDEX(CASHBACK_RULES!$I$5:$I$304,$AC265),0))</f>
        <v/>
      </c>
      <c r="O265" s="48" t="str">
        <f>IF(OR($B265="",$D265=""),"",ROUND($M265*$N265,0))</f>
        <v/>
      </c>
      <c r="P265" s="48" t="str">
        <f>IF($AC265&gt;0,IF(ISNUMBER(INDEX(CASHBACK_RULES!$J$5:$J$304,$AC265)),INDEX(CASHBACK_RULES!$J$5:$J$304,$AC265),"∞"),"")</f>
        <v/>
      </c>
      <c r="Q265" s="48" t="str">
        <f>IF(OR($B265="",$D265=""),"",IF($AC265=0,0,MAX(0,MIN($O265,IF(ISNUMBER($P265),$P265-$AF265,1E+15),IF(ISNUMBER($AA265),$AA265-$AG265,1E+15)))))</f>
        <v/>
      </c>
      <c r="R265" s="48" t="str">
        <f>IF(OR($B265="",$D265=""),"",IF($AC265=0,"",IF(AND(NOT(ISNUMBER($P265)),NOT(ISNUMBER($AA265))),"∞",MAX(0,MIN(IF(ISNUMBER($P265),$P265-$AF265-$Q265,1E+15),IF(ISNUMBER($AA265),$AA265-$AG265-$Q265,1E+15))))))</f>
        <v/>
      </c>
      <c r="S265" s="47" t="str">
        <f>IF($AD265="","",YEAR($AD265)*100+MONTH($AD265))</f>
        <v/>
      </c>
      <c r="T265" s="50" t="str">
        <f>IF($AD265="","",IFERROR(IF(INDEX(CARDS!$I$5:$I$34,MATCH($D265,CARDS!$A$5:$A$34,0))="","",IF(INDEX(CARDS!$I$5:$I$34,MATCH($D265,CARDS!$A$5:$A$34,0))&gt;INDEX(CARDS!$H$5:$H$34,MATCH($D265,CARDS!$A$5:$A$34,0)),DATE(YEAR($AD265),MONTH($AD265),MIN(INDEX(CARDS!$I$5:$I$34,MATCH($D265,CARDS!$A$5:$A$34,0)),DAY(EOMONTH($AD265,0)))),DATE(YEAR($AD265),MONTH($AD265)+1,MIN(INDEX(CARDS!$I$5:$I$34,MATCH($D265,CARDS!$A$5:$A$34,0)),DAY(EOMONTH($AD265,1)))))),""))</f>
        <v/>
      </c>
      <c r="U265" s="38" t="n"/>
      <c r="V265" s="37" t="n"/>
      <c r="W265" s="38" t="n"/>
      <c r="X265" s="38" t="n"/>
      <c r="Y265" s="44" t="str">
        <f>IF($AC265&gt;0,INDEX(CASHBACK_RULES!$A$5:$A$304,$AC265),"")</f>
        <v/>
      </c>
      <c r="Z265" s="45" t="str">
        <f>IF($AC265&gt;0,INDEX(CASHBACK_RULES!$E$5:$E$304,$AC265)&amp;"","")</f>
        <v/>
      </c>
      <c r="AA265" s="48" t="str">
        <f>IF($AC265&gt;0,IF(ISNUMBER(INDEX(CASHBACK_RULES!$K$5:$K$304,$AC265)),INDEX(CASHBACK_RULES!$K$5:$K$304,$AC265),"∞"),"")</f>
        <v/>
      </c>
      <c r="AB265" s="44" t="str">
        <f>IF(OR($B265="",$D265=""),"",IF($U265="Cancelled","Đã hủy",IF($AC265=0,"Không được hoàn",IF($Q265=0,IF(OR($O265&gt;0,$M265&lt;$L265),"Đã đạt cap","Không được hoàn"),IF(OR($Q265&lt;$O265,$M265&lt;$L265),"Hoàn một phần","Được hoàn")))))</f>
        <v/>
      </c>
      <c r="AC265" s="43">
        <f>IF(OR($B265="",$D265="",$I265="",$L265=""),0,IF($U265="Cancelled",0,IF($W265&lt;&gt;"",IFERROR(IF(INDEX(CASHBACK_RULES!$B$5:$B$304,MATCH($W265,CASHBACK_RULES!$A$5:$A$304,0))=$D265,MATCH($W265,CASHBACK_RULES!$A$5:$A$304,0),0),0),IFERROR(MATCH(1,INDEX((CASHBACK_RULES!$B$5:$B$304=$D265)*(CASHBACK_RULES!$G$5:$G$304=$I265)*(((CASHBACK_RULES!$N$5:$N$304="")+(CASHBACK_RULES!$N$5:$N$304&lt;=$B265))&gt;0)*(((CASHBACK_RULES!$O$5:$O$304="")+(CASHBACK_RULES!$O$5:$O$304&gt;=$B265))&gt;0)*(((CASHBACK_RULES!$M$5:$M$304="")+(CASHBACK_RULES!$M$5:$M$304&lt;=$L265))&gt;0),0),0),0))))</f>
        <v>0</v>
      </c>
      <c r="AD265" s="51" t="str">
        <f>IF(OR($B265="",$D265=""),"",IFERROR(IF(INDEX(CARDS!$H$5:$H$34,MATCH($D265,CARDS!$A$5:$A$34,0))="","",IF(DAY($B265)&lt;=INDEX(CARDS!$H$5:$H$34,MATCH($D265,CARDS!$A$5:$A$34,0)),DATE(YEAR($B265),MONTH($B265),MIN(INDEX(CARDS!$H$5:$H$34,MATCH($D265,CARDS!$A$5:$A$34,0)),DAY(EOMONTH($B265,0)))),DATE(YEAR($B265),MONTH($B265)+1,MIN(INDEX(CARDS!$H$5:$H$34,MATCH($D265,CARDS!$A$5:$A$34,0)),DAY(EOMONTH($B265,1)))))),""))</f>
        <v/>
      </c>
      <c r="AE265" s="52" t="str">
        <f>IF($C265="","",$C265&amp;"|"&amp;COUNTIF($C$5:$C265,$C265))</f>
        <v/>
      </c>
      <c r="AF265" s="53">
        <f>IF($AC265&gt;0,SUMIFS(Q$4:Q264,$D$4:$D264,$D265,$Z$4:$Z264,$Z265,$C$4:$C264,$C265),0)</f>
        <v>0</v>
      </c>
      <c r="AG265" s="53">
        <f>IF($AC265&gt;0,SUMIFS(Q$4:Q264,$D$4:$D264,$D265,$C$4:$C264,$C265),0)</f>
        <v>0</v>
      </c>
      <c r="AH265" s="53">
        <f>IF($AC265&gt;0,SUMIFS(M$4:M264,$D$4:$D264,$D265,$Z$4:$Z264,$Z265,$C$4:$C264,$C265),0)</f>
        <v>0</v>
      </c>
      <c r="AI265" s="43">
        <f>IF(OR($C265="",$I265=""),0,IF(COUNTIFS($C$5:$C265,$C265,$I$5:$I265,$I265)=1,1,0))</f>
        <v>0</v>
      </c>
      <c r="AJ265" s="43" t="str">
        <f>IF($AI265=1,SUMIFS($AI$4:$AI264,$C$4:$C264,$C265)+1,"")</f>
        <v/>
      </c>
      <c r="AK265" s="43">
        <f>IF(OR($C265="",$K265=""),0,IF(COUNTIFS($C$5:$C265,$C265,$K$5:$K265,$K265)=1,1,0))</f>
        <v>0</v>
      </c>
      <c r="AL265" s="43" t="str">
        <f>IF($AK265=1,SUMIFS($AK$4:$AK264,$C$4:$C264,$C265)+1,"")</f>
        <v/>
      </c>
      <c r="AM265" s="43">
        <f>IF(OR($C265="",$G265=""),0,IF(COUNTIFS($C$5:$C265,$C265,$G$5:$G265,$G265)=1,1,0))</f>
        <v>0</v>
      </c>
      <c r="AN265" s="43" t="str">
        <f>IF($AM265=1,SUMIFS($AM$4:$AM264,$C$4:$C264,$C265)+1,"")</f>
        <v/>
      </c>
    </row>
    <row r="266">
      <c r="A266" s="44" t="str">
        <f>IF(OR($B266="",$D266=""),"","TX"&amp;TEXT(ROW()-4,"0000"))</f>
        <v/>
      </c>
      <c r="B266" s="42" t="n"/>
      <c r="C266" s="47" t="str">
        <f>IF($B266="","",YEAR($B266)*100+MONTH($B266))</f>
        <v/>
      </c>
      <c r="D266" s="37" t="n"/>
      <c r="E266" s="45" t="str">
        <f>IF($D266="","",IFERROR(INDEX(CARDS!$B$5:$B$34,MATCH($D266,CARDS!$A$5:$A$34,0)),"⚠ Card ID?"))</f>
        <v/>
      </c>
      <c r="F266" s="45" t="str">
        <f>IF($D266="","",IFERROR(INDEX(CARDS!$C$5:$C$34,MATCH($D266,CARDS!$A$5:$A$34,0)),"⚠ Card ID?"))</f>
        <v/>
      </c>
      <c r="G266" s="37" t="n"/>
      <c r="H266" s="37" t="n"/>
      <c r="I266" s="41" t="n"/>
      <c r="J266" s="45" t="str">
        <f>IF($I266="","",IFERROR(INDEX(MCC_MASTER!$B$5:$B$504,MATCH($I266,MCC_MASTER!$A$5:$A$504,0)),"⚠ MCC chưa có"))</f>
        <v/>
      </c>
      <c r="K266" s="45" t="str">
        <f>IF($I266="","",IFERROR(IF(INDEX(MCC_MASTER!$C$5:$C$504,MATCH($I266,MCC_MASTER!$A$5:$A$504,0))="","Chưa phân loại",INDEX(MCC_MASTER!$C$5:$C$504,MATCH($I266,MCC_MASTER!$A$5:$A$504,0))),"Chưa phân loại"))</f>
        <v/>
      </c>
      <c r="L266" s="40" t="n"/>
      <c r="M266" s="48" t="str">
        <f>IF(OR($B266="",$D266=""),"",IF($AC266=0,0,IF(ISNUMBER(INDEX(CASHBACK_RULES!$L$5:$L$304,$AC266)),MAX(0,MIN($L266,INDEX(CASHBACK_RULES!$L$5:$L$304,$AC266)-$AH266)),MAX(0,$L266))))</f>
        <v/>
      </c>
      <c r="N266" s="49" t="str">
        <f>IF(OR($B266="",$D266=""),"",IF($AC266&gt;0,INDEX(CASHBACK_RULES!$I$5:$I$304,$AC266),0))</f>
        <v/>
      </c>
      <c r="O266" s="48" t="str">
        <f>IF(OR($B266="",$D266=""),"",ROUND($M266*$N266,0))</f>
        <v/>
      </c>
      <c r="P266" s="48" t="str">
        <f>IF($AC266&gt;0,IF(ISNUMBER(INDEX(CASHBACK_RULES!$J$5:$J$304,$AC266)),INDEX(CASHBACK_RULES!$J$5:$J$304,$AC266),"∞"),"")</f>
        <v/>
      </c>
      <c r="Q266" s="48" t="str">
        <f>IF(OR($B266="",$D266=""),"",IF($AC266=0,0,MAX(0,MIN($O266,IF(ISNUMBER($P266),$P266-$AF266,1E+15),IF(ISNUMBER($AA266),$AA266-$AG266,1E+15)))))</f>
        <v/>
      </c>
      <c r="R266" s="48" t="str">
        <f>IF(OR($B266="",$D266=""),"",IF($AC266=0,"",IF(AND(NOT(ISNUMBER($P266)),NOT(ISNUMBER($AA266))),"∞",MAX(0,MIN(IF(ISNUMBER($P266),$P266-$AF266-$Q266,1E+15),IF(ISNUMBER($AA266),$AA266-$AG266-$Q266,1E+15))))))</f>
        <v/>
      </c>
      <c r="S266" s="47" t="str">
        <f>IF($AD266="","",YEAR($AD266)*100+MONTH($AD266))</f>
        <v/>
      </c>
      <c r="T266" s="50" t="str">
        <f>IF($AD266="","",IFERROR(IF(INDEX(CARDS!$I$5:$I$34,MATCH($D266,CARDS!$A$5:$A$34,0))="","",IF(INDEX(CARDS!$I$5:$I$34,MATCH($D266,CARDS!$A$5:$A$34,0))&gt;INDEX(CARDS!$H$5:$H$34,MATCH($D266,CARDS!$A$5:$A$34,0)),DATE(YEAR($AD266),MONTH($AD266),MIN(INDEX(CARDS!$I$5:$I$34,MATCH($D266,CARDS!$A$5:$A$34,0)),DAY(EOMONTH($AD266,0)))),DATE(YEAR($AD266),MONTH($AD266)+1,MIN(INDEX(CARDS!$I$5:$I$34,MATCH($D266,CARDS!$A$5:$A$34,0)),DAY(EOMONTH($AD266,1)))))),""))</f>
        <v/>
      </c>
      <c r="U266" s="38" t="n"/>
      <c r="V266" s="37" t="n"/>
      <c r="W266" s="38" t="n"/>
      <c r="X266" s="38" t="n"/>
      <c r="Y266" s="44" t="str">
        <f>IF($AC266&gt;0,INDEX(CASHBACK_RULES!$A$5:$A$304,$AC266),"")</f>
        <v/>
      </c>
      <c r="Z266" s="45" t="str">
        <f>IF($AC266&gt;0,INDEX(CASHBACK_RULES!$E$5:$E$304,$AC266)&amp;"","")</f>
        <v/>
      </c>
      <c r="AA266" s="48" t="str">
        <f>IF($AC266&gt;0,IF(ISNUMBER(INDEX(CASHBACK_RULES!$K$5:$K$304,$AC266)),INDEX(CASHBACK_RULES!$K$5:$K$304,$AC266),"∞"),"")</f>
        <v/>
      </c>
      <c r="AB266" s="44" t="str">
        <f>IF(OR($B266="",$D266=""),"",IF($U266="Cancelled","Đã hủy",IF($AC266=0,"Không được hoàn",IF($Q266=0,IF(OR($O266&gt;0,$M266&lt;$L266),"Đã đạt cap","Không được hoàn"),IF(OR($Q266&lt;$O266,$M266&lt;$L266),"Hoàn một phần","Được hoàn")))))</f>
        <v/>
      </c>
      <c r="AC266" s="43">
        <f>IF(OR($B266="",$D266="",$I266="",$L266=""),0,IF($U266="Cancelled",0,IF($W266&lt;&gt;"",IFERROR(IF(INDEX(CASHBACK_RULES!$B$5:$B$304,MATCH($W266,CASHBACK_RULES!$A$5:$A$304,0))=$D266,MATCH($W266,CASHBACK_RULES!$A$5:$A$304,0),0),0),IFERROR(MATCH(1,INDEX((CASHBACK_RULES!$B$5:$B$304=$D266)*(CASHBACK_RULES!$G$5:$G$304=$I266)*(((CASHBACK_RULES!$N$5:$N$304="")+(CASHBACK_RULES!$N$5:$N$304&lt;=$B266))&gt;0)*(((CASHBACK_RULES!$O$5:$O$304="")+(CASHBACK_RULES!$O$5:$O$304&gt;=$B266))&gt;0)*(((CASHBACK_RULES!$M$5:$M$304="")+(CASHBACK_RULES!$M$5:$M$304&lt;=$L266))&gt;0),0),0),0))))</f>
        <v>0</v>
      </c>
      <c r="AD266" s="51" t="str">
        <f>IF(OR($B266="",$D266=""),"",IFERROR(IF(INDEX(CARDS!$H$5:$H$34,MATCH($D266,CARDS!$A$5:$A$34,0))="","",IF(DAY($B266)&lt;=INDEX(CARDS!$H$5:$H$34,MATCH($D266,CARDS!$A$5:$A$34,0)),DATE(YEAR($B266),MONTH($B266),MIN(INDEX(CARDS!$H$5:$H$34,MATCH($D266,CARDS!$A$5:$A$34,0)),DAY(EOMONTH($B266,0)))),DATE(YEAR($B266),MONTH($B266)+1,MIN(INDEX(CARDS!$H$5:$H$34,MATCH($D266,CARDS!$A$5:$A$34,0)),DAY(EOMONTH($B266,1)))))),""))</f>
        <v/>
      </c>
      <c r="AE266" s="52" t="str">
        <f>IF($C266="","",$C266&amp;"|"&amp;COUNTIF($C$5:$C266,$C266))</f>
        <v/>
      </c>
      <c r="AF266" s="53">
        <f>IF($AC266&gt;0,SUMIFS(Q$4:Q265,$D$4:$D265,$D266,$Z$4:$Z265,$Z266,$C$4:$C265,$C266),0)</f>
        <v>0</v>
      </c>
      <c r="AG266" s="53">
        <f>IF($AC266&gt;0,SUMIFS(Q$4:Q265,$D$4:$D265,$D266,$C$4:$C265,$C266),0)</f>
        <v>0</v>
      </c>
      <c r="AH266" s="53">
        <f>IF($AC266&gt;0,SUMIFS(M$4:M265,$D$4:$D265,$D266,$Z$4:$Z265,$Z266,$C$4:$C265,$C266),0)</f>
        <v>0</v>
      </c>
      <c r="AI266" s="43">
        <f>IF(OR($C266="",$I266=""),0,IF(COUNTIFS($C$5:$C266,$C266,$I$5:$I266,$I266)=1,1,0))</f>
        <v>0</v>
      </c>
      <c r="AJ266" s="43" t="str">
        <f>IF($AI266=1,SUMIFS($AI$4:$AI265,$C$4:$C265,$C266)+1,"")</f>
        <v/>
      </c>
      <c r="AK266" s="43">
        <f>IF(OR($C266="",$K266=""),0,IF(COUNTIFS($C$5:$C266,$C266,$K$5:$K266,$K266)=1,1,0))</f>
        <v>0</v>
      </c>
      <c r="AL266" s="43" t="str">
        <f>IF($AK266=1,SUMIFS($AK$4:$AK265,$C$4:$C265,$C266)+1,"")</f>
        <v/>
      </c>
      <c r="AM266" s="43">
        <f>IF(OR($C266="",$G266=""),0,IF(COUNTIFS($C$5:$C266,$C266,$G$5:$G266,$G266)=1,1,0))</f>
        <v>0</v>
      </c>
      <c r="AN266" s="43" t="str">
        <f>IF($AM266=1,SUMIFS($AM$4:$AM265,$C$4:$C265,$C266)+1,"")</f>
        <v/>
      </c>
    </row>
    <row r="267">
      <c r="A267" s="44" t="str">
        <f>IF(OR($B267="",$D267=""),"","TX"&amp;TEXT(ROW()-4,"0000"))</f>
        <v/>
      </c>
      <c r="B267" s="42" t="n"/>
      <c r="C267" s="47" t="str">
        <f>IF($B267="","",YEAR($B267)*100+MONTH($B267))</f>
        <v/>
      </c>
      <c r="D267" s="37" t="n"/>
      <c r="E267" s="45" t="str">
        <f>IF($D267="","",IFERROR(INDEX(CARDS!$B$5:$B$34,MATCH($D267,CARDS!$A$5:$A$34,0)),"⚠ Card ID?"))</f>
        <v/>
      </c>
      <c r="F267" s="45" t="str">
        <f>IF($D267="","",IFERROR(INDEX(CARDS!$C$5:$C$34,MATCH($D267,CARDS!$A$5:$A$34,0)),"⚠ Card ID?"))</f>
        <v/>
      </c>
      <c r="G267" s="37" t="n"/>
      <c r="H267" s="37" t="n"/>
      <c r="I267" s="41" t="n"/>
      <c r="J267" s="45" t="str">
        <f>IF($I267="","",IFERROR(INDEX(MCC_MASTER!$B$5:$B$504,MATCH($I267,MCC_MASTER!$A$5:$A$504,0)),"⚠ MCC chưa có"))</f>
        <v/>
      </c>
      <c r="K267" s="45" t="str">
        <f>IF($I267="","",IFERROR(IF(INDEX(MCC_MASTER!$C$5:$C$504,MATCH($I267,MCC_MASTER!$A$5:$A$504,0))="","Chưa phân loại",INDEX(MCC_MASTER!$C$5:$C$504,MATCH($I267,MCC_MASTER!$A$5:$A$504,0))),"Chưa phân loại"))</f>
        <v/>
      </c>
      <c r="L267" s="40" t="n"/>
      <c r="M267" s="48" t="str">
        <f>IF(OR($B267="",$D267=""),"",IF($AC267=0,0,IF(ISNUMBER(INDEX(CASHBACK_RULES!$L$5:$L$304,$AC267)),MAX(0,MIN($L267,INDEX(CASHBACK_RULES!$L$5:$L$304,$AC267)-$AH267)),MAX(0,$L267))))</f>
        <v/>
      </c>
      <c r="N267" s="49" t="str">
        <f>IF(OR($B267="",$D267=""),"",IF($AC267&gt;0,INDEX(CASHBACK_RULES!$I$5:$I$304,$AC267),0))</f>
        <v/>
      </c>
      <c r="O267" s="48" t="str">
        <f>IF(OR($B267="",$D267=""),"",ROUND($M267*$N267,0))</f>
        <v/>
      </c>
      <c r="P267" s="48" t="str">
        <f>IF($AC267&gt;0,IF(ISNUMBER(INDEX(CASHBACK_RULES!$J$5:$J$304,$AC267)),INDEX(CASHBACK_RULES!$J$5:$J$304,$AC267),"∞"),"")</f>
        <v/>
      </c>
      <c r="Q267" s="48" t="str">
        <f>IF(OR($B267="",$D267=""),"",IF($AC267=0,0,MAX(0,MIN($O267,IF(ISNUMBER($P267),$P267-$AF267,1E+15),IF(ISNUMBER($AA267),$AA267-$AG267,1E+15)))))</f>
        <v/>
      </c>
      <c r="R267" s="48" t="str">
        <f>IF(OR($B267="",$D267=""),"",IF($AC267=0,"",IF(AND(NOT(ISNUMBER($P267)),NOT(ISNUMBER($AA267))),"∞",MAX(0,MIN(IF(ISNUMBER($P267),$P267-$AF267-$Q267,1E+15),IF(ISNUMBER($AA267),$AA267-$AG267-$Q267,1E+15))))))</f>
        <v/>
      </c>
      <c r="S267" s="47" t="str">
        <f>IF($AD267="","",YEAR($AD267)*100+MONTH($AD267))</f>
        <v/>
      </c>
      <c r="T267" s="50" t="str">
        <f>IF($AD267="","",IFERROR(IF(INDEX(CARDS!$I$5:$I$34,MATCH($D267,CARDS!$A$5:$A$34,0))="","",IF(INDEX(CARDS!$I$5:$I$34,MATCH($D267,CARDS!$A$5:$A$34,0))&gt;INDEX(CARDS!$H$5:$H$34,MATCH($D267,CARDS!$A$5:$A$34,0)),DATE(YEAR($AD267),MONTH($AD267),MIN(INDEX(CARDS!$I$5:$I$34,MATCH($D267,CARDS!$A$5:$A$34,0)),DAY(EOMONTH($AD267,0)))),DATE(YEAR($AD267),MONTH($AD267)+1,MIN(INDEX(CARDS!$I$5:$I$34,MATCH($D267,CARDS!$A$5:$A$34,0)),DAY(EOMONTH($AD267,1)))))),""))</f>
        <v/>
      </c>
      <c r="U267" s="38" t="n"/>
      <c r="V267" s="37" t="n"/>
      <c r="W267" s="38" t="n"/>
      <c r="X267" s="38" t="n"/>
      <c r="Y267" s="44" t="str">
        <f>IF($AC267&gt;0,INDEX(CASHBACK_RULES!$A$5:$A$304,$AC267),"")</f>
        <v/>
      </c>
      <c r="Z267" s="45" t="str">
        <f>IF($AC267&gt;0,INDEX(CASHBACK_RULES!$E$5:$E$304,$AC267)&amp;"","")</f>
        <v/>
      </c>
      <c r="AA267" s="48" t="str">
        <f>IF($AC267&gt;0,IF(ISNUMBER(INDEX(CASHBACK_RULES!$K$5:$K$304,$AC267)),INDEX(CASHBACK_RULES!$K$5:$K$304,$AC267),"∞"),"")</f>
        <v/>
      </c>
      <c r="AB267" s="44" t="str">
        <f>IF(OR($B267="",$D267=""),"",IF($U267="Cancelled","Đã hủy",IF($AC267=0,"Không được hoàn",IF($Q267=0,IF(OR($O267&gt;0,$M267&lt;$L267),"Đã đạt cap","Không được hoàn"),IF(OR($Q267&lt;$O267,$M267&lt;$L267),"Hoàn một phần","Được hoàn")))))</f>
        <v/>
      </c>
      <c r="AC267" s="43">
        <f>IF(OR($B267="",$D267="",$I267="",$L267=""),0,IF($U267="Cancelled",0,IF($W267&lt;&gt;"",IFERROR(IF(INDEX(CASHBACK_RULES!$B$5:$B$304,MATCH($W267,CASHBACK_RULES!$A$5:$A$304,0))=$D267,MATCH($W267,CASHBACK_RULES!$A$5:$A$304,0),0),0),IFERROR(MATCH(1,INDEX((CASHBACK_RULES!$B$5:$B$304=$D267)*(CASHBACK_RULES!$G$5:$G$304=$I267)*(((CASHBACK_RULES!$N$5:$N$304="")+(CASHBACK_RULES!$N$5:$N$304&lt;=$B267))&gt;0)*(((CASHBACK_RULES!$O$5:$O$304="")+(CASHBACK_RULES!$O$5:$O$304&gt;=$B267))&gt;0)*(((CASHBACK_RULES!$M$5:$M$304="")+(CASHBACK_RULES!$M$5:$M$304&lt;=$L267))&gt;0),0),0),0))))</f>
        <v>0</v>
      </c>
      <c r="AD267" s="51" t="str">
        <f>IF(OR($B267="",$D267=""),"",IFERROR(IF(INDEX(CARDS!$H$5:$H$34,MATCH($D267,CARDS!$A$5:$A$34,0))="","",IF(DAY($B267)&lt;=INDEX(CARDS!$H$5:$H$34,MATCH($D267,CARDS!$A$5:$A$34,0)),DATE(YEAR($B267),MONTH($B267),MIN(INDEX(CARDS!$H$5:$H$34,MATCH($D267,CARDS!$A$5:$A$34,0)),DAY(EOMONTH($B267,0)))),DATE(YEAR($B267),MONTH($B267)+1,MIN(INDEX(CARDS!$H$5:$H$34,MATCH($D267,CARDS!$A$5:$A$34,0)),DAY(EOMONTH($B267,1)))))),""))</f>
        <v/>
      </c>
      <c r="AE267" s="52" t="str">
        <f>IF($C267="","",$C267&amp;"|"&amp;COUNTIF($C$5:$C267,$C267))</f>
        <v/>
      </c>
      <c r="AF267" s="53">
        <f>IF($AC267&gt;0,SUMIFS(Q$4:Q266,$D$4:$D266,$D267,$Z$4:$Z266,$Z267,$C$4:$C266,$C267),0)</f>
        <v>0</v>
      </c>
      <c r="AG267" s="53">
        <f>IF($AC267&gt;0,SUMIFS(Q$4:Q266,$D$4:$D266,$D267,$C$4:$C266,$C267),0)</f>
        <v>0</v>
      </c>
      <c r="AH267" s="53">
        <f>IF($AC267&gt;0,SUMIFS(M$4:M266,$D$4:$D266,$D267,$Z$4:$Z266,$Z267,$C$4:$C266,$C267),0)</f>
        <v>0</v>
      </c>
      <c r="AI267" s="43">
        <f>IF(OR($C267="",$I267=""),0,IF(COUNTIFS($C$5:$C267,$C267,$I$5:$I267,$I267)=1,1,0))</f>
        <v>0</v>
      </c>
      <c r="AJ267" s="43" t="str">
        <f>IF($AI267=1,SUMIFS($AI$4:$AI266,$C$4:$C266,$C267)+1,"")</f>
        <v/>
      </c>
      <c r="AK267" s="43">
        <f>IF(OR($C267="",$K267=""),0,IF(COUNTIFS($C$5:$C267,$C267,$K$5:$K267,$K267)=1,1,0))</f>
        <v>0</v>
      </c>
      <c r="AL267" s="43" t="str">
        <f>IF($AK267=1,SUMIFS($AK$4:$AK266,$C$4:$C266,$C267)+1,"")</f>
        <v/>
      </c>
      <c r="AM267" s="43">
        <f>IF(OR($C267="",$G267=""),0,IF(COUNTIFS($C$5:$C267,$C267,$G$5:$G267,$G267)=1,1,0))</f>
        <v>0</v>
      </c>
      <c r="AN267" s="43" t="str">
        <f>IF($AM267=1,SUMIFS($AM$4:$AM266,$C$4:$C266,$C267)+1,"")</f>
        <v/>
      </c>
    </row>
    <row r="268">
      <c r="A268" s="44" t="str">
        <f>IF(OR($B268="",$D268=""),"","TX"&amp;TEXT(ROW()-4,"0000"))</f>
        <v/>
      </c>
      <c r="B268" s="42" t="n"/>
      <c r="C268" s="47" t="str">
        <f>IF($B268="","",YEAR($B268)*100+MONTH($B268))</f>
        <v/>
      </c>
      <c r="D268" s="37" t="n"/>
      <c r="E268" s="45" t="str">
        <f>IF($D268="","",IFERROR(INDEX(CARDS!$B$5:$B$34,MATCH($D268,CARDS!$A$5:$A$34,0)),"⚠ Card ID?"))</f>
        <v/>
      </c>
      <c r="F268" s="45" t="str">
        <f>IF($D268="","",IFERROR(INDEX(CARDS!$C$5:$C$34,MATCH($D268,CARDS!$A$5:$A$34,0)),"⚠ Card ID?"))</f>
        <v/>
      </c>
      <c r="G268" s="37" t="n"/>
      <c r="H268" s="37" t="n"/>
      <c r="I268" s="41" t="n"/>
      <c r="J268" s="45" t="str">
        <f>IF($I268="","",IFERROR(INDEX(MCC_MASTER!$B$5:$B$504,MATCH($I268,MCC_MASTER!$A$5:$A$504,0)),"⚠ MCC chưa có"))</f>
        <v/>
      </c>
      <c r="K268" s="45" t="str">
        <f>IF($I268="","",IFERROR(IF(INDEX(MCC_MASTER!$C$5:$C$504,MATCH($I268,MCC_MASTER!$A$5:$A$504,0))="","Chưa phân loại",INDEX(MCC_MASTER!$C$5:$C$504,MATCH($I268,MCC_MASTER!$A$5:$A$504,0))),"Chưa phân loại"))</f>
        <v/>
      </c>
      <c r="L268" s="40" t="n"/>
      <c r="M268" s="48" t="str">
        <f>IF(OR($B268="",$D268=""),"",IF($AC268=0,0,IF(ISNUMBER(INDEX(CASHBACK_RULES!$L$5:$L$304,$AC268)),MAX(0,MIN($L268,INDEX(CASHBACK_RULES!$L$5:$L$304,$AC268)-$AH268)),MAX(0,$L268))))</f>
        <v/>
      </c>
      <c r="N268" s="49" t="str">
        <f>IF(OR($B268="",$D268=""),"",IF($AC268&gt;0,INDEX(CASHBACK_RULES!$I$5:$I$304,$AC268),0))</f>
        <v/>
      </c>
      <c r="O268" s="48" t="str">
        <f>IF(OR($B268="",$D268=""),"",ROUND($M268*$N268,0))</f>
        <v/>
      </c>
      <c r="P268" s="48" t="str">
        <f>IF($AC268&gt;0,IF(ISNUMBER(INDEX(CASHBACK_RULES!$J$5:$J$304,$AC268)),INDEX(CASHBACK_RULES!$J$5:$J$304,$AC268),"∞"),"")</f>
        <v/>
      </c>
      <c r="Q268" s="48" t="str">
        <f>IF(OR($B268="",$D268=""),"",IF($AC268=0,0,MAX(0,MIN($O268,IF(ISNUMBER($P268),$P268-$AF268,1E+15),IF(ISNUMBER($AA268),$AA268-$AG268,1E+15)))))</f>
        <v/>
      </c>
      <c r="R268" s="48" t="str">
        <f>IF(OR($B268="",$D268=""),"",IF($AC268=0,"",IF(AND(NOT(ISNUMBER($P268)),NOT(ISNUMBER($AA268))),"∞",MAX(0,MIN(IF(ISNUMBER($P268),$P268-$AF268-$Q268,1E+15),IF(ISNUMBER($AA268),$AA268-$AG268-$Q268,1E+15))))))</f>
        <v/>
      </c>
      <c r="S268" s="47" t="str">
        <f>IF($AD268="","",YEAR($AD268)*100+MONTH($AD268))</f>
        <v/>
      </c>
      <c r="T268" s="50" t="str">
        <f>IF($AD268="","",IFERROR(IF(INDEX(CARDS!$I$5:$I$34,MATCH($D268,CARDS!$A$5:$A$34,0))="","",IF(INDEX(CARDS!$I$5:$I$34,MATCH($D268,CARDS!$A$5:$A$34,0))&gt;INDEX(CARDS!$H$5:$H$34,MATCH($D268,CARDS!$A$5:$A$34,0)),DATE(YEAR($AD268),MONTH($AD268),MIN(INDEX(CARDS!$I$5:$I$34,MATCH($D268,CARDS!$A$5:$A$34,0)),DAY(EOMONTH($AD268,0)))),DATE(YEAR($AD268),MONTH($AD268)+1,MIN(INDEX(CARDS!$I$5:$I$34,MATCH($D268,CARDS!$A$5:$A$34,0)),DAY(EOMONTH($AD268,1)))))),""))</f>
        <v/>
      </c>
      <c r="U268" s="38" t="n"/>
      <c r="V268" s="37" t="n"/>
      <c r="W268" s="38" t="n"/>
      <c r="X268" s="38" t="n"/>
      <c r="Y268" s="44" t="str">
        <f>IF($AC268&gt;0,INDEX(CASHBACK_RULES!$A$5:$A$304,$AC268),"")</f>
        <v/>
      </c>
      <c r="Z268" s="45" t="str">
        <f>IF($AC268&gt;0,INDEX(CASHBACK_RULES!$E$5:$E$304,$AC268)&amp;"","")</f>
        <v/>
      </c>
      <c r="AA268" s="48" t="str">
        <f>IF($AC268&gt;0,IF(ISNUMBER(INDEX(CASHBACK_RULES!$K$5:$K$304,$AC268)),INDEX(CASHBACK_RULES!$K$5:$K$304,$AC268),"∞"),"")</f>
        <v/>
      </c>
      <c r="AB268" s="44" t="str">
        <f>IF(OR($B268="",$D268=""),"",IF($U268="Cancelled","Đã hủy",IF($AC268=0,"Không được hoàn",IF($Q268=0,IF(OR($O268&gt;0,$M268&lt;$L268),"Đã đạt cap","Không được hoàn"),IF(OR($Q268&lt;$O268,$M268&lt;$L268),"Hoàn một phần","Được hoàn")))))</f>
        <v/>
      </c>
      <c r="AC268" s="43">
        <f>IF(OR($B268="",$D268="",$I268="",$L268=""),0,IF($U268="Cancelled",0,IF($W268&lt;&gt;"",IFERROR(IF(INDEX(CASHBACK_RULES!$B$5:$B$304,MATCH($W268,CASHBACK_RULES!$A$5:$A$304,0))=$D268,MATCH($W268,CASHBACK_RULES!$A$5:$A$304,0),0),0),IFERROR(MATCH(1,INDEX((CASHBACK_RULES!$B$5:$B$304=$D268)*(CASHBACK_RULES!$G$5:$G$304=$I268)*(((CASHBACK_RULES!$N$5:$N$304="")+(CASHBACK_RULES!$N$5:$N$304&lt;=$B268))&gt;0)*(((CASHBACK_RULES!$O$5:$O$304="")+(CASHBACK_RULES!$O$5:$O$304&gt;=$B268))&gt;0)*(((CASHBACK_RULES!$M$5:$M$304="")+(CASHBACK_RULES!$M$5:$M$304&lt;=$L268))&gt;0),0),0),0))))</f>
        <v>0</v>
      </c>
      <c r="AD268" s="51" t="str">
        <f>IF(OR($B268="",$D268=""),"",IFERROR(IF(INDEX(CARDS!$H$5:$H$34,MATCH($D268,CARDS!$A$5:$A$34,0))="","",IF(DAY($B268)&lt;=INDEX(CARDS!$H$5:$H$34,MATCH($D268,CARDS!$A$5:$A$34,0)),DATE(YEAR($B268),MONTH($B268),MIN(INDEX(CARDS!$H$5:$H$34,MATCH($D268,CARDS!$A$5:$A$34,0)),DAY(EOMONTH($B268,0)))),DATE(YEAR($B268),MONTH($B268)+1,MIN(INDEX(CARDS!$H$5:$H$34,MATCH($D268,CARDS!$A$5:$A$34,0)),DAY(EOMONTH($B268,1)))))),""))</f>
        <v/>
      </c>
      <c r="AE268" s="52" t="str">
        <f>IF($C268="","",$C268&amp;"|"&amp;COUNTIF($C$5:$C268,$C268))</f>
        <v/>
      </c>
      <c r="AF268" s="53">
        <f>IF($AC268&gt;0,SUMIFS(Q$4:Q267,$D$4:$D267,$D268,$Z$4:$Z267,$Z268,$C$4:$C267,$C268),0)</f>
        <v>0</v>
      </c>
      <c r="AG268" s="53">
        <f>IF($AC268&gt;0,SUMIFS(Q$4:Q267,$D$4:$D267,$D268,$C$4:$C267,$C268),0)</f>
        <v>0</v>
      </c>
      <c r="AH268" s="53">
        <f>IF($AC268&gt;0,SUMIFS(M$4:M267,$D$4:$D267,$D268,$Z$4:$Z267,$Z268,$C$4:$C267,$C268),0)</f>
        <v>0</v>
      </c>
      <c r="AI268" s="43">
        <f>IF(OR($C268="",$I268=""),0,IF(COUNTIFS($C$5:$C268,$C268,$I$5:$I268,$I268)=1,1,0))</f>
        <v>0</v>
      </c>
      <c r="AJ268" s="43" t="str">
        <f>IF($AI268=1,SUMIFS($AI$4:$AI267,$C$4:$C267,$C268)+1,"")</f>
        <v/>
      </c>
      <c r="AK268" s="43">
        <f>IF(OR($C268="",$K268=""),0,IF(COUNTIFS($C$5:$C268,$C268,$K$5:$K268,$K268)=1,1,0))</f>
        <v>0</v>
      </c>
      <c r="AL268" s="43" t="str">
        <f>IF($AK268=1,SUMIFS($AK$4:$AK267,$C$4:$C267,$C268)+1,"")</f>
        <v/>
      </c>
      <c r="AM268" s="43">
        <f>IF(OR($C268="",$G268=""),0,IF(COUNTIFS($C$5:$C268,$C268,$G$5:$G268,$G268)=1,1,0))</f>
        <v>0</v>
      </c>
      <c r="AN268" s="43" t="str">
        <f>IF($AM268=1,SUMIFS($AM$4:$AM267,$C$4:$C267,$C268)+1,"")</f>
        <v/>
      </c>
    </row>
    <row r="269">
      <c r="A269" s="44" t="str">
        <f>IF(OR($B269="",$D269=""),"","TX"&amp;TEXT(ROW()-4,"0000"))</f>
        <v/>
      </c>
      <c r="B269" s="42" t="n"/>
      <c r="C269" s="47" t="str">
        <f>IF($B269="","",YEAR($B269)*100+MONTH($B269))</f>
        <v/>
      </c>
      <c r="D269" s="37" t="n"/>
      <c r="E269" s="45" t="str">
        <f>IF($D269="","",IFERROR(INDEX(CARDS!$B$5:$B$34,MATCH($D269,CARDS!$A$5:$A$34,0)),"⚠ Card ID?"))</f>
        <v/>
      </c>
      <c r="F269" s="45" t="str">
        <f>IF($D269="","",IFERROR(INDEX(CARDS!$C$5:$C$34,MATCH($D269,CARDS!$A$5:$A$34,0)),"⚠ Card ID?"))</f>
        <v/>
      </c>
      <c r="G269" s="37" t="n"/>
      <c r="H269" s="37" t="n"/>
      <c r="I269" s="41" t="n"/>
      <c r="J269" s="45" t="str">
        <f>IF($I269="","",IFERROR(INDEX(MCC_MASTER!$B$5:$B$504,MATCH($I269,MCC_MASTER!$A$5:$A$504,0)),"⚠ MCC chưa có"))</f>
        <v/>
      </c>
      <c r="K269" s="45" t="str">
        <f>IF($I269="","",IFERROR(IF(INDEX(MCC_MASTER!$C$5:$C$504,MATCH($I269,MCC_MASTER!$A$5:$A$504,0))="","Chưa phân loại",INDEX(MCC_MASTER!$C$5:$C$504,MATCH($I269,MCC_MASTER!$A$5:$A$504,0))),"Chưa phân loại"))</f>
        <v/>
      </c>
      <c r="L269" s="40" t="n"/>
      <c r="M269" s="48" t="str">
        <f>IF(OR($B269="",$D269=""),"",IF($AC269=0,0,IF(ISNUMBER(INDEX(CASHBACK_RULES!$L$5:$L$304,$AC269)),MAX(0,MIN($L269,INDEX(CASHBACK_RULES!$L$5:$L$304,$AC269)-$AH269)),MAX(0,$L269))))</f>
        <v/>
      </c>
      <c r="N269" s="49" t="str">
        <f>IF(OR($B269="",$D269=""),"",IF($AC269&gt;0,INDEX(CASHBACK_RULES!$I$5:$I$304,$AC269),0))</f>
        <v/>
      </c>
      <c r="O269" s="48" t="str">
        <f>IF(OR($B269="",$D269=""),"",ROUND($M269*$N269,0))</f>
        <v/>
      </c>
      <c r="P269" s="48" t="str">
        <f>IF($AC269&gt;0,IF(ISNUMBER(INDEX(CASHBACK_RULES!$J$5:$J$304,$AC269)),INDEX(CASHBACK_RULES!$J$5:$J$304,$AC269),"∞"),"")</f>
        <v/>
      </c>
      <c r="Q269" s="48" t="str">
        <f>IF(OR($B269="",$D269=""),"",IF($AC269=0,0,MAX(0,MIN($O269,IF(ISNUMBER($P269),$P269-$AF269,1E+15),IF(ISNUMBER($AA269),$AA269-$AG269,1E+15)))))</f>
        <v/>
      </c>
      <c r="R269" s="48" t="str">
        <f>IF(OR($B269="",$D269=""),"",IF($AC269=0,"",IF(AND(NOT(ISNUMBER($P269)),NOT(ISNUMBER($AA269))),"∞",MAX(0,MIN(IF(ISNUMBER($P269),$P269-$AF269-$Q269,1E+15),IF(ISNUMBER($AA269),$AA269-$AG269-$Q269,1E+15))))))</f>
        <v/>
      </c>
      <c r="S269" s="47" t="str">
        <f>IF($AD269="","",YEAR($AD269)*100+MONTH($AD269))</f>
        <v/>
      </c>
      <c r="T269" s="50" t="str">
        <f>IF($AD269="","",IFERROR(IF(INDEX(CARDS!$I$5:$I$34,MATCH($D269,CARDS!$A$5:$A$34,0))="","",IF(INDEX(CARDS!$I$5:$I$34,MATCH($D269,CARDS!$A$5:$A$34,0))&gt;INDEX(CARDS!$H$5:$H$34,MATCH($D269,CARDS!$A$5:$A$34,0)),DATE(YEAR($AD269),MONTH($AD269),MIN(INDEX(CARDS!$I$5:$I$34,MATCH($D269,CARDS!$A$5:$A$34,0)),DAY(EOMONTH($AD269,0)))),DATE(YEAR($AD269),MONTH($AD269)+1,MIN(INDEX(CARDS!$I$5:$I$34,MATCH($D269,CARDS!$A$5:$A$34,0)),DAY(EOMONTH($AD269,1)))))),""))</f>
        <v/>
      </c>
      <c r="U269" s="38" t="n"/>
      <c r="V269" s="37" t="n"/>
      <c r="W269" s="38" t="n"/>
      <c r="X269" s="38" t="n"/>
      <c r="Y269" s="44" t="str">
        <f>IF($AC269&gt;0,INDEX(CASHBACK_RULES!$A$5:$A$304,$AC269),"")</f>
        <v/>
      </c>
      <c r="Z269" s="45" t="str">
        <f>IF($AC269&gt;0,INDEX(CASHBACK_RULES!$E$5:$E$304,$AC269)&amp;"","")</f>
        <v/>
      </c>
      <c r="AA269" s="48" t="str">
        <f>IF($AC269&gt;0,IF(ISNUMBER(INDEX(CASHBACK_RULES!$K$5:$K$304,$AC269)),INDEX(CASHBACK_RULES!$K$5:$K$304,$AC269),"∞"),"")</f>
        <v/>
      </c>
      <c r="AB269" s="44" t="str">
        <f>IF(OR($B269="",$D269=""),"",IF($U269="Cancelled","Đã hủy",IF($AC269=0,"Không được hoàn",IF($Q269=0,IF(OR($O269&gt;0,$M269&lt;$L269),"Đã đạt cap","Không được hoàn"),IF(OR($Q269&lt;$O269,$M269&lt;$L269),"Hoàn một phần","Được hoàn")))))</f>
        <v/>
      </c>
      <c r="AC269" s="43">
        <f>IF(OR($B269="",$D269="",$I269="",$L269=""),0,IF($U269="Cancelled",0,IF($W269&lt;&gt;"",IFERROR(IF(INDEX(CASHBACK_RULES!$B$5:$B$304,MATCH($W269,CASHBACK_RULES!$A$5:$A$304,0))=$D269,MATCH($W269,CASHBACK_RULES!$A$5:$A$304,0),0),0),IFERROR(MATCH(1,INDEX((CASHBACK_RULES!$B$5:$B$304=$D269)*(CASHBACK_RULES!$G$5:$G$304=$I269)*(((CASHBACK_RULES!$N$5:$N$304="")+(CASHBACK_RULES!$N$5:$N$304&lt;=$B269))&gt;0)*(((CASHBACK_RULES!$O$5:$O$304="")+(CASHBACK_RULES!$O$5:$O$304&gt;=$B269))&gt;0)*(((CASHBACK_RULES!$M$5:$M$304="")+(CASHBACK_RULES!$M$5:$M$304&lt;=$L269))&gt;0),0),0),0))))</f>
        <v>0</v>
      </c>
      <c r="AD269" s="51" t="str">
        <f>IF(OR($B269="",$D269=""),"",IFERROR(IF(INDEX(CARDS!$H$5:$H$34,MATCH($D269,CARDS!$A$5:$A$34,0))="","",IF(DAY($B269)&lt;=INDEX(CARDS!$H$5:$H$34,MATCH($D269,CARDS!$A$5:$A$34,0)),DATE(YEAR($B269),MONTH($B269),MIN(INDEX(CARDS!$H$5:$H$34,MATCH($D269,CARDS!$A$5:$A$34,0)),DAY(EOMONTH($B269,0)))),DATE(YEAR($B269),MONTH($B269)+1,MIN(INDEX(CARDS!$H$5:$H$34,MATCH($D269,CARDS!$A$5:$A$34,0)),DAY(EOMONTH($B269,1)))))),""))</f>
        <v/>
      </c>
      <c r="AE269" s="52" t="str">
        <f>IF($C269="","",$C269&amp;"|"&amp;COUNTIF($C$5:$C269,$C269))</f>
        <v/>
      </c>
      <c r="AF269" s="53">
        <f>IF($AC269&gt;0,SUMIFS(Q$4:Q268,$D$4:$D268,$D269,$Z$4:$Z268,$Z269,$C$4:$C268,$C269),0)</f>
        <v>0</v>
      </c>
      <c r="AG269" s="53">
        <f>IF($AC269&gt;0,SUMIFS(Q$4:Q268,$D$4:$D268,$D269,$C$4:$C268,$C269),0)</f>
        <v>0</v>
      </c>
      <c r="AH269" s="53">
        <f>IF($AC269&gt;0,SUMIFS(M$4:M268,$D$4:$D268,$D269,$Z$4:$Z268,$Z269,$C$4:$C268,$C269),0)</f>
        <v>0</v>
      </c>
      <c r="AI269" s="43">
        <f>IF(OR($C269="",$I269=""),0,IF(COUNTIFS($C$5:$C269,$C269,$I$5:$I269,$I269)=1,1,0))</f>
        <v>0</v>
      </c>
      <c r="AJ269" s="43" t="str">
        <f>IF($AI269=1,SUMIFS($AI$4:$AI268,$C$4:$C268,$C269)+1,"")</f>
        <v/>
      </c>
      <c r="AK269" s="43">
        <f>IF(OR($C269="",$K269=""),0,IF(COUNTIFS($C$5:$C269,$C269,$K$5:$K269,$K269)=1,1,0))</f>
        <v>0</v>
      </c>
      <c r="AL269" s="43" t="str">
        <f>IF($AK269=1,SUMIFS($AK$4:$AK268,$C$4:$C268,$C269)+1,"")</f>
        <v/>
      </c>
      <c r="AM269" s="43">
        <f>IF(OR($C269="",$G269=""),0,IF(COUNTIFS($C$5:$C269,$C269,$G$5:$G269,$G269)=1,1,0))</f>
        <v>0</v>
      </c>
      <c r="AN269" s="43" t="str">
        <f>IF($AM269=1,SUMIFS($AM$4:$AM268,$C$4:$C268,$C269)+1,"")</f>
        <v/>
      </c>
    </row>
    <row r="270">
      <c r="A270" s="44" t="str">
        <f>IF(OR($B270="",$D270=""),"","TX"&amp;TEXT(ROW()-4,"0000"))</f>
        <v/>
      </c>
      <c r="B270" s="42" t="n"/>
      <c r="C270" s="47" t="str">
        <f>IF($B270="","",YEAR($B270)*100+MONTH($B270))</f>
        <v/>
      </c>
      <c r="D270" s="37" t="n"/>
      <c r="E270" s="45" t="str">
        <f>IF($D270="","",IFERROR(INDEX(CARDS!$B$5:$B$34,MATCH($D270,CARDS!$A$5:$A$34,0)),"⚠ Card ID?"))</f>
        <v/>
      </c>
      <c r="F270" s="45" t="str">
        <f>IF($D270="","",IFERROR(INDEX(CARDS!$C$5:$C$34,MATCH($D270,CARDS!$A$5:$A$34,0)),"⚠ Card ID?"))</f>
        <v/>
      </c>
      <c r="G270" s="37" t="n"/>
      <c r="H270" s="37" t="n"/>
      <c r="I270" s="41" t="n"/>
      <c r="J270" s="45" t="str">
        <f>IF($I270="","",IFERROR(INDEX(MCC_MASTER!$B$5:$B$504,MATCH($I270,MCC_MASTER!$A$5:$A$504,0)),"⚠ MCC chưa có"))</f>
        <v/>
      </c>
      <c r="K270" s="45" t="str">
        <f>IF($I270="","",IFERROR(IF(INDEX(MCC_MASTER!$C$5:$C$504,MATCH($I270,MCC_MASTER!$A$5:$A$504,0))="","Chưa phân loại",INDEX(MCC_MASTER!$C$5:$C$504,MATCH($I270,MCC_MASTER!$A$5:$A$504,0))),"Chưa phân loại"))</f>
        <v/>
      </c>
      <c r="L270" s="40" t="n"/>
      <c r="M270" s="48" t="str">
        <f>IF(OR($B270="",$D270=""),"",IF($AC270=0,0,IF(ISNUMBER(INDEX(CASHBACK_RULES!$L$5:$L$304,$AC270)),MAX(0,MIN($L270,INDEX(CASHBACK_RULES!$L$5:$L$304,$AC270)-$AH270)),MAX(0,$L270))))</f>
        <v/>
      </c>
      <c r="N270" s="49" t="str">
        <f>IF(OR($B270="",$D270=""),"",IF($AC270&gt;0,INDEX(CASHBACK_RULES!$I$5:$I$304,$AC270),0))</f>
        <v/>
      </c>
      <c r="O270" s="48" t="str">
        <f>IF(OR($B270="",$D270=""),"",ROUND($M270*$N270,0))</f>
        <v/>
      </c>
      <c r="P270" s="48" t="str">
        <f>IF($AC270&gt;0,IF(ISNUMBER(INDEX(CASHBACK_RULES!$J$5:$J$304,$AC270)),INDEX(CASHBACK_RULES!$J$5:$J$304,$AC270),"∞"),"")</f>
        <v/>
      </c>
      <c r="Q270" s="48" t="str">
        <f>IF(OR($B270="",$D270=""),"",IF($AC270=0,0,MAX(0,MIN($O270,IF(ISNUMBER($P270),$P270-$AF270,1E+15),IF(ISNUMBER($AA270),$AA270-$AG270,1E+15)))))</f>
        <v/>
      </c>
      <c r="R270" s="48" t="str">
        <f>IF(OR($B270="",$D270=""),"",IF($AC270=0,"",IF(AND(NOT(ISNUMBER($P270)),NOT(ISNUMBER($AA270))),"∞",MAX(0,MIN(IF(ISNUMBER($P270),$P270-$AF270-$Q270,1E+15),IF(ISNUMBER($AA270),$AA270-$AG270-$Q270,1E+15))))))</f>
        <v/>
      </c>
      <c r="S270" s="47" t="str">
        <f>IF($AD270="","",YEAR($AD270)*100+MONTH($AD270))</f>
        <v/>
      </c>
      <c r="T270" s="50" t="str">
        <f>IF($AD270="","",IFERROR(IF(INDEX(CARDS!$I$5:$I$34,MATCH($D270,CARDS!$A$5:$A$34,0))="","",IF(INDEX(CARDS!$I$5:$I$34,MATCH($D270,CARDS!$A$5:$A$34,0))&gt;INDEX(CARDS!$H$5:$H$34,MATCH($D270,CARDS!$A$5:$A$34,0)),DATE(YEAR($AD270),MONTH($AD270),MIN(INDEX(CARDS!$I$5:$I$34,MATCH($D270,CARDS!$A$5:$A$34,0)),DAY(EOMONTH($AD270,0)))),DATE(YEAR($AD270),MONTH($AD270)+1,MIN(INDEX(CARDS!$I$5:$I$34,MATCH($D270,CARDS!$A$5:$A$34,0)),DAY(EOMONTH($AD270,1)))))),""))</f>
        <v/>
      </c>
      <c r="U270" s="38" t="n"/>
      <c r="V270" s="37" t="n"/>
      <c r="W270" s="38" t="n"/>
      <c r="X270" s="38" t="n"/>
      <c r="Y270" s="44" t="str">
        <f>IF($AC270&gt;0,INDEX(CASHBACK_RULES!$A$5:$A$304,$AC270),"")</f>
        <v/>
      </c>
      <c r="Z270" s="45" t="str">
        <f>IF($AC270&gt;0,INDEX(CASHBACK_RULES!$E$5:$E$304,$AC270)&amp;"","")</f>
        <v/>
      </c>
      <c r="AA270" s="48" t="str">
        <f>IF($AC270&gt;0,IF(ISNUMBER(INDEX(CASHBACK_RULES!$K$5:$K$304,$AC270)),INDEX(CASHBACK_RULES!$K$5:$K$304,$AC270),"∞"),"")</f>
        <v/>
      </c>
      <c r="AB270" s="44" t="str">
        <f>IF(OR($B270="",$D270=""),"",IF($U270="Cancelled","Đã hủy",IF($AC270=0,"Không được hoàn",IF($Q270=0,IF(OR($O270&gt;0,$M270&lt;$L270),"Đã đạt cap","Không được hoàn"),IF(OR($Q270&lt;$O270,$M270&lt;$L270),"Hoàn một phần","Được hoàn")))))</f>
        <v/>
      </c>
      <c r="AC270" s="43">
        <f>IF(OR($B270="",$D270="",$I270="",$L270=""),0,IF($U270="Cancelled",0,IF($W270&lt;&gt;"",IFERROR(IF(INDEX(CASHBACK_RULES!$B$5:$B$304,MATCH($W270,CASHBACK_RULES!$A$5:$A$304,0))=$D270,MATCH($W270,CASHBACK_RULES!$A$5:$A$304,0),0),0),IFERROR(MATCH(1,INDEX((CASHBACK_RULES!$B$5:$B$304=$D270)*(CASHBACK_RULES!$G$5:$G$304=$I270)*(((CASHBACK_RULES!$N$5:$N$304="")+(CASHBACK_RULES!$N$5:$N$304&lt;=$B270))&gt;0)*(((CASHBACK_RULES!$O$5:$O$304="")+(CASHBACK_RULES!$O$5:$O$304&gt;=$B270))&gt;0)*(((CASHBACK_RULES!$M$5:$M$304="")+(CASHBACK_RULES!$M$5:$M$304&lt;=$L270))&gt;0),0),0),0))))</f>
        <v>0</v>
      </c>
      <c r="AD270" s="51" t="str">
        <f>IF(OR($B270="",$D270=""),"",IFERROR(IF(INDEX(CARDS!$H$5:$H$34,MATCH($D270,CARDS!$A$5:$A$34,0))="","",IF(DAY($B270)&lt;=INDEX(CARDS!$H$5:$H$34,MATCH($D270,CARDS!$A$5:$A$34,0)),DATE(YEAR($B270),MONTH($B270),MIN(INDEX(CARDS!$H$5:$H$34,MATCH($D270,CARDS!$A$5:$A$34,0)),DAY(EOMONTH($B270,0)))),DATE(YEAR($B270),MONTH($B270)+1,MIN(INDEX(CARDS!$H$5:$H$34,MATCH($D270,CARDS!$A$5:$A$34,0)),DAY(EOMONTH($B270,1)))))),""))</f>
        <v/>
      </c>
      <c r="AE270" s="52" t="str">
        <f>IF($C270="","",$C270&amp;"|"&amp;COUNTIF($C$5:$C270,$C270))</f>
        <v/>
      </c>
      <c r="AF270" s="53">
        <f>IF($AC270&gt;0,SUMIFS(Q$4:Q269,$D$4:$D269,$D270,$Z$4:$Z269,$Z270,$C$4:$C269,$C270),0)</f>
        <v>0</v>
      </c>
      <c r="AG270" s="53">
        <f>IF($AC270&gt;0,SUMIFS(Q$4:Q269,$D$4:$D269,$D270,$C$4:$C269,$C270),0)</f>
        <v>0</v>
      </c>
      <c r="AH270" s="53">
        <f>IF($AC270&gt;0,SUMIFS(M$4:M269,$D$4:$D269,$D270,$Z$4:$Z269,$Z270,$C$4:$C269,$C270),0)</f>
        <v>0</v>
      </c>
      <c r="AI270" s="43">
        <f>IF(OR($C270="",$I270=""),0,IF(COUNTIFS($C$5:$C270,$C270,$I$5:$I270,$I270)=1,1,0))</f>
        <v>0</v>
      </c>
      <c r="AJ270" s="43" t="str">
        <f>IF($AI270=1,SUMIFS($AI$4:$AI269,$C$4:$C269,$C270)+1,"")</f>
        <v/>
      </c>
      <c r="AK270" s="43">
        <f>IF(OR($C270="",$K270=""),0,IF(COUNTIFS($C$5:$C270,$C270,$K$5:$K270,$K270)=1,1,0))</f>
        <v>0</v>
      </c>
      <c r="AL270" s="43" t="str">
        <f>IF($AK270=1,SUMIFS($AK$4:$AK269,$C$4:$C269,$C270)+1,"")</f>
        <v/>
      </c>
      <c r="AM270" s="43">
        <f>IF(OR($C270="",$G270=""),0,IF(COUNTIFS($C$5:$C270,$C270,$G$5:$G270,$G270)=1,1,0))</f>
        <v>0</v>
      </c>
      <c r="AN270" s="43" t="str">
        <f>IF($AM270=1,SUMIFS($AM$4:$AM269,$C$4:$C269,$C270)+1,"")</f>
        <v/>
      </c>
    </row>
    <row r="271">
      <c r="A271" s="44" t="str">
        <f>IF(OR($B271="",$D271=""),"","TX"&amp;TEXT(ROW()-4,"0000"))</f>
        <v/>
      </c>
      <c r="B271" s="42" t="n"/>
      <c r="C271" s="47" t="str">
        <f>IF($B271="","",YEAR($B271)*100+MONTH($B271))</f>
        <v/>
      </c>
      <c r="D271" s="37" t="n"/>
      <c r="E271" s="45" t="str">
        <f>IF($D271="","",IFERROR(INDEX(CARDS!$B$5:$B$34,MATCH($D271,CARDS!$A$5:$A$34,0)),"⚠ Card ID?"))</f>
        <v/>
      </c>
      <c r="F271" s="45" t="str">
        <f>IF($D271="","",IFERROR(INDEX(CARDS!$C$5:$C$34,MATCH($D271,CARDS!$A$5:$A$34,0)),"⚠ Card ID?"))</f>
        <v/>
      </c>
      <c r="G271" s="37" t="n"/>
      <c r="H271" s="37" t="n"/>
      <c r="I271" s="41" t="n"/>
      <c r="J271" s="45" t="str">
        <f>IF($I271="","",IFERROR(INDEX(MCC_MASTER!$B$5:$B$504,MATCH($I271,MCC_MASTER!$A$5:$A$504,0)),"⚠ MCC chưa có"))</f>
        <v/>
      </c>
      <c r="K271" s="45" t="str">
        <f>IF($I271="","",IFERROR(IF(INDEX(MCC_MASTER!$C$5:$C$504,MATCH($I271,MCC_MASTER!$A$5:$A$504,0))="","Chưa phân loại",INDEX(MCC_MASTER!$C$5:$C$504,MATCH($I271,MCC_MASTER!$A$5:$A$504,0))),"Chưa phân loại"))</f>
        <v/>
      </c>
      <c r="L271" s="40" t="n"/>
      <c r="M271" s="48" t="str">
        <f>IF(OR($B271="",$D271=""),"",IF($AC271=0,0,IF(ISNUMBER(INDEX(CASHBACK_RULES!$L$5:$L$304,$AC271)),MAX(0,MIN($L271,INDEX(CASHBACK_RULES!$L$5:$L$304,$AC271)-$AH271)),MAX(0,$L271))))</f>
        <v/>
      </c>
      <c r="N271" s="49" t="str">
        <f>IF(OR($B271="",$D271=""),"",IF($AC271&gt;0,INDEX(CASHBACK_RULES!$I$5:$I$304,$AC271),0))</f>
        <v/>
      </c>
      <c r="O271" s="48" t="str">
        <f>IF(OR($B271="",$D271=""),"",ROUND($M271*$N271,0))</f>
        <v/>
      </c>
      <c r="P271" s="48" t="str">
        <f>IF($AC271&gt;0,IF(ISNUMBER(INDEX(CASHBACK_RULES!$J$5:$J$304,$AC271)),INDEX(CASHBACK_RULES!$J$5:$J$304,$AC271),"∞"),"")</f>
        <v/>
      </c>
      <c r="Q271" s="48" t="str">
        <f>IF(OR($B271="",$D271=""),"",IF($AC271=0,0,MAX(0,MIN($O271,IF(ISNUMBER($P271),$P271-$AF271,1E+15),IF(ISNUMBER($AA271),$AA271-$AG271,1E+15)))))</f>
        <v/>
      </c>
      <c r="R271" s="48" t="str">
        <f>IF(OR($B271="",$D271=""),"",IF($AC271=0,"",IF(AND(NOT(ISNUMBER($P271)),NOT(ISNUMBER($AA271))),"∞",MAX(0,MIN(IF(ISNUMBER($P271),$P271-$AF271-$Q271,1E+15),IF(ISNUMBER($AA271),$AA271-$AG271-$Q271,1E+15))))))</f>
        <v/>
      </c>
      <c r="S271" s="47" t="str">
        <f>IF($AD271="","",YEAR($AD271)*100+MONTH($AD271))</f>
        <v/>
      </c>
      <c r="T271" s="50" t="str">
        <f>IF($AD271="","",IFERROR(IF(INDEX(CARDS!$I$5:$I$34,MATCH($D271,CARDS!$A$5:$A$34,0))="","",IF(INDEX(CARDS!$I$5:$I$34,MATCH($D271,CARDS!$A$5:$A$34,0))&gt;INDEX(CARDS!$H$5:$H$34,MATCH($D271,CARDS!$A$5:$A$34,0)),DATE(YEAR($AD271),MONTH($AD271),MIN(INDEX(CARDS!$I$5:$I$34,MATCH($D271,CARDS!$A$5:$A$34,0)),DAY(EOMONTH($AD271,0)))),DATE(YEAR($AD271),MONTH($AD271)+1,MIN(INDEX(CARDS!$I$5:$I$34,MATCH($D271,CARDS!$A$5:$A$34,0)),DAY(EOMONTH($AD271,1)))))),""))</f>
        <v/>
      </c>
      <c r="U271" s="38" t="n"/>
      <c r="V271" s="37" t="n"/>
      <c r="W271" s="38" t="n"/>
      <c r="X271" s="38" t="n"/>
      <c r="Y271" s="44" t="str">
        <f>IF($AC271&gt;0,INDEX(CASHBACK_RULES!$A$5:$A$304,$AC271),"")</f>
        <v/>
      </c>
      <c r="Z271" s="45" t="str">
        <f>IF($AC271&gt;0,INDEX(CASHBACK_RULES!$E$5:$E$304,$AC271)&amp;"","")</f>
        <v/>
      </c>
      <c r="AA271" s="48" t="str">
        <f>IF($AC271&gt;0,IF(ISNUMBER(INDEX(CASHBACK_RULES!$K$5:$K$304,$AC271)),INDEX(CASHBACK_RULES!$K$5:$K$304,$AC271),"∞"),"")</f>
        <v/>
      </c>
      <c r="AB271" s="44" t="str">
        <f>IF(OR($B271="",$D271=""),"",IF($U271="Cancelled","Đã hủy",IF($AC271=0,"Không được hoàn",IF($Q271=0,IF(OR($O271&gt;0,$M271&lt;$L271),"Đã đạt cap","Không được hoàn"),IF(OR($Q271&lt;$O271,$M271&lt;$L271),"Hoàn một phần","Được hoàn")))))</f>
        <v/>
      </c>
      <c r="AC271" s="43">
        <f>IF(OR($B271="",$D271="",$I271="",$L271=""),0,IF($U271="Cancelled",0,IF($W271&lt;&gt;"",IFERROR(IF(INDEX(CASHBACK_RULES!$B$5:$B$304,MATCH($W271,CASHBACK_RULES!$A$5:$A$304,0))=$D271,MATCH($W271,CASHBACK_RULES!$A$5:$A$304,0),0),0),IFERROR(MATCH(1,INDEX((CASHBACK_RULES!$B$5:$B$304=$D271)*(CASHBACK_RULES!$G$5:$G$304=$I271)*(((CASHBACK_RULES!$N$5:$N$304="")+(CASHBACK_RULES!$N$5:$N$304&lt;=$B271))&gt;0)*(((CASHBACK_RULES!$O$5:$O$304="")+(CASHBACK_RULES!$O$5:$O$304&gt;=$B271))&gt;0)*(((CASHBACK_RULES!$M$5:$M$304="")+(CASHBACK_RULES!$M$5:$M$304&lt;=$L271))&gt;0),0),0),0))))</f>
        <v>0</v>
      </c>
      <c r="AD271" s="51" t="str">
        <f>IF(OR($B271="",$D271=""),"",IFERROR(IF(INDEX(CARDS!$H$5:$H$34,MATCH($D271,CARDS!$A$5:$A$34,0))="","",IF(DAY($B271)&lt;=INDEX(CARDS!$H$5:$H$34,MATCH($D271,CARDS!$A$5:$A$34,0)),DATE(YEAR($B271),MONTH($B271),MIN(INDEX(CARDS!$H$5:$H$34,MATCH($D271,CARDS!$A$5:$A$34,0)),DAY(EOMONTH($B271,0)))),DATE(YEAR($B271),MONTH($B271)+1,MIN(INDEX(CARDS!$H$5:$H$34,MATCH($D271,CARDS!$A$5:$A$34,0)),DAY(EOMONTH($B271,1)))))),""))</f>
        <v/>
      </c>
      <c r="AE271" s="52" t="str">
        <f>IF($C271="","",$C271&amp;"|"&amp;COUNTIF($C$5:$C271,$C271))</f>
        <v/>
      </c>
      <c r="AF271" s="53">
        <f>IF($AC271&gt;0,SUMIFS(Q$4:Q270,$D$4:$D270,$D271,$Z$4:$Z270,$Z271,$C$4:$C270,$C271),0)</f>
        <v>0</v>
      </c>
      <c r="AG271" s="53">
        <f>IF($AC271&gt;0,SUMIFS(Q$4:Q270,$D$4:$D270,$D271,$C$4:$C270,$C271),0)</f>
        <v>0</v>
      </c>
      <c r="AH271" s="53">
        <f>IF($AC271&gt;0,SUMIFS(M$4:M270,$D$4:$D270,$D271,$Z$4:$Z270,$Z271,$C$4:$C270,$C271),0)</f>
        <v>0</v>
      </c>
      <c r="AI271" s="43">
        <f>IF(OR($C271="",$I271=""),0,IF(COUNTIFS($C$5:$C271,$C271,$I$5:$I271,$I271)=1,1,0))</f>
        <v>0</v>
      </c>
      <c r="AJ271" s="43" t="str">
        <f>IF($AI271=1,SUMIFS($AI$4:$AI270,$C$4:$C270,$C271)+1,"")</f>
        <v/>
      </c>
      <c r="AK271" s="43">
        <f>IF(OR($C271="",$K271=""),0,IF(COUNTIFS($C$5:$C271,$C271,$K$5:$K271,$K271)=1,1,0))</f>
        <v>0</v>
      </c>
      <c r="AL271" s="43" t="str">
        <f>IF($AK271=1,SUMIFS($AK$4:$AK270,$C$4:$C270,$C271)+1,"")</f>
        <v/>
      </c>
      <c r="AM271" s="43">
        <f>IF(OR($C271="",$G271=""),0,IF(COUNTIFS($C$5:$C271,$C271,$G$5:$G271,$G271)=1,1,0))</f>
        <v>0</v>
      </c>
      <c r="AN271" s="43" t="str">
        <f>IF($AM271=1,SUMIFS($AM$4:$AM270,$C$4:$C270,$C271)+1,"")</f>
        <v/>
      </c>
    </row>
    <row r="272">
      <c r="A272" s="44" t="str">
        <f>IF(OR($B272="",$D272=""),"","TX"&amp;TEXT(ROW()-4,"0000"))</f>
        <v/>
      </c>
      <c r="B272" s="42" t="n"/>
      <c r="C272" s="47" t="str">
        <f>IF($B272="","",YEAR($B272)*100+MONTH($B272))</f>
        <v/>
      </c>
      <c r="D272" s="37" t="n"/>
      <c r="E272" s="45" t="str">
        <f>IF($D272="","",IFERROR(INDEX(CARDS!$B$5:$B$34,MATCH($D272,CARDS!$A$5:$A$34,0)),"⚠ Card ID?"))</f>
        <v/>
      </c>
      <c r="F272" s="45" t="str">
        <f>IF($D272="","",IFERROR(INDEX(CARDS!$C$5:$C$34,MATCH($D272,CARDS!$A$5:$A$34,0)),"⚠ Card ID?"))</f>
        <v/>
      </c>
      <c r="G272" s="37" t="n"/>
      <c r="H272" s="37" t="n"/>
      <c r="I272" s="41" t="n"/>
      <c r="J272" s="45" t="str">
        <f>IF($I272="","",IFERROR(INDEX(MCC_MASTER!$B$5:$B$504,MATCH($I272,MCC_MASTER!$A$5:$A$504,0)),"⚠ MCC chưa có"))</f>
        <v/>
      </c>
      <c r="K272" s="45" t="str">
        <f>IF($I272="","",IFERROR(IF(INDEX(MCC_MASTER!$C$5:$C$504,MATCH($I272,MCC_MASTER!$A$5:$A$504,0))="","Chưa phân loại",INDEX(MCC_MASTER!$C$5:$C$504,MATCH($I272,MCC_MASTER!$A$5:$A$504,0))),"Chưa phân loại"))</f>
        <v/>
      </c>
      <c r="L272" s="40" t="n"/>
      <c r="M272" s="48" t="str">
        <f>IF(OR($B272="",$D272=""),"",IF($AC272=0,0,IF(ISNUMBER(INDEX(CASHBACK_RULES!$L$5:$L$304,$AC272)),MAX(0,MIN($L272,INDEX(CASHBACK_RULES!$L$5:$L$304,$AC272)-$AH272)),MAX(0,$L272))))</f>
        <v/>
      </c>
      <c r="N272" s="49" t="str">
        <f>IF(OR($B272="",$D272=""),"",IF($AC272&gt;0,INDEX(CASHBACK_RULES!$I$5:$I$304,$AC272),0))</f>
        <v/>
      </c>
      <c r="O272" s="48" t="str">
        <f>IF(OR($B272="",$D272=""),"",ROUND($M272*$N272,0))</f>
        <v/>
      </c>
      <c r="P272" s="48" t="str">
        <f>IF($AC272&gt;0,IF(ISNUMBER(INDEX(CASHBACK_RULES!$J$5:$J$304,$AC272)),INDEX(CASHBACK_RULES!$J$5:$J$304,$AC272),"∞"),"")</f>
        <v/>
      </c>
      <c r="Q272" s="48" t="str">
        <f>IF(OR($B272="",$D272=""),"",IF($AC272=0,0,MAX(0,MIN($O272,IF(ISNUMBER($P272),$P272-$AF272,1E+15),IF(ISNUMBER($AA272),$AA272-$AG272,1E+15)))))</f>
        <v/>
      </c>
      <c r="R272" s="48" t="str">
        <f>IF(OR($B272="",$D272=""),"",IF($AC272=0,"",IF(AND(NOT(ISNUMBER($P272)),NOT(ISNUMBER($AA272))),"∞",MAX(0,MIN(IF(ISNUMBER($P272),$P272-$AF272-$Q272,1E+15),IF(ISNUMBER($AA272),$AA272-$AG272-$Q272,1E+15))))))</f>
        <v/>
      </c>
      <c r="S272" s="47" t="str">
        <f>IF($AD272="","",YEAR($AD272)*100+MONTH($AD272))</f>
        <v/>
      </c>
      <c r="T272" s="50" t="str">
        <f>IF($AD272="","",IFERROR(IF(INDEX(CARDS!$I$5:$I$34,MATCH($D272,CARDS!$A$5:$A$34,0))="","",IF(INDEX(CARDS!$I$5:$I$34,MATCH($D272,CARDS!$A$5:$A$34,0))&gt;INDEX(CARDS!$H$5:$H$34,MATCH($D272,CARDS!$A$5:$A$34,0)),DATE(YEAR($AD272),MONTH($AD272),MIN(INDEX(CARDS!$I$5:$I$34,MATCH($D272,CARDS!$A$5:$A$34,0)),DAY(EOMONTH($AD272,0)))),DATE(YEAR($AD272),MONTH($AD272)+1,MIN(INDEX(CARDS!$I$5:$I$34,MATCH($D272,CARDS!$A$5:$A$34,0)),DAY(EOMONTH($AD272,1)))))),""))</f>
        <v/>
      </c>
      <c r="U272" s="38" t="n"/>
      <c r="V272" s="37" t="n"/>
      <c r="W272" s="38" t="n"/>
      <c r="X272" s="38" t="n"/>
      <c r="Y272" s="44" t="str">
        <f>IF($AC272&gt;0,INDEX(CASHBACK_RULES!$A$5:$A$304,$AC272),"")</f>
        <v/>
      </c>
      <c r="Z272" s="45" t="str">
        <f>IF($AC272&gt;0,INDEX(CASHBACK_RULES!$E$5:$E$304,$AC272)&amp;"","")</f>
        <v/>
      </c>
      <c r="AA272" s="48" t="str">
        <f>IF($AC272&gt;0,IF(ISNUMBER(INDEX(CASHBACK_RULES!$K$5:$K$304,$AC272)),INDEX(CASHBACK_RULES!$K$5:$K$304,$AC272),"∞"),"")</f>
        <v/>
      </c>
      <c r="AB272" s="44" t="str">
        <f>IF(OR($B272="",$D272=""),"",IF($U272="Cancelled","Đã hủy",IF($AC272=0,"Không được hoàn",IF($Q272=0,IF(OR($O272&gt;0,$M272&lt;$L272),"Đã đạt cap","Không được hoàn"),IF(OR($Q272&lt;$O272,$M272&lt;$L272),"Hoàn một phần","Được hoàn")))))</f>
        <v/>
      </c>
      <c r="AC272" s="43">
        <f>IF(OR($B272="",$D272="",$I272="",$L272=""),0,IF($U272="Cancelled",0,IF($W272&lt;&gt;"",IFERROR(IF(INDEX(CASHBACK_RULES!$B$5:$B$304,MATCH($W272,CASHBACK_RULES!$A$5:$A$304,0))=$D272,MATCH($W272,CASHBACK_RULES!$A$5:$A$304,0),0),0),IFERROR(MATCH(1,INDEX((CASHBACK_RULES!$B$5:$B$304=$D272)*(CASHBACK_RULES!$G$5:$G$304=$I272)*(((CASHBACK_RULES!$N$5:$N$304="")+(CASHBACK_RULES!$N$5:$N$304&lt;=$B272))&gt;0)*(((CASHBACK_RULES!$O$5:$O$304="")+(CASHBACK_RULES!$O$5:$O$304&gt;=$B272))&gt;0)*(((CASHBACK_RULES!$M$5:$M$304="")+(CASHBACK_RULES!$M$5:$M$304&lt;=$L272))&gt;0),0),0),0))))</f>
        <v>0</v>
      </c>
      <c r="AD272" s="51" t="str">
        <f>IF(OR($B272="",$D272=""),"",IFERROR(IF(INDEX(CARDS!$H$5:$H$34,MATCH($D272,CARDS!$A$5:$A$34,0))="","",IF(DAY($B272)&lt;=INDEX(CARDS!$H$5:$H$34,MATCH($D272,CARDS!$A$5:$A$34,0)),DATE(YEAR($B272),MONTH($B272),MIN(INDEX(CARDS!$H$5:$H$34,MATCH($D272,CARDS!$A$5:$A$34,0)),DAY(EOMONTH($B272,0)))),DATE(YEAR($B272),MONTH($B272)+1,MIN(INDEX(CARDS!$H$5:$H$34,MATCH($D272,CARDS!$A$5:$A$34,0)),DAY(EOMONTH($B272,1)))))),""))</f>
        <v/>
      </c>
      <c r="AE272" s="52" t="str">
        <f>IF($C272="","",$C272&amp;"|"&amp;COUNTIF($C$5:$C272,$C272))</f>
        <v/>
      </c>
      <c r="AF272" s="53">
        <f>IF($AC272&gt;0,SUMIFS(Q$4:Q271,$D$4:$D271,$D272,$Z$4:$Z271,$Z272,$C$4:$C271,$C272),0)</f>
        <v>0</v>
      </c>
      <c r="AG272" s="53">
        <f>IF($AC272&gt;0,SUMIFS(Q$4:Q271,$D$4:$D271,$D272,$C$4:$C271,$C272),0)</f>
        <v>0</v>
      </c>
      <c r="AH272" s="53">
        <f>IF($AC272&gt;0,SUMIFS(M$4:M271,$D$4:$D271,$D272,$Z$4:$Z271,$Z272,$C$4:$C271,$C272),0)</f>
        <v>0</v>
      </c>
      <c r="AI272" s="43">
        <f>IF(OR($C272="",$I272=""),0,IF(COUNTIFS($C$5:$C272,$C272,$I$5:$I272,$I272)=1,1,0))</f>
        <v>0</v>
      </c>
      <c r="AJ272" s="43" t="str">
        <f>IF($AI272=1,SUMIFS($AI$4:$AI271,$C$4:$C271,$C272)+1,"")</f>
        <v/>
      </c>
      <c r="AK272" s="43">
        <f>IF(OR($C272="",$K272=""),0,IF(COUNTIFS($C$5:$C272,$C272,$K$5:$K272,$K272)=1,1,0))</f>
        <v>0</v>
      </c>
      <c r="AL272" s="43" t="str">
        <f>IF($AK272=1,SUMIFS($AK$4:$AK271,$C$4:$C271,$C272)+1,"")</f>
        <v/>
      </c>
      <c r="AM272" s="43">
        <f>IF(OR($C272="",$G272=""),0,IF(COUNTIFS($C$5:$C272,$C272,$G$5:$G272,$G272)=1,1,0))</f>
        <v>0</v>
      </c>
      <c r="AN272" s="43" t="str">
        <f>IF($AM272=1,SUMIFS($AM$4:$AM271,$C$4:$C271,$C272)+1,"")</f>
        <v/>
      </c>
    </row>
    <row r="273">
      <c r="A273" s="44" t="str">
        <f>IF(OR($B273="",$D273=""),"","TX"&amp;TEXT(ROW()-4,"0000"))</f>
        <v/>
      </c>
      <c r="B273" s="42" t="n"/>
      <c r="C273" s="47" t="str">
        <f>IF($B273="","",YEAR($B273)*100+MONTH($B273))</f>
        <v/>
      </c>
      <c r="D273" s="37" t="n"/>
      <c r="E273" s="45" t="str">
        <f>IF($D273="","",IFERROR(INDEX(CARDS!$B$5:$B$34,MATCH($D273,CARDS!$A$5:$A$34,0)),"⚠ Card ID?"))</f>
        <v/>
      </c>
      <c r="F273" s="45" t="str">
        <f>IF($D273="","",IFERROR(INDEX(CARDS!$C$5:$C$34,MATCH($D273,CARDS!$A$5:$A$34,0)),"⚠ Card ID?"))</f>
        <v/>
      </c>
      <c r="G273" s="37" t="n"/>
      <c r="H273" s="37" t="n"/>
      <c r="I273" s="41" t="n"/>
      <c r="J273" s="45" t="str">
        <f>IF($I273="","",IFERROR(INDEX(MCC_MASTER!$B$5:$B$504,MATCH($I273,MCC_MASTER!$A$5:$A$504,0)),"⚠ MCC chưa có"))</f>
        <v/>
      </c>
      <c r="K273" s="45" t="str">
        <f>IF($I273="","",IFERROR(IF(INDEX(MCC_MASTER!$C$5:$C$504,MATCH($I273,MCC_MASTER!$A$5:$A$504,0))="","Chưa phân loại",INDEX(MCC_MASTER!$C$5:$C$504,MATCH($I273,MCC_MASTER!$A$5:$A$504,0))),"Chưa phân loại"))</f>
        <v/>
      </c>
      <c r="L273" s="40" t="n"/>
      <c r="M273" s="48" t="str">
        <f>IF(OR($B273="",$D273=""),"",IF($AC273=0,0,IF(ISNUMBER(INDEX(CASHBACK_RULES!$L$5:$L$304,$AC273)),MAX(0,MIN($L273,INDEX(CASHBACK_RULES!$L$5:$L$304,$AC273)-$AH273)),MAX(0,$L273))))</f>
        <v/>
      </c>
      <c r="N273" s="49" t="str">
        <f>IF(OR($B273="",$D273=""),"",IF($AC273&gt;0,INDEX(CASHBACK_RULES!$I$5:$I$304,$AC273),0))</f>
        <v/>
      </c>
      <c r="O273" s="48" t="str">
        <f>IF(OR($B273="",$D273=""),"",ROUND($M273*$N273,0))</f>
        <v/>
      </c>
      <c r="P273" s="48" t="str">
        <f>IF($AC273&gt;0,IF(ISNUMBER(INDEX(CASHBACK_RULES!$J$5:$J$304,$AC273)),INDEX(CASHBACK_RULES!$J$5:$J$304,$AC273),"∞"),"")</f>
        <v/>
      </c>
      <c r="Q273" s="48" t="str">
        <f>IF(OR($B273="",$D273=""),"",IF($AC273=0,0,MAX(0,MIN($O273,IF(ISNUMBER($P273),$P273-$AF273,1E+15),IF(ISNUMBER($AA273),$AA273-$AG273,1E+15)))))</f>
        <v/>
      </c>
      <c r="R273" s="48" t="str">
        <f>IF(OR($B273="",$D273=""),"",IF($AC273=0,"",IF(AND(NOT(ISNUMBER($P273)),NOT(ISNUMBER($AA273))),"∞",MAX(0,MIN(IF(ISNUMBER($P273),$P273-$AF273-$Q273,1E+15),IF(ISNUMBER($AA273),$AA273-$AG273-$Q273,1E+15))))))</f>
        <v/>
      </c>
      <c r="S273" s="47" t="str">
        <f>IF($AD273="","",YEAR($AD273)*100+MONTH($AD273))</f>
        <v/>
      </c>
      <c r="T273" s="50" t="str">
        <f>IF($AD273="","",IFERROR(IF(INDEX(CARDS!$I$5:$I$34,MATCH($D273,CARDS!$A$5:$A$34,0))="","",IF(INDEX(CARDS!$I$5:$I$34,MATCH($D273,CARDS!$A$5:$A$34,0))&gt;INDEX(CARDS!$H$5:$H$34,MATCH($D273,CARDS!$A$5:$A$34,0)),DATE(YEAR($AD273),MONTH($AD273),MIN(INDEX(CARDS!$I$5:$I$34,MATCH($D273,CARDS!$A$5:$A$34,0)),DAY(EOMONTH($AD273,0)))),DATE(YEAR($AD273),MONTH($AD273)+1,MIN(INDEX(CARDS!$I$5:$I$34,MATCH($D273,CARDS!$A$5:$A$34,0)),DAY(EOMONTH($AD273,1)))))),""))</f>
        <v/>
      </c>
      <c r="U273" s="38" t="n"/>
      <c r="V273" s="37" t="n"/>
      <c r="W273" s="38" t="n"/>
      <c r="X273" s="38" t="n"/>
      <c r="Y273" s="44" t="str">
        <f>IF($AC273&gt;0,INDEX(CASHBACK_RULES!$A$5:$A$304,$AC273),"")</f>
        <v/>
      </c>
      <c r="Z273" s="45" t="str">
        <f>IF($AC273&gt;0,INDEX(CASHBACK_RULES!$E$5:$E$304,$AC273)&amp;"","")</f>
        <v/>
      </c>
      <c r="AA273" s="48" t="str">
        <f>IF($AC273&gt;0,IF(ISNUMBER(INDEX(CASHBACK_RULES!$K$5:$K$304,$AC273)),INDEX(CASHBACK_RULES!$K$5:$K$304,$AC273),"∞"),"")</f>
        <v/>
      </c>
      <c r="AB273" s="44" t="str">
        <f>IF(OR($B273="",$D273=""),"",IF($U273="Cancelled","Đã hủy",IF($AC273=0,"Không được hoàn",IF($Q273=0,IF(OR($O273&gt;0,$M273&lt;$L273),"Đã đạt cap","Không được hoàn"),IF(OR($Q273&lt;$O273,$M273&lt;$L273),"Hoàn một phần","Được hoàn")))))</f>
        <v/>
      </c>
      <c r="AC273" s="43">
        <f>IF(OR($B273="",$D273="",$I273="",$L273=""),0,IF($U273="Cancelled",0,IF($W273&lt;&gt;"",IFERROR(IF(INDEX(CASHBACK_RULES!$B$5:$B$304,MATCH($W273,CASHBACK_RULES!$A$5:$A$304,0))=$D273,MATCH($W273,CASHBACK_RULES!$A$5:$A$304,0),0),0),IFERROR(MATCH(1,INDEX((CASHBACK_RULES!$B$5:$B$304=$D273)*(CASHBACK_RULES!$G$5:$G$304=$I273)*(((CASHBACK_RULES!$N$5:$N$304="")+(CASHBACK_RULES!$N$5:$N$304&lt;=$B273))&gt;0)*(((CASHBACK_RULES!$O$5:$O$304="")+(CASHBACK_RULES!$O$5:$O$304&gt;=$B273))&gt;0)*(((CASHBACK_RULES!$M$5:$M$304="")+(CASHBACK_RULES!$M$5:$M$304&lt;=$L273))&gt;0),0),0),0))))</f>
        <v>0</v>
      </c>
      <c r="AD273" s="51" t="str">
        <f>IF(OR($B273="",$D273=""),"",IFERROR(IF(INDEX(CARDS!$H$5:$H$34,MATCH($D273,CARDS!$A$5:$A$34,0))="","",IF(DAY($B273)&lt;=INDEX(CARDS!$H$5:$H$34,MATCH($D273,CARDS!$A$5:$A$34,0)),DATE(YEAR($B273),MONTH($B273),MIN(INDEX(CARDS!$H$5:$H$34,MATCH($D273,CARDS!$A$5:$A$34,0)),DAY(EOMONTH($B273,0)))),DATE(YEAR($B273),MONTH($B273)+1,MIN(INDEX(CARDS!$H$5:$H$34,MATCH($D273,CARDS!$A$5:$A$34,0)),DAY(EOMONTH($B273,1)))))),""))</f>
        <v/>
      </c>
      <c r="AE273" s="52" t="str">
        <f>IF($C273="","",$C273&amp;"|"&amp;COUNTIF($C$5:$C273,$C273))</f>
        <v/>
      </c>
      <c r="AF273" s="53">
        <f>IF($AC273&gt;0,SUMIFS(Q$4:Q272,$D$4:$D272,$D273,$Z$4:$Z272,$Z273,$C$4:$C272,$C273),0)</f>
        <v>0</v>
      </c>
      <c r="AG273" s="53">
        <f>IF($AC273&gt;0,SUMIFS(Q$4:Q272,$D$4:$D272,$D273,$C$4:$C272,$C273),0)</f>
        <v>0</v>
      </c>
      <c r="AH273" s="53">
        <f>IF($AC273&gt;0,SUMIFS(M$4:M272,$D$4:$D272,$D273,$Z$4:$Z272,$Z273,$C$4:$C272,$C273),0)</f>
        <v>0</v>
      </c>
      <c r="AI273" s="43">
        <f>IF(OR($C273="",$I273=""),0,IF(COUNTIFS($C$5:$C273,$C273,$I$5:$I273,$I273)=1,1,0))</f>
        <v>0</v>
      </c>
      <c r="AJ273" s="43" t="str">
        <f>IF($AI273=1,SUMIFS($AI$4:$AI272,$C$4:$C272,$C273)+1,"")</f>
        <v/>
      </c>
      <c r="AK273" s="43">
        <f>IF(OR($C273="",$K273=""),0,IF(COUNTIFS($C$5:$C273,$C273,$K$5:$K273,$K273)=1,1,0))</f>
        <v>0</v>
      </c>
      <c r="AL273" s="43" t="str">
        <f>IF($AK273=1,SUMIFS($AK$4:$AK272,$C$4:$C272,$C273)+1,"")</f>
        <v/>
      </c>
      <c r="AM273" s="43">
        <f>IF(OR($C273="",$G273=""),0,IF(COUNTIFS($C$5:$C273,$C273,$G$5:$G273,$G273)=1,1,0))</f>
        <v>0</v>
      </c>
      <c r="AN273" s="43" t="str">
        <f>IF($AM273=1,SUMIFS($AM$4:$AM272,$C$4:$C272,$C273)+1,"")</f>
        <v/>
      </c>
    </row>
    <row r="274">
      <c r="A274" s="44" t="str">
        <f>IF(OR($B274="",$D274=""),"","TX"&amp;TEXT(ROW()-4,"0000"))</f>
        <v/>
      </c>
      <c r="B274" s="42" t="n"/>
      <c r="C274" s="47" t="str">
        <f>IF($B274="","",YEAR($B274)*100+MONTH($B274))</f>
        <v/>
      </c>
      <c r="D274" s="37" t="n"/>
      <c r="E274" s="45" t="str">
        <f>IF($D274="","",IFERROR(INDEX(CARDS!$B$5:$B$34,MATCH($D274,CARDS!$A$5:$A$34,0)),"⚠ Card ID?"))</f>
        <v/>
      </c>
      <c r="F274" s="45" t="str">
        <f>IF($D274="","",IFERROR(INDEX(CARDS!$C$5:$C$34,MATCH($D274,CARDS!$A$5:$A$34,0)),"⚠ Card ID?"))</f>
        <v/>
      </c>
      <c r="G274" s="37" t="n"/>
      <c r="H274" s="37" t="n"/>
      <c r="I274" s="41" t="n"/>
      <c r="J274" s="45" t="str">
        <f>IF($I274="","",IFERROR(INDEX(MCC_MASTER!$B$5:$B$504,MATCH($I274,MCC_MASTER!$A$5:$A$504,0)),"⚠ MCC chưa có"))</f>
        <v/>
      </c>
      <c r="K274" s="45" t="str">
        <f>IF($I274="","",IFERROR(IF(INDEX(MCC_MASTER!$C$5:$C$504,MATCH($I274,MCC_MASTER!$A$5:$A$504,0))="","Chưa phân loại",INDEX(MCC_MASTER!$C$5:$C$504,MATCH($I274,MCC_MASTER!$A$5:$A$504,0))),"Chưa phân loại"))</f>
        <v/>
      </c>
      <c r="L274" s="40" t="n"/>
      <c r="M274" s="48" t="str">
        <f>IF(OR($B274="",$D274=""),"",IF($AC274=0,0,IF(ISNUMBER(INDEX(CASHBACK_RULES!$L$5:$L$304,$AC274)),MAX(0,MIN($L274,INDEX(CASHBACK_RULES!$L$5:$L$304,$AC274)-$AH274)),MAX(0,$L274))))</f>
        <v/>
      </c>
      <c r="N274" s="49" t="str">
        <f>IF(OR($B274="",$D274=""),"",IF($AC274&gt;0,INDEX(CASHBACK_RULES!$I$5:$I$304,$AC274),0))</f>
        <v/>
      </c>
      <c r="O274" s="48" t="str">
        <f>IF(OR($B274="",$D274=""),"",ROUND($M274*$N274,0))</f>
        <v/>
      </c>
      <c r="P274" s="48" t="str">
        <f>IF($AC274&gt;0,IF(ISNUMBER(INDEX(CASHBACK_RULES!$J$5:$J$304,$AC274)),INDEX(CASHBACK_RULES!$J$5:$J$304,$AC274),"∞"),"")</f>
        <v/>
      </c>
      <c r="Q274" s="48" t="str">
        <f>IF(OR($B274="",$D274=""),"",IF($AC274=0,0,MAX(0,MIN($O274,IF(ISNUMBER($P274),$P274-$AF274,1E+15),IF(ISNUMBER($AA274),$AA274-$AG274,1E+15)))))</f>
        <v/>
      </c>
      <c r="R274" s="48" t="str">
        <f>IF(OR($B274="",$D274=""),"",IF($AC274=0,"",IF(AND(NOT(ISNUMBER($P274)),NOT(ISNUMBER($AA274))),"∞",MAX(0,MIN(IF(ISNUMBER($P274),$P274-$AF274-$Q274,1E+15),IF(ISNUMBER($AA274),$AA274-$AG274-$Q274,1E+15))))))</f>
        <v/>
      </c>
      <c r="S274" s="47" t="str">
        <f>IF($AD274="","",YEAR($AD274)*100+MONTH($AD274))</f>
        <v/>
      </c>
      <c r="T274" s="50" t="str">
        <f>IF($AD274="","",IFERROR(IF(INDEX(CARDS!$I$5:$I$34,MATCH($D274,CARDS!$A$5:$A$34,0))="","",IF(INDEX(CARDS!$I$5:$I$34,MATCH($D274,CARDS!$A$5:$A$34,0))&gt;INDEX(CARDS!$H$5:$H$34,MATCH($D274,CARDS!$A$5:$A$34,0)),DATE(YEAR($AD274),MONTH($AD274),MIN(INDEX(CARDS!$I$5:$I$34,MATCH($D274,CARDS!$A$5:$A$34,0)),DAY(EOMONTH($AD274,0)))),DATE(YEAR($AD274),MONTH($AD274)+1,MIN(INDEX(CARDS!$I$5:$I$34,MATCH($D274,CARDS!$A$5:$A$34,0)),DAY(EOMONTH($AD274,1)))))),""))</f>
        <v/>
      </c>
      <c r="U274" s="38" t="n"/>
      <c r="V274" s="37" t="n"/>
      <c r="W274" s="38" t="n"/>
      <c r="X274" s="38" t="n"/>
      <c r="Y274" s="44" t="str">
        <f>IF($AC274&gt;0,INDEX(CASHBACK_RULES!$A$5:$A$304,$AC274),"")</f>
        <v/>
      </c>
      <c r="Z274" s="45" t="str">
        <f>IF($AC274&gt;0,INDEX(CASHBACK_RULES!$E$5:$E$304,$AC274)&amp;"","")</f>
        <v/>
      </c>
      <c r="AA274" s="48" t="str">
        <f>IF($AC274&gt;0,IF(ISNUMBER(INDEX(CASHBACK_RULES!$K$5:$K$304,$AC274)),INDEX(CASHBACK_RULES!$K$5:$K$304,$AC274),"∞"),"")</f>
        <v/>
      </c>
      <c r="AB274" s="44" t="str">
        <f>IF(OR($B274="",$D274=""),"",IF($U274="Cancelled","Đã hủy",IF($AC274=0,"Không được hoàn",IF($Q274=0,IF(OR($O274&gt;0,$M274&lt;$L274),"Đã đạt cap","Không được hoàn"),IF(OR($Q274&lt;$O274,$M274&lt;$L274),"Hoàn một phần","Được hoàn")))))</f>
        <v/>
      </c>
      <c r="AC274" s="43">
        <f>IF(OR($B274="",$D274="",$I274="",$L274=""),0,IF($U274="Cancelled",0,IF($W274&lt;&gt;"",IFERROR(IF(INDEX(CASHBACK_RULES!$B$5:$B$304,MATCH($W274,CASHBACK_RULES!$A$5:$A$304,0))=$D274,MATCH($W274,CASHBACK_RULES!$A$5:$A$304,0),0),0),IFERROR(MATCH(1,INDEX((CASHBACK_RULES!$B$5:$B$304=$D274)*(CASHBACK_RULES!$G$5:$G$304=$I274)*(((CASHBACK_RULES!$N$5:$N$304="")+(CASHBACK_RULES!$N$5:$N$304&lt;=$B274))&gt;0)*(((CASHBACK_RULES!$O$5:$O$304="")+(CASHBACK_RULES!$O$5:$O$304&gt;=$B274))&gt;0)*(((CASHBACK_RULES!$M$5:$M$304="")+(CASHBACK_RULES!$M$5:$M$304&lt;=$L274))&gt;0),0),0),0))))</f>
        <v>0</v>
      </c>
      <c r="AD274" s="51" t="str">
        <f>IF(OR($B274="",$D274=""),"",IFERROR(IF(INDEX(CARDS!$H$5:$H$34,MATCH($D274,CARDS!$A$5:$A$34,0))="","",IF(DAY($B274)&lt;=INDEX(CARDS!$H$5:$H$34,MATCH($D274,CARDS!$A$5:$A$34,0)),DATE(YEAR($B274),MONTH($B274),MIN(INDEX(CARDS!$H$5:$H$34,MATCH($D274,CARDS!$A$5:$A$34,0)),DAY(EOMONTH($B274,0)))),DATE(YEAR($B274),MONTH($B274)+1,MIN(INDEX(CARDS!$H$5:$H$34,MATCH($D274,CARDS!$A$5:$A$34,0)),DAY(EOMONTH($B274,1)))))),""))</f>
        <v/>
      </c>
      <c r="AE274" s="52" t="str">
        <f>IF($C274="","",$C274&amp;"|"&amp;COUNTIF($C$5:$C274,$C274))</f>
        <v/>
      </c>
      <c r="AF274" s="53">
        <f>IF($AC274&gt;0,SUMIFS(Q$4:Q273,$D$4:$D273,$D274,$Z$4:$Z273,$Z274,$C$4:$C273,$C274),0)</f>
        <v>0</v>
      </c>
      <c r="AG274" s="53">
        <f>IF($AC274&gt;0,SUMIFS(Q$4:Q273,$D$4:$D273,$D274,$C$4:$C273,$C274),0)</f>
        <v>0</v>
      </c>
      <c r="AH274" s="53">
        <f>IF($AC274&gt;0,SUMIFS(M$4:M273,$D$4:$D273,$D274,$Z$4:$Z273,$Z274,$C$4:$C273,$C274),0)</f>
        <v>0</v>
      </c>
      <c r="AI274" s="43">
        <f>IF(OR($C274="",$I274=""),0,IF(COUNTIFS($C$5:$C274,$C274,$I$5:$I274,$I274)=1,1,0))</f>
        <v>0</v>
      </c>
      <c r="AJ274" s="43" t="str">
        <f>IF($AI274=1,SUMIFS($AI$4:$AI273,$C$4:$C273,$C274)+1,"")</f>
        <v/>
      </c>
      <c r="AK274" s="43">
        <f>IF(OR($C274="",$K274=""),0,IF(COUNTIFS($C$5:$C274,$C274,$K$5:$K274,$K274)=1,1,0))</f>
        <v>0</v>
      </c>
      <c r="AL274" s="43" t="str">
        <f>IF($AK274=1,SUMIFS($AK$4:$AK273,$C$4:$C273,$C274)+1,"")</f>
        <v/>
      </c>
      <c r="AM274" s="43">
        <f>IF(OR($C274="",$G274=""),0,IF(COUNTIFS($C$5:$C274,$C274,$G$5:$G274,$G274)=1,1,0))</f>
        <v>0</v>
      </c>
      <c r="AN274" s="43" t="str">
        <f>IF($AM274=1,SUMIFS($AM$4:$AM273,$C$4:$C273,$C274)+1,"")</f>
        <v/>
      </c>
    </row>
    <row r="275">
      <c r="A275" s="44" t="str">
        <f>IF(OR($B275="",$D275=""),"","TX"&amp;TEXT(ROW()-4,"0000"))</f>
        <v/>
      </c>
      <c r="B275" s="42" t="n"/>
      <c r="C275" s="47" t="str">
        <f>IF($B275="","",YEAR($B275)*100+MONTH($B275))</f>
        <v/>
      </c>
      <c r="D275" s="37" t="n"/>
      <c r="E275" s="45" t="str">
        <f>IF($D275="","",IFERROR(INDEX(CARDS!$B$5:$B$34,MATCH($D275,CARDS!$A$5:$A$34,0)),"⚠ Card ID?"))</f>
        <v/>
      </c>
      <c r="F275" s="45" t="str">
        <f>IF($D275="","",IFERROR(INDEX(CARDS!$C$5:$C$34,MATCH($D275,CARDS!$A$5:$A$34,0)),"⚠ Card ID?"))</f>
        <v/>
      </c>
      <c r="G275" s="37" t="n"/>
      <c r="H275" s="37" t="n"/>
      <c r="I275" s="41" t="n"/>
      <c r="J275" s="45" t="str">
        <f>IF($I275="","",IFERROR(INDEX(MCC_MASTER!$B$5:$B$504,MATCH($I275,MCC_MASTER!$A$5:$A$504,0)),"⚠ MCC chưa có"))</f>
        <v/>
      </c>
      <c r="K275" s="45" t="str">
        <f>IF($I275="","",IFERROR(IF(INDEX(MCC_MASTER!$C$5:$C$504,MATCH($I275,MCC_MASTER!$A$5:$A$504,0))="","Chưa phân loại",INDEX(MCC_MASTER!$C$5:$C$504,MATCH($I275,MCC_MASTER!$A$5:$A$504,0))),"Chưa phân loại"))</f>
        <v/>
      </c>
      <c r="L275" s="40" t="n"/>
      <c r="M275" s="48" t="str">
        <f>IF(OR($B275="",$D275=""),"",IF($AC275=0,0,IF(ISNUMBER(INDEX(CASHBACK_RULES!$L$5:$L$304,$AC275)),MAX(0,MIN($L275,INDEX(CASHBACK_RULES!$L$5:$L$304,$AC275)-$AH275)),MAX(0,$L275))))</f>
        <v/>
      </c>
      <c r="N275" s="49" t="str">
        <f>IF(OR($B275="",$D275=""),"",IF($AC275&gt;0,INDEX(CASHBACK_RULES!$I$5:$I$304,$AC275),0))</f>
        <v/>
      </c>
      <c r="O275" s="48" t="str">
        <f>IF(OR($B275="",$D275=""),"",ROUND($M275*$N275,0))</f>
        <v/>
      </c>
      <c r="P275" s="48" t="str">
        <f>IF($AC275&gt;0,IF(ISNUMBER(INDEX(CASHBACK_RULES!$J$5:$J$304,$AC275)),INDEX(CASHBACK_RULES!$J$5:$J$304,$AC275),"∞"),"")</f>
        <v/>
      </c>
      <c r="Q275" s="48" t="str">
        <f>IF(OR($B275="",$D275=""),"",IF($AC275=0,0,MAX(0,MIN($O275,IF(ISNUMBER($P275),$P275-$AF275,1E+15),IF(ISNUMBER($AA275),$AA275-$AG275,1E+15)))))</f>
        <v/>
      </c>
      <c r="R275" s="48" t="str">
        <f>IF(OR($B275="",$D275=""),"",IF($AC275=0,"",IF(AND(NOT(ISNUMBER($P275)),NOT(ISNUMBER($AA275))),"∞",MAX(0,MIN(IF(ISNUMBER($P275),$P275-$AF275-$Q275,1E+15),IF(ISNUMBER($AA275),$AA275-$AG275-$Q275,1E+15))))))</f>
        <v/>
      </c>
      <c r="S275" s="47" t="str">
        <f>IF($AD275="","",YEAR($AD275)*100+MONTH($AD275))</f>
        <v/>
      </c>
      <c r="T275" s="50" t="str">
        <f>IF($AD275="","",IFERROR(IF(INDEX(CARDS!$I$5:$I$34,MATCH($D275,CARDS!$A$5:$A$34,0))="","",IF(INDEX(CARDS!$I$5:$I$34,MATCH($D275,CARDS!$A$5:$A$34,0))&gt;INDEX(CARDS!$H$5:$H$34,MATCH($D275,CARDS!$A$5:$A$34,0)),DATE(YEAR($AD275),MONTH($AD275),MIN(INDEX(CARDS!$I$5:$I$34,MATCH($D275,CARDS!$A$5:$A$34,0)),DAY(EOMONTH($AD275,0)))),DATE(YEAR($AD275),MONTH($AD275)+1,MIN(INDEX(CARDS!$I$5:$I$34,MATCH($D275,CARDS!$A$5:$A$34,0)),DAY(EOMONTH($AD275,1)))))),""))</f>
        <v/>
      </c>
      <c r="U275" s="38" t="n"/>
      <c r="V275" s="37" t="n"/>
      <c r="W275" s="38" t="n"/>
      <c r="X275" s="38" t="n"/>
      <c r="Y275" s="44" t="str">
        <f>IF($AC275&gt;0,INDEX(CASHBACK_RULES!$A$5:$A$304,$AC275),"")</f>
        <v/>
      </c>
      <c r="Z275" s="45" t="str">
        <f>IF($AC275&gt;0,INDEX(CASHBACK_RULES!$E$5:$E$304,$AC275)&amp;"","")</f>
        <v/>
      </c>
      <c r="AA275" s="48" t="str">
        <f>IF($AC275&gt;0,IF(ISNUMBER(INDEX(CASHBACK_RULES!$K$5:$K$304,$AC275)),INDEX(CASHBACK_RULES!$K$5:$K$304,$AC275),"∞"),"")</f>
        <v/>
      </c>
      <c r="AB275" s="44" t="str">
        <f>IF(OR($B275="",$D275=""),"",IF($U275="Cancelled","Đã hủy",IF($AC275=0,"Không được hoàn",IF($Q275=0,IF(OR($O275&gt;0,$M275&lt;$L275),"Đã đạt cap","Không được hoàn"),IF(OR($Q275&lt;$O275,$M275&lt;$L275),"Hoàn một phần","Được hoàn")))))</f>
        <v/>
      </c>
      <c r="AC275" s="43">
        <f>IF(OR($B275="",$D275="",$I275="",$L275=""),0,IF($U275="Cancelled",0,IF($W275&lt;&gt;"",IFERROR(IF(INDEX(CASHBACK_RULES!$B$5:$B$304,MATCH($W275,CASHBACK_RULES!$A$5:$A$304,0))=$D275,MATCH($W275,CASHBACK_RULES!$A$5:$A$304,0),0),0),IFERROR(MATCH(1,INDEX((CASHBACK_RULES!$B$5:$B$304=$D275)*(CASHBACK_RULES!$G$5:$G$304=$I275)*(((CASHBACK_RULES!$N$5:$N$304="")+(CASHBACK_RULES!$N$5:$N$304&lt;=$B275))&gt;0)*(((CASHBACK_RULES!$O$5:$O$304="")+(CASHBACK_RULES!$O$5:$O$304&gt;=$B275))&gt;0)*(((CASHBACK_RULES!$M$5:$M$304="")+(CASHBACK_RULES!$M$5:$M$304&lt;=$L275))&gt;0),0),0),0))))</f>
        <v>0</v>
      </c>
      <c r="AD275" s="51" t="str">
        <f>IF(OR($B275="",$D275=""),"",IFERROR(IF(INDEX(CARDS!$H$5:$H$34,MATCH($D275,CARDS!$A$5:$A$34,0))="","",IF(DAY($B275)&lt;=INDEX(CARDS!$H$5:$H$34,MATCH($D275,CARDS!$A$5:$A$34,0)),DATE(YEAR($B275),MONTH($B275),MIN(INDEX(CARDS!$H$5:$H$34,MATCH($D275,CARDS!$A$5:$A$34,0)),DAY(EOMONTH($B275,0)))),DATE(YEAR($B275),MONTH($B275)+1,MIN(INDEX(CARDS!$H$5:$H$34,MATCH($D275,CARDS!$A$5:$A$34,0)),DAY(EOMONTH($B275,1)))))),""))</f>
        <v/>
      </c>
      <c r="AE275" s="52" t="str">
        <f>IF($C275="","",$C275&amp;"|"&amp;COUNTIF($C$5:$C275,$C275))</f>
        <v/>
      </c>
      <c r="AF275" s="53">
        <f>IF($AC275&gt;0,SUMIFS(Q$4:Q274,$D$4:$D274,$D275,$Z$4:$Z274,$Z275,$C$4:$C274,$C275),0)</f>
        <v>0</v>
      </c>
      <c r="AG275" s="53">
        <f>IF($AC275&gt;0,SUMIFS(Q$4:Q274,$D$4:$D274,$D275,$C$4:$C274,$C275),0)</f>
        <v>0</v>
      </c>
      <c r="AH275" s="53">
        <f>IF($AC275&gt;0,SUMIFS(M$4:M274,$D$4:$D274,$D275,$Z$4:$Z274,$Z275,$C$4:$C274,$C275),0)</f>
        <v>0</v>
      </c>
      <c r="AI275" s="43">
        <f>IF(OR($C275="",$I275=""),0,IF(COUNTIFS($C$5:$C275,$C275,$I$5:$I275,$I275)=1,1,0))</f>
        <v>0</v>
      </c>
      <c r="AJ275" s="43" t="str">
        <f>IF($AI275=1,SUMIFS($AI$4:$AI274,$C$4:$C274,$C275)+1,"")</f>
        <v/>
      </c>
      <c r="AK275" s="43">
        <f>IF(OR($C275="",$K275=""),0,IF(COUNTIFS($C$5:$C275,$C275,$K$5:$K275,$K275)=1,1,0))</f>
        <v>0</v>
      </c>
      <c r="AL275" s="43" t="str">
        <f>IF($AK275=1,SUMIFS($AK$4:$AK274,$C$4:$C274,$C275)+1,"")</f>
        <v/>
      </c>
      <c r="AM275" s="43">
        <f>IF(OR($C275="",$G275=""),0,IF(COUNTIFS($C$5:$C275,$C275,$G$5:$G275,$G275)=1,1,0))</f>
        <v>0</v>
      </c>
      <c r="AN275" s="43" t="str">
        <f>IF($AM275=1,SUMIFS($AM$4:$AM274,$C$4:$C274,$C275)+1,"")</f>
        <v/>
      </c>
    </row>
    <row r="276">
      <c r="A276" s="44" t="str">
        <f>IF(OR($B276="",$D276=""),"","TX"&amp;TEXT(ROW()-4,"0000"))</f>
        <v/>
      </c>
      <c r="B276" s="42" t="n"/>
      <c r="C276" s="47" t="str">
        <f>IF($B276="","",YEAR($B276)*100+MONTH($B276))</f>
        <v/>
      </c>
      <c r="D276" s="37" t="n"/>
      <c r="E276" s="45" t="str">
        <f>IF($D276="","",IFERROR(INDEX(CARDS!$B$5:$B$34,MATCH($D276,CARDS!$A$5:$A$34,0)),"⚠ Card ID?"))</f>
        <v/>
      </c>
      <c r="F276" s="45" t="str">
        <f>IF($D276="","",IFERROR(INDEX(CARDS!$C$5:$C$34,MATCH($D276,CARDS!$A$5:$A$34,0)),"⚠ Card ID?"))</f>
        <v/>
      </c>
      <c r="G276" s="37" t="n"/>
      <c r="H276" s="37" t="n"/>
      <c r="I276" s="41" t="n"/>
      <c r="J276" s="45" t="str">
        <f>IF($I276="","",IFERROR(INDEX(MCC_MASTER!$B$5:$B$504,MATCH($I276,MCC_MASTER!$A$5:$A$504,0)),"⚠ MCC chưa có"))</f>
        <v/>
      </c>
      <c r="K276" s="45" t="str">
        <f>IF($I276="","",IFERROR(IF(INDEX(MCC_MASTER!$C$5:$C$504,MATCH($I276,MCC_MASTER!$A$5:$A$504,0))="","Chưa phân loại",INDEX(MCC_MASTER!$C$5:$C$504,MATCH($I276,MCC_MASTER!$A$5:$A$504,0))),"Chưa phân loại"))</f>
        <v/>
      </c>
      <c r="L276" s="40" t="n"/>
      <c r="M276" s="48" t="str">
        <f>IF(OR($B276="",$D276=""),"",IF($AC276=0,0,IF(ISNUMBER(INDEX(CASHBACK_RULES!$L$5:$L$304,$AC276)),MAX(0,MIN($L276,INDEX(CASHBACK_RULES!$L$5:$L$304,$AC276)-$AH276)),MAX(0,$L276))))</f>
        <v/>
      </c>
      <c r="N276" s="49" t="str">
        <f>IF(OR($B276="",$D276=""),"",IF($AC276&gt;0,INDEX(CASHBACK_RULES!$I$5:$I$304,$AC276),0))</f>
        <v/>
      </c>
      <c r="O276" s="48" t="str">
        <f>IF(OR($B276="",$D276=""),"",ROUND($M276*$N276,0))</f>
        <v/>
      </c>
      <c r="P276" s="48" t="str">
        <f>IF($AC276&gt;0,IF(ISNUMBER(INDEX(CASHBACK_RULES!$J$5:$J$304,$AC276)),INDEX(CASHBACK_RULES!$J$5:$J$304,$AC276),"∞"),"")</f>
        <v/>
      </c>
      <c r="Q276" s="48" t="str">
        <f>IF(OR($B276="",$D276=""),"",IF($AC276=0,0,MAX(0,MIN($O276,IF(ISNUMBER($P276),$P276-$AF276,1E+15),IF(ISNUMBER($AA276),$AA276-$AG276,1E+15)))))</f>
        <v/>
      </c>
      <c r="R276" s="48" t="str">
        <f>IF(OR($B276="",$D276=""),"",IF($AC276=0,"",IF(AND(NOT(ISNUMBER($P276)),NOT(ISNUMBER($AA276))),"∞",MAX(0,MIN(IF(ISNUMBER($P276),$P276-$AF276-$Q276,1E+15),IF(ISNUMBER($AA276),$AA276-$AG276-$Q276,1E+15))))))</f>
        <v/>
      </c>
      <c r="S276" s="47" t="str">
        <f>IF($AD276="","",YEAR($AD276)*100+MONTH($AD276))</f>
        <v/>
      </c>
      <c r="T276" s="50" t="str">
        <f>IF($AD276="","",IFERROR(IF(INDEX(CARDS!$I$5:$I$34,MATCH($D276,CARDS!$A$5:$A$34,0))="","",IF(INDEX(CARDS!$I$5:$I$34,MATCH($D276,CARDS!$A$5:$A$34,0))&gt;INDEX(CARDS!$H$5:$H$34,MATCH($D276,CARDS!$A$5:$A$34,0)),DATE(YEAR($AD276),MONTH($AD276),MIN(INDEX(CARDS!$I$5:$I$34,MATCH($D276,CARDS!$A$5:$A$34,0)),DAY(EOMONTH($AD276,0)))),DATE(YEAR($AD276),MONTH($AD276)+1,MIN(INDEX(CARDS!$I$5:$I$34,MATCH($D276,CARDS!$A$5:$A$34,0)),DAY(EOMONTH($AD276,1)))))),""))</f>
        <v/>
      </c>
      <c r="U276" s="38" t="n"/>
      <c r="V276" s="37" t="n"/>
      <c r="W276" s="38" t="n"/>
      <c r="X276" s="38" t="n"/>
      <c r="Y276" s="44" t="str">
        <f>IF($AC276&gt;0,INDEX(CASHBACK_RULES!$A$5:$A$304,$AC276),"")</f>
        <v/>
      </c>
      <c r="Z276" s="45" t="str">
        <f>IF($AC276&gt;0,INDEX(CASHBACK_RULES!$E$5:$E$304,$AC276)&amp;"","")</f>
        <v/>
      </c>
      <c r="AA276" s="48" t="str">
        <f>IF($AC276&gt;0,IF(ISNUMBER(INDEX(CASHBACK_RULES!$K$5:$K$304,$AC276)),INDEX(CASHBACK_RULES!$K$5:$K$304,$AC276),"∞"),"")</f>
        <v/>
      </c>
      <c r="AB276" s="44" t="str">
        <f>IF(OR($B276="",$D276=""),"",IF($U276="Cancelled","Đã hủy",IF($AC276=0,"Không được hoàn",IF($Q276=0,IF(OR($O276&gt;0,$M276&lt;$L276),"Đã đạt cap","Không được hoàn"),IF(OR($Q276&lt;$O276,$M276&lt;$L276),"Hoàn một phần","Được hoàn")))))</f>
        <v/>
      </c>
      <c r="AC276" s="43">
        <f>IF(OR($B276="",$D276="",$I276="",$L276=""),0,IF($U276="Cancelled",0,IF($W276&lt;&gt;"",IFERROR(IF(INDEX(CASHBACK_RULES!$B$5:$B$304,MATCH($W276,CASHBACK_RULES!$A$5:$A$304,0))=$D276,MATCH($W276,CASHBACK_RULES!$A$5:$A$304,0),0),0),IFERROR(MATCH(1,INDEX((CASHBACK_RULES!$B$5:$B$304=$D276)*(CASHBACK_RULES!$G$5:$G$304=$I276)*(((CASHBACK_RULES!$N$5:$N$304="")+(CASHBACK_RULES!$N$5:$N$304&lt;=$B276))&gt;0)*(((CASHBACK_RULES!$O$5:$O$304="")+(CASHBACK_RULES!$O$5:$O$304&gt;=$B276))&gt;0)*(((CASHBACK_RULES!$M$5:$M$304="")+(CASHBACK_RULES!$M$5:$M$304&lt;=$L276))&gt;0),0),0),0))))</f>
        <v>0</v>
      </c>
      <c r="AD276" s="51" t="str">
        <f>IF(OR($B276="",$D276=""),"",IFERROR(IF(INDEX(CARDS!$H$5:$H$34,MATCH($D276,CARDS!$A$5:$A$34,0))="","",IF(DAY($B276)&lt;=INDEX(CARDS!$H$5:$H$34,MATCH($D276,CARDS!$A$5:$A$34,0)),DATE(YEAR($B276),MONTH($B276),MIN(INDEX(CARDS!$H$5:$H$34,MATCH($D276,CARDS!$A$5:$A$34,0)),DAY(EOMONTH($B276,0)))),DATE(YEAR($B276),MONTH($B276)+1,MIN(INDEX(CARDS!$H$5:$H$34,MATCH($D276,CARDS!$A$5:$A$34,0)),DAY(EOMONTH($B276,1)))))),""))</f>
        <v/>
      </c>
      <c r="AE276" s="52" t="str">
        <f>IF($C276="","",$C276&amp;"|"&amp;COUNTIF($C$5:$C276,$C276))</f>
        <v/>
      </c>
      <c r="AF276" s="53">
        <f>IF($AC276&gt;0,SUMIFS(Q$4:Q275,$D$4:$D275,$D276,$Z$4:$Z275,$Z276,$C$4:$C275,$C276),0)</f>
        <v>0</v>
      </c>
      <c r="AG276" s="53">
        <f>IF($AC276&gt;0,SUMIFS(Q$4:Q275,$D$4:$D275,$D276,$C$4:$C275,$C276),0)</f>
        <v>0</v>
      </c>
      <c r="AH276" s="53">
        <f>IF($AC276&gt;0,SUMIFS(M$4:M275,$D$4:$D275,$D276,$Z$4:$Z275,$Z276,$C$4:$C275,$C276),0)</f>
        <v>0</v>
      </c>
      <c r="AI276" s="43">
        <f>IF(OR($C276="",$I276=""),0,IF(COUNTIFS($C$5:$C276,$C276,$I$5:$I276,$I276)=1,1,0))</f>
        <v>0</v>
      </c>
      <c r="AJ276" s="43" t="str">
        <f>IF($AI276=1,SUMIFS($AI$4:$AI275,$C$4:$C275,$C276)+1,"")</f>
        <v/>
      </c>
      <c r="AK276" s="43">
        <f>IF(OR($C276="",$K276=""),0,IF(COUNTIFS($C$5:$C276,$C276,$K$5:$K276,$K276)=1,1,0))</f>
        <v>0</v>
      </c>
      <c r="AL276" s="43" t="str">
        <f>IF($AK276=1,SUMIFS($AK$4:$AK275,$C$4:$C275,$C276)+1,"")</f>
        <v/>
      </c>
      <c r="AM276" s="43">
        <f>IF(OR($C276="",$G276=""),0,IF(COUNTIFS($C$5:$C276,$C276,$G$5:$G276,$G276)=1,1,0))</f>
        <v>0</v>
      </c>
      <c r="AN276" s="43" t="str">
        <f>IF($AM276=1,SUMIFS($AM$4:$AM275,$C$4:$C275,$C276)+1,"")</f>
        <v/>
      </c>
    </row>
    <row r="277">
      <c r="A277" s="44" t="str">
        <f>IF(OR($B277="",$D277=""),"","TX"&amp;TEXT(ROW()-4,"0000"))</f>
        <v/>
      </c>
      <c r="B277" s="42" t="n"/>
      <c r="C277" s="47" t="str">
        <f>IF($B277="","",YEAR($B277)*100+MONTH($B277))</f>
        <v/>
      </c>
      <c r="D277" s="37" t="n"/>
      <c r="E277" s="45" t="str">
        <f>IF($D277="","",IFERROR(INDEX(CARDS!$B$5:$B$34,MATCH($D277,CARDS!$A$5:$A$34,0)),"⚠ Card ID?"))</f>
        <v/>
      </c>
      <c r="F277" s="45" t="str">
        <f>IF($D277="","",IFERROR(INDEX(CARDS!$C$5:$C$34,MATCH($D277,CARDS!$A$5:$A$34,0)),"⚠ Card ID?"))</f>
        <v/>
      </c>
      <c r="G277" s="37" t="n"/>
      <c r="H277" s="37" t="n"/>
      <c r="I277" s="41" t="n"/>
      <c r="J277" s="45" t="str">
        <f>IF($I277="","",IFERROR(INDEX(MCC_MASTER!$B$5:$B$504,MATCH($I277,MCC_MASTER!$A$5:$A$504,0)),"⚠ MCC chưa có"))</f>
        <v/>
      </c>
      <c r="K277" s="45" t="str">
        <f>IF($I277="","",IFERROR(IF(INDEX(MCC_MASTER!$C$5:$C$504,MATCH($I277,MCC_MASTER!$A$5:$A$504,0))="","Chưa phân loại",INDEX(MCC_MASTER!$C$5:$C$504,MATCH($I277,MCC_MASTER!$A$5:$A$504,0))),"Chưa phân loại"))</f>
        <v/>
      </c>
      <c r="L277" s="40" t="n"/>
      <c r="M277" s="48" t="str">
        <f>IF(OR($B277="",$D277=""),"",IF($AC277=0,0,IF(ISNUMBER(INDEX(CASHBACK_RULES!$L$5:$L$304,$AC277)),MAX(0,MIN($L277,INDEX(CASHBACK_RULES!$L$5:$L$304,$AC277)-$AH277)),MAX(0,$L277))))</f>
        <v/>
      </c>
      <c r="N277" s="49" t="str">
        <f>IF(OR($B277="",$D277=""),"",IF($AC277&gt;0,INDEX(CASHBACK_RULES!$I$5:$I$304,$AC277),0))</f>
        <v/>
      </c>
      <c r="O277" s="48" t="str">
        <f>IF(OR($B277="",$D277=""),"",ROUND($M277*$N277,0))</f>
        <v/>
      </c>
      <c r="P277" s="48" t="str">
        <f>IF($AC277&gt;0,IF(ISNUMBER(INDEX(CASHBACK_RULES!$J$5:$J$304,$AC277)),INDEX(CASHBACK_RULES!$J$5:$J$304,$AC277),"∞"),"")</f>
        <v/>
      </c>
      <c r="Q277" s="48" t="str">
        <f>IF(OR($B277="",$D277=""),"",IF($AC277=0,0,MAX(0,MIN($O277,IF(ISNUMBER($P277),$P277-$AF277,1E+15),IF(ISNUMBER($AA277),$AA277-$AG277,1E+15)))))</f>
        <v/>
      </c>
      <c r="R277" s="48" t="str">
        <f>IF(OR($B277="",$D277=""),"",IF($AC277=0,"",IF(AND(NOT(ISNUMBER($P277)),NOT(ISNUMBER($AA277))),"∞",MAX(0,MIN(IF(ISNUMBER($P277),$P277-$AF277-$Q277,1E+15),IF(ISNUMBER($AA277),$AA277-$AG277-$Q277,1E+15))))))</f>
        <v/>
      </c>
      <c r="S277" s="47" t="str">
        <f>IF($AD277="","",YEAR($AD277)*100+MONTH($AD277))</f>
        <v/>
      </c>
      <c r="T277" s="50" t="str">
        <f>IF($AD277="","",IFERROR(IF(INDEX(CARDS!$I$5:$I$34,MATCH($D277,CARDS!$A$5:$A$34,0))="","",IF(INDEX(CARDS!$I$5:$I$34,MATCH($D277,CARDS!$A$5:$A$34,0))&gt;INDEX(CARDS!$H$5:$H$34,MATCH($D277,CARDS!$A$5:$A$34,0)),DATE(YEAR($AD277),MONTH($AD277),MIN(INDEX(CARDS!$I$5:$I$34,MATCH($D277,CARDS!$A$5:$A$34,0)),DAY(EOMONTH($AD277,0)))),DATE(YEAR($AD277),MONTH($AD277)+1,MIN(INDEX(CARDS!$I$5:$I$34,MATCH($D277,CARDS!$A$5:$A$34,0)),DAY(EOMONTH($AD277,1)))))),""))</f>
        <v/>
      </c>
      <c r="U277" s="38" t="n"/>
      <c r="V277" s="37" t="n"/>
      <c r="W277" s="38" t="n"/>
      <c r="X277" s="38" t="n"/>
      <c r="Y277" s="44" t="str">
        <f>IF($AC277&gt;0,INDEX(CASHBACK_RULES!$A$5:$A$304,$AC277),"")</f>
        <v/>
      </c>
      <c r="Z277" s="45" t="str">
        <f>IF($AC277&gt;0,INDEX(CASHBACK_RULES!$E$5:$E$304,$AC277)&amp;"","")</f>
        <v/>
      </c>
      <c r="AA277" s="48" t="str">
        <f>IF($AC277&gt;0,IF(ISNUMBER(INDEX(CASHBACK_RULES!$K$5:$K$304,$AC277)),INDEX(CASHBACK_RULES!$K$5:$K$304,$AC277),"∞"),"")</f>
        <v/>
      </c>
      <c r="AB277" s="44" t="str">
        <f>IF(OR($B277="",$D277=""),"",IF($U277="Cancelled","Đã hủy",IF($AC277=0,"Không được hoàn",IF($Q277=0,IF(OR($O277&gt;0,$M277&lt;$L277),"Đã đạt cap","Không được hoàn"),IF(OR($Q277&lt;$O277,$M277&lt;$L277),"Hoàn một phần","Được hoàn")))))</f>
        <v/>
      </c>
      <c r="AC277" s="43">
        <f>IF(OR($B277="",$D277="",$I277="",$L277=""),0,IF($U277="Cancelled",0,IF($W277&lt;&gt;"",IFERROR(IF(INDEX(CASHBACK_RULES!$B$5:$B$304,MATCH($W277,CASHBACK_RULES!$A$5:$A$304,0))=$D277,MATCH($W277,CASHBACK_RULES!$A$5:$A$304,0),0),0),IFERROR(MATCH(1,INDEX((CASHBACK_RULES!$B$5:$B$304=$D277)*(CASHBACK_RULES!$G$5:$G$304=$I277)*(((CASHBACK_RULES!$N$5:$N$304="")+(CASHBACK_RULES!$N$5:$N$304&lt;=$B277))&gt;0)*(((CASHBACK_RULES!$O$5:$O$304="")+(CASHBACK_RULES!$O$5:$O$304&gt;=$B277))&gt;0)*(((CASHBACK_RULES!$M$5:$M$304="")+(CASHBACK_RULES!$M$5:$M$304&lt;=$L277))&gt;0),0),0),0))))</f>
        <v>0</v>
      </c>
      <c r="AD277" s="51" t="str">
        <f>IF(OR($B277="",$D277=""),"",IFERROR(IF(INDEX(CARDS!$H$5:$H$34,MATCH($D277,CARDS!$A$5:$A$34,0))="","",IF(DAY($B277)&lt;=INDEX(CARDS!$H$5:$H$34,MATCH($D277,CARDS!$A$5:$A$34,0)),DATE(YEAR($B277),MONTH($B277),MIN(INDEX(CARDS!$H$5:$H$34,MATCH($D277,CARDS!$A$5:$A$34,0)),DAY(EOMONTH($B277,0)))),DATE(YEAR($B277),MONTH($B277)+1,MIN(INDEX(CARDS!$H$5:$H$34,MATCH($D277,CARDS!$A$5:$A$34,0)),DAY(EOMONTH($B277,1)))))),""))</f>
        <v/>
      </c>
      <c r="AE277" s="52" t="str">
        <f>IF($C277="","",$C277&amp;"|"&amp;COUNTIF($C$5:$C277,$C277))</f>
        <v/>
      </c>
      <c r="AF277" s="53">
        <f>IF($AC277&gt;0,SUMIFS(Q$4:Q276,$D$4:$D276,$D277,$Z$4:$Z276,$Z277,$C$4:$C276,$C277),0)</f>
        <v>0</v>
      </c>
      <c r="AG277" s="53">
        <f>IF($AC277&gt;0,SUMIFS(Q$4:Q276,$D$4:$D276,$D277,$C$4:$C276,$C277),0)</f>
        <v>0</v>
      </c>
      <c r="AH277" s="53">
        <f>IF($AC277&gt;0,SUMIFS(M$4:M276,$D$4:$D276,$D277,$Z$4:$Z276,$Z277,$C$4:$C276,$C277),0)</f>
        <v>0</v>
      </c>
      <c r="AI277" s="43">
        <f>IF(OR($C277="",$I277=""),0,IF(COUNTIFS($C$5:$C277,$C277,$I$5:$I277,$I277)=1,1,0))</f>
        <v>0</v>
      </c>
      <c r="AJ277" s="43" t="str">
        <f>IF($AI277=1,SUMIFS($AI$4:$AI276,$C$4:$C276,$C277)+1,"")</f>
        <v/>
      </c>
      <c r="AK277" s="43">
        <f>IF(OR($C277="",$K277=""),0,IF(COUNTIFS($C$5:$C277,$C277,$K$5:$K277,$K277)=1,1,0))</f>
        <v>0</v>
      </c>
      <c r="AL277" s="43" t="str">
        <f>IF($AK277=1,SUMIFS($AK$4:$AK276,$C$4:$C276,$C277)+1,"")</f>
        <v/>
      </c>
      <c r="AM277" s="43">
        <f>IF(OR($C277="",$G277=""),0,IF(COUNTIFS($C$5:$C277,$C277,$G$5:$G277,$G277)=1,1,0))</f>
        <v>0</v>
      </c>
      <c r="AN277" s="43" t="str">
        <f>IF($AM277=1,SUMIFS($AM$4:$AM276,$C$4:$C276,$C277)+1,"")</f>
        <v/>
      </c>
    </row>
    <row r="278">
      <c r="A278" s="44" t="str">
        <f>IF(OR($B278="",$D278=""),"","TX"&amp;TEXT(ROW()-4,"0000"))</f>
        <v/>
      </c>
      <c r="B278" s="42" t="n"/>
      <c r="C278" s="47" t="str">
        <f>IF($B278="","",YEAR($B278)*100+MONTH($B278))</f>
        <v/>
      </c>
      <c r="D278" s="37" t="n"/>
      <c r="E278" s="45" t="str">
        <f>IF($D278="","",IFERROR(INDEX(CARDS!$B$5:$B$34,MATCH($D278,CARDS!$A$5:$A$34,0)),"⚠ Card ID?"))</f>
        <v/>
      </c>
      <c r="F278" s="45" t="str">
        <f>IF($D278="","",IFERROR(INDEX(CARDS!$C$5:$C$34,MATCH($D278,CARDS!$A$5:$A$34,0)),"⚠ Card ID?"))</f>
        <v/>
      </c>
      <c r="G278" s="37" t="n"/>
      <c r="H278" s="37" t="n"/>
      <c r="I278" s="41" t="n"/>
      <c r="J278" s="45" t="str">
        <f>IF($I278="","",IFERROR(INDEX(MCC_MASTER!$B$5:$B$504,MATCH($I278,MCC_MASTER!$A$5:$A$504,0)),"⚠ MCC chưa có"))</f>
        <v/>
      </c>
      <c r="K278" s="45" t="str">
        <f>IF($I278="","",IFERROR(IF(INDEX(MCC_MASTER!$C$5:$C$504,MATCH($I278,MCC_MASTER!$A$5:$A$504,0))="","Chưa phân loại",INDEX(MCC_MASTER!$C$5:$C$504,MATCH($I278,MCC_MASTER!$A$5:$A$504,0))),"Chưa phân loại"))</f>
        <v/>
      </c>
      <c r="L278" s="40" t="n"/>
      <c r="M278" s="48" t="str">
        <f>IF(OR($B278="",$D278=""),"",IF($AC278=0,0,IF(ISNUMBER(INDEX(CASHBACK_RULES!$L$5:$L$304,$AC278)),MAX(0,MIN($L278,INDEX(CASHBACK_RULES!$L$5:$L$304,$AC278)-$AH278)),MAX(0,$L278))))</f>
        <v/>
      </c>
      <c r="N278" s="49" t="str">
        <f>IF(OR($B278="",$D278=""),"",IF($AC278&gt;0,INDEX(CASHBACK_RULES!$I$5:$I$304,$AC278),0))</f>
        <v/>
      </c>
      <c r="O278" s="48" t="str">
        <f>IF(OR($B278="",$D278=""),"",ROUND($M278*$N278,0))</f>
        <v/>
      </c>
      <c r="P278" s="48" t="str">
        <f>IF($AC278&gt;0,IF(ISNUMBER(INDEX(CASHBACK_RULES!$J$5:$J$304,$AC278)),INDEX(CASHBACK_RULES!$J$5:$J$304,$AC278),"∞"),"")</f>
        <v/>
      </c>
      <c r="Q278" s="48" t="str">
        <f>IF(OR($B278="",$D278=""),"",IF($AC278=0,0,MAX(0,MIN($O278,IF(ISNUMBER($P278),$P278-$AF278,1E+15),IF(ISNUMBER($AA278),$AA278-$AG278,1E+15)))))</f>
        <v/>
      </c>
      <c r="R278" s="48" t="str">
        <f>IF(OR($B278="",$D278=""),"",IF($AC278=0,"",IF(AND(NOT(ISNUMBER($P278)),NOT(ISNUMBER($AA278))),"∞",MAX(0,MIN(IF(ISNUMBER($P278),$P278-$AF278-$Q278,1E+15),IF(ISNUMBER($AA278),$AA278-$AG278-$Q278,1E+15))))))</f>
        <v/>
      </c>
      <c r="S278" s="47" t="str">
        <f>IF($AD278="","",YEAR($AD278)*100+MONTH($AD278))</f>
        <v/>
      </c>
      <c r="T278" s="50" t="str">
        <f>IF($AD278="","",IFERROR(IF(INDEX(CARDS!$I$5:$I$34,MATCH($D278,CARDS!$A$5:$A$34,0))="","",IF(INDEX(CARDS!$I$5:$I$34,MATCH($D278,CARDS!$A$5:$A$34,0))&gt;INDEX(CARDS!$H$5:$H$34,MATCH($D278,CARDS!$A$5:$A$34,0)),DATE(YEAR($AD278),MONTH($AD278),MIN(INDEX(CARDS!$I$5:$I$34,MATCH($D278,CARDS!$A$5:$A$34,0)),DAY(EOMONTH($AD278,0)))),DATE(YEAR($AD278),MONTH($AD278)+1,MIN(INDEX(CARDS!$I$5:$I$34,MATCH($D278,CARDS!$A$5:$A$34,0)),DAY(EOMONTH($AD278,1)))))),""))</f>
        <v/>
      </c>
      <c r="U278" s="38" t="n"/>
      <c r="V278" s="37" t="n"/>
      <c r="W278" s="38" t="n"/>
      <c r="X278" s="38" t="n"/>
      <c r="Y278" s="44" t="str">
        <f>IF($AC278&gt;0,INDEX(CASHBACK_RULES!$A$5:$A$304,$AC278),"")</f>
        <v/>
      </c>
      <c r="Z278" s="45" t="str">
        <f>IF($AC278&gt;0,INDEX(CASHBACK_RULES!$E$5:$E$304,$AC278)&amp;"","")</f>
        <v/>
      </c>
      <c r="AA278" s="48" t="str">
        <f>IF($AC278&gt;0,IF(ISNUMBER(INDEX(CASHBACK_RULES!$K$5:$K$304,$AC278)),INDEX(CASHBACK_RULES!$K$5:$K$304,$AC278),"∞"),"")</f>
        <v/>
      </c>
      <c r="AB278" s="44" t="str">
        <f>IF(OR($B278="",$D278=""),"",IF($U278="Cancelled","Đã hủy",IF($AC278=0,"Không được hoàn",IF($Q278=0,IF(OR($O278&gt;0,$M278&lt;$L278),"Đã đạt cap","Không được hoàn"),IF(OR($Q278&lt;$O278,$M278&lt;$L278),"Hoàn một phần","Được hoàn")))))</f>
        <v/>
      </c>
      <c r="AC278" s="43">
        <f>IF(OR($B278="",$D278="",$I278="",$L278=""),0,IF($U278="Cancelled",0,IF($W278&lt;&gt;"",IFERROR(IF(INDEX(CASHBACK_RULES!$B$5:$B$304,MATCH($W278,CASHBACK_RULES!$A$5:$A$304,0))=$D278,MATCH($W278,CASHBACK_RULES!$A$5:$A$304,0),0),0),IFERROR(MATCH(1,INDEX((CASHBACK_RULES!$B$5:$B$304=$D278)*(CASHBACK_RULES!$G$5:$G$304=$I278)*(((CASHBACK_RULES!$N$5:$N$304="")+(CASHBACK_RULES!$N$5:$N$304&lt;=$B278))&gt;0)*(((CASHBACK_RULES!$O$5:$O$304="")+(CASHBACK_RULES!$O$5:$O$304&gt;=$B278))&gt;0)*(((CASHBACK_RULES!$M$5:$M$304="")+(CASHBACK_RULES!$M$5:$M$304&lt;=$L278))&gt;0),0),0),0))))</f>
        <v>0</v>
      </c>
      <c r="AD278" s="51" t="str">
        <f>IF(OR($B278="",$D278=""),"",IFERROR(IF(INDEX(CARDS!$H$5:$H$34,MATCH($D278,CARDS!$A$5:$A$34,0))="","",IF(DAY($B278)&lt;=INDEX(CARDS!$H$5:$H$34,MATCH($D278,CARDS!$A$5:$A$34,0)),DATE(YEAR($B278),MONTH($B278),MIN(INDEX(CARDS!$H$5:$H$34,MATCH($D278,CARDS!$A$5:$A$34,0)),DAY(EOMONTH($B278,0)))),DATE(YEAR($B278),MONTH($B278)+1,MIN(INDEX(CARDS!$H$5:$H$34,MATCH($D278,CARDS!$A$5:$A$34,0)),DAY(EOMONTH($B278,1)))))),""))</f>
        <v/>
      </c>
      <c r="AE278" s="52" t="str">
        <f>IF($C278="","",$C278&amp;"|"&amp;COUNTIF($C$5:$C278,$C278))</f>
        <v/>
      </c>
      <c r="AF278" s="53">
        <f>IF($AC278&gt;0,SUMIFS(Q$4:Q277,$D$4:$D277,$D278,$Z$4:$Z277,$Z278,$C$4:$C277,$C278),0)</f>
        <v>0</v>
      </c>
      <c r="AG278" s="53">
        <f>IF($AC278&gt;0,SUMIFS(Q$4:Q277,$D$4:$D277,$D278,$C$4:$C277,$C278),0)</f>
        <v>0</v>
      </c>
      <c r="AH278" s="53">
        <f>IF($AC278&gt;0,SUMIFS(M$4:M277,$D$4:$D277,$D278,$Z$4:$Z277,$Z278,$C$4:$C277,$C278),0)</f>
        <v>0</v>
      </c>
      <c r="AI278" s="43">
        <f>IF(OR($C278="",$I278=""),0,IF(COUNTIFS($C$5:$C278,$C278,$I$5:$I278,$I278)=1,1,0))</f>
        <v>0</v>
      </c>
      <c r="AJ278" s="43" t="str">
        <f>IF($AI278=1,SUMIFS($AI$4:$AI277,$C$4:$C277,$C278)+1,"")</f>
        <v/>
      </c>
      <c r="AK278" s="43">
        <f>IF(OR($C278="",$K278=""),0,IF(COUNTIFS($C$5:$C278,$C278,$K$5:$K278,$K278)=1,1,0))</f>
        <v>0</v>
      </c>
      <c r="AL278" s="43" t="str">
        <f>IF($AK278=1,SUMIFS($AK$4:$AK277,$C$4:$C277,$C278)+1,"")</f>
        <v/>
      </c>
      <c r="AM278" s="43">
        <f>IF(OR($C278="",$G278=""),0,IF(COUNTIFS($C$5:$C278,$C278,$G$5:$G278,$G278)=1,1,0))</f>
        <v>0</v>
      </c>
      <c r="AN278" s="43" t="str">
        <f>IF($AM278=1,SUMIFS($AM$4:$AM277,$C$4:$C277,$C278)+1,"")</f>
        <v/>
      </c>
    </row>
    <row r="279">
      <c r="A279" s="44" t="str">
        <f>IF(OR($B279="",$D279=""),"","TX"&amp;TEXT(ROW()-4,"0000"))</f>
        <v/>
      </c>
      <c r="B279" s="42" t="n"/>
      <c r="C279" s="47" t="str">
        <f>IF($B279="","",YEAR($B279)*100+MONTH($B279))</f>
        <v/>
      </c>
      <c r="D279" s="37" t="n"/>
      <c r="E279" s="45" t="str">
        <f>IF($D279="","",IFERROR(INDEX(CARDS!$B$5:$B$34,MATCH($D279,CARDS!$A$5:$A$34,0)),"⚠ Card ID?"))</f>
        <v/>
      </c>
      <c r="F279" s="45" t="str">
        <f>IF($D279="","",IFERROR(INDEX(CARDS!$C$5:$C$34,MATCH($D279,CARDS!$A$5:$A$34,0)),"⚠ Card ID?"))</f>
        <v/>
      </c>
      <c r="G279" s="37" t="n"/>
      <c r="H279" s="37" t="n"/>
      <c r="I279" s="41" t="n"/>
      <c r="J279" s="45" t="str">
        <f>IF($I279="","",IFERROR(INDEX(MCC_MASTER!$B$5:$B$504,MATCH($I279,MCC_MASTER!$A$5:$A$504,0)),"⚠ MCC chưa có"))</f>
        <v/>
      </c>
      <c r="K279" s="45" t="str">
        <f>IF($I279="","",IFERROR(IF(INDEX(MCC_MASTER!$C$5:$C$504,MATCH($I279,MCC_MASTER!$A$5:$A$504,0))="","Chưa phân loại",INDEX(MCC_MASTER!$C$5:$C$504,MATCH($I279,MCC_MASTER!$A$5:$A$504,0))),"Chưa phân loại"))</f>
        <v/>
      </c>
      <c r="L279" s="40" t="n"/>
      <c r="M279" s="48" t="str">
        <f>IF(OR($B279="",$D279=""),"",IF($AC279=0,0,IF(ISNUMBER(INDEX(CASHBACK_RULES!$L$5:$L$304,$AC279)),MAX(0,MIN($L279,INDEX(CASHBACK_RULES!$L$5:$L$304,$AC279)-$AH279)),MAX(0,$L279))))</f>
        <v/>
      </c>
      <c r="N279" s="49" t="str">
        <f>IF(OR($B279="",$D279=""),"",IF($AC279&gt;0,INDEX(CASHBACK_RULES!$I$5:$I$304,$AC279),0))</f>
        <v/>
      </c>
      <c r="O279" s="48" t="str">
        <f>IF(OR($B279="",$D279=""),"",ROUND($M279*$N279,0))</f>
        <v/>
      </c>
      <c r="P279" s="48" t="str">
        <f>IF($AC279&gt;0,IF(ISNUMBER(INDEX(CASHBACK_RULES!$J$5:$J$304,$AC279)),INDEX(CASHBACK_RULES!$J$5:$J$304,$AC279),"∞"),"")</f>
        <v/>
      </c>
      <c r="Q279" s="48" t="str">
        <f>IF(OR($B279="",$D279=""),"",IF($AC279=0,0,MAX(0,MIN($O279,IF(ISNUMBER($P279),$P279-$AF279,1E+15),IF(ISNUMBER($AA279),$AA279-$AG279,1E+15)))))</f>
        <v/>
      </c>
      <c r="R279" s="48" t="str">
        <f>IF(OR($B279="",$D279=""),"",IF($AC279=0,"",IF(AND(NOT(ISNUMBER($P279)),NOT(ISNUMBER($AA279))),"∞",MAX(0,MIN(IF(ISNUMBER($P279),$P279-$AF279-$Q279,1E+15),IF(ISNUMBER($AA279),$AA279-$AG279-$Q279,1E+15))))))</f>
        <v/>
      </c>
      <c r="S279" s="47" t="str">
        <f>IF($AD279="","",YEAR($AD279)*100+MONTH($AD279))</f>
        <v/>
      </c>
      <c r="T279" s="50" t="str">
        <f>IF($AD279="","",IFERROR(IF(INDEX(CARDS!$I$5:$I$34,MATCH($D279,CARDS!$A$5:$A$34,0))="","",IF(INDEX(CARDS!$I$5:$I$34,MATCH($D279,CARDS!$A$5:$A$34,0))&gt;INDEX(CARDS!$H$5:$H$34,MATCH($D279,CARDS!$A$5:$A$34,0)),DATE(YEAR($AD279),MONTH($AD279),MIN(INDEX(CARDS!$I$5:$I$34,MATCH($D279,CARDS!$A$5:$A$34,0)),DAY(EOMONTH($AD279,0)))),DATE(YEAR($AD279),MONTH($AD279)+1,MIN(INDEX(CARDS!$I$5:$I$34,MATCH($D279,CARDS!$A$5:$A$34,0)),DAY(EOMONTH($AD279,1)))))),""))</f>
        <v/>
      </c>
      <c r="U279" s="38" t="n"/>
      <c r="V279" s="37" t="n"/>
      <c r="W279" s="38" t="n"/>
      <c r="X279" s="38" t="n"/>
      <c r="Y279" s="44" t="str">
        <f>IF($AC279&gt;0,INDEX(CASHBACK_RULES!$A$5:$A$304,$AC279),"")</f>
        <v/>
      </c>
      <c r="Z279" s="45" t="str">
        <f>IF($AC279&gt;0,INDEX(CASHBACK_RULES!$E$5:$E$304,$AC279)&amp;"","")</f>
        <v/>
      </c>
      <c r="AA279" s="48" t="str">
        <f>IF($AC279&gt;0,IF(ISNUMBER(INDEX(CASHBACK_RULES!$K$5:$K$304,$AC279)),INDEX(CASHBACK_RULES!$K$5:$K$304,$AC279),"∞"),"")</f>
        <v/>
      </c>
      <c r="AB279" s="44" t="str">
        <f>IF(OR($B279="",$D279=""),"",IF($U279="Cancelled","Đã hủy",IF($AC279=0,"Không được hoàn",IF($Q279=0,IF(OR($O279&gt;0,$M279&lt;$L279),"Đã đạt cap","Không được hoàn"),IF(OR($Q279&lt;$O279,$M279&lt;$L279),"Hoàn một phần","Được hoàn")))))</f>
        <v/>
      </c>
      <c r="AC279" s="43">
        <f>IF(OR($B279="",$D279="",$I279="",$L279=""),0,IF($U279="Cancelled",0,IF($W279&lt;&gt;"",IFERROR(IF(INDEX(CASHBACK_RULES!$B$5:$B$304,MATCH($W279,CASHBACK_RULES!$A$5:$A$304,0))=$D279,MATCH($W279,CASHBACK_RULES!$A$5:$A$304,0),0),0),IFERROR(MATCH(1,INDEX((CASHBACK_RULES!$B$5:$B$304=$D279)*(CASHBACK_RULES!$G$5:$G$304=$I279)*(((CASHBACK_RULES!$N$5:$N$304="")+(CASHBACK_RULES!$N$5:$N$304&lt;=$B279))&gt;0)*(((CASHBACK_RULES!$O$5:$O$304="")+(CASHBACK_RULES!$O$5:$O$304&gt;=$B279))&gt;0)*(((CASHBACK_RULES!$M$5:$M$304="")+(CASHBACK_RULES!$M$5:$M$304&lt;=$L279))&gt;0),0),0),0))))</f>
        <v>0</v>
      </c>
      <c r="AD279" s="51" t="str">
        <f>IF(OR($B279="",$D279=""),"",IFERROR(IF(INDEX(CARDS!$H$5:$H$34,MATCH($D279,CARDS!$A$5:$A$34,0))="","",IF(DAY($B279)&lt;=INDEX(CARDS!$H$5:$H$34,MATCH($D279,CARDS!$A$5:$A$34,0)),DATE(YEAR($B279),MONTH($B279),MIN(INDEX(CARDS!$H$5:$H$34,MATCH($D279,CARDS!$A$5:$A$34,0)),DAY(EOMONTH($B279,0)))),DATE(YEAR($B279),MONTH($B279)+1,MIN(INDEX(CARDS!$H$5:$H$34,MATCH($D279,CARDS!$A$5:$A$34,0)),DAY(EOMONTH($B279,1)))))),""))</f>
        <v/>
      </c>
      <c r="AE279" s="52" t="str">
        <f>IF($C279="","",$C279&amp;"|"&amp;COUNTIF($C$5:$C279,$C279))</f>
        <v/>
      </c>
      <c r="AF279" s="53">
        <f>IF($AC279&gt;0,SUMIFS(Q$4:Q278,$D$4:$D278,$D279,$Z$4:$Z278,$Z279,$C$4:$C278,$C279),0)</f>
        <v>0</v>
      </c>
      <c r="AG279" s="53">
        <f>IF($AC279&gt;0,SUMIFS(Q$4:Q278,$D$4:$D278,$D279,$C$4:$C278,$C279),0)</f>
        <v>0</v>
      </c>
      <c r="AH279" s="53">
        <f>IF($AC279&gt;0,SUMIFS(M$4:M278,$D$4:$D278,$D279,$Z$4:$Z278,$Z279,$C$4:$C278,$C279),0)</f>
        <v>0</v>
      </c>
      <c r="AI279" s="43">
        <f>IF(OR($C279="",$I279=""),0,IF(COUNTIFS($C$5:$C279,$C279,$I$5:$I279,$I279)=1,1,0))</f>
        <v>0</v>
      </c>
      <c r="AJ279" s="43" t="str">
        <f>IF($AI279=1,SUMIFS($AI$4:$AI278,$C$4:$C278,$C279)+1,"")</f>
        <v/>
      </c>
      <c r="AK279" s="43">
        <f>IF(OR($C279="",$K279=""),0,IF(COUNTIFS($C$5:$C279,$C279,$K$5:$K279,$K279)=1,1,0))</f>
        <v>0</v>
      </c>
      <c r="AL279" s="43" t="str">
        <f>IF($AK279=1,SUMIFS($AK$4:$AK278,$C$4:$C278,$C279)+1,"")</f>
        <v/>
      </c>
      <c r="AM279" s="43">
        <f>IF(OR($C279="",$G279=""),0,IF(COUNTIFS($C$5:$C279,$C279,$G$5:$G279,$G279)=1,1,0))</f>
        <v>0</v>
      </c>
      <c r="AN279" s="43" t="str">
        <f>IF($AM279=1,SUMIFS($AM$4:$AM278,$C$4:$C278,$C279)+1,"")</f>
        <v/>
      </c>
    </row>
    <row r="280">
      <c r="A280" s="44" t="str">
        <f>IF(OR($B280="",$D280=""),"","TX"&amp;TEXT(ROW()-4,"0000"))</f>
        <v/>
      </c>
      <c r="B280" s="42" t="n"/>
      <c r="C280" s="47" t="str">
        <f>IF($B280="","",YEAR($B280)*100+MONTH($B280))</f>
        <v/>
      </c>
      <c r="D280" s="37" t="n"/>
      <c r="E280" s="45" t="str">
        <f>IF($D280="","",IFERROR(INDEX(CARDS!$B$5:$B$34,MATCH($D280,CARDS!$A$5:$A$34,0)),"⚠ Card ID?"))</f>
        <v/>
      </c>
      <c r="F280" s="45" t="str">
        <f>IF($D280="","",IFERROR(INDEX(CARDS!$C$5:$C$34,MATCH($D280,CARDS!$A$5:$A$34,0)),"⚠ Card ID?"))</f>
        <v/>
      </c>
      <c r="G280" s="37" t="n"/>
      <c r="H280" s="37" t="n"/>
      <c r="I280" s="41" t="n"/>
      <c r="J280" s="45" t="str">
        <f>IF($I280="","",IFERROR(INDEX(MCC_MASTER!$B$5:$B$504,MATCH($I280,MCC_MASTER!$A$5:$A$504,0)),"⚠ MCC chưa có"))</f>
        <v/>
      </c>
      <c r="K280" s="45" t="str">
        <f>IF($I280="","",IFERROR(IF(INDEX(MCC_MASTER!$C$5:$C$504,MATCH($I280,MCC_MASTER!$A$5:$A$504,0))="","Chưa phân loại",INDEX(MCC_MASTER!$C$5:$C$504,MATCH($I280,MCC_MASTER!$A$5:$A$504,0))),"Chưa phân loại"))</f>
        <v/>
      </c>
      <c r="L280" s="40" t="n"/>
      <c r="M280" s="48" t="str">
        <f>IF(OR($B280="",$D280=""),"",IF($AC280=0,0,IF(ISNUMBER(INDEX(CASHBACK_RULES!$L$5:$L$304,$AC280)),MAX(0,MIN($L280,INDEX(CASHBACK_RULES!$L$5:$L$304,$AC280)-$AH280)),MAX(0,$L280))))</f>
        <v/>
      </c>
      <c r="N280" s="49" t="str">
        <f>IF(OR($B280="",$D280=""),"",IF($AC280&gt;0,INDEX(CASHBACK_RULES!$I$5:$I$304,$AC280),0))</f>
        <v/>
      </c>
      <c r="O280" s="48" t="str">
        <f>IF(OR($B280="",$D280=""),"",ROUND($M280*$N280,0))</f>
        <v/>
      </c>
      <c r="P280" s="48" t="str">
        <f>IF($AC280&gt;0,IF(ISNUMBER(INDEX(CASHBACK_RULES!$J$5:$J$304,$AC280)),INDEX(CASHBACK_RULES!$J$5:$J$304,$AC280),"∞"),"")</f>
        <v/>
      </c>
      <c r="Q280" s="48" t="str">
        <f>IF(OR($B280="",$D280=""),"",IF($AC280=0,0,MAX(0,MIN($O280,IF(ISNUMBER($P280),$P280-$AF280,1E+15),IF(ISNUMBER($AA280),$AA280-$AG280,1E+15)))))</f>
        <v/>
      </c>
      <c r="R280" s="48" t="str">
        <f>IF(OR($B280="",$D280=""),"",IF($AC280=0,"",IF(AND(NOT(ISNUMBER($P280)),NOT(ISNUMBER($AA280))),"∞",MAX(0,MIN(IF(ISNUMBER($P280),$P280-$AF280-$Q280,1E+15),IF(ISNUMBER($AA280),$AA280-$AG280-$Q280,1E+15))))))</f>
        <v/>
      </c>
      <c r="S280" s="47" t="str">
        <f>IF($AD280="","",YEAR($AD280)*100+MONTH($AD280))</f>
        <v/>
      </c>
      <c r="T280" s="50" t="str">
        <f>IF($AD280="","",IFERROR(IF(INDEX(CARDS!$I$5:$I$34,MATCH($D280,CARDS!$A$5:$A$34,0))="","",IF(INDEX(CARDS!$I$5:$I$34,MATCH($D280,CARDS!$A$5:$A$34,0))&gt;INDEX(CARDS!$H$5:$H$34,MATCH($D280,CARDS!$A$5:$A$34,0)),DATE(YEAR($AD280),MONTH($AD280),MIN(INDEX(CARDS!$I$5:$I$34,MATCH($D280,CARDS!$A$5:$A$34,0)),DAY(EOMONTH($AD280,0)))),DATE(YEAR($AD280),MONTH($AD280)+1,MIN(INDEX(CARDS!$I$5:$I$34,MATCH($D280,CARDS!$A$5:$A$34,0)),DAY(EOMONTH($AD280,1)))))),""))</f>
        <v/>
      </c>
      <c r="U280" s="38" t="n"/>
      <c r="V280" s="37" t="n"/>
      <c r="W280" s="38" t="n"/>
      <c r="X280" s="38" t="n"/>
      <c r="Y280" s="44" t="str">
        <f>IF($AC280&gt;0,INDEX(CASHBACK_RULES!$A$5:$A$304,$AC280),"")</f>
        <v/>
      </c>
      <c r="Z280" s="45" t="str">
        <f>IF($AC280&gt;0,INDEX(CASHBACK_RULES!$E$5:$E$304,$AC280)&amp;"","")</f>
        <v/>
      </c>
      <c r="AA280" s="48" t="str">
        <f>IF($AC280&gt;0,IF(ISNUMBER(INDEX(CASHBACK_RULES!$K$5:$K$304,$AC280)),INDEX(CASHBACK_RULES!$K$5:$K$304,$AC280),"∞"),"")</f>
        <v/>
      </c>
      <c r="AB280" s="44" t="str">
        <f>IF(OR($B280="",$D280=""),"",IF($U280="Cancelled","Đã hủy",IF($AC280=0,"Không được hoàn",IF($Q280=0,IF(OR($O280&gt;0,$M280&lt;$L280),"Đã đạt cap","Không được hoàn"),IF(OR($Q280&lt;$O280,$M280&lt;$L280),"Hoàn một phần","Được hoàn")))))</f>
        <v/>
      </c>
      <c r="AC280" s="43">
        <f>IF(OR($B280="",$D280="",$I280="",$L280=""),0,IF($U280="Cancelled",0,IF($W280&lt;&gt;"",IFERROR(IF(INDEX(CASHBACK_RULES!$B$5:$B$304,MATCH($W280,CASHBACK_RULES!$A$5:$A$304,0))=$D280,MATCH($W280,CASHBACK_RULES!$A$5:$A$304,0),0),0),IFERROR(MATCH(1,INDEX((CASHBACK_RULES!$B$5:$B$304=$D280)*(CASHBACK_RULES!$G$5:$G$304=$I280)*(((CASHBACK_RULES!$N$5:$N$304="")+(CASHBACK_RULES!$N$5:$N$304&lt;=$B280))&gt;0)*(((CASHBACK_RULES!$O$5:$O$304="")+(CASHBACK_RULES!$O$5:$O$304&gt;=$B280))&gt;0)*(((CASHBACK_RULES!$M$5:$M$304="")+(CASHBACK_RULES!$M$5:$M$304&lt;=$L280))&gt;0),0),0),0))))</f>
        <v>0</v>
      </c>
      <c r="AD280" s="51" t="str">
        <f>IF(OR($B280="",$D280=""),"",IFERROR(IF(INDEX(CARDS!$H$5:$H$34,MATCH($D280,CARDS!$A$5:$A$34,0))="","",IF(DAY($B280)&lt;=INDEX(CARDS!$H$5:$H$34,MATCH($D280,CARDS!$A$5:$A$34,0)),DATE(YEAR($B280),MONTH($B280),MIN(INDEX(CARDS!$H$5:$H$34,MATCH($D280,CARDS!$A$5:$A$34,0)),DAY(EOMONTH($B280,0)))),DATE(YEAR($B280),MONTH($B280)+1,MIN(INDEX(CARDS!$H$5:$H$34,MATCH($D280,CARDS!$A$5:$A$34,0)),DAY(EOMONTH($B280,1)))))),""))</f>
        <v/>
      </c>
      <c r="AE280" s="52" t="str">
        <f>IF($C280="","",$C280&amp;"|"&amp;COUNTIF($C$5:$C280,$C280))</f>
        <v/>
      </c>
      <c r="AF280" s="53">
        <f>IF($AC280&gt;0,SUMIFS(Q$4:Q279,$D$4:$D279,$D280,$Z$4:$Z279,$Z280,$C$4:$C279,$C280),0)</f>
        <v>0</v>
      </c>
      <c r="AG280" s="53">
        <f>IF($AC280&gt;0,SUMIFS(Q$4:Q279,$D$4:$D279,$D280,$C$4:$C279,$C280),0)</f>
        <v>0</v>
      </c>
      <c r="AH280" s="53">
        <f>IF($AC280&gt;0,SUMIFS(M$4:M279,$D$4:$D279,$D280,$Z$4:$Z279,$Z280,$C$4:$C279,$C280),0)</f>
        <v>0</v>
      </c>
      <c r="AI280" s="43">
        <f>IF(OR($C280="",$I280=""),0,IF(COUNTIFS($C$5:$C280,$C280,$I$5:$I280,$I280)=1,1,0))</f>
        <v>0</v>
      </c>
      <c r="AJ280" s="43" t="str">
        <f>IF($AI280=1,SUMIFS($AI$4:$AI279,$C$4:$C279,$C280)+1,"")</f>
        <v/>
      </c>
      <c r="AK280" s="43">
        <f>IF(OR($C280="",$K280=""),0,IF(COUNTIFS($C$5:$C280,$C280,$K$5:$K280,$K280)=1,1,0))</f>
        <v>0</v>
      </c>
      <c r="AL280" s="43" t="str">
        <f>IF($AK280=1,SUMIFS($AK$4:$AK279,$C$4:$C279,$C280)+1,"")</f>
        <v/>
      </c>
      <c r="AM280" s="43">
        <f>IF(OR($C280="",$G280=""),0,IF(COUNTIFS($C$5:$C280,$C280,$G$5:$G280,$G280)=1,1,0))</f>
        <v>0</v>
      </c>
      <c r="AN280" s="43" t="str">
        <f>IF($AM280=1,SUMIFS($AM$4:$AM279,$C$4:$C279,$C280)+1,"")</f>
        <v/>
      </c>
    </row>
    <row r="281">
      <c r="A281" s="44" t="str">
        <f>IF(OR($B281="",$D281=""),"","TX"&amp;TEXT(ROW()-4,"0000"))</f>
        <v/>
      </c>
      <c r="B281" s="42" t="n"/>
      <c r="C281" s="47" t="str">
        <f>IF($B281="","",YEAR($B281)*100+MONTH($B281))</f>
        <v/>
      </c>
      <c r="D281" s="37" t="n"/>
      <c r="E281" s="45" t="str">
        <f>IF($D281="","",IFERROR(INDEX(CARDS!$B$5:$B$34,MATCH($D281,CARDS!$A$5:$A$34,0)),"⚠ Card ID?"))</f>
        <v/>
      </c>
      <c r="F281" s="45" t="str">
        <f>IF($D281="","",IFERROR(INDEX(CARDS!$C$5:$C$34,MATCH($D281,CARDS!$A$5:$A$34,0)),"⚠ Card ID?"))</f>
        <v/>
      </c>
      <c r="G281" s="37" t="n"/>
      <c r="H281" s="37" t="n"/>
      <c r="I281" s="41" t="n"/>
      <c r="J281" s="45" t="str">
        <f>IF($I281="","",IFERROR(INDEX(MCC_MASTER!$B$5:$B$504,MATCH($I281,MCC_MASTER!$A$5:$A$504,0)),"⚠ MCC chưa có"))</f>
        <v/>
      </c>
      <c r="K281" s="45" t="str">
        <f>IF($I281="","",IFERROR(IF(INDEX(MCC_MASTER!$C$5:$C$504,MATCH($I281,MCC_MASTER!$A$5:$A$504,0))="","Chưa phân loại",INDEX(MCC_MASTER!$C$5:$C$504,MATCH($I281,MCC_MASTER!$A$5:$A$504,0))),"Chưa phân loại"))</f>
        <v/>
      </c>
      <c r="L281" s="40" t="n"/>
      <c r="M281" s="48" t="str">
        <f>IF(OR($B281="",$D281=""),"",IF($AC281=0,0,IF(ISNUMBER(INDEX(CASHBACK_RULES!$L$5:$L$304,$AC281)),MAX(0,MIN($L281,INDEX(CASHBACK_RULES!$L$5:$L$304,$AC281)-$AH281)),MAX(0,$L281))))</f>
        <v/>
      </c>
      <c r="N281" s="49" t="str">
        <f>IF(OR($B281="",$D281=""),"",IF($AC281&gt;0,INDEX(CASHBACK_RULES!$I$5:$I$304,$AC281),0))</f>
        <v/>
      </c>
      <c r="O281" s="48" t="str">
        <f>IF(OR($B281="",$D281=""),"",ROUND($M281*$N281,0))</f>
        <v/>
      </c>
      <c r="P281" s="48" t="str">
        <f>IF($AC281&gt;0,IF(ISNUMBER(INDEX(CASHBACK_RULES!$J$5:$J$304,$AC281)),INDEX(CASHBACK_RULES!$J$5:$J$304,$AC281),"∞"),"")</f>
        <v/>
      </c>
      <c r="Q281" s="48" t="str">
        <f>IF(OR($B281="",$D281=""),"",IF($AC281=0,0,MAX(0,MIN($O281,IF(ISNUMBER($P281),$P281-$AF281,1E+15),IF(ISNUMBER($AA281),$AA281-$AG281,1E+15)))))</f>
        <v/>
      </c>
      <c r="R281" s="48" t="str">
        <f>IF(OR($B281="",$D281=""),"",IF($AC281=0,"",IF(AND(NOT(ISNUMBER($P281)),NOT(ISNUMBER($AA281))),"∞",MAX(0,MIN(IF(ISNUMBER($P281),$P281-$AF281-$Q281,1E+15),IF(ISNUMBER($AA281),$AA281-$AG281-$Q281,1E+15))))))</f>
        <v/>
      </c>
      <c r="S281" s="47" t="str">
        <f>IF($AD281="","",YEAR($AD281)*100+MONTH($AD281))</f>
        <v/>
      </c>
      <c r="T281" s="50" t="str">
        <f>IF($AD281="","",IFERROR(IF(INDEX(CARDS!$I$5:$I$34,MATCH($D281,CARDS!$A$5:$A$34,0))="","",IF(INDEX(CARDS!$I$5:$I$34,MATCH($D281,CARDS!$A$5:$A$34,0))&gt;INDEX(CARDS!$H$5:$H$34,MATCH($D281,CARDS!$A$5:$A$34,0)),DATE(YEAR($AD281),MONTH($AD281),MIN(INDEX(CARDS!$I$5:$I$34,MATCH($D281,CARDS!$A$5:$A$34,0)),DAY(EOMONTH($AD281,0)))),DATE(YEAR($AD281),MONTH($AD281)+1,MIN(INDEX(CARDS!$I$5:$I$34,MATCH($D281,CARDS!$A$5:$A$34,0)),DAY(EOMONTH($AD281,1)))))),""))</f>
        <v/>
      </c>
      <c r="U281" s="38" t="n"/>
      <c r="V281" s="37" t="n"/>
      <c r="W281" s="38" t="n"/>
      <c r="X281" s="38" t="n"/>
      <c r="Y281" s="44" t="str">
        <f>IF($AC281&gt;0,INDEX(CASHBACK_RULES!$A$5:$A$304,$AC281),"")</f>
        <v/>
      </c>
      <c r="Z281" s="45" t="str">
        <f>IF($AC281&gt;0,INDEX(CASHBACK_RULES!$E$5:$E$304,$AC281)&amp;"","")</f>
        <v/>
      </c>
      <c r="AA281" s="48" t="str">
        <f>IF($AC281&gt;0,IF(ISNUMBER(INDEX(CASHBACK_RULES!$K$5:$K$304,$AC281)),INDEX(CASHBACK_RULES!$K$5:$K$304,$AC281),"∞"),"")</f>
        <v/>
      </c>
      <c r="AB281" s="44" t="str">
        <f>IF(OR($B281="",$D281=""),"",IF($U281="Cancelled","Đã hủy",IF($AC281=0,"Không được hoàn",IF($Q281=0,IF(OR($O281&gt;0,$M281&lt;$L281),"Đã đạt cap","Không được hoàn"),IF(OR($Q281&lt;$O281,$M281&lt;$L281),"Hoàn một phần","Được hoàn")))))</f>
        <v/>
      </c>
      <c r="AC281" s="43">
        <f>IF(OR($B281="",$D281="",$I281="",$L281=""),0,IF($U281="Cancelled",0,IF($W281&lt;&gt;"",IFERROR(IF(INDEX(CASHBACK_RULES!$B$5:$B$304,MATCH($W281,CASHBACK_RULES!$A$5:$A$304,0))=$D281,MATCH($W281,CASHBACK_RULES!$A$5:$A$304,0),0),0),IFERROR(MATCH(1,INDEX((CASHBACK_RULES!$B$5:$B$304=$D281)*(CASHBACK_RULES!$G$5:$G$304=$I281)*(((CASHBACK_RULES!$N$5:$N$304="")+(CASHBACK_RULES!$N$5:$N$304&lt;=$B281))&gt;0)*(((CASHBACK_RULES!$O$5:$O$304="")+(CASHBACK_RULES!$O$5:$O$304&gt;=$B281))&gt;0)*(((CASHBACK_RULES!$M$5:$M$304="")+(CASHBACK_RULES!$M$5:$M$304&lt;=$L281))&gt;0),0),0),0))))</f>
        <v>0</v>
      </c>
      <c r="AD281" s="51" t="str">
        <f>IF(OR($B281="",$D281=""),"",IFERROR(IF(INDEX(CARDS!$H$5:$H$34,MATCH($D281,CARDS!$A$5:$A$34,0))="","",IF(DAY($B281)&lt;=INDEX(CARDS!$H$5:$H$34,MATCH($D281,CARDS!$A$5:$A$34,0)),DATE(YEAR($B281),MONTH($B281),MIN(INDEX(CARDS!$H$5:$H$34,MATCH($D281,CARDS!$A$5:$A$34,0)),DAY(EOMONTH($B281,0)))),DATE(YEAR($B281),MONTH($B281)+1,MIN(INDEX(CARDS!$H$5:$H$34,MATCH($D281,CARDS!$A$5:$A$34,0)),DAY(EOMONTH($B281,1)))))),""))</f>
        <v/>
      </c>
      <c r="AE281" s="52" t="str">
        <f>IF($C281="","",$C281&amp;"|"&amp;COUNTIF($C$5:$C281,$C281))</f>
        <v/>
      </c>
      <c r="AF281" s="53">
        <f>IF($AC281&gt;0,SUMIFS(Q$4:Q280,$D$4:$D280,$D281,$Z$4:$Z280,$Z281,$C$4:$C280,$C281),0)</f>
        <v>0</v>
      </c>
      <c r="AG281" s="53">
        <f>IF($AC281&gt;0,SUMIFS(Q$4:Q280,$D$4:$D280,$D281,$C$4:$C280,$C281),0)</f>
        <v>0</v>
      </c>
      <c r="AH281" s="53">
        <f>IF($AC281&gt;0,SUMIFS(M$4:M280,$D$4:$D280,$D281,$Z$4:$Z280,$Z281,$C$4:$C280,$C281),0)</f>
        <v>0</v>
      </c>
      <c r="AI281" s="43">
        <f>IF(OR($C281="",$I281=""),0,IF(COUNTIFS($C$5:$C281,$C281,$I$5:$I281,$I281)=1,1,0))</f>
        <v>0</v>
      </c>
      <c r="AJ281" s="43" t="str">
        <f>IF($AI281=1,SUMIFS($AI$4:$AI280,$C$4:$C280,$C281)+1,"")</f>
        <v/>
      </c>
      <c r="AK281" s="43">
        <f>IF(OR($C281="",$K281=""),0,IF(COUNTIFS($C$5:$C281,$C281,$K$5:$K281,$K281)=1,1,0))</f>
        <v>0</v>
      </c>
      <c r="AL281" s="43" t="str">
        <f>IF($AK281=1,SUMIFS($AK$4:$AK280,$C$4:$C280,$C281)+1,"")</f>
        <v/>
      </c>
      <c r="AM281" s="43">
        <f>IF(OR($C281="",$G281=""),0,IF(COUNTIFS($C$5:$C281,$C281,$G$5:$G281,$G281)=1,1,0))</f>
        <v>0</v>
      </c>
      <c r="AN281" s="43" t="str">
        <f>IF($AM281=1,SUMIFS($AM$4:$AM280,$C$4:$C280,$C281)+1,"")</f>
        <v/>
      </c>
    </row>
    <row r="282">
      <c r="A282" s="44" t="str">
        <f>IF(OR($B282="",$D282=""),"","TX"&amp;TEXT(ROW()-4,"0000"))</f>
        <v/>
      </c>
      <c r="B282" s="42" t="n"/>
      <c r="C282" s="47" t="str">
        <f>IF($B282="","",YEAR($B282)*100+MONTH($B282))</f>
        <v/>
      </c>
      <c r="D282" s="37" t="n"/>
      <c r="E282" s="45" t="str">
        <f>IF($D282="","",IFERROR(INDEX(CARDS!$B$5:$B$34,MATCH($D282,CARDS!$A$5:$A$34,0)),"⚠ Card ID?"))</f>
        <v/>
      </c>
      <c r="F282" s="45" t="str">
        <f>IF($D282="","",IFERROR(INDEX(CARDS!$C$5:$C$34,MATCH($D282,CARDS!$A$5:$A$34,0)),"⚠ Card ID?"))</f>
        <v/>
      </c>
      <c r="G282" s="37" t="n"/>
      <c r="H282" s="37" t="n"/>
      <c r="I282" s="41" t="n"/>
      <c r="J282" s="45" t="str">
        <f>IF($I282="","",IFERROR(INDEX(MCC_MASTER!$B$5:$B$504,MATCH($I282,MCC_MASTER!$A$5:$A$504,0)),"⚠ MCC chưa có"))</f>
        <v/>
      </c>
      <c r="K282" s="45" t="str">
        <f>IF($I282="","",IFERROR(IF(INDEX(MCC_MASTER!$C$5:$C$504,MATCH($I282,MCC_MASTER!$A$5:$A$504,0))="","Chưa phân loại",INDEX(MCC_MASTER!$C$5:$C$504,MATCH($I282,MCC_MASTER!$A$5:$A$504,0))),"Chưa phân loại"))</f>
        <v/>
      </c>
      <c r="L282" s="40" t="n"/>
      <c r="M282" s="48" t="str">
        <f>IF(OR($B282="",$D282=""),"",IF($AC282=0,0,IF(ISNUMBER(INDEX(CASHBACK_RULES!$L$5:$L$304,$AC282)),MAX(0,MIN($L282,INDEX(CASHBACK_RULES!$L$5:$L$304,$AC282)-$AH282)),MAX(0,$L282))))</f>
        <v/>
      </c>
      <c r="N282" s="49" t="str">
        <f>IF(OR($B282="",$D282=""),"",IF($AC282&gt;0,INDEX(CASHBACK_RULES!$I$5:$I$304,$AC282),0))</f>
        <v/>
      </c>
      <c r="O282" s="48" t="str">
        <f>IF(OR($B282="",$D282=""),"",ROUND($M282*$N282,0))</f>
        <v/>
      </c>
      <c r="P282" s="48" t="str">
        <f>IF($AC282&gt;0,IF(ISNUMBER(INDEX(CASHBACK_RULES!$J$5:$J$304,$AC282)),INDEX(CASHBACK_RULES!$J$5:$J$304,$AC282),"∞"),"")</f>
        <v/>
      </c>
      <c r="Q282" s="48" t="str">
        <f>IF(OR($B282="",$D282=""),"",IF($AC282=0,0,MAX(0,MIN($O282,IF(ISNUMBER($P282),$P282-$AF282,1E+15),IF(ISNUMBER($AA282),$AA282-$AG282,1E+15)))))</f>
        <v/>
      </c>
      <c r="R282" s="48" t="str">
        <f>IF(OR($B282="",$D282=""),"",IF($AC282=0,"",IF(AND(NOT(ISNUMBER($P282)),NOT(ISNUMBER($AA282))),"∞",MAX(0,MIN(IF(ISNUMBER($P282),$P282-$AF282-$Q282,1E+15),IF(ISNUMBER($AA282),$AA282-$AG282-$Q282,1E+15))))))</f>
        <v/>
      </c>
      <c r="S282" s="47" t="str">
        <f>IF($AD282="","",YEAR($AD282)*100+MONTH($AD282))</f>
        <v/>
      </c>
      <c r="T282" s="50" t="str">
        <f>IF($AD282="","",IFERROR(IF(INDEX(CARDS!$I$5:$I$34,MATCH($D282,CARDS!$A$5:$A$34,0))="","",IF(INDEX(CARDS!$I$5:$I$34,MATCH($D282,CARDS!$A$5:$A$34,0))&gt;INDEX(CARDS!$H$5:$H$34,MATCH($D282,CARDS!$A$5:$A$34,0)),DATE(YEAR($AD282),MONTH($AD282),MIN(INDEX(CARDS!$I$5:$I$34,MATCH($D282,CARDS!$A$5:$A$34,0)),DAY(EOMONTH($AD282,0)))),DATE(YEAR($AD282),MONTH($AD282)+1,MIN(INDEX(CARDS!$I$5:$I$34,MATCH($D282,CARDS!$A$5:$A$34,0)),DAY(EOMONTH($AD282,1)))))),""))</f>
        <v/>
      </c>
      <c r="U282" s="38" t="n"/>
      <c r="V282" s="37" t="n"/>
      <c r="W282" s="38" t="n"/>
      <c r="X282" s="38" t="n"/>
      <c r="Y282" s="44" t="str">
        <f>IF($AC282&gt;0,INDEX(CASHBACK_RULES!$A$5:$A$304,$AC282),"")</f>
        <v/>
      </c>
      <c r="Z282" s="45" t="str">
        <f>IF($AC282&gt;0,INDEX(CASHBACK_RULES!$E$5:$E$304,$AC282)&amp;"","")</f>
        <v/>
      </c>
      <c r="AA282" s="48" t="str">
        <f>IF($AC282&gt;0,IF(ISNUMBER(INDEX(CASHBACK_RULES!$K$5:$K$304,$AC282)),INDEX(CASHBACK_RULES!$K$5:$K$304,$AC282),"∞"),"")</f>
        <v/>
      </c>
      <c r="AB282" s="44" t="str">
        <f>IF(OR($B282="",$D282=""),"",IF($U282="Cancelled","Đã hủy",IF($AC282=0,"Không được hoàn",IF($Q282=0,IF(OR($O282&gt;0,$M282&lt;$L282),"Đã đạt cap","Không được hoàn"),IF(OR($Q282&lt;$O282,$M282&lt;$L282),"Hoàn một phần","Được hoàn")))))</f>
        <v/>
      </c>
      <c r="AC282" s="43">
        <f>IF(OR($B282="",$D282="",$I282="",$L282=""),0,IF($U282="Cancelled",0,IF($W282&lt;&gt;"",IFERROR(IF(INDEX(CASHBACK_RULES!$B$5:$B$304,MATCH($W282,CASHBACK_RULES!$A$5:$A$304,0))=$D282,MATCH($W282,CASHBACK_RULES!$A$5:$A$304,0),0),0),IFERROR(MATCH(1,INDEX((CASHBACK_RULES!$B$5:$B$304=$D282)*(CASHBACK_RULES!$G$5:$G$304=$I282)*(((CASHBACK_RULES!$N$5:$N$304="")+(CASHBACK_RULES!$N$5:$N$304&lt;=$B282))&gt;0)*(((CASHBACK_RULES!$O$5:$O$304="")+(CASHBACK_RULES!$O$5:$O$304&gt;=$B282))&gt;0)*(((CASHBACK_RULES!$M$5:$M$304="")+(CASHBACK_RULES!$M$5:$M$304&lt;=$L282))&gt;0),0),0),0))))</f>
        <v>0</v>
      </c>
      <c r="AD282" s="51" t="str">
        <f>IF(OR($B282="",$D282=""),"",IFERROR(IF(INDEX(CARDS!$H$5:$H$34,MATCH($D282,CARDS!$A$5:$A$34,0))="","",IF(DAY($B282)&lt;=INDEX(CARDS!$H$5:$H$34,MATCH($D282,CARDS!$A$5:$A$34,0)),DATE(YEAR($B282),MONTH($B282),MIN(INDEX(CARDS!$H$5:$H$34,MATCH($D282,CARDS!$A$5:$A$34,0)),DAY(EOMONTH($B282,0)))),DATE(YEAR($B282),MONTH($B282)+1,MIN(INDEX(CARDS!$H$5:$H$34,MATCH($D282,CARDS!$A$5:$A$34,0)),DAY(EOMONTH($B282,1)))))),""))</f>
        <v/>
      </c>
      <c r="AE282" s="52" t="str">
        <f>IF($C282="","",$C282&amp;"|"&amp;COUNTIF($C$5:$C282,$C282))</f>
        <v/>
      </c>
      <c r="AF282" s="53">
        <f>IF($AC282&gt;0,SUMIFS(Q$4:Q281,$D$4:$D281,$D282,$Z$4:$Z281,$Z282,$C$4:$C281,$C282),0)</f>
        <v>0</v>
      </c>
      <c r="AG282" s="53">
        <f>IF($AC282&gt;0,SUMIFS(Q$4:Q281,$D$4:$D281,$D282,$C$4:$C281,$C282),0)</f>
        <v>0</v>
      </c>
      <c r="AH282" s="53">
        <f>IF($AC282&gt;0,SUMIFS(M$4:M281,$D$4:$D281,$D282,$Z$4:$Z281,$Z282,$C$4:$C281,$C282),0)</f>
        <v>0</v>
      </c>
      <c r="AI282" s="43">
        <f>IF(OR($C282="",$I282=""),0,IF(COUNTIFS($C$5:$C282,$C282,$I$5:$I282,$I282)=1,1,0))</f>
        <v>0</v>
      </c>
      <c r="AJ282" s="43" t="str">
        <f>IF($AI282=1,SUMIFS($AI$4:$AI281,$C$4:$C281,$C282)+1,"")</f>
        <v/>
      </c>
      <c r="AK282" s="43">
        <f>IF(OR($C282="",$K282=""),0,IF(COUNTIFS($C$5:$C282,$C282,$K$5:$K282,$K282)=1,1,0))</f>
        <v>0</v>
      </c>
      <c r="AL282" s="43" t="str">
        <f>IF($AK282=1,SUMIFS($AK$4:$AK281,$C$4:$C281,$C282)+1,"")</f>
        <v/>
      </c>
      <c r="AM282" s="43">
        <f>IF(OR($C282="",$G282=""),0,IF(COUNTIFS($C$5:$C282,$C282,$G$5:$G282,$G282)=1,1,0))</f>
        <v>0</v>
      </c>
      <c r="AN282" s="43" t="str">
        <f>IF($AM282=1,SUMIFS($AM$4:$AM281,$C$4:$C281,$C282)+1,"")</f>
        <v/>
      </c>
    </row>
    <row r="283">
      <c r="A283" s="44" t="str">
        <f>IF(OR($B283="",$D283=""),"","TX"&amp;TEXT(ROW()-4,"0000"))</f>
        <v/>
      </c>
      <c r="B283" s="42" t="n"/>
      <c r="C283" s="47" t="str">
        <f>IF($B283="","",YEAR($B283)*100+MONTH($B283))</f>
        <v/>
      </c>
      <c r="D283" s="37" t="n"/>
      <c r="E283" s="45" t="str">
        <f>IF($D283="","",IFERROR(INDEX(CARDS!$B$5:$B$34,MATCH($D283,CARDS!$A$5:$A$34,0)),"⚠ Card ID?"))</f>
        <v/>
      </c>
      <c r="F283" s="45" t="str">
        <f>IF($D283="","",IFERROR(INDEX(CARDS!$C$5:$C$34,MATCH($D283,CARDS!$A$5:$A$34,0)),"⚠ Card ID?"))</f>
        <v/>
      </c>
      <c r="G283" s="37" t="n"/>
      <c r="H283" s="37" t="n"/>
      <c r="I283" s="41" t="n"/>
      <c r="J283" s="45" t="str">
        <f>IF($I283="","",IFERROR(INDEX(MCC_MASTER!$B$5:$B$504,MATCH($I283,MCC_MASTER!$A$5:$A$504,0)),"⚠ MCC chưa có"))</f>
        <v/>
      </c>
      <c r="K283" s="45" t="str">
        <f>IF($I283="","",IFERROR(IF(INDEX(MCC_MASTER!$C$5:$C$504,MATCH($I283,MCC_MASTER!$A$5:$A$504,0))="","Chưa phân loại",INDEX(MCC_MASTER!$C$5:$C$504,MATCH($I283,MCC_MASTER!$A$5:$A$504,0))),"Chưa phân loại"))</f>
        <v/>
      </c>
      <c r="L283" s="40" t="n"/>
      <c r="M283" s="48" t="str">
        <f>IF(OR($B283="",$D283=""),"",IF($AC283=0,0,IF(ISNUMBER(INDEX(CASHBACK_RULES!$L$5:$L$304,$AC283)),MAX(0,MIN($L283,INDEX(CASHBACK_RULES!$L$5:$L$304,$AC283)-$AH283)),MAX(0,$L283))))</f>
        <v/>
      </c>
      <c r="N283" s="49" t="str">
        <f>IF(OR($B283="",$D283=""),"",IF($AC283&gt;0,INDEX(CASHBACK_RULES!$I$5:$I$304,$AC283),0))</f>
        <v/>
      </c>
      <c r="O283" s="48" t="str">
        <f>IF(OR($B283="",$D283=""),"",ROUND($M283*$N283,0))</f>
        <v/>
      </c>
      <c r="P283" s="48" t="str">
        <f>IF($AC283&gt;0,IF(ISNUMBER(INDEX(CASHBACK_RULES!$J$5:$J$304,$AC283)),INDEX(CASHBACK_RULES!$J$5:$J$304,$AC283),"∞"),"")</f>
        <v/>
      </c>
      <c r="Q283" s="48" t="str">
        <f>IF(OR($B283="",$D283=""),"",IF($AC283=0,0,MAX(0,MIN($O283,IF(ISNUMBER($P283),$P283-$AF283,1E+15),IF(ISNUMBER($AA283),$AA283-$AG283,1E+15)))))</f>
        <v/>
      </c>
      <c r="R283" s="48" t="str">
        <f>IF(OR($B283="",$D283=""),"",IF($AC283=0,"",IF(AND(NOT(ISNUMBER($P283)),NOT(ISNUMBER($AA283))),"∞",MAX(0,MIN(IF(ISNUMBER($P283),$P283-$AF283-$Q283,1E+15),IF(ISNUMBER($AA283),$AA283-$AG283-$Q283,1E+15))))))</f>
        <v/>
      </c>
      <c r="S283" s="47" t="str">
        <f>IF($AD283="","",YEAR($AD283)*100+MONTH($AD283))</f>
        <v/>
      </c>
      <c r="T283" s="50" t="str">
        <f>IF($AD283="","",IFERROR(IF(INDEX(CARDS!$I$5:$I$34,MATCH($D283,CARDS!$A$5:$A$34,0))="","",IF(INDEX(CARDS!$I$5:$I$34,MATCH($D283,CARDS!$A$5:$A$34,0))&gt;INDEX(CARDS!$H$5:$H$34,MATCH($D283,CARDS!$A$5:$A$34,0)),DATE(YEAR($AD283),MONTH($AD283),MIN(INDEX(CARDS!$I$5:$I$34,MATCH($D283,CARDS!$A$5:$A$34,0)),DAY(EOMONTH($AD283,0)))),DATE(YEAR($AD283),MONTH($AD283)+1,MIN(INDEX(CARDS!$I$5:$I$34,MATCH($D283,CARDS!$A$5:$A$34,0)),DAY(EOMONTH($AD283,1)))))),""))</f>
        <v/>
      </c>
      <c r="U283" s="38" t="n"/>
      <c r="V283" s="37" t="n"/>
      <c r="W283" s="38" t="n"/>
      <c r="X283" s="38" t="n"/>
      <c r="Y283" s="44" t="str">
        <f>IF($AC283&gt;0,INDEX(CASHBACK_RULES!$A$5:$A$304,$AC283),"")</f>
        <v/>
      </c>
      <c r="Z283" s="45" t="str">
        <f>IF($AC283&gt;0,INDEX(CASHBACK_RULES!$E$5:$E$304,$AC283)&amp;"","")</f>
        <v/>
      </c>
      <c r="AA283" s="48" t="str">
        <f>IF($AC283&gt;0,IF(ISNUMBER(INDEX(CASHBACK_RULES!$K$5:$K$304,$AC283)),INDEX(CASHBACK_RULES!$K$5:$K$304,$AC283),"∞"),"")</f>
        <v/>
      </c>
      <c r="AB283" s="44" t="str">
        <f>IF(OR($B283="",$D283=""),"",IF($U283="Cancelled","Đã hủy",IF($AC283=0,"Không được hoàn",IF($Q283=0,IF(OR($O283&gt;0,$M283&lt;$L283),"Đã đạt cap","Không được hoàn"),IF(OR($Q283&lt;$O283,$M283&lt;$L283),"Hoàn một phần","Được hoàn")))))</f>
        <v/>
      </c>
      <c r="AC283" s="43">
        <f>IF(OR($B283="",$D283="",$I283="",$L283=""),0,IF($U283="Cancelled",0,IF($W283&lt;&gt;"",IFERROR(IF(INDEX(CASHBACK_RULES!$B$5:$B$304,MATCH($W283,CASHBACK_RULES!$A$5:$A$304,0))=$D283,MATCH($W283,CASHBACK_RULES!$A$5:$A$304,0),0),0),IFERROR(MATCH(1,INDEX((CASHBACK_RULES!$B$5:$B$304=$D283)*(CASHBACK_RULES!$G$5:$G$304=$I283)*(((CASHBACK_RULES!$N$5:$N$304="")+(CASHBACK_RULES!$N$5:$N$304&lt;=$B283))&gt;0)*(((CASHBACK_RULES!$O$5:$O$304="")+(CASHBACK_RULES!$O$5:$O$304&gt;=$B283))&gt;0)*(((CASHBACK_RULES!$M$5:$M$304="")+(CASHBACK_RULES!$M$5:$M$304&lt;=$L283))&gt;0),0),0),0))))</f>
        <v>0</v>
      </c>
      <c r="AD283" s="51" t="str">
        <f>IF(OR($B283="",$D283=""),"",IFERROR(IF(INDEX(CARDS!$H$5:$H$34,MATCH($D283,CARDS!$A$5:$A$34,0))="","",IF(DAY($B283)&lt;=INDEX(CARDS!$H$5:$H$34,MATCH($D283,CARDS!$A$5:$A$34,0)),DATE(YEAR($B283),MONTH($B283),MIN(INDEX(CARDS!$H$5:$H$34,MATCH($D283,CARDS!$A$5:$A$34,0)),DAY(EOMONTH($B283,0)))),DATE(YEAR($B283),MONTH($B283)+1,MIN(INDEX(CARDS!$H$5:$H$34,MATCH($D283,CARDS!$A$5:$A$34,0)),DAY(EOMONTH($B283,1)))))),""))</f>
        <v/>
      </c>
      <c r="AE283" s="52" t="str">
        <f>IF($C283="","",$C283&amp;"|"&amp;COUNTIF($C$5:$C283,$C283))</f>
        <v/>
      </c>
      <c r="AF283" s="53">
        <f>IF($AC283&gt;0,SUMIFS(Q$4:Q282,$D$4:$D282,$D283,$Z$4:$Z282,$Z283,$C$4:$C282,$C283),0)</f>
        <v>0</v>
      </c>
      <c r="AG283" s="53">
        <f>IF($AC283&gt;0,SUMIFS(Q$4:Q282,$D$4:$D282,$D283,$C$4:$C282,$C283),0)</f>
        <v>0</v>
      </c>
      <c r="AH283" s="53">
        <f>IF($AC283&gt;0,SUMIFS(M$4:M282,$D$4:$D282,$D283,$Z$4:$Z282,$Z283,$C$4:$C282,$C283),0)</f>
        <v>0</v>
      </c>
      <c r="AI283" s="43">
        <f>IF(OR($C283="",$I283=""),0,IF(COUNTIFS($C$5:$C283,$C283,$I$5:$I283,$I283)=1,1,0))</f>
        <v>0</v>
      </c>
      <c r="AJ283" s="43" t="str">
        <f>IF($AI283=1,SUMIFS($AI$4:$AI282,$C$4:$C282,$C283)+1,"")</f>
        <v/>
      </c>
      <c r="AK283" s="43">
        <f>IF(OR($C283="",$K283=""),0,IF(COUNTIFS($C$5:$C283,$C283,$K$5:$K283,$K283)=1,1,0))</f>
        <v>0</v>
      </c>
      <c r="AL283" s="43" t="str">
        <f>IF($AK283=1,SUMIFS($AK$4:$AK282,$C$4:$C282,$C283)+1,"")</f>
        <v/>
      </c>
      <c r="AM283" s="43">
        <f>IF(OR($C283="",$G283=""),0,IF(COUNTIFS($C$5:$C283,$C283,$G$5:$G283,$G283)=1,1,0))</f>
        <v>0</v>
      </c>
      <c r="AN283" s="43" t="str">
        <f>IF($AM283=1,SUMIFS($AM$4:$AM282,$C$4:$C282,$C283)+1,"")</f>
        <v/>
      </c>
    </row>
    <row r="284">
      <c r="A284" s="44" t="str">
        <f>IF(OR($B284="",$D284=""),"","TX"&amp;TEXT(ROW()-4,"0000"))</f>
        <v/>
      </c>
      <c r="B284" s="42" t="n"/>
      <c r="C284" s="47" t="str">
        <f>IF($B284="","",YEAR($B284)*100+MONTH($B284))</f>
        <v/>
      </c>
      <c r="D284" s="37" t="n"/>
      <c r="E284" s="45" t="str">
        <f>IF($D284="","",IFERROR(INDEX(CARDS!$B$5:$B$34,MATCH($D284,CARDS!$A$5:$A$34,0)),"⚠ Card ID?"))</f>
        <v/>
      </c>
      <c r="F284" s="45" t="str">
        <f>IF($D284="","",IFERROR(INDEX(CARDS!$C$5:$C$34,MATCH($D284,CARDS!$A$5:$A$34,0)),"⚠ Card ID?"))</f>
        <v/>
      </c>
      <c r="G284" s="37" t="n"/>
      <c r="H284" s="37" t="n"/>
      <c r="I284" s="41" t="n"/>
      <c r="J284" s="45" t="str">
        <f>IF($I284="","",IFERROR(INDEX(MCC_MASTER!$B$5:$B$504,MATCH($I284,MCC_MASTER!$A$5:$A$504,0)),"⚠ MCC chưa có"))</f>
        <v/>
      </c>
      <c r="K284" s="45" t="str">
        <f>IF($I284="","",IFERROR(IF(INDEX(MCC_MASTER!$C$5:$C$504,MATCH($I284,MCC_MASTER!$A$5:$A$504,0))="","Chưa phân loại",INDEX(MCC_MASTER!$C$5:$C$504,MATCH($I284,MCC_MASTER!$A$5:$A$504,0))),"Chưa phân loại"))</f>
        <v/>
      </c>
      <c r="L284" s="40" t="n"/>
      <c r="M284" s="48" t="str">
        <f>IF(OR($B284="",$D284=""),"",IF($AC284=0,0,IF(ISNUMBER(INDEX(CASHBACK_RULES!$L$5:$L$304,$AC284)),MAX(0,MIN($L284,INDEX(CASHBACK_RULES!$L$5:$L$304,$AC284)-$AH284)),MAX(0,$L284))))</f>
        <v/>
      </c>
      <c r="N284" s="49" t="str">
        <f>IF(OR($B284="",$D284=""),"",IF($AC284&gt;0,INDEX(CASHBACK_RULES!$I$5:$I$304,$AC284),0))</f>
        <v/>
      </c>
      <c r="O284" s="48" t="str">
        <f>IF(OR($B284="",$D284=""),"",ROUND($M284*$N284,0))</f>
        <v/>
      </c>
      <c r="P284" s="48" t="str">
        <f>IF($AC284&gt;0,IF(ISNUMBER(INDEX(CASHBACK_RULES!$J$5:$J$304,$AC284)),INDEX(CASHBACK_RULES!$J$5:$J$304,$AC284),"∞"),"")</f>
        <v/>
      </c>
      <c r="Q284" s="48" t="str">
        <f>IF(OR($B284="",$D284=""),"",IF($AC284=0,0,MAX(0,MIN($O284,IF(ISNUMBER($P284),$P284-$AF284,1E+15),IF(ISNUMBER($AA284),$AA284-$AG284,1E+15)))))</f>
        <v/>
      </c>
      <c r="R284" s="48" t="str">
        <f>IF(OR($B284="",$D284=""),"",IF($AC284=0,"",IF(AND(NOT(ISNUMBER($P284)),NOT(ISNUMBER($AA284))),"∞",MAX(0,MIN(IF(ISNUMBER($P284),$P284-$AF284-$Q284,1E+15),IF(ISNUMBER($AA284),$AA284-$AG284-$Q284,1E+15))))))</f>
        <v/>
      </c>
      <c r="S284" s="47" t="str">
        <f>IF($AD284="","",YEAR($AD284)*100+MONTH($AD284))</f>
        <v/>
      </c>
      <c r="T284" s="50" t="str">
        <f>IF($AD284="","",IFERROR(IF(INDEX(CARDS!$I$5:$I$34,MATCH($D284,CARDS!$A$5:$A$34,0))="","",IF(INDEX(CARDS!$I$5:$I$34,MATCH($D284,CARDS!$A$5:$A$34,0))&gt;INDEX(CARDS!$H$5:$H$34,MATCH($D284,CARDS!$A$5:$A$34,0)),DATE(YEAR($AD284),MONTH($AD284),MIN(INDEX(CARDS!$I$5:$I$34,MATCH($D284,CARDS!$A$5:$A$34,0)),DAY(EOMONTH($AD284,0)))),DATE(YEAR($AD284),MONTH($AD284)+1,MIN(INDEX(CARDS!$I$5:$I$34,MATCH($D284,CARDS!$A$5:$A$34,0)),DAY(EOMONTH($AD284,1)))))),""))</f>
        <v/>
      </c>
      <c r="U284" s="38" t="n"/>
      <c r="V284" s="37" t="n"/>
      <c r="W284" s="38" t="n"/>
      <c r="X284" s="38" t="n"/>
      <c r="Y284" s="44" t="str">
        <f>IF($AC284&gt;0,INDEX(CASHBACK_RULES!$A$5:$A$304,$AC284),"")</f>
        <v/>
      </c>
      <c r="Z284" s="45" t="str">
        <f>IF($AC284&gt;0,INDEX(CASHBACK_RULES!$E$5:$E$304,$AC284)&amp;"","")</f>
        <v/>
      </c>
      <c r="AA284" s="48" t="str">
        <f>IF($AC284&gt;0,IF(ISNUMBER(INDEX(CASHBACK_RULES!$K$5:$K$304,$AC284)),INDEX(CASHBACK_RULES!$K$5:$K$304,$AC284),"∞"),"")</f>
        <v/>
      </c>
      <c r="AB284" s="44" t="str">
        <f>IF(OR($B284="",$D284=""),"",IF($U284="Cancelled","Đã hủy",IF($AC284=0,"Không được hoàn",IF($Q284=0,IF(OR($O284&gt;0,$M284&lt;$L284),"Đã đạt cap","Không được hoàn"),IF(OR($Q284&lt;$O284,$M284&lt;$L284),"Hoàn một phần","Được hoàn")))))</f>
        <v/>
      </c>
      <c r="AC284" s="43">
        <f>IF(OR($B284="",$D284="",$I284="",$L284=""),0,IF($U284="Cancelled",0,IF($W284&lt;&gt;"",IFERROR(IF(INDEX(CASHBACK_RULES!$B$5:$B$304,MATCH($W284,CASHBACK_RULES!$A$5:$A$304,0))=$D284,MATCH($W284,CASHBACK_RULES!$A$5:$A$304,0),0),0),IFERROR(MATCH(1,INDEX((CASHBACK_RULES!$B$5:$B$304=$D284)*(CASHBACK_RULES!$G$5:$G$304=$I284)*(((CASHBACK_RULES!$N$5:$N$304="")+(CASHBACK_RULES!$N$5:$N$304&lt;=$B284))&gt;0)*(((CASHBACK_RULES!$O$5:$O$304="")+(CASHBACK_RULES!$O$5:$O$304&gt;=$B284))&gt;0)*(((CASHBACK_RULES!$M$5:$M$304="")+(CASHBACK_RULES!$M$5:$M$304&lt;=$L284))&gt;0),0),0),0))))</f>
        <v>0</v>
      </c>
      <c r="AD284" s="51" t="str">
        <f>IF(OR($B284="",$D284=""),"",IFERROR(IF(INDEX(CARDS!$H$5:$H$34,MATCH($D284,CARDS!$A$5:$A$34,0))="","",IF(DAY($B284)&lt;=INDEX(CARDS!$H$5:$H$34,MATCH($D284,CARDS!$A$5:$A$34,0)),DATE(YEAR($B284),MONTH($B284),MIN(INDEX(CARDS!$H$5:$H$34,MATCH($D284,CARDS!$A$5:$A$34,0)),DAY(EOMONTH($B284,0)))),DATE(YEAR($B284),MONTH($B284)+1,MIN(INDEX(CARDS!$H$5:$H$34,MATCH($D284,CARDS!$A$5:$A$34,0)),DAY(EOMONTH($B284,1)))))),""))</f>
        <v/>
      </c>
      <c r="AE284" s="52" t="str">
        <f>IF($C284="","",$C284&amp;"|"&amp;COUNTIF($C$5:$C284,$C284))</f>
        <v/>
      </c>
      <c r="AF284" s="53">
        <f>IF($AC284&gt;0,SUMIFS(Q$4:Q283,$D$4:$D283,$D284,$Z$4:$Z283,$Z284,$C$4:$C283,$C284),0)</f>
        <v>0</v>
      </c>
      <c r="AG284" s="53">
        <f>IF($AC284&gt;0,SUMIFS(Q$4:Q283,$D$4:$D283,$D284,$C$4:$C283,$C284),0)</f>
        <v>0</v>
      </c>
      <c r="AH284" s="53">
        <f>IF($AC284&gt;0,SUMIFS(M$4:M283,$D$4:$D283,$D284,$Z$4:$Z283,$Z284,$C$4:$C283,$C284),0)</f>
        <v>0</v>
      </c>
      <c r="AI284" s="43">
        <f>IF(OR($C284="",$I284=""),0,IF(COUNTIFS($C$5:$C284,$C284,$I$5:$I284,$I284)=1,1,0))</f>
        <v>0</v>
      </c>
      <c r="AJ284" s="43" t="str">
        <f>IF($AI284=1,SUMIFS($AI$4:$AI283,$C$4:$C283,$C284)+1,"")</f>
        <v/>
      </c>
      <c r="AK284" s="43">
        <f>IF(OR($C284="",$K284=""),0,IF(COUNTIFS($C$5:$C284,$C284,$K$5:$K284,$K284)=1,1,0))</f>
        <v>0</v>
      </c>
      <c r="AL284" s="43" t="str">
        <f>IF($AK284=1,SUMIFS($AK$4:$AK283,$C$4:$C283,$C284)+1,"")</f>
        <v/>
      </c>
      <c r="AM284" s="43">
        <f>IF(OR($C284="",$G284=""),0,IF(COUNTIFS($C$5:$C284,$C284,$G$5:$G284,$G284)=1,1,0))</f>
        <v>0</v>
      </c>
      <c r="AN284" s="43" t="str">
        <f>IF($AM284=1,SUMIFS($AM$4:$AM283,$C$4:$C283,$C284)+1,"")</f>
        <v/>
      </c>
    </row>
    <row r="285">
      <c r="A285" s="44" t="str">
        <f>IF(OR($B285="",$D285=""),"","TX"&amp;TEXT(ROW()-4,"0000"))</f>
        <v/>
      </c>
      <c r="B285" s="42" t="n"/>
      <c r="C285" s="47" t="str">
        <f>IF($B285="","",YEAR($B285)*100+MONTH($B285))</f>
        <v/>
      </c>
      <c r="D285" s="37" t="n"/>
      <c r="E285" s="45" t="str">
        <f>IF($D285="","",IFERROR(INDEX(CARDS!$B$5:$B$34,MATCH($D285,CARDS!$A$5:$A$34,0)),"⚠ Card ID?"))</f>
        <v/>
      </c>
      <c r="F285" s="45" t="str">
        <f>IF($D285="","",IFERROR(INDEX(CARDS!$C$5:$C$34,MATCH($D285,CARDS!$A$5:$A$34,0)),"⚠ Card ID?"))</f>
        <v/>
      </c>
      <c r="G285" s="37" t="n"/>
      <c r="H285" s="37" t="n"/>
      <c r="I285" s="41" t="n"/>
      <c r="J285" s="45" t="str">
        <f>IF($I285="","",IFERROR(INDEX(MCC_MASTER!$B$5:$B$504,MATCH($I285,MCC_MASTER!$A$5:$A$504,0)),"⚠ MCC chưa có"))</f>
        <v/>
      </c>
      <c r="K285" s="45" t="str">
        <f>IF($I285="","",IFERROR(IF(INDEX(MCC_MASTER!$C$5:$C$504,MATCH($I285,MCC_MASTER!$A$5:$A$504,0))="","Chưa phân loại",INDEX(MCC_MASTER!$C$5:$C$504,MATCH($I285,MCC_MASTER!$A$5:$A$504,0))),"Chưa phân loại"))</f>
        <v/>
      </c>
      <c r="L285" s="40" t="n"/>
      <c r="M285" s="48" t="str">
        <f>IF(OR($B285="",$D285=""),"",IF($AC285=0,0,IF(ISNUMBER(INDEX(CASHBACK_RULES!$L$5:$L$304,$AC285)),MAX(0,MIN($L285,INDEX(CASHBACK_RULES!$L$5:$L$304,$AC285)-$AH285)),MAX(0,$L285))))</f>
        <v/>
      </c>
      <c r="N285" s="49" t="str">
        <f>IF(OR($B285="",$D285=""),"",IF($AC285&gt;0,INDEX(CASHBACK_RULES!$I$5:$I$304,$AC285),0))</f>
        <v/>
      </c>
      <c r="O285" s="48" t="str">
        <f>IF(OR($B285="",$D285=""),"",ROUND($M285*$N285,0))</f>
        <v/>
      </c>
      <c r="P285" s="48" t="str">
        <f>IF($AC285&gt;0,IF(ISNUMBER(INDEX(CASHBACK_RULES!$J$5:$J$304,$AC285)),INDEX(CASHBACK_RULES!$J$5:$J$304,$AC285),"∞"),"")</f>
        <v/>
      </c>
      <c r="Q285" s="48" t="str">
        <f>IF(OR($B285="",$D285=""),"",IF($AC285=0,0,MAX(0,MIN($O285,IF(ISNUMBER($P285),$P285-$AF285,1E+15),IF(ISNUMBER($AA285),$AA285-$AG285,1E+15)))))</f>
        <v/>
      </c>
      <c r="R285" s="48" t="str">
        <f>IF(OR($B285="",$D285=""),"",IF($AC285=0,"",IF(AND(NOT(ISNUMBER($P285)),NOT(ISNUMBER($AA285))),"∞",MAX(0,MIN(IF(ISNUMBER($P285),$P285-$AF285-$Q285,1E+15),IF(ISNUMBER($AA285),$AA285-$AG285-$Q285,1E+15))))))</f>
        <v/>
      </c>
      <c r="S285" s="47" t="str">
        <f>IF($AD285="","",YEAR($AD285)*100+MONTH($AD285))</f>
        <v/>
      </c>
      <c r="T285" s="50" t="str">
        <f>IF($AD285="","",IFERROR(IF(INDEX(CARDS!$I$5:$I$34,MATCH($D285,CARDS!$A$5:$A$34,0))="","",IF(INDEX(CARDS!$I$5:$I$34,MATCH($D285,CARDS!$A$5:$A$34,0))&gt;INDEX(CARDS!$H$5:$H$34,MATCH($D285,CARDS!$A$5:$A$34,0)),DATE(YEAR($AD285),MONTH($AD285),MIN(INDEX(CARDS!$I$5:$I$34,MATCH($D285,CARDS!$A$5:$A$34,0)),DAY(EOMONTH($AD285,0)))),DATE(YEAR($AD285),MONTH($AD285)+1,MIN(INDEX(CARDS!$I$5:$I$34,MATCH($D285,CARDS!$A$5:$A$34,0)),DAY(EOMONTH($AD285,1)))))),""))</f>
        <v/>
      </c>
      <c r="U285" s="38" t="n"/>
      <c r="V285" s="37" t="n"/>
      <c r="W285" s="38" t="n"/>
      <c r="X285" s="38" t="n"/>
      <c r="Y285" s="44" t="str">
        <f>IF($AC285&gt;0,INDEX(CASHBACK_RULES!$A$5:$A$304,$AC285),"")</f>
        <v/>
      </c>
      <c r="Z285" s="45" t="str">
        <f>IF($AC285&gt;0,INDEX(CASHBACK_RULES!$E$5:$E$304,$AC285)&amp;"","")</f>
        <v/>
      </c>
      <c r="AA285" s="48" t="str">
        <f>IF($AC285&gt;0,IF(ISNUMBER(INDEX(CASHBACK_RULES!$K$5:$K$304,$AC285)),INDEX(CASHBACK_RULES!$K$5:$K$304,$AC285),"∞"),"")</f>
        <v/>
      </c>
      <c r="AB285" s="44" t="str">
        <f>IF(OR($B285="",$D285=""),"",IF($U285="Cancelled","Đã hủy",IF($AC285=0,"Không được hoàn",IF($Q285=0,IF(OR($O285&gt;0,$M285&lt;$L285),"Đã đạt cap","Không được hoàn"),IF(OR($Q285&lt;$O285,$M285&lt;$L285),"Hoàn một phần","Được hoàn")))))</f>
        <v/>
      </c>
      <c r="AC285" s="43">
        <f>IF(OR($B285="",$D285="",$I285="",$L285=""),0,IF($U285="Cancelled",0,IF($W285&lt;&gt;"",IFERROR(IF(INDEX(CASHBACK_RULES!$B$5:$B$304,MATCH($W285,CASHBACK_RULES!$A$5:$A$304,0))=$D285,MATCH($W285,CASHBACK_RULES!$A$5:$A$304,0),0),0),IFERROR(MATCH(1,INDEX((CASHBACK_RULES!$B$5:$B$304=$D285)*(CASHBACK_RULES!$G$5:$G$304=$I285)*(((CASHBACK_RULES!$N$5:$N$304="")+(CASHBACK_RULES!$N$5:$N$304&lt;=$B285))&gt;0)*(((CASHBACK_RULES!$O$5:$O$304="")+(CASHBACK_RULES!$O$5:$O$304&gt;=$B285))&gt;0)*(((CASHBACK_RULES!$M$5:$M$304="")+(CASHBACK_RULES!$M$5:$M$304&lt;=$L285))&gt;0),0),0),0))))</f>
        <v>0</v>
      </c>
      <c r="AD285" s="51" t="str">
        <f>IF(OR($B285="",$D285=""),"",IFERROR(IF(INDEX(CARDS!$H$5:$H$34,MATCH($D285,CARDS!$A$5:$A$34,0))="","",IF(DAY($B285)&lt;=INDEX(CARDS!$H$5:$H$34,MATCH($D285,CARDS!$A$5:$A$34,0)),DATE(YEAR($B285),MONTH($B285),MIN(INDEX(CARDS!$H$5:$H$34,MATCH($D285,CARDS!$A$5:$A$34,0)),DAY(EOMONTH($B285,0)))),DATE(YEAR($B285),MONTH($B285)+1,MIN(INDEX(CARDS!$H$5:$H$34,MATCH($D285,CARDS!$A$5:$A$34,0)),DAY(EOMONTH($B285,1)))))),""))</f>
        <v/>
      </c>
      <c r="AE285" s="52" t="str">
        <f>IF($C285="","",$C285&amp;"|"&amp;COUNTIF($C$5:$C285,$C285))</f>
        <v/>
      </c>
      <c r="AF285" s="53">
        <f>IF($AC285&gt;0,SUMIFS(Q$4:Q284,$D$4:$D284,$D285,$Z$4:$Z284,$Z285,$C$4:$C284,$C285),0)</f>
        <v>0</v>
      </c>
      <c r="AG285" s="53">
        <f>IF($AC285&gt;0,SUMIFS(Q$4:Q284,$D$4:$D284,$D285,$C$4:$C284,$C285),0)</f>
        <v>0</v>
      </c>
      <c r="AH285" s="53">
        <f>IF($AC285&gt;0,SUMIFS(M$4:M284,$D$4:$D284,$D285,$Z$4:$Z284,$Z285,$C$4:$C284,$C285),0)</f>
        <v>0</v>
      </c>
      <c r="AI285" s="43">
        <f>IF(OR($C285="",$I285=""),0,IF(COUNTIFS($C$5:$C285,$C285,$I$5:$I285,$I285)=1,1,0))</f>
        <v>0</v>
      </c>
      <c r="AJ285" s="43" t="str">
        <f>IF($AI285=1,SUMIFS($AI$4:$AI284,$C$4:$C284,$C285)+1,"")</f>
        <v/>
      </c>
      <c r="AK285" s="43">
        <f>IF(OR($C285="",$K285=""),0,IF(COUNTIFS($C$5:$C285,$C285,$K$5:$K285,$K285)=1,1,0))</f>
        <v>0</v>
      </c>
      <c r="AL285" s="43" t="str">
        <f>IF($AK285=1,SUMIFS($AK$4:$AK284,$C$4:$C284,$C285)+1,"")</f>
        <v/>
      </c>
      <c r="AM285" s="43">
        <f>IF(OR($C285="",$G285=""),0,IF(COUNTIFS($C$5:$C285,$C285,$G$5:$G285,$G285)=1,1,0))</f>
        <v>0</v>
      </c>
      <c r="AN285" s="43" t="str">
        <f>IF($AM285=1,SUMIFS($AM$4:$AM284,$C$4:$C284,$C285)+1,"")</f>
        <v/>
      </c>
    </row>
    <row r="286">
      <c r="A286" s="44" t="str">
        <f>IF(OR($B286="",$D286=""),"","TX"&amp;TEXT(ROW()-4,"0000"))</f>
        <v/>
      </c>
      <c r="B286" s="42" t="n"/>
      <c r="C286" s="47" t="str">
        <f>IF($B286="","",YEAR($B286)*100+MONTH($B286))</f>
        <v/>
      </c>
      <c r="D286" s="37" t="n"/>
      <c r="E286" s="45" t="str">
        <f>IF($D286="","",IFERROR(INDEX(CARDS!$B$5:$B$34,MATCH($D286,CARDS!$A$5:$A$34,0)),"⚠ Card ID?"))</f>
        <v/>
      </c>
      <c r="F286" s="45" t="str">
        <f>IF($D286="","",IFERROR(INDEX(CARDS!$C$5:$C$34,MATCH($D286,CARDS!$A$5:$A$34,0)),"⚠ Card ID?"))</f>
        <v/>
      </c>
      <c r="G286" s="37" t="n"/>
      <c r="H286" s="37" t="n"/>
      <c r="I286" s="41" t="n"/>
      <c r="J286" s="45" t="str">
        <f>IF($I286="","",IFERROR(INDEX(MCC_MASTER!$B$5:$B$504,MATCH($I286,MCC_MASTER!$A$5:$A$504,0)),"⚠ MCC chưa có"))</f>
        <v/>
      </c>
      <c r="K286" s="45" t="str">
        <f>IF($I286="","",IFERROR(IF(INDEX(MCC_MASTER!$C$5:$C$504,MATCH($I286,MCC_MASTER!$A$5:$A$504,0))="","Chưa phân loại",INDEX(MCC_MASTER!$C$5:$C$504,MATCH($I286,MCC_MASTER!$A$5:$A$504,0))),"Chưa phân loại"))</f>
        <v/>
      </c>
      <c r="L286" s="40" t="n"/>
      <c r="M286" s="48" t="str">
        <f>IF(OR($B286="",$D286=""),"",IF($AC286=0,0,IF(ISNUMBER(INDEX(CASHBACK_RULES!$L$5:$L$304,$AC286)),MAX(0,MIN($L286,INDEX(CASHBACK_RULES!$L$5:$L$304,$AC286)-$AH286)),MAX(0,$L286))))</f>
        <v/>
      </c>
      <c r="N286" s="49" t="str">
        <f>IF(OR($B286="",$D286=""),"",IF($AC286&gt;0,INDEX(CASHBACK_RULES!$I$5:$I$304,$AC286),0))</f>
        <v/>
      </c>
      <c r="O286" s="48" t="str">
        <f>IF(OR($B286="",$D286=""),"",ROUND($M286*$N286,0))</f>
        <v/>
      </c>
      <c r="P286" s="48" t="str">
        <f>IF($AC286&gt;0,IF(ISNUMBER(INDEX(CASHBACK_RULES!$J$5:$J$304,$AC286)),INDEX(CASHBACK_RULES!$J$5:$J$304,$AC286),"∞"),"")</f>
        <v/>
      </c>
      <c r="Q286" s="48" t="str">
        <f>IF(OR($B286="",$D286=""),"",IF($AC286=0,0,MAX(0,MIN($O286,IF(ISNUMBER($P286),$P286-$AF286,1E+15),IF(ISNUMBER($AA286),$AA286-$AG286,1E+15)))))</f>
        <v/>
      </c>
      <c r="R286" s="48" t="str">
        <f>IF(OR($B286="",$D286=""),"",IF($AC286=0,"",IF(AND(NOT(ISNUMBER($P286)),NOT(ISNUMBER($AA286))),"∞",MAX(0,MIN(IF(ISNUMBER($P286),$P286-$AF286-$Q286,1E+15),IF(ISNUMBER($AA286),$AA286-$AG286-$Q286,1E+15))))))</f>
        <v/>
      </c>
      <c r="S286" s="47" t="str">
        <f>IF($AD286="","",YEAR($AD286)*100+MONTH($AD286))</f>
        <v/>
      </c>
      <c r="T286" s="50" t="str">
        <f>IF($AD286="","",IFERROR(IF(INDEX(CARDS!$I$5:$I$34,MATCH($D286,CARDS!$A$5:$A$34,0))="","",IF(INDEX(CARDS!$I$5:$I$34,MATCH($D286,CARDS!$A$5:$A$34,0))&gt;INDEX(CARDS!$H$5:$H$34,MATCH($D286,CARDS!$A$5:$A$34,0)),DATE(YEAR($AD286),MONTH($AD286),MIN(INDEX(CARDS!$I$5:$I$34,MATCH($D286,CARDS!$A$5:$A$34,0)),DAY(EOMONTH($AD286,0)))),DATE(YEAR($AD286),MONTH($AD286)+1,MIN(INDEX(CARDS!$I$5:$I$34,MATCH($D286,CARDS!$A$5:$A$34,0)),DAY(EOMONTH($AD286,1)))))),""))</f>
        <v/>
      </c>
      <c r="U286" s="38" t="n"/>
      <c r="V286" s="37" t="n"/>
      <c r="W286" s="38" t="n"/>
      <c r="X286" s="38" t="n"/>
      <c r="Y286" s="44" t="str">
        <f>IF($AC286&gt;0,INDEX(CASHBACK_RULES!$A$5:$A$304,$AC286),"")</f>
        <v/>
      </c>
      <c r="Z286" s="45" t="str">
        <f>IF($AC286&gt;0,INDEX(CASHBACK_RULES!$E$5:$E$304,$AC286)&amp;"","")</f>
        <v/>
      </c>
      <c r="AA286" s="48" t="str">
        <f>IF($AC286&gt;0,IF(ISNUMBER(INDEX(CASHBACK_RULES!$K$5:$K$304,$AC286)),INDEX(CASHBACK_RULES!$K$5:$K$304,$AC286),"∞"),"")</f>
        <v/>
      </c>
      <c r="AB286" s="44" t="str">
        <f>IF(OR($B286="",$D286=""),"",IF($U286="Cancelled","Đã hủy",IF($AC286=0,"Không được hoàn",IF($Q286=0,IF(OR($O286&gt;0,$M286&lt;$L286),"Đã đạt cap","Không được hoàn"),IF(OR($Q286&lt;$O286,$M286&lt;$L286),"Hoàn một phần","Được hoàn")))))</f>
        <v/>
      </c>
      <c r="AC286" s="43">
        <f>IF(OR($B286="",$D286="",$I286="",$L286=""),0,IF($U286="Cancelled",0,IF($W286&lt;&gt;"",IFERROR(IF(INDEX(CASHBACK_RULES!$B$5:$B$304,MATCH($W286,CASHBACK_RULES!$A$5:$A$304,0))=$D286,MATCH($W286,CASHBACK_RULES!$A$5:$A$304,0),0),0),IFERROR(MATCH(1,INDEX((CASHBACK_RULES!$B$5:$B$304=$D286)*(CASHBACK_RULES!$G$5:$G$304=$I286)*(((CASHBACK_RULES!$N$5:$N$304="")+(CASHBACK_RULES!$N$5:$N$304&lt;=$B286))&gt;0)*(((CASHBACK_RULES!$O$5:$O$304="")+(CASHBACK_RULES!$O$5:$O$304&gt;=$B286))&gt;0)*(((CASHBACK_RULES!$M$5:$M$304="")+(CASHBACK_RULES!$M$5:$M$304&lt;=$L286))&gt;0),0),0),0))))</f>
        <v>0</v>
      </c>
      <c r="AD286" s="51" t="str">
        <f>IF(OR($B286="",$D286=""),"",IFERROR(IF(INDEX(CARDS!$H$5:$H$34,MATCH($D286,CARDS!$A$5:$A$34,0))="","",IF(DAY($B286)&lt;=INDEX(CARDS!$H$5:$H$34,MATCH($D286,CARDS!$A$5:$A$34,0)),DATE(YEAR($B286),MONTH($B286),MIN(INDEX(CARDS!$H$5:$H$34,MATCH($D286,CARDS!$A$5:$A$34,0)),DAY(EOMONTH($B286,0)))),DATE(YEAR($B286),MONTH($B286)+1,MIN(INDEX(CARDS!$H$5:$H$34,MATCH($D286,CARDS!$A$5:$A$34,0)),DAY(EOMONTH($B286,1)))))),""))</f>
        <v/>
      </c>
      <c r="AE286" s="52" t="str">
        <f>IF($C286="","",$C286&amp;"|"&amp;COUNTIF($C$5:$C286,$C286))</f>
        <v/>
      </c>
      <c r="AF286" s="53">
        <f>IF($AC286&gt;0,SUMIFS(Q$4:Q285,$D$4:$D285,$D286,$Z$4:$Z285,$Z286,$C$4:$C285,$C286),0)</f>
        <v>0</v>
      </c>
      <c r="AG286" s="53">
        <f>IF($AC286&gt;0,SUMIFS(Q$4:Q285,$D$4:$D285,$D286,$C$4:$C285,$C286),0)</f>
        <v>0</v>
      </c>
      <c r="AH286" s="53">
        <f>IF($AC286&gt;0,SUMIFS(M$4:M285,$D$4:$D285,$D286,$Z$4:$Z285,$Z286,$C$4:$C285,$C286),0)</f>
        <v>0</v>
      </c>
      <c r="AI286" s="43">
        <f>IF(OR($C286="",$I286=""),0,IF(COUNTIFS($C$5:$C286,$C286,$I$5:$I286,$I286)=1,1,0))</f>
        <v>0</v>
      </c>
      <c r="AJ286" s="43" t="str">
        <f>IF($AI286=1,SUMIFS($AI$4:$AI285,$C$4:$C285,$C286)+1,"")</f>
        <v/>
      </c>
      <c r="AK286" s="43">
        <f>IF(OR($C286="",$K286=""),0,IF(COUNTIFS($C$5:$C286,$C286,$K$5:$K286,$K286)=1,1,0))</f>
        <v>0</v>
      </c>
      <c r="AL286" s="43" t="str">
        <f>IF($AK286=1,SUMIFS($AK$4:$AK285,$C$4:$C285,$C286)+1,"")</f>
        <v/>
      </c>
      <c r="AM286" s="43">
        <f>IF(OR($C286="",$G286=""),0,IF(COUNTIFS($C$5:$C286,$C286,$G$5:$G286,$G286)=1,1,0))</f>
        <v>0</v>
      </c>
      <c r="AN286" s="43" t="str">
        <f>IF($AM286=1,SUMIFS($AM$4:$AM285,$C$4:$C285,$C286)+1,"")</f>
        <v/>
      </c>
    </row>
    <row r="287">
      <c r="A287" s="44" t="str">
        <f>IF(OR($B287="",$D287=""),"","TX"&amp;TEXT(ROW()-4,"0000"))</f>
        <v/>
      </c>
      <c r="B287" s="42" t="n"/>
      <c r="C287" s="47" t="str">
        <f>IF($B287="","",YEAR($B287)*100+MONTH($B287))</f>
        <v/>
      </c>
      <c r="D287" s="37" t="n"/>
      <c r="E287" s="45" t="str">
        <f>IF($D287="","",IFERROR(INDEX(CARDS!$B$5:$B$34,MATCH($D287,CARDS!$A$5:$A$34,0)),"⚠ Card ID?"))</f>
        <v/>
      </c>
      <c r="F287" s="45" t="str">
        <f>IF($D287="","",IFERROR(INDEX(CARDS!$C$5:$C$34,MATCH($D287,CARDS!$A$5:$A$34,0)),"⚠ Card ID?"))</f>
        <v/>
      </c>
      <c r="G287" s="37" t="n"/>
      <c r="H287" s="37" t="n"/>
      <c r="I287" s="41" t="n"/>
      <c r="J287" s="45" t="str">
        <f>IF($I287="","",IFERROR(INDEX(MCC_MASTER!$B$5:$B$504,MATCH($I287,MCC_MASTER!$A$5:$A$504,0)),"⚠ MCC chưa có"))</f>
        <v/>
      </c>
      <c r="K287" s="45" t="str">
        <f>IF($I287="","",IFERROR(IF(INDEX(MCC_MASTER!$C$5:$C$504,MATCH($I287,MCC_MASTER!$A$5:$A$504,0))="","Chưa phân loại",INDEX(MCC_MASTER!$C$5:$C$504,MATCH($I287,MCC_MASTER!$A$5:$A$504,0))),"Chưa phân loại"))</f>
        <v/>
      </c>
      <c r="L287" s="40" t="n"/>
      <c r="M287" s="48" t="str">
        <f>IF(OR($B287="",$D287=""),"",IF($AC287=0,0,IF(ISNUMBER(INDEX(CASHBACK_RULES!$L$5:$L$304,$AC287)),MAX(0,MIN($L287,INDEX(CASHBACK_RULES!$L$5:$L$304,$AC287)-$AH287)),MAX(0,$L287))))</f>
        <v/>
      </c>
      <c r="N287" s="49" t="str">
        <f>IF(OR($B287="",$D287=""),"",IF($AC287&gt;0,INDEX(CASHBACK_RULES!$I$5:$I$304,$AC287),0))</f>
        <v/>
      </c>
      <c r="O287" s="48" t="str">
        <f>IF(OR($B287="",$D287=""),"",ROUND($M287*$N287,0))</f>
        <v/>
      </c>
      <c r="P287" s="48" t="str">
        <f>IF($AC287&gt;0,IF(ISNUMBER(INDEX(CASHBACK_RULES!$J$5:$J$304,$AC287)),INDEX(CASHBACK_RULES!$J$5:$J$304,$AC287),"∞"),"")</f>
        <v/>
      </c>
      <c r="Q287" s="48" t="str">
        <f>IF(OR($B287="",$D287=""),"",IF($AC287=0,0,MAX(0,MIN($O287,IF(ISNUMBER($P287),$P287-$AF287,1E+15),IF(ISNUMBER($AA287),$AA287-$AG287,1E+15)))))</f>
        <v/>
      </c>
      <c r="R287" s="48" t="str">
        <f>IF(OR($B287="",$D287=""),"",IF($AC287=0,"",IF(AND(NOT(ISNUMBER($P287)),NOT(ISNUMBER($AA287))),"∞",MAX(0,MIN(IF(ISNUMBER($P287),$P287-$AF287-$Q287,1E+15),IF(ISNUMBER($AA287),$AA287-$AG287-$Q287,1E+15))))))</f>
        <v/>
      </c>
      <c r="S287" s="47" t="str">
        <f>IF($AD287="","",YEAR($AD287)*100+MONTH($AD287))</f>
        <v/>
      </c>
      <c r="T287" s="50" t="str">
        <f>IF($AD287="","",IFERROR(IF(INDEX(CARDS!$I$5:$I$34,MATCH($D287,CARDS!$A$5:$A$34,0))="","",IF(INDEX(CARDS!$I$5:$I$34,MATCH($D287,CARDS!$A$5:$A$34,0))&gt;INDEX(CARDS!$H$5:$H$34,MATCH($D287,CARDS!$A$5:$A$34,0)),DATE(YEAR($AD287),MONTH($AD287),MIN(INDEX(CARDS!$I$5:$I$34,MATCH($D287,CARDS!$A$5:$A$34,0)),DAY(EOMONTH($AD287,0)))),DATE(YEAR($AD287),MONTH($AD287)+1,MIN(INDEX(CARDS!$I$5:$I$34,MATCH($D287,CARDS!$A$5:$A$34,0)),DAY(EOMONTH($AD287,1)))))),""))</f>
        <v/>
      </c>
      <c r="U287" s="38" t="n"/>
      <c r="V287" s="37" t="n"/>
      <c r="W287" s="38" t="n"/>
      <c r="X287" s="38" t="n"/>
      <c r="Y287" s="44" t="str">
        <f>IF($AC287&gt;0,INDEX(CASHBACK_RULES!$A$5:$A$304,$AC287),"")</f>
        <v/>
      </c>
      <c r="Z287" s="45" t="str">
        <f>IF($AC287&gt;0,INDEX(CASHBACK_RULES!$E$5:$E$304,$AC287)&amp;"","")</f>
        <v/>
      </c>
      <c r="AA287" s="48" t="str">
        <f>IF($AC287&gt;0,IF(ISNUMBER(INDEX(CASHBACK_RULES!$K$5:$K$304,$AC287)),INDEX(CASHBACK_RULES!$K$5:$K$304,$AC287),"∞"),"")</f>
        <v/>
      </c>
      <c r="AB287" s="44" t="str">
        <f>IF(OR($B287="",$D287=""),"",IF($U287="Cancelled","Đã hủy",IF($AC287=0,"Không được hoàn",IF($Q287=0,IF(OR($O287&gt;0,$M287&lt;$L287),"Đã đạt cap","Không được hoàn"),IF(OR($Q287&lt;$O287,$M287&lt;$L287),"Hoàn một phần","Được hoàn")))))</f>
        <v/>
      </c>
      <c r="AC287" s="43">
        <f>IF(OR($B287="",$D287="",$I287="",$L287=""),0,IF($U287="Cancelled",0,IF($W287&lt;&gt;"",IFERROR(IF(INDEX(CASHBACK_RULES!$B$5:$B$304,MATCH($W287,CASHBACK_RULES!$A$5:$A$304,0))=$D287,MATCH($W287,CASHBACK_RULES!$A$5:$A$304,0),0),0),IFERROR(MATCH(1,INDEX((CASHBACK_RULES!$B$5:$B$304=$D287)*(CASHBACK_RULES!$G$5:$G$304=$I287)*(((CASHBACK_RULES!$N$5:$N$304="")+(CASHBACK_RULES!$N$5:$N$304&lt;=$B287))&gt;0)*(((CASHBACK_RULES!$O$5:$O$304="")+(CASHBACK_RULES!$O$5:$O$304&gt;=$B287))&gt;0)*(((CASHBACK_RULES!$M$5:$M$304="")+(CASHBACK_RULES!$M$5:$M$304&lt;=$L287))&gt;0),0),0),0))))</f>
        <v>0</v>
      </c>
      <c r="AD287" s="51" t="str">
        <f>IF(OR($B287="",$D287=""),"",IFERROR(IF(INDEX(CARDS!$H$5:$H$34,MATCH($D287,CARDS!$A$5:$A$34,0))="","",IF(DAY($B287)&lt;=INDEX(CARDS!$H$5:$H$34,MATCH($D287,CARDS!$A$5:$A$34,0)),DATE(YEAR($B287),MONTH($B287),MIN(INDEX(CARDS!$H$5:$H$34,MATCH($D287,CARDS!$A$5:$A$34,0)),DAY(EOMONTH($B287,0)))),DATE(YEAR($B287),MONTH($B287)+1,MIN(INDEX(CARDS!$H$5:$H$34,MATCH($D287,CARDS!$A$5:$A$34,0)),DAY(EOMONTH($B287,1)))))),""))</f>
        <v/>
      </c>
      <c r="AE287" s="52" t="str">
        <f>IF($C287="","",$C287&amp;"|"&amp;COUNTIF($C$5:$C287,$C287))</f>
        <v/>
      </c>
      <c r="AF287" s="53">
        <f>IF($AC287&gt;0,SUMIFS(Q$4:Q286,$D$4:$D286,$D287,$Z$4:$Z286,$Z287,$C$4:$C286,$C287),0)</f>
        <v>0</v>
      </c>
      <c r="AG287" s="53">
        <f>IF($AC287&gt;0,SUMIFS(Q$4:Q286,$D$4:$D286,$D287,$C$4:$C286,$C287),0)</f>
        <v>0</v>
      </c>
      <c r="AH287" s="53">
        <f>IF($AC287&gt;0,SUMIFS(M$4:M286,$D$4:$D286,$D287,$Z$4:$Z286,$Z287,$C$4:$C286,$C287),0)</f>
        <v>0</v>
      </c>
      <c r="AI287" s="43">
        <f>IF(OR($C287="",$I287=""),0,IF(COUNTIFS($C$5:$C287,$C287,$I$5:$I287,$I287)=1,1,0))</f>
        <v>0</v>
      </c>
      <c r="AJ287" s="43" t="str">
        <f>IF($AI287=1,SUMIFS($AI$4:$AI286,$C$4:$C286,$C287)+1,"")</f>
        <v/>
      </c>
      <c r="AK287" s="43">
        <f>IF(OR($C287="",$K287=""),0,IF(COUNTIFS($C$5:$C287,$C287,$K$5:$K287,$K287)=1,1,0))</f>
        <v>0</v>
      </c>
      <c r="AL287" s="43" t="str">
        <f>IF($AK287=1,SUMIFS($AK$4:$AK286,$C$4:$C286,$C287)+1,"")</f>
        <v/>
      </c>
      <c r="AM287" s="43">
        <f>IF(OR($C287="",$G287=""),0,IF(COUNTIFS($C$5:$C287,$C287,$G$5:$G287,$G287)=1,1,0))</f>
        <v>0</v>
      </c>
      <c r="AN287" s="43" t="str">
        <f>IF($AM287=1,SUMIFS($AM$4:$AM286,$C$4:$C286,$C287)+1,"")</f>
        <v/>
      </c>
    </row>
    <row r="288">
      <c r="A288" s="44" t="str">
        <f>IF(OR($B288="",$D288=""),"","TX"&amp;TEXT(ROW()-4,"0000"))</f>
        <v/>
      </c>
      <c r="B288" s="42" t="n"/>
      <c r="C288" s="47" t="str">
        <f>IF($B288="","",YEAR($B288)*100+MONTH($B288))</f>
        <v/>
      </c>
      <c r="D288" s="37" t="n"/>
      <c r="E288" s="45" t="str">
        <f>IF($D288="","",IFERROR(INDEX(CARDS!$B$5:$B$34,MATCH($D288,CARDS!$A$5:$A$34,0)),"⚠ Card ID?"))</f>
        <v/>
      </c>
      <c r="F288" s="45" t="str">
        <f>IF($D288="","",IFERROR(INDEX(CARDS!$C$5:$C$34,MATCH($D288,CARDS!$A$5:$A$34,0)),"⚠ Card ID?"))</f>
        <v/>
      </c>
      <c r="G288" s="37" t="n"/>
      <c r="H288" s="37" t="n"/>
      <c r="I288" s="41" t="n"/>
      <c r="J288" s="45" t="str">
        <f>IF($I288="","",IFERROR(INDEX(MCC_MASTER!$B$5:$B$504,MATCH($I288,MCC_MASTER!$A$5:$A$504,0)),"⚠ MCC chưa có"))</f>
        <v/>
      </c>
      <c r="K288" s="45" t="str">
        <f>IF($I288="","",IFERROR(IF(INDEX(MCC_MASTER!$C$5:$C$504,MATCH($I288,MCC_MASTER!$A$5:$A$504,0))="","Chưa phân loại",INDEX(MCC_MASTER!$C$5:$C$504,MATCH($I288,MCC_MASTER!$A$5:$A$504,0))),"Chưa phân loại"))</f>
        <v/>
      </c>
      <c r="L288" s="40" t="n"/>
      <c r="M288" s="48" t="str">
        <f>IF(OR($B288="",$D288=""),"",IF($AC288=0,0,IF(ISNUMBER(INDEX(CASHBACK_RULES!$L$5:$L$304,$AC288)),MAX(0,MIN($L288,INDEX(CASHBACK_RULES!$L$5:$L$304,$AC288)-$AH288)),MAX(0,$L288))))</f>
        <v/>
      </c>
      <c r="N288" s="49" t="str">
        <f>IF(OR($B288="",$D288=""),"",IF($AC288&gt;0,INDEX(CASHBACK_RULES!$I$5:$I$304,$AC288),0))</f>
        <v/>
      </c>
      <c r="O288" s="48" t="str">
        <f>IF(OR($B288="",$D288=""),"",ROUND($M288*$N288,0))</f>
        <v/>
      </c>
      <c r="P288" s="48" t="str">
        <f>IF($AC288&gt;0,IF(ISNUMBER(INDEX(CASHBACK_RULES!$J$5:$J$304,$AC288)),INDEX(CASHBACK_RULES!$J$5:$J$304,$AC288),"∞"),"")</f>
        <v/>
      </c>
      <c r="Q288" s="48" t="str">
        <f>IF(OR($B288="",$D288=""),"",IF($AC288=0,0,MAX(0,MIN($O288,IF(ISNUMBER($P288),$P288-$AF288,1E+15),IF(ISNUMBER($AA288),$AA288-$AG288,1E+15)))))</f>
        <v/>
      </c>
      <c r="R288" s="48" t="str">
        <f>IF(OR($B288="",$D288=""),"",IF($AC288=0,"",IF(AND(NOT(ISNUMBER($P288)),NOT(ISNUMBER($AA288))),"∞",MAX(0,MIN(IF(ISNUMBER($P288),$P288-$AF288-$Q288,1E+15),IF(ISNUMBER($AA288),$AA288-$AG288-$Q288,1E+15))))))</f>
        <v/>
      </c>
      <c r="S288" s="47" t="str">
        <f>IF($AD288="","",YEAR($AD288)*100+MONTH($AD288))</f>
        <v/>
      </c>
      <c r="T288" s="50" t="str">
        <f>IF($AD288="","",IFERROR(IF(INDEX(CARDS!$I$5:$I$34,MATCH($D288,CARDS!$A$5:$A$34,0))="","",IF(INDEX(CARDS!$I$5:$I$34,MATCH($D288,CARDS!$A$5:$A$34,0))&gt;INDEX(CARDS!$H$5:$H$34,MATCH($D288,CARDS!$A$5:$A$34,0)),DATE(YEAR($AD288),MONTH($AD288),MIN(INDEX(CARDS!$I$5:$I$34,MATCH($D288,CARDS!$A$5:$A$34,0)),DAY(EOMONTH($AD288,0)))),DATE(YEAR($AD288),MONTH($AD288)+1,MIN(INDEX(CARDS!$I$5:$I$34,MATCH($D288,CARDS!$A$5:$A$34,0)),DAY(EOMONTH($AD288,1)))))),""))</f>
        <v/>
      </c>
      <c r="U288" s="38" t="n"/>
      <c r="V288" s="37" t="n"/>
      <c r="W288" s="38" t="n"/>
      <c r="X288" s="38" t="n"/>
      <c r="Y288" s="44" t="str">
        <f>IF($AC288&gt;0,INDEX(CASHBACK_RULES!$A$5:$A$304,$AC288),"")</f>
        <v/>
      </c>
      <c r="Z288" s="45" t="str">
        <f>IF($AC288&gt;0,INDEX(CASHBACK_RULES!$E$5:$E$304,$AC288)&amp;"","")</f>
        <v/>
      </c>
      <c r="AA288" s="48" t="str">
        <f>IF($AC288&gt;0,IF(ISNUMBER(INDEX(CASHBACK_RULES!$K$5:$K$304,$AC288)),INDEX(CASHBACK_RULES!$K$5:$K$304,$AC288),"∞"),"")</f>
        <v/>
      </c>
      <c r="AB288" s="44" t="str">
        <f>IF(OR($B288="",$D288=""),"",IF($U288="Cancelled","Đã hủy",IF($AC288=0,"Không được hoàn",IF($Q288=0,IF(OR($O288&gt;0,$M288&lt;$L288),"Đã đạt cap","Không được hoàn"),IF(OR($Q288&lt;$O288,$M288&lt;$L288),"Hoàn một phần","Được hoàn")))))</f>
        <v/>
      </c>
      <c r="AC288" s="43">
        <f>IF(OR($B288="",$D288="",$I288="",$L288=""),0,IF($U288="Cancelled",0,IF($W288&lt;&gt;"",IFERROR(IF(INDEX(CASHBACK_RULES!$B$5:$B$304,MATCH($W288,CASHBACK_RULES!$A$5:$A$304,0))=$D288,MATCH($W288,CASHBACK_RULES!$A$5:$A$304,0),0),0),IFERROR(MATCH(1,INDEX((CASHBACK_RULES!$B$5:$B$304=$D288)*(CASHBACK_RULES!$G$5:$G$304=$I288)*(((CASHBACK_RULES!$N$5:$N$304="")+(CASHBACK_RULES!$N$5:$N$304&lt;=$B288))&gt;0)*(((CASHBACK_RULES!$O$5:$O$304="")+(CASHBACK_RULES!$O$5:$O$304&gt;=$B288))&gt;0)*(((CASHBACK_RULES!$M$5:$M$304="")+(CASHBACK_RULES!$M$5:$M$304&lt;=$L288))&gt;0),0),0),0))))</f>
        <v>0</v>
      </c>
      <c r="AD288" s="51" t="str">
        <f>IF(OR($B288="",$D288=""),"",IFERROR(IF(INDEX(CARDS!$H$5:$H$34,MATCH($D288,CARDS!$A$5:$A$34,0))="","",IF(DAY($B288)&lt;=INDEX(CARDS!$H$5:$H$34,MATCH($D288,CARDS!$A$5:$A$34,0)),DATE(YEAR($B288),MONTH($B288),MIN(INDEX(CARDS!$H$5:$H$34,MATCH($D288,CARDS!$A$5:$A$34,0)),DAY(EOMONTH($B288,0)))),DATE(YEAR($B288),MONTH($B288)+1,MIN(INDEX(CARDS!$H$5:$H$34,MATCH($D288,CARDS!$A$5:$A$34,0)),DAY(EOMONTH($B288,1)))))),""))</f>
        <v/>
      </c>
      <c r="AE288" s="52" t="str">
        <f>IF($C288="","",$C288&amp;"|"&amp;COUNTIF($C$5:$C288,$C288))</f>
        <v/>
      </c>
      <c r="AF288" s="53">
        <f>IF($AC288&gt;0,SUMIFS(Q$4:Q287,$D$4:$D287,$D288,$Z$4:$Z287,$Z288,$C$4:$C287,$C288),0)</f>
        <v>0</v>
      </c>
      <c r="AG288" s="53">
        <f>IF($AC288&gt;0,SUMIFS(Q$4:Q287,$D$4:$D287,$D288,$C$4:$C287,$C288),0)</f>
        <v>0</v>
      </c>
      <c r="AH288" s="53">
        <f>IF($AC288&gt;0,SUMIFS(M$4:M287,$D$4:$D287,$D288,$Z$4:$Z287,$Z288,$C$4:$C287,$C288),0)</f>
        <v>0</v>
      </c>
      <c r="AI288" s="43">
        <f>IF(OR($C288="",$I288=""),0,IF(COUNTIFS($C$5:$C288,$C288,$I$5:$I288,$I288)=1,1,0))</f>
        <v>0</v>
      </c>
      <c r="AJ288" s="43" t="str">
        <f>IF($AI288=1,SUMIFS($AI$4:$AI287,$C$4:$C287,$C288)+1,"")</f>
        <v/>
      </c>
      <c r="AK288" s="43">
        <f>IF(OR($C288="",$K288=""),0,IF(COUNTIFS($C$5:$C288,$C288,$K$5:$K288,$K288)=1,1,0))</f>
        <v>0</v>
      </c>
      <c r="AL288" s="43" t="str">
        <f>IF($AK288=1,SUMIFS($AK$4:$AK287,$C$4:$C287,$C288)+1,"")</f>
        <v/>
      </c>
      <c r="AM288" s="43">
        <f>IF(OR($C288="",$G288=""),0,IF(COUNTIFS($C$5:$C288,$C288,$G$5:$G288,$G288)=1,1,0))</f>
        <v>0</v>
      </c>
      <c r="AN288" s="43" t="str">
        <f>IF($AM288=1,SUMIFS($AM$4:$AM287,$C$4:$C287,$C288)+1,"")</f>
        <v/>
      </c>
    </row>
    <row r="289">
      <c r="A289" s="44" t="str">
        <f>IF(OR($B289="",$D289=""),"","TX"&amp;TEXT(ROW()-4,"0000"))</f>
        <v/>
      </c>
      <c r="B289" s="42" t="n"/>
      <c r="C289" s="47" t="str">
        <f>IF($B289="","",YEAR($B289)*100+MONTH($B289))</f>
        <v/>
      </c>
      <c r="D289" s="37" t="n"/>
      <c r="E289" s="45" t="str">
        <f>IF($D289="","",IFERROR(INDEX(CARDS!$B$5:$B$34,MATCH($D289,CARDS!$A$5:$A$34,0)),"⚠ Card ID?"))</f>
        <v/>
      </c>
      <c r="F289" s="45" t="str">
        <f>IF($D289="","",IFERROR(INDEX(CARDS!$C$5:$C$34,MATCH($D289,CARDS!$A$5:$A$34,0)),"⚠ Card ID?"))</f>
        <v/>
      </c>
      <c r="G289" s="37" t="n"/>
      <c r="H289" s="37" t="n"/>
      <c r="I289" s="41" t="n"/>
      <c r="J289" s="45" t="str">
        <f>IF($I289="","",IFERROR(INDEX(MCC_MASTER!$B$5:$B$504,MATCH($I289,MCC_MASTER!$A$5:$A$504,0)),"⚠ MCC chưa có"))</f>
        <v/>
      </c>
      <c r="K289" s="45" t="str">
        <f>IF($I289="","",IFERROR(IF(INDEX(MCC_MASTER!$C$5:$C$504,MATCH($I289,MCC_MASTER!$A$5:$A$504,0))="","Chưa phân loại",INDEX(MCC_MASTER!$C$5:$C$504,MATCH($I289,MCC_MASTER!$A$5:$A$504,0))),"Chưa phân loại"))</f>
        <v/>
      </c>
      <c r="L289" s="40" t="n"/>
      <c r="M289" s="48" t="str">
        <f>IF(OR($B289="",$D289=""),"",IF($AC289=0,0,IF(ISNUMBER(INDEX(CASHBACK_RULES!$L$5:$L$304,$AC289)),MAX(0,MIN($L289,INDEX(CASHBACK_RULES!$L$5:$L$304,$AC289)-$AH289)),MAX(0,$L289))))</f>
        <v/>
      </c>
      <c r="N289" s="49" t="str">
        <f>IF(OR($B289="",$D289=""),"",IF($AC289&gt;0,INDEX(CASHBACK_RULES!$I$5:$I$304,$AC289),0))</f>
        <v/>
      </c>
      <c r="O289" s="48" t="str">
        <f>IF(OR($B289="",$D289=""),"",ROUND($M289*$N289,0))</f>
        <v/>
      </c>
      <c r="P289" s="48" t="str">
        <f>IF($AC289&gt;0,IF(ISNUMBER(INDEX(CASHBACK_RULES!$J$5:$J$304,$AC289)),INDEX(CASHBACK_RULES!$J$5:$J$304,$AC289),"∞"),"")</f>
        <v/>
      </c>
      <c r="Q289" s="48" t="str">
        <f>IF(OR($B289="",$D289=""),"",IF($AC289=0,0,MAX(0,MIN($O289,IF(ISNUMBER($P289),$P289-$AF289,1E+15),IF(ISNUMBER($AA289),$AA289-$AG289,1E+15)))))</f>
        <v/>
      </c>
      <c r="R289" s="48" t="str">
        <f>IF(OR($B289="",$D289=""),"",IF($AC289=0,"",IF(AND(NOT(ISNUMBER($P289)),NOT(ISNUMBER($AA289))),"∞",MAX(0,MIN(IF(ISNUMBER($P289),$P289-$AF289-$Q289,1E+15),IF(ISNUMBER($AA289),$AA289-$AG289-$Q289,1E+15))))))</f>
        <v/>
      </c>
      <c r="S289" s="47" t="str">
        <f>IF($AD289="","",YEAR($AD289)*100+MONTH($AD289))</f>
        <v/>
      </c>
      <c r="T289" s="50" t="str">
        <f>IF($AD289="","",IFERROR(IF(INDEX(CARDS!$I$5:$I$34,MATCH($D289,CARDS!$A$5:$A$34,0))="","",IF(INDEX(CARDS!$I$5:$I$34,MATCH($D289,CARDS!$A$5:$A$34,0))&gt;INDEX(CARDS!$H$5:$H$34,MATCH($D289,CARDS!$A$5:$A$34,0)),DATE(YEAR($AD289),MONTH($AD289),MIN(INDEX(CARDS!$I$5:$I$34,MATCH($D289,CARDS!$A$5:$A$34,0)),DAY(EOMONTH($AD289,0)))),DATE(YEAR($AD289),MONTH($AD289)+1,MIN(INDEX(CARDS!$I$5:$I$34,MATCH($D289,CARDS!$A$5:$A$34,0)),DAY(EOMONTH($AD289,1)))))),""))</f>
        <v/>
      </c>
      <c r="U289" s="38" t="n"/>
      <c r="V289" s="37" t="n"/>
      <c r="W289" s="38" t="n"/>
      <c r="X289" s="38" t="n"/>
      <c r="Y289" s="44" t="str">
        <f>IF($AC289&gt;0,INDEX(CASHBACK_RULES!$A$5:$A$304,$AC289),"")</f>
        <v/>
      </c>
      <c r="Z289" s="45" t="str">
        <f>IF($AC289&gt;0,INDEX(CASHBACK_RULES!$E$5:$E$304,$AC289)&amp;"","")</f>
        <v/>
      </c>
      <c r="AA289" s="48" t="str">
        <f>IF($AC289&gt;0,IF(ISNUMBER(INDEX(CASHBACK_RULES!$K$5:$K$304,$AC289)),INDEX(CASHBACK_RULES!$K$5:$K$304,$AC289),"∞"),"")</f>
        <v/>
      </c>
      <c r="AB289" s="44" t="str">
        <f>IF(OR($B289="",$D289=""),"",IF($U289="Cancelled","Đã hủy",IF($AC289=0,"Không được hoàn",IF($Q289=0,IF(OR($O289&gt;0,$M289&lt;$L289),"Đã đạt cap","Không được hoàn"),IF(OR($Q289&lt;$O289,$M289&lt;$L289),"Hoàn một phần","Được hoàn")))))</f>
        <v/>
      </c>
      <c r="AC289" s="43">
        <f>IF(OR($B289="",$D289="",$I289="",$L289=""),0,IF($U289="Cancelled",0,IF($W289&lt;&gt;"",IFERROR(IF(INDEX(CASHBACK_RULES!$B$5:$B$304,MATCH($W289,CASHBACK_RULES!$A$5:$A$304,0))=$D289,MATCH($W289,CASHBACK_RULES!$A$5:$A$304,0),0),0),IFERROR(MATCH(1,INDEX((CASHBACK_RULES!$B$5:$B$304=$D289)*(CASHBACK_RULES!$G$5:$G$304=$I289)*(((CASHBACK_RULES!$N$5:$N$304="")+(CASHBACK_RULES!$N$5:$N$304&lt;=$B289))&gt;0)*(((CASHBACK_RULES!$O$5:$O$304="")+(CASHBACK_RULES!$O$5:$O$304&gt;=$B289))&gt;0)*(((CASHBACK_RULES!$M$5:$M$304="")+(CASHBACK_RULES!$M$5:$M$304&lt;=$L289))&gt;0),0),0),0))))</f>
        <v>0</v>
      </c>
      <c r="AD289" s="51" t="str">
        <f>IF(OR($B289="",$D289=""),"",IFERROR(IF(INDEX(CARDS!$H$5:$H$34,MATCH($D289,CARDS!$A$5:$A$34,0))="","",IF(DAY($B289)&lt;=INDEX(CARDS!$H$5:$H$34,MATCH($D289,CARDS!$A$5:$A$34,0)),DATE(YEAR($B289),MONTH($B289),MIN(INDEX(CARDS!$H$5:$H$34,MATCH($D289,CARDS!$A$5:$A$34,0)),DAY(EOMONTH($B289,0)))),DATE(YEAR($B289),MONTH($B289)+1,MIN(INDEX(CARDS!$H$5:$H$34,MATCH($D289,CARDS!$A$5:$A$34,0)),DAY(EOMONTH($B289,1)))))),""))</f>
        <v/>
      </c>
      <c r="AE289" s="52" t="str">
        <f>IF($C289="","",$C289&amp;"|"&amp;COUNTIF($C$5:$C289,$C289))</f>
        <v/>
      </c>
      <c r="AF289" s="53">
        <f>IF($AC289&gt;0,SUMIFS(Q$4:Q288,$D$4:$D288,$D289,$Z$4:$Z288,$Z289,$C$4:$C288,$C289),0)</f>
        <v>0</v>
      </c>
      <c r="AG289" s="53">
        <f>IF($AC289&gt;0,SUMIFS(Q$4:Q288,$D$4:$D288,$D289,$C$4:$C288,$C289),0)</f>
        <v>0</v>
      </c>
      <c r="AH289" s="53">
        <f>IF($AC289&gt;0,SUMIFS(M$4:M288,$D$4:$D288,$D289,$Z$4:$Z288,$Z289,$C$4:$C288,$C289),0)</f>
        <v>0</v>
      </c>
      <c r="AI289" s="43">
        <f>IF(OR($C289="",$I289=""),0,IF(COUNTIFS($C$5:$C289,$C289,$I$5:$I289,$I289)=1,1,0))</f>
        <v>0</v>
      </c>
      <c r="AJ289" s="43" t="str">
        <f>IF($AI289=1,SUMIFS($AI$4:$AI288,$C$4:$C288,$C289)+1,"")</f>
        <v/>
      </c>
      <c r="AK289" s="43">
        <f>IF(OR($C289="",$K289=""),0,IF(COUNTIFS($C$5:$C289,$C289,$K$5:$K289,$K289)=1,1,0))</f>
        <v>0</v>
      </c>
      <c r="AL289" s="43" t="str">
        <f>IF($AK289=1,SUMIFS($AK$4:$AK288,$C$4:$C288,$C289)+1,"")</f>
        <v/>
      </c>
      <c r="AM289" s="43">
        <f>IF(OR($C289="",$G289=""),0,IF(COUNTIFS($C$5:$C289,$C289,$G$5:$G289,$G289)=1,1,0))</f>
        <v>0</v>
      </c>
      <c r="AN289" s="43" t="str">
        <f>IF($AM289=1,SUMIFS($AM$4:$AM288,$C$4:$C288,$C289)+1,"")</f>
        <v/>
      </c>
    </row>
    <row r="290">
      <c r="A290" s="44" t="str">
        <f>IF(OR($B290="",$D290=""),"","TX"&amp;TEXT(ROW()-4,"0000"))</f>
        <v/>
      </c>
      <c r="B290" s="42" t="n"/>
      <c r="C290" s="47" t="str">
        <f>IF($B290="","",YEAR($B290)*100+MONTH($B290))</f>
        <v/>
      </c>
      <c r="D290" s="37" t="n"/>
      <c r="E290" s="45" t="str">
        <f>IF($D290="","",IFERROR(INDEX(CARDS!$B$5:$B$34,MATCH($D290,CARDS!$A$5:$A$34,0)),"⚠ Card ID?"))</f>
        <v/>
      </c>
      <c r="F290" s="45" t="str">
        <f>IF($D290="","",IFERROR(INDEX(CARDS!$C$5:$C$34,MATCH($D290,CARDS!$A$5:$A$34,0)),"⚠ Card ID?"))</f>
        <v/>
      </c>
      <c r="G290" s="37" t="n"/>
      <c r="H290" s="37" t="n"/>
      <c r="I290" s="41" t="n"/>
      <c r="J290" s="45" t="str">
        <f>IF($I290="","",IFERROR(INDEX(MCC_MASTER!$B$5:$B$504,MATCH($I290,MCC_MASTER!$A$5:$A$504,0)),"⚠ MCC chưa có"))</f>
        <v/>
      </c>
      <c r="K290" s="45" t="str">
        <f>IF($I290="","",IFERROR(IF(INDEX(MCC_MASTER!$C$5:$C$504,MATCH($I290,MCC_MASTER!$A$5:$A$504,0))="","Chưa phân loại",INDEX(MCC_MASTER!$C$5:$C$504,MATCH($I290,MCC_MASTER!$A$5:$A$504,0))),"Chưa phân loại"))</f>
        <v/>
      </c>
      <c r="L290" s="40" t="n"/>
      <c r="M290" s="48" t="str">
        <f>IF(OR($B290="",$D290=""),"",IF($AC290=0,0,IF(ISNUMBER(INDEX(CASHBACK_RULES!$L$5:$L$304,$AC290)),MAX(0,MIN($L290,INDEX(CASHBACK_RULES!$L$5:$L$304,$AC290)-$AH290)),MAX(0,$L290))))</f>
        <v/>
      </c>
      <c r="N290" s="49" t="str">
        <f>IF(OR($B290="",$D290=""),"",IF($AC290&gt;0,INDEX(CASHBACK_RULES!$I$5:$I$304,$AC290),0))</f>
        <v/>
      </c>
      <c r="O290" s="48" t="str">
        <f>IF(OR($B290="",$D290=""),"",ROUND($M290*$N290,0))</f>
        <v/>
      </c>
      <c r="P290" s="48" t="str">
        <f>IF($AC290&gt;0,IF(ISNUMBER(INDEX(CASHBACK_RULES!$J$5:$J$304,$AC290)),INDEX(CASHBACK_RULES!$J$5:$J$304,$AC290),"∞"),"")</f>
        <v/>
      </c>
      <c r="Q290" s="48" t="str">
        <f>IF(OR($B290="",$D290=""),"",IF($AC290=0,0,MAX(0,MIN($O290,IF(ISNUMBER($P290),$P290-$AF290,1E+15),IF(ISNUMBER($AA290),$AA290-$AG290,1E+15)))))</f>
        <v/>
      </c>
      <c r="R290" s="48" t="str">
        <f>IF(OR($B290="",$D290=""),"",IF($AC290=0,"",IF(AND(NOT(ISNUMBER($P290)),NOT(ISNUMBER($AA290))),"∞",MAX(0,MIN(IF(ISNUMBER($P290),$P290-$AF290-$Q290,1E+15),IF(ISNUMBER($AA290),$AA290-$AG290-$Q290,1E+15))))))</f>
        <v/>
      </c>
      <c r="S290" s="47" t="str">
        <f>IF($AD290="","",YEAR($AD290)*100+MONTH($AD290))</f>
        <v/>
      </c>
      <c r="T290" s="50" t="str">
        <f>IF($AD290="","",IFERROR(IF(INDEX(CARDS!$I$5:$I$34,MATCH($D290,CARDS!$A$5:$A$34,0))="","",IF(INDEX(CARDS!$I$5:$I$34,MATCH($D290,CARDS!$A$5:$A$34,0))&gt;INDEX(CARDS!$H$5:$H$34,MATCH($D290,CARDS!$A$5:$A$34,0)),DATE(YEAR($AD290),MONTH($AD290),MIN(INDEX(CARDS!$I$5:$I$34,MATCH($D290,CARDS!$A$5:$A$34,0)),DAY(EOMONTH($AD290,0)))),DATE(YEAR($AD290),MONTH($AD290)+1,MIN(INDEX(CARDS!$I$5:$I$34,MATCH($D290,CARDS!$A$5:$A$34,0)),DAY(EOMONTH($AD290,1)))))),""))</f>
        <v/>
      </c>
      <c r="U290" s="38" t="n"/>
      <c r="V290" s="37" t="n"/>
      <c r="W290" s="38" t="n"/>
      <c r="X290" s="38" t="n"/>
      <c r="Y290" s="44" t="str">
        <f>IF($AC290&gt;0,INDEX(CASHBACK_RULES!$A$5:$A$304,$AC290),"")</f>
        <v/>
      </c>
      <c r="Z290" s="45" t="str">
        <f>IF($AC290&gt;0,INDEX(CASHBACK_RULES!$E$5:$E$304,$AC290)&amp;"","")</f>
        <v/>
      </c>
      <c r="AA290" s="48" t="str">
        <f>IF($AC290&gt;0,IF(ISNUMBER(INDEX(CASHBACK_RULES!$K$5:$K$304,$AC290)),INDEX(CASHBACK_RULES!$K$5:$K$304,$AC290),"∞"),"")</f>
        <v/>
      </c>
      <c r="AB290" s="44" t="str">
        <f>IF(OR($B290="",$D290=""),"",IF($U290="Cancelled","Đã hủy",IF($AC290=0,"Không được hoàn",IF($Q290=0,IF(OR($O290&gt;0,$M290&lt;$L290),"Đã đạt cap","Không được hoàn"),IF(OR($Q290&lt;$O290,$M290&lt;$L290),"Hoàn một phần","Được hoàn")))))</f>
        <v/>
      </c>
      <c r="AC290" s="43">
        <f>IF(OR($B290="",$D290="",$I290="",$L290=""),0,IF($U290="Cancelled",0,IF($W290&lt;&gt;"",IFERROR(IF(INDEX(CASHBACK_RULES!$B$5:$B$304,MATCH($W290,CASHBACK_RULES!$A$5:$A$304,0))=$D290,MATCH($W290,CASHBACK_RULES!$A$5:$A$304,0),0),0),IFERROR(MATCH(1,INDEX((CASHBACK_RULES!$B$5:$B$304=$D290)*(CASHBACK_RULES!$G$5:$G$304=$I290)*(((CASHBACK_RULES!$N$5:$N$304="")+(CASHBACK_RULES!$N$5:$N$304&lt;=$B290))&gt;0)*(((CASHBACK_RULES!$O$5:$O$304="")+(CASHBACK_RULES!$O$5:$O$304&gt;=$B290))&gt;0)*(((CASHBACK_RULES!$M$5:$M$304="")+(CASHBACK_RULES!$M$5:$M$304&lt;=$L290))&gt;0),0),0),0))))</f>
        <v>0</v>
      </c>
      <c r="AD290" s="51" t="str">
        <f>IF(OR($B290="",$D290=""),"",IFERROR(IF(INDEX(CARDS!$H$5:$H$34,MATCH($D290,CARDS!$A$5:$A$34,0))="","",IF(DAY($B290)&lt;=INDEX(CARDS!$H$5:$H$34,MATCH($D290,CARDS!$A$5:$A$34,0)),DATE(YEAR($B290),MONTH($B290),MIN(INDEX(CARDS!$H$5:$H$34,MATCH($D290,CARDS!$A$5:$A$34,0)),DAY(EOMONTH($B290,0)))),DATE(YEAR($B290),MONTH($B290)+1,MIN(INDEX(CARDS!$H$5:$H$34,MATCH($D290,CARDS!$A$5:$A$34,0)),DAY(EOMONTH($B290,1)))))),""))</f>
        <v/>
      </c>
      <c r="AE290" s="52" t="str">
        <f>IF($C290="","",$C290&amp;"|"&amp;COUNTIF($C$5:$C290,$C290))</f>
        <v/>
      </c>
      <c r="AF290" s="53">
        <f>IF($AC290&gt;0,SUMIFS(Q$4:Q289,$D$4:$D289,$D290,$Z$4:$Z289,$Z290,$C$4:$C289,$C290),0)</f>
        <v>0</v>
      </c>
      <c r="AG290" s="53">
        <f>IF($AC290&gt;0,SUMIFS(Q$4:Q289,$D$4:$D289,$D290,$C$4:$C289,$C290),0)</f>
        <v>0</v>
      </c>
      <c r="AH290" s="53">
        <f>IF($AC290&gt;0,SUMIFS(M$4:M289,$D$4:$D289,$D290,$Z$4:$Z289,$Z290,$C$4:$C289,$C290),0)</f>
        <v>0</v>
      </c>
      <c r="AI290" s="43">
        <f>IF(OR($C290="",$I290=""),0,IF(COUNTIFS($C$5:$C290,$C290,$I$5:$I290,$I290)=1,1,0))</f>
        <v>0</v>
      </c>
      <c r="AJ290" s="43" t="str">
        <f>IF($AI290=1,SUMIFS($AI$4:$AI289,$C$4:$C289,$C290)+1,"")</f>
        <v/>
      </c>
      <c r="AK290" s="43">
        <f>IF(OR($C290="",$K290=""),0,IF(COUNTIFS($C$5:$C290,$C290,$K$5:$K290,$K290)=1,1,0))</f>
        <v>0</v>
      </c>
      <c r="AL290" s="43" t="str">
        <f>IF($AK290=1,SUMIFS($AK$4:$AK289,$C$4:$C289,$C290)+1,"")</f>
        <v/>
      </c>
      <c r="AM290" s="43">
        <f>IF(OR($C290="",$G290=""),0,IF(COUNTIFS($C$5:$C290,$C290,$G$5:$G290,$G290)=1,1,0))</f>
        <v>0</v>
      </c>
      <c r="AN290" s="43" t="str">
        <f>IF($AM290=1,SUMIFS($AM$4:$AM289,$C$4:$C289,$C290)+1,"")</f>
        <v/>
      </c>
    </row>
    <row r="291">
      <c r="A291" s="44" t="str">
        <f>IF(OR($B291="",$D291=""),"","TX"&amp;TEXT(ROW()-4,"0000"))</f>
        <v/>
      </c>
      <c r="B291" s="42" t="n"/>
      <c r="C291" s="47" t="str">
        <f>IF($B291="","",YEAR($B291)*100+MONTH($B291))</f>
        <v/>
      </c>
      <c r="D291" s="37" t="n"/>
      <c r="E291" s="45" t="str">
        <f>IF($D291="","",IFERROR(INDEX(CARDS!$B$5:$B$34,MATCH($D291,CARDS!$A$5:$A$34,0)),"⚠ Card ID?"))</f>
        <v/>
      </c>
      <c r="F291" s="45" t="str">
        <f>IF($D291="","",IFERROR(INDEX(CARDS!$C$5:$C$34,MATCH($D291,CARDS!$A$5:$A$34,0)),"⚠ Card ID?"))</f>
        <v/>
      </c>
      <c r="G291" s="37" t="n"/>
      <c r="H291" s="37" t="n"/>
      <c r="I291" s="41" t="n"/>
      <c r="J291" s="45" t="str">
        <f>IF($I291="","",IFERROR(INDEX(MCC_MASTER!$B$5:$B$504,MATCH($I291,MCC_MASTER!$A$5:$A$504,0)),"⚠ MCC chưa có"))</f>
        <v/>
      </c>
      <c r="K291" s="45" t="str">
        <f>IF($I291="","",IFERROR(IF(INDEX(MCC_MASTER!$C$5:$C$504,MATCH($I291,MCC_MASTER!$A$5:$A$504,0))="","Chưa phân loại",INDEX(MCC_MASTER!$C$5:$C$504,MATCH($I291,MCC_MASTER!$A$5:$A$504,0))),"Chưa phân loại"))</f>
        <v/>
      </c>
      <c r="L291" s="40" t="n"/>
      <c r="M291" s="48" t="str">
        <f>IF(OR($B291="",$D291=""),"",IF($AC291=0,0,IF(ISNUMBER(INDEX(CASHBACK_RULES!$L$5:$L$304,$AC291)),MAX(0,MIN($L291,INDEX(CASHBACK_RULES!$L$5:$L$304,$AC291)-$AH291)),MAX(0,$L291))))</f>
        <v/>
      </c>
      <c r="N291" s="49" t="str">
        <f>IF(OR($B291="",$D291=""),"",IF($AC291&gt;0,INDEX(CASHBACK_RULES!$I$5:$I$304,$AC291),0))</f>
        <v/>
      </c>
      <c r="O291" s="48" t="str">
        <f>IF(OR($B291="",$D291=""),"",ROUND($M291*$N291,0))</f>
        <v/>
      </c>
      <c r="P291" s="48" t="str">
        <f>IF($AC291&gt;0,IF(ISNUMBER(INDEX(CASHBACK_RULES!$J$5:$J$304,$AC291)),INDEX(CASHBACK_RULES!$J$5:$J$304,$AC291),"∞"),"")</f>
        <v/>
      </c>
      <c r="Q291" s="48" t="str">
        <f>IF(OR($B291="",$D291=""),"",IF($AC291=0,0,MAX(0,MIN($O291,IF(ISNUMBER($P291),$P291-$AF291,1E+15),IF(ISNUMBER($AA291),$AA291-$AG291,1E+15)))))</f>
        <v/>
      </c>
      <c r="R291" s="48" t="str">
        <f>IF(OR($B291="",$D291=""),"",IF($AC291=0,"",IF(AND(NOT(ISNUMBER($P291)),NOT(ISNUMBER($AA291))),"∞",MAX(0,MIN(IF(ISNUMBER($P291),$P291-$AF291-$Q291,1E+15),IF(ISNUMBER($AA291),$AA291-$AG291-$Q291,1E+15))))))</f>
        <v/>
      </c>
      <c r="S291" s="47" t="str">
        <f>IF($AD291="","",YEAR($AD291)*100+MONTH($AD291))</f>
        <v/>
      </c>
      <c r="T291" s="50" t="str">
        <f>IF($AD291="","",IFERROR(IF(INDEX(CARDS!$I$5:$I$34,MATCH($D291,CARDS!$A$5:$A$34,0))="","",IF(INDEX(CARDS!$I$5:$I$34,MATCH($D291,CARDS!$A$5:$A$34,0))&gt;INDEX(CARDS!$H$5:$H$34,MATCH($D291,CARDS!$A$5:$A$34,0)),DATE(YEAR($AD291),MONTH($AD291),MIN(INDEX(CARDS!$I$5:$I$34,MATCH($D291,CARDS!$A$5:$A$34,0)),DAY(EOMONTH($AD291,0)))),DATE(YEAR($AD291),MONTH($AD291)+1,MIN(INDEX(CARDS!$I$5:$I$34,MATCH($D291,CARDS!$A$5:$A$34,0)),DAY(EOMONTH($AD291,1)))))),""))</f>
        <v/>
      </c>
      <c r="U291" s="38" t="n"/>
      <c r="V291" s="37" t="n"/>
      <c r="W291" s="38" t="n"/>
      <c r="X291" s="38" t="n"/>
      <c r="Y291" s="44" t="str">
        <f>IF($AC291&gt;0,INDEX(CASHBACK_RULES!$A$5:$A$304,$AC291),"")</f>
        <v/>
      </c>
      <c r="Z291" s="45" t="str">
        <f>IF($AC291&gt;0,INDEX(CASHBACK_RULES!$E$5:$E$304,$AC291)&amp;"","")</f>
        <v/>
      </c>
      <c r="AA291" s="48" t="str">
        <f>IF($AC291&gt;0,IF(ISNUMBER(INDEX(CASHBACK_RULES!$K$5:$K$304,$AC291)),INDEX(CASHBACK_RULES!$K$5:$K$304,$AC291),"∞"),"")</f>
        <v/>
      </c>
      <c r="AB291" s="44" t="str">
        <f>IF(OR($B291="",$D291=""),"",IF($U291="Cancelled","Đã hủy",IF($AC291=0,"Không được hoàn",IF($Q291=0,IF(OR($O291&gt;0,$M291&lt;$L291),"Đã đạt cap","Không được hoàn"),IF(OR($Q291&lt;$O291,$M291&lt;$L291),"Hoàn một phần","Được hoàn")))))</f>
        <v/>
      </c>
      <c r="AC291" s="43">
        <f>IF(OR($B291="",$D291="",$I291="",$L291=""),0,IF($U291="Cancelled",0,IF($W291&lt;&gt;"",IFERROR(IF(INDEX(CASHBACK_RULES!$B$5:$B$304,MATCH($W291,CASHBACK_RULES!$A$5:$A$304,0))=$D291,MATCH($W291,CASHBACK_RULES!$A$5:$A$304,0),0),0),IFERROR(MATCH(1,INDEX((CASHBACK_RULES!$B$5:$B$304=$D291)*(CASHBACK_RULES!$G$5:$G$304=$I291)*(((CASHBACK_RULES!$N$5:$N$304="")+(CASHBACK_RULES!$N$5:$N$304&lt;=$B291))&gt;0)*(((CASHBACK_RULES!$O$5:$O$304="")+(CASHBACK_RULES!$O$5:$O$304&gt;=$B291))&gt;0)*(((CASHBACK_RULES!$M$5:$M$304="")+(CASHBACK_RULES!$M$5:$M$304&lt;=$L291))&gt;0),0),0),0))))</f>
        <v>0</v>
      </c>
      <c r="AD291" s="51" t="str">
        <f>IF(OR($B291="",$D291=""),"",IFERROR(IF(INDEX(CARDS!$H$5:$H$34,MATCH($D291,CARDS!$A$5:$A$34,0))="","",IF(DAY($B291)&lt;=INDEX(CARDS!$H$5:$H$34,MATCH($D291,CARDS!$A$5:$A$34,0)),DATE(YEAR($B291),MONTH($B291),MIN(INDEX(CARDS!$H$5:$H$34,MATCH($D291,CARDS!$A$5:$A$34,0)),DAY(EOMONTH($B291,0)))),DATE(YEAR($B291),MONTH($B291)+1,MIN(INDEX(CARDS!$H$5:$H$34,MATCH($D291,CARDS!$A$5:$A$34,0)),DAY(EOMONTH($B291,1)))))),""))</f>
        <v/>
      </c>
      <c r="AE291" s="52" t="str">
        <f>IF($C291="","",$C291&amp;"|"&amp;COUNTIF($C$5:$C291,$C291))</f>
        <v/>
      </c>
      <c r="AF291" s="53">
        <f>IF($AC291&gt;0,SUMIFS(Q$4:Q290,$D$4:$D290,$D291,$Z$4:$Z290,$Z291,$C$4:$C290,$C291),0)</f>
        <v>0</v>
      </c>
      <c r="AG291" s="53">
        <f>IF($AC291&gt;0,SUMIFS(Q$4:Q290,$D$4:$D290,$D291,$C$4:$C290,$C291),0)</f>
        <v>0</v>
      </c>
      <c r="AH291" s="53">
        <f>IF($AC291&gt;0,SUMIFS(M$4:M290,$D$4:$D290,$D291,$Z$4:$Z290,$Z291,$C$4:$C290,$C291),0)</f>
        <v>0</v>
      </c>
      <c r="AI291" s="43">
        <f>IF(OR($C291="",$I291=""),0,IF(COUNTIFS($C$5:$C291,$C291,$I$5:$I291,$I291)=1,1,0))</f>
        <v>0</v>
      </c>
      <c r="AJ291" s="43" t="str">
        <f>IF($AI291=1,SUMIFS($AI$4:$AI290,$C$4:$C290,$C291)+1,"")</f>
        <v/>
      </c>
      <c r="AK291" s="43">
        <f>IF(OR($C291="",$K291=""),0,IF(COUNTIFS($C$5:$C291,$C291,$K$5:$K291,$K291)=1,1,0))</f>
        <v>0</v>
      </c>
      <c r="AL291" s="43" t="str">
        <f>IF($AK291=1,SUMIFS($AK$4:$AK290,$C$4:$C290,$C291)+1,"")</f>
        <v/>
      </c>
      <c r="AM291" s="43">
        <f>IF(OR($C291="",$G291=""),0,IF(COUNTIFS($C$5:$C291,$C291,$G$5:$G291,$G291)=1,1,0))</f>
        <v>0</v>
      </c>
      <c r="AN291" s="43" t="str">
        <f>IF($AM291=1,SUMIFS($AM$4:$AM290,$C$4:$C290,$C291)+1,"")</f>
        <v/>
      </c>
    </row>
    <row r="292">
      <c r="A292" s="44" t="str">
        <f>IF(OR($B292="",$D292=""),"","TX"&amp;TEXT(ROW()-4,"0000"))</f>
        <v/>
      </c>
      <c r="B292" s="42" t="n"/>
      <c r="C292" s="47" t="str">
        <f>IF($B292="","",YEAR($B292)*100+MONTH($B292))</f>
        <v/>
      </c>
      <c r="D292" s="37" t="n"/>
      <c r="E292" s="45" t="str">
        <f>IF($D292="","",IFERROR(INDEX(CARDS!$B$5:$B$34,MATCH($D292,CARDS!$A$5:$A$34,0)),"⚠ Card ID?"))</f>
        <v/>
      </c>
      <c r="F292" s="45" t="str">
        <f>IF($D292="","",IFERROR(INDEX(CARDS!$C$5:$C$34,MATCH($D292,CARDS!$A$5:$A$34,0)),"⚠ Card ID?"))</f>
        <v/>
      </c>
      <c r="G292" s="37" t="n"/>
      <c r="H292" s="37" t="n"/>
      <c r="I292" s="41" t="n"/>
      <c r="J292" s="45" t="str">
        <f>IF($I292="","",IFERROR(INDEX(MCC_MASTER!$B$5:$B$504,MATCH($I292,MCC_MASTER!$A$5:$A$504,0)),"⚠ MCC chưa có"))</f>
        <v/>
      </c>
      <c r="K292" s="45" t="str">
        <f>IF($I292="","",IFERROR(IF(INDEX(MCC_MASTER!$C$5:$C$504,MATCH($I292,MCC_MASTER!$A$5:$A$504,0))="","Chưa phân loại",INDEX(MCC_MASTER!$C$5:$C$504,MATCH($I292,MCC_MASTER!$A$5:$A$504,0))),"Chưa phân loại"))</f>
        <v/>
      </c>
      <c r="L292" s="40" t="n"/>
      <c r="M292" s="48" t="str">
        <f>IF(OR($B292="",$D292=""),"",IF($AC292=0,0,IF(ISNUMBER(INDEX(CASHBACK_RULES!$L$5:$L$304,$AC292)),MAX(0,MIN($L292,INDEX(CASHBACK_RULES!$L$5:$L$304,$AC292)-$AH292)),MAX(0,$L292))))</f>
        <v/>
      </c>
      <c r="N292" s="49" t="str">
        <f>IF(OR($B292="",$D292=""),"",IF($AC292&gt;0,INDEX(CASHBACK_RULES!$I$5:$I$304,$AC292),0))</f>
        <v/>
      </c>
      <c r="O292" s="48" t="str">
        <f>IF(OR($B292="",$D292=""),"",ROUND($M292*$N292,0))</f>
        <v/>
      </c>
      <c r="P292" s="48" t="str">
        <f>IF($AC292&gt;0,IF(ISNUMBER(INDEX(CASHBACK_RULES!$J$5:$J$304,$AC292)),INDEX(CASHBACK_RULES!$J$5:$J$304,$AC292),"∞"),"")</f>
        <v/>
      </c>
      <c r="Q292" s="48" t="str">
        <f>IF(OR($B292="",$D292=""),"",IF($AC292=0,0,MAX(0,MIN($O292,IF(ISNUMBER($P292),$P292-$AF292,1E+15),IF(ISNUMBER($AA292),$AA292-$AG292,1E+15)))))</f>
        <v/>
      </c>
      <c r="R292" s="48" t="str">
        <f>IF(OR($B292="",$D292=""),"",IF($AC292=0,"",IF(AND(NOT(ISNUMBER($P292)),NOT(ISNUMBER($AA292))),"∞",MAX(0,MIN(IF(ISNUMBER($P292),$P292-$AF292-$Q292,1E+15),IF(ISNUMBER($AA292),$AA292-$AG292-$Q292,1E+15))))))</f>
        <v/>
      </c>
      <c r="S292" s="47" t="str">
        <f>IF($AD292="","",YEAR($AD292)*100+MONTH($AD292))</f>
        <v/>
      </c>
      <c r="T292" s="50" t="str">
        <f>IF($AD292="","",IFERROR(IF(INDEX(CARDS!$I$5:$I$34,MATCH($D292,CARDS!$A$5:$A$34,0))="","",IF(INDEX(CARDS!$I$5:$I$34,MATCH($D292,CARDS!$A$5:$A$34,0))&gt;INDEX(CARDS!$H$5:$H$34,MATCH($D292,CARDS!$A$5:$A$34,0)),DATE(YEAR($AD292),MONTH($AD292),MIN(INDEX(CARDS!$I$5:$I$34,MATCH($D292,CARDS!$A$5:$A$34,0)),DAY(EOMONTH($AD292,0)))),DATE(YEAR($AD292),MONTH($AD292)+1,MIN(INDEX(CARDS!$I$5:$I$34,MATCH($D292,CARDS!$A$5:$A$34,0)),DAY(EOMONTH($AD292,1)))))),""))</f>
        <v/>
      </c>
      <c r="U292" s="38" t="n"/>
      <c r="V292" s="37" t="n"/>
      <c r="W292" s="38" t="n"/>
      <c r="X292" s="38" t="n"/>
      <c r="Y292" s="44" t="str">
        <f>IF($AC292&gt;0,INDEX(CASHBACK_RULES!$A$5:$A$304,$AC292),"")</f>
        <v/>
      </c>
      <c r="Z292" s="45" t="str">
        <f>IF($AC292&gt;0,INDEX(CASHBACK_RULES!$E$5:$E$304,$AC292)&amp;"","")</f>
        <v/>
      </c>
      <c r="AA292" s="48" t="str">
        <f>IF($AC292&gt;0,IF(ISNUMBER(INDEX(CASHBACK_RULES!$K$5:$K$304,$AC292)),INDEX(CASHBACK_RULES!$K$5:$K$304,$AC292),"∞"),"")</f>
        <v/>
      </c>
      <c r="AB292" s="44" t="str">
        <f>IF(OR($B292="",$D292=""),"",IF($U292="Cancelled","Đã hủy",IF($AC292=0,"Không được hoàn",IF($Q292=0,IF(OR($O292&gt;0,$M292&lt;$L292),"Đã đạt cap","Không được hoàn"),IF(OR($Q292&lt;$O292,$M292&lt;$L292),"Hoàn một phần","Được hoàn")))))</f>
        <v/>
      </c>
      <c r="AC292" s="43">
        <f>IF(OR($B292="",$D292="",$I292="",$L292=""),0,IF($U292="Cancelled",0,IF($W292&lt;&gt;"",IFERROR(IF(INDEX(CASHBACK_RULES!$B$5:$B$304,MATCH($W292,CASHBACK_RULES!$A$5:$A$304,0))=$D292,MATCH($W292,CASHBACK_RULES!$A$5:$A$304,0),0),0),IFERROR(MATCH(1,INDEX((CASHBACK_RULES!$B$5:$B$304=$D292)*(CASHBACK_RULES!$G$5:$G$304=$I292)*(((CASHBACK_RULES!$N$5:$N$304="")+(CASHBACK_RULES!$N$5:$N$304&lt;=$B292))&gt;0)*(((CASHBACK_RULES!$O$5:$O$304="")+(CASHBACK_RULES!$O$5:$O$304&gt;=$B292))&gt;0)*(((CASHBACK_RULES!$M$5:$M$304="")+(CASHBACK_RULES!$M$5:$M$304&lt;=$L292))&gt;0),0),0),0))))</f>
        <v>0</v>
      </c>
      <c r="AD292" s="51" t="str">
        <f>IF(OR($B292="",$D292=""),"",IFERROR(IF(INDEX(CARDS!$H$5:$H$34,MATCH($D292,CARDS!$A$5:$A$34,0))="","",IF(DAY($B292)&lt;=INDEX(CARDS!$H$5:$H$34,MATCH($D292,CARDS!$A$5:$A$34,0)),DATE(YEAR($B292),MONTH($B292),MIN(INDEX(CARDS!$H$5:$H$34,MATCH($D292,CARDS!$A$5:$A$34,0)),DAY(EOMONTH($B292,0)))),DATE(YEAR($B292),MONTH($B292)+1,MIN(INDEX(CARDS!$H$5:$H$34,MATCH($D292,CARDS!$A$5:$A$34,0)),DAY(EOMONTH($B292,1)))))),""))</f>
        <v/>
      </c>
      <c r="AE292" s="52" t="str">
        <f>IF($C292="","",$C292&amp;"|"&amp;COUNTIF($C$5:$C292,$C292))</f>
        <v/>
      </c>
      <c r="AF292" s="53">
        <f>IF($AC292&gt;0,SUMIFS(Q$4:Q291,$D$4:$D291,$D292,$Z$4:$Z291,$Z292,$C$4:$C291,$C292),0)</f>
        <v>0</v>
      </c>
      <c r="AG292" s="53">
        <f>IF($AC292&gt;0,SUMIFS(Q$4:Q291,$D$4:$D291,$D292,$C$4:$C291,$C292),0)</f>
        <v>0</v>
      </c>
      <c r="AH292" s="53">
        <f>IF($AC292&gt;0,SUMIFS(M$4:M291,$D$4:$D291,$D292,$Z$4:$Z291,$Z292,$C$4:$C291,$C292),0)</f>
        <v>0</v>
      </c>
      <c r="AI292" s="43">
        <f>IF(OR($C292="",$I292=""),0,IF(COUNTIFS($C$5:$C292,$C292,$I$5:$I292,$I292)=1,1,0))</f>
        <v>0</v>
      </c>
      <c r="AJ292" s="43" t="str">
        <f>IF($AI292=1,SUMIFS($AI$4:$AI291,$C$4:$C291,$C292)+1,"")</f>
        <v/>
      </c>
      <c r="AK292" s="43">
        <f>IF(OR($C292="",$K292=""),0,IF(COUNTIFS($C$5:$C292,$C292,$K$5:$K292,$K292)=1,1,0))</f>
        <v>0</v>
      </c>
      <c r="AL292" s="43" t="str">
        <f>IF($AK292=1,SUMIFS($AK$4:$AK291,$C$4:$C291,$C292)+1,"")</f>
        <v/>
      </c>
      <c r="AM292" s="43">
        <f>IF(OR($C292="",$G292=""),0,IF(COUNTIFS($C$5:$C292,$C292,$G$5:$G292,$G292)=1,1,0))</f>
        <v>0</v>
      </c>
      <c r="AN292" s="43" t="str">
        <f>IF($AM292=1,SUMIFS($AM$4:$AM291,$C$4:$C291,$C292)+1,"")</f>
        <v/>
      </c>
    </row>
    <row r="293">
      <c r="A293" s="44" t="str">
        <f>IF(OR($B293="",$D293=""),"","TX"&amp;TEXT(ROW()-4,"0000"))</f>
        <v/>
      </c>
      <c r="B293" s="42" t="n"/>
      <c r="C293" s="47" t="str">
        <f>IF($B293="","",YEAR($B293)*100+MONTH($B293))</f>
        <v/>
      </c>
      <c r="D293" s="37" t="n"/>
      <c r="E293" s="45" t="str">
        <f>IF($D293="","",IFERROR(INDEX(CARDS!$B$5:$B$34,MATCH($D293,CARDS!$A$5:$A$34,0)),"⚠ Card ID?"))</f>
        <v/>
      </c>
      <c r="F293" s="45" t="str">
        <f>IF($D293="","",IFERROR(INDEX(CARDS!$C$5:$C$34,MATCH($D293,CARDS!$A$5:$A$34,0)),"⚠ Card ID?"))</f>
        <v/>
      </c>
      <c r="G293" s="37" t="n"/>
      <c r="H293" s="37" t="n"/>
      <c r="I293" s="41" t="n"/>
      <c r="J293" s="45" t="str">
        <f>IF($I293="","",IFERROR(INDEX(MCC_MASTER!$B$5:$B$504,MATCH($I293,MCC_MASTER!$A$5:$A$504,0)),"⚠ MCC chưa có"))</f>
        <v/>
      </c>
      <c r="K293" s="45" t="str">
        <f>IF($I293="","",IFERROR(IF(INDEX(MCC_MASTER!$C$5:$C$504,MATCH($I293,MCC_MASTER!$A$5:$A$504,0))="","Chưa phân loại",INDEX(MCC_MASTER!$C$5:$C$504,MATCH($I293,MCC_MASTER!$A$5:$A$504,0))),"Chưa phân loại"))</f>
        <v/>
      </c>
      <c r="L293" s="40" t="n"/>
      <c r="M293" s="48" t="str">
        <f>IF(OR($B293="",$D293=""),"",IF($AC293=0,0,IF(ISNUMBER(INDEX(CASHBACK_RULES!$L$5:$L$304,$AC293)),MAX(0,MIN($L293,INDEX(CASHBACK_RULES!$L$5:$L$304,$AC293)-$AH293)),MAX(0,$L293))))</f>
        <v/>
      </c>
      <c r="N293" s="49" t="str">
        <f>IF(OR($B293="",$D293=""),"",IF($AC293&gt;0,INDEX(CASHBACK_RULES!$I$5:$I$304,$AC293),0))</f>
        <v/>
      </c>
      <c r="O293" s="48" t="str">
        <f>IF(OR($B293="",$D293=""),"",ROUND($M293*$N293,0))</f>
        <v/>
      </c>
      <c r="P293" s="48" t="str">
        <f>IF($AC293&gt;0,IF(ISNUMBER(INDEX(CASHBACK_RULES!$J$5:$J$304,$AC293)),INDEX(CASHBACK_RULES!$J$5:$J$304,$AC293),"∞"),"")</f>
        <v/>
      </c>
      <c r="Q293" s="48" t="str">
        <f>IF(OR($B293="",$D293=""),"",IF($AC293=0,0,MAX(0,MIN($O293,IF(ISNUMBER($P293),$P293-$AF293,1E+15),IF(ISNUMBER($AA293),$AA293-$AG293,1E+15)))))</f>
        <v/>
      </c>
      <c r="R293" s="48" t="str">
        <f>IF(OR($B293="",$D293=""),"",IF($AC293=0,"",IF(AND(NOT(ISNUMBER($P293)),NOT(ISNUMBER($AA293))),"∞",MAX(0,MIN(IF(ISNUMBER($P293),$P293-$AF293-$Q293,1E+15),IF(ISNUMBER($AA293),$AA293-$AG293-$Q293,1E+15))))))</f>
        <v/>
      </c>
      <c r="S293" s="47" t="str">
        <f>IF($AD293="","",YEAR($AD293)*100+MONTH($AD293))</f>
        <v/>
      </c>
      <c r="T293" s="50" t="str">
        <f>IF($AD293="","",IFERROR(IF(INDEX(CARDS!$I$5:$I$34,MATCH($D293,CARDS!$A$5:$A$34,0))="","",IF(INDEX(CARDS!$I$5:$I$34,MATCH($D293,CARDS!$A$5:$A$34,0))&gt;INDEX(CARDS!$H$5:$H$34,MATCH($D293,CARDS!$A$5:$A$34,0)),DATE(YEAR($AD293),MONTH($AD293),MIN(INDEX(CARDS!$I$5:$I$34,MATCH($D293,CARDS!$A$5:$A$34,0)),DAY(EOMONTH($AD293,0)))),DATE(YEAR($AD293),MONTH($AD293)+1,MIN(INDEX(CARDS!$I$5:$I$34,MATCH($D293,CARDS!$A$5:$A$34,0)),DAY(EOMONTH($AD293,1)))))),""))</f>
        <v/>
      </c>
      <c r="U293" s="38" t="n"/>
      <c r="V293" s="37" t="n"/>
      <c r="W293" s="38" t="n"/>
      <c r="X293" s="38" t="n"/>
      <c r="Y293" s="44" t="str">
        <f>IF($AC293&gt;0,INDEX(CASHBACK_RULES!$A$5:$A$304,$AC293),"")</f>
        <v/>
      </c>
      <c r="Z293" s="45" t="str">
        <f>IF($AC293&gt;0,INDEX(CASHBACK_RULES!$E$5:$E$304,$AC293)&amp;"","")</f>
        <v/>
      </c>
      <c r="AA293" s="48" t="str">
        <f>IF($AC293&gt;0,IF(ISNUMBER(INDEX(CASHBACK_RULES!$K$5:$K$304,$AC293)),INDEX(CASHBACK_RULES!$K$5:$K$304,$AC293),"∞"),"")</f>
        <v/>
      </c>
      <c r="AB293" s="44" t="str">
        <f>IF(OR($B293="",$D293=""),"",IF($U293="Cancelled","Đã hủy",IF($AC293=0,"Không được hoàn",IF($Q293=0,IF(OR($O293&gt;0,$M293&lt;$L293),"Đã đạt cap","Không được hoàn"),IF(OR($Q293&lt;$O293,$M293&lt;$L293),"Hoàn một phần","Được hoàn")))))</f>
        <v/>
      </c>
      <c r="AC293" s="43">
        <f>IF(OR($B293="",$D293="",$I293="",$L293=""),0,IF($U293="Cancelled",0,IF($W293&lt;&gt;"",IFERROR(IF(INDEX(CASHBACK_RULES!$B$5:$B$304,MATCH($W293,CASHBACK_RULES!$A$5:$A$304,0))=$D293,MATCH($W293,CASHBACK_RULES!$A$5:$A$304,0),0),0),IFERROR(MATCH(1,INDEX((CASHBACK_RULES!$B$5:$B$304=$D293)*(CASHBACK_RULES!$G$5:$G$304=$I293)*(((CASHBACK_RULES!$N$5:$N$304="")+(CASHBACK_RULES!$N$5:$N$304&lt;=$B293))&gt;0)*(((CASHBACK_RULES!$O$5:$O$304="")+(CASHBACK_RULES!$O$5:$O$304&gt;=$B293))&gt;0)*(((CASHBACK_RULES!$M$5:$M$304="")+(CASHBACK_RULES!$M$5:$M$304&lt;=$L293))&gt;0),0),0),0))))</f>
        <v>0</v>
      </c>
      <c r="AD293" s="51" t="str">
        <f>IF(OR($B293="",$D293=""),"",IFERROR(IF(INDEX(CARDS!$H$5:$H$34,MATCH($D293,CARDS!$A$5:$A$34,0))="","",IF(DAY($B293)&lt;=INDEX(CARDS!$H$5:$H$34,MATCH($D293,CARDS!$A$5:$A$34,0)),DATE(YEAR($B293),MONTH($B293),MIN(INDEX(CARDS!$H$5:$H$34,MATCH($D293,CARDS!$A$5:$A$34,0)),DAY(EOMONTH($B293,0)))),DATE(YEAR($B293),MONTH($B293)+1,MIN(INDEX(CARDS!$H$5:$H$34,MATCH($D293,CARDS!$A$5:$A$34,0)),DAY(EOMONTH($B293,1)))))),""))</f>
        <v/>
      </c>
      <c r="AE293" s="52" t="str">
        <f>IF($C293="","",$C293&amp;"|"&amp;COUNTIF($C$5:$C293,$C293))</f>
        <v/>
      </c>
      <c r="AF293" s="53">
        <f>IF($AC293&gt;0,SUMIFS(Q$4:Q292,$D$4:$D292,$D293,$Z$4:$Z292,$Z293,$C$4:$C292,$C293),0)</f>
        <v>0</v>
      </c>
      <c r="AG293" s="53">
        <f>IF($AC293&gt;0,SUMIFS(Q$4:Q292,$D$4:$D292,$D293,$C$4:$C292,$C293),0)</f>
        <v>0</v>
      </c>
      <c r="AH293" s="53">
        <f>IF($AC293&gt;0,SUMIFS(M$4:M292,$D$4:$D292,$D293,$Z$4:$Z292,$Z293,$C$4:$C292,$C293),0)</f>
        <v>0</v>
      </c>
      <c r="AI293" s="43">
        <f>IF(OR($C293="",$I293=""),0,IF(COUNTIFS($C$5:$C293,$C293,$I$5:$I293,$I293)=1,1,0))</f>
        <v>0</v>
      </c>
      <c r="AJ293" s="43" t="str">
        <f>IF($AI293=1,SUMIFS($AI$4:$AI292,$C$4:$C292,$C293)+1,"")</f>
        <v/>
      </c>
      <c r="AK293" s="43">
        <f>IF(OR($C293="",$K293=""),0,IF(COUNTIFS($C$5:$C293,$C293,$K$5:$K293,$K293)=1,1,0))</f>
        <v>0</v>
      </c>
      <c r="AL293" s="43" t="str">
        <f>IF($AK293=1,SUMIFS($AK$4:$AK292,$C$4:$C292,$C293)+1,"")</f>
        <v/>
      </c>
      <c r="AM293" s="43">
        <f>IF(OR($C293="",$G293=""),0,IF(COUNTIFS($C$5:$C293,$C293,$G$5:$G293,$G293)=1,1,0))</f>
        <v>0</v>
      </c>
      <c r="AN293" s="43" t="str">
        <f>IF($AM293=1,SUMIFS($AM$4:$AM292,$C$4:$C292,$C293)+1,"")</f>
        <v/>
      </c>
    </row>
    <row r="294">
      <c r="A294" s="44" t="str">
        <f>IF(OR($B294="",$D294=""),"","TX"&amp;TEXT(ROW()-4,"0000"))</f>
        <v/>
      </c>
      <c r="B294" s="42" t="n"/>
      <c r="C294" s="47" t="str">
        <f>IF($B294="","",YEAR($B294)*100+MONTH($B294))</f>
        <v/>
      </c>
      <c r="D294" s="37" t="n"/>
      <c r="E294" s="45" t="str">
        <f>IF($D294="","",IFERROR(INDEX(CARDS!$B$5:$B$34,MATCH($D294,CARDS!$A$5:$A$34,0)),"⚠ Card ID?"))</f>
        <v/>
      </c>
      <c r="F294" s="45" t="str">
        <f>IF($D294="","",IFERROR(INDEX(CARDS!$C$5:$C$34,MATCH($D294,CARDS!$A$5:$A$34,0)),"⚠ Card ID?"))</f>
        <v/>
      </c>
      <c r="G294" s="37" t="n"/>
      <c r="H294" s="37" t="n"/>
      <c r="I294" s="41" t="n"/>
      <c r="J294" s="45" t="str">
        <f>IF($I294="","",IFERROR(INDEX(MCC_MASTER!$B$5:$B$504,MATCH($I294,MCC_MASTER!$A$5:$A$504,0)),"⚠ MCC chưa có"))</f>
        <v/>
      </c>
      <c r="K294" s="45" t="str">
        <f>IF($I294="","",IFERROR(IF(INDEX(MCC_MASTER!$C$5:$C$504,MATCH($I294,MCC_MASTER!$A$5:$A$504,0))="","Chưa phân loại",INDEX(MCC_MASTER!$C$5:$C$504,MATCH($I294,MCC_MASTER!$A$5:$A$504,0))),"Chưa phân loại"))</f>
        <v/>
      </c>
      <c r="L294" s="40" t="n"/>
      <c r="M294" s="48" t="str">
        <f>IF(OR($B294="",$D294=""),"",IF($AC294=0,0,IF(ISNUMBER(INDEX(CASHBACK_RULES!$L$5:$L$304,$AC294)),MAX(0,MIN($L294,INDEX(CASHBACK_RULES!$L$5:$L$304,$AC294)-$AH294)),MAX(0,$L294))))</f>
        <v/>
      </c>
      <c r="N294" s="49" t="str">
        <f>IF(OR($B294="",$D294=""),"",IF($AC294&gt;0,INDEX(CASHBACK_RULES!$I$5:$I$304,$AC294),0))</f>
        <v/>
      </c>
      <c r="O294" s="48" t="str">
        <f>IF(OR($B294="",$D294=""),"",ROUND($M294*$N294,0))</f>
        <v/>
      </c>
      <c r="P294" s="48" t="str">
        <f>IF($AC294&gt;0,IF(ISNUMBER(INDEX(CASHBACK_RULES!$J$5:$J$304,$AC294)),INDEX(CASHBACK_RULES!$J$5:$J$304,$AC294),"∞"),"")</f>
        <v/>
      </c>
      <c r="Q294" s="48" t="str">
        <f>IF(OR($B294="",$D294=""),"",IF($AC294=0,0,MAX(0,MIN($O294,IF(ISNUMBER($P294),$P294-$AF294,1E+15),IF(ISNUMBER($AA294),$AA294-$AG294,1E+15)))))</f>
        <v/>
      </c>
      <c r="R294" s="48" t="str">
        <f>IF(OR($B294="",$D294=""),"",IF($AC294=0,"",IF(AND(NOT(ISNUMBER($P294)),NOT(ISNUMBER($AA294))),"∞",MAX(0,MIN(IF(ISNUMBER($P294),$P294-$AF294-$Q294,1E+15),IF(ISNUMBER($AA294),$AA294-$AG294-$Q294,1E+15))))))</f>
        <v/>
      </c>
      <c r="S294" s="47" t="str">
        <f>IF($AD294="","",YEAR($AD294)*100+MONTH($AD294))</f>
        <v/>
      </c>
      <c r="T294" s="50" t="str">
        <f>IF($AD294="","",IFERROR(IF(INDEX(CARDS!$I$5:$I$34,MATCH($D294,CARDS!$A$5:$A$34,0))="","",IF(INDEX(CARDS!$I$5:$I$34,MATCH($D294,CARDS!$A$5:$A$34,0))&gt;INDEX(CARDS!$H$5:$H$34,MATCH($D294,CARDS!$A$5:$A$34,0)),DATE(YEAR($AD294),MONTH($AD294),MIN(INDEX(CARDS!$I$5:$I$34,MATCH($D294,CARDS!$A$5:$A$34,0)),DAY(EOMONTH($AD294,0)))),DATE(YEAR($AD294),MONTH($AD294)+1,MIN(INDEX(CARDS!$I$5:$I$34,MATCH($D294,CARDS!$A$5:$A$34,0)),DAY(EOMONTH($AD294,1)))))),""))</f>
        <v/>
      </c>
      <c r="U294" s="38" t="n"/>
      <c r="V294" s="37" t="n"/>
      <c r="W294" s="38" t="n"/>
      <c r="X294" s="38" t="n"/>
      <c r="Y294" s="44" t="str">
        <f>IF($AC294&gt;0,INDEX(CASHBACK_RULES!$A$5:$A$304,$AC294),"")</f>
        <v/>
      </c>
      <c r="Z294" s="45" t="str">
        <f>IF($AC294&gt;0,INDEX(CASHBACK_RULES!$E$5:$E$304,$AC294)&amp;"","")</f>
        <v/>
      </c>
      <c r="AA294" s="48" t="str">
        <f>IF($AC294&gt;0,IF(ISNUMBER(INDEX(CASHBACK_RULES!$K$5:$K$304,$AC294)),INDEX(CASHBACK_RULES!$K$5:$K$304,$AC294),"∞"),"")</f>
        <v/>
      </c>
      <c r="AB294" s="44" t="str">
        <f>IF(OR($B294="",$D294=""),"",IF($U294="Cancelled","Đã hủy",IF($AC294=0,"Không được hoàn",IF($Q294=0,IF(OR($O294&gt;0,$M294&lt;$L294),"Đã đạt cap","Không được hoàn"),IF(OR($Q294&lt;$O294,$M294&lt;$L294),"Hoàn một phần","Được hoàn")))))</f>
        <v/>
      </c>
      <c r="AC294" s="43">
        <f>IF(OR($B294="",$D294="",$I294="",$L294=""),0,IF($U294="Cancelled",0,IF($W294&lt;&gt;"",IFERROR(IF(INDEX(CASHBACK_RULES!$B$5:$B$304,MATCH($W294,CASHBACK_RULES!$A$5:$A$304,0))=$D294,MATCH($W294,CASHBACK_RULES!$A$5:$A$304,0),0),0),IFERROR(MATCH(1,INDEX((CASHBACK_RULES!$B$5:$B$304=$D294)*(CASHBACK_RULES!$G$5:$G$304=$I294)*(((CASHBACK_RULES!$N$5:$N$304="")+(CASHBACK_RULES!$N$5:$N$304&lt;=$B294))&gt;0)*(((CASHBACK_RULES!$O$5:$O$304="")+(CASHBACK_RULES!$O$5:$O$304&gt;=$B294))&gt;0)*(((CASHBACK_RULES!$M$5:$M$304="")+(CASHBACK_RULES!$M$5:$M$304&lt;=$L294))&gt;0),0),0),0))))</f>
        <v>0</v>
      </c>
      <c r="AD294" s="51" t="str">
        <f>IF(OR($B294="",$D294=""),"",IFERROR(IF(INDEX(CARDS!$H$5:$H$34,MATCH($D294,CARDS!$A$5:$A$34,0))="","",IF(DAY($B294)&lt;=INDEX(CARDS!$H$5:$H$34,MATCH($D294,CARDS!$A$5:$A$34,0)),DATE(YEAR($B294),MONTH($B294),MIN(INDEX(CARDS!$H$5:$H$34,MATCH($D294,CARDS!$A$5:$A$34,0)),DAY(EOMONTH($B294,0)))),DATE(YEAR($B294),MONTH($B294)+1,MIN(INDEX(CARDS!$H$5:$H$34,MATCH($D294,CARDS!$A$5:$A$34,0)),DAY(EOMONTH($B294,1)))))),""))</f>
        <v/>
      </c>
      <c r="AE294" s="52" t="str">
        <f>IF($C294="","",$C294&amp;"|"&amp;COUNTIF($C$5:$C294,$C294))</f>
        <v/>
      </c>
      <c r="AF294" s="53">
        <f>IF($AC294&gt;0,SUMIFS(Q$4:Q293,$D$4:$D293,$D294,$Z$4:$Z293,$Z294,$C$4:$C293,$C294),0)</f>
        <v>0</v>
      </c>
      <c r="AG294" s="53">
        <f>IF($AC294&gt;0,SUMIFS(Q$4:Q293,$D$4:$D293,$D294,$C$4:$C293,$C294),0)</f>
        <v>0</v>
      </c>
      <c r="AH294" s="53">
        <f>IF($AC294&gt;0,SUMIFS(M$4:M293,$D$4:$D293,$D294,$Z$4:$Z293,$Z294,$C$4:$C293,$C294),0)</f>
        <v>0</v>
      </c>
      <c r="AI294" s="43">
        <f>IF(OR($C294="",$I294=""),0,IF(COUNTIFS($C$5:$C294,$C294,$I$5:$I294,$I294)=1,1,0))</f>
        <v>0</v>
      </c>
      <c r="AJ294" s="43" t="str">
        <f>IF($AI294=1,SUMIFS($AI$4:$AI293,$C$4:$C293,$C294)+1,"")</f>
        <v/>
      </c>
      <c r="AK294" s="43">
        <f>IF(OR($C294="",$K294=""),0,IF(COUNTIFS($C$5:$C294,$C294,$K$5:$K294,$K294)=1,1,0))</f>
        <v>0</v>
      </c>
      <c r="AL294" s="43" t="str">
        <f>IF($AK294=1,SUMIFS($AK$4:$AK293,$C$4:$C293,$C294)+1,"")</f>
        <v/>
      </c>
      <c r="AM294" s="43">
        <f>IF(OR($C294="",$G294=""),0,IF(COUNTIFS($C$5:$C294,$C294,$G$5:$G294,$G294)=1,1,0))</f>
        <v>0</v>
      </c>
      <c r="AN294" s="43" t="str">
        <f>IF($AM294=1,SUMIFS($AM$4:$AM293,$C$4:$C293,$C294)+1,"")</f>
        <v/>
      </c>
    </row>
    <row r="295">
      <c r="A295" s="44" t="str">
        <f>IF(OR($B295="",$D295=""),"","TX"&amp;TEXT(ROW()-4,"0000"))</f>
        <v/>
      </c>
      <c r="B295" s="42" t="n"/>
      <c r="C295" s="47" t="str">
        <f>IF($B295="","",YEAR($B295)*100+MONTH($B295))</f>
        <v/>
      </c>
      <c r="D295" s="37" t="n"/>
      <c r="E295" s="45" t="str">
        <f>IF($D295="","",IFERROR(INDEX(CARDS!$B$5:$B$34,MATCH($D295,CARDS!$A$5:$A$34,0)),"⚠ Card ID?"))</f>
        <v/>
      </c>
      <c r="F295" s="45" t="str">
        <f>IF($D295="","",IFERROR(INDEX(CARDS!$C$5:$C$34,MATCH($D295,CARDS!$A$5:$A$34,0)),"⚠ Card ID?"))</f>
        <v/>
      </c>
      <c r="G295" s="37" t="n"/>
      <c r="H295" s="37" t="n"/>
      <c r="I295" s="41" t="n"/>
      <c r="J295" s="45" t="str">
        <f>IF($I295="","",IFERROR(INDEX(MCC_MASTER!$B$5:$B$504,MATCH($I295,MCC_MASTER!$A$5:$A$504,0)),"⚠ MCC chưa có"))</f>
        <v/>
      </c>
      <c r="K295" s="45" t="str">
        <f>IF($I295="","",IFERROR(IF(INDEX(MCC_MASTER!$C$5:$C$504,MATCH($I295,MCC_MASTER!$A$5:$A$504,0))="","Chưa phân loại",INDEX(MCC_MASTER!$C$5:$C$504,MATCH($I295,MCC_MASTER!$A$5:$A$504,0))),"Chưa phân loại"))</f>
        <v/>
      </c>
      <c r="L295" s="40" t="n"/>
      <c r="M295" s="48" t="str">
        <f>IF(OR($B295="",$D295=""),"",IF($AC295=0,0,IF(ISNUMBER(INDEX(CASHBACK_RULES!$L$5:$L$304,$AC295)),MAX(0,MIN($L295,INDEX(CASHBACK_RULES!$L$5:$L$304,$AC295)-$AH295)),MAX(0,$L295))))</f>
        <v/>
      </c>
      <c r="N295" s="49" t="str">
        <f>IF(OR($B295="",$D295=""),"",IF($AC295&gt;0,INDEX(CASHBACK_RULES!$I$5:$I$304,$AC295),0))</f>
        <v/>
      </c>
      <c r="O295" s="48" t="str">
        <f>IF(OR($B295="",$D295=""),"",ROUND($M295*$N295,0))</f>
        <v/>
      </c>
      <c r="P295" s="48" t="str">
        <f>IF($AC295&gt;0,IF(ISNUMBER(INDEX(CASHBACK_RULES!$J$5:$J$304,$AC295)),INDEX(CASHBACK_RULES!$J$5:$J$304,$AC295),"∞"),"")</f>
        <v/>
      </c>
      <c r="Q295" s="48" t="str">
        <f>IF(OR($B295="",$D295=""),"",IF($AC295=0,0,MAX(0,MIN($O295,IF(ISNUMBER($P295),$P295-$AF295,1E+15),IF(ISNUMBER($AA295),$AA295-$AG295,1E+15)))))</f>
        <v/>
      </c>
      <c r="R295" s="48" t="str">
        <f>IF(OR($B295="",$D295=""),"",IF($AC295=0,"",IF(AND(NOT(ISNUMBER($P295)),NOT(ISNUMBER($AA295))),"∞",MAX(0,MIN(IF(ISNUMBER($P295),$P295-$AF295-$Q295,1E+15),IF(ISNUMBER($AA295),$AA295-$AG295-$Q295,1E+15))))))</f>
        <v/>
      </c>
      <c r="S295" s="47" t="str">
        <f>IF($AD295="","",YEAR($AD295)*100+MONTH($AD295))</f>
        <v/>
      </c>
      <c r="T295" s="50" t="str">
        <f>IF($AD295="","",IFERROR(IF(INDEX(CARDS!$I$5:$I$34,MATCH($D295,CARDS!$A$5:$A$34,0))="","",IF(INDEX(CARDS!$I$5:$I$34,MATCH($D295,CARDS!$A$5:$A$34,0))&gt;INDEX(CARDS!$H$5:$H$34,MATCH($D295,CARDS!$A$5:$A$34,0)),DATE(YEAR($AD295),MONTH($AD295),MIN(INDEX(CARDS!$I$5:$I$34,MATCH($D295,CARDS!$A$5:$A$34,0)),DAY(EOMONTH($AD295,0)))),DATE(YEAR($AD295),MONTH($AD295)+1,MIN(INDEX(CARDS!$I$5:$I$34,MATCH($D295,CARDS!$A$5:$A$34,0)),DAY(EOMONTH($AD295,1)))))),""))</f>
        <v/>
      </c>
      <c r="U295" s="38" t="n"/>
      <c r="V295" s="37" t="n"/>
      <c r="W295" s="38" t="n"/>
      <c r="X295" s="38" t="n"/>
      <c r="Y295" s="44" t="str">
        <f>IF($AC295&gt;0,INDEX(CASHBACK_RULES!$A$5:$A$304,$AC295),"")</f>
        <v/>
      </c>
      <c r="Z295" s="45" t="str">
        <f>IF($AC295&gt;0,INDEX(CASHBACK_RULES!$E$5:$E$304,$AC295)&amp;"","")</f>
        <v/>
      </c>
      <c r="AA295" s="48" t="str">
        <f>IF($AC295&gt;0,IF(ISNUMBER(INDEX(CASHBACK_RULES!$K$5:$K$304,$AC295)),INDEX(CASHBACK_RULES!$K$5:$K$304,$AC295),"∞"),"")</f>
        <v/>
      </c>
      <c r="AB295" s="44" t="str">
        <f>IF(OR($B295="",$D295=""),"",IF($U295="Cancelled","Đã hủy",IF($AC295=0,"Không được hoàn",IF($Q295=0,IF(OR($O295&gt;0,$M295&lt;$L295),"Đã đạt cap","Không được hoàn"),IF(OR($Q295&lt;$O295,$M295&lt;$L295),"Hoàn một phần","Được hoàn")))))</f>
        <v/>
      </c>
      <c r="AC295" s="43">
        <f>IF(OR($B295="",$D295="",$I295="",$L295=""),0,IF($U295="Cancelled",0,IF($W295&lt;&gt;"",IFERROR(IF(INDEX(CASHBACK_RULES!$B$5:$B$304,MATCH($W295,CASHBACK_RULES!$A$5:$A$304,0))=$D295,MATCH($W295,CASHBACK_RULES!$A$5:$A$304,0),0),0),IFERROR(MATCH(1,INDEX((CASHBACK_RULES!$B$5:$B$304=$D295)*(CASHBACK_RULES!$G$5:$G$304=$I295)*(((CASHBACK_RULES!$N$5:$N$304="")+(CASHBACK_RULES!$N$5:$N$304&lt;=$B295))&gt;0)*(((CASHBACK_RULES!$O$5:$O$304="")+(CASHBACK_RULES!$O$5:$O$304&gt;=$B295))&gt;0)*(((CASHBACK_RULES!$M$5:$M$304="")+(CASHBACK_RULES!$M$5:$M$304&lt;=$L295))&gt;0),0),0),0))))</f>
        <v>0</v>
      </c>
      <c r="AD295" s="51" t="str">
        <f>IF(OR($B295="",$D295=""),"",IFERROR(IF(INDEX(CARDS!$H$5:$H$34,MATCH($D295,CARDS!$A$5:$A$34,0))="","",IF(DAY($B295)&lt;=INDEX(CARDS!$H$5:$H$34,MATCH($D295,CARDS!$A$5:$A$34,0)),DATE(YEAR($B295),MONTH($B295),MIN(INDEX(CARDS!$H$5:$H$34,MATCH($D295,CARDS!$A$5:$A$34,0)),DAY(EOMONTH($B295,0)))),DATE(YEAR($B295),MONTH($B295)+1,MIN(INDEX(CARDS!$H$5:$H$34,MATCH($D295,CARDS!$A$5:$A$34,0)),DAY(EOMONTH($B295,1)))))),""))</f>
        <v/>
      </c>
      <c r="AE295" s="52" t="str">
        <f>IF($C295="","",$C295&amp;"|"&amp;COUNTIF($C$5:$C295,$C295))</f>
        <v/>
      </c>
      <c r="AF295" s="53">
        <f>IF($AC295&gt;0,SUMIFS(Q$4:Q294,$D$4:$D294,$D295,$Z$4:$Z294,$Z295,$C$4:$C294,$C295),0)</f>
        <v>0</v>
      </c>
      <c r="AG295" s="53">
        <f>IF($AC295&gt;0,SUMIFS(Q$4:Q294,$D$4:$D294,$D295,$C$4:$C294,$C295),0)</f>
        <v>0</v>
      </c>
      <c r="AH295" s="53">
        <f>IF($AC295&gt;0,SUMIFS(M$4:M294,$D$4:$D294,$D295,$Z$4:$Z294,$Z295,$C$4:$C294,$C295),0)</f>
        <v>0</v>
      </c>
      <c r="AI295" s="43">
        <f>IF(OR($C295="",$I295=""),0,IF(COUNTIFS($C$5:$C295,$C295,$I$5:$I295,$I295)=1,1,0))</f>
        <v>0</v>
      </c>
      <c r="AJ295" s="43" t="str">
        <f>IF($AI295=1,SUMIFS($AI$4:$AI294,$C$4:$C294,$C295)+1,"")</f>
        <v/>
      </c>
      <c r="AK295" s="43">
        <f>IF(OR($C295="",$K295=""),0,IF(COUNTIFS($C$5:$C295,$C295,$K$5:$K295,$K295)=1,1,0))</f>
        <v>0</v>
      </c>
      <c r="AL295" s="43" t="str">
        <f>IF($AK295=1,SUMIFS($AK$4:$AK294,$C$4:$C294,$C295)+1,"")</f>
        <v/>
      </c>
      <c r="AM295" s="43">
        <f>IF(OR($C295="",$G295=""),0,IF(COUNTIFS($C$5:$C295,$C295,$G$5:$G295,$G295)=1,1,0))</f>
        <v>0</v>
      </c>
      <c r="AN295" s="43" t="str">
        <f>IF($AM295=1,SUMIFS($AM$4:$AM294,$C$4:$C294,$C295)+1,"")</f>
        <v/>
      </c>
    </row>
    <row r="296">
      <c r="A296" s="44" t="str">
        <f>IF(OR($B296="",$D296=""),"","TX"&amp;TEXT(ROW()-4,"0000"))</f>
        <v/>
      </c>
      <c r="B296" s="42" t="n"/>
      <c r="C296" s="47" t="str">
        <f>IF($B296="","",YEAR($B296)*100+MONTH($B296))</f>
        <v/>
      </c>
      <c r="D296" s="37" t="n"/>
      <c r="E296" s="45" t="str">
        <f>IF($D296="","",IFERROR(INDEX(CARDS!$B$5:$B$34,MATCH($D296,CARDS!$A$5:$A$34,0)),"⚠ Card ID?"))</f>
        <v/>
      </c>
      <c r="F296" s="45" t="str">
        <f>IF($D296="","",IFERROR(INDEX(CARDS!$C$5:$C$34,MATCH($D296,CARDS!$A$5:$A$34,0)),"⚠ Card ID?"))</f>
        <v/>
      </c>
      <c r="G296" s="37" t="n"/>
      <c r="H296" s="37" t="n"/>
      <c r="I296" s="41" t="n"/>
      <c r="J296" s="45" t="str">
        <f>IF($I296="","",IFERROR(INDEX(MCC_MASTER!$B$5:$B$504,MATCH($I296,MCC_MASTER!$A$5:$A$504,0)),"⚠ MCC chưa có"))</f>
        <v/>
      </c>
      <c r="K296" s="45" t="str">
        <f>IF($I296="","",IFERROR(IF(INDEX(MCC_MASTER!$C$5:$C$504,MATCH($I296,MCC_MASTER!$A$5:$A$504,0))="","Chưa phân loại",INDEX(MCC_MASTER!$C$5:$C$504,MATCH($I296,MCC_MASTER!$A$5:$A$504,0))),"Chưa phân loại"))</f>
        <v/>
      </c>
      <c r="L296" s="40" t="n"/>
      <c r="M296" s="48" t="str">
        <f>IF(OR($B296="",$D296=""),"",IF($AC296=0,0,IF(ISNUMBER(INDEX(CASHBACK_RULES!$L$5:$L$304,$AC296)),MAX(0,MIN($L296,INDEX(CASHBACK_RULES!$L$5:$L$304,$AC296)-$AH296)),MAX(0,$L296))))</f>
        <v/>
      </c>
      <c r="N296" s="49" t="str">
        <f>IF(OR($B296="",$D296=""),"",IF($AC296&gt;0,INDEX(CASHBACK_RULES!$I$5:$I$304,$AC296),0))</f>
        <v/>
      </c>
      <c r="O296" s="48" t="str">
        <f>IF(OR($B296="",$D296=""),"",ROUND($M296*$N296,0))</f>
        <v/>
      </c>
      <c r="P296" s="48" t="str">
        <f>IF($AC296&gt;0,IF(ISNUMBER(INDEX(CASHBACK_RULES!$J$5:$J$304,$AC296)),INDEX(CASHBACK_RULES!$J$5:$J$304,$AC296),"∞"),"")</f>
        <v/>
      </c>
      <c r="Q296" s="48" t="str">
        <f>IF(OR($B296="",$D296=""),"",IF($AC296=0,0,MAX(0,MIN($O296,IF(ISNUMBER($P296),$P296-$AF296,1E+15),IF(ISNUMBER($AA296),$AA296-$AG296,1E+15)))))</f>
        <v/>
      </c>
      <c r="R296" s="48" t="str">
        <f>IF(OR($B296="",$D296=""),"",IF($AC296=0,"",IF(AND(NOT(ISNUMBER($P296)),NOT(ISNUMBER($AA296))),"∞",MAX(0,MIN(IF(ISNUMBER($P296),$P296-$AF296-$Q296,1E+15),IF(ISNUMBER($AA296),$AA296-$AG296-$Q296,1E+15))))))</f>
        <v/>
      </c>
      <c r="S296" s="47" t="str">
        <f>IF($AD296="","",YEAR($AD296)*100+MONTH($AD296))</f>
        <v/>
      </c>
      <c r="T296" s="50" t="str">
        <f>IF($AD296="","",IFERROR(IF(INDEX(CARDS!$I$5:$I$34,MATCH($D296,CARDS!$A$5:$A$34,0))="","",IF(INDEX(CARDS!$I$5:$I$34,MATCH($D296,CARDS!$A$5:$A$34,0))&gt;INDEX(CARDS!$H$5:$H$34,MATCH($D296,CARDS!$A$5:$A$34,0)),DATE(YEAR($AD296),MONTH($AD296),MIN(INDEX(CARDS!$I$5:$I$34,MATCH($D296,CARDS!$A$5:$A$34,0)),DAY(EOMONTH($AD296,0)))),DATE(YEAR($AD296),MONTH($AD296)+1,MIN(INDEX(CARDS!$I$5:$I$34,MATCH($D296,CARDS!$A$5:$A$34,0)),DAY(EOMONTH($AD296,1)))))),""))</f>
        <v/>
      </c>
      <c r="U296" s="38" t="n"/>
      <c r="V296" s="37" t="n"/>
      <c r="W296" s="38" t="n"/>
      <c r="X296" s="38" t="n"/>
      <c r="Y296" s="44" t="str">
        <f>IF($AC296&gt;0,INDEX(CASHBACK_RULES!$A$5:$A$304,$AC296),"")</f>
        <v/>
      </c>
      <c r="Z296" s="45" t="str">
        <f>IF($AC296&gt;0,INDEX(CASHBACK_RULES!$E$5:$E$304,$AC296)&amp;"","")</f>
        <v/>
      </c>
      <c r="AA296" s="48" t="str">
        <f>IF($AC296&gt;0,IF(ISNUMBER(INDEX(CASHBACK_RULES!$K$5:$K$304,$AC296)),INDEX(CASHBACK_RULES!$K$5:$K$304,$AC296),"∞"),"")</f>
        <v/>
      </c>
      <c r="AB296" s="44" t="str">
        <f>IF(OR($B296="",$D296=""),"",IF($U296="Cancelled","Đã hủy",IF($AC296=0,"Không được hoàn",IF($Q296=0,IF(OR($O296&gt;0,$M296&lt;$L296),"Đã đạt cap","Không được hoàn"),IF(OR($Q296&lt;$O296,$M296&lt;$L296),"Hoàn một phần","Được hoàn")))))</f>
        <v/>
      </c>
      <c r="AC296" s="43">
        <f>IF(OR($B296="",$D296="",$I296="",$L296=""),0,IF($U296="Cancelled",0,IF($W296&lt;&gt;"",IFERROR(IF(INDEX(CASHBACK_RULES!$B$5:$B$304,MATCH($W296,CASHBACK_RULES!$A$5:$A$304,0))=$D296,MATCH($W296,CASHBACK_RULES!$A$5:$A$304,0),0),0),IFERROR(MATCH(1,INDEX((CASHBACK_RULES!$B$5:$B$304=$D296)*(CASHBACK_RULES!$G$5:$G$304=$I296)*(((CASHBACK_RULES!$N$5:$N$304="")+(CASHBACK_RULES!$N$5:$N$304&lt;=$B296))&gt;0)*(((CASHBACK_RULES!$O$5:$O$304="")+(CASHBACK_RULES!$O$5:$O$304&gt;=$B296))&gt;0)*(((CASHBACK_RULES!$M$5:$M$304="")+(CASHBACK_RULES!$M$5:$M$304&lt;=$L296))&gt;0),0),0),0))))</f>
        <v>0</v>
      </c>
      <c r="AD296" s="51" t="str">
        <f>IF(OR($B296="",$D296=""),"",IFERROR(IF(INDEX(CARDS!$H$5:$H$34,MATCH($D296,CARDS!$A$5:$A$34,0))="","",IF(DAY($B296)&lt;=INDEX(CARDS!$H$5:$H$34,MATCH($D296,CARDS!$A$5:$A$34,0)),DATE(YEAR($B296),MONTH($B296),MIN(INDEX(CARDS!$H$5:$H$34,MATCH($D296,CARDS!$A$5:$A$34,0)),DAY(EOMONTH($B296,0)))),DATE(YEAR($B296),MONTH($B296)+1,MIN(INDEX(CARDS!$H$5:$H$34,MATCH($D296,CARDS!$A$5:$A$34,0)),DAY(EOMONTH($B296,1)))))),""))</f>
        <v/>
      </c>
      <c r="AE296" s="52" t="str">
        <f>IF($C296="","",$C296&amp;"|"&amp;COUNTIF($C$5:$C296,$C296))</f>
        <v/>
      </c>
      <c r="AF296" s="53">
        <f>IF($AC296&gt;0,SUMIFS(Q$4:Q295,$D$4:$D295,$D296,$Z$4:$Z295,$Z296,$C$4:$C295,$C296),0)</f>
        <v>0</v>
      </c>
      <c r="AG296" s="53">
        <f>IF($AC296&gt;0,SUMIFS(Q$4:Q295,$D$4:$D295,$D296,$C$4:$C295,$C296),0)</f>
        <v>0</v>
      </c>
      <c r="AH296" s="53">
        <f>IF($AC296&gt;0,SUMIFS(M$4:M295,$D$4:$D295,$D296,$Z$4:$Z295,$Z296,$C$4:$C295,$C296),0)</f>
        <v>0</v>
      </c>
      <c r="AI296" s="43">
        <f>IF(OR($C296="",$I296=""),0,IF(COUNTIFS($C$5:$C296,$C296,$I$5:$I296,$I296)=1,1,0))</f>
        <v>0</v>
      </c>
      <c r="AJ296" s="43" t="str">
        <f>IF($AI296=1,SUMIFS($AI$4:$AI295,$C$4:$C295,$C296)+1,"")</f>
        <v/>
      </c>
      <c r="AK296" s="43">
        <f>IF(OR($C296="",$K296=""),0,IF(COUNTIFS($C$5:$C296,$C296,$K$5:$K296,$K296)=1,1,0))</f>
        <v>0</v>
      </c>
      <c r="AL296" s="43" t="str">
        <f>IF($AK296=1,SUMIFS($AK$4:$AK295,$C$4:$C295,$C296)+1,"")</f>
        <v/>
      </c>
      <c r="AM296" s="43">
        <f>IF(OR($C296="",$G296=""),0,IF(COUNTIFS($C$5:$C296,$C296,$G$5:$G296,$G296)=1,1,0))</f>
        <v>0</v>
      </c>
      <c r="AN296" s="43" t="str">
        <f>IF($AM296=1,SUMIFS($AM$4:$AM295,$C$4:$C295,$C296)+1,"")</f>
        <v/>
      </c>
    </row>
    <row r="297">
      <c r="A297" s="44" t="str">
        <f>IF(OR($B297="",$D297=""),"","TX"&amp;TEXT(ROW()-4,"0000"))</f>
        <v/>
      </c>
      <c r="B297" s="42" t="n"/>
      <c r="C297" s="47" t="str">
        <f>IF($B297="","",YEAR($B297)*100+MONTH($B297))</f>
        <v/>
      </c>
      <c r="D297" s="37" t="n"/>
      <c r="E297" s="45" t="str">
        <f>IF($D297="","",IFERROR(INDEX(CARDS!$B$5:$B$34,MATCH($D297,CARDS!$A$5:$A$34,0)),"⚠ Card ID?"))</f>
        <v/>
      </c>
      <c r="F297" s="45" t="str">
        <f>IF($D297="","",IFERROR(INDEX(CARDS!$C$5:$C$34,MATCH($D297,CARDS!$A$5:$A$34,0)),"⚠ Card ID?"))</f>
        <v/>
      </c>
      <c r="G297" s="37" t="n"/>
      <c r="H297" s="37" t="n"/>
      <c r="I297" s="41" t="n"/>
      <c r="J297" s="45" t="str">
        <f>IF($I297="","",IFERROR(INDEX(MCC_MASTER!$B$5:$B$504,MATCH($I297,MCC_MASTER!$A$5:$A$504,0)),"⚠ MCC chưa có"))</f>
        <v/>
      </c>
      <c r="K297" s="45" t="str">
        <f>IF($I297="","",IFERROR(IF(INDEX(MCC_MASTER!$C$5:$C$504,MATCH($I297,MCC_MASTER!$A$5:$A$504,0))="","Chưa phân loại",INDEX(MCC_MASTER!$C$5:$C$504,MATCH($I297,MCC_MASTER!$A$5:$A$504,0))),"Chưa phân loại"))</f>
        <v/>
      </c>
      <c r="L297" s="40" t="n"/>
      <c r="M297" s="48" t="str">
        <f>IF(OR($B297="",$D297=""),"",IF($AC297=0,0,IF(ISNUMBER(INDEX(CASHBACK_RULES!$L$5:$L$304,$AC297)),MAX(0,MIN($L297,INDEX(CASHBACK_RULES!$L$5:$L$304,$AC297)-$AH297)),MAX(0,$L297))))</f>
        <v/>
      </c>
      <c r="N297" s="49" t="str">
        <f>IF(OR($B297="",$D297=""),"",IF($AC297&gt;0,INDEX(CASHBACK_RULES!$I$5:$I$304,$AC297),0))</f>
        <v/>
      </c>
      <c r="O297" s="48" t="str">
        <f>IF(OR($B297="",$D297=""),"",ROUND($M297*$N297,0))</f>
        <v/>
      </c>
      <c r="P297" s="48" t="str">
        <f>IF($AC297&gt;0,IF(ISNUMBER(INDEX(CASHBACK_RULES!$J$5:$J$304,$AC297)),INDEX(CASHBACK_RULES!$J$5:$J$304,$AC297),"∞"),"")</f>
        <v/>
      </c>
      <c r="Q297" s="48" t="str">
        <f>IF(OR($B297="",$D297=""),"",IF($AC297=0,0,MAX(0,MIN($O297,IF(ISNUMBER($P297),$P297-$AF297,1E+15),IF(ISNUMBER($AA297),$AA297-$AG297,1E+15)))))</f>
        <v/>
      </c>
      <c r="R297" s="48" t="str">
        <f>IF(OR($B297="",$D297=""),"",IF($AC297=0,"",IF(AND(NOT(ISNUMBER($P297)),NOT(ISNUMBER($AA297))),"∞",MAX(0,MIN(IF(ISNUMBER($P297),$P297-$AF297-$Q297,1E+15),IF(ISNUMBER($AA297),$AA297-$AG297-$Q297,1E+15))))))</f>
        <v/>
      </c>
      <c r="S297" s="47" t="str">
        <f>IF($AD297="","",YEAR($AD297)*100+MONTH($AD297))</f>
        <v/>
      </c>
      <c r="T297" s="50" t="str">
        <f>IF($AD297="","",IFERROR(IF(INDEX(CARDS!$I$5:$I$34,MATCH($D297,CARDS!$A$5:$A$34,0))="","",IF(INDEX(CARDS!$I$5:$I$34,MATCH($D297,CARDS!$A$5:$A$34,0))&gt;INDEX(CARDS!$H$5:$H$34,MATCH($D297,CARDS!$A$5:$A$34,0)),DATE(YEAR($AD297),MONTH($AD297),MIN(INDEX(CARDS!$I$5:$I$34,MATCH($D297,CARDS!$A$5:$A$34,0)),DAY(EOMONTH($AD297,0)))),DATE(YEAR($AD297),MONTH($AD297)+1,MIN(INDEX(CARDS!$I$5:$I$34,MATCH($D297,CARDS!$A$5:$A$34,0)),DAY(EOMONTH($AD297,1)))))),""))</f>
        <v/>
      </c>
      <c r="U297" s="38" t="n"/>
      <c r="V297" s="37" t="n"/>
      <c r="W297" s="38" t="n"/>
      <c r="X297" s="38" t="n"/>
      <c r="Y297" s="44" t="str">
        <f>IF($AC297&gt;0,INDEX(CASHBACK_RULES!$A$5:$A$304,$AC297),"")</f>
        <v/>
      </c>
      <c r="Z297" s="45" t="str">
        <f>IF($AC297&gt;0,INDEX(CASHBACK_RULES!$E$5:$E$304,$AC297)&amp;"","")</f>
        <v/>
      </c>
      <c r="AA297" s="48" t="str">
        <f>IF($AC297&gt;0,IF(ISNUMBER(INDEX(CASHBACK_RULES!$K$5:$K$304,$AC297)),INDEX(CASHBACK_RULES!$K$5:$K$304,$AC297),"∞"),"")</f>
        <v/>
      </c>
      <c r="AB297" s="44" t="str">
        <f>IF(OR($B297="",$D297=""),"",IF($U297="Cancelled","Đã hủy",IF($AC297=0,"Không được hoàn",IF($Q297=0,IF(OR($O297&gt;0,$M297&lt;$L297),"Đã đạt cap","Không được hoàn"),IF(OR($Q297&lt;$O297,$M297&lt;$L297),"Hoàn một phần","Được hoàn")))))</f>
        <v/>
      </c>
      <c r="AC297" s="43">
        <f>IF(OR($B297="",$D297="",$I297="",$L297=""),0,IF($U297="Cancelled",0,IF($W297&lt;&gt;"",IFERROR(IF(INDEX(CASHBACK_RULES!$B$5:$B$304,MATCH($W297,CASHBACK_RULES!$A$5:$A$304,0))=$D297,MATCH($W297,CASHBACK_RULES!$A$5:$A$304,0),0),0),IFERROR(MATCH(1,INDEX((CASHBACK_RULES!$B$5:$B$304=$D297)*(CASHBACK_RULES!$G$5:$G$304=$I297)*(((CASHBACK_RULES!$N$5:$N$304="")+(CASHBACK_RULES!$N$5:$N$304&lt;=$B297))&gt;0)*(((CASHBACK_RULES!$O$5:$O$304="")+(CASHBACK_RULES!$O$5:$O$304&gt;=$B297))&gt;0)*(((CASHBACK_RULES!$M$5:$M$304="")+(CASHBACK_RULES!$M$5:$M$304&lt;=$L297))&gt;0),0),0),0))))</f>
        <v>0</v>
      </c>
      <c r="AD297" s="51" t="str">
        <f>IF(OR($B297="",$D297=""),"",IFERROR(IF(INDEX(CARDS!$H$5:$H$34,MATCH($D297,CARDS!$A$5:$A$34,0))="","",IF(DAY($B297)&lt;=INDEX(CARDS!$H$5:$H$34,MATCH($D297,CARDS!$A$5:$A$34,0)),DATE(YEAR($B297),MONTH($B297),MIN(INDEX(CARDS!$H$5:$H$34,MATCH($D297,CARDS!$A$5:$A$34,0)),DAY(EOMONTH($B297,0)))),DATE(YEAR($B297),MONTH($B297)+1,MIN(INDEX(CARDS!$H$5:$H$34,MATCH($D297,CARDS!$A$5:$A$34,0)),DAY(EOMONTH($B297,1)))))),""))</f>
        <v/>
      </c>
      <c r="AE297" s="52" t="str">
        <f>IF($C297="","",$C297&amp;"|"&amp;COUNTIF($C$5:$C297,$C297))</f>
        <v/>
      </c>
      <c r="AF297" s="53">
        <f>IF($AC297&gt;0,SUMIFS(Q$4:Q296,$D$4:$D296,$D297,$Z$4:$Z296,$Z297,$C$4:$C296,$C297),0)</f>
        <v>0</v>
      </c>
      <c r="AG297" s="53">
        <f>IF($AC297&gt;0,SUMIFS(Q$4:Q296,$D$4:$D296,$D297,$C$4:$C296,$C297),0)</f>
        <v>0</v>
      </c>
      <c r="AH297" s="53">
        <f>IF($AC297&gt;0,SUMIFS(M$4:M296,$D$4:$D296,$D297,$Z$4:$Z296,$Z297,$C$4:$C296,$C297),0)</f>
        <v>0</v>
      </c>
      <c r="AI297" s="43">
        <f>IF(OR($C297="",$I297=""),0,IF(COUNTIFS($C$5:$C297,$C297,$I$5:$I297,$I297)=1,1,0))</f>
        <v>0</v>
      </c>
      <c r="AJ297" s="43" t="str">
        <f>IF($AI297=1,SUMIFS($AI$4:$AI296,$C$4:$C296,$C297)+1,"")</f>
        <v/>
      </c>
      <c r="AK297" s="43">
        <f>IF(OR($C297="",$K297=""),0,IF(COUNTIFS($C$5:$C297,$C297,$K$5:$K297,$K297)=1,1,0))</f>
        <v>0</v>
      </c>
      <c r="AL297" s="43" t="str">
        <f>IF($AK297=1,SUMIFS($AK$4:$AK296,$C$4:$C296,$C297)+1,"")</f>
        <v/>
      </c>
      <c r="AM297" s="43">
        <f>IF(OR($C297="",$G297=""),0,IF(COUNTIFS($C$5:$C297,$C297,$G$5:$G297,$G297)=1,1,0))</f>
        <v>0</v>
      </c>
      <c r="AN297" s="43" t="str">
        <f>IF($AM297=1,SUMIFS($AM$4:$AM296,$C$4:$C296,$C297)+1,"")</f>
        <v/>
      </c>
    </row>
    <row r="298">
      <c r="A298" s="44" t="str">
        <f>IF(OR($B298="",$D298=""),"","TX"&amp;TEXT(ROW()-4,"0000"))</f>
        <v/>
      </c>
      <c r="B298" s="42" t="n"/>
      <c r="C298" s="47" t="str">
        <f>IF($B298="","",YEAR($B298)*100+MONTH($B298))</f>
        <v/>
      </c>
      <c r="D298" s="37" t="n"/>
      <c r="E298" s="45" t="str">
        <f>IF($D298="","",IFERROR(INDEX(CARDS!$B$5:$B$34,MATCH($D298,CARDS!$A$5:$A$34,0)),"⚠ Card ID?"))</f>
        <v/>
      </c>
      <c r="F298" s="45" t="str">
        <f>IF($D298="","",IFERROR(INDEX(CARDS!$C$5:$C$34,MATCH($D298,CARDS!$A$5:$A$34,0)),"⚠ Card ID?"))</f>
        <v/>
      </c>
      <c r="G298" s="37" t="n"/>
      <c r="H298" s="37" t="n"/>
      <c r="I298" s="41" t="n"/>
      <c r="J298" s="45" t="str">
        <f>IF($I298="","",IFERROR(INDEX(MCC_MASTER!$B$5:$B$504,MATCH($I298,MCC_MASTER!$A$5:$A$504,0)),"⚠ MCC chưa có"))</f>
        <v/>
      </c>
      <c r="K298" s="45" t="str">
        <f>IF($I298="","",IFERROR(IF(INDEX(MCC_MASTER!$C$5:$C$504,MATCH($I298,MCC_MASTER!$A$5:$A$504,0))="","Chưa phân loại",INDEX(MCC_MASTER!$C$5:$C$504,MATCH($I298,MCC_MASTER!$A$5:$A$504,0))),"Chưa phân loại"))</f>
        <v/>
      </c>
      <c r="L298" s="40" t="n"/>
      <c r="M298" s="48" t="str">
        <f>IF(OR($B298="",$D298=""),"",IF($AC298=0,0,IF(ISNUMBER(INDEX(CASHBACK_RULES!$L$5:$L$304,$AC298)),MAX(0,MIN($L298,INDEX(CASHBACK_RULES!$L$5:$L$304,$AC298)-$AH298)),MAX(0,$L298))))</f>
        <v/>
      </c>
      <c r="N298" s="49" t="str">
        <f>IF(OR($B298="",$D298=""),"",IF($AC298&gt;0,INDEX(CASHBACK_RULES!$I$5:$I$304,$AC298),0))</f>
        <v/>
      </c>
      <c r="O298" s="48" t="str">
        <f>IF(OR($B298="",$D298=""),"",ROUND($M298*$N298,0))</f>
        <v/>
      </c>
      <c r="P298" s="48" t="str">
        <f>IF($AC298&gt;0,IF(ISNUMBER(INDEX(CASHBACK_RULES!$J$5:$J$304,$AC298)),INDEX(CASHBACK_RULES!$J$5:$J$304,$AC298),"∞"),"")</f>
        <v/>
      </c>
      <c r="Q298" s="48" t="str">
        <f>IF(OR($B298="",$D298=""),"",IF($AC298=0,0,MAX(0,MIN($O298,IF(ISNUMBER($P298),$P298-$AF298,1E+15),IF(ISNUMBER($AA298),$AA298-$AG298,1E+15)))))</f>
        <v/>
      </c>
      <c r="R298" s="48" t="str">
        <f>IF(OR($B298="",$D298=""),"",IF($AC298=0,"",IF(AND(NOT(ISNUMBER($P298)),NOT(ISNUMBER($AA298))),"∞",MAX(0,MIN(IF(ISNUMBER($P298),$P298-$AF298-$Q298,1E+15),IF(ISNUMBER($AA298),$AA298-$AG298-$Q298,1E+15))))))</f>
        <v/>
      </c>
      <c r="S298" s="47" t="str">
        <f>IF($AD298="","",YEAR($AD298)*100+MONTH($AD298))</f>
        <v/>
      </c>
      <c r="T298" s="50" t="str">
        <f>IF($AD298="","",IFERROR(IF(INDEX(CARDS!$I$5:$I$34,MATCH($D298,CARDS!$A$5:$A$34,0))="","",IF(INDEX(CARDS!$I$5:$I$34,MATCH($D298,CARDS!$A$5:$A$34,0))&gt;INDEX(CARDS!$H$5:$H$34,MATCH($D298,CARDS!$A$5:$A$34,0)),DATE(YEAR($AD298),MONTH($AD298),MIN(INDEX(CARDS!$I$5:$I$34,MATCH($D298,CARDS!$A$5:$A$34,0)),DAY(EOMONTH($AD298,0)))),DATE(YEAR($AD298),MONTH($AD298)+1,MIN(INDEX(CARDS!$I$5:$I$34,MATCH($D298,CARDS!$A$5:$A$34,0)),DAY(EOMONTH($AD298,1)))))),""))</f>
        <v/>
      </c>
      <c r="U298" s="38" t="n"/>
      <c r="V298" s="37" t="n"/>
      <c r="W298" s="38" t="n"/>
      <c r="X298" s="38" t="n"/>
      <c r="Y298" s="44" t="str">
        <f>IF($AC298&gt;0,INDEX(CASHBACK_RULES!$A$5:$A$304,$AC298),"")</f>
        <v/>
      </c>
      <c r="Z298" s="45" t="str">
        <f>IF($AC298&gt;0,INDEX(CASHBACK_RULES!$E$5:$E$304,$AC298)&amp;"","")</f>
        <v/>
      </c>
      <c r="AA298" s="48" t="str">
        <f>IF($AC298&gt;0,IF(ISNUMBER(INDEX(CASHBACK_RULES!$K$5:$K$304,$AC298)),INDEX(CASHBACK_RULES!$K$5:$K$304,$AC298),"∞"),"")</f>
        <v/>
      </c>
      <c r="AB298" s="44" t="str">
        <f>IF(OR($B298="",$D298=""),"",IF($U298="Cancelled","Đã hủy",IF($AC298=0,"Không được hoàn",IF($Q298=0,IF(OR($O298&gt;0,$M298&lt;$L298),"Đã đạt cap","Không được hoàn"),IF(OR($Q298&lt;$O298,$M298&lt;$L298),"Hoàn một phần","Được hoàn")))))</f>
        <v/>
      </c>
      <c r="AC298" s="43">
        <f>IF(OR($B298="",$D298="",$I298="",$L298=""),0,IF($U298="Cancelled",0,IF($W298&lt;&gt;"",IFERROR(IF(INDEX(CASHBACK_RULES!$B$5:$B$304,MATCH($W298,CASHBACK_RULES!$A$5:$A$304,0))=$D298,MATCH($W298,CASHBACK_RULES!$A$5:$A$304,0),0),0),IFERROR(MATCH(1,INDEX((CASHBACK_RULES!$B$5:$B$304=$D298)*(CASHBACK_RULES!$G$5:$G$304=$I298)*(((CASHBACK_RULES!$N$5:$N$304="")+(CASHBACK_RULES!$N$5:$N$304&lt;=$B298))&gt;0)*(((CASHBACK_RULES!$O$5:$O$304="")+(CASHBACK_RULES!$O$5:$O$304&gt;=$B298))&gt;0)*(((CASHBACK_RULES!$M$5:$M$304="")+(CASHBACK_RULES!$M$5:$M$304&lt;=$L298))&gt;0),0),0),0))))</f>
        <v>0</v>
      </c>
      <c r="AD298" s="51" t="str">
        <f>IF(OR($B298="",$D298=""),"",IFERROR(IF(INDEX(CARDS!$H$5:$H$34,MATCH($D298,CARDS!$A$5:$A$34,0))="","",IF(DAY($B298)&lt;=INDEX(CARDS!$H$5:$H$34,MATCH($D298,CARDS!$A$5:$A$34,0)),DATE(YEAR($B298),MONTH($B298),MIN(INDEX(CARDS!$H$5:$H$34,MATCH($D298,CARDS!$A$5:$A$34,0)),DAY(EOMONTH($B298,0)))),DATE(YEAR($B298),MONTH($B298)+1,MIN(INDEX(CARDS!$H$5:$H$34,MATCH($D298,CARDS!$A$5:$A$34,0)),DAY(EOMONTH($B298,1)))))),""))</f>
        <v/>
      </c>
      <c r="AE298" s="52" t="str">
        <f>IF($C298="","",$C298&amp;"|"&amp;COUNTIF($C$5:$C298,$C298))</f>
        <v/>
      </c>
      <c r="AF298" s="53">
        <f>IF($AC298&gt;0,SUMIFS(Q$4:Q297,$D$4:$D297,$D298,$Z$4:$Z297,$Z298,$C$4:$C297,$C298),0)</f>
        <v>0</v>
      </c>
      <c r="AG298" s="53">
        <f>IF($AC298&gt;0,SUMIFS(Q$4:Q297,$D$4:$D297,$D298,$C$4:$C297,$C298),0)</f>
        <v>0</v>
      </c>
      <c r="AH298" s="53">
        <f>IF($AC298&gt;0,SUMIFS(M$4:M297,$D$4:$D297,$D298,$Z$4:$Z297,$Z298,$C$4:$C297,$C298),0)</f>
        <v>0</v>
      </c>
      <c r="AI298" s="43">
        <f>IF(OR($C298="",$I298=""),0,IF(COUNTIFS($C$5:$C298,$C298,$I$5:$I298,$I298)=1,1,0))</f>
        <v>0</v>
      </c>
      <c r="AJ298" s="43" t="str">
        <f>IF($AI298=1,SUMIFS($AI$4:$AI297,$C$4:$C297,$C298)+1,"")</f>
        <v/>
      </c>
      <c r="AK298" s="43">
        <f>IF(OR($C298="",$K298=""),0,IF(COUNTIFS($C$5:$C298,$C298,$K$5:$K298,$K298)=1,1,0))</f>
        <v>0</v>
      </c>
      <c r="AL298" s="43" t="str">
        <f>IF($AK298=1,SUMIFS($AK$4:$AK297,$C$4:$C297,$C298)+1,"")</f>
        <v/>
      </c>
      <c r="AM298" s="43">
        <f>IF(OR($C298="",$G298=""),0,IF(COUNTIFS($C$5:$C298,$C298,$G$5:$G298,$G298)=1,1,0))</f>
        <v>0</v>
      </c>
      <c r="AN298" s="43" t="str">
        <f>IF($AM298=1,SUMIFS($AM$4:$AM297,$C$4:$C297,$C298)+1,"")</f>
        <v/>
      </c>
    </row>
    <row r="299">
      <c r="A299" s="44" t="str">
        <f>IF(OR($B299="",$D299=""),"","TX"&amp;TEXT(ROW()-4,"0000"))</f>
        <v/>
      </c>
      <c r="B299" s="42" t="n"/>
      <c r="C299" s="47" t="str">
        <f>IF($B299="","",YEAR($B299)*100+MONTH($B299))</f>
        <v/>
      </c>
      <c r="D299" s="37" t="n"/>
      <c r="E299" s="45" t="str">
        <f>IF($D299="","",IFERROR(INDEX(CARDS!$B$5:$B$34,MATCH($D299,CARDS!$A$5:$A$34,0)),"⚠ Card ID?"))</f>
        <v/>
      </c>
      <c r="F299" s="45" t="str">
        <f>IF($D299="","",IFERROR(INDEX(CARDS!$C$5:$C$34,MATCH($D299,CARDS!$A$5:$A$34,0)),"⚠ Card ID?"))</f>
        <v/>
      </c>
      <c r="G299" s="37" t="n"/>
      <c r="H299" s="37" t="n"/>
      <c r="I299" s="41" t="n"/>
      <c r="J299" s="45" t="str">
        <f>IF($I299="","",IFERROR(INDEX(MCC_MASTER!$B$5:$B$504,MATCH($I299,MCC_MASTER!$A$5:$A$504,0)),"⚠ MCC chưa có"))</f>
        <v/>
      </c>
      <c r="K299" s="45" t="str">
        <f>IF($I299="","",IFERROR(IF(INDEX(MCC_MASTER!$C$5:$C$504,MATCH($I299,MCC_MASTER!$A$5:$A$504,0))="","Chưa phân loại",INDEX(MCC_MASTER!$C$5:$C$504,MATCH($I299,MCC_MASTER!$A$5:$A$504,0))),"Chưa phân loại"))</f>
        <v/>
      </c>
      <c r="L299" s="40" t="n"/>
      <c r="M299" s="48" t="str">
        <f>IF(OR($B299="",$D299=""),"",IF($AC299=0,0,IF(ISNUMBER(INDEX(CASHBACK_RULES!$L$5:$L$304,$AC299)),MAX(0,MIN($L299,INDEX(CASHBACK_RULES!$L$5:$L$304,$AC299)-$AH299)),MAX(0,$L299))))</f>
        <v/>
      </c>
      <c r="N299" s="49" t="str">
        <f>IF(OR($B299="",$D299=""),"",IF($AC299&gt;0,INDEX(CASHBACK_RULES!$I$5:$I$304,$AC299),0))</f>
        <v/>
      </c>
      <c r="O299" s="48" t="str">
        <f>IF(OR($B299="",$D299=""),"",ROUND($M299*$N299,0))</f>
        <v/>
      </c>
      <c r="P299" s="48" t="str">
        <f>IF($AC299&gt;0,IF(ISNUMBER(INDEX(CASHBACK_RULES!$J$5:$J$304,$AC299)),INDEX(CASHBACK_RULES!$J$5:$J$304,$AC299),"∞"),"")</f>
        <v/>
      </c>
      <c r="Q299" s="48" t="str">
        <f>IF(OR($B299="",$D299=""),"",IF($AC299=0,0,MAX(0,MIN($O299,IF(ISNUMBER($P299),$P299-$AF299,1E+15),IF(ISNUMBER($AA299),$AA299-$AG299,1E+15)))))</f>
        <v/>
      </c>
      <c r="R299" s="48" t="str">
        <f>IF(OR($B299="",$D299=""),"",IF($AC299=0,"",IF(AND(NOT(ISNUMBER($P299)),NOT(ISNUMBER($AA299))),"∞",MAX(0,MIN(IF(ISNUMBER($P299),$P299-$AF299-$Q299,1E+15),IF(ISNUMBER($AA299),$AA299-$AG299-$Q299,1E+15))))))</f>
        <v/>
      </c>
      <c r="S299" s="47" t="str">
        <f>IF($AD299="","",YEAR($AD299)*100+MONTH($AD299))</f>
        <v/>
      </c>
      <c r="T299" s="50" t="str">
        <f>IF($AD299="","",IFERROR(IF(INDEX(CARDS!$I$5:$I$34,MATCH($D299,CARDS!$A$5:$A$34,0))="","",IF(INDEX(CARDS!$I$5:$I$34,MATCH($D299,CARDS!$A$5:$A$34,0))&gt;INDEX(CARDS!$H$5:$H$34,MATCH($D299,CARDS!$A$5:$A$34,0)),DATE(YEAR($AD299),MONTH($AD299),MIN(INDEX(CARDS!$I$5:$I$34,MATCH($D299,CARDS!$A$5:$A$34,0)),DAY(EOMONTH($AD299,0)))),DATE(YEAR($AD299),MONTH($AD299)+1,MIN(INDEX(CARDS!$I$5:$I$34,MATCH($D299,CARDS!$A$5:$A$34,0)),DAY(EOMONTH($AD299,1)))))),""))</f>
        <v/>
      </c>
      <c r="U299" s="38" t="n"/>
      <c r="V299" s="37" t="n"/>
      <c r="W299" s="38" t="n"/>
      <c r="X299" s="38" t="n"/>
      <c r="Y299" s="44" t="str">
        <f>IF($AC299&gt;0,INDEX(CASHBACK_RULES!$A$5:$A$304,$AC299),"")</f>
        <v/>
      </c>
      <c r="Z299" s="45" t="str">
        <f>IF($AC299&gt;0,INDEX(CASHBACK_RULES!$E$5:$E$304,$AC299)&amp;"","")</f>
        <v/>
      </c>
      <c r="AA299" s="48" t="str">
        <f>IF($AC299&gt;0,IF(ISNUMBER(INDEX(CASHBACK_RULES!$K$5:$K$304,$AC299)),INDEX(CASHBACK_RULES!$K$5:$K$304,$AC299),"∞"),"")</f>
        <v/>
      </c>
      <c r="AB299" s="44" t="str">
        <f>IF(OR($B299="",$D299=""),"",IF($U299="Cancelled","Đã hủy",IF($AC299=0,"Không được hoàn",IF($Q299=0,IF(OR($O299&gt;0,$M299&lt;$L299),"Đã đạt cap","Không được hoàn"),IF(OR($Q299&lt;$O299,$M299&lt;$L299),"Hoàn một phần","Được hoàn")))))</f>
        <v/>
      </c>
      <c r="AC299" s="43">
        <f>IF(OR($B299="",$D299="",$I299="",$L299=""),0,IF($U299="Cancelled",0,IF($W299&lt;&gt;"",IFERROR(IF(INDEX(CASHBACK_RULES!$B$5:$B$304,MATCH($W299,CASHBACK_RULES!$A$5:$A$304,0))=$D299,MATCH($W299,CASHBACK_RULES!$A$5:$A$304,0),0),0),IFERROR(MATCH(1,INDEX((CASHBACK_RULES!$B$5:$B$304=$D299)*(CASHBACK_RULES!$G$5:$G$304=$I299)*(((CASHBACK_RULES!$N$5:$N$304="")+(CASHBACK_RULES!$N$5:$N$304&lt;=$B299))&gt;0)*(((CASHBACK_RULES!$O$5:$O$304="")+(CASHBACK_RULES!$O$5:$O$304&gt;=$B299))&gt;0)*(((CASHBACK_RULES!$M$5:$M$304="")+(CASHBACK_RULES!$M$5:$M$304&lt;=$L299))&gt;0),0),0),0))))</f>
        <v>0</v>
      </c>
      <c r="AD299" s="51" t="str">
        <f>IF(OR($B299="",$D299=""),"",IFERROR(IF(INDEX(CARDS!$H$5:$H$34,MATCH($D299,CARDS!$A$5:$A$34,0))="","",IF(DAY($B299)&lt;=INDEX(CARDS!$H$5:$H$34,MATCH($D299,CARDS!$A$5:$A$34,0)),DATE(YEAR($B299),MONTH($B299),MIN(INDEX(CARDS!$H$5:$H$34,MATCH($D299,CARDS!$A$5:$A$34,0)),DAY(EOMONTH($B299,0)))),DATE(YEAR($B299),MONTH($B299)+1,MIN(INDEX(CARDS!$H$5:$H$34,MATCH($D299,CARDS!$A$5:$A$34,0)),DAY(EOMONTH($B299,1)))))),""))</f>
        <v/>
      </c>
      <c r="AE299" s="52" t="str">
        <f>IF($C299="","",$C299&amp;"|"&amp;COUNTIF($C$5:$C299,$C299))</f>
        <v/>
      </c>
      <c r="AF299" s="53">
        <f>IF($AC299&gt;0,SUMIFS(Q$4:Q298,$D$4:$D298,$D299,$Z$4:$Z298,$Z299,$C$4:$C298,$C299),0)</f>
        <v>0</v>
      </c>
      <c r="AG299" s="53">
        <f>IF($AC299&gt;0,SUMIFS(Q$4:Q298,$D$4:$D298,$D299,$C$4:$C298,$C299),0)</f>
        <v>0</v>
      </c>
      <c r="AH299" s="53">
        <f>IF($AC299&gt;0,SUMIFS(M$4:M298,$D$4:$D298,$D299,$Z$4:$Z298,$Z299,$C$4:$C298,$C299),0)</f>
        <v>0</v>
      </c>
      <c r="AI299" s="43">
        <f>IF(OR($C299="",$I299=""),0,IF(COUNTIFS($C$5:$C299,$C299,$I$5:$I299,$I299)=1,1,0))</f>
        <v>0</v>
      </c>
      <c r="AJ299" s="43" t="str">
        <f>IF($AI299=1,SUMIFS($AI$4:$AI298,$C$4:$C298,$C299)+1,"")</f>
        <v/>
      </c>
      <c r="AK299" s="43">
        <f>IF(OR($C299="",$K299=""),0,IF(COUNTIFS($C$5:$C299,$C299,$K$5:$K299,$K299)=1,1,0))</f>
        <v>0</v>
      </c>
      <c r="AL299" s="43" t="str">
        <f>IF($AK299=1,SUMIFS($AK$4:$AK298,$C$4:$C298,$C299)+1,"")</f>
        <v/>
      </c>
      <c r="AM299" s="43">
        <f>IF(OR($C299="",$G299=""),0,IF(COUNTIFS($C$5:$C299,$C299,$G$5:$G299,$G299)=1,1,0))</f>
        <v>0</v>
      </c>
      <c r="AN299" s="43" t="str">
        <f>IF($AM299=1,SUMIFS($AM$4:$AM298,$C$4:$C298,$C299)+1,"")</f>
        <v/>
      </c>
    </row>
    <row r="300">
      <c r="A300" s="44" t="str">
        <f>IF(OR($B300="",$D300=""),"","TX"&amp;TEXT(ROW()-4,"0000"))</f>
        <v/>
      </c>
      <c r="B300" s="42" t="n"/>
      <c r="C300" s="47" t="str">
        <f>IF($B300="","",YEAR($B300)*100+MONTH($B300))</f>
        <v/>
      </c>
      <c r="D300" s="37" t="n"/>
      <c r="E300" s="45" t="str">
        <f>IF($D300="","",IFERROR(INDEX(CARDS!$B$5:$B$34,MATCH($D300,CARDS!$A$5:$A$34,0)),"⚠ Card ID?"))</f>
        <v/>
      </c>
      <c r="F300" s="45" t="str">
        <f>IF($D300="","",IFERROR(INDEX(CARDS!$C$5:$C$34,MATCH($D300,CARDS!$A$5:$A$34,0)),"⚠ Card ID?"))</f>
        <v/>
      </c>
      <c r="G300" s="37" t="n"/>
      <c r="H300" s="37" t="n"/>
      <c r="I300" s="41" t="n"/>
      <c r="J300" s="45" t="str">
        <f>IF($I300="","",IFERROR(INDEX(MCC_MASTER!$B$5:$B$504,MATCH($I300,MCC_MASTER!$A$5:$A$504,0)),"⚠ MCC chưa có"))</f>
        <v/>
      </c>
      <c r="K300" s="45" t="str">
        <f>IF($I300="","",IFERROR(IF(INDEX(MCC_MASTER!$C$5:$C$504,MATCH($I300,MCC_MASTER!$A$5:$A$504,0))="","Chưa phân loại",INDEX(MCC_MASTER!$C$5:$C$504,MATCH($I300,MCC_MASTER!$A$5:$A$504,0))),"Chưa phân loại"))</f>
        <v/>
      </c>
      <c r="L300" s="40" t="n"/>
      <c r="M300" s="48" t="str">
        <f>IF(OR($B300="",$D300=""),"",IF($AC300=0,0,IF(ISNUMBER(INDEX(CASHBACK_RULES!$L$5:$L$304,$AC300)),MAX(0,MIN($L300,INDEX(CASHBACK_RULES!$L$5:$L$304,$AC300)-$AH300)),MAX(0,$L300))))</f>
        <v/>
      </c>
      <c r="N300" s="49" t="str">
        <f>IF(OR($B300="",$D300=""),"",IF($AC300&gt;0,INDEX(CASHBACK_RULES!$I$5:$I$304,$AC300),0))</f>
        <v/>
      </c>
      <c r="O300" s="48" t="str">
        <f>IF(OR($B300="",$D300=""),"",ROUND($M300*$N300,0))</f>
        <v/>
      </c>
      <c r="P300" s="48" t="str">
        <f>IF($AC300&gt;0,IF(ISNUMBER(INDEX(CASHBACK_RULES!$J$5:$J$304,$AC300)),INDEX(CASHBACK_RULES!$J$5:$J$304,$AC300),"∞"),"")</f>
        <v/>
      </c>
      <c r="Q300" s="48" t="str">
        <f>IF(OR($B300="",$D300=""),"",IF($AC300=0,0,MAX(0,MIN($O300,IF(ISNUMBER($P300),$P300-$AF300,1E+15),IF(ISNUMBER($AA300),$AA300-$AG300,1E+15)))))</f>
        <v/>
      </c>
      <c r="R300" s="48" t="str">
        <f>IF(OR($B300="",$D300=""),"",IF($AC300=0,"",IF(AND(NOT(ISNUMBER($P300)),NOT(ISNUMBER($AA300))),"∞",MAX(0,MIN(IF(ISNUMBER($P300),$P300-$AF300-$Q300,1E+15),IF(ISNUMBER($AA300),$AA300-$AG300-$Q300,1E+15))))))</f>
        <v/>
      </c>
      <c r="S300" s="47" t="str">
        <f>IF($AD300="","",YEAR($AD300)*100+MONTH($AD300))</f>
        <v/>
      </c>
      <c r="T300" s="50" t="str">
        <f>IF($AD300="","",IFERROR(IF(INDEX(CARDS!$I$5:$I$34,MATCH($D300,CARDS!$A$5:$A$34,0))="","",IF(INDEX(CARDS!$I$5:$I$34,MATCH($D300,CARDS!$A$5:$A$34,0))&gt;INDEX(CARDS!$H$5:$H$34,MATCH($D300,CARDS!$A$5:$A$34,0)),DATE(YEAR($AD300),MONTH($AD300),MIN(INDEX(CARDS!$I$5:$I$34,MATCH($D300,CARDS!$A$5:$A$34,0)),DAY(EOMONTH($AD300,0)))),DATE(YEAR($AD300),MONTH($AD300)+1,MIN(INDEX(CARDS!$I$5:$I$34,MATCH($D300,CARDS!$A$5:$A$34,0)),DAY(EOMONTH($AD300,1)))))),""))</f>
        <v/>
      </c>
      <c r="U300" s="38" t="n"/>
      <c r="V300" s="37" t="n"/>
      <c r="W300" s="38" t="n"/>
      <c r="X300" s="38" t="n"/>
      <c r="Y300" s="44" t="str">
        <f>IF($AC300&gt;0,INDEX(CASHBACK_RULES!$A$5:$A$304,$AC300),"")</f>
        <v/>
      </c>
      <c r="Z300" s="45" t="str">
        <f>IF($AC300&gt;0,INDEX(CASHBACK_RULES!$E$5:$E$304,$AC300)&amp;"","")</f>
        <v/>
      </c>
      <c r="AA300" s="48" t="str">
        <f>IF($AC300&gt;0,IF(ISNUMBER(INDEX(CASHBACK_RULES!$K$5:$K$304,$AC300)),INDEX(CASHBACK_RULES!$K$5:$K$304,$AC300),"∞"),"")</f>
        <v/>
      </c>
      <c r="AB300" s="44" t="str">
        <f>IF(OR($B300="",$D300=""),"",IF($U300="Cancelled","Đã hủy",IF($AC300=0,"Không được hoàn",IF($Q300=0,IF(OR($O300&gt;0,$M300&lt;$L300),"Đã đạt cap","Không được hoàn"),IF(OR($Q300&lt;$O300,$M300&lt;$L300),"Hoàn một phần","Được hoàn")))))</f>
        <v/>
      </c>
      <c r="AC300" s="43">
        <f>IF(OR($B300="",$D300="",$I300="",$L300=""),0,IF($U300="Cancelled",0,IF($W300&lt;&gt;"",IFERROR(IF(INDEX(CASHBACK_RULES!$B$5:$B$304,MATCH($W300,CASHBACK_RULES!$A$5:$A$304,0))=$D300,MATCH($W300,CASHBACK_RULES!$A$5:$A$304,0),0),0),IFERROR(MATCH(1,INDEX((CASHBACK_RULES!$B$5:$B$304=$D300)*(CASHBACK_RULES!$G$5:$G$304=$I300)*(((CASHBACK_RULES!$N$5:$N$304="")+(CASHBACK_RULES!$N$5:$N$304&lt;=$B300))&gt;0)*(((CASHBACK_RULES!$O$5:$O$304="")+(CASHBACK_RULES!$O$5:$O$304&gt;=$B300))&gt;0)*(((CASHBACK_RULES!$M$5:$M$304="")+(CASHBACK_RULES!$M$5:$M$304&lt;=$L300))&gt;0),0),0),0))))</f>
        <v>0</v>
      </c>
      <c r="AD300" s="51" t="str">
        <f>IF(OR($B300="",$D300=""),"",IFERROR(IF(INDEX(CARDS!$H$5:$H$34,MATCH($D300,CARDS!$A$5:$A$34,0))="","",IF(DAY($B300)&lt;=INDEX(CARDS!$H$5:$H$34,MATCH($D300,CARDS!$A$5:$A$34,0)),DATE(YEAR($B300),MONTH($B300),MIN(INDEX(CARDS!$H$5:$H$34,MATCH($D300,CARDS!$A$5:$A$34,0)),DAY(EOMONTH($B300,0)))),DATE(YEAR($B300),MONTH($B300)+1,MIN(INDEX(CARDS!$H$5:$H$34,MATCH($D300,CARDS!$A$5:$A$34,0)),DAY(EOMONTH($B300,1)))))),""))</f>
        <v/>
      </c>
      <c r="AE300" s="52" t="str">
        <f>IF($C300="","",$C300&amp;"|"&amp;COUNTIF($C$5:$C300,$C300))</f>
        <v/>
      </c>
      <c r="AF300" s="53">
        <f>IF($AC300&gt;0,SUMIFS(Q$4:Q299,$D$4:$D299,$D300,$Z$4:$Z299,$Z300,$C$4:$C299,$C300),0)</f>
        <v>0</v>
      </c>
      <c r="AG300" s="53">
        <f>IF($AC300&gt;0,SUMIFS(Q$4:Q299,$D$4:$D299,$D300,$C$4:$C299,$C300),0)</f>
        <v>0</v>
      </c>
      <c r="AH300" s="53">
        <f>IF($AC300&gt;0,SUMIFS(M$4:M299,$D$4:$D299,$D300,$Z$4:$Z299,$Z300,$C$4:$C299,$C300),0)</f>
        <v>0</v>
      </c>
      <c r="AI300" s="43">
        <f>IF(OR($C300="",$I300=""),0,IF(COUNTIFS($C$5:$C300,$C300,$I$5:$I300,$I300)=1,1,0))</f>
        <v>0</v>
      </c>
      <c r="AJ300" s="43" t="str">
        <f>IF($AI300=1,SUMIFS($AI$4:$AI299,$C$4:$C299,$C300)+1,"")</f>
        <v/>
      </c>
      <c r="AK300" s="43">
        <f>IF(OR($C300="",$K300=""),0,IF(COUNTIFS($C$5:$C300,$C300,$K$5:$K300,$K300)=1,1,0))</f>
        <v>0</v>
      </c>
      <c r="AL300" s="43" t="str">
        <f>IF($AK300=1,SUMIFS($AK$4:$AK299,$C$4:$C299,$C300)+1,"")</f>
        <v/>
      </c>
      <c r="AM300" s="43">
        <f>IF(OR($C300="",$G300=""),0,IF(COUNTIFS($C$5:$C300,$C300,$G$5:$G300,$G300)=1,1,0))</f>
        <v>0</v>
      </c>
      <c r="AN300" s="43" t="str">
        <f>IF($AM300=1,SUMIFS($AM$4:$AM299,$C$4:$C299,$C300)+1,"")</f>
        <v/>
      </c>
    </row>
    <row r="301">
      <c r="A301" s="44" t="str">
        <f>IF(OR($B301="",$D301=""),"","TX"&amp;TEXT(ROW()-4,"0000"))</f>
        <v/>
      </c>
      <c r="B301" s="42" t="n"/>
      <c r="C301" s="47" t="str">
        <f>IF($B301="","",YEAR($B301)*100+MONTH($B301))</f>
        <v/>
      </c>
      <c r="D301" s="37" t="n"/>
      <c r="E301" s="45" t="str">
        <f>IF($D301="","",IFERROR(INDEX(CARDS!$B$5:$B$34,MATCH($D301,CARDS!$A$5:$A$34,0)),"⚠ Card ID?"))</f>
        <v/>
      </c>
      <c r="F301" s="45" t="str">
        <f>IF($D301="","",IFERROR(INDEX(CARDS!$C$5:$C$34,MATCH($D301,CARDS!$A$5:$A$34,0)),"⚠ Card ID?"))</f>
        <v/>
      </c>
      <c r="G301" s="37" t="n"/>
      <c r="H301" s="37" t="n"/>
      <c r="I301" s="41" t="n"/>
      <c r="J301" s="45" t="str">
        <f>IF($I301="","",IFERROR(INDEX(MCC_MASTER!$B$5:$B$504,MATCH($I301,MCC_MASTER!$A$5:$A$504,0)),"⚠ MCC chưa có"))</f>
        <v/>
      </c>
      <c r="K301" s="45" t="str">
        <f>IF($I301="","",IFERROR(IF(INDEX(MCC_MASTER!$C$5:$C$504,MATCH($I301,MCC_MASTER!$A$5:$A$504,0))="","Chưa phân loại",INDEX(MCC_MASTER!$C$5:$C$504,MATCH($I301,MCC_MASTER!$A$5:$A$504,0))),"Chưa phân loại"))</f>
        <v/>
      </c>
      <c r="L301" s="40" t="n"/>
      <c r="M301" s="48" t="str">
        <f>IF(OR($B301="",$D301=""),"",IF($AC301=0,0,IF(ISNUMBER(INDEX(CASHBACK_RULES!$L$5:$L$304,$AC301)),MAX(0,MIN($L301,INDEX(CASHBACK_RULES!$L$5:$L$304,$AC301)-$AH301)),MAX(0,$L301))))</f>
        <v/>
      </c>
      <c r="N301" s="49" t="str">
        <f>IF(OR($B301="",$D301=""),"",IF($AC301&gt;0,INDEX(CASHBACK_RULES!$I$5:$I$304,$AC301),0))</f>
        <v/>
      </c>
      <c r="O301" s="48" t="str">
        <f>IF(OR($B301="",$D301=""),"",ROUND($M301*$N301,0))</f>
        <v/>
      </c>
      <c r="P301" s="48" t="str">
        <f>IF($AC301&gt;0,IF(ISNUMBER(INDEX(CASHBACK_RULES!$J$5:$J$304,$AC301)),INDEX(CASHBACK_RULES!$J$5:$J$304,$AC301),"∞"),"")</f>
        <v/>
      </c>
      <c r="Q301" s="48" t="str">
        <f>IF(OR($B301="",$D301=""),"",IF($AC301=0,0,MAX(0,MIN($O301,IF(ISNUMBER($P301),$P301-$AF301,1E+15),IF(ISNUMBER($AA301),$AA301-$AG301,1E+15)))))</f>
        <v/>
      </c>
      <c r="R301" s="48" t="str">
        <f>IF(OR($B301="",$D301=""),"",IF($AC301=0,"",IF(AND(NOT(ISNUMBER($P301)),NOT(ISNUMBER($AA301))),"∞",MAX(0,MIN(IF(ISNUMBER($P301),$P301-$AF301-$Q301,1E+15),IF(ISNUMBER($AA301),$AA301-$AG301-$Q301,1E+15))))))</f>
        <v/>
      </c>
      <c r="S301" s="47" t="str">
        <f>IF($AD301="","",YEAR($AD301)*100+MONTH($AD301))</f>
        <v/>
      </c>
      <c r="T301" s="50" t="str">
        <f>IF($AD301="","",IFERROR(IF(INDEX(CARDS!$I$5:$I$34,MATCH($D301,CARDS!$A$5:$A$34,0))="","",IF(INDEX(CARDS!$I$5:$I$34,MATCH($D301,CARDS!$A$5:$A$34,0))&gt;INDEX(CARDS!$H$5:$H$34,MATCH($D301,CARDS!$A$5:$A$34,0)),DATE(YEAR($AD301),MONTH($AD301),MIN(INDEX(CARDS!$I$5:$I$34,MATCH($D301,CARDS!$A$5:$A$34,0)),DAY(EOMONTH($AD301,0)))),DATE(YEAR($AD301),MONTH($AD301)+1,MIN(INDEX(CARDS!$I$5:$I$34,MATCH($D301,CARDS!$A$5:$A$34,0)),DAY(EOMONTH($AD301,1)))))),""))</f>
        <v/>
      </c>
      <c r="U301" s="38" t="n"/>
      <c r="V301" s="37" t="n"/>
      <c r="W301" s="38" t="n"/>
      <c r="X301" s="38" t="n"/>
      <c r="Y301" s="44" t="str">
        <f>IF($AC301&gt;0,INDEX(CASHBACK_RULES!$A$5:$A$304,$AC301),"")</f>
        <v/>
      </c>
      <c r="Z301" s="45" t="str">
        <f>IF($AC301&gt;0,INDEX(CASHBACK_RULES!$E$5:$E$304,$AC301)&amp;"","")</f>
        <v/>
      </c>
      <c r="AA301" s="48" t="str">
        <f>IF($AC301&gt;0,IF(ISNUMBER(INDEX(CASHBACK_RULES!$K$5:$K$304,$AC301)),INDEX(CASHBACK_RULES!$K$5:$K$304,$AC301),"∞"),"")</f>
        <v/>
      </c>
      <c r="AB301" s="44" t="str">
        <f>IF(OR($B301="",$D301=""),"",IF($U301="Cancelled","Đã hủy",IF($AC301=0,"Không được hoàn",IF($Q301=0,IF(OR($O301&gt;0,$M301&lt;$L301),"Đã đạt cap","Không được hoàn"),IF(OR($Q301&lt;$O301,$M301&lt;$L301),"Hoàn một phần","Được hoàn")))))</f>
        <v/>
      </c>
      <c r="AC301" s="43">
        <f>IF(OR($B301="",$D301="",$I301="",$L301=""),0,IF($U301="Cancelled",0,IF($W301&lt;&gt;"",IFERROR(IF(INDEX(CASHBACK_RULES!$B$5:$B$304,MATCH($W301,CASHBACK_RULES!$A$5:$A$304,0))=$D301,MATCH($W301,CASHBACK_RULES!$A$5:$A$304,0),0),0),IFERROR(MATCH(1,INDEX((CASHBACK_RULES!$B$5:$B$304=$D301)*(CASHBACK_RULES!$G$5:$G$304=$I301)*(((CASHBACK_RULES!$N$5:$N$304="")+(CASHBACK_RULES!$N$5:$N$304&lt;=$B301))&gt;0)*(((CASHBACK_RULES!$O$5:$O$304="")+(CASHBACK_RULES!$O$5:$O$304&gt;=$B301))&gt;0)*(((CASHBACK_RULES!$M$5:$M$304="")+(CASHBACK_RULES!$M$5:$M$304&lt;=$L301))&gt;0),0),0),0))))</f>
        <v>0</v>
      </c>
      <c r="AD301" s="51" t="str">
        <f>IF(OR($B301="",$D301=""),"",IFERROR(IF(INDEX(CARDS!$H$5:$H$34,MATCH($D301,CARDS!$A$5:$A$34,0))="","",IF(DAY($B301)&lt;=INDEX(CARDS!$H$5:$H$34,MATCH($D301,CARDS!$A$5:$A$34,0)),DATE(YEAR($B301),MONTH($B301),MIN(INDEX(CARDS!$H$5:$H$34,MATCH($D301,CARDS!$A$5:$A$34,0)),DAY(EOMONTH($B301,0)))),DATE(YEAR($B301),MONTH($B301)+1,MIN(INDEX(CARDS!$H$5:$H$34,MATCH($D301,CARDS!$A$5:$A$34,0)),DAY(EOMONTH($B301,1)))))),""))</f>
        <v/>
      </c>
      <c r="AE301" s="52" t="str">
        <f>IF($C301="","",$C301&amp;"|"&amp;COUNTIF($C$5:$C301,$C301))</f>
        <v/>
      </c>
      <c r="AF301" s="53">
        <f>IF($AC301&gt;0,SUMIFS(Q$4:Q300,$D$4:$D300,$D301,$Z$4:$Z300,$Z301,$C$4:$C300,$C301),0)</f>
        <v>0</v>
      </c>
      <c r="AG301" s="53">
        <f>IF($AC301&gt;0,SUMIFS(Q$4:Q300,$D$4:$D300,$D301,$C$4:$C300,$C301),0)</f>
        <v>0</v>
      </c>
      <c r="AH301" s="53">
        <f>IF($AC301&gt;0,SUMIFS(M$4:M300,$D$4:$D300,$D301,$Z$4:$Z300,$Z301,$C$4:$C300,$C301),0)</f>
        <v>0</v>
      </c>
      <c r="AI301" s="43">
        <f>IF(OR($C301="",$I301=""),0,IF(COUNTIFS($C$5:$C301,$C301,$I$5:$I301,$I301)=1,1,0))</f>
        <v>0</v>
      </c>
      <c r="AJ301" s="43" t="str">
        <f>IF($AI301=1,SUMIFS($AI$4:$AI300,$C$4:$C300,$C301)+1,"")</f>
        <v/>
      </c>
      <c r="AK301" s="43">
        <f>IF(OR($C301="",$K301=""),0,IF(COUNTIFS($C$5:$C301,$C301,$K$5:$K301,$K301)=1,1,0))</f>
        <v>0</v>
      </c>
      <c r="AL301" s="43" t="str">
        <f>IF($AK301=1,SUMIFS($AK$4:$AK300,$C$4:$C300,$C301)+1,"")</f>
        <v/>
      </c>
      <c r="AM301" s="43">
        <f>IF(OR($C301="",$G301=""),0,IF(COUNTIFS($C$5:$C301,$C301,$G$5:$G301,$G301)=1,1,0))</f>
        <v>0</v>
      </c>
      <c r="AN301" s="43" t="str">
        <f>IF($AM301=1,SUMIFS($AM$4:$AM300,$C$4:$C300,$C301)+1,"")</f>
        <v/>
      </c>
    </row>
    <row r="302">
      <c r="A302" s="44" t="str">
        <f>IF(OR($B302="",$D302=""),"","TX"&amp;TEXT(ROW()-4,"0000"))</f>
        <v/>
      </c>
      <c r="B302" s="42" t="n"/>
      <c r="C302" s="47" t="str">
        <f>IF($B302="","",YEAR($B302)*100+MONTH($B302))</f>
        <v/>
      </c>
      <c r="D302" s="37" t="n"/>
      <c r="E302" s="45" t="str">
        <f>IF($D302="","",IFERROR(INDEX(CARDS!$B$5:$B$34,MATCH($D302,CARDS!$A$5:$A$34,0)),"⚠ Card ID?"))</f>
        <v/>
      </c>
      <c r="F302" s="45" t="str">
        <f>IF($D302="","",IFERROR(INDEX(CARDS!$C$5:$C$34,MATCH($D302,CARDS!$A$5:$A$34,0)),"⚠ Card ID?"))</f>
        <v/>
      </c>
      <c r="G302" s="37" t="n"/>
      <c r="H302" s="37" t="n"/>
      <c r="I302" s="41" t="n"/>
      <c r="J302" s="45" t="str">
        <f>IF($I302="","",IFERROR(INDEX(MCC_MASTER!$B$5:$B$504,MATCH($I302,MCC_MASTER!$A$5:$A$504,0)),"⚠ MCC chưa có"))</f>
        <v/>
      </c>
      <c r="K302" s="45" t="str">
        <f>IF($I302="","",IFERROR(IF(INDEX(MCC_MASTER!$C$5:$C$504,MATCH($I302,MCC_MASTER!$A$5:$A$504,0))="","Chưa phân loại",INDEX(MCC_MASTER!$C$5:$C$504,MATCH($I302,MCC_MASTER!$A$5:$A$504,0))),"Chưa phân loại"))</f>
        <v/>
      </c>
      <c r="L302" s="40" t="n"/>
      <c r="M302" s="48" t="str">
        <f>IF(OR($B302="",$D302=""),"",IF($AC302=0,0,IF(ISNUMBER(INDEX(CASHBACK_RULES!$L$5:$L$304,$AC302)),MAX(0,MIN($L302,INDEX(CASHBACK_RULES!$L$5:$L$304,$AC302)-$AH302)),MAX(0,$L302))))</f>
        <v/>
      </c>
      <c r="N302" s="49" t="str">
        <f>IF(OR($B302="",$D302=""),"",IF($AC302&gt;0,INDEX(CASHBACK_RULES!$I$5:$I$304,$AC302),0))</f>
        <v/>
      </c>
      <c r="O302" s="48" t="str">
        <f>IF(OR($B302="",$D302=""),"",ROUND($M302*$N302,0))</f>
        <v/>
      </c>
      <c r="P302" s="48" t="str">
        <f>IF($AC302&gt;0,IF(ISNUMBER(INDEX(CASHBACK_RULES!$J$5:$J$304,$AC302)),INDEX(CASHBACK_RULES!$J$5:$J$304,$AC302),"∞"),"")</f>
        <v/>
      </c>
      <c r="Q302" s="48" t="str">
        <f>IF(OR($B302="",$D302=""),"",IF($AC302=0,0,MAX(0,MIN($O302,IF(ISNUMBER($P302),$P302-$AF302,1E+15),IF(ISNUMBER($AA302),$AA302-$AG302,1E+15)))))</f>
        <v/>
      </c>
      <c r="R302" s="48" t="str">
        <f>IF(OR($B302="",$D302=""),"",IF($AC302=0,"",IF(AND(NOT(ISNUMBER($P302)),NOT(ISNUMBER($AA302))),"∞",MAX(0,MIN(IF(ISNUMBER($P302),$P302-$AF302-$Q302,1E+15),IF(ISNUMBER($AA302),$AA302-$AG302-$Q302,1E+15))))))</f>
        <v/>
      </c>
      <c r="S302" s="47" t="str">
        <f>IF($AD302="","",YEAR($AD302)*100+MONTH($AD302))</f>
        <v/>
      </c>
      <c r="T302" s="50" t="str">
        <f>IF($AD302="","",IFERROR(IF(INDEX(CARDS!$I$5:$I$34,MATCH($D302,CARDS!$A$5:$A$34,0))="","",IF(INDEX(CARDS!$I$5:$I$34,MATCH($D302,CARDS!$A$5:$A$34,0))&gt;INDEX(CARDS!$H$5:$H$34,MATCH($D302,CARDS!$A$5:$A$34,0)),DATE(YEAR($AD302),MONTH($AD302),MIN(INDEX(CARDS!$I$5:$I$34,MATCH($D302,CARDS!$A$5:$A$34,0)),DAY(EOMONTH($AD302,0)))),DATE(YEAR($AD302),MONTH($AD302)+1,MIN(INDEX(CARDS!$I$5:$I$34,MATCH($D302,CARDS!$A$5:$A$34,0)),DAY(EOMONTH($AD302,1)))))),""))</f>
        <v/>
      </c>
      <c r="U302" s="38" t="n"/>
      <c r="V302" s="37" t="n"/>
      <c r="W302" s="38" t="n"/>
      <c r="X302" s="38" t="n"/>
      <c r="Y302" s="44" t="str">
        <f>IF($AC302&gt;0,INDEX(CASHBACK_RULES!$A$5:$A$304,$AC302),"")</f>
        <v/>
      </c>
      <c r="Z302" s="45" t="str">
        <f>IF($AC302&gt;0,INDEX(CASHBACK_RULES!$E$5:$E$304,$AC302)&amp;"","")</f>
        <v/>
      </c>
      <c r="AA302" s="48" t="str">
        <f>IF($AC302&gt;0,IF(ISNUMBER(INDEX(CASHBACK_RULES!$K$5:$K$304,$AC302)),INDEX(CASHBACK_RULES!$K$5:$K$304,$AC302),"∞"),"")</f>
        <v/>
      </c>
      <c r="AB302" s="44" t="str">
        <f>IF(OR($B302="",$D302=""),"",IF($U302="Cancelled","Đã hủy",IF($AC302=0,"Không được hoàn",IF($Q302=0,IF(OR($O302&gt;0,$M302&lt;$L302),"Đã đạt cap","Không được hoàn"),IF(OR($Q302&lt;$O302,$M302&lt;$L302),"Hoàn một phần","Được hoàn")))))</f>
        <v/>
      </c>
      <c r="AC302" s="43">
        <f>IF(OR($B302="",$D302="",$I302="",$L302=""),0,IF($U302="Cancelled",0,IF($W302&lt;&gt;"",IFERROR(IF(INDEX(CASHBACK_RULES!$B$5:$B$304,MATCH($W302,CASHBACK_RULES!$A$5:$A$304,0))=$D302,MATCH($W302,CASHBACK_RULES!$A$5:$A$304,0),0),0),IFERROR(MATCH(1,INDEX((CASHBACK_RULES!$B$5:$B$304=$D302)*(CASHBACK_RULES!$G$5:$G$304=$I302)*(((CASHBACK_RULES!$N$5:$N$304="")+(CASHBACK_RULES!$N$5:$N$304&lt;=$B302))&gt;0)*(((CASHBACK_RULES!$O$5:$O$304="")+(CASHBACK_RULES!$O$5:$O$304&gt;=$B302))&gt;0)*(((CASHBACK_RULES!$M$5:$M$304="")+(CASHBACK_RULES!$M$5:$M$304&lt;=$L302))&gt;0),0),0),0))))</f>
        <v>0</v>
      </c>
      <c r="AD302" s="51" t="str">
        <f>IF(OR($B302="",$D302=""),"",IFERROR(IF(INDEX(CARDS!$H$5:$H$34,MATCH($D302,CARDS!$A$5:$A$34,0))="","",IF(DAY($B302)&lt;=INDEX(CARDS!$H$5:$H$34,MATCH($D302,CARDS!$A$5:$A$34,0)),DATE(YEAR($B302),MONTH($B302),MIN(INDEX(CARDS!$H$5:$H$34,MATCH($D302,CARDS!$A$5:$A$34,0)),DAY(EOMONTH($B302,0)))),DATE(YEAR($B302),MONTH($B302)+1,MIN(INDEX(CARDS!$H$5:$H$34,MATCH($D302,CARDS!$A$5:$A$34,0)),DAY(EOMONTH($B302,1)))))),""))</f>
        <v/>
      </c>
      <c r="AE302" s="52" t="str">
        <f>IF($C302="","",$C302&amp;"|"&amp;COUNTIF($C$5:$C302,$C302))</f>
        <v/>
      </c>
      <c r="AF302" s="53">
        <f>IF($AC302&gt;0,SUMIFS(Q$4:Q301,$D$4:$D301,$D302,$Z$4:$Z301,$Z302,$C$4:$C301,$C302),0)</f>
        <v>0</v>
      </c>
      <c r="AG302" s="53">
        <f>IF($AC302&gt;0,SUMIFS(Q$4:Q301,$D$4:$D301,$D302,$C$4:$C301,$C302),0)</f>
        <v>0</v>
      </c>
      <c r="AH302" s="53">
        <f>IF($AC302&gt;0,SUMIFS(M$4:M301,$D$4:$D301,$D302,$Z$4:$Z301,$Z302,$C$4:$C301,$C302),0)</f>
        <v>0</v>
      </c>
      <c r="AI302" s="43">
        <f>IF(OR($C302="",$I302=""),0,IF(COUNTIFS($C$5:$C302,$C302,$I$5:$I302,$I302)=1,1,0))</f>
        <v>0</v>
      </c>
      <c r="AJ302" s="43" t="str">
        <f>IF($AI302=1,SUMIFS($AI$4:$AI301,$C$4:$C301,$C302)+1,"")</f>
        <v/>
      </c>
      <c r="AK302" s="43">
        <f>IF(OR($C302="",$K302=""),0,IF(COUNTIFS($C$5:$C302,$C302,$K$5:$K302,$K302)=1,1,0))</f>
        <v>0</v>
      </c>
      <c r="AL302" s="43" t="str">
        <f>IF($AK302=1,SUMIFS($AK$4:$AK301,$C$4:$C301,$C302)+1,"")</f>
        <v/>
      </c>
      <c r="AM302" s="43">
        <f>IF(OR($C302="",$G302=""),0,IF(COUNTIFS($C$5:$C302,$C302,$G$5:$G302,$G302)=1,1,0))</f>
        <v>0</v>
      </c>
      <c r="AN302" s="43" t="str">
        <f>IF($AM302=1,SUMIFS($AM$4:$AM301,$C$4:$C301,$C302)+1,"")</f>
        <v/>
      </c>
    </row>
    <row r="303">
      <c r="A303" s="44" t="str">
        <f>IF(OR($B303="",$D303=""),"","TX"&amp;TEXT(ROW()-4,"0000"))</f>
        <v/>
      </c>
      <c r="B303" s="42" t="n"/>
      <c r="C303" s="47" t="str">
        <f>IF($B303="","",YEAR($B303)*100+MONTH($B303))</f>
        <v/>
      </c>
      <c r="D303" s="37" t="n"/>
      <c r="E303" s="45" t="str">
        <f>IF($D303="","",IFERROR(INDEX(CARDS!$B$5:$B$34,MATCH($D303,CARDS!$A$5:$A$34,0)),"⚠ Card ID?"))</f>
        <v/>
      </c>
      <c r="F303" s="45" t="str">
        <f>IF($D303="","",IFERROR(INDEX(CARDS!$C$5:$C$34,MATCH($D303,CARDS!$A$5:$A$34,0)),"⚠ Card ID?"))</f>
        <v/>
      </c>
      <c r="G303" s="37" t="n"/>
      <c r="H303" s="37" t="n"/>
      <c r="I303" s="41" t="n"/>
      <c r="J303" s="45" t="str">
        <f>IF($I303="","",IFERROR(INDEX(MCC_MASTER!$B$5:$B$504,MATCH($I303,MCC_MASTER!$A$5:$A$504,0)),"⚠ MCC chưa có"))</f>
        <v/>
      </c>
      <c r="K303" s="45" t="str">
        <f>IF($I303="","",IFERROR(IF(INDEX(MCC_MASTER!$C$5:$C$504,MATCH($I303,MCC_MASTER!$A$5:$A$504,0))="","Chưa phân loại",INDEX(MCC_MASTER!$C$5:$C$504,MATCH($I303,MCC_MASTER!$A$5:$A$504,0))),"Chưa phân loại"))</f>
        <v/>
      </c>
      <c r="L303" s="40" t="n"/>
      <c r="M303" s="48" t="str">
        <f>IF(OR($B303="",$D303=""),"",IF($AC303=0,0,IF(ISNUMBER(INDEX(CASHBACK_RULES!$L$5:$L$304,$AC303)),MAX(0,MIN($L303,INDEX(CASHBACK_RULES!$L$5:$L$304,$AC303)-$AH303)),MAX(0,$L303))))</f>
        <v/>
      </c>
      <c r="N303" s="49" t="str">
        <f>IF(OR($B303="",$D303=""),"",IF($AC303&gt;0,INDEX(CASHBACK_RULES!$I$5:$I$304,$AC303),0))</f>
        <v/>
      </c>
      <c r="O303" s="48" t="str">
        <f>IF(OR($B303="",$D303=""),"",ROUND($M303*$N303,0))</f>
        <v/>
      </c>
      <c r="P303" s="48" t="str">
        <f>IF($AC303&gt;0,IF(ISNUMBER(INDEX(CASHBACK_RULES!$J$5:$J$304,$AC303)),INDEX(CASHBACK_RULES!$J$5:$J$304,$AC303),"∞"),"")</f>
        <v/>
      </c>
      <c r="Q303" s="48" t="str">
        <f>IF(OR($B303="",$D303=""),"",IF($AC303=0,0,MAX(0,MIN($O303,IF(ISNUMBER($P303),$P303-$AF303,1E+15),IF(ISNUMBER($AA303),$AA303-$AG303,1E+15)))))</f>
        <v/>
      </c>
      <c r="R303" s="48" t="str">
        <f>IF(OR($B303="",$D303=""),"",IF($AC303=0,"",IF(AND(NOT(ISNUMBER($P303)),NOT(ISNUMBER($AA303))),"∞",MAX(0,MIN(IF(ISNUMBER($P303),$P303-$AF303-$Q303,1E+15),IF(ISNUMBER($AA303),$AA303-$AG303-$Q303,1E+15))))))</f>
        <v/>
      </c>
      <c r="S303" s="47" t="str">
        <f>IF($AD303="","",YEAR($AD303)*100+MONTH($AD303))</f>
        <v/>
      </c>
      <c r="T303" s="50" t="str">
        <f>IF($AD303="","",IFERROR(IF(INDEX(CARDS!$I$5:$I$34,MATCH($D303,CARDS!$A$5:$A$34,0))="","",IF(INDEX(CARDS!$I$5:$I$34,MATCH($D303,CARDS!$A$5:$A$34,0))&gt;INDEX(CARDS!$H$5:$H$34,MATCH($D303,CARDS!$A$5:$A$34,0)),DATE(YEAR($AD303),MONTH($AD303),MIN(INDEX(CARDS!$I$5:$I$34,MATCH($D303,CARDS!$A$5:$A$34,0)),DAY(EOMONTH($AD303,0)))),DATE(YEAR($AD303),MONTH($AD303)+1,MIN(INDEX(CARDS!$I$5:$I$34,MATCH($D303,CARDS!$A$5:$A$34,0)),DAY(EOMONTH($AD303,1)))))),""))</f>
        <v/>
      </c>
      <c r="U303" s="38" t="n"/>
      <c r="V303" s="37" t="n"/>
      <c r="W303" s="38" t="n"/>
      <c r="X303" s="38" t="n"/>
      <c r="Y303" s="44" t="str">
        <f>IF($AC303&gt;0,INDEX(CASHBACK_RULES!$A$5:$A$304,$AC303),"")</f>
        <v/>
      </c>
      <c r="Z303" s="45" t="str">
        <f>IF($AC303&gt;0,INDEX(CASHBACK_RULES!$E$5:$E$304,$AC303)&amp;"","")</f>
        <v/>
      </c>
      <c r="AA303" s="48" t="str">
        <f>IF($AC303&gt;0,IF(ISNUMBER(INDEX(CASHBACK_RULES!$K$5:$K$304,$AC303)),INDEX(CASHBACK_RULES!$K$5:$K$304,$AC303),"∞"),"")</f>
        <v/>
      </c>
      <c r="AB303" s="44" t="str">
        <f>IF(OR($B303="",$D303=""),"",IF($U303="Cancelled","Đã hủy",IF($AC303=0,"Không được hoàn",IF($Q303=0,IF(OR($O303&gt;0,$M303&lt;$L303),"Đã đạt cap","Không được hoàn"),IF(OR($Q303&lt;$O303,$M303&lt;$L303),"Hoàn một phần","Được hoàn")))))</f>
        <v/>
      </c>
      <c r="AC303" s="43">
        <f>IF(OR($B303="",$D303="",$I303="",$L303=""),0,IF($U303="Cancelled",0,IF($W303&lt;&gt;"",IFERROR(IF(INDEX(CASHBACK_RULES!$B$5:$B$304,MATCH($W303,CASHBACK_RULES!$A$5:$A$304,0))=$D303,MATCH($W303,CASHBACK_RULES!$A$5:$A$304,0),0),0),IFERROR(MATCH(1,INDEX((CASHBACK_RULES!$B$5:$B$304=$D303)*(CASHBACK_RULES!$G$5:$G$304=$I303)*(((CASHBACK_RULES!$N$5:$N$304="")+(CASHBACK_RULES!$N$5:$N$304&lt;=$B303))&gt;0)*(((CASHBACK_RULES!$O$5:$O$304="")+(CASHBACK_RULES!$O$5:$O$304&gt;=$B303))&gt;0)*(((CASHBACK_RULES!$M$5:$M$304="")+(CASHBACK_RULES!$M$5:$M$304&lt;=$L303))&gt;0),0),0),0))))</f>
        <v>0</v>
      </c>
      <c r="AD303" s="51" t="str">
        <f>IF(OR($B303="",$D303=""),"",IFERROR(IF(INDEX(CARDS!$H$5:$H$34,MATCH($D303,CARDS!$A$5:$A$34,0))="","",IF(DAY($B303)&lt;=INDEX(CARDS!$H$5:$H$34,MATCH($D303,CARDS!$A$5:$A$34,0)),DATE(YEAR($B303),MONTH($B303),MIN(INDEX(CARDS!$H$5:$H$34,MATCH($D303,CARDS!$A$5:$A$34,0)),DAY(EOMONTH($B303,0)))),DATE(YEAR($B303),MONTH($B303)+1,MIN(INDEX(CARDS!$H$5:$H$34,MATCH($D303,CARDS!$A$5:$A$34,0)),DAY(EOMONTH($B303,1)))))),""))</f>
        <v/>
      </c>
      <c r="AE303" s="52" t="str">
        <f>IF($C303="","",$C303&amp;"|"&amp;COUNTIF($C$5:$C303,$C303))</f>
        <v/>
      </c>
      <c r="AF303" s="53">
        <f>IF($AC303&gt;0,SUMIFS(Q$4:Q302,$D$4:$D302,$D303,$Z$4:$Z302,$Z303,$C$4:$C302,$C303),0)</f>
        <v>0</v>
      </c>
      <c r="AG303" s="53">
        <f>IF($AC303&gt;0,SUMIFS(Q$4:Q302,$D$4:$D302,$D303,$C$4:$C302,$C303),0)</f>
        <v>0</v>
      </c>
      <c r="AH303" s="53">
        <f>IF($AC303&gt;0,SUMIFS(M$4:M302,$D$4:$D302,$D303,$Z$4:$Z302,$Z303,$C$4:$C302,$C303),0)</f>
        <v>0</v>
      </c>
      <c r="AI303" s="43">
        <f>IF(OR($C303="",$I303=""),0,IF(COUNTIFS($C$5:$C303,$C303,$I$5:$I303,$I303)=1,1,0))</f>
        <v>0</v>
      </c>
      <c r="AJ303" s="43" t="str">
        <f>IF($AI303=1,SUMIFS($AI$4:$AI302,$C$4:$C302,$C303)+1,"")</f>
        <v/>
      </c>
      <c r="AK303" s="43">
        <f>IF(OR($C303="",$K303=""),0,IF(COUNTIFS($C$5:$C303,$C303,$K$5:$K303,$K303)=1,1,0))</f>
        <v>0</v>
      </c>
      <c r="AL303" s="43" t="str">
        <f>IF($AK303=1,SUMIFS($AK$4:$AK302,$C$4:$C302,$C303)+1,"")</f>
        <v/>
      </c>
      <c r="AM303" s="43">
        <f>IF(OR($C303="",$G303=""),0,IF(COUNTIFS($C$5:$C303,$C303,$G$5:$G303,$G303)=1,1,0))</f>
        <v>0</v>
      </c>
      <c r="AN303" s="43" t="str">
        <f>IF($AM303=1,SUMIFS($AM$4:$AM302,$C$4:$C302,$C303)+1,"")</f>
        <v/>
      </c>
    </row>
    <row r="304">
      <c r="A304" s="44" t="str">
        <f>IF(OR($B304="",$D304=""),"","TX"&amp;TEXT(ROW()-4,"0000"))</f>
        <v/>
      </c>
      <c r="B304" s="42" t="n"/>
      <c r="C304" s="47" t="str">
        <f>IF($B304="","",YEAR($B304)*100+MONTH($B304))</f>
        <v/>
      </c>
      <c r="D304" s="37" t="n"/>
      <c r="E304" s="45" t="str">
        <f>IF($D304="","",IFERROR(INDEX(CARDS!$B$5:$B$34,MATCH($D304,CARDS!$A$5:$A$34,0)),"⚠ Card ID?"))</f>
        <v/>
      </c>
      <c r="F304" s="45" t="str">
        <f>IF($D304="","",IFERROR(INDEX(CARDS!$C$5:$C$34,MATCH($D304,CARDS!$A$5:$A$34,0)),"⚠ Card ID?"))</f>
        <v/>
      </c>
      <c r="G304" s="37" t="n"/>
      <c r="H304" s="37" t="n"/>
      <c r="I304" s="41" t="n"/>
      <c r="J304" s="45" t="str">
        <f>IF($I304="","",IFERROR(INDEX(MCC_MASTER!$B$5:$B$504,MATCH($I304,MCC_MASTER!$A$5:$A$504,0)),"⚠ MCC chưa có"))</f>
        <v/>
      </c>
      <c r="K304" s="45" t="str">
        <f>IF($I304="","",IFERROR(IF(INDEX(MCC_MASTER!$C$5:$C$504,MATCH($I304,MCC_MASTER!$A$5:$A$504,0))="","Chưa phân loại",INDEX(MCC_MASTER!$C$5:$C$504,MATCH($I304,MCC_MASTER!$A$5:$A$504,0))),"Chưa phân loại"))</f>
        <v/>
      </c>
      <c r="L304" s="40" t="n"/>
      <c r="M304" s="48" t="str">
        <f>IF(OR($B304="",$D304=""),"",IF($AC304=0,0,IF(ISNUMBER(INDEX(CASHBACK_RULES!$L$5:$L$304,$AC304)),MAX(0,MIN($L304,INDEX(CASHBACK_RULES!$L$5:$L$304,$AC304)-$AH304)),MAX(0,$L304))))</f>
        <v/>
      </c>
      <c r="N304" s="49" t="str">
        <f>IF(OR($B304="",$D304=""),"",IF($AC304&gt;0,INDEX(CASHBACK_RULES!$I$5:$I$304,$AC304),0))</f>
        <v/>
      </c>
      <c r="O304" s="48" t="str">
        <f>IF(OR($B304="",$D304=""),"",ROUND($M304*$N304,0))</f>
        <v/>
      </c>
      <c r="P304" s="48" t="str">
        <f>IF($AC304&gt;0,IF(ISNUMBER(INDEX(CASHBACK_RULES!$J$5:$J$304,$AC304)),INDEX(CASHBACK_RULES!$J$5:$J$304,$AC304),"∞"),"")</f>
        <v/>
      </c>
      <c r="Q304" s="48" t="str">
        <f>IF(OR($B304="",$D304=""),"",IF($AC304=0,0,MAX(0,MIN($O304,IF(ISNUMBER($P304),$P304-$AF304,1E+15),IF(ISNUMBER($AA304),$AA304-$AG304,1E+15)))))</f>
        <v/>
      </c>
      <c r="R304" s="48" t="str">
        <f>IF(OR($B304="",$D304=""),"",IF($AC304=0,"",IF(AND(NOT(ISNUMBER($P304)),NOT(ISNUMBER($AA304))),"∞",MAX(0,MIN(IF(ISNUMBER($P304),$P304-$AF304-$Q304,1E+15),IF(ISNUMBER($AA304),$AA304-$AG304-$Q304,1E+15))))))</f>
        <v/>
      </c>
      <c r="S304" s="47" t="str">
        <f>IF($AD304="","",YEAR($AD304)*100+MONTH($AD304))</f>
        <v/>
      </c>
      <c r="T304" s="50" t="str">
        <f>IF($AD304="","",IFERROR(IF(INDEX(CARDS!$I$5:$I$34,MATCH($D304,CARDS!$A$5:$A$34,0))="","",IF(INDEX(CARDS!$I$5:$I$34,MATCH($D304,CARDS!$A$5:$A$34,0))&gt;INDEX(CARDS!$H$5:$H$34,MATCH($D304,CARDS!$A$5:$A$34,0)),DATE(YEAR($AD304),MONTH($AD304),MIN(INDEX(CARDS!$I$5:$I$34,MATCH($D304,CARDS!$A$5:$A$34,0)),DAY(EOMONTH($AD304,0)))),DATE(YEAR($AD304),MONTH($AD304)+1,MIN(INDEX(CARDS!$I$5:$I$34,MATCH($D304,CARDS!$A$5:$A$34,0)),DAY(EOMONTH($AD304,1)))))),""))</f>
        <v/>
      </c>
      <c r="U304" s="38" t="n"/>
      <c r="V304" s="37" t="n"/>
      <c r="W304" s="38" t="n"/>
      <c r="X304" s="38" t="n"/>
      <c r="Y304" s="44" t="str">
        <f>IF($AC304&gt;0,INDEX(CASHBACK_RULES!$A$5:$A$304,$AC304),"")</f>
        <v/>
      </c>
      <c r="Z304" s="45" t="str">
        <f>IF($AC304&gt;0,INDEX(CASHBACK_RULES!$E$5:$E$304,$AC304)&amp;"","")</f>
        <v/>
      </c>
      <c r="AA304" s="48" t="str">
        <f>IF($AC304&gt;0,IF(ISNUMBER(INDEX(CASHBACK_RULES!$K$5:$K$304,$AC304)),INDEX(CASHBACK_RULES!$K$5:$K$304,$AC304),"∞"),"")</f>
        <v/>
      </c>
      <c r="AB304" s="44" t="str">
        <f>IF(OR($B304="",$D304=""),"",IF($U304="Cancelled","Đã hủy",IF($AC304=0,"Không được hoàn",IF($Q304=0,IF(OR($O304&gt;0,$M304&lt;$L304),"Đã đạt cap","Không được hoàn"),IF(OR($Q304&lt;$O304,$M304&lt;$L304),"Hoàn một phần","Được hoàn")))))</f>
        <v/>
      </c>
      <c r="AC304" s="43">
        <f>IF(OR($B304="",$D304="",$I304="",$L304=""),0,IF($U304="Cancelled",0,IF($W304&lt;&gt;"",IFERROR(IF(INDEX(CASHBACK_RULES!$B$5:$B$304,MATCH($W304,CASHBACK_RULES!$A$5:$A$304,0))=$D304,MATCH($W304,CASHBACK_RULES!$A$5:$A$304,0),0),0),IFERROR(MATCH(1,INDEX((CASHBACK_RULES!$B$5:$B$304=$D304)*(CASHBACK_RULES!$G$5:$G$304=$I304)*(((CASHBACK_RULES!$N$5:$N$304="")+(CASHBACK_RULES!$N$5:$N$304&lt;=$B304))&gt;0)*(((CASHBACK_RULES!$O$5:$O$304="")+(CASHBACK_RULES!$O$5:$O$304&gt;=$B304))&gt;0)*(((CASHBACK_RULES!$M$5:$M$304="")+(CASHBACK_RULES!$M$5:$M$304&lt;=$L304))&gt;0),0),0),0))))</f>
        <v>0</v>
      </c>
      <c r="AD304" s="51" t="str">
        <f>IF(OR($B304="",$D304=""),"",IFERROR(IF(INDEX(CARDS!$H$5:$H$34,MATCH($D304,CARDS!$A$5:$A$34,0))="","",IF(DAY($B304)&lt;=INDEX(CARDS!$H$5:$H$34,MATCH($D304,CARDS!$A$5:$A$34,0)),DATE(YEAR($B304),MONTH($B304),MIN(INDEX(CARDS!$H$5:$H$34,MATCH($D304,CARDS!$A$5:$A$34,0)),DAY(EOMONTH($B304,0)))),DATE(YEAR($B304),MONTH($B304)+1,MIN(INDEX(CARDS!$H$5:$H$34,MATCH($D304,CARDS!$A$5:$A$34,0)),DAY(EOMONTH($B304,1)))))),""))</f>
        <v/>
      </c>
      <c r="AE304" s="52" t="str">
        <f>IF($C304="","",$C304&amp;"|"&amp;COUNTIF($C$5:$C304,$C304))</f>
        <v/>
      </c>
      <c r="AF304" s="53">
        <f>IF($AC304&gt;0,SUMIFS(Q$4:Q303,$D$4:$D303,$D304,$Z$4:$Z303,$Z304,$C$4:$C303,$C304),0)</f>
        <v>0</v>
      </c>
      <c r="AG304" s="53">
        <f>IF($AC304&gt;0,SUMIFS(Q$4:Q303,$D$4:$D303,$D304,$C$4:$C303,$C304),0)</f>
        <v>0</v>
      </c>
      <c r="AH304" s="53">
        <f>IF($AC304&gt;0,SUMIFS(M$4:M303,$D$4:$D303,$D304,$Z$4:$Z303,$Z304,$C$4:$C303,$C304),0)</f>
        <v>0</v>
      </c>
      <c r="AI304" s="43">
        <f>IF(OR($C304="",$I304=""),0,IF(COUNTIFS($C$5:$C304,$C304,$I$5:$I304,$I304)=1,1,0))</f>
        <v>0</v>
      </c>
      <c r="AJ304" s="43" t="str">
        <f>IF($AI304=1,SUMIFS($AI$4:$AI303,$C$4:$C303,$C304)+1,"")</f>
        <v/>
      </c>
      <c r="AK304" s="43">
        <f>IF(OR($C304="",$K304=""),0,IF(COUNTIFS($C$5:$C304,$C304,$K$5:$K304,$K304)=1,1,0))</f>
        <v>0</v>
      </c>
      <c r="AL304" s="43" t="str">
        <f>IF($AK304=1,SUMIFS($AK$4:$AK303,$C$4:$C303,$C304)+1,"")</f>
        <v/>
      </c>
      <c r="AM304" s="43">
        <f>IF(OR($C304="",$G304=""),0,IF(COUNTIFS($C$5:$C304,$C304,$G$5:$G304,$G304)=1,1,0))</f>
        <v>0</v>
      </c>
      <c r="AN304" s="43" t="str">
        <f>IF($AM304=1,SUMIFS($AM$4:$AM303,$C$4:$C303,$C304)+1,"")</f>
        <v/>
      </c>
    </row>
    <row r="305">
      <c r="A305" s="44" t="str">
        <f>IF(OR($B305="",$D305=""),"","TX"&amp;TEXT(ROW()-4,"0000"))</f>
        <v/>
      </c>
      <c r="B305" s="42" t="n"/>
      <c r="C305" s="47" t="str">
        <f>IF($B305="","",YEAR($B305)*100+MONTH($B305))</f>
        <v/>
      </c>
      <c r="D305" s="37" t="n"/>
      <c r="E305" s="45" t="str">
        <f>IF($D305="","",IFERROR(INDEX(CARDS!$B$5:$B$34,MATCH($D305,CARDS!$A$5:$A$34,0)),"⚠ Card ID?"))</f>
        <v/>
      </c>
      <c r="F305" s="45" t="str">
        <f>IF($D305="","",IFERROR(INDEX(CARDS!$C$5:$C$34,MATCH($D305,CARDS!$A$5:$A$34,0)),"⚠ Card ID?"))</f>
        <v/>
      </c>
      <c r="G305" s="37" t="n"/>
      <c r="H305" s="37" t="n"/>
      <c r="I305" s="41" t="n"/>
      <c r="J305" s="45" t="str">
        <f>IF($I305="","",IFERROR(INDEX(MCC_MASTER!$B$5:$B$504,MATCH($I305,MCC_MASTER!$A$5:$A$504,0)),"⚠ MCC chưa có"))</f>
        <v/>
      </c>
      <c r="K305" s="45" t="str">
        <f>IF($I305="","",IFERROR(IF(INDEX(MCC_MASTER!$C$5:$C$504,MATCH($I305,MCC_MASTER!$A$5:$A$504,0))="","Chưa phân loại",INDEX(MCC_MASTER!$C$5:$C$504,MATCH($I305,MCC_MASTER!$A$5:$A$504,0))),"Chưa phân loại"))</f>
        <v/>
      </c>
      <c r="L305" s="40" t="n"/>
      <c r="M305" s="48" t="str">
        <f>IF(OR($B305="",$D305=""),"",IF($AC305=0,0,IF(ISNUMBER(INDEX(CASHBACK_RULES!$L$5:$L$304,$AC305)),MAX(0,MIN($L305,INDEX(CASHBACK_RULES!$L$5:$L$304,$AC305)-$AH305)),MAX(0,$L305))))</f>
        <v/>
      </c>
      <c r="N305" s="49" t="str">
        <f>IF(OR($B305="",$D305=""),"",IF($AC305&gt;0,INDEX(CASHBACK_RULES!$I$5:$I$304,$AC305),0))</f>
        <v/>
      </c>
      <c r="O305" s="48" t="str">
        <f>IF(OR($B305="",$D305=""),"",ROUND($M305*$N305,0))</f>
        <v/>
      </c>
      <c r="P305" s="48" t="str">
        <f>IF($AC305&gt;0,IF(ISNUMBER(INDEX(CASHBACK_RULES!$J$5:$J$304,$AC305)),INDEX(CASHBACK_RULES!$J$5:$J$304,$AC305),"∞"),"")</f>
        <v/>
      </c>
      <c r="Q305" s="48" t="str">
        <f>IF(OR($B305="",$D305=""),"",IF($AC305=0,0,MAX(0,MIN($O305,IF(ISNUMBER($P305),$P305-$AF305,1E+15),IF(ISNUMBER($AA305),$AA305-$AG305,1E+15)))))</f>
        <v/>
      </c>
      <c r="R305" s="48" t="str">
        <f>IF(OR($B305="",$D305=""),"",IF($AC305=0,"",IF(AND(NOT(ISNUMBER($P305)),NOT(ISNUMBER($AA305))),"∞",MAX(0,MIN(IF(ISNUMBER($P305),$P305-$AF305-$Q305,1E+15),IF(ISNUMBER($AA305),$AA305-$AG305-$Q305,1E+15))))))</f>
        <v/>
      </c>
      <c r="S305" s="47" t="str">
        <f>IF($AD305="","",YEAR($AD305)*100+MONTH($AD305))</f>
        <v/>
      </c>
      <c r="T305" s="50" t="str">
        <f>IF($AD305="","",IFERROR(IF(INDEX(CARDS!$I$5:$I$34,MATCH($D305,CARDS!$A$5:$A$34,0))="","",IF(INDEX(CARDS!$I$5:$I$34,MATCH($D305,CARDS!$A$5:$A$34,0))&gt;INDEX(CARDS!$H$5:$H$34,MATCH($D305,CARDS!$A$5:$A$34,0)),DATE(YEAR($AD305),MONTH($AD305),MIN(INDEX(CARDS!$I$5:$I$34,MATCH($D305,CARDS!$A$5:$A$34,0)),DAY(EOMONTH($AD305,0)))),DATE(YEAR($AD305),MONTH($AD305)+1,MIN(INDEX(CARDS!$I$5:$I$34,MATCH($D305,CARDS!$A$5:$A$34,0)),DAY(EOMONTH($AD305,1)))))),""))</f>
        <v/>
      </c>
      <c r="U305" s="38" t="n"/>
      <c r="V305" s="37" t="n"/>
      <c r="W305" s="38" t="n"/>
      <c r="X305" s="38" t="n"/>
      <c r="Y305" s="44" t="str">
        <f>IF($AC305&gt;0,INDEX(CASHBACK_RULES!$A$5:$A$304,$AC305),"")</f>
        <v/>
      </c>
      <c r="Z305" s="45" t="str">
        <f>IF($AC305&gt;0,INDEX(CASHBACK_RULES!$E$5:$E$304,$AC305)&amp;"","")</f>
        <v/>
      </c>
      <c r="AA305" s="48" t="str">
        <f>IF($AC305&gt;0,IF(ISNUMBER(INDEX(CASHBACK_RULES!$K$5:$K$304,$AC305)),INDEX(CASHBACK_RULES!$K$5:$K$304,$AC305),"∞"),"")</f>
        <v/>
      </c>
      <c r="AB305" s="44" t="str">
        <f>IF(OR($B305="",$D305=""),"",IF($U305="Cancelled","Đã hủy",IF($AC305=0,"Không được hoàn",IF($Q305=0,IF(OR($O305&gt;0,$M305&lt;$L305),"Đã đạt cap","Không được hoàn"),IF(OR($Q305&lt;$O305,$M305&lt;$L305),"Hoàn một phần","Được hoàn")))))</f>
        <v/>
      </c>
      <c r="AC305" s="43">
        <f>IF(OR($B305="",$D305="",$I305="",$L305=""),0,IF($U305="Cancelled",0,IF($W305&lt;&gt;"",IFERROR(IF(INDEX(CASHBACK_RULES!$B$5:$B$304,MATCH($W305,CASHBACK_RULES!$A$5:$A$304,0))=$D305,MATCH($W305,CASHBACK_RULES!$A$5:$A$304,0),0),0),IFERROR(MATCH(1,INDEX((CASHBACK_RULES!$B$5:$B$304=$D305)*(CASHBACK_RULES!$G$5:$G$304=$I305)*(((CASHBACK_RULES!$N$5:$N$304="")+(CASHBACK_RULES!$N$5:$N$304&lt;=$B305))&gt;0)*(((CASHBACK_RULES!$O$5:$O$304="")+(CASHBACK_RULES!$O$5:$O$304&gt;=$B305))&gt;0)*(((CASHBACK_RULES!$M$5:$M$304="")+(CASHBACK_RULES!$M$5:$M$304&lt;=$L305))&gt;0),0),0),0))))</f>
        <v>0</v>
      </c>
      <c r="AD305" s="51" t="str">
        <f>IF(OR($B305="",$D305=""),"",IFERROR(IF(INDEX(CARDS!$H$5:$H$34,MATCH($D305,CARDS!$A$5:$A$34,0))="","",IF(DAY($B305)&lt;=INDEX(CARDS!$H$5:$H$34,MATCH($D305,CARDS!$A$5:$A$34,0)),DATE(YEAR($B305),MONTH($B305),MIN(INDEX(CARDS!$H$5:$H$34,MATCH($D305,CARDS!$A$5:$A$34,0)),DAY(EOMONTH($B305,0)))),DATE(YEAR($B305),MONTH($B305)+1,MIN(INDEX(CARDS!$H$5:$H$34,MATCH($D305,CARDS!$A$5:$A$34,0)),DAY(EOMONTH($B305,1)))))),""))</f>
        <v/>
      </c>
      <c r="AE305" s="52" t="str">
        <f>IF($C305="","",$C305&amp;"|"&amp;COUNTIF($C$5:$C305,$C305))</f>
        <v/>
      </c>
      <c r="AF305" s="53">
        <f>IF($AC305&gt;0,SUMIFS(Q$4:Q304,$D$4:$D304,$D305,$Z$4:$Z304,$Z305,$C$4:$C304,$C305),0)</f>
        <v>0</v>
      </c>
      <c r="AG305" s="53">
        <f>IF($AC305&gt;0,SUMIFS(Q$4:Q304,$D$4:$D304,$D305,$C$4:$C304,$C305),0)</f>
        <v>0</v>
      </c>
      <c r="AH305" s="53">
        <f>IF($AC305&gt;0,SUMIFS(M$4:M304,$D$4:$D304,$D305,$Z$4:$Z304,$Z305,$C$4:$C304,$C305),0)</f>
        <v>0</v>
      </c>
      <c r="AI305" s="43">
        <f>IF(OR($C305="",$I305=""),0,IF(COUNTIFS($C$5:$C305,$C305,$I$5:$I305,$I305)=1,1,0))</f>
        <v>0</v>
      </c>
      <c r="AJ305" s="43" t="str">
        <f>IF($AI305=1,SUMIFS($AI$4:$AI304,$C$4:$C304,$C305)+1,"")</f>
        <v/>
      </c>
      <c r="AK305" s="43">
        <f>IF(OR($C305="",$K305=""),0,IF(COUNTIFS($C$5:$C305,$C305,$K$5:$K305,$K305)=1,1,0))</f>
        <v>0</v>
      </c>
      <c r="AL305" s="43" t="str">
        <f>IF($AK305=1,SUMIFS($AK$4:$AK304,$C$4:$C304,$C305)+1,"")</f>
        <v/>
      </c>
      <c r="AM305" s="43">
        <f>IF(OR($C305="",$G305=""),0,IF(COUNTIFS($C$5:$C305,$C305,$G$5:$G305,$G305)=1,1,0))</f>
        <v>0</v>
      </c>
      <c r="AN305" s="43" t="str">
        <f>IF($AM305=1,SUMIFS($AM$4:$AM304,$C$4:$C304,$C305)+1,"")</f>
        <v/>
      </c>
    </row>
    <row r="306">
      <c r="A306" s="44" t="str">
        <f>IF(OR($B306="",$D306=""),"","TX"&amp;TEXT(ROW()-4,"0000"))</f>
        <v/>
      </c>
      <c r="B306" s="42" t="n"/>
      <c r="C306" s="47" t="str">
        <f>IF($B306="","",YEAR($B306)*100+MONTH($B306))</f>
        <v/>
      </c>
      <c r="D306" s="37" t="n"/>
      <c r="E306" s="45" t="str">
        <f>IF($D306="","",IFERROR(INDEX(CARDS!$B$5:$B$34,MATCH($D306,CARDS!$A$5:$A$34,0)),"⚠ Card ID?"))</f>
        <v/>
      </c>
      <c r="F306" s="45" t="str">
        <f>IF($D306="","",IFERROR(INDEX(CARDS!$C$5:$C$34,MATCH($D306,CARDS!$A$5:$A$34,0)),"⚠ Card ID?"))</f>
        <v/>
      </c>
      <c r="G306" s="37" t="n"/>
      <c r="H306" s="37" t="n"/>
      <c r="I306" s="41" t="n"/>
      <c r="J306" s="45" t="str">
        <f>IF($I306="","",IFERROR(INDEX(MCC_MASTER!$B$5:$B$504,MATCH($I306,MCC_MASTER!$A$5:$A$504,0)),"⚠ MCC chưa có"))</f>
        <v/>
      </c>
      <c r="K306" s="45" t="str">
        <f>IF($I306="","",IFERROR(IF(INDEX(MCC_MASTER!$C$5:$C$504,MATCH($I306,MCC_MASTER!$A$5:$A$504,0))="","Chưa phân loại",INDEX(MCC_MASTER!$C$5:$C$504,MATCH($I306,MCC_MASTER!$A$5:$A$504,0))),"Chưa phân loại"))</f>
        <v/>
      </c>
      <c r="L306" s="40" t="n"/>
      <c r="M306" s="48" t="str">
        <f>IF(OR($B306="",$D306=""),"",IF($AC306=0,0,IF(ISNUMBER(INDEX(CASHBACK_RULES!$L$5:$L$304,$AC306)),MAX(0,MIN($L306,INDEX(CASHBACK_RULES!$L$5:$L$304,$AC306)-$AH306)),MAX(0,$L306))))</f>
        <v/>
      </c>
      <c r="N306" s="49" t="str">
        <f>IF(OR($B306="",$D306=""),"",IF($AC306&gt;0,INDEX(CASHBACK_RULES!$I$5:$I$304,$AC306),0))</f>
        <v/>
      </c>
      <c r="O306" s="48" t="str">
        <f>IF(OR($B306="",$D306=""),"",ROUND($M306*$N306,0))</f>
        <v/>
      </c>
      <c r="P306" s="48" t="str">
        <f>IF($AC306&gt;0,IF(ISNUMBER(INDEX(CASHBACK_RULES!$J$5:$J$304,$AC306)),INDEX(CASHBACK_RULES!$J$5:$J$304,$AC306),"∞"),"")</f>
        <v/>
      </c>
      <c r="Q306" s="48" t="str">
        <f>IF(OR($B306="",$D306=""),"",IF($AC306=0,0,MAX(0,MIN($O306,IF(ISNUMBER($P306),$P306-$AF306,1E+15),IF(ISNUMBER($AA306),$AA306-$AG306,1E+15)))))</f>
        <v/>
      </c>
      <c r="R306" s="48" t="str">
        <f>IF(OR($B306="",$D306=""),"",IF($AC306=0,"",IF(AND(NOT(ISNUMBER($P306)),NOT(ISNUMBER($AA306))),"∞",MAX(0,MIN(IF(ISNUMBER($P306),$P306-$AF306-$Q306,1E+15),IF(ISNUMBER($AA306),$AA306-$AG306-$Q306,1E+15))))))</f>
        <v/>
      </c>
      <c r="S306" s="47" t="str">
        <f>IF($AD306="","",YEAR($AD306)*100+MONTH($AD306))</f>
        <v/>
      </c>
      <c r="T306" s="50" t="str">
        <f>IF($AD306="","",IFERROR(IF(INDEX(CARDS!$I$5:$I$34,MATCH($D306,CARDS!$A$5:$A$34,0))="","",IF(INDEX(CARDS!$I$5:$I$34,MATCH($D306,CARDS!$A$5:$A$34,0))&gt;INDEX(CARDS!$H$5:$H$34,MATCH($D306,CARDS!$A$5:$A$34,0)),DATE(YEAR($AD306),MONTH($AD306),MIN(INDEX(CARDS!$I$5:$I$34,MATCH($D306,CARDS!$A$5:$A$34,0)),DAY(EOMONTH($AD306,0)))),DATE(YEAR($AD306),MONTH($AD306)+1,MIN(INDEX(CARDS!$I$5:$I$34,MATCH($D306,CARDS!$A$5:$A$34,0)),DAY(EOMONTH($AD306,1)))))),""))</f>
        <v/>
      </c>
      <c r="U306" s="38" t="n"/>
      <c r="V306" s="37" t="n"/>
      <c r="W306" s="38" t="n"/>
      <c r="X306" s="38" t="n"/>
      <c r="Y306" s="44" t="str">
        <f>IF($AC306&gt;0,INDEX(CASHBACK_RULES!$A$5:$A$304,$AC306),"")</f>
        <v/>
      </c>
      <c r="Z306" s="45" t="str">
        <f>IF($AC306&gt;0,INDEX(CASHBACK_RULES!$E$5:$E$304,$AC306)&amp;"","")</f>
        <v/>
      </c>
      <c r="AA306" s="48" t="str">
        <f>IF($AC306&gt;0,IF(ISNUMBER(INDEX(CASHBACK_RULES!$K$5:$K$304,$AC306)),INDEX(CASHBACK_RULES!$K$5:$K$304,$AC306),"∞"),"")</f>
        <v/>
      </c>
      <c r="AB306" s="44" t="str">
        <f>IF(OR($B306="",$D306=""),"",IF($U306="Cancelled","Đã hủy",IF($AC306=0,"Không được hoàn",IF($Q306=0,IF(OR($O306&gt;0,$M306&lt;$L306),"Đã đạt cap","Không được hoàn"),IF(OR($Q306&lt;$O306,$M306&lt;$L306),"Hoàn một phần","Được hoàn")))))</f>
        <v/>
      </c>
      <c r="AC306" s="43">
        <f>IF(OR($B306="",$D306="",$I306="",$L306=""),0,IF($U306="Cancelled",0,IF($W306&lt;&gt;"",IFERROR(IF(INDEX(CASHBACK_RULES!$B$5:$B$304,MATCH($W306,CASHBACK_RULES!$A$5:$A$304,0))=$D306,MATCH($W306,CASHBACK_RULES!$A$5:$A$304,0),0),0),IFERROR(MATCH(1,INDEX((CASHBACK_RULES!$B$5:$B$304=$D306)*(CASHBACK_RULES!$G$5:$G$304=$I306)*(((CASHBACK_RULES!$N$5:$N$304="")+(CASHBACK_RULES!$N$5:$N$304&lt;=$B306))&gt;0)*(((CASHBACK_RULES!$O$5:$O$304="")+(CASHBACK_RULES!$O$5:$O$304&gt;=$B306))&gt;0)*(((CASHBACK_RULES!$M$5:$M$304="")+(CASHBACK_RULES!$M$5:$M$304&lt;=$L306))&gt;0),0),0),0))))</f>
        <v>0</v>
      </c>
      <c r="AD306" s="51" t="str">
        <f>IF(OR($B306="",$D306=""),"",IFERROR(IF(INDEX(CARDS!$H$5:$H$34,MATCH($D306,CARDS!$A$5:$A$34,0))="","",IF(DAY($B306)&lt;=INDEX(CARDS!$H$5:$H$34,MATCH($D306,CARDS!$A$5:$A$34,0)),DATE(YEAR($B306),MONTH($B306),MIN(INDEX(CARDS!$H$5:$H$34,MATCH($D306,CARDS!$A$5:$A$34,0)),DAY(EOMONTH($B306,0)))),DATE(YEAR($B306),MONTH($B306)+1,MIN(INDEX(CARDS!$H$5:$H$34,MATCH($D306,CARDS!$A$5:$A$34,0)),DAY(EOMONTH($B306,1)))))),""))</f>
        <v/>
      </c>
      <c r="AE306" s="52" t="str">
        <f>IF($C306="","",$C306&amp;"|"&amp;COUNTIF($C$5:$C306,$C306))</f>
        <v/>
      </c>
      <c r="AF306" s="53">
        <f>IF($AC306&gt;0,SUMIFS(Q$4:Q305,$D$4:$D305,$D306,$Z$4:$Z305,$Z306,$C$4:$C305,$C306),0)</f>
        <v>0</v>
      </c>
      <c r="AG306" s="53">
        <f>IF($AC306&gt;0,SUMIFS(Q$4:Q305,$D$4:$D305,$D306,$C$4:$C305,$C306),0)</f>
        <v>0</v>
      </c>
      <c r="AH306" s="53">
        <f>IF($AC306&gt;0,SUMIFS(M$4:M305,$D$4:$D305,$D306,$Z$4:$Z305,$Z306,$C$4:$C305,$C306),0)</f>
        <v>0</v>
      </c>
      <c r="AI306" s="43">
        <f>IF(OR($C306="",$I306=""),0,IF(COUNTIFS($C$5:$C306,$C306,$I$5:$I306,$I306)=1,1,0))</f>
        <v>0</v>
      </c>
      <c r="AJ306" s="43" t="str">
        <f>IF($AI306=1,SUMIFS($AI$4:$AI305,$C$4:$C305,$C306)+1,"")</f>
        <v/>
      </c>
      <c r="AK306" s="43">
        <f>IF(OR($C306="",$K306=""),0,IF(COUNTIFS($C$5:$C306,$C306,$K$5:$K306,$K306)=1,1,0))</f>
        <v>0</v>
      </c>
      <c r="AL306" s="43" t="str">
        <f>IF($AK306=1,SUMIFS($AK$4:$AK305,$C$4:$C305,$C306)+1,"")</f>
        <v/>
      </c>
      <c r="AM306" s="43">
        <f>IF(OR($C306="",$G306=""),0,IF(COUNTIFS($C$5:$C306,$C306,$G$5:$G306,$G306)=1,1,0))</f>
        <v>0</v>
      </c>
      <c r="AN306" s="43" t="str">
        <f>IF($AM306=1,SUMIFS($AM$4:$AM305,$C$4:$C305,$C306)+1,"")</f>
        <v/>
      </c>
    </row>
    <row r="307">
      <c r="A307" s="44" t="str">
        <f>IF(OR($B307="",$D307=""),"","TX"&amp;TEXT(ROW()-4,"0000"))</f>
        <v/>
      </c>
      <c r="B307" s="42" t="n"/>
      <c r="C307" s="47" t="str">
        <f>IF($B307="","",YEAR($B307)*100+MONTH($B307))</f>
        <v/>
      </c>
      <c r="D307" s="37" t="n"/>
      <c r="E307" s="45" t="str">
        <f>IF($D307="","",IFERROR(INDEX(CARDS!$B$5:$B$34,MATCH($D307,CARDS!$A$5:$A$34,0)),"⚠ Card ID?"))</f>
        <v/>
      </c>
      <c r="F307" s="45" t="str">
        <f>IF($D307="","",IFERROR(INDEX(CARDS!$C$5:$C$34,MATCH($D307,CARDS!$A$5:$A$34,0)),"⚠ Card ID?"))</f>
        <v/>
      </c>
      <c r="G307" s="37" t="n"/>
      <c r="H307" s="37" t="n"/>
      <c r="I307" s="41" t="n"/>
      <c r="J307" s="45" t="str">
        <f>IF($I307="","",IFERROR(INDEX(MCC_MASTER!$B$5:$B$504,MATCH($I307,MCC_MASTER!$A$5:$A$504,0)),"⚠ MCC chưa có"))</f>
        <v/>
      </c>
      <c r="K307" s="45" t="str">
        <f>IF($I307="","",IFERROR(IF(INDEX(MCC_MASTER!$C$5:$C$504,MATCH($I307,MCC_MASTER!$A$5:$A$504,0))="","Chưa phân loại",INDEX(MCC_MASTER!$C$5:$C$504,MATCH($I307,MCC_MASTER!$A$5:$A$504,0))),"Chưa phân loại"))</f>
        <v/>
      </c>
      <c r="L307" s="40" t="n"/>
      <c r="M307" s="48" t="str">
        <f>IF(OR($B307="",$D307=""),"",IF($AC307=0,0,IF(ISNUMBER(INDEX(CASHBACK_RULES!$L$5:$L$304,$AC307)),MAX(0,MIN($L307,INDEX(CASHBACK_RULES!$L$5:$L$304,$AC307)-$AH307)),MAX(0,$L307))))</f>
        <v/>
      </c>
      <c r="N307" s="49" t="str">
        <f>IF(OR($B307="",$D307=""),"",IF($AC307&gt;0,INDEX(CASHBACK_RULES!$I$5:$I$304,$AC307),0))</f>
        <v/>
      </c>
      <c r="O307" s="48" t="str">
        <f>IF(OR($B307="",$D307=""),"",ROUND($M307*$N307,0))</f>
        <v/>
      </c>
      <c r="P307" s="48" t="str">
        <f>IF($AC307&gt;0,IF(ISNUMBER(INDEX(CASHBACK_RULES!$J$5:$J$304,$AC307)),INDEX(CASHBACK_RULES!$J$5:$J$304,$AC307),"∞"),"")</f>
        <v/>
      </c>
      <c r="Q307" s="48" t="str">
        <f>IF(OR($B307="",$D307=""),"",IF($AC307=0,0,MAX(0,MIN($O307,IF(ISNUMBER($P307),$P307-$AF307,1E+15),IF(ISNUMBER($AA307),$AA307-$AG307,1E+15)))))</f>
        <v/>
      </c>
      <c r="R307" s="48" t="str">
        <f>IF(OR($B307="",$D307=""),"",IF($AC307=0,"",IF(AND(NOT(ISNUMBER($P307)),NOT(ISNUMBER($AA307))),"∞",MAX(0,MIN(IF(ISNUMBER($P307),$P307-$AF307-$Q307,1E+15),IF(ISNUMBER($AA307),$AA307-$AG307-$Q307,1E+15))))))</f>
        <v/>
      </c>
      <c r="S307" s="47" t="str">
        <f>IF($AD307="","",YEAR($AD307)*100+MONTH($AD307))</f>
        <v/>
      </c>
      <c r="T307" s="50" t="str">
        <f>IF($AD307="","",IFERROR(IF(INDEX(CARDS!$I$5:$I$34,MATCH($D307,CARDS!$A$5:$A$34,0))="","",IF(INDEX(CARDS!$I$5:$I$34,MATCH($D307,CARDS!$A$5:$A$34,0))&gt;INDEX(CARDS!$H$5:$H$34,MATCH($D307,CARDS!$A$5:$A$34,0)),DATE(YEAR($AD307),MONTH($AD307),MIN(INDEX(CARDS!$I$5:$I$34,MATCH($D307,CARDS!$A$5:$A$34,0)),DAY(EOMONTH($AD307,0)))),DATE(YEAR($AD307),MONTH($AD307)+1,MIN(INDEX(CARDS!$I$5:$I$34,MATCH($D307,CARDS!$A$5:$A$34,0)),DAY(EOMONTH($AD307,1)))))),""))</f>
        <v/>
      </c>
      <c r="U307" s="38" t="n"/>
      <c r="V307" s="37" t="n"/>
      <c r="W307" s="38" t="n"/>
      <c r="X307" s="38" t="n"/>
      <c r="Y307" s="44" t="str">
        <f>IF($AC307&gt;0,INDEX(CASHBACK_RULES!$A$5:$A$304,$AC307),"")</f>
        <v/>
      </c>
      <c r="Z307" s="45" t="str">
        <f>IF($AC307&gt;0,INDEX(CASHBACK_RULES!$E$5:$E$304,$AC307)&amp;"","")</f>
        <v/>
      </c>
      <c r="AA307" s="48" t="str">
        <f>IF($AC307&gt;0,IF(ISNUMBER(INDEX(CASHBACK_RULES!$K$5:$K$304,$AC307)),INDEX(CASHBACK_RULES!$K$5:$K$304,$AC307),"∞"),"")</f>
        <v/>
      </c>
      <c r="AB307" s="44" t="str">
        <f>IF(OR($B307="",$D307=""),"",IF($U307="Cancelled","Đã hủy",IF($AC307=0,"Không được hoàn",IF($Q307=0,IF(OR($O307&gt;0,$M307&lt;$L307),"Đã đạt cap","Không được hoàn"),IF(OR($Q307&lt;$O307,$M307&lt;$L307),"Hoàn một phần","Được hoàn")))))</f>
        <v/>
      </c>
      <c r="AC307" s="43">
        <f>IF(OR($B307="",$D307="",$I307="",$L307=""),0,IF($U307="Cancelled",0,IF($W307&lt;&gt;"",IFERROR(IF(INDEX(CASHBACK_RULES!$B$5:$B$304,MATCH($W307,CASHBACK_RULES!$A$5:$A$304,0))=$D307,MATCH($W307,CASHBACK_RULES!$A$5:$A$304,0),0),0),IFERROR(MATCH(1,INDEX((CASHBACK_RULES!$B$5:$B$304=$D307)*(CASHBACK_RULES!$G$5:$G$304=$I307)*(((CASHBACK_RULES!$N$5:$N$304="")+(CASHBACK_RULES!$N$5:$N$304&lt;=$B307))&gt;0)*(((CASHBACK_RULES!$O$5:$O$304="")+(CASHBACK_RULES!$O$5:$O$304&gt;=$B307))&gt;0)*(((CASHBACK_RULES!$M$5:$M$304="")+(CASHBACK_RULES!$M$5:$M$304&lt;=$L307))&gt;0),0),0),0))))</f>
        <v>0</v>
      </c>
      <c r="AD307" s="51" t="str">
        <f>IF(OR($B307="",$D307=""),"",IFERROR(IF(INDEX(CARDS!$H$5:$H$34,MATCH($D307,CARDS!$A$5:$A$34,0))="","",IF(DAY($B307)&lt;=INDEX(CARDS!$H$5:$H$34,MATCH($D307,CARDS!$A$5:$A$34,0)),DATE(YEAR($B307),MONTH($B307),MIN(INDEX(CARDS!$H$5:$H$34,MATCH($D307,CARDS!$A$5:$A$34,0)),DAY(EOMONTH($B307,0)))),DATE(YEAR($B307),MONTH($B307)+1,MIN(INDEX(CARDS!$H$5:$H$34,MATCH($D307,CARDS!$A$5:$A$34,0)),DAY(EOMONTH($B307,1)))))),""))</f>
        <v/>
      </c>
      <c r="AE307" s="52" t="str">
        <f>IF($C307="","",$C307&amp;"|"&amp;COUNTIF($C$5:$C307,$C307))</f>
        <v/>
      </c>
      <c r="AF307" s="53">
        <f>IF($AC307&gt;0,SUMIFS(Q$4:Q306,$D$4:$D306,$D307,$Z$4:$Z306,$Z307,$C$4:$C306,$C307),0)</f>
        <v>0</v>
      </c>
      <c r="AG307" s="53">
        <f>IF($AC307&gt;0,SUMIFS(Q$4:Q306,$D$4:$D306,$D307,$C$4:$C306,$C307),0)</f>
        <v>0</v>
      </c>
      <c r="AH307" s="53">
        <f>IF($AC307&gt;0,SUMIFS(M$4:M306,$D$4:$D306,$D307,$Z$4:$Z306,$Z307,$C$4:$C306,$C307),0)</f>
        <v>0</v>
      </c>
      <c r="AI307" s="43">
        <f>IF(OR($C307="",$I307=""),0,IF(COUNTIFS($C$5:$C307,$C307,$I$5:$I307,$I307)=1,1,0))</f>
        <v>0</v>
      </c>
      <c r="AJ307" s="43" t="str">
        <f>IF($AI307=1,SUMIFS($AI$4:$AI306,$C$4:$C306,$C307)+1,"")</f>
        <v/>
      </c>
      <c r="AK307" s="43">
        <f>IF(OR($C307="",$K307=""),0,IF(COUNTIFS($C$5:$C307,$C307,$K$5:$K307,$K307)=1,1,0))</f>
        <v>0</v>
      </c>
      <c r="AL307" s="43" t="str">
        <f>IF($AK307=1,SUMIFS($AK$4:$AK306,$C$4:$C306,$C307)+1,"")</f>
        <v/>
      </c>
      <c r="AM307" s="43">
        <f>IF(OR($C307="",$G307=""),0,IF(COUNTIFS($C$5:$C307,$C307,$G$5:$G307,$G307)=1,1,0))</f>
        <v>0</v>
      </c>
      <c r="AN307" s="43" t="str">
        <f>IF($AM307=1,SUMIFS($AM$4:$AM306,$C$4:$C306,$C307)+1,"")</f>
        <v/>
      </c>
    </row>
    <row r="308">
      <c r="A308" s="44" t="str">
        <f>IF(OR($B308="",$D308=""),"","TX"&amp;TEXT(ROW()-4,"0000"))</f>
        <v/>
      </c>
      <c r="B308" s="42" t="n"/>
      <c r="C308" s="47" t="str">
        <f>IF($B308="","",YEAR($B308)*100+MONTH($B308))</f>
        <v/>
      </c>
      <c r="D308" s="37" t="n"/>
      <c r="E308" s="45" t="str">
        <f>IF($D308="","",IFERROR(INDEX(CARDS!$B$5:$B$34,MATCH($D308,CARDS!$A$5:$A$34,0)),"⚠ Card ID?"))</f>
        <v/>
      </c>
      <c r="F308" s="45" t="str">
        <f>IF($D308="","",IFERROR(INDEX(CARDS!$C$5:$C$34,MATCH($D308,CARDS!$A$5:$A$34,0)),"⚠ Card ID?"))</f>
        <v/>
      </c>
      <c r="G308" s="37" t="n"/>
      <c r="H308" s="37" t="n"/>
      <c r="I308" s="41" t="n"/>
      <c r="J308" s="45" t="str">
        <f>IF($I308="","",IFERROR(INDEX(MCC_MASTER!$B$5:$B$504,MATCH($I308,MCC_MASTER!$A$5:$A$504,0)),"⚠ MCC chưa có"))</f>
        <v/>
      </c>
      <c r="K308" s="45" t="str">
        <f>IF($I308="","",IFERROR(IF(INDEX(MCC_MASTER!$C$5:$C$504,MATCH($I308,MCC_MASTER!$A$5:$A$504,0))="","Chưa phân loại",INDEX(MCC_MASTER!$C$5:$C$504,MATCH($I308,MCC_MASTER!$A$5:$A$504,0))),"Chưa phân loại"))</f>
        <v/>
      </c>
      <c r="L308" s="40" t="n"/>
      <c r="M308" s="48" t="str">
        <f>IF(OR($B308="",$D308=""),"",IF($AC308=0,0,IF(ISNUMBER(INDEX(CASHBACK_RULES!$L$5:$L$304,$AC308)),MAX(0,MIN($L308,INDEX(CASHBACK_RULES!$L$5:$L$304,$AC308)-$AH308)),MAX(0,$L308))))</f>
        <v/>
      </c>
      <c r="N308" s="49" t="str">
        <f>IF(OR($B308="",$D308=""),"",IF($AC308&gt;0,INDEX(CASHBACK_RULES!$I$5:$I$304,$AC308),0))</f>
        <v/>
      </c>
      <c r="O308" s="48" t="str">
        <f>IF(OR($B308="",$D308=""),"",ROUND($M308*$N308,0))</f>
        <v/>
      </c>
      <c r="P308" s="48" t="str">
        <f>IF($AC308&gt;0,IF(ISNUMBER(INDEX(CASHBACK_RULES!$J$5:$J$304,$AC308)),INDEX(CASHBACK_RULES!$J$5:$J$304,$AC308),"∞"),"")</f>
        <v/>
      </c>
      <c r="Q308" s="48" t="str">
        <f>IF(OR($B308="",$D308=""),"",IF($AC308=0,0,MAX(0,MIN($O308,IF(ISNUMBER($P308),$P308-$AF308,1E+15),IF(ISNUMBER($AA308),$AA308-$AG308,1E+15)))))</f>
        <v/>
      </c>
      <c r="R308" s="48" t="str">
        <f>IF(OR($B308="",$D308=""),"",IF($AC308=0,"",IF(AND(NOT(ISNUMBER($P308)),NOT(ISNUMBER($AA308))),"∞",MAX(0,MIN(IF(ISNUMBER($P308),$P308-$AF308-$Q308,1E+15),IF(ISNUMBER($AA308),$AA308-$AG308-$Q308,1E+15))))))</f>
        <v/>
      </c>
      <c r="S308" s="47" t="str">
        <f>IF($AD308="","",YEAR($AD308)*100+MONTH($AD308))</f>
        <v/>
      </c>
      <c r="T308" s="50" t="str">
        <f>IF($AD308="","",IFERROR(IF(INDEX(CARDS!$I$5:$I$34,MATCH($D308,CARDS!$A$5:$A$34,0))="","",IF(INDEX(CARDS!$I$5:$I$34,MATCH($D308,CARDS!$A$5:$A$34,0))&gt;INDEX(CARDS!$H$5:$H$34,MATCH($D308,CARDS!$A$5:$A$34,0)),DATE(YEAR($AD308),MONTH($AD308),MIN(INDEX(CARDS!$I$5:$I$34,MATCH($D308,CARDS!$A$5:$A$34,0)),DAY(EOMONTH($AD308,0)))),DATE(YEAR($AD308),MONTH($AD308)+1,MIN(INDEX(CARDS!$I$5:$I$34,MATCH($D308,CARDS!$A$5:$A$34,0)),DAY(EOMONTH($AD308,1)))))),""))</f>
        <v/>
      </c>
      <c r="U308" s="38" t="n"/>
      <c r="V308" s="37" t="n"/>
      <c r="W308" s="38" t="n"/>
      <c r="X308" s="38" t="n"/>
      <c r="Y308" s="44" t="str">
        <f>IF($AC308&gt;0,INDEX(CASHBACK_RULES!$A$5:$A$304,$AC308),"")</f>
        <v/>
      </c>
      <c r="Z308" s="45" t="str">
        <f>IF($AC308&gt;0,INDEX(CASHBACK_RULES!$E$5:$E$304,$AC308)&amp;"","")</f>
        <v/>
      </c>
      <c r="AA308" s="48" t="str">
        <f>IF($AC308&gt;0,IF(ISNUMBER(INDEX(CASHBACK_RULES!$K$5:$K$304,$AC308)),INDEX(CASHBACK_RULES!$K$5:$K$304,$AC308),"∞"),"")</f>
        <v/>
      </c>
      <c r="AB308" s="44" t="str">
        <f>IF(OR($B308="",$D308=""),"",IF($U308="Cancelled","Đã hủy",IF($AC308=0,"Không được hoàn",IF($Q308=0,IF(OR($O308&gt;0,$M308&lt;$L308),"Đã đạt cap","Không được hoàn"),IF(OR($Q308&lt;$O308,$M308&lt;$L308),"Hoàn một phần","Được hoàn")))))</f>
        <v/>
      </c>
      <c r="AC308" s="43">
        <f>IF(OR($B308="",$D308="",$I308="",$L308=""),0,IF($U308="Cancelled",0,IF($W308&lt;&gt;"",IFERROR(IF(INDEX(CASHBACK_RULES!$B$5:$B$304,MATCH($W308,CASHBACK_RULES!$A$5:$A$304,0))=$D308,MATCH($W308,CASHBACK_RULES!$A$5:$A$304,0),0),0),IFERROR(MATCH(1,INDEX((CASHBACK_RULES!$B$5:$B$304=$D308)*(CASHBACK_RULES!$G$5:$G$304=$I308)*(((CASHBACK_RULES!$N$5:$N$304="")+(CASHBACK_RULES!$N$5:$N$304&lt;=$B308))&gt;0)*(((CASHBACK_RULES!$O$5:$O$304="")+(CASHBACK_RULES!$O$5:$O$304&gt;=$B308))&gt;0)*(((CASHBACK_RULES!$M$5:$M$304="")+(CASHBACK_RULES!$M$5:$M$304&lt;=$L308))&gt;0),0),0),0))))</f>
        <v>0</v>
      </c>
      <c r="AD308" s="51" t="str">
        <f>IF(OR($B308="",$D308=""),"",IFERROR(IF(INDEX(CARDS!$H$5:$H$34,MATCH($D308,CARDS!$A$5:$A$34,0))="","",IF(DAY($B308)&lt;=INDEX(CARDS!$H$5:$H$34,MATCH($D308,CARDS!$A$5:$A$34,0)),DATE(YEAR($B308),MONTH($B308),MIN(INDEX(CARDS!$H$5:$H$34,MATCH($D308,CARDS!$A$5:$A$34,0)),DAY(EOMONTH($B308,0)))),DATE(YEAR($B308),MONTH($B308)+1,MIN(INDEX(CARDS!$H$5:$H$34,MATCH($D308,CARDS!$A$5:$A$34,0)),DAY(EOMONTH($B308,1)))))),""))</f>
        <v/>
      </c>
      <c r="AE308" s="52" t="str">
        <f>IF($C308="","",$C308&amp;"|"&amp;COUNTIF($C$5:$C308,$C308))</f>
        <v/>
      </c>
      <c r="AF308" s="53">
        <f>IF($AC308&gt;0,SUMIFS(Q$4:Q307,$D$4:$D307,$D308,$Z$4:$Z307,$Z308,$C$4:$C307,$C308),0)</f>
        <v>0</v>
      </c>
      <c r="AG308" s="53">
        <f>IF($AC308&gt;0,SUMIFS(Q$4:Q307,$D$4:$D307,$D308,$C$4:$C307,$C308),0)</f>
        <v>0</v>
      </c>
      <c r="AH308" s="53">
        <f>IF($AC308&gt;0,SUMIFS(M$4:M307,$D$4:$D307,$D308,$Z$4:$Z307,$Z308,$C$4:$C307,$C308),0)</f>
        <v>0</v>
      </c>
      <c r="AI308" s="43">
        <f>IF(OR($C308="",$I308=""),0,IF(COUNTIFS($C$5:$C308,$C308,$I$5:$I308,$I308)=1,1,0))</f>
        <v>0</v>
      </c>
      <c r="AJ308" s="43" t="str">
        <f>IF($AI308=1,SUMIFS($AI$4:$AI307,$C$4:$C307,$C308)+1,"")</f>
        <v/>
      </c>
      <c r="AK308" s="43">
        <f>IF(OR($C308="",$K308=""),0,IF(COUNTIFS($C$5:$C308,$C308,$K$5:$K308,$K308)=1,1,0))</f>
        <v>0</v>
      </c>
      <c r="AL308" s="43" t="str">
        <f>IF($AK308=1,SUMIFS($AK$4:$AK307,$C$4:$C307,$C308)+1,"")</f>
        <v/>
      </c>
      <c r="AM308" s="43">
        <f>IF(OR($C308="",$G308=""),0,IF(COUNTIFS($C$5:$C308,$C308,$G$5:$G308,$G308)=1,1,0))</f>
        <v>0</v>
      </c>
      <c r="AN308" s="43" t="str">
        <f>IF($AM308=1,SUMIFS($AM$4:$AM307,$C$4:$C307,$C308)+1,"")</f>
        <v/>
      </c>
    </row>
    <row r="309">
      <c r="A309" s="44" t="str">
        <f>IF(OR($B309="",$D309=""),"","TX"&amp;TEXT(ROW()-4,"0000"))</f>
        <v/>
      </c>
      <c r="B309" s="42" t="n"/>
      <c r="C309" s="47" t="str">
        <f>IF($B309="","",YEAR($B309)*100+MONTH($B309))</f>
        <v/>
      </c>
      <c r="D309" s="37" t="n"/>
      <c r="E309" s="45" t="str">
        <f>IF($D309="","",IFERROR(INDEX(CARDS!$B$5:$B$34,MATCH($D309,CARDS!$A$5:$A$34,0)),"⚠ Card ID?"))</f>
        <v/>
      </c>
      <c r="F309" s="45" t="str">
        <f>IF($D309="","",IFERROR(INDEX(CARDS!$C$5:$C$34,MATCH($D309,CARDS!$A$5:$A$34,0)),"⚠ Card ID?"))</f>
        <v/>
      </c>
      <c r="G309" s="37" t="n"/>
      <c r="H309" s="37" t="n"/>
      <c r="I309" s="41" t="n"/>
      <c r="J309" s="45" t="str">
        <f>IF($I309="","",IFERROR(INDEX(MCC_MASTER!$B$5:$B$504,MATCH($I309,MCC_MASTER!$A$5:$A$504,0)),"⚠ MCC chưa có"))</f>
        <v/>
      </c>
      <c r="K309" s="45" t="str">
        <f>IF($I309="","",IFERROR(IF(INDEX(MCC_MASTER!$C$5:$C$504,MATCH($I309,MCC_MASTER!$A$5:$A$504,0))="","Chưa phân loại",INDEX(MCC_MASTER!$C$5:$C$504,MATCH($I309,MCC_MASTER!$A$5:$A$504,0))),"Chưa phân loại"))</f>
        <v/>
      </c>
      <c r="L309" s="40" t="n"/>
      <c r="M309" s="48" t="str">
        <f>IF(OR($B309="",$D309=""),"",IF($AC309=0,0,IF(ISNUMBER(INDEX(CASHBACK_RULES!$L$5:$L$304,$AC309)),MAX(0,MIN($L309,INDEX(CASHBACK_RULES!$L$5:$L$304,$AC309)-$AH309)),MAX(0,$L309))))</f>
        <v/>
      </c>
      <c r="N309" s="49" t="str">
        <f>IF(OR($B309="",$D309=""),"",IF($AC309&gt;0,INDEX(CASHBACK_RULES!$I$5:$I$304,$AC309),0))</f>
        <v/>
      </c>
      <c r="O309" s="48" t="str">
        <f>IF(OR($B309="",$D309=""),"",ROUND($M309*$N309,0))</f>
        <v/>
      </c>
      <c r="P309" s="48" t="str">
        <f>IF($AC309&gt;0,IF(ISNUMBER(INDEX(CASHBACK_RULES!$J$5:$J$304,$AC309)),INDEX(CASHBACK_RULES!$J$5:$J$304,$AC309),"∞"),"")</f>
        <v/>
      </c>
      <c r="Q309" s="48" t="str">
        <f>IF(OR($B309="",$D309=""),"",IF($AC309=0,0,MAX(0,MIN($O309,IF(ISNUMBER($P309),$P309-$AF309,1E+15),IF(ISNUMBER($AA309),$AA309-$AG309,1E+15)))))</f>
        <v/>
      </c>
      <c r="R309" s="48" t="str">
        <f>IF(OR($B309="",$D309=""),"",IF($AC309=0,"",IF(AND(NOT(ISNUMBER($P309)),NOT(ISNUMBER($AA309))),"∞",MAX(0,MIN(IF(ISNUMBER($P309),$P309-$AF309-$Q309,1E+15),IF(ISNUMBER($AA309),$AA309-$AG309-$Q309,1E+15))))))</f>
        <v/>
      </c>
      <c r="S309" s="47" t="str">
        <f>IF($AD309="","",YEAR($AD309)*100+MONTH($AD309))</f>
        <v/>
      </c>
      <c r="T309" s="50" t="str">
        <f>IF($AD309="","",IFERROR(IF(INDEX(CARDS!$I$5:$I$34,MATCH($D309,CARDS!$A$5:$A$34,0))="","",IF(INDEX(CARDS!$I$5:$I$34,MATCH($D309,CARDS!$A$5:$A$34,0))&gt;INDEX(CARDS!$H$5:$H$34,MATCH($D309,CARDS!$A$5:$A$34,0)),DATE(YEAR($AD309),MONTH($AD309),MIN(INDEX(CARDS!$I$5:$I$34,MATCH($D309,CARDS!$A$5:$A$34,0)),DAY(EOMONTH($AD309,0)))),DATE(YEAR($AD309),MONTH($AD309)+1,MIN(INDEX(CARDS!$I$5:$I$34,MATCH($D309,CARDS!$A$5:$A$34,0)),DAY(EOMONTH($AD309,1)))))),""))</f>
        <v/>
      </c>
      <c r="U309" s="38" t="n"/>
      <c r="V309" s="37" t="n"/>
      <c r="W309" s="38" t="n"/>
      <c r="X309" s="38" t="n"/>
      <c r="Y309" s="44" t="str">
        <f>IF($AC309&gt;0,INDEX(CASHBACK_RULES!$A$5:$A$304,$AC309),"")</f>
        <v/>
      </c>
      <c r="Z309" s="45" t="str">
        <f>IF($AC309&gt;0,INDEX(CASHBACK_RULES!$E$5:$E$304,$AC309)&amp;"","")</f>
        <v/>
      </c>
      <c r="AA309" s="48" t="str">
        <f>IF($AC309&gt;0,IF(ISNUMBER(INDEX(CASHBACK_RULES!$K$5:$K$304,$AC309)),INDEX(CASHBACK_RULES!$K$5:$K$304,$AC309),"∞"),"")</f>
        <v/>
      </c>
      <c r="AB309" s="44" t="str">
        <f>IF(OR($B309="",$D309=""),"",IF($U309="Cancelled","Đã hủy",IF($AC309=0,"Không được hoàn",IF($Q309=0,IF(OR($O309&gt;0,$M309&lt;$L309),"Đã đạt cap","Không được hoàn"),IF(OR($Q309&lt;$O309,$M309&lt;$L309),"Hoàn một phần","Được hoàn")))))</f>
        <v/>
      </c>
      <c r="AC309" s="43">
        <f>IF(OR($B309="",$D309="",$I309="",$L309=""),0,IF($U309="Cancelled",0,IF($W309&lt;&gt;"",IFERROR(IF(INDEX(CASHBACK_RULES!$B$5:$B$304,MATCH($W309,CASHBACK_RULES!$A$5:$A$304,0))=$D309,MATCH($W309,CASHBACK_RULES!$A$5:$A$304,0),0),0),IFERROR(MATCH(1,INDEX((CASHBACK_RULES!$B$5:$B$304=$D309)*(CASHBACK_RULES!$G$5:$G$304=$I309)*(((CASHBACK_RULES!$N$5:$N$304="")+(CASHBACK_RULES!$N$5:$N$304&lt;=$B309))&gt;0)*(((CASHBACK_RULES!$O$5:$O$304="")+(CASHBACK_RULES!$O$5:$O$304&gt;=$B309))&gt;0)*(((CASHBACK_RULES!$M$5:$M$304="")+(CASHBACK_RULES!$M$5:$M$304&lt;=$L309))&gt;0),0),0),0))))</f>
        <v>0</v>
      </c>
      <c r="AD309" s="51" t="str">
        <f>IF(OR($B309="",$D309=""),"",IFERROR(IF(INDEX(CARDS!$H$5:$H$34,MATCH($D309,CARDS!$A$5:$A$34,0))="","",IF(DAY($B309)&lt;=INDEX(CARDS!$H$5:$H$34,MATCH($D309,CARDS!$A$5:$A$34,0)),DATE(YEAR($B309),MONTH($B309),MIN(INDEX(CARDS!$H$5:$H$34,MATCH($D309,CARDS!$A$5:$A$34,0)),DAY(EOMONTH($B309,0)))),DATE(YEAR($B309),MONTH($B309)+1,MIN(INDEX(CARDS!$H$5:$H$34,MATCH($D309,CARDS!$A$5:$A$34,0)),DAY(EOMONTH($B309,1)))))),""))</f>
        <v/>
      </c>
      <c r="AE309" s="52" t="str">
        <f>IF($C309="","",$C309&amp;"|"&amp;COUNTIF($C$5:$C309,$C309))</f>
        <v/>
      </c>
      <c r="AF309" s="53">
        <f>IF($AC309&gt;0,SUMIFS(Q$4:Q308,$D$4:$D308,$D309,$Z$4:$Z308,$Z309,$C$4:$C308,$C309),0)</f>
        <v>0</v>
      </c>
      <c r="AG309" s="53">
        <f>IF($AC309&gt;0,SUMIFS(Q$4:Q308,$D$4:$D308,$D309,$C$4:$C308,$C309),0)</f>
        <v>0</v>
      </c>
      <c r="AH309" s="53">
        <f>IF($AC309&gt;0,SUMIFS(M$4:M308,$D$4:$D308,$D309,$Z$4:$Z308,$Z309,$C$4:$C308,$C309),0)</f>
        <v>0</v>
      </c>
      <c r="AI309" s="43">
        <f>IF(OR($C309="",$I309=""),0,IF(COUNTIFS($C$5:$C309,$C309,$I$5:$I309,$I309)=1,1,0))</f>
        <v>0</v>
      </c>
      <c r="AJ309" s="43" t="str">
        <f>IF($AI309=1,SUMIFS($AI$4:$AI308,$C$4:$C308,$C309)+1,"")</f>
        <v/>
      </c>
      <c r="AK309" s="43">
        <f>IF(OR($C309="",$K309=""),0,IF(COUNTIFS($C$5:$C309,$C309,$K$5:$K309,$K309)=1,1,0))</f>
        <v>0</v>
      </c>
      <c r="AL309" s="43" t="str">
        <f>IF($AK309=1,SUMIFS($AK$4:$AK308,$C$4:$C308,$C309)+1,"")</f>
        <v/>
      </c>
      <c r="AM309" s="43">
        <f>IF(OR($C309="",$G309=""),0,IF(COUNTIFS($C$5:$C309,$C309,$G$5:$G309,$G309)=1,1,0))</f>
        <v>0</v>
      </c>
      <c r="AN309" s="43" t="str">
        <f>IF($AM309=1,SUMIFS($AM$4:$AM308,$C$4:$C308,$C309)+1,"")</f>
        <v/>
      </c>
    </row>
    <row r="310">
      <c r="A310" s="44" t="str">
        <f>IF(OR($B310="",$D310=""),"","TX"&amp;TEXT(ROW()-4,"0000"))</f>
        <v/>
      </c>
      <c r="B310" s="42" t="n"/>
      <c r="C310" s="47" t="str">
        <f>IF($B310="","",YEAR($B310)*100+MONTH($B310))</f>
        <v/>
      </c>
      <c r="D310" s="37" t="n"/>
      <c r="E310" s="45" t="str">
        <f>IF($D310="","",IFERROR(INDEX(CARDS!$B$5:$B$34,MATCH($D310,CARDS!$A$5:$A$34,0)),"⚠ Card ID?"))</f>
        <v/>
      </c>
      <c r="F310" s="45" t="str">
        <f>IF($D310="","",IFERROR(INDEX(CARDS!$C$5:$C$34,MATCH($D310,CARDS!$A$5:$A$34,0)),"⚠ Card ID?"))</f>
        <v/>
      </c>
      <c r="G310" s="37" t="n"/>
      <c r="H310" s="37" t="n"/>
      <c r="I310" s="41" t="n"/>
      <c r="J310" s="45" t="str">
        <f>IF($I310="","",IFERROR(INDEX(MCC_MASTER!$B$5:$B$504,MATCH($I310,MCC_MASTER!$A$5:$A$504,0)),"⚠ MCC chưa có"))</f>
        <v/>
      </c>
      <c r="K310" s="45" t="str">
        <f>IF($I310="","",IFERROR(IF(INDEX(MCC_MASTER!$C$5:$C$504,MATCH($I310,MCC_MASTER!$A$5:$A$504,0))="","Chưa phân loại",INDEX(MCC_MASTER!$C$5:$C$504,MATCH($I310,MCC_MASTER!$A$5:$A$504,0))),"Chưa phân loại"))</f>
        <v/>
      </c>
      <c r="L310" s="40" t="n"/>
      <c r="M310" s="48" t="str">
        <f>IF(OR($B310="",$D310=""),"",IF($AC310=0,0,IF(ISNUMBER(INDEX(CASHBACK_RULES!$L$5:$L$304,$AC310)),MAX(0,MIN($L310,INDEX(CASHBACK_RULES!$L$5:$L$304,$AC310)-$AH310)),MAX(0,$L310))))</f>
        <v/>
      </c>
      <c r="N310" s="49" t="str">
        <f>IF(OR($B310="",$D310=""),"",IF($AC310&gt;0,INDEX(CASHBACK_RULES!$I$5:$I$304,$AC310),0))</f>
        <v/>
      </c>
      <c r="O310" s="48" t="str">
        <f>IF(OR($B310="",$D310=""),"",ROUND($M310*$N310,0))</f>
        <v/>
      </c>
      <c r="P310" s="48" t="str">
        <f>IF($AC310&gt;0,IF(ISNUMBER(INDEX(CASHBACK_RULES!$J$5:$J$304,$AC310)),INDEX(CASHBACK_RULES!$J$5:$J$304,$AC310),"∞"),"")</f>
        <v/>
      </c>
      <c r="Q310" s="48" t="str">
        <f>IF(OR($B310="",$D310=""),"",IF($AC310=0,0,MAX(0,MIN($O310,IF(ISNUMBER($P310),$P310-$AF310,1E+15),IF(ISNUMBER($AA310),$AA310-$AG310,1E+15)))))</f>
        <v/>
      </c>
      <c r="R310" s="48" t="str">
        <f>IF(OR($B310="",$D310=""),"",IF($AC310=0,"",IF(AND(NOT(ISNUMBER($P310)),NOT(ISNUMBER($AA310))),"∞",MAX(0,MIN(IF(ISNUMBER($P310),$P310-$AF310-$Q310,1E+15),IF(ISNUMBER($AA310),$AA310-$AG310-$Q310,1E+15))))))</f>
        <v/>
      </c>
      <c r="S310" s="47" t="str">
        <f>IF($AD310="","",YEAR($AD310)*100+MONTH($AD310))</f>
        <v/>
      </c>
      <c r="T310" s="50" t="str">
        <f>IF($AD310="","",IFERROR(IF(INDEX(CARDS!$I$5:$I$34,MATCH($D310,CARDS!$A$5:$A$34,0))="","",IF(INDEX(CARDS!$I$5:$I$34,MATCH($D310,CARDS!$A$5:$A$34,0))&gt;INDEX(CARDS!$H$5:$H$34,MATCH($D310,CARDS!$A$5:$A$34,0)),DATE(YEAR($AD310),MONTH($AD310),MIN(INDEX(CARDS!$I$5:$I$34,MATCH($D310,CARDS!$A$5:$A$34,0)),DAY(EOMONTH($AD310,0)))),DATE(YEAR($AD310),MONTH($AD310)+1,MIN(INDEX(CARDS!$I$5:$I$34,MATCH($D310,CARDS!$A$5:$A$34,0)),DAY(EOMONTH($AD310,1)))))),""))</f>
        <v/>
      </c>
      <c r="U310" s="38" t="n"/>
      <c r="V310" s="37" t="n"/>
      <c r="W310" s="38" t="n"/>
      <c r="X310" s="38" t="n"/>
      <c r="Y310" s="44" t="str">
        <f>IF($AC310&gt;0,INDEX(CASHBACK_RULES!$A$5:$A$304,$AC310),"")</f>
        <v/>
      </c>
      <c r="Z310" s="45" t="str">
        <f>IF($AC310&gt;0,INDEX(CASHBACK_RULES!$E$5:$E$304,$AC310)&amp;"","")</f>
        <v/>
      </c>
      <c r="AA310" s="48" t="str">
        <f>IF($AC310&gt;0,IF(ISNUMBER(INDEX(CASHBACK_RULES!$K$5:$K$304,$AC310)),INDEX(CASHBACK_RULES!$K$5:$K$304,$AC310),"∞"),"")</f>
        <v/>
      </c>
      <c r="AB310" s="44" t="str">
        <f>IF(OR($B310="",$D310=""),"",IF($U310="Cancelled","Đã hủy",IF($AC310=0,"Không được hoàn",IF($Q310=0,IF(OR($O310&gt;0,$M310&lt;$L310),"Đã đạt cap","Không được hoàn"),IF(OR($Q310&lt;$O310,$M310&lt;$L310),"Hoàn một phần","Được hoàn")))))</f>
        <v/>
      </c>
      <c r="AC310" s="43">
        <f>IF(OR($B310="",$D310="",$I310="",$L310=""),0,IF($U310="Cancelled",0,IF($W310&lt;&gt;"",IFERROR(IF(INDEX(CASHBACK_RULES!$B$5:$B$304,MATCH($W310,CASHBACK_RULES!$A$5:$A$304,0))=$D310,MATCH($W310,CASHBACK_RULES!$A$5:$A$304,0),0),0),IFERROR(MATCH(1,INDEX((CASHBACK_RULES!$B$5:$B$304=$D310)*(CASHBACK_RULES!$G$5:$G$304=$I310)*(((CASHBACK_RULES!$N$5:$N$304="")+(CASHBACK_RULES!$N$5:$N$304&lt;=$B310))&gt;0)*(((CASHBACK_RULES!$O$5:$O$304="")+(CASHBACK_RULES!$O$5:$O$304&gt;=$B310))&gt;0)*(((CASHBACK_RULES!$M$5:$M$304="")+(CASHBACK_RULES!$M$5:$M$304&lt;=$L310))&gt;0),0),0),0))))</f>
        <v>0</v>
      </c>
      <c r="AD310" s="51" t="str">
        <f>IF(OR($B310="",$D310=""),"",IFERROR(IF(INDEX(CARDS!$H$5:$H$34,MATCH($D310,CARDS!$A$5:$A$34,0))="","",IF(DAY($B310)&lt;=INDEX(CARDS!$H$5:$H$34,MATCH($D310,CARDS!$A$5:$A$34,0)),DATE(YEAR($B310),MONTH($B310),MIN(INDEX(CARDS!$H$5:$H$34,MATCH($D310,CARDS!$A$5:$A$34,0)),DAY(EOMONTH($B310,0)))),DATE(YEAR($B310),MONTH($B310)+1,MIN(INDEX(CARDS!$H$5:$H$34,MATCH($D310,CARDS!$A$5:$A$34,0)),DAY(EOMONTH($B310,1)))))),""))</f>
        <v/>
      </c>
      <c r="AE310" s="52" t="str">
        <f>IF($C310="","",$C310&amp;"|"&amp;COUNTIF($C$5:$C310,$C310))</f>
        <v/>
      </c>
      <c r="AF310" s="53">
        <f>IF($AC310&gt;0,SUMIFS(Q$4:Q309,$D$4:$D309,$D310,$Z$4:$Z309,$Z310,$C$4:$C309,$C310),0)</f>
        <v>0</v>
      </c>
      <c r="AG310" s="53">
        <f>IF($AC310&gt;0,SUMIFS(Q$4:Q309,$D$4:$D309,$D310,$C$4:$C309,$C310),0)</f>
        <v>0</v>
      </c>
      <c r="AH310" s="53">
        <f>IF($AC310&gt;0,SUMIFS(M$4:M309,$D$4:$D309,$D310,$Z$4:$Z309,$Z310,$C$4:$C309,$C310),0)</f>
        <v>0</v>
      </c>
      <c r="AI310" s="43">
        <f>IF(OR($C310="",$I310=""),0,IF(COUNTIFS($C$5:$C310,$C310,$I$5:$I310,$I310)=1,1,0))</f>
        <v>0</v>
      </c>
      <c r="AJ310" s="43" t="str">
        <f>IF($AI310=1,SUMIFS($AI$4:$AI309,$C$4:$C309,$C310)+1,"")</f>
        <v/>
      </c>
      <c r="AK310" s="43">
        <f>IF(OR($C310="",$K310=""),0,IF(COUNTIFS($C$5:$C310,$C310,$K$5:$K310,$K310)=1,1,0))</f>
        <v>0</v>
      </c>
      <c r="AL310" s="43" t="str">
        <f>IF($AK310=1,SUMIFS($AK$4:$AK309,$C$4:$C309,$C310)+1,"")</f>
        <v/>
      </c>
      <c r="AM310" s="43">
        <f>IF(OR($C310="",$G310=""),0,IF(COUNTIFS($C$5:$C310,$C310,$G$5:$G310,$G310)=1,1,0))</f>
        <v>0</v>
      </c>
      <c r="AN310" s="43" t="str">
        <f>IF($AM310=1,SUMIFS($AM$4:$AM309,$C$4:$C309,$C310)+1,"")</f>
        <v/>
      </c>
    </row>
    <row r="311">
      <c r="A311" s="44" t="str">
        <f>IF(OR($B311="",$D311=""),"","TX"&amp;TEXT(ROW()-4,"0000"))</f>
        <v/>
      </c>
      <c r="B311" s="42" t="n"/>
      <c r="C311" s="47" t="str">
        <f>IF($B311="","",YEAR($B311)*100+MONTH($B311))</f>
        <v/>
      </c>
      <c r="D311" s="37" t="n"/>
      <c r="E311" s="45" t="str">
        <f>IF($D311="","",IFERROR(INDEX(CARDS!$B$5:$B$34,MATCH($D311,CARDS!$A$5:$A$34,0)),"⚠ Card ID?"))</f>
        <v/>
      </c>
      <c r="F311" s="45" t="str">
        <f>IF($D311="","",IFERROR(INDEX(CARDS!$C$5:$C$34,MATCH($D311,CARDS!$A$5:$A$34,0)),"⚠ Card ID?"))</f>
        <v/>
      </c>
      <c r="G311" s="37" t="n"/>
      <c r="H311" s="37" t="n"/>
      <c r="I311" s="41" t="n"/>
      <c r="J311" s="45" t="str">
        <f>IF($I311="","",IFERROR(INDEX(MCC_MASTER!$B$5:$B$504,MATCH($I311,MCC_MASTER!$A$5:$A$504,0)),"⚠ MCC chưa có"))</f>
        <v/>
      </c>
      <c r="K311" s="45" t="str">
        <f>IF($I311="","",IFERROR(IF(INDEX(MCC_MASTER!$C$5:$C$504,MATCH($I311,MCC_MASTER!$A$5:$A$504,0))="","Chưa phân loại",INDEX(MCC_MASTER!$C$5:$C$504,MATCH($I311,MCC_MASTER!$A$5:$A$504,0))),"Chưa phân loại"))</f>
        <v/>
      </c>
      <c r="L311" s="40" t="n"/>
      <c r="M311" s="48" t="str">
        <f>IF(OR($B311="",$D311=""),"",IF($AC311=0,0,IF(ISNUMBER(INDEX(CASHBACK_RULES!$L$5:$L$304,$AC311)),MAX(0,MIN($L311,INDEX(CASHBACK_RULES!$L$5:$L$304,$AC311)-$AH311)),MAX(0,$L311))))</f>
        <v/>
      </c>
      <c r="N311" s="49" t="str">
        <f>IF(OR($B311="",$D311=""),"",IF($AC311&gt;0,INDEX(CASHBACK_RULES!$I$5:$I$304,$AC311),0))</f>
        <v/>
      </c>
      <c r="O311" s="48" t="str">
        <f>IF(OR($B311="",$D311=""),"",ROUND($M311*$N311,0))</f>
        <v/>
      </c>
      <c r="P311" s="48" t="str">
        <f>IF($AC311&gt;0,IF(ISNUMBER(INDEX(CASHBACK_RULES!$J$5:$J$304,$AC311)),INDEX(CASHBACK_RULES!$J$5:$J$304,$AC311),"∞"),"")</f>
        <v/>
      </c>
      <c r="Q311" s="48" t="str">
        <f>IF(OR($B311="",$D311=""),"",IF($AC311=0,0,MAX(0,MIN($O311,IF(ISNUMBER($P311),$P311-$AF311,1E+15),IF(ISNUMBER($AA311),$AA311-$AG311,1E+15)))))</f>
        <v/>
      </c>
      <c r="R311" s="48" t="str">
        <f>IF(OR($B311="",$D311=""),"",IF($AC311=0,"",IF(AND(NOT(ISNUMBER($P311)),NOT(ISNUMBER($AA311))),"∞",MAX(0,MIN(IF(ISNUMBER($P311),$P311-$AF311-$Q311,1E+15),IF(ISNUMBER($AA311),$AA311-$AG311-$Q311,1E+15))))))</f>
        <v/>
      </c>
      <c r="S311" s="47" t="str">
        <f>IF($AD311="","",YEAR($AD311)*100+MONTH($AD311))</f>
        <v/>
      </c>
      <c r="T311" s="50" t="str">
        <f>IF($AD311="","",IFERROR(IF(INDEX(CARDS!$I$5:$I$34,MATCH($D311,CARDS!$A$5:$A$34,0))="","",IF(INDEX(CARDS!$I$5:$I$34,MATCH($D311,CARDS!$A$5:$A$34,0))&gt;INDEX(CARDS!$H$5:$H$34,MATCH($D311,CARDS!$A$5:$A$34,0)),DATE(YEAR($AD311),MONTH($AD311),MIN(INDEX(CARDS!$I$5:$I$34,MATCH($D311,CARDS!$A$5:$A$34,0)),DAY(EOMONTH($AD311,0)))),DATE(YEAR($AD311),MONTH($AD311)+1,MIN(INDEX(CARDS!$I$5:$I$34,MATCH($D311,CARDS!$A$5:$A$34,0)),DAY(EOMONTH($AD311,1)))))),""))</f>
        <v/>
      </c>
      <c r="U311" s="38" t="n"/>
      <c r="V311" s="37" t="n"/>
      <c r="W311" s="38" t="n"/>
      <c r="X311" s="38" t="n"/>
      <c r="Y311" s="44" t="str">
        <f>IF($AC311&gt;0,INDEX(CASHBACK_RULES!$A$5:$A$304,$AC311),"")</f>
        <v/>
      </c>
      <c r="Z311" s="45" t="str">
        <f>IF($AC311&gt;0,INDEX(CASHBACK_RULES!$E$5:$E$304,$AC311)&amp;"","")</f>
        <v/>
      </c>
      <c r="AA311" s="48" t="str">
        <f>IF($AC311&gt;0,IF(ISNUMBER(INDEX(CASHBACK_RULES!$K$5:$K$304,$AC311)),INDEX(CASHBACK_RULES!$K$5:$K$304,$AC311),"∞"),"")</f>
        <v/>
      </c>
      <c r="AB311" s="44" t="str">
        <f>IF(OR($B311="",$D311=""),"",IF($U311="Cancelled","Đã hủy",IF($AC311=0,"Không được hoàn",IF($Q311=0,IF(OR($O311&gt;0,$M311&lt;$L311),"Đã đạt cap","Không được hoàn"),IF(OR($Q311&lt;$O311,$M311&lt;$L311),"Hoàn một phần","Được hoàn")))))</f>
        <v/>
      </c>
      <c r="AC311" s="43">
        <f>IF(OR($B311="",$D311="",$I311="",$L311=""),0,IF($U311="Cancelled",0,IF($W311&lt;&gt;"",IFERROR(IF(INDEX(CASHBACK_RULES!$B$5:$B$304,MATCH($W311,CASHBACK_RULES!$A$5:$A$304,0))=$D311,MATCH($W311,CASHBACK_RULES!$A$5:$A$304,0),0),0),IFERROR(MATCH(1,INDEX((CASHBACK_RULES!$B$5:$B$304=$D311)*(CASHBACK_RULES!$G$5:$G$304=$I311)*(((CASHBACK_RULES!$N$5:$N$304="")+(CASHBACK_RULES!$N$5:$N$304&lt;=$B311))&gt;0)*(((CASHBACK_RULES!$O$5:$O$304="")+(CASHBACK_RULES!$O$5:$O$304&gt;=$B311))&gt;0)*(((CASHBACK_RULES!$M$5:$M$304="")+(CASHBACK_RULES!$M$5:$M$304&lt;=$L311))&gt;0),0),0),0))))</f>
        <v>0</v>
      </c>
      <c r="AD311" s="51" t="str">
        <f>IF(OR($B311="",$D311=""),"",IFERROR(IF(INDEX(CARDS!$H$5:$H$34,MATCH($D311,CARDS!$A$5:$A$34,0))="","",IF(DAY($B311)&lt;=INDEX(CARDS!$H$5:$H$34,MATCH($D311,CARDS!$A$5:$A$34,0)),DATE(YEAR($B311),MONTH($B311),MIN(INDEX(CARDS!$H$5:$H$34,MATCH($D311,CARDS!$A$5:$A$34,0)),DAY(EOMONTH($B311,0)))),DATE(YEAR($B311),MONTH($B311)+1,MIN(INDEX(CARDS!$H$5:$H$34,MATCH($D311,CARDS!$A$5:$A$34,0)),DAY(EOMONTH($B311,1)))))),""))</f>
        <v/>
      </c>
      <c r="AE311" s="52" t="str">
        <f>IF($C311="","",$C311&amp;"|"&amp;COUNTIF($C$5:$C311,$C311))</f>
        <v/>
      </c>
      <c r="AF311" s="53">
        <f>IF($AC311&gt;0,SUMIFS(Q$4:Q310,$D$4:$D310,$D311,$Z$4:$Z310,$Z311,$C$4:$C310,$C311),0)</f>
        <v>0</v>
      </c>
      <c r="AG311" s="53">
        <f>IF($AC311&gt;0,SUMIFS(Q$4:Q310,$D$4:$D310,$D311,$C$4:$C310,$C311),0)</f>
        <v>0</v>
      </c>
      <c r="AH311" s="53">
        <f>IF($AC311&gt;0,SUMIFS(M$4:M310,$D$4:$D310,$D311,$Z$4:$Z310,$Z311,$C$4:$C310,$C311),0)</f>
        <v>0</v>
      </c>
      <c r="AI311" s="43">
        <f>IF(OR($C311="",$I311=""),0,IF(COUNTIFS($C$5:$C311,$C311,$I$5:$I311,$I311)=1,1,0))</f>
        <v>0</v>
      </c>
      <c r="AJ311" s="43" t="str">
        <f>IF($AI311=1,SUMIFS($AI$4:$AI310,$C$4:$C310,$C311)+1,"")</f>
        <v/>
      </c>
      <c r="AK311" s="43">
        <f>IF(OR($C311="",$K311=""),0,IF(COUNTIFS($C$5:$C311,$C311,$K$5:$K311,$K311)=1,1,0))</f>
        <v>0</v>
      </c>
      <c r="AL311" s="43" t="str">
        <f>IF($AK311=1,SUMIFS($AK$4:$AK310,$C$4:$C310,$C311)+1,"")</f>
        <v/>
      </c>
      <c r="AM311" s="43">
        <f>IF(OR($C311="",$G311=""),0,IF(COUNTIFS($C$5:$C311,$C311,$G$5:$G311,$G311)=1,1,0))</f>
        <v>0</v>
      </c>
      <c r="AN311" s="43" t="str">
        <f>IF($AM311=1,SUMIFS($AM$4:$AM310,$C$4:$C310,$C311)+1,"")</f>
        <v/>
      </c>
    </row>
    <row r="312">
      <c r="A312" s="44" t="str">
        <f>IF(OR($B312="",$D312=""),"","TX"&amp;TEXT(ROW()-4,"0000"))</f>
        <v/>
      </c>
      <c r="B312" s="42" t="n"/>
      <c r="C312" s="47" t="str">
        <f>IF($B312="","",YEAR($B312)*100+MONTH($B312))</f>
        <v/>
      </c>
      <c r="D312" s="37" t="n"/>
      <c r="E312" s="45" t="str">
        <f>IF($D312="","",IFERROR(INDEX(CARDS!$B$5:$B$34,MATCH($D312,CARDS!$A$5:$A$34,0)),"⚠ Card ID?"))</f>
        <v/>
      </c>
      <c r="F312" s="45" t="str">
        <f>IF($D312="","",IFERROR(INDEX(CARDS!$C$5:$C$34,MATCH($D312,CARDS!$A$5:$A$34,0)),"⚠ Card ID?"))</f>
        <v/>
      </c>
      <c r="G312" s="37" t="n"/>
      <c r="H312" s="37" t="n"/>
      <c r="I312" s="41" t="n"/>
      <c r="J312" s="45" t="str">
        <f>IF($I312="","",IFERROR(INDEX(MCC_MASTER!$B$5:$B$504,MATCH($I312,MCC_MASTER!$A$5:$A$504,0)),"⚠ MCC chưa có"))</f>
        <v/>
      </c>
      <c r="K312" s="45" t="str">
        <f>IF($I312="","",IFERROR(IF(INDEX(MCC_MASTER!$C$5:$C$504,MATCH($I312,MCC_MASTER!$A$5:$A$504,0))="","Chưa phân loại",INDEX(MCC_MASTER!$C$5:$C$504,MATCH($I312,MCC_MASTER!$A$5:$A$504,0))),"Chưa phân loại"))</f>
        <v/>
      </c>
      <c r="L312" s="40" t="n"/>
      <c r="M312" s="48" t="str">
        <f>IF(OR($B312="",$D312=""),"",IF($AC312=0,0,IF(ISNUMBER(INDEX(CASHBACK_RULES!$L$5:$L$304,$AC312)),MAX(0,MIN($L312,INDEX(CASHBACK_RULES!$L$5:$L$304,$AC312)-$AH312)),MAX(0,$L312))))</f>
        <v/>
      </c>
      <c r="N312" s="49" t="str">
        <f>IF(OR($B312="",$D312=""),"",IF($AC312&gt;0,INDEX(CASHBACK_RULES!$I$5:$I$304,$AC312),0))</f>
        <v/>
      </c>
      <c r="O312" s="48" t="str">
        <f>IF(OR($B312="",$D312=""),"",ROUND($M312*$N312,0))</f>
        <v/>
      </c>
      <c r="P312" s="48" t="str">
        <f>IF($AC312&gt;0,IF(ISNUMBER(INDEX(CASHBACK_RULES!$J$5:$J$304,$AC312)),INDEX(CASHBACK_RULES!$J$5:$J$304,$AC312),"∞"),"")</f>
        <v/>
      </c>
      <c r="Q312" s="48" t="str">
        <f>IF(OR($B312="",$D312=""),"",IF($AC312=0,0,MAX(0,MIN($O312,IF(ISNUMBER($P312),$P312-$AF312,1E+15),IF(ISNUMBER($AA312),$AA312-$AG312,1E+15)))))</f>
        <v/>
      </c>
      <c r="R312" s="48" t="str">
        <f>IF(OR($B312="",$D312=""),"",IF($AC312=0,"",IF(AND(NOT(ISNUMBER($P312)),NOT(ISNUMBER($AA312))),"∞",MAX(0,MIN(IF(ISNUMBER($P312),$P312-$AF312-$Q312,1E+15),IF(ISNUMBER($AA312),$AA312-$AG312-$Q312,1E+15))))))</f>
        <v/>
      </c>
      <c r="S312" s="47" t="str">
        <f>IF($AD312="","",YEAR($AD312)*100+MONTH($AD312))</f>
        <v/>
      </c>
      <c r="T312" s="50" t="str">
        <f>IF($AD312="","",IFERROR(IF(INDEX(CARDS!$I$5:$I$34,MATCH($D312,CARDS!$A$5:$A$34,0))="","",IF(INDEX(CARDS!$I$5:$I$34,MATCH($D312,CARDS!$A$5:$A$34,0))&gt;INDEX(CARDS!$H$5:$H$34,MATCH($D312,CARDS!$A$5:$A$34,0)),DATE(YEAR($AD312),MONTH($AD312),MIN(INDEX(CARDS!$I$5:$I$34,MATCH($D312,CARDS!$A$5:$A$34,0)),DAY(EOMONTH($AD312,0)))),DATE(YEAR($AD312),MONTH($AD312)+1,MIN(INDEX(CARDS!$I$5:$I$34,MATCH($D312,CARDS!$A$5:$A$34,0)),DAY(EOMONTH($AD312,1)))))),""))</f>
        <v/>
      </c>
      <c r="U312" s="38" t="n"/>
      <c r="V312" s="37" t="n"/>
      <c r="W312" s="38" t="n"/>
      <c r="X312" s="38" t="n"/>
      <c r="Y312" s="44" t="str">
        <f>IF($AC312&gt;0,INDEX(CASHBACK_RULES!$A$5:$A$304,$AC312),"")</f>
        <v/>
      </c>
      <c r="Z312" s="45" t="str">
        <f>IF($AC312&gt;0,INDEX(CASHBACK_RULES!$E$5:$E$304,$AC312)&amp;"","")</f>
        <v/>
      </c>
      <c r="AA312" s="48" t="str">
        <f>IF($AC312&gt;0,IF(ISNUMBER(INDEX(CASHBACK_RULES!$K$5:$K$304,$AC312)),INDEX(CASHBACK_RULES!$K$5:$K$304,$AC312),"∞"),"")</f>
        <v/>
      </c>
      <c r="AB312" s="44" t="str">
        <f>IF(OR($B312="",$D312=""),"",IF($U312="Cancelled","Đã hủy",IF($AC312=0,"Không được hoàn",IF($Q312=0,IF(OR($O312&gt;0,$M312&lt;$L312),"Đã đạt cap","Không được hoàn"),IF(OR($Q312&lt;$O312,$M312&lt;$L312),"Hoàn một phần","Được hoàn")))))</f>
        <v/>
      </c>
      <c r="AC312" s="43">
        <f>IF(OR($B312="",$D312="",$I312="",$L312=""),0,IF($U312="Cancelled",0,IF($W312&lt;&gt;"",IFERROR(IF(INDEX(CASHBACK_RULES!$B$5:$B$304,MATCH($W312,CASHBACK_RULES!$A$5:$A$304,0))=$D312,MATCH($W312,CASHBACK_RULES!$A$5:$A$304,0),0),0),IFERROR(MATCH(1,INDEX((CASHBACK_RULES!$B$5:$B$304=$D312)*(CASHBACK_RULES!$G$5:$G$304=$I312)*(((CASHBACK_RULES!$N$5:$N$304="")+(CASHBACK_RULES!$N$5:$N$304&lt;=$B312))&gt;0)*(((CASHBACK_RULES!$O$5:$O$304="")+(CASHBACK_RULES!$O$5:$O$304&gt;=$B312))&gt;0)*(((CASHBACK_RULES!$M$5:$M$304="")+(CASHBACK_RULES!$M$5:$M$304&lt;=$L312))&gt;0),0),0),0))))</f>
        <v>0</v>
      </c>
      <c r="AD312" s="51" t="str">
        <f>IF(OR($B312="",$D312=""),"",IFERROR(IF(INDEX(CARDS!$H$5:$H$34,MATCH($D312,CARDS!$A$5:$A$34,0))="","",IF(DAY($B312)&lt;=INDEX(CARDS!$H$5:$H$34,MATCH($D312,CARDS!$A$5:$A$34,0)),DATE(YEAR($B312),MONTH($B312),MIN(INDEX(CARDS!$H$5:$H$34,MATCH($D312,CARDS!$A$5:$A$34,0)),DAY(EOMONTH($B312,0)))),DATE(YEAR($B312),MONTH($B312)+1,MIN(INDEX(CARDS!$H$5:$H$34,MATCH($D312,CARDS!$A$5:$A$34,0)),DAY(EOMONTH($B312,1)))))),""))</f>
        <v/>
      </c>
      <c r="AE312" s="52" t="str">
        <f>IF($C312="","",$C312&amp;"|"&amp;COUNTIF($C$5:$C312,$C312))</f>
        <v/>
      </c>
      <c r="AF312" s="53">
        <f>IF($AC312&gt;0,SUMIFS(Q$4:Q311,$D$4:$D311,$D312,$Z$4:$Z311,$Z312,$C$4:$C311,$C312),0)</f>
        <v>0</v>
      </c>
      <c r="AG312" s="53">
        <f>IF($AC312&gt;0,SUMIFS(Q$4:Q311,$D$4:$D311,$D312,$C$4:$C311,$C312),0)</f>
        <v>0</v>
      </c>
      <c r="AH312" s="53">
        <f>IF($AC312&gt;0,SUMIFS(M$4:M311,$D$4:$D311,$D312,$Z$4:$Z311,$Z312,$C$4:$C311,$C312),0)</f>
        <v>0</v>
      </c>
      <c r="AI312" s="43">
        <f>IF(OR($C312="",$I312=""),0,IF(COUNTIFS($C$5:$C312,$C312,$I$5:$I312,$I312)=1,1,0))</f>
        <v>0</v>
      </c>
      <c r="AJ312" s="43" t="str">
        <f>IF($AI312=1,SUMIFS($AI$4:$AI311,$C$4:$C311,$C312)+1,"")</f>
        <v/>
      </c>
      <c r="AK312" s="43">
        <f>IF(OR($C312="",$K312=""),0,IF(COUNTIFS($C$5:$C312,$C312,$K$5:$K312,$K312)=1,1,0))</f>
        <v>0</v>
      </c>
      <c r="AL312" s="43" t="str">
        <f>IF($AK312=1,SUMIFS($AK$4:$AK311,$C$4:$C311,$C312)+1,"")</f>
        <v/>
      </c>
      <c r="AM312" s="43">
        <f>IF(OR($C312="",$G312=""),0,IF(COUNTIFS($C$5:$C312,$C312,$G$5:$G312,$G312)=1,1,0))</f>
        <v>0</v>
      </c>
      <c r="AN312" s="43" t="str">
        <f>IF($AM312=1,SUMIFS($AM$4:$AM311,$C$4:$C311,$C312)+1,"")</f>
        <v/>
      </c>
    </row>
    <row r="313">
      <c r="A313" s="44" t="str">
        <f>IF(OR($B313="",$D313=""),"","TX"&amp;TEXT(ROW()-4,"0000"))</f>
        <v/>
      </c>
      <c r="B313" s="42" t="n"/>
      <c r="C313" s="47" t="str">
        <f>IF($B313="","",YEAR($B313)*100+MONTH($B313))</f>
        <v/>
      </c>
      <c r="D313" s="37" t="n"/>
      <c r="E313" s="45" t="str">
        <f>IF($D313="","",IFERROR(INDEX(CARDS!$B$5:$B$34,MATCH($D313,CARDS!$A$5:$A$34,0)),"⚠ Card ID?"))</f>
        <v/>
      </c>
      <c r="F313" s="45" t="str">
        <f>IF($D313="","",IFERROR(INDEX(CARDS!$C$5:$C$34,MATCH($D313,CARDS!$A$5:$A$34,0)),"⚠ Card ID?"))</f>
        <v/>
      </c>
      <c r="G313" s="37" t="n"/>
      <c r="H313" s="37" t="n"/>
      <c r="I313" s="41" t="n"/>
      <c r="J313" s="45" t="str">
        <f>IF($I313="","",IFERROR(INDEX(MCC_MASTER!$B$5:$B$504,MATCH($I313,MCC_MASTER!$A$5:$A$504,0)),"⚠ MCC chưa có"))</f>
        <v/>
      </c>
      <c r="K313" s="45" t="str">
        <f>IF($I313="","",IFERROR(IF(INDEX(MCC_MASTER!$C$5:$C$504,MATCH($I313,MCC_MASTER!$A$5:$A$504,0))="","Chưa phân loại",INDEX(MCC_MASTER!$C$5:$C$504,MATCH($I313,MCC_MASTER!$A$5:$A$504,0))),"Chưa phân loại"))</f>
        <v/>
      </c>
      <c r="L313" s="40" t="n"/>
      <c r="M313" s="48" t="str">
        <f>IF(OR($B313="",$D313=""),"",IF($AC313=0,0,IF(ISNUMBER(INDEX(CASHBACK_RULES!$L$5:$L$304,$AC313)),MAX(0,MIN($L313,INDEX(CASHBACK_RULES!$L$5:$L$304,$AC313)-$AH313)),MAX(0,$L313))))</f>
        <v/>
      </c>
      <c r="N313" s="49" t="str">
        <f>IF(OR($B313="",$D313=""),"",IF($AC313&gt;0,INDEX(CASHBACK_RULES!$I$5:$I$304,$AC313),0))</f>
        <v/>
      </c>
      <c r="O313" s="48" t="str">
        <f>IF(OR($B313="",$D313=""),"",ROUND($M313*$N313,0))</f>
        <v/>
      </c>
      <c r="P313" s="48" t="str">
        <f>IF($AC313&gt;0,IF(ISNUMBER(INDEX(CASHBACK_RULES!$J$5:$J$304,$AC313)),INDEX(CASHBACK_RULES!$J$5:$J$304,$AC313),"∞"),"")</f>
        <v/>
      </c>
      <c r="Q313" s="48" t="str">
        <f>IF(OR($B313="",$D313=""),"",IF($AC313=0,0,MAX(0,MIN($O313,IF(ISNUMBER($P313),$P313-$AF313,1E+15),IF(ISNUMBER($AA313),$AA313-$AG313,1E+15)))))</f>
        <v/>
      </c>
      <c r="R313" s="48" t="str">
        <f>IF(OR($B313="",$D313=""),"",IF($AC313=0,"",IF(AND(NOT(ISNUMBER($P313)),NOT(ISNUMBER($AA313))),"∞",MAX(0,MIN(IF(ISNUMBER($P313),$P313-$AF313-$Q313,1E+15),IF(ISNUMBER($AA313),$AA313-$AG313-$Q313,1E+15))))))</f>
        <v/>
      </c>
      <c r="S313" s="47" t="str">
        <f>IF($AD313="","",YEAR($AD313)*100+MONTH($AD313))</f>
        <v/>
      </c>
      <c r="T313" s="50" t="str">
        <f>IF($AD313="","",IFERROR(IF(INDEX(CARDS!$I$5:$I$34,MATCH($D313,CARDS!$A$5:$A$34,0))="","",IF(INDEX(CARDS!$I$5:$I$34,MATCH($D313,CARDS!$A$5:$A$34,0))&gt;INDEX(CARDS!$H$5:$H$34,MATCH($D313,CARDS!$A$5:$A$34,0)),DATE(YEAR($AD313),MONTH($AD313),MIN(INDEX(CARDS!$I$5:$I$34,MATCH($D313,CARDS!$A$5:$A$34,0)),DAY(EOMONTH($AD313,0)))),DATE(YEAR($AD313),MONTH($AD313)+1,MIN(INDEX(CARDS!$I$5:$I$34,MATCH($D313,CARDS!$A$5:$A$34,0)),DAY(EOMONTH($AD313,1)))))),""))</f>
        <v/>
      </c>
      <c r="U313" s="38" t="n"/>
      <c r="V313" s="37" t="n"/>
      <c r="W313" s="38" t="n"/>
      <c r="X313" s="38" t="n"/>
      <c r="Y313" s="44" t="str">
        <f>IF($AC313&gt;0,INDEX(CASHBACK_RULES!$A$5:$A$304,$AC313),"")</f>
        <v/>
      </c>
      <c r="Z313" s="45" t="str">
        <f>IF($AC313&gt;0,INDEX(CASHBACK_RULES!$E$5:$E$304,$AC313)&amp;"","")</f>
        <v/>
      </c>
      <c r="AA313" s="48" t="str">
        <f>IF($AC313&gt;0,IF(ISNUMBER(INDEX(CASHBACK_RULES!$K$5:$K$304,$AC313)),INDEX(CASHBACK_RULES!$K$5:$K$304,$AC313),"∞"),"")</f>
        <v/>
      </c>
      <c r="AB313" s="44" t="str">
        <f>IF(OR($B313="",$D313=""),"",IF($U313="Cancelled","Đã hủy",IF($AC313=0,"Không được hoàn",IF($Q313=0,IF(OR($O313&gt;0,$M313&lt;$L313),"Đã đạt cap","Không được hoàn"),IF(OR($Q313&lt;$O313,$M313&lt;$L313),"Hoàn một phần","Được hoàn")))))</f>
        <v/>
      </c>
      <c r="AC313" s="43">
        <f>IF(OR($B313="",$D313="",$I313="",$L313=""),0,IF($U313="Cancelled",0,IF($W313&lt;&gt;"",IFERROR(IF(INDEX(CASHBACK_RULES!$B$5:$B$304,MATCH($W313,CASHBACK_RULES!$A$5:$A$304,0))=$D313,MATCH($W313,CASHBACK_RULES!$A$5:$A$304,0),0),0),IFERROR(MATCH(1,INDEX((CASHBACK_RULES!$B$5:$B$304=$D313)*(CASHBACK_RULES!$G$5:$G$304=$I313)*(((CASHBACK_RULES!$N$5:$N$304="")+(CASHBACK_RULES!$N$5:$N$304&lt;=$B313))&gt;0)*(((CASHBACK_RULES!$O$5:$O$304="")+(CASHBACK_RULES!$O$5:$O$304&gt;=$B313))&gt;0)*(((CASHBACK_RULES!$M$5:$M$304="")+(CASHBACK_RULES!$M$5:$M$304&lt;=$L313))&gt;0),0),0),0))))</f>
        <v>0</v>
      </c>
      <c r="AD313" s="51" t="str">
        <f>IF(OR($B313="",$D313=""),"",IFERROR(IF(INDEX(CARDS!$H$5:$H$34,MATCH($D313,CARDS!$A$5:$A$34,0))="","",IF(DAY($B313)&lt;=INDEX(CARDS!$H$5:$H$34,MATCH($D313,CARDS!$A$5:$A$34,0)),DATE(YEAR($B313),MONTH($B313),MIN(INDEX(CARDS!$H$5:$H$34,MATCH($D313,CARDS!$A$5:$A$34,0)),DAY(EOMONTH($B313,0)))),DATE(YEAR($B313),MONTH($B313)+1,MIN(INDEX(CARDS!$H$5:$H$34,MATCH($D313,CARDS!$A$5:$A$34,0)),DAY(EOMONTH($B313,1)))))),""))</f>
        <v/>
      </c>
      <c r="AE313" s="52" t="str">
        <f>IF($C313="","",$C313&amp;"|"&amp;COUNTIF($C$5:$C313,$C313))</f>
        <v/>
      </c>
      <c r="AF313" s="53">
        <f>IF($AC313&gt;0,SUMIFS(Q$4:Q312,$D$4:$D312,$D313,$Z$4:$Z312,$Z313,$C$4:$C312,$C313),0)</f>
        <v>0</v>
      </c>
      <c r="AG313" s="53">
        <f>IF($AC313&gt;0,SUMIFS(Q$4:Q312,$D$4:$D312,$D313,$C$4:$C312,$C313),0)</f>
        <v>0</v>
      </c>
      <c r="AH313" s="53">
        <f>IF($AC313&gt;0,SUMIFS(M$4:M312,$D$4:$D312,$D313,$Z$4:$Z312,$Z313,$C$4:$C312,$C313),0)</f>
        <v>0</v>
      </c>
      <c r="AI313" s="43">
        <f>IF(OR($C313="",$I313=""),0,IF(COUNTIFS($C$5:$C313,$C313,$I$5:$I313,$I313)=1,1,0))</f>
        <v>0</v>
      </c>
      <c r="AJ313" s="43" t="str">
        <f>IF($AI313=1,SUMIFS($AI$4:$AI312,$C$4:$C312,$C313)+1,"")</f>
        <v/>
      </c>
      <c r="AK313" s="43">
        <f>IF(OR($C313="",$K313=""),0,IF(COUNTIFS($C$5:$C313,$C313,$K$5:$K313,$K313)=1,1,0))</f>
        <v>0</v>
      </c>
      <c r="AL313" s="43" t="str">
        <f>IF($AK313=1,SUMIFS($AK$4:$AK312,$C$4:$C312,$C313)+1,"")</f>
        <v/>
      </c>
      <c r="AM313" s="43">
        <f>IF(OR($C313="",$G313=""),0,IF(COUNTIFS($C$5:$C313,$C313,$G$5:$G313,$G313)=1,1,0))</f>
        <v>0</v>
      </c>
      <c r="AN313" s="43" t="str">
        <f>IF($AM313=1,SUMIFS($AM$4:$AM312,$C$4:$C312,$C313)+1,"")</f>
        <v/>
      </c>
    </row>
    <row r="314">
      <c r="A314" s="44" t="str">
        <f>IF(OR($B314="",$D314=""),"","TX"&amp;TEXT(ROW()-4,"0000"))</f>
        <v/>
      </c>
      <c r="B314" s="42" t="n"/>
      <c r="C314" s="47" t="str">
        <f>IF($B314="","",YEAR($B314)*100+MONTH($B314))</f>
        <v/>
      </c>
      <c r="D314" s="37" t="n"/>
      <c r="E314" s="45" t="str">
        <f>IF($D314="","",IFERROR(INDEX(CARDS!$B$5:$B$34,MATCH($D314,CARDS!$A$5:$A$34,0)),"⚠ Card ID?"))</f>
        <v/>
      </c>
      <c r="F314" s="45" t="str">
        <f>IF($D314="","",IFERROR(INDEX(CARDS!$C$5:$C$34,MATCH($D314,CARDS!$A$5:$A$34,0)),"⚠ Card ID?"))</f>
        <v/>
      </c>
      <c r="G314" s="37" t="n"/>
      <c r="H314" s="37" t="n"/>
      <c r="I314" s="41" t="n"/>
      <c r="J314" s="45" t="str">
        <f>IF($I314="","",IFERROR(INDEX(MCC_MASTER!$B$5:$B$504,MATCH($I314,MCC_MASTER!$A$5:$A$504,0)),"⚠ MCC chưa có"))</f>
        <v/>
      </c>
      <c r="K314" s="45" t="str">
        <f>IF($I314="","",IFERROR(IF(INDEX(MCC_MASTER!$C$5:$C$504,MATCH($I314,MCC_MASTER!$A$5:$A$504,0))="","Chưa phân loại",INDEX(MCC_MASTER!$C$5:$C$504,MATCH($I314,MCC_MASTER!$A$5:$A$504,0))),"Chưa phân loại"))</f>
        <v/>
      </c>
      <c r="L314" s="40" t="n"/>
      <c r="M314" s="48" t="str">
        <f>IF(OR($B314="",$D314=""),"",IF($AC314=0,0,IF(ISNUMBER(INDEX(CASHBACK_RULES!$L$5:$L$304,$AC314)),MAX(0,MIN($L314,INDEX(CASHBACK_RULES!$L$5:$L$304,$AC314)-$AH314)),MAX(0,$L314))))</f>
        <v/>
      </c>
      <c r="N314" s="49" t="str">
        <f>IF(OR($B314="",$D314=""),"",IF($AC314&gt;0,INDEX(CASHBACK_RULES!$I$5:$I$304,$AC314),0))</f>
        <v/>
      </c>
      <c r="O314" s="48" t="str">
        <f>IF(OR($B314="",$D314=""),"",ROUND($M314*$N314,0))</f>
        <v/>
      </c>
      <c r="P314" s="48" t="str">
        <f>IF($AC314&gt;0,IF(ISNUMBER(INDEX(CASHBACK_RULES!$J$5:$J$304,$AC314)),INDEX(CASHBACK_RULES!$J$5:$J$304,$AC314),"∞"),"")</f>
        <v/>
      </c>
      <c r="Q314" s="48" t="str">
        <f>IF(OR($B314="",$D314=""),"",IF($AC314=0,0,MAX(0,MIN($O314,IF(ISNUMBER($P314),$P314-$AF314,1E+15),IF(ISNUMBER($AA314),$AA314-$AG314,1E+15)))))</f>
        <v/>
      </c>
      <c r="R314" s="48" t="str">
        <f>IF(OR($B314="",$D314=""),"",IF($AC314=0,"",IF(AND(NOT(ISNUMBER($P314)),NOT(ISNUMBER($AA314))),"∞",MAX(0,MIN(IF(ISNUMBER($P314),$P314-$AF314-$Q314,1E+15),IF(ISNUMBER($AA314),$AA314-$AG314-$Q314,1E+15))))))</f>
        <v/>
      </c>
      <c r="S314" s="47" t="str">
        <f>IF($AD314="","",YEAR($AD314)*100+MONTH($AD314))</f>
        <v/>
      </c>
      <c r="T314" s="50" t="str">
        <f>IF($AD314="","",IFERROR(IF(INDEX(CARDS!$I$5:$I$34,MATCH($D314,CARDS!$A$5:$A$34,0))="","",IF(INDEX(CARDS!$I$5:$I$34,MATCH($D314,CARDS!$A$5:$A$34,0))&gt;INDEX(CARDS!$H$5:$H$34,MATCH($D314,CARDS!$A$5:$A$34,0)),DATE(YEAR($AD314),MONTH($AD314),MIN(INDEX(CARDS!$I$5:$I$34,MATCH($D314,CARDS!$A$5:$A$34,0)),DAY(EOMONTH($AD314,0)))),DATE(YEAR($AD314),MONTH($AD314)+1,MIN(INDEX(CARDS!$I$5:$I$34,MATCH($D314,CARDS!$A$5:$A$34,0)),DAY(EOMONTH($AD314,1)))))),""))</f>
        <v/>
      </c>
      <c r="U314" s="38" t="n"/>
      <c r="V314" s="37" t="n"/>
      <c r="W314" s="38" t="n"/>
      <c r="X314" s="38" t="n"/>
      <c r="Y314" s="44" t="str">
        <f>IF($AC314&gt;0,INDEX(CASHBACK_RULES!$A$5:$A$304,$AC314),"")</f>
        <v/>
      </c>
      <c r="Z314" s="45" t="str">
        <f>IF($AC314&gt;0,INDEX(CASHBACK_RULES!$E$5:$E$304,$AC314)&amp;"","")</f>
        <v/>
      </c>
      <c r="AA314" s="48" t="str">
        <f>IF($AC314&gt;0,IF(ISNUMBER(INDEX(CASHBACK_RULES!$K$5:$K$304,$AC314)),INDEX(CASHBACK_RULES!$K$5:$K$304,$AC314),"∞"),"")</f>
        <v/>
      </c>
      <c r="AB314" s="44" t="str">
        <f>IF(OR($B314="",$D314=""),"",IF($U314="Cancelled","Đã hủy",IF($AC314=0,"Không được hoàn",IF($Q314=0,IF(OR($O314&gt;0,$M314&lt;$L314),"Đã đạt cap","Không được hoàn"),IF(OR($Q314&lt;$O314,$M314&lt;$L314),"Hoàn một phần","Được hoàn")))))</f>
        <v/>
      </c>
      <c r="AC314" s="43">
        <f>IF(OR($B314="",$D314="",$I314="",$L314=""),0,IF($U314="Cancelled",0,IF($W314&lt;&gt;"",IFERROR(IF(INDEX(CASHBACK_RULES!$B$5:$B$304,MATCH($W314,CASHBACK_RULES!$A$5:$A$304,0))=$D314,MATCH($W314,CASHBACK_RULES!$A$5:$A$304,0),0),0),IFERROR(MATCH(1,INDEX((CASHBACK_RULES!$B$5:$B$304=$D314)*(CASHBACK_RULES!$G$5:$G$304=$I314)*(((CASHBACK_RULES!$N$5:$N$304="")+(CASHBACK_RULES!$N$5:$N$304&lt;=$B314))&gt;0)*(((CASHBACK_RULES!$O$5:$O$304="")+(CASHBACK_RULES!$O$5:$O$304&gt;=$B314))&gt;0)*(((CASHBACK_RULES!$M$5:$M$304="")+(CASHBACK_RULES!$M$5:$M$304&lt;=$L314))&gt;0),0),0),0))))</f>
        <v>0</v>
      </c>
      <c r="AD314" s="51" t="str">
        <f>IF(OR($B314="",$D314=""),"",IFERROR(IF(INDEX(CARDS!$H$5:$H$34,MATCH($D314,CARDS!$A$5:$A$34,0))="","",IF(DAY($B314)&lt;=INDEX(CARDS!$H$5:$H$34,MATCH($D314,CARDS!$A$5:$A$34,0)),DATE(YEAR($B314),MONTH($B314),MIN(INDEX(CARDS!$H$5:$H$34,MATCH($D314,CARDS!$A$5:$A$34,0)),DAY(EOMONTH($B314,0)))),DATE(YEAR($B314),MONTH($B314)+1,MIN(INDEX(CARDS!$H$5:$H$34,MATCH($D314,CARDS!$A$5:$A$34,0)),DAY(EOMONTH($B314,1)))))),""))</f>
        <v/>
      </c>
      <c r="AE314" s="52" t="str">
        <f>IF($C314="","",$C314&amp;"|"&amp;COUNTIF($C$5:$C314,$C314))</f>
        <v/>
      </c>
      <c r="AF314" s="53">
        <f>IF($AC314&gt;0,SUMIFS(Q$4:Q313,$D$4:$D313,$D314,$Z$4:$Z313,$Z314,$C$4:$C313,$C314),0)</f>
        <v>0</v>
      </c>
      <c r="AG314" s="53">
        <f>IF($AC314&gt;0,SUMIFS(Q$4:Q313,$D$4:$D313,$D314,$C$4:$C313,$C314),0)</f>
        <v>0</v>
      </c>
      <c r="AH314" s="53">
        <f>IF($AC314&gt;0,SUMIFS(M$4:M313,$D$4:$D313,$D314,$Z$4:$Z313,$Z314,$C$4:$C313,$C314),0)</f>
        <v>0</v>
      </c>
      <c r="AI314" s="43">
        <f>IF(OR($C314="",$I314=""),0,IF(COUNTIFS($C$5:$C314,$C314,$I$5:$I314,$I314)=1,1,0))</f>
        <v>0</v>
      </c>
      <c r="AJ314" s="43" t="str">
        <f>IF($AI314=1,SUMIFS($AI$4:$AI313,$C$4:$C313,$C314)+1,"")</f>
        <v/>
      </c>
      <c r="AK314" s="43">
        <f>IF(OR($C314="",$K314=""),0,IF(COUNTIFS($C$5:$C314,$C314,$K$5:$K314,$K314)=1,1,0))</f>
        <v>0</v>
      </c>
      <c r="AL314" s="43" t="str">
        <f>IF($AK314=1,SUMIFS($AK$4:$AK313,$C$4:$C313,$C314)+1,"")</f>
        <v/>
      </c>
      <c r="AM314" s="43">
        <f>IF(OR($C314="",$G314=""),0,IF(COUNTIFS($C$5:$C314,$C314,$G$5:$G314,$G314)=1,1,0))</f>
        <v>0</v>
      </c>
      <c r="AN314" s="43" t="str">
        <f>IF($AM314=1,SUMIFS($AM$4:$AM313,$C$4:$C313,$C314)+1,"")</f>
        <v/>
      </c>
    </row>
    <row r="315">
      <c r="A315" s="44" t="str">
        <f>IF(OR($B315="",$D315=""),"","TX"&amp;TEXT(ROW()-4,"0000"))</f>
        <v/>
      </c>
      <c r="B315" s="42" t="n"/>
      <c r="C315" s="47" t="str">
        <f>IF($B315="","",YEAR($B315)*100+MONTH($B315))</f>
        <v/>
      </c>
      <c r="D315" s="37" t="n"/>
      <c r="E315" s="45" t="str">
        <f>IF($D315="","",IFERROR(INDEX(CARDS!$B$5:$B$34,MATCH($D315,CARDS!$A$5:$A$34,0)),"⚠ Card ID?"))</f>
        <v/>
      </c>
      <c r="F315" s="45" t="str">
        <f>IF($D315="","",IFERROR(INDEX(CARDS!$C$5:$C$34,MATCH($D315,CARDS!$A$5:$A$34,0)),"⚠ Card ID?"))</f>
        <v/>
      </c>
      <c r="G315" s="37" t="n"/>
      <c r="H315" s="37" t="n"/>
      <c r="I315" s="41" t="n"/>
      <c r="J315" s="45" t="str">
        <f>IF($I315="","",IFERROR(INDEX(MCC_MASTER!$B$5:$B$504,MATCH($I315,MCC_MASTER!$A$5:$A$504,0)),"⚠ MCC chưa có"))</f>
        <v/>
      </c>
      <c r="K315" s="45" t="str">
        <f>IF($I315="","",IFERROR(IF(INDEX(MCC_MASTER!$C$5:$C$504,MATCH($I315,MCC_MASTER!$A$5:$A$504,0))="","Chưa phân loại",INDEX(MCC_MASTER!$C$5:$C$504,MATCH($I315,MCC_MASTER!$A$5:$A$504,0))),"Chưa phân loại"))</f>
        <v/>
      </c>
      <c r="L315" s="40" t="n"/>
      <c r="M315" s="48" t="str">
        <f>IF(OR($B315="",$D315=""),"",IF($AC315=0,0,IF(ISNUMBER(INDEX(CASHBACK_RULES!$L$5:$L$304,$AC315)),MAX(0,MIN($L315,INDEX(CASHBACK_RULES!$L$5:$L$304,$AC315)-$AH315)),MAX(0,$L315))))</f>
        <v/>
      </c>
      <c r="N315" s="49" t="str">
        <f>IF(OR($B315="",$D315=""),"",IF($AC315&gt;0,INDEX(CASHBACK_RULES!$I$5:$I$304,$AC315),0))</f>
        <v/>
      </c>
      <c r="O315" s="48" t="str">
        <f>IF(OR($B315="",$D315=""),"",ROUND($M315*$N315,0))</f>
        <v/>
      </c>
      <c r="P315" s="48" t="str">
        <f>IF($AC315&gt;0,IF(ISNUMBER(INDEX(CASHBACK_RULES!$J$5:$J$304,$AC315)),INDEX(CASHBACK_RULES!$J$5:$J$304,$AC315),"∞"),"")</f>
        <v/>
      </c>
      <c r="Q315" s="48" t="str">
        <f>IF(OR($B315="",$D315=""),"",IF($AC315=0,0,MAX(0,MIN($O315,IF(ISNUMBER($P315),$P315-$AF315,1E+15),IF(ISNUMBER($AA315),$AA315-$AG315,1E+15)))))</f>
        <v/>
      </c>
      <c r="R315" s="48" t="str">
        <f>IF(OR($B315="",$D315=""),"",IF($AC315=0,"",IF(AND(NOT(ISNUMBER($P315)),NOT(ISNUMBER($AA315))),"∞",MAX(0,MIN(IF(ISNUMBER($P315),$P315-$AF315-$Q315,1E+15),IF(ISNUMBER($AA315),$AA315-$AG315-$Q315,1E+15))))))</f>
        <v/>
      </c>
      <c r="S315" s="47" t="str">
        <f>IF($AD315="","",YEAR($AD315)*100+MONTH($AD315))</f>
        <v/>
      </c>
      <c r="T315" s="50" t="str">
        <f>IF($AD315="","",IFERROR(IF(INDEX(CARDS!$I$5:$I$34,MATCH($D315,CARDS!$A$5:$A$34,0))="","",IF(INDEX(CARDS!$I$5:$I$34,MATCH($D315,CARDS!$A$5:$A$34,0))&gt;INDEX(CARDS!$H$5:$H$34,MATCH($D315,CARDS!$A$5:$A$34,0)),DATE(YEAR($AD315),MONTH($AD315),MIN(INDEX(CARDS!$I$5:$I$34,MATCH($D315,CARDS!$A$5:$A$34,0)),DAY(EOMONTH($AD315,0)))),DATE(YEAR($AD315),MONTH($AD315)+1,MIN(INDEX(CARDS!$I$5:$I$34,MATCH($D315,CARDS!$A$5:$A$34,0)),DAY(EOMONTH($AD315,1)))))),""))</f>
        <v/>
      </c>
      <c r="U315" s="38" t="n"/>
      <c r="V315" s="37" t="n"/>
      <c r="W315" s="38" t="n"/>
      <c r="X315" s="38" t="n"/>
      <c r="Y315" s="44" t="str">
        <f>IF($AC315&gt;0,INDEX(CASHBACK_RULES!$A$5:$A$304,$AC315),"")</f>
        <v/>
      </c>
      <c r="Z315" s="45" t="str">
        <f>IF($AC315&gt;0,INDEX(CASHBACK_RULES!$E$5:$E$304,$AC315)&amp;"","")</f>
        <v/>
      </c>
      <c r="AA315" s="48" t="str">
        <f>IF($AC315&gt;0,IF(ISNUMBER(INDEX(CASHBACK_RULES!$K$5:$K$304,$AC315)),INDEX(CASHBACK_RULES!$K$5:$K$304,$AC315),"∞"),"")</f>
        <v/>
      </c>
      <c r="AB315" s="44" t="str">
        <f>IF(OR($B315="",$D315=""),"",IF($U315="Cancelled","Đã hủy",IF($AC315=0,"Không được hoàn",IF($Q315=0,IF(OR($O315&gt;0,$M315&lt;$L315),"Đã đạt cap","Không được hoàn"),IF(OR($Q315&lt;$O315,$M315&lt;$L315),"Hoàn một phần","Được hoàn")))))</f>
        <v/>
      </c>
      <c r="AC315" s="43">
        <f>IF(OR($B315="",$D315="",$I315="",$L315=""),0,IF($U315="Cancelled",0,IF($W315&lt;&gt;"",IFERROR(IF(INDEX(CASHBACK_RULES!$B$5:$B$304,MATCH($W315,CASHBACK_RULES!$A$5:$A$304,0))=$D315,MATCH($W315,CASHBACK_RULES!$A$5:$A$304,0),0),0),IFERROR(MATCH(1,INDEX((CASHBACK_RULES!$B$5:$B$304=$D315)*(CASHBACK_RULES!$G$5:$G$304=$I315)*(((CASHBACK_RULES!$N$5:$N$304="")+(CASHBACK_RULES!$N$5:$N$304&lt;=$B315))&gt;0)*(((CASHBACK_RULES!$O$5:$O$304="")+(CASHBACK_RULES!$O$5:$O$304&gt;=$B315))&gt;0)*(((CASHBACK_RULES!$M$5:$M$304="")+(CASHBACK_RULES!$M$5:$M$304&lt;=$L315))&gt;0),0),0),0))))</f>
        <v>0</v>
      </c>
      <c r="AD315" s="51" t="str">
        <f>IF(OR($B315="",$D315=""),"",IFERROR(IF(INDEX(CARDS!$H$5:$H$34,MATCH($D315,CARDS!$A$5:$A$34,0))="","",IF(DAY($B315)&lt;=INDEX(CARDS!$H$5:$H$34,MATCH($D315,CARDS!$A$5:$A$34,0)),DATE(YEAR($B315),MONTH($B315),MIN(INDEX(CARDS!$H$5:$H$34,MATCH($D315,CARDS!$A$5:$A$34,0)),DAY(EOMONTH($B315,0)))),DATE(YEAR($B315),MONTH($B315)+1,MIN(INDEX(CARDS!$H$5:$H$34,MATCH($D315,CARDS!$A$5:$A$34,0)),DAY(EOMONTH($B315,1)))))),""))</f>
        <v/>
      </c>
      <c r="AE315" s="52" t="str">
        <f>IF($C315="","",$C315&amp;"|"&amp;COUNTIF($C$5:$C315,$C315))</f>
        <v/>
      </c>
      <c r="AF315" s="53">
        <f>IF($AC315&gt;0,SUMIFS(Q$4:Q314,$D$4:$D314,$D315,$Z$4:$Z314,$Z315,$C$4:$C314,$C315),0)</f>
        <v>0</v>
      </c>
      <c r="AG315" s="53">
        <f>IF($AC315&gt;0,SUMIFS(Q$4:Q314,$D$4:$D314,$D315,$C$4:$C314,$C315),0)</f>
        <v>0</v>
      </c>
      <c r="AH315" s="53">
        <f>IF($AC315&gt;0,SUMIFS(M$4:M314,$D$4:$D314,$D315,$Z$4:$Z314,$Z315,$C$4:$C314,$C315),0)</f>
        <v>0</v>
      </c>
      <c r="AI315" s="43">
        <f>IF(OR($C315="",$I315=""),0,IF(COUNTIFS($C$5:$C315,$C315,$I$5:$I315,$I315)=1,1,0))</f>
        <v>0</v>
      </c>
      <c r="AJ315" s="43" t="str">
        <f>IF($AI315=1,SUMIFS($AI$4:$AI314,$C$4:$C314,$C315)+1,"")</f>
        <v/>
      </c>
      <c r="AK315" s="43">
        <f>IF(OR($C315="",$K315=""),0,IF(COUNTIFS($C$5:$C315,$C315,$K$5:$K315,$K315)=1,1,0))</f>
        <v>0</v>
      </c>
      <c r="AL315" s="43" t="str">
        <f>IF($AK315=1,SUMIFS($AK$4:$AK314,$C$4:$C314,$C315)+1,"")</f>
        <v/>
      </c>
      <c r="AM315" s="43">
        <f>IF(OR($C315="",$G315=""),0,IF(COUNTIFS($C$5:$C315,$C315,$G$5:$G315,$G315)=1,1,0))</f>
        <v>0</v>
      </c>
      <c r="AN315" s="43" t="str">
        <f>IF($AM315=1,SUMIFS($AM$4:$AM314,$C$4:$C314,$C315)+1,"")</f>
        <v/>
      </c>
    </row>
    <row r="316">
      <c r="A316" s="44" t="str">
        <f>IF(OR($B316="",$D316=""),"","TX"&amp;TEXT(ROW()-4,"0000"))</f>
        <v/>
      </c>
      <c r="B316" s="42" t="n"/>
      <c r="C316" s="47" t="str">
        <f>IF($B316="","",YEAR($B316)*100+MONTH($B316))</f>
        <v/>
      </c>
      <c r="D316" s="37" t="n"/>
      <c r="E316" s="45" t="str">
        <f>IF($D316="","",IFERROR(INDEX(CARDS!$B$5:$B$34,MATCH($D316,CARDS!$A$5:$A$34,0)),"⚠ Card ID?"))</f>
        <v/>
      </c>
      <c r="F316" s="45" t="str">
        <f>IF($D316="","",IFERROR(INDEX(CARDS!$C$5:$C$34,MATCH($D316,CARDS!$A$5:$A$34,0)),"⚠ Card ID?"))</f>
        <v/>
      </c>
      <c r="G316" s="37" t="n"/>
      <c r="H316" s="37" t="n"/>
      <c r="I316" s="41" t="n"/>
      <c r="J316" s="45" t="str">
        <f>IF($I316="","",IFERROR(INDEX(MCC_MASTER!$B$5:$B$504,MATCH($I316,MCC_MASTER!$A$5:$A$504,0)),"⚠ MCC chưa có"))</f>
        <v/>
      </c>
      <c r="K316" s="45" t="str">
        <f>IF($I316="","",IFERROR(IF(INDEX(MCC_MASTER!$C$5:$C$504,MATCH($I316,MCC_MASTER!$A$5:$A$504,0))="","Chưa phân loại",INDEX(MCC_MASTER!$C$5:$C$504,MATCH($I316,MCC_MASTER!$A$5:$A$504,0))),"Chưa phân loại"))</f>
        <v/>
      </c>
      <c r="L316" s="40" t="n"/>
      <c r="M316" s="48" t="str">
        <f>IF(OR($B316="",$D316=""),"",IF($AC316=0,0,IF(ISNUMBER(INDEX(CASHBACK_RULES!$L$5:$L$304,$AC316)),MAX(0,MIN($L316,INDEX(CASHBACK_RULES!$L$5:$L$304,$AC316)-$AH316)),MAX(0,$L316))))</f>
        <v/>
      </c>
      <c r="N316" s="49" t="str">
        <f>IF(OR($B316="",$D316=""),"",IF($AC316&gt;0,INDEX(CASHBACK_RULES!$I$5:$I$304,$AC316),0))</f>
        <v/>
      </c>
      <c r="O316" s="48" t="str">
        <f>IF(OR($B316="",$D316=""),"",ROUND($M316*$N316,0))</f>
        <v/>
      </c>
      <c r="P316" s="48" t="str">
        <f>IF($AC316&gt;0,IF(ISNUMBER(INDEX(CASHBACK_RULES!$J$5:$J$304,$AC316)),INDEX(CASHBACK_RULES!$J$5:$J$304,$AC316),"∞"),"")</f>
        <v/>
      </c>
      <c r="Q316" s="48" t="str">
        <f>IF(OR($B316="",$D316=""),"",IF($AC316=0,0,MAX(0,MIN($O316,IF(ISNUMBER($P316),$P316-$AF316,1E+15),IF(ISNUMBER($AA316),$AA316-$AG316,1E+15)))))</f>
        <v/>
      </c>
      <c r="R316" s="48" t="str">
        <f>IF(OR($B316="",$D316=""),"",IF($AC316=0,"",IF(AND(NOT(ISNUMBER($P316)),NOT(ISNUMBER($AA316))),"∞",MAX(0,MIN(IF(ISNUMBER($P316),$P316-$AF316-$Q316,1E+15),IF(ISNUMBER($AA316),$AA316-$AG316-$Q316,1E+15))))))</f>
        <v/>
      </c>
      <c r="S316" s="47" t="str">
        <f>IF($AD316="","",YEAR($AD316)*100+MONTH($AD316))</f>
        <v/>
      </c>
      <c r="T316" s="50" t="str">
        <f>IF($AD316="","",IFERROR(IF(INDEX(CARDS!$I$5:$I$34,MATCH($D316,CARDS!$A$5:$A$34,0))="","",IF(INDEX(CARDS!$I$5:$I$34,MATCH($D316,CARDS!$A$5:$A$34,0))&gt;INDEX(CARDS!$H$5:$H$34,MATCH($D316,CARDS!$A$5:$A$34,0)),DATE(YEAR($AD316),MONTH($AD316),MIN(INDEX(CARDS!$I$5:$I$34,MATCH($D316,CARDS!$A$5:$A$34,0)),DAY(EOMONTH($AD316,0)))),DATE(YEAR($AD316),MONTH($AD316)+1,MIN(INDEX(CARDS!$I$5:$I$34,MATCH($D316,CARDS!$A$5:$A$34,0)),DAY(EOMONTH($AD316,1)))))),""))</f>
        <v/>
      </c>
      <c r="U316" s="38" t="n"/>
      <c r="V316" s="37" t="n"/>
      <c r="W316" s="38" t="n"/>
      <c r="X316" s="38" t="n"/>
      <c r="Y316" s="44" t="str">
        <f>IF($AC316&gt;0,INDEX(CASHBACK_RULES!$A$5:$A$304,$AC316),"")</f>
        <v/>
      </c>
      <c r="Z316" s="45" t="str">
        <f>IF($AC316&gt;0,INDEX(CASHBACK_RULES!$E$5:$E$304,$AC316)&amp;"","")</f>
        <v/>
      </c>
      <c r="AA316" s="48" t="str">
        <f>IF($AC316&gt;0,IF(ISNUMBER(INDEX(CASHBACK_RULES!$K$5:$K$304,$AC316)),INDEX(CASHBACK_RULES!$K$5:$K$304,$AC316),"∞"),"")</f>
        <v/>
      </c>
      <c r="AB316" s="44" t="str">
        <f>IF(OR($B316="",$D316=""),"",IF($U316="Cancelled","Đã hủy",IF($AC316=0,"Không được hoàn",IF($Q316=0,IF(OR($O316&gt;0,$M316&lt;$L316),"Đã đạt cap","Không được hoàn"),IF(OR($Q316&lt;$O316,$M316&lt;$L316),"Hoàn một phần","Được hoàn")))))</f>
        <v/>
      </c>
      <c r="AC316" s="43">
        <f>IF(OR($B316="",$D316="",$I316="",$L316=""),0,IF($U316="Cancelled",0,IF($W316&lt;&gt;"",IFERROR(IF(INDEX(CASHBACK_RULES!$B$5:$B$304,MATCH($W316,CASHBACK_RULES!$A$5:$A$304,0))=$D316,MATCH($W316,CASHBACK_RULES!$A$5:$A$304,0),0),0),IFERROR(MATCH(1,INDEX((CASHBACK_RULES!$B$5:$B$304=$D316)*(CASHBACK_RULES!$G$5:$G$304=$I316)*(((CASHBACK_RULES!$N$5:$N$304="")+(CASHBACK_RULES!$N$5:$N$304&lt;=$B316))&gt;0)*(((CASHBACK_RULES!$O$5:$O$304="")+(CASHBACK_RULES!$O$5:$O$304&gt;=$B316))&gt;0)*(((CASHBACK_RULES!$M$5:$M$304="")+(CASHBACK_RULES!$M$5:$M$304&lt;=$L316))&gt;0),0),0),0))))</f>
        <v>0</v>
      </c>
      <c r="AD316" s="51" t="str">
        <f>IF(OR($B316="",$D316=""),"",IFERROR(IF(INDEX(CARDS!$H$5:$H$34,MATCH($D316,CARDS!$A$5:$A$34,0))="","",IF(DAY($B316)&lt;=INDEX(CARDS!$H$5:$H$34,MATCH($D316,CARDS!$A$5:$A$34,0)),DATE(YEAR($B316),MONTH($B316),MIN(INDEX(CARDS!$H$5:$H$34,MATCH($D316,CARDS!$A$5:$A$34,0)),DAY(EOMONTH($B316,0)))),DATE(YEAR($B316),MONTH($B316)+1,MIN(INDEX(CARDS!$H$5:$H$34,MATCH($D316,CARDS!$A$5:$A$34,0)),DAY(EOMONTH($B316,1)))))),""))</f>
        <v/>
      </c>
      <c r="AE316" s="52" t="str">
        <f>IF($C316="","",$C316&amp;"|"&amp;COUNTIF($C$5:$C316,$C316))</f>
        <v/>
      </c>
      <c r="AF316" s="53">
        <f>IF($AC316&gt;0,SUMIFS(Q$4:Q315,$D$4:$D315,$D316,$Z$4:$Z315,$Z316,$C$4:$C315,$C316),0)</f>
        <v>0</v>
      </c>
      <c r="AG316" s="53">
        <f>IF($AC316&gt;0,SUMIFS(Q$4:Q315,$D$4:$D315,$D316,$C$4:$C315,$C316),0)</f>
        <v>0</v>
      </c>
      <c r="AH316" s="53">
        <f>IF($AC316&gt;0,SUMIFS(M$4:M315,$D$4:$D315,$D316,$Z$4:$Z315,$Z316,$C$4:$C315,$C316),0)</f>
        <v>0</v>
      </c>
      <c r="AI316" s="43">
        <f>IF(OR($C316="",$I316=""),0,IF(COUNTIFS($C$5:$C316,$C316,$I$5:$I316,$I316)=1,1,0))</f>
        <v>0</v>
      </c>
      <c r="AJ316" s="43" t="str">
        <f>IF($AI316=1,SUMIFS($AI$4:$AI315,$C$4:$C315,$C316)+1,"")</f>
        <v/>
      </c>
      <c r="AK316" s="43">
        <f>IF(OR($C316="",$K316=""),0,IF(COUNTIFS($C$5:$C316,$C316,$K$5:$K316,$K316)=1,1,0))</f>
        <v>0</v>
      </c>
      <c r="AL316" s="43" t="str">
        <f>IF($AK316=1,SUMIFS($AK$4:$AK315,$C$4:$C315,$C316)+1,"")</f>
        <v/>
      </c>
      <c r="AM316" s="43">
        <f>IF(OR($C316="",$G316=""),0,IF(COUNTIFS($C$5:$C316,$C316,$G$5:$G316,$G316)=1,1,0))</f>
        <v>0</v>
      </c>
      <c r="AN316" s="43" t="str">
        <f>IF($AM316=1,SUMIFS($AM$4:$AM315,$C$4:$C315,$C316)+1,"")</f>
        <v/>
      </c>
    </row>
    <row r="317">
      <c r="A317" s="44" t="str">
        <f>IF(OR($B317="",$D317=""),"","TX"&amp;TEXT(ROW()-4,"0000"))</f>
        <v/>
      </c>
      <c r="B317" s="42" t="n"/>
      <c r="C317" s="47" t="str">
        <f>IF($B317="","",YEAR($B317)*100+MONTH($B317))</f>
        <v/>
      </c>
      <c r="D317" s="37" t="n"/>
      <c r="E317" s="45" t="str">
        <f>IF($D317="","",IFERROR(INDEX(CARDS!$B$5:$B$34,MATCH($D317,CARDS!$A$5:$A$34,0)),"⚠ Card ID?"))</f>
        <v/>
      </c>
      <c r="F317" s="45" t="str">
        <f>IF($D317="","",IFERROR(INDEX(CARDS!$C$5:$C$34,MATCH($D317,CARDS!$A$5:$A$34,0)),"⚠ Card ID?"))</f>
        <v/>
      </c>
      <c r="G317" s="37" t="n"/>
      <c r="H317" s="37" t="n"/>
      <c r="I317" s="41" t="n"/>
      <c r="J317" s="45" t="str">
        <f>IF($I317="","",IFERROR(INDEX(MCC_MASTER!$B$5:$B$504,MATCH($I317,MCC_MASTER!$A$5:$A$504,0)),"⚠ MCC chưa có"))</f>
        <v/>
      </c>
      <c r="K317" s="45" t="str">
        <f>IF($I317="","",IFERROR(IF(INDEX(MCC_MASTER!$C$5:$C$504,MATCH($I317,MCC_MASTER!$A$5:$A$504,0))="","Chưa phân loại",INDEX(MCC_MASTER!$C$5:$C$504,MATCH($I317,MCC_MASTER!$A$5:$A$504,0))),"Chưa phân loại"))</f>
        <v/>
      </c>
      <c r="L317" s="40" t="n"/>
      <c r="M317" s="48" t="str">
        <f>IF(OR($B317="",$D317=""),"",IF($AC317=0,0,IF(ISNUMBER(INDEX(CASHBACK_RULES!$L$5:$L$304,$AC317)),MAX(0,MIN($L317,INDEX(CASHBACK_RULES!$L$5:$L$304,$AC317)-$AH317)),MAX(0,$L317))))</f>
        <v/>
      </c>
      <c r="N317" s="49" t="str">
        <f>IF(OR($B317="",$D317=""),"",IF($AC317&gt;0,INDEX(CASHBACK_RULES!$I$5:$I$304,$AC317),0))</f>
        <v/>
      </c>
      <c r="O317" s="48" t="str">
        <f>IF(OR($B317="",$D317=""),"",ROUND($M317*$N317,0))</f>
        <v/>
      </c>
      <c r="P317" s="48" t="str">
        <f>IF($AC317&gt;0,IF(ISNUMBER(INDEX(CASHBACK_RULES!$J$5:$J$304,$AC317)),INDEX(CASHBACK_RULES!$J$5:$J$304,$AC317),"∞"),"")</f>
        <v/>
      </c>
      <c r="Q317" s="48" t="str">
        <f>IF(OR($B317="",$D317=""),"",IF($AC317=0,0,MAX(0,MIN($O317,IF(ISNUMBER($P317),$P317-$AF317,1E+15),IF(ISNUMBER($AA317),$AA317-$AG317,1E+15)))))</f>
        <v/>
      </c>
      <c r="R317" s="48" t="str">
        <f>IF(OR($B317="",$D317=""),"",IF($AC317=0,"",IF(AND(NOT(ISNUMBER($P317)),NOT(ISNUMBER($AA317))),"∞",MAX(0,MIN(IF(ISNUMBER($P317),$P317-$AF317-$Q317,1E+15),IF(ISNUMBER($AA317),$AA317-$AG317-$Q317,1E+15))))))</f>
        <v/>
      </c>
      <c r="S317" s="47" t="str">
        <f>IF($AD317="","",YEAR($AD317)*100+MONTH($AD317))</f>
        <v/>
      </c>
      <c r="T317" s="50" t="str">
        <f>IF($AD317="","",IFERROR(IF(INDEX(CARDS!$I$5:$I$34,MATCH($D317,CARDS!$A$5:$A$34,0))="","",IF(INDEX(CARDS!$I$5:$I$34,MATCH($D317,CARDS!$A$5:$A$34,0))&gt;INDEX(CARDS!$H$5:$H$34,MATCH($D317,CARDS!$A$5:$A$34,0)),DATE(YEAR($AD317),MONTH($AD317),MIN(INDEX(CARDS!$I$5:$I$34,MATCH($D317,CARDS!$A$5:$A$34,0)),DAY(EOMONTH($AD317,0)))),DATE(YEAR($AD317),MONTH($AD317)+1,MIN(INDEX(CARDS!$I$5:$I$34,MATCH($D317,CARDS!$A$5:$A$34,0)),DAY(EOMONTH($AD317,1)))))),""))</f>
        <v/>
      </c>
      <c r="U317" s="38" t="n"/>
      <c r="V317" s="37" t="n"/>
      <c r="W317" s="38" t="n"/>
      <c r="X317" s="38" t="n"/>
      <c r="Y317" s="44" t="str">
        <f>IF($AC317&gt;0,INDEX(CASHBACK_RULES!$A$5:$A$304,$AC317),"")</f>
        <v/>
      </c>
      <c r="Z317" s="45" t="str">
        <f>IF($AC317&gt;0,INDEX(CASHBACK_RULES!$E$5:$E$304,$AC317)&amp;"","")</f>
        <v/>
      </c>
      <c r="AA317" s="48" t="str">
        <f>IF($AC317&gt;0,IF(ISNUMBER(INDEX(CASHBACK_RULES!$K$5:$K$304,$AC317)),INDEX(CASHBACK_RULES!$K$5:$K$304,$AC317),"∞"),"")</f>
        <v/>
      </c>
      <c r="AB317" s="44" t="str">
        <f>IF(OR($B317="",$D317=""),"",IF($U317="Cancelled","Đã hủy",IF($AC317=0,"Không được hoàn",IF($Q317=0,IF(OR($O317&gt;0,$M317&lt;$L317),"Đã đạt cap","Không được hoàn"),IF(OR($Q317&lt;$O317,$M317&lt;$L317),"Hoàn một phần","Được hoàn")))))</f>
        <v/>
      </c>
      <c r="AC317" s="43">
        <f>IF(OR($B317="",$D317="",$I317="",$L317=""),0,IF($U317="Cancelled",0,IF($W317&lt;&gt;"",IFERROR(IF(INDEX(CASHBACK_RULES!$B$5:$B$304,MATCH($W317,CASHBACK_RULES!$A$5:$A$304,0))=$D317,MATCH($W317,CASHBACK_RULES!$A$5:$A$304,0),0),0),IFERROR(MATCH(1,INDEX((CASHBACK_RULES!$B$5:$B$304=$D317)*(CASHBACK_RULES!$G$5:$G$304=$I317)*(((CASHBACK_RULES!$N$5:$N$304="")+(CASHBACK_RULES!$N$5:$N$304&lt;=$B317))&gt;0)*(((CASHBACK_RULES!$O$5:$O$304="")+(CASHBACK_RULES!$O$5:$O$304&gt;=$B317))&gt;0)*(((CASHBACK_RULES!$M$5:$M$304="")+(CASHBACK_RULES!$M$5:$M$304&lt;=$L317))&gt;0),0),0),0))))</f>
        <v>0</v>
      </c>
      <c r="AD317" s="51" t="str">
        <f>IF(OR($B317="",$D317=""),"",IFERROR(IF(INDEX(CARDS!$H$5:$H$34,MATCH($D317,CARDS!$A$5:$A$34,0))="","",IF(DAY($B317)&lt;=INDEX(CARDS!$H$5:$H$34,MATCH($D317,CARDS!$A$5:$A$34,0)),DATE(YEAR($B317),MONTH($B317),MIN(INDEX(CARDS!$H$5:$H$34,MATCH($D317,CARDS!$A$5:$A$34,0)),DAY(EOMONTH($B317,0)))),DATE(YEAR($B317),MONTH($B317)+1,MIN(INDEX(CARDS!$H$5:$H$34,MATCH($D317,CARDS!$A$5:$A$34,0)),DAY(EOMONTH($B317,1)))))),""))</f>
        <v/>
      </c>
      <c r="AE317" s="52" t="str">
        <f>IF($C317="","",$C317&amp;"|"&amp;COUNTIF($C$5:$C317,$C317))</f>
        <v/>
      </c>
      <c r="AF317" s="53">
        <f>IF($AC317&gt;0,SUMIFS(Q$4:Q316,$D$4:$D316,$D317,$Z$4:$Z316,$Z317,$C$4:$C316,$C317),0)</f>
        <v>0</v>
      </c>
      <c r="AG317" s="53">
        <f>IF($AC317&gt;0,SUMIFS(Q$4:Q316,$D$4:$D316,$D317,$C$4:$C316,$C317),0)</f>
        <v>0</v>
      </c>
      <c r="AH317" s="53">
        <f>IF($AC317&gt;0,SUMIFS(M$4:M316,$D$4:$D316,$D317,$Z$4:$Z316,$Z317,$C$4:$C316,$C317),0)</f>
        <v>0</v>
      </c>
      <c r="AI317" s="43">
        <f>IF(OR($C317="",$I317=""),0,IF(COUNTIFS($C$5:$C317,$C317,$I$5:$I317,$I317)=1,1,0))</f>
        <v>0</v>
      </c>
      <c r="AJ317" s="43" t="str">
        <f>IF($AI317=1,SUMIFS($AI$4:$AI316,$C$4:$C316,$C317)+1,"")</f>
        <v/>
      </c>
      <c r="AK317" s="43">
        <f>IF(OR($C317="",$K317=""),0,IF(COUNTIFS($C$5:$C317,$C317,$K$5:$K317,$K317)=1,1,0))</f>
        <v>0</v>
      </c>
      <c r="AL317" s="43" t="str">
        <f>IF($AK317=1,SUMIFS($AK$4:$AK316,$C$4:$C316,$C317)+1,"")</f>
        <v/>
      </c>
      <c r="AM317" s="43">
        <f>IF(OR($C317="",$G317=""),0,IF(COUNTIFS($C$5:$C317,$C317,$G$5:$G317,$G317)=1,1,0))</f>
        <v>0</v>
      </c>
      <c r="AN317" s="43" t="str">
        <f>IF($AM317=1,SUMIFS($AM$4:$AM316,$C$4:$C316,$C317)+1,"")</f>
        <v/>
      </c>
    </row>
    <row r="318">
      <c r="A318" s="44" t="str">
        <f>IF(OR($B318="",$D318=""),"","TX"&amp;TEXT(ROW()-4,"0000"))</f>
        <v/>
      </c>
      <c r="B318" s="42" t="n"/>
      <c r="C318" s="47" t="str">
        <f>IF($B318="","",YEAR($B318)*100+MONTH($B318))</f>
        <v/>
      </c>
      <c r="D318" s="37" t="n"/>
      <c r="E318" s="45" t="str">
        <f>IF($D318="","",IFERROR(INDEX(CARDS!$B$5:$B$34,MATCH($D318,CARDS!$A$5:$A$34,0)),"⚠ Card ID?"))</f>
        <v/>
      </c>
      <c r="F318" s="45" t="str">
        <f>IF($D318="","",IFERROR(INDEX(CARDS!$C$5:$C$34,MATCH($D318,CARDS!$A$5:$A$34,0)),"⚠ Card ID?"))</f>
        <v/>
      </c>
      <c r="G318" s="37" t="n"/>
      <c r="H318" s="37" t="n"/>
      <c r="I318" s="41" t="n"/>
      <c r="J318" s="45" t="str">
        <f>IF($I318="","",IFERROR(INDEX(MCC_MASTER!$B$5:$B$504,MATCH($I318,MCC_MASTER!$A$5:$A$504,0)),"⚠ MCC chưa có"))</f>
        <v/>
      </c>
      <c r="K318" s="45" t="str">
        <f>IF($I318="","",IFERROR(IF(INDEX(MCC_MASTER!$C$5:$C$504,MATCH($I318,MCC_MASTER!$A$5:$A$504,0))="","Chưa phân loại",INDEX(MCC_MASTER!$C$5:$C$504,MATCH($I318,MCC_MASTER!$A$5:$A$504,0))),"Chưa phân loại"))</f>
        <v/>
      </c>
      <c r="L318" s="40" t="n"/>
      <c r="M318" s="48" t="str">
        <f>IF(OR($B318="",$D318=""),"",IF($AC318=0,0,IF(ISNUMBER(INDEX(CASHBACK_RULES!$L$5:$L$304,$AC318)),MAX(0,MIN($L318,INDEX(CASHBACK_RULES!$L$5:$L$304,$AC318)-$AH318)),MAX(0,$L318))))</f>
        <v/>
      </c>
      <c r="N318" s="49" t="str">
        <f>IF(OR($B318="",$D318=""),"",IF($AC318&gt;0,INDEX(CASHBACK_RULES!$I$5:$I$304,$AC318),0))</f>
        <v/>
      </c>
      <c r="O318" s="48" t="str">
        <f>IF(OR($B318="",$D318=""),"",ROUND($M318*$N318,0))</f>
        <v/>
      </c>
      <c r="P318" s="48" t="str">
        <f>IF($AC318&gt;0,IF(ISNUMBER(INDEX(CASHBACK_RULES!$J$5:$J$304,$AC318)),INDEX(CASHBACK_RULES!$J$5:$J$304,$AC318),"∞"),"")</f>
        <v/>
      </c>
      <c r="Q318" s="48" t="str">
        <f>IF(OR($B318="",$D318=""),"",IF($AC318=0,0,MAX(0,MIN($O318,IF(ISNUMBER($P318),$P318-$AF318,1E+15),IF(ISNUMBER($AA318),$AA318-$AG318,1E+15)))))</f>
        <v/>
      </c>
      <c r="R318" s="48" t="str">
        <f>IF(OR($B318="",$D318=""),"",IF($AC318=0,"",IF(AND(NOT(ISNUMBER($P318)),NOT(ISNUMBER($AA318))),"∞",MAX(0,MIN(IF(ISNUMBER($P318),$P318-$AF318-$Q318,1E+15),IF(ISNUMBER($AA318),$AA318-$AG318-$Q318,1E+15))))))</f>
        <v/>
      </c>
      <c r="S318" s="47" t="str">
        <f>IF($AD318="","",YEAR($AD318)*100+MONTH($AD318))</f>
        <v/>
      </c>
      <c r="T318" s="50" t="str">
        <f>IF($AD318="","",IFERROR(IF(INDEX(CARDS!$I$5:$I$34,MATCH($D318,CARDS!$A$5:$A$34,0))="","",IF(INDEX(CARDS!$I$5:$I$34,MATCH($D318,CARDS!$A$5:$A$34,0))&gt;INDEX(CARDS!$H$5:$H$34,MATCH($D318,CARDS!$A$5:$A$34,0)),DATE(YEAR($AD318),MONTH($AD318),MIN(INDEX(CARDS!$I$5:$I$34,MATCH($D318,CARDS!$A$5:$A$34,0)),DAY(EOMONTH($AD318,0)))),DATE(YEAR($AD318),MONTH($AD318)+1,MIN(INDEX(CARDS!$I$5:$I$34,MATCH($D318,CARDS!$A$5:$A$34,0)),DAY(EOMONTH($AD318,1)))))),""))</f>
        <v/>
      </c>
      <c r="U318" s="38" t="n"/>
      <c r="V318" s="37" t="n"/>
      <c r="W318" s="38" t="n"/>
      <c r="X318" s="38" t="n"/>
      <c r="Y318" s="44" t="str">
        <f>IF($AC318&gt;0,INDEX(CASHBACK_RULES!$A$5:$A$304,$AC318),"")</f>
        <v/>
      </c>
      <c r="Z318" s="45" t="str">
        <f>IF($AC318&gt;0,INDEX(CASHBACK_RULES!$E$5:$E$304,$AC318)&amp;"","")</f>
        <v/>
      </c>
      <c r="AA318" s="48" t="str">
        <f>IF($AC318&gt;0,IF(ISNUMBER(INDEX(CASHBACK_RULES!$K$5:$K$304,$AC318)),INDEX(CASHBACK_RULES!$K$5:$K$304,$AC318),"∞"),"")</f>
        <v/>
      </c>
      <c r="AB318" s="44" t="str">
        <f>IF(OR($B318="",$D318=""),"",IF($U318="Cancelled","Đã hủy",IF($AC318=0,"Không được hoàn",IF($Q318=0,IF(OR($O318&gt;0,$M318&lt;$L318),"Đã đạt cap","Không được hoàn"),IF(OR($Q318&lt;$O318,$M318&lt;$L318),"Hoàn một phần","Được hoàn")))))</f>
        <v/>
      </c>
      <c r="AC318" s="43">
        <f>IF(OR($B318="",$D318="",$I318="",$L318=""),0,IF($U318="Cancelled",0,IF($W318&lt;&gt;"",IFERROR(IF(INDEX(CASHBACK_RULES!$B$5:$B$304,MATCH($W318,CASHBACK_RULES!$A$5:$A$304,0))=$D318,MATCH($W318,CASHBACK_RULES!$A$5:$A$304,0),0),0),IFERROR(MATCH(1,INDEX((CASHBACK_RULES!$B$5:$B$304=$D318)*(CASHBACK_RULES!$G$5:$G$304=$I318)*(((CASHBACK_RULES!$N$5:$N$304="")+(CASHBACK_RULES!$N$5:$N$304&lt;=$B318))&gt;0)*(((CASHBACK_RULES!$O$5:$O$304="")+(CASHBACK_RULES!$O$5:$O$304&gt;=$B318))&gt;0)*(((CASHBACK_RULES!$M$5:$M$304="")+(CASHBACK_RULES!$M$5:$M$304&lt;=$L318))&gt;0),0),0),0))))</f>
        <v>0</v>
      </c>
      <c r="AD318" s="51" t="str">
        <f>IF(OR($B318="",$D318=""),"",IFERROR(IF(INDEX(CARDS!$H$5:$H$34,MATCH($D318,CARDS!$A$5:$A$34,0))="","",IF(DAY($B318)&lt;=INDEX(CARDS!$H$5:$H$34,MATCH($D318,CARDS!$A$5:$A$34,0)),DATE(YEAR($B318),MONTH($B318),MIN(INDEX(CARDS!$H$5:$H$34,MATCH($D318,CARDS!$A$5:$A$34,0)),DAY(EOMONTH($B318,0)))),DATE(YEAR($B318),MONTH($B318)+1,MIN(INDEX(CARDS!$H$5:$H$34,MATCH($D318,CARDS!$A$5:$A$34,0)),DAY(EOMONTH($B318,1)))))),""))</f>
        <v/>
      </c>
      <c r="AE318" s="52" t="str">
        <f>IF($C318="","",$C318&amp;"|"&amp;COUNTIF($C$5:$C318,$C318))</f>
        <v/>
      </c>
      <c r="AF318" s="53">
        <f>IF($AC318&gt;0,SUMIFS(Q$4:Q317,$D$4:$D317,$D318,$Z$4:$Z317,$Z318,$C$4:$C317,$C318),0)</f>
        <v>0</v>
      </c>
      <c r="AG318" s="53">
        <f>IF($AC318&gt;0,SUMIFS(Q$4:Q317,$D$4:$D317,$D318,$C$4:$C317,$C318),0)</f>
        <v>0</v>
      </c>
      <c r="AH318" s="53">
        <f>IF($AC318&gt;0,SUMIFS(M$4:M317,$D$4:$D317,$D318,$Z$4:$Z317,$Z318,$C$4:$C317,$C318),0)</f>
        <v>0</v>
      </c>
      <c r="AI318" s="43">
        <f>IF(OR($C318="",$I318=""),0,IF(COUNTIFS($C$5:$C318,$C318,$I$5:$I318,$I318)=1,1,0))</f>
        <v>0</v>
      </c>
      <c r="AJ318" s="43" t="str">
        <f>IF($AI318=1,SUMIFS($AI$4:$AI317,$C$4:$C317,$C318)+1,"")</f>
        <v/>
      </c>
      <c r="AK318" s="43">
        <f>IF(OR($C318="",$K318=""),0,IF(COUNTIFS($C$5:$C318,$C318,$K$5:$K318,$K318)=1,1,0))</f>
        <v>0</v>
      </c>
      <c r="AL318" s="43" t="str">
        <f>IF($AK318=1,SUMIFS($AK$4:$AK317,$C$4:$C317,$C318)+1,"")</f>
        <v/>
      </c>
      <c r="AM318" s="43">
        <f>IF(OR($C318="",$G318=""),0,IF(COUNTIFS($C$5:$C318,$C318,$G$5:$G318,$G318)=1,1,0))</f>
        <v>0</v>
      </c>
      <c r="AN318" s="43" t="str">
        <f>IF($AM318=1,SUMIFS($AM$4:$AM317,$C$4:$C317,$C318)+1,"")</f>
        <v/>
      </c>
    </row>
    <row r="319">
      <c r="A319" s="44" t="str">
        <f>IF(OR($B319="",$D319=""),"","TX"&amp;TEXT(ROW()-4,"0000"))</f>
        <v/>
      </c>
      <c r="B319" s="42" t="n"/>
      <c r="C319" s="47" t="str">
        <f>IF($B319="","",YEAR($B319)*100+MONTH($B319))</f>
        <v/>
      </c>
      <c r="D319" s="37" t="n"/>
      <c r="E319" s="45" t="str">
        <f>IF($D319="","",IFERROR(INDEX(CARDS!$B$5:$B$34,MATCH($D319,CARDS!$A$5:$A$34,0)),"⚠ Card ID?"))</f>
        <v/>
      </c>
      <c r="F319" s="45" t="str">
        <f>IF($D319="","",IFERROR(INDEX(CARDS!$C$5:$C$34,MATCH($D319,CARDS!$A$5:$A$34,0)),"⚠ Card ID?"))</f>
        <v/>
      </c>
      <c r="G319" s="37" t="n"/>
      <c r="H319" s="37" t="n"/>
      <c r="I319" s="41" t="n"/>
      <c r="J319" s="45" t="str">
        <f>IF($I319="","",IFERROR(INDEX(MCC_MASTER!$B$5:$B$504,MATCH($I319,MCC_MASTER!$A$5:$A$504,0)),"⚠ MCC chưa có"))</f>
        <v/>
      </c>
      <c r="K319" s="45" t="str">
        <f>IF($I319="","",IFERROR(IF(INDEX(MCC_MASTER!$C$5:$C$504,MATCH($I319,MCC_MASTER!$A$5:$A$504,0))="","Chưa phân loại",INDEX(MCC_MASTER!$C$5:$C$504,MATCH($I319,MCC_MASTER!$A$5:$A$504,0))),"Chưa phân loại"))</f>
        <v/>
      </c>
      <c r="L319" s="40" t="n"/>
      <c r="M319" s="48" t="str">
        <f>IF(OR($B319="",$D319=""),"",IF($AC319=0,0,IF(ISNUMBER(INDEX(CASHBACK_RULES!$L$5:$L$304,$AC319)),MAX(0,MIN($L319,INDEX(CASHBACK_RULES!$L$5:$L$304,$AC319)-$AH319)),MAX(0,$L319))))</f>
        <v/>
      </c>
      <c r="N319" s="49" t="str">
        <f>IF(OR($B319="",$D319=""),"",IF($AC319&gt;0,INDEX(CASHBACK_RULES!$I$5:$I$304,$AC319),0))</f>
        <v/>
      </c>
      <c r="O319" s="48" t="str">
        <f>IF(OR($B319="",$D319=""),"",ROUND($M319*$N319,0))</f>
        <v/>
      </c>
      <c r="P319" s="48" t="str">
        <f>IF($AC319&gt;0,IF(ISNUMBER(INDEX(CASHBACK_RULES!$J$5:$J$304,$AC319)),INDEX(CASHBACK_RULES!$J$5:$J$304,$AC319),"∞"),"")</f>
        <v/>
      </c>
      <c r="Q319" s="48" t="str">
        <f>IF(OR($B319="",$D319=""),"",IF($AC319=0,0,MAX(0,MIN($O319,IF(ISNUMBER($P319),$P319-$AF319,1E+15),IF(ISNUMBER($AA319),$AA319-$AG319,1E+15)))))</f>
        <v/>
      </c>
      <c r="R319" s="48" t="str">
        <f>IF(OR($B319="",$D319=""),"",IF($AC319=0,"",IF(AND(NOT(ISNUMBER($P319)),NOT(ISNUMBER($AA319))),"∞",MAX(0,MIN(IF(ISNUMBER($P319),$P319-$AF319-$Q319,1E+15),IF(ISNUMBER($AA319),$AA319-$AG319-$Q319,1E+15))))))</f>
        <v/>
      </c>
      <c r="S319" s="47" t="str">
        <f>IF($AD319="","",YEAR($AD319)*100+MONTH($AD319))</f>
        <v/>
      </c>
      <c r="T319" s="50" t="str">
        <f>IF($AD319="","",IFERROR(IF(INDEX(CARDS!$I$5:$I$34,MATCH($D319,CARDS!$A$5:$A$34,0))="","",IF(INDEX(CARDS!$I$5:$I$34,MATCH($D319,CARDS!$A$5:$A$34,0))&gt;INDEX(CARDS!$H$5:$H$34,MATCH($D319,CARDS!$A$5:$A$34,0)),DATE(YEAR($AD319),MONTH($AD319),MIN(INDEX(CARDS!$I$5:$I$34,MATCH($D319,CARDS!$A$5:$A$34,0)),DAY(EOMONTH($AD319,0)))),DATE(YEAR($AD319),MONTH($AD319)+1,MIN(INDEX(CARDS!$I$5:$I$34,MATCH($D319,CARDS!$A$5:$A$34,0)),DAY(EOMONTH($AD319,1)))))),""))</f>
        <v/>
      </c>
      <c r="U319" s="38" t="n"/>
      <c r="V319" s="37" t="n"/>
      <c r="W319" s="38" t="n"/>
      <c r="X319" s="38" t="n"/>
      <c r="Y319" s="44" t="str">
        <f>IF($AC319&gt;0,INDEX(CASHBACK_RULES!$A$5:$A$304,$AC319),"")</f>
        <v/>
      </c>
      <c r="Z319" s="45" t="str">
        <f>IF($AC319&gt;0,INDEX(CASHBACK_RULES!$E$5:$E$304,$AC319)&amp;"","")</f>
        <v/>
      </c>
      <c r="AA319" s="48" t="str">
        <f>IF($AC319&gt;0,IF(ISNUMBER(INDEX(CASHBACK_RULES!$K$5:$K$304,$AC319)),INDEX(CASHBACK_RULES!$K$5:$K$304,$AC319),"∞"),"")</f>
        <v/>
      </c>
      <c r="AB319" s="44" t="str">
        <f>IF(OR($B319="",$D319=""),"",IF($U319="Cancelled","Đã hủy",IF($AC319=0,"Không được hoàn",IF($Q319=0,IF(OR($O319&gt;0,$M319&lt;$L319),"Đã đạt cap","Không được hoàn"),IF(OR($Q319&lt;$O319,$M319&lt;$L319),"Hoàn một phần","Được hoàn")))))</f>
        <v/>
      </c>
      <c r="AC319" s="43">
        <f>IF(OR($B319="",$D319="",$I319="",$L319=""),0,IF($U319="Cancelled",0,IF($W319&lt;&gt;"",IFERROR(IF(INDEX(CASHBACK_RULES!$B$5:$B$304,MATCH($W319,CASHBACK_RULES!$A$5:$A$304,0))=$D319,MATCH($W319,CASHBACK_RULES!$A$5:$A$304,0),0),0),IFERROR(MATCH(1,INDEX((CASHBACK_RULES!$B$5:$B$304=$D319)*(CASHBACK_RULES!$G$5:$G$304=$I319)*(((CASHBACK_RULES!$N$5:$N$304="")+(CASHBACK_RULES!$N$5:$N$304&lt;=$B319))&gt;0)*(((CASHBACK_RULES!$O$5:$O$304="")+(CASHBACK_RULES!$O$5:$O$304&gt;=$B319))&gt;0)*(((CASHBACK_RULES!$M$5:$M$304="")+(CASHBACK_RULES!$M$5:$M$304&lt;=$L319))&gt;0),0),0),0))))</f>
        <v>0</v>
      </c>
      <c r="AD319" s="51" t="str">
        <f>IF(OR($B319="",$D319=""),"",IFERROR(IF(INDEX(CARDS!$H$5:$H$34,MATCH($D319,CARDS!$A$5:$A$34,0))="","",IF(DAY($B319)&lt;=INDEX(CARDS!$H$5:$H$34,MATCH($D319,CARDS!$A$5:$A$34,0)),DATE(YEAR($B319),MONTH($B319),MIN(INDEX(CARDS!$H$5:$H$34,MATCH($D319,CARDS!$A$5:$A$34,0)),DAY(EOMONTH($B319,0)))),DATE(YEAR($B319),MONTH($B319)+1,MIN(INDEX(CARDS!$H$5:$H$34,MATCH($D319,CARDS!$A$5:$A$34,0)),DAY(EOMONTH($B319,1)))))),""))</f>
        <v/>
      </c>
      <c r="AE319" s="52" t="str">
        <f>IF($C319="","",$C319&amp;"|"&amp;COUNTIF($C$5:$C319,$C319))</f>
        <v/>
      </c>
      <c r="AF319" s="53">
        <f>IF($AC319&gt;0,SUMIFS(Q$4:Q318,$D$4:$D318,$D319,$Z$4:$Z318,$Z319,$C$4:$C318,$C319),0)</f>
        <v>0</v>
      </c>
      <c r="AG319" s="53">
        <f>IF($AC319&gt;0,SUMIFS(Q$4:Q318,$D$4:$D318,$D319,$C$4:$C318,$C319),0)</f>
        <v>0</v>
      </c>
      <c r="AH319" s="53">
        <f>IF($AC319&gt;0,SUMIFS(M$4:M318,$D$4:$D318,$D319,$Z$4:$Z318,$Z319,$C$4:$C318,$C319),0)</f>
        <v>0</v>
      </c>
      <c r="AI319" s="43">
        <f>IF(OR($C319="",$I319=""),0,IF(COUNTIFS($C$5:$C319,$C319,$I$5:$I319,$I319)=1,1,0))</f>
        <v>0</v>
      </c>
      <c r="AJ319" s="43" t="str">
        <f>IF($AI319=1,SUMIFS($AI$4:$AI318,$C$4:$C318,$C319)+1,"")</f>
        <v/>
      </c>
      <c r="AK319" s="43">
        <f>IF(OR($C319="",$K319=""),0,IF(COUNTIFS($C$5:$C319,$C319,$K$5:$K319,$K319)=1,1,0))</f>
        <v>0</v>
      </c>
      <c r="AL319" s="43" t="str">
        <f>IF($AK319=1,SUMIFS($AK$4:$AK318,$C$4:$C318,$C319)+1,"")</f>
        <v/>
      </c>
      <c r="AM319" s="43">
        <f>IF(OR($C319="",$G319=""),0,IF(COUNTIFS($C$5:$C319,$C319,$G$5:$G319,$G319)=1,1,0))</f>
        <v>0</v>
      </c>
      <c r="AN319" s="43" t="str">
        <f>IF($AM319=1,SUMIFS($AM$4:$AM318,$C$4:$C318,$C319)+1,"")</f>
        <v/>
      </c>
    </row>
    <row r="320">
      <c r="A320" s="44" t="str">
        <f>IF(OR($B320="",$D320=""),"","TX"&amp;TEXT(ROW()-4,"0000"))</f>
        <v/>
      </c>
      <c r="B320" s="42" t="n"/>
      <c r="C320" s="47" t="str">
        <f>IF($B320="","",YEAR($B320)*100+MONTH($B320))</f>
        <v/>
      </c>
      <c r="D320" s="37" t="n"/>
      <c r="E320" s="45" t="str">
        <f>IF($D320="","",IFERROR(INDEX(CARDS!$B$5:$B$34,MATCH($D320,CARDS!$A$5:$A$34,0)),"⚠ Card ID?"))</f>
        <v/>
      </c>
      <c r="F320" s="45" t="str">
        <f>IF($D320="","",IFERROR(INDEX(CARDS!$C$5:$C$34,MATCH($D320,CARDS!$A$5:$A$34,0)),"⚠ Card ID?"))</f>
        <v/>
      </c>
      <c r="G320" s="37" t="n"/>
      <c r="H320" s="37" t="n"/>
      <c r="I320" s="41" t="n"/>
      <c r="J320" s="45" t="str">
        <f>IF($I320="","",IFERROR(INDEX(MCC_MASTER!$B$5:$B$504,MATCH($I320,MCC_MASTER!$A$5:$A$504,0)),"⚠ MCC chưa có"))</f>
        <v/>
      </c>
      <c r="K320" s="45" t="str">
        <f>IF($I320="","",IFERROR(IF(INDEX(MCC_MASTER!$C$5:$C$504,MATCH($I320,MCC_MASTER!$A$5:$A$504,0))="","Chưa phân loại",INDEX(MCC_MASTER!$C$5:$C$504,MATCH($I320,MCC_MASTER!$A$5:$A$504,0))),"Chưa phân loại"))</f>
        <v/>
      </c>
      <c r="L320" s="40" t="n"/>
      <c r="M320" s="48" t="str">
        <f>IF(OR($B320="",$D320=""),"",IF($AC320=0,0,IF(ISNUMBER(INDEX(CASHBACK_RULES!$L$5:$L$304,$AC320)),MAX(0,MIN($L320,INDEX(CASHBACK_RULES!$L$5:$L$304,$AC320)-$AH320)),MAX(0,$L320))))</f>
        <v/>
      </c>
      <c r="N320" s="49" t="str">
        <f>IF(OR($B320="",$D320=""),"",IF($AC320&gt;0,INDEX(CASHBACK_RULES!$I$5:$I$304,$AC320),0))</f>
        <v/>
      </c>
      <c r="O320" s="48" t="str">
        <f>IF(OR($B320="",$D320=""),"",ROUND($M320*$N320,0))</f>
        <v/>
      </c>
      <c r="P320" s="48" t="str">
        <f>IF($AC320&gt;0,IF(ISNUMBER(INDEX(CASHBACK_RULES!$J$5:$J$304,$AC320)),INDEX(CASHBACK_RULES!$J$5:$J$304,$AC320),"∞"),"")</f>
        <v/>
      </c>
      <c r="Q320" s="48" t="str">
        <f>IF(OR($B320="",$D320=""),"",IF($AC320=0,0,MAX(0,MIN($O320,IF(ISNUMBER($P320),$P320-$AF320,1E+15),IF(ISNUMBER($AA320),$AA320-$AG320,1E+15)))))</f>
        <v/>
      </c>
      <c r="R320" s="48" t="str">
        <f>IF(OR($B320="",$D320=""),"",IF($AC320=0,"",IF(AND(NOT(ISNUMBER($P320)),NOT(ISNUMBER($AA320))),"∞",MAX(0,MIN(IF(ISNUMBER($P320),$P320-$AF320-$Q320,1E+15),IF(ISNUMBER($AA320),$AA320-$AG320-$Q320,1E+15))))))</f>
        <v/>
      </c>
      <c r="S320" s="47" t="str">
        <f>IF($AD320="","",YEAR($AD320)*100+MONTH($AD320))</f>
        <v/>
      </c>
      <c r="T320" s="50" t="str">
        <f>IF($AD320="","",IFERROR(IF(INDEX(CARDS!$I$5:$I$34,MATCH($D320,CARDS!$A$5:$A$34,0))="","",IF(INDEX(CARDS!$I$5:$I$34,MATCH($D320,CARDS!$A$5:$A$34,0))&gt;INDEX(CARDS!$H$5:$H$34,MATCH($D320,CARDS!$A$5:$A$34,0)),DATE(YEAR($AD320),MONTH($AD320),MIN(INDEX(CARDS!$I$5:$I$34,MATCH($D320,CARDS!$A$5:$A$34,0)),DAY(EOMONTH($AD320,0)))),DATE(YEAR($AD320),MONTH($AD320)+1,MIN(INDEX(CARDS!$I$5:$I$34,MATCH($D320,CARDS!$A$5:$A$34,0)),DAY(EOMONTH($AD320,1)))))),""))</f>
        <v/>
      </c>
      <c r="U320" s="38" t="n"/>
      <c r="V320" s="37" t="n"/>
      <c r="W320" s="38" t="n"/>
      <c r="X320" s="38" t="n"/>
      <c r="Y320" s="44" t="str">
        <f>IF($AC320&gt;0,INDEX(CASHBACK_RULES!$A$5:$A$304,$AC320),"")</f>
        <v/>
      </c>
      <c r="Z320" s="45" t="str">
        <f>IF($AC320&gt;0,INDEX(CASHBACK_RULES!$E$5:$E$304,$AC320)&amp;"","")</f>
        <v/>
      </c>
      <c r="AA320" s="48" t="str">
        <f>IF($AC320&gt;0,IF(ISNUMBER(INDEX(CASHBACK_RULES!$K$5:$K$304,$AC320)),INDEX(CASHBACK_RULES!$K$5:$K$304,$AC320),"∞"),"")</f>
        <v/>
      </c>
      <c r="AB320" s="44" t="str">
        <f>IF(OR($B320="",$D320=""),"",IF($U320="Cancelled","Đã hủy",IF($AC320=0,"Không được hoàn",IF($Q320=0,IF(OR($O320&gt;0,$M320&lt;$L320),"Đã đạt cap","Không được hoàn"),IF(OR($Q320&lt;$O320,$M320&lt;$L320),"Hoàn một phần","Được hoàn")))))</f>
        <v/>
      </c>
      <c r="AC320" s="43">
        <f>IF(OR($B320="",$D320="",$I320="",$L320=""),0,IF($U320="Cancelled",0,IF($W320&lt;&gt;"",IFERROR(IF(INDEX(CASHBACK_RULES!$B$5:$B$304,MATCH($W320,CASHBACK_RULES!$A$5:$A$304,0))=$D320,MATCH($W320,CASHBACK_RULES!$A$5:$A$304,0),0),0),IFERROR(MATCH(1,INDEX((CASHBACK_RULES!$B$5:$B$304=$D320)*(CASHBACK_RULES!$G$5:$G$304=$I320)*(((CASHBACK_RULES!$N$5:$N$304="")+(CASHBACK_RULES!$N$5:$N$304&lt;=$B320))&gt;0)*(((CASHBACK_RULES!$O$5:$O$304="")+(CASHBACK_RULES!$O$5:$O$304&gt;=$B320))&gt;0)*(((CASHBACK_RULES!$M$5:$M$304="")+(CASHBACK_RULES!$M$5:$M$304&lt;=$L320))&gt;0),0),0),0))))</f>
        <v>0</v>
      </c>
      <c r="AD320" s="51" t="str">
        <f>IF(OR($B320="",$D320=""),"",IFERROR(IF(INDEX(CARDS!$H$5:$H$34,MATCH($D320,CARDS!$A$5:$A$34,0))="","",IF(DAY($B320)&lt;=INDEX(CARDS!$H$5:$H$34,MATCH($D320,CARDS!$A$5:$A$34,0)),DATE(YEAR($B320),MONTH($B320),MIN(INDEX(CARDS!$H$5:$H$34,MATCH($D320,CARDS!$A$5:$A$34,0)),DAY(EOMONTH($B320,0)))),DATE(YEAR($B320),MONTH($B320)+1,MIN(INDEX(CARDS!$H$5:$H$34,MATCH($D320,CARDS!$A$5:$A$34,0)),DAY(EOMONTH($B320,1)))))),""))</f>
        <v/>
      </c>
      <c r="AE320" s="52" t="str">
        <f>IF($C320="","",$C320&amp;"|"&amp;COUNTIF($C$5:$C320,$C320))</f>
        <v/>
      </c>
      <c r="AF320" s="53">
        <f>IF($AC320&gt;0,SUMIFS(Q$4:Q319,$D$4:$D319,$D320,$Z$4:$Z319,$Z320,$C$4:$C319,$C320),0)</f>
        <v>0</v>
      </c>
      <c r="AG320" s="53">
        <f>IF($AC320&gt;0,SUMIFS(Q$4:Q319,$D$4:$D319,$D320,$C$4:$C319,$C320),0)</f>
        <v>0</v>
      </c>
      <c r="AH320" s="53">
        <f>IF($AC320&gt;0,SUMIFS(M$4:M319,$D$4:$D319,$D320,$Z$4:$Z319,$Z320,$C$4:$C319,$C320),0)</f>
        <v>0</v>
      </c>
      <c r="AI320" s="43">
        <f>IF(OR($C320="",$I320=""),0,IF(COUNTIFS($C$5:$C320,$C320,$I$5:$I320,$I320)=1,1,0))</f>
        <v>0</v>
      </c>
      <c r="AJ320" s="43" t="str">
        <f>IF($AI320=1,SUMIFS($AI$4:$AI319,$C$4:$C319,$C320)+1,"")</f>
        <v/>
      </c>
      <c r="AK320" s="43">
        <f>IF(OR($C320="",$K320=""),0,IF(COUNTIFS($C$5:$C320,$C320,$K$5:$K320,$K320)=1,1,0))</f>
        <v>0</v>
      </c>
      <c r="AL320" s="43" t="str">
        <f>IF($AK320=1,SUMIFS($AK$4:$AK319,$C$4:$C319,$C320)+1,"")</f>
        <v/>
      </c>
      <c r="AM320" s="43">
        <f>IF(OR($C320="",$G320=""),0,IF(COUNTIFS($C$5:$C320,$C320,$G$5:$G320,$G320)=1,1,0))</f>
        <v>0</v>
      </c>
      <c r="AN320" s="43" t="str">
        <f>IF($AM320=1,SUMIFS($AM$4:$AM319,$C$4:$C319,$C320)+1,"")</f>
        <v/>
      </c>
    </row>
    <row r="321">
      <c r="A321" s="44" t="str">
        <f>IF(OR($B321="",$D321=""),"","TX"&amp;TEXT(ROW()-4,"0000"))</f>
        <v/>
      </c>
      <c r="B321" s="42" t="n"/>
      <c r="C321" s="47" t="str">
        <f>IF($B321="","",YEAR($B321)*100+MONTH($B321))</f>
        <v/>
      </c>
      <c r="D321" s="37" t="n"/>
      <c r="E321" s="45" t="str">
        <f>IF($D321="","",IFERROR(INDEX(CARDS!$B$5:$B$34,MATCH($D321,CARDS!$A$5:$A$34,0)),"⚠ Card ID?"))</f>
        <v/>
      </c>
      <c r="F321" s="45" t="str">
        <f>IF($D321="","",IFERROR(INDEX(CARDS!$C$5:$C$34,MATCH($D321,CARDS!$A$5:$A$34,0)),"⚠ Card ID?"))</f>
        <v/>
      </c>
      <c r="G321" s="37" t="n"/>
      <c r="H321" s="37" t="n"/>
      <c r="I321" s="41" t="n"/>
      <c r="J321" s="45" t="str">
        <f>IF($I321="","",IFERROR(INDEX(MCC_MASTER!$B$5:$B$504,MATCH($I321,MCC_MASTER!$A$5:$A$504,0)),"⚠ MCC chưa có"))</f>
        <v/>
      </c>
      <c r="K321" s="45" t="str">
        <f>IF($I321="","",IFERROR(IF(INDEX(MCC_MASTER!$C$5:$C$504,MATCH($I321,MCC_MASTER!$A$5:$A$504,0))="","Chưa phân loại",INDEX(MCC_MASTER!$C$5:$C$504,MATCH($I321,MCC_MASTER!$A$5:$A$504,0))),"Chưa phân loại"))</f>
        <v/>
      </c>
      <c r="L321" s="40" t="n"/>
      <c r="M321" s="48" t="str">
        <f>IF(OR($B321="",$D321=""),"",IF($AC321=0,0,IF(ISNUMBER(INDEX(CASHBACK_RULES!$L$5:$L$304,$AC321)),MAX(0,MIN($L321,INDEX(CASHBACK_RULES!$L$5:$L$304,$AC321)-$AH321)),MAX(0,$L321))))</f>
        <v/>
      </c>
      <c r="N321" s="49" t="str">
        <f>IF(OR($B321="",$D321=""),"",IF($AC321&gt;0,INDEX(CASHBACK_RULES!$I$5:$I$304,$AC321),0))</f>
        <v/>
      </c>
      <c r="O321" s="48" t="str">
        <f>IF(OR($B321="",$D321=""),"",ROUND($M321*$N321,0))</f>
        <v/>
      </c>
      <c r="P321" s="48" t="str">
        <f>IF($AC321&gt;0,IF(ISNUMBER(INDEX(CASHBACK_RULES!$J$5:$J$304,$AC321)),INDEX(CASHBACK_RULES!$J$5:$J$304,$AC321),"∞"),"")</f>
        <v/>
      </c>
      <c r="Q321" s="48" t="str">
        <f>IF(OR($B321="",$D321=""),"",IF($AC321=0,0,MAX(0,MIN($O321,IF(ISNUMBER($P321),$P321-$AF321,1E+15),IF(ISNUMBER($AA321),$AA321-$AG321,1E+15)))))</f>
        <v/>
      </c>
      <c r="R321" s="48" t="str">
        <f>IF(OR($B321="",$D321=""),"",IF($AC321=0,"",IF(AND(NOT(ISNUMBER($P321)),NOT(ISNUMBER($AA321))),"∞",MAX(0,MIN(IF(ISNUMBER($P321),$P321-$AF321-$Q321,1E+15),IF(ISNUMBER($AA321),$AA321-$AG321-$Q321,1E+15))))))</f>
        <v/>
      </c>
      <c r="S321" s="47" t="str">
        <f>IF($AD321="","",YEAR($AD321)*100+MONTH($AD321))</f>
        <v/>
      </c>
      <c r="T321" s="50" t="str">
        <f>IF($AD321="","",IFERROR(IF(INDEX(CARDS!$I$5:$I$34,MATCH($D321,CARDS!$A$5:$A$34,0))="","",IF(INDEX(CARDS!$I$5:$I$34,MATCH($D321,CARDS!$A$5:$A$34,0))&gt;INDEX(CARDS!$H$5:$H$34,MATCH($D321,CARDS!$A$5:$A$34,0)),DATE(YEAR($AD321),MONTH($AD321),MIN(INDEX(CARDS!$I$5:$I$34,MATCH($D321,CARDS!$A$5:$A$34,0)),DAY(EOMONTH($AD321,0)))),DATE(YEAR($AD321),MONTH($AD321)+1,MIN(INDEX(CARDS!$I$5:$I$34,MATCH($D321,CARDS!$A$5:$A$34,0)),DAY(EOMONTH($AD321,1)))))),""))</f>
        <v/>
      </c>
      <c r="U321" s="38" t="n"/>
      <c r="V321" s="37" t="n"/>
      <c r="W321" s="38" t="n"/>
      <c r="X321" s="38" t="n"/>
      <c r="Y321" s="44" t="str">
        <f>IF($AC321&gt;0,INDEX(CASHBACK_RULES!$A$5:$A$304,$AC321),"")</f>
        <v/>
      </c>
      <c r="Z321" s="45" t="str">
        <f>IF($AC321&gt;0,INDEX(CASHBACK_RULES!$E$5:$E$304,$AC321)&amp;"","")</f>
        <v/>
      </c>
      <c r="AA321" s="48" t="str">
        <f>IF($AC321&gt;0,IF(ISNUMBER(INDEX(CASHBACK_RULES!$K$5:$K$304,$AC321)),INDEX(CASHBACK_RULES!$K$5:$K$304,$AC321),"∞"),"")</f>
        <v/>
      </c>
      <c r="AB321" s="44" t="str">
        <f>IF(OR($B321="",$D321=""),"",IF($U321="Cancelled","Đã hủy",IF($AC321=0,"Không được hoàn",IF($Q321=0,IF(OR($O321&gt;0,$M321&lt;$L321),"Đã đạt cap","Không được hoàn"),IF(OR($Q321&lt;$O321,$M321&lt;$L321),"Hoàn một phần","Được hoàn")))))</f>
        <v/>
      </c>
      <c r="AC321" s="43">
        <f>IF(OR($B321="",$D321="",$I321="",$L321=""),0,IF($U321="Cancelled",0,IF($W321&lt;&gt;"",IFERROR(IF(INDEX(CASHBACK_RULES!$B$5:$B$304,MATCH($W321,CASHBACK_RULES!$A$5:$A$304,0))=$D321,MATCH($W321,CASHBACK_RULES!$A$5:$A$304,0),0),0),IFERROR(MATCH(1,INDEX((CASHBACK_RULES!$B$5:$B$304=$D321)*(CASHBACK_RULES!$G$5:$G$304=$I321)*(((CASHBACK_RULES!$N$5:$N$304="")+(CASHBACK_RULES!$N$5:$N$304&lt;=$B321))&gt;0)*(((CASHBACK_RULES!$O$5:$O$304="")+(CASHBACK_RULES!$O$5:$O$304&gt;=$B321))&gt;0)*(((CASHBACK_RULES!$M$5:$M$304="")+(CASHBACK_RULES!$M$5:$M$304&lt;=$L321))&gt;0),0),0),0))))</f>
        <v>0</v>
      </c>
      <c r="AD321" s="51" t="str">
        <f>IF(OR($B321="",$D321=""),"",IFERROR(IF(INDEX(CARDS!$H$5:$H$34,MATCH($D321,CARDS!$A$5:$A$34,0))="","",IF(DAY($B321)&lt;=INDEX(CARDS!$H$5:$H$34,MATCH($D321,CARDS!$A$5:$A$34,0)),DATE(YEAR($B321),MONTH($B321),MIN(INDEX(CARDS!$H$5:$H$34,MATCH($D321,CARDS!$A$5:$A$34,0)),DAY(EOMONTH($B321,0)))),DATE(YEAR($B321),MONTH($B321)+1,MIN(INDEX(CARDS!$H$5:$H$34,MATCH($D321,CARDS!$A$5:$A$34,0)),DAY(EOMONTH($B321,1)))))),""))</f>
        <v/>
      </c>
      <c r="AE321" s="52" t="str">
        <f>IF($C321="","",$C321&amp;"|"&amp;COUNTIF($C$5:$C321,$C321))</f>
        <v/>
      </c>
      <c r="AF321" s="53">
        <f>IF($AC321&gt;0,SUMIFS(Q$4:Q320,$D$4:$D320,$D321,$Z$4:$Z320,$Z321,$C$4:$C320,$C321),0)</f>
        <v>0</v>
      </c>
      <c r="AG321" s="53">
        <f>IF($AC321&gt;0,SUMIFS(Q$4:Q320,$D$4:$D320,$D321,$C$4:$C320,$C321),0)</f>
        <v>0</v>
      </c>
      <c r="AH321" s="53">
        <f>IF($AC321&gt;0,SUMIFS(M$4:M320,$D$4:$D320,$D321,$Z$4:$Z320,$Z321,$C$4:$C320,$C321),0)</f>
        <v>0</v>
      </c>
      <c r="AI321" s="43">
        <f>IF(OR($C321="",$I321=""),0,IF(COUNTIFS($C$5:$C321,$C321,$I$5:$I321,$I321)=1,1,0))</f>
        <v>0</v>
      </c>
      <c r="AJ321" s="43" t="str">
        <f>IF($AI321=1,SUMIFS($AI$4:$AI320,$C$4:$C320,$C321)+1,"")</f>
        <v/>
      </c>
      <c r="AK321" s="43">
        <f>IF(OR($C321="",$K321=""),0,IF(COUNTIFS($C$5:$C321,$C321,$K$5:$K321,$K321)=1,1,0))</f>
        <v>0</v>
      </c>
      <c r="AL321" s="43" t="str">
        <f>IF($AK321=1,SUMIFS($AK$4:$AK320,$C$4:$C320,$C321)+1,"")</f>
        <v/>
      </c>
      <c r="AM321" s="43">
        <f>IF(OR($C321="",$G321=""),0,IF(COUNTIFS($C$5:$C321,$C321,$G$5:$G321,$G321)=1,1,0))</f>
        <v>0</v>
      </c>
      <c r="AN321" s="43" t="str">
        <f>IF($AM321=1,SUMIFS($AM$4:$AM320,$C$4:$C320,$C321)+1,"")</f>
        <v/>
      </c>
    </row>
    <row r="322">
      <c r="A322" s="44" t="str">
        <f>IF(OR($B322="",$D322=""),"","TX"&amp;TEXT(ROW()-4,"0000"))</f>
        <v/>
      </c>
      <c r="B322" s="42" t="n"/>
      <c r="C322" s="47" t="str">
        <f>IF($B322="","",YEAR($B322)*100+MONTH($B322))</f>
        <v/>
      </c>
      <c r="D322" s="37" t="n"/>
      <c r="E322" s="45" t="str">
        <f>IF($D322="","",IFERROR(INDEX(CARDS!$B$5:$B$34,MATCH($D322,CARDS!$A$5:$A$34,0)),"⚠ Card ID?"))</f>
        <v/>
      </c>
      <c r="F322" s="45" t="str">
        <f>IF($D322="","",IFERROR(INDEX(CARDS!$C$5:$C$34,MATCH($D322,CARDS!$A$5:$A$34,0)),"⚠ Card ID?"))</f>
        <v/>
      </c>
      <c r="G322" s="37" t="n"/>
      <c r="H322" s="37" t="n"/>
      <c r="I322" s="41" t="n"/>
      <c r="J322" s="45" t="str">
        <f>IF($I322="","",IFERROR(INDEX(MCC_MASTER!$B$5:$B$504,MATCH($I322,MCC_MASTER!$A$5:$A$504,0)),"⚠ MCC chưa có"))</f>
        <v/>
      </c>
      <c r="K322" s="45" t="str">
        <f>IF($I322="","",IFERROR(IF(INDEX(MCC_MASTER!$C$5:$C$504,MATCH($I322,MCC_MASTER!$A$5:$A$504,0))="","Chưa phân loại",INDEX(MCC_MASTER!$C$5:$C$504,MATCH($I322,MCC_MASTER!$A$5:$A$504,0))),"Chưa phân loại"))</f>
        <v/>
      </c>
      <c r="L322" s="40" t="n"/>
      <c r="M322" s="48" t="str">
        <f>IF(OR($B322="",$D322=""),"",IF($AC322=0,0,IF(ISNUMBER(INDEX(CASHBACK_RULES!$L$5:$L$304,$AC322)),MAX(0,MIN($L322,INDEX(CASHBACK_RULES!$L$5:$L$304,$AC322)-$AH322)),MAX(0,$L322))))</f>
        <v/>
      </c>
      <c r="N322" s="49" t="str">
        <f>IF(OR($B322="",$D322=""),"",IF($AC322&gt;0,INDEX(CASHBACK_RULES!$I$5:$I$304,$AC322),0))</f>
        <v/>
      </c>
      <c r="O322" s="48" t="str">
        <f>IF(OR($B322="",$D322=""),"",ROUND($M322*$N322,0))</f>
        <v/>
      </c>
      <c r="P322" s="48" t="str">
        <f>IF($AC322&gt;0,IF(ISNUMBER(INDEX(CASHBACK_RULES!$J$5:$J$304,$AC322)),INDEX(CASHBACK_RULES!$J$5:$J$304,$AC322),"∞"),"")</f>
        <v/>
      </c>
      <c r="Q322" s="48" t="str">
        <f>IF(OR($B322="",$D322=""),"",IF($AC322=0,0,MAX(0,MIN($O322,IF(ISNUMBER($P322),$P322-$AF322,1E+15),IF(ISNUMBER($AA322),$AA322-$AG322,1E+15)))))</f>
        <v/>
      </c>
      <c r="R322" s="48" t="str">
        <f>IF(OR($B322="",$D322=""),"",IF($AC322=0,"",IF(AND(NOT(ISNUMBER($P322)),NOT(ISNUMBER($AA322))),"∞",MAX(0,MIN(IF(ISNUMBER($P322),$P322-$AF322-$Q322,1E+15),IF(ISNUMBER($AA322),$AA322-$AG322-$Q322,1E+15))))))</f>
        <v/>
      </c>
      <c r="S322" s="47" t="str">
        <f>IF($AD322="","",YEAR($AD322)*100+MONTH($AD322))</f>
        <v/>
      </c>
      <c r="T322" s="50" t="str">
        <f>IF($AD322="","",IFERROR(IF(INDEX(CARDS!$I$5:$I$34,MATCH($D322,CARDS!$A$5:$A$34,0))="","",IF(INDEX(CARDS!$I$5:$I$34,MATCH($D322,CARDS!$A$5:$A$34,0))&gt;INDEX(CARDS!$H$5:$H$34,MATCH($D322,CARDS!$A$5:$A$34,0)),DATE(YEAR($AD322),MONTH($AD322),MIN(INDEX(CARDS!$I$5:$I$34,MATCH($D322,CARDS!$A$5:$A$34,0)),DAY(EOMONTH($AD322,0)))),DATE(YEAR($AD322),MONTH($AD322)+1,MIN(INDEX(CARDS!$I$5:$I$34,MATCH($D322,CARDS!$A$5:$A$34,0)),DAY(EOMONTH($AD322,1)))))),""))</f>
        <v/>
      </c>
      <c r="U322" s="38" t="n"/>
      <c r="V322" s="37" t="n"/>
      <c r="W322" s="38" t="n"/>
      <c r="X322" s="38" t="n"/>
      <c r="Y322" s="44" t="str">
        <f>IF($AC322&gt;0,INDEX(CASHBACK_RULES!$A$5:$A$304,$AC322),"")</f>
        <v/>
      </c>
      <c r="Z322" s="45" t="str">
        <f>IF($AC322&gt;0,INDEX(CASHBACK_RULES!$E$5:$E$304,$AC322)&amp;"","")</f>
        <v/>
      </c>
      <c r="AA322" s="48" t="str">
        <f>IF($AC322&gt;0,IF(ISNUMBER(INDEX(CASHBACK_RULES!$K$5:$K$304,$AC322)),INDEX(CASHBACK_RULES!$K$5:$K$304,$AC322),"∞"),"")</f>
        <v/>
      </c>
      <c r="AB322" s="44" t="str">
        <f>IF(OR($B322="",$D322=""),"",IF($U322="Cancelled","Đã hủy",IF($AC322=0,"Không được hoàn",IF($Q322=0,IF(OR($O322&gt;0,$M322&lt;$L322),"Đã đạt cap","Không được hoàn"),IF(OR($Q322&lt;$O322,$M322&lt;$L322),"Hoàn một phần","Được hoàn")))))</f>
        <v/>
      </c>
      <c r="AC322" s="43">
        <f>IF(OR($B322="",$D322="",$I322="",$L322=""),0,IF($U322="Cancelled",0,IF($W322&lt;&gt;"",IFERROR(IF(INDEX(CASHBACK_RULES!$B$5:$B$304,MATCH($W322,CASHBACK_RULES!$A$5:$A$304,0))=$D322,MATCH($W322,CASHBACK_RULES!$A$5:$A$304,0),0),0),IFERROR(MATCH(1,INDEX((CASHBACK_RULES!$B$5:$B$304=$D322)*(CASHBACK_RULES!$G$5:$G$304=$I322)*(((CASHBACK_RULES!$N$5:$N$304="")+(CASHBACK_RULES!$N$5:$N$304&lt;=$B322))&gt;0)*(((CASHBACK_RULES!$O$5:$O$304="")+(CASHBACK_RULES!$O$5:$O$304&gt;=$B322))&gt;0)*(((CASHBACK_RULES!$M$5:$M$304="")+(CASHBACK_RULES!$M$5:$M$304&lt;=$L322))&gt;0),0),0),0))))</f>
        <v>0</v>
      </c>
      <c r="AD322" s="51" t="str">
        <f>IF(OR($B322="",$D322=""),"",IFERROR(IF(INDEX(CARDS!$H$5:$H$34,MATCH($D322,CARDS!$A$5:$A$34,0))="","",IF(DAY($B322)&lt;=INDEX(CARDS!$H$5:$H$34,MATCH($D322,CARDS!$A$5:$A$34,0)),DATE(YEAR($B322),MONTH($B322),MIN(INDEX(CARDS!$H$5:$H$34,MATCH($D322,CARDS!$A$5:$A$34,0)),DAY(EOMONTH($B322,0)))),DATE(YEAR($B322),MONTH($B322)+1,MIN(INDEX(CARDS!$H$5:$H$34,MATCH($D322,CARDS!$A$5:$A$34,0)),DAY(EOMONTH($B322,1)))))),""))</f>
        <v/>
      </c>
      <c r="AE322" s="52" t="str">
        <f>IF($C322="","",$C322&amp;"|"&amp;COUNTIF($C$5:$C322,$C322))</f>
        <v/>
      </c>
      <c r="AF322" s="53">
        <f>IF($AC322&gt;0,SUMIFS(Q$4:Q321,$D$4:$D321,$D322,$Z$4:$Z321,$Z322,$C$4:$C321,$C322),0)</f>
        <v>0</v>
      </c>
      <c r="AG322" s="53">
        <f>IF($AC322&gt;0,SUMIFS(Q$4:Q321,$D$4:$D321,$D322,$C$4:$C321,$C322),0)</f>
        <v>0</v>
      </c>
      <c r="AH322" s="53">
        <f>IF($AC322&gt;0,SUMIFS(M$4:M321,$D$4:$D321,$D322,$Z$4:$Z321,$Z322,$C$4:$C321,$C322),0)</f>
        <v>0</v>
      </c>
      <c r="AI322" s="43">
        <f>IF(OR($C322="",$I322=""),0,IF(COUNTIFS($C$5:$C322,$C322,$I$5:$I322,$I322)=1,1,0))</f>
        <v>0</v>
      </c>
      <c r="AJ322" s="43" t="str">
        <f>IF($AI322=1,SUMIFS($AI$4:$AI321,$C$4:$C321,$C322)+1,"")</f>
        <v/>
      </c>
      <c r="AK322" s="43">
        <f>IF(OR($C322="",$K322=""),0,IF(COUNTIFS($C$5:$C322,$C322,$K$5:$K322,$K322)=1,1,0))</f>
        <v>0</v>
      </c>
      <c r="AL322" s="43" t="str">
        <f>IF($AK322=1,SUMIFS($AK$4:$AK321,$C$4:$C321,$C322)+1,"")</f>
        <v/>
      </c>
      <c r="AM322" s="43">
        <f>IF(OR($C322="",$G322=""),0,IF(COUNTIFS($C$5:$C322,$C322,$G$5:$G322,$G322)=1,1,0))</f>
        <v>0</v>
      </c>
      <c r="AN322" s="43" t="str">
        <f>IF($AM322=1,SUMIFS($AM$4:$AM321,$C$4:$C321,$C322)+1,"")</f>
        <v/>
      </c>
    </row>
    <row r="323">
      <c r="A323" s="44" t="str">
        <f>IF(OR($B323="",$D323=""),"","TX"&amp;TEXT(ROW()-4,"0000"))</f>
        <v/>
      </c>
      <c r="B323" s="42" t="n"/>
      <c r="C323" s="47" t="str">
        <f>IF($B323="","",YEAR($B323)*100+MONTH($B323))</f>
        <v/>
      </c>
      <c r="D323" s="37" t="n"/>
      <c r="E323" s="45" t="str">
        <f>IF($D323="","",IFERROR(INDEX(CARDS!$B$5:$B$34,MATCH($D323,CARDS!$A$5:$A$34,0)),"⚠ Card ID?"))</f>
        <v/>
      </c>
      <c r="F323" s="45" t="str">
        <f>IF($D323="","",IFERROR(INDEX(CARDS!$C$5:$C$34,MATCH($D323,CARDS!$A$5:$A$34,0)),"⚠ Card ID?"))</f>
        <v/>
      </c>
      <c r="G323" s="37" t="n"/>
      <c r="H323" s="37" t="n"/>
      <c r="I323" s="41" t="n"/>
      <c r="J323" s="45" t="str">
        <f>IF($I323="","",IFERROR(INDEX(MCC_MASTER!$B$5:$B$504,MATCH($I323,MCC_MASTER!$A$5:$A$504,0)),"⚠ MCC chưa có"))</f>
        <v/>
      </c>
      <c r="K323" s="45" t="str">
        <f>IF($I323="","",IFERROR(IF(INDEX(MCC_MASTER!$C$5:$C$504,MATCH($I323,MCC_MASTER!$A$5:$A$504,0))="","Chưa phân loại",INDEX(MCC_MASTER!$C$5:$C$504,MATCH($I323,MCC_MASTER!$A$5:$A$504,0))),"Chưa phân loại"))</f>
        <v/>
      </c>
      <c r="L323" s="40" t="n"/>
      <c r="M323" s="48" t="str">
        <f>IF(OR($B323="",$D323=""),"",IF($AC323=0,0,IF(ISNUMBER(INDEX(CASHBACK_RULES!$L$5:$L$304,$AC323)),MAX(0,MIN($L323,INDEX(CASHBACK_RULES!$L$5:$L$304,$AC323)-$AH323)),MAX(0,$L323))))</f>
        <v/>
      </c>
      <c r="N323" s="49" t="str">
        <f>IF(OR($B323="",$D323=""),"",IF($AC323&gt;0,INDEX(CASHBACK_RULES!$I$5:$I$304,$AC323),0))</f>
        <v/>
      </c>
      <c r="O323" s="48" t="str">
        <f>IF(OR($B323="",$D323=""),"",ROUND($M323*$N323,0))</f>
        <v/>
      </c>
      <c r="P323" s="48" t="str">
        <f>IF($AC323&gt;0,IF(ISNUMBER(INDEX(CASHBACK_RULES!$J$5:$J$304,$AC323)),INDEX(CASHBACK_RULES!$J$5:$J$304,$AC323),"∞"),"")</f>
        <v/>
      </c>
      <c r="Q323" s="48" t="str">
        <f>IF(OR($B323="",$D323=""),"",IF($AC323=0,0,MAX(0,MIN($O323,IF(ISNUMBER($P323),$P323-$AF323,1E+15),IF(ISNUMBER($AA323),$AA323-$AG323,1E+15)))))</f>
        <v/>
      </c>
      <c r="R323" s="48" t="str">
        <f>IF(OR($B323="",$D323=""),"",IF($AC323=0,"",IF(AND(NOT(ISNUMBER($P323)),NOT(ISNUMBER($AA323))),"∞",MAX(0,MIN(IF(ISNUMBER($P323),$P323-$AF323-$Q323,1E+15),IF(ISNUMBER($AA323),$AA323-$AG323-$Q323,1E+15))))))</f>
        <v/>
      </c>
      <c r="S323" s="47" t="str">
        <f>IF($AD323="","",YEAR($AD323)*100+MONTH($AD323))</f>
        <v/>
      </c>
      <c r="T323" s="50" t="str">
        <f>IF($AD323="","",IFERROR(IF(INDEX(CARDS!$I$5:$I$34,MATCH($D323,CARDS!$A$5:$A$34,0))="","",IF(INDEX(CARDS!$I$5:$I$34,MATCH($D323,CARDS!$A$5:$A$34,0))&gt;INDEX(CARDS!$H$5:$H$34,MATCH($D323,CARDS!$A$5:$A$34,0)),DATE(YEAR($AD323),MONTH($AD323),MIN(INDEX(CARDS!$I$5:$I$34,MATCH($D323,CARDS!$A$5:$A$34,0)),DAY(EOMONTH($AD323,0)))),DATE(YEAR($AD323),MONTH($AD323)+1,MIN(INDEX(CARDS!$I$5:$I$34,MATCH($D323,CARDS!$A$5:$A$34,0)),DAY(EOMONTH($AD323,1)))))),""))</f>
        <v/>
      </c>
      <c r="U323" s="38" t="n"/>
      <c r="V323" s="37" t="n"/>
      <c r="W323" s="38" t="n"/>
      <c r="X323" s="38" t="n"/>
      <c r="Y323" s="44" t="str">
        <f>IF($AC323&gt;0,INDEX(CASHBACK_RULES!$A$5:$A$304,$AC323),"")</f>
        <v/>
      </c>
      <c r="Z323" s="45" t="str">
        <f>IF($AC323&gt;0,INDEX(CASHBACK_RULES!$E$5:$E$304,$AC323)&amp;"","")</f>
        <v/>
      </c>
      <c r="AA323" s="48" t="str">
        <f>IF($AC323&gt;0,IF(ISNUMBER(INDEX(CASHBACK_RULES!$K$5:$K$304,$AC323)),INDEX(CASHBACK_RULES!$K$5:$K$304,$AC323),"∞"),"")</f>
        <v/>
      </c>
      <c r="AB323" s="44" t="str">
        <f>IF(OR($B323="",$D323=""),"",IF($U323="Cancelled","Đã hủy",IF($AC323=0,"Không được hoàn",IF($Q323=0,IF(OR($O323&gt;0,$M323&lt;$L323),"Đã đạt cap","Không được hoàn"),IF(OR($Q323&lt;$O323,$M323&lt;$L323),"Hoàn một phần","Được hoàn")))))</f>
        <v/>
      </c>
      <c r="AC323" s="43">
        <f>IF(OR($B323="",$D323="",$I323="",$L323=""),0,IF($U323="Cancelled",0,IF($W323&lt;&gt;"",IFERROR(IF(INDEX(CASHBACK_RULES!$B$5:$B$304,MATCH($W323,CASHBACK_RULES!$A$5:$A$304,0))=$D323,MATCH($W323,CASHBACK_RULES!$A$5:$A$304,0),0),0),IFERROR(MATCH(1,INDEX((CASHBACK_RULES!$B$5:$B$304=$D323)*(CASHBACK_RULES!$G$5:$G$304=$I323)*(((CASHBACK_RULES!$N$5:$N$304="")+(CASHBACK_RULES!$N$5:$N$304&lt;=$B323))&gt;0)*(((CASHBACK_RULES!$O$5:$O$304="")+(CASHBACK_RULES!$O$5:$O$304&gt;=$B323))&gt;0)*(((CASHBACK_RULES!$M$5:$M$304="")+(CASHBACK_RULES!$M$5:$M$304&lt;=$L323))&gt;0),0),0),0))))</f>
        <v>0</v>
      </c>
      <c r="AD323" s="51" t="str">
        <f>IF(OR($B323="",$D323=""),"",IFERROR(IF(INDEX(CARDS!$H$5:$H$34,MATCH($D323,CARDS!$A$5:$A$34,0))="","",IF(DAY($B323)&lt;=INDEX(CARDS!$H$5:$H$34,MATCH($D323,CARDS!$A$5:$A$34,0)),DATE(YEAR($B323),MONTH($B323),MIN(INDEX(CARDS!$H$5:$H$34,MATCH($D323,CARDS!$A$5:$A$34,0)),DAY(EOMONTH($B323,0)))),DATE(YEAR($B323),MONTH($B323)+1,MIN(INDEX(CARDS!$H$5:$H$34,MATCH($D323,CARDS!$A$5:$A$34,0)),DAY(EOMONTH($B323,1)))))),""))</f>
        <v/>
      </c>
      <c r="AE323" s="52" t="str">
        <f>IF($C323="","",$C323&amp;"|"&amp;COUNTIF($C$5:$C323,$C323))</f>
        <v/>
      </c>
      <c r="AF323" s="53">
        <f>IF($AC323&gt;0,SUMIFS(Q$4:Q322,$D$4:$D322,$D323,$Z$4:$Z322,$Z323,$C$4:$C322,$C323),0)</f>
        <v>0</v>
      </c>
      <c r="AG323" s="53">
        <f>IF($AC323&gt;0,SUMIFS(Q$4:Q322,$D$4:$D322,$D323,$C$4:$C322,$C323),0)</f>
        <v>0</v>
      </c>
      <c r="AH323" s="53">
        <f>IF($AC323&gt;0,SUMIFS(M$4:M322,$D$4:$D322,$D323,$Z$4:$Z322,$Z323,$C$4:$C322,$C323),0)</f>
        <v>0</v>
      </c>
      <c r="AI323" s="43">
        <f>IF(OR($C323="",$I323=""),0,IF(COUNTIFS($C$5:$C323,$C323,$I$5:$I323,$I323)=1,1,0))</f>
        <v>0</v>
      </c>
      <c r="AJ323" s="43" t="str">
        <f>IF($AI323=1,SUMIFS($AI$4:$AI322,$C$4:$C322,$C323)+1,"")</f>
        <v/>
      </c>
      <c r="AK323" s="43">
        <f>IF(OR($C323="",$K323=""),0,IF(COUNTIFS($C$5:$C323,$C323,$K$5:$K323,$K323)=1,1,0))</f>
        <v>0</v>
      </c>
      <c r="AL323" s="43" t="str">
        <f>IF($AK323=1,SUMIFS($AK$4:$AK322,$C$4:$C322,$C323)+1,"")</f>
        <v/>
      </c>
      <c r="AM323" s="43">
        <f>IF(OR($C323="",$G323=""),0,IF(COUNTIFS($C$5:$C323,$C323,$G$5:$G323,$G323)=1,1,0))</f>
        <v>0</v>
      </c>
      <c r="AN323" s="43" t="str">
        <f>IF($AM323=1,SUMIFS($AM$4:$AM322,$C$4:$C322,$C323)+1,"")</f>
        <v/>
      </c>
    </row>
    <row r="324">
      <c r="A324" s="44" t="str">
        <f>IF(OR($B324="",$D324=""),"","TX"&amp;TEXT(ROW()-4,"0000"))</f>
        <v/>
      </c>
      <c r="B324" s="42" t="n"/>
      <c r="C324" s="47" t="str">
        <f>IF($B324="","",YEAR($B324)*100+MONTH($B324))</f>
        <v/>
      </c>
      <c r="D324" s="37" t="n"/>
      <c r="E324" s="45" t="str">
        <f>IF($D324="","",IFERROR(INDEX(CARDS!$B$5:$B$34,MATCH($D324,CARDS!$A$5:$A$34,0)),"⚠ Card ID?"))</f>
        <v/>
      </c>
      <c r="F324" s="45" t="str">
        <f>IF($D324="","",IFERROR(INDEX(CARDS!$C$5:$C$34,MATCH($D324,CARDS!$A$5:$A$34,0)),"⚠ Card ID?"))</f>
        <v/>
      </c>
      <c r="G324" s="37" t="n"/>
      <c r="H324" s="37" t="n"/>
      <c r="I324" s="41" t="n"/>
      <c r="J324" s="45" t="str">
        <f>IF($I324="","",IFERROR(INDEX(MCC_MASTER!$B$5:$B$504,MATCH($I324,MCC_MASTER!$A$5:$A$504,0)),"⚠ MCC chưa có"))</f>
        <v/>
      </c>
      <c r="K324" s="45" t="str">
        <f>IF($I324="","",IFERROR(IF(INDEX(MCC_MASTER!$C$5:$C$504,MATCH($I324,MCC_MASTER!$A$5:$A$504,0))="","Chưa phân loại",INDEX(MCC_MASTER!$C$5:$C$504,MATCH($I324,MCC_MASTER!$A$5:$A$504,0))),"Chưa phân loại"))</f>
        <v/>
      </c>
      <c r="L324" s="40" t="n"/>
      <c r="M324" s="48" t="str">
        <f>IF(OR($B324="",$D324=""),"",IF($AC324=0,0,IF(ISNUMBER(INDEX(CASHBACK_RULES!$L$5:$L$304,$AC324)),MAX(0,MIN($L324,INDEX(CASHBACK_RULES!$L$5:$L$304,$AC324)-$AH324)),MAX(0,$L324))))</f>
        <v/>
      </c>
      <c r="N324" s="49" t="str">
        <f>IF(OR($B324="",$D324=""),"",IF($AC324&gt;0,INDEX(CASHBACK_RULES!$I$5:$I$304,$AC324),0))</f>
        <v/>
      </c>
      <c r="O324" s="48" t="str">
        <f>IF(OR($B324="",$D324=""),"",ROUND($M324*$N324,0))</f>
        <v/>
      </c>
      <c r="P324" s="48" t="str">
        <f>IF($AC324&gt;0,IF(ISNUMBER(INDEX(CASHBACK_RULES!$J$5:$J$304,$AC324)),INDEX(CASHBACK_RULES!$J$5:$J$304,$AC324),"∞"),"")</f>
        <v/>
      </c>
      <c r="Q324" s="48" t="str">
        <f>IF(OR($B324="",$D324=""),"",IF($AC324=0,0,MAX(0,MIN($O324,IF(ISNUMBER($P324),$P324-$AF324,1E+15),IF(ISNUMBER($AA324),$AA324-$AG324,1E+15)))))</f>
        <v/>
      </c>
      <c r="R324" s="48" t="str">
        <f>IF(OR($B324="",$D324=""),"",IF($AC324=0,"",IF(AND(NOT(ISNUMBER($P324)),NOT(ISNUMBER($AA324))),"∞",MAX(0,MIN(IF(ISNUMBER($P324),$P324-$AF324-$Q324,1E+15),IF(ISNUMBER($AA324),$AA324-$AG324-$Q324,1E+15))))))</f>
        <v/>
      </c>
      <c r="S324" s="47" t="str">
        <f>IF($AD324="","",YEAR($AD324)*100+MONTH($AD324))</f>
        <v/>
      </c>
      <c r="T324" s="50" t="str">
        <f>IF($AD324="","",IFERROR(IF(INDEX(CARDS!$I$5:$I$34,MATCH($D324,CARDS!$A$5:$A$34,0))="","",IF(INDEX(CARDS!$I$5:$I$34,MATCH($D324,CARDS!$A$5:$A$34,0))&gt;INDEX(CARDS!$H$5:$H$34,MATCH($D324,CARDS!$A$5:$A$34,0)),DATE(YEAR($AD324),MONTH($AD324),MIN(INDEX(CARDS!$I$5:$I$34,MATCH($D324,CARDS!$A$5:$A$34,0)),DAY(EOMONTH($AD324,0)))),DATE(YEAR($AD324),MONTH($AD324)+1,MIN(INDEX(CARDS!$I$5:$I$34,MATCH($D324,CARDS!$A$5:$A$34,0)),DAY(EOMONTH($AD324,1)))))),""))</f>
        <v/>
      </c>
      <c r="U324" s="38" t="n"/>
      <c r="V324" s="37" t="n"/>
      <c r="W324" s="38" t="n"/>
      <c r="X324" s="38" t="n"/>
      <c r="Y324" s="44" t="str">
        <f>IF($AC324&gt;0,INDEX(CASHBACK_RULES!$A$5:$A$304,$AC324),"")</f>
        <v/>
      </c>
      <c r="Z324" s="45" t="str">
        <f>IF($AC324&gt;0,INDEX(CASHBACK_RULES!$E$5:$E$304,$AC324)&amp;"","")</f>
        <v/>
      </c>
      <c r="AA324" s="48" t="str">
        <f>IF($AC324&gt;0,IF(ISNUMBER(INDEX(CASHBACK_RULES!$K$5:$K$304,$AC324)),INDEX(CASHBACK_RULES!$K$5:$K$304,$AC324),"∞"),"")</f>
        <v/>
      </c>
      <c r="AB324" s="44" t="str">
        <f>IF(OR($B324="",$D324=""),"",IF($U324="Cancelled","Đã hủy",IF($AC324=0,"Không được hoàn",IF($Q324=0,IF(OR($O324&gt;0,$M324&lt;$L324),"Đã đạt cap","Không được hoàn"),IF(OR($Q324&lt;$O324,$M324&lt;$L324),"Hoàn một phần","Được hoàn")))))</f>
        <v/>
      </c>
      <c r="AC324" s="43">
        <f>IF(OR($B324="",$D324="",$I324="",$L324=""),0,IF($U324="Cancelled",0,IF($W324&lt;&gt;"",IFERROR(IF(INDEX(CASHBACK_RULES!$B$5:$B$304,MATCH($W324,CASHBACK_RULES!$A$5:$A$304,0))=$D324,MATCH($W324,CASHBACK_RULES!$A$5:$A$304,0),0),0),IFERROR(MATCH(1,INDEX((CASHBACK_RULES!$B$5:$B$304=$D324)*(CASHBACK_RULES!$G$5:$G$304=$I324)*(((CASHBACK_RULES!$N$5:$N$304="")+(CASHBACK_RULES!$N$5:$N$304&lt;=$B324))&gt;0)*(((CASHBACK_RULES!$O$5:$O$304="")+(CASHBACK_RULES!$O$5:$O$304&gt;=$B324))&gt;0)*(((CASHBACK_RULES!$M$5:$M$304="")+(CASHBACK_RULES!$M$5:$M$304&lt;=$L324))&gt;0),0),0),0))))</f>
        <v>0</v>
      </c>
      <c r="AD324" s="51" t="str">
        <f>IF(OR($B324="",$D324=""),"",IFERROR(IF(INDEX(CARDS!$H$5:$H$34,MATCH($D324,CARDS!$A$5:$A$34,0))="","",IF(DAY($B324)&lt;=INDEX(CARDS!$H$5:$H$34,MATCH($D324,CARDS!$A$5:$A$34,0)),DATE(YEAR($B324),MONTH($B324),MIN(INDEX(CARDS!$H$5:$H$34,MATCH($D324,CARDS!$A$5:$A$34,0)),DAY(EOMONTH($B324,0)))),DATE(YEAR($B324),MONTH($B324)+1,MIN(INDEX(CARDS!$H$5:$H$34,MATCH($D324,CARDS!$A$5:$A$34,0)),DAY(EOMONTH($B324,1)))))),""))</f>
        <v/>
      </c>
      <c r="AE324" s="52" t="str">
        <f>IF($C324="","",$C324&amp;"|"&amp;COUNTIF($C$5:$C324,$C324))</f>
        <v/>
      </c>
      <c r="AF324" s="53">
        <f>IF($AC324&gt;0,SUMIFS(Q$4:Q323,$D$4:$D323,$D324,$Z$4:$Z323,$Z324,$C$4:$C323,$C324),0)</f>
        <v>0</v>
      </c>
      <c r="AG324" s="53">
        <f>IF($AC324&gt;0,SUMIFS(Q$4:Q323,$D$4:$D323,$D324,$C$4:$C323,$C324),0)</f>
        <v>0</v>
      </c>
      <c r="AH324" s="53">
        <f>IF($AC324&gt;0,SUMIFS(M$4:M323,$D$4:$D323,$D324,$Z$4:$Z323,$Z324,$C$4:$C323,$C324),0)</f>
        <v>0</v>
      </c>
      <c r="AI324" s="43">
        <f>IF(OR($C324="",$I324=""),0,IF(COUNTIFS($C$5:$C324,$C324,$I$5:$I324,$I324)=1,1,0))</f>
        <v>0</v>
      </c>
      <c r="AJ324" s="43" t="str">
        <f>IF($AI324=1,SUMIFS($AI$4:$AI323,$C$4:$C323,$C324)+1,"")</f>
        <v/>
      </c>
      <c r="AK324" s="43">
        <f>IF(OR($C324="",$K324=""),0,IF(COUNTIFS($C$5:$C324,$C324,$K$5:$K324,$K324)=1,1,0))</f>
        <v>0</v>
      </c>
      <c r="AL324" s="43" t="str">
        <f>IF($AK324=1,SUMIFS($AK$4:$AK323,$C$4:$C323,$C324)+1,"")</f>
        <v/>
      </c>
      <c r="AM324" s="43">
        <f>IF(OR($C324="",$G324=""),0,IF(COUNTIFS($C$5:$C324,$C324,$G$5:$G324,$G324)=1,1,0))</f>
        <v>0</v>
      </c>
      <c r="AN324" s="43" t="str">
        <f>IF($AM324=1,SUMIFS($AM$4:$AM323,$C$4:$C323,$C324)+1,"")</f>
        <v/>
      </c>
    </row>
    <row r="325">
      <c r="A325" s="44" t="str">
        <f>IF(OR($B325="",$D325=""),"","TX"&amp;TEXT(ROW()-4,"0000"))</f>
        <v/>
      </c>
      <c r="B325" s="42" t="n"/>
      <c r="C325" s="47" t="str">
        <f>IF($B325="","",YEAR($B325)*100+MONTH($B325))</f>
        <v/>
      </c>
      <c r="D325" s="37" t="n"/>
      <c r="E325" s="45" t="str">
        <f>IF($D325="","",IFERROR(INDEX(CARDS!$B$5:$B$34,MATCH($D325,CARDS!$A$5:$A$34,0)),"⚠ Card ID?"))</f>
        <v/>
      </c>
      <c r="F325" s="45" t="str">
        <f>IF($D325="","",IFERROR(INDEX(CARDS!$C$5:$C$34,MATCH($D325,CARDS!$A$5:$A$34,0)),"⚠ Card ID?"))</f>
        <v/>
      </c>
      <c r="G325" s="37" t="n"/>
      <c r="H325" s="37" t="n"/>
      <c r="I325" s="41" t="n"/>
      <c r="J325" s="45" t="str">
        <f>IF($I325="","",IFERROR(INDEX(MCC_MASTER!$B$5:$B$504,MATCH($I325,MCC_MASTER!$A$5:$A$504,0)),"⚠ MCC chưa có"))</f>
        <v/>
      </c>
      <c r="K325" s="45" t="str">
        <f>IF($I325="","",IFERROR(IF(INDEX(MCC_MASTER!$C$5:$C$504,MATCH($I325,MCC_MASTER!$A$5:$A$504,0))="","Chưa phân loại",INDEX(MCC_MASTER!$C$5:$C$504,MATCH($I325,MCC_MASTER!$A$5:$A$504,0))),"Chưa phân loại"))</f>
        <v/>
      </c>
      <c r="L325" s="40" t="n"/>
      <c r="M325" s="48" t="str">
        <f>IF(OR($B325="",$D325=""),"",IF($AC325=0,0,IF(ISNUMBER(INDEX(CASHBACK_RULES!$L$5:$L$304,$AC325)),MAX(0,MIN($L325,INDEX(CASHBACK_RULES!$L$5:$L$304,$AC325)-$AH325)),MAX(0,$L325))))</f>
        <v/>
      </c>
      <c r="N325" s="49" t="str">
        <f>IF(OR($B325="",$D325=""),"",IF($AC325&gt;0,INDEX(CASHBACK_RULES!$I$5:$I$304,$AC325),0))</f>
        <v/>
      </c>
      <c r="O325" s="48" t="str">
        <f>IF(OR($B325="",$D325=""),"",ROUND($M325*$N325,0))</f>
        <v/>
      </c>
      <c r="P325" s="48" t="str">
        <f>IF($AC325&gt;0,IF(ISNUMBER(INDEX(CASHBACK_RULES!$J$5:$J$304,$AC325)),INDEX(CASHBACK_RULES!$J$5:$J$304,$AC325),"∞"),"")</f>
        <v/>
      </c>
      <c r="Q325" s="48" t="str">
        <f>IF(OR($B325="",$D325=""),"",IF($AC325=0,0,MAX(0,MIN($O325,IF(ISNUMBER($P325),$P325-$AF325,1E+15),IF(ISNUMBER($AA325),$AA325-$AG325,1E+15)))))</f>
        <v/>
      </c>
      <c r="R325" s="48" t="str">
        <f>IF(OR($B325="",$D325=""),"",IF($AC325=0,"",IF(AND(NOT(ISNUMBER($P325)),NOT(ISNUMBER($AA325))),"∞",MAX(0,MIN(IF(ISNUMBER($P325),$P325-$AF325-$Q325,1E+15),IF(ISNUMBER($AA325),$AA325-$AG325-$Q325,1E+15))))))</f>
        <v/>
      </c>
      <c r="S325" s="47" t="str">
        <f>IF($AD325="","",YEAR($AD325)*100+MONTH($AD325))</f>
        <v/>
      </c>
      <c r="T325" s="50" t="str">
        <f>IF($AD325="","",IFERROR(IF(INDEX(CARDS!$I$5:$I$34,MATCH($D325,CARDS!$A$5:$A$34,0))="","",IF(INDEX(CARDS!$I$5:$I$34,MATCH($D325,CARDS!$A$5:$A$34,0))&gt;INDEX(CARDS!$H$5:$H$34,MATCH($D325,CARDS!$A$5:$A$34,0)),DATE(YEAR($AD325),MONTH($AD325),MIN(INDEX(CARDS!$I$5:$I$34,MATCH($D325,CARDS!$A$5:$A$34,0)),DAY(EOMONTH($AD325,0)))),DATE(YEAR($AD325),MONTH($AD325)+1,MIN(INDEX(CARDS!$I$5:$I$34,MATCH($D325,CARDS!$A$5:$A$34,0)),DAY(EOMONTH($AD325,1)))))),""))</f>
        <v/>
      </c>
      <c r="U325" s="38" t="n"/>
      <c r="V325" s="37" t="n"/>
      <c r="W325" s="38" t="n"/>
      <c r="X325" s="38" t="n"/>
      <c r="Y325" s="44" t="str">
        <f>IF($AC325&gt;0,INDEX(CASHBACK_RULES!$A$5:$A$304,$AC325),"")</f>
        <v/>
      </c>
      <c r="Z325" s="45" t="str">
        <f>IF($AC325&gt;0,INDEX(CASHBACK_RULES!$E$5:$E$304,$AC325)&amp;"","")</f>
        <v/>
      </c>
      <c r="AA325" s="48" t="str">
        <f>IF($AC325&gt;0,IF(ISNUMBER(INDEX(CASHBACK_RULES!$K$5:$K$304,$AC325)),INDEX(CASHBACK_RULES!$K$5:$K$304,$AC325),"∞"),"")</f>
        <v/>
      </c>
      <c r="AB325" s="44" t="str">
        <f>IF(OR($B325="",$D325=""),"",IF($U325="Cancelled","Đã hủy",IF($AC325=0,"Không được hoàn",IF($Q325=0,IF(OR($O325&gt;0,$M325&lt;$L325),"Đã đạt cap","Không được hoàn"),IF(OR($Q325&lt;$O325,$M325&lt;$L325),"Hoàn một phần","Được hoàn")))))</f>
        <v/>
      </c>
      <c r="AC325" s="43">
        <f>IF(OR($B325="",$D325="",$I325="",$L325=""),0,IF($U325="Cancelled",0,IF($W325&lt;&gt;"",IFERROR(IF(INDEX(CASHBACK_RULES!$B$5:$B$304,MATCH($W325,CASHBACK_RULES!$A$5:$A$304,0))=$D325,MATCH($W325,CASHBACK_RULES!$A$5:$A$304,0),0),0),IFERROR(MATCH(1,INDEX((CASHBACK_RULES!$B$5:$B$304=$D325)*(CASHBACK_RULES!$G$5:$G$304=$I325)*(((CASHBACK_RULES!$N$5:$N$304="")+(CASHBACK_RULES!$N$5:$N$304&lt;=$B325))&gt;0)*(((CASHBACK_RULES!$O$5:$O$304="")+(CASHBACK_RULES!$O$5:$O$304&gt;=$B325))&gt;0)*(((CASHBACK_RULES!$M$5:$M$304="")+(CASHBACK_RULES!$M$5:$M$304&lt;=$L325))&gt;0),0),0),0))))</f>
        <v>0</v>
      </c>
      <c r="AD325" s="51" t="str">
        <f>IF(OR($B325="",$D325=""),"",IFERROR(IF(INDEX(CARDS!$H$5:$H$34,MATCH($D325,CARDS!$A$5:$A$34,0))="","",IF(DAY($B325)&lt;=INDEX(CARDS!$H$5:$H$34,MATCH($D325,CARDS!$A$5:$A$34,0)),DATE(YEAR($B325),MONTH($B325),MIN(INDEX(CARDS!$H$5:$H$34,MATCH($D325,CARDS!$A$5:$A$34,0)),DAY(EOMONTH($B325,0)))),DATE(YEAR($B325),MONTH($B325)+1,MIN(INDEX(CARDS!$H$5:$H$34,MATCH($D325,CARDS!$A$5:$A$34,0)),DAY(EOMONTH($B325,1)))))),""))</f>
        <v/>
      </c>
      <c r="AE325" s="52" t="str">
        <f>IF($C325="","",$C325&amp;"|"&amp;COUNTIF($C$5:$C325,$C325))</f>
        <v/>
      </c>
      <c r="AF325" s="53">
        <f>IF($AC325&gt;0,SUMIFS(Q$4:Q324,$D$4:$D324,$D325,$Z$4:$Z324,$Z325,$C$4:$C324,$C325),0)</f>
        <v>0</v>
      </c>
      <c r="AG325" s="53">
        <f>IF($AC325&gt;0,SUMIFS(Q$4:Q324,$D$4:$D324,$D325,$C$4:$C324,$C325),0)</f>
        <v>0</v>
      </c>
      <c r="AH325" s="53">
        <f>IF($AC325&gt;0,SUMIFS(M$4:M324,$D$4:$D324,$D325,$Z$4:$Z324,$Z325,$C$4:$C324,$C325),0)</f>
        <v>0</v>
      </c>
      <c r="AI325" s="43">
        <f>IF(OR($C325="",$I325=""),0,IF(COUNTIFS($C$5:$C325,$C325,$I$5:$I325,$I325)=1,1,0))</f>
        <v>0</v>
      </c>
      <c r="AJ325" s="43" t="str">
        <f>IF($AI325=1,SUMIFS($AI$4:$AI324,$C$4:$C324,$C325)+1,"")</f>
        <v/>
      </c>
      <c r="AK325" s="43">
        <f>IF(OR($C325="",$K325=""),0,IF(COUNTIFS($C$5:$C325,$C325,$K$5:$K325,$K325)=1,1,0))</f>
        <v>0</v>
      </c>
      <c r="AL325" s="43" t="str">
        <f>IF($AK325=1,SUMIFS($AK$4:$AK324,$C$4:$C324,$C325)+1,"")</f>
        <v/>
      </c>
      <c r="AM325" s="43">
        <f>IF(OR($C325="",$G325=""),0,IF(COUNTIFS($C$5:$C325,$C325,$G$5:$G325,$G325)=1,1,0))</f>
        <v>0</v>
      </c>
      <c r="AN325" s="43" t="str">
        <f>IF($AM325=1,SUMIFS($AM$4:$AM324,$C$4:$C324,$C325)+1,"")</f>
        <v/>
      </c>
    </row>
    <row r="326">
      <c r="A326" s="44" t="str">
        <f>IF(OR($B326="",$D326=""),"","TX"&amp;TEXT(ROW()-4,"0000"))</f>
        <v/>
      </c>
      <c r="B326" s="42" t="n"/>
      <c r="C326" s="47" t="str">
        <f>IF($B326="","",YEAR($B326)*100+MONTH($B326))</f>
        <v/>
      </c>
      <c r="D326" s="37" t="n"/>
      <c r="E326" s="45" t="str">
        <f>IF($D326="","",IFERROR(INDEX(CARDS!$B$5:$B$34,MATCH($D326,CARDS!$A$5:$A$34,0)),"⚠ Card ID?"))</f>
        <v/>
      </c>
      <c r="F326" s="45" t="str">
        <f>IF($D326="","",IFERROR(INDEX(CARDS!$C$5:$C$34,MATCH($D326,CARDS!$A$5:$A$34,0)),"⚠ Card ID?"))</f>
        <v/>
      </c>
      <c r="G326" s="37" t="n"/>
      <c r="H326" s="37" t="n"/>
      <c r="I326" s="41" t="n"/>
      <c r="J326" s="45" t="str">
        <f>IF($I326="","",IFERROR(INDEX(MCC_MASTER!$B$5:$B$504,MATCH($I326,MCC_MASTER!$A$5:$A$504,0)),"⚠ MCC chưa có"))</f>
        <v/>
      </c>
      <c r="K326" s="45" t="str">
        <f>IF($I326="","",IFERROR(IF(INDEX(MCC_MASTER!$C$5:$C$504,MATCH($I326,MCC_MASTER!$A$5:$A$504,0))="","Chưa phân loại",INDEX(MCC_MASTER!$C$5:$C$504,MATCH($I326,MCC_MASTER!$A$5:$A$504,0))),"Chưa phân loại"))</f>
        <v/>
      </c>
      <c r="L326" s="40" t="n"/>
      <c r="M326" s="48" t="str">
        <f>IF(OR($B326="",$D326=""),"",IF($AC326=0,0,IF(ISNUMBER(INDEX(CASHBACK_RULES!$L$5:$L$304,$AC326)),MAX(0,MIN($L326,INDEX(CASHBACK_RULES!$L$5:$L$304,$AC326)-$AH326)),MAX(0,$L326))))</f>
        <v/>
      </c>
      <c r="N326" s="49" t="str">
        <f>IF(OR($B326="",$D326=""),"",IF($AC326&gt;0,INDEX(CASHBACK_RULES!$I$5:$I$304,$AC326),0))</f>
        <v/>
      </c>
      <c r="O326" s="48" t="str">
        <f>IF(OR($B326="",$D326=""),"",ROUND($M326*$N326,0))</f>
        <v/>
      </c>
      <c r="P326" s="48" t="str">
        <f>IF($AC326&gt;0,IF(ISNUMBER(INDEX(CASHBACK_RULES!$J$5:$J$304,$AC326)),INDEX(CASHBACK_RULES!$J$5:$J$304,$AC326),"∞"),"")</f>
        <v/>
      </c>
      <c r="Q326" s="48" t="str">
        <f>IF(OR($B326="",$D326=""),"",IF($AC326=0,0,MAX(0,MIN($O326,IF(ISNUMBER($P326),$P326-$AF326,1E+15),IF(ISNUMBER($AA326),$AA326-$AG326,1E+15)))))</f>
        <v/>
      </c>
      <c r="R326" s="48" t="str">
        <f>IF(OR($B326="",$D326=""),"",IF($AC326=0,"",IF(AND(NOT(ISNUMBER($P326)),NOT(ISNUMBER($AA326))),"∞",MAX(0,MIN(IF(ISNUMBER($P326),$P326-$AF326-$Q326,1E+15),IF(ISNUMBER($AA326),$AA326-$AG326-$Q326,1E+15))))))</f>
        <v/>
      </c>
      <c r="S326" s="47" t="str">
        <f>IF($AD326="","",YEAR($AD326)*100+MONTH($AD326))</f>
        <v/>
      </c>
      <c r="T326" s="50" t="str">
        <f>IF($AD326="","",IFERROR(IF(INDEX(CARDS!$I$5:$I$34,MATCH($D326,CARDS!$A$5:$A$34,0))="","",IF(INDEX(CARDS!$I$5:$I$34,MATCH($D326,CARDS!$A$5:$A$34,0))&gt;INDEX(CARDS!$H$5:$H$34,MATCH($D326,CARDS!$A$5:$A$34,0)),DATE(YEAR($AD326),MONTH($AD326),MIN(INDEX(CARDS!$I$5:$I$34,MATCH($D326,CARDS!$A$5:$A$34,0)),DAY(EOMONTH($AD326,0)))),DATE(YEAR($AD326),MONTH($AD326)+1,MIN(INDEX(CARDS!$I$5:$I$34,MATCH($D326,CARDS!$A$5:$A$34,0)),DAY(EOMONTH($AD326,1)))))),""))</f>
        <v/>
      </c>
      <c r="U326" s="38" t="n"/>
      <c r="V326" s="37" t="n"/>
      <c r="W326" s="38" t="n"/>
      <c r="X326" s="38" t="n"/>
      <c r="Y326" s="44" t="str">
        <f>IF($AC326&gt;0,INDEX(CASHBACK_RULES!$A$5:$A$304,$AC326),"")</f>
        <v/>
      </c>
      <c r="Z326" s="45" t="str">
        <f>IF($AC326&gt;0,INDEX(CASHBACK_RULES!$E$5:$E$304,$AC326)&amp;"","")</f>
        <v/>
      </c>
      <c r="AA326" s="48" t="str">
        <f>IF($AC326&gt;0,IF(ISNUMBER(INDEX(CASHBACK_RULES!$K$5:$K$304,$AC326)),INDEX(CASHBACK_RULES!$K$5:$K$304,$AC326),"∞"),"")</f>
        <v/>
      </c>
      <c r="AB326" s="44" t="str">
        <f>IF(OR($B326="",$D326=""),"",IF($U326="Cancelled","Đã hủy",IF($AC326=0,"Không được hoàn",IF($Q326=0,IF(OR($O326&gt;0,$M326&lt;$L326),"Đã đạt cap","Không được hoàn"),IF(OR($Q326&lt;$O326,$M326&lt;$L326),"Hoàn một phần","Được hoàn")))))</f>
        <v/>
      </c>
      <c r="AC326" s="43">
        <f>IF(OR($B326="",$D326="",$I326="",$L326=""),0,IF($U326="Cancelled",0,IF($W326&lt;&gt;"",IFERROR(IF(INDEX(CASHBACK_RULES!$B$5:$B$304,MATCH($W326,CASHBACK_RULES!$A$5:$A$304,0))=$D326,MATCH($W326,CASHBACK_RULES!$A$5:$A$304,0),0),0),IFERROR(MATCH(1,INDEX((CASHBACK_RULES!$B$5:$B$304=$D326)*(CASHBACK_RULES!$G$5:$G$304=$I326)*(((CASHBACK_RULES!$N$5:$N$304="")+(CASHBACK_RULES!$N$5:$N$304&lt;=$B326))&gt;0)*(((CASHBACK_RULES!$O$5:$O$304="")+(CASHBACK_RULES!$O$5:$O$304&gt;=$B326))&gt;0)*(((CASHBACK_RULES!$M$5:$M$304="")+(CASHBACK_RULES!$M$5:$M$304&lt;=$L326))&gt;0),0),0),0))))</f>
        <v>0</v>
      </c>
      <c r="AD326" s="51" t="str">
        <f>IF(OR($B326="",$D326=""),"",IFERROR(IF(INDEX(CARDS!$H$5:$H$34,MATCH($D326,CARDS!$A$5:$A$34,0))="","",IF(DAY($B326)&lt;=INDEX(CARDS!$H$5:$H$34,MATCH($D326,CARDS!$A$5:$A$34,0)),DATE(YEAR($B326),MONTH($B326),MIN(INDEX(CARDS!$H$5:$H$34,MATCH($D326,CARDS!$A$5:$A$34,0)),DAY(EOMONTH($B326,0)))),DATE(YEAR($B326),MONTH($B326)+1,MIN(INDEX(CARDS!$H$5:$H$34,MATCH($D326,CARDS!$A$5:$A$34,0)),DAY(EOMONTH($B326,1)))))),""))</f>
        <v/>
      </c>
      <c r="AE326" s="52" t="str">
        <f>IF($C326="","",$C326&amp;"|"&amp;COUNTIF($C$5:$C326,$C326))</f>
        <v/>
      </c>
      <c r="AF326" s="53">
        <f>IF($AC326&gt;0,SUMIFS(Q$4:Q325,$D$4:$D325,$D326,$Z$4:$Z325,$Z326,$C$4:$C325,$C326),0)</f>
        <v>0</v>
      </c>
      <c r="AG326" s="53">
        <f>IF($AC326&gt;0,SUMIFS(Q$4:Q325,$D$4:$D325,$D326,$C$4:$C325,$C326),0)</f>
        <v>0</v>
      </c>
      <c r="AH326" s="53">
        <f>IF($AC326&gt;0,SUMIFS(M$4:M325,$D$4:$D325,$D326,$Z$4:$Z325,$Z326,$C$4:$C325,$C326),0)</f>
        <v>0</v>
      </c>
      <c r="AI326" s="43">
        <f>IF(OR($C326="",$I326=""),0,IF(COUNTIFS($C$5:$C326,$C326,$I$5:$I326,$I326)=1,1,0))</f>
        <v>0</v>
      </c>
      <c r="AJ326" s="43" t="str">
        <f>IF($AI326=1,SUMIFS($AI$4:$AI325,$C$4:$C325,$C326)+1,"")</f>
        <v/>
      </c>
      <c r="AK326" s="43">
        <f>IF(OR($C326="",$K326=""),0,IF(COUNTIFS($C$5:$C326,$C326,$K$5:$K326,$K326)=1,1,0))</f>
        <v>0</v>
      </c>
      <c r="AL326" s="43" t="str">
        <f>IF($AK326=1,SUMIFS($AK$4:$AK325,$C$4:$C325,$C326)+1,"")</f>
        <v/>
      </c>
      <c r="AM326" s="43">
        <f>IF(OR($C326="",$G326=""),0,IF(COUNTIFS($C$5:$C326,$C326,$G$5:$G326,$G326)=1,1,0))</f>
        <v>0</v>
      </c>
      <c r="AN326" s="43" t="str">
        <f>IF($AM326=1,SUMIFS($AM$4:$AM325,$C$4:$C325,$C326)+1,"")</f>
        <v/>
      </c>
    </row>
    <row r="327">
      <c r="A327" s="44" t="str">
        <f>IF(OR($B327="",$D327=""),"","TX"&amp;TEXT(ROW()-4,"0000"))</f>
        <v/>
      </c>
      <c r="B327" s="42" t="n"/>
      <c r="C327" s="47" t="str">
        <f>IF($B327="","",YEAR($B327)*100+MONTH($B327))</f>
        <v/>
      </c>
      <c r="D327" s="37" t="n"/>
      <c r="E327" s="45" t="str">
        <f>IF($D327="","",IFERROR(INDEX(CARDS!$B$5:$B$34,MATCH($D327,CARDS!$A$5:$A$34,0)),"⚠ Card ID?"))</f>
        <v/>
      </c>
      <c r="F327" s="45" t="str">
        <f>IF($D327="","",IFERROR(INDEX(CARDS!$C$5:$C$34,MATCH($D327,CARDS!$A$5:$A$34,0)),"⚠ Card ID?"))</f>
        <v/>
      </c>
      <c r="G327" s="37" t="n"/>
      <c r="H327" s="37" t="n"/>
      <c r="I327" s="41" t="n"/>
      <c r="J327" s="45" t="str">
        <f>IF($I327="","",IFERROR(INDEX(MCC_MASTER!$B$5:$B$504,MATCH($I327,MCC_MASTER!$A$5:$A$504,0)),"⚠ MCC chưa có"))</f>
        <v/>
      </c>
      <c r="K327" s="45" t="str">
        <f>IF($I327="","",IFERROR(IF(INDEX(MCC_MASTER!$C$5:$C$504,MATCH($I327,MCC_MASTER!$A$5:$A$504,0))="","Chưa phân loại",INDEX(MCC_MASTER!$C$5:$C$504,MATCH($I327,MCC_MASTER!$A$5:$A$504,0))),"Chưa phân loại"))</f>
        <v/>
      </c>
      <c r="L327" s="40" t="n"/>
      <c r="M327" s="48" t="str">
        <f>IF(OR($B327="",$D327=""),"",IF($AC327=0,0,IF(ISNUMBER(INDEX(CASHBACK_RULES!$L$5:$L$304,$AC327)),MAX(0,MIN($L327,INDEX(CASHBACK_RULES!$L$5:$L$304,$AC327)-$AH327)),MAX(0,$L327))))</f>
        <v/>
      </c>
      <c r="N327" s="49" t="str">
        <f>IF(OR($B327="",$D327=""),"",IF($AC327&gt;0,INDEX(CASHBACK_RULES!$I$5:$I$304,$AC327),0))</f>
        <v/>
      </c>
      <c r="O327" s="48" t="str">
        <f>IF(OR($B327="",$D327=""),"",ROUND($M327*$N327,0))</f>
        <v/>
      </c>
      <c r="P327" s="48" t="str">
        <f>IF($AC327&gt;0,IF(ISNUMBER(INDEX(CASHBACK_RULES!$J$5:$J$304,$AC327)),INDEX(CASHBACK_RULES!$J$5:$J$304,$AC327),"∞"),"")</f>
        <v/>
      </c>
      <c r="Q327" s="48" t="str">
        <f>IF(OR($B327="",$D327=""),"",IF($AC327=0,0,MAX(0,MIN($O327,IF(ISNUMBER($P327),$P327-$AF327,1E+15),IF(ISNUMBER($AA327),$AA327-$AG327,1E+15)))))</f>
        <v/>
      </c>
      <c r="R327" s="48" t="str">
        <f>IF(OR($B327="",$D327=""),"",IF($AC327=0,"",IF(AND(NOT(ISNUMBER($P327)),NOT(ISNUMBER($AA327))),"∞",MAX(0,MIN(IF(ISNUMBER($P327),$P327-$AF327-$Q327,1E+15),IF(ISNUMBER($AA327),$AA327-$AG327-$Q327,1E+15))))))</f>
        <v/>
      </c>
      <c r="S327" s="47" t="str">
        <f>IF($AD327="","",YEAR($AD327)*100+MONTH($AD327))</f>
        <v/>
      </c>
      <c r="T327" s="50" t="str">
        <f>IF($AD327="","",IFERROR(IF(INDEX(CARDS!$I$5:$I$34,MATCH($D327,CARDS!$A$5:$A$34,0))="","",IF(INDEX(CARDS!$I$5:$I$34,MATCH($D327,CARDS!$A$5:$A$34,0))&gt;INDEX(CARDS!$H$5:$H$34,MATCH($D327,CARDS!$A$5:$A$34,0)),DATE(YEAR($AD327),MONTH($AD327),MIN(INDEX(CARDS!$I$5:$I$34,MATCH($D327,CARDS!$A$5:$A$34,0)),DAY(EOMONTH($AD327,0)))),DATE(YEAR($AD327),MONTH($AD327)+1,MIN(INDEX(CARDS!$I$5:$I$34,MATCH($D327,CARDS!$A$5:$A$34,0)),DAY(EOMONTH($AD327,1)))))),""))</f>
        <v/>
      </c>
      <c r="U327" s="38" t="n"/>
      <c r="V327" s="37" t="n"/>
      <c r="W327" s="38" t="n"/>
      <c r="X327" s="38" t="n"/>
      <c r="Y327" s="44" t="str">
        <f>IF($AC327&gt;0,INDEX(CASHBACK_RULES!$A$5:$A$304,$AC327),"")</f>
        <v/>
      </c>
      <c r="Z327" s="45" t="str">
        <f>IF($AC327&gt;0,INDEX(CASHBACK_RULES!$E$5:$E$304,$AC327)&amp;"","")</f>
        <v/>
      </c>
      <c r="AA327" s="48" t="str">
        <f>IF($AC327&gt;0,IF(ISNUMBER(INDEX(CASHBACK_RULES!$K$5:$K$304,$AC327)),INDEX(CASHBACK_RULES!$K$5:$K$304,$AC327),"∞"),"")</f>
        <v/>
      </c>
      <c r="AB327" s="44" t="str">
        <f>IF(OR($B327="",$D327=""),"",IF($U327="Cancelled","Đã hủy",IF($AC327=0,"Không được hoàn",IF($Q327=0,IF(OR($O327&gt;0,$M327&lt;$L327),"Đã đạt cap","Không được hoàn"),IF(OR($Q327&lt;$O327,$M327&lt;$L327),"Hoàn một phần","Được hoàn")))))</f>
        <v/>
      </c>
      <c r="AC327" s="43">
        <f>IF(OR($B327="",$D327="",$I327="",$L327=""),0,IF($U327="Cancelled",0,IF($W327&lt;&gt;"",IFERROR(IF(INDEX(CASHBACK_RULES!$B$5:$B$304,MATCH($W327,CASHBACK_RULES!$A$5:$A$304,0))=$D327,MATCH($W327,CASHBACK_RULES!$A$5:$A$304,0),0),0),IFERROR(MATCH(1,INDEX((CASHBACK_RULES!$B$5:$B$304=$D327)*(CASHBACK_RULES!$G$5:$G$304=$I327)*(((CASHBACK_RULES!$N$5:$N$304="")+(CASHBACK_RULES!$N$5:$N$304&lt;=$B327))&gt;0)*(((CASHBACK_RULES!$O$5:$O$304="")+(CASHBACK_RULES!$O$5:$O$304&gt;=$B327))&gt;0)*(((CASHBACK_RULES!$M$5:$M$304="")+(CASHBACK_RULES!$M$5:$M$304&lt;=$L327))&gt;0),0),0),0))))</f>
        <v>0</v>
      </c>
      <c r="AD327" s="51" t="str">
        <f>IF(OR($B327="",$D327=""),"",IFERROR(IF(INDEX(CARDS!$H$5:$H$34,MATCH($D327,CARDS!$A$5:$A$34,0))="","",IF(DAY($B327)&lt;=INDEX(CARDS!$H$5:$H$34,MATCH($D327,CARDS!$A$5:$A$34,0)),DATE(YEAR($B327),MONTH($B327),MIN(INDEX(CARDS!$H$5:$H$34,MATCH($D327,CARDS!$A$5:$A$34,0)),DAY(EOMONTH($B327,0)))),DATE(YEAR($B327),MONTH($B327)+1,MIN(INDEX(CARDS!$H$5:$H$34,MATCH($D327,CARDS!$A$5:$A$34,0)),DAY(EOMONTH($B327,1)))))),""))</f>
        <v/>
      </c>
      <c r="AE327" s="52" t="str">
        <f>IF($C327="","",$C327&amp;"|"&amp;COUNTIF($C$5:$C327,$C327))</f>
        <v/>
      </c>
      <c r="AF327" s="53">
        <f>IF($AC327&gt;0,SUMIFS(Q$4:Q326,$D$4:$D326,$D327,$Z$4:$Z326,$Z327,$C$4:$C326,$C327),0)</f>
        <v>0</v>
      </c>
      <c r="AG327" s="53">
        <f>IF($AC327&gt;0,SUMIFS(Q$4:Q326,$D$4:$D326,$D327,$C$4:$C326,$C327),0)</f>
        <v>0</v>
      </c>
      <c r="AH327" s="53">
        <f>IF($AC327&gt;0,SUMIFS(M$4:M326,$D$4:$D326,$D327,$Z$4:$Z326,$Z327,$C$4:$C326,$C327),0)</f>
        <v>0</v>
      </c>
      <c r="AI327" s="43">
        <f>IF(OR($C327="",$I327=""),0,IF(COUNTIFS($C$5:$C327,$C327,$I$5:$I327,$I327)=1,1,0))</f>
        <v>0</v>
      </c>
      <c r="AJ327" s="43" t="str">
        <f>IF($AI327=1,SUMIFS($AI$4:$AI326,$C$4:$C326,$C327)+1,"")</f>
        <v/>
      </c>
      <c r="AK327" s="43">
        <f>IF(OR($C327="",$K327=""),0,IF(COUNTIFS($C$5:$C327,$C327,$K$5:$K327,$K327)=1,1,0))</f>
        <v>0</v>
      </c>
      <c r="AL327" s="43" t="str">
        <f>IF($AK327=1,SUMIFS($AK$4:$AK326,$C$4:$C326,$C327)+1,"")</f>
        <v/>
      </c>
      <c r="AM327" s="43">
        <f>IF(OR($C327="",$G327=""),0,IF(COUNTIFS($C$5:$C327,$C327,$G$5:$G327,$G327)=1,1,0))</f>
        <v>0</v>
      </c>
      <c r="AN327" s="43" t="str">
        <f>IF($AM327=1,SUMIFS($AM$4:$AM326,$C$4:$C326,$C327)+1,"")</f>
        <v/>
      </c>
    </row>
    <row r="328">
      <c r="A328" s="44" t="str">
        <f>IF(OR($B328="",$D328=""),"","TX"&amp;TEXT(ROW()-4,"0000"))</f>
        <v/>
      </c>
      <c r="B328" s="42" t="n"/>
      <c r="C328" s="47" t="str">
        <f>IF($B328="","",YEAR($B328)*100+MONTH($B328))</f>
        <v/>
      </c>
      <c r="D328" s="37" t="n"/>
      <c r="E328" s="45" t="str">
        <f>IF($D328="","",IFERROR(INDEX(CARDS!$B$5:$B$34,MATCH($D328,CARDS!$A$5:$A$34,0)),"⚠ Card ID?"))</f>
        <v/>
      </c>
      <c r="F328" s="45" t="str">
        <f>IF($D328="","",IFERROR(INDEX(CARDS!$C$5:$C$34,MATCH($D328,CARDS!$A$5:$A$34,0)),"⚠ Card ID?"))</f>
        <v/>
      </c>
      <c r="G328" s="37" t="n"/>
      <c r="H328" s="37" t="n"/>
      <c r="I328" s="41" t="n"/>
      <c r="J328" s="45" t="str">
        <f>IF($I328="","",IFERROR(INDEX(MCC_MASTER!$B$5:$B$504,MATCH($I328,MCC_MASTER!$A$5:$A$504,0)),"⚠ MCC chưa có"))</f>
        <v/>
      </c>
      <c r="K328" s="45" t="str">
        <f>IF($I328="","",IFERROR(IF(INDEX(MCC_MASTER!$C$5:$C$504,MATCH($I328,MCC_MASTER!$A$5:$A$504,0))="","Chưa phân loại",INDEX(MCC_MASTER!$C$5:$C$504,MATCH($I328,MCC_MASTER!$A$5:$A$504,0))),"Chưa phân loại"))</f>
        <v/>
      </c>
      <c r="L328" s="40" t="n"/>
      <c r="M328" s="48" t="str">
        <f>IF(OR($B328="",$D328=""),"",IF($AC328=0,0,IF(ISNUMBER(INDEX(CASHBACK_RULES!$L$5:$L$304,$AC328)),MAX(0,MIN($L328,INDEX(CASHBACK_RULES!$L$5:$L$304,$AC328)-$AH328)),MAX(0,$L328))))</f>
        <v/>
      </c>
      <c r="N328" s="49" t="str">
        <f>IF(OR($B328="",$D328=""),"",IF($AC328&gt;0,INDEX(CASHBACK_RULES!$I$5:$I$304,$AC328),0))</f>
        <v/>
      </c>
      <c r="O328" s="48" t="str">
        <f>IF(OR($B328="",$D328=""),"",ROUND($M328*$N328,0))</f>
        <v/>
      </c>
      <c r="P328" s="48" t="str">
        <f>IF($AC328&gt;0,IF(ISNUMBER(INDEX(CASHBACK_RULES!$J$5:$J$304,$AC328)),INDEX(CASHBACK_RULES!$J$5:$J$304,$AC328),"∞"),"")</f>
        <v/>
      </c>
      <c r="Q328" s="48" t="str">
        <f>IF(OR($B328="",$D328=""),"",IF($AC328=0,0,MAX(0,MIN($O328,IF(ISNUMBER($P328),$P328-$AF328,1E+15),IF(ISNUMBER($AA328),$AA328-$AG328,1E+15)))))</f>
        <v/>
      </c>
      <c r="R328" s="48" t="str">
        <f>IF(OR($B328="",$D328=""),"",IF($AC328=0,"",IF(AND(NOT(ISNUMBER($P328)),NOT(ISNUMBER($AA328))),"∞",MAX(0,MIN(IF(ISNUMBER($P328),$P328-$AF328-$Q328,1E+15),IF(ISNUMBER($AA328),$AA328-$AG328-$Q328,1E+15))))))</f>
        <v/>
      </c>
      <c r="S328" s="47" t="str">
        <f>IF($AD328="","",YEAR($AD328)*100+MONTH($AD328))</f>
        <v/>
      </c>
      <c r="T328" s="50" t="str">
        <f>IF($AD328="","",IFERROR(IF(INDEX(CARDS!$I$5:$I$34,MATCH($D328,CARDS!$A$5:$A$34,0))="","",IF(INDEX(CARDS!$I$5:$I$34,MATCH($D328,CARDS!$A$5:$A$34,0))&gt;INDEX(CARDS!$H$5:$H$34,MATCH($D328,CARDS!$A$5:$A$34,0)),DATE(YEAR($AD328),MONTH($AD328),MIN(INDEX(CARDS!$I$5:$I$34,MATCH($D328,CARDS!$A$5:$A$34,0)),DAY(EOMONTH($AD328,0)))),DATE(YEAR($AD328),MONTH($AD328)+1,MIN(INDEX(CARDS!$I$5:$I$34,MATCH($D328,CARDS!$A$5:$A$34,0)),DAY(EOMONTH($AD328,1)))))),""))</f>
        <v/>
      </c>
      <c r="U328" s="38" t="n"/>
      <c r="V328" s="37" t="n"/>
      <c r="W328" s="38" t="n"/>
      <c r="X328" s="38" t="n"/>
      <c r="Y328" s="44" t="str">
        <f>IF($AC328&gt;0,INDEX(CASHBACK_RULES!$A$5:$A$304,$AC328),"")</f>
        <v/>
      </c>
      <c r="Z328" s="45" t="str">
        <f>IF($AC328&gt;0,INDEX(CASHBACK_RULES!$E$5:$E$304,$AC328)&amp;"","")</f>
        <v/>
      </c>
      <c r="AA328" s="48" t="str">
        <f>IF($AC328&gt;0,IF(ISNUMBER(INDEX(CASHBACK_RULES!$K$5:$K$304,$AC328)),INDEX(CASHBACK_RULES!$K$5:$K$304,$AC328),"∞"),"")</f>
        <v/>
      </c>
      <c r="AB328" s="44" t="str">
        <f>IF(OR($B328="",$D328=""),"",IF($U328="Cancelled","Đã hủy",IF($AC328=0,"Không được hoàn",IF($Q328=0,IF(OR($O328&gt;0,$M328&lt;$L328),"Đã đạt cap","Không được hoàn"),IF(OR($Q328&lt;$O328,$M328&lt;$L328),"Hoàn một phần","Được hoàn")))))</f>
        <v/>
      </c>
      <c r="AC328" s="43">
        <f>IF(OR($B328="",$D328="",$I328="",$L328=""),0,IF($U328="Cancelled",0,IF($W328&lt;&gt;"",IFERROR(IF(INDEX(CASHBACK_RULES!$B$5:$B$304,MATCH($W328,CASHBACK_RULES!$A$5:$A$304,0))=$D328,MATCH($W328,CASHBACK_RULES!$A$5:$A$304,0),0),0),IFERROR(MATCH(1,INDEX((CASHBACK_RULES!$B$5:$B$304=$D328)*(CASHBACK_RULES!$G$5:$G$304=$I328)*(((CASHBACK_RULES!$N$5:$N$304="")+(CASHBACK_RULES!$N$5:$N$304&lt;=$B328))&gt;0)*(((CASHBACK_RULES!$O$5:$O$304="")+(CASHBACK_RULES!$O$5:$O$304&gt;=$B328))&gt;0)*(((CASHBACK_RULES!$M$5:$M$304="")+(CASHBACK_RULES!$M$5:$M$304&lt;=$L328))&gt;0),0),0),0))))</f>
        <v>0</v>
      </c>
      <c r="AD328" s="51" t="str">
        <f>IF(OR($B328="",$D328=""),"",IFERROR(IF(INDEX(CARDS!$H$5:$H$34,MATCH($D328,CARDS!$A$5:$A$34,0))="","",IF(DAY($B328)&lt;=INDEX(CARDS!$H$5:$H$34,MATCH($D328,CARDS!$A$5:$A$34,0)),DATE(YEAR($B328),MONTH($B328),MIN(INDEX(CARDS!$H$5:$H$34,MATCH($D328,CARDS!$A$5:$A$34,0)),DAY(EOMONTH($B328,0)))),DATE(YEAR($B328),MONTH($B328)+1,MIN(INDEX(CARDS!$H$5:$H$34,MATCH($D328,CARDS!$A$5:$A$34,0)),DAY(EOMONTH($B328,1)))))),""))</f>
        <v/>
      </c>
      <c r="AE328" s="52" t="str">
        <f>IF($C328="","",$C328&amp;"|"&amp;COUNTIF($C$5:$C328,$C328))</f>
        <v/>
      </c>
      <c r="AF328" s="53">
        <f>IF($AC328&gt;0,SUMIFS(Q$4:Q327,$D$4:$D327,$D328,$Z$4:$Z327,$Z328,$C$4:$C327,$C328),0)</f>
        <v>0</v>
      </c>
      <c r="AG328" s="53">
        <f>IF($AC328&gt;0,SUMIFS(Q$4:Q327,$D$4:$D327,$D328,$C$4:$C327,$C328),0)</f>
        <v>0</v>
      </c>
      <c r="AH328" s="53">
        <f>IF($AC328&gt;0,SUMIFS(M$4:M327,$D$4:$D327,$D328,$Z$4:$Z327,$Z328,$C$4:$C327,$C328),0)</f>
        <v>0</v>
      </c>
      <c r="AI328" s="43">
        <f>IF(OR($C328="",$I328=""),0,IF(COUNTIFS($C$5:$C328,$C328,$I$5:$I328,$I328)=1,1,0))</f>
        <v>0</v>
      </c>
      <c r="AJ328" s="43" t="str">
        <f>IF($AI328=1,SUMIFS($AI$4:$AI327,$C$4:$C327,$C328)+1,"")</f>
        <v/>
      </c>
      <c r="AK328" s="43">
        <f>IF(OR($C328="",$K328=""),0,IF(COUNTIFS($C$5:$C328,$C328,$K$5:$K328,$K328)=1,1,0))</f>
        <v>0</v>
      </c>
      <c r="AL328" s="43" t="str">
        <f>IF($AK328=1,SUMIFS($AK$4:$AK327,$C$4:$C327,$C328)+1,"")</f>
        <v/>
      </c>
      <c r="AM328" s="43">
        <f>IF(OR($C328="",$G328=""),0,IF(COUNTIFS($C$5:$C328,$C328,$G$5:$G328,$G328)=1,1,0))</f>
        <v>0</v>
      </c>
      <c r="AN328" s="43" t="str">
        <f>IF($AM328=1,SUMIFS($AM$4:$AM327,$C$4:$C327,$C328)+1,"")</f>
        <v/>
      </c>
    </row>
    <row r="329">
      <c r="A329" s="44" t="str">
        <f>IF(OR($B329="",$D329=""),"","TX"&amp;TEXT(ROW()-4,"0000"))</f>
        <v/>
      </c>
      <c r="B329" s="42" t="n"/>
      <c r="C329" s="47" t="str">
        <f>IF($B329="","",YEAR($B329)*100+MONTH($B329))</f>
        <v/>
      </c>
      <c r="D329" s="37" t="n"/>
      <c r="E329" s="45" t="str">
        <f>IF($D329="","",IFERROR(INDEX(CARDS!$B$5:$B$34,MATCH($D329,CARDS!$A$5:$A$34,0)),"⚠ Card ID?"))</f>
        <v/>
      </c>
      <c r="F329" s="45" t="str">
        <f>IF($D329="","",IFERROR(INDEX(CARDS!$C$5:$C$34,MATCH($D329,CARDS!$A$5:$A$34,0)),"⚠ Card ID?"))</f>
        <v/>
      </c>
      <c r="G329" s="37" t="n"/>
      <c r="H329" s="37" t="n"/>
      <c r="I329" s="41" t="n"/>
      <c r="J329" s="45" t="str">
        <f>IF($I329="","",IFERROR(INDEX(MCC_MASTER!$B$5:$B$504,MATCH($I329,MCC_MASTER!$A$5:$A$504,0)),"⚠ MCC chưa có"))</f>
        <v/>
      </c>
      <c r="K329" s="45" t="str">
        <f>IF($I329="","",IFERROR(IF(INDEX(MCC_MASTER!$C$5:$C$504,MATCH($I329,MCC_MASTER!$A$5:$A$504,0))="","Chưa phân loại",INDEX(MCC_MASTER!$C$5:$C$504,MATCH($I329,MCC_MASTER!$A$5:$A$504,0))),"Chưa phân loại"))</f>
        <v/>
      </c>
      <c r="L329" s="40" t="n"/>
      <c r="M329" s="48" t="str">
        <f>IF(OR($B329="",$D329=""),"",IF($AC329=0,0,IF(ISNUMBER(INDEX(CASHBACK_RULES!$L$5:$L$304,$AC329)),MAX(0,MIN($L329,INDEX(CASHBACK_RULES!$L$5:$L$304,$AC329)-$AH329)),MAX(0,$L329))))</f>
        <v/>
      </c>
      <c r="N329" s="49" t="str">
        <f>IF(OR($B329="",$D329=""),"",IF($AC329&gt;0,INDEX(CASHBACK_RULES!$I$5:$I$304,$AC329),0))</f>
        <v/>
      </c>
      <c r="O329" s="48" t="str">
        <f>IF(OR($B329="",$D329=""),"",ROUND($M329*$N329,0))</f>
        <v/>
      </c>
      <c r="P329" s="48" t="str">
        <f>IF($AC329&gt;0,IF(ISNUMBER(INDEX(CASHBACK_RULES!$J$5:$J$304,$AC329)),INDEX(CASHBACK_RULES!$J$5:$J$304,$AC329),"∞"),"")</f>
        <v/>
      </c>
      <c r="Q329" s="48" t="str">
        <f>IF(OR($B329="",$D329=""),"",IF($AC329=0,0,MAX(0,MIN($O329,IF(ISNUMBER($P329),$P329-$AF329,1E+15),IF(ISNUMBER($AA329),$AA329-$AG329,1E+15)))))</f>
        <v/>
      </c>
      <c r="R329" s="48" t="str">
        <f>IF(OR($B329="",$D329=""),"",IF($AC329=0,"",IF(AND(NOT(ISNUMBER($P329)),NOT(ISNUMBER($AA329))),"∞",MAX(0,MIN(IF(ISNUMBER($P329),$P329-$AF329-$Q329,1E+15),IF(ISNUMBER($AA329),$AA329-$AG329-$Q329,1E+15))))))</f>
        <v/>
      </c>
      <c r="S329" s="47" t="str">
        <f>IF($AD329="","",YEAR($AD329)*100+MONTH($AD329))</f>
        <v/>
      </c>
      <c r="T329" s="50" t="str">
        <f>IF($AD329="","",IFERROR(IF(INDEX(CARDS!$I$5:$I$34,MATCH($D329,CARDS!$A$5:$A$34,0))="","",IF(INDEX(CARDS!$I$5:$I$34,MATCH($D329,CARDS!$A$5:$A$34,0))&gt;INDEX(CARDS!$H$5:$H$34,MATCH($D329,CARDS!$A$5:$A$34,0)),DATE(YEAR($AD329),MONTH($AD329),MIN(INDEX(CARDS!$I$5:$I$34,MATCH($D329,CARDS!$A$5:$A$34,0)),DAY(EOMONTH($AD329,0)))),DATE(YEAR($AD329),MONTH($AD329)+1,MIN(INDEX(CARDS!$I$5:$I$34,MATCH($D329,CARDS!$A$5:$A$34,0)),DAY(EOMONTH($AD329,1)))))),""))</f>
        <v/>
      </c>
      <c r="U329" s="38" t="n"/>
      <c r="V329" s="37" t="n"/>
      <c r="W329" s="38" t="n"/>
      <c r="X329" s="38" t="n"/>
      <c r="Y329" s="44" t="str">
        <f>IF($AC329&gt;0,INDEX(CASHBACK_RULES!$A$5:$A$304,$AC329),"")</f>
        <v/>
      </c>
      <c r="Z329" s="45" t="str">
        <f>IF($AC329&gt;0,INDEX(CASHBACK_RULES!$E$5:$E$304,$AC329)&amp;"","")</f>
        <v/>
      </c>
      <c r="AA329" s="48" t="str">
        <f>IF($AC329&gt;0,IF(ISNUMBER(INDEX(CASHBACK_RULES!$K$5:$K$304,$AC329)),INDEX(CASHBACK_RULES!$K$5:$K$304,$AC329),"∞"),"")</f>
        <v/>
      </c>
      <c r="AB329" s="44" t="str">
        <f>IF(OR($B329="",$D329=""),"",IF($U329="Cancelled","Đã hủy",IF($AC329=0,"Không được hoàn",IF($Q329=0,IF(OR($O329&gt;0,$M329&lt;$L329),"Đã đạt cap","Không được hoàn"),IF(OR($Q329&lt;$O329,$M329&lt;$L329),"Hoàn một phần","Được hoàn")))))</f>
        <v/>
      </c>
      <c r="AC329" s="43">
        <f>IF(OR($B329="",$D329="",$I329="",$L329=""),0,IF($U329="Cancelled",0,IF($W329&lt;&gt;"",IFERROR(IF(INDEX(CASHBACK_RULES!$B$5:$B$304,MATCH($W329,CASHBACK_RULES!$A$5:$A$304,0))=$D329,MATCH($W329,CASHBACK_RULES!$A$5:$A$304,0),0),0),IFERROR(MATCH(1,INDEX((CASHBACK_RULES!$B$5:$B$304=$D329)*(CASHBACK_RULES!$G$5:$G$304=$I329)*(((CASHBACK_RULES!$N$5:$N$304="")+(CASHBACK_RULES!$N$5:$N$304&lt;=$B329))&gt;0)*(((CASHBACK_RULES!$O$5:$O$304="")+(CASHBACK_RULES!$O$5:$O$304&gt;=$B329))&gt;0)*(((CASHBACK_RULES!$M$5:$M$304="")+(CASHBACK_RULES!$M$5:$M$304&lt;=$L329))&gt;0),0),0),0))))</f>
        <v>0</v>
      </c>
      <c r="AD329" s="51" t="str">
        <f>IF(OR($B329="",$D329=""),"",IFERROR(IF(INDEX(CARDS!$H$5:$H$34,MATCH($D329,CARDS!$A$5:$A$34,0))="","",IF(DAY($B329)&lt;=INDEX(CARDS!$H$5:$H$34,MATCH($D329,CARDS!$A$5:$A$34,0)),DATE(YEAR($B329),MONTH($B329),MIN(INDEX(CARDS!$H$5:$H$34,MATCH($D329,CARDS!$A$5:$A$34,0)),DAY(EOMONTH($B329,0)))),DATE(YEAR($B329),MONTH($B329)+1,MIN(INDEX(CARDS!$H$5:$H$34,MATCH($D329,CARDS!$A$5:$A$34,0)),DAY(EOMONTH($B329,1)))))),""))</f>
        <v/>
      </c>
      <c r="AE329" s="52" t="str">
        <f>IF($C329="","",$C329&amp;"|"&amp;COUNTIF($C$5:$C329,$C329))</f>
        <v/>
      </c>
      <c r="AF329" s="53">
        <f>IF($AC329&gt;0,SUMIFS(Q$4:Q328,$D$4:$D328,$D329,$Z$4:$Z328,$Z329,$C$4:$C328,$C329),0)</f>
        <v>0</v>
      </c>
      <c r="AG329" s="53">
        <f>IF($AC329&gt;0,SUMIFS(Q$4:Q328,$D$4:$D328,$D329,$C$4:$C328,$C329),0)</f>
        <v>0</v>
      </c>
      <c r="AH329" s="53">
        <f>IF($AC329&gt;0,SUMIFS(M$4:M328,$D$4:$D328,$D329,$Z$4:$Z328,$Z329,$C$4:$C328,$C329),0)</f>
        <v>0</v>
      </c>
      <c r="AI329" s="43">
        <f>IF(OR($C329="",$I329=""),0,IF(COUNTIFS($C$5:$C329,$C329,$I$5:$I329,$I329)=1,1,0))</f>
        <v>0</v>
      </c>
      <c r="AJ329" s="43" t="str">
        <f>IF($AI329=1,SUMIFS($AI$4:$AI328,$C$4:$C328,$C329)+1,"")</f>
        <v/>
      </c>
      <c r="AK329" s="43">
        <f>IF(OR($C329="",$K329=""),0,IF(COUNTIFS($C$5:$C329,$C329,$K$5:$K329,$K329)=1,1,0))</f>
        <v>0</v>
      </c>
      <c r="AL329" s="43" t="str">
        <f>IF($AK329=1,SUMIFS($AK$4:$AK328,$C$4:$C328,$C329)+1,"")</f>
        <v/>
      </c>
      <c r="AM329" s="43">
        <f>IF(OR($C329="",$G329=""),0,IF(COUNTIFS($C$5:$C329,$C329,$G$5:$G329,$G329)=1,1,0))</f>
        <v>0</v>
      </c>
      <c r="AN329" s="43" t="str">
        <f>IF($AM329=1,SUMIFS($AM$4:$AM328,$C$4:$C328,$C329)+1,"")</f>
        <v/>
      </c>
    </row>
    <row r="330">
      <c r="A330" s="44" t="str">
        <f>IF(OR($B330="",$D330=""),"","TX"&amp;TEXT(ROW()-4,"0000"))</f>
        <v/>
      </c>
      <c r="B330" s="42" t="n"/>
      <c r="C330" s="47" t="str">
        <f>IF($B330="","",YEAR($B330)*100+MONTH($B330))</f>
        <v/>
      </c>
      <c r="D330" s="37" t="n"/>
      <c r="E330" s="45" t="str">
        <f>IF($D330="","",IFERROR(INDEX(CARDS!$B$5:$B$34,MATCH($D330,CARDS!$A$5:$A$34,0)),"⚠ Card ID?"))</f>
        <v/>
      </c>
      <c r="F330" s="45" t="str">
        <f>IF($D330="","",IFERROR(INDEX(CARDS!$C$5:$C$34,MATCH($D330,CARDS!$A$5:$A$34,0)),"⚠ Card ID?"))</f>
        <v/>
      </c>
      <c r="G330" s="37" t="n"/>
      <c r="H330" s="37" t="n"/>
      <c r="I330" s="41" t="n"/>
      <c r="J330" s="45" t="str">
        <f>IF($I330="","",IFERROR(INDEX(MCC_MASTER!$B$5:$B$504,MATCH($I330,MCC_MASTER!$A$5:$A$504,0)),"⚠ MCC chưa có"))</f>
        <v/>
      </c>
      <c r="K330" s="45" t="str">
        <f>IF($I330="","",IFERROR(IF(INDEX(MCC_MASTER!$C$5:$C$504,MATCH($I330,MCC_MASTER!$A$5:$A$504,0))="","Chưa phân loại",INDEX(MCC_MASTER!$C$5:$C$504,MATCH($I330,MCC_MASTER!$A$5:$A$504,0))),"Chưa phân loại"))</f>
        <v/>
      </c>
      <c r="L330" s="40" t="n"/>
      <c r="M330" s="48" t="str">
        <f>IF(OR($B330="",$D330=""),"",IF($AC330=0,0,IF(ISNUMBER(INDEX(CASHBACK_RULES!$L$5:$L$304,$AC330)),MAX(0,MIN($L330,INDEX(CASHBACK_RULES!$L$5:$L$304,$AC330)-$AH330)),MAX(0,$L330))))</f>
        <v/>
      </c>
      <c r="N330" s="49" t="str">
        <f>IF(OR($B330="",$D330=""),"",IF($AC330&gt;0,INDEX(CASHBACK_RULES!$I$5:$I$304,$AC330),0))</f>
        <v/>
      </c>
      <c r="O330" s="48" t="str">
        <f>IF(OR($B330="",$D330=""),"",ROUND($M330*$N330,0))</f>
        <v/>
      </c>
      <c r="P330" s="48" t="str">
        <f>IF($AC330&gt;0,IF(ISNUMBER(INDEX(CASHBACK_RULES!$J$5:$J$304,$AC330)),INDEX(CASHBACK_RULES!$J$5:$J$304,$AC330),"∞"),"")</f>
        <v/>
      </c>
      <c r="Q330" s="48" t="str">
        <f>IF(OR($B330="",$D330=""),"",IF($AC330=0,0,MAX(0,MIN($O330,IF(ISNUMBER($P330),$P330-$AF330,1E+15),IF(ISNUMBER($AA330),$AA330-$AG330,1E+15)))))</f>
        <v/>
      </c>
      <c r="R330" s="48" t="str">
        <f>IF(OR($B330="",$D330=""),"",IF($AC330=0,"",IF(AND(NOT(ISNUMBER($P330)),NOT(ISNUMBER($AA330))),"∞",MAX(0,MIN(IF(ISNUMBER($P330),$P330-$AF330-$Q330,1E+15),IF(ISNUMBER($AA330),$AA330-$AG330-$Q330,1E+15))))))</f>
        <v/>
      </c>
      <c r="S330" s="47" t="str">
        <f>IF($AD330="","",YEAR($AD330)*100+MONTH($AD330))</f>
        <v/>
      </c>
      <c r="T330" s="50" t="str">
        <f>IF($AD330="","",IFERROR(IF(INDEX(CARDS!$I$5:$I$34,MATCH($D330,CARDS!$A$5:$A$34,0))="","",IF(INDEX(CARDS!$I$5:$I$34,MATCH($D330,CARDS!$A$5:$A$34,0))&gt;INDEX(CARDS!$H$5:$H$34,MATCH($D330,CARDS!$A$5:$A$34,0)),DATE(YEAR($AD330),MONTH($AD330),MIN(INDEX(CARDS!$I$5:$I$34,MATCH($D330,CARDS!$A$5:$A$34,0)),DAY(EOMONTH($AD330,0)))),DATE(YEAR($AD330),MONTH($AD330)+1,MIN(INDEX(CARDS!$I$5:$I$34,MATCH($D330,CARDS!$A$5:$A$34,0)),DAY(EOMONTH($AD330,1)))))),""))</f>
        <v/>
      </c>
      <c r="U330" s="38" t="n"/>
      <c r="V330" s="37" t="n"/>
      <c r="W330" s="38" t="n"/>
      <c r="X330" s="38" t="n"/>
      <c r="Y330" s="44" t="str">
        <f>IF($AC330&gt;0,INDEX(CASHBACK_RULES!$A$5:$A$304,$AC330),"")</f>
        <v/>
      </c>
      <c r="Z330" s="45" t="str">
        <f>IF($AC330&gt;0,INDEX(CASHBACK_RULES!$E$5:$E$304,$AC330)&amp;"","")</f>
        <v/>
      </c>
      <c r="AA330" s="48" t="str">
        <f>IF($AC330&gt;0,IF(ISNUMBER(INDEX(CASHBACK_RULES!$K$5:$K$304,$AC330)),INDEX(CASHBACK_RULES!$K$5:$K$304,$AC330),"∞"),"")</f>
        <v/>
      </c>
      <c r="AB330" s="44" t="str">
        <f>IF(OR($B330="",$D330=""),"",IF($U330="Cancelled","Đã hủy",IF($AC330=0,"Không được hoàn",IF($Q330=0,IF(OR($O330&gt;0,$M330&lt;$L330),"Đã đạt cap","Không được hoàn"),IF(OR($Q330&lt;$O330,$M330&lt;$L330),"Hoàn một phần","Được hoàn")))))</f>
        <v/>
      </c>
      <c r="AC330" s="43">
        <f>IF(OR($B330="",$D330="",$I330="",$L330=""),0,IF($U330="Cancelled",0,IF($W330&lt;&gt;"",IFERROR(IF(INDEX(CASHBACK_RULES!$B$5:$B$304,MATCH($W330,CASHBACK_RULES!$A$5:$A$304,0))=$D330,MATCH($W330,CASHBACK_RULES!$A$5:$A$304,0),0),0),IFERROR(MATCH(1,INDEX((CASHBACK_RULES!$B$5:$B$304=$D330)*(CASHBACK_RULES!$G$5:$G$304=$I330)*(((CASHBACK_RULES!$N$5:$N$304="")+(CASHBACK_RULES!$N$5:$N$304&lt;=$B330))&gt;0)*(((CASHBACK_RULES!$O$5:$O$304="")+(CASHBACK_RULES!$O$5:$O$304&gt;=$B330))&gt;0)*(((CASHBACK_RULES!$M$5:$M$304="")+(CASHBACK_RULES!$M$5:$M$304&lt;=$L330))&gt;0),0),0),0))))</f>
        <v>0</v>
      </c>
      <c r="AD330" s="51" t="str">
        <f>IF(OR($B330="",$D330=""),"",IFERROR(IF(INDEX(CARDS!$H$5:$H$34,MATCH($D330,CARDS!$A$5:$A$34,0))="","",IF(DAY($B330)&lt;=INDEX(CARDS!$H$5:$H$34,MATCH($D330,CARDS!$A$5:$A$34,0)),DATE(YEAR($B330),MONTH($B330),MIN(INDEX(CARDS!$H$5:$H$34,MATCH($D330,CARDS!$A$5:$A$34,0)),DAY(EOMONTH($B330,0)))),DATE(YEAR($B330),MONTH($B330)+1,MIN(INDEX(CARDS!$H$5:$H$34,MATCH($D330,CARDS!$A$5:$A$34,0)),DAY(EOMONTH($B330,1)))))),""))</f>
        <v/>
      </c>
      <c r="AE330" s="52" t="str">
        <f>IF($C330="","",$C330&amp;"|"&amp;COUNTIF($C$5:$C330,$C330))</f>
        <v/>
      </c>
      <c r="AF330" s="53">
        <f>IF($AC330&gt;0,SUMIFS(Q$4:Q329,$D$4:$D329,$D330,$Z$4:$Z329,$Z330,$C$4:$C329,$C330),0)</f>
        <v>0</v>
      </c>
      <c r="AG330" s="53">
        <f>IF($AC330&gt;0,SUMIFS(Q$4:Q329,$D$4:$D329,$D330,$C$4:$C329,$C330),0)</f>
        <v>0</v>
      </c>
      <c r="AH330" s="53">
        <f>IF($AC330&gt;0,SUMIFS(M$4:M329,$D$4:$D329,$D330,$Z$4:$Z329,$Z330,$C$4:$C329,$C330),0)</f>
        <v>0</v>
      </c>
      <c r="AI330" s="43">
        <f>IF(OR($C330="",$I330=""),0,IF(COUNTIFS($C$5:$C330,$C330,$I$5:$I330,$I330)=1,1,0))</f>
        <v>0</v>
      </c>
      <c r="AJ330" s="43" t="str">
        <f>IF($AI330=1,SUMIFS($AI$4:$AI329,$C$4:$C329,$C330)+1,"")</f>
        <v/>
      </c>
      <c r="AK330" s="43">
        <f>IF(OR($C330="",$K330=""),0,IF(COUNTIFS($C$5:$C330,$C330,$K$5:$K330,$K330)=1,1,0))</f>
        <v>0</v>
      </c>
      <c r="AL330" s="43" t="str">
        <f>IF($AK330=1,SUMIFS($AK$4:$AK329,$C$4:$C329,$C330)+1,"")</f>
        <v/>
      </c>
      <c r="AM330" s="43">
        <f>IF(OR($C330="",$G330=""),0,IF(COUNTIFS($C$5:$C330,$C330,$G$5:$G330,$G330)=1,1,0))</f>
        <v>0</v>
      </c>
      <c r="AN330" s="43" t="str">
        <f>IF($AM330=1,SUMIFS($AM$4:$AM329,$C$4:$C329,$C330)+1,"")</f>
        <v/>
      </c>
    </row>
    <row r="331">
      <c r="A331" s="44" t="str">
        <f>IF(OR($B331="",$D331=""),"","TX"&amp;TEXT(ROW()-4,"0000"))</f>
        <v/>
      </c>
      <c r="B331" s="42" t="n"/>
      <c r="C331" s="47" t="str">
        <f>IF($B331="","",YEAR($B331)*100+MONTH($B331))</f>
        <v/>
      </c>
      <c r="D331" s="37" t="n"/>
      <c r="E331" s="45" t="str">
        <f>IF($D331="","",IFERROR(INDEX(CARDS!$B$5:$B$34,MATCH($D331,CARDS!$A$5:$A$34,0)),"⚠ Card ID?"))</f>
        <v/>
      </c>
      <c r="F331" s="45" t="str">
        <f>IF($D331="","",IFERROR(INDEX(CARDS!$C$5:$C$34,MATCH($D331,CARDS!$A$5:$A$34,0)),"⚠ Card ID?"))</f>
        <v/>
      </c>
      <c r="G331" s="37" t="n"/>
      <c r="H331" s="37" t="n"/>
      <c r="I331" s="41" t="n"/>
      <c r="J331" s="45" t="str">
        <f>IF($I331="","",IFERROR(INDEX(MCC_MASTER!$B$5:$B$504,MATCH($I331,MCC_MASTER!$A$5:$A$504,0)),"⚠ MCC chưa có"))</f>
        <v/>
      </c>
      <c r="K331" s="45" t="str">
        <f>IF($I331="","",IFERROR(IF(INDEX(MCC_MASTER!$C$5:$C$504,MATCH($I331,MCC_MASTER!$A$5:$A$504,0))="","Chưa phân loại",INDEX(MCC_MASTER!$C$5:$C$504,MATCH($I331,MCC_MASTER!$A$5:$A$504,0))),"Chưa phân loại"))</f>
        <v/>
      </c>
      <c r="L331" s="40" t="n"/>
      <c r="M331" s="48" t="str">
        <f>IF(OR($B331="",$D331=""),"",IF($AC331=0,0,IF(ISNUMBER(INDEX(CASHBACK_RULES!$L$5:$L$304,$AC331)),MAX(0,MIN($L331,INDEX(CASHBACK_RULES!$L$5:$L$304,$AC331)-$AH331)),MAX(0,$L331))))</f>
        <v/>
      </c>
      <c r="N331" s="49" t="str">
        <f>IF(OR($B331="",$D331=""),"",IF($AC331&gt;0,INDEX(CASHBACK_RULES!$I$5:$I$304,$AC331),0))</f>
        <v/>
      </c>
      <c r="O331" s="48" t="str">
        <f>IF(OR($B331="",$D331=""),"",ROUND($M331*$N331,0))</f>
        <v/>
      </c>
      <c r="P331" s="48" t="str">
        <f>IF($AC331&gt;0,IF(ISNUMBER(INDEX(CASHBACK_RULES!$J$5:$J$304,$AC331)),INDEX(CASHBACK_RULES!$J$5:$J$304,$AC331),"∞"),"")</f>
        <v/>
      </c>
      <c r="Q331" s="48" t="str">
        <f>IF(OR($B331="",$D331=""),"",IF($AC331=0,0,MAX(0,MIN($O331,IF(ISNUMBER($P331),$P331-$AF331,1E+15),IF(ISNUMBER($AA331),$AA331-$AG331,1E+15)))))</f>
        <v/>
      </c>
      <c r="R331" s="48" t="str">
        <f>IF(OR($B331="",$D331=""),"",IF($AC331=0,"",IF(AND(NOT(ISNUMBER($P331)),NOT(ISNUMBER($AA331))),"∞",MAX(0,MIN(IF(ISNUMBER($P331),$P331-$AF331-$Q331,1E+15),IF(ISNUMBER($AA331),$AA331-$AG331-$Q331,1E+15))))))</f>
        <v/>
      </c>
      <c r="S331" s="47" t="str">
        <f>IF($AD331="","",YEAR($AD331)*100+MONTH($AD331))</f>
        <v/>
      </c>
      <c r="T331" s="50" t="str">
        <f>IF($AD331="","",IFERROR(IF(INDEX(CARDS!$I$5:$I$34,MATCH($D331,CARDS!$A$5:$A$34,0))="","",IF(INDEX(CARDS!$I$5:$I$34,MATCH($D331,CARDS!$A$5:$A$34,0))&gt;INDEX(CARDS!$H$5:$H$34,MATCH($D331,CARDS!$A$5:$A$34,0)),DATE(YEAR($AD331),MONTH($AD331),MIN(INDEX(CARDS!$I$5:$I$34,MATCH($D331,CARDS!$A$5:$A$34,0)),DAY(EOMONTH($AD331,0)))),DATE(YEAR($AD331),MONTH($AD331)+1,MIN(INDEX(CARDS!$I$5:$I$34,MATCH($D331,CARDS!$A$5:$A$34,0)),DAY(EOMONTH($AD331,1)))))),""))</f>
        <v/>
      </c>
      <c r="U331" s="38" t="n"/>
      <c r="V331" s="37" t="n"/>
      <c r="W331" s="38" t="n"/>
      <c r="X331" s="38" t="n"/>
      <c r="Y331" s="44" t="str">
        <f>IF($AC331&gt;0,INDEX(CASHBACK_RULES!$A$5:$A$304,$AC331),"")</f>
        <v/>
      </c>
      <c r="Z331" s="45" t="str">
        <f>IF($AC331&gt;0,INDEX(CASHBACK_RULES!$E$5:$E$304,$AC331)&amp;"","")</f>
        <v/>
      </c>
      <c r="AA331" s="48" t="str">
        <f>IF($AC331&gt;0,IF(ISNUMBER(INDEX(CASHBACK_RULES!$K$5:$K$304,$AC331)),INDEX(CASHBACK_RULES!$K$5:$K$304,$AC331),"∞"),"")</f>
        <v/>
      </c>
      <c r="AB331" s="44" t="str">
        <f>IF(OR($B331="",$D331=""),"",IF($U331="Cancelled","Đã hủy",IF($AC331=0,"Không được hoàn",IF($Q331=0,IF(OR($O331&gt;0,$M331&lt;$L331),"Đã đạt cap","Không được hoàn"),IF(OR($Q331&lt;$O331,$M331&lt;$L331),"Hoàn một phần","Được hoàn")))))</f>
        <v/>
      </c>
      <c r="AC331" s="43">
        <f>IF(OR($B331="",$D331="",$I331="",$L331=""),0,IF($U331="Cancelled",0,IF($W331&lt;&gt;"",IFERROR(IF(INDEX(CASHBACK_RULES!$B$5:$B$304,MATCH($W331,CASHBACK_RULES!$A$5:$A$304,0))=$D331,MATCH($W331,CASHBACK_RULES!$A$5:$A$304,0),0),0),IFERROR(MATCH(1,INDEX((CASHBACK_RULES!$B$5:$B$304=$D331)*(CASHBACK_RULES!$G$5:$G$304=$I331)*(((CASHBACK_RULES!$N$5:$N$304="")+(CASHBACK_RULES!$N$5:$N$304&lt;=$B331))&gt;0)*(((CASHBACK_RULES!$O$5:$O$304="")+(CASHBACK_RULES!$O$5:$O$304&gt;=$B331))&gt;0)*(((CASHBACK_RULES!$M$5:$M$304="")+(CASHBACK_RULES!$M$5:$M$304&lt;=$L331))&gt;0),0),0),0))))</f>
        <v>0</v>
      </c>
      <c r="AD331" s="51" t="str">
        <f>IF(OR($B331="",$D331=""),"",IFERROR(IF(INDEX(CARDS!$H$5:$H$34,MATCH($D331,CARDS!$A$5:$A$34,0))="","",IF(DAY($B331)&lt;=INDEX(CARDS!$H$5:$H$34,MATCH($D331,CARDS!$A$5:$A$34,0)),DATE(YEAR($B331),MONTH($B331),MIN(INDEX(CARDS!$H$5:$H$34,MATCH($D331,CARDS!$A$5:$A$34,0)),DAY(EOMONTH($B331,0)))),DATE(YEAR($B331),MONTH($B331)+1,MIN(INDEX(CARDS!$H$5:$H$34,MATCH($D331,CARDS!$A$5:$A$34,0)),DAY(EOMONTH($B331,1)))))),""))</f>
        <v/>
      </c>
      <c r="AE331" s="52" t="str">
        <f>IF($C331="","",$C331&amp;"|"&amp;COUNTIF($C$5:$C331,$C331))</f>
        <v/>
      </c>
      <c r="AF331" s="53">
        <f>IF($AC331&gt;0,SUMIFS(Q$4:Q330,$D$4:$D330,$D331,$Z$4:$Z330,$Z331,$C$4:$C330,$C331),0)</f>
        <v>0</v>
      </c>
      <c r="AG331" s="53">
        <f>IF($AC331&gt;0,SUMIFS(Q$4:Q330,$D$4:$D330,$D331,$C$4:$C330,$C331),0)</f>
        <v>0</v>
      </c>
      <c r="AH331" s="53">
        <f>IF($AC331&gt;0,SUMIFS(M$4:M330,$D$4:$D330,$D331,$Z$4:$Z330,$Z331,$C$4:$C330,$C331),0)</f>
        <v>0</v>
      </c>
      <c r="AI331" s="43">
        <f>IF(OR($C331="",$I331=""),0,IF(COUNTIFS($C$5:$C331,$C331,$I$5:$I331,$I331)=1,1,0))</f>
        <v>0</v>
      </c>
      <c r="AJ331" s="43" t="str">
        <f>IF($AI331=1,SUMIFS($AI$4:$AI330,$C$4:$C330,$C331)+1,"")</f>
        <v/>
      </c>
      <c r="AK331" s="43">
        <f>IF(OR($C331="",$K331=""),0,IF(COUNTIFS($C$5:$C331,$C331,$K$5:$K331,$K331)=1,1,0))</f>
        <v>0</v>
      </c>
      <c r="AL331" s="43" t="str">
        <f>IF($AK331=1,SUMIFS($AK$4:$AK330,$C$4:$C330,$C331)+1,"")</f>
        <v/>
      </c>
      <c r="AM331" s="43">
        <f>IF(OR($C331="",$G331=""),0,IF(COUNTIFS($C$5:$C331,$C331,$G$5:$G331,$G331)=1,1,0))</f>
        <v>0</v>
      </c>
      <c r="AN331" s="43" t="str">
        <f>IF($AM331=1,SUMIFS($AM$4:$AM330,$C$4:$C330,$C331)+1,"")</f>
        <v/>
      </c>
    </row>
    <row r="332">
      <c r="A332" s="44" t="str">
        <f>IF(OR($B332="",$D332=""),"","TX"&amp;TEXT(ROW()-4,"0000"))</f>
        <v/>
      </c>
      <c r="B332" s="42" t="n"/>
      <c r="C332" s="47" t="str">
        <f>IF($B332="","",YEAR($B332)*100+MONTH($B332))</f>
        <v/>
      </c>
      <c r="D332" s="37" t="n"/>
      <c r="E332" s="45" t="str">
        <f>IF($D332="","",IFERROR(INDEX(CARDS!$B$5:$B$34,MATCH($D332,CARDS!$A$5:$A$34,0)),"⚠ Card ID?"))</f>
        <v/>
      </c>
      <c r="F332" s="45" t="str">
        <f>IF($D332="","",IFERROR(INDEX(CARDS!$C$5:$C$34,MATCH($D332,CARDS!$A$5:$A$34,0)),"⚠ Card ID?"))</f>
        <v/>
      </c>
      <c r="G332" s="37" t="n"/>
      <c r="H332" s="37" t="n"/>
      <c r="I332" s="41" t="n"/>
      <c r="J332" s="45" t="str">
        <f>IF($I332="","",IFERROR(INDEX(MCC_MASTER!$B$5:$B$504,MATCH($I332,MCC_MASTER!$A$5:$A$504,0)),"⚠ MCC chưa có"))</f>
        <v/>
      </c>
      <c r="K332" s="45" t="str">
        <f>IF($I332="","",IFERROR(IF(INDEX(MCC_MASTER!$C$5:$C$504,MATCH($I332,MCC_MASTER!$A$5:$A$504,0))="","Chưa phân loại",INDEX(MCC_MASTER!$C$5:$C$504,MATCH($I332,MCC_MASTER!$A$5:$A$504,0))),"Chưa phân loại"))</f>
        <v/>
      </c>
      <c r="L332" s="40" t="n"/>
      <c r="M332" s="48" t="str">
        <f>IF(OR($B332="",$D332=""),"",IF($AC332=0,0,IF(ISNUMBER(INDEX(CASHBACK_RULES!$L$5:$L$304,$AC332)),MAX(0,MIN($L332,INDEX(CASHBACK_RULES!$L$5:$L$304,$AC332)-$AH332)),MAX(0,$L332))))</f>
        <v/>
      </c>
      <c r="N332" s="49" t="str">
        <f>IF(OR($B332="",$D332=""),"",IF($AC332&gt;0,INDEX(CASHBACK_RULES!$I$5:$I$304,$AC332),0))</f>
        <v/>
      </c>
      <c r="O332" s="48" t="str">
        <f>IF(OR($B332="",$D332=""),"",ROUND($M332*$N332,0))</f>
        <v/>
      </c>
      <c r="P332" s="48" t="str">
        <f>IF($AC332&gt;0,IF(ISNUMBER(INDEX(CASHBACK_RULES!$J$5:$J$304,$AC332)),INDEX(CASHBACK_RULES!$J$5:$J$304,$AC332),"∞"),"")</f>
        <v/>
      </c>
      <c r="Q332" s="48" t="str">
        <f>IF(OR($B332="",$D332=""),"",IF($AC332=0,0,MAX(0,MIN($O332,IF(ISNUMBER($P332),$P332-$AF332,1E+15),IF(ISNUMBER($AA332),$AA332-$AG332,1E+15)))))</f>
        <v/>
      </c>
      <c r="R332" s="48" t="str">
        <f>IF(OR($B332="",$D332=""),"",IF($AC332=0,"",IF(AND(NOT(ISNUMBER($P332)),NOT(ISNUMBER($AA332))),"∞",MAX(0,MIN(IF(ISNUMBER($P332),$P332-$AF332-$Q332,1E+15),IF(ISNUMBER($AA332),$AA332-$AG332-$Q332,1E+15))))))</f>
        <v/>
      </c>
      <c r="S332" s="47" t="str">
        <f>IF($AD332="","",YEAR($AD332)*100+MONTH($AD332))</f>
        <v/>
      </c>
      <c r="T332" s="50" t="str">
        <f>IF($AD332="","",IFERROR(IF(INDEX(CARDS!$I$5:$I$34,MATCH($D332,CARDS!$A$5:$A$34,0))="","",IF(INDEX(CARDS!$I$5:$I$34,MATCH($D332,CARDS!$A$5:$A$34,0))&gt;INDEX(CARDS!$H$5:$H$34,MATCH($D332,CARDS!$A$5:$A$34,0)),DATE(YEAR($AD332),MONTH($AD332),MIN(INDEX(CARDS!$I$5:$I$34,MATCH($D332,CARDS!$A$5:$A$34,0)),DAY(EOMONTH($AD332,0)))),DATE(YEAR($AD332),MONTH($AD332)+1,MIN(INDEX(CARDS!$I$5:$I$34,MATCH($D332,CARDS!$A$5:$A$34,0)),DAY(EOMONTH($AD332,1)))))),""))</f>
        <v/>
      </c>
      <c r="U332" s="38" t="n"/>
      <c r="V332" s="37" t="n"/>
      <c r="W332" s="38" t="n"/>
      <c r="X332" s="38" t="n"/>
      <c r="Y332" s="44" t="str">
        <f>IF($AC332&gt;0,INDEX(CASHBACK_RULES!$A$5:$A$304,$AC332),"")</f>
        <v/>
      </c>
      <c r="Z332" s="45" t="str">
        <f>IF($AC332&gt;0,INDEX(CASHBACK_RULES!$E$5:$E$304,$AC332)&amp;"","")</f>
        <v/>
      </c>
      <c r="AA332" s="48" t="str">
        <f>IF($AC332&gt;0,IF(ISNUMBER(INDEX(CASHBACK_RULES!$K$5:$K$304,$AC332)),INDEX(CASHBACK_RULES!$K$5:$K$304,$AC332),"∞"),"")</f>
        <v/>
      </c>
      <c r="AB332" s="44" t="str">
        <f>IF(OR($B332="",$D332=""),"",IF($U332="Cancelled","Đã hủy",IF($AC332=0,"Không được hoàn",IF($Q332=0,IF(OR($O332&gt;0,$M332&lt;$L332),"Đã đạt cap","Không được hoàn"),IF(OR($Q332&lt;$O332,$M332&lt;$L332),"Hoàn một phần","Được hoàn")))))</f>
        <v/>
      </c>
      <c r="AC332" s="43">
        <f>IF(OR($B332="",$D332="",$I332="",$L332=""),0,IF($U332="Cancelled",0,IF($W332&lt;&gt;"",IFERROR(IF(INDEX(CASHBACK_RULES!$B$5:$B$304,MATCH($W332,CASHBACK_RULES!$A$5:$A$304,0))=$D332,MATCH($W332,CASHBACK_RULES!$A$5:$A$304,0),0),0),IFERROR(MATCH(1,INDEX((CASHBACK_RULES!$B$5:$B$304=$D332)*(CASHBACK_RULES!$G$5:$G$304=$I332)*(((CASHBACK_RULES!$N$5:$N$304="")+(CASHBACK_RULES!$N$5:$N$304&lt;=$B332))&gt;0)*(((CASHBACK_RULES!$O$5:$O$304="")+(CASHBACK_RULES!$O$5:$O$304&gt;=$B332))&gt;0)*(((CASHBACK_RULES!$M$5:$M$304="")+(CASHBACK_RULES!$M$5:$M$304&lt;=$L332))&gt;0),0),0),0))))</f>
        <v>0</v>
      </c>
      <c r="AD332" s="51" t="str">
        <f>IF(OR($B332="",$D332=""),"",IFERROR(IF(INDEX(CARDS!$H$5:$H$34,MATCH($D332,CARDS!$A$5:$A$34,0))="","",IF(DAY($B332)&lt;=INDEX(CARDS!$H$5:$H$34,MATCH($D332,CARDS!$A$5:$A$34,0)),DATE(YEAR($B332),MONTH($B332),MIN(INDEX(CARDS!$H$5:$H$34,MATCH($D332,CARDS!$A$5:$A$34,0)),DAY(EOMONTH($B332,0)))),DATE(YEAR($B332),MONTH($B332)+1,MIN(INDEX(CARDS!$H$5:$H$34,MATCH($D332,CARDS!$A$5:$A$34,0)),DAY(EOMONTH($B332,1)))))),""))</f>
        <v/>
      </c>
      <c r="AE332" s="52" t="str">
        <f>IF($C332="","",$C332&amp;"|"&amp;COUNTIF($C$5:$C332,$C332))</f>
        <v/>
      </c>
      <c r="AF332" s="53">
        <f>IF($AC332&gt;0,SUMIFS(Q$4:Q331,$D$4:$D331,$D332,$Z$4:$Z331,$Z332,$C$4:$C331,$C332),0)</f>
        <v>0</v>
      </c>
      <c r="AG332" s="53">
        <f>IF($AC332&gt;0,SUMIFS(Q$4:Q331,$D$4:$D331,$D332,$C$4:$C331,$C332),0)</f>
        <v>0</v>
      </c>
      <c r="AH332" s="53">
        <f>IF($AC332&gt;0,SUMIFS(M$4:M331,$D$4:$D331,$D332,$Z$4:$Z331,$Z332,$C$4:$C331,$C332),0)</f>
        <v>0</v>
      </c>
      <c r="AI332" s="43">
        <f>IF(OR($C332="",$I332=""),0,IF(COUNTIFS($C$5:$C332,$C332,$I$5:$I332,$I332)=1,1,0))</f>
        <v>0</v>
      </c>
      <c r="AJ332" s="43" t="str">
        <f>IF($AI332=1,SUMIFS($AI$4:$AI331,$C$4:$C331,$C332)+1,"")</f>
        <v/>
      </c>
      <c r="AK332" s="43">
        <f>IF(OR($C332="",$K332=""),0,IF(COUNTIFS($C$5:$C332,$C332,$K$5:$K332,$K332)=1,1,0))</f>
        <v>0</v>
      </c>
      <c r="AL332" s="43" t="str">
        <f>IF($AK332=1,SUMIFS($AK$4:$AK331,$C$4:$C331,$C332)+1,"")</f>
        <v/>
      </c>
      <c r="AM332" s="43">
        <f>IF(OR($C332="",$G332=""),0,IF(COUNTIFS($C$5:$C332,$C332,$G$5:$G332,$G332)=1,1,0))</f>
        <v>0</v>
      </c>
      <c r="AN332" s="43" t="str">
        <f>IF($AM332=1,SUMIFS($AM$4:$AM331,$C$4:$C331,$C332)+1,"")</f>
        <v/>
      </c>
    </row>
    <row r="333">
      <c r="A333" s="44" t="str">
        <f>IF(OR($B333="",$D333=""),"","TX"&amp;TEXT(ROW()-4,"0000"))</f>
        <v/>
      </c>
      <c r="B333" s="42" t="n"/>
      <c r="C333" s="47" t="str">
        <f>IF($B333="","",YEAR($B333)*100+MONTH($B333))</f>
        <v/>
      </c>
      <c r="D333" s="37" t="n"/>
      <c r="E333" s="45" t="str">
        <f>IF($D333="","",IFERROR(INDEX(CARDS!$B$5:$B$34,MATCH($D333,CARDS!$A$5:$A$34,0)),"⚠ Card ID?"))</f>
        <v/>
      </c>
      <c r="F333" s="45" t="str">
        <f>IF($D333="","",IFERROR(INDEX(CARDS!$C$5:$C$34,MATCH($D333,CARDS!$A$5:$A$34,0)),"⚠ Card ID?"))</f>
        <v/>
      </c>
      <c r="G333" s="37" t="n"/>
      <c r="H333" s="37" t="n"/>
      <c r="I333" s="41" t="n"/>
      <c r="J333" s="45" t="str">
        <f>IF($I333="","",IFERROR(INDEX(MCC_MASTER!$B$5:$B$504,MATCH($I333,MCC_MASTER!$A$5:$A$504,0)),"⚠ MCC chưa có"))</f>
        <v/>
      </c>
      <c r="K333" s="45" t="str">
        <f>IF($I333="","",IFERROR(IF(INDEX(MCC_MASTER!$C$5:$C$504,MATCH($I333,MCC_MASTER!$A$5:$A$504,0))="","Chưa phân loại",INDEX(MCC_MASTER!$C$5:$C$504,MATCH($I333,MCC_MASTER!$A$5:$A$504,0))),"Chưa phân loại"))</f>
        <v/>
      </c>
      <c r="L333" s="40" t="n"/>
      <c r="M333" s="48" t="str">
        <f>IF(OR($B333="",$D333=""),"",IF($AC333=0,0,IF(ISNUMBER(INDEX(CASHBACK_RULES!$L$5:$L$304,$AC333)),MAX(0,MIN($L333,INDEX(CASHBACK_RULES!$L$5:$L$304,$AC333)-$AH333)),MAX(0,$L333))))</f>
        <v/>
      </c>
      <c r="N333" s="49" t="str">
        <f>IF(OR($B333="",$D333=""),"",IF($AC333&gt;0,INDEX(CASHBACK_RULES!$I$5:$I$304,$AC333),0))</f>
        <v/>
      </c>
      <c r="O333" s="48" t="str">
        <f>IF(OR($B333="",$D333=""),"",ROUND($M333*$N333,0))</f>
        <v/>
      </c>
      <c r="P333" s="48" t="str">
        <f>IF($AC333&gt;0,IF(ISNUMBER(INDEX(CASHBACK_RULES!$J$5:$J$304,$AC333)),INDEX(CASHBACK_RULES!$J$5:$J$304,$AC333),"∞"),"")</f>
        <v/>
      </c>
      <c r="Q333" s="48" t="str">
        <f>IF(OR($B333="",$D333=""),"",IF($AC333=0,0,MAX(0,MIN($O333,IF(ISNUMBER($P333),$P333-$AF333,1E+15),IF(ISNUMBER($AA333),$AA333-$AG333,1E+15)))))</f>
        <v/>
      </c>
      <c r="R333" s="48" t="str">
        <f>IF(OR($B333="",$D333=""),"",IF($AC333=0,"",IF(AND(NOT(ISNUMBER($P333)),NOT(ISNUMBER($AA333))),"∞",MAX(0,MIN(IF(ISNUMBER($P333),$P333-$AF333-$Q333,1E+15),IF(ISNUMBER($AA333),$AA333-$AG333-$Q333,1E+15))))))</f>
        <v/>
      </c>
      <c r="S333" s="47" t="str">
        <f>IF($AD333="","",YEAR($AD333)*100+MONTH($AD333))</f>
        <v/>
      </c>
      <c r="T333" s="50" t="str">
        <f>IF($AD333="","",IFERROR(IF(INDEX(CARDS!$I$5:$I$34,MATCH($D333,CARDS!$A$5:$A$34,0))="","",IF(INDEX(CARDS!$I$5:$I$34,MATCH($D333,CARDS!$A$5:$A$34,0))&gt;INDEX(CARDS!$H$5:$H$34,MATCH($D333,CARDS!$A$5:$A$34,0)),DATE(YEAR($AD333),MONTH($AD333),MIN(INDEX(CARDS!$I$5:$I$34,MATCH($D333,CARDS!$A$5:$A$34,0)),DAY(EOMONTH($AD333,0)))),DATE(YEAR($AD333),MONTH($AD333)+1,MIN(INDEX(CARDS!$I$5:$I$34,MATCH($D333,CARDS!$A$5:$A$34,0)),DAY(EOMONTH($AD333,1)))))),""))</f>
        <v/>
      </c>
      <c r="U333" s="38" t="n"/>
      <c r="V333" s="37" t="n"/>
      <c r="W333" s="38" t="n"/>
      <c r="X333" s="38" t="n"/>
      <c r="Y333" s="44" t="str">
        <f>IF($AC333&gt;0,INDEX(CASHBACK_RULES!$A$5:$A$304,$AC333),"")</f>
        <v/>
      </c>
      <c r="Z333" s="45" t="str">
        <f>IF($AC333&gt;0,INDEX(CASHBACK_RULES!$E$5:$E$304,$AC333)&amp;"","")</f>
        <v/>
      </c>
      <c r="AA333" s="48" t="str">
        <f>IF($AC333&gt;0,IF(ISNUMBER(INDEX(CASHBACK_RULES!$K$5:$K$304,$AC333)),INDEX(CASHBACK_RULES!$K$5:$K$304,$AC333),"∞"),"")</f>
        <v/>
      </c>
      <c r="AB333" s="44" t="str">
        <f>IF(OR($B333="",$D333=""),"",IF($U333="Cancelled","Đã hủy",IF($AC333=0,"Không được hoàn",IF($Q333=0,IF(OR($O333&gt;0,$M333&lt;$L333),"Đã đạt cap","Không được hoàn"),IF(OR($Q333&lt;$O333,$M333&lt;$L333),"Hoàn một phần","Được hoàn")))))</f>
        <v/>
      </c>
      <c r="AC333" s="43">
        <f>IF(OR($B333="",$D333="",$I333="",$L333=""),0,IF($U333="Cancelled",0,IF($W333&lt;&gt;"",IFERROR(IF(INDEX(CASHBACK_RULES!$B$5:$B$304,MATCH($W333,CASHBACK_RULES!$A$5:$A$304,0))=$D333,MATCH($W333,CASHBACK_RULES!$A$5:$A$304,0),0),0),IFERROR(MATCH(1,INDEX((CASHBACK_RULES!$B$5:$B$304=$D333)*(CASHBACK_RULES!$G$5:$G$304=$I333)*(((CASHBACK_RULES!$N$5:$N$304="")+(CASHBACK_RULES!$N$5:$N$304&lt;=$B333))&gt;0)*(((CASHBACK_RULES!$O$5:$O$304="")+(CASHBACK_RULES!$O$5:$O$304&gt;=$B333))&gt;0)*(((CASHBACK_RULES!$M$5:$M$304="")+(CASHBACK_RULES!$M$5:$M$304&lt;=$L333))&gt;0),0),0),0))))</f>
        <v>0</v>
      </c>
      <c r="AD333" s="51" t="str">
        <f>IF(OR($B333="",$D333=""),"",IFERROR(IF(INDEX(CARDS!$H$5:$H$34,MATCH($D333,CARDS!$A$5:$A$34,0))="","",IF(DAY($B333)&lt;=INDEX(CARDS!$H$5:$H$34,MATCH($D333,CARDS!$A$5:$A$34,0)),DATE(YEAR($B333),MONTH($B333),MIN(INDEX(CARDS!$H$5:$H$34,MATCH($D333,CARDS!$A$5:$A$34,0)),DAY(EOMONTH($B333,0)))),DATE(YEAR($B333),MONTH($B333)+1,MIN(INDEX(CARDS!$H$5:$H$34,MATCH($D333,CARDS!$A$5:$A$34,0)),DAY(EOMONTH($B333,1)))))),""))</f>
        <v/>
      </c>
      <c r="AE333" s="52" t="str">
        <f>IF($C333="","",$C333&amp;"|"&amp;COUNTIF($C$5:$C333,$C333))</f>
        <v/>
      </c>
      <c r="AF333" s="53">
        <f>IF($AC333&gt;0,SUMIFS(Q$4:Q332,$D$4:$D332,$D333,$Z$4:$Z332,$Z333,$C$4:$C332,$C333),0)</f>
        <v>0</v>
      </c>
      <c r="AG333" s="53">
        <f>IF($AC333&gt;0,SUMIFS(Q$4:Q332,$D$4:$D332,$D333,$C$4:$C332,$C333),0)</f>
        <v>0</v>
      </c>
      <c r="AH333" s="53">
        <f>IF($AC333&gt;0,SUMIFS(M$4:M332,$D$4:$D332,$D333,$Z$4:$Z332,$Z333,$C$4:$C332,$C333),0)</f>
        <v>0</v>
      </c>
      <c r="AI333" s="43">
        <f>IF(OR($C333="",$I333=""),0,IF(COUNTIFS($C$5:$C333,$C333,$I$5:$I333,$I333)=1,1,0))</f>
        <v>0</v>
      </c>
      <c r="AJ333" s="43" t="str">
        <f>IF($AI333=1,SUMIFS($AI$4:$AI332,$C$4:$C332,$C333)+1,"")</f>
        <v/>
      </c>
      <c r="AK333" s="43">
        <f>IF(OR($C333="",$K333=""),0,IF(COUNTIFS($C$5:$C333,$C333,$K$5:$K333,$K333)=1,1,0))</f>
        <v>0</v>
      </c>
      <c r="AL333" s="43" t="str">
        <f>IF($AK333=1,SUMIFS($AK$4:$AK332,$C$4:$C332,$C333)+1,"")</f>
        <v/>
      </c>
      <c r="AM333" s="43">
        <f>IF(OR($C333="",$G333=""),0,IF(COUNTIFS($C$5:$C333,$C333,$G$5:$G333,$G333)=1,1,0))</f>
        <v>0</v>
      </c>
      <c r="AN333" s="43" t="str">
        <f>IF($AM333=1,SUMIFS($AM$4:$AM332,$C$4:$C332,$C333)+1,"")</f>
        <v/>
      </c>
    </row>
    <row r="334">
      <c r="A334" s="44" t="str">
        <f>IF(OR($B334="",$D334=""),"","TX"&amp;TEXT(ROW()-4,"0000"))</f>
        <v/>
      </c>
      <c r="B334" s="42" t="n"/>
      <c r="C334" s="47" t="str">
        <f>IF($B334="","",YEAR($B334)*100+MONTH($B334))</f>
        <v/>
      </c>
      <c r="D334" s="37" t="n"/>
      <c r="E334" s="45" t="str">
        <f>IF($D334="","",IFERROR(INDEX(CARDS!$B$5:$B$34,MATCH($D334,CARDS!$A$5:$A$34,0)),"⚠ Card ID?"))</f>
        <v/>
      </c>
      <c r="F334" s="45" t="str">
        <f>IF($D334="","",IFERROR(INDEX(CARDS!$C$5:$C$34,MATCH($D334,CARDS!$A$5:$A$34,0)),"⚠ Card ID?"))</f>
        <v/>
      </c>
      <c r="G334" s="37" t="n"/>
      <c r="H334" s="37" t="n"/>
      <c r="I334" s="41" t="n"/>
      <c r="J334" s="45" t="str">
        <f>IF($I334="","",IFERROR(INDEX(MCC_MASTER!$B$5:$B$504,MATCH($I334,MCC_MASTER!$A$5:$A$504,0)),"⚠ MCC chưa có"))</f>
        <v/>
      </c>
      <c r="K334" s="45" t="str">
        <f>IF($I334="","",IFERROR(IF(INDEX(MCC_MASTER!$C$5:$C$504,MATCH($I334,MCC_MASTER!$A$5:$A$504,0))="","Chưa phân loại",INDEX(MCC_MASTER!$C$5:$C$504,MATCH($I334,MCC_MASTER!$A$5:$A$504,0))),"Chưa phân loại"))</f>
        <v/>
      </c>
      <c r="L334" s="40" t="n"/>
      <c r="M334" s="48" t="str">
        <f>IF(OR($B334="",$D334=""),"",IF($AC334=0,0,IF(ISNUMBER(INDEX(CASHBACK_RULES!$L$5:$L$304,$AC334)),MAX(0,MIN($L334,INDEX(CASHBACK_RULES!$L$5:$L$304,$AC334)-$AH334)),MAX(0,$L334))))</f>
        <v/>
      </c>
      <c r="N334" s="49" t="str">
        <f>IF(OR($B334="",$D334=""),"",IF($AC334&gt;0,INDEX(CASHBACK_RULES!$I$5:$I$304,$AC334),0))</f>
        <v/>
      </c>
      <c r="O334" s="48" t="str">
        <f>IF(OR($B334="",$D334=""),"",ROUND($M334*$N334,0))</f>
        <v/>
      </c>
      <c r="P334" s="48" t="str">
        <f>IF($AC334&gt;0,IF(ISNUMBER(INDEX(CASHBACK_RULES!$J$5:$J$304,$AC334)),INDEX(CASHBACK_RULES!$J$5:$J$304,$AC334),"∞"),"")</f>
        <v/>
      </c>
      <c r="Q334" s="48" t="str">
        <f>IF(OR($B334="",$D334=""),"",IF($AC334=0,0,MAX(0,MIN($O334,IF(ISNUMBER($P334),$P334-$AF334,1E+15),IF(ISNUMBER($AA334),$AA334-$AG334,1E+15)))))</f>
        <v/>
      </c>
      <c r="R334" s="48" t="str">
        <f>IF(OR($B334="",$D334=""),"",IF($AC334=0,"",IF(AND(NOT(ISNUMBER($P334)),NOT(ISNUMBER($AA334))),"∞",MAX(0,MIN(IF(ISNUMBER($P334),$P334-$AF334-$Q334,1E+15),IF(ISNUMBER($AA334),$AA334-$AG334-$Q334,1E+15))))))</f>
        <v/>
      </c>
      <c r="S334" s="47" t="str">
        <f>IF($AD334="","",YEAR($AD334)*100+MONTH($AD334))</f>
        <v/>
      </c>
      <c r="T334" s="50" t="str">
        <f>IF($AD334="","",IFERROR(IF(INDEX(CARDS!$I$5:$I$34,MATCH($D334,CARDS!$A$5:$A$34,0))="","",IF(INDEX(CARDS!$I$5:$I$34,MATCH($D334,CARDS!$A$5:$A$34,0))&gt;INDEX(CARDS!$H$5:$H$34,MATCH($D334,CARDS!$A$5:$A$34,0)),DATE(YEAR($AD334),MONTH($AD334),MIN(INDEX(CARDS!$I$5:$I$34,MATCH($D334,CARDS!$A$5:$A$34,0)),DAY(EOMONTH($AD334,0)))),DATE(YEAR($AD334),MONTH($AD334)+1,MIN(INDEX(CARDS!$I$5:$I$34,MATCH($D334,CARDS!$A$5:$A$34,0)),DAY(EOMONTH($AD334,1)))))),""))</f>
        <v/>
      </c>
      <c r="U334" s="38" t="n"/>
      <c r="V334" s="37" t="n"/>
      <c r="W334" s="38" t="n"/>
      <c r="X334" s="38" t="n"/>
      <c r="Y334" s="44" t="str">
        <f>IF($AC334&gt;0,INDEX(CASHBACK_RULES!$A$5:$A$304,$AC334),"")</f>
        <v/>
      </c>
      <c r="Z334" s="45" t="str">
        <f>IF($AC334&gt;0,INDEX(CASHBACK_RULES!$E$5:$E$304,$AC334)&amp;"","")</f>
        <v/>
      </c>
      <c r="AA334" s="48" t="str">
        <f>IF($AC334&gt;0,IF(ISNUMBER(INDEX(CASHBACK_RULES!$K$5:$K$304,$AC334)),INDEX(CASHBACK_RULES!$K$5:$K$304,$AC334),"∞"),"")</f>
        <v/>
      </c>
      <c r="AB334" s="44" t="str">
        <f>IF(OR($B334="",$D334=""),"",IF($U334="Cancelled","Đã hủy",IF($AC334=0,"Không được hoàn",IF($Q334=0,IF(OR($O334&gt;0,$M334&lt;$L334),"Đã đạt cap","Không được hoàn"),IF(OR($Q334&lt;$O334,$M334&lt;$L334),"Hoàn một phần","Được hoàn")))))</f>
        <v/>
      </c>
      <c r="AC334" s="43">
        <f>IF(OR($B334="",$D334="",$I334="",$L334=""),0,IF($U334="Cancelled",0,IF($W334&lt;&gt;"",IFERROR(IF(INDEX(CASHBACK_RULES!$B$5:$B$304,MATCH($W334,CASHBACK_RULES!$A$5:$A$304,0))=$D334,MATCH($W334,CASHBACK_RULES!$A$5:$A$304,0),0),0),IFERROR(MATCH(1,INDEX((CASHBACK_RULES!$B$5:$B$304=$D334)*(CASHBACK_RULES!$G$5:$G$304=$I334)*(((CASHBACK_RULES!$N$5:$N$304="")+(CASHBACK_RULES!$N$5:$N$304&lt;=$B334))&gt;0)*(((CASHBACK_RULES!$O$5:$O$304="")+(CASHBACK_RULES!$O$5:$O$304&gt;=$B334))&gt;0)*(((CASHBACK_RULES!$M$5:$M$304="")+(CASHBACK_RULES!$M$5:$M$304&lt;=$L334))&gt;0),0),0),0))))</f>
        <v>0</v>
      </c>
      <c r="AD334" s="51" t="str">
        <f>IF(OR($B334="",$D334=""),"",IFERROR(IF(INDEX(CARDS!$H$5:$H$34,MATCH($D334,CARDS!$A$5:$A$34,0))="","",IF(DAY($B334)&lt;=INDEX(CARDS!$H$5:$H$34,MATCH($D334,CARDS!$A$5:$A$34,0)),DATE(YEAR($B334),MONTH($B334),MIN(INDEX(CARDS!$H$5:$H$34,MATCH($D334,CARDS!$A$5:$A$34,0)),DAY(EOMONTH($B334,0)))),DATE(YEAR($B334),MONTH($B334)+1,MIN(INDEX(CARDS!$H$5:$H$34,MATCH($D334,CARDS!$A$5:$A$34,0)),DAY(EOMONTH($B334,1)))))),""))</f>
        <v/>
      </c>
      <c r="AE334" s="52" t="str">
        <f>IF($C334="","",$C334&amp;"|"&amp;COUNTIF($C$5:$C334,$C334))</f>
        <v/>
      </c>
      <c r="AF334" s="53">
        <f>IF($AC334&gt;0,SUMIFS(Q$4:Q333,$D$4:$D333,$D334,$Z$4:$Z333,$Z334,$C$4:$C333,$C334),0)</f>
        <v>0</v>
      </c>
      <c r="AG334" s="53">
        <f>IF($AC334&gt;0,SUMIFS(Q$4:Q333,$D$4:$D333,$D334,$C$4:$C333,$C334),0)</f>
        <v>0</v>
      </c>
      <c r="AH334" s="53">
        <f>IF($AC334&gt;0,SUMIFS(M$4:M333,$D$4:$D333,$D334,$Z$4:$Z333,$Z334,$C$4:$C333,$C334),0)</f>
        <v>0</v>
      </c>
      <c r="AI334" s="43">
        <f>IF(OR($C334="",$I334=""),0,IF(COUNTIFS($C$5:$C334,$C334,$I$5:$I334,$I334)=1,1,0))</f>
        <v>0</v>
      </c>
      <c r="AJ334" s="43" t="str">
        <f>IF($AI334=1,SUMIFS($AI$4:$AI333,$C$4:$C333,$C334)+1,"")</f>
        <v/>
      </c>
      <c r="AK334" s="43">
        <f>IF(OR($C334="",$K334=""),0,IF(COUNTIFS($C$5:$C334,$C334,$K$5:$K334,$K334)=1,1,0))</f>
        <v>0</v>
      </c>
      <c r="AL334" s="43" t="str">
        <f>IF($AK334=1,SUMIFS($AK$4:$AK333,$C$4:$C333,$C334)+1,"")</f>
        <v/>
      </c>
      <c r="AM334" s="43">
        <f>IF(OR($C334="",$G334=""),0,IF(COUNTIFS($C$5:$C334,$C334,$G$5:$G334,$G334)=1,1,0))</f>
        <v>0</v>
      </c>
      <c r="AN334" s="43" t="str">
        <f>IF($AM334=1,SUMIFS($AM$4:$AM333,$C$4:$C333,$C334)+1,"")</f>
        <v/>
      </c>
    </row>
    <row r="335">
      <c r="A335" s="44" t="str">
        <f>IF(OR($B335="",$D335=""),"","TX"&amp;TEXT(ROW()-4,"0000"))</f>
        <v/>
      </c>
      <c r="B335" s="42" t="n"/>
      <c r="C335" s="47" t="str">
        <f>IF($B335="","",YEAR($B335)*100+MONTH($B335))</f>
        <v/>
      </c>
      <c r="D335" s="37" t="n"/>
      <c r="E335" s="45" t="str">
        <f>IF($D335="","",IFERROR(INDEX(CARDS!$B$5:$B$34,MATCH($D335,CARDS!$A$5:$A$34,0)),"⚠ Card ID?"))</f>
        <v/>
      </c>
      <c r="F335" s="45" t="str">
        <f>IF($D335="","",IFERROR(INDEX(CARDS!$C$5:$C$34,MATCH($D335,CARDS!$A$5:$A$34,0)),"⚠ Card ID?"))</f>
        <v/>
      </c>
      <c r="G335" s="37" t="n"/>
      <c r="H335" s="37" t="n"/>
      <c r="I335" s="41" t="n"/>
      <c r="J335" s="45" t="str">
        <f>IF($I335="","",IFERROR(INDEX(MCC_MASTER!$B$5:$B$504,MATCH($I335,MCC_MASTER!$A$5:$A$504,0)),"⚠ MCC chưa có"))</f>
        <v/>
      </c>
      <c r="K335" s="45" t="str">
        <f>IF($I335="","",IFERROR(IF(INDEX(MCC_MASTER!$C$5:$C$504,MATCH($I335,MCC_MASTER!$A$5:$A$504,0))="","Chưa phân loại",INDEX(MCC_MASTER!$C$5:$C$504,MATCH($I335,MCC_MASTER!$A$5:$A$504,0))),"Chưa phân loại"))</f>
        <v/>
      </c>
      <c r="L335" s="40" t="n"/>
      <c r="M335" s="48" t="str">
        <f>IF(OR($B335="",$D335=""),"",IF($AC335=0,0,IF(ISNUMBER(INDEX(CASHBACK_RULES!$L$5:$L$304,$AC335)),MAX(0,MIN($L335,INDEX(CASHBACK_RULES!$L$5:$L$304,$AC335)-$AH335)),MAX(0,$L335))))</f>
        <v/>
      </c>
      <c r="N335" s="49" t="str">
        <f>IF(OR($B335="",$D335=""),"",IF($AC335&gt;0,INDEX(CASHBACK_RULES!$I$5:$I$304,$AC335),0))</f>
        <v/>
      </c>
      <c r="O335" s="48" t="str">
        <f>IF(OR($B335="",$D335=""),"",ROUND($M335*$N335,0))</f>
        <v/>
      </c>
      <c r="P335" s="48" t="str">
        <f>IF($AC335&gt;0,IF(ISNUMBER(INDEX(CASHBACK_RULES!$J$5:$J$304,$AC335)),INDEX(CASHBACK_RULES!$J$5:$J$304,$AC335),"∞"),"")</f>
        <v/>
      </c>
      <c r="Q335" s="48" t="str">
        <f>IF(OR($B335="",$D335=""),"",IF($AC335=0,0,MAX(0,MIN($O335,IF(ISNUMBER($P335),$P335-$AF335,1E+15),IF(ISNUMBER($AA335),$AA335-$AG335,1E+15)))))</f>
        <v/>
      </c>
      <c r="R335" s="48" t="str">
        <f>IF(OR($B335="",$D335=""),"",IF($AC335=0,"",IF(AND(NOT(ISNUMBER($P335)),NOT(ISNUMBER($AA335))),"∞",MAX(0,MIN(IF(ISNUMBER($P335),$P335-$AF335-$Q335,1E+15),IF(ISNUMBER($AA335),$AA335-$AG335-$Q335,1E+15))))))</f>
        <v/>
      </c>
      <c r="S335" s="47" t="str">
        <f>IF($AD335="","",YEAR($AD335)*100+MONTH($AD335))</f>
        <v/>
      </c>
      <c r="T335" s="50" t="str">
        <f>IF($AD335="","",IFERROR(IF(INDEX(CARDS!$I$5:$I$34,MATCH($D335,CARDS!$A$5:$A$34,0))="","",IF(INDEX(CARDS!$I$5:$I$34,MATCH($D335,CARDS!$A$5:$A$34,0))&gt;INDEX(CARDS!$H$5:$H$34,MATCH($D335,CARDS!$A$5:$A$34,0)),DATE(YEAR($AD335),MONTH($AD335),MIN(INDEX(CARDS!$I$5:$I$34,MATCH($D335,CARDS!$A$5:$A$34,0)),DAY(EOMONTH($AD335,0)))),DATE(YEAR($AD335),MONTH($AD335)+1,MIN(INDEX(CARDS!$I$5:$I$34,MATCH($D335,CARDS!$A$5:$A$34,0)),DAY(EOMONTH($AD335,1)))))),""))</f>
        <v/>
      </c>
      <c r="U335" s="38" t="n"/>
      <c r="V335" s="37" t="n"/>
      <c r="W335" s="38" t="n"/>
      <c r="X335" s="38" t="n"/>
      <c r="Y335" s="44" t="str">
        <f>IF($AC335&gt;0,INDEX(CASHBACK_RULES!$A$5:$A$304,$AC335),"")</f>
        <v/>
      </c>
      <c r="Z335" s="45" t="str">
        <f>IF($AC335&gt;0,INDEX(CASHBACK_RULES!$E$5:$E$304,$AC335)&amp;"","")</f>
        <v/>
      </c>
      <c r="AA335" s="48" t="str">
        <f>IF($AC335&gt;0,IF(ISNUMBER(INDEX(CASHBACK_RULES!$K$5:$K$304,$AC335)),INDEX(CASHBACK_RULES!$K$5:$K$304,$AC335),"∞"),"")</f>
        <v/>
      </c>
      <c r="AB335" s="44" t="str">
        <f>IF(OR($B335="",$D335=""),"",IF($U335="Cancelled","Đã hủy",IF($AC335=0,"Không được hoàn",IF($Q335=0,IF(OR($O335&gt;0,$M335&lt;$L335),"Đã đạt cap","Không được hoàn"),IF(OR($Q335&lt;$O335,$M335&lt;$L335),"Hoàn một phần","Được hoàn")))))</f>
        <v/>
      </c>
      <c r="AC335" s="43">
        <f>IF(OR($B335="",$D335="",$I335="",$L335=""),0,IF($U335="Cancelled",0,IF($W335&lt;&gt;"",IFERROR(IF(INDEX(CASHBACK_RULES!$B$5:$B$304,MATCH($W335,CASHBACK_RULES!$A$5:$A$304,0))=$D335,MATCH($W335,CASHBACK_RULES!$A$5:$A$304,0),0),0),IFERROR(MATCH(1,INDEX((CASHBACK_RULES!$B$5:$B$304=$D335)*(CASHBACK_RULES!$G$5:$G$304=$I335)*(((CASHBACK_RULES!$N$5:$N$304="")+(CASHBACK_RULES!$N$5:$N$304&lt;=$B335))&gt;0)*(((CASHBACK_RULES!$O$5:$O$304="")+(CASHBACK_RULES!$O$5:$O$304&gt;=$B335))&gt;0)*(((CASHBACK_RULES!$M$5:$M$304="")+(CASHBACK_RULES!$M$5:$M$304&lt;=$L335))&gt;0),0),0),0))))</f>
        <v>0</v>
      </c>
      <c r="AD335" s="51" t="str">
        <f>IF(OR($B335="",$D335=""),"",IFERROR(IF(INDEX(CARDS!$H$5:$H$34,MATCH($D335,CARDS!$A$5:$A$34,0))="","",IF(DAY($B335)&lt;=INDEX(CARDS!$H$5:$H$34,MATCH($D335,CARDS!$A$5:$A$34,0)),DATE(YEAR($B335),MONTH($B335),MIN(INDEX(CARDS!$H$5:$H$34,MATCH($D335,CARDS!$A$5:$A$34,0)),DAY(EOMONTH($B335,0)))),DATE(YEAR($B335),MONTH($B335)+1,MIN(INDEX(CARDS!$H$5:$H$34,MATCH($D335,CARDS!$A$5:$A$34,0)),DAY(EOMONTH($B335,1)))))),""))</f>
        <v/>
      </c>
      <c r="AE335" s="52" t="str">
        <f>IF($C335="","",$C335&amp;"|"&amp;COUNTIF($C$5:$C335,$C335))</f>
        <v/>
      </c>
      <c r="AF335" s="53">
        <f>IF($AC335&gt;0,SUMIFS(Q$4:Q334,$D$4:$D334,$D335,$Z$4:$Z334,$Z335,$C$4:$C334,$C335),0)</f>
        <v>0</v>
      </c>
      <c r="AG335" s="53">
        <f>IF($AC335&gt;0,SUMIFS(Q$4:Q334,$D$4:$D334,$D335,$C$4:$C334,$C335),0)</f>
        <v>0</v>
      </c>
      <c r="AH335" s="53">
        <f>IF($AC335&gt;0,SUMIFS(M$4:M334,$D$4:$D334,$D335,$Z$4:$Z334,$Z335,$C$4:$C334,$C335),0)</f>
        <v>0</v>
      </c>
      <c r="AI335" s="43">
        <f>IF(OR($C335="",$I335=""),0,IF(COUNTIFS($C$5:$C335,$C335,$I$5:$I335,$I335)=1,1,0))</f>
        <v>0</v>
      </c>
      <c r="AJ335" s="43" t="str">
        <f>IF($AI335=1,SUMIFS($AI$4:$AI334,$C$4:$C334,$C335)+1,"")</f>
        <v/>
      </c>
      <c r="AK335" s="43">
        <f>IF(OR($C335="",$K335=""),0,IF(COUNTIFS($C$5:$C335,$C335,$K$5:$K335,$K335)=1,1,0))</f>
        <v>0</v>
      </c>
      <c r="AL335" s="43" t="str">
        <f>IF($AK335=1,SUMIFS($AK$4:$AK334,$C$4:$C334,$C335)+1,"")</f>
        <v/>
      </c>
      <c r="AM335" s="43">
        <f>IF(OR($C335="",$G335=""),0,IF(COUNTIFS($C$5:$C335,$C335,$G$5:$G335,$G335)=1,1,0))</f>
        <v>0</v>
      </c>
      <c r="AN335" s="43" t="str">
        <f>IF($AM335=1,SUMIFS($AM$4:$AM334,$C$4:$C334,$C335)+1,"")</f>
        <v/>
      </c>
    </row>
    <row r="336">
      <c r="A336" s="44" t="str">
        <f>IF(OR($B336="",$D336=""),"","TX"&amp;TEXT(ROW()-4,"0000"))</f>
        <v/>
      </c>
      <c r="B336" s="42" t="n"/>
      <c r="C336" s="47" t="str">
        <f>IF($B336="","",YEAR($B336)*100+MONTH($B336))</f>
        <v/>
      </c>
      <c r="D336" s="37" t="n"/>
      <c r="E336" s="45" t="str">
        <f>IF($D336="","",IFERROR(INDEX(CARDS!$B$5:$B$34,MATCH($D336,CARDS!$A$5:$A$34,0)),"⚠ Card ID?"))</f>
        <v/>
      </c>
      <c r="F336" s="45" t="str">
        <f>IF($D336="","",IFERROR(INDEX(CARDS!$C$5:$C$34,MATCH($D336,CARDS!$A$5:$A$34,0)),"⚠ Card ID?"))</f>
        <v/>
      </c>
      <c r="G336" s="37" t="n"/>
      <c r="H336" s="37" t="n"/>
      <c r="I336" s="41" t="n"/>
      <c r="J336" s="45" t="str">
        <f>IF($I336="","",IFERROR(INDEX(MCC_MASTER!$B$5:$B$504,MATCH($I336,MCC_MASTER!$A$5:$A$504,0)),"⚠ MCC chưa có"))</f>
        <v/>
      </c>
      <c r="K336" s="45" t="str">
        <f>IF($I336="","",IFERROR(IF(INDEX(MCC_MASTER!$C$5:$C$504,MATCH($I336,MCC_MASTER!$A$5:$A$504,0))="","Chưa phân loại",INDEX(MCC_MASTER!$C$5:$C$504,MATCH($I336,MCC_MASTER!$A$5:$A$504,0))),"Chưa phân loại"))</f>
        <v/>
      </c>
      <c r="L336" s="40" t="n"/>
      <c r="M336" s="48" t="str">
        <f>IF(OR($B336="",$D336=""),"",IF($AC336=0,0,IF(ISNUMBER(INDEX(CASHBACK_RULES!$L$5:$L$304,$AC336)),MAX(0,MIN($L336,INDEX(CASHBACK_RULES!$L$5:$L$304,$AC336)-$AH336)),MAX(0,$L336))))</f>
        <v/>
      </c>
      <c r="N336" s="49" t="str">
        <f>IF(OR($B336="",$D336=""),"",IF($AC336&gt;0,INDEX(CASHBACK_RULES!$I$5:$I$304,$AC336),0))</f>
        <v/>
      </c>
      <c r="O336" s="48" t="str">
        <f>IF(OR($B336="",$D336=""),"",ROUND($M336*$N336,0))</f>
        <v/>
      </c>
      <c r="P336" s="48" t="str">
        <f>IF($AC336&gt;0,IF(ISNUMBER(INDEX(CASHBACK_RULES!$J$5:$J$304,$AC336)),INDEX(CASHBACK_RULES!$J$5:$J$304,$AC336),"∞"),"")</f>
        <v/>
      </c>
      <c r="Q336" s="48" t="str">
        <f>IF(OR($B336="",$D336=""),"",IF($AC336=0,0,MAX(0,MIN($O336,IF(ISNUMBER($P336),$P336-$AF336,1E+15),IF(ISNUMBER($AA336),$AA336-$AG336,1E+15)))))</f>
        <v/>
      </c>
      <c r="R336" s="48" t="str">
        <f>IF(OR($B336="",$D336=""),"",IF($AC336=0,"",IF(AND(NOT(ISNUMBER($P336)),NOT(ISNUMBER($AA336))),"∞",MAX(0,MIN(IF(ISNUMBER($P336),$P336-$AF336-$Q336,1E+15),IF(ISNUMBER($AA336),$AA336-$AG336-$Q336,1E+15))))))</f>
        <v/>
      </c>
      <c r="S336" s="47" t="str">
        <f>IF($AD336="","",YEAR($AD336)*100+MONTH($AD336))</f>
        <v/>
      </c>
      <c r="T336" s="50" t="str">
        <f>IF($AD336="","",IFERROR(IF(INDEX(CARDS!$I$5:$I$34,MATCH($D336,CARDS!$A$5:$A$34,0))="","",IF(INDEX(CARDS!$I$5:$I$34,MATCH($D336,CARDS!$A$5:$A$34,0))&gt;INDEX(CARDS!$H$5:$H$34,MATCH($D336,CARDS!$A$5:$A$34,0)),DATE(YEAR($AD336),MONTH($AD336),MIN(INDEX(CARDS!$I$5:$I$34,MATCH($D336,CARDS!$A$5:$A$34,0)),DAY(EOMONTH($AD336,0)))),DATE(YEAR($AD336),MONTH($AD336)+1,MIN(INDEX(CARDS!$I$5:$I$34,MATCH($D336,CARDS!$A$5:$A$34,0)),DAY(EOMONTH($AD336,1)))))),""))</f>
        <v/>
      </c>
      <c r="U336" s="38" t="n"/>
      <c r="V336" s="37" t="n"/>
      <c r="W336" s="38" t="n"/>
      <c r="X336" s="38" t="n"/>
      <c r="Y336" s="44" t="str">
        <f>IF($AC336&gt;0,INDEX(CASHBACK_RULES!$A$5:$A$304,$AC336),"")</f>
        <v/>
      </c>
      <c r="Z336" s="45" t="str">
        <f>IF($AC336&gt;0,INDEX(CASHBACK_RULES!$E$5:$E$304,$AC336)&amp;"","")</f>
        <v/>
      </c>
      <c r="AA336" s="48" t="str">
        <f>IF($AC336&gt;0,IF(ISNUMBER(INDEX(CASHBACK_RULES!$K$5:$K$304,$AC336)),INDEX(CASHBACK_RULES!$K$5:$K$304,$AC336),"∞"),"")</f>
        <v/>
      </c>
      <c r="AB336" s="44" t="str">
        <f>IF(OR($B336="",$D336=""),"",IF($U336="Cancelled","Đã hủy",IF($AC336=0,"Không được hoàn",IF($Q336=0,IF(OR($O336&gt;0,$M336&lt;$L336),"Đã đạt cap","Không được hoàn"),IF(OR($Q336&lt;$O336,$M336&lt;$L336),"Hoàn một phần","Được hoàn")))))</f>
        <v/>
      </c>
      <c r="AC336" s="43">
        <f>IF(OR($B336="",$D336="",$I336="",$L336=""),0,IF($U336="Cancelled",0,IF($W336&lt;&gt;"",IFERROR(IF(INDEX(CASHBACK_RULES!$B$5:$B$304,MATCH($W336,CASHBACK_RULES!$A$5:$A$304,0))=$D336,MATCH($W336,CASHBACK_RULES!$A$5:$A$304,0),0),0),IFERROR(MATCH(1,INDEX((CASHBACK_RULES!$B$5:$B$304=$D336)*(CASHBACK_RULES!$G$5:$G$304=$I336)*(((CASHBACK_RULES!$N$5:$N$304="")+(CASHBACK_RULES!$N$5:$N$304&lt;=$B336))&gt;0)*(((CASHBACK_RULES!$O$5:$O$304="")+(CASHBACK_RULES!$O$5:$O$304&gt;=$B336))&gt;0)*(((CASHBACK_RULES!$M$5:$M$304="")+(CASHBACK_RULES!$M$5:$M$304&lt;=$L336))&gt;0),0),0),0))))</f>
        <v>0</v>
      </c>
      <c r="AD336" s="51" t="str">
        <f>IF(OR($B336="",$D336=""),"",IFERROR(IF(INDEX(CARDS!$H$5:$H$34,MATCH($D336,CARDS!$A$5:$A$34,0))="","",IF(DAY($B336)&lt;=INDEX(CARDS!$H$5:$H$34,MATCH($D336,CARDS!$A$5:$A$34,0)),DATE(YEAR($B336),MONTH($B336),MIN(INDEX(CARDS!$H$5:$H$34,MATCH($D336,CARDS!$A$5:$A$34,0)),DAY(EOMONTH($B336,0)))),DATE(YEAR($B336),MONTH($B336)+1,MIN(INDEX(CARDS!$H$5:$H$34,MATCH($D336,CARDS!$A$5:$A$34,0)),DAY(EOMONTH($B336,1)))))),""))</f>
        <v/>
      </c>
      <c r="AE336" s="52" t="str">
        <f>IF($C336="","",$C336&amp;"|"&amp;COUNTIF($C$5:$C336,$C336))</f>
        <v/>
      </c>
      <c r="AF336" s="53">
        <f>IF($AC336&gt;0,SUMIFS(Q$4:Q335,$D$4:$D335,$D336,$Z$4:$Z335,$Z336,$C$4:$C335,$C336),0)</f>
        <v>0</v>
      </c>
      <c r="AG336" s="53">
        <f>IF($AC336&gt;0,SUMIFS(Q$4:Q335,$D$4:$D335,$D336,$C$4:$C335,$C336),0)</f>
        <v>0</v>
      </c>
      <c r="AH336" s="53">
        <f>IF($AC336&gt;0,SUMIFS(M$4:M335,$D$4:$D335,$D336,$Z$4:$Z335,$Z336,$C$4:$C335,$C336),0)</f>
        <v>0</v>
      </c>
      <c r="AI336" s="43">
        <f>IF(OR($C336="",$I336=""),0,IF(COUNTIFS($C$5:$C336,$C336,$I$5:$I336,$I336)=1,1,0))</f>
        <v>0</v>
      </c>
      <c r="AJ336" s="43" t="str">
        <f>IF($AI336=1,SUMIFS($AI$4:$AI335,$C$4:$C335,$C336)+1,"")</f>
        <v/>
      </c>
      <c r="AK336" s="43">
        <f>IF(OR($C336="",$K336=""),0,IF(COUNTIFS($C$5:$C336,$C336,$K$5:$K336,$K336)=1,1,0))</f>
        <v>0</v>
      </c>
      <c r="AL336" s="43" t="str">
        <f>IF($AK336=1,SUMIFS($AK$4:$AK335,$C$4:$C335,$C336)+1,"")</f>
        <v/>
      </c>
      <c r="AM336" s="43">
        <f>IF(OR($C336="",$G336=""),0,IF(COUNTIFS($C$5:$C336,$C336,$G$5:$G336,$G336)=1,1,0))</f>
        <v>0</v>
      </c>
      <c r="AN336" s="43" t="str">
        <f>IF($AM336=1,SUMIFS($AM$4:$AM335,$C$4:$C335,$C336)+1,"")</f>
        <v/>
      </c>
    </row>
    <row r="337">
      <c r="A337" s="44" t="str">
        <f>IF(OR($B337="",$D337=""),"","TX"&amp;TEXT(ROW()-4,"0000"))</f>
        <v/>
      </c>
      <c r="B337" s="42" t="n"/>
      <c r="C337" s="47" t="str">
        <f>IF($B337="","",YEAR($B337)*100+MONTH($B337))</f>
        <v/>
      </c>
      <c r="D337" s="37" t="n"/>
      <c r="E337" s="45" t="str">
        <f>IF($D337="","",IFERROR(INDEX(CARDS!$B$5:$B$34,MATCH($D337,CARDS!$A$5:$A$34,0)),"⚠ Card ID?"))</f>
        <v/>
      </c>
      <c r="F337" s="45" t="str">
        <f>IF($D337="","",IFERROR(INDEX(CARDS!$C$5:$C$34,MATCH($D337,CARDS!$A$5:$A$34,0)),"⚠ Card ID?"))</f>
        <v/>
      </c>
      <c r="G337" s="37" t="n"/>
      <c r="H337" s="37" t="n"/>
      <c r="I337" s="41" t="n"/>
      <c r="J337" s="45" t="str">
        <f>IF($I337="","",IFERROR(INDEX(MCC_MASTER!$B$5:$B$504,MATCH($I337,MCC_MASTER!$A$5:$A$504,0)),"⚠ MCC chưa có"))</f>
        <v/>
      </c>
      <c r="K337" s="45" t="str">
        <f>IF($I337="","",IFERROR(IF(INDEX(MCC_MASTER!$C$5:$C$504,MATCH($I337,MCC_MASTER!$A$5:$A$504,0))="","Chưa phân loại",INDEX(MCC_MASTER!$C$5:$C$504,MATCH($I337,MCC_MASTER!$A$5:$A$504,0))),"Chưa phân loại"))</f>
        <v/>
      </c>
      <c r="L337" s="40" t="n"/>
      <c r="M337" s="48" t="str">
        <f>IF(OR($B337="",$D337=""),"",IF($AC337=0,0,IF(ISNUMBER(INDEX(CASHBACK_RULES!$L$5:$L$304,$AC337)),MAX(0,MIN($L337,INDEX(CASHBACK_RULES!$L$5:$L$304,$AC337)-$AH337)),MAX(0,$L337))))</f>
        <v/>
      </c>
      <c r="N337" s="49" t="str">
        <f>IF(OR($B337="",$D337=""),"",IF($AC337&gt;0,INDEX(CASHBACK_RULES!$I$5:$I$304,$AC337),0))</f>
        <v/>
      </c>
      <c r="O337" s="48" t="str">
        <f>IF(OR($B337="",$D337=""),"",ROUND($M337*$N337,0))</f>
        <v/>
      </c>
      <c r="P337" s="48" t="str">
        <f>IF($AC337&gt;0,IF(ISNUMBER(INDEX(CASHBACK_RULES!$J$5:$J$304,$AC337)),INDEX(CASHBACK_RULES!$J$5:$J$304,$AC337),"∞"),"")</f>
        <v/>
      </c>
      <c r="Q337" s="48" t="str">
        <f>IF(OR($B337="",$D337=""),"",IF($AC337=0,0,MAX(0,MIN($O337,IF(ISNUMBER($P337),$P337-$AF337,1E+15),IF(ISNUMBER($AA337),$AA337-$AG337,1E+15)))))</f>
        <v/>
      </c>
      <c r="R337" s="48" t="str">
        <f>IF(OR($B337="",$D337=""),"",IF($AC337=0,"",IF(AND(NOT(ISNUMBER($P337)),NOT(ISNUMBER($AA337))),"∞",MAX(0,MIN(IF(ISNUMBER($P337),$P337-$AF337-$Q337,1E+15),IF(ISNUMBER($AA337),$AA337-$AG337-$Q337,1E+15))))))</f>
        <v/>
      </c>
      <c r="S337" s="47" t="str">
        <f>IF($AD337="","",YEAR($AD337)*100+MONTH($AD337))</f>
        <v/>
      </c>
      <c r="T337" s="50" t="str">
        <f>IF($AD337="","",IFERROR(IF(INDEX(CARDS!$I$5:$I$34,MATCH($D337,CARDS!$A$5:$A$34,0))="","",IF(INDEX(CARDS!$I$5:$I$34,MATCH($D337,CARDS!$A$5:$A$34,0))&gt;INDEX(CARDS!$H$5:$H$34,MATCH($D337,CARDS!$A$5:$A$34,0)),DATE(YEAR($AD337),MONTH($AD337),MIN(INDEX(CARDS!$I$5:$I$34,MATCH($D337,CARDS!$A$5:$A$34,0)),DAY(EOMONTH($AD337,0)))),DATE(YEAR($AD337),MONTH($AD337)+1,MIN(INDEX(CARDS!$I$5:$I$34,MATCH($D337,CARDS!$A$5:$A$34,0)),DAY(EOMONTH($AD337,1)))))),""))</f>
        <v/>
      </c>
      <c r="U337" s="38" t="n"/>
      <c r="V337" s="37" t="n"/>
      <c r="W337" s="38" t="n"/>
      <c r="X337" s="38" t="n"/>
      <c r="Y337" s="44" t="str">
        <f>IF($AC337&gt;0,INDEX(CASHBACK_RULES!$A$5:$A$304,$AC337),"")</f>
        <v/>
      </c>
      <c r="Z337" s="45" t="str">
        <f>IF($AC337&gt;0,INDEX(CASHBACK_RULES!$E$5:$E$304,$AC337)&amp;"","")</f>
        <v/>
      </c>
      <c r="AA337" s="48" t="str">
        <f>IF($AC337&gt;0,IF(ISNUMBER(INDEX(CASHBACK_RULES!$K$5:$K$304,$AC337)),INDEX(CASHBACK_RULES!$K$5:$K$304,$AC337),"∞"),"")</f>
        <v/>
      </c>
      <c r="AB337" s="44" t="str">
        <f>IF(OR($B337="",$D337=""),"",IF($U337="Cancelled","Đã hủy",IF($AC337=0,"Không được hoàn",IF($Q337=0,IF(OR($O337&gt;0,$M337&lt;$L337),"Đã đạt cap","Không được hoàn"),IF(OR($Q337&lt;$O337,$M337&lt;$L337),"Hoàn một phần","Được hoàn")))))</f>
        <v/>
      </c>
      <c r="AC337" s="43">
        <f>IF(OR($B337="",$D337="",$I337="",$L337=""),0,IF($U337="Cancelled",0,IF($W337&lt;&gt;"",IFERROR(IF(INDEX(CASHBACK_RULES!$B$5:$B$304,MATCH($W337,CASHBACK_RULES!$A$5:$A$304,0))=$D337,MATCH($W337,CASHBACK_RULES!$A$5:$A$304,0),0),0),IFERROR(MATCH(1,INDEX((CASHBACK_RULES!$B$5:$B$304=$D337)*(CASHBACK_RULES!$G$5:$G$304=$I337)*(((CASHBACK_RULES!$N$5:$N$304="")+(CASHBACK_RULES!$N$5:$N$304&lt;=$B337))&gt;0)*(((CASHBACK_RULES!$O$5:$O$304="")+(CASHBACK_RULES!$O$5:$O$304&gt;=$B337))&gt;0)*(((CASHBACK_RULES!$M$5:$M$304="")+(CASHBACK_RULES!$M$5:$M$304&lt;=$L337))&gt;0),0),0),0))))</f>
        <v>0</v>
      </c>
      <c r="AD337" s="51" t="str">
        <f>IF(OR($B337="",$D337=""),"",IFERROR(IF(INDEX(CARDS!$H$5:$H$34,MATCH($D337,CARDS!$A$5:$A$34,0))="","",IF(DAY($B337)&lt;=INDEX(CARDS!$H$5:$H$34,MATCH($D337,CARDS!$A$5:$A$34,0)),DATE(YEAR($B337),MONTH($B337),MIN(INDEX(CARDS!$H$5:$H$34,MATCH($D337,CARDS!$A$5:$A$34,0)),DAY(EOMONTH($B337,0)))),DATE(YEAR($B337),MONTH($B337)+1,MIN(INDEX(CARDS!$H$5:$H$34,MATCH($D337,CARDS!$A$5:$A$34,0)),DAY(EOMONTH($B337,1)))))),""))</f>
        <v/>
      </c>
      <c r="AE337" s="52" t="str">
        <f>IF($C337="","",$C337&amp;"|"&amp;COUNTIF($C$5:$C337,$C337))</f>
        <v/>
      </c>
      <c r="AF337" s="53">
        <f>IF($AC337&gt;0,SUMIFS(Q$4:Q336,$D$4:$D336,$D337,$Z$4:$Z336,$Z337,$C$4:$C336,$C337),0)</f>
        <v>0</v>
      </c>
      <c r="AG337" s="53">
        <f>IF($AC337&gt;0,SUMIFS(Q$4:Q336,$D$4:$D336,$D337,$C$4:$C336,$C337),0)</f>
        <v>0</v>
      </c>
      <c r="AH337" s="53">
        <f>IF($AC337&gt;0,SUMIFS(M$4:M336,$D$4:$D336,$D337,$Z$4:$Z336,$Z337,$C$4:$C336,$C337),0)</f>
        <v>0</v>
      </c>
      <c r="AI337" s="43">
        <f>IF(OR($C337="",$I337=""),0,IF(COUNTIFS($C$5:$C337,$C337,$I$5:$I337,$I337)=1,1,0))</f>
        <v>0</v>
      </c>
      <c r="AJ337" s="43" t="str">
        <f>IF($AI337=1,SUMIFS($AI$4:$AI336,$C$4:$C336,$C337)+1,"")</f>
        <v/>
      </c>
      <c r="AK337" s="43">
        <f>IF(OR($C337="",$K337=""),0,IF(COUNTIFS($C$5:$C337,$C337,$K$5:$K337,$K337)=1,1,0))</f>
        <v>0</v>
      </c>
      <c r="AL337" s="43" t="str">
        <f>IF($AK337=1,SUMIFS($AK$4:$AK336,$C$4:$C336,$C337)+1,"")</f>
        <v/>
      </c>
      <c r="AM337" s="43">
        <f>IF(OR($C337="",$G337=""),0,IF(COUNTIFS($C$5:$C337,$C337,$G$5:$G337,$G337)=1,1,0))</f>
        <v>0</v>
      </c>
      <c r="AN337" s="43" t="str">
        <f>IF($AM337=1,SUMIFS($AM$4:$AM336,$C$4:$C336,$C337)+1,"")</f>
        <v/>
      </c>
    </row>
    <row r="338">
      <c r="A338" s="44" t="str">
        <f>IF(OR($B338="",$D338=""),"","TX"&amp;TEXT(ROW()-4,"0000"))</f>
        <v/>
      </c>
      <c r="B338" s="42" t="n"/>
      <c r="C338" s="47" t="str">
        <f>IF($B338="","",YEAR($B338)*100+MONTH($B338))</f>
        <v/>
      </c>
      <c r="D338" s="37" t="n"/>
      <c r="E338" s="45" t="str">
        <f>IF($D338="","",IFERROR(INDEX(CARDS!$B$5:$B$34,MATCH($D338,CARDS!$A$5:$A$34,0)),"⚠ Card ID?"))</f>
        <v/>
      </c>
      <c r="F338" s="45" t="str">
        <f>IF($D338="","",IFERROR(INDEX(CARDS!$C$5:$C$34,MATCH($D338,CARDS!$A$5:$A$34,0)),"⚠ Card ID?"))</f>
        <v/>
      </c>
      <c r="G338" s="37" t="n"/>
      <c r="H338" s="37" t="n"/>
      <c r="I338" s="41" t="n"/>
      <c r="J338" s="45" t="str">
        <f>IF($I338="","",IFERROR(INDEX(MCC_MASTER!$B$5:$B$504,MATCH($I338,MCC_MASTER!$A$5:$A$504,0)),"⚠ MCC chưa có"))</f>
        <v/>
      </c>
      <c r="K338" s="45" t="str">
        <f>IF($I338="","",IFERROR(IF(INDEX(MCC_MASTER!$C$5:$C$504,MATCH($I338,MCC_MASTER!$A$5:$A$504,0))="","Chưa phân loại",INDEX(MCC_MASTER!$C$5:$C$504,MATCH($I338,MCC_MASTER!$A$5:$A$504,0))),"Chưa phân loại"))</f>
        <v/>
      </c>
      <c r="L338" s="40" t="n"/>
      <c r="M338" s="48" t="str">
        <f>IF(OR($B338="",$D338=""),"",IF($AC338=0,0,IF(ISNUMBER(INDEX(CASHBACK_RULES!$L$5:$L$304,$AC338)),MAX(0,MIN($L338,INDEX(CASHBACK_RULES!$L$5:$L$304,$AC338)-$AH338)),MAX(0,$L338))))</f>
        <v/>
      </c>
      <c r="N338" s="49" t="str">
        <f>IF(OR($B338="",$D338=""),"",IF($AC338&gt;0,INDEX(CASHBACK_RULES!$I$5:$I$304,$AC338),0))</f>
        <v/>
      </c>
      <c r="O338" s="48" t="str">
        <f>IF(OR($B338="",$D338=""),"",ROUND($M338*$N338,0))</f>
        <v/>
      </c>
      <c r="P338" s="48" t="str">
        <f>IF($AC338&gt;0,IF(ISNUMBER(INDEX(CASHBACK_RULES!$J$5:$J$304,$AC338)),INDEX(CASHBACK_RULES!$J$5:$J$304,$AC338),"∞"),"")</f>
        <v/>
      </c>
      <c r="Q338" s="48" t="str">
        <f>IF(OR($B338="",$D338=""),"",IF($AC338=0,0,MAX(0,MIN($O338,IF(ISNUMBER($P338),$P338-$AF338,1E+15),IF(ISNUMBER($AA338),$AA338-$AG338,1E+15)))))</f>
        <v/>
      </c>
      <c r="R338" s="48" t="str">
        <f>IF(OR($B338="",$D338=""),"",IF($AC338=0,"",IF(AND(NOT(ISNUMBER($P338)),NOT(ISNUMBER($AA338))),"∞",MAX(0,MIN(IF(ISNUMBER($P338),$P338-$AF338-$Q338,1E+15),IF(ISNUMBER($AA338),$AA338-$AG338-$Q338,1E+15))))))</f>
        <v/>
      </c>
      <c r="S338" s="47" t="str">
        <f>IF($AD338="","",YEAR($AD338)*100+MONTH($AD338))</f>
        <v/>
      </c>
      <c r="T338" s="50" t="str">
        <f>IF($AD338="","",IFERROR(IF(INDEX(CARDS!$I$5:$I$34,MATCH($D338,CARDS!$A$5:$A$34,0))="","",IF(INDEX(CARDS!$I$5:$I$34,MATCH($D338,CARDS!$A$5:$A$34,0))&gt;INDEX(CARDS!$H$5:$H$34,MATCH($D338,CARDS!$A$5:$A$34,0)),DATE(YEAR($AD338),MONTH($AD338),MIN(INDEX(CARDS!$I$5:$I$34,MATCH($D338,CARDS!$A$5:$A$34,0)),DAY(EOMONTH($AD338,0)))),DATE(YEAR($AD338),MONTH($AD338)+1,MIN(INDEX(CARDS!$I$5:$I$34,MATCH($D338,CARDS!$A$5:$A$34,0)),DAY(EOMONTH($AD338,1)))))),""))</f>
        <v/>
      </c>
      <c r="U338" s="38" t="n"/>
      <c r="V338" s="37" t="n"/>
      <c r="W338" s="38" t="n"/>
      <c r="X338" s="38" t="n"/>
      <c r="Y338" s="44" t="str">
        <f>IF($AC338&gt;0,INDEX(CASHBACK_RULES!$A$5:$A$304,$AC338),"")</f>
        <v/>
      </c>
      <c r="Z338" s="45" t="str">
        <f>IF($AC338&gt;0,INDEX(CASHBACK_RULES!$E$5:$E$304,$AC338)&amp;"","")</f>
        <v/>
      </c>
      <c r="AA338" s="48" t="str">
        <f>IF($AC338&gt;0,IF(ISNUMBER(INDEX(CASHBACK_RULES!$K$5:$K$304,$AC338)),INDEX(CASHBACK_RULES!$K$5:$K$304,$AC338),"∞"),"")</f>
        <v/>
      </c>
      <c r="AB338" s="44" t="str">
        <f>IF(OR($B338="",$D338=""),"",IF($U338="Cancelled","Đã hủy",IF($AC338=0,"Không được hoàn",IF($Q338=0,IF(OR($O338&gt;0,$M338&lt;$L338),"Đã đạt cap","Không được hoàn"),IF(OR($Q338&lt;$O338,$M338&lt;$L338),"Hoàn một phần","Được hoàn")))))</f>
        <v/>
      </c>
      <c r="AC338" s="43">
        <f>IF(OR($B338="",$D338="",$I338="",$L338=""),0,IF($U338="Cancelled",0,IF($W338&lt;&gt;"",IFERROR(IF(INDEX(CASHBACK_RULES!$B$5:$B$304,MATCH($W338,CASHBACK_RULES!$A$5:$A$304,0))=$D338,MATCH($W338,CASHBACK_RULES!$A$5:$A$304,0),0),0),IFERROR(MATCH(1,INDEX((CASHBACK_RULES!$B$5:$B$304=$D338)*(CASHBACK_RULES!$G$5:$G$304=$I338)*(((CASHBACK_RULES!$N$5:$N$304="")+(CASHBACK_RULES!$N$5:$N$304&lt;=$B338))&gt;0)*(((CASHBACK_RULES!$O$5:$O$304="")+(CASHBACK_RULES!$O$5:$O$304&gt;=$B338))&gt;0)*(((CASHBACK_RULES!$M$5:$M$304="")+(CASHBACK_RULES!$M$5:$M$304&lt;=$L338))&gt;0),0),0),0))))</f>
        <v>0</v>
      </c>
      <c r="AD338" s="51" t="str">
        <f>IF(OR($B338="",$D338=""),"",IFERROR(IF(INDEX(CARDS!$H$5:$H$34,MATCH($D338,CARDS!$A$5:$A$34,0))="","",IF(DAY($B338)&lt;=INDEX(CARDS!$H$5:$H$34,MATCH($D338,CARDS!$A$5:$A$34,0)),DATE(YEAR($B338),MONTH($B338),MIN(INDEX(CARDS!$H$5:$H$34,MATCH($D338,CARDS!$A$5:$A$34,0)),DAY(EOMONTH($B338,0)))),DATE(YEAR($B338),MONTH($B338)+1,MIN(INDEX(CARDS!$H$5:$H$34,MATCH($D338,CARDS!$A$5:$A$34,0)),DAY(EOMONTH($B338,1)))))),""))</f>
        <v/>
      </c>
      <c r="AE338" s="52" t="str">
        <f>IF($C338="","",$C338&amp;"|"&amp;COUNTIF($C$5:$C338,$C338))</f>
        <v/>
      </c>
      <c r="AF338" s="53">
        <f>IF($AC338&gt;0,SUMIFS(Q$4:Q337,$D$4:$D337,$D338,$Z$4:$Z337,$Z338,$C$4:$C337,$C338),0)</f>
        <v>0</v>
      </c>
      <c r="AG338" s="53">
        <f>IF($AC338&gt;0,SUMIFS(Q$4:Q337,$D$4:$D337,$D338,$C$4:$C337,$C338),0)</f>
        <v>0</v>
      </c>
      <c r="AH338" s="53">
        <f>IF($AC338&gt;0,SUMIFS(M$4:M337,$D$4:$D337,$D338,$Z$4:$Z337,$Z338,$C$4:$C337,$C338),0)</f>
        <v>0</v>
      </c>
      <c r="AI338" s="43">
        <f>IF(OR($C338="",$I338=""),0,IF(COUNTIFS($C$5:$C338,$C338,$I$5:$I338,$I338)=1,1,0))</f>
        <v>0</v>
      </c>
      <c r="AJ338" s="43" t="str">
        <f>IF($AI338=1,SUMIFS($AI$4:$AI337,$C$4:$C337,$C338)+1,"")</f>
        <v/>
      </c>
      <c r="AK338" s="43">
        <f>IF(OR($C338="",$K338=""),0,IF(COUNTIFS($C$5:$C338,$C338,$K$5:$K338,$K338)=1,1,0))</f>
        <v>0</v>
      </c>
      <c r="AL338" s="43" t="str">
        <f>IF($AK338=1,SUMIFS($AK$4:$AK337,$C$4:$C337,$C338)+1,"")</f>
        <v/>
      </c>
      <c r="AM338" s="43">
        <f>IF(OR($C338="",$G338=""),0,IF(COUNTIFS($C$5:$C338,$C338,$G$5:$G338,$G338)=1,1,0))</f>
        <v>0</v>
      </c>
      <c r="AN338" s="43" t="str">
        <f>IF($AM338=1,SUMIFS($AM$4:$AM337,$C$4:$C337,$C338)+1,"")</f>
        <v/>
      </c>
    </row>
    <row r="339">
      <c r="A339" s="44" t="str">
        <f>IF(OR($B339="",$D339=""),"","TX"&amp;TEXT(ROW()-4,"0000"))</f>
        <v/>
      </c>
      <c r="B339" s="42" t="n"/>
      <c r="C339" s="47" t="str">
        <f>IF($B339="","",YEAR($B339)*100+MONTH($B339))</f>
        <v/>
      </c>
      <c r="D339" s="37" t="n"/>
      <c r="E339" s="45" t="str">
        <f>IF($D339="","",IFERROR(INDEX(CARDS!$B$5:$B$34,MATCH($D339,CARDS!$A$5:$A$34,0)),"⚠ Card ID?"))</f>
        <v/>
      </c>
      <c r="F339" s="45" t="str">
        <f>IF($D339="","",IFERROR(INDEX(CARDS!$C$5:$C$34,MATCH($D339,CARDS!$A$5:$A$34,0)),"⚠ Card ID?"))</f>
        <v/>
      </c>
      <c r="G339" s="37" t="n"/>
      <c r="H339" s="37" t="n"/>
      <c r="I339" s="41" t="n"/>
      <c r="J339" s="45" t="str">
        <f>IF($I339="","",IFERROR(INDEX(MCC_MASTER!$B$5:$B$504,MATCH($I339,MCC_MASTER!$A$5:$A$504,0)),"⚠ MCC chưa có"))</f>
        <v/>
      </c>
      <c r="K339" s="45" t="str">
        <f>IF($I339="","",IFERROR(IF(INDEX(MCC_MASTER!$C$5:$C$504,MATCH($I339,MCC_MASTER!$A$5:$A$504,0))="","Chưa phân loại",INDEX(MCC_MASTER!$C$5:$C$504,MATCH($I339,MCC_MASTER!$A$5:$A$504,0))),"Chưa phân loại"))</f>
        <v/>
      </c>
      <c r="L339" s="40" t="n"/>
      <c r="M339" s="48" t="str">
        <f>IF(OR($B339="",$D339=""),"",IF($AC339=0,0,IF(ISNUMBER(INDEX(CASHBACK_RULES!$L$5:$L$304,$AC339)),MAX(0,MIN($L339,INDEX(CASHBACK_RULES!$L$5:$L$304,$AC339)-$AH339)),MAX(0,$L339))))</f>
        <v/>
      </c>
      <c r="N339" s="49" t="str">
        <f>IF(OR($B339="",$D339=""),"",IF($AC339&gt;0,INDEX(CASHBACK_RULES!$I$5:$I$304,$AC339),0))</f>
        <v/>
      </c>
      <c r="O339" s="48" t="str">
        <f>IF(OR($B339="",$D339=""),"",ROUND($M339*$N339,0))</f>
        <v/>
      </c>
      <c r="P339" s="48" t="str">
        <f>IF($AC339&gt;0,IF(ISNUMBER(INDEX(CASHBACK_RULES!$J$5:$J$304,$AC339)),INDEX(CASHBACK_RULES!$J$5:$J$304,$AC339),"∞"),"")</f>
        <v/>
      </c>
      <c r="Q339" s="48" t="str">
        <f>IF(OR($B339="",$D339=""),"",IF($AC339=0,0,MAX(0,MIN($O339,IF(ISNUMBER($P339),$P339-$AF339,1E+15),IF(ISNUMBER($AA339),$AA339-$AG339,1E+15)))))</f>
        <v/>
      </c>
      <c r="R339" s="48" t="str">
        <f>IF(OR($B339="",$D339=""),"",IF($AC339=0,"",IF(AND(NOT(ISNUMBER($P339)),NOT(ISNUMBER($AA339))),"∞",MAX(0,MIN(IF(ISNUMBER($P339),$P339-$AF339-$Q339,1E+15),IF(ISNUMBER($AA339),$AA339-$AG339-$Q339,1E+15))))))</f>
        <v/>
      </c>
      <c r="S339" s="47" t="str">
        <f>IF($AD339="","",YEAR($AD339)*100+MONTH($AD339))</f>
        <v/>
      </c>
      <c r="T339" s="50" t="str">
        <f>IF($AD339="","",IFERROR(IF(INDEX(CARDS!$I$5:$I$34,MATCH($D339,CARDS!$A$5:$A$34,0))="","",IF(INDEX(CARDS!$I$5:$I$34,MATCH($D339,CARDS!$A$5:$A$34,0))&gt;INDEX(CARDS!$H$5:$H$34,MATCH($D339,CARDS!$A$5:$A$34,0)),DATE(YEAR($AD339),MONTH($AD339),MIN(INDEX(CARDS!$I$5:$I$34,MATCH($D339,CARDS!$A$5:$A$34,0)),DAY(EOMONTH($AD339,0)))),DATE(YEAR($AD339),MONTH($AD339)+1,MIN(INDEX(CARDS!$I$5:$I$34,MATCH($D339,CARDS!$A$5:$A$34,0)),DAY(EOMONTH($AD339,1)))))),""))</f>
        <v/>
      </c>
      <c r="U339" s="38" t="n"/>
      <c r="V339" s="37" t="n"/>
      <c r="W339" s="38" t="n"/>
      <c r="X339" s="38" t="n"/>
      <c r="Y339" s="44" t="str">
        <f>IF($AC339&gt;0,INDEX(CASHBACK_RULES!$A$5:$A$304,$AC339),"")</f>
        <v/>
      </c>
      <c r="Z339" s="45" t="str">
        <f>IF($AC339&gt;0,INDEX(CASHBACK_RULES!$E$5:$E$304,$AC339)&amp;"","")</f>
        <v/>
      </c>
      <c r="AA339" s="48" t="str">
        <f>IF($AC339&gt;0,IF(ISNUMBER(INDEX(CASHBACK_RULES!$K$5:$K$304,$AC339)),INDEX(CASHBACK_RULES!$K$5:$K$304,$AC339),"∞"),"")</f>
        <v/>
      </c>
      <c r="AB339" s="44" t="str">
        <f>IF(OR($B339="",$D339=""),"",IF($U339="Cancelled","Đã hủy",IF($AC339=0,"Không được hoàn",IF($Q339=0,IF(OR($O339&gt;0,$M339&lt;$L339),"Đã đạt cap","Không được hoàn"),IF(OR($Q339&lt;$O339,$M339&lt;$L339),"Hoàn một phần","Được hoàn")))))</f>
        <v/>
      </c>
      <c r="AC339" s="43">
        <f>IF(OR($B339="",$D339="",$I339="",$L339=""),0,IF($U339="Cancelled",0,IF($W339&lt;&gt;"",IFERROR(IF(INDEX(CASHBACK_RULES!$B$5:$B$304,MATCH($W339,CASHBACK_RULES!$A$5:$A$304,0))=$D339,MATCH($W339,CASHBACK_RULES!$A$5:$A$304,0),0),0),IFERROR(MATCH(1,INDEX((CASHBACK_RULES!$B$5:$B$304=$D339)*(CASHBACK_RULES!$G$5:$G$304=$I339)*(((CASHBACK_RULES!$N$5:$N$304="")+(CASHBACK_RULES!$N$5:$N$304&lt;=$B339))&gt;0)*(((CASHBACK_RULES!$O$5:$O$304="")+(CASHBACK_RULES!$O$5:$O$304&gt;=$B339))&gt;0)*(((CASHBACK_RULES!$M$5:$M$304="")+(CASHBACK_RULES!$M$5:$M$304&lt;=$L339))&gt;0),0),0),0))))</f>
        <v>0</v>
      </c>
      <c r="AD339" s="51" t="str">
        <f>IF(OR($B339="",$D339=""),"",IFERROR(IF(INDEX(CARDS!$H$5:$H$34,MATCH($D339,CARDS!$A$5:$A$34,0))="","",IF(DAY($B339)&lt;=INDEX(CARDS!$H$5:$H$34,MATCH($D339,CARDS!$A$5:$A$34,0)),DATE(YEAR($B339),MONTH($B339),MIN(INDEX(CARDS!$H$5:$H$34,MATCH($D339,CARDS!$A$5:$A$34,0)),DAY(EOMONTH($B339,0)))),DATE(YEAR($B339),MONTH($B339)+1,MIN(INDEX(CARDS!$H$5:$H$34,MATCH($D339,CARDS!$A$5:$A$34,0)),DAY(EOMONTH($B339,1)))))),""))</f>
        <v/>
      </c>
      <c r="AE339" s="52" t="str">
        <f>IF($C339="","",$C339&amp;"|"&amp;COUNTIF($C$5:$C339,$C339))</f>
        <v/>
      </c>
      <c r="AF339" s="53">
        <f>IF($AC339&gt;0,SUMIFS(Q$4:Q338,$D$4:$D338,$D339,$Z$4:$Z338,$Z339,$C$4:$C338,$C339),0)</f>
        <v>0</v>
      </c>
      <c r="AG339" s="53">
        <f>IF($AC339&gt;0,SUMIFS(Q$4:Q338,$D$4:$D338,$D339,$C$4:$C338,$C339),0)</f>
        <v>0</v>
      </c>
      <c r="AH339" s="53">
        <f>IF($AC339&gt;0,SUMIFS(M$4:M338,$D$4:$D338,$D339,$Z$4:$Z338,$Z339,$C$4:$C338,$C339),0)</f>
        <v>0</v>
      </c>
      <c r="AI339" s="43">
        <f>IF(OR($C339="",$I339=""),0,IF(COUNTIFS($C$5:$C339,$C339,$I$5:$I339,$I339)=1,1,0))</f>
        <v>0</v>
      </c>
      <c r="AJ339" s="43" t="str">
        <f>IF($AI339=1,SUMIFS($AI$4:$AI338,$C$4:$C338,$C339)+1,"")</f>
        <v/>
      </c>
      <c r="AK339" s="43">
        <f>IF(OR($C339="",$K339=""),0,IF(COUNTIFS($C$5:$C339,$C339,$K$5:$K339,$K339)=1,1,0))</f>
        <v>0</v>
      </c>
      <c r="AL339" s="43" t="str">
        <f>IF($AK339=1,SUMIFS($AK$4:$AK338,$C$4:$C338,$C339)+1,"")</f>
        <v/>
      </c>
      <c r="AM339" s="43">
        <f>IF(OR($C339="",$G339=""),0,IF(COUNTIFS($C$5:$C339,$C339,$G$5:$G339,$G339)=1,1,0))</f>
        <v>0</v>
      </c>
      <c r="AN339" s="43" t="str">
        <f>IF($AM339=1,SUMIFS($AM$4:$AM338,$C$4:$C338,$C339)+1,"")</f>
        <v/>
      </c>
    </row>
    <row r="340">
      <c r="A340" s="44" t="str">
        <f>IF(OR($B340="",$D340=""),"","TX"&amp;TEXT(ROW()-4,"0000"))</f>
        <v/>
      </c>
      <c r="B340" s="42" t="n"/>
      <c r="C340" s="47" t="str">
        <f>IF($B340="","",YEAR($B340)*100+MONTH($B340))</f>
        <v/>
      </c>
      <c r="D340" s="37" t="n"/>
      <c r="E340" s="45" t="str">
        <f>IF($D340="","",IFERROR(INDEX(CARDS!$B$5:$B$34,MATCH($D340,CARDS!$A$5:$A$34,0)),"⚠ Card ID?"))</f>
        <v/>
      </c>
      <c r="F340" s="45" t="str">
        <f>IF($D340="","",IFERROR(INDEX(CARDS!$C$5:$C$34,MATCH($D340,CARDS!$A$5:$A$34,0)),"⚠ Card ID?"))</f>
        <v/>
      </c>
      <c r="G340" s="37" t="n"/>
      <c r="H340" s="37" t="n"/>
      <c r="I340" s="41" t="n"/>
      <c r="J340" s="45" t="str">
        <f>IF($I340="","",IFERROR(INDEX(MCC_MASTER!$B$5:$B$504,MATCH($I340,MCC_MASTER!$A$5:$A$504,0)),"⚠ MCC chưa có"))</f>
        <v/>
      </c>
      <c r="K340" s="45" t="str">
        <f>IF($I340="","",IFERROR(IF(INDEX(MCC_MASTER!$C$5:$C$504,MATCH($I340,MCC_MASTER!$A$5:$A$504,0))="","Chưa phân loại",INDEX(MCC_MASTER!$C$5:$C$504,MATCH($I340,MCC_MASTER!$A$5:$A$504,0))),"Chưa phân loại"))</f>
        <v/>
      </c>
      <c r="L340" s="40" t="n"/>
      <c r="M340" s="48" t="str">
        <f>IF(OR($B340="",$D340=""),"",IF($AC340=0,0,IF(ISNUMBER(INDEX(CASHBACK_RULES!$L$5:$L$304,$AC340)),MAX(0,MIN($L340,INDEX(CASHBACK_RULES!$L$5:$L$304,$AC340)-$AH340)),MAX(0,$L340))))</f>
        <v/>
      </c>
      <c r="N340" s="49" t="str">
        <f>IF(OR($B340="",$D340=""),"",IF($AC340&gt;0,INDEX(CASHBACK_RULES!$I$5:$I$304,$AC340),0))</f>
        <v/>
      </c>
      <c r="O340" s="48" t="str">
        <f>IF(OR($B340="",$D340=""),"",ROUND($M340*$N340,0))</f>
        <v/>
      </c>
      <c r="P340" s="48" t="str">
        <f>IF($AC340&gt;0,IF(ISNUMBER(INDEX(CASHBACK_RULES!$J$5:$J$304,$AC340)),INDEX(CASHBACK_RULES!$J$5:$J$304,$AC340),"∞"),"")</f>
        <v/>
      </c>
      <c r="Q340" s="48" t="str">
        <f>IF(OR($B340="",$D340=""),"",IF($AC340=0,0,MAX(0,MIN($O340,IF(ISNUMBER($P340),$P340-$AF340,1E+15),IF(ISNUMBER($AA340),$AA340-$AG340,1E+15)))))</f>
        <v/>
      </c>
      <c r="R340" s="48" t="str">
        <f>IF(OR($B340="",$D340=""),"",IF($AC340=0,"",IF(AND(NOT(ISNUMBER($P340)),NOT(ISNUMBER($AA340))),"∞",MAX(0,MIN(IF(ISNUMBER($P340),$P340-$AF340-$Q340,1E+15),IF(ISNUMBER($AA340),$AA340-$AG340-$Q340,1E+15))))))</f>
        <v/>
      </c>
      <c r="S340" s="47" t="str">
        <f>IF($AD340="","",YEAR($AD340)*100+MONTH($AD340))</f>
        <v/>
      </c>
      <c r="T340" s="50" t="str">
        <f>IF($AD340="","",IFERROR(IF(INDEX(CARDS!$I$5:$I$34,MATCH($D340,CARDS!$A$5:$A$34,0))="","",IF(INDEX(CARDS!$I$5:$I$34,MATCH($D340,CARDS!$A$5:$A$34,0))&gt;INDEX(CARDS!$H$5:$H$34,MATCH($D340,CARDS!$A$5:$A$34,0)),DATE(YEAR($AD340),MONTH($AD340),MIN(INDEX(CARDS!$I$5:$I$34,MATCH($D340,CARDS!$A$5:$A$34,0)),DAY(EOMONTH($AD340,0)))),DATE(YEAR($AD340),MONTH($AD340)+1,MIN(INDEX(CARDS!$I$5:$I$34,MATCH($D340,CARDS!$A$5:$A$34,0)),DAY(EOMONTH($AD340,1)))))),""))</f>
        <v/>
      </c>
      <c r="U340" s="38" t="n"/>
      <c r="V340" s="37" t="n"/>
      <c r="W340" s="38" t="n"/>
      <c r="X340" s="38" t="n"/>
      <c r="Y340" s="44" t="str">
        <f>IF($AC340&gt;0,INDEX(CASHBACK_RULES!$A$5:$A$304,$AC340),"")</f>
        <v/>
      </c>
      <c r="Z340" s="45" t="str">
        <f>IF($AC340&gt;0,INDEX(CASHBACK_RULES!$E$5:$E$304,$AC340)&amp;"","")</f>
        <v/>
      </c>
      <c r="AA340" s="48" t="str">
        <f>IF($AC340&gt;0,IF(ISNUMBER(INDEX(CASHBACK_RULES!$K$5:$K$304,$AC340)),INDEX(CASHBACK_RULES!$K$5:$K$304,$AC340),"∞"),"")</f>
        <v/>
      </c>
      <c r="AB340" s="44" t="str">
        <f>IF(OR($B340="",$D340=""),"",IF($U340="Cancelled","Đã hủy",IF($AC340=0,"Không được hoàn",IF($Q340=0,IF(OR($O340&gt;0,$M340&lt;$L340),"Đã đạt cap","Không được hoàn"),IF(OR($Q340&lt;$O340,$M340&lt;$L340),"Hoàn một phần","Được hoàn")))))</f>
        <v/>
      </c>
      <c r="AC340" s="43">
        <f>IF(OR($B340="",$D340="",$I340="",$L340=""),0,IF($U340="Cancelled",0,IF($W340&lt;&gt;"",IFERROR(IF(INDEX(CASHBACK_RULES!$B$5:$B$304,MATCH($W340,CASHBACK_RULES!$A$5:$A$304,0))=$D340,MATCH($W340,CASHBACK_RULES!$A$5:$A$304,0),0),0),IFERROR(MATCH(1,INDEX((CASHBACK_RULES!$B$5:$B$304=$D340)*(CASHBACK_RULES!$G$5:$G$304=$I340)*(((CASHBACK_RULES!$N$5:$N$304="")+(CASHBACK_RULES!$N$5:$N$304&lt;=$B340))&gt;0)*(((CASHBACK_RULES!$O$5:$O$304="")+(CASHBACK_RULES!$O$5:$O$304&gt;=$B340))&gt;0)*(((CASHBACK_RULES!$M$5:$M$304="")+(CASHBACK_RULES!$M$5:$M$304&lt;=$L340))&gt;0),0),0),0))))</f>
        <v>0</v>
      </c>
      <c r="AD340" s="51" t="str">
        <f>IF(OR($B340="",$D340=""),"",IFERROR(IF(INDEX(CARDS!$H$5:$H$34,MATCH($D340,CARDS!$A$5:$A$34,0))="","",IF(DAY($B340)&lt;=INDEX(CARDS!$H$5:$H$34,MATCH($D340,CARDS!$A$5:$A$34,0)),DATE(YEAR($B340),MONTH($B340),MIN(INDEX(CARDS!$H$5:$H$34,MATCH($D340,CARDS!$A$5:$A$34,0)),DAY(EOMONTH($B340,0)))),DATE(YEAR($B340),MONTH($B340)+1,MIN(INDEX(CARDS!$H$5:$H$34,MATCH($D340,CARDS!$A$5:$A$34,0)),DAY(EOMONTH($B340,1)))))),""))</f>
        <v/>
      </c>
      <c r="AE340" s="52" t="str">
        <f>IF($C340="","",$C340&amp;"|"&amp;COUNTIF($C$5:$C340,$C340))</f>
        <v/>
      </c>
      <c r="AF340" s="53">
        <f>IF($AC340&gt;0,SUMIFS(Q$4:Q339,$D$4:$D339,$D340,$Z$4:$Z339,$Z340,$C$4:$C339,$C340),0)</f>
        <v>0</v>
      </c>
      <c r="AG340" s="53">
        <f>IF($AC340&gt;0,SUMIFS(Q$4:Q339,$D$4:$D339,$D340,$C$4:$C339,$C340),0)</f>
        <v>0</v>
      </c>
      <c r="AH340" s="53">
        <f>IF($AC340&gt;0,SUMIFS(M$4:M339,$D$4:$D339,$D340,$Z$4:$Z339,$Z340,$C$4:$C339,$C340),0)</f>
        <v>0</v>
      </c>
      <c r="AI340" s="43">
        <f>IF(OR($C340="",$I340=""),0,IF(COUNTIFS($C$5:$C340,$C340,$I$5:$I340,$I340)=1,1,0))</f>
        <v>0</v>
      </c>
      <c r="AJ340" s="43" t="str">
        <f>IF($AI340=1,SUMIFS($AI$4:$AI339,$C$4:$C339,$C340)+1,"")</f>
        <v/>
      </c>
      <c r="AK340" s="43">
        <f>IF(OR($C340="",$K340=""),0,IF(COUNTIFS($C$5:$C340,$C340,$K$5:$K340,$K340)=1,1,0))</f>
        <v>0</v>
      </c>
      <c r="AL340" s="43" t="str">
        <f>IF($AK340=1,SUMIFS($AK$4:$AK339,$C$4:$C339,$C340)+1,"")</f>
        <v/>
      </c>
      <c r="AM340" s="43">
        <f>IF(OR($C340="",$G340=""),0,IF(COUNTIFS($C$5:$C340,$C340,$G$5:$G340,$G340)=1,1,0))</f>
        <v>0</v>
      </c>
      <c r="AN340" s="43" t="str">
        <f>IF($AM340=1,SUMIFS($AM$4:$AM339,$C$4:$C339,$C340)+1,"")</f>
        <v/>
      </c>
    </row>
    <row r="341">
      <c r="A341" s="44" t="str">
        <f>IF(OR($B341="",$D341=""),"","TX"&amp;TEXT(ROW()-4,"0000"))</f>
        <v/>
      </c>
      <c r="B341" s="42" t="n"/>
      <c r="C341" s="47" t="str">
        <f>IF($B341="","",YEAR($B341)*100+MONTH($B341))</f>
        <v/>
      </c>
      <c r="D341" s="37" t="n"/>
      <c r="E341" s="45" t="str">
        <f>IF($D341="","",IFERROR(INDEX(CARDS!$B$5:$B$34,MATCH($D341,CARDS!$A$5:$A$34,0)),"⚠ Card ID?"))</f>
        <v/>
      </c>
      <c r="F341" s="45" t="str">
        <f>IF($D341="","",IFERROR(INDEX(CARDS!$C$5:$C$34,MATCH($D341,CARDS!$A$5:$A$34,0)),"⚠ Card ID?"))</f>
        <v/>
      </c>
      <c r="G341" s="37" t="n"/>
      <c r="H341" s="37" t="n"/>
      <c r="I341" s="41" t="n"/>
      <c r="J341" s="45" t="str">
        <f>IF($I341="","",IFERROR(INDEX(MCC_MASTER!$B$5:$B$504,MATCH($I341,MCC_MASTER!$A$5:$A$504,0)),"⚠ MCC chưa có"))</f>
        <v/>
      </c>
      <c r="K341" s="45" t="str">
        <f>IF($I341="","",IFERROR(IF(INDEX(MCC_MASTER!$C$5:$C$504,MATCH($I341,MCC_MASTER!$A$5:$A$504,0))="","Chưa phân loại",INDEX(MCC_MASTER!$C$5:$C$504,MATCH($I341,MCC_MASTER!$A$5:$A$504,0))),"Chưa phân loại"))</f>
        <v/>
      </c>
      <c r="L341" s="40" t="n"/>
      <c r="M341" s="48" t="str">
        <f>IF(OR($B341="",$D341=""),"",IF($AC341=0,0,IF(ISNUMBER(INDEX(CASHBACK_RULES!$L$5:$L$304,$AC341)),MAX(0,MIN($L341,INDEX(CASHBACK_RULES!$L$5:$L$304,$AC341)-$AH341)),MAX(0,$L341))))</f>
        <v/>
      </c>
      <c r="N341" s="49" t="str">
        <f>IF(OR($B341="",$D341=""),"",IF($AC341&gt;0,INDEX(CASHBACK_RULES!$I$5:$I$304,$AC341),0))</f>
        <v/>
      </c>
      <c r="O341" s="48" t="str">
        <f>IF(OR($B341="",$D341=""),"",ROUND($M341*$N341,0))</f>
        <v/>
      </c>
      <c r="P341" s="48" t="str">
        <f>IF($AC341&gt;0,IF(ISNUMBER(INDEX(CASHBACK_RULES!$J$5:$J$304,$AC341)),INDEX(CASHBACK_RULES!$J$5:$J$304,$AC341),"∞"),"")</f>
        <v/>
      </c>
      <c r="Q341" s="48" t="str">
        <f>IF(OR($B341="",$D341=""),"",IF($AC341=0,0,MAX(0,MIN($O341,IF(ISNUMBER($P341),$P341-$AF341,1E+15),IF(ISNUMBER($AA341),$AA341-$AG341,1E+15)))))</f>
        <v/>
      </c>
      <c r="R341" s="48" t="str">
        <f>IF(OR($B341="",$D341=""),"",IF($AC341=0,"",IF(AND(NOT(ISNUMBER($P341)),NOT(ISNUMBER($AA341))),"∞",MAX(0,MIN(IF(ISNUMBER($P341),$P341-$AF341-$Q341,1E+15),IF(ISNUMBER($AA341),$AA341-$AG341-$Q341,1E+15))))))</f>
        <v/>
      </c>
      <c r="S341" s="47" t="str">
        <f>IF($AD341="","",YEAR($AD341)*100+MONTH($AD341))</f>
        <v/>
      </c>
      <c r="T341" s="50" t="str">
        <f>IF($AD341="","",IFERROR(IF(INDEX(CARDS!$I$5:$I$34,MATCH($D341,CARDS!$A$5:$A$34,0))="","",IF(INDEX(CARDS!$I$5:$I$34,MATCH($D341,CARDS!$A$5:$A$34,0))&gt;INDEX(CARDS!$H$5:$H$34,MATCH($D341,CARDS!$A$5:$A$34,0)),DATE(YEAR($AD341),MONTH($AD341),MIN(INDEX(CARDS!$I$5:$I$34,MATCH($D341,CARDS!$A$5:$A$34,0)),DAY(EOMONTH($AD341,0)))),DATE(YEAR($AD341),MONTH($AD341)+1,MIN(INDEX(CARDS!$I$5:$I$34,MATCH($D341,CARDS!$A$5:$A$34,0)),DAY(EOMONTH($AD341,1)))))),""))</f>
        <v/>
      </c>
      <c r="U341" s="38" t="n"/>
      <c r="V341" s="37" t="n"/>
      <c r="W341" s="38" t="n"/>
      <c r="X341" s="38" t="n"/>
      <c r="Y341" s="44" t="str">
        <f>IF($AC341&gt;0,INDEX(CASHBACK_RULES!$A$5:$A$304,$AC341),"")</f>
        <v/>
      </c>
      <c r="Z341" s="45" t="str">
        <f>IF($AC341&gt;0,INDEX(CASHBACK_RULES!$E$5:$E$304,$AC341)&amp;"","")</f>
        <v/>
      </c>
      <c r="AA341" s="48" t="str">
        <f>IF($AC341&gt;0,IF(ISNUMBER(INDEX(CASHBACK_RULES!$K$5:$K$304,$AC341)),INDEX(CASHBACK_RULES!$K$5:$K$304,$AC341),"∞"),"")</f>
        <v/>
      </c>
      <c r="AB341" s="44" t="str">
        <f>IF(OR($B341="",$D341=""),"",IF($U341="Cancelled","Đã hủy",IF($AC341=0,"Không được hoàn",IF($Q341=0,IF(OR($O341&gt;0,$M341&lt;$L341),"Đã đạt cap","Không được hoàn"),IF(OR($Q341&lt;$O341,$M341&lt;$L341),"Hoàn một phần","Được hoàn")))))</f>
        <v/>
      </c>
      <c r="AC341" s="43">
        <f>IF(OR($B341="",$D341="",$I341="",$L341=""),0,IF($U341="Cancelled",0,IF($W341&lt;&gt;"",IFERROR(IF(INDEX(CASHBACK_RULES!$B$5:$B$304,MATCH($W341,CASHBACK_RULES!$A$5:$A$304,0))=$D341,MATCH($W341,CASHBACK_RULES!$A$5:$A$304,0),0),0),IFERROR(MATCH(1,INDEX((CASHBACK_RULES!$B$5:$B$304=$D341)*(CASHBACK_RULES!$G$5:$G$304=$I341)*(((CASHBACK_RULES!$N$5:$N$304="")+(CASHBACK_RULES!$N$5:$N$304&lt;=$B341))&gt;0)*(((CASHBACK_RULES!$O$5:$O$304="")+(CASHBACK_RULES!$O$5:$O$304&gt;=$B341))&gt;0)*(((CASHBACK_RULES!$M$5:$M$304="")+(CASHBACK_RULES!$M$5:$M$304&lt;=$L341))&gt;0),0),0),0))))</f>
        <v>0</v>
      </c>
      <c r="AD341" s="51" t="str">
        <f>IF(OR($B341="",$D341=""),"",IFERROR(IF(INDEX(CARDS!$H$5:$H$34,MATCH($D341,CARDS!$A$5:$A$34,0))="","",IF(DAY($B341)&lt;=INDEX(CARDS!$H$5:$H$34,MATCH($D341,CARDS!$A$5:$A$34,0)),DATE(YEAR($B341),MONTH($B341),MIN(INDEX(CARDS!$H$5:$H$34,MATCH($D341,CARDS!$A$5:$A$34,0)),DAY(EOMONTH($B341,0)))),DATE(YEAR($B341),MONTH($B341)+1,MIN(INDEX(CARDS!$H$5:$H$34,MATCH($D341,CARDS!$A$5:$A$34,0)),DAY(EOMONTH($B341,1)))))),""))</f>
        <v/>
      </c>
      <c r="AE341" s="52" t="str">
        <f>IF($C341="","",$C341&amp;"|"&amp;COUNTIF($C$5:$C341,$C341))</f>
        <v/>
      </c>
      <c r="AF341" s="53">
        <f>IF($AC341&gt;0,SUMIFS(Q$4:Q340,$D$4:$D340,$D341,$Z$4:$Z340,$Z341,$C$4:$C340,$C341),0)</f>
        <v>0</v>
      </c>
      <c r="AG341" s="53">
        <f>IF($AC341&gt;0,SUMIFS(Q$4:Q340,$D$4:$D340,$D341,$C$4:$C340,$C341),0)</f>
        <v>0</v>
      </c>
      <c r="AH341" s="53">
        <f>IF($AC341&gt;0,SUMIFS(M$4:M340,$D$4:$D340,$D341,$Z$4:$Z340,$Z341,$C$4:$C340,$C341),0)</f>
        <v>0</v>
      </c>
      <c r="AI341" s="43">
        <f>IF(OR($C341="",$I341=""),0,IF(COUNTIFS($C$5:$C341,$C341,$I$5:$I341,$I341)=1,1,0))</f>
        <v>0</v>
      </c>
      <c r="AJ341" s="43" t="str">
        <f>IF($AI341=1,SUMIFS($AI$4:$AI340,$C$4:$C340,$C341)+1,"")</f>
        <v/>
      </c>
      <c r="AK341" s="43">
        <f>IF(OR($C341="",$K341=""),0,IF(COUNTIFS($C$5:$C341,$C341,$K$5:$K341,$K341)=1,1,0))</f>
        <v>0</v>
      </c>
      <c r="AL341" s="43" t="str">
        <f>IF($AK341=1,SUMIFS($AK$4:$AK340,$C$4:$C340,$C341)+1,"")</f>
        <v/>
      </c>
      <c r="AM341" s="43">
        <f>IF(OR($C341="",$G341=""),0,IF(COUNTIFS($C$5:$C341,$C341,$G$5:$G341,$G341)=1,1,0))</f>
        <v>0</v>
      </c>
      <c r="AN341" s="43" t="str">
        <f>IF($AM341=1,SUMIFS($AM$4:$AM340,$C$4:$C340,$C341)+1,"")</f>
        <v/>
      </c>
    </row>
    <row r="342">
      <c r="A342" s="44" t="str">
        <f>IF(OR($B342="",$D342=""),"","TX"&amp;TEXT(ROW()-4,"0000"))</f>
        <v/>
      </c>
      <c r="B342" s="42" t="n"/>
      <c r="C342" s="47" t="str">
        <f>IF($B342="","",YEAR($B342)*100+MONTH($B342))</f>
        <v/>
      </c>
      <c r="D342" s="37" t="n"/>
      <c r="E342" s="45" t="str">
        <f>IF($D342="","",IFERROR(INDEX(CARDS!$B$5:$B$34,MATCH($D342,CARDS!$A$5:$A$34,0)),"⚠ Card ID?"))</f>
        <v/>
      </c>
      <c r="F342" s="45" t="str">
        <f>IF($D342="","",IFERROR(INDEX(CARDS!$C$5:$C$34,MATCH($D342,CARDS!$A$5:$A$34,0)),"⚠ Card ID?"))</f>
        <v/>
      </c>
      <c r="G342" s="37" t="n"/>
      <c r="H342" s="37" t="n"/>
      <c r="I342" s="41" t="n"/>
      <c r="J342" s="45" t="str">
        <f>IF($I342="","",IFERROR(INDEX(MCC_MASTER!$B$5:$B$504,MATCH($I342,MCC_MASTER!$A$5:$A$504,0)),"⚠ MCC chưa có"))</f>
        <v/>
      </c>
      <c r="K342" s="45" t="str">
        <f>IF($I342="","",IFERROR(IF(INDEX(MCC_MASTER!$C$5:$C$504,MATCH($I342,MCC_MASTER!$A$5:$A$504,0))="","Chưa phân loại",INDEX(MCC_MASTER!$C$5:$C$504,MATCH($I342,MCC_MASTER!$A$5:$A$504,0))),"Chưa phân loại"))</f>
        <v/>
      </c>
      <c r="L342" s="40" t="n"/>
      <c r="M342" s="48" t="str">
        <f>IF(OR($B342="",$D342=""),"",IF($AC342=0,0,IF(ISNUMBER(INDEX(CASHBACK_RULES!$L$5:$L$304,$AC342)),MAX(0,MIN($L342,INDEX(CASHBACK_RULES!$L$5:$L$304,$AC342)-$AH342)),MAX(0,$L342))))</f>
        <v/>
      </c>
      <c r="N342" s="49" t="str">
        <f>IF(OR($B342="",$D342=""),"",IF($AC342&gt;0,INDEX(CASHBACK_RULES!$I$5:$I$304,$AC342),0))</f>
        <v/>
      </c>
      <c r="O342" s="48" t="str">
        <f>IF(OR($B342="",$D342=""),"",ROUND($M342*$N342,0))</f>
        <v/>
      </c>
      <c r="P342" s="48" t="str">
        <f>IF($AC342&gt;0,IF(ISNUMBER(INDEX(CASHBACK_RULES!$J$5:$J$304,$AC342)),INDEX(CASHBACK_RULES!$J$5:$J$304,$AC342),"∞"),"")</f>
        <v/>
      </c>
      <c r="Q342" s="48" t="str">
        <f>IF(OR($B342="",$D342=""),"",IF($AC342=0,0,MAX(0,MIN($O342,IF(ISNUMBER($P342),$P342-$AF342,1E+15),IF(ISNUMBER($AA342),$AA342-$AG342,1E+15)))))</f>
        <v/>
      </c>
      <c r="R342" s="48" t="str">
        <f>IF(OR($B342="",$D342=""),"",IF($AC342=0,"",IF(AND(NOT(ISNUMBER($P342)),NOT(ISNUMBER($AA342))),"∞",MAX(0,MIN(IF(ISNUMBER($P342),$P342-$AF342-$Q342,1E+15),IF(ISNUMBER($AA342),$AA342-$AG342-$Q342,1E+15))))))</f>
        <v/>
      </c>
      <c r="S342" s="47" t="str">
        <f>IF($AD342="","",YEAR($AD342)*100+MONTH($AD342))</f>
        <v/>
      </c>
      <c r="T342" s="50" t="str">
        <f>IF($AD342="","",IFERROR(IF(INDEX(CARDS!$I$5:$I$34,MATCH($D342,CARDS!$A$5:$A$34,0))="","",IF(INDEX(CARDS!$I$5:$I$34,MATCH($D342,CARDS!$A$5:$A$34,0))&gt;INDEX(CARDS!$H$5:$H$34,MATCH($D342,CARDS!$A$5:$A$34,0)),DATE(YEAR($AD342),MONTH($AD342),MIN(INDEX(CARDS!$I$5:$I$34,MATCH($D342,CARDS!$A$5:$A$34,0)),DAY(EOMONTH($AD342,0)))),DATE(YEAR($AD342),MONTH($AD342)+1,MIN(INDEX(CARDS!$I$5:$I$34,MATCH($D342,CARDS!$A$5:$A$34,0)),DAY(EOMONTH($AD342,1)))))),""))</f>
        <v/>
      </c>
      <c r="U342" s="38" t="n"/>
      <c r="V342" s="37" t="n"/>
      <c r="W342" s="38" t="n"/>
      <c r="X342" s="38" t="n"/>
      <c r="Y342" s="44" t="str">
        <f>IF($AC342&gt;0,INDEX(CASHBACK_RULES!$A$5:$A$304,$AC342),"")</f>
        <v/>
      </c>
      <c r="Z342" s="45" t="str">
        <f>IF($AC342&gt;0,INDEX(CASHBACK_RULES!$E$5:$E$304,$AC342)&amp;"","")</f>
        <v/>
      </c>
      <c r="AA342" s="48" t="str">
        <f>IF($AC342&gt;0,IF(ISNUMBER(INDEX(CASHBACK_RULES!$K$5:$K$304,$AC342)),INDEX(CASHBACK_RULES!$K$5:$K$304,$AC342),"∞"),"")</f>
        <v/>
      </c>
      <c r="AB342" s="44" t="str">
        <f>IF(OR($B342="",$D342=""),"",IF($U342="Cancelled","Đã hủy",IF($AC342=0,"Không được hoàn",IF($Q342=0,IF(OR($O342&gt;0,$M342&lt;$L342),"Đã đạt cap","Không được hoàn"),IF(OR($Q342&lt;$O342,$M342&lt;$L342),"Hoàn một phần","Được hoàn")))))</f>
        <v/>
      </c>
      <c r="AC342" s="43">
        <f>IF(OR($B342="",$D342="",$I342="",$L342=""),0,IF($U342="Cancelled",0,IF($W342&lt;&gt;"",IFERROR(IF(INDEX(CASHBACK_RULES!$B$5:$B$304,MATCH($W342,CASHBACK_RULES!$A$5:$A$304,0))=$D342,MATCH($W342,CASHBACK_RULES!$A$5:$A$304,0),0),0),IFERROR(MATCH(1,INDEX((CASHBACK_RULES!$B$5:$B$304=$D342)*(CASHBACK_RULES!$G$5:$G$304=$I342)*(((CASHBACK_RULES!$N$5:$N$304="")+(CASHBACK_RULES!$N$5:$N$304&lt;=$B342))&gt;0)*(((CASHBACK_RULES!$O$5:$O$304="")+(CASHBACK_RULES!$O$5:$O$304&gt;=$B342))&gt;0)*(((CASHBACK_RULES!$M$5:$M$304="")+(CASHBACK_RULES!$M$5:$M$304&lt;=$L342))&gt;0),0),0),0))))</f>
        <v>0</v>
      </c>
      <c r="AD342" s="51" t="str">
        <f>IF(OR($B342="",$D342=""),"",IFERROR(IF(INDEX(CARDS!$H$5:$H$34,MATCH($D342,CARDS!$A$5:$A$34,0))="","",IF(DAY($B342)&lt;=INDEX(CARDS!$H$5:$H$34,MATCH($D342,CARDS!$A$5:$A$34,0)),DATE(YEAR($B342),MONTH($B342),MIN(INDEX(CARDS!$H$5:$H$34,MATCH($D342,CARDS!$A$5:$A$34,0)),DAY(EOMONTH($B342,0)))),DATE(YEAR($B342),MONTH($B342)+1,MIN(INDEX(CARDS!$H$5:$H$34,MATCH($D342,CARDS!$A$5:$A$34,0)),DAY(EOMONTH($B342,1)))))),""))</f>
        <v/>
      </c>
      <c r="AE342" s="52" t="str">
        <f>IF($C342="","",$C342&amp;"|"&amp;COUNTIF($C$5:$C342,$C342))</f>
        <v/>
      </c>
      <c r="AF342" s="53">
        <f>IF($AC342&gt;0,SUMIFS(Q$4:Q341,$D$4:$D341,$D342,$Z$4:$Z341,$Z342,$C$4:$C341,$C342),0)</f>
        <v>0</v>
      </c>
      <c r="AG342" s="53">
        <f>IF($AC342&gt;0,SUMIFS(Q$4:Q341,$D$4:$D341,$D342,$C$4:$C341,$C342),0)</f>
        <v>0</v>
      </c>
      <c r="AH342" s="53">
        <f>IF($AC342&gt;0,SUMIFS(M$4:M341,$D$4:$D341,$D342,$Z$4:$Z341,$Z342,$C$4:$C341,$C342),0)</f>
        <v>0</v>
      </c>
      <c r="AI342" s="43">
        <f>IF(OR($C342="",$I342=""),0,IF(COUNTIFS($C$5:$C342,$C342,$I$5:$I342,$I342)=1,1,0))</f>
        <v>0</v>
      </c>
      <c r="AJ342" s="43" t="str">
        <f>IF($AI342=1,SUMIFS($AI$4:$AI341,$C$4:$C341,$C342)+1,"")</f>
        <v/>
      </c>
      <c r="AK342" s="43">
        <f>IF(OR($C342="",$K342=""),0,IF(COUNTIFS($C$5:$C342,$C342,$K$5:$K342,$K342)=1,1,0))</f>
        <v>0</v>
      </c>
      <c r="AL342" s="43" t="str">
        <f>IF($AK342=1,SUMIFS($AK$4:$AK341,$C$4:$C341,$C342)+1,"")</f>
        <v/>
      </c>
      <c r="AM342" s="43">
        <f>IF(OR($C342="",$G342=""),0,IF(COUNTIFS($C$5:$C342,$C342,$G$5:$G342,$G342)=1,1,0))</f>
        <v>0</v>
      </c>
      <c r="AN342" s="43" t="str">
        <f>IF($AM342=1,SUMIFS($AM$4:$AM341,$C$4:$C341,$C342)+1,"")</f>
        <v/>
      </c>
    </row>
    <row r="343">
      <c r="A343" s="44" t="str">
        <f>IF(OR($B343="",$D343=""),"","TX"&amp;TEXT(ROW()-4,"0000"))</f>
        <v/>
      </c>
      <c r="B343" s="42" t="n"/>
      <c r="C343" s="47" t="str">
        <f>IF($B343="","",YEAR($B343)*100+MONTH($B343))</f>
        <v/>
      </c>
      <c r="D343" s="37" t="n"/>
      <c r="E343" s="45" t="str">
        <f>IF($D343="","",IFERROR(INDEX(CARDS!$B$5:$B$34,MATCH($D343,CARDS!$A$5:$A$34,0)),"⚠ Card ID?"))</f>
        <v/>
      </c>
      <c r="F343" s="45" t="str">
        <f>IF($D343="","",IFERROR(INDEX(CARDS!$C$5:$C$34,MATCH($D343,CARDS!$A$5:$A$34,0)),"⚠ Card ID?"))</f>
        <v/>
      </c>
      <c r="G343" s="37" t="n"/>
      <c r="H343" s="37" t="n"/>
      <c r="I343" s="41" t="n"/>
      <c r="J343" s="45" t="str">
        <f>IF($I343="","",IFERROR(INDEX(MCC_MASTER!$B$5:$B$504,MATCH($I343,MCC_MASTER!$A$5:$A$504,0)),"⚠ MCC chưa có"))</f>
        <v/>
      </c>
      <c r="K343" s="45" t="str">
        <f>IF($I343="","",IFERROR(IF(INDEX(MCC_MASTER!$C$5:$C$504,MATCH($I343,MCC_MASTER!$A$5:$A$504,0))="","Chưa phân loại",INDEX(MCC_MASTER!$C$5:$C$504,MATCH($I343,MCC_MASTER!$A$5:$A$504,0))),"Chưa phân loại"))</f>
        <v/>
      </c>
      <c r="L343" s="40" t="n"/>
      <c r="M343" s="48" t="str">
        <f>IF(OR($B343="",$D343=""),"",IF($AC343=0,0,IF(ISNUMBER(INDEX(CASHBACK_RULES!$L$5:$L$304,$AC343)),MAX(0,MIN($L343,INDEX(CASHBACK_RULES!$L$5:$L$304,$AC343)-$AH343)),MAX(0,$L343))))</f>
        <v/>
      </c>
      <c r="N343" s="49" t="str">
        <f>IF(OR($B343="",$D343=""),"",IF($AC343&gt;0,INDEX(CASHBACK_RULES!$I$5:$I$304,$AC343),0))</f>
        <v/>
      </c>
      <c r="O343" s="48" t="str">
        <f>IF(OR($B343="",$D343=""),"",ROUND($M343*$N343,0))</f>
        <v/>
      </c>
      <c r="P343" s="48" t="str">
        <f>IF($AC343&gt;0,IF(ISNUMBER(INDEX(CASHBACK_RULES!$J$5:$J$304,$AC343)),INDEX(CASHBACK_RULES!$J$5:$J$304,$AC343),"∞"),"")</f>
        <v/>
      </c>
      <c r="Q343" s="48" t="str">
        <f>IF(OR($B343="",$D343=""),"",IF($AC343=0,0,MAX(0,MIN($O343,IF(ISNUMBER($P343),$P343-$AF343,1E+15),IF(ISNUMBER($AA343),$AA343-$AG343,1E+15)))))</f>
        <v/>
      </c>
      <c r="R343" s="48" t="str">
        <f>IF(OR($B343="",$D343=""),"",IF($AC343=0,"",IF(AND(NOT(ISNUMBER($P343)),NOT(ISNUMBER($AA343))),"∞",MAX(0,MIN(IF(ISNUMBER($P343),$P343-$AF343-$Q343,1E+15),IF(ISNUMBER($AA343),$AA343-$AG343-$Q343,1E+15))))))</f>
        <v/>
      </c>
      <c r="S343" s="47" t="str">
        <f>IF($AD343="","",YEAR($AD343)*100+MONTH($AD343))</f>
        <v/>
      </c>
      <c r="T343" s="50" t="str">
        <f>IF($AD343="","",IFERROR(IF(INDEX(CARDS!$I$5:$I$34,MATCH($D343,CARDS!$A$5:$A$34,0))="","",IF(INDEX(CARDS!$I$5:$I$34,MATCH($D343,CARDS!$A$5:$A$34,0))&gt;INDEX(CARDS!$H$5:$H$34,MATCH($D343,CARDS!$A$5:$A$34,0)),DATE(YEAR($AD343),MONTH($AD343),MIN(INDEX(CARDS!$I$5:$I$34,MATCH($D343,CARDS!$A$5:$A$34,0)),DAY(EOMONTH($AD343,0)))),DATE(YEAR($AD343),MONTH($AD343)+1,MIN(INDEX(CARDS!$I$5:$I$34,MATCH($D343,CARDS!$A$5:$A$34,0)),DAY(EOMONTH($AD343,1)))))),""))</f>
        <v/>
      </c>
      <c r="U343" s="38" t="n"/>
      <c r="V343" s="37" t="n"/>
      <c r="W343" s="38" t="n"/>
      <c r="X343" s="38" t="n"/>
      <c r="Y343" s="44" t="str">
        <f>IF($AC343&gt;0,INDEX(CASHBACK_RULES!$A$5:$A$304,$AC343),"")</f>
        <v/>
      </c>
      <c r="Z343" s="45" t="str">
        <f>IF($AC343&gt;0,INDEX(CASHBACK_RULES!$E$5:$E$304,$AC343)&amp;"","")</f>
        <v/>
      </c>
      <c r="AA343" s="48" t="str">
        <f>IF($AC343&gt;0,IF(ISNUMBER(INDEX(CASHBACK_RULES!$K$5:$K$304,$AC343)),INDEX(CASHBACK_RULES!$K$5:$K$304,$AC343),"∞"),"")</f>
        <v/>
      </c>
      <c r="AB343" s="44" t="str">
        <f>IF(OR($B343="",$D343=""),"",IF($U343="Cancelled","Đã hủy",IF($AC343=0,"Không được hoàn",IF($Q343=0,IF(OR($O343&gt;0,$M343&lt;$L343),"Đã đạt cap","Không được hoàn"),IF(OR($Q343&lt;$O343,$M343&lt;$L343),"Hoàn một phần","Được hoàn")))))</f>
        <v/>
      </c>
      <c r="AC343" s="43">
        <f>IF(OR($B343="",$D343="",$I343="",$L343=""),0,IF($U343="Cancelled",0,IF($W343&lt;&gt;"",IFERROR(IF(INDEX(CASHBACK_RULES!$B$5:$B$304,MATCH($W343,CASHBACK_RULES!$A$5:$A$304,0))=$D343,MATCH($W343,CASHBACK_RULES!$A$5:$A$304,0),0),0),IFERROR(MATCH(1,INDEX((CASHBACK_RULES!$B$5:$B$304=$D343)*(CASHBACK_RULES!$G$5:$G$304=$I343)*(((CASHBACK_RULES!$N$5:$N$304="")+(CASHBACK_RULES!$N$5:$N$304&lt;=$B343))&gt;0)*(((CASHBACK_RULES!$O$5:$O$304="")+(CASHBACK_RULES!$O$5:$O$304&gt;=$B343))&gt;0)*(((CASHBACK_RULES!$M$5:$M$304="")+(CASHBACK_RULES!$M$5:$M$304&lt;=$L343))&gt;0),0),0),0))))</f>
        <v>0</v>
      </c>
      <c r="AD343" s="51" t="str">
        <f>IF(OR($B343="",$D343=""),"",IFERROR(IF(INDEX(CARDS!$H$5:$H$34,MATCH($D343,CARDS!$A$5:$A$34,0))="","",IF(DAY($B343)&lt;=INDEX(CARDS!$H$5:$H$34,MATCH($D343,CARDS!$A$5:$A$34,0)),DATE(YEAR($B343),MONTH($B343),MIN(INDEX(CARDS!$H$5:$H$34,MATCH($D343,CARDS!$A$5:$A$34,0)),DAY(EOMONTH($B343,0)))),DATE(YEAR($B343),MONTH($B343)+1,MIN(INDEX(CARDS!$H$5:$H$34,MATCH($D343,CARDS!$A$5:$A$34,0)),DAY(EOMONTH($B343,1)))))),""))</f>
        <v/>
      </c>
      <c r="AE343" s="52" t="str">
        <f>IF($C343="","",$C343&amp;"|"&amp;COUNTIF($C$5:$C343,$C343))</f>
        <v/>
      </c>
      <c r="AF343" s="53">
        <f>IF($AC343&gt;0,SUMIFS(Q$4:Q342,$D$4:$D342,$D343,$Z$4:$Z342,$Z343,$C$4:$C342,$C343),0)</f>
        <v>0</v>
      </c>
      <c r="AG343" s="53">
        <f>IF($AC343&gt;0,SUMIFS(Q$4:Q342,$D$4:$D342,$D343,$C$4:$C342,$C343),0)</f>
        <v>0</v>
      </c>
      <c r="AH343" s="53">
        <f>IF($AC343&gt;0,SUMIFS(M$4:M342,$D$4:$D342,$D343,$Z$4:$Z342,$Z343,$C$4:$C342,$C343),0)</f>
        <v>0</v>
      </c>
      <c r="AI343" s="43">
        <f>IF(OR($C343="",$I343=""),0,IF(COUNTIFS($C$5:$C343,$C343,$I$5:$I343,$I343)=1,1,0))</f>
        <v>0</v>
      </c>
      <c r="AJ343" s="43" t="str">
        <f>IF($AI343=1,SUMIFS($AI$4:$AI342,$C$4:$C342,$C343)+1,"")</f>
        <v/>
      </c>
      <c r="AK343" s="43">
        <f>IF(OR($C343="",$K343=""),0,IF(COUNTIFS($C$5:$C343,$C343,$K$5:$K343,$K343)=1,1,0))</f>
        <v>0</v>
      </c>
      <c r="AL343" s="43" t="str">
        <f>IF($AK343=1,SUMIFS($AK$4:$AK342,$C$4:$C342,$C343)+1,"")</f>
        <v/>
      </c>
      <c r="AM343" s="43">
        <f>IF(OR($C343="",$G343=""),0,IF(COUNTIFS($C$5:$C343,$C343,$G$5:$G343,$G343)=1,1,0))</f>
        <v>0</v>
      </c>
      <c r="AN343" s="43" t="str">
        <f>IF($AM343=1,SUMIFS($AM$4:$AM342,$C$4:$C342,$C343)+1,"")</f>
        <v/>
      </c>
    </row>
    <row r="344">
      <c r="A344" s="44" t="str">
        <f>IF(OR($B344="",$D344=""),"","TX"&amp;TEXT(ROW()-4,"0000"))</f>
        <v/>
      </c>
      <c r="B344" s="42" t="n"/>
      <c r="C344" s="47" t="str">
        <f>IF($B344="","",YEAR($B344)*100+MONTH($B344))</f>
        <v/>
      </c>
      <c r="D344" s="37" t="n"/>
      <c r="E344" s="45" t="str">
        <f>IF($D344="","",IFERROR(INDEX(CARDS!$B$5:$B$34,MATCH($D344,CARDS!$A$5:$A$34,0)),"⚠ Card ID?"))</f>
        <v/>
      </c>
      <c r="F344" s="45" t="str">
        <f>IF($D344="","",IFERROR(INDEX(CARDS!$C$5:$C$34,MATCH($D344,CARDS!$A$5:$A$34,0)),"⚠ Card ID?"))</f>
        <v/>
      </c>
      <c r="G344" s="37" t="n"/>
      <c r="H344" s="37" t="n"/>
      <c r="I344" s="41" t="n"/>
      <c r="J344" s="45" t="str">
        <f>IF($I344="","",IFERROR(INDEX(MCC_MASTER!$B$5:$B$504,MATCH($I344,MCC_MASTER!$A$5:$A$504,0)),"⚠ MCC chưa có"))</f>
        <v/>
      </c>
      <c r="K344" s="45" t="str">
        <f>IF($I344="","",IFERROR(IF(INDEX(MCC_MASTER!$C$5:$C$504,MATCH($I344,MCC_MASTER!$A$5:$A$504,0))="","Chưa phân loại",INDEX(MCC_MASTER!$C$5:$C$504,MATCH($I344,MCC_MASTER!$A$5:$A$504,0))),"Chưa phân loại"))</f>
        <v/>
      </c>
      <c r="L344" s="40" t="n"/>
      <c r="M344" s="48" t="str">
        <f>IF(OR($B344="",$D344=""),"",IF($AC344=0,0,IF(ISNUMBER(INDEX(CASHBACK_RULES!$L$5:$L$304,$AC344)),MAX(0,MIN($L344,INDEX(CASHBACK_RULES!$L$5:$L$304,$AC344)-$AH344)),MAX(0,$L344))))</f>
        <v/>
      </c>
      <c r="N344" s="49" t="str">
        <f>IF(OR($B344="",$D344=""),"",IF($AC344&gt;0,INDEX(CASHBACK_RULES!$I$5:$I$304,$AC344),0))</f>
        <v/>
      </c>
      <c r="O344" s="48" t="str">
        <f>IF(OR($B344="",$D344=""),"",ROUND($M344*$N344,0))</f>
        <v/>
      </c>
      <c r="P344" s="48" t="str">
        <f>IF($AC344&gt;0,IF(ISNUMBER(INDEX(CASHBACK_RULES!$J$5:$J$304,$AC344)),INDEX(CASHBACK_RULES!$J$5:$J$304,$AC344),"∞"),"")</f>
        <v/>
      </c>
      <c r="Q344" s="48" t="str">
        <f>IF(OR($B344="",$D344=""),"",IF($AC344=0,0,MAX(0,MIN($O344,IF(ISNUMBER($P344),$P344-$AF344,1E+15),IF(ISNUMBER($AA344),$AA344-$AG344,1E+15)))))</f>
        <v/>
      </c>
      <c r="R344" s="48" t="str">
        <f>IF(OR($B344="",$D344=""),"",IF($AC344=0,"",IF(AND(NOT(ISNUMBER($P344)),NOT(ISNUMBER($AA344))),"∞",MAX(0,MIN(IF(ISNUMBER($P344),$P344-$AF344-$Q344,1E+15),IF(ISNUMBER($AA344),$AA344-$AG344-$Q344,1E+15))))))</f>
        <v/>
      </c>
      <c r="S344" s="47" t="str">
        <f>IF($AD344="","",YEAR($AD344)*100+MONTH($AD344))</f>
        <v/>
      </c>
      <c r="T344" s="50" t="str">
        <f>IF($AD344="","",IFERROR(IF(INDEX(CARDS!$I$5:$I$34,MATCH($D344,CARDS!$A$5:$A$34,0))="","",IF(INDEX(CARDS!$I$5:$I$34,MATCH($D344,CARDS!$A$5:$A$34,0))&gt;INDEX(CARDS!$H$5:$H$34,MATCH($D344,CARDS!$A$5:$A$34,0)),DATE(YEAR($AD344),MONTH($AD344),MIN(INDEX(CARDS!$I$5:$I$34,MATCH($D344,CARDS!$A$5:$A$34,0)),DAY(EOMONTH($AD344,0)))),DATE(YEAR($AD344),MONTH($AD344)+1,MIN(INDEX(CARDS!$I$5:$I$34,MATCH($D344,CARDS!$A$5:$A$34,0)),DAY(EOMONTH($AD344,1)))))),""))</f>
        <v/>
      </c>
      <c r="U344" s="38" t="n"/>
      <c r="V344" s="37" t="n"/>
      <c r="W344" s="38" t="n"/>
      <c r="X344" s="38" t="n"/>
      <c r="Y344" s="44" t="str">
        <f>IF($AC344&gt;0,INDEX(CASHBACK_RULES!$A$5:$A$304,$AC344),"")</f>
        <v/>
      </c>
      <c r="Z344" s="45" t="str">
        <f>IF($AC344&gt;0,INDEX(CASHBACK_RULES!$E$5:$E$304,$AC344)&amp;"","")</f>
        <v/>
      </c>
      <c r="AA344" s="48" t="str">
        <f>IF($AC344&gt;0,IF(ISNUMBER(INDEX(CASHBACK_RULES!$K$5:$K$304,$AC344)),INDEX(CASHBACK_RULES!$K$5:$K$304,$AC344),"∞"),"")</f>
        <v/>
      </c>
      <c r="AB344" s="44" t="str">
        <f>IF(OR($B344="",$D344=""),"",IF($U344="Cancelled","Đã hủy",IF($AC344=0,"Không được hoàn",IF($Q344=0,IF(OR($O344&gt;0,$M344&lt;$L344),"Đã đạt cap","Không được hoàn"),IF(OR($Q344&lt;$O344,$M344&lt;$L344),"Hoàn một phần","Được hoàn")))))</f>
        <v/>
      </c>
      <c r="AC344" s="43">
        <f>IF(OR($B344="",$D344="",$I344="",$L344=""),0,IF($U344="Cancelled",0,IF($W344&lt;&gt;"",IFERROR(IF(INDEX(CASHBACK_RULES!$B$5:$B$304,MATCH($W344,CASHBACK_RULES!$A$5:$A$304,0))=$D344,MATCH($W344,CASHBACK_RULES!$A$5:$A$304,0),0),0),IFERROR(MATCH(1,INDEX((CASHBACK_RULES!$B$5:$B$304=$D344)*(CASHBACK_RULES!$G$5:$G$304=$I344)*(((CASHBACK_RULES!$N$5:$N$304="")+(CASHBACK_RULES!$N$5:$N$304&lt;=$B344))&gt;0)*(((CASHBACK_RULES!$O$5:$O$304="")+(CASHBACK_RULES!$O$5:$O$304&gt;=$B344))&gt;0)*(((CASHBACK_RULES!$M$5:$M$304="")+(CASHBACK_RULES!$M$5:$M$304&lt;=$L344))&gt;0),0),0),0))))</f>
        <v>0</v>
      </c>
      <c r="AD344" s="51" t="str">
        <f>IF(OR($B344="",$D344=""),"",IFERROR(IF(INDEX(CARDS!$H$5:$H$34,MATCH($D344,CARDS!$A$5:$A$34,0))="","",IF(DAY($B344)&lt;=INDEX(CARDS!$H$5:$H$34,MATCH($D344,CARDS!$A$5:$A$34,0)),DATE(YEAR($B344),MONTH($B344),MIN(INDEX(CARDS!$H$5:$H$34,MATCH($D344,CARDS!$A$5:$A$34,0)),DAY(EOMONTH($B344,0)))),DATE(YEAR($B344),MONTH($B344)+1,MIN(INDEX(CARDS!$H$5:$H$34,MATCH($D344,CARDS!$A$5:$A$34,0)),DAY(EOMONTH($B344,1)))))),""))</f>
        <v/>
      </c>
      <c r="AE344" s="52" t="str">
        <f>IF($C344="","",$C344&amp;"|"&amp;COUNTIF($C$5:$C344,$C344))</f>
        <v/>
      </c>
      <c r="AF344" s="53">
        <f>IF($AC344&gt;0,SUMIFS(Q$4:Q343,$D$4:$D343,$D344,$Z$4:$Z343,$Z344,$C$4:$C343,$C344),0)</f>
        <v>0</v>
      </c>
      <c r="AG344" s="53">
        <f>IF($AC344&gt;0,SUMIFS(Q$4:Q343,$D$4:$D343,$D344,$C$4:$C343,$C344),0)</f>
        <v>0</v>
      </c>
      <c r="AH344" s="53">
        <f>IF($AC344&gt;0,SUMIFS(M$4:M343,$D$4:$D343,$D344,$Z$4:$Z343,$Z344,$C$4:$C343,$C344),0)</f>
        <v>0</v>
      </c>
      <c r="AI344" s="43">
        <f>IF(OR($C344="",$I344=""),0,IF(COUNTIFS($C$5:$C344,$C344,$I$5:$I344,$I344)=1,1,0))</f>
        <v>0</v>
      </c>
      <c r="AJ344" s="43" t="str">
        <f>IF($AI344=1,SUMIFS($AI$4:$AI343,$C$4:$C343,$C344)+1,"")</f>
        <v/>
      </c>
      <c r="AK344" s="43">
        <f>IF(OR($C344="",$K344=""),0,IF(COUNTIFS($C$5:$C344,$C344,$K$5:$K344,$K344)=1,1,0))</f>
        <v>0</v>
      </c>
      <c r="AL344" s="43" t="str">
        <f>IF($AK344=1,SUMIFS($AK$4:$AK343,$C$4:$C343,$C344)+1,"")</f>
        <v/>
      </c>
      <c r="AM344" s="43">
        <f>IF(OR($C344="",$G344=""),0,IF(COUNTIFS($C$5:$C344,$C344,$G$5:$G344,$G344)=1,1,0))</f>
        <v>0</v>
      </c>
      <c r="AN344" s="43" t="str">
        <f>IF($AM344=1,SUMIFS($AM$4:$AM343,$C$4:$C343,$C344)+1,"")</f>
        <v/>
      </c>
    </row>
    <row r="345">
      <c r="A345" s="44" t="str">
        <f>IF(OR($B345="",$D345=""),"","TX"&amp;TEXT(ROW()-4,"0000"))</f>
        <v/>
      </c>
      <c r="B345" s="42" t="n"/>
      <c r="C345" s="47" t="str">
        <f>IF($B345="","",YEAR($B345)*100+MONTH($B345))</f>
        <v/>
      </c>
      <c r="D345" s="37" t="n"/>
      <c r="E345" s="45" t="str">
        <f>IF($D345="","",IFERROR(INDEX(CARDS!$B$5:$B$34,MATCH($D345,CARDS!$A$5:$A$34,0)),"⚠ Card ID?"))</f>
        <v/>
      </c>
      <c r="F345" s="45" t="str">
        <f>IF($D345="","",IFERROR(INDEX(CARDS!$C$5:$C$34,MATCH($D345,CARDS!$A$5:$A$34,0)),"⚠ Card ID?"))</f>
        <v/>
      </c>
      <c r="G345" s="37" t="n"/>
      <c r="H345" s="37" t="n"/>
      <c r="I345" s="41" t="n"/>
      <c r="J345" s="45" t="str">
        <f>IF($I345="","",IFERROR(INDEX(MCC_MASTER!$B$5:$B$504,MATCH($I345,MCC_MASTER!$A$5:$A$504,0)),"⚠ MCC chưa có"))</f>
        <v/>
      </c>
      <c r="K345" s="45" t="str">
        <f>IF($I345="","",IFERROR(IF(INDEX(MCC_MASTER!$C$5:$C$504,MATCH($I345,MCC_MASTER!$A$5:$A$504,0))="","Chưa phân loại",INDEX(MCC_MASTER!$C$5:$C$504,MATCH($I345,MCC_MASTER!$A$5:$A$504,0))),"Chưa phân loại"))</f>
        <v/>
      </c>
      <c r="L345" s="40" t="n"/>
      <c r="M345" s="48" t="str">
        <f>IF(OR($B345="",$D345=""),"",IF($AC345=0,0,IF(ISNUMBER(INDEX(CASHBACK_RULES!$L$5:$L$304,$AC345)),MAX(0,MIN($L345,INDEX(CASHBACK_RULES!$L$5:$L$304,$AC345)-$AH345)),MAX(0,$L345))))</f>
        <v/>
      </c>
      <c r="N345" s="49" t="str">
        <f>IF(OR($B345="",$D345=""),"",IF($AC345&gt;0,INDEX(CASHBACK_RULES!$I$5:$I$304,$AC345),0))</f>
        <v/>
      </c>
      <c r="O345" s="48" t="str">
        <f>IF(OR($B345="",$D345=""),"",ROUND($M345*$N345,0))</f>
        <v/>
      </c>
      <c r="P345" s="48" t="str">
        <f>IF($AC345&gt;0,IF(ISNUMBER(INDEX(CASHBACK_RULES!$J$5:$J$304,$AC345)),INDEX(CASHBACK_RULES!$J$5:$J$304,$AC345),"∞"),"")</f>
        <v/>
      </c>
      <c r="Q345" s="48" t="str">
        <f>IF(OR($B345="",$D345=""),"",IF($AC345=0,0,MAX(0,MIN($O345,IF(ISNUMBER($P345),$P345-$AF345,1E+15),IF(ISNUMBER($AA345),$AA345-$AG345,1E+15)))))</f>
        <v/>
      </c>
      <c r="R345" s="48" t="str">
        <f>IF(OR($B345="",$D345=""),"",IF($AC345=0,"",IF(AND(NOT(ISNUMBER($P345)),NOT(ISNUMBER($AA345))),"∞",MAX(0,MIN(IF(ISNUMBER($P345),$P345-$AF345-$Q345,1E+15),IF(ISNUMBER($AA345),$AA345-$AG345-$Q345,1E+15))))))</f>
        <v/>
      </c>
      <c r="S345" s="47" t="str">
        <f>IF($AD345="","",YEAR($AD345)*100+MONTH($AD345))</f>
        <v/>
      </c>
      <c r="T345" s="50" t="str">
        <f>IF($AD345="","",IFERROR(IF(INDEX(CARDS!$I$5:$I$34,MATCH($D345,CARDS!$A$5:$A$34,0))="","",IF(INDEX(CARDS!$I$5:$I$34,MATCH($D345,CARDS!$A$5:$A$34,0))&gt;INDEX(CARDS!$H$5:$H$34,MATCH($D345,CARDS!$A$5:$A$34,0)),DATE(YEAR($AD345),MONTH($AD345),MIN(INDEX(CARDS!$I$5:$I$34,MATCH($D345,CARDS!$A$5:$A$34,0)),DAY(EOMONTH($AD345,0)))),DATE(YEAR($AD345),MONTH($AD345)+1,MIN(INDEX(CARDS!$I$5:$I$34,MATCH($D345,CARDS!$A$5:$A$34,0)),DAY(EOMONTH($AD345,1)))))),""))</f>
        <v/>
      </c>
      <c r="U345" s="38" t="n"/>
      <c r="V345" s="37" t="n"/>
      <c r="W345" s="38" t="n"/>
      <c r="X345" s="38" t="n"/>
      <c r="Y345" s="44" t="str">
        <f>IF($AC345&gt;0,INDEX(CASHBACK_RULES!$A$5:$A$304,$AC345),"")</f>
        <v/>
      </c>
      <c r="Z345" s="45" t="str">
        <f>IF($AC345&gt;0,INDEX(CASHBACK_RULES!$E$5:$E$304,$AC345)&amp;"","")</f>
        <v/>
      </c>
      <c r="AA345" s="48" t="str">
        <f>IF($AC345&gt;0,IF(ISNUMBER(INDEX(CASHBACK_RULES!$K$5:$K$304,$AC345)),INDEX(CASHBACK_RULES!$K$5:$K$304,$AC345),"∞"),"")</f>
        <v/>
      </c>
      <c r="AB345" s="44" t="str">
        <f>IF(OR($B345="",$D345=""),"",IF($U345="Cancelled","Đã hủy",IF($AC345=0,"Không được hoàn",IF($Q345=0,IF(OR($O345&gt;0,$M345&lt;$L345),"Đã đạt cap","Không được hoàn"),IF(OR($Q345&lt;$O345,$M345&lt;$L345),"Hoàn một phần","Được hoàn")))))</f>
        <v/>
      </c>
      <c r="AC345" s="43">
        <f>IF(OR($B345="",$D345="",$I345="",$L345=""),0,IF($U345="Cancelled",0,IF($W345&lt;&gt;"",IFERROR(IF(INDEX(CASHBACK_RULES!$B$5:$B$304,MATCH($W345,CASHBACK_RULES!$A$5:$A$304,0))=$D345,MATCH($W345,CASHBACK_RULES!$A$5:$A$304,0),0),0),IFERROR(MATCH(1,INDEX((CASHBACK_RULES!$B$5:$B$304=$D345)*(CASHBACK_RULES!$G$5:$G$304=$I345)*(((CASHBACK_RULES!$N$5:$N$304="")+(CASHBACK_RULES!$N$5:$N$304&lt;=$B345))&gt;0)*(((CASHBACK_RULES!$O$5:$O$304="")+(CASHBACK_RULES!$O$5:$O$304&gt;=$B345))&gt;0)*(((CASHBACK_RULES!$M$5:$M$304="")+(CASHBACK_RULES!$M$5:$M$304&lt;=$L345))&gt;0),0),0),0))))</f>
        <v>0</v>
      </c>
      <c r="AD345" s="51" t="str">
        <f>IF(OR($B345="",$D345=""),"",IFERROR(IF(INDEX(CARDS!$H$5:$H$34,MATCH($D345,CARDS!$A$5:$A$34,0))="","",IF(DAY($B345)&lt;=INDEX(CARDS!$H$5:$H$34,MATCH($D345,CARDS!$A$5:$A$34,0)),DATE(YEAR($B345),MONTH($B345),MIN(INDEX(CARDS!$H$5:$H$34,MATCH($D345,CARDS!$A$5:$A$34,0)),DAY(EOMONTH($B345,0)))),DATE(YEAR($B345),MONTH($B345)+1,MIN(INDEX(CARDS!$H$5:$H$34,MATCH($D345,CARDS!$A$5:$A$34,0)),DAY(EOMONTH($B345,1)))))),""))</f>
        <v/>
      </c>
      <c r="AE345" s="52" t="str">
        <f>IF($C345="","",$C345&amp;"|"&amp;COUNTIF($C$5:$C345,$C345))</f>
        <v/>
      </c>
      <c r="AF345" s="53">
        <f>IF($AC345&gt;0,SUMIFS(Q$4:Q344,$D$4:$D344,$D345,$Z$4:$Z344,$Z345,$C$4:$C344,$C345),0)</f>
        <v>0</v>
      </c>
      <c r="AG345" s="53">
        <f>IF($AC345&gt;0,SUMIFS(Q$4:Q344,$D$4:$D344,$D345,$C$4:$C344,$C345),0)</f>
        <v>0</v>
      </c>
      <c r="AH345" s="53">
        <f>IF($AC345&gt;0,SUMIFS(M$4:M344,$D$4:$D344,$D345,$Z$4:$Z344,$Z345,$C$4:$C344,$C345),0)</f>
        <v>0</v>
      </c>
      <c r="AI345" s="43">
        <f>IF(OR($C345="",$I345=""),0,IF(COUNTIFS($C$5:$C345,$C345,$I$5:$I345,$I345)=1,1,0))</f>
        <v>0</v>
      </c>
      <c r="AJ345" s="43" t="str">
        <f>IF($AI345=1,SUMIFS($AI$4:$AI344,$C$4:$C344,$C345)+1,"")</f>
        <v/>
      </c>
      <c r="AK345" s="43">
        <f>IF(OR($C345="",$K345=""),0,IF(COUNTIFS($C$5:$C345,$C345,$K$5:$K345,$K345)=1,1,0))</f>
        <v>0</v>
      </c>
      <c r="AL345" s="43" t="str">
        <f>IF($AK345=1,SUMIFS($AK$4:$AK344,$C$4:$C344,$C345)+1,"")</f>
        <v/>
      </c>
      <c r="AM345" s="43">
        <f>IF(OR($C345="",$G345=""),0,IF(COUNTIFS($C$5:$C345,$C345,$G$5:$G345,$G345)=1,1,0))</f>
        <v>0</v>
      </c>
      <c r="AN345" s="43" t="str">
        <f>IF($AM345=1,SUMIFS($AM$4:$AM344,$C$4:$C344,$C345)+1,"")</f>
        <v/>
      </c>
    </row>
    <row r="346">
      <c r="A346" s="44" t="str">
        <f>IF(OR($B346="",$D346=""),"","TX"&amp;TEXT(ROW()-4,"0000"))</f>
        <v/>
      </c>
      <c r="B346" s="42" t="n"/>
      <c r="C346" s="47" t="str">
        <f>IF($B346="","",YEAR($B346)*100+MONTH($B346))</f>
        <v/>
      </c>
      <c r="D346" s="37" t="n"/>
      <c r="E346" s="45" t="str">
        <f>IF($D346="","",IFERROR(INDEX(CARDS!$B$5:$B$34,MATCH($D346,CARDS!$A$5:$A$34,0)),"⚠ Card ID?"))</f>
        <v/>
      </c>
      <c r="F346" s="45" t="str">
        <f>IF($D346="","",IFERROR(INDEX(CARDS!$C$5:$C$34,MATCH($D346,CARDS!$A$5:$A$34,0)),"⚠ Card ID?"))</f>
        <v/>
      </c>
      <c r="G346" s="37" t="n"/>
      <c r="H346" s="37" t="n"/>
      <c r="I346" s="41" t="n"/>
      <c r="J346" s="45" t="str">
        <f>IF($I346="","",IFERROR(INDEX(MCC_MASTER!$B$5:$B$504,MATCH($I346,MCC_MASTER!$A$5:$A$504,0)),"⚠ MCC chưa có"))</f>
        <v/>
      </c>
      <c r="K346" s="45" t="str">
        <f>IF($I346="","",IFERROR(IF(INDEX(MCC_MASTER!$C$5:$C$504,MATCH($I346,MCC_MASTER!$A$5:$A$504,0))="","Chưa phân loại",INDEX(MCC_MASTER!$C$5:$C$504,MATCH($I346,MCC_MASTER!$A$5:$A$504,0))),"Chưa phân loại"))</f>
        <v/>
      </c>
      <c r="L346" s="40" t="n"/>
      <c r="M346" s="48" t="str">
        <f>IF(OR($B346="",$D346=""),"",IF($AC346=0,0,IF(ISNUMBER(INDEX(CASHBACK_RULES!$L$5:$L$304,$AC346)),MAX(0,MIN($L346,INDEX(CASHBACK_RULES!$L$5:$L$304,$AC346)-$AH346)),MAX(0,$L346))))</f>
        <v/>
      </c>
      <c r="N346" s="49" t="str">
        <f>IF(OR($B346="",$D346=""),"",IF($AC346&gt;0,INDEX(CASHBACK_RULES!$I$5:$I$304,$AC346),0))</f>
        <v/>
      </c>
      <c r="O346" s="48" t="str">
        <f>IF(OR($B346="",$D346=""),"",ROUND($M346*$N346,0))</f>
        <v/>
      </c>
      <c r="P346" s="48" t="str">
        <f>IF($AC346&gt;0,IF(ISNUMBER(INDEX(CASHBACK_RULES!$J$5:$J$304,$AC346)),INDEX(CASHBACK_RULES!$J$5:$J$304,$AC346),"∞"),"")</f>
        <v/>
      </c>
      <c r="Q346" s="48" t="str">
        <f>IF(OR($B346="",$D346=""),"",IF($AC346=0,0,MAX(0,MIN($O346,IF(ISNUMBER($P346),$P346-$AF346,1E+15),IF(ISNUMBER($AA346),$AA346-$AG346,1E+15)))))</f>
        <v/>
      </c>
      <c r="R346" s="48" t="str">
        <f>IF(OR($B346="",$D346=""),"",IF($AC346=0,"",IF(AND(NOT(ISNUMBER($P346)),NOT(ISNUMBER($AA346))),"∞",MAX(0,MIN(IF(ISNUMBER($P346),$P346-$AF346-$Q346,1E+15),IF(ISNUMBER($AA346),$AA346-$AG346-$Q346,1E+15))))))</f>
        <v/>
      </c>
      <c r="S346" s="47" t="str">
        <f>IF($AD346="","",YEAR($AD346)*100+MONTH($AD346))</f>
        <v/>
      </c>
      <c r="T346" s="50" t="str">
        <f>IF($AD346="","",IFERROR(IF(INDEX(CARDS!$I$5:$I$34,MATCH($D346,CARDS!$A$5:$A$34,0))="","",IF(INDEX(CARDS!$I$5:$I$34,MATCH($D346,CARDS!$A$5:$A$34,0))&gt;INDEX(CARDS!$H$5:$H$34,MATCH($D346,CARDS!$A$5:$A$34,0)),DATE(YEAR($AD346),MONTH($AD346),MIN(INDEX(CARDS!$I$5:$I$34,MATCH($D346,CARDS!$A$5:$A$34,0)),DAY(EOMONTH($AD346,0)))),DATE(YEAR($AD346),MONTH($AD346)+1,MIN(INDEX(CARDS!$I$5:$I$34,MATCH($D346,CARDS!$A$5:$A$34,0)),DAY(EOMONTH($AD346,1)))))),""))</f>
        <v/>
      </c>
      <c r="U346" s="38" t="n"/>
      <c r="V346" s="37" t="n"/>
      <c r="W346" s="38" t="n"/>
      <c r="X346" s="38" t="n"/>
      <c r="Y346" s="44" t="str">
        <f>IF($AC346&gt;0,INDEX(CASHBACK_RULES!$A$5:$A$304,$AC346),"")</f>
        <v/>
      </c>
      <c r="Z346" s="45" t="str">
        <f>IF($AC346&gt;0,INDEX(CASHBACK_RULES!$E$5:$E$304,$AC346)&amp;"","")</f>
        <v/>
      </c>
      <c r="AA346" s="48" t="str">
        <f>IF($AC346&gt;0,IF(ISNUMBER(INDEX(CASHBACK_RULES!$K$5:$K$304,$AC346)),INDEX(CASHBACK_RULES!$K$5:$K$304,$AC346),"∞"),"")</f>
        <v/>
      </c>
      <c r="AB346" s="44" t="str">
        <f>IF(OR($B346="",$D346=""),"",IF($U346="Cancelled","Đã hủy",IF($AC346=0,"Không được hoàn",IF($Q346=0,IF(OR($O346&gt;0,$M346&lt;$L346),"Đã đạt cap","Không được hoàn"),IF(OR($Q346&lt;$O346,$M346&lt;$L346),"Hoàn một phần","Được hoàn")))))</f>
        <v/>
      </c>
      <c r="AC346" s="43">
        <f>IF(OR($B346="",$D346="",$I346="",$L346=""),0,IF($U346="Cancelled",0,IF($W346&lt;&gt;"",IFERROR(IF(INDEX(CASHBACK_RULES!$B$5:$B$304,MATCH($W346,CASHBACK_RULES!$A$5:$A$304,0))=$D346,MATCH($W346,CASHBACK_RULES!$A$5:$A$304,0),0),0),IFERROR(MATCH(1,INDEX((CASHBACK_RULES!$B$5:$B$304=$D346)*(CASHBACK_RULES!$G$5:$G$304=$I346)*(((CASHBACK_RULES!$N$5:$N$304="")+(CASHBACK_RULES!$N$5:$N$304&lt;=$B346))&gt;0)*(((CASHBACK_RULES!$O$5:$O$304="")+(CASHBACK_RULES!$O$5:$O$304&gt;=$B346))&gt;0)*(((CASHBACK_RULES!$M$5:$M$304="")+(CASHBACK_RULES!$M$5:$M$304&lt;=$L346))&gt;0),0),0),0))))</f>
        <v>0</v>
      </c>
      <c r="AD346" s="51" t="str">
        <f>IF(OR($B346="",$D346=""),"",IFERROR(IF(INDEX(CARDS!$H$5:$H$34,MATCH($D346,CARDS!$A$5:$A$34,0))="","",IF(DAY($B346)&lt;=INDEX(CARDS!$H$5:$H$34,MATCH($D346,CARDS!$A$5:$A$34,0)),DATE(YEAR($B346),MONTH($B346),MIN(INDEX(CARDS!$H$5:$H$34,MATCH($D346,CARDS!$A$5:$A$34,0)),DAY(EOMONTH($B346,0)))),DATE(YEAR($B346),MONTH($B346)+1,MIN(INDEX(CARDS!$H$5:$H$34,MATCH($D346,CARDS!$A$5:$A$34,0)),DAY(EOMONTH($B346,1)))))),""))</f>
        <v/>
      </c>
      <c r="AE346" s="52" t="str">
        <f>IF($C346="","",$C346&amp;"|"&amp;COUNTIF($C$5:$C346,$C346))</f>
        <v/>
      </c>
      <c r="AF346" s="53">
        <f>IF($AC346&gt;0,SUMIFS(Q$4:Q345,$D$4:$D345,$D346,$Z$4:$Z345,$Z346,$C$4:$C345,$C346),0)</f>
        <v>0</v>
      </c>
      <c r="AG346" s="53">
        <f>IF($AC346&gt;0,SUMIFS(Q$4:Q345,$D$4:$D345,$D346,$C$4:$C345,$C346),0)</f>
        <v>0</v>
      </c>
      <c r="AH346" s="53">
        <f>IF($AC346&gt;0,SUMIFS(M$4:M345,$D$4:$D345,$D346,$Z$4:$Z345,$Z346,$C$4:$C345,$C346),0)</f>
        <v>0</v>
      </c>
      <c r="AI346" s="43">
        <f>IF(OR($C346="",$I346=""),0,IF(COUNTIFS($C$5:$C346,$C346,$I$5:$I346,$I346)=1,1,0))</f>
        <v>0</v>
      </c>
      <c r="AJ346" s="43" t="str">
        <f>IF($AI346=1,SUMIFS($AI$4:$AI345,$C$4:$C345,$C346)+1,"")</f>
        <v/>
      </c>
      <c r="AK346" s="43">
        <f>IF(OR($C346="",$K346=""),0,IF(COUNTIFS($C$5:$C346,$C346,$K$5:$K346,$K346)=1,1,0))</f>
        <v>0</v>
      </c>
      <c r="AL346" s="43" t="str">
        <f>IF($AK346=1,SUMIFS($AK$4:$AK345,$C$4:$C345,$C346)+1,"")</f>
        <v/>
      </c>
      <c r="AM346" s="43">
        <f>IF(OR($C346="",$G346=""),0,IF(COUNTIFS($C$5:$C346,$C346,$G$5:$G346,$G346)=1,1,0))</f>
        <v>0</v>
      </c>
      <c r="AN346" s="43" t="str">
        <f>IF($AM346=1,SUMIFS($AM$4:$AM345,$C$4:$C345,$C346)+1,"")</f>
        <v/>
      </c>
    </row>
    <row r="347">
      <c r="A347" s="44" t="str">
        <f>IF(OR($B347="",$D347=""),"","TX"&amp;TEXT(ROW()-4,"0000"))</f>
        <v/>
      </c>
      <c r="B347" s="42" t="n"/>
      <c r="C347" s="47" t="str">
        <f>IF($B347="","",YEAR($B347)*100+MONTH($B347))</f>
        <v/>
      </c>
      <c r="D347" s="37" t="n"/>
      <c r="E347" s="45" t="str">
        <f>IF($D347="","",IFERROR(INDEX(CARDS!$B$5:$B$34,MATCH($D347,CARDS!$A$5:$A$34,0)),"⚠ Card ID?"))</f>
        <v/>
      </c>
      <c r="F347" s="45" t="str">
        <f>IF($D347="","",IFERROR(INDEX(CARDS!$C$5:$C$34,MATCH($D347,CARDS!$A$5:$A$34,0)),"⚠ Card ID?"))</f>
        <v/>
      </c>
      <c r="G347" s="37" t="n"/>
      <c r="H347" s="37" t="n"/>
      <c r="I347" s="41" t="n"/>
      <c r="J347" s="45" t="str">
        <f>IF($I347="","",IFERROR(INDEX(MCC_MASTER!$B$5:$B$504,MATCH($I347,MCC_MASTER!$A$5:$A$504,0)),"⚠ MCC chưa có"))</f>
        <v/>
      </c>
      <c r="K347" s="45" t="str">
        <f>IF($I347="","",IFERROR(IF(INDEX(MCC_MASTER!$C$5:$C$504,MATCH($I347,MCC_MASTER!$A$5:$A$504,0))="","Chưa phân loại",INDEX(MCC_MASTER!$C$5:$C$504,MATCH($I347,MCC_MASTER!$A$5:$A$504,0))),"Chưa phân loại"))</f>
        <v/>
      </c>
      <c r="L347" s="40" t="n"/>
      <c r="M347" s="48" t="str">
        <f>IF(OR($B347="",$D347=""),"",IF($AC347=0,0,IF(ISNUMBER(INDEX(CASHBACK_RULES!$L$5:$L$304,$AC347)),MAX(0,MIN($L347,INDEX(CASHBACK_RULES!$L$5:$L$304,$AC347)-$AH347)),MAX(0,$L347))))</f>
        <v/>
      </c>
      <c r="N347" s="49" t="str">
        <f>IF(OR($B347="",$D347=""),"",IF($AC347&gt;0,INDEX(CASHBACK_RULES!$I$5:$I$304,$AC347),0))</f>
        <v/>
      </c>
      <c r="O347" s="48" t="str">
        <f>IF(OR($B347="",$D347=""),"",ROUND($M347*$N347,0))</f>
        <v/>
      </c>
      <c r="P347" s="48" t="str">
        <f>IF($AC347&gt;0,IF(ISNUMBER(INDEX(CASHBACK_RULES!$J$5:$J$304,$AC347)),INDEX(CASHBACK_RULES!$J$5:$J$304,$AC347),"∞"),"")</f>
        <v/>
      </c>
      <c r="Q347" s="48" t="str">
        <f>IF(OR($B347="",$D347=""),"",IF($AC347=0,0,MAX(0,MIN($O347,IF(ISNUMBER($P347),$P347-$AF347,1E+15),IF(ISNUMBER($AA347),$AA347-$AG347,1E+15)))))</f>
        <v/>
      </c>
      <c r="R347" s="48" t="str">
        <f>IF(OR($B347="",$D347=""),"",IF($AC347=0,"",IF(AND(NOT(ISNUMBER($P347)),NOT(ISNUMBER($AA347))),"∞",MAX(0,MIN(IF(ISNUMBER($P347),$P347-$AF347-$Q347,1E+15),IF(ISNUMBER($AA347),$AA347-$AG347-$Q347,1E+15))))))</f>
        <v/>
      </c>
      <c r="S347" s="47" t="str">
        <f>IF($AD347="","",YEAR($AD347)*100+MONTH($AD347))</f>
        <v/>
      </c>
      <c r="T347" s="50" t="str">
        <f>IF($AD347="","",IFERROR(IF(INDEX(CARDS!$I$5:$I$34,MATCH($D347,CARDS!$A$5:$A$34,0))="","",IF(INDEX(CARDS!$I$5:$I$34,MATCH($D347,CARDS!$A$5:$A$34,0))&gt;INDEX(CARDS!$H$5:$H$34,MATCH($D347,CARDS!$A$5:$A$34,0)),DATE(YEAR($AD347),MONTH($AD347),MIN(INDEX(CARDS!$I$5:$I$34,MATCH($D347,CARDS!$A$5:$A$34,0)),DAY(EOMONTH($AD347,0)))),DATE(YEAR($AD347),MONTH($AD347)+1,MIN(INDEX(CARDS!$I$5:$I$34,MATCH($D347,CARDS!$A$5:$A$34,0)),DAY(EOMONTH($AD347,1)))))),""))</f>
        <v/>
      </c>
      <c r="U347" s="38" t="n"/>
      <c r="V347" s="37" t="n"/>
      <c r="W347" s="38" t="n"/>
      <c r="X347" s="38" t="n"/>
      <c r="Y347" s="44" t="str">
        <f>IF($AC347&gt;0,INDEX(CASHBACK_RULES!$A$5:$A$304,$AC347),"")</f>
        <v/>
      </c>
      <c r="Z347" s="45" t="str">
        <f>IF($AC347&gt;0,INDEX(CASHBACK_RULES!$E$5:$E$304,$AC347)&amp;"","")</f>
        <v/>
      </c>
      <c r="AA347" s="48" t="str">
        <f>IF($AC347&gt;0,IF(ISNUMBER(INDEX(CASHBACK_RULES!$K$5:$K$304,$AC347)),INDEX(CASHBACK_RULES!$K$5:$K$304,$AC347),"∞"),"")</f>
        <v/>
      </c>
      <c r="AB347" s="44" t="str">
        <f>IF(OR($B347="",$D347=""),"",IF($U347="Cancelled","Đã hủy",IF($AC347=0,"Không được hoàn",IF($Q347=0,IF(OR($O347&gt;0,$M347&lt;$L347),"Đã đạt cap","Không được hoàn"),IF(OR($Q347&lt;$O347,$M347&lt;$L347),"Hoàn một phần","Được hoàn")))))</f>
        <v/>
      </c>
      <c r="AC347" s="43">
        <f>IF(OR($B347="",$D347="",$I347="",$L347=""),0,IF($U347="Cancelled",0,IF($W347&lt;&gt;"",IFERROR(IF(INDEX(CASHBACK_RULES!$B$5:$B$304,MATCH($W347,CASHBACK_RULES!$A$5:$A$304,0))=$D347,MATCH($W347,CASHBACK_RULES!$A$5:$A$304,0),0),0),IFERROR(MATCH(1,INDEX((CASHBACK_RULES!$B$5:$B$304=$D347)*(CASHBACK_RULES!$G$5:$G$304=$I347)*(((CASHBACK_RULES!$N$5:$N$304="")+(CASHBACK_RULES!$N$5:$N$304&lt;=$B347))&gt;0)*(((CASHBACK_RULES!$O$5:$O$304="")+(CASHBACK_RULES!$O$5:$O$304&gt;=$B347))&gt;0)*(((CASHBACK_RULES!$M$5:$M$304="")+(CASHBACK_RULES!$M$5:$M$304&lt;=$L347))&gt;0),0),0),0))))</f>
        <v>0</v>
      </c>
      <c r="AD347" s="51" t="str">
        <f>IF(OR($B347="",$D347=""),"",IFERROR(IF(INDEX(CARDS!$H$5:$H$34,MATCH($D347,CARDS!$A$5:$A$34,0))="","",IF(DAY($B347)&lt;=INDEX(CARDS!$H$5:$H$34,MATCH($D347,CARDS!$A$5:$A$34,0)),DATE(YEAR($B347),MONTH($B347),MIN(INDEX(CARDS!$H$5:$H$34,MATCH($D347,CARDS!$A$5:$A$34,0)),DAY(EOMONTH($B347,0)))),DATE(YEAR($B347),MONTH($B347)+1,MIN(INDEX(CARDS!$H$5:$H$34,MATCH($D347,CARDS!$A$5:$A$34,0)),DAY(EOMONTH($B347,1)))))),""))</f>
        <v/>
      </c>
      <c r="AE347" s="52" t="str">
        <f>IF($C347="","",$C347&amp;"|"&amp;COUNTIF($C$5:$C347,$C347))</f>
        <v/>
      </c>
      <c r="AF347" s="53">
        <f>IF($AC347&gt;0,SUMIFS(Q$4:Q346,$D$4:$D346,$D347,$Z$4:$Z346,$Z347,$C$4:$C346,$C347),0)</f>
        <v>0</v>
      </c>
      <c r="AG347" s="53">
        <f>IF($AC347&gt;0,SUMIFS(Q$4:Q346,$D$4:$D346,$D347,$C$4:$C346,$C347),0)</f>
        <v>0</v>
      </c>
      <c r="AH347" s="53">
        <f>IF($AC347&gt;0,SUMIFS(M$4:M346,$D$4:$D346,$D347,$Z$4:$Z346,$Z347,$C$4:$C346,$C347),0)</f>
        <v>0</v>
      </c>
      <c r="AI347" s="43">
        <f>IF(OR($C347="",$I347=""),0,IF(COUNTIFS($C$5:$C347,$C347,$I$5:$I347,$I347)=1,1,0))</f>
        <v>0</v>
      </c>
      <c r="AJ347" s="43" t="str">
        <f>IF($AI347=1,SUMIFS($AI$4:$AI346,$C$4:$C346,$C347)+1,"")</f>
        <v/>
      </c>
      <c r="AK347" s="43">
        <f>IF(OR($C347="",$K347=""),0,IF(COUNTIFS($C$5:$C347,$C347,$K$5:$K347,$K347)=1,1,0))</f>
        <v>0</v>
      </c>
      <c r="AL347" s="43" t="str">
        <f>IF($AK347=1,SUMIFS($AK$4:$AK346,$C$4:$C346,$C347)+1,"")</f>
        <v/>
      </c>
      <c r="AM347" s="43">
        <f>IF(OR($C347="",$G347=""),0,IF(COUNTIFS($C$5:$C347,$C347,$G$5:$G347,$G347)=1,1,0))</f>
        <v>0</v>
      </c>
      <c r="AN347" s="43" t="str">
        <f>IF($AM347=1,SUMIFS($AM$4:$AM346,$C$4:$C346,$C347)+1,"")</f>
        <v/>
      </c>
    </row>
    <row r="348">
      <c r="A348" s="44" t="str">
        <f>IF(OR($B348="",$D348=""),"","TX"&amp;TEXT(ROW()-4,"0000"))</f>
        <v/>
      </c>
      <c r="B348" s="42" t="n"/>
      <c r="C348" s="47" t="str">
        <f>IF($B348="","",YEAR($B348)*100+MONTH($B348))</f>
        <v/>
      </c>
      <c r="D348" s="37" t="n"/>
      <c r="E348" s="45" t="str">
        <f>IF($D348="","",IFERROR(INDEX(CARDS!$B$5:$B$34,MATCH($D348,CARDS!$A$5:$A$34,0)),"⚠ Card ID?"))</f>
        <v/>
      </c>
      <c r="F348" s="45" t="str">
        <f>IF($D348="","",IFERROR(INDEX(CARDS!$C$5:$C$34,MATCH($D348,CARDS!$A$5:$A$34,0)),"⚠ Card ID?"))</f>
        <v/>
      </c>
      <c r="G348" s="37" t="n"/>
      <c r="H348" s="37" t="n"/>
      <c r="I348" s="41" t="n"/>
      <c r="J348" s="45" t="str">
        <f>IF($I348="","",IFERROR(INDEX(MCC_MASTER!$B$5:$B$504,MATCH($I348,MCC_MASTER!$A$5:$A$504,0)),"⚠ MCC chưa có"))</f>
        <v/>
      </c>
      <c r="K348" s="45" t="str">
        <f>IF($I348="","",IFERROR(IF(INDEX(MCC_MASTER!$C$5:$C$504,MATCH($I348,MCC_MASTER!$A$5:$A$504,0))="","Chưa phân loại",INDEX(MCC_MASTER!$C$5:$C$504,MATCH($I348,MCC_MASTER!$A$5:$A$504,0))),"Chưa phân loại"))</f>
        <v/>
      </c>
      <c r="L348" s="40" t="n"/>
      <c r="M348" s="48" t="str">
        <f>IF(OR($B348="",$D348=""),"",IF($AC348=0,0,IF(ISNUMBER(INDEX(CASHBACK_RULES!$L$5:$L$304,$AC348)),MAX(0,MIN($L348,INDEX(CASHBACK_RULES!$L$5:$L$304,$AC348)-$AH348)),MAX(0,$L348))))</f>
        <v/>
      </c>
      <c r="N348" s="49" t="str">
        <f>IF(OR($B348="",$D348=""),"",IF($AC348&gt;0,INDEX(CASHBACK_RULES!$I$5:$I$304,$AC348),0))</f>
        <v/>
      </c>
      <c r="O348" s="48" t="str">
        <f>IF(OR($B348="",$D348=""),"",ROUND($M348*$N348,0))</f>
        <v/>
      </c>
      <c r="P348" s="48" t="str">
        <f>IF($AC348&gt;0,IF(ISNUMBER(INDEX(CASHBACK_RULES!$J$5:$J$304,$AC348)),INDEX(CASHBACK_RULES!$J$5:$J$304,$AC348),"∞"),"")</f>
        <v/>
      </c>
      <c r="Q348" s="48" t="str">
        <f>IF(OR($B348="",$D348=""),"",IF($AC348=0,0,MAX(0,MIN($O348,IF(ISNUMBER($P348),$P348-$AF348,1E+15),IF(ISNUMBER($AA348),$AA348-$AG348,1E+15)))))</f>
        <v/>
      </c>
      <c r="R348" s="48" t="str">
        <f>IF(OR($B348="",$D348=""),"",IF($AC348=0,"",IF(AND(NOT(ISNUMBER($P348)),NOT(ISNUMBER($AA348))),"∞",MAX(0,MIN(IF(ISNUMBER($P348),$P348-$AF348-$Q348,1E+15),IF(ISNUMBER($AA348),$AA348-$AG348-$Q348,1E+15))))))</f>
        <v/>
      </c>
      <c r="S348" s="47" t="str">
        <f>IF($AD348="","",YEAR($AD348)*100+MONTH($AD348))</f>
        <v/>
      </c>
      <c r="T348" s="50" t="str">
        <f>IF($AD348="","",IFERROR(IF(INDEX(CARDS!$I$5:$I$34,MATCH($D348,CARDS!$A$5:$A$34,0))="","",IF(INDEX(CARDS!$I$5:$I$34,MATCH($D348,CARDS!$A$5:$A$34,0))&gt;INDEX(CARDS!$H$5:$H$34,MATCH($D348,CARDS!$A$5:$A$34,0)),DATE(YEAR($AD348),MONTH($AD348),MIN(INDEX(CARDS!$I$5:$I$34,MATCH($D348,CARDS!$A$5:$A$34,0)),DAY(EOMONTH($AD348,0)))),DATE(YEAR($AD348),MONTH($AD348)+1,MIN(INDEX(CARDS!$I$5:$I$34,MATCH($D348,CARDS!$A$5:$A$34,0)),DAY(EOMONTH($AD348,1)))))),""))</f>
        <v/>
      </c>
      <c r="U348" s="38" t="n"/>
      <c r="V348" s="37" t="n"/>
      <c r="W348" s="38" t="n"/>
      <c r="X348" s="38" t="n"/>
      <c r="Y348" s="44" t="str">
        <f>IF($AC348&gt;0,INDEX(CASHBACK_RULES!$A$5:$A$304,$AC348),"")</f>
        <v/>
      </c>
      <c r="Z348" s="45" t="str">
        <f>IF($AC348&gt;0,INDEX(CASHBACK_RULES!$E$5:$E$304,$AC348)&amp;"","")</f>
        <v/>
      </c>
      <c r="AA348" s="48" t="str">
        <f>IF($AC348&gt;0,IF(ISNUMBER(INDEX(CASHBACK_RULES!$K$5:$K$304,$AC348)),INDEX(CASHBACK_RULES!$K$5:$K$304,$AC348),"∞"),"")</f>
        <v/>
      </c>
      <c r="AB348" s="44" t="str">
        <f>IF(OR($B348="",$D348=""),"",IF($U348="Cancelled","Đã hủy",IF($AC348=0,"Không được hoàn",IF($Q348=0,IF(OR($O348&gt;0,$M348&lt;$L348),"Đã đạt cap","Không được hoàn"),IF(OR($Q348&lt;$O348,$M348&lt;$L348),"Hoàn một phần","Được hoàn")))))</f>
        <v/>
      </c>
      <c r="AC348" s="43">
        <f>IF(OR($B348="",$D348="",$I348="",$L348=""),0,IF($U348="Cancelled",0,IF($W348&lt;&gt;"",IFERROR(IF(INDEX(CASHBACK_RULES!$B$5:$B$304,MATCH($W348,CASHBACK_RULES!$A$5:$A$304,0))=$D348,MATCH($W348,CASHBACK_RULES!$A$5:$A$304,0),0),0),IFERROR(MATCH(1,INDEX((CASHBACK_RULES!$B$5:$B$304=$D348)*(CASHBACK_RULES!$G$5:$G$304=$I348)*(((CASHBACK_RULES!$N$5:$N$304="")+(CASHBACK_RULES!$N$5:$N$304&lt;=$B348))&gt;0)*(((CASHBACK_RULES!$O$5:$O$304="")+(CASHBACK_RULES!$O$5:$O$304&gt;=$B348))&gt;0)*(((CASHBACK_RULES!$M$5:$M$304="")+(CASHBACK_RULES!$M$5:$M$304&lt;=$L348))&gt;0),0),0),0))))</f>
        <v>0</v>
      </c>
      <c r="AD348" s="51" t="str">
        <f>IF(OR($B348="",$D348=""),"",IFERROR(IF(INDEX(CARDS!$H$5:$H$34,MATCH($D348,CARDS!$A$5:$A$34,0))="","",IF(DAY($B348)&lt;=INDEX(CARDS!$H$5:$H$34,MATCH($D348,CARDS!$A$5:$A$34,0)),DATE(YEAR($B348),MONTH($B348),MIN(INDEX(CARDS!$H$5:$H$34,MATCH($D348,CARDS!$A$5:$A$34,0)),DAY(EOMONTH($B348,0)))),DATE(YEAR($B348),MONTH($B348)+1,MIN(INDEX(CARDS!$H$5:$H$34,MATCH($D348,CARDS!$A$5:$A$34,0)),DAY(EOMONTH($B348,1)))))),""))</f>
        <v/>
      </c>
      <c r="AE348" s="52" t="str">
        <f>IF($C348="","",$C348&amp;"|"&amp;COUNTIF($C$5:$C348,$C348))</f>
        <v/>
      </c>
      <c r="AF348" s="53">
        <f>IF($AC348&gt;0,SUMIFS(Q$4:Q347,$D$4:$D347,$D348,$Z$4:$Z347,$Z348,$C$4:$C347,$C348),0)</f>
        <v>0</v>
      </c>
      <c r="AG348" s="53">
        <f>IF($AC348&gt;0,SUMIFS(Q$4:Q347,$D$4:$D347,$D348,$C$4:$C347,$C348),0)</f>
        <v>0</v>
      </c>
      <c r="AH348" s="53">
        <f>IF($AC348&gt;0,SUMIFS(M$4:M347,$D$4:$D347,$D348,$Z$4:$Z347,$Z348,$C$4:$C347,$C348),0)</f>
        <v>0</v>
      </c>
      <c r="AI348" s="43">
        <f>IF(OR($C348="",$I348=""),0,IF(COUNTIFS($C$5:$C348,$C348,$I$5:$I348,$I348)=1,1,0))</f>
        <v>0</v>
      </c>
      <c r="AJ348" s="43" t="str">
        <f>IF($AI348=1,SUMIFS($AI$4:$AI347,$C$4:$C347,$C348)+1,"")</f>
        <v/>
      </c>
      <c r="AK348" s="43">
        <f>IF(OR($C348="",$K348=""),0,IF(COUNTIFS($C$5:$C348,$C348,$K$5:$K348,$K348)=1,1,0))</f>
        <v>0</v>
      </c>
      <c r="AL348" s="43" t="str">
        <f>IF($AK348=1,SUMIFS($AK$4:$AK347,$C$4:$C347,$C348)+1,"")</f>
        <v/>
      </c>
      <c r="AM348" s="43">
        <f>IF(OR($C348="",$G348=""),0,IF(COUNTIFS($C$5:$C348,$C348,$G$5:$G348,$G348)=1,1,0))</f>
        <v>0</v>
      </c>
      <c r="AN348" s="43" t="str">
        <f>IF($AM348=1,SUMIFS($AM$4:$AM347,$C$4:$C347,$C348)+1,"")</f>
        <v/>
      </c>
    </row>
    <row r="349">
      <c r="A349" s="44" t="str">
        <f>IF(OR($B349="",$D349=""),"","TX"&amp;TEXT(ROW()-4,"0000"))</f>
        <v/>
      </c>
      <c r="B349" s="42" t="n"/>
      <c r="C349" s="47" t="str">
        <f>IF($B349="","",YEAR($B349)*100+MONTH($B349))</f>
        <v/>
      </c>
      <c r="D349" s="37" t="n"/>
      <c r="E349" s="45" t="str">
        <f>IF($D349="","",IFERROR(INDEX(CARDS!$B$5:$B$34,MATCH($D349,CARDS!$A$5:$A$34,0)),"⚠ Card ID?"))</f>
        <v/>
      </c>
      <c r="F349" s="45" t="str">
        <f>IF($D349="","",IFERROR(INDEX(CARDS!$C$5:$C$34,MATCH($D349,CARDS!$A$5:$A$34,0)),"⚠ Card ID?"))</f>
        <v/>
      </c>
      <c r="G349" s="37" t="n"/>
      <c r="H349" s="37" t="n"/>
      <c r="I349" s="41" t="n"/>
      <c r="J349" s="45" t="str">
        <f>IF($I349="","",IFERROR(INDEX(MCC_MASTER!$B$5:$B$504,MATCH($I349,MCC_MASTER!$A$5:$A$504,0)),"⚠ MCC chưa có"))</f>
        <v/>
      </c>
      <c r="K349" s="45" t="str">
        <f>IF($I349="","",IFERROR(IF(INDEX(MCC_MASTER!$C$5:$C$504,MATCH($I349,MCC_MASTER!$A$5:$A$504,0))="","Chưa phân loại",INDEX(MCC_MASTER!$C$5:$C$504,MATCH($I349,MCC_MASTER!$A$5:$A$504,0))),"Chưa phân loại"))</f>
        <v/>
      </c>
      <c r="L349" s="40" t="n"/>
      <c r="M349" s="48" t="str">
        <f>IF(OR($B349="",$D349=""),"",IF($AC349=0,0,IF(ISNUMBER(INDEX(CASHBACK_RULES!$L$5:$L$304,$AC349)),MAX(0,MIN($L349,INDEX(CASHBACK_RULES!$L$5:$L$304,$AC349)-$AH349)),MAX(0,$L349))))</f>
        <v/>
      </c>
      <c r="N349" s="49" t="str">
        <f>IF(OR($B349="",$D349=""),"",IF($AC349&gt;0,INDEX(CASHBACK_RULES!$I$5:$I$304,$AC349),0))</f>
        <v/>
      </c>
      <c r="O349" s="48" t="str">
        <f>IF(OR($B349="",$D349=""),"",ROUND($M349*$N349,0))</f>
        <v/>
      </c>
      <c r="P349" s="48" t="str">
        <f>IF($AC349&gt;0,IF(ISNUMBER(INDEX(CASHBACK_RULES!$J$5:$J$304,$AC349)),INDEX(CASHBACK_RULES!$J$5:$J$304,$AC349),"∞"),"")</f>
        <v/>
      </c>
      <c r="Q349" s="48" t="str">
        <f>IF(OR($B349="",$D349=""),"",IF($AC349=0,0,MAX(0,MIN($O349,IF(ISNUMBER($P349),$P349-$AF349,1E+15),IF(ISNUMBER($AA349),$AA349-$AG349,1E+15)))))</f>
        <v/>
      </c>
      <c r="R349" s="48" t="str">
        <f>IF(OR($B349="",$D349=""),"",IF($AC349=0,"",IF(AND(NOT(ISNUMBER($P349)),NOT(ISNUMBER($AA349))),"∞",MAX(0,MIN(IF(ISNUMBER($P349),$P349-$AF349-$Q349,1E+15),IF(ISNUMBER($AA349),$AA349-$AG349-$Q349,1E+15))))))</f>
        <v/>
      </c>
      <c r="S349" s="47" t="str">
        <f>IF($AD349="","",YEAR($AD349)*100+MONTH($AD349))</f>
        <v/>
      </c>
      <c r="T349" s="50" t="str">
        <f>IF($AD349="","",IFERROR(IF(INDEX(CARDS!$I$5:$I$34,MATCH($D349,CARDS!$A$5:$A$34,0))="","",IF(INDEX(CARDS!$I$5:$I$34,MATCH($D349,CARDS!$A$5:$A$34,0))&gt;INDEX(CARDS!$H$5:$H$34,MATCH($D349,CARDS!$A$5:$A$34,0)),DATE(YEAR($AD349),MONTH($AD349),MIN(INDEX(CARDS!$I$5:$I$34,MATCH($D349,CARDS!$A$5:$A$34,0)),DAY(EOMONTH($AD349,0)))),DATE(YEAR($AD349),MONTH($AD349)+1,MIN(INDEX(CARDS!$I$5:$I$34,MATCH($D349,CARDS!$A$5:$A$34,0)),DAY(EOMONTH($AD349,1)))))),""))</f>
        <v/>
      </c>
      <c r="U349" s="38" t="n"/>
      <c r="V349" s="37" t="n"/>
      <c r="W349" s="38" t="n"/>
      <c r="X349" s="38" t="n"/>
      <c r="Y349" s="44" t="str">
        <f>IF($AC349&gt;0,INDEX(CASHBACK_RULES!$A$5:$A$304,$AC349),"")</f>
        <v/>
      </c>
      <c r="Z349" s="45" t="str">
        <f>IF($AC349&gt;0,INDEX(CASHBACK_RULES!$E$5:$E$304,$AC349)&amp;"","")</f>
        <v/>
      </c>
      <c r="AA349" s="48" t="str">
        <f>IF($AC349&gt;0,IF(ISNUMBER(INDEX(CASHBACK_RULES!$K$5:$K$304,$AC349)),INDEX(CASHBACK_RULES!$K$5:$K$304,$AC349),"∞"),"")</f>
        <v/>
      </c>
      <c r="AB349" s="44" t="str">
        <f>IF(OR($B349="",$D349=""),"",IF($U349="Cancelled","Đã hủy",IF($AC349=0,"Không được hoàn",IF($Q349=0,IF(OR($O349&gt;0,$M349&lt;$L349),"Đã đạt cap","Không được hoàn"),IF(OR($Q349&lt;$O349,$M349&lt;$L349),"Hoàn một phần","Được hoàn")))))</f>
        <v/>
      </c>
      <c r="AC349" s="43">
        <f>IF(OR($B349="",$D349="",$I349="",$L349=""),0,IF($U349="Cancelled",0,IF($W349&lt;&gt;"",IFERROR(IF(INDEX(CASHBACK_RULES!$B$5:$B$304,MATCH($W349,CASHBACK_RULES!$A$5:$A$304,0))=$D349,MATCH($W349,CASHBACK_RULES!$A$5:$A$304,0),0),0),IFERROR(MATCH(1,INDEX((CASHBACK_RULES!$B$5:$B$304=$D349)*(CASHBACK_RULES!$G$5:$G$304=$I349)*(((CASHBACK_RULES!$N$5:$N$304="")+(CASHBACK_RULES!$N$5:$N$304&lt;=$B349))&gt;0)*(((CASHBACK_RULES!$O$5:$O$304="")+(CASHBACK_RULES!$O$5:$O$304&gt;=$B349))&gt;0)*(((CASHBACK_RULES!$M$5:$M$304="")+(CASHBACK_RULES!$M$5:$M$304&lt;=$L349))&gt;0),0),0),0))))</f>
        <v>0</v>
      </c>
      <c r="AD349" s="51" t="str">
        <f>IF(OR($B349="",$D349=""),"",IFERROR(IF(INDEX(CARDS!$H$5:$H$34,MATCH($D349,CARDS!$A$5:$A$34,0))="","",IF(DAY($B349)&lt;=INDEX(CARDS!$H$5:$H$34,MATCH($D349,CARDS!$A$5:$A$34,0)),DATE(YEAR($B349),MONTH($B349),MIN(INDEX(CARDS!$H$5:$H$34,MATCH($D349,CARDS!$A$5:$A$34,0)),DAY(EOMONTH($B349,0)))),DATE(YEAR($B349),MONTH($B349)+1,MIN(INDEX(CARDS!$H$5:$H$34,MATCH($D349,CARDS!$A$5:$A$34,0)),DAY(EOMONTH($B349,1)))))),""))</f>
        <v/>
      </c>
      <c r="AE349" s="52" t="str">
        <f>IF($C349="","",$C349&amp;"|"&amp;COUNTIF($C$5:$C349,$C349))</f>
        <v/>
      </c>
      <c r="AF349" s="53">
        <f>IF($AC349&gt;0,SUMIFS(Q$4:Q348,$D$4:$D348,$D349,$Z$4:$Z348,$Z349,$C$4:$C348,$C349),0)</f>
        <v>0</v>
      </c>
      <c r="AG349" s="53">
        <f>IF($AC349&gt;0,SUMIFS(Q$4:Q348,$D$4:$D348,$D349,$C$4:$C348,$C349),0)</f>
        <v>0</v>
      </c>
      <c r="AH349" s="53">
        <f>IF($AC349&gt;0,SUMIFS(M$4:M348,$D$4:$D348,$D349,$Z$4:$Z348,$Z349,$C$4:$C348,$C349),0)</f>
        <v>0</v>
      </c>
      <c r="AI349" s="43">
        <f>IF(OR($C349="",$I349=""),0,IF(COUNTIFS($C$5:$C349,$C349,$I$5:$I349,$I349)=1,1,0))</f>
        <v>0</v>
      </c>
      <c r="AJ349" s="43" t="str">
        <f>IF($AI349=1,SUMIFS($AI$4:$AI348,$C$4:$C348,$C349)+1,"")</f>
        <v/>
      </c>
      <c r="AK349" s="43">
        <f>IF(OR($C349="",$K349=""),0,IF(COUNTIFS($C$5:$C349,$C349,$K$5:$K349,$K349)=1,1,0))</f>
        <v>0</v>
      </c>
      <c r="AL349" s="43" t="str">
        <f>IF($AK349=1,SUMIFS($AK$4:$AK348,$C$4:$C348,$C349)+1,"")</f>
        <v/>
      </c>
      <c r="AM349" s="43">
        <f>IF(OR($C349="",$G349=""),0,IF(COUNTIFS($C$5:$C349,$C349,$G$5:$G349,$G349)=1,1,0))</f>
        <v>0</v>
      </c>
      <c r="AN349" s="43" t="str">
        <f>IF($AM349=1,SUMIFS($AM$4:$AM348,$C$4:$C348,$C349)+1,"")</f>
        <v/>
      </c>
    </row>
    <row r="350">
      <c r="A350" s="44" t="str">
        <f>IF(OR($B350="",$D350=""),"","TX"&amp;TEXT(ROW()-4,"0000"))</f>
        <v/>
      </c>
      <c r="B350" s="42" t="n"/>
      <c r="C350" s="47" t="str">
        <f>IF($B350="","",YEAR($B350)*100+MONTH($B350))</f>
        <v/>
      </c>
      <c r="D350" s="37" t="n"/>
      <c r="E350" s="45" t="str">
        <f>IF($D350="","",IFERROR(INDEX(CARDS!$B$5:$B$34,MATCH($D350,CARDS!$A$5:$A$34,0)),"⚠ Card ID?"))</f>
        <v/>
      </c>
      <c r="F350" s="45" t="str">
        <f>IF($D350="","",IFERROR(INDEX(CARDS!$C$5:$C$34,MATCH($D350,CARDS!$A$5:$A$34,0)),"⚠ Card ID?"))</f>
        <v/>
      </c>
      <c r="G350" s="37" t="n"/>
      <c r="H350" s="37" t="n"/>
      <c r="I350" s="41" t="n"/>
      <c r="J350" s="45" t="str">
        <f>IF($I350="","",IFERROR(INDEX(MCC_MASTER!$B$5:$B$504,MATCH($I350,MCC_MASTER!$A$5:$A$504,0)),"⚠ MCC chưa có"))</f>
        <v/>
      </c>
      <c r="K350" s="45" t="str">
        <f>IF($I350="","",IFERROR(IF(INDEX(MCC_MASTER!$C$5:$C$504,MATCH($I350,MCC_MASTER!$A$5:$A$504,0))="","Chưa phân loại",INDEX(MCC_MASTER!$C$5:$C$504,MATCH($I350,MCC_MASTER!$A$5:$A$504,0))),"Chưa phân loại"))</f>
        <v/>
      </c>
      <c r="L350" s="40" t="n"/>
      <c r="M350" s="48" t="str">
        <f>IF(OR($B350="",$D350=""),"",IF($AC350=0,0,IF(ISNUMBER(INDEX(CASHBACK_RULES!$L$5:$L$304,$AC350)),MAX(0,MIN($L350,INDEX(CASHBACK_RULES!$L$5:$L$304,$AC350)-$AH350)),MAX(0,$L350))))</f>
        <v/>
      </c>
      <c r="N350" s="49" t="str">
        <f>IF(OR($B350="",$D350=""),"",IF($AC350&gt;0,INDEX(CASHBACK_RULES!$I$5:$I$304,$AC350),0))</f>
        <v/>
      </c>
      <c r="O350" s="48" t="str">
        <f>IF(OR($B350="",$D350=""),"",ROUND($M350*$N350,0))</f>
        <v/>
      </c>
      <c r="P350" s="48" t="str">
        <f>IF($AC350&gt;0,IF(ISNUMBER(INDEX(CASHBACK_RULES!$J$5:$J$304,$AC350)),INDEX(CASHBACK_RULES!$J$5:$J$304,$AC350),"∞"),"")</f>
        <v/>
      </c>
      <c r="Q350" s="48" t="str">
        <f>IF(OR($B350="",$D350=""),"",IF($AC350=0,0,MAX(0,MIN($O350,IF(ISNUMBER($P350),$P350-$AF350,1E+15),IF(ISNUMBER($AA350),$AA350-$AG350,1E+15)))))</f>
        <v/>
      </c>
      <c r="R350" s="48" t="str">
        <f>IF(OR($B350="",$D350=""),"",IF($AC350=0,"",IF(AND(NOT(ISNUMBER($P350)),NOT(ISNUMBER($AA350))),"∞",MAX(0,MIN(IF(ISNUMBER($P350),$P350-$AF350-$Q350,1E+15),IF(ISNUMBER($AA350),$AA350-$AG350-$Q350,1E+15))))))</f>
        <v/>
      </c>
      <c r="S350" s="47" t="str">
        <f>IF($AD350="","",YEAR($AD350)*100+MONTH($AD350))</f>
        <v/>
      </c>
      <c r="T350" s="50" t="str">
        <f>IF($AD350="","",IFERROR(IF(INDEX(CARDS!$I$5:$I$34,MATCH($D350,CARDS!$A$5:$A$34,0))="","",IF(INDEX(CARDS!$I$5:$I$34,MATCH($D350,CARDS!$A$5:$A$34,0))&gt;INDEX(CARDS!$H$5:$H$34,MATCH($D350,CARDS!$A$5:$A$34,0)),DATE(YEAR($AD350),MONTH($AD350),MIN(INDEX(CARDS!$I$5:$I$34,MATCH($D350,CARDS!$A$5:$A$34,0)),DAY(EOMONTH($AD350,0)))),DATE(YEAR($AD350),MONTH($AD350)+1,MIN(INDEX(CARDS!$I$5:$I$34,MATCH($D350,CARDS!$A$5:$A$34,0)),DAY(EOMONTH($AD350,1)))))),""))</f>
        <v/>
      </c>
      <c r="U350" s="38" t="n"/>
      <c r="V350" s="37" t="n"/>
      <c r="W350" s="38" t="n"/>
      <c r="X350" s="38" t="n"/>
      <c r="Y350" s="44" t="str">
        <f>IF($AC350&gt;0,INDEX(CASHBACK_RULES!$A$5:$A$304,$AC350),"")</f>
        <v/>
      </c>
      <c r="Z350" s="45" t="str">
        <f>IF($AC350&gt;0,INDEX(CASHBACK_RULES!$E$5:$E$304,$AC350)&amp;"","")</f>
        <v/>
      </c>
      <c r="AA350" s="48" t="str">
        <f>IF($AC350&gt;0,IF(ISNUMBER(INDEX(CASHBACK_RULES!$K$5:$K$304,$AC350)),INDEX(CASHBACK_RULES!$K$5:$K$304,$AC350),"∞"),"")</f>
        <v/>
      </c>
      <c r="AB350" s="44" t="str">
        <f>IF(OR($B350="",$D350=""),"",IF($U350="Cancelled","Đã hủy",IF($AC350=0,"Không được hoàn",IF($Q350=0,IF(OR($O350&gt;0,$M350&lt;$L350),"Đã đạt cap","Không được hoàn"),IF(OR($Q350&lt;$O350,$M350&lt;$L350),"Hoàn một phần","Được hoàn")))))</f>
        <v/>
      </c>
      <c r="AC350" s="43">
        <f>IF(OR($B350="",$D350="",$I350="",$L350=""),0,IF($U350="Cancelled",0,IF($W350&lt;&gt;"",IFERROR(IF(INDEX(CASHBACK_RULES!$B$5:$B$304,MATCH($W350,CASHBACK_RULES!$A$5:$A$304,0))=$D350,MATCH($W350,CASHBACK_RULES!$A$5:$A$304,0),0),0),IFERROR(MATCH(1,INDEX((CASHBACK_RULES!$B$5:$B$304=$D350)*(CASHBACK_RULES!$G$5:$G$304=$I350)*(((CASHBACK_RULES!$N$5:$N$304="")+(CASHBACK_RULES!$N$5:$N$304&lt;=$B350))&gt;0)*(((CASHBACK_RULES!$O$5:$O$304="")+(CASHBACK_RULES!$O$5:$O$304&gt;=$B350))&gt;0)*(((CASHBACK_RULES!$M$5:$M$304="")+(CASHBACK_RULES!$M$5:$M$304&lt;=$L350))&gt;0),0),0),0))))</f>
        <v>0</v>
      </c>
      <c r="AD350" s="51" t="str">
        <f>IF(OR($B350="",$D350=""),"",IFERROR(IF(INDEX(CARDS!$H$5:$H$34,MATCH($D350,CARDS!$A$5:$A$34,0))="","",IF(DAY($B350)&lt;=INDEX(CARDS!$H$5:$H$34,MATCH($D350,CARDS!$A$5:$A$34,0)),DATE(YEAR($B350),MONTH($B350),MIN(INDEX(CARDS!$H$5:$H$34,MATCH($D350,CARDS!$A$5:$A$34,0)),DAY(EOMONTH($B350,0)))),DATE(YEAR($B350),MONTH($B350)+1,MIN(INDEX(CARDS!$H$5:$H$34,MATCH($D350,CARDS!$A$5:$A$34,0)),DAY(EOMONTH($B350,1)))))),""))</f>
        <v/>
      </c>
      <c r="AE350" s="52" t="str">
        <f>IF($C350="","",$C350&amp;"|"&amp;COUNTIF($C$5:$C350,$C350))</f>
        <v/>
      </c>
      <c r="AF350" s="53">
        <f>IF($AC350&gt;0,SUMIFS(Q$4:Q349,$D$4:$D349,$D350,$Z$4:$Z349,$Z350,$C$4:$C349,$C350),0)</f>
        <v>0</v>
      </c>
      <c r="AG350" s="53">
        <f>IF($AC350&gt;0,SUMIFS(Q$4:Q349,$D$4:$D349,$D350,$C$4:$C349,$C350),0)</f>
        <v>0</v>
      </c>
      <c r="AH350" s="53">
        <f>IF($AC350&gt;0,SUMIFS(M$4:M349,$D$4:$D349,$D350,$Z$4:$Z349,$Z350,$C$4:$C349,$C350),0)</f>
        <v>0</v>
      </c>
      <c r="AI350" s="43">
        <f>IF(OR($C350="",$I350=""),0,IF(COUNTIFS($C$5:$C350,$C350,$I$5:$I350,$I350)=1,1,0))</f>
        <v>0</v>
      </c>
      <c r="AJ350" s="43" t="str">
        <f>IF($AI350=1,SUMIFS($AI$4:$AI349,$C$4:$C349,$C350)+1,"")</f>
        <v/>
      </c>
      <c r="AK350" s="43">
        <f>IF(OR($C350="",$K350=""),0,IF(COUNTIFS($C$5:$C350,$C350,$K$5:$K350,$K350)=1,1,0))</f>
        <v>0</v>
      </c>
      <c r="AL350" s="43" t="str">
        <f>IF($AK350=1,SUMIFS($AK$4:$AK349,$C$4:$C349,$C350)+1,"")</f>
        <v/>
      </c>
      <c r="AM350" s="43">
        <f>IF(OR($C350="",$G350=""),0,IF(COUNTIFS($C$5:$C350,$C350,$G$5:$G350,$G350)=1,1,0))</f>
        <v>0</v>
      </c>
      <c r="AN350" s="43" t="str">
        <f>IF($AM350=1,SUMIFS($AM$4:$AM349,$C$4:$C349,$C350)+1,"")</f>
        <v/>
      </c>
    </row>
    <row r="351">
      <c r="A351" s="44" t="str">
        <f>IF(OR($B351="",$D351=""),"","TX"&amp;TEXT(ROW()-4,"0000"))</f>
        <v/>
      </c>
      <c r="B351" s="42" t="n"/>
      <c r="C351" s="47" t="str">
        <f>IF($B351="","",YEAR($B351)*100+MONTH($B351))</f>
        <v/>
      </c>
      <c r="D351" s="37" t="n"/>
      <c r="E351" s="45" t="str">
        <f>IF($D351="","",IFERROR(INDEX(CARDS!$B$5:$B$34,MATCH($D351,CARDS!$A$5:$A$34,0)),"⚠ Card ID?"))</f>
        <v/>
      </c>
      <c r="F351" s="45" t="str">
        <f>IF($D351="","",IFERROR(INDEX(CARDS!$C$5:$C$34,MATCH($D351,CARDS!$A$5:$A$34,0)),"⚠ Card ID?"))</f>
        <v/>
      </c>
      <c r="G351" s="37" t="n"/>
      <c r="H351" s="37" t="n"/>
      <c r="I351" s="41" t="n"/>
      <c r="J351" s="45" t="str">
        <f>IF($I351="","",IFERROR(INDEX(MCC_MASTER!$B$5:$B$504,MATCH($I351,MCC_MASTER!$A$5:$A$504,0)),"⚠ MCC chưa có"))</f>
        <v/>
      </c>
      <c r="K351" s="45" t="str">
        <f>IF($I351="","",IFERROR(IF(INDEX(MCC_MASTER!$C$5:$C$504,MATCH($I351,MCC_MASTER!$A$5:$A$504,0))="","Chưa phân loại",INDEX(MCC_MASTER!$C$5:$C$504,MATCH($I351,MCC_MASTER!$A$5:$A$504,0))),"Chưa phân loại"))</f>
        <v/>
      </c>
      <c r="L351" s="40" t="n"/>
      <c r="M351" s="48" t="str">
        <f>IF(OR($B351="",$D351=""),"",IF($AC351=0,0,IF(ISNUMBER(INDEX(CASHBACK_RULES!$L$5:$L$304,$AC351)),MAX(0,MIN($L351,INDEX(CASHBACK_RULES!$L$5:$L$304,$AC351)-$AH351)),MAX(0,$L351))))</f>
        <v/>
      </c>
      <c r="N351" s="49" t="str">
        <f>IF(OR($B351="",$D351=""),"",IF($AC351&gt;0,INDEX(CASHBACK_RULES!$I$5:$I$304,$AC351),0))</f>
        <v/>
      </c>
      <c r="O351" s="48" t="str">
        <f>IF(OR($B351="",$D351=""),"",ROUND($M351*$N351,0))</f>
        <v/>
      </c>
      <c r="P351" s="48" t="str">
        <f>IF($AC351&gt;0,IF(ISNUMBER(INDEX(CASHBACK_RULES!$J$5:$J$304,$AC351)),INDEX(CASHBACK_RULES!$J$5:$J$304,$AC351),"∞"),"")</f>
        <v/>
      </c>
      <c r="Q351" s="48" t="str">
        <f>IF(OR($B351="",$D351=""),"",IF($AC351=0,0,MAX(0,MIN($O351,IF(ISNUMBER($P351),$P351-$AF351,1E+15),IF(ISNUMBER($AA351),$AA351-$AG351,1E+15)))))</f>
        <v/>
      </c>
      <c r="R351" s="48" t="str">
        <f>IF(OR($B351="",$D351=""),"",IF($AC351=0,"",IF(AND(NOT(ISNUMBER($P351)),NOT(ISNUMBER($AA351))),"∞",MAX(0,MIN(IF(ISNUMBER($P351),$P351-$AF351-$Q351,1E+15),IF(ISNUMBER($AA351),$AA351-$AG351-$Q351,1E+15))))))</f>
        <v/>
      </c>
      <c r="S351" s="47" t="str">
        <f>IF($AD351="","",YEAR($AD351)*100+MONTH($AD351))</f>
        <v/>
      </c>
      <c r="T351" s="50" t="str">
        <f>IF($AD351="","",IFERROR(IF(INDEX(CARDS!$I$5:$I$34,MATCH($D351,CARDS!$A$5:$A$34,0))="","",IF(INDEX(CARDS!$I$5:$I$34,MATCH($D351,CARDS!$A$5:$A$34,0))&gt;INDEX(CARDS!$H$5:$H$34,MATCH($D351,CARDS!$A$5:$A$34,0)),DATE(YEAR($AD351),MONTH($AD351),MIN(INDEX(CARDS!$I$5:$I$34,MATCH($D351,CARDS!$A$5:$A$34,0)),DAY(EOMONTH($AD351,0)))),DATE(YEAR($AD351),MONTH($AD351)+1,MIN(INDEX(CARDS!$I$5:$I$34,MATCH($D351,CARDS!$A$5:$A$34,0)),DAY(EOMONTH($AD351,1)))))),""))</f>
        <v/>
      </c>
      <c r="U351" s="38" t="n"/>
      <c r="V351" s="37" t="n"/>
      <c r="W351" s="38" t="n"/>
      <c r="X351" s="38" t="n"/>
      <c r="Y351" s="44" t="str">
        <f>IF($AC351&gt;0,INDEX(CASHBACK_RULES!$A$5:$A$304,$AC351),"")</f>
        <v/>
      </c>
      <c r="Z351" s="45" t="str">
        <f>IF($AC351&gt;0,INDEX(CASHBACK_RULES!$E$5:$E$304,$AC351)&amp;"","")</f>
        <v/>
      </c>
      <c r="AA351" s="48" t="str">
        <f>IF($AC351&gt;0,IF(ISNUMBER(INDEX(CASHBACK_RULES!$K$5:$K$304,$AC351)),INDEX(CASHBACK_RULES!$K$5:$K$304,$AC351),"∞"),"")</f>
        <v/>
      </c>
      <c r="AB351" s="44" t="str">
        <f>IF(OR($B351="",$D351=""),"",IF($U351="Cancelled","Đã hủy",IF($AC351=0,"Không được hoàn",IF($Q351=0,IF(OR($O351&gt;0,$M351&lt;$L351),"Đã đạt cap","Không được hoàn"),IF(OR($Q351&lt;$O351,$M351&lt;$L351),"Hoàn một phần","Được hoàn")))))</f>
        <v/>
      </c>
      <c r="AC351" s="43">
        <f>IF(OR($B351="",$D351="",$I351="",$L351=""),0,IF($U351="Cancelled",0,IF($W351&lt;&gt;"",IFERROR(IF(INDEX(CASHBACK_RULES!$B$5:$B$304,MATCH($W351,CASHBACK_RULES!$A$5:$A$304,0))=$D351,MATCH($W351,CASHBACK_RULES!$A$5:$A$304,0),0),0),IFERROR(MATCH(1,INDEX((CASHBACK_RULES!$B$5:$B$304=$D351)*(CASHBACK_RULES!$G$5:$G$304=$I351)*(((CASHBACK_RULES!$N$5:$N$304="")+(CASHBACK_RULES!$N$5:$N$304&lt;=$B351))&gt;0)*(((CASHBACK_RULES!$O$5:$O$304="")+(CASHBACK_RULES!$O$5:$O$304&gt;=$B351))&gt;0)*(((CASHBACK_RULES!$M$5:$M$304="")+(CASHBACK_RULES!$M$5:$M$304&lt;=$L351))&gt;0),0),0),0))))</f>
        <v>0</v>
      </c>
      <c r="AD351" s="51" t="str">
        <f>IF(OR($B351="",$D351=""),"",IFERROR(IF(INDEX(CARDS!$H$5:$H$34,MATCH($D351,CARDS!$A$5:$A$34,0))="","",IF(DAY($B351)&lt;=INDEX(CARDS!$H$5:$H$34,MATCH($D351,CARDS!$A$5:$A$34,0)),DATE(YEAR($B351),MONTH($B351),MIN(INDEX(CARDS!$H$5:$H$34,MATCH($D351,CARDS!$A$5:$A$34,0)),DAY(EOMONTH($B351,0)))),DATE(YEAR($B351),MONTH($B351)+1,MIN(INDEX(CARDS!$H$5:$H$34,MATCH($D351,CARDS!$A$5:$A$34,0)),DAY(EOMONTH($B351,1)))))),""))</f>
        <v/>
      </c>
      <c r="AE351" s="52" t="str">
        <f>IF($C351="","",$C351&amp;"|"&amp;COUNTIF($C$5:$C351,$C351))</f>
        <v/>
      </c>
      <c r="AF351" s="53">
        <f>IF($AC351&gt;0,SUMIFS(Q$4:Q350,$D$4:$D350,$D351,$Z$4:$Z350,$Z351,$C$4:$C350,$C351),0)</f>
        <v>0</v>
      </c>
      <c r="AG351" s="53">
        <f>IF($AC351&gt;0,SUMIFS(Q$4:Q350,$D$4:$D350,$D351,$C$4:$C350,$C351),0)</f>
        <v>0</v>
      </c>
      <c r="AH351" s="53">
        <f>IF($AC351&gt;0,SUMIFS(M$4:M350,$D$4:$D350,$D351,$Z$4:$Z350,$Z351,$C$4:$C350,$C351),0)</f>
        <v>0</v>
      </c>
      <c r="AI351" s="43">
        <f>IF(OR($C351="",$I351=""),0,IF(COUNTIFS($C$5:$C351,$C351,$I$5:$I351,$I351)=1,1,0))</f>
        <v>0</v>
      </c>
      <c r="AJ351" s="43" t="str">
        <f>IF($AI351=1,SUMIFS($AI$4:$AI350,$C$4:$C350,$C351)+1,"")</f>
        <v/>
      </c>
      <c r="AK351" s="43">
        <f>IF(OR($C351="",$K351=""),0,IF(COUNTIFS($C$5:$C351,$C351,$K$5:$K351,$K351)=1,1,0))</f>
        <v>0</v>
      </c>
      <c r="AL351" s="43" t="str">
        <f>IF($AK351=1,SUMIFS($AK$4:$AK350,$C$4:$C350,$C351)+1,"")</f>
        <v/>
      </c>
      <c r="AM351" s="43">
        <f>IF(OR($C351="",$G351=""),0,IF(COUNTIFS($C$5:$C351,$C351,$G$5:$G351,$G351)=1,1,0))</f>
        <v>0</v>
      </c>
      <c r="AN351" s="43" t="str">
        <f>IF($AM351=1,SUMIFS($AM$4:$AM350,$C$4:$C350,$C351)+1,"")</f>
        <v/>
      </c>
    </row>
    <row r="352">
      <c r="A352" s="44" t="str">
        <f>IF(OR($B352="",$D352=""),"","TX"&amp;TEXT(ROW()-4,"0000"))</f>
        <v/>
      </c>
      <c r="B352" s="42" t="n"/>
      <c r="C352" s="47" t="str">
        <f>IF($B352="","",YEAR($B352)*100+MONTH($B352))</f>
        <v/>
      </c>
      <c r="D352" s="37" t="n"/>
      <c r="E352" s="45" t="str">
        <f>IF($D352="","",IFERROR(INDEX(CARDS!$B$5:$B$34,MATCH($D352,CARDS!$A$5:$A$34,0)),"⚠ Card ID?"))</f>
        <v/>
      </c>
      <c r="F352" s="45" t="str">
        <f>IF($D352="","",IFERROR(INDEX(CARDS!$C$5:$C$34,MATCH($D352,CARDS!$A$5:$A$34,0)),"⚠ Card ID?"))</f>
        <v/>
      </c>
      <c r="G352" s="37" t="n"/>
      <c r="H352" s="37" t="n"/>
      <c r="I352" s="41" t="n"/>
      <c r="J352" s="45" t="str">
        <f>IF($I352="","",IFERROR(INDEX(MCC_MASTER!$B$5:$B$504,MATCH($I352,MCC_MASTER!$A$5:$A$504,0)),"⚠ MCC chưa có"))</f>
        <v/>
      </c>
      <c r="K352" s="45" t="str">
        <f>IF($I352="","",IFERROR(IF(INDEX(MCC_MASTER!$C$5:$C$504,MATCH($I352,MCC_MASTER!$A$5:$A$504,0))="","Chưa phân loại",INDEX(MCC_MASTER!$C$5:$C$504,MATCH($I352,MCC_MASTER!$A$5:$A$504,0))),"Chưa phân loại"))</f>
        <v/>
      </c>
      <c r="L352" s="40" t="n"/>
      <c r="M352" s="48" t="str">
        <f>IF(OR($B352="",$D352=""),"",IF($AC352=0,0,IF(ISNUMBER(INDEX(CASHBACK_RULES!$L$5:$L$304,$AC352)),MAX(0,MIN($L352,INDEX(CASHBACK_RULES!$L$5:$L$304,$AC352)-$AH352)),MAX(0,$L352))))</f>
        <v/>
      </c>
      <c r="N352" s="49" t="str">
        <f>IF(OR($B352="",$D352=""),"",IF($AC352&gt;0,INDEX(CASHBACK_RULES!$I$5:$I$304,$AC352),0))</f>
        <v/>
      </c>
      <c r="O352" s="48" t="str">
        <f>IF(OR($B352="",$D352=""),"",ROUND($M352*$N352,0))</f>
        <v/>
      </c>
      <c r="P352" s="48" t="str">
        <f>IF($AC352&gt;0,IF(ISNUMBER(INDEX(CASHBACK_RULES!$J$5:$J$304,$AC352)),INDEX(CASHBACK_RULES!$J$5:$J$304,$AC352),"∞"),"")</f>
        <v/>
      </c>
      <c r="Q352" s="48" t="str">
        <f>IF(OR($B352="",$D352=""),"",IF($AC352=0,0,MAX(0,MIN($O352,IF(ISNUMBER($P352),$P352-$AF352,1E+15),IF(ISNUMBER($AA352),$AA352-$AG352,1E+15)))))</f>
        <v/>
      </c>
      <c r="R352" s="48" t="str">
        <f>IF(OR($B352="",$D352=""),"",IF($AC352=0,"",IF(AND(NOT(ISNUMBER($P352)),NOT(ISNUMBER($AA352))),"∞",MAX(0,MIN(IF(ISNUMBER($P352),$P352-$AF352-$Q352,1E+15),IF(ISNUMBER($AA352),$AA352-$AG352-$Q352,1E+15))))))</f>
        <v/>
      </c>
      <c r="S352" s="47" t="str">
        <f>IF($AD352="","",YEAR($AD352)*100+MONTH($AD352))</f>
        <v/>
      </c>
      <c r="T352" s="50" t="str">
        <f>IF($AD352="","",IFERROR(IF(INDEX(CARDS!$I$5:$I$34,MATCH($D352,CARDS!$A$5:$A$34,0))="","",IF(INDEX(CARDS!$I$5:$I$34,MATCH($D352,CARDS!$A$5:$A$34,0))&gt;INDEX(CARDS!$H$5:$H$34,MATCH($D352,CARDS!$A$5:$A$34,0)),DATE(YEAR($AD352),MONTH($AD352),MIN(INDEX(CARDS!$I$5:$I$34,MATCH($D352,CARDS!$A$5:$A$34,0)),DAY(EOMONTH($AD352,0)))),DATE(YEAR($AD352),MONTH($AD352)+1,MIN(INDEX(CARDS!$I$5:$I$34,MATCH($D352,CARDS!$A$5:$A$34,0)),DAY(EOMONTH($AD352,1)))))),""))</f>
        <v/>
      </c>
      <c r="U352" s="38" t="n"/>
      <c r="V352" s="37" t="n"/>
      <c r="W352" s="38" t="n"/>
      <c r="X352" s="38" t="n"/>
      <c r="Y352" s="44" t="str">
        <f>IF($AC352&gt;0,INDEX(CASHBACK_RULES!$A$5:$A$304,$AC352),"")</f>
        <v/>
      </c>
      <c r="Z352" s="45" t="str">
        <f>IF($AC352&gt;0,INDEX(CASHBACK_RULES!$E$5:$E$304,$AC352)&amp;"","")</f>
        <v/>
      </c>
      <c r="AA352" s="48" t="str">
        <f>IF($AC352&gt;0,IF(ISNUMBER(INDEX(CASHBACK_RULES!$K$5:$K$304,$AC352)),INDEX(CASHBACK_RULES!$K$5:$K$304,$AC352),"∞"),"")</f>
        <v/>
      </c>
      <c r="AB352" s="44" t="str">
        <f>IF(OR($B352="",$D352=""),"",IF($U352="Cancelled","Đã hủy",IF($AC352=0,"Không được hoàn",IF($Q352=0,IF(OR($O352&gt;0,$M352&lt;$L352),"Đã đạt cap","Không được hoàn"),IF(OR($Q352&lt;$O352,$M352&lt;$L352),"Hoàn một phần","Được hoàn")))))</f>
        <v/>
      </c>
      <c r="AC352" s="43">
        <f>IF(OR($B352="",$D352="",$I352="",$L352=""),0,IF($U352="Cancelled",0,IF($W352&lt;&gt;"",IFERROR(IF(INDEX(CASHBACK_RULES!$B$5:$B$304,MATCH($W352,CASHBACK_RULES!$A$5:$A$304,0))=$D352,MATCH($W352,CASHBACK_RULES!$A$5:$A$304,0),0),0),IFERROR(MATCH(1,INDEX((CASHBACK_RULES!$B$5:$B$304=$D352)*(CASHBACK_RULES!$G$5:$G$304=$I352)*(((CASHBACK_RULES!$N$5:$N$304="")+(CASHBACK_RULES!$N$5:$N$304&lt;=$B352))&gt;0)*(((CASHBACK_RULES!$O$5:$O$304="")+(CASHBACK_RULES!$O$5:$O$304&gt;=$B352))&gt;0)*(((CASHBACK_RULES!$M$5:$M$304="")+(CASHBACK_RULES!$M$5:$M$304&lt;=$L352))&gt;0),0),0),0))))</f>
        <v>0</v>
      </c>
      <c r="AD352" s="51" t="str">
        <f>IF(OR($B352="",$D352=""),"",IFERROR(IF(INDEX(CARDS!$H$5:$H$34,MATCH($D352,CARDS!$A$5:$A$34,0))="","",IF(DAY($B352)&lt;=INDEX(CARDS!$H$5:$H$34,MATCH($D352,CARDS!$A$5:$A$34,0)),DATE(YEAR($B352),MONTH($B352),MIN(INDEX(CARDS!$H$5:$H$34,MATCH($D352,CARDS!$A$5:$A$34,0)),DAY(EOMONTH($B352,0)))),DATE(YEAR($B352),MONTH($B352)+1,MIN(INDEX(CARDS!$H$5:$H$34,MATCH($D352,CARDS!$A$5:$A$34,0)),DAY(EOMONTH($B352,1)))))),""))</f>
        <v/>
      </c>
      <c r="AE352" s="52" t="str">
        <f>IF($C352="","",$C352&amp;"|"&amp;COUNTIF($C$5:$C352,$C352))</f>
        <v/>
      </c>
      <c r="AF352" s="53">
        <f>IF($AC352&gt;0,SUMIFS(Q$4:Q351,$D$4:$D351,$D352,$Z$4:$Z351,$Z352,$C$4:$C351,$C352),0)</f>
        <v>0</v>
      </c>
      <c r="AG352" s="53">
        <f>IF($AC352&gt;0,SUMIFS(Q$4:Q351,$D$4:$D351,$D352,$C$4:$C351,$C352),0)</f>
        <v>0</v>
      </c>
      <c r="AH352" s="53">
        <f>IF($AC352&gt;0,SUMIFS(M$4:M351,$D$4:$D351,$D352,$Z$4:$Z351,$Z352,$C$4:$C351,$C352),0)</f>
        <v>0</v>
      </c>
      <c r="AI352" s="43">
        <f>IF(OR($C352="",$I352=""),0,IF(COUNTIFS($C$5:$C352,$C352,$I$5:$I352,$I352)=1,1,0))</f>
        <v>0</v>
      </c>
      <c r="AJ352" s="43" t="str">
        <f>IF($AI352=1,SUMIFS($AI$4:$AI351,$C$4:$C351,$C352)+1,"")</f>
        <v/>
      </c>
      <c r="AK352" s="43">
        <f>IF(OR($C352="",$K352=""),0,IF(COUNTIFS($C$5:$C352,$C352,$K$5:$K352,$K352)=1,1,0))</f>
        <v>0</v>
      </c>
      <c r="AL352" s="43" t="str">
        <f>IF($AK352=1,SUMIFS($AK$4:$AK351,$C$4:$C351,$C352)+1,"")</f>
        <v/>
      </c>
      <c r="AM352" s="43">
        <f>IF(OR($C352="",$G352=""),0,IF(COUNTIFS($C$5:$C352,$C352,$G$5:$G352,$G352)=1,1,0))</f>
        <v>0</v>
      </c>
      <c r="AN352" s="43" t="str">
        <f>IF($AM352=1,SUMIFS($AM$4:$AM351,$C$4:$C351,$C352)+1,"")</f>
        <v/>
      </c>
    </row>
    <row r="353">
      <c r="A353" s="44" t="str">
        <f>IF(OR($B353="",$D353=""),"","TX"&amp;TEXT(ROW()-4,"0000"))</f>
        <v/>
      </c>
      <c r="B353" s="42" t="n"/>
      <c r="C353" s="47" t="str">
        <f>IF($B353="","",YEAR($B353)*100+MONTH($B353))</f>
        <v/>
      </c>
      <c r="D353" s="37" t="n"/>
      <c r="E353" s="45" t="str">
        <f>IF($D353="","",IFERROR(INDEX(CARDS!$B$5:$B$34,MATCH($D353,CARDS!$A$5:$A$34,0)),"⚠ Card ID?"))</f>
        <v/>
      </c>
      <c r="F353" s="45" t="str">
        <f>IF($D353="","",IFERROR(INDEX(CARDS!$C$5:$C$34,MATCH($D353,CARDS!$A$5:$A$34,0)),"⚠ Card ID?"))</f>
        <v/>
      </c>
      <c r="G353" s="37" t="n"/>
      <c r="H353" s="37" t="n"/>
      <c r="I353" s="41" t="n"/>
      <c r="J353" s="45" t="str">
        <f>IF($I353="","",IFERROR(INDEX(MCC_MASTER!$B$5:$B$504,MATCH($I353,MCC_MASTER!$A$5:$A$504,0)),"⚠ MCC chưa có"))</f>
        <v/>
      </c>
      <c r="K353" s="45" t="str">
        <f>IF($I353="","",IFERROR(IF(INDEX(MCC_MASTER!$C$5:$C$504,MATCH($I353,MCC_MASTER!$A$5:$A$504,0))="","Chưa phân loại",INDEX(MCC_MASTER!$C$5:$C$504,MATCH($I353,MCC_MASTER!$A$5:$A$504,0))),"Chưa phân loại"))</f>
        <v/>
      </c>
      <c r="L353" s="40" t="n"/>
      <c r="M353" s="48" t="str">
        <f>IF(OR($B353="",$D353=""),"",IF($AC353=0,0,IF(ISNUMBER(INDEX(CASHBACK_RULES!$L$5:$L$304,$AC353)),MAX(0,MIN($L353,INDEX(CASHBACK_RULES!$L$5:$L$304,$AC353)-$AH353)),MAX(0,$L353))))</f>
        <v/>
      </c>
      <c r="N353" s="49" t="str">
        <f>IF(OR($B353="",$D353=""),"",IF($AC353&gt;0,INDEX(CASHBACK_RULES!$I$5:$I$304,$AC353),0))</f>
        <v/>
      </c>
      <c r="O353" s="48" t="str">
        <f>IF(OR($B353="",$D353=""),"",ROUND($M353*$N353,0))</f>
        <v/>
      </c>
      <c r="P353" s="48" t="str">
        <f>IF($AC353&gt;0,IF(ISNUMBER(INDEX(CASHBACK_RULES!$J$5:$J$304,$AC353)),INDEX(CASHBACK_RULES!$J$5:$J$304,$AC353),"∞"),"")</f>
        <v/>
      </c>
      <c r="Q353" s="48" t="str">
        <f>IF(OR($B353="",$D353=""),"",IF($AC353=0,0,MAX(0,MIN($O353,IF(ISNUMBER($P353),$P353-$AF353,1E+15),IF(ISNUMBER($AA353),$AA353-$AG353,1E+15)))))</f>
        <v/>
      </c>
      <c r="R353" s="48" t="str">
        <f>IF(OR($B353="",$D353=""),"",IF($AC353=0,"",IF(AND(NOT(ISNUMBER($P353)),NOT(ISNUMBER($AA353))),"∞",MAX(0,MIN(IF(ISNUMBER($P353),$P353-$AF353-$Q353,1E+15),IF(ISNUMBER($AA353),$AA353-$AG353-$Q353,1E+15))))))</f>
        <v/>
      </c>
      <c r="S353" s="47" t="str">
        <f>IF($AD353="","",YEAR($AD353)*100+MONTH($AD353))</f>
        <v/>
      </c>
      <c r="T353" s="50" t="str">
        <f>IF($AD353="","",IFERROR(IF(INDEX(CARDS!$I$5:$I$34,MATCH($D353,CARDS!$A$5:$A$34,0))="","",IF(INDEX(CARDS!$I$5:$I$34,MATCH($D353,CARDS!$A$5:$A$34,0))&gt;INDEX(CARDS!$H$5:$H$34,MATCH($D353,CARDS!$A$5:$A$34,0)),DATE(YEAR($AD353),MONTH($AD353),MIN(INDEX(CARDS!$I$5:$I$34,MATCH($D353,CARDS!$A$5:$A$34,0)),DAY(EOMONTH($AD353,0)))),DATE(YEAR($AD353),MONTH($AD353)+1,MIN(INDEX(CARDS!$I$5:$I$34,MATCH($D353,CARDS!$A$5:$A$34,0)),DAY(EOMONTH($AD353,1)))))),""))</f>
        <v/>
      </c>
      <c r="U353" s="38" t="n"/>
      <c r="V353" s="37" t="n"/>
      <c r="W353" s="38" t="n"/>
      <c r="X353" s="38" t="n"/>
      <c r="Y353" s="44" t="str">
        <f>IF($AC353&gt;0,INDEX(CASHBACK_RULES!$A$5:$A$304,$AC353),"")</f>
        <v/>
      </c>
      <c r="Z353" s="45" t="str">
        <f>IF($AC353&gt;0,INDEX(CASHBACK_RULES!$E$5:$E$304,$AC353)&amp;"","")</f>
        <v/>
      </c>
      <c r="AA353" s="48" t="str">
        <f>IF($AC353&gt;0,IF(ISNUMBER(INDEX(CASHBACK_RULES!$K$5:$K$304,$AC353)),INDEX(CASHBACK_RULES!$K$5:$K$304,$AC353),"∞"),"")</f>
        <v/>
      </c>
      <c r="AB353" s="44" t="str">
        <f>IF(OR($B353="",$D353=""),"",IF($U353="Cancelled","Đã hủy",IF($AC353=0,"Không được hoàn",IF($Q353=0,IF(OR($O353&gt;0,$M353&lt;$L353),"Đã đạt cap","Không được hoàn"),IF(OR($Q353&lt;$O353,$M353&lt;$L353),"Hoàn một phần","Được hoàn")))))</f>
        <v/>
      </c>
      <c r="AC353" s="43">
        <f>IF(OR($B353="",$D353="",$I353="",$L353=""),0,IF($U353="Cancelled",0,IF($W353&lt;&gt;"",IFERROR(IF(INDEX(CASHBACK_RULES!$B$5:$B$304,MATCH($W353,CASHBACK_RULES!$A$5:$A$304,0))=$D353,MATCH($W353,CASHBACK_RULES!$A$5:$A$304,0),0),0),IFERROR(MATCH(1,INDEX((CASHBACK_RULES!$B$5:$B$304=$D353)*(CASHBACK_RULES!$G$5:$G$304=$I353)*(((CASHBACK_RULES!$N$5:$N$304="")+(CASHBACK_RULES!$N$5:$N$304&lt;=$B353))&gt;0)*(((CASHBACK_RULES!$O$5:$O$304="")+(CASHBACK_RULES!$O$5:$O$304&gt;=$B353))&gt;0)*(((CASHBACK_RULES!$M$5:$M$304="")+(CASHBACK_RULES!$M$5:$M$304&lt;=$L353))&gt;0),0),0),0))))</f>
        <v>0</v>
      </c>
      <c r="AD353" s="51" t="str">
        <f>IF(OR($B353="",$D353=""),"",IFERROR(IF(INDEX(CARDS!$H$5:$H$34,MATCH($D353,CARDS!$A$5:$A$34,0))="","",IF(DAY($B353)&lt;=INDEX(CARDS!$H$5:$H$34,MATCH($D353,CARDS!$A$5:$A$34,0)),DATE(YEAR($B353),MONTH($B353),MIN(INDEX(CARDS!$H$5:$H$34,MATCH($D353,CARDS!$A$5:$A$34,0)),DAY(EOMONTH($B353,0)))),DATE(YEAR($B353),MONTH($B353)+1,MIN(INDEX(CARDS!$H$5:$H$34,MATCH($D353,CARDS!$A$5:$A$34,0)),DAY(EOMONTH($B353,1)))))),""))</f>
        <v/>
      </c>
      <c r="AE353" s="52" t="str">
        <f>IF($C353="","",$C353&amp;"|"&amp;COUNTIF($C$5:$C353,$C353))</f>
        <v/>
      </c>
      <c r="AF353" s="53">
        <f>IF($AC353&gt;0,SUMIFS(Q$4:Q352,$D$4:$D352,$D353,$Z$4:$Z352,$Z353,$C$4:$C352,$C353),0)</f>
        <v>0</v>
      </c>
      <c r="AG353" s="53">
        <f>IF($AC353&gt;0,SUMIFS(Q$4:Q352,$D$4:$D352,$D353,$C$4:$C352,$C353),0)</f>
        <v>0</v>
      </c>
      <c r="AH353" s="53">
        <f>IF($AC353&gt;0,SUMIFS(M$4:M352,$D$4:$D352,$D353,$Z$4:$Z352,$Z353,$C$4:$C352,$C353),0)</f>
        <v>0</v>
      </c>
      <c r="AI353" s="43">
        <f>IF(OR($C353="",$I353=""),0,IF(COUNTIFS($C$5:$C353,$C353,$I$5:$I353,$I353)=1,1,0))</f>
        <v>0</v>
      </c>
      <c r="AJ353" s="43" t="str">
        <f>IF($AI353=1,SUMIFS($AI$4:$AI352,$C$4:$C352,$C353)+1,"")</f>
        <v/>
      </c>
      <c r="AK353" s="43">
        <f>IF(OR($C353="",$K353=""),0,IF(COUNTIFS($C$5:$C353,$C353,$K$5:$K353,$K353)=1,1,0))</f>
        <v>0</v>
      </c>
      <c r="AL353" s="43" t="str">
        <f>IF($AK353=1,SUMIFS($AK$4:$AK352,$C$4:$C352,$C353)+1,"")</f>
        <v/>
      </c>
      <c r="AM353" s="43">
        <f>IF(OR($C353="",$G353=""),0,IF(COUNTIFS($C$5:$C353,$C353,$G$5:$G353,$G353)=1,1,0))</f>
        <v>0</v>
      </c>
      <c r="AN353" s="43" t="str">
        <f>IF($AM353=1,SUMIFS($AM$4:$AM352,$C$4:$C352,$C353)+1,"")</f>
        <v/>
      </c>
    </row>
    <row r="354">
      <c r="A354" s="44" t="str">
        <f>IF(OR($B354="",$D354=""),"","TX"&amp;TEXT(ROW()-4,"0000"))</f>
        <v/>
      </c>
      <c r="B354" s="42" t="n"/>
      <c r="C354" s="47" t="str">
        <f>IF($B354="","",YEAR($B354)*100+MONTH($B354))</f>
        <v/>
      </c>
      <c r="D354" s="37" t="n"/>
      <c r="E354" s="45" t="str">
        <f>IF($D354="","",IFERROR(INDEX(CARDS!$B$5:$B$34,MATCH($D354,CARDS!$A$5:$A$34,0)),"⚠ Card ID?"))</f>
        <v/>
      </c>
      <c r="F354" s="45" t="str">
        <f>IF($D354="","",IFERROR(INDEX(CARDS!$C$5:$C$34,MATCH($D354,CARDS!$A$5:$A$34,0)),"⚠ Card ID?"))</f>
        <v/>
      </c>
      <c r="G354" s="37" t="n"/>
      <c r="H354" s="37" t="n"/>
      <c r="I354" s="41" t="n"/>
      <c r="J354" s="45" t="str">
        <f>IF($I354="","",IFERROR(INDEX(MCC_MASTER!$B$5:$B$504,MATCH($I354,MCC_MASTER!$A$5:$A$504,0)),"⚠ MCC chưa có"))</f>
        <v/>
      </c>
      <c r="K354" s="45" t="str">
        <f>IF($I354="","",IFERROR(IF(INDEX(MCC_MASTER!$C$5:$C$504,MATCH($I354,MCC_MASTER!$A$5:$A$504,0))="","Chưa phân loại",INDEX(MCC_MASTER!$C$5:$C$504,MATCH($I354,MCC_MASTER!$A$5:$A$504,0))),"Chưa phân loại"))</f>
        <v/>
      </c>
      <c r="L354" s="40" t="n"/>
      <c r="M354" s="48" t="str">
        <f>IF(OR($B354="",$D354=""),"",IF($AC354=0,0,IF(ISNUMBER(INDEX(CASHBACK_RULES!$L$5:$L$304,$AC354)),MAX(0,MIN($L354,INDEX(CASHBACK_RULES!$L$5:$L$304,$AC354)-$AH354)),MAX(0,$L354))))</f>
        <v/>
      </c>
      <c r="N354" s="49" t="str">
        <f>IF(OR($B354="",$D354=""),"",IF($AC354&gt;0,INDEX(CASHBACK_RULES!$I$5:$I$304,$AC354),0))</f>
        <v/>
      </c>
      <c r="O354" s="48" t="str">
        <f>IF(OR($B354="",$D354=""),"",ROUND($M354*$N354,0))</f>
        <v/>
      </c>
      <c r="P354" s="48" t="str">
        <f>IF($AC354&gt;0,IF(ISNUMBER(INDEX(CASHBACK_RULES!$J$5:$J$304,$AC354)),INDEX(CASHBACK_RULES!$J$5:$J$304,$AC354),"∞"),"")</f>
        <v/>
      </c>
      <c r="Q354" s="48" t="str">
        <f>IF(OR($B354="",$D354=""),"",IF($AC354=0,0,MAX(0,MIN($O354,IF(ISNUMBER($P354),$P354-$AF354,1E+15),IF(ISNUMBER($AA354),$AA354-$AG354,1E+15)))))</f>
        <v/>
      </c>
      <c r="R354" s="48" t="str">
        <f>IF(OR($B354="",$D354=""),"",IF($AC354=0,"",IF(AND(NOT(ISNUMBER($P354)),NOT(ISNUMBER($AA354))),"∞",MAX(0,MIN(IF(ISNUMBER($P354),$P354-$AF354-$Q354,1E+15),IF(ISNUMBER($AA354),$AA354-$AG354-$Q354,1E+15))))))</f>
        <v/>
      </c>
      <c r="S354" s="47" t="str">
        <f>IF($AD354="","",YEAR($AD354)*100+MONTH($AD354))</f>
        <v/>
      </c>
      <c r="T354" s="50" t="str">
        <f>IF($AD354="","",IFERROR(IF(INDEX(CARDS!$I$5:$I$34,MATCH($D354,CARDS!$A$5:$A$34,0))="","",IF(INDEX(CARDS!$I$5:$I$34,MATCH($D354,CARDS!$A$5:$A$34,0))&gt;INDEX(CARDS!$H$5:$H$34,MATCH($D354,CARDS!$A$5:$A$34,0)),DATE(YEAR($AD354),MONTH($AD354),MIN(INDEX(CARDS!$I$5:$I$34,MATCH($D354,CARDS!$A$5:$A$34,0)),DAY(EOMONTH($AD354,0)))),DATE(YEAR($AD354),MONTH($AD354)+1,MIN(INDEX(CARDS!$I$5:$I$34,MATCH($D354,CARDS!$A$5:$A$34,0)),DAY(EOMONTH($AD354,1)))))),""))</f>
        <v/>
      </c>
      <c r="U354" s="38" t="n"/>
      <c r="V354" s="37" t="n"/>
      <c r="W354" s="38" t="n"/>
      <c r="X354" s="38" t="n"/>
      <c r="Y354" s="44" t="str">
        <f>IF($AC354&gt;0,INDEX(CASHBACK_RULES!$A$5:$A$304,$AC354),"")</f>
        <v/>
      </c>
      <c r="Z354" s="45" t="str">
        <f>IF($AC354&gt;0,INDEX(CASHBACK_RULES!$E$5:$E$304,$AC354)&amp;"","")</f>
        <v/>
      </c>
      <c r="AA354" s="48" t="str">
        <f>IF($AC354&gt;0,IF(ISNUMBER(INDEX(CASHBACK_RULES!$K$5:$K$304,$AC354)),INDEX(CASHBACK_RULES!$K$5:$K$304,$AC354),"∞"),"")</f>
        <v/>
      </c>
      <c r="AB354" s="44" t="str">
        <f>IF(OR($B354="",$D354=""),"",IF($U354="Cancelled","Đã hủy",IF($AC354=0,"Không được hoàn",IF($Q354=0,IF(OR($O354&gt;0,$M354&lt;$L354),"Đã đạt cap","Không được hoàn"),IF(OR($Q354&lt;$O354,$M354&lt;$L354),"Hoàn một phần","Được hoàn")))))</f>
        <v/>
      </c>
      <c r="AC354" s="43">
        <f>IF(OR($B354="",$D354="",$I354="",$L354=""),0,IF($U354="Cancelled",0,IF($W354&lt;&gt;"",IFERROR(IF(INDEX(CASHBACK_RULES!$B$5:$B$304,MATCH($W354,CASHBACK_RULES!$A$5:$A$304,0))=$D354,MATCH($W354,CASHBACK_RULES!$A$5:$A$304,0),0),0),IFERROR(MATCH(1,INDEX((CASHBACK_RULES!$B$5:$B$304=$D354)*(CASHBACK_RULES!$G$5:$G$304=$I354)*(((CASHBACK_RULES!$N$5:$N$304="")+(CASHBACK_RULES!$N$5:$N$304&lt;=$B354))&gt;0)*(((CASHBACK_RULES!$O$5:$O$304="")+(CASHBACK_RULES!$O$5:$O$304&gt;=$B354))&gt;0)*(((CASHBACK_RULES!$M$5:$M$304="")+(CASHBACK_RULES!$M$5:$M$304&lt;=$L354))&gt;0),0),0),0))))</f>
        <v>0</v>
      </c>
      <c r="AD354" s="51" t="str">
        <f>IF(OR($B354="",$D354=""),"",IFERROR(IF(INDEX(CARDS!$H$5:$H$34,MATCH($D354,CARDS!$A$5:$A$34,0))="","",IF(DAY($B354)&lt;=INDEX(CARDS!$H$5:$H$34,MATCH($D354,CARDS!$A$5:$A$34,0)),DATE(YEAR($B354),MONTH($B354),MIN(INDEX(CARDS!$H$5:$H$34,MATCH($D354,CARDS!$A$5:$A$34,0)),DAY(EOMONTH($B354,0)))),DATE(YEAR($B354),MONTH($B354)+1,MIN(INDEX(CARDS!$H$5:$H$34,MATCH($D354,CARDS!$A$5:$A$34,0)),DAY(EOMONTH($B354,1)))))),""))</f>
        <v/>
      </c>
      <c r="AE354" s="52" t="str">
        <f>IF($C354="","",$C354&amp;"|"&amp;COUNTIF($C$5:$C354,$C354))</f>
        <v/>
      </c>
      <c r="AF354" s="53">
        <f>IF($AC354&gt;0,SUMIFS(Q$4:Q353,$D$4:$D353,$D354,$Z$4:$Z353,$Z354,$C$4:$C353,$C354),0)</f>
        <v>0</v>
      </c>
      <c r="AG354" s="53">
        <f>IF($AC354&gt;0,SUMIFS(Q$4:Q353,$D$4:$D353,$D354,$C$4:$C353,$C354),0)</f>
        <v>0</v>
      </c>
      <c r="AH354" s="53">
        <f>IF($AC354&gt;0,SUMIFS(M$4:M353,$D$4:$D353,$D354,$Z$4:$Z353,$Z354,$C$4:$C353,$C354),0)</f>
        <v>0</v>
      </c>
      <c r="AI354" s="43">
        <f>IF(OR($C354="",$I354=""),0,IF(COUNTIFS($C$5:$C354,$C354,$I$5:$I354,$I354)=1,1,0))</f>
        <v>0</v>
      </c>
      <c r="AJ354" s="43" t="str">
        <f>IF($AI354=1,SUMIFS($AI$4:$AI353,$C$4:$C353,$C354)+1,"")</f>
        <v/>
      </c>
      <c r="AK354" s="43">
        <f>IF(OR($C354="",$K354=""),0,IF(COUNTIFS($C$5:$C354,$C354,$K$5:$K354,$K354)=1,1,0))</f>
        <v>0</v>
      </c>
      <c r="AL354" s="43" t="str">
        <f>IF($AK354=1,SUMIFS($AK$4:$AK353,$C$4:$C353,$C354)+1,"")</f>
        <v/>
      </c>
      <c r="AM354" s="43">
        <f>IF(OR($C354="",$G354=""),0,IF(COUNTIFS($C$5:$C354,$C354,$G$5:$G354,$G354)=1,1,0))</f>
        <v>0</v>
      </c>
      <c r="AN354" s="43" t="str">
        <f>IF($AM354=1,SUMIFS($AM$4:$AM353,$C$4:$C353,$C354)+1,"")</f>
        <v/>
      </c>
    </row>
    <row r="355">
      <c r="A355" s="44" t="str">
        <f>IF(OR($B355="",$D355=""),"","TX"&amp;TEXT(ROW()-4,"0000"))</f>
        <v/>
      </c>
      <c r="B355" s="42" t="n"/>
      <c r="C355" s="47" t="str">
        <f>IF($B355="","",YEAR($B355)*100+MONTH($B355))</f>
        <v/>
      </c>
      <c r="D355" s="37" t="n"/>
      <c r="E355" s="45" t="str">
        <f>IF($D355="","",IFERROR(INDEX(CARDS!$B$5:$B$34,MATCH($D355,CARDS!$A$5:$A$34,0)),"⚠ Card ID?"))</f>
        <v/>
      </c>
      <c r="F355" s="45" t="str">
        <f>IF($D355="","",IFERROR(INDEX(CARDS!$C$5:$C$34,MATCH($D355,CARDS!$A$5:$A$34,0)),"⚠ Card ID?"))</f>
        <v/>
      </c>
      <c r="G355" s="37" t="n"/>
      <c r="H355" s="37" t="n"/>
      <c r="I355" s="41" t="n"/>
      <c r="J355" s="45" t="str">
        <f>IF($I355="","",IFERROR(INDEX(MCC_MASTER!$B$5:$B$504,MATCH($I355,MCC_MASTER!$A$5:$A$504,0)),"⚠ MCC chưa có"))</f>
        <v/>
      </c>
      <c r="K355" s="45" t="str">
        <f>IF($I355="","",IFERROR(IF(INDEX(MCC_MASTER!$C$5:$C$504,MATCH($I355,MCC_MASTER!$A$5:$A$504,0))="","Chưa phân loại",INDEX(MCC_MASTER!$C$5:$C$504,MATCH($I355,MCC_MASTER!$A$5:$A$504,0))),"Chưa phân loại"))</f>
        <v/>
      </c>
      <c r="L355" s="40" t="n"/>
      <c r="M355" s="48" t="str">
        <f>IF(OR($B355="",$D355=""),"",IF($AC355=0,0,IF(ISNUMBER(INDEX(CASHBACK_RULES!$L$5:$L$304,$AC355)),MAX(0,MIN($L355,INDEX(CASHBACK_RULES!$L$5:$L$304,$AC355)-$AH355)),MAX(0,$L355))))</f>
        <v/>
      </c>
      <c r="N355" s="49" t="str">
        <f>IF(OR($B355="",$D355=""),"",IF($AC355&gt;0,INDEX(CASHBACK_RULES!$I$5:$I$304,$AC355),0))</f>
        <v/>
      </c>
      <c r="O355" s="48" t="str">
        <f>IF(OR($B355="",$D355=""),"",ROUND($M355*$N355,0))</f>
        <v/>
      </c>
      <c r="P355" s="48" t="str">
        <f>IF($AC355&gt;0,IF(ISNUMBER(INDEX(CASHBACK_RULES!$J$5:$J$304,$AC355)),INDEX(CASHBACK_RULES!$J$5:$J$304,$AC355),"∞"),"")</f>
        <v/>
      </c>
      <c r="Q355" s="48" t="str">
        <f>IF(OR($B355="",$D355=""),"",IF($AC355=0,0,MAX(0,MIN($O355,IF(ISNUMBER($P355),$P355-$AF355,1E+15),IF(ISNUMBER($AA355),$AA355-$AG355,1E+15)))))</f>
        <v/>
      </c>
      <c r="R355" s="48" t="str">
        <f>IF(OR($B355="",$D355=""),"",IF($AC355=0,"",IF(AND(NOT(ISNUMBER($P355)),NOT(ISNUMBER($AA355))),"∞",MAX(0,MIN(IF(ISNUMBER($P355),$P355-$AF355-$Q355,1E+15),IF(ISNUMBER($AA355),$AA355-$AG355-$Q355,1E+15))))))</f>
        <v/>
      </c>
      <c r="S355" s="47" t="str">
        <f>IF($AD355="","",YEAR($AD355)*100+MONTH($AD355))</f>
        <v/>
      </c>
      <c r="T355" s="50" t="str">
        <f>IF($AD355="","",IFERROR(IF(INDEX(CARDS!$I$5:$I$34,MATCH($D355,CARDS!$A$5:$A$34,0))="","",IF(INDEX(CARDS!$I$5:$I$34,MATCH($D355,CARDS!$A$5:$A$34,0))&gt;INDEX(CARDS!$H$5:$H$34,MATCH($D355,CARDS!$A$5:$A$34,0)),DATE(YEAR($AD355),MONTH($AD355),MIN(INDEX(CARDS!$I$5:$I$34,MATCH($D355,CARDS!$A$5:$A$34,0)),DAY(EOMONTH($AD355,0)))),DATE(YEAR($AD355),MONTH($AD355)+1,MIN(INDEX(CARDS!$I$5:$I$34,MATCH($D355,CARDS!$A$5:$A$34,0)),DAY(EOMONTH($AD355,1)))))),""))</f>
        <v/>
      </c>
      <c r="U355" s="38" t="n"/>
      <c r="V355" s="37" t="n"/>
      <c r="W355" s="38" t="n"/>
      <c r="X355" s="38" t="n"/>
      <c r="Y355" s="44" t="str">
        <f>IF($AC355&gt;0,INDEX(CASHBACK_RULES!$A$5:$A$304,$AC355),"")</f>
        <v/>
      </c>
      <c r="Z355" s="45" t="str">
        <f>IF($AC355&gt;0,INDEX(CASHBACK_RULES!$E$5:$E$304,$AC355)&amp;"","")</f>
        <v/>
      </c>
      <c r="AA355" s="48" t="str">
        <f>IF($AC355&gt;0,IF(ISNUMBER(INDEX(CASHBACK_RULES!$K$5:$K$304,$AC355)),INDEX(CASHBACK_RULES!$K$5:$K$304,$AC355),"∞"),"")</f>
        <v/>
      </c>
      <c r="AB355" s="44" t="str">
        <f>IF(OR($B355="",$D355=""),"",IF($U355="Cancelled","Đã hủy",IF($AC355=0,"Không được hoàn",IF($Q355=0,IF(OR($O355&gt;0,$M355&lt;$L355),"Đã đạt cap","Không được hoàn"),IF(OR($Q355&lt;$O355,$M355&lt;$L355),"Hoàn một phần","Được hoàn")))))</f>
        <v/>
      </c>
      <c r="AC355" s="43">
        <f>IF(OR($B355="",$D355="",$I355="",$L355=""),0,IF($U355="Cancelled",0,IF($W355&lt;&gt;"",IFERROR(IF(INDEX(CASHBACK_RULES!$B$5:$B$304,MATCH($W355,CASHBACK_RULES!$A$5:$A$304,0))=$D355,MATCH($W355,CASHBACK_RULES!$A$5:$A$304,0),0),0),IFERROR(MATCH(1,INDEX((CASHBACK_RULES!$B$5:$B$304=$D355)*(CASHBACK_RULES!$G$5:$G$304=$I355)*(((CASHBACK_RULES!$N$5:$N$304="")+(CASHBACK_RULES!$N$5:$N$304&lt;=$B355))&gt;0)*(((CASHBACK_RULES!$O$5:$O$304="")+(CASHBACK_RULES!$O$5:$O$304&gt;=$B355))&gt;0)*(((CASHBACK_RULES!$M$5:$M$304="")+(CASHBACK_RULES!$M$5:$M$304&lt;=$L355))&gt;0),0),0),0))))</f>
        <v>0</v>
      </c>
      <c r="AD355" s="51" t="str">
        <f>IF(OR($B355="",$D355=""),"",IFERROR(IF(INDEX(CARDS!$H$5:$H$34,MATCH($D355,CARDS!$A$5:$A$34,0))="","",IF(DAY($B355)&lt;=INDEX(CARDS!$H$5:$H$34,MATCH($D355,CARDS!$A$5:$A$34,0)),DATE(YEAR($B355),MONTH($B355),MIN(INDEX(CARDS!$H$5:$H$34,MATCH($D355,CARDS!$A$5:$A$34,0)),DAY(EOMONTH($B355,0)))),DATE(YEAR($B355),MONTH($B355)+1,MIN(INDEX(CARDS!$H$5:$H$34,MATCH($D355,CARDS!$A$5:$A$34,0)),DAY(EOMONTH($B355,1)))))),""))</f>
        <v/>
      </c>
      <c r="AE355" s="52" t="str">
        <f>IF($C355="","",$C355&amp;"|"&amp;COUNTIF($C$5:$C355,$C355))</f>
        <v/>
      </c>
      <c r="AF355" s="53">
        <f>IF($AC355&gt;0,SUMIFS(Q$4:Q354,$D$4:$D354,$D355,$Z$4:$Z354,$Z355,$C$4:$C354,$C355),0)</f>
        <v>0</v>
      </c>
      <c r="AG355" s="53">
        <f>IF($AC355&gt;0,SUMIFS(Q$4:Q354,$D$4:$D354,$D355,$C$4:$C354,$C355),0)</f>
        <v>0</v>
      </c>
      <c r="AH355" s="53">
        <f>IF($AC355&gt;0,SUMIFS(M$4:M354,$D$4:$D354,$D355,$Z$4:$Z354,$Z355,$C$4:$C354,$C355),0)</f>
        <v>0</v>
      </c>
      <c r="AI355" s="43">
        <f>IF(OR($C355="",$I355=""),0,IF(COUNTIFS($C$5:$C355,$C355,$I$5:$I355,$I355)=1,1,0))</f>
        <v>0</v>
      </c>
      <c r="AJ355" s="43" t="str">
        <f>IF($AI355=1,SUMIFS($AI$4:$AI354,$C$4:$C354,$C355)+1,"")</f>
        <v/>
      </c>
      <c r="AK355" s="43">
        <f>IF(OR($C355="",$K355=""),0,IF(COUNTIFS($C$5:$C355,$C355,$K$5:$K355,$K355)=1,1,0))</f>
        <v>0</v>
      </c>
      <c r="AL355" s="43" t="str">
        <f>IF($AK355=1,SUMIFS($AK$4:$AK354,$C$4:$C354,$C355)+1,"")</f>
        <v/>
      </c>
      <c r="AM355" s="43">
        <f>IF(OR($C355="",$G355=""),0,IF(COUNTIFS($C$5:$C355,$C355,$G$5:$G355,$G355)=1,1,0))</f>
        <v>0</v>
      </c>
      <c r="AN355" s="43" t="str">
        <f>IF($AM355=1,SUMIFS($AM$4:$AM354,$C$4:$C354,$C355)+1,"")</f>
        <v/>
      </c>
    </row>
    <row r="356">
      <c r="A356" s="44" t="str">
        <f>IF(OR($B356="",$D356=""),"","TX"&amp;TEXT(ROW()-4,"0000"))</f>
        <v/>
      </c>
      <c r="B356" s="42" t="n"/>
      <c r="C356" s="47" t="str">
        <f>IF($B356="","",YEAR($B356)*100+MONTH($B356))</f>
        <v/>
      </c>
      <c r="D356" s="37" t="n"/>
      <c r="E356" s="45" t="str">
        <f>IF($D356="","",IFERROR(INDEX(CARDS!$B$5:$B$34,MATCH($D356,CARDS!$A$5:$A$34,0)),"⚠ Card ID?"))</f>
        <v/>
      </c>
      <c r="F356" s="45" t="str">
        <f>IF($D356="","",IFERROR(INDEX(CARDS!$C$5:$C$34,MATCH($D356,CARDS!$A$5:$A$34,0)),"⚠ Card ID?"))</f>
        <v/>
      </c>
      <c r="G356" s="37" t="n"/>
      <c r="H356" s="37" t="n"/>
      <c r="I356" s="41" t="n"/>
      <c r="J356" s="45" t="str">
        <f>IF($I356="","",IFERROR(INDEX(MCC_MASTER!$B$5:$B$504,MATCH($I356,MCC_MASTER!$A$5:$A$504,0)),"⚠ MCC chưa có"))</f>
        <v/>
      </c>
      <c r="K356" s="45" t="str">
        <f>IF($I356="","",IFERROR(IF(INDEX(MCC_MASTER!$C$5:$C$504,MATCH($I356,MCC_MASTER!$A$5:$A$504,0))="","Chưa phân loại",INDEX(MCC_MASTER!$C$5:$C$504,MATCH($I356,MCC_MASTER!$A$5:$A$504,0))),"Chưa phân loại"))</f>
        <v/>
      </c>
      <c r="L356" s="40" t="n"/>
      <c r="M356" s="48" t="str">
        <f>IF(OR($B356="",$D356=""),"",IF($AC356=0,0,IF(ISNUMBER(INDEX(CASHBACK_RULES!$L$5:$L$304,$AC356)),MAX(0,MIN($L356,INDEX(CASHBACK_RULES!$L$5:$L$304,$AC356)-$AH356)),MAX(0,$L356))))</f>
        <v/>
      </c>
      <c r="N356" s="49" t="str">
        <f>IF(OR($B356="",$D356=""),"",IF($AC356&gt;0,INDEX(CASHBACK_RULES!$I$5:$I$304,$AC356),0))</f>
        <v/>
      </c>
      <c r="O356" s="48" t="str">
        <f>IF(OR($B356="",$D356=""),"",ROUND($M356*$N356,0))</f>
        <v/>
      </c>
      <c r="P356" s="48" t="str">
        <f>IF($AC356&gt;0,IF(ISNUMBER(INDEX(CASHBACK_RULES!$J$5:$J$304,$AC356)),INDEX(CASHBACK_RULES!$J$5:$J$304,$AC356),"∞"),"")</f>
        <v/>
      </c>
      <c r="Q356" s="48" t="str">
        <f>IF(OR($B356="",$D356=""),"",IF($AC356=0,0,MAX(0,MIN($O356,IF(ISNUMBER($P356),$P356-$AF356,1E+15),IF(ISNUMBER($AA356),$AA356-$AG356,1E+15)))))</f>
        <v/>
      </c>
      <c r="R356" s="48" t="str">
        <f>IF(OR($B356="",$D356=""),"",IF($AC356=0,"",IF(AND(NOT(ISNUMBER($P356)),NOT(ISNUMBER($AA356))),"∞",MAX(0,MIN(IF(ISNUMBER($P356),$P356-$AF356-$Q356,1E+15),IF(ISNUMBER($AA356),$AA356-$AG356-$Q356,1E+15))))))</f>
        <v/>
      </c>
      <c r="S356" s="47" t="str">
        <f>IF($AD356="","",YEAR($AD356)*100+MONTH($AD356))</f>
        <v/>
      </c>
      <c r="T356" s="50" t="str">
        <f>IF($AD356="","",IFERROR(IF(INDEX(CARDS!$I$5:$I$34,MATCH($D356,CARDS!$A$5:$A$34,0))="","",IF(INDEX(CARDS!$I$5:$I$34,MATCH($D356,CARDS!$A$5:$A$34,0))&gt;INDEX(CARDS!$H$5:$H$34,MATCH($D356,CARDS!$A$5:$A$34,0)),DATE(YEAR($AD356),MONTH($AD356),MIN(INDEX(CARDS!$I$5:$I$34,MATCH($D356,CARDS!$A$5:$A$34,0)),DAY(EOMONTH($AD356,0)))),DATE(YEAR($AD356),MONTH($AD356)+1,MIN(INDEX(CARDS!$I$5:$I$34,MATCH($D356,CARDS!$A$5:$A$34,0)),DAY(EOMONTH($AD356,1)))))),""))</f>
        <v/>
      </c>
      <c r="U356" s="38" t="n"/>
      <c r="V356" s="37" t="n"/>
      <c r="W356" s="38" t="n"/>
      <c r="X356" s="38" t="n"/>
      <c r="Y356" s="44" t="str">
        <f>IF($AC356&gt;0,INDEX(CASHBACK_RULES!$A$5:$A$304,$AC356),"")</f>
        <v/>
      </c>
      <c r="Z356" s="45" t="str">
        <f>IF($AC356&gt;0,INDEX(CASHBACK_RULES!$E$5:$E$304,$AC356)&amp;"","")</f>
        <v/>
      </c>
      <c r="AA356" s="48" t="str">
        <f>IF($AC356&gt;0,IF(ISNUMBER(INDEX(CASHBACK_RULES!$K$5:$K$304,$AC356)),INDEX(CASHBACK_RULES!$K$5:$K$304,$AC356),"∞"),"")</f>
        <v/>
      </c>
      <c r="AB356" s="44" t="str">
        <f>IF(OR($B356="",$D356=""),"",IF($U356="Cancelled","Đã hủy",IF($AC356=0,"Không được hoàn",IF($Q356=0,IF(OR($O356&gt;0,$M356&lt;$L356),"Đã đạt cap","Không được hoàn"),IF(OR($Q356&lt;$O356,$M356&lt;$L356),"Hoàn một phần","Được hoàn")))))</f>
        <v/>
      </c>
      <c r="AC356" s="43">
        <f>IF(OR($B356="",$D356="",$I356="",$L356=""),0,IF($U356="Cancelled",0,IF($W356&lt;&gt;"",IFERROR(IF(INDEX(CASHBACK_RULES!$B$5:$B$304,MATCH($W356,CASHBACK_RULES!$A$5:$A$304,0))=$D356,MATCH($W356,CASHBACK_RULES!$A$5:$A$304,0),0),0),IFERROR(MATCH(1,INDEX((CASHBACK_RULES!$B$5:$B$304=$D356)*(CASHBACK_RULES!$G$5:$G$304=$I356)*(((CASHBACK_RULES!$N$5:$N$304="")+(CASHBACK_RULES!$N$5:$N$304&lt;=$B356))&gt;0)*(((CASHBACK_RULES!$O$5:$O$304="")+(CASHBACK_RULES!$O$5:$O$304&gt;=$B356))&gt;0)*(((CASHBACK_RULES!$M$5:$M$304="")+(CASHBACK_RULES!$M$5:$M$304&lt;=$L356))&gt;0),0),0),0))))</f>
        <v>0</v>
      </c>
      <c r="AD356" s="51" t="str">
        <f>IF(OR($B356="",$D356=""),"",IFERROR(IF(INDEX(CARDS!$H$5:$H$34,MATCH($D356,CARDS!$A$5:$A$34,0))="","",IF(DAY($B356)&lt;=INDEX(CARDS!$H$5:$H$34,MATCH($D356,CARDS!$A$5:$A$34,0)),DATE(YEAR($B356),MONTH($B356),MIN(INDEX(CARDS!$H$5:$H$34,MATCH($D356,CARDS!$A$5:$A$34,0)),DAY(EOMONTH($B356,0)))),DATE(YEAR($B356),MONTH($B356)+1,MIN(INDEX(CARDS!$H$5:$H$34,MATCH($D356,CARDS!$A$5:$A$34,0)),DAY(EOMONTH($B356,1)))))),""))</f>
        <v/>
      </c>
      <c r="AE356" s="52" t="str">
        <f>IF($C356="","",$C356&amp;"|"&amp;COUNTIF($C$5:$C356,$C356))</f>
        <v/>
      </c>
      <c r="AF356" s="53">
        <f>IF($AC356&gt;0,SUMIFS(Q$4:Q355,$D$4:$D355,$D356,$Z$4:$Z355,$Z356,$C$4:$C355,$C356),0)</f>
        <v>0</v>
      </c>
      <c r="AG356" s="53">
        <f>IF($AC356&gt;0,SUMIFS(Q$4:Q355,$D$4:$D355,$D356,$C$4:$C355,$C356),0)</f>
        <v>0</v>
      </c>
      <c r="AH356" s="53">
        <f>IF($AC356&gt;0,SUMIFS(M$4:M355,$D$4:$D355,$D356,$Z$4:$Z355,$Z356,$C$4:$C355,$C356),0)</f>
        <v>0</v>
      </c>
      <c r="AI356" s="43">
        <f>IF(OR($C356="",$I356=""),0,IF(COUNTIFS($C$5:$C356,$C356,$I$5:$I356,$I356)=1,1,0))</f>
        <v>0</v>
      </c>
      <c r="AJ356" s="43" t="str">
        <f>IF($AI356=1,SUMIFS($AI$4:$AI355,$C$4:$C355,$C356)+1,"")</f>
        <v/>
      </c>
      <c r="AK356" s="43">
        <f>IF(OR($C356="",$K356=""),0,IF(COUNTIFS($C$5:$C356,$C356,$K$5:$K356,$K356)=1,1,0))</f>
        <v>0</v>
      </c>
      <c r="AL356" s="43" t="str">
        <f>IF($AK356=1,SUMIFS($AK$4:$AK355,$C$4:$C355,$C356)+1,"")</f>
        <v/>
      </c>
      <c r="AM356" s="43">
        <f>IF(OR($C356="",$G356=""),0,IF(COUNTIFS($C$5:$C356,$C356,$G$5:$G356,$G356)=1,1,0))</f>
        <v>0</v>
      </c>
      <c r="AN356" s="43" t="str">
        <f>IF($AM356=1,SUMIFS($AM$4:$AM355,$C$4:$C355,$C356)+1,"")</f>
        <v/>
      </c>
    </row>
    <row r="357">
      <c r="A357" s="44" t="str">
        <f>IF(OR($B357="",$D357=""),"","TX"&amp;TEXT(ROW()-4,"0000"))</f>
        <v/>
      </c>
      <c r="B357" s="42" t="n"/>
      <c r="C357" s="47" t="str">
        <f>IF($B357="","",YEAR($B357)*100+MONTH($B357))</f>
        <v/>
      </c>
      <c r="D357" s="37" t="n"/>
      <c r="E357" s="45" t="str">
        <f>IF($D357="","",IFERROR(INDEX(CARDS!$B$5:$B$34,MATCH($D357,CARDS!$A$5:$A$34,0)),"⚠ Card ID?"))</f>
        <v/>
      </c>
      <c r="F357" s="45" t="str">
        <f>IF($D357="","",IFERROR(INDEX(CARDS!$C$5:$C$34,MATCH($D357,CARDS!$A$5:$A$34,0)),"⚠ Card ID?"))</f>
        <v/>
      </c>
      <c r="G357" s="37" t="n"/>
      <c r="H357" s="37" t="n"/>
      <c r="I357" s="41" t="n"/>
      <c r="J357" s="45" t="str">
        <f>IF($I357="","",IFERROR(INDEX(MCC_MASTER!$B$5:$B$504,MATCH($I357,MCC_MASTER!$A$5:$A$504,0)),"⚠ MCC chưa có"))</f>
        <v/>
      </c>
      <c r="K357" s="45" t="str">
        <f>IF($I357="","",IFERROR(IF(INDEX(MCC_MASTER!$C$5:$C$504,MATCH($I357,MCC_MASTER!$A$5:$A$504,0))="","Chưa phân loại",INDEX(MCC_MASTER!$C$5:$C$504,MATCH($I357,MCC_MASTER!$A$5:$A$504,0))),"Chưa phân loại"))</f>
        <v/>
      </c>
      <c r="L357" s="40" t="n"/>
      <c r="M357" s="48" t="str">
        <f>IF(OR($B357="",$D357=""),"",IF($AC357=0,0,IF(ISNUMBER(INDEX(CASHBACK_RULES!$L$5:$L$304,$AC357)),MAX(0,MIN($L357,INDEX(CASHBACK_RULES!$L$5:$L$304,$AC357)-$AH357)),MAX(0,$L357))))</f>
        <v/>
      </c>
      <c r="N357" s="49" t="str">
        <f>IF(OR($B357="",$D357=""),"",IF($AC357&gt;0,INDEX(CASHBACK_RULES!$I$5:$I$304,$AC357),0))</f>
        <v/>
      </c>
      <c r="O357" s="48" t="str">
        <f>IF(OR($B357="",$D357=""),"",ROUND($M357*$N357,0))</f>
        <v/>
      </c>
      <c r="P357" s="48" t="str">
        <f>IF($AC357&gt;0,IF(ISNUMBER(INDEX(CASHBACK_RULES!$J$5:$J$304,$AC357)),INDEX(CASHBACK_RULES!$J$5:$J$304,$AC357),"∞"),"")</f>
        <v/>
      </c>
      <c r="Q357" s="48" t="str">
        <f>IF(OR($B357="",$D357=""),"",IF($AC357=0,0,MAX(0,MIN($O357,IF(ISNUMBER($P357),$P357-$AF357,1E+15),IF(ISNUMBER($AA357),$AA357-$AG357,1E+15)))))</f>
        <v/>
      </c>
      <c r="R357" s="48" t="str">
        <f>IF(OR($B357="",$D357=""),"",IF($AC357=0,"",IF(AND(NOT(ISNUMBER($P357)),NOT(ISNUMBER($AA357))),"∞",MAX(0,MIN(IF(ISNUMBER($P357),$P357-$AF357-$Q357,1E+15),IF(ISNUMBER($AA357),$AA357-$AG357-$Q357,1E+15))))))</f>
        <v/>
      </c>
      <c r="S357" s="47" t="str">
        <f>IF($AD357="","",YEAR($AD357)*100+MONTH($AD357))</f>
        <v/>
      </c>
      <c r="T357" s="50" t="str">
        <f>IF($AD357="","",IFERROR(IF(INDEX(CARDS!$I$5:$I$34,MATCH($D357,CARDS!$A$5:$A$34,0))="","",IF(INDEX(CARDS!$I$5:$I$34,MATCH($D357,CARDS!$A$5:$A$34,0))&gt;INDEX(CARDS!$H$5:$H$34,MATCH($D357,CARDS!$A$5:$A$34,0)),DATE(YEAR($AD357),MONTH($AD357),MIN(INDEX(CARDS!$I$5:$I$34,MATCH($D357,CARDS!$A$5:$A$34,0)),DAY(EOMONTH($AD357,0)))),DATE(YEAR($AD357),MONTH($AD357)+1,MIN(INDEX(CARDS!$I$5:$I$34,MATCH($D357,CARDS!$A$5:$A$34,0)),DAY(EOMONTH($AD357,1)))))),""))</f>
        <v/>
      </c>
      <c r="U357" s="38" t="n"/>
      <c r="V357" s="37" t="n"/>
      <c r="W357" s="38" t="n"/>
      <c r="X357" s="38" t="n"/>
      <c r="Y357" s="44" t="str">
        <f>IF($AC357&gt;0,INDEX(CASHBACK_RULES!$A$5:$A$304,$AC357),"")</f>
        <v/>
      </c>
      <c r="Z357" s="45" t="str">
        <f>IF($AC357&gt;0,INDEX(CASHBACK_RULES!$E$5:$E$304,$AC357)&amp;"","")</f>
        <v/>
      </c>
      <c r="AA357" s="48" t="str">
        <f>IF($AC357&gt;0,IF(ISNUMBER(INDEX(CASHBACK_RULES!$K$5:$K$304,$AC357)),INDEX(CASHBACK_RULES!$K$5:$K$304,$AC357),"∞"),"")</f>
        <v/>
      </c>
      <c r="AB357" s="44" t="str">
        <f>IF(OR($B357="",$D357=""),"",IF($U357="Cancelled","Đã hủy",IF($AC357=0,"Không được hoàn",IF($Q357=0,IF(OR($O357&gt;0,$M357&lt;$L357),"Đã đạt cap","Không được hoàn"),IF(OR($Q357&lt;$O357,$M357&lt;$L357),"Hoàn một phần","Được hoàn")))))</f>
        <v/>
      </c>
      <c r="AC357" s="43">
        <f>IF(OR($B357="",$D357="",$I357="",$L357=""),0,IF($U357="Cancelled",0,IF($W357&lt;&gt;"",IFERROR(IF(INDEX(CASHBACK_RULES!$B$5:$B$304,MATCH($W357,CASHBACK_RULES!$A$5:$A$304,0))=$D357,MATCH($W357,CASHBACK_RULES!$A$5:$A$304,0),0),0),IFERROR(MATCH(1,INDEX((CASHBACK_RULES!$B$5:$B$304=$D357)*(CASHBACK_RULES!$G$5:$G$304=$I357)*(((CASHBACK_RULES!$N$5:$N$304="")+(CASHBACK_RULES!$N$5:$N$304&lt;=$B357))&gt;0)*(((CASHBACK_RULES!$O$5:$O$304="")+(CASHBACK_RULES!$O$5:$O$304&gt;=$B357))&gt;0)*(((CASHBACK_RULES!$M$5:$M$304="")+(CASHBACK_RULES!$M$5:$M$304&lt;=$L357))&gt;0),0),0),0))))</f>
        <v>0</v>
      </c>
      <c r="AD357" s="51" t="str">
        <f>IF(OR($B357="",$D357=""),"",IFERROR(IF(INDEX(CARDS!$H$5:$H$34,MATCH($D357,CARDS!$A$5:$A$34,0))="","",IF(DAY($B357)&lt;=INDEX(CARDS!$H$5:$H$34,MATCH($D357,CARDS!$A$5:$A$34,0)),DATE(YEAR($B357),MONTH($B357),MIN(INDEX(CARDS!$H$5:$H$34,MATCH($D357,CARDS!$A$5:$A$34,0)),DAY(EOMONTH($B357,0)))),DATE(YEAR($B357),MONTH($B357)+1,MIN(INDEX(CARDS!$H$5:$H$34,MATCH($D357,CARDS!$A$5:$A$34,0)),DAY(EOMONTH($B357,1)))))),""))</f>
        <v/>
      </c>
      <c r="AE357" s="52" t="str">
        <f>IF($C357="","",$C357&amp;"|"&amp;COUNTIF($C$5:$C357,$C357))</f>
        <v/>
      </c>
      <c r="AF357" s="53">
        <f>IF($AC357&gt;0,SUMIFS(Q$4:Q356,$D$4:$D356,$D357,$Z$4:$Z356,$Z357,$C$4:$C356,$C357),0)</f>
        <v>0</v>
      </c>
      <c r="AG357" s="53">
        <f>IF($AC357&gt;0,SUMIFS(Q$4:Q356,$D$4:$D356,$D357,$C$4:$C356,$C357),0)</f>
        <v>0</v>
      </c>
      <c r="AH357" s="53">
        <f>IF($AC357&gt;0,SUMIFS(M$4:M356,$D$4:$D356,$D357,$Z$4:$Z356,$Z357,$C$4:$C356,$C357),0)</f>
        <v>0</v>
      </c>
      <c r="AI357" s="43">
        <f>IF(OR($C357="",$I357=""),0,IF(COUNTIFS($C$5:$C357,$C357,$I$5:$I357,$I357)=1,1,0))</f>
        <v>0</v>
      </c>
      <c r="AJ357" s="43" t="str">
        <f>IF($AI357=1,SUMIFS($AI$4:$AI356,$C$4:$C356,$C357)+1,"")</f>
        <v/>
      </c>
      <c r="AK357" s="43">
        <f>IF(OR($C357="",$K357=""),0,IF(COUNTIFS($C$5:$C357,$C357,$K$5:$K357,$K357)=1,1,0))</f>
        <v>0</v>
      </c>
      <c r="AL357" s="43" t="str">
        <f>IF($AK357=1,SUMIFS($AK$4:$AK356,$C$4:$C356,$C357)+1,"")</f>
        <v/>
      </c>
      <c r="AM357" s="43">
        <f>IF(OR($C357="",$G357=""),0,IF(COUNTIFS($C$5:$C357,$C357,$G$5:$G357,$G357)=1,1,0))</f>
        <v>0</v>
      </c>
      <c r="AN357" s="43" t="str">
        <f>IF($AM357=1,SUMIFS($AM$4:$AM356,$C$4:$C356,$C357)+1,"")</f>
        <v/>
      </c>
    </row>
    <row r="358">
      <c r="A358" s="44" t="str">
        <f>IF(OR($B358="",$D358=""),"","TX"&amp;TEXT(ROW()-4,"0000"))</f>
        <v/>
      </c>
      <c r="B358" s="42" t="n"/>
      <c r="C358" s="47" t="str">
        <f>IF($B358="","",YEAR($B358)*100+MONTH($B358))</f>
        <v/>
      </c>
      <c r="D358" s="37" t="n"/>
      <c r="E358" s="45" t="str">
        <f>IF($D358="","",IFERROR(INDEX(CARDS!$B$5:$B$34,MATCH($D358,CARDS!$A$5:$A$34,0)),"⚠ Card ID?"))</f>
        <v/>
      </c>
      <c r="F358" s="45" t="str">
        <f>IF($D358="","",IFERROR(INDEX(CARDS!$C$5:$C$34,MATCH($D358,CARDS!$A$5:$A$34,0)),"⚠ Card ID?"))</f>
        <v/>
      </c>
      <c r="G358" s="37" t="n"/>
      <c r="H358" s="37" t="n"/>
      <c r="I358" s="41" t="n"/>
      <c r="J358" s="45" t="str">
        <f>IF($I358="","",IFERROR(INDEX(MCC_MASTER!$B$5:$B$504,MATCH($I358,MCC_MASTER!$A$5:$A$504,0)),"⚠ MCC chưa có"))</f>
        <v/>
      </c>
      <c r="K358" s="45" t="str">
        <f>IF($I358="","",IFERROR(IF(INDEX(MCC_MASTER!$C$5:$C$504,MATCH($I358,MCC_MASTER!$A$5:$A$504,0))="","Chưa phân loại",INDEX(MCC_MASTER!$C$5:$C$504,MATCH($I358,MCC_MASTER!$A$5:$A$504,0))),"Chưa phân loại"))</f>
        <v/>
      </c>
      <c r="L358" s="40" t="n"/>
      <c r="M358" s="48" t="str">
        <f>IF(OR($B358="",$D358=""),"",IF($AC358=0,0,IF(ISNUMBER(INDEX(CASHBACK_RULES!$L$5:$L$304,$AC358)),MAX(0,MIN($L358,INDEX(CASHBACK_RULES!$L$5:$L$304,$AC358)-$AH358)),MAX(0,$L358))))</f>
        <v/>
      </c>
      <c r="N358" s="49" t="str">
        <f>IF(OR($B358="",$D358=""),"",IF($AC358&gt;0,INDEX(CASHBACK_RULES!$I$5:$I$304,$AC358),0))</f>
        <v/>
      </c>
      <c r="O358" s="48" t="str">
        <f>IF(OR($B358="",$D358=""),"",ROUND($M358*$N358,0))</f>
        <v/>
      </c>
      <c r="P358" s="48" t="str">
        <f>IF($AC358&gt;0,IF(ISNUMBER(INDEX(CASHBACK_RULES!$J$5:$J$304,$AC358)),INDEX(CASHBACK_RULES!$J$5:$J$304,$AC358),"∞"),"")</f>
        <v/>
      </c>
      <c r="Q358" s="48" t="str">
        <f>IF(OR($B358="",$D358=""),"",IF($AC358=0,0,MAX(0,MIN($O358,IF(ISNUMBER($P358),$P358-$AF358,1E+15),IF(ISNUMBER($AA358),$AA358-$AG358,1E+15)))))</f>
        <v/>
      </c>
      <c r="R358" s="48" t="str">
        <f>IF(OR($B358="",$D358=""),"",IF($AC358=0,"",IF(AND(NOT(ISNUMBER($P358)),NOT(ISNUMBER($AA358))),"∞",MAX(0,MIN(IF(ISNUMBER($P358),$P358-$AF358-$Q358,1E+15),IF(ISNUMBER($AA358),$AA358-$AG358-$Q358,1E+15))))))</f>
        <v/>
      </c>
      <c r="S358" s="47" t="str">
        <f>IF($AD358="","",YEAR($AD358)*100+MONTH($AD358))</f>
        <v/>
      </c>
      <c r="T358" s="50" t="str">
        <f>IF($AD358="","",IFERROR(IF(INDEX(CARDS!$I$5:$I$34,MATCH($D358,CARDS!$A$5:$A$34,0))="","",IF(INDEX(CARDS!$I$5:$I$34,MATCH($D358,CARDS!$A$5:$A$34,0))&gt;INDEX(CARDS!$H$5:$H$34,MATCH($D358,CARDS!$A$5:$A$34,0)),DATE(YEAR($AD358),MONTH($AD358),MIN(INDEX(CARDS!$I$5:$I$34,MATCH($D358,CARDS!$A$5:$A$34,0)),DAY(EOMONTH($AD358,0)))),DATE(YEAR($AD358),MONTH($AD358)+1,MIN(INDEX(CARDS!$I$5:$I$34,MATCH($D358,CARDS!$A$5:$A$34,0)),DAY(EOMONTH($AD358,1)))))),""))</f>
        <v/>
      </c>
      <c r="U358" s="38" t="n"/>
      <c r="V358" s="37" t="n"/>
      <c r="W358" s="38" t="n"/>
      <c r="X358" s="38" t="n"/>
      <c r="Y358" s="44" t="str">
        <f>IF($AC358&gt;0,INDEX(CASHBACK_RULES!$A$5:$A$304,$AC358),"")</f>
        <v/>
      </c>
      <c r="Z358" s="45" t="str">
        <f>IF($AC358&gt;0,INDEX(CASHBACK_RULES!$E$5:$E$304,$AC358)&amp;"","")</f>
        <v/>
      </c>
      <c r="AA358" s="48" t="str">
        <f>IF($AC358&gt;0,IF(ISNUMBER(INDEX(CASHBACK_RULES!$K$5:$K$304,$AC358)),INDEX(CASHBACK_RULES!$K$5:$K$304,$AC358),"∞"),"")</f>
        <v/>
      </c>
      <c r="AB358" s="44" t="str">
        <f>IF(OR($B358="",$D358=""),"",IF($U358="Cancelled","Đã hủy",IF($AC358=0,"Không được hoàn",IF($Q358=0,IF(OR($O358&gt;0,$M358&lt;$L358),"Đã đạt cap","Không được hoàn"),IF(OR($Q358&lt;$O358,$M358&lt;$L358),"Hoàn một phần","Được hoàn")))))</f>
        <v/>
      </c>
      <c r="AC358" s="43">
        <f>IF(OR($B358="",$D358="",$I358="",$L358=""),0,IF($U358="Cancelled",0,IF($W358&lt;&gt;"",IFERROR(IF(INDEX(CASHBACK_RULES!$B$5:$B$304,MATCH($W358,CASHBACK_RULES!$A$5:$A$304,0))=$D358,MATCH($W358,CASHBACK_RULES!$A$5:$A$304,0),0),0),IFERROR(MATCH(1,INDEX((CASHBACK_RULES!$B$5:$B$304=$D358)*(CASHBACK_RULES!$G$5:$G$304=$I358)*(((CASHBACK_RULES!$N$5:$N$304="")+(CASHBACK_RULES!$N$5:$N$304&lt;=$B358))&gt;0)*(((CASHBACK_RULES!$O$5:$O$304="")+(CASHBACK_RULES!$O$5:$O$304&gt;=$B358))&gt;0)*(((CASHBACK_RULES!$M$5:$M$304="")+(CASHBACK_RULES!$M$5:$M$304&lt;=$L358))&gt;0),0),0),0))))</f>
        <v>0</v>
      </c>
      <c r="AD358" s="51" t="str">
        <f>IF(OR($B358="",$D358=""),"",IFERROR(IF(INDEX(CARDS!$H$5:$H$34,MATCH($D358,CARDS!$A$5:$A$34,0))="","",IF(DAY($B358)&lt;=INDEX(CARDS!$H$5:$H$34,MATCH($D358,CARDS!$A$5:$A$34,0)),DATE(YEAR($B358),MONTH($B358),MIN(INDEX(CARDS!$H$5:$H$34,MATCH($D358,CARDS!$A$5:$A$34,0)),DAY(EOMONTH($B358,0)))),DATE(YEAR($B358),MONTH($B358)+1,MIN(INDEX(CARDS!$H$5:$H$34,MATCH($D358,CARDS!$A$5:$A$34,0)),DAY(EOMONTH($B358,1)))))),""))</f>
        <v/>
      </c>
      <c r="AE358" s="52" t="str">
        <f>IF($C358="","",$C358&amp;"|"&amp;COUNTIF($C$5:$C358,$C358))</f>
        <v/>
      </c>
      <c r="AF358" s="53">
        <f>IF($AC358&gt;0,SUMIFS(Q$4:Q357,$D$4:$D357,$D358,$Z$4:$Z357,$Z358,$C$4:$C357,$C358),0)</f>
        <v>0</v>
      </c>
      <c r="AG358" s="53">
        <f>IF($AC358&gt;0,SUMIFS(Q$4:Q357,$D$4:$D357,$D358,$C$4:$C357,$C358),0)</f>
        <v>0</v>
      </c>
      <c r="AH358" s="53">
        <f>IF($AC358&gt;0,SUMIFS(M$4:M357,$D$4:$D357,$D358,$Z$4:$Z357,$Z358,$C$4:$C357,$C358),0)</f>
        <v>0</v>
      </c>
      <c r="AI358" s="43">
        <f>IF(OR($C358="",$I358=""),0,IF(COUNTIFS($C$5:$C358,$C358,$I$5:$I358,$I358)=1,1,0))</f>
        <v>0</v>
      </c>
      <c r="AJ358" s="43" t="str">
        <f>IF($AI358=1,SUMIFS($AI$4:$AI357,$C$4:$C357,$C358)+1,"")</f>
        <v/>
      </c>
      <c r="AK358" s="43">
        <f>IF(OR($C358="",$K358=""),0,IF(COUNTIFS($C$5:$C358,$C358,$K$5:$K358,$K358)=1,1,0))</f>
        <v>0</v>
      </c>
      <c r="AL358" s="43" t="str">
        <f>IF($AK358=1,SUMIFS($AK$4:$AK357,$C$4:$C357,$C358)+1,"")</f>
        <v/>
      </c>
      <c r="AM358" s="43">
        <f>IF(OR($C358="",$G358=""),0,IF(COUNTIFS($C$5:$C358,$C358,$G$5:$G358,$G358)=1,1,0))</f>
        <v>0</v>
      </c>
      <c r="AN358" s="43" t="str">
        <f>IF($AM358=1,SUMIFS($AM$4:$AM357,$C$4:$C357,$C358)+1,"")</f>
        <v/>
      </c>
    </row>
    <row r="359">
      <c r="A359" s="44" t="str">
        <f>IF(OR($B359="",$D359=""),"","TX"&amp;TEXT(ROW()-4,"0000"))</f>
        <v/>
      </c>
      <c r="B359" s="42" t="n"/>
      <c r="C359" s="47" t="str">
        <f>IF($B359="","",YEAR($B359)*100+MONTH($B359))</f>
        <v/>
      </c>
      <c r="D359" s="37" t="n"/>
      <c r="E359" s="45" t="str">
        <f>IF($D359="","",IFERROR(INDEX(CARDS!$B$5:$B$34,MATCH($D359,CARDS!$A$5:$A$34,0)),"⚠ Card ID?"))</f>
        <v/>
      </c>
      <c r="F359" s="45" t="str">
        <f>IF($D359="","",IFERROR(INDEX(CARDS!$C$5:$C$34,MATCH($D359,CARDS!$A$5:$A$34,0)),"⚠ Card ID?"))</f>
        <v/>
      </c>
      <c r="G359" s="37" t="n"/>
      <c r="H359" s="37" t="n"/>
      <c r="I359" s="41" t="n"/>
      <c r="J359" s="45" t="str">
        <f>IF($I359="","",IFERROR(INDEX(MCC_MASTER!$B$5:$B$504,MATCH($I359,MCC_MASTER!$A$5:$A$504,0)),"⚠ MCC chưa có"))</f>
        <v/>
      </c>
      <c r="K359" s="45" t="str">
        <f>IF($I359="","",IFERROR(IF(INDEX(MCC_MASTER!$C$5:$C$504,MATCH($I359,MCC_MASTER!$A$5:$A$504,0))="","Chưa phân loại",INDEX(MCC_MASTER!$C$5:$C$504,MATCH($I359,MCC_MASTER!$A$5:$A$504,0))),"Chưa phân loại"))</f>
        <v/>
      </c>
      <c r="L359" s="40" t="n"/>
      <c r="M359" s="48" t="str">
        <f>IF(OR($B359="",$D359=""),"",IF($AC359=0,0,IF(ISNUMBER(INDEX(CASHBACK_RULES!$L$5:$L$304,$AC359)),MAX(0,MIN($L359,INDEX(CASHBACK_RULES!$L$5:$L$304,$AC359)-$AH359)),MAX(0,$L359))))</f>
        <v/>
      </c>
      <c r="N359" s="49" t="str">
        <f>IF(OR($B359="",$D359=""),"",IF($AC359&gt;0,INDEX(CASHBACK_RULES!$I$5:$I$304,$AC359),0))</f>
        <v/>
      </c>
      <c r="O359" s="48" t="str">
        <f>IF(OR($B359="",$D359=""),"",ROUND($M359*$N359,0))</f>
        <v/>
      </c>
      <c r="P359" s="48" t="str">
        <f>IF($AC359&gt;0,IF(ISNUMBER(INDEX(CASHBACK_RULES!$J$5:$J$304,$AC359)),INDEX(CASHBACK_RULES!$J$5:$J$304,$AC359),"∞"),"")</f>
        <v/>
      </c>
      <c r="Q359" s="48" t="str">
        <f>IF(OR($B359="",$D359=""),"",IF($AC359=0,0,MAX(0,MIN($O359,IF(ISNUMBER($P359),$P359-$AF359,1E+15),IF(ISNUMBER($AA359),$AA359-$AG359,1E+15)))))</f>
        <v/>
      </c>
      <c r="R359" s="48" t="str">
        <f>IF(OR($B359="",$D359=""),"",IF($AC359=0,"",IF(AND(NOT(ISNUMBER($P359)),NOT(ISNUMBER($AA359))),"∞",MAX(0,MIN(IF(ISNUMBER($P359),$P359-$AF359-$Q359,1E+15),IF(ISNUMBER($AA359),$AA359-$AG359-$Q359,1E+15))))))</f>
        <v/>
      </c>
      <c r="S359" s="47" t="str">
        <f>IF($AD359="","",YEAR($AD359)*100+MONTH($AD359))</f>
        <v/>
      </c>
      <c r="T359" s="50" t="str">
        <f>IF($AD359="","",IFERROR(IF(INDEX(CARDS!$I$5:$I$34,MATCH($D359,CARDS!$A$5:$A$34,0))="","",IF(INDEX(CARDS!$I$5:$I$34,MATCH($D359,CARDS!$A$5:$A$34,0))&gt;INDEX(CARDS!$H$5:$H$34,MATCH($D359,CARDS!$A$5:$A$34,0)),DATE(YEAR($AD359),MONTH($AD359),MIN(INDEX(CARDS!$I$5:$I$34,MATCH($D359,CARDS!$A$5:$A$34,0)),DAY(EOMONTH($AD359,0)))),DATE(YEAR($AD359),MONTH($AD359)+1,MIN(INDEX(CARDS!$I$5:$I$34,MATCH($D359,CARDS!$A$5:$A$34,0)),DAY(EOMONTH($AD359,1)))))),""))</f>
        <v/>
      </c>
      <c r="U359" s="38" t="n"/>
      <c r="V359" s="37" t="n"/>
      <c r="W359" s="38" t="n"/>
      <c r="X359" s="38" t="n"/>
      <c r="Y359" s="44" t="str">
        <f>IF($AC359&gt;0,INDEX(CASHBACK_RULES!$A$5:$A$304,$AC359),"")</f>
        <v/>
      </c>
      <c r="Z359" s="45" t="str">
        <f>IF($AC359&gt;0,INDEX(CASHBACK_RULES!$E$5:$E$304,$AC359)&amp;"","")</f>
        <v/>
      </c>
      <c r="AA359" s="48" t="str">
        <f>IF($AC359&gt;0,IF(ISNUMBER(INDEX(CASHBACK_RULES!$K$5:$K$304,$AC359)),INDEX(CASHBACK_RULES!$K$5:$K$304,$AC359),"∞"),"")</f>
        <v/>
      </c>
      <c r="AB359" s="44" t="str">
        <f>IF(OR($B359="",$D359=""),"",IF($U359="Cancelled","Đã hủy",IF($AC359=0,"Không được hoàn",IF($Q359=0,IF(OR($O359&gt;0,$M359&lt;$L359),"Đã đạt cap","Không được hoàn"),IF(OR($Q359&lt;$O359,$M359&lt;$L359),"Hoàn một phần","Được hoàn")))))</f>
        <v/>
      </c>
      <c r="AC359" s="43">
        <f>IF(OR($B359="",$D359="",$I359="",$L359=""),0,IF($U359="Cancelled",0,IF($W359&lt;&gt;"",IFERROR(IF(INDEX(CASHBACK_RULES!$B$5:$B$304,MATCH($W359,CASHBACK_RULES!$A$5:$A$304,0))=$D359,MATCH($W359,CASHBACK_RULES!$A$5:$A$304,0),0),0),IFERROR(MATCH(1,INDEX((CASHBACK_RULES!$B$5:$B$304=$D359)*(CASHBACK_RULES!$G$5:$G$304=$I359)*(((CASHBACK_RULES!$N$5:$N$304="")+(CASHBACK_RULES!$N$5:$N$304&lt;=$B359))&gt;0)*(((CASHBACK_RULES!$O$5:$O$304="")+(CASHBACK_RULES!$O$5:$O$304&gt;=$B359))&gt;0)*(((CASHBACK_RULES!$M$5:$M$304="")+(CASHBACK_RULES!$M$5:$M$304&lt;=$L359))&gt;0),0),0),0))))</f>
        <v>0</v>
      </c>
      <c r="AD359" s="51" t="str">
        <f>IF(OR($B359="",$D359=""),"",IFERROR(IF(INDEX(CARDS!$H$5:$H$34,MATCH($D359,CARDS!$A$5:$A$34,0))="","",IF(DAY($B359)&lt;=INDEX(CARDS!$H$5:$H$34,MATCH($D359,CARDS!$A$5:$A$34,0)),DATE(YEAR($B359),MONTH($B359),MIN(INDEX(CARDS!$H$5:$H$34,MATCH($D359,CARDS!$A$5:$A$34,0)),DAY(EOMONTH($B359,0)))),DATE(YEAR($B359),MONTH($B359)+1,MIN(INDEX(CARDS!$H$5:$H$34,MATCH($D359,CARDS!$A$5:$A$34,0)),DAY(EOMONTH($B359,1)))))),""))</f>
        <v/>
      </c>
      <c r="AE359" s="52" t="str">
        <f>IF($C359="","",$C359&amp;"|"&amp;COUNTIF($C$5:$C359,$C359))</f>
        <v/>
      </c>
      <c r="AF359" s="53">
        <f>IF($AC359&gt;0,SUMIFS(Q$4:Q358,$D$4:$D358,$D359,$Z$4:$Z358,$Z359,$C$4:$C358,$C359),0)</f>
        <v>0</v>
      </c>
      <c r="AG359" s="53">
        <f>IF($AC359&gt;0,SUMIFS(Q$4:Q358,$D$4:$D358,$D359,$C$4:$C358,$C359),0)</f>
        <v>0</v>
      </c>
      <c r="AH359" s="53">
        <f>IF($AC359&gt;0,SUMIFS(M$4:M358,$D$4:$D358,$D359,$Z$4:$Z358,$Z359,$C$4:$C358,$C359),0)</f>
        <v>0</v>
      </c>
      <c r="AI359" s="43">
        <f>IF(OR($C359="",$I359=""),0,IF(COUNTIFS($C$5:$C359,$C359,$I$5:$I359,$I359)=1,1,0))</f>
        <v>0</v>
      </c>
      <c r="AJ359" s="43" t="str">
        <f>IF($AI359=1,SUMIFS($AI$4:$AI358,$C$4:$C358,$C359)+1,"")</f>
        <v/>
      </c>
      <c r="AK359" s="43">
        <f>IF(OR($C359="",$K359=""),0,IF(COUNTIFS($C$5:$C359,$C359,$K$5:$K359,$K359)=1,1,0))</f>
        <v>0</v>
      </c>
      <c r="AL359" s="43" t="str">
        <f>IF($AK359=1,SUMIFS($AK$4:$AK358,$C$4:$C358,$C359)+1,"")</f>
        <v/>
      </c>
      <c r="AM359" s="43">
        <f>IF(OR($C359="",$G359=""),0,IF(COUNTIFS($C$5:$C359,$C359,$G$5:$G359,$G359)=1,1,0))</f>
        <v>0</v>
      </c>
      <c r="AN359" s="43" t="str">
        <f>IF($AM359=1,SUMIFS($AM$4:$AM358,$C$4:$C358,$C359)+1,"")</f>
        <v/>
      </c>
    </row>
    <row r="360">
      <c r="A360" s="44" t="str">
        <f>IF(OR($B360="",$D360=""),"","TX"&amp;TEXT(ROW()-4,"0000"))</f>
        <v/>
      </c>
      <c r="B360" s="42" t="n"/>
      <c r="C360" s="47" t="str">
        <f>IF($B360="","",YEAR($B360)*100+MONTH($B360))</f>
        <v/>
      </c>
      <c r="D360" s="37" t="n"/>
      <c r="E360" s="45" t="str">
        <f>IF($D360="","",IFERROR(INDEX(CARDS!$B$5:$B$34,MATCH($D360,CARDS!$A$5:$A$34,0)),"⚠ Card ID?"))</f>
        <v/>
      </c>
      <c r="F360" s="45" t="str">
        <f>IF($D360="","",IFERROR(INDEX(CARDS!$C$5:$C$34,MATCH($D360,CARDS!$A$5:$A$34,0)),"⚠ Card ID?"))</f>
        <v/>
      </c>
      <c r="G360" s="37" t="n"/>
      <c r="H360" s="37" t="n"/>
      <c r="I360" s="41" t="n"/>
      <c r="J360" s="45" t="str">
        <f>IF($I360="","",IFERROR(INDEX(MCC_MASTER!$B$5:$B$504,MATCH($I360,MCC_MASTER!$A$5:$A$504,0)),"⚠ MCC chưa có"))</f>
        <v/>
      </c>
      <c r="K360" s="45" t="str">
        <f>IF($I360="","",IFERROR(IF(INDEX(MCC_MASTER!$C$5:$C$504,MATCH($I360,MCC_MASTER!$A$5:$A$504,0))="","Chưa phân loại",INDEX(MCC_MASTER!$C$5:$C$504,MATCH($I360,MCC_MASTER!$A$5:$A$504,0))),"Chưa phân loại"))</f>
        <v/>
      </c>
      <c r="L360" s="40" t="n"/>
      <c r="M360" s="48" t="str">
        <f>IF(OR($B360="",$D360=""),"",IF($AC360=0,0,IF(ISNUMBER(INDEX(CASHBACK_RULES!$L$5:$L$304,$AC360)),MAX(0,MIN($L360,INDEX(CASHBACK_RULES!$L$5:$L$304,$AC360)-$AH360)),MAX(0,$L360))))</f>
        <v/>
      </c>
      <c r="N360" s="49" t="str">
        <f>IF(OR($B360="",$D360=""),"",IF($AC360&gt;0,INDEX(CASHBACK_RULES!$I$5:$I$304,$AC360),0))</f>
        <v/>
      </c>
      <c r="O360" s="48" t="str">
        <f>IF(OR($B360="",$D360=""),"",ROUND($M360*$N360,0))</f>
        <v/>
      </c>
      <c r="P360" s="48" t="str">
        <f>IF($AC360&gt;0,IF(ISNUMBER(INDEX(CASHBACK_RULES!$J$5:$J$304,$AC360)),INDEX(CASHBACK_RULES!$J$5:$J$304,$AC360),"∞"),"")</f>
        <v/>
      </c>
      <c r="Q360" s="48" t="str">
        <f>IF(OR($B360="",$D360=""),"",IF($AC360=0,0,MAX(0,MIN($O360,IF(ISNUMBER($P360),$P360-$AF360,1E+15),IF(ISNUMBER($AA360),$AA360-$AG360,1E+15)))))</f>
        <v/>
      </c>
      <c r="R360" s="48" t="str">
        <f>IF(OR($B360="",$D360=""),"",IF($AC360=0,"",IF(AND(NOT(ISNUMBER($P360)),NOT(ISNUMBER($AA360))),"∞",MAX(0,MIN(IF(ISNUMBER($P360),$P360-$AF360-$Q360,1E+15),IF(ISNUMBER($AA360),$AA360-$AG360-$Q360,1E+15))))))</f>
        <v/>
      </c>
      <c r="S360" s="47" t="str">
        <f>IF($AD360="","",YEAR($AD360)*100+MONTH($AD360))</f>
        <v/>
      </c>
      <c r="T360" s="50" t="str">
        <f>IF($AD360="","",IFERROR(IF(INDEX(CARDS!$I$5:$I$34,MATCH($D360,CARDS!$A$5:$A$34,0))="","",IF(INDEX(CARDS!$I$5:$I$34,MATCH($D360,CARDS!$A$5:$A$34,0))&gt;INDEX(CARDS!$H$5:$H$34,MATCH($D360,CARDS!$A$5:$A$34,0)),DATE(YEAR($AD360),MONTH($AD360),MIN(INDEX(CARDS!$I$5:$I$34,MATCH($D360,CARDS!$A$5:$A$34,0)),DAY(EOMONTH($AD360,0)))),DATE(YEAR($AD360),MONTH($AD360)+1,MIN(INDEX(CARDS!$I$5:$I$34,MATCH($D360,CARDS!$A$5:$A$34,0)),DAY(EOMONTH($AD360,1)))))),""))</f>
        <v/>
      </c>
      <c r="U360" s="38" t="n"/>
      <c r="V360" s="37" t="n"/>
      <c r="W360" s="38" t="n"/>
      <c r="X360" s="38" t="n"/>
      <c r="Y360" s="44" t="str">
        <f>IF($AC360&gt;0,INDEX(CASHBACK_RULES!$A$5:$A$304,$AC360),"")</f>
        <v/>
      </c>
      <c r="Z360" s="45" t="str">
        <f>IF($AC360&gt;0,INDEX(CASHBACK_RULES!$E$5:$E$304,$AC360)&amp;"","")</f>
        <v/>
      </c>
      <c r="AA360" s="48" t="str">
        <f>IF($AC360&gt;0,IF(ISNUMBER(INDEX(CASHBACK_RULES!$K$5:$K$304,$AC360)),INDEX(CASHBACK_RULES!$K$5:$K$304,$AC360),"∞"),"")</f>
        <v/>
      </c>
      <c r="AB360" s="44" t="str">
        <f>IF(OR($B360="",$D360=""),"",IF($U360="Cancelled","Đã hủy",IF($AC360=0,"Không được hoàn",IF($Q360=0,IF(OR($O360&gt;0,$M360&lt;$L360),"Đã đạt cap","Không được hoàn"),IF(OR($Q360&lt;$O360,$M360&lt;$L360),"Hoàn một phần","Được hoàn")))))</f>
        <v/>
      </c>
      <c r="AC360" s="43">
        <f>IF(OR($B360="",$D360="",$I360="",$L360=""),0,IF($U360="Cancelled",0,IF($W360&lt;&gt;"",IFERROR(IF(INDEX(CASHBACK_RULES!$B$5:$B$304,MATCH($W360,CASHBACK_RULES!$A$5:$A$304,0))=$D360,MATCH($W360,CASHBACK_RULES!$A$5:$A$304,0),0),0),IFERROR(MATCH(1,INDEX((CASHBACK_RULES!$B$5:$B$304=$D360)*(CASHBACK_RULES!$G$5:$G$304=$I360)*(((CASHBACK_RULES!$N$5:$N$304="")+(CASHBACK_RULES!$N$5:$N$304&lt;=$B360))&gt;0)*(((CASHBACK_RULES!$O$5:$O$304="")+(CASHBACK_RULES!$O$5:$O$304&gt;=$B360))&gt;0)*(((CASHBACK_RULES!$M$5:$M$304="")+(CASHBACK_RULES!$M$5:$M$304&lt;=$L360))&gt;0),0),0),0))))</f>
        <v>0</v>
      </c>
      <c r="AD360" s="51" t="str">
        <f>IF(OR($B360="",$D360=""),"",IFERROR(IF(INDEX(CARDS!$H$5:$H$34,MATCH($D360,CARDS!$A$5:$A$34,0))="","",IF(DAY($B360)&lt;=INDEX(CARDS!$H$5:$H$34,MATCH($D360,CARDS!$A$5:$A$34,0)),DATE(YEAR($B360),MONTH($B360),MIN(INDEX(CARDS!$H$5:$H$34,MATCH($D360,CARDS!$A$5:$A$34,0)),DAY(EOMONTH($B360,0)))),DATE(YEAR($B360),MONTH($B360)+1,MIN(INDEX(CARDS!$H$5:$H$34,MATCH($D360,CARDS!$A$5:$A$34,0)),DAY(EOMONTH($B360,1)))))),""))</f>
        <v/>
      </c>
      <c r="AE360" s="52" t="str">
        <f>IF($C360="","",$C360&amp;"|"&amp;COUNTIF($C$5:$C360,$C360))</f>
        <v/>
      </c>
      <c r="AF360" s="53">
        <f>IF($AC360&gt;0,SUMIFS(Q$4:Q359,$D$4:$D359,$D360,$Z$4:$Z359,$Z360,$C$4:$C359,$C360),0)</f>
        <v>0</v>
      </c>
      <c r="AG360" s="53">
        <f>IF($AC360&gt;0,SUMIFS(Q$4:Q359,$D$4:$D359,$D360,$C$4:$C359,$C360),0)</f>
        <v>0</v>
      </c>
      <c r="AH360" s="53">
        <f>IF($AC360&gt;0,SUMIFS(M$4:M359,$D$4:$D359,$D360,$Z$4:$Z359,$Z360,$C$4:$C359,$C360),0)</f>
        <v>0</v>
      </c>
      <c r="AI360" s="43">
        <f>IF(OR($C360="",$I360=""),0,IF(COUNTIFS($C$5:$C360,$C360,$I$5:$I360,$I360)=1,1,0))</f>
        <v>0</v>
      </c>
      <c r="AJ360" s="43" t="str">
        <f>IF($AI360=1,SUMIFS($AI$4:$AI359,$C$4:$C359,$C360)+1,"")</f>
        <v/>
      </c>
      <c r="AK360" s="43">
        <f>IF(OR($C360="",$K360=""),0,IF(COUNTIFS($C$5:$C360,$C360,$K$5:$K360,$K360)=1,1,0))</f>
        <v>0</v>
      </c>
      <c r="AL360" s="43" t="str">
        <f>IF($AK360=1,SUMIFS($AK$4:$AK359,$C$4:$C359,$C360)+1,"")</f>
        <v/>
      </c>
      <c r="AM360" s="43">
        <f>IF(OR($C360="",$G360=""),0,IF(COUNTIFS($C$5:$C360,$C360,$G$5:$G360,$G360)=1,1,0))</f>
        <v>0</v>
      </c>
      <c r="AN360" s="43" t="str">
        <f>IF($AM360=1,SUMIFS($AM$4:$AM359,$C$4:$C359,$C360)+1,"")</f>
        <v/>
      </c>
    </row>
    <row r="361">
      <c r="A361" s="44" t="str">
        <f>IF(OR($B361="",$D361=""),"","TX"&amp;TEXT(ROW()-4,"0000"))</f>
        <v/>
      </c>
      <c r="B361" s="42" t="n"/>
      <c r="C361" s="47" t="str">
        <f>IF($B361="","",YEAR($B361)*100+MONTH($B361))</f>
        <v/>
      </c>
      <c r="D361" s="37" t="n"/>
      <c r="E361" s="45" t="str">
        <f>IF($D361="","",IFERROR(INDEX(CARDS!$B$5:$B$34,MATCH($D361,CARDS!$A$5:$A$34,0)),"⚠ Card ID?"))</f>
        <v/>
      </c>
      <c r="F361" s="45" t="str">
        <f>IF($D361="","",IFERROR(INDEX(CARDS!$C$5:$C$34,MATCH($D361,CARDS!$A$5:$A$34,0)),"⚠ Card ID?"))</f>
        <v/>
      </c>
      <c r="G361" s="37" t="n"/>
      <c r="H361" s="37" t="n"/>
      <c r="I361" s="41" t="n"/>
      <c r="J361" s="45" t="str">
        <f>IF($I361="","",IFERROR(INDEX(MCC_MASTER!$B$5:$B$504,MATCH($I361,MCC_MASTER!$A$5:$A$504,0)),"⚠ MCC chưa có"))</f>
        <v/>
      </c>
      <c r="K361" s="45" t="str">
        <f>IF($I361="","",IFERROR(IF(INDEX(MCC_MASTER!$C$5:$C$504,MATCH($I361,MCC_MASTER!$A$5:$A$504,0))="","Chưa phân loại",INDEX(MCC_MASTER!$C$5:$C$504,MATCH($I361,MCC_MASTER!$A$5:$A$504,0))),"Chưa phân loại"))</f>
        <v/>
      </c>
      <c r="L361" s="40" t="n"/>
      <c r="M361" s="48" t="str">
        <f>IF(OR($B361="",$D361=""),"",IF($AC361=0,0,IF(ISNUMBER(INDEX(CASHBACK_RULES!$L$5:$L$304,$AC361)),MAX(0,MIN($L361,INDEX(CASHBACK_RULES!$L$5:$L$304,$AC361)-$AH361)),MAX(0,$L361))))</f>
        <v/>
      </c>
      <c r="N361" s="49" t="str">
        <f>IF(OR($B361="",$D361=""),"",IF($AC361&gt;0,INDEX(CASHBACK_RULES!$I$5:$I$304,$AC361),0))</f>
        <v/>
      </c>
      <c r="O361" s="48" t="str">
        <f>IF(OR($B361="",$D361=""),"",ROUND($M361*$N361,0))</f>
        <v/>
      </c>
      <c r="P361" s="48" t="str">
        <f>IF($AC361&gt;0,IF(ISNUMBER(INDEX(CASHBACK_RULES!$J$5:$J$304,$AC361)),INDEX(CASHBACK_RULES!$J$5:$J$304,$AC361),"∞"),"")</f>
        <v/>
      </c>
      <c r="Q361" s="48" t="str">
        <f>IF(OR($B361="",$D361=""),"",IF($AC361=0,0,MAX(0,MIN($O361,IF(ISNUMBER($P361),$P361-$AF361,1E+15),IF(ISNUMBER($AA361),$AA361-$AG361,1E+15)))))</f>
        <v/>
      </c>
      <c r="R361" s="48" t="str">
        <f>IF(OR($B361="",$D361=""),"",IF($AC361=0,"",IF(AND(NOT(ISNUMBER($P361)),NOT(ISNUMBER($AA361))),"∞",MAX(0,MIN(IF(ISNUMBER($P361),$P361-$AF361-$Q361,1E+15),IF(ISNUMBER($AA361),$AA361-$AG361-$Q361,1E+15))))))</f>
        <v/>
      </c>
      <c r="S361" s="47" t="str">
        <f>IF($AD361="","",YEAR($AD361)*100+MONTH($AD361))</f>
        <v/>
      </c>
      <c r="T361" s="50" t="str">
        <f>IF($AD361="","",IFERROR(IF(INDEX(CARDS!$I$5:$I$34,MATCH($D361,CARDS!$A$5:$A$34,0))="","",IF(INDEX(CARDS!$I$5:$I$34,MATCH($D361,CARDS!$A$5:$A$34,0))&gt;INDEX(CARDS!$H$5:$H$34,MATCH($D361,CARDS!$A$5:$A$34,0)),DATE(YEAR($AD361),MONTH($AD361),MIN(INDEX(CARDS!$I$5:$I$34,MATCH($D361,CARDS!$A$5:$A$34,0)),DAY(EOMONTH($AD361,0)))),DATE(YEAR($AD361),MONTH($AD361)+1,MIN(INDEX(CARDS!$I$5:$I$34,MATCH($D361,CARDS!$A$5:$A$34,0)),DAY(EOMONTH($AD361,1)))))),""))</f>
        <v/>
      </c>
      <c r="U361" s="38" t="n"/>
      <c r="V361" s="37" t="n"/>
      <c r="W361" s="38" t="n"/>
      <c r="X361" s="38" t="n"/>
      <c r="Y361" s="44" t="str">
        <f>IF($AC361&gt;0,INDEX(CASHBACK_RULES!$A$5:$A$304,$AC361),"")</f>
        <v/>
      </c>
      <c r="Z361" s="45" t="str">
        <f>IF($AC361&gt;0,INDEX(CASHBACK_RULES!$E$5:$E$304,$AC361)&amp;"","")</f>
        <v/>
      </c>
      <c r="AA361" s="48" t="str">
        <f>IF($AC361&gt;0,IF(ISNUMBER(INDEX(CASHBACK_RULES!$K$5:$K$304,$AC361)),INDEX(CASHBACK_RULES!$K$5:$K$304,$AC361),"∞"),"")</f>
        <v/>
      </c>
      <c r="AB361" s="44" t="str">
        <f>IF(OR($B361="",$D361=""),"",IF($U361="Cancelled","Đã hủy",IF($AC361=0,"Không được hoàn",IF($Q361=0,IF(OR($O361&gt;0,$M361&lt;$L361),"Đã đạt cap","Không được hoàn"),IF(OR($Q361&lt;$O361,$M361&lt;$L361),"Hoàn một phần","Được hoàn")))))</f>
        <v/>
      </c>
      <c r="AC361" s="43">
        <f>IF(OR($B361="",$D361="",$I361="",$L361=""),0,IF($U361="Cancelled",0,IF($W361&lt;&gt;"",IFERROR(IF(INDEX(CASHBACK_RULES!$B$5:$B$304,MATCH($W361,CASHBACK_RULES!$A$5:$A$304,0))=$D361,MATCH($W361,CASHBACK_RULES!$A$5:$A$304,0),0),0),IFERROR(MATCH(1,INDEX((CASHBACK_RULES!$B$5:$B$304=$D361)*(CASHBACK_RULES!$G$5:$G$304=$I361)*(((CASHBACK_RULES!$N$5:$N$304="")+(CASHBACK_RULES!$N$5:$N$304&lt;=$B361))&gt;0)*(((CASHBACK_RULES!$O$5:$O$304="")+(CASHBACK_RULES!$O$5:$O$304&gt;=$B361))&gt;0)*(((CASHBACK_RULES!$M$5:$M$304="")+(CASHBACK_RULES!$M$5:$M$304&lt;=$L361))&gt;0),0),0),0))))</f>
        <v>0</v>
      </c>
      <c r="AD361" s="51" t="str">
        <f>IF(OR($B361="",$D361=""),"",IFERROR(IF(INDEX(CARDS!$H$5:$H$34,MATCH($D361,CARDS!$A$5:$A$34,0))="","",IF(DAY($B361)&lt;=INDEX(CARDS!$H$5:$H$34,MATCH($D361,CARDS!$A$5:$A$34,0)),DATE(YEAR($B361),MONTH($B361),MIN(INDEX(CARDS!$H$5:$H$34,MATCH($D361,CARDS!$A$5:$A$34,0)),DAY(EOMONTH($B361,0)))),DATE(YEAR($B361),MONTH($B361)+1,MIN(INDEX(CARDS!$H$5:$H$34,MATCH($D361,CARDS!$A$5:$A$34,0)),DAY(EOMONTH($B361,1)))))),""))</f>
        <v/>
      </c>
      <c r="AE361" s="52" t="str">
        <f>IF($C361="","",$C361&amp;"|"&amp;COUNTIF($C$5:$C361,$C361))</f>
        <v/>
      </c>
      <c r="AF361" s="53">
        <f>IF($AC361&gt;0,SUMIFS(Q$4:Q360,$D$4:$D360,$D361,$Z$4:$Z360,$Z361,$C$4:$C360,$C361),0)</f>
        <v>0</v>
      </c>
      <c r="AG361" s="53">
        <f>IF($AC361&gt;0,SUMIFS(Q$4:Q360,$D$4:$D360,$D361,$C$4:$C360,$C361),0)</f>
        <v>0</v>
      </c>
      <c r="AH361" s="53">
        <f>IF($AC361&gt;0,SUMIFS(M$4:M360,$D$4:$D360,$D361,$Z$4:$Z360,$Z361,$C$4:$C360,$C361),0)</f>
        <v>0</v>
      </c>
      <c r="AI361" s="43">
        <f>IF(OR($C361="",$I361=""),0,IF(COUNTIFS($C$5:$C361,$C361,$I$5:$I361,$I361)=1,1,0))</f>
        <v>0</v>
      </c>
      <c r="AJ361" s="43" t="str">
        <f>IF($AI361=1,SUMIFS($AI$4:$AI360,$C$4:$C360,$C361)+1,"")</f>
        <v/>
      </c>
      <c r="AK361" s="43">
        <f>IF(OR($C361="",$K361=""),0,IF(COUNTIFS($C$5:$C361,$C361,$K$5:$K361,$K361)=1,1,0))</f>
        <v>0</v>
      </c>
      <c r="AL361" s="43" t="str">
        <f>IF($AK361=1,SUMIFS($AK$4:$AK360,$C$4:$C360,$C361)+1,"")</f>
        <v/>
      </c>
      <c r="AM361" s="43">
        <f>IF(OR($C361="",$G361=""),0,IF(COUNTIFS($C$5:$C361,$C361,$G$5:$G361,$G361)=1,1,0))</f>
        <v>0</v>
      </c>
      <c r="AN361" s="43" t="str">
        <f>IF($AM361=1,SUMIFS($AM$4:$AM360,$C$4:$C360,$C361)+1,"")</f>
        <v/>
      </c>
    </row>
    <row r="362">
      <c r="A362" s="44" t="str">
        <f>IF(OR($B362="",$D362=""),"","TX"&amp;TEXT(ROW()-4,"0000"))</f>
        <v/>
      </c>
      <c r="B362" s="42" t="n"/>
      <c r="C362" s="47" t="str">
        <f>IF($B362="","",YEAR($B362)*100+MONTH($B362))</f>
        <v/>
      </c>
      <c r="D362" s="37" t="n"/>
      <c r="E362" s="45" t="str">
        <f>IF($D362="","",IFERROR(INDEX(CARDS!$B$5:$B$34,MATCH($D362,CARDS!$A$5:$A$34,0)),"⚠ Card ID?"))</f>
        <v/>
      </c>
      <c r="F362" s="45" t="str">
        <f>IF($D362="","",IFERROR(INDEX(CARDS!$C$5:$C$34,MATCH($D362,CARDS!$A$5:$A$34,0)),"⚠ Card ID?"))</f>
        <v/>
      </c>
      <c r="G362" s="37" t="n"/>
      <c r="H362" s="37" t="n"/>
      <c r="I362" s="41" t="n"/>
      <c r="J362" s="45" t="str">
        <f>IF($I362="","",IFERROR(INDEX(MCC_MASTER!$B$5:$B$504,MATCH($I362,MCC_MASTER!$A$5:$A$504,0)),"⚠ MCC chưa có"))</f>
        <v/>
      </c>
      <c r="K362" s="45" t="str">
        <f>IF($I362="","",IFERROR(IF(INDEX(MCC_MASTER!$C$5:$C$504,MATCH($I362,MCC_MASTER!$A$5:$A$504,0))="","Chưa phân loại",INDEX(MCC_MASTER!$C$5:$C$504,MATCH($I362,MCC_MASTER!$A$5:$A$504,0))),"Chưa phân loại"))</f>
        <v/>
      </c>
      <c r="L362" s="40" t="n"/>
      <c r="M362" s="48" t="str">
        <f>IF(OR($B362="",$D362=""),"",IF($AC362=0,0,IF(ISNUMBER(INDEX(CASHBACK_RULES!$L$5:$L$304,$AC362)),MAX(0,MIN($L362,INDEX(CASHBACK_RULES!$L$5:$L$304,$AC362)-$AH362)),MAX(0,$L362))))</f>
        <v/>
      </c>
      <c r="N362" s="49" t="str">
        <f>IF(OR($B362="",$D362=""),"",IF($AC362&gt;0,INDEX(CASHBACK_RULES!$I$5:$I$304,$AC362),0))</f>
        <v/>
      </c>
      <c r="O362" s="48" t="str">
        <f>IF(OR($B362="",$D362=""),"",ROUND($M362*$N362,0))</f>
        <v/>
      </c>
      <c r="P362" s="48" t="str">
        <f>IF($AC362&gt;0,IF(ISNUMBER(INDEX(CASHBACK_RULES!$J$5:$J$304,$AC362)),INDEX(CASHBACK_RULES!$J$5:$J$304,$AC362),"∞"),"")</f>
        <v/>
      </c>
      <c r="Q362" s="48" t="str">
        <f>IF(OR($B362="",$D362=""),"",IF($AC362=0,0,MAX(0,MIN($O362,IF(ISNUMBER($P362),$P362-$AF362,1E+15),IF(ISNUMBER($AA362),$AA362-$AG362,1E+15)))))</f>
        <v/>
      </c>
      <c r="R362" s="48" t="str">
        <f>IF(OR($B362="",$D362=""),"",IF($AC362=0,"",IF(AND(NOT(ISNUMBER($P362)),NOT(ISNUMBER($AA362))),"∞",MAX(0,MIN(IF(ISNUMBER($P362),$P362-$AF362-$Q362,1E+15),IF(ISNUMBER($AA362),$AA362-$AG362-$Q362,1E+15))))))</f>
        <v/>
      </c>
      <c r="S362" s="47" t="str">
        <f>IF($AD362="","",YEAR($AD362)*100+MONTH($AD362))</f>
        <v/>
      </c>
      <c r="T362" s="50" t="str">
        <f>IF($AD362="","",IFERROR(IF(INDEX(CARDS!$I$5:$I$34,MATCH($D362,CARDS!$A$5:$A$34,0))="","",IF(INDEX(CARDS!$I$5:$I$34,MATCH($D362,CARDS!$A$5:$A$34,0))&gt;INDEX(CARDS!$H$5:$H$34,MATCH($D362,CARDS!$A$5:$A$34,0)),DATE(YEAR($AD362),MONTH($AD362),MIN(INDEX(CARDS!$I$5:$I$34,MATCH($D362,CARDS!$A$5:$A$34,0)),DAY(EOMONTH($AD362,0)))),DATE(YEAR($AD362),MONTH($AD362)+1,MIN(INDEX(CARDS!$I$5:$I$34,MATCH($D362,CARDS!$A$5:$A$34,0)),DAY(EOMONTH($AD362,1)))))),""))</f>
        <v/>
      </c>
      <c r="U362" s="38" t="n"/>
      <c r="V362" s="37" t="n"/>
      <c r="W362" s="38" t="n"/>
      <c r="X362" s="38" t="n"/>
      <c r="Y362" s="44" t="str">
        <f>IF($AC362&gt;0,INDEX(CASHBACK_RULES!$A$5:$A$304,$AC362),"")</f>
        <v/>
      </c>
      <c r="Z362" s="45" t="str">
        <f>IF($AC362&gt;0,INDEX(CASHBACK_RULES!$E$5:$E$304,$AC362)&amp;"","")</f>
        <v/>
      </c>
      <c r="AA362" s="48" t="str">
        <f>IF($AC362&gt;0,IF(ISNUMBER(INDEX(CASHBACK_RULES!$K$5:$K$304,$AC362)),INDEX(CASHBACK_RULES!$K$5:$K$304,$AC362),"∞"),"")</f>
        <v/>
      </c>
      <c r="AB362" s="44" t="str">
        <f>IF(OR($B362="",$D362=""),"",IF($U362="Cancelled","Đã hủy",IF($AC362=0,"Không được hoàn",IF($Q362=0,IF(OR($O362&gt;0,$M362&lt;$L362),"Đã đạt cap","Không được hoàn"),IF(OR($Q362&lt;$O362,$M362&lt;$L362),"Hoàn một phần","Được hoàn")))))</f>
        <v/>
      </c>
      <c r="AC362" s="43">
        <f>IF(OR($B362="",$D362="",$I362="",$L362=""),0,IF($U362="Cancelled",0,IF($W362&lt;&gt;"",IFERROR(IF(INDEX(CASHBACK_RULES!$B$5:$B$304,MATCH($W362,CASHBACK_RULES!$A$5:$A$304,0))=$D362,MATCH($W362,CASHBACK_RULES!$A$5:$A$304,0),0),0),IFERROR(MATCH(1,INDEX((CASHBACK_RULES!$B$5:$B$304=$D362)*(CASHBACK_RULES!$G$5:$G$304=$I362)*(((CASHBACK_RULES!$N$5:$N$304="")+(CASHBACK_RULES!$N$5:$N$304&lt;=$B362))&gt;0)*(((CASHBACK_RULES!$O$5:$O$304="")+(CASHBACK_RULES!$O$5:$O$304&gt;=$B362))&gt;0)*(((CASHBACK_RULES!$M$5:$M$304="")+(CASHBACK_RULES!$M$5:$M$304&lt;=$L362))&gt;0),0),0),0))))</f>
        <v>0</v>
      </c>
      <c r="AD362" s="51" t="str">
        <f>IF(OR($B362="",$D362=""),"",IFERROR(IF(INDEX(CARDS!$H$5:$H$34,MATCH($D362,CARDS!$A$5:$A$34,0))="","",IF(DAY($B362)&lt;=INDEX(CARDS!$H$5:$H$34,MATCH($D362,CARDS!$A$5:$A$34,0)),DATE(YEAR($B362),MONTH($B362),MIN(INDEX(CARDS!$H$5:$H$34,MATCH($D362,CARDS!$A$5:$A$34,0)),DAY(EOMONTH($B362,0)))),DATE(YEAR($B362),MONTH($B362)+1,MIN(INDEX(CARDS!$H$5:$H$34,MATCH($D362,CARDS!$A$5:$A$34,0)),DAY(EOMONTH($B362,1)))))),""))</f>
        <v/>
      </c>
      <c r="AE362" s="52" t="str">
        <f>IF($C362="","",$C362&amp;"|"&amp;COUNTIF($C$5:$C362,$C362))</f>
        <v/>
      </c>
      <c r="AF362" s="53">
        <f>IF($AC362&gt;0,SUMIFS(Q$4:Q361,$D$4:$D361,$D362,$Z$4:$Z361,$Z362,$C$4:$C361,$C362),0)</f>
        <v>0</v>
      </c>
      <c r="AG362" s="53">
        <f>IF($AC362&gt;0,SUMIFS(Q$4:Q361,$D$4:$D361,$D362,$C$4:$C361,$C362),0)</f>
        <v>0</v>
      </c>
      <c r="AH362" s="53">
        <f>IF($AC362&gt;0,SUMIFS(M$4:M361,$D$4:$D361,$D362,$Z$4:$Z361,$Z362,$C$4:$C361,$C362),0)</f>
        <v>0</v>
      </c>
      <c r="AI362" s="43">
        <f>IF(OR($C362="",$I362=""),0,IF(COUNTIFS($C$5:$C362,$C362,$I$5:$I362,$I362)=1,1,0))</f>
        <v>0</v>
      </c>
      <c r="AJ362" s="43" t="str">
        <f>IF($AI362=1,SUMIFS($AI$4:$AI361,$C$4:$C361,$C362)+1,"")</f>
        <v/>
      </c>
      <c r="AK362" s="43">
        <f>IF(OR($C362="",$K362=""),0,IF(COUNTIFS($C$5:$C362,$C362,$K$5:$K362,$K362)=1,1,0))</f>
        <v>0</v>
      </c>
      <c r="AL362" s="43" t="str">
        <f>IF($AK362=1,SUMIFS($AK$4:$AK361,$C$4:$C361,$C362)+1,"")</f>
        <v/>
      </c>
      <c r="AM362" s="43">
        <f>IF(OR($C362="",$G362=""),0,IF(COUNTIFS($C$5:$C362,$C362,$G$5:$G362,$G362)=1,1,0))</f>
        <v>0</v>
      </c>
      <c r="AN362" s="43" t="str">
        <f>IF($AM362=1,SUMIFS($AM$4:$AM361,$C$4:$C361,$C362)+1,"")</f>
        <v/>
      </c>
    </row>
    <row r="363">
      <c r="A363" s="44" t="str">
        <f>IF(OR($B363="",$D363=""),"","TX"&amp;TEXT(ROW()-4,"0000"))</f>
        <v/>
      </c>
      <c r="B363" s="42" t="n"/>
      <c r="C363" s="47" t="str">
        <f>IF($B363="","",YEAR($B363)*100+MONTH($B363))</f>
        <v/>
      </c>
      <c r="D363" s="37" t="n"/>
      <c r="E363" s="45" t="str">
        <f>IF($D363="","",IFERROR(INDEX(CARDS!$B$5:$B$34,MATCH($D363,CARDS!$A$5:$A$34,0)),"⚠ Card ID?"))</f>
        <v/>
      </c>
      <c r="F363" s="45" t="str">
        <f>IF($D363="","",IFERROR(INDEX(CARDS!$C$5:$C$34,MATCH($D363,CARDS!$A$5:$A$34,0)),"⚠ Card ID?"))</f>
        <v/>
      </c>
      <c r="G363" s="37" t="n"/>
      <c r="H363" s="37" t="n"/>
      <c r="I363" s="41" t="n"/>
      <c r="J363" s="45" t="str">
        <f>IF($I363="","",IFERROR(INDEX(MCC_MASTER!$B$5:$B$504,MATCH($I363,MCC_MASTER!$A$5:$A$504,0)),"⚠ MCC chưa có"))</f>
        <v/>
      </c>
      <c r="K363" s="45" t="str">
        <f>IF($I363="","",IFERROR(IF(INDEX(MCC_MASTER!$C$5:$C$504,MATCH($I363,MCC_MASTER!$A$5:$A$504,0))="","Chưa phân loại",INDEX(MCC_MASTER!$C$5:$C$504,MATCH($I363,MCC_MASTER!$A$5:$A$504,0))),"Chưa phân loại"))</f>
        <v/>
      </c>
      <c r="L363" s="40" t="n"/>
      <c r="M363" s="48" t="str">
        <f>IF(OR($B363="",$D363=""),"",IF($AC363=0,0,IF(ISNUMBER(INDEX(CASHBACK_RULES!$L$5:$L$304,$AC363)),MAX(0,MIN($L363,INDEX(CASHBACK_RULES!$L$5:$L$304,$AC363)-$AH363)),MAX(0,$L363))))</f>
        <v/>
      </c>
      <c r="N363" s="49" t="str">
        <f>IF(OR($B363="",$D363=""),"",IF($AC363&gt;0,INDEX(CASHBACK_RULES!$I$5:$I$304,$AC363),0))</f>
        <v/>
      </c>
      <c r="O363" s="48" t="str">
        <f>IF(OR($B363="",$D363=""),"",ROUND($M363*$N363,0))</f>
        <v/>
      </c>
      <c r="P363" s="48" t="str">
        <f>IF($AC363&gt;0,IF(ISNUMBER(INDEX(CASHBACK_RULES!$J$5:$J$304,$AC363)),INDEX(CASHBACK_RULES!$J$5:$J$304,$AC363),"∞"),"")</f>
        <v/>
      </c>
      <c r="Q363" s="48" t="str">
        <f>IF(OR($B363="",$D363=""),"",IF($AC363=0,0,MAX(0,MIN($O363,IF(ISNUMBER($P363),$P363-$AF363,1E+15),IF(ISNUMBER($AA363),$AA363-$AG363,1E+15)))))</f>
        <v/>
      </c>
      <c r="R363" s="48" t="str">
        <f>IF(OR($B363="",$D363=""),"",IF($AC363=0,"",IF(AND(NOT(ISNUMBER($P363)),NOT(ISNUMBER($AA363))),"∞",MAX(0,MIN(IF(ISNUMBER($P363),$P363-$AF363-$Q363,1E+15),IF(ISNUMBER($AA363),$AA363-$AG363-$Q363,1E+15))))))</f>
        <v/>
      </c>
      <c r="S363" s="47" t="str">
        <f>IF($AD363="","",YEAR($AD363)*100+MONTH($AD363))</f>
        <v/>
      </c>
      <c r="T363" s="50" t="str">
        <f>IF($AD363="","",IFERROR(IF(INDEX(CARDS!$I$5:$I$34,MATCH($D363,CARDS!$A$5:$A$34,0))="","",IF(INDEX(CARDS!$I$5:$I$34,MATCH($D363,CARDS!$A$5:$A$34,0))&gt;INDEX(CARDS!$H$5:$H$34,MATCH($D363,CARDS!$A$5:$A$34,0)),DATE(YEAR($AD363),MONTH($AD363),MIN(INDEX(CARDS!$I$5:$I$34,MATCH($D363,CARDS!$A$5:$A$34,0)),DAY(EOMONTH($AD363,0)))),DATE(YEAR($AD363),MONTH($AD363)+1,MIN(INDEX(CARDS!$I$5:$I$34,MATCH($D363,CARDS!$A$5:$A$34,0)),DAY(EOMONTH($AD363,1)))))),""))</f>
        <v/>
      </c>
      <c r="U363" s="38" t="n"/>
      <c r="V363" s="37" t="n"/>
      <c r="W363" s="38" t="n"/>
      <c r="X363" s="38" t="n"/>
      <c r="Y363" s="44" t="str">
        <f>IF($AC363&gt;0,INDEX(CASHBACK_RULES!$A$5:$A$304,$AC363),"")</f>
        <v/>
      </c>
      <c r="Z363" s="45" t="str">
        <f>IF($AC363&gt;0,INDEX(CASHBACK_RULES!$E$5:$E$304,$AC363)&amp;"","")</f>
        <v/>
      </c>
      <c r="AA363" s="48" t="str">
        <f>IF($AC363&gt;0,IF(ISNUMBER(INDEX(CASHBACK_RULES!$K$5:$K$304,$AC363)),INDEX(CASHBACK_RULES!$K$5:$K$304,$AC363),"∞"),"")</f>
        <v/>
      </c>
      <c r="AB363" s="44" t="str">
        <f>IF(OR($B363="",$D363=""),"",IF($U363="Cancelled","Đã hủy",IF($AC363=0,"Không được hoàn",IF($Q363=0,IF(OR($O363&gt;0,$M363&lt;$L363),"Đã đạt cap","Không được hoàn"),IF(OR($Q363&lt;$O363,$M363&lt;$L363),"Hoàn một phần","Được hoàn")))))</f>
        <v/>
      </c>
      <c r="AC363" s="43">
        <f>IF(OR($B363="",$D363="",$I363="",$L363=""),0,IF($U363="Cancelled",0,IF($W363&lt;&gt;"",IFERROR(IF(INDEX(CASHBACK_RULES!$B$5:$B$304,MATCH($W363,CASHBACK_RULES!$A$5:$A$304,0))=$D363,MATCH($W363,CASHBACK_RULES!$A$5:$A$304,0),0),0),IFERROR(MATCH(1,INDEX((CASHBACK_RULES!$B$5:$B$304=$D363)*(CASHBACK_RULES!$G$5:$G$304=$I363)*(((CASHBACK_RULES!$N$5:$N$304="")+(CASHBACK_RULES!$N$5:$N$304&lt;=$B363))&gt;0)*(((CASHBACK_RULES!$O$5:$O$304="")+(CASHBACK_RULES!$O$5:$O$304&gt;=$B363))&gt;0)*(((CASHBACK_RULES!$M$5:$M$304="")+(CASHBACK_RULES!$M$5:$M$304&lt;=$L363))&gt;0),0),0),0))))</f>
        <v>0</v>
      </c>
      <c r="AD363" s="51" t="str">
        <f>IF(OR($B363="",$D363=""),"",IFERROR(IF(INDEX(CARDS!$H$5:$H$34,MATCH($D363,CARDS!$A$5:$A$34,0))="","",IF(DAY($B363)&lt;=INDEX(CARDS!$H$5:$H$34,MATCH($D363,CARDS!$A$5:$A$34,0)),DATE(YEAR($B363),MONTH($B363),MIN(INDEX(CARDS!$H$5:$H$34,MATCH($D363,CARDS!$A$5:$A$34,0)),DAY(EOMONTH($B363,0)))),DATE(YEAR($B363),MONTH($B363)+1,MIN(INDEX(CARDS!$H$5:$H$34,MATCH($D363,CARDS!$A$5:$A$34,0)),DAY(EOMONTH($B363,1)))))),""))</f>
        <v/>
      </c>
      <c r="AE363" s="52" t="str">
        <f>IF($C363="","",$C363&amp;"|"&amp;COUNTIF($C$5:$C363,$C363))</f>
        <v/>
      </c>
      <c r="AF363" s="53">
        <f>IF($AC363&gt;0,SUMIFS(Q$4:Q362,$D$4:$D362,$D363,$Z$4:$Z362,$Z363,$C$4:$C362,$C363),0)</f>
        <v>0</v>
      </c>
      <c r="AG363" s="53">
        <f>IF($AC363&gt;0,SUMIFS(Q$4:Q362,$D$4:$D362,$D363,$C$4:$C362,$C363),0)</f>
        <v>0</v>
      </c>
      <c r="AH363" s="53">
        <f>IF($AC363&gt;0,SUMIFS(M$4:M362,$D$4:$D362,$D363,$Z$4:$Z362,$Z363,$C$4:$C362,$C363),0)</f>
        <v>0</v>
      </c>
      <c r="AI363" s="43">
        <f>IF(OR($C363="",$I363=""),0,IF(COUNTIFS($C$5:$C363,$C363,$I$5:$I363,$I363)=1,1,0))</f>
        <v>0</v>
      </c>
      <c r="AJ363" s="43" t="str">
        <f>IF($AI363=1,SUMIFS($AI$4:$AI362,$C$4:$C362,$C363)+1,"")</f>
        <v/>
      </c>
      <c r="AK363" s="43">
        <f>IF(OR($C363="",$K363=""),0,IF(COUNTIFS($C$5:$C363,$C363,$K$5:$K363,$K363)=1,1,0))</f>
        <v>0</v>
      </c>
      <c r="AL363" s="43" t="str">
        <f>IF($AK363=1,SUMIFS($AK$4:$AK362,$C$4:$C362,$C363)+1,"")</f>
        <v/>
      </c>
      <c r="AM363" s="43">
        <f>IF(OR($C363="",$G363=""),0,IF(COUNTIFS($C$5:$C363,$C363,$G$5:$G363,$G363)=1,1,0))</f>
        <v>0</v>
      </c>
      <c r="AN363" s="43" t="str">
        <f>IF($AM363=1,SUMIFS($AM$4:$AM362,$C$4:$C362,$C363)+1,"")</f>
        <v/>
      </c>
    </row>
    <row r="364">
      <c r="A364" s="44" t="str">
        <f>IF(OR($B364="",$D364=""),"","TX"&amp;TEXT(ROW()-4,"0000"))</f>
        <v/>
      </c>
      <c r="B364" s="42" t="n"/>
      <c r="C364" s="47" t="str">
        <f>IF($B364="","",YEAR($B364)*100+MONTH($B364))</f>
        <v/>
      </c>
      <c r="D364" s="37" t="n"/>
      <c r="E364" s="45" t="str">
        <f>IF($D364="","",IFERROR(INDEX(CARDS!$B$5:$B$34,MATCH($D364,CARDS!$A$5:$A$34,0)),"⚠ Card ID?"))</f>
        <v/>
      </c>
      <c r="F364" s="45" t="str">
        <f>IF($D364="","",IFERROR(INDEX(CARDS!$C$5:$C$34,MATCH($D364,CARDS!$A$5:$A$34,0)),"⚠ Card ID?"))</f>
        <v/>
      </c>
      <c r="G364" s="37" t="n"/>
      <c r="H364" s="37" t="n"/>
      <c r="I364" s="41" t="n"/>
      <c r="J364" s="45" t="str">
        <f>IF($I364="","",IFERROR(INDEX(MCC_MASTER!$B$5:$B$504,MATCH($I364,MCC_MASTER!$A$5:$A$504,0)),"⚠ MCC chưa có"))</f>
        <v/>
      </c>
      <c r="K364" s="45" t="str">
        <f>IF($I364="","",IFERROR(IF(INDEX(MCC_MASTER!$C$5:$C$504,MATCH($I364,MCC_MASTER!$A$5:$A$504,0))="","Chưa phân loại",INDEX(MCC_MASTER!$C$5:$C$504,MATCH($I364,MCC_MASTER!$A$5:$A$504,0))),"Chưa phân loại"))</f>
        <v/>
      </c>
      <c r="L364" s="40" t="n"/>
      <c r="M364" s="48" t="str">
        <f>IF(OR($B364="",$D364=""),"",IF($AC364=0,0,IF(ISNUMBER(INDEX(CASHBACK_RULES!$L$5:$L$304,$AC364)),MAX(0,MIN($L364,INDEX(CASHBACK_RULES!$L$5:$L$304,$AC364)-$AH364)),MAX(0,$L364))))</f>
        <v/>
      </c>
      <c r="N364" s="49" t="str">
        <f>IF(OR($B364="",$D364=""),"",IF($AC364&gt;0,INDEX(CASHBACK_RULES!$I$5:$I$304,$AC364),0))</f>
        <v/>
      </c>
      <c r="O364" s="48" t="str">
        <f>IF(OR($B364="",$D364=""),"",ROUND($M364*$N364,0))</f>
        <v/>
      </c>
      <c r="P364" s="48" t="str">
        <f>IF($AC364&gt;0,IF(ISNUMBER(INDEX(CASHBACK_RULES!$J$5:$J$304,$AC364)),INDEX(CASHBACK_RULES!$J$5:$J$304,$AC364),"∞"),"")</f>
        <v/>
      </c>
      <c r="Q364" s="48" t="str">
        <f>IF(OR($B364="",$D364=""),"",IF($AC364=0,0,MAX(0,MIN($O364,IF(ISNUMBER($P364),$P364-$AF364,1E+15),IF(ISNUMBER($AA364),$AA364-$AG364,1E+15)))))</f>
        <v/>
      </c>
      <c r="R364" s="48" t="str">
        <f>IF(OR($B364="",$D364=""),"",IF($AC364=0,"",IF(AND(NOT(ISNUMBER($P364)),NOT(ISNUMBER($AA364))),"∞",MAX(0,MIN(IF(ISNUMBER($P364),$P364-$AF364-$Q364,1E+15),IF(ISNUMBER($AA364),$AA364-$AG364-$Q364,1E+15))))))</f>
        <v/>
      </c>
      <c r="S364" s="47" t="str">
        <f>IF($AD364="","",YEAR($AD364)*100+MONTH($AD364))</f>
        <v/>
      </c>
      <c r="T364" s="50" t="str">
        <f>IF($AD364="","",IFERROR(IF(INDEX(CARDS!$I$5:$I$34,MATCH($D364,CARDS!$A$5:$A$34,0))="","",IF(INDEX(CARDS!$I$5:$I$34,MATCH($D364,CARDS!$A$5:$A$34,0))&gt;INDEX(CARDS!$H$5:$H$34,MATCH($D364,CARDS!$A$5:$A$34,0)),DATE(YEAR($AD364),MONTH($AD364),MIN(INDEX(CARDS!$I$5:$I$34,MATCH($D364,CARDS!$A$5:$A$34,0)),DAY(EOMONTH($AD364,0)))),DATE(YEAR($AD364),MONTH($AD364)+1,MIN(INDEX(CARDS!$I$5:$I$34,MATCH($D364,CARDS!$A$5:$A$34,0)),DAY(EOMONTH($AD364,1)))))),""))</f>
        <v/>
      </c>
      <c r="U364" s="38" t="n"/>
      <c r="V364" s="37" t="n"/>
      <c r="W364" s="38" t="n"/>
      <c r="X364" s="38" t="n"/>
      <c r="Y364" s="44" t="str">
        <f>IF($AC364&gt;0,INDEX(CASHBACK_RULES!$A$5:$A$304,$AC364),"")</f>
        <v/>
      </c>
      <c r="Z364" s="45" t="str">
        <f>IF($AC364&gt;0,INDEX(CASHBACK_RULES!$E$5:$E$304,$AC364)&amp;"","")</f>
        <v/>
      </c>
      <c r="AA364" s="48" t="str">
        <f>IF($AC364&gt;0,IF(ISNUMBER(INDEX(CASHBACK_RULES!$K$5:$K$304,$AC364)),INDEX(CASHBACK_RULES!$K$5:$K$304,$AC364),"∞"),"")</f>
        <v/>
      </c>
      <c r="AB364" s="44" t="str">
        <f>IF(OR($B364="",$D364=""),"",IF($U364="Cancelled","Đã hủy",IF($AC364=0,"Không được hoàn",IF($Q364=0,IF(OR($O364&gt;0,$M364&lt;$L364),"Đã đạt cap","Không được hoàn"),IF(OR($Q364&lt;$O364,$M364&lt;$L364),"Hoàn một phần","Được hoàn")))))</f>
        <v/>
      </c>
      <c r="AC364" s="43">
        <f>IF(OR($B364="",$D364="",$I364="",$L364=""),0,IF($U364="Cancelled",0,IF($W364&lt;&gt;"",IFERROR(IF(INDEX(CASHBACK_RULES!$B$5:$B$304,MATCH($W364,CASHBACK_RULES!$A$5:$A$304,0))=$D364,MATCH($W364,CASHBACK_RULES!$A$5:$A$304,0),0),0),IFERROR(MATCH(1,INDEX((CASHBACK_RULES!$B$5:$B$304=$D364)*(CASHBACK_RULES!$G$5:$G$304=$I364)*(((CASHBACK_RULES!$N$5:$N$304="")+(CASHBACK_RULES!$N$5:$N$304&lt;=$B364))&gt;0)*(((CASHBACK_RULES!$O$5:$O$304="")+(CASHBACK_RULES!$O$5:$O$304&gt;=$B364))&gt;0)*(((CASHBACK_RULES!$M$5:$M$304="")+(CASHBACK_RULES!$M$5:$M$304&lt;=$L364))&gt;0),0),0),0))))</f>
        <v>0</v>
      </c>
      <c r="AD364" s="51" t="str">
        <f>IF(OR($B364="",$D364=""),"",IFERROR(IF(INDEX(CARDS!$H$5:$H$34,MATCH($D364,CARDS!$A$5:$A$34,0))="","",IF(DAY($B364)&lt;=INDEX(CARDS!$H$5:$H$34,MATCH($D364,CARDS!$A$5:$A$34,0)),DATE(YEAR($B364),MONTH($B364),MIN(INDEX(CARDS!$H$5:$H$34,MATCH($D364,CARDS!$A$5:$A$34,0)),DAY(EOMONTH($B364,0)))),DATE(YEAR($B364),MONTH($B364)+1,MIN(INDEX(CARDS!$H$5:$H$34,MATCH($D364,CARDS!$A$5:$A$34,0)),DAY(EOMONTH($B364,1)))))),""))</f>
        <v/>
      </c>
      <c r="AE364" s="52" t="str">
        <f>IF($C364="","",$C364&amp;"|"&amp;COUNTIF($C$5:$C364,$C364))</f>
        <v/>
      </c>
      <c r="AF364" s="53">
        <f>IF($AC364&gt;0,SUMIFS(Q$4:Q363,$D$4:$D363,$D364,$Z$4:$Z363,$Z364,$C$4:$C363,$C364),0)</f>
        <v>0</v>
      </c>
      <c r="AG364" s="53">
        <f>IF($AC364&gt;0,SUMIFS(Q$4:Q363,$D$4:$D363,$D364,$C$4:$C363,$C364),0)</f>
        <v>0</v>
      </c>
      <c r="AH364" s="53">
        <f>IF($AC364&gt;0,SUMIFS(M$4:M363,$D$4:$D363,$D364,$Z$4:$Z363,$Z364,$C$4:$C363,$C364),0)</f>
        <v>0</v>
      </c>
      <c r="AI364" s="43">
        <f>IF(OR($C364="",$I364=""),0,IF(COUNTIFS($C$5:$C364,$C364,$I$5:$I364,$I364)=1,1,0))</f>
        <v>0</v>
      </c>
      <c r="AJ364" s="43" t="str">
        <f>IF($AI364=1,SUMIFS($AI$4:$AI363,$C$4:$C363,$C364)+1,"")</f>
        <v/>
      </c>
      <c r="AK364" s="43">
        <f>IF(OR($C364="",$K364=""),0,IF(COUNTIFS($C$5:$C364,$C364,$K$5:$K364,$K364)=1,1,0))</f>
        <v>0</v>
      </c>
      <c r="AL364" s="43" t="str">
        <f>IF($AK364=1,SUMIFS($AK$4:$AK363,$C$4:$C363,$C364)+1,"")</f>
        <v/>
      </c>
      <c r="AM364" s="43">
        <f>IF(OR($C364="",$G364=""),0,IF(COUNTIFS($C$5:$C364,$C364,$G$5:$G364,$G364)=1,1,0))</f>
        <v>0</v>
      </c>
      <c r="AN364" s="43" t="str">
        <f>IF($AM364=1,SUMIFS($AM$4:$AM363,$C$4:$C363,$C364)+1,"")</f>
        <v/>
      </c>
    </row>
    <row r="365">
      <c r="A365" s="44" t="str">
        <f>IF(OR($B365="",$D365=""),"","TX"&amp;TEXT(ROW()-4,"0000"))</f>
        <v/>
      </c>
      <c r="B365" s="42" t="n"/>
      <c r="C365" s="47" t="str">
        <f>IF($B365="","",YEAR($B365)*100+MONTH($B365))</f>
        <v/>
      </c>
      <c r="D365" s="37" t="n"/>
      <c r="E365" s="45" t="str">
        <f>IF($D365="","",IFERROR(INDEX(CARDS!$B$5:$B$34,MATCH($D365,CARDS!$A$5:$A$34,0)),"⚠ Card ID?"))</f>
        <v/>
      </c>
      <c r="F365" s="45" t="str">
        <f>IF($D365="","",IFERROR(INDEX(CARDS!$C$5:$C$34,MATCH($D365,CARDS!$A$5:$A$34,0)),"⚠ Card ID?"))</f>
        <v/>
      </c>
      <c r="G365" s="37" t="n"/>
      <c r="H365" s="37" t="n"/>
      <c r="I365" s="41" t="n"/>
      <c r="J365" s="45" t="str">
        <f>IF($I365="","",IFERROR(INDEX(MCC_MASTER!$B$5:$B$504,MATCH($I365,MCC_MASTER!$A$5:$A$504,0)),"⚠ MCC chưa có"))</f>
        <v/>
      </c>
      <c r="K365" s="45" t="str">
        <f>IF($I365="","",IFERROR(IF(INDEX(MCC_MASTER!$C$5:$C$504,MATCH($I365,MCC_MASTER!$A$5:$A$504,0))="","Chưa phân loại",INDEX(MCC_MASTER!$C$5:$C$504,MATCH($I365,MCC_MASTER!$A$5:$A$504,0))),"Chưa phân loại"))</f>
        <v/>
      </c>
      <c r="L365" s="40" t="n"/>
      <c r="M365" s="48" t="str">
        <f>IF(OR($B365="",$D365=""),"",IF($AC365=0,0,IF(ISNUMBER(INDEX(CASHBACK_RULES!$L$5:$L$304,$AC365)),MAX(0,MIN($L365,INDEX(CASHBACK_RULES!$L$5:$L$304,$AC365)-$AH365)),MAX(0,$L365))))</f>
        <v/>
      </c>
      <c r="N365" s="49" t="str">
        <f>IF(OR($B365="",$D365=""),"",IF($AC365&gt;0,INDEX(CASHBACK_RULES!$I$5:$I$304,$AC365),0))</f>
        <v/>
      </c>
      <c r="O365" s="48" t="str">
        <f>IF(OR($B365="",$D365=""),"",ROUND($M365*$N365,0))</f>
        <v/>
      </c>
      <c r="P365" s="48" t="str">
        <f>IF($AC365&gt;0,IF(ISNUMBER(INDEX(CASHBACK_RULES!$J$5:$J$304,$AC365)),INDEX(CASHBACK_RULES!$J$5:$J$304,$AC365),"∞"),"")</f>
        <v/>
      </c>
      <c r="Q365" s="48" t="str">
        <f>IF(OR($B365="",$D365=""),"",IF($AC365=0,0,MAX(0,MIN($O365,IF(ISNUMBER($P365),$P365-$AF365,1E+15),IF(ISNUMBER($AA365),$AA365-$AG365,1E+15)))))</f>
        <v/>
      </c>
      <c r="R365" s="48" t="str">
        <f>IF(OR($B365="",$D365=""),"",IF($AC365=0,"",IF(AND(NOT(ISNUMBER($P365)),NOT(ISNUMBER($AA365))),"∞",MAX(0,MIN(IF(ISNUMBER($P365),$P365-$AF365-$Q365,1E+15),IF(ISNUMBER($AA365),$AA365-$AG365-$Q365,1E+15))))))</f>
        <v/>
      </c>
      <c r="S365" s="47" t="str">
        <f>IF($AD365="","",YEAR($AD365)*100+MONTH($AD365))</f>
        <v/>
      </c>
      <c r="T365" s="50" t="str">
        <f>IF($AD365="","",IFERROR(IF(INDEX(CARDS!$I$5:$I$34,MATCH($D365,CARDS!$A$5:$A$34,0))="","",IF(INDEX(CARDS!$I$5:$I$34,MATCH($D365,CARDS!$A$5:$A$34,0))&gt;INDEX(CARDS!$H$5:$H$34,MATCH($D365,CARDS!$A$5:$A$34,0)),DATE(YEAR($AD365),MONTH($AD365),MIN(INDEX(CARDS!$I$5:$I$34,MATCH($D365,CARDS!$A$5:$A$34,0)),DAY(EOMONTH($AD365,0)))),DATE(YEAR($AD365),MONTH($AD365)+1,MIN(INDEX(CARDS!$I$5:$I$34,MATCH($D365,CARDS!$A$5:$A$34,0)),DAY(EOMONTH($AD365,1)))))),""))</f>
        <v/>
      </c>
      <c r="U365" s="38" t="n"/>
      <c r="V365" s="37" t="n"/>
      <c r="W365" s="38" t="n"/>
      <c r="X365" s="38" t="n"/>
      <c r="Y365" s="44" t="str">
        <f>IF($AC365&gt;0,INDEX(CASHBACK_RULES!$A$5:$A$304,$AC365),"")</f>
        <v/>
      </c>
      <c r="Z365" s="45" t="str">
        <f>IF($AC365&gt;0,INDEX(CASHBACK_RULES!$E$5:$E$304,$AC365)&amp;"","")</f>
        <v/>
      </c>
      <c r="AA365" s="48" t="str">
        <f>IF($AC365&gt;0,IF(ISNUMBER(INDEX(CASHBACK_RULES!$K$5:$K$304,$AC365)),INDEX(CASHBACK_RULES!$K$5:$K$304,$AC365),"∞"),"")</f>
        <v/>
      </c>
      <c r="AB365" s="44" t="str">
        <f>IF(OR($B365="",$D365=""),"",IF($U365="Cancelled","Đã hủy",IF($AC365=0,"Không được hoàn",IF($Q365=0,IF(OR($O365&gt;0,$M365&lt;$L365),"Đã đạt cap","Không được hoàn"),IF(OR($Q365&lt;$O365,$M365&lt;$L365),"Hoàn một phần","Được hoàn")))))</f>
        <v/>
      </c>
      <c r="AC365" s="43">
        <f>IF(OR($B365="",$D365="",$I365="",$L365=""),0,IF($U365="Cancelled",0,IF($W365&lt;&gt;"",IFERROR(IF(INDEX(CASHBACK_RULES!$B$5:$B$304,MATCH($W365,CASHBACK_RULES!$A$5:$A$304,0))=$D365,MATCH($W365,CASHBACK_RULES!$A$5:$A$304,0),0),0),IFERROR(MATCH(1,INDEX((CASHBACK_RULES!$B$5:$B$304=$D365)*(CASHBACK_RULES!$G$5:$G$304=$I365)*(((CASHBACK_RULES!$N$5:$N$304="")+(CASHBACK_RULES!$N$5:$N$304&lt;=$B365))&gt;0)*(((CASHBACK_RULES!$O$5:$O$304="")+(CASHBACK_RULES!$O$5:$O$304&gt;=$B365))&gt;0)*(((CASHBACK_RULES!$M$5:$M$304="")+(CASHBACK_RULES!$M$5:$M$304&lt;=$L365))&gt;0),0),0),0))))</f>
        <v>0</v>
      </c>
      <c r="AD365" s="51" t="str">
        <f>IF(OR($B365="",$D365=""),"",IFERROR(IF(INDEX(CARDS!$H$5:$H$34,MATCH($D365,CARDS!$A$5:$A$34,0))="","",IF(DAY($B365)&lt;=INDEX(CARDS!$H$5:$H$34,MATCH($D365,CARDS!$A$5:$A$34,0)),DATE(YEAR($B365),MONTH($B365),MIN(INDEX(CARDS!$H$5:$H$34,MATCH($D365,CARDS!$A$5:$A$34,0)),DAY(EOMONTH($B365,0)))),DATE(YEAR($B365),MONTH($B365)+1,MIN(INDEX(CARDS!$H$5:$H$34,MATCH($D365,CARDS!$A$5:$A$34,0)),DAY(EOMONTH($B365,1)))))),""))</f>
        <v/>
      </c>
      <c r="AE365" s="52" t="str">
        <f>IF($C365="","",$C365&amp;"|"&amp;COUNTIF($C$5:$C365,$C365))</f>
        <v/>
      </c>
      <c r="AF365" s="53">
        <f>IF($AC365&gt;0,SUMIFS(Q$4:Q364,$D$4:$D364,$D365,$Z$4:$Z364,$Z365,$C$4:$C364,$C365),0)</f>
        <v>0</v>
      </c>
      <c r="AG365" s="53">
        <f>IF($AC365&gt;0,SUMIFS(Q$4:Q364,$D$4:$D364,$D365,$C$4:$C364,$C365),0)</f>
        <v>0</v>
      </c>
      <c r="AH365" s="53">
        <f>IF($AC365&gt;0,SUMIFS(M$4:M364,$D$4:$D364,$D365,$Z$4:$Z364,$Z365,$C$4:$C364,$C365),0)</f>
        <v>0</v>
      </c>
      <c r="AI365" s="43">
        <f>IF(OR($C365="",$I365=""),0,IF(COUNTIFS($C$5:$C365,$C365,$I$5:$I365,$I365)=1,1,0))</f>
        <v>0</v>
      </c>
      <c r="AJ365" s="43" t="str">
        <f>IF($AI365=1,SUMIFS($AI$4:$AI364,$C$4:$C364,$C365)+1,"")</f>
        <v/>
      </c>
      <c r="AK365" s="43">
        <f>IF(OR($C365="",$K365=""),0,IF(COUNTIFS($C$5:$C365,$C365,$K$5:$K365,$K365)=1,1,0))</f>
        <v>0</v>
      </c>
      <c r="AL365" s="43" t="str">
        <f>IF($AK365=1,SUMIFS($AK$4:$AK364,$C$4:$C364,$C365)+1,"")</f>
        <v/>
      </c>
      <c r="AM365" s="43">
        <f>IF(OR($C365="",$G365=""),0,IF(COUNTIFS($C$5:$C365,$C365,$G$5:$G365,$G365)=1,1,0))</f>
        <v>0</v>
      </c>
      <c r="AN365" s="43" t="str">
        <f>IF($AM365=1,SUMIFS($AM$4:$AM364,$C$4:$C364,$C365)+1,"")</f>
        <v/>
      </c>
    </row>
    <row r="366">
      <c r="A366" s="44" t="str">
        <f>IF(OR($B366="",$D366=""),"","TX"&amp;TEXT(ROW()-4,"0000"))</f>
        <v/>
      </c>
      <c r="B366" s="42" t="n"/>
      <c r="C366" s="47" t="str">
        <f>IF($B366="","",YEAR($B366)*100+MONTH($B366))</f>
        <v/>
      </c>
      <c r="D366" s="37" t="n"/>
      <c r="E366" s="45" t="str">
        <f>IF($D366="","",IFERROR(INDEX(CARDS!$B$5:$B$34,MATCH($D366,CARDS!$A$5:$A$34,0)),"⚠ Card ID?"))</f>
        <v/>
      </c>
      <c r="F366" s="45" t="str">
        <f>IF($D366="","",IFERROR(INDEX(CARDS!$C$5:$C$34,MATCH($D366,CARDS!$A$5:$A$34,0)),"⚠ Card ID?"))</f>
        <v/>
      </c>
      <c r="G366" s="37" t="n"/>
      <c r="H366" s="37" t="n"/>
      <c r="I366" s="41" t="n"/>
      <c r="J366" s="45" t="str">
        <f>IF($I366="","",IFERROR(INDEX(MCC_MASTER!$B$5:$B$504,MATCH($I366,MCC_MASTER!$A$5:$A$504,0)),"⚠ MCC chưa có"))</f>
        <v/>
      </c>
      <c r="K366" s="45" t="str">
        <f>IF($I366="","",IFERROR(IF(INDEX(MCC_MASTER!$C$5:$C$504,MATCH($I366,MCC_MASTER!$A$5:$A$504,0))="","Chưa phân loại",INDEX(MCC_MASTER!$C$5:$C$504,MATCH($I366,MCC_MASTER!$A$5:$A$504,0))),"Chưa phân loại"))</f>
        <v/>
      </c>
      <c r="L366" s="40" t="n"/>
      <c r="M366" s="48" t="str">
        <f>IF(OR($B366="",$D366=""),"",IF($AC366=0,0,IF(ISNUMBER(INDEX(CASHBACK_RULES!$L$5:$L$304,$AC366)),MAX(0,MIN($L366,INDEX(CASHBACK_RULES!$L$5:$L$304,$AC366)-$AH366)),MAX(0,$L366))))</f>
        <v/>
      </c>
      <c r="N366" s="49" t="str">
        <f>IF(OR($B366="",$D366=""),"",IF($AC366&gt;0,INDEX(CASHBACK_RULES!$I$5:$I$304,$AC366),0))</f>
        <v/>
      </c>
      <c r="O366" s="48" t="str">
        <f>IF(OR($B366="",$D366=""),"",ROUND($M366*$N366,0))</f>
        <v/>
      </c>
      <c r="P366" s="48" t="str">
        <f>IF($AC366&gt;0,IF(ISNUMBER(INDEX(CASHBACK_RULES!$J$5:$J$304,$AC366)),INDEX(CASHBACK_RULES!$J$5:$J$304,$AC366),"∞"),"")</f>
        <v/>
      </c>
      <c r="Q366" s="48" t="str">
        <f>IF(OR($B366="",$D366=""),"",IF($AC366=0,0,MAX(0,MIN($O366,IF(ISNUMBER($P366),$P366-$AF366,1E+15),IF(ISNUMBER($AA366),$AA366-$AG366,1E+15)))))</f>
        <v/>
      </c>
      <c r="R366" s="48" t="str">
        <f>IF(OR($B366="",$D366=""),"",IF($AC366=0,"",IF(AND(NOT(ISNUMBER($P366)),NOT(ISNUMBER($AA366))),"∞",MAX(0,MIN(IF(ISNUMBER($P366),$P366-$AF366-$Q366,1E+15),IF(ISNUMBER($AA366),$AA366-$AG366-$Q366,1E+15))))))</f>
        <v/>
      </c>
      <c r="S366" s="47" t="str">
        <f>IF($AD366="","",YEAR($AD366)*100+MONTH($AD366))</f>
        <v/>
      </c>
      <c r="T366" s="50" t="str">
        <f>IF($AD366="","",IFERROR(IF(INDEX(CARDS!$I$5:$I$34,MATCH($D366,CARDS!$A$5:$A$34,0))="","",IF(INDEX(CARDS!$I$5:$I$34,MATCH($D366,CARDS!$A$5:$A$34,0))&gt;INDEX(CARDS!$H$5:$H$34,MATCH($D366,CARDS!$A$5:$A$34,0)),DATE(YEAR($AD366),MONTH($AD366),MIN(INDEX(CARDS!$I$5:$I$34,MATCH($D366,CARDS!$A$5:$A$34,0)),DAY(EOMONTH($AD366,0)))),DATE(YEAR($AD366),MONTH($AD366)+1,MIN(INDEX(CARDS!$I$5:$I$34,MATCH($D366,CARDS!$A$5:$A$34,0)),DAY(EOMONTH($AD366,1)))))),""))</f>
        <v/>
      </c>
      <c r="U366" s="38" t="n"/>
      <c r="V366" s="37" t="n"/>
      <c r="W366" s="38" t="n"/>
      <c r="X366" s="38" t="n"/>
      <c r="Y366" s="44" t="str">
        <f>IF($AC366&gt;0,INDEX(CASHBACK_RULES!$A$5:$A$304,$AC366),"")</f>
        <v/>
      </c>
      <c r="Z366" s="45" t="str">
        <f>IF($AC366&gt;0,INDEX(CASHBACK_RULES!$E$5:$E$304,$AC366)&amp;"","")</f>
        <v/>
      </c>
      <c r="AA366" s="48" t="str">
        <f>IF($AC366&gt;0,IF(ISNUMBER(INDEX(CASHBACK_RULES!$K$5:$K$304,$AC366)),INDEX(CASHBACK_RULES!$K$5:$K$304,$AC366),"∞"),"")</f>
        <v/>
      </c>
      <c r="AB366" s="44" t="str">
        <f>IF(OR($B366="",$D366=""),"",IF($U366="Cancelled","Đã hủy",IF($AC366=0,"Không được hoàn",IF($Q366=0,IF(OR($O366&gt;0,$M366&lt;$L366),"Đã đạt cap","Không được hoàn"),IF(OR($Q366&lt;$O366,$M366&lt;$L366),"Hoàn một phần","Được hoàn")))))</f>
        <v/>
      </c>
      <c r="AC366" s="43">
        <f>IF(OR($B366="",$D366="",$I366="",$L366=""),0,IF($U366="Cancelled",0,IF($W366&lt;&gt;"",IFERROR(IF(INDEX(CASHBACK_RULES!$B$5:$B$304,MATCH($W366,CASHBACK_RULES!$A$5:$A$304,0))=$D366,MATCH($W366,CASHBACK_RULES!$A$5:$A$304,0),0),0),IFERROR(MATCH(1,INDEX((CASHBACK_RULES!$B$5:$B$304=$D366)*(CASHBACK_RULES!$G$5:$G$304=$I366)*(((CASHBACK_RULES!$N$5:$N$304="")+(CASHBACK_RULES!$N$5:$N$304&lt;=$B366))&gt;0)*(((CASHBACK_RULES!$O$5:$O$304="")+(CASHBACK_RULES!$O$5:$O$304&gt;=$B366))&gt;0)*(((CASHBACK_RULES!$M$5:$M$304="")+(CASHBACK_RULES!$M$5:$M$304&lt;=$L366))&gt;0),0),0),0))))</f>
        <v>0</v>
      </c>
      <c r="AD366" s="51" t="str">
        <f>IF(OR($B366="",$D366=""),"",IFERROR(IF(INDEX(CARDS!$H$5:$H$34,MATCH($D366,CARDS!$A$5:$A$34,0))="","",IF(DAY($B366)&lt;=INDEX(CARDS!$H$5:$H$34,MATCH($D366,CARDS!$A$5:$A$34,0)),DATE(YEAR($B366),MONTH($B366),MIN(INDEX(CARDS!$H$5:$H$34,MATCH($D366,CARDS!$A$5:$A$34,0)),DAY(EOMONTH($B366,0)))),DATE(YEAR($B366),MONTH($B366)+1,MIN(INDEX(CARDS!$H$5:$H$34,MATCH($D366,CARDS!$A$5:$A$34,0)),DAY(EOMONTH($B366,1)))))),""))</f>
        <v/>
      </c>
      <c r="AE366" s="52" t="str">
        <f>IF($C366="","",$C366&amp;"|"&amp;COUNTIF($C$5:$C366,$C366))</f>
        <v/>
      </c>
      <c r="AF366" s="53">
        <f>IF($AC366&gt;0,SUMIFS(Q$4:Q365,$D$4:$D365,$D366,$Z$4:$Z365,$Z366,$C$4:$C365,$C366),0)</f>
        <v>0</v>
      </c>
      <c r="AG366" s="53">
        <f>IF($AC366&gt;0,SUMIFS(Q$4:Q365,$D$4:$D365,$D366,$C$4:$C365,$C366),0)</f>
        <v>0</v>
      </c>
      <c r="AH366" s="53">
        <f>IF($AC366&gt;0,SUMIFS(M$4:M365,$D$4:$D365,$D366,$Z$4:$Z365,$Z366,$C$4:$C365,$C366),0)</f>
        <v>0</v>
      </c>
      <c r="AI366" s="43">
        <f>IF(OR($C366="",$I366=""),0,IF(COUNTIFS($C$5:$C366,$C366,$I$5:$I366,$I366)=1,1,0))</f>
        <v>0</v>
      </c>
      <c r="AJ366" s="43" t="str">
        <f>IF($AI366=1,SUMIFS($AI$4:$AI365,$C$4:$C365,$C366)+1,"")</f>
        <v/>
      </c>
      <c r="AK366" s="43">
        <f>IF(OR($C366="",$K366=""),0,IF(COUNTIFS($C$5:$C366,$C366,$K$5:$K366,$K366)=1,1,0))</f>
        <v>0</v>
      </c>
      <c r="AL366" s="43" t="str">
        <f>IF($AK366=1,SUMIFS($AK$4:$AK365,$C$4:$C365,$C366)+1,"")</f>
        <v/>
      </c>
      <c r="AM366" s="43">
        <f>IF(OR($C366="",$G366=""),0,IF(COUNTIFS($C$5:$C366,$C366,$G$5:$G366,$G366)=1,1,0))</f>
        <v>0</v>
      </c>
      <c r="AN366" s="43" t="str">
        <f>IF($AM366=1,SUMIFS($AM$4:$AM365,$C$4:$C365,$C366)+1,"")</f>
        <v/>
      </c>
    </row>
    <row r="367">
      <c r="A367" s="44" t="str">
        <f>IF(OR($B367="",$D367=""),"","TX"&amp;TEXT(ROW()-4,"0000"))</f>
        <v/>
      </c>
      <c r="B367" s="42" t="n"/>
      <c r="C367" s="47" t="str">
        <f>IF($B367="","",YEAR($B367)*100+MONTH($B367))</f>
        <v/>
      </c>
      <c r="D367" s="37" t="n"/>
      <c r="E367" s="45" t="str">
        <f>IF($D367="","",IFERROR(INDEX(CARDS!$B$5:$B$34,MATCH($D367,CARDS!$A$5:$A$34,0)),"⚠ Card ID?"))</f>
        <v/>
      </c>
      <c r="F367" s="45" t="str">
        <f>IF($D367="","",IFERROR(INDEX(CARDS!$C$5:$C$34,MATCH($D367,CARDS!$A$5:$A$34,0)),"⚠ Card ID?"))</f>
        <v/>
      </c>
      <c r="G367" s="37" t="n"/>
      <c r="H367" s="37" t="n"/>
      <c r="I367" s="41" t="n"/>
      <c r="J367" s="45" t="str">
        <f>IF($I367="","",IFERROR(INDEX(MCC_MASTER!$B$5:$B$504,MATCH($I367,MCC_MASTER!$A$5:$A$504,0)),"⚠ MCC chưa có"))</f>
        <v/>
      </c>
      <c r="K367" s="45" t="str">
        <f>IF($I367="","",IFERROR(IF(INDEX(MCC_MASTER!$C$5:$C$504,MATCH($I367,MCC_MASTER!$A$5:$A$504,0))="","Chưa phân loại",INDEX(MCC_MASTER!$C$5:$C$504,MATCH($I367,MCC_MASTER!$A$5:$A$504,0))),"Chưa phân loại"))</f>
        <v/>
      </c>
      <c r="L367" s="40" t="n"/>
      <c r="M367" s="48" t="str">
        <f>IF(OR($B367="",$D367=""),"",IF($AC367=0,0,IF(ISNUMBER(INDEX(CASHBACK_RULES!$L$5:$L$304,$AC367)),MAX(0,MIN($L367,INDEX(CASHBACK_RULES!$L$5:$L$304,$AC367)-$AH367)),MAX(0,$L367))))</f>
        <v/>
      </c>
      <c r="N367" s="49" t="str">
        <f>IF(OR($B367="",$D367=""),"",IF($AC367&gt;0,INDEX(CASHBACK_RULES!$I$5:$I$304,$AC367),0))</f>
        <v/>
      </c>
      <c r="O367" s="48" t="str">
        <f>IF(OR($B367="",$D367=""),"",ROUND($M367*$N367,0))</f>
        <v/>
      </c>
      <c r="P367" s="48" t="str">
        <f>IF($AC367&gt;0,IF(ISNUMBER(INDEX(CASHBACK_RULES!$J$5:$J$304,$AC367)),INDEX(CASHBACK_RULES!$J$5:$J$304,$AC367),"∞"),"")</f>
        <v/>
      </c>
      <c r="Q367" s="48" t="str">
        <f>IF(OR($B367="",$D367=""),"",IF($AC367=0,0,MAX(0,MIN($O367,IF(ISNUMBER($P367),$P367-$AF367,1E+15),IF(ISNUMBER($AA367),$AA367-$AG367,1E+15)))))</f>
        <v/>
      </c>
      <c r="R367" s="48" t="str">
        <f>IF(OR($B367="",$D367=""),"",IF($AC367=0,"",IF(AND(NOT(ISNUMBER($P367)),NOT(ISNUMBER($AA367))),"∞",MAX(0,MIN(IF(ISNUMBER($P367),$P367-$AF367-$Q367,1E+15),IF(ISNUMBER($AA367),$AA367-$AG367-$Q367,1E+15))))))</f>
        <v/>
      </c>
      <c r="S367" s="47" t="str">
        <f>IF($AD367="","",YEAR($AD367)*100+MONTH($AD367))</f>
        <v/>
      </c>
      <c r="T367" s="50" t="str">
        <f>IF($AD367="","",IFERROR(IF(INDEX(CARDS!$I$5:$I$34,MATCH($D367,CARDS!$A$5:$A$34,0))="","",IF(INDEX(CARDS!$I$5:$I$34,MATCH($D367,CARDS!$A$5:$A$34,0))&gt;INDEX(CARDS!$H$5:$H$34,MATCH($D367,CARDS!$A$5:$A$34,0)),DATE(YEAR($AD367),MONTH($AD367),MIN(INDEX(CARDS!$I$5:$I$34,MATCH($D367,CARDS!$A$5:$A$34,0)),DAY(EOMONTH($AD367,0)))),DATE(YEAR($AD367),MONTH($AD367)+1,MIN(INDEX(CARDS!$I$5:$I$34,MATCH($D367,CARDS!$A$5:$A$34,0)),DAY(EOMONTH($AD367,1)))))),""))</f>
        <v/>
      </c>
      <c r="U367" s="38" t="n"/>
      <c r="V367" s="37" t="n"/>
      <c r="W367" s="38" t="n"/>
      <c r="X367" s="38" t="n"/>
      <c r="Y367" s="44" t="str">
        <f>IF($AC367&gt;0,INDEX(CASHBACK_RULES!$A$5:$A$304,$AC367),"")</f>
        <v/>
      </c>
      <c r="Z367" s="45" t="str">
        <f>IF($AC367&gt;0,INDEX(CASHBACK_RULES!$E$5:$E$304,$AC367)&amp;"","")</f>
        <v/>
      </c>
      <c r="AA367" s="48" t="str">
        <f>IF($AC367&gt;0,IF(ISNUMBER(INDEX(CASHBACK_RULES!$K$5:$K$304,$AC367)),INDEX(CASHBACK_RULES!$K$5:$K$304,$AC367),"∞"),"")</f>
        <v/>
      </c>
      <c r="AB367" s="44" t="str">
        <f>IF(OR($B367="",$D367=""),"",IF($U367="Cancelled","Đã hủy",IF($AC367=0,"Không được hoàn",IF($Q367=0,IF(OR($O367&gt;0,$M367&lt;$L367),"Đã đạt cap","Không được hoàn"),IF(OR($Q367&lt;$O367,$M367&lt;$L367),"Hoàn một phần","Được hoàn")))))</f>
        <v/>
      </c>
      <c r="AC367" s="43">
        <f>IF(OR($B367="",$D367="",$I367="",$L367=""),0,IF($U367="Cancelled",0,IF($W367&lt;&gt;"",IFERROR(IF(INDEX(CASHBACK_RULES!$B$5:$B$304,MATCH($W367,CASHBACK_RULES!$A$5:$A$304,0))=$D367,MATCH($W367,CASHBACK_RULES!$A$5:$A$304,0),0),0),IFERROR(MATCH(1,INDEX((CASHBACK_RULES!$B$5:$B$304=$D367)*(CASHBACK_RULES!$G$5:$G$304=$I367)*(((CASHBACK_RULES!$N$5:$N$304="")+(CASHBACK_RULES!$N$5:$N$304&lt;=$B367))&gt;0)*(((CASHBACK_RULES!$O$5:$O$304="")+(CASHBACK_RULES!$O$5:$O$304&gt;=$B367))&gt;0)*(((CASHBACK_RULES!$M$5:$M$304="")+(CASHBACK_RULES!$M$5:$M$304&lt;=$L367))&gt;0),0),0),0))))</f>
        <v>0</v>
      </c>
      <c r="AD367" s="51" t="str">
        <f>IF(OR($B367="",$D367=""),"",IFERROR(IF(INDEX(CARDS!$H$5:$H$34,MATCH($D367,CARDS!$A$5:$A$34,0))="","",IF(DAY($B367)&lt;=INDEX(CARDS!$H$5:$H$34,MATCH($D367,CARDS!$A$5:$A$34,0)),DATE(YEAR($B367),MONTH($B367),MIN(INDEX(CARDS!$H$5:$H$34,MATCH($D367,CARDS!$A$5:$A$34,0)),DAY(EOMONTH($B367,0)))),DATE(YEAR($B367),MONTH($B367)+1,MIN(INDEX(CARDS!$H$5:$H$34,MATCH($D367,CARDS!$A$5:$A$34,0)),DAY(EOMONTH($B367,1)))))),""))</f>
        <v/>
      </c>
      <c r="AE367" s="52" t="str">
        <f>IF($C367="","",$C367&amp;"|"&amp;COUNTIF($C$5:$C367,$C367))</f>
        <v/>
      </c>
      <c r="AF367" s="53">
        <f>IF($AC367&gt;0,SUMIFS(Q$4:Q366,$D$4:$D366,$D367,$Z$4:$Z366,$Z367,$C$4:$C366,$C367),0)</f>
        <v>0</v>
      </c>
      <c r="AG367" s="53">
        <f>IF($AC367&gt;0,SUMIFS(Q$4:Q366,$D$4:$D366,$D367,$C$4:$C366,$C367),0)</f>
        <v>0</v>
      </c>
      <c r="AH367" s="53">
        <f>IF($AC367&gt;0,SUMIFS(M$4:M366,$D$4:$D366,$D367,$Z$4:$Z366,$Z367,$C$4:$C366,$C367),0)</f>
        <v>0</v>
      </c>
      <c r="AI367" s="43">
        <f>IF(OR($C367="",$I367=""),0,IF(COUNTIFS($C$5:$C367,$C367,$I$5:$I367,$I367)=1,1,0))</f>
        <v>0</v>
      </c>
      <c r="AJ367" s="43" t="str">
        <f>IF($AI367=1,SUMIFS($AI$4:$AI366,$C$4:$C366,$C367)+1,"")</f>
        <v/>
      </c>
      <c r="AK367" s="43">
        <f>IF(OR($C367="",$K367=""),0,IF(COUNTIFS($C$5:$C367,$C367,$K$5:$K367,$K367)=1,1,0))</f>
        <v>0</v>
      </c>
      <c r="AL367" s="43" t="str">
        <f>IF($AK367=1,SUMIFS($AK$4:$AK366,$C$4:$C366,$C367)+1,"")</f>
        <v/>
      </c>
      <c r="AM367" s="43">
        <f>IF(OR($C367="",$G367=""),0,IF(COUNTIFS($C$5:$C367,$C367,$G$5:$G367,$G367)=1,1,0))</f>
        <v>0</v>
      </c>
      <c r="AN367" s="43" t="str">
        <f>IF($AM367=1,SUMIFS($AM$4:$AM366,$C$4:$C366,$C367)+1,"")</f>
        <v/>
      </c>
    </row>
    <row r="368">
      <c r="A368" s="44" t="str">
        <f>IF(OR($B368="",$D368=""),"","TX"&amp;TEXT(ROW()-4,"0000"))</f>
        <v/>
      </c>
      <c r="B368" s="42" t="n"/>
      <c r="C368" s="47" t="str">
        <f>IF($B368="","",YEAR($B368)*100+MONTH($B368))</f>
        <v/>
      </c>
      <c r="D368" s="37" t="n"/>
      <c r="E368" s="45" t="str">
        <f>IF($D368="","",IFERROR(INDEX(CARDS!$B$5:$B$34,MATCH($D368,CARDS!$A$5:$A$34,0)),"⚠ Card ID?"))</f>
        <v/>
      </c>
      <c r="F368" s="45" t="str">
        <f>IF($D368="","",IFERROR(INDEX(CARDS!$C$5:$C$34,MATCH($D368,CARDS!$A$5:$A$34,0)),"⚠ Card ID?"))</f>
        <v/>
      </c>
      <c r="G368" s="37" t="n"/>
      <c r="H368" s="37" t="n"/>
      <c r="I368" s="41" t="n"/>
      <c r="J368" s="45" t="str">
        <f>IF($I368="","",IFERROR(INDEX(MCC_MASTER!$B$5:$B$504,MATCH($I368,MCC_MASTER!$A$5:$A$504,0)),"⚠ MCC chưa có"))</f>
        <v/>
      </c>
      <c r="K368" s="45" t="str">
        <f>IF($I368="","",IFERROR(IF(INDEX(MCC_MASTER!$C$5:$C$504,MATCH($I368,MCC_MASTER!$A$5:$A$504,0))="","Chưa phân loại",INDEX(MCC_MASTER!$C$5:$C$504,MATCH($I368,MCC_MASTER!$A$5:$A$504,0))),"Chưa phân loại"))</f>
        <v/>
      </c>
      <c r="L368" s="40" t="n"/>
      <c r="M368" s="48" t="str">
        <f>IF(OR($B368="",$D368=""),"",IF($AC368=0,0,IF(ISNUMBER(INDEX(CASHBACK_RULES!$L$5:$L$304,$AC368)),MAX(0,MIN($L368,INDEX(CASHBACK_RULES!$L$5:$L$304,$AC368)-$AH368)),MAX(0,$L368))))</f>
        <v/>
      </c>
      <c r="N368" s="49" t="str">
        <f>IF(OR($B368="",$D368=""),"",IF($AC368&gt;0,INDEX(CASHBACK_RULES!$I$5:$I$304,$AC368),0))</f>
        <v/>
      </c>
      <c r="O368" s="48" t="str">
        <f>IF(OR($B368="",$D368=""),"",ROUND($M368*$N368,0))</f>
        <v/>
      </c>
      <c r="P368" s="48" t="str">
        <f>IF($AC368&gt;0,IF(ISNUMBER(INDEX(CASHBACK_RULES!$J$5:$J$304,$AC368)),INDEX(CASHBACK_RULES!$J$5:$J$304,$AC368),"∞"),"")</f>
        <v/>
      </c>
      <c r="Q368" s="48" t="str">
        <f>IF(OR($B368="",$D368=""),"",IF($AC368=0,0,MAX(0,MIN($O368,IF(ISNUMBER($P368),$P368-$AF368,1E+15),IF(ISNUMBER($AA368),$AA368-$AG368,1E+15)))))</f>
        <v/>
      </c>
      <c r="R368" s="48" t="str">
        <f>IF(OR($B368="",$D368=""),"",IF($AC368=0,"",IF(AND(NOT(ISNUMBER($P368)),NOT(ISNUMBER($AA368))),"∞",MAX(0,MIN(IF(ISNUMBER($P368),$P368-$AF368-$Q368,1E+15),IF(ISNUMBER($AA368),$AA368-$AG368-$Q368,1E+15))))))</f>
        <v/>
      </c>
      <c r="S368" s="47" t="str">
        <f>IF($AD368="","",YEAR($AD368)*100+MONTH($AD368))</f>
        <v/>
      </c>
      <c r="T368" s="50" t="str">
        <f>IF($AD368="","",IFERROR(IF(INDEX(CARDS!$I$5:$I$34,MATCH($D368,CARDS!$A$5:$A$34,0))="","",IF(INDEX(CARDS!$I$5:$I$34,MATCH($D368,CARDS!$A$5:$A$34,0))&gt;INDEX(CARDS!$H$5:$H$34,MATCH($D368,CARDS!$A$5:$A$34,0)),DATE(YEAR($AD368),MONTH($AD368),MIN(INDEX(CARDS!$I$5:$I$34,MATCH($D368,CARDS!$A$5:$A$34,0)),DAY(EOMONTH($AD368,0)))),DATE(YEAR($AD368),MONTH($AD368)+1,MIN(INDEX(CARDS!$I$5:$I$34,MATCH($D368,CARDS!$A$5:$A$34,0)),DAY(EOMONTH($AD368,1)))))),""))</f>
        <v/>
      </c>
      <c r="U368" s="38" t="n"/>
      <c r="V368" s="37" t="n"/>
      <c r="W368" s="38" t="n"/>
      <c r="X368" s="38" t="n"/>
      <c r="Y368" s="44" t="str">
        <f>IF($AC368&gt;0,INDEX(CASHBACK_RULES!$A$5:$A$304,$AC368),"")</f>
        <v/>
      </c>
      <c r="Z368" s="45" t="str">
        <f>IF($AC368&gt;0,INDEX(CASHBACK_RULES!$E$5:$E$304,$AC368)&amp;"","")</f>
        <v/>
      </c>
      <c r="AA368" s="48" t="str">
        <f>IF($AC368&gt;0,IF(ISNUMBER(INDEX(CASHBACK_RULES!$K$5:$K$304,$AC368)),INDEX(CASHBACK_RULES!$K$5:$K$304,$AC368),"∞"),"")</f>
        <v/>
      </c>
      <c r="AB368" s="44" t="str">
        <f>IF(OR($B368="",$D368=""),"",IF($U368="Cancelled","Đã hủy",IF($AC368=0,"Không được hoàn",IF($Q368=0,IF(OR($O368&gt;0,$M368&lt;$L368),"Đã đạt cap","Không được hoàn"),IF(OR($Q368&lt;$O368,$M368&lt;$L368),"Hoàn một phần","Được hoàn")))))</f>
        <v/>
      </c>
      <c r="AC368" s="43">
        <f>IF(OR($B368="",$D368="",$I368="",$L368=""),0,IF($U368="Cancelled",0,IF($W368&lt;&gt;"",IFERROR(IF(INDEX(CASHBACK_RULES!$B$5:$B$304,MATCH($W368,CASHBACK_RULES!$A$5:$A$304,0))=$D368,MATCH($W368,CASHBACK_RULES!$A$5:$A$304,0),0),0),IFERROR(MATCH(1,INDEX((CASHBACK_RULES!$B$5:$B$304=$D368)*(CASHBACK_RULES!$G$5:$G$304=$I368)*(((CASHBACK_RULES!$N$5:$N$304="")+(CASHBACK_RULES!$N$5:$N$304&lt;=$B368))&gt;0)*(((CASHBACK_RULES!$O$5:$O$304="")+(CASHBACK_RULES!$O$5:$O$304&gt;=$B368))&gt;0)*(((CASHBACK_RULES!$M$5:$M$304="")+(CASHBACK_RULES!$M$5:$M$304&lt;=$L368))&gt;0),0),0),0))))</f>
        <v>0</v>
      </c>
      <c r="AD368" s="51" t="str">
        <f>IF(OR($B368="",$D368=""),"",IFERROR(IF(INDEX(CARDS!$H$5:$H$34,MATCH($D368,CARDS!$A$5:$A$34,0))="","",IF(DAY($B368)&lt;=INDEX(CARDS!$H$5:$H$34,MATCH($D368,CARDS!$A$5:$A$34,0)),DATE(YEAR($B368),MONTH($B368),MIN(INDEX(CARDS!$H$5:$H$34,MATCH($D368,CARDS!$A$5:$A$34,0)),DAY(EOMONTH($B368,0)))),DATE(YEAR($B368),MONTH($B368)+1,MIN(INDEX(CARDS!$H$5:$H$34,MATCH($D368,CARDS!$A$5:$A$34,0)),DAY(EOMONTH($B368,1)))))),""))</f>
        <v/>
      </c>
      <c r="AE368" s="52" t="str">
        <f>IF($C368="","",$C368&amp;"|"&amp;COUNTIF($C$5:$C368,$C368))</f>
        <v/>
      </c>
      <c r="AF368" s="53">
        <f>IF($AC368&gt;0,SUMIFS(Q$4:Q367,$D$4:$D367,$D368,$Z$4:$Z367,$Z368,$C$4:$C367,$C368),0)</f>
        <v>0</v>
      </c>
      <c r="AG368" s="53">
        <f>IF($AC368&gt;0,SUMIFS(Q$4:Q367,$D$4:$D367,$D368,$C$4:$C367,$C368),0)</f>
        <v>0</v>
      </c>
      <c r="AH368" s="53">
        <f>IF($AC368&gt;0,SUMIFS(M$4:M367,$D$4:$D367,$D368,$Z$4:$Z367,$Z368,$C$4:$C367,$C368),0)</f>
        <v>0</v>
      </c>
      <c r="AI368" s="43">
        <f>IF(OR($C368="",$I368=""),0,IF(COUNTIFS($C$5:$C368,$C368,$I$5:$I368,$I368)=1,1,0))</f>
        <v>0</v>
      </c>
      <c r="AJ368" s="43" t="str">
        <f>IF($AI368=1,SUMIFS($AI$4:$AI367,$C$4:$C367,$C368)+1,"")</f>
        <v/>
      </c>
      <c r="AK368" s="43">
        <f>IF(OR($C368="",$K368=""),0,IF(COUNTIFS($C$5:$C368,$C368,$K$5:$K368,$K368)=1,1,0))</f>
        <v>0</v>
      </c>
      <c r="AL368" s="43" t="str">
        <f>IF($AK368=1,SUMIFS($AK$4:$AK367,$C$4:$C367,$C368)+1,"")</f>
        <v/>
      </c>
      <c r="AM368" s="43">
        <f>IF(OR($C368="",$G368=""),0,IF(COUNTIFS($C$5:$C368,$C368,$G$5:$G368,$G368)=1,1,0))</f>
        <v>0</v>
      </c>
      <c r="AN368" s="43" t="str">
        <f>IF($AM368=1,SUMIFS($AM$4:$AM367,$C$4:$C367,$C368)+1,"")</f>
        <v/>
      </c>
    </row>
    <row r="369">
      <c r="A369" s="44" t="str">
        <f>IF(OR($B369="",$D369=""),"","TX"&amp;TEXT(ROW()-4,"0000"))</f>
        <v/>
      </c>
      <c r="B369" s="42" t="n"/>
      <c r="C369" s="47" t="str">
        <f>IF($B369="","",YEAR($B369)*100+MONTH($B369))</f>
        <v/>
      </c>
      <c r="D369" s="37" t="n"/>
      <c r="E369" s="45" t="str">
        <f>IF($D369="","",IFERROR(INDEX(CARDS!$B$5:$B$34,MATCH($D369,CARDS!$A$5:$A$34,0)),"⚠ Card ID?"))</f>
        <v/>
      </c>
      <c r="F369" s="45" t="str">
        <f>IF($D369="","",IFERROR(INDEX(CARDS!$C$5:$C$34,MATCH($D369,CARDS!$A$5:$A$34,0)),"⚠ Card ID?"))</f>
        <v/>
      </c>
      <c r="G369" s="37" t="n"/>
      <c r="H369" s="37" t="n"/>
      <c r="I369" s="41" t="n"/>
      <c r="J369" s="45" t="str">
        <f>IF($I369="","",IFERROR(INDEX(MCC_MASTER!$B$5:$B$504,MATCH($I369,MCC_MASTER!$A$5:$A$504,0)),"⚠ MCC chưa có"))</f>
        <v/>
      </c>
      <c r="K369" s="45" t="str">
        <f>IF($I369="","",IFERROR(IF(INDEX(MCC_MASTER!$C$5:$C$504,MATCH($I369,MCC_MASTER!$A$5:$A$504,0))="","Chưa phân loại",INDEX(MCC_MASTER!$C$5:$C$504,MATCH($I369,MCC_MASTER!$A$5:$A$504,0))),"Chưa phân loại"))</f>
        <v/>
      </c>
      <c r="L369" s="40" t="n"/>
      <c r="M369" s="48" t="str">
        <f>IF(OR($B369="",$D369=""),"",IF($AC369=0,0,IF(ISNUMBER(INDEX(CASHBACK_RULES!$L$5:$L$304,$AC369)),MAX(0,MIN($L369,INDEX(CASHBACK_RULES!$L$5:$L$304,$AC369)-$AH369)),MAX(0,$L369))))</f>
        <v/>
      </c>
      <c r="N369" s="49" t="str">
        <f>IF(OR($B369="",$D369=""),"",IF($AC369&gt;0,INDEX(CASHBACK_RULES!$I$5:$I$304,$AC369),0))</f>
        <v/>
      </c>
      <c r="O369" s="48" t="str">
        <f>IF(OR($B369="",$D369=""),"",ROUND($M369*$N369,0))</f>
        <v/>
      </c>
      <c r="P369" s="48" t="str">
        <f>IF($AC369&gt;0,IF(ISNUMBER(INDEX(CASHBACK_RULES!$J$5:$J$304,$AC369)),INDEX(CASHBACK_RULES!$J$5:$J$304,$AC369),"∞"),"")</f>
        <v/>
      </c>
      <c r="Q369" s="48" t="str">
        <f>IF(OR($B369="",$D369=""),"",IF($AC369=0,0,MAX(0,MIN($O369,IF(ISNUMBER($P369),$P369-$AF369,1E+15),IF(ISNUMBER($AA369),$AA369-$AG369,1E+15)))))</f>
        <v/>
      </c>
      <c r="R369" s="48" t="str">
        <f>IF(OR($B369="",$D369=""),"",IF($AC369=0,"",IF(AND(NOT(ISNUMBER($P369)),NOT(ISNUMBER($AA369))),"∞",MAX(0,MIN(IF(ISNUMBER($P369),$P369-$AF369-$Q369,1E+15),IF(ISNUMBER($AA369),$AA369-$AG369-$Q369,1E+15))))))</f>
        <v/>
      </c>
      <c r="S369" s="47" t="str">
        <f>IF($AD369="","",YEAR($AD369)*100+MONTH($AD369))</f>
        <v/>
      </c>
      <c r="T369" s="50" t="str">
        <f>IF($AD369="","",IFERROR(IF(INDEX(CARDS!$I$5:$I$34,MATCH($D369,CARDS!$A$5:$A$34,0))="","",IF(INDEX(CARDS!$I$5:$I$34,MATCH($D369,CARDS!$A$5:$A$34,0))&gt;INDEX(CARDS!$H$5:$H$34,MATCH($D369,CARDS!$A$5:$A$34,0)),DATE(YEAR($AD369),MONTH($AD369),MIN(INDEX(CARDS!$I$5:$I$34,MATCH($D369,CARDS!$A$5:$A$34,0)),DAY(EOMONTH($AD369,0)))),DATE(YEAR($AD369),MONTH($AD369)+1,MIN(INDEX(CARDS!$I$5:$I$34,MATCH($D369,CARDS!$A$5:$A$34,0)),DAY(EOMONTH($AD369,1)))))),""))</f>
        <v/>
      </c>
      <c r="U369" s="38" t="n"/>
      <c r="V369" s="37" t="n"/>
      <c r="W369" s="38" t="n"/>
      <c r="X369" s="38" t="n"/>
      <c r="Y369" s="44" t="str">
        <f>IF($AC369&gt;0,INDEX(CASHBACK_RULES!$A$5:$A$304,$AC369),"")</f>
        <v/>
      </c>
      <c r="Z369" s="45" t="str">
        <f>IF($AC369&gt;0,INDEX(CASHBACK_RULES!$E$5:$E$304,$AC369)&amp;"","")</f>
        <v/>
      </c>
      <c r="AA369" s="48" t="str">
        <f>IF($AC369&gt;0,IF(ISNUMBER(INDEX(CASHBACK_RULES!$K$5:$K$304,$AC369)),INDEX(CASHBACK_RULES!$K$5:$K$304,$AC369),"∞"),"")</f>
        <v/>
      </c>
      <c r="AB369" s="44" t="str">
        <f>IF(OR($B369="",$D369=""),"",IF($U369="Cancelled","Đã hủy",IF($AC369=0,"Không được hoàn",IF($Q369=0,IF(OR($O369&gt;0,$M369&lt;$L369),"Đã đạt cap","Không được hoàn"),IF(OR($Q369&lt;$O369,$M369&lt;$L369),"Hoàn một phần","Được hoàn")))))</f>
        <v/>
      </c>
      <c r="AC369" s="43">
        <f>IF(OR($B369="",$D369="",$I369="",$L369=""),0,IF($U369="Cancelled",0,IF($W369&lt;&gt;"",IFERROR(IF(INDEX(CASHBACK_RULES!$B$5:$B$304,MATCH($W369,CASHBACK_RULES!$A$5:$A$304,0))=$D369,MATCH($W369,CASHBACK_RULES!$A$5:$A$304,0),0),0),IFERROR(MATCH(1,INDEX((CASHBACK_RULES!$B$5:$B$304=$D369)*(CASHBACK_RULES!$G$5:$G$304=$I369)*(((CASHBACK_RULES!$N$5:$N$304="")+(CASHBACK_RULES!$N$5:$N$304&lt;=$B369))&gt;0)*(((CASHBACK_RULES!$O$5:$O$304="")+(CASHBACK_RULES!$O$5:$O$304&gt;=$B369))&gt;0)*(((CASHBACK_RULES!$M$5:$M$304="")+(CASHBACK_RULES!$M$5:$M$304&lt;=$L369))&gt;0),0),0),0))))</f>
        <v>0</v>
      </c>
      <c r="AD369" s="51" t="str">
        <f>IF(OR($B369="",$D369=""),"",IFERROR(IF(INDEX(CARDS!$H$5:$H$34,MATCH($D369,CARDS!$A$5:$A$34,0))="","",IF(DAY($B369)&lt;=INDEX(CARDS!$H$5:$H$34,MATCH($D369,CARDS!$A$5:$A$34,0)),DATE(YEAR($B369),MONTH($B369),MIN(INDEX(CARDS!$H$5:$H$34,MATCH($D369,CARDS!$A$5:$A$34,0)),DAY(EOMONTH($B369,0)))),DATE(YEAR($B369),MONTH($B369)+1,MIN(INDEX(CARDS!$H$5:$H$34,MATCH($D369,CARDS!$A$5:$A$34,0)),DAY(EOMONTH($B369,1)))))),""))</f>
        <v/>
      </c>
      <c r="AE369" s="52" t="str">
        <f>IF($C369="","",$C369&amp;"|"&amp;COUNTIF($C$5:$C369,$C369))</f>
        <v/>
      </c>
      <c r="AF369" s="53">
        <f>IF($AC369&gt;0,SUMIFS(Q$4:Q368,$D$4:$D368,$D369,$Z$4:$Z368,$Z369,$C$4:$C368,$C369),0)</f>
        <v>0</v>
      </c>
      <c r="AG369" s="53">
        <f>IF($AC369&gt;0,SUMIFS(Q$4:Q368,$D$4:$D368,$D369,$C$4:$C368,$C369),0)</f>
        <v>0</v>
      </c>
      <c r="AH369" s="53">
        <f>IF($AC369&gt;0,SUMIFS(M$4:M368,$D$4:$D368,$D369,$Z$4:$Z368,$Z369,$C$4:$C368,$C369),0)</f>
        <v>0</v>
      </c>
      <c r="AI369" s="43">
        <f>IF(OR($C369="",$I369=""),0,IF(COUNTIFS($C$5:$C369,$C369,$I$5:$I369,$I369)=1,1,0))</f>
        <v>0</v>
      </c>
      <c r="AJ369" s="43" t="str">
        <f>IF($AI369=1,SUMIFS($AI$4:$AI368,$C$4:$C368,$C369)+1,"")</f>
        <v/>
      </c>
      <c r="AK369" s="43">
        <f>IF(OR($C369="",$K369=""),0,IF(COUNTIFS($C$5:$C369,$C369,$K$5:$K369,$K369)=1,1,0))</f>
        <v>0</v>
      </c>
      <c r="AL369" s="43" t="str">
        <f>IF($AK369=1,SUMIFS($AK$4:$AK368,$C$4:$C368,$C369)+1,"")</f>
        <v/>
      </c>
      <c r="AM369" s="43">
        <f>IF(OR($C369="",$G369=""),0,IF(COUNTIFS($C$5:$C369,$C369,$G$5:$G369,$G369)=1,1,0))</f>
        <v>0</v>
      </c>
      <c r="AN369" s="43" t="str">
        <f>IF($AM369=1,SUMIFS($AM$4:$AM368,$C$4:$C368,$C369)+1,"")</f>
        <v/>
      </c>
    </row>
    <row r="370">
      <c r="A370" s="44" t="str">
        <f>IF(OR($B370="",$D370=""),"","TX"&amp;TEXT(ROW()-4,"0000"))</f>
        <v/>
      </c>
      <c r="B370" s="42" t="n"/>
      <c r="C370" s="47" t="str">
        <f>IF($B370="","",YEAR($B370)*100+MONTH($B370))</f>
        <v/>
      </c>
      <c r="D370" s="37" t="n"/>
      <c r="E370" s="45" t="str">
        <f>IF($D370="","",IFERROR(INDEX(CARDS!$B$5:$B$34,MATCH($D370,CARDS!$A$5:$A$34,0)),"⚠ Card ID?"))</f>
        <v/>
      </c>
      <c r="F370" s="45" t="str">
        <f>IF($D370="","",IFERROR(INDEX(CARDS!$C$5:$C$34,MATCH($D370,CARDS!$A$5:$A$34,0)),"⚠ Card ID?"))</f>
        <v/>
      </c>
      <c r="G370" s="37" t="n"/>
      <c r="H370" s="37" t="n"/>
      <c r="I370" s="41" t="n"/>
      <c r="J370" s="45" t="str">
        <f>IF($I370="","",IFERROR(INDEX(MCC_MASTER!$B$5:$B$504,MATCH($I370,MCC_MASTER!$A$5:$A$504,0)),"⚠ MCC chưa có"))</f>
        <v/>
      </c>
      <c r="K370" s="45" t="str">
        <f>IF($I370="","",IFERROR(IF(INDEX(MCC_MASTER!$C$5:$C$504,MATCH($I370,MCC_MASTER!$A$5:$A$504,0))="","Chưa phân loại",INDEX(MCC_MASTER!$C$5:$C$504,MATCH($I370,MCC_MASTER!$A$5:$A$504,0))),"Chưa phân loại"))</f>
        <v/>
      </c>
      <c r="L370" s="40" t="n"/>
      <c r="M370" s="48" t="str">
        <f>IF(OR($B370="",$D370=""),"",IF($AC370=0,0,IF(ISNUMBER(INDEX(CASHBACK_RULES!$L$5:$L$304,$AC370)),MAX(0,MIN($L370,INDEX(CASHBACK_RULES!$L$5:$L$304,$AC370)-$AH370)),MAX(0,$L370))))</f>
        <v/>
      </c>
      <c r="N370" s="49" t="str">
        <f>IF(OR($B370="",$D370=""),"",IF($AC370&gt;0,INDEX(CASHBACK_RULES!$I$5:$I$304,$AC370),0))</f>
        <v/>
      </c>
      <c r="O370" s="48" t="str">
        <f>IF(OR($B370="",$D370=""),"",ROUND($M370*$N370,0))</f>
        <v/>
      </c>
      <c r="P370" s="48" t="str">
        <f>IF($AC370&gt;0,IF(ISNUMBER(INDEX(CASHBACK_RULES!$J$5:$J$304,$AC370)),INDEX(CASHBACK_RULES!$J$5:$J$304,$AC370),"∞"),"")</f>
        <v/>
      </c>
      <c r="Q370" s="48" t="str">
        <f>IF(OR($B370="",$D370=""),"",IF($AC370=0,0,MAX(0,MIN($O370,IF(ISNUMBER($P370),$P370-$AF370,1E+15),IF(ISNUMBER($AA370),$AA370-$AG370,1E+15)))))</f>
        <v/>
      </c>
      <c r="R370" s="48" t="str">
        <f>IF(OR($B370="",$D370=""),"",IF($AC370=0,"",IF(AND(NOT(ISNUMBER($P370)),NOT(ISNUMBER($AA370))),"∞",MAX(0,MIN(IF(ISNUMBER($P370),$P370-$AF370-$Q370,1E+15),IF(ISNUMBER($AA370),$AA370-$AG370-$Q370,1E+15))))))</f>
        <v/>
      </c>
      <c r="S370" s="47" t="str">
        <f>IF($AD370="","",YEAR($AD370)*100+MONTH($AD370))</f>
        <v/>
      </c>
      <c r="T370" s="50" t="str">
        <f>IF($AD370="","",IFERROR(IF(INDEX(CARDS!$I$5:$I$34,MATCH($D370,CARDS!$A$5:$A$34,0))="","",IF(INDEX(CARDS!$I$5:$I$34,MATCH($D370,CARDS!$A$5:$A$34,0))&gt;INDEX(CARDS!$H$5:$H$34,MATCH($D370,CARDS!$A$5:$A$34,0)),DATE(YEAR($AD370),MONTH($AD370),MIN(INDEX(CARDS!$I$5:$I$34,MATCH($D370,CARDS!$A$5:$A$34,0)),DAY(EOMONTH($AD370,0)))),DATE(YEAR($AD370),MONTH($AD370)+1,MIN(INDEX(CARDS!$I$5:$I$34,MATCH($D370,CARDS!$A$5:$A$34,0)),DAY(EOMONTH($AD370,1)))))),""))</f>
        <v/>
      </c>
      <c r="U370" s="38" t="n"/>
      <c r="V370" s="37" t="n"/>
      <c r="W370" s="38" t="n"/>
      <c r="X370" s="38" t="n"/>
      <c r="Y370" s="44" t="str">
        <f>IF($AC370&gt;0,INDEX(CASHBACK_RULES!$A$5:$A$304,$AC370),"")</f>
        <v/>
      </c>
      <c r="Z370" s="45" t="str">
        <f>IF($AC370&gt;0,INDEX(CASHBACK_RULES!$E$5:$E$304,$AC370)&amp;"","")</f>
        <v/>
      </c>
      <c r="AA370" s="48" t="str">
        <f>IF($AC370&gt;0,IF(ISNUMBER(INDEX(CASHBACK_RULES!$K$5:$K$304,$AC370)),INDEX(CASHBACK_RULES!$K$5:$K$304,$AC370),"∞"),"")</f>
        <v/>
      </c>
      <c r="AB370" s="44" t="str">
        <f>IF(OR($B370="",$D370=""),"",IF($U370="Cancelled","Đã hủy",IF($AC370=0,"Không được hoàn",IF($Q370=0,IF(OR($O370&gt;0,$M370&lt;$L370),"Đã đạt cap","Không được hoàn"),IF(OR($Q370&lt;$O370,$M370&lt;$L370),"Hoàn một phần","Được hoàn")))))</f>
        <v/>
      </c>
      <c r="AC370" s="43">
        <f>IF(OR($B370="",$D370="",$I370="",$L370=""),0,IF($U370="Cancelled",0,IF($W370&lt;&gt;"",IFERROR(IF(INDEX(CASHBACK_RULES!$B$5:$B$304,MATCH($W370,CASHBACK_RULES!$A$5:$A$304,0))=$D370,MATCH($W370,CASHBACK_RULES!$A$5:$A$304,0),0),0),IFERROR(MATCH(1,INDEX((CASHBACK_RULES!$B$5:$B$304=$D370)*(CASHBACK_RULES!$G$5:$G$304=$I370)*(((CASHBACK_RULES!$N$5:$N$304="")+(CASHBACK_RULES!$N$5:$N$304&lt;=$B370))&gt;0)*(((CASHBACK_RULES!$O$5:$O$304="")+(CASHBACK_RULES!$O$5:$O$304&gt;=$B370))&gt;0)*(((CASHBACK_RULES!$M$5:$M$304="")+(CASHBACK_RULES!$M$5:$M$304&lt;=$L370))&gt;0),0),0),0))))</f>
        <v>0</v>
      </c>
      <c r="AD370" s="51" t="str">
        <f>IF(OR($B370="",$D370=""),"",IFERROR(IF(INDEX(CARDS!$H$5:$H$34,MATCH($D370,CARDS!$A$5:$A$34,0))="","",IF(DAY($B370)&lt;=INDEX(CARDS!$H$5:$H$34,MATCH($D370,CARDS!$A$5:$A$34,0)),DATE(YEAR($B370),MONTH($B370),MIN(INDEX(CARDS!$H$5:$H$34,MATCH($D370,CARDS!$A$5:$A$34,0)),DAY(EOMONTH($B370,0)))),DATE(YEAR($B370),MONTH($B370)+1,MIN(INDEX(CARDS!$H$5:$H$34,MATCH($D370,CARDS!$A$5:$A$34,0)),DAY(EOMONTH($B370,1)))))),""))</f>
        <v/>
      </c>
      <c r="AE370" s="52" t="str">
        <f>IF($C370="","",$C370&amp;"|"&amp;COUNTIF($C$5:$C370,$C370))</f>
        <v/>
      </c>
      <c r="AF370" s="53">
        <f>IF($AC370&gt;0,SUMIFS(Q$4:Q369,$D$4:$D369,$D370,$Z$4:$Z369,$Z370,$C$4:$C369,$C370),0)</f>
        <v>0</v>
      </c>
      <c r="AG370" s="53">
        <f>IF($AC370&gt;0,SUMIFS(Q$4:Q369,$D$4:$D369,$D370,$C$4:$C369,$C370),0)</f>
        <v>0</v>
      </c>
      <c r="AH370" s="53">
        <f>IF($AC370&gt;0,SUMIFS(M$4:M369,$D$4:$D369,$D370,$Z$4:$Z369,$Z370,$C$4:$C369,$C370),0)</f>
        <v>0</v>
      </c>
      <c r="AI370" s="43">
        <f>IF(OR($C370="",$I370=""),0,IF(COUNTIFS($C$5:$C370,$C370,$I$5:$I370,$I370)=1,1,0))</f>
        <v>0</v>
      </c>
      <c r="AJ370" s="43" t="str">
        <f>IF($AI370=1,SUMIFS($AI$4:$AI369,$C$4:$C369,$C370)+1,"")</f>
        <v/>
      </c>
      <c r="AK370" s="43">
        <f>IF(OR($C370="",$K370=""),0,IF(COUNTIFS($C$5:$C370,$C370,$K$5:$K370,$K370)=1,1,0))</f>
        <v>0</v>
      </c>
      <c r="AL370" s="43" t="str">
        <f>IF($AK370=1,SUMIFS($AK$4:$AK369,$C$4:$C369,$C370)+1,"")</f>
        <v/>
      </c>
      <c r="AM370" s="43">
        <f>IF(OR($C370="",$G370=""),0,IF(COUNTIFS($C$5:$C370,$C370,$G$5:$G370,$G370)=1,1,0))</f>
        <v>0</v>
      </c>
      <c r="AN370" s="43" t="str">
        <f>IF($AM370=1,SUMIFS($AM$4:$AM369,$C$4:$C369,$C370)+1,"")</f>
        <v/>
      </c>
    </row>
    <row r="371">
      <c r="A371" s="44" t="str">
        <f>IF(OR($B371="",$D371=""),"","TX"&amp;TEXT(ROW()-4,"0000"))</f>
        <v/>
      </c>
      <c r="B371" s="42" t="n"/>
      <c r="C371" s="47" t="str">
        <f>IF($B371="","",YEAR($B371)*100+MONTH($B371))</f>
        <v/>
      </c>
      <c r="D371" s="37" t="n"/>
      <c r="E371" s="45" t="str">
        <f>IF($D371="","",IFERROR(INDEX(CARDS!$B$5:$B$34,MATCH($D371,CARDS!$A$5:$A$34,0)),"⚠ Card ID?"))</f>
        <v/>
      </c>
      <c r="F371" s="45" t="str">
        <f>IF($D371="","",IFERROR(INDEX(CARDS!$C$5:$C$34,MATCH($D371,CARDS!$A$5:$A$34,0)),"⚠ Card ID?"))</f>
        <v/>
      </c>
      <c r="G371" s="37" t="n"/>
      <c r="H371" s="37" t="n"/>
      <c r="I371" s="41" t="n"/>
      <c r="J371" s="45" t="str">
        <f>IF($I371="","",IFERROR(INDEX(MCC_MASTER!$B$5:$B$504,MATCH($I371,MCC_MASTER!$A$5:$A$504,0)),"⚠ MCC chưa có"))</f>
        <v/>
      </c>
      <c r="K371" s="45" t="str">
        <f>IF($I371="","",IFERROR(IF(INDEX(MCC_MASTER!$C$5:$C$504,MATCH($I371,MCC_MASTER!$A$5:$A$504,0))="","Chưa phân loại",INDEX(MCC_MASTER!$C$5:$C$504,MATCH($I371,MCC_MASTER!$A$5:$A$504,0))),"Chưa phân loại"))</f>
        <v/>
      </c>
      <c r="L371" s="40" t="n"/>
      <c r="M371" s="48" t="str">
        <f>IF(OR($B371="",$D371=""),"",IF($AC371=0,0,IF(ISNUMBER(INDEX(CASHBACK_RULES!$L$5:$L$304,$AC371)),MAX(0,MIN($L371,INDEX(CASHBACK_RULES!$L$5:$L$304,$AC371)-$AH371)),MAX(0,$L371))))</f>
        <v/>
      </c>
      <c r="N371" s="49" t="str">
        <f>IF(OR($B371="",$D371=""),"",IF($AC371&gt;0,INDEX(CASHBACK_RULES!$I$5:$I$304,$AC371),0))</f>
        <v/>
      </c>
      <c r="O371" s="48" t="str">
        <f>IF(OR($B371="",$D371=""),"",ROUND($M371*$N371,0))</f>
        <v/>
      </c>
      <c r="P371" s="48" t="str">
        <f>IF($AC371&gt;0,IF(ISNUMBER(INDEX(CASHBACK_RULES!$J$5:$J$304,$AC371)),INDEX(CASHBACK_RULES!$J$5:$J$304,$AC371),"∞"),"")</f>
        <v/>
      </c>
      <c r="Q371" s="48" t="str">
        <f>IF(OR($B371="",$D371=""),"",IF($AC371=0,0,MAX(0,MIN($O371,IF(ISNUMBER($P371),$P371-$AF371,1E+15),IF(ISNUMBER($AA371),$AA371-$AG371,1E+15)))))</f>
        <v/>
      </c>
      <c r="R371" s="48" t="str">
        <f>IF(OR($B371="",$D371=""),"",IF($AC371=0,"",IF(AND(NOT(ISNUMBER($P371)),NOT(ISNUMBER($AA371))),"∞",MAX(0,MIN(IF(ISNUMBER($P371),$P371-$AF371-$Q371,1E+15),IF(ISNUMBER($AA371),$AA371-$AG371-$Q371,1E+15))))))</f>
        <v/>
      </c>
      <c r="S371" s="47" t="str">
        <f>IF($AD371="","",YEAR($AD371)*100+MONTH($AD371))</f>
        <v/>
      </c>
      <c r="T371" s="50" t="str">
        <f>IF($AD371="","",IFERROR(IF(INDEX(CARDS!$I$5:$I$34,MATCH($D371,CARDS!$A$5:$A$34,0))="","",IF(INDEX(CARDS!$I$5:$I$34,MATCH($D371,CARDS!$A$5:$A$34,0))&gt;INDEX(CARDS!$H$5:$H$34,MATCH($D371,CARDS!$A$5:$A$34,0)),DATE(YEAR($AD371),MONTH($AD371),MIN(INDEX(CARDS!$I$5:$I$34,MATCH($D371,CARDS!$A$5:$A$34,0)),DAY(EOMONTH($AD371,0)))),DATE(YEAR($AD371),MONTH($AD371)+1,MIN(INDEX(CARDS!$I$5:$I$34,MATCH($D371,CARDS!$A$5:$A$34,0)),DAY(EOMONTH($AD371,1)))))),""))</f>
        <v/>
      </c>
      <c r="U371" s="38" t="n"/>
      <c r="V371" s="37" t="n"/>
      <c r="W371" s="38" t="n"/>
      <c r="X371" s="38" t="n"/>
      <c r="Y371" s="44" t="str">
        <f>IF($AC371&gt;0,INDEX(CASHBACK_RULES!$A$5:$A$304,$AC371),"")</f>
        <v/>
      </c>
      <c r="Z371" s="45" t="str">
        <f>IF($AC371&gt;0,INDEX(CASHBACK_RULES!$E$5:$E$304,$AC371)&amp;"","")</f>
        <v/>
      </c>
      <c r="AA371" s="48" t="str">
        <f>IF($AC371&gt;0,IF(ISNUMBER(INDEX(CASHBACK_RULES!$K$5:$K$304,$AC371)),INDEX(CASHBACK_RULES!$K$5:$K$304,$AC371),"∞"),"")</f>
        <v/>
      </c>
      <c r="AB371" s="44" t="str">
        <f>IF(OR($B371="",$D371=""),"",IF($U371="Cancelled","Đã hủy",IF($AC371=0,"Không được hoàn",IF($Q371=0,IF(OR($O371&gt;0,$M371&lt;$L371),"Đã đạt cap","Không được hoàn"),IF(OR($Q371&lt;$O371,$M371&lt;$L371),"Hoàn một phần","Được hoàn")))))</f>
        <v/>
      </c>
      <c r="AC371" s="43">
        <f>IF(OR($B371="",$D371="",$I371="",$L371=""),0,IF($U371="Cancelled",0,IF($W371&lt;&gt;"",IFERROR(IF(INDEX(CASHBACK_RULES!$B$5:$B$304,MATCH($W371,CASHBACK_RULES!$A$5:$A$304,0))=$D371,MATCH($W371,CASHBACK_RULES!$A$5:$A$304,0),0),0),IFERROR(MATCH(1,INDEX((CASHBACK_RULES!$B$5:$B$304=$D371)*(CASHBACK_RULES!$G$5:$G$304=$I371)*(((CASHBACK_RULES!$N$5:$N$304="")+(CASHBACK_RULES!$N$5:$N$304&lt;=$B371))&gt;0)*(((CASHBACK_RULES!$O$5:$O$304="")+(CASHBACK_RULES!$O$5:$O$304&gt;=$B371))&gt;0)*(((CASHBACK_RULES!$M$5:$M$304="")+(CASHBACK_RULES!$M$5:$M$304&lt;=$L371))&gt;0),0),0),0))))</f>
        <v>0</v>
      </c>
      <c r="AD371" s="51" t="str">
        <f>IF(OR($B371="",$D371=""),"",IFERROR(IF(INDEX(CARDS!$H$5:$H$34,MATCH($D371,CARDS!$A$5:$A$34,0))="","",IF(DAY($B371)&lt;=INDEX(CARDS!$H$5:$H$34,MATCH($D371,CARDS!$A$5:$A$34,0)),DATE(YEAR($B371),MONTH($B371),MIN(INDEX(CARDS!$H$5:$H$34,MATCH($D371,CARDS!$A$5:$A$34,0)),DAY(EOMONTH($B371,0)))),DATE(YEAR($B371),MONTH($B371)+1,MIN(INDEX(CARDS!$H$5:$H$34,MATCH($D371,CARDS!$A$5:$A$34,0)),DAY(EOMONTH($B371,1)))))),""))</f>
        <v/>
      </c>
      <c r="AE371" s="52" t="str">
        <f>IF($C371="","",$C371&amp;"|"&amp;COUNTIF($C$5:$C371,$C371))</f>
        <v/>
      </c>
      <c r="AF371" s="53">
        <f>IF($AC371&gt;0,SUMIFS(Q$4:Q370,$D$4:$D370,$D371,$Z$4:$Z370,$Z371,$C$4:$C370,$C371),0)</f>
        <v>0</v>
      </c>
      <c r="AG371" s="53">
        <f>IF($AC371&gt;0,SUMIFS(Q$4:Q370,$D$4:$D370,$D371,$C$4:$C370,$C371),0)</f>
        <v>0</v>
      </c>
      <c r="AH371" s="53">
        <f>IF($AC371&gt;0,SUMIFS(M$4:M370,$D$4:$D370,$D371,$Z$4:$Z370,$Z371,$C$4:$C370,$C371),0)</f>
        <v>0</v>
      </c>
      <c r="AI371" s="43">
        <f>IF(OR($C371="",$I371=""),0,IF(COUNTIFS($C$5:$C371,$C371,$I$5:$I371,$I371)=1,1,0))</f>
        <v>0</v>
      </c>
      <c r="AJ371" s="43" t="str">
        <f>IF($AI371=1,SUMIFS($AI$4:$AI370,$C$4:$C370,$C371)+1,"")</f>
        <v/>
      </c>
      <c r="AK371" s="43">
        <f>IF(OR($C371="",$K371=""),0,IF(COUNTIFS($C$5:$C371,$C371,$K$5:$K371,$K371)=1,1,0))</f>
        <v>0</v>
      </c>
      <c r="AL371" s="43" t="str">
        <f>IF($AK371=1,SUMIFS($AK$4:$AK370,$C$4:$C370,$C371)+1,"")</f>
        <v/>
      </c>
      <c r="AM371" s="43">
        <f>IF(OR($C371="",$G371=""),0,IF(COUNTIFS($C$5:$C371,$C371,$G$5:$G371,$G371)=1,1,0))</f>
        <v>0</v>
      </c>
      <c r="AN371" s="43" t="str">
        <f>IF($AM371=1,SUMIFS($AM$4:$AM370,$C$4:$C370,$C371)+1,"")</f>
        <v/>
      </c>
    </row>
    <row r="372">
      <c r="A372" s="44" t="str">
        <f>IF(OR($B372="",$D372=""),"","TX"&amp;TEXT(ROW()-4,"0000"))</f>
        <v/>
      </c>
      <c r="B372" s="42" t="n"/>
      <c r="C372" s="47" t="str">
        <f>IF($B372="","",YEAR($B372)*100+MONTH($B372))</f>
        <v/>
      </c>
      <c r="D372" s="37" t="n"/>
      <c r="E372" s="45" t="str">
        <f>IF($D372="","",IFERROR(INDEX(CARDS!$B$5:$B$34,MATCH($D372,CARDS!$A$5:$A$34,0)),"⚠ Card ID?"))</f>
        <v/>
      </c>
      <c r="F372" s="45" t="str">
        <f>IF($D372="","",IFERROR(INDEX(CARDS!$C$5:$C$34,MATCH($D372,CARDS!$A$5:$A$34,0)),"⚠ Card ID?"))</f>
        <v/>
      </c>
      <c r="G372" s="37" t="n"/>
      <c r="H372" s="37" t="n"/>
      <c r="I372" s="41" t="n"/>
      <c r="J372" s="45" t="str">
        <f>IF($I372="","",IFERROR(INDEX(MCC_MASTER!$B$5:$B$504,MATCH($I372,MCC_MASTER!$A$5:$A$504,0)),"⚠ MCC chưa có"))</f>
        <v/>
      </c>
      <c r="K372" s="45" t="str">
        <f>IF($I372="","",IFERROR(IF(INDEX(MCC_MASTER!$C$5:$C$504,MATCH($I372,MCC_MASTER!$A$5:$A$504,0))="","Chưa phân loại",INDEX(MCC_MASTER!$C$5:$C$504,MATCH($I372,MCC_MASTER!$A$5:$A$504,0))),"Chưa phân loại"))</f>
        <v/>
      </c>
      <c r="L372" s="40" t="n"/>
      <c r="M372" s="48" t="str">
        <f>IF(OR($B372="",$D372=""),"",IF($AC372=0,0,IF(ISNUMBER(INDEX(CASHBACK_RULES!$L$5:$L$304,$AC372)),MAX(0,MIN($L372,INDEX(CASHBACK_RULES!$L$5:$L$304,$AC372)-$AH372)),MAX(0,$L372))))</f>
        <v/>
      </c>
      <c r="N372" s="49" t="str">
        <f>IF(OR($B372="",$D372=""),"",IF($AC372&gt;0,INDEX(CASHBACK_RULES!$I$5:$I$304,$AC372),0))</f>
        <v/>
      </c>
      <c r="O372" s="48" t="str">
        <f>IF(OR($B372="",$D372=""),"",ROUND($M372*$N372,0))</f>
        <v/>
      </c>
      <c r="P372" s="48" t="str">
        <f>IF($AC372&gt;0,IF(ISNUMBER(INDEX(CASHBACK_RULES!$J$5:$J$304,$AC372)),INDEX(CASHBACK_RULES!$J$5:$J$304,$AC372),"∞"),"")</f>
        <v/>
      </c>
      <c r="Q372" s="48" t="str">
        <f>IF(OR($B372="",$D372=""),"",IF($AC372=0,0,MAX(0,MIN($O372,IF(ISNUMBER($P372),$P372-$AF372,1E+15),IF(ISNUMBER($AA372),$AA372-$AG372,1E+15)))))</f>
        <v/>
      </c>
      <c r="R372" s="48" t="str">
        <f>IF(OR($B372="",$D372=""),"",IF($AC372=0,"",IF(AND(NOT(ISNUMBER($P372)),NOT(ISNUMBER($AA372))),"∞",MAX(0,MIN(IF(ISNUMBER($P372),$P372-$AF372-$Q372,1E+15),IF(ISNUMBER($AA372),$AA372-$AG372-$Q372,1E+15))))))</f>
        <v/>
      </c>
      <c r="S372" s="47" t="str">
        <f>IF($AD372="","",YEAR($AD372)*100+MONTH($AD372))</f>
        <v/>
      </c>
      <c r="T372" s="50" t="str">
        <f>IF($AD372="","",IFERROR(IF(INDEX(CARDS!$I$5:$I$34,MATCH($D372,CARDS!$A$5:$A$34,0))="","",IF(INDEX(CARDS!$I$5:$I$34,MATCH($D372,CARDS!$A$5:$A$34,0))&gt;INDEX(CARDS!$H$5:$H$34,MATCH($D372,CARDS!$A$5:$A$34,0)),DATE(YEAR($AD372),MONTH($AD372),MIN(INDEX(CARDS!$I$5:$I$34,MATCH($D372,CARDS!$A$5:$A$34,0)),DAY(EOMONTH($AD372,0)))),DATE(YEAR($AD372),MONTH($AD372)+1,MIN(INDEX(CARDS!$I$5:$I$34,MATCH($D372,CARDS!$A$5:$A$34,0)),DAY(EOMONTH($AD372,1)))))),""))</f>
        <v/>
      </c>
      <c r="U372" s="38" t="n"/>
      <c r="V372" s="37" t="n"/>
      <c r="W372" s="38" t="n"/>
      <c r="X372" s="38" t="n"/>
      <c r="Y372" s="44" t="str">
        <f>IF($AC372&gt;0,INDEX(CASHBACK_RULES!$A$5:$A$304,$AC372),"")</f>
        <v/>
      </c>
      <c r="Z372" s="45" t="str">
        <f>IF($AC372&gt;0,INDEX(CASHBACK_RULES!$E$5:$E$304,$AC372)&amp;"","")</f>
        <v/>
      </c>
      <c r="AA372" s="48" t="str">
        <f>IF($AC372&gt;0,IF(ISNUMBER(INDEX(CASHBACK_RULES!$K$5:$K$304,$AC372)),INDEX(CASHBACK_RULES!$K$5:$K$304,$AC372),"∞"),"")</f>
        <v/>
      </c>
      <c r="AB372" s="44" t="str">
        <f>IF(OR($B372="",$D372=""),"",IF($U372="Cancelled","Đã hủy",IF($AC372=0,"Không được hoàn",IF($Q372=0,IF(OR($O372&gt;0,$M372&lt;$L372),"Đã đạt cap","Không được hoàn"),IF(OR($Q372&lt;$O372,$M372&lt;$L372),"Hoàn một phần","Được hoàn")))))</f>
        <v/>
      </c>
      <c r="AC372" s="43">
        <f>IF(OR($B372="",$D372="",$I372="",$L372=""),0,IF($U372="Cancelled",0,IF($W372&lt;&gt;"",IFERROR(IF(INDEX(CASHBACK_RULES!$B$5:$B$304,MATCH($W372,CASHBACK_RULES!$A$5:$A$304,0))=$D372,MATCH($W372,CASHBACK_RULES!$A$5:$A$304,0),0),0),IFERROR(MATCH(1,INDEX((CASHBACK_RULES!$B$5:$B$304=$D372)*(CASHBACK_RULES!$G$5:$G$304=$I372)*(((CASHBACK_RULES!$N$5:$N$304="")+(CASHBACK_RULES!$N$5:$N$304&lt;=$B372))&gt;0)*(((CASHBACK_RULES!$O$5:$O$304="")+(CASHBACK_RULES!$O$5:$O$304&gt;=$B372))&gt;0)*(((CASHBACK_RULES!$M$5:$M$304="")+(CASHBACK_RULES!$M$5:$M$304&lt;=$L372))&gt;0),0),0),0))))</f>
        <v>0</v>
      </c>
      <c r="AD372" s="51" t="str">
        <f>IF(OR($B372="",$D372=""),"",IFERROR(IF(INDEX(CARDS!$H$5:$H$34,MATCH($D372,CARDS!$A$5:$A$34,0))="","",IF(DAY($B372)&lt;=INDEX(CARDS!$H$5:$H$34,MATCH($D372,CARDS!$A$5:$A$34,0)),DATE(YEAR($B372),MONTH($B372),MIN(INDEX(CARDS!$H$5:$H$34,MATCH($D372,CARDS!$A$5:$A$34,0)),DAY(EOMONTH($B372,0)))),DATE(YEAR($B372),MONTH($B372)+1,MIN(INDEX(CARDS!$H$5:$H$34,MATCH($D372,CARDS!$A$5:$A$34,0)),DAY(EOMONTH($B372,1)))))),""))</f>
        <v/>
      </c>
      <c r="AE372" s="52" t="str">
        <f>IF($C372="","",$C372&amp;"|"&amp;COUNTIF($C$5:$C372,$C372))</f>
        <v/>
      </c>
      <c r="AF372" s="53">
        <f>IF($AC372&gt;0,SUMIFS(Q$4:Q371,$D$4:$D371,$D372,$Z$4:$Z371,$Z372,$C$4:$C371,$C372),0)</f>
        <v>0</v>
      </c>
      <c r="AG372" s="53">
        <f>IF($AC372&gt;0,SUMIFS(Q$4:Q371,$D$4:$D371,$D372,$C$4:$C371,$C372),0)</f>
        <v>0</v>
      </c>
      <c r="AH372" s="53">
        <f>IF($AC372&gt;0,SUMIFS(M$4:M371,$D$4:$D371,$D372,$Z$4:$Z371,$Z372,$C$4:$C371,$C372),0)</f>
        <v>0</v>
      </c>
      <c r="AI372" s="43">
        <f>IF(OR($C372="",$I372=""),0,IF(COUNTIFS($C$5:$C372,$C372,$I$5:$I372,$I372)=1,1,0))</f>
        <v>0</v>
      </c>
      <c r="AJ372" s="43" t="str">
        <f>IF($AI372=1,SUMIFS($AI$4:$AI371,$C$4:$C371,$C372)+1,"")</f>
        <v/>
      </c>
      <c r="AK372" s="43">
        <f>IF(OR($C372="",$K372=""),0,IF(COUNTIFS($C$5:$C372,$C372,$K$5:$K372,$K372)=1,1,0))</f>
        <v>0</v>
      </c>
      <c r="AL372" s="43" t="str">
        <f>IF($AK372=1,SUMIFS($AK$4:$AK371,$C$4:$C371,$C372)+1,"")</f>
        <v/>
      </c>
      <c r="AM372" s="43">
        <f>IF(OR($C372="",$G372=""),0,IF(COUNTIFS($C$5:$C372,$C372,$G$5:$G372,$G372)=1,1,0))</f>
        <v>0</v>
      </c>
      <c r="AN372" s="43" t="str">
        <f>IF($AM372=1,SUMIFS($AM$4:$AM371,$C$4:$C371,$C372)+1,"")</f>
        <v/>
      </c>
    </row>
    <row r="373">
      <c r="A373" s="44" t="str">
        <f>IF(OR($B373="",$D373=""),"","TX"&amp;TEXT(ROW()-4,"0000"))</f>
        <v/>
      </c>
      <c r="B373" s="42" t="n"/>
      <c r="C373" s="47" t="str">
        <f>IF($B373="","",YEAR($B373)*100+MONTH($B373))</f>
        <v/>
      </c>
      <c r="D373" s="37" t="n"/>
      <c r="E373" s="45" t="str">
        <f>IF($D373="","",IFERROR(INDEX(CARDS!$B$5:$B$34,MATCH($D373,CARDS!$A$5:$A$34,0)),"⚠ Card ID?"))</f>
        <v/>
      </c>
      <c r="F373" s="45" t="str">
        <f>IF($D373="","",IFERROR(INDEX(CARDS!$C$5:$C$34,MATCH($D373,CARDS!$A$5:$A$34,0)),"⚠ Card ID?"))</f>
        <v/>
      </c>
      <c r="G373" s="37" t="n"/>
      <c r="H373" s="37" t="n"/>
      <c r="I373" s="41" t="n"/>
      <c r="J373" s="45" t="str">
        <f>IF($I373="","",IFERROR(INDEX(MCC_MASTER!$B$5:$B$504,MATCH($I373,MCC_MASTER!$A$5:$A$504,0)),"⚠ MCC chưa có"))</f>
        <v/>
      </c>
      <c r="K373" s="45" t="str">
        <f>IF($I373="","",IFERROR(IF(INDEX(MCC_MASTER!$C$5:$C$504,MATCH($I373,MCC_MASTER!$A$5:$A$504,0))="","Chưa phân loại",INDEX(MCC_MASTER!$C$5:$C$504,MATCH($I373,MCC_MASTER!$A$5:$A$504,0))),"Chưa phân loại"))</f>
        <v/>
      </c>
      <c r="L373" s="40" t="n"/>
      <c r="M373" s="48" t="str">
        <f>IF(OR($B373="",$D373=""),"",IF($AC373=0,0,IF(ISNUMBER(INDEX(CASHBACK_RULES!$L$5:$L$304,$AC373)),MAX(0,MIN($L373,INDEX(CASHBACK_RULES!$L$5:$L$304,$AC373)-$AH373)),MAX(0,$L373))))</f>
        <v/>
      </c>
      <c r="N373" s="49" t="str">
        <f>IF(OR($B373="",$D373=""),"",IF($AC373&gt;0,INDEX(CASHBACK_RULES!$I$5:$I$304,$AC373),0))</f>
        <v/>
      </c>
      <c r="O373" s="48" t="str">
        <f>IF(OR($B373="",$D373=""),"",ROUND($M373*$N373,0))</f>
        <v/>
      </c>
      <c r="P373" s="48" t="str">
        <f>IF($AC373&gt;0,IF(ISNUMBER(INDEX(CASHBACK_RULES!$J$5:$J$304,$AC373)),INDEX(CASHBACK_RULES!$J$5:$J$304,$AC373),"∞"),"")</f>
        <v/>
      </c>
      <c r="Q373" s="48" t="str">
        <f>IF(OR($B373="",$D373=""),"",IF($AC373=0,0,MAX(0,MIN($O373,IF(ISNUMBER($P373),$P373-$AF373,1E+15),IF(ISNUMBER($AA373),$AA373-$AG373,1E+15)))))</f>
        <v/>
      </c>
      <c r="R373" s="48" t="str">
        <f>IF(OR($B373="",$D373=""),"",IF($AC373=0,"",IF(AND(NOT(ISNUMBER($P373)),NOT(ISNUMBER($AA373))),"∞",MAX(0,MIN(IF(ISNUMBER($P373),$P373-$AF373-$Q373,1E+15),IF(ISNUMBER($AA373),$AA373-$AG373-$Q373,1E+15))))))</f>
        <v/>
      </c>
      <c r="S373" s="47" t="str">
        <f>IF($AD373="","",YEAR($AD373)*100+MONTH($AD373))</f>
        <v/>
      </c>
      <c r="T373" s="50" t="str">
        <f>IF($AD373="","",IFERROR(IF(INDEX(CARDS!$I$5:$I$34,MATCH($D373,CARDS!$A$5:$A$34,0))="","",IF(INDEX(CARDS!$I$5:$I$34,MATCH($D373,CARDS!$A$5:$A$34,0))&gt;INDEX(CARDS!$H$5:$H$34,MATCH($D373,CARDS!$A$5:$A$34,0)),DATE(YEAR($AD373),MONTH($AD373),MIN(INDEX(CARDS!$I$5:$I$34,MATCH($D373,CARDS!$A$5:$A$34,0)),DAY(EOMONTH($AD373,0)))),DATE(YEAR($AD373),MONTH($AD373)+1,MIN(INDEX(CARDS!$I$5:$I$34,MATCH($D373,CARDS!$A$5:$A$34,0)),DAY(EOMONTH($AD373,1)))))),""))</f>
        <v/>
      </c>
      <c r="U373" s="38" t="n"/>
      <c r="V373" s="37" t="n"/>
      <c r="W373" s="38" t="n"/>
      <c r="X373" s="38" t="n"/>
      <c r="Y373" s="44" t="str">
        <f>IF($AC373&gt;0,INDEX(CASHBACK_RULES!$A$5:$A$304,$AC373),"")</f>
        <v/>
      </c>
      <c r="Z373" s="45" t="str">
        <f>IF($AC373&gt;0,INDEX(CASHBACK_RULES!$E$5:$E$304,$AC373)&amp;"","")</f>
        <v/>
      </c>
      <c r="AA373" s="48" t="str">
        <f>IF($AC373&gt;0,IF(ISNUMBER(INDEX(CASHBACK_RULES!$K$5:$K$304,$AC373)),INDEX(CASHBACK_RULES!$K$5:$K$304,$AC373),"∞"),"")</f>
        <v/>
      </c>
      <c r="AB373" s="44" t="str">
        <f>IF(OR($B373="",$D373=""),"",IF($U373="Cancelled","Đã hủy",IF($AC373=0,"Không được hoàn",IF($Q373=0,IF(OR($O373&gt;0,$M373&lt;$L373),"Đã đạt cap","Không được hoàn"),IF(OR($Q373&lt;$O373,$M373&lt;$L373),"Hoàn một phần","Được hoàn")))))</f>
        <v/>
      </c>
      <c r="AC373" s="43">
        <f>IF(OR($B373="",$D373="",$I373="",$L373=""),0,IF($U373="Cancelled",0,IF($W373&lt;&gt;"",IFERROR(IF(INDEX(CASHBACK_RULES!$B$5:$B$304,MATCH($W373,CASHBACK_RULES!$A$5:$A$304,0))=$D373,MATCH($W373,CASHBACK_RULES!$A$5:$A$304,0),0),0),IFERROR(MATCH(1,INDEX((CASHBACK_RULES!$B$5:$B$304=$D373)*(CASHBACK_RULES!$G$5:$G$304=$I373)*(((CASHBACK_RULES!$N$5:$N$304="")+(CASHBACK_RULES!$N$5:$N$304&lt;=$B373))&gt;0)*(((CASHBACK_RULES!$O$5:$O$304="")+(CASHBACK_RULES!$O$5:$O$304&gt;=$B373))&gt;0)*(((CASHBACK_RULES!$M$5:$M$304="")+(CASHBACK_RULES!$M$5:$M$304&lt;=$L373))&gt;0),0),0),0))))</f>
        <v>0</v>
      </c>
      <c r="AD373" s="51" t="str">
        <f>IF(OR($B373="",$D373=""),"",IFERROR(IF(INDEX(CARDS!$H$5:$H$34,MATCH($D373,CARDS!$A$5:$A$34,0))="","",IF(DAY($B373)&lt;=INDEX(CARDS!$H$5:$H$34,MATCH($D373,CARDS!$A$5:$A$34,0)),DATE(YEAR($B373),MONTH($B373),MIN(INDEX(CARDS!$H$5:$H$34,MATCH($D373,CARDS!$A$5:$A$34,0)),DAY(EOMONTH($B373,0)))),DATE(YEAR($B373),MONTH($B373)+1,MIN(INDEX(CARDS!$H$5:$H$34,MATCH($D373,CARDS!$A$5:$A$34,0)),DAY(EOMONTH($B373,1)))))),""))</f>
        <v/>
      </c>
      <c r="AE373" s="52" t="str">
        <f>IF($C373="","",$C373&amp;"|"&amp;COUNTIF($C$5:$C373,$C373))</f>
        <v/>
      </c>
      <c r="AF373" s="53">
        <f>IF($AC373&gt;0,SUMIFS(Q$4:Q372,$D$4:$D372,$D373,$Z$4:$Z372,$Z373,$C$4:$C372,$C373),0)</f>
        <v>0</v>
      </c>
      <c r="AG373" s="53">
        <f>IF($AC373&gt;0,SUMIFS(Q$4:Q372,$D$4:$D372,$D373,$C$4:$C372,$C373),0)</f>
        <v>0</v>
      </c>
      <c r="AH373" s="53">
        <f>IF($AC373&gt;0,SUMIFS(M$4:M372,$D$4:$D372,$D373,$Z$4:$Z372,$Z373,$C$4:$C372,$C373),0)</f>
        <v>0</v>
      </c>
      <c r="AI373" s="43">
        <f>IF(OR($C373="",$I373=""),0,IF(COUNTIFS($C$5:$C373,$C373,$I$5:$I373,$I373)=1,1,0))</f>
        <v>0</v>
      </c>
      <c r="AJ373" s="43" t="str">
        <f>IF($AI373=1,SUMIFS($AI$4:$AI372,$C$4:$C372,$C373)+1,"")</f>
        <v/>
      </c>
      <c r="AK373" s="43">
        <f>IF(OR($C373="",$K373=""),0,IF(COUNTIFS($C$5:$C373,$C373,$K$5:$K373,$K373)=1,1,0))</f>
        <v>0</v>
      </c>
      <c r="AL373" s="43" t="str">
        <f>IF($AK373=1,SUMIFS($AK$4:$AK372,$C$4:$C372,$C373)+1,"")</f>
        <v/>
      </c>
      <c r="AM373" s="43">
        <f>IF(OR($C373="",$G373=""),0,IF(COUNTIFS($C$5:$C373,$C373,$G$5:$G373,$G373)=1,1,0))</f>
        <v>0</v>
      </c>
      <c r="AN373" s="43" t="str">
        <f>IF($AM373=1,SUMIFS($AM$4:$AM372,$C$4:$C372,$C373)+1,"")</f>
        <v/>
      </c>
    </row>
    <row r="374">
      <c r="A374" s="44" t="str">
        <f>IF(OR($B374="",$D374=""),"","TX"&amp;TEXT(ROW()-4,"0000"))</f>
        <v/>
      </c>
      <c r="B374" s="42" t="n"/>
      <c r="C374" s="47" t="str">
        <f>IF($B374="","",YEAR($B374)*100+MONTH($B374))</f>
        <v/>
      </c>
      <c r="D374" s="37" t="n"/>
      <c r="E374" s="45" t="str">
        <f>IF($D374="","",IFERROR(INDEX(CARDS!$B$5:$B$34,MATCH($D374,CARDS!$A$5:$A$34,0)),"⚠ Card ID?"))</f>
        <v/>
      </c>
      <c r="F374" s="45" t="str">
        <f>IF($D374="","",IFERROR(INDEX(CARDS!$C$5:$C$34,MATCH($D374,CARDS!$A$5:$A$34,0)),"⚠ Card ID?"))</f>
        <v/>
      </c>
      <c r="G374" s="37" t="n"/>
      <c r="H374" s="37" t="n"/>
      <c r="I374" s="41" t="n"/>
      <c r="J374" s="45" t="str">
        <f>IF($I374="","",IFERROR(INDEX(MCC_MASTER!$B$5:$B$504,MATCH($I374,MCC_MASTER!$A$5:$A$504,0)),"⚠ MCC chưa có"))</f>
        <v/>
      </c>
      <c r="K374" s="45" t="str">
        <f>IF($I374="","",IFERROR(IF(INDEX(MCC_MASTER!$C$5:$C$504,MATCH($I374,MCC_MASTER!$A$5:$A$504,0))="","Chưa phân loại",INDEX(MCC_MASTER!$C$5:$C$504,MATCH($I374,MCC_MASTER!$A$5:$A$504,0))),"Chưa phân loại"))</f>
        <v/>
      </c>
      <c r="L374" s="40" t="n"/>
      <c r="M374" s="48" t="str">
        <f>IF(OR($B374="",$D374=""),"",IF($AC374=0,0,IF(ISNUMBER(INDEX(CASHBACK_RULES!$L$5:$L$304,$AC374)),MAX(0,MIN($L374,INDEX(CASHBACK_RULES!$L$5:$L$304,$AC374)-$AH374)),MAX(0,$L374))))</f>
        <v/>
      </c>
      <c r="N374" s="49" t="str">
        <f>IF(OR($B374="",$D374=""),"",IF($AC374&gt;0,INDEX(CASHBACK_RULES!$I$5:$I$304,$AC374),0))</f>
        <v/>
      </c>
      <c r="O374" s="48" t="str">
        <f>IF(OR($B374="",$D374=""),"",ROUND($M374*$N374,0))</f>
        <v/>
      </c>
      <c r="P374" s="48" t="str">
        <f>IF($AC374&gt;0,IF(ISNUMBER(INDEX(CASHBACK_RULES!$J$5:$J$304,$AC374)),INDEX(CASHBACK_RULES!$J$5:$J$304,$AC374),"∞"),"")</f>
        <v/>
      </c>
      <c r="Q374" s="48" t="str">
        <f>IF(OR($B374="",$D374=""),"",IF($AC374=0,0,MAX(0,MIN($O374,IF(ISNUMBER($P374),$P374-$AF374,1E+15),IF(ISNUMBER($AA374),$AA374-$AG374,1E+15)))))</f>
        <v/>
      </c>
      <c r="R374" s="48" t="str">
        <f>IF(OR($B374="",$D374=""),"",IF($AC374=0,"",IF(AND(NOT(ISNUMBER($P374)),NOT(ISNUMBER($AA374))),"∞",MAX(0,MIN(IF(ISNUMBER($P374),$P374-$AF374-$Q374,1E+15),IF(ISNUMBER($AA374),$AA374-$AG374-$Q374,1E+15))))))</f>
        <v/>
      </c>
      <c r="S374" s="47" t="str">
        <f>IF($AD374="","",YEAR($AD374)*100+MONTH($AD374))</f>
        <v/>
      </c>
      <c r="T374" s="50" t="str">
        <f>IF($AD374="","",IFERROR(IF(INDEX(CARDS!$I$5:$I$34,MATCH($D374,CARDS!$A$5:$A$34,0))="","",IF(INDEX(CARDS!$I$5:$I$34,MATCH($D374,CARDS!$A$5:$A$34,0))&gt;INDEX(CARDS!$H$5:$H$34,MATCH($D374,CARDS!$A$5:$A$34,0)),DATE(YEAR($AD374),MONTH($AD374),MIN(INDEX(CARDS!$I$5:$I$34,MATCH($D374,CARDS!$A$5:$A$34,0)),DAY(EOMONTH($AD374,0)))),DATE(YEAR($AD374),MONTH($AD374)+1,MIN(INDEX(CARDS!$I$5:$I$34,MATCH($D374,CARDS!$A$5:$A$34,0)),DAY(EOMONTH($AD374,1)))))),""))</f>
        <v/>
      </c>
      <c r="U374" s="38" t="n"/>
      <c r="V374" s="37" t="n"/>
      <c r="W374" s="38" t="n"/>
      <c r="X374" s="38" t="n"/>
      <c r="Y374" s="44" t="str">
        <f>IF($AC374&gt;0,INDEX(CASHBACK_RULES!$A$5:$A$304,$AC374),"")</f>
        <v/>
      </c>
      <c r="Z374" s="45" t="str">
        <f>IF($AC374&gt;0,INDEX(CASHBACK_RULES!$E$5:$E$304,$AC374)&amp;"","")</f>
        <v/>
      </c>
      <c r="AA374" s="48" t="str">
        <f>IF($AC374&gt;0,IF(ISNUMBER(INDEX(CASHBACK_RULES!$K$5:$K$304,$AC374)),INDEX(CASHBACK_RULES!$K$5:$K$304,$AC374),"∞"),"")</f>
        <v/>
      </c>
      <c r="AB374" s="44" t="str">
        <f>IF(OR($B374="",$D374=""),"",IF($U374="Cancelled","Đã hủy",IF($AC374=0,"Không được hoàn",IF($Q374=0,IF(OR($O374&gt;0,$M374&lt;$L374),"Đã đạt cap","Không được hoàn"),IF(OR($Q374&lt;$O374,$M374&lt;$L374),"Hoàn một phần","Được hoàn")))))</f>
        <v/>
      </c>
      <c r="AC374" s="43">
        <f>IF(OR($B374="",$D374="",$I374="",$L374=""),0,IF($U374="Cancelled",0,IF($W374&lt;&gt;"",IFERROR(IF(INDEX(CASHBACK_RULES!$B$5:$B$304,MATCH($W374,CASHBACK_RULES!$A$5:$A$304,0))=$D374,MATCH($W374,CASHBACK_RULES!$A$5:$A$304,0),0),0),IFERROR(MATCH(1,INDEX((CASHBACK_RULES!$B$5:$B$304=$D374)*(CASHBACK_RULES!$G$5:$G$304=$I374)*(((CASHBACK_RULES!$N$5:$N$304="")+(CASHBACK_RULES!$N$5:$N$304&lt;=$B374))&gt;0)*(((CASHBACK_RULES!$O$5:$O$304="")+(CASHBACK_RULES!$O$5:$O$304&gt;=$B374))&gt;0)*(((CASHBACK_RULES!$M$5:$M$304="")+(CASHBACK_RULES!$M$5:$M$304&lt;=$L374))&gt;0),0),0),0))))</f>
        <v>0</v>
      </c>
      <c r="AD374" s="51" t="str">
        <f>IF(OR($B374="",$D374=""),"",IFERROR(IF(INDEX(CARDS!$H$5:$H$34,MATCH($D374,CARDS!$A$5:$A$34,0))="","",IF(DAY($B374)&lt;=INDEX(CARDS!$H$5:$H$34,MATCH($D374,CARDS!$A$5:$A$34,0)),DATE(YEAR($B374),MONTH($B374),MIN(INDEX(CARDS!$H$5:$H$34,MATCH($D374,CARDS!$A$5:$A$34,0)),DAY(EOMONTH($B374,0)))),DATE(YEAR($B374),MONTH($B374)+1,MIN(INDEX(CARDS!$H$5:$H$34,MATCH($D374,CARDS!$A$5:$A$34,0)),DAY(EOMONTH($B374,1)))))),""))</f>
        <v/>
      </c>
      <c r="AE374" s="52" t="str">
        <f>IF($C374="","",$C374&amp;"|"&amp;COUNTIF($C$5:$C374,$C374))</f>
        <v/>
      </c>
      <c r="AF374" s="53">
        <f>IF($AC374&gt;0,SUMIFS(Q$4:Q373,$D$4:$D373,$D374,$Z$4:$Z373,$Z374,$C$4:$C373,$C374),0)</f>
        <v>0</v>
      </c>
      <c r="AG374" s="53">
        <f>IF($AC374&gt;0,SUMIFS(Q$4:Q373,$D$4:$D373,$D374,$C$4:$C373,$C374),0)</f>
        <v>0</v>
      </c>
      <c r="AH374" s="53">
        <f>IF($AC374&gt;0,SUMIFS(M$4:M373,$D$4:$D373,$D374,$Z$4:$Z373,$Z374,$C$4:$C373,$C374),0)</f>
        <v>0</v>
      </c>
      <c r="AI374" s="43">
        <f>IF(OR($C374="",$I374=""),0,IF(COUNTIFS($C$5:$C374,$C374,$I$5:$I374,$I374)=1,1,0))</f>
        <v>0</v>
      </c>
      <c r="AJ374" s="43" t="str">
        <f>IF($AI374=1,SUMIFS($AI$4:$AI373,$C$4:$C373,$C374)+1,"")</f>
        <v/>
      </c>
      <c r="AK374" s="43">
        <f>IF(OR($C374="",$K374=""),0,IF(COUNTIFS($C$5:$C374,$C374,$K$5:$K374,$K374)=1,1,0))</f>
        <v>0</v>
      </c>
      <c r="AL374" s="43" t="str">
        <f>IF($AK374=1,SUMIFS($AK$4:$AK373,$C$4:$C373,$C374)+1,"")</f>
        <v/>
      </c>
      <c r="AM374" s="43">
        <f>IF(OR($C374="",$G374=""),0,IF(COUNTIFS($C$5:$C374,$C374,$G$5:$G374,$G374)=1,1,0))</f>
        <v>0</v>
      </c>
      <c r="AN374" s="43" t="str">
        <f>IF($AM374=1,SUMIFS($AM$4:$AM373,$C$4:$C373,$C374)+1,"")</f>
        <v/>
      </c>
    </row>
    <row r="375">
      <c r="A375" s="44" t="str">
        <f>IF(OR($B375="",$D375=""),"","TX"&amp;TEXT(ROW()-4,"0000"))</f>
        <v/>
      </c>
      <c r="B375" s="42" t="n"/>
      <c r="C375" s="47" t="str">
        <f>IF($B375="","",YEAR($B375)*100+MONTH($B375))</f>
        <v/>
      </c>
      <c r="D375" s="37" t="n"/>
      <c r="E375" s="45" t="str">
        <f>IF($D375="","",IFERROR(INDEX(CARDS!$B$5:$B$34,MATCH($D375,CARDS!$A$5:$A$34,0)),"⚠ Card ID?"))</f>
        <v/>
      </c>
      <c r="F375" s="45" t="str">
        <f>IF($D375="","",IFERROR(INDEX(CARDS!$C$5:$C$34,MATCH($D375,CARDS!$A$5:$A$34,0)),"⚠ Card ID?"))</f>
        <v/>
      </c>
      <c r="G375" s="37" t="n"/>
      <c r="H375" s="37" t="n"/>
      <c r="I375" s="41" t="n"/>
      <c r="J375" s="45" t="str">
        <f>IF($I375="","",IFERROR(INDEX(MCC_MASTER!$B$5:$B$504,MATCH($I375,MCC_MASTER!$A$5:$A$504,0)),"⚠ MCC chưa có"))</f>
        <v/>
      </c>
      <c r="K375" s="45" t="str">
        <f>IF($I375="","",IFERROR(IF(INDEX(MCC_MASTER!$C$5:$C$504,MATCH($I375,MCC_MASTER!$A$5:$A$504,0))="","Chưa phân loại",INDEX(MCC_MASTER!$C$5:$C$504,MATCH($I375,MCC_MASTER!$A$5:$A$504,0))),"Chưa phân loại"))</f>
        <v/>
      </c>
      <c r="L375" s="40" t="n"/>
      <c r="M375" s="48" t="str">
        <f>IF(OR($B375="",$D375=""),"",IF($AC375=0,0,IF(ISNUMBER(INDEX(CASHBACK_RULES!$L$5:$L$304,$AC375)),MAX(0,MIN($L375,INDEX(CASHBACK_RULES!$L$5:$L$304,$AC375)-$AH375)),MAX(0,$L375))))</f>
        <v/>
      </c>
      <c r="N375" s="49" t="str">
        <f>IF(OR($B375="",$D375=""),"",IF($AC375&gt;0,INDEX(CASHBACK_RULES!$I$5:$I$304,$AC375),0))</f>
        <v/>
      </c>
      <c r="O375" s="48" t="str">
        <f>IF(OR($B375="",$D375=""),"",ROUND($M375*$N375,0))</f>
        <v/>
      </c>
      <c r="P375" s="48" t="str">
        <f>IF($AC375&gt;0,IF(ISNUMBER(INDEX(CASHBACK_RULES!$J$5:$J$304,$AC375)),INDEX(CASHBACK_RULES!$J$5:$J$304,$AC375),"∞"),"")</f>
        <v/>
      </c>
      <c r="Q375" s="48" t="str">
        <f>IF(OR($B375="",$D375=""),"",IF($AC375=0,0,MAX(0,MIN($O375,IF(ISNUMBER($P375),$P375-$AF375,1E+15),IF(ISNUMBER($AA375),$AA375-$AG375,1E+15)))))</f>
        <v/>
      </c>
      <c r="R375" s="48" t="str">
        <f>IF(OR($B375="",$D375=""),"",IF($AC375=0,"",IF(AND(NOT(ISNUMBER($P375)),NOT(ISNUMBER($AA375))),"∞",MAX(0,MIN(IF(ISNUMBER($P375),$P375-$AF375-$Q375,1E+15),IF(ISNUMBER($AA375),$AA375-$AG375-$Q375,1E+15))))))</f>
        <v/>
      </c>
      <c r="S375" s="47" t="str">
        <f>IF($AD375="","",YEAR($AD375)*100+MONTH($AD375))</f>
        <v/>
      </c>
      <c r="T375" s="50" t="str">
        <f>IF($AD375="","",IFERROR(IF(INDEX(CARDS!$I$5:$I$34,MATCH($D375,CARDS!$A$5:$A$34,0))="","",IF(INDEX(CARDS!$I$5:$I$34,MATCH($D375,CARDS!$A$5:$A$34,0))&gt;INDEX(CARDS!$H$5:$H$34,MATCH($D375,CARDS!$A$5:$A$34,0)),DATE(YEAR($AD375),MONTH($AD375),MIN(INDEX(CARDS!$I$5:$I$34,MATCH($D375,CARDS!$A$5:$A$34,0)),DAY(EOMONTH($AD375,0)))),DATE(YEAR($AD375),MONTH($AD375)+1,MIN(INDEX(CARDS!$I$5:$I$34,MATCH($D375,CARDS!$A$5:$A$34,0)),DAY(EOMONTH($AD375,1)))))),""))</f>
        <v/>
      </c>
      <c r="U375" s="38" t="n"/>
      <c r="V375" s="37" t="n"/>
      <c r="W375" s="38" t="n"/>
      <c r="X375" s="38" t="n"/>
      <c r="Y375" s="44" t="str">
        <f>IF($AC375&gt;0,INDEX(CASHBACK_RULES!$A$5:$A$304,$AC375),"")</f>
        <v/>
      </c>
      <c r="Z375" s="45" t="str">
        <f>IF($AC375&gt;0,INDEX(CASHBACK_RULES!$E$5:$E$304,$AC375)&amp;"","")</f>
        <v/>
      </c>
      <c r="AA375" s="48" t="str">
        <f>IF($AC375&gt;0,IF(ISNUMBER(INDEX(CASHBACK_RULES!$K$5:$K$304,$AC375)),INDEX(CASHBACK_RULES!$K$5:$K$304,$AC375),"∞"),"")</f>
        <v/>
      </c>
      <c r="AB375" s="44" t="str">
        <f>IF(OR($B375="",$D375=""),"",IF($U375="Cancelled","Đã hủy",IF($AC375=0,"Không được hoàn",IF($Q375=0,IF(OR($O375&gt;0,$M375&lt;$L375),"Đã đạt cap","Không được hoàn"),IF(OR($Q375&lt;$O375,$M375&lt;$L375),"Hoàn một phần","Được hoàn")))))</f>
        <v/>
      </c>
      <c r="AC375" s="43">
        <f>IF(OR($B375="",$D375="",$I375="",$L375=""),0,IF($U375="Cancelled",0,IF($W375&lt;&gt;"",IFERROR(IF(INDEX(CASHBACK_RULES!$B$5:$B$304,MATCH($W375,CASHBACK_RULES!$A$5:$A$304,0))=$D375,MATCH($W375,CASHBACK_RULES!$A$5:$A$304,0),0),0),IFERROR(MATCH(1,INDEX((CASHBACK_RULES!$B$5:$B$304=$D375)*(CASHBACK_RULES!$G$5:$G$304=$I375)*(((CASHBACK_RULES!$N$5:$N$304="")+(CASHBACK_RULES!$N$5:$N$304&lt;=$B375))&gt;0)*(((CASHBACK_RULES!$O$5:$O$304="")+(CASHBACK_RULES!$O$5:$O$304&gt;=$B375))&gt;0)*(((CASHBACK_RULES!$M$5:$M$304="")+(CASHBACK_RULES!$M$5:$M$304&lt;=$L375))&gt;0),0),0),0))))</f>
        <v>0</v>
      </c>
      <c r="AD375" s="51" t="str">
        <f>IF(OR($B375="",$D375=""),"",IFERROR(IF(INDEX(CARDS!$H$5:$H$34,MATCH($D375,CARDS!$A$5:$A$34,0))="","",IF(DAY($B375)&lt;=INDEX(CARDS!$H$5:$H$34,MATCH($D375,CARDS!$A$5:$A$34,0)),DATE(YEAR($B375),MONTH($B375),MIN(INDEX(CARDS!$H$5:$H$34,MATCH($D375,CARDS!$A$5:$A$34,0)),DAY(EOMONTH($B375,0)))),DATE(YEAR($B375),MONTH($B375)+1,MIN(INDEX(CARDS!$H$5:$H$34,MATCH($D375,CARDS!$A$5:$A$34,0)),DAY(EOMONTH($B375,1)))))),""))</f>
        <v/>
      </c>
      <c r="AE375" s="52" t="str">
        <f>IF($C375="","",$C375&amp;"|"&amp;COUNTIF($C$5:$C375,$C375))</f>
        <v/>
      </c>
      <c r="AF375" s="53">
        <f>IF($AC375&gt;0,SUMIFS(Q$4:Q374,$D$4:$D374,$D375,$Z$4:$Z374,$Z375,$C$4:$C374,$C375),0)</f>
        <v>0</v>
      </c>
      <c r="AG375" s="53">
        <f>IF($AC375&gt;0,SUMIFS(Q$4:Q374,$D$4:$D374,$D375,$C$4:$C374,$C375),0)</f>
        <v>0</v>
      </c>
      <c r="AH375" s="53">
        <f>IF($AC375&gt;0,SUMIFS(M$4:M374,$D$4:$D374,$D375,$Z$4:$Z374,$Z375,$C$4:$C374,$C375),0)</f>
        <v>0</v>
      </c>
      <c r="AI375" s="43">
        <f>IF(OR($C375="",$I375=""),0,IF(COUNTIFS($C$5:$C375,$C375,$I$5:$I375,$I375)=1,1,0))</f>
        <v>0</v>
      </c>
      <c r="AJ375" s="43" t="str">
        <f>IF($AI375=1,SUMIFS($AI$4:$AI374,$C$4:$C374,$C375)+1,"")</f>
        <v/>
      </c>
      <c r="AK375" s="43">
        <f>IF(OR($C375="",$K375=""),0,IF(COUNTIFS($C$5:$C375,$C375,$K$5:$K375,$K375)=1,1,0))</f>
        <v>0</v>
      </c>
      <c r="AL375" s="43" t="str">
        <f>IF($AK375=1,SUMIFS($AK$4:$AK374,$C$4:$C374,$C375)+1,"")</f>
        <v/>
      </c>
      <c r="AM375" s="43">
        <f>IF(OR($C375="",$G375=""),0,IF(COUNTIFS($C$5:$C375,$C375,$G$5:$G375,$G375)=1,1,0))</f>
        <v>0</v>
      </c>
      <c r="AN375" s="43" t="str">
        <f>IF($AM375=1,SUMIFS($AM$4:$AM374,$C$4:$C374,$C375)+1,"")</f>
        <v/>
      </c>
    </row>
    <row r="376">
      <c r="A376" s="44" t="str">
        <f>IF(OR($B376="",$D376=""),"","TX"&amp;TEXT(ROW()-4,"0000"))</f>
        <v/>
      </c>
      <c r="B376" s="42" t="n"/>
      <c r="C376" s="47" t="str">
        <f>IF($B376="","",YEAR($B376)*100+MONTH($B376))</f>
        <v/>
      </c>
      <c r="D376" s="37" t="n"/>
      <c r="E376" s="45" t="str">
        <f>IF($D376="","",IFERROR(INDEX(CARDS!$B$5:$B$34,MATCH($D376,CARDS!$A$5:$A$34,0)),"⚠ Card ID?"))</f>
        <v/>
      </c>
      <c r="F376" s="45" t="str">
        <f>IF($D376="","",IFERROR(INDEX(CARDS!$C$5:$C$34,MATCH($D376,CARDS!$A$5:$A$34,0)),"⚠ Card ID?"))</f>
        <v/>
      </c>
      <c r="G376" s="37" t="n"/>
      <c r="H376" s="37" t="n"/>
      <c r="I376" s="41" t="n"/>
      <c r="J376" s="45" t="str">
        <f>IF($I376="","",IFERROR(INDEX(MCC_MASTER!$B$5:$B$504,MATCH($I376,MCC_MASTER!$A$5:$A$504,0)),"⚠ MCC chưa có"))</f>
        <v/>
      </c>
      <c r="K376" s="45" t="str">
        <f>IF($I376="","",IFERROR(IF(INDEX(MCC_MASTER!$C$5:$C$504,MATCH($I376,MCC_MASTER!$A$5:$A$504,0))="","Chưa phân loại",INDEX(MCC_MASTER!$C$5:$C$504,MATCH($I376,MCC_MASTER!$A$5:$A$504,0))),"Chưa phân loại"))</f>
        <v/>
      </c>
      <c r="L376" s="40" t="n"/>
      <c r="M376" s="48" t="str">
        <f>IF(OR($B376="",$D376=""),"",IF($AC376=0,0,IF(ISNUMBER(INDEX(CASHBACK_RULES!$L$5:$L$304,$AC376)),MAX(0,MIN($L376,INDEX(CASHBACK_RULES!$L$5:$L$304,$AC376)-$AH376)),MAX(0,$L376))))</f>
        <v/>
      </c>
      <c r="N376" s="49" t="str">
        <f>IF(OR($B376="",$D376=""),"",IF($AC376&gt;0,INDEX(CASHBACK_RULES!$I$5:$I$304,$AC376),0))</f>
        <v/>
      </c>
      <c r="O376" s="48" t="str">
        <f>IF(OR($B376="",$D376=""),"",ROUND($M376*$N376,0))</f>
        <v/>
      </c>
      <c r="P376" s="48" t="str">
        <f>IF($AC376&gt;0,IF(ISNUMBER(INDEX(CASHBACK_RULES!$J$5:$J$304,$AC376)),INDEX(CASHBACK_RULES!$J$5:$J$304,$AC376),"∞"),"")</f>
        <v/>
      </c>
      <c r="Q376" s="48" t="str">
        <f>IF(OR($B376="",$D376=""),"",IF($AC376=0,0,MAX(0,MIN($O376,IF(ISNUMBER($P376),$P376-$AF376,1E+15),IF(ISNUMBER($AA376),$AA376-$AG376,1E+15)))))</f>
        <v/>
      </c>
      <c r="R376" s="48" t="str">
        <f>IF(OR($B376="",$D376=""),"",IF($AC376=0,"",IF(AND(NOT(ISNUMBER($P376)),NOT(ISNUMBER($AA376))),"∞",MAX(0,MIN(IF(ISNUMBER($P376),$P376-$AF376-$Q376,1E+15),IF(ISNUMBER($AA376),$AA376-$AG376-$Q376,1E+15))))))</f>
        <v/>
      </c>
      <c r="S376" s="47" t="str">
        <f>IF($AD376="","",YEAR($AD376)*100+MONTH($AD376))</f>
        <v/>
      </c>
      <c r="T376" s="50" t="str">
        <f>IF($AD376="","",IFERROR(IF(INDEX(CARDS!$I$5:$I$34,MATCH($D376,CARDS!$A$5:$A$34,0))="","",IF(INDEX(CARDS!$I$5:$I$34,MATCH($D376,CARDS!$A$5:$A$34,0))&gt;INDEX(CARDS!$H$5:$H$34,MATCH($D376,CARDS!$A$5:$A$34,0)),DATE(YEAR($AD376),MONTH($AD376),MIN(INDEX(CARDS!$I$5:$I$34,MATCH($D376,CARDS!$A$5:$A$34,0)),DAY(EOMONTH($AD376,0)))),DATE(YEAR($AD376),MONTH($AD376)+1,MIN(INDEX(CARDS!$I$5:$I$34,MATCH($D376,CARDS!$A$5:$A$34,0)),DAY(EOMONTH($AD376,1)))))),""))</f>
        <v/>
      </c>
      <c r="U376" s="38" t="n"/>
      <c r="V376" s="37" t="n"/>
      <c r="W376" s="38" t="n"/>
      <c r="X376" s="38" t="n"/>
      <c r="Y376" s="44" t="str">
        <f>IF($AC376&gt;0,INDEX(CASHBACK_RULES!$A$5:$A$304,$AC376),"")</f>
        <v/>
      </c>
      <c r="Z376" s="45" t="str">
        <f>IF($AC376&gt;0,INDEX(CASHBACK_RULES!$E$5:$E$304,$AC376)&amp;"","")</f>
        <v/>
      </c>
      <c r="AA376" s="48" t="str">
        <f>IF($AC376&gt;0,IF(ISNUMBER(INDEX(CASHBACK_RULES!$K$5:$K$304,$AC376)),INDEX(CASHBACK_RULES!$K$5:$K$304,$AC376),"∞"),"")</f>
        <v/>
      </c>
      <c r="AB376" s="44" t="str">
        <f>IF(OR($B376="",$D376=""),"",IF($U376="Cancelled","Đã hủy",IF($AC376=0,"Không được hoàn",IF($Q376=0,IF(OR($O376&gt;0,$M376&lt;$L376),"Đã đạt cap","Không được hoàn"),IF(OR($Q376&lt;$O376,$M376&lt;$L376),"Hoàn một phần","Được hoàn")))))</f>
        <v/>
      </c>
      <c r="AC376" s="43">
        <f>IF(OR($B376="",$D376="",$I376="",$L376=""),0,IF($U376="Cancelled",0,IF($W376&lt;&gt;"",IFERROR(IF(INDEX(CASHBACK_RULES!$B$5:$B$304,MATCH($W376,CASHBACK_RULES!$A$5:$A$304,0))=$D376,MATCH($W376,CASHBACK_RULES!$A$5:$A$304,0),0),0),IFERROR(MATCH(1,INDEX((CASHBACK_RULES!$B$5:$B$304=$D376)*(CASHBACK_RULES!$G$5:$G$304=$I376)*(((CASHBACK_RULES!$N$5:$N$304="")+(CASHBACK_RULES!$N$5:$N$304&lt;=$B376))&gt;0)*(((CASHBACK_RULES!$O$5:$O$304="")+(CASHBACK_RULES!$O$5:$O$304&gt;=$B376))&gt;0)*(((CASHBACK_RULES!$M$5:$M$304="")+(CASHBACK_RULES!$M$5:$M$304&lt;=$L376))&gt;0),0),0),0))))</f>
        <v>0</v>
      </c>
      <c r="AD376" s="51" t="str">
        <f>IF(OR($B376="",$D376=""),"",IFERROR(IF(INDEX(CARDS!$H$5:$H$34,MATCH($D376,CARDS!$A$5:$A$34,0))="","",IF(DAY($B376)&lt;=INDEX(CARDS!$H$5:$H$34,MATCH($D376,CARDS!$A$5:$A$34,0)),DATE(YEAR($B376),MONTH($B376),MIN(INDEX(CARDS!$H$5:$H$34,MATCH($D376,CARDS!$A$5:$A$34,0)),DAY(EOMONTH($B376,0)))),DATE(YEAR($B376),MONTH($B376)+1,MIN(INDEX(CARDS!$H$5:$H$34,MATCH($D376,CARDS!$A$5:$A$34,0)),DAY(EOMONTH($B376,1)))))),""))</f>
        <v/>
      </c>
      <c r="AE376" s="52" t="str">
        <f>IF($C376="","",$C376&amp;"|"&amp;COUNTIF($C$5:$C376,$C376))</f>
        <v/>
      </c>
      <c r="AF376" s="53">
        <f>IF($AC376&gt;0,SUMIFS(Q$4:Q375,$D$4:$D375,$D376,$Z$4:$Z375,$Z376,$C$4:$C375,$C376),0)</f>
        <v>0</v>
      </c>
      <c r="AG376" s="53">
        <f>IF($AC376&gt;0,SUMIFS(Q$4:Q375,$D$4:$D375,$D376,$C$4:$C375,$C376),0)</f>
        <v>0</v>
      </c>
      <c r="AH376" s="53">
        <f>IF($AC376&gt;0,SUMIFS(M$4:M375,$D$4:$D375,$D376,$Z$4:$Z375,$Z376,$C$4:$C375,$C376),0)</f>
        <v>0</v>
      </c>
      <c r="AI376" s="43">
        <f>IF(OR($C376="",$I376=""),0,IF(COUNTIFS($C$5:$C376,$C376,$I$5:$I376,$I376)=1,1,0))</f>
        <v>0</v>
      </c>
      <c r="AJ376" s="43" t="str">
        <f>IF($AI376=1,SUMIFS($AI$4:$AI375,$C$4:$C375,$C376)+1,"")</f>
        <v/>
      </c>
      <c r="AK376" s="43">
        <f>IF(OR($C376="",$K376=""),0,IF(COUNTIFS($C$5:$C376,$C376,$K$5:$K376,$K376)=1,1,0))</f>
        <v>0</v>
      </c>
      <c r="AL376" s="43" t="str">
        <f>IF($AK376=1,SUMIFS($AK$4:$AK375,$C$4:$C375,$C376)+1,"")</f>
        <v/>
      </c>
      <c r="AM376" s="43">
        <f>IF(OR($C376="",$G376=""),0,IF(COUNTIFS($C$5:$C376,$C376,$G$5:$G376,$G376)=1,1,0))</f>
        <v>0</v>
      </c>
      <c r="AN376" s="43" t="str">
        <f>IF($AM376=1,SUMIFS($AM$4:$AM375,$C$4:$C375,$C376)+1,"")</f>
        <v/>
      </c>
    </row>
    <row r="377">
      <c r="A377" s="44" t="str">
        <f>IF(OR($B377="",$D377=""),"","TX"&amp;TEXT(ROW()-4,"0000"))</f>
        <v/>
      </c>
      <c r="B377" s="42" t="n"/>
      <c r="C377" s="47" t="str">
        <f>IF($B377="","",YEAR($B377)*100+MONTH($B377))</f>
        <v/>
      </c>
      <c r="D377" s="37" t="n"/>
      <c r="E377" s="45" t="str">
        <f>IF($D377="","",IFERROR(INDEX(CARDS!$B$5:$B$34,MATCH($D377,CARDS!$A$5:$A$34,0)),"⚠ Card ID?"))</f>
        <v/>
      </c>
      <c r="F377" s="45" t="str">
        <f>IF($D377="","",IFERROR(INDEX(CARDS!$C$5:$C$34,MATCH($D377,CARDS!$A$5:$A$34,0)),"⚠ Card ID?"))</f>
        <v/>
      </c>
      <c r="G377" s="37" t="n"/>
      <c r="H377" s="37" t="n"/>
      <c r="I377" s="41" t="n"/>
      <c r="J377" s="45" t="str">
        <f>IF($I377="","",IFERROR(INDEX(MCC_MASTER!$B$5:$B$504,MATCH($I377,MCC_MASTER!$A$5:$A$504,0)),"⚠ MCC chưa có"))</f>
        <v/>
      </c>
      <c r="K377" s="45" t="str">
        <f>IF($I377="","",IFERROR(IF(INDEX(MCC_MASTER!$C$5:$C$504,MATCH($I377,MCC_MASTER!$A$5:$A$504,0))="","Chưa phân loại",INDEX(MCC_MASTER!$C$5:$C$504,MATCH($I377,MCC_MASTER!$A$5:$A$504,0))),"Chưa phân loại"))</f>
        <v/>
      </c>
      <c r="L377" s="40" t="n"/>
      <c r="M377" s="48" t="str">
        <f>IF(OR($B377="",$D377=""),"",IF($AC377=0,0,IF(ISNUMBER(INDEX(CASHBACK_RULES!$L$5:$L$304,$AC377)),MAX(0,MIN($L377,INDEX(CASHBACK_RULES!$L$5:$L$304,$AC377)-$AH377)),MAX(0,$L377))))</f>
        <v/>
      </c>
      <c r="N377" s="49" t="str">
        <f>IF(OR($B377="",$D377=""),"",IF($AC377&gt;0,INDEX(CASHBACK_RULES!$I$5:$I$304,$AC377),0))</f>
        <v/>
      </c>
      <c r="O377" s="48" t="str">
        <f>IF(OR($B377="",$D377=""),"",ROUND($M377*$N377,0))</f>
        <v/>
      </c>
      <c r="P377" s="48" t="str">
        <f>IF($AC377&gt;0,IF(ISNUMBER(INDEX(CASHBACK_RULES!$J$5:$J$304,$AC377)),INDEX(CASHBACK_RULES!$J$5:$J$304,$AC377),"∞"),"")</f>
        <v/>
      </c>
      <c r="Q377" s="48" t="str">
        <f>IF(OR($B377="",$D377=""),"",IF($AC377=0,0,MAX(0,MIN($O377,IF(ISNUMBER($P377),$P377-$AF377,1E+15),IF(ISNUMBER($AA377),$AA377-$AG377,1E+15)))))</f>
        <v/>
      </c>
      <c r="R377" s="48" t="str">
        <f>IF(OR($B377="",$D377=""),"",IF($AC377=0,"",IF(AND(NOT(ISNUMBER($P377)),NOT(ISNUMBER($AA377))),"∞",MAX(0,MIN(IF(ISNUMBER($P377),$P377-$AF377-$Q377,1E+15),IF(ISNUMBER($AA377),$AA377-$AG377-$Q377,1E+15))))))</f>
        <v/>
      </c>
      <c r="S377" s="47" t="str">
        <f>IF($AD377="","",YEAR($AD377)*100+MONTH($AD377))</f>
        <v/>
      </c>
      <c r="T377" s="50" t="str">
        <f>IF($AD377="","",IFERROR(IF(INDEX(CARDS!$I$5:$I$34,MATCH($D377,CARDS!$A$5:$A$34,0))="","",IF(INDEX(CARDS!$I$5:$I$34,MATCH($D377,CARDS!$A$5:$A$34,0))&gt;INDEX(CARDS!$H$5:$H$34,MATCH($D377,CARDS!$A$5:$A$34,0)),DATE(YEAR($AD377),MONTH($AD377),MIN(INDEX(CARDS!$I$5:$I$34,MATCH($D377,CARDS!$A$5:$A$34,0)),DAY(EOMONTH($AD377,0)))),DATE(YEAR($AD377),MONTH($AD377)+1,MIN(INDEX(CARDS!$I$5:$I$34,MATCH($D377,CARDS!$A$5:$A$34,0)),DAY(EOMONTH($AD377,1)))))),""))</f>
        <v/>
      </c>
      <c r="U377" s="38" t="n"/>
      <c r="V377" s="37" t="n"/>
      <c r="W377" s="38" t="n"/>
      <c r="X377" s="38" t="n"/>
      <c r="Y377" s="44" t="str">
        <f>IF($AC377&gt;0,INDEX(CASHBACK_RULES!$A$5:$A$304,$AC377),"")</f>
        <v/>
      </c>
      <c r="Z377" s="45" t="str">
        <f>IF($AC377&gt;0,INDEX(CASHBACK_RULES!$E$5:$E$304,$AC377)&amp;"","")</f>
        <v/>
      </c>
      <c r="AA377" s="48" t="str">
        <f>IF($AC377&gt;0,IF(ISNUMBER(INDEX(CASHBACK_RULES!$K$5:$K$304,$AC377)),INDEX(CASHBACK_RULES!$K$5:$K$304,$AC377),"∞"),"")</f>
        <v/>
      </c>
      <c r="AB377" s="44" t="str">
        <f>IF(OR($B377="",$D377=""),"",IF($U377="Cancelled","Đã hủy",IF($AC377=0,"Không được hoàn",IF($Q377=0,IF(OR($O377&gt;0,$M377&lt;$L377),"Đã đạt cap","Không được hoàn"),IF(OR($Q377&lt;$O377,$M377&lt;$L377),"Hoàn một phần","Được hoàn")))))</f>
        <v/>
      </c>
      <c r="AC377" s="43">
        <f>IF(OR($B377="",$D377="",$I377="",$L377=""),0,IF($U377="Cancelled",0,IF($W377&lt;&gt;"",IFERROR(IF(INDEX(CASHBACK_RULES!$B$5:$B$304,MATCH($W377,CASHBACK_RULES!$A$5:$A$304,0))=$D377,MATCH($W377,CASHBACK_RULES!$A$5:$A$304,0),0),0),IFERROR(MATCH(1,INDEX((CASHBACK_RULES!$B$5:$B$304=$D377)*(CASHBACK_RULES!$G$5:$G$304=$I377)*(((CASHBACK_RULES!$N$5:$N$304="")+(CASHBACK_RULES!$N$5:$N$304&lt;=$B377))&gt;0)*(((CASHBACK_RULES!$O$5:$O$304="")+(CASHBACK_RULES!$O$5:$O$304&gt;=$B377))&gt;0)*(((CASHBACK_RULES!$M$5:$M$304="")+(CASHBACK_RULES!$M$5:$M$304&lt;=$L377))&gt;0),0),0),0))))</f>
        <v>0</v>
      </c>
      <c r="AD377" s="51" t="str">
        <f>IF(OR($B377="",$D377=""),"",IFERROR(IF(INDEX(CARDS!$H$5:$H$34,MATCH($D377,CARDS!$A$5:$A$34,0))="","",IF(DAY($B377)&lt;=INDEX(CARDS!$H$5:$H$34,MATCH($D377,CARDS!$A$5:$A$34,0)),DATE(YEAR($B377),MONTH($B377),MIN(INDEX(CARDS!$H$5:$H$34,MATCH($D377,CARDS!$A$5:$A$34,0)),DAY(EOMONTH($B377,0)))),DATE(YEAR($B377),MONTH($B377)+1,MIN(INDEX(CARDS!$H$5:$H$34,MATCH($D377,CARDS!$A$5:$A$34,0)),DAY(EOMONTH($B377,1)))))),""))</f>
        <v/>
      </c>
      <c r="AE377" s="52" t="str">
        <f>IF($C377="","",$C377&amp;"|"&amp;COUNTIF($C$5:$C377,$C377))</f>
        <v/>
      </c>
      <c r="AF377" s="53">
        <f>IF($AC377&gt;0,SUMIFS(Q$4:Q376,$D$4:$D376,$D377,$Z$4:$Z376,$Z377,$C$4:$C376,$C377),0)</f>
        <v>0</v>
      </c>
      <c r="AG377" s="53">
        <f>IF($AC377&gt;0,SUMIFS(Q$4:Q376,$D$4:$D376,$D377,$C$4:$C376,$C377),0)</f>
        <v>0</v>
      </c>
      <c r="AH377" s="53">
        <f>IF($AC377&gt;0,SUMIFS(M$4:M376,$D$4:$D376,$D377,$Z$4:$Z376,$Z377,$C$4:$C376,$C377),0)</f>
        <v>0</v>
      </c>
      <c r="AI377" s="43">
        <f>IF(OR($C377="",$I377=""),0,IF(COUNTIFS($C$5:$C377,$C377,$I$5:$I377,$I377)=1,1,0))</f>
        <v>0</v>
      </c>
      <c r="AJ377" s="43" t="str">
        <f>IF($AI377=1,SUMIFS($AI$4:$AI376,$C$4:$C376,$C377)+1,"")</f>
        <v/>
      </c>
      <c r="AK377" s="43">
        <f>IF(OR($C377="",$K377=""),0,IF(COUNTIFS($C$5:$C377,$C377,$K$5:$K377,$K377)=1,1,0))</f>
        <v>0</v>
      </c>
      <c r="AL377" s="43" t="str">
        <f>IF($AK377=1,SUMIFS($AK$4:$AK376,$C$4:$C376,$C377)+1,"")</f>
        <v/>
      </c>
      <c r="AM377" s="43">
        <f>IF(OR($C377="",$G377=""),0,IF(COUNTIFS($C$5:$C377,$C377,$G$5:$G377,$G377)=1,1,0))</f>
        <v>0</v>
      </c>
      <c r="AN377" s="43" t="str">
        <f>IF($AM377=1,SUMIFS($AM$4:$AM376,$C$4:$C376,$C377)+1,"")</f>
        <v/>
      </c>
    </row>
    <row r="378">
      <c r="A378" s="44" t="str">
        <f>IF(OR($B378="",$D378=""),"","TX"&amp;TEXT(ROW()-4,"0000"))</f>
        <v/>
      </c>
      <c r="B378" s="42" t="n"/>
      <c r="C378" s="47" t="str">
        <f>IF($B378="","",YEAR($B378)*100+MONTH($B378))</f>
        <v/>
      </c>
      <c r="D378" s="37" t="n"/>
      <c r="E378" s="45" t="str">
        <f>IF($D378="","",IFERROR(INDEX(CARDS!$B$5:$B$34,MATCH($D378,CARDS!$A$5:$A$34,0)),"⚠ Card ID?"))</f>
        <v/>
      </c>
      <c r="F378" s="45" t="str">
        <f>IF($D378="","",IFERROR(INDEX(CARDS!$C$5:$C$34,MATCH($D378,CARDS!$A$5:$A$34,0)),"⚠ Card ID?"))</f>
        <v/>
      </c>
      <c r="G378" s="37" t="n"/>
      <c r="H378" s="37" t="n"/>
      <c r="I378" s="41" t="n"/>
      <c r="J378" s="45" t="str">
        <f>IF($I378="","",IFERROR(INDEX(MCC_MASTER!$B$5:$B$504,MATCH($I378,MCC_MASTER!$A$5:$A$504,0)),"⚠ MCC chưa có"))</f>
        <v/>
      </c>
      <c r="K378" s="45" t="str">
        <f>IF($I378="","",IFERROR(IF(INDEX(MCC_MASTER!$C$5:$C$504,MATCH($I378,MCC_MASTER!$A$5:$A$504,0))="","Chưa phân loại",INDEX(MCC_MASTER!$C$5:$C$504,MATCH($I378,MCC_MASTER!$A$5:$A$504,0))),"Chưa phân loại"))</f>
        <v/>
      </c>
      <c r="L378" s="40" t="n"/>
      <c r="M378" s="48" t="str">
        <f>IF(OR($B378="",$D378=""),"",IF($AC378=0,0,IF(ISNUMBER(INDEX(CASHBACK_RULES!$L$5:$L$304,$AC378)),MAX(0,MIN($L378,INDEX(CASHBACK_RULES!$L$5:$L$304,$AC378)-$AH378)),MAX(0,$L378))))</f>
        <v/>
      </c>
      <c r="N378" s="49" t="str">
        <f>IF(OR($B378="",$D378=""),"",IF($AC378&gt;0,INDEX(CASHBACK_RULES!$I$5:$I$304,$AC378),0))</f>
        <v/>
      </c>
      <c r="O378" s="48" t="str">
        <f>IF(OR($B378="",$D378=""),"",ROUND($M378*$N378,0))</f>
        <v/>
      </c>
      <c r="P378" s="48" t="str">
        <f>IF($AC378&gt;0,IF(ISNUMBER(INDEX(CASHBACK_RULES!$J$5:$J$304,$AC378)),INDEX(CASHBACK_RULES!$J$5:$J$304,$AC378),"∞"),"")</f>
        <v/>
      </c>
      <c r="Q378" s="48" t="str">
        <f>IF(OR($B378="",$D378=""),"",IF($AC378=0,0,MAX(0,MIN($O378,IF(ISNUMBER($P378),$P378-$AF378,1E+15),IF(ISNUMBER($AA378),$AA378-$AG378,1E+15)))))</f>
        <v/>
      </c>
      <c r="R378" s="48" t="str">
        <f>IF(OR($B378="",$D378=""),"",IF($AC378=0,"",IF(AND(NOT(ISNUMBER($P378)),NOT(ISNUMBER($AA378))),"∞",MAX(0,MIN(IF(ISNUMBER($P378),$P378-$AF378-$Q378,1E+15),IF(ISNUMBER($AA378),$AA378-$AG378-$Q378,1E+15))))))</f>
        <v/>
      </c>
      <c r="S378" s="47" t="str">
        <f>IF($AD378="","",YEAR($AD378)*100+MONTH($AD378))</f>
        <v/>
      </c>
      <c r="T378" s="50" t="str">
        <f>IF($AD378="","",IFERROR(IF(INDEX(CARDS!$I$5:$I$34,MATCH($D378,CARDS!$A$5:$A$34,0))="","",IF(INDEX(CARDS!$I$5:$I$34,MATCH($D378,CARDS!$A$5:$A$34,0))&gt;INDEX(CARDS!$H$5:$H$34,MATCH($D378,CARDS!$A$5:$A$34,0)),DATE(YEAR($AD378),MONTH($AD378),MIN(INDEX(CARDS!$I$5:$I$34,MATCH($D378,CARDS!$A$5:$A$34,0)),DAY(EOMONTH($AD378,0)))),DATE(YEAR($AD378),MONTH($AD378)+1,MIN(INDEX(CARDS!$I$5:$I$34,MATCH($D378,CARDS!$A$5:$A$34,0)),DAY(EOMONTH($AD378,1)))))),""))</f>
        <v/>
      </c>
      <c r="U378" s="38" t="n"/>
      <c r="V378" s="37" t="n"/>
      <c r="W378" s="38" t="n"/>
      <c r="X378" s="38" t="n"/>
      <c r="Y378" s="44" t="str">
        <f>IF($AC378&gt;0,INDEX(CASHBACK_RULES!$A$5:$A$304,$AC378),"")</f>
        <v/>
      </c>
      <c r="Z378" s="45" t="str">
        <f>IF($AC378&gt;0,INDEX(CASHBACK_RULES!$E$5:$E$304,$AC378)&amp;"","")</f>
        <v/>
      </c>
      <c r="AA378" s="48" t="str">
        <f>IF($AC378&gt;0,IF(ISNUMBER(INDEX(CASHBACK_RULES!$K$5:$K$304,$AC378)),INDEX(CASHBACK_RULES!$K$5:$K$304,$AC378),"∞"),"")</f>
        <v/>
      </c>
      <c r="AB378" s="44" t="str">
        <f>IF(OR($B378="",$D378=""),"",IF($U378="Cancelled","Đã hủy",IF($AC378=0,"Không được hoàn",IF($Q378=0,IF(OR($O378&gt;0,$M378&lt;$L378),"Đã đạt cap","Không được hoàn"),IF(OR($Q378&lt;$O378,$M378&lt;$L378),"Hoàn một phần","Được hoàn")))))</f>
        <v/>
      </c>
      <c r="AC378" s="43">
        <f>IF(OR($B378="",$D378="",$I378="",$L378=""),0,IF($U378="Cancelled",0,IF($W378&lt;&gt;"",IFERROR(IF(INDEX(CASHBACK_RULES!$B$5:$B$304,MATCH($W378,CASHBACK_RULES!$A$5:$A$304,0))=$D378,MATCH($W378,CASHBACK_RULES!$A$5:$A$304,0),0),0),IFERROR(MATCH(1,INDEX((CASHBACK_RULES!$B$5:$B$304=$D378)*(CASHBACK_RULES!$G$5:$G$304=$I378)*(((CASHBACK_RULES!$N$5:$N$304="")+(CASHBACK_RULES!$N$5:$N$304&lt;=$B378))&gt;0)*(((CASHBACK_RULES!$O$5:$O$304="")+(CASHBACK_RULES!$O$5:$O$304&gt;=$B378))&gt;0)*(((CASHBACK_RULES!$M$5:$M$304="")+(CASHBACK_RULES!$M$5:$M$304&lt;=$L378))&gt;0),0),0),0))))</f>
        <v>0</v>
      </c>
      <c r="AD378" s="51" t="str">
        <f>IF(OR($B378="",$D378=""),"",IFERROR(IF(INDEX(CARDS!$H$5:$H$34,MATCH($D378,CARDS!$A$5:$A$34,0))="","",IF(DAY($B378)&lt;=INDEX(CARDS!$H$5:$H$34,MATCH($D378,CARDS!$A$5:$A$34,0)),DATE(YEAR($B378),MONTH($B378),MIN(INDEX(CARDS!$H$5:$H$34,MATCH($D378,CARDS!$A$5:$A$34,0)),DAY(EOMONTH($B378,0)))),DATE(YEAR($B378),MONTH($B378)+1,MIN(INDEX(CARDS!$H$5:$H$34,MATCH($D378,CARDS!$A$5:$A$34,0)),DAY(EOMONTH($B378,1)))))),""))</f>
        <v/>
      </c>
      <c r="AE378" s="52" t="str">
        <f>IF($C378="","",$C378&amp;"|"&amp;COUNTIF($C$5:$C378,$C378))</f>
        <v/>
      </c>
      <c r="AF378" s="53">
        <f>IF($AC378&gt;0,SUMIFS(Q$4:Q377,$D$4:$D377,$D378,$Z$4:$Z377,$Z378,$C$4:$C377,$C378),0)</f>
        <v>0</v>
      </c>
      <c r="AG378" s="53">
        <f>IF($AC378&gt;0,SUMIFS(Q$4:Q377,$D$4:$D377,$D378,$C$4:$C377,$C378),0)</f>
        <v>0</v>
      </c>
      <c r="AH378" s="53">
        <f>IF($AC378&gt;0,SUMIFS(M$4:M377,$D$4:$D377,$D378,$Z$4:$Z377,$Z378,$C$4:$C377,$C378),0)</f>
        <v>0</v>
      </c>
      <c r="AI378" s="43">
        <f>IF(OR($C378="",$I378=""),0,IF(COUNTIFS($C$5:$C378,$C378,$I$5:$I378,$I378)=1,1,0))</f>
        <v>0</v>
      </c>
      <c r="AJ378" s="43" t="str">
        <f>IF($AI378=1,SUMIFS($AI$4:$AI377,$C$4:$C377,$C378)+1,"")</f>
        <v/>
      </c>
      <c r="AK378" s="43">
        <f>IF(OR($C378="",$K378=""),0,IF(COUNTIFS($C$5:$C378,$C378,$K$5:$K378,$K378)=1,1,0))</f>
        <v>0</v>
      </c>
      <c r="AL378" s="43" t="str">
        <f>IF($AK378=1,SUMIFS($AK$4:$AK377,$C$4:$C377,$C378)+1,"")</f>
        <v/>
      </c>
      <c r="AM378" s="43">
        <f>IF(OR($C378="",$G378=""),0,IF(COUNTIFS($C$5:$C378,$C378,$G$5:$G378,$G378)=1,1,0))</f>
        <v>0</v>
      </c>
      <c r="AN378" s="43" t="str">
        <f>IF($AM378=1,SUMIFS($AM$4:$AM377,$C$4:$C377,$C378)+1,"")</f>
        <v/>
      </c>
    </row>
    <row r="379">
      <c r="A379" s="44" t="str">
        <f>IF(OR($B379="",$D379=""),"","TX"&amp;TEXT(ROW()-4,"0000"))</f>
        <v/>
      </c>
      <c r="B379" s="42" t="n"/>
      <c r="C379" s="47" t="str">
        <f>IF($B379="","",YEAR($B379)*100+MONTH($B379))</f>
        <v/>
      </c>
      <c r="D379" s="37" t="n"/>
      <c r="E379" s="45" t="str">
        <f>IF($D379="","",IFERROR(INDEX(CARDS!$B$5:$B$34,MATCH($D379,CARDS!$A$5:$A$34,0)),"⚠ Card ID?"))</f>
        <v/>
      </c>
      <c r="F379" s="45" t="str">
        <f>IF($D379="","",IFERROR(INDEX(CARDS!$C$5:$C$34,MATCH($D379,CARDS!$A$5:$A$34,0)),"⚠ Card ID?"))</f>
        <v/>
      </c>
      <c r="G379" s="37" t="n"/>
      <c r="H379" s="37" t="n"/>
      <c r="I379" s="41" t="n"/>
      <c r="J379" s="45" t="str">
        <f>IF($I379="","",IFERROR(INDEX(MCC_MASTER!$B$5:$B$504,MATCH($I379,MCC_MASTER!$A$5:$A$504,0)),"⚠ MCC chưa có"))</f>
        <v/>
      </c>
      <c r="K379" s="45" t="str">
        <f>IF($I379="","",IFERROR(IF(INDEX(MCC_MASTER!$C$5:$C$504,MATCH($I379,MCC_MASTER!$A$5:$A$504,0))="","Chưa phân loại",INDEX(MCC_MASTER!$C$5:$C$504,MATCH($I379,MCC_MASTER!$A$5:$A$504,0))),"Chưa phân loại"))</f>
        <v/>
      </c>
      <c r="L379" s="40" t="n"/>
      <c r="M379" s="48" t="str">
        <f>IF(OR($B379="",$D379=""),"",IF($AC379=0,0,IF(ISNUMBER(INDEX(CASHBACK_RULES!$L$5:$L$304,$AC379)),MAX(0,MIN($L379,INDEX(CASHBACK_RULES!$L$5:$L$304,$AC379)-$AH379)),MAX(0,$L379))))</f>
        <v/>
      </c>
      <c r="N379" s="49" t="str">
        <f>IF(OR($B379="",$D379=""),"",IF($AC379&gt;0,INDEX(CASHBACK_RULES!$I$5:$I$304,$AC379),0))</f>
        <v/>
      </c>
      <c r="O379" s="48" t="str">
        <f>IF(OR($B379="",$D379=""),"",ROUND($M379*$N379,0))</f>
        <v/>
      </c>
      <c r="P379" s="48" t="str">
        <f>IF($AC379&gt;0,IF(ISNUMBER(INDEX(CASHBACK_RULES!$J$5:$J$304,$AC379)),INDEX(CASHBACK_RULES!$J$5:$J$304,$AC379),"∞"),"")</f>
        <v/>
      </c>
      <c r="Q379" s="48" t="str">
        <f>IF(OR($B379="",$D379=""),"",IF($AC379=0,0,MAX(0,MIN($O379,IF(ISNUMBER($P379),$P379-$AF379,1E+15),IF(ISNUMBER($AA379),$AA379-$AG379,1E+15)))))</f>
        <v/>
      </c>
      <c r="R379" s="48" t="str">
        <f>IF(OR($B379="",$D379=""),"",IF($AC379=0,"",IF(AND(NOT(ISNUMBER($P379)),NOT(ISNUMBER($AA379))),"∞",MAX(0,MIN(IF(ISNUMBER($P379),$P379-$AF379-$Q379,1E+15),IF(ISNUMBER($AA379),$AA379-$AG379-$Q379,1E+15))))))</f>
        <v/>
      </c>
      <c r="S379" s="47" t="str">
        <f>IF($AD379="","",YEAR($AD379)*100+MONTH($AD379))</f>
        <v/>
      </c>
      <c r="T379" s="50" t="str">
        <f>IF($AD379="","",IFERROR(IF(INDEX(CARDS!$I$5:$I$34,MATCH($D379,CARDS!$A$5:$A$34,0))="","",IF(INDEX(CARDS!$I$5:$I$34,MATCH($D379,CARDS!$A$5:$A$34,0))&gt;INDEX(CARDS!$H$5:$H$34,MATCH($D379,CARDS!$A$5:$A$34,0)),DATE(YEAR($AD379),MONTH($AD379),MIN(INDEX(CARDS!$I$5:$I$34,MATCH($D379,CARDS!$A$5:$A$34,0)),DAY(EOMONTH($AD379,0)))),DATE(YEAR($AD379),MONTH($AD379)+1,MIN(INDEX(CARDS!$I$5:$I$34,MATCH($D379,CARDS!$A$5:$A$34,0)),DAY(EOMONTH($AD379,1)))))),""))</f>
        <v/>
      </c>
      <c r="U379" s="38" t="n"/>
      <c r="V379" s="37" t="n"/>
      <c r="W379" s="38" t="n"/>
      <c r="X379" s="38" t="n"/>
      <c r="Y379" s="44" t="str">
        <f>IF($AC379&gt;0,INDEX(CASHBACK_RULES!$A$5:$A$304,$AC379),"")</f>
        <v/>
      </c>
      <c r="Z379" s="45" t="str">
        <f>IF($AC379&gt;0,INDEX(CASHBACK_RULES!$E$5:$E$304,$AC379)&amp;"","")</f>
        <v/>
      </c>
      <c r="AA379" s="48" t="str">
        <f>IF($AC379&gt;0,IF(ISNUMBER(INDEX(CASHBACK_RULES!$K$5:$K$304,$AC379)),INDEX(CASHBACK_RULES!$K$5:$K$304,$AC379),"∞"),"")</f>
        <v/>
      </c>
      <c r="AB379" s="44" t="str">
        <f>IF(OR($B379="",$D379=""),"",IF($U379="Cancelled","Đã hủy",IF($AC379=0,"Không được hoàn",IF($Q379=0,IF(OR($O379&gt;0,$M379&lt;$L379),"Đã đạt cap","Không được hoàn"),IF(OR($Q379&lt;$O379,$M379&lt;$L379),"Hoàn một phần","Được hoàn")))))</f>
        <v/>
      </c>
      <c r="AC379" s="43">
        <f>IF(OR($B379="",$D379="",$I379="",$L379=""),0,IF($U379="Cancelled",0,IF($W379&lt;&gt;"",IFERROR(IF(INDEX(CASHBACK_RULES!$B$5:$B$304,MATCH($W379,CASHBACK_RULES!$A$5:$A$304,0))=$D379,MATCH($W379,CASHBACK_RULES!$A$5:$A$304,0),0),0),IFERROR(MATCH(1,INDEX((CASHBACK_RULES!$B$5:$B$304=$D379)*(CASHBACK_RULES!$G$5:$G$304=$I379)*(((CASHBACK_RULES!$N$5:$N$304="")+(CASHBACK_RULES!$N$5:$N$304&lt;=$B379))&gt;0)*(((CASHBACK_RULES!$O$5:$O$304="")+(CASHBACK_RULES!$O$5:$O$304&gt;=$B379))&gt;0)*(((CASHBACK_RULES!$M$5:$M$304="")+(CASHBACK_RULES!$M$5:$M$304&lt;=$L379))&gt;0),0),0),0))))</f>
        <v>0</v>
      </c>
      <c r="AD379" s="51" t="str">
        <f>IF(OR($B379="",$D379=""),"",IFERROR(IF(INDEX(CARDS!$H$5:$H$34,MATCH($D379,CARDS!$A$5:$A$34,0))="","",IF(DAY($B379)&lt;=INDEX(CARDS!$H$5:$H$34,MATCH($D379,CARDS!$A$5:$A$34,0)),DATE(YEAR($B379),MONTH($B379),MIN(INDEX(CARDS!$H$5:$H$34,MATCH($D379,CARDS!$A$5:$A$34,0)),DAY(EOMONTH($B379,0)))),DATE(YEAR($B379),MONTH($B379)+1,MIN(INDEX(CARDS!$H$5:$H$34,MATCH($D379,CARDS!$A$5:$A$34,0)),DAY(EOMONTH($B379,1)))))),""))</f>
        <v/>
      </c>
      <c r="AE379" s="52" t="str">
        <f>IF($C379="","",$C379&amp;"|"&amp;COUNTIF($C$5:$C379,$C379))</f>
        <v/>
      </c>
      <c r="AF379" s="53">
        <f>IF($AC379&gt;0,SUMIFS(Q$4:Q378,$D$4:$D378,$D379,$Z$4:$Z378,$Z379,$C$4:$C378,$C379),0)</f>
        <v>0</v>
      </c>
      <c r="AG379" s="53">
        <f>IF($AC379&gt;0,SUMIFS(Q$4:Q378,$D$4:$D378,$D379,$C$4:$C378,$C379),0)</f>
        <v>0</v>
      </c>
      <c r="AH379" s="53">
        <f>IF($AC379&gt;0,SUMIFS(M$4:M378,$D$4:$D378,$D379,$Z$4:$Z378,$Z379,$C$4:$C378,$C379),0)</f>
        <v>0</v>
      </c>
      <c r="AI379" s="43">
        <f>IF(OR($C379="",$I379=""),0,IF(COUNTIFS($C$5:$C379,$C379,$I$5:$I379,$I379)=1,1,0))</f>
        <v>0</v>
      </c>
      <c r="AJ379" s="43" t="str">
        <f>IF($AI379=1,SUMIFS($AI$4:$AI378,$C$4:$C378,$C379)+1,"")</f>
        <v/>
      </c>
      <c r="AK379" s="43">
        <f>IF(OR($C379="",$K379=""),0,IF(COUNTIFS($C$5:$C379,$C379,$K$5:$K379,$K379)=1,1,0))</f>
        <v>0</v>
      </c>
      <c r="AL379" s="43" t="str">
        <f>IF($AK379=1,SUMIFS($AK$4:$AK378,$C$4:$C378,$C379)+1,"")</f>
        <v/>
      </c>
      <c r="AM379" s="43">
        <f>IF(OR($C379="",$G379=""),0,IF(COUNTIFS($C$5:$C379,$C379,$G$5:$G379,$G379)=1,1,0))</f>
        <v>0</v>
      </c>
      <c r="AN379" s="43" t="str">
        <f>IF($AM379=1,SUMIFS($AM$4:$AM378,$C$4:$C378,$C379)+1,"")</f>
        <v/>
      </c>
    </row>
    <row r="380">
      <c r="A380" s="44" t="str">
        <f>IF(OR($B380="",$D380=""),"","TX"&amp;TEXT(ROW()-4,"0000"))</f>
        <v/>
      </c>
      <c r="B380" s="42" t="n"/>
      <c r="C380" s="47" t="str">
        <f>IF($B380="","",YEAR($B380)*100+MONTH($B380))</f>
        <v/>
      </c>
      <c r="D380" s="37" t="n"/>
      <c r="E380" s="45" t="str">
        <f>IF($D380="","",IFERROR(INDEX(CARDS!$B$5:$B$34,MATCH($D380,CARDS!$A$5:$A$34,0)),"⚠ Card ID?"))</f>
        <v/>
      </c>
      <c r="F380" s="45" t="str">
        <f>IF($D380="","",IFERROR(INDEX(CARDS!$C$5:$C$34,MATCH($D380,CARDS!$A$5:$A$34,0)),"⚠ Card ID?"))</f>
        <v/>
      </c>
      <c r="G380" s="37" t="n"/>
      <c r="H380" s="37" t="n"/>
      <c r="I380" s="41" t="n"/>
      <c r="J380" s="45" t="str">
        <f>IF($I380="","",IFERROR(INDEX(MCC_MASTER!$B$5:$B$504,MATCH($I380,MCC_MASTER!$A$5:$A$504,0)),"⚠ MCC chưa có"))</f>
        <v/>
      </c>
      <c r="K380" s="45" t="str">
        <f>IF($I380="","",IFERROR(IF(INDEX(MCC_MASTER!$C$5:$C$504,MATCH($I380,MCC_MASTER!$A$5:$A$504,0))="","Chưa phân loại",INDEX(MCC_MASTER!$C$5:$C$504,MATCH($I380,MCC_MASTER!$A$5:$A$504,0))),"Chưa phân loại"))</f>
        <v/>
      </c>
      <c r="L380" s="40" t="n"/>
      <c r="M380" s="48" t="str">
        <f>IF(OR($B380="",$D380=""),"",IF($AC380=0,0,IF(ISNUMBER(INDEX(CASHBACK_RULES!$L$5:$L$304,$AC380)),MAX(0,MIN($L380,INDEX(CASHBACK_RULES!$L$5:$L$304,$AC380)-$AH380)),MAX(0,$L380))))</f>
        <v/>
      </c>
      <c r="N380" s="49" t="str">
        <f>IF(OR($B380="",$D380=""),"",IF($AC380&gt;0,INDEX(CASHBACK_RULES!$I$5:$I$304,$AC380),0))</f>
        <v/>
      </c>
      <c r="O380" s="48" t="str">
        <f>IF(OR($B380="",$D380=""),"",ROUND($M380*$N380,0))</f>
        <v/>
      </c>
      <c r="P380" s="48" t="str">
        <f>IF($AC380&gt;0,IF(ISNUMBER(INDEX(CASHBACK_RULES!$J$5:$J$304,$AC380)),INDEX(CASHBACK_RULES!$J$5:$J$304,$AC380),"∞"),"")</f>
        <v/>
      </c>
      <c r="Q380" s="48" t="str">
        <f>IF(OR($B380="",$D380=""),"",IF($AC380=0,0,MAX(0,MIN($O380,IF(ISNUMBER($P380),$P380-$AF380,1E+15),IF(ISNUMBER($AA380),$AA380-$AG380,1E+15)))))</f>
        <v/>
      </c>
      <c r="R380" s="48" t="str">
        <f>IF(OR($B380="",$D380=""),"",IF($AC380=0,"",IF(AND(NOT(ISNUMBER($P380)),NOT(ISNUMBER($AA380))),"∞",MAX(0,MIN(IF(ISNUMBER($P380),$P380-$AF380-$Q380,1E+15),IF(ISNUMBER($AA380),$AA380-$AG380-$Q380,1E+15))))))</f>
        <v/>
      </c>
      <c r="S380" s="47" t="str">
        <f>IF($AD380="","",YEAR($AD380)*100+MONTH($AD380))</f>
        <v/>
      </c>
      <c r="T380" s="50" t="str">
        <f>IF($AD380="","",IFERROR(IF(INDEX(CARDS!$I$5:$I$34,MATCH($D380,CARDS!$A$5:$A$34,0))="","",IF(INDEX(CARDS!$I$5:$I$34,MATCH($D380,CARDS!$A$5:$A$34,0))&gt;INDEX(CARDS!$H$5:$H$34,MATCH($D380,CARDS!$A$5:$A$34,0)),DATE(YEAR($AD380),MONTH($AD380),MIN(INDEX(CARDS!$I$5:$I$34,MATCH($D380,CARDS!$A$5:$A$34,0)),DAY(EOMONTH($AD380,0)))),DATE(YEAR($AD380),MONTH($AD380)+1,MIN(INDEX(CARDS!$I$5:$I$34,MATCH($D380,CARDS!$A$5:$A$34,0)),DAY(EOMONTH($AD380,1)))))),""))</f>
        <v/>
      </c>
      <c r="U380" s="38" t="n"/>
      <c r="V380" s="37" t="n"/>
      <c r="W380" s="38" t="n"/>
      <c r="X380" s="38" t="n"/>
      <c r="Y380" s="44" t="str">
        <f>IF($AC380&gt;0,INDEX(CASHBACK_RULES!$A$5:$A$304,$AC380),"")</f>
        <v/>
      </c>
      <c r="Z380" s="45" t="str">
        <f>IF($AC380&gt;0,INDEX(CASHBACK_RULES!$E$5:$E$304,$AC380)&amp;"","")</f>
        <v/>
      </c>
      <c r="AA380" s="48" t="str">
        <f>IF($AC380&gt;0,IF(ISNUMBER(INDEX(CASHBACK_RULES!$K$5:$K$304,$AC380)),INDEX(CASHBACK_RULES!$K$5:$K$304,$AC380),"∞"),"")</f>
        <v/>
      </c>
      <c r="AB380" s="44" t="str">
        <f>IF(OR($B380="",$D380=""),"",IF($U380="Cancelled","Đã hủy",IF($AC380=0,"Không được hoàn",IF($Q380=0,IF(OR($O380&gt;0,$M380&lt;$L380),"Đã đạt cap","Không được hoàn"),IF(OR($Q380&lt;$O380,$M380&lt;$L380),"Hoàn một phần","Được hoàn")))))</f>
        <v/>
      </c>
      <c r="AC380" s="43">
        <f>IF(OR($B380="",$D380="",$I380="",$L380=""),0,IF($U380="Cancelled",0,IF($W380&lt;&gt;"",IFERROR(IF(INDEX(CASHBACK_RULES!$B$5:$B$304,MATCH($W380,CASHBACK_RULES!$A$5:$A$304,0))=$D380,MATCH($W380,CASHBACK_RULES!$A$5:$A$304,0),0),0),IFERROR(MATCH(1,INDEX((CASHBACK_RULES!$B$5:$B$304=$D380)*(CASHBACK_RULES!$G$5:$G$304=$I380)*(((CASHBACK_RULES!$N$5:$N$304="")+(CASHBACK_RULES!$N$5:$N$304&lt;=$B380))&gt;0)*(((CASHBACK_RULES!$O$5:$O$304="")+(CASHBACK_RULES!$O$5:$O$304&gt;=$B380))&gt;0)*(((CASHBACK_RULES!$M$5:$M$304="")+(CASHBACK_RULES!$M$5:$M$304&lt;=$L380))&gt;0),0),0),0))))</f>
        <v>0</v>
      </c>
      <c r="AD380" s="51" t="str">
        <f>IF(OR($B380="",$D380=""),"",IFERROR(IF(INDEX(CARDS!$H$5:$H$34,MATCH($D380,CARDS!$A$5:$A$34,0))="","",IF(DAY($B380)&lt;=INDEX(CARDS!$H$5:$H$34,MATCH($D380,CARDS!$A$5:$A$34,0)),DATE(YEAR($B380),MONTH($B380),MIN(INDEX(CARDS!$H$5:$H$34,MATCH($D380,CARDS!$A$5:$A$34,0)),DAY(EOMONTH($B380,0)))),DATE(YEAR($B380),MONTH($B380)+1,MIN(INDEX(CARDS!$H$5:$H$34,MATCH($D380,CARDS!$A$5:$A$34,0)),DAY(EOMONTH($B380,1)))))),""))</f>
        <v/>
      </c>
      <c r="AE380" s="52" t="str">
        <f>IF($C380="","",$C380&amp;"|"&amp;COUNTIF($C$5:$C380,$C380))</f>
        <v/>
      </c>
      <c r="AF380" s="53">
        <f>IF($AC380&gt;0,SUMIFS(Q$4:Q379,$D$4:$D379,$D380,$Z$4:$Z379,$Z380,$C$4:$C379,$C380),0)</f>
        <v>0</v>
      </c>
      <c r="AG380" s="53">
        <f>IF($AC380&gt;0,SUMIFS(Q$4:Q379,$D$4:$D379,$D380,$C$4:$C379,$C380),0)</f>
        <v>0</v>
      </c>
      <c r="AH380" s="53">
        <f>IF($AC380&gt;0,SUMIFS(M$4:M379,$D$4:$D379,$D380,$Z$4:$Z379,$Z380,$C$4:$C379,$C380),0)</f>
        <v>0</v>
      </c>
      <c r="AI380" s="43">
        <f>IF(OR($C380="",$I380=""),0,IF(COUNTIFS($C$5:$C380,$C380,$I$5:$I380,$I380)=1,1,0))</f>
        <v>0</v>
      </c>
      <c r="AJ380" s="43" t="str">
        <f>IF($AI380=1,SUMIFS($AI$4:$AI379,$C$4:$C379,$C380)+1,"")</f>
        <v/>
      </c>
      <c r="AK380" s="43">
        <f>IF(OR($C380="",$K380=""),0,IF(COUNTIFS($C$5:$C380,$C380,$K$5:$K380,$K380)=1,1,0))</f>
        <v>0</v>
      </c>
      <c r="AL380" s="43" t="str">
        <f>IF($AK380=1,SUMIFS($AK$4:$AK379,$C$4:$C379,$C380)+1,"")</f>
        <v/>
      </c>
      <c r="AM380" s="43">
        <f>IF(OR($C380="",$G380=""),0,IF(COUNTIFS($C$5:$C380,$C380,$G$5:$G380,$G380)=1,1,0))</f>
        <v>0</v>
      </c>
      <c r="AN380" s="43" t="str">
        <f>IF($AM380=1,SUMIFS($AM$4:$AM379,$C$4:$C379,$C380)+1,"")</f>
        <v/>
      </c>
    </row>
    <row r="381">
      <c r="A381" s="44" t="str">
        <f>IF(OR($B381="",$D381=""),"","TX"&amp;TEXT(ROW()-4,"0000"))</f>
        <v/>
      </c>
      <c r="B381" s="42" t="n"/>
      <c r="C381" s="47" t="str">
        <f>IF($B381="","",YEAR($B381)*100+MONTH($B381))</f>
        <v/>
      </c>
      <c r="D381" s="37" t="n"/>
      <c r="E381" s="45" t="str">
        <f>IF($D381="","",IFERROR(INDEX(CARDS!$B$5:$B$34,MATCH($D381,CARDS!$A$5:$A$34,0)),"⚠ Card ID?"))</f>
        <v/>
      </c>
      <c r="F381" s="45" t="str">
        <f>IF($D381="","",IFERROR(INDEX(CARDS!$C$5:$C$34,MATCH($D381,CARDS!$A$5:$A$34,0)),"⚠ Card ID?"))</f>
        <v/>
      </c>
      <c r="G381" s="37" t="n"/>
      <c r="H381" s="37" t="n"/>
      <c r="I381" s="41" t="n"/>
      <c r="J381" s="45" t="str">
        <f>IF($I381="","",IFERROR(INDEX(MCC_MASTER!$B$5:$B$504,MATCH($I381,MCC_MASTER!$A$5:$A$504,0)),"⚠ MCC chưa có"))</f>
        <v/>
      </c>
      <c r="K381" s="45" t="str">
        <f>IF($I381="","",IFERROR(IF(INDEX(MCC_MASTER!$C$5:$C$504,MATCH($I381,MCC_MASTER!$A$5:$A$504,0))="","Chưa phân loại",INDEX(MCC_MASTER!$C$5:$C$504,MATCH($I381,MCC_MASTER!$A$5:$A$504,0))),"Chưa phân loại"))</f>
        <v/>
      </c>
      <c r="L381" s="40" t="n"/>
      <c r="M381" s="48" t="str">
        <f>IF(OR($B381="",$D381=""),"",IF($AC381=0,0,IF(ISNUMBER(INDEX(CASHBACK_RULES!$L$5:$L$304,$AC381)),MAX(0,MIN($L381,INDEX(CASHBACK_RULES!$L$5:$L$304,$AC381)-$AH381)),MAX(0,$L381))))</f>
        <v/>
      </c>
      <c r="N381" s="49" t="str">
        <f>IF(OR($B381="",$D381=""),"",IF($AC381&gt;0,INDEX(CASHBACK_RULES!$I$5:$I$304,$AC381),0))</f>
        <v/>
      </c>
      <c r="O381" s="48" t="str">
        <f>IF(OR($B381="",$D381=""),"",ROUND($M381*$N381,0))</f>
        <v/>
      </c>
      <c r="P381" s="48" t="str">
        <f>IF($AC381&gt;0,IF(ISNUMBER(INDEX(CASHBACK_RULES!$J$5:$J$304,$AC381)),INDEX(CASHBACK_RULES!$J$5:$J$304,$AC381),"∞"),"")</f>
        <v/>
      </c>
      <c r="Q381" s="48" t="str">
        <f>IF(OR($B381="",$D381=""),"",IF($AC381=0,0,MAX(0,MIN($O381,IF(ISNUMBER($P381),$P381-$AF381,1E+15),IF(ISNUMBER($AA381),$AA381-$AG381,1E+15)))))</f>
        <v/>
      </c>
      <c r="R381" s="48" t="str">
        <f>IF(OR($B381="",$D381=""),"",IF($AC381=0,"",IF(AND(NOT(ISNUMBER($P381)),NOT(ISNUMBER($AA381))),"∞",MAX(0,MIN(IF(ISNUMBER($P381),$P381-$AF381-$Q381,1E+15),IF(ISNUMBER($AA381),$AA381-$AG381-$Q381,1E+15))))))</f>
        <v/>
      </c>
      <c r="S381" s="47" t="str">
        <f>IF($AD381="","",YEAR($AD381)*100+MONTH($AD381))</f>
        <v/>
      </c>
      <c r="T381" s="50" t="str">
        <f>IF($AD381="","",IFERROR(IF(INDEX(CARDS!$I$5:$I$34,MATCH($D381,CARDS!$A$5:$A$34,0))="","",IF(INDEX(CARDS!$I$5:$I$34,MATCH($D381,CARDS!$A$5:$A$34,0))&gt;INDEX(CARDS!$H$5:$H$34,MATCH($D381,CARDS!$A$5:$A$34,0)),DATE(YEAR($AD381),MONTH($AD381),MIN(INDEX(CARDS!$I$5:$I$34,MATCH($D381,CARDS!$A$5:$A$34,0)),DAY(EOMONTH($AD381,0)))),DATE(YEAR($AD381),MONTH($AD381)+1,MIN(INDEX(CARDS!$I$5:$I$34,MATCH($D381,CARDS!$A$5:$A$34,0)),DAY(EOMONTH($AD381,1)))))),""))</f>
        <v/>
      </c>
      <c r="U381" s="38" t="n"/>
      <c r="V381" s="37" t="n"/>
      <c r="W381" s="38" t="n"/>
      <c r="X381" s="38" t="n"/>
      <c r="Y381" s="44" t="str">
        <f>IF($AC381&gt;0,INDEX(CASHBACK_RULES!$A$5:$A$304,$AC381),"")</f>
        <v/>
      </c>
      <c r="Z381" s="45" t="str">
        <f>IF($AC381&gt;0,INDEX(CASHBACK_RULES!$E$5:$E$304,$AC381)&amp;"","")</f>
        <v/>
      </c>
      <c r="AA381" s="48" t="str">
        <f>IF($AC381&gt;0,IF(ISNUMBER(INDEX(CASHBACK_RULES!$K$5:$K$304,$AC381)),INDEX(CASHBACK_RULES!$K$5:$K$304,$AC381),"∞"),"")</f>
        <v/>
      </c>
      <c r="AB381" s="44" t="str">
        <f>IF(OR($B381="",$D381=""),"",IF($U381="Cancelled","Đã hủy",IF($AC381=0,"Không được hoàn",IF($Q381=0,IF(OR($O381&gt;0,$M381&lt;$L381),"Đã đạt cap","Không được hoàn"),IF(OR($Q381&lt;$O381,$M381&lt;$L381),"Hoàn một phần","Được hoàn")))))</f>
        <v/>
      </c>
      <c r="AC381" s="43">
        <f>IF(OR($B381="",$D381="",$I381="",$L381=""),0,IF($U381="Cancelled",0,IF($W381&lt;&gt;"",IFERROR(IF(INDEX(CASHBACK_RULES!$B$5:$B$304,MATCH($W381,CASHBACK_RULES!$A$5:$A$304,0))=$D381,MATCH($W381,CASHBACK_RULES!$A$5:$A$304,0),0),0),IFERROR(MATCH(1,INDEX((CASHBACK_RULES!$B$5:$B$304=$D381)*(CASHBACK_RULES!$G$5:$G$304=$I381)*(((CASHBACK_RULES!$N$5:$N$304="")+(CASHBACK_RULES!$N$5:$N$304&lt;=$B381))&gt;0)*(((CASHBACK_RULES!$O$5:$O$304="")+(CASHBACK_RULES!$O$5:$O$304&gt;=$B381))&gt;0)*(((CASHBACK_RULES!$M$5:$M$304="")+(CASHBACK_RULES!$M$5:$M$304&lt;=$L381))&gt;0),0),0),0))))</f>
        <v>0</v>
      </c>
      <c r="AD381" s="51" t="str">
        <f>IF(OR($B381="",$D381=""),"",IFERROR(IF(INDEX(CARDS!$H$5:$H$34,MATCH($D381,CARDS!$A$5:$A$34,0))="","",IF(DAY($B381)&lt;=INDEX(CARDS!$H$5:$H$34,MATCH($D381,CARDS!$A$5:$A$34,0)),DATE(YEAR($B381),MONTH($B381),MIN(INDEX(CARDS!$H$5:$H$34,MATCH($D381,CARDS!$A$5:$A$34,0)),DAY(EOMONTH($B381,0)))),DATE(YEAR($B381),MONTH($B381)+1,MIN(INDEX(CARDS!$H$5:$H$34,MATCH($D381,CARDS!$A$5:$A$34,0)),DAY(EOMONTH($B381,1)))))),""))</f>
        <v/>
      </c>
      <c r="AE381" s="52" t="str">
        <f>IF($C381="","",$C381&amp;"|"&amp;COUNTIF($C$5:$C381,$C381))</f>
        <v/>
      </c>
      <c r="AF381" s="53">
        <f>IF($AC381&gt;0,SUMIFS(Q$4:Q380,$D$4:$D380,$D381,$Z$4:$Z380,$Z381,$C$4:$C380,$C381),0)</f>
        <v>0</v>
      </c>
      <c r="AG381" s="53">
        <f>IF($AC381&gt;0,SUMIFS(Q$4:Q380,$D$4:$D380,$D381,$C$4:$C380,$C381),0)</f>
        <v>0</v>
      </c>
      <c r="AH381" s="53">
        <f>IF($AC381&gt;0,SUMIFS(M$4:M380,$D$4:$D380,$D381,$Z$4:$Z380,$Z381,$C$4:$C380,$C381),0)</f>
        <v>0</v>
      </c>
      <c r="AI381" s="43">
        <f>IF(OR($C381="",$I381=""),0,IF(COUNTIFS($C$5:$C381,$C381,$I$5:$I381,$I381)=1,1,0))</f>
        <v>0</v>
      </c>
      <c r="AJ381" s="43" t="str">
        <f>IF($AI381=1,SUMIFS($AI$4:$AI380,$C$4:$C380,$C381)+1,"")</f>
        <v/>
      </c>
      <c r="AK381" s="43">
        <f>IF(OR($C381="",$K381=""),0,IF(COUNTIFS($C$5:$C381,$C381,$K$5:$K381,$K381)=1,1,0))</f>
        <v>0</v>
      </c>
      <c r="AL381" s="43" t="str">
        <f>IF($AK381=1,SUMIFS($AK$4:$AK380,$C$4:$C380,$C381)+1,"")</f>
        <v/>
      </c>
      <c r="AM381" s="43">
        <f>IF(OR($C381="",$G381=""),0,IF(COUNTIFS($C$5:$C381,$C381,$G$5:$G381,$G381)=1,1,0))</f>
        <v>0</v>
      </c>
      <c r="AN381" s="43" t="str">
        <f>IF($AM381=1,SUMIFS($AM$4:$AM380,$C$4:$C380,$C381)+1,"")</f>
        <v/>
      </c>
    </row>
    <row r="382">
      <c r="A382" s="44" t="str">
        <f>IF(OR($B382="",$D382=""),"","TX"&amp;TEXT(ROW()-4,"0000"))</f>
        <v/>
      </c>
      <c r="B382" s="42" t="n"/>
      <c r="C382" s="47" t="str">
        <f>IF($B382="","",YEAR($B382)*100+MONTH($B382))</f>
        <v/>
      </c>
      <c r="D382" s="37" t="n"/>
      <c r="E382" s="45" t="str">
        <f>IF($D382="","",IFERROR(INDEX(CARDS!$B$5:$B$34,MATCH($D382,CARDS!$A$5:$A$34,0)),"⚠ Card ID?"))</f>
        <v/>
      </c>
      <c r="F382" s="45" t="str">
        <f>IF($D382="","",IFERROR(INDEX(CARDS!$C$5:$C$34,MATCH($D382,CARDS!$A$5:$A$34,0)),"⚠ Card ID?"))</f>
        <v/>
      </c>
      <c r="G382" s="37" t="n"/>
      <c r="H382" s="37" t="n"/>
      <c r="I382" s="41" t="n"/>
      <c r="J382" s="45" t="str">
        <f>IF($I382="","",IFERROR(INDEX(MCC_MASTER!$B$5:$B$504,MATCH($I382,MCC_MASTER!$A$5:$A$504,0)),"⚠ MCC chưa có"))</f>
        <v/>
      </c>
      <c r="K382" s="45" t="str">
        <f>IF($I382="","",IFERROR(IF(INDEX(MCC_MASTER!$C$5:$C$504,MATCH($I382,MCC_MASTER!$A$5:$A$504,0))="","Chưa phân loại",INDEX(MCC_MASTER!$C$5:$C$504,MATCH($I382,MCC_MASTER!$A$5:$A$504,0))),"Chưa phân loại"))</f>
        <v/>
      </c>
      <c r="L382" s="40" t="n"/>
      <c r="M382" s="48" t="str">
        <f>IF(OR($B382="",$D382=""),"",IF($AC382=0,0,IF(ISNUMBER(INDEX(CASHBACK_RULES!$L$5:$L$304,$AC382)),MAX(0,MIN($L382,INDEX(CASHBACK_RULES!$L$5:$L$304,$AC382)-$AH382)),MAX(0,$L382))))</f>
        <v/>
      </c>
      <c r="N382" s="49" t="str">
        <f>IF(OR($B382="",$D382=""),"",IF($AC382&gt;0,INDEX(CASHBACK_RULES!$I$5:$I$304,$AC382),0))</f>
        <v/>
      </c>
      <c r="O382" s="48" t="str">
        <f>IF(OR($B382="",$D382=""),"",ROUND($M382*$N382,0))</f>
        <v/>
      </c>
      <c r="P382" s="48" t="str">
        <f>IF($AC382&gt;0,IF(ISNUMBER(INDEX(CASHBACK_RULES!$J$5:$J$304,$AC382)),INDEX(CASHBACK_RULES!$J$5:$J$304,$AC382),"∞"),"")</f>
        <v/>
      </c>
      <c r="Q382" s="48" t="str">
        <f>IF(OR($B382="",$D382=""),"",IF($AC382=0,0,MAX(0,MIN($O382,IF(ISNUMBER($P382),$P382-$AF382,1E+15),IF(ISNUMBER($AA382),$AA382-$AG382,1E+15)))))</f>
        <v/>
      </c>
      <c r="R382" s="48" t="str">
        <f>IF(OR($B382="",$D382=""),"",IF($AC382=0,"",IF(AND(NOT(ISNUMBER($P382)),NOT(ISNUMBER($AA382))),"∞",MAX(0,MIN(IF(ISNUMBER($P382),$P382-$AF382-$Q382,1E+15),IF(ISNUMBER($AA382),$AA382-$AG382-$Q382,1E+15))))))</f>
        <v/>
      </c>
      <c r="S382" s="47" t="str">
        <f>IF($AD382="","",YEAR($AD382)*100+MONTH($AD382))</f>
        <v/>
      </c>
      <c r="T382" s="50" t="str">
        <f>IF($AD382="","",IFERROR(IF(INDEX(CARDS!$I$5:$I$34,MATCH($D382,CARDS!$A$5:$A$34,0))="","",IF(INDEX(CARDS!$I$5:$I$34,MATCH($D382,CARDS!$A$5:$A$34,0))&gt;INDEX(CARDS!$H$5:$H$34,MATCH($D382,CARDS!$A$5:$A$34,0)),DATE(YEAR($AD382),MONTH($AD382),MIN(INDEX(CARDS!$I$5:$I$34,MATCH($D382,CARDS!$A$5:$A$34,0)),DAY(EOMONTH($AD382,0)))),DATE(YEAR($AD382),MONTH($AD382)+1,MIN(INDEX(CARDS!$I$5:$I$34,MATCH($D382,CARDS!$A$5:$A$34,0)),DAY(EOMONTH($AD382,1)))))),""))</f>
        <v/>
      </c>
      <c r="U382" s="38" t="n"/>
      <c r="V382" s="37" t="n"/>
      <c r="W382" s="38" t="n"/>
      <c r="X382" s="38" t="n"/>
      <c r="Y382" s="44" t="str">
        <f>IF($AC382&gt;0,INDEX(CASHBACK_RULES!$A$5:$A$304,$AC382),"")</f>
        <v/>
      </c>
      <c r="Z382" s="45" t="str">
        <f>IF($AC382&gt;0,INDEX(CASHBACK_RULES!$E$5:$E$304,$AC382)&amp;"","")</f>
        <v/>
      </c>
      <c r="AA382" s="48" t="str">
        <f>IF($AC382&gt;0,IF(ISNUMBER(INDEX(CASHBACK_RULES!$K$5:$K$304,$AC382)),INDEX(CASHBACK_RULES!$K$5:$K$304,$AC382),"∞"),"")</f>
        <v/>
      </c>
      <c r="AB382" s="44" t="str">
        <f>IF(OR($B382="",$D382=""),"",IF($U382="Cancelled","Đã hủy",IF($AC382=0,"Không được hoàn",IF($Q382=0,IF(OR($O382&gt;0,$M382&lt;$L382),"Đã đạt cap","Không được hoàn"),IF(OR($Q382&lt;$O382,$M382&lt;$L382),"Hoàn một phần","Được hoàn")))))</f>
        <v/>
      </c>
      <c r="AC382" s="43">
        <f>IF(OR($B382="",$D382="",$I382="",$L382=""),0,IF($U382="Cancelled",0,IF($W382&lt;&gt;"",IFERROR(IF(INDEX(CASHBACK_RULES!$B$5:$B$304,MATCH($W382,CASHBACK_RULES!$A$5:$A$304,0))=$D382,MATCH($W382,CASHBACK_RULES!$A$5:$A$304,0),0),0),IFERROR(MATCH(1,INDEX((CASHBACK_RULES!$B$5:$B$304=$D382)*(CASHBACK_RULES!$G$5:$G$304=$I382)*(((CASHBACK_RULES!$N$5:$N$304="")+(CASHBACK_RULES!$N$5:$N$304&lt;=$B382))&gt;0)*(((CASHBACK_RULES!$O$5:$O$304="")+(CASHBACK_RULES!$O$5:$O$304&gt;=$B382))&gt;0)*(((CASHBACK_RULES!$M$5:$M$304="")+(CASHBACK_RULES!$M$5:$M$304&lt;=$L382))&gt;0),0),0),0))))</f>
        <v>0</v>
      </c>
      <c r="AD382" s="51" t="str">
        <f>IF(OR($B382="",$D382=""),"",IFERROR(IF(INDEX(CARDS!$H$5:$H$34,MATCH($D382,CARDS!$A$5:$A$34,0))="","",IF(DAY($B382)&lt;=INDEX(CARDS!$H$5:$H$34,MATCH($D382,CARDS!$A$5:$A$34,0)),DATE(YEAR($B382),MONTH($B382),MIN(INDEX(CARDS!$H$5:$H$34,MATCH($D382,CARDS!$A$5:$A$34,0)),DAY(EOMONTH($B382,0)))),DATE(YEAR($B382),MONTH($B382)+1,MIN(INDEX(CARDS!$H$5:$H$34,MATCH($D382,CARDS!$A$5:$A$34,0)),DAY(EOMONTH($B382,1)))))),""))</f>
        <v/>
      </c>
      <c r="AE382" s="52" t="str">
        <f>IF($C382="","",$C382&amp;"|"&amp;COUNTIF($C$5:$C382,$C382))</f>
        <v/>
      </c>
      <c r="AF382" s="53">
        <f>IF($AC382&gt;0,SUMIFS(Q$4:Q381,$D$4:$D381,$D382,$Z$4:$Z381,$Z382,$C$4:$C381,$C382),0)</f>
        <v>0</v>
      </c>
      <c r="AG382" s="53">
        <f>IF($AC382&gt;0,SUMIFS(Q$4:Q381,$D$4:$D381,$D382,$C$4:$C381,$C382),0)</f>
        <v>0</v>
      </c>
      <c r="AH382" s="53">
        <f>IF($AC382&gt;0,SUMIFS(M$4:M381,$D$4:$D381,$D382,$Z$4:$Z381,$Z382,$C$4:$C381,$C382),0)</f>
        <v>0</v>
      </c>
      <c r="AI382" s="43">
        <f>IF(OR($C382="",$I382=""),0,IF(COUNTIFS($C$5:$C382,$C382,$I$5:$I382,$I382)=1,1,0))</f>
        <v>0</v>
      </c>
      <c r="AJ382" s="43" t="str">
        <f>IF($AI382=1,SUMIFS($AI$4:$AI381,$C$4:$C381,$C382)+1,"")</f>
        <v/>
      </c>
      <c r="AK382" s="43">
        <f>IF(OR($C382="",$K382=""),0,IF(COUNTIFS($C$5:$C382,$C382,$K$5:$K382,$K382)=1,1,0))</f>
        <v>0</v>
      </c>
      <c r="AL382" s="43" t="str">
        <f>IF($AK382=1,SUMIFS($AK$4:$AK381,$C$4:$C381,$C382)+1,"")</f>
        <v/>
      </c>
      <c r="AM382" s="43">
        <f>IF(OR($C382="",$G382=""),0,IF(COUNTIFS($C$5:$C382,$C382,$G$5:$G382,$G382)=1,1,0))</f>
        <v>0</v>
      </c>
      <c r="AN382" s="43" t="str">
        <f>IF($AM382=1,SUMIFS($AM$4:$AM381,$C$4:$C381,$C382)+1,"")</f>
        <v/>
      </c>
    </row>
    <row r="383">
      <c r="A383" s="44" t="str">
        <f>IF(OR($B383="",$D383=""),"","TX"&amp;TEXT(ROW()-4,"0000"))</f>
        <v/>
      </c>
      <c r="B383" s="42" t="n"/>
      <c r="C383" s="47" t="str">
        <f>IF($B383="","",YEAR($B383)*100+MONTH($B383))</f>
        <v/>
      </c>
      <c r="D383" s="37" t="n"/>
      <c r="E383" s="45" t="str">
        <f>IF($D383="","",IFERROR(INDEX(CARDS!$B$5:$B$34,MATCH($D383,CARDS!$A$5:$A$34,0)),"⚠ Card ID?"))</f>
        <v/>
      </c>
      <c r="F383" s="45" t="str">
        <f>IF($D383="","",IFERROR(INDEX(CARDS!$C$5:$C$34,MATCH($D383,CARDS!$A$5:$A$34,0)),"⚠ Card ID?"))</f>
        <v/>
      </c>
      <c r="G383" s="37" t="n"/>
      <c r="H383" s="37" t="n"/>
      <c r="I383" s="41" t="n"/>
      <c r="J383" s="45" t="str">
        <f>IF($I383="","",IFERROR(INDEX(MCC_MASTER!$B$5:$B$504,MATCH($I383,MCC_MASTER!$A$5:$A$504,0)),"⚠ MCC chưa có"))</f>
        <v/>
      </c>
      <c r="K383" s="45" t="str">
        <f>IF($I383="","",IFERROR(IF(INDEX(MCC_MASTER!$C$5:$C$504,MATCH($I383,MCC_MASTER!$A$5:$A$504,0))="","Chưa phân loại",INDEX(MCC_MASTER!$C$5:$C$504,MATCH($I383,MCC_MASTER!$A$5:$A$504,0))),"Chưa phân loại"))</f>
        <v/>
      </c>
      <c r="L383" s="40" t="n"/>
      <c r="M383" s="48" t="str">
        <f>IF(OR($B383="",$D383=""),"",IF($AC383=0,0,IF(ISNUMBER(INDEX(CASHBACK_RULES!$L$5:$L$304,$AC383)),MAX(0,MIN($L383,INDEX(CASHBACK_RULES!$L$5:$L$304,$AC383)-$AH383)),MAX(0,$L383))))</f>
        <v/>
      </c>
      <c r="N383" s="49" t="str">
        <f>IF(OR($B383="",$D383=""),"",IF($AC383&gt;0,INDEX(CASHBACK_RULES!$I$5:$I$304,$AC383),0))</f>
        <v/>
      </c>
      <c r="O383" s="48" t="str">
        <f>IF(OR($B383="",$D383=""),"",ROUND($M383*$N383,0))</f>
        <v/>
      </c>
      <c r="P383" s="48" t="str">
        <f>IF($AC383&gt;0,IF(ISNUMBER(INDEX(CASHBACK_RULES!$J$5:$J$304,$AC383)),INDEX(CASHBACK_RULES!$J$5:$J$304,$AC383),"∞"),"")</f>
        <v/>
      </c>
      <c r="Q383" s="48" t="str">
        <f>IF(OR($B383="",$D383=""),"",IF($AC383=0,0,MAX(0,MIN($O383,IF(ISNUMBER($P383),$P383-$AF383,1E+15),IF(ISNUMBER($AA383),$AA383-$AG383,1E+15)))))</f>
        <v/>
      </c>
      <c r="R383" s="48" t="str">
        <f>IF(OR($B383="",$D383=""),"",IF($AC383=0,"",IF(AND(NOT(ISNUMBER($P383)),NOT(ISNUMBER($AA383))),"∞",MAX(0,MIN(IF(ISNUMBER($P383),$P383-$AF383-$Q383,1E+15),IF(ISNUMBER($AA383),$AA383-$AG383-$Q383,1E+15))))))</f>
        <v/>
      </c>
      <c r="S383" s="47" t="str">
        <f>IF($AD383="","",YEAR($AD383)*100+MONTH($AD383))</f>
        <v/>
      </c>
      <c r="T383" s="50" t="str">
        <f>IF($AD383="","",IFERROR(IF(INDEX(CARDS!$I$5:$I$34,MATCH($D383,CARDS!$A$5:$A$34,0))="","",IF(INDEX(CARDS!$I$5:$I$34,MATCH($D383,CARDS!$A$5:$A$34,0))&gt;INDEX(CARDS!$H$5:$H$34,MATCH($D383,CARDS!$A$5:$A$34,0)),DATE(YEAR($AD383),MONTH($AD383),MIN(INDEX(CARDS!$I$5:$I$34,MATCH($D383,CARDS!$A$5:$A$34,0)),DAY(EOMONTH($AD383,0)))),DATE(YEAR($AD383),MONTH($AD383)+1,MIN(INDEX(CARDS!$I$5:$I$34,MATCH($D383,CARDS!$A$5:$A$34,0)),DAY(EOMONTH($AD383,1)))))),""))</f>
        <v/>
      </c>
      <c r="U383" s="38" t="n"/>
      <c r="V383" s="37" t="n"/>
      <c r="W383" s="38" t="n"/>
      <c r="X383" s="38" t="n"/>
      <c r="Y383" s="44" t="str">
        <f>IF($AC383&gt;0,INDEX(CASHBACK_RULES!$A$5:$A$304,$AC383),"")</f>
        <v/>
      </c>
      <c r="Z383" s="45" t="str">
        <f>IF($AC383&gt;0,INDEX(CASHBACK_RULES!$E$5:$E$304,$AC383)&amp;"","")</f>
        <v/>
      </c>
      <c r="AA383" s="48" t="str">
        <f>IF($AC383&gt;0,IF(ISNUMBER(INDEX(CASHBACK_RULES!$K$5:$K$304,$AC383)),INDEX(CASHBACK_RULES!$K$5:$K$304,$AC383),"∞"),"")</f>
        <v/>
      </c>
      <c r="AB383" s="44" t="str">
        <f>IF(OR($B383="",$D383=""),"",IF($U383="Cancelled","Đã hủy",IF($AC383=0,"Không được hoàn",IF($Q383=0,IF(OR($O383&gt;0,$M383&lt;$L383),"Đã đạt cap","Không được hoàn"),IF(OR($Q383&lt;$O383,$M383&lt;$L383),"Hoàn một phần","Được hoàn")))))</f>
        <v/>
      </c>
      <c r="AC383" s="43">
        <f>IF(OR($B383="",$D383="",$I383="",$L383=""),0,IF($U383="Cancelled",0,IF($W383&lt;&gt;"",IFERROR(IF(INDEX(CASHBACK_RULES!$B$5:$B$304,MATCH($W383,CASHBACK_RULES!$A$5:$A$304,0))=$D383,MATCH($W383,CASHBACK_RULES!$A$5:$A$304,0),0),0),IFERROR(MATCH(1,INDEX((CASHBACK_RULES!$B$5:$B$304=$D383)*(CASHBACK_RULES!$G$5:$G$304=$I383)*(((CASHBACK_RULES!$N$5:$N$304="")+(CASHBACK_RULES!$N$5:$N$304&lt;=$B383))&gt;0)*(((CASHBACK_RULES!$O$5:$O$304="")+(CASHBACK_RULES!$O$5:$O$304&gt;=$B383))&gt;0)*(((CASHBACK_RULES!$M$5:$M$304="")+(CASHBACK_RULES!$M$5:$M$304&lt;=$L383))&gt;0),0),0),0))))</f>
        <v>0</v>
      </c>
      <c r="AD383" s="51" t="str">
        <f>IF(OR($B383="",$D383=""),"",IFERROR(IF(INDEX(CARDS!$H$5:$H$34,MATCH($D383,CARDS!$A$5:$A$34,0))="","",IF(DAY($B383)&lt;=INDEX(CARDS!$H$5:$H$34,MATCH($D383,CARDS!$A$5:$A$34,0)),DATE(YEAR($B383),MONTH($B383),MIN(INDEX(CARDS!$H$5:$H$34,MATCH($D383,CARDS!$A$5:$A$34,0)),DAY(EOMONTH($B383,0)))),DATE(YEAR($B383),MONTH($B383)+1,MIN(INDEX(CARDS!$H$5:$H$34,MATCH($D383,CARDS!$A$5:$A$34,0)),DAY(EOMONTH($B383,1)))))),""))</f>
        <v/>
      </c>
      <c r="AE383" s="52" t="str">
        <f>IF($C383="","",$C383&amp;"|"&amp;COUNTIF($C$5:$C383,$C383))</f>
        <v/>
      </c>
      <c r="AF383" s="53">
        <f>IF($AC383&gt;0,SUMIFS(Q$4:Q382,$D$4:$D382,$D383,$Z$4:$Z382,$Z383,$C$4:$C382,$C383),0)</f>
        <v>0</v>
      </c>
      <c r="AG383" s="53">
        <f>IF($AC383&gt;0,SUMIFS(Q$4:Q382,$D$4:$D382,$D383,$C$4:$C382,$C383),0)</f>
        <v>0</v>
      </c>
      <c r="AH383" s="53">
        <f>IF($AC383&gt;0,SUMIFS(M$4:M382,$D$4:$D382,$D383,$Z$4:$Z382,$Z383,$C$4:$C382,$C383),0)</f>
        <v>0</v>
      </c>
      <c r="AI383" s="43">
        <f>IF(OR($C383="",$I383=""),0,IF(COUNTIFS($C$5:$C383,$C383,$I$5:$I383,$I383)=1,1,0))</f>
        <v>0</v>
      </c>
      <c r="AJ383" s="43" t="str">
        <f>IF($AI383=1,SUMIFS($AI$4:$AI382,$C$4:$C382,$C383)+1,"")</f>
        <v/>
      </c>
      <c r="AK383" s="43">
        <f>IF(OR($C383="",$K383=""),0,IF(COUNTIFS($C$5:$C383,$C383,$K$5:$K383,$K383)=1,1,0))</f>
        <v>0</v>
      </c>
      <c r="AL383" s="43" t="str">
        <f>IF($AK383=1,SUMIFS($AK$4:$AK382,$C$4:$C382,$C383)+1,"")</f>
        <v/>
      </c>
      <c r="AM383" s="43">
        <f>IF(OR($C383="",$G383=""),0,IF(COUNTIFS($C$5:$C383,$C383,$G$5:$G383,$G383)=1,1,0))</f>
        <v>0</v>
      </c>
      <c r="AN383" s="43" t="str">
        <f>IF($AM383=1,SUMIFS($AM$4:$AM382,$C$4:$C382,$C383)+1,"")</f>
        <v/>
      </c>
    </row>
    <row r="384">
      <c r="A384" s="44" t="str">
        <f>IF(OR($B384="",$D384=""),"","TX"&amp;TEXT(ROW()-4,"0000"))</f>
        <v/>
      </c>
      <c r="B384" s="42" t="n"/>
      <c r="C384" s="47" t="str">
        <f>IF($B384="","",YEAR($B384)*100+MONTH($B384))</f>
        <v/>
      </c>
      <c r="D384" s="37" t="n"/>
      <c r="E384" s="45" t="str">
        <f>IF($D384="","",IFERROR(INDEX(CARDS!$B$5:$B$34,MATCH($D384,CARDS!$A$5:$A$34,0)),"⚠ Card ID?"))</f>
        <v/>
      </c>
      <c r="F384" s="45" t="str">
        <f>IF($D384="","",IFERROR(INDEX(CARDS!$C$5:$C$34,MATCH($D384,CARDS!$A$5:$A$34,0)),"⚠ Card ID?"))</f>
        <v/>
      </c>
      <c r="G384" s="37" t="n"/>
      <c r="H384" s="37" t="n"/>
      <c r="I384" s="41" t="n"/>
      <c r="J384" s="45" t="str">
        <f>IF($I384="","",IFERROR(INDEX(MCC_MASTER!$B$5:$B$504,MATCH($I384,MCC_MASTER!$A$5:$A$504,0)),"⚠ MCC chưa có"))</f>
        <v/>
      </c>
      <c r="K384" s="45" t="str">
        <f>IF($I384="","",IFERROR(IF(INDEX(MCC_MASTER!$C$5:$C$504,MATCH($I384,MCC_MASTER!$A$5:$A$504,0))="","Chưa phân loại",INDEX(MCC_MASTER!$C$5:$C$504,MATCH($I384,MCC_MASTER!$A$5:$A$504,0))),"Chưa phân loại"))</f>
        <v/>
      </c>
      <c r="L384" s="40" t="n"/>
      <c r="M384" s="48" t="str">
        <f>IF(OR($B384="",$D384=""),"",IF($AC384=0,0,IF(ISNUMBER(INDEX(CASHBACK_RULES!$L$5:$L$304,$AC384)),MAX(0,MIN($L384,INDEX(CASHBACK_RULES!$L$5:$L$304,$AC384)-$AH384)),MAX(0,$L384))))</f>
        <v/>
      </c>
      <c r="N384" s="49" t="str">
        <f>IF(OR($B384="",$D384=""),"",IF($AC384&gt;0,INDEX(CASHBACK_RULES!$I$5:$I$304,$AC384),0))</f>
        <v/>
      </c>
      <c r="O384" s="48" t="str">
        <f>IF(OR($B384="",$D384=""),"",ROUND($M384*$N384,0))</f>
        <v/>
      </c>
      <c r="P384" s="48" t="str">
        <f>IF($AC384&gt;0,IF(ISNUMBER(INDEX(CASHBACK_RULES!$J$5:$J$304,$AC384)),INDEX(CASHBACK_RULES!$J$5:$J$304,$AC384),"∞"),"")</f>
        <v/>
      </c>
      <c r="Q384" s="48" t="str">
        <f>IF(OR($B384="",$D384=""),"",IF($AC384=0,0,MAX(0,MIN($O384,IF(ISNUMBER($P384),$P384-$AF384,1E+15),IF(ISNUMBER($AA384),$AA384-$AG384,1E+15)))))</f>
        <v/>
      </c>
      <c r="R384" s="48" t="str">
        <f>IF(OR($B384="",$D384=""),"",IF($AC384=0,"",IF(AND(NOT(ISNUMBER($P384)),NOT(ISNUMBER($AA384))),"∞",MAX(0,MIN(IF(ISNUMBER($P384),$P384-$AF384-$Q384,1E+15),IF(ISNUMBER($AA384),$AA384-$AG384-$Q384,1E+15))))))</f>
        <v/>
      </c>
      <c r="S384" s="47" t="str">
        <f>IF($AD384="","",YEAR($AD384)*100+MONTH($AD384))</f>
        <v/>
      </c>
      <c r="T384" s="50" t="str">
        <f>IF($AD384="","",IFERROR(IF(INDEX(CARDS!$I$5:$I$34,MATCH($D384,CARDS!$A$5:$A$34,0))="","",IF(INDEX(CARDS!$I$5:$I$34,MATCH($D384,CARDS!$A$5:$A$34,0))&gt;INDEX(CARDS!$H$5:$H$34,MATCH($D384,CARDS!$A$5:$A$34,0)),DATE(YEAR($AD384),MONTH($AD384),MIN(INDEX(CARDS!$I$5:$I$34,MATCH($D384,CARDS!$A$5:$A$34,0)),DAY(EOMONTH($AD384,0)))),DATE(YEAR($AD384),MONTH($AD384)+1,MIN(INDEX(CARDS!$I$5:$I$34,MATCH($D384,CARDS!$A$5:$A$34,0)),DAY(EOMONTH($AD384,1)))))),""))</f>
        <v/>
      </c>
      <c r="U384" s="38" t="n"/>
      <c r="V384" s="37" t="n"/>
      <c r="W384" s="38" t="n"/>
      <c r="X384" s="38" t="n"/>
      <c r="Y384" s="44" t="str">
        <f>IF($AC384&gt;0,INDEX(CASHBACK_RULES!$A$5:$A$304,$AC384),"")</f>
        <v/>
      </c>
      <c r="Z384" s="45" t="str">
        <f>IF($AC384&gt;0,INDEX(CASHBACK_RULES!$E$5:$E$304,$AC384)&amp;"","")</f>
        <v/>
      </c>
      <c r="AA384" s="48" t="str">
        <f>IF($AC384&gt;0,IF(ISNUMBER(INDEX(CASHBACK_RULES!$K$5:$K$304,$AC384)),INDEX(CASHBACK_RULES!$K$5:$K$304,$AC384),"∞"),"")</f>
        <v/>
      </c>
      <c r="AB384" s="44" t="str">
        <f>IF(OR($B384="",$D384=""),"",IF($U384="Cancelled","Đã hủy",IF($AC384=0,"Không được hoàn",IF($Q384=0,IF(OR($O384&gt;0,$M384&lt;$L384),"Đã đạt cap","Không được hoàn"),IF(OR($Q384&lt;$O384,$M384&lt;$L384),"Hoàn một phần","Được hoàn")))))</f>
        <v/>
      </c>
      <c r="AC384" s="43">
        <f>IF(OR($B384="",$D384="",$I384="",$L384=""),0,IF($U384="Cancelled",0,IF($W384&lt;&gt;"",IFERROR(IF(INDEX(CASHBACK_RULES!$B$5:$B$304,MATCH($W384,CASHBACK_RULES!$A$5:$A$304,0))=$D384,MATCH($W384,CASHBACK_RULES!$A$5:$A$304,0),0),0),IFERROR(MATCH(1,INDEX((CASHBACK_RULES!$B$5:$B$304=$D384)*(CASHBACK_RULES!$G$5:$G$304=$I384)*(((CASHBACK_RULES!$N$5:$N$304="")+(CASHBACK_RULES!$N$5:$N$304&lt;=$B384))&gt;0)*(((CASHBACK_RULES!$O$5:$O$304="")+(CASHBACK_RULES!$O$5:$O$304&gt;=$B384))&gt;0)*(((CASHBACK_RULES!$M$5:$M$304="")+(CASHBACK_RULES!$M$5:$M$304&lt;=$L384))&gt;0),0),0),0))))</f>
        <v>0</v>
      </c>
      <c r="AD384" s="51" t="str">
        <f>IF(OR($B384="",$D384=""),"",IFERROR(IF(INDEX(CARDS!$H$5:$H$34,MATCH($D384,CARDS!$A$5:$A$34,0))="","",IF(DAY($B384)&lt;=INDEX(CARDS!$H$5:$H$34,MATCH($D384,CARDS!$A$5:$A$34,0)),DATE(YEAR($B384),MONTH($B384),MIN(INDEX(CARDS!$H$5:$H$34,MATCH($D384,CARDS!$A$5:$A$34,0)),DAY(EOMONTH($B384,0)))),DATE(YEAR($B384),MONTH($B384)+1,MIN(INDEX(CARDS!$H$5:$H$34,MATCH($D384,CARDS!$A$5:$A$34,0)),DAY(EOMONTH($B384,1)))))),""))</f>
        <v/>
      </c>
      <c r="AE384" s="52" t="str">
        <f>IF($C384="","",$C384&amp;"|"&amp;COUNTIF($C$5:$C384,$C384))</f>
        <v/>
      </c>
      <c r="AF384" s="53">
        <f>IF($AC384&gt;0,SUMIFS(Q$4:Q383,$D$4:$D383,$D384,$Z$4:$Z383,$Z384,$C$4:$C383,$C384),0)</f>
        <v>0</v>
      </c>
      <c r="AG384" s="53">
        <f>IF($AC384&gt;0,SUMIFS(Q$4:Q383,$D$4:$D383,$D384,$C$4:$C383,$C384),0)</f>
        <v>0</v>
      </c>
      <c r="AH384" s="53">
        <f>IF($AC384&gt;0,SUMIFS(M$4:M383,$D$4:$D383,$D384,$Z$4:$Z383,$Z384,$C$4:$C383,$C384),0)</f>
        <v>0</v>
      </c>
      <c r="AI384" s="43">
        <f>IF(OR($C384="",$I384=""),0,IF(COUNTIFS($C$5:$C384,$C384,$I$5:$I384,$I384)=1,1,0))</f>
        <v>0</v>
      </c>
      <c r="AJ384" s="43" t="str">
        <f>IF($AI384=1,SUMIFS($AI$4:$AI383,$C$4:$C383,$C384)+1,"")</f>
        <v/>
      </c>
      <c r="AK384" s="43">
        <f>IF(OR($C384="",$K384=""),0,IF(COUNTIFS($C$5:$C384,$C384,$K$5:$K384,$K384)=1,1,0))</f>
        <v>0</v>
      </c>
      <c r="AL384" s="43" t="str">
        <f>IF($AK384=1,SUMIFS($AK$4:$AK383,$C$4:$C383,$C384)+1,"")</f>
        <v/>
      </c>
      <c r="AM384" s="43">
        <f>IF(OR($C384="",$G384=""),0,IF(COUNTIFS($C$5:$C384,$C384,$G$5:$G384,$G384)=1,1,0))</f>
        <v>0</v>
      </c>
      <c r="AN384" s="43" t="str">
        <f>IF($AM384=1,SUMIFS($AM$4:$AM383,$C$4:$C383,$C384)+1,"")</f>
        <v/>
      </c>
    </row>
    <row r="385">
      <c r="A385" s="44" t="str">
        <f>IF(OR($B385="",$D385=""),"","TX"&amp;TEXT(ROW()-4,"0000"))</f>
        <v/>
      </c>
      <c r="B385" s="42" t="n"/>
      <c r="C385" s="47" t="str">
        <f>IF($B385="","",YEAR($B385)*100+MONTH($B385))</f>
        <v/>
      </c>
      <c r="D385" s="37" t="n"/>
      <c r="E385" s="45" t="str">
        <f>IF($D385="","",IFERROR(INDEX(CARDS!$B$5:$B$34,MATCH($D385,CARDS!$A$5:$A$34,0)),"⚠ Card ID?"))</f>
        <v/>
      </c>
      <c r="F385" s="45" t="str">
        <f>IF($D385="","",IFERROR(INDEX(CARDS!$C$5:$C$34,MATCH($D385,CARDS!$A$5:$A$34,0)),"⚠ Card ID?"))</f>
        <v/>
      </c>
      <c r="G385" s="37" t="n"/>
      <c r="H385" s="37" t="n"/>
      <c r="I385" s="41" t="n"/>
      <c r="J385" s="45" t="str">
        <f>IF($I385="","",IFERROR(INDEX(MCC_MASTER!$B$5:$B$504,MATCH($I385,MCC_MASTER!$A$5:$A$504,0)),"⚠ MCC chưa có"))</f>
        <v/>
      </c>
      <c r="K385" s="45" t="str">
        <f>IF($I385="","",IFERROR(IF(INDEX(MCC_MASTER!$C$5:$C$504,MATCH($I385,MCC_MASTER!$A$5:$A$504,0))="","Chưa phân loại",INDEX(MCC_MASTER!$C$5:$C$504,MATCH($I385,MCC_MASTER!$A$5:$A$504,0))),"Chưa phân loại"))</f>
        <v/>
      </c>
      <c r="L385" s="40" t="n"/>
      <c r="M385" s="48" t="str">
        <f>IF(OR($B385="",$D385=""),"",IF($AC385=0,0,IF(ISNUMBER(INDEX(CASHBACK_RULES!$L$5:$L$304,$AC385)),MAX(0,MIN($L385,INDEX(CASHBACK_RULES!$L$5:$L$304,$AC385)-$AH385)),MAX(0,$L385))))</f>
        <v/>
      </c>
      <c r="N385" s="49" t="str">
        <f>IF(OR($B385="",$D385=""),"",IF($AC385&gt;0,INDEX(CASHBACK_RULES!$I$5:$I$304,$AC385),0))</f>
        <v/>
      </c>
      <c r="O385" s="48" t="str">
        <f>IF(OR($B385="",$D385=""),"",ROUND($M385*$N385,0))</f>
        <v/>
      </c>
      <c r="P385" s="48" t="str">
        <f>IF($AC385&gt;0,IF(ISNUMBER(INDEX(CASHBACK_RULES!$J$5:$J$304,$AC385)),INDEX(CASHBACK_RULES!$J$5:$J$304,$AC385),"∞"),"")</f>
        <v/>
      </c>
      <c r="Q385" s="48" t="str">
        <f>IF(OR($B385="",$D385=""),"",IF($AC385=0,0,MAX(0,MIN($O385,IF(ISNUMBER($P385),$P385-$AF385,1E+15),IF(ISNUMBER($AA385),$AA385-$AG385,1E+15)))))</f>
        <v/>
      </c>
      <c r="R385" s="48" t="str">
        <f>IF(OR($B385="",$D385=""),"",IF($AC385=0,"",IF(AND(NOT(ISNUMBER($P385)),NOT(ISNUMBER($AA385))),"∞",MAX(0,MIN(IF(ISNUMBER($P385),$P385-$AF385-$Q385,1E+15),IF(ISNUMBER($AA385),$AA385-$AG385-$Q385,1E+15))))))</f>
        <v/>
      </c>
      <c r="S385" s="47" t="str">
        <f>IF($AD385="","",YEAR($AD385)*100+MONTH($AD385))</f>
        <v/>
      </c>
      <c r="T385" s="50" t="str">
        <f>IF($AD385="","",IFERROR(IF(INDEX(CARDS!$I$5:$I$34,MATCH($D385,CARDS!$A$5:$A$34,0))="","",IF(INDEX(CARDS!$I$5:$I$34,MATCH($D385,CARDS!$A$5:$A$34,0))&gt;INDEX(CARDS!$H$5:$H$34,MATCH($D385,CARDS!$A$5:$A$34,0)),DATE(YEAR($AD385),MONTH($AD385),MIN(INDEX(CARDS!$I$5:$I$34,MATCH($D385,CARDS!$A$5:$A$34,0)),DAY(EOMONTH($AD385,0)))),DATE(YEAR($AD385),MONTH($AD385)+1,MIN(INDEX(CARDS!$I$5:$I$34,MATCH($D385,CARDS!$A$5:$A$34,0)),DAY(EOMONTH($AD385,1)))))),""))</f>
        <v/>
      </c>
      <c r="U385" s="38" t="n"/>
      <c r="V385" s="37" t="n"/>
      <c r="W385" s="38" t="n"/>
      <c r="X385" s="38" t="n"/>
      <c r="Y385" s="44" t="str">
        <f>IF($AC385&gt;0,INDEX(CASHBACK_RULES!$A$5:$A$304,$AC385),"")</f>
        <v/>
      </c>
      <c r="Z385" s="45" t="str">
        <f>IF($AC385&gt;0,INDEX(CASHBACK_RULES!$E$5:$E$304,$AC385)&amp;"","")</f>
        <v/>
      </c>
      <c r="AA385" s="48" t="str">
        <f>IF($AC385&gt;0,IF(ISNUMBER(INDEX(CASHBACK_RULES!$K$5:$K$304,$AC385)),INDEX(CASHBACK_RULES!$K$5:$K$304,$AC385),"∞"),"")</f>
        <v/>
      </c>
      <c r="AB385" s="44" t="str">
        <f>IF(OR($B385="",$D385=""),"",IF($U385="Cancelled","Đã hủy",IF($AC385=0,"Không được hoàn",IF($Q385=0,IF(OR($O385&gt;0,$M385&lt;$L385),"Đã đạt cap","Không được hoàn"),IF(OR($Q385&lt;$O385,$M385&lt;$L385),"Hoàn một phần","Được hoàn")))))</f>
        <v/>
      </c>
      <c r="AC385" s="43">
        <f>IF(OR($B385="",$D385="",$I385="",$L385=""),0,IF($U385="Cancelled",0,IF($W385&lt;&gt;"",IFERROR(IF(INDEX(CASHBACK_RULES!$B$5:$B$304,MATCH($W385,CASHBACK_RULES!$A$5:$A$304,0))=$D385,MATCH($W385,CASHBACK_RULES!$A$5:$A$304,0),0),0),IFERROR(MATCH(1,INDEX((CASHBACK_RULES!$B$5:$B$304=$D385)*(CASHBACK_RULES!$G$5:$G$304=$I385)*(((CASHBACK_RULES!$N$5:$N$304="")+(CASHBACK_RULES!$N$5:$N$304&lt;=$B385))&gt;0)*(((CASHBACK_RULES!$O$5:$O$304="")+(CASHBACK_RULES!$O$5:$O$304&gt;=$B385))&gt;0)*(((CASHBACK_RULES!$M$5:$M$304="")+(CASHBACK_RULES!$M$5:$M$304&lt;=$L385))&gt;0),0),0),0))))</f>
        <v>0</v>
      </c>
      <c r="AD385" s="51" t="str">
        <f>IF(OR($B385="",$D385=""),"",IFERROR(IF(INDEX(CARDS!$H$5:$H$34,MATCH($D385,CARDS!$A$5:$A$34,0))="","",IF(DAY($B385)&lt;=INDEX(CARDS!$H$5:$H$34,MATCH($D385,CARDS!$A$5:$A$34,0)),DATE(YEAR($B385),MONTH($B385),MIN(INDEX(CARDS!$H$5:$H$34,MATCH($D385,CARDS!$A$5:$A$34,0)),DAY(EOMONTH($B385,0)))),DATE(YEAR($B385),MONTH($B385)+1,MIN(INDEX(CARDS!$H$5:$H$34,MATCH($D385,CARDS!$A$5:$A$34,0)),DAY(EOMONTH($B385,1)))))),""))</f>
        <v/>
      </c>
      <c r="AE385" s="52" t="str">
        <f>IF($C385="","",$C385&amp;"|"&amp;COUNTIF($C$5:$C385,$C385))</f>
        <v/>
      </c>
      <c r="AF385" s="53">
        <f>IF($AC385&gt;0,SUMIFS(Q$4:Q384,$D$4:$D384,$D385,$Z$4:$Z384,$Z385,$C$4:$C384,$C385),0)</f>
        <v>0</v>
      </c>
      <c r="AG385" s="53">
        <f>IF($AC385&gt;0,SUMIFS(Q$4:Q384,$D$4:$D384,$D385,$C$4:$C384,$C385),0)</f>
        <v>0</v>
      </c>
      <c r="AH385" s="53">
        <f>IF($AC385&gt;0,SUMIFS(M$4:M384,$D$4:$D384,$D385,$Z$4:$Z384,$Z385,$C$4:$C384,$C385),0)</f>
        <v>0</v>
      </c>
      <c r="AI385" s="43">
        <f>IF(OR($C385="",$I385=""),0,IF(COUNTIFS($C$5:$C385,$C385,$I$5:$I385,$I385)=1,1,0))</f>
        <v>0</v>
      </c>
      <c r="AJ385" s="43" t="str">
        <f>IF($AI385=1,SUMIFS($AI$4:$AI384,$C$4:$C384,$C385)+1,"")</f>
        <v/>
      </c>
      <c r="AK385" s="43">
        <f>IF(OR($C385="",$K385=""),0,IF(COUNTIFS($C$5:$C385,$C385,$K$5:$K385,$K385)=1,1,0))</f>
        <v>0</v>
      </c>
      <c r="AL385" s="43" t="str">
        <f>IF($AK385=1,SUMIFS($AK$4:$AK384,$C$4:$C384,$C385)+1,"")</f>
        <v/>
      </c>
      <c r="AM385" s="43">
        <f>IF(OR($C385="",$G385=""),0,IF(COUNTIFS($C$5:$C385,$C385,$G$5:$G385,$G385)=1,1,0))</f>
        <v>0</v>
      </c>
      <c r="AN385" s="43" t="str">
        <f>IF($AM385=1,SUMIFS($AM$4:$AM384,$C$4:$C384,$C385)+1,"")</f>
        <v/>
      </c>
    </row>
    <row r="386">
      <c r="A386" s="44" t="str">
        <f>IF(OR($B386="",$D386=""),"","TX"&amp;TEXT(ROW()-4,"0000"))</f>
        <v/>
      </c>
      <c r="B386" s="42" t="n"/>
      <c r="C386" s="47" t="str">
        <f>IF($B386="","",YEAR($B386)*100+MONTH($B386))</f>
        <v/>
      </c>
      <c r="D386" s="37" t="n"/>
      <c r="E386" s="45" t="str">
        <f>IF($D386="","",IFERROR(INDEX(CARDS!$B$5:$B$34,MATCH($D386,CARDS!$A$5:$A$34,0)),"⚠ Card ID?"))</f>
        <v/>
      </c>
      <c r="F386" s="45" t="str">
        <f>IF($D386="","",IFERROR(INDEX(CARDS!$C$5:$C$34,MATCH($D386,CARDS!$A$5:$A$34,0)),"⚠ Card ID?"))</f>
        <v/>
      </c>
      <c r="G386" s="37" t="n"/>
      <c r="H386" s="37" t="n"/>
      <c r="I386" s="41" t="n"/>
      <c r="J386" s="45" t="str">
        <f>IF($I386="","",IFERROR(INDEX(MCC_MASTER!$B$5:$B$504,MATCH($I386,MCC_MASTER!$A$5:$A$504,0)),"⚠ MCC chưa có"))</f>
        <v/>
      </c>
      <c r="K386" s="45" t="str">
        <f>IF($I386="","",IFERROR(IF(INDEX(MCC_MASTER!$C$5:$C$504,MATCH($I386,MCC_MASTER!$A$5:$A$504,0))="","Chưa phân loại",INDEX(MCC_MASTER!$C$5:$C$504,MATCH($I386,MCC_MASTER!$A$5:$A$504,0))),"Chưa phân loại"))</f>
        <v/>
      </c>
      <c r="L386" s="40" t="n"/>
      <c r="M386" s="48" t="str">
        <f>IF(OR($B386="",$D386=""),"",IF($AC386=0,0,IF(ISNUMBER(INDEX(CASHBACK_RULES!$L$5:$L$304,$AC386)),MAX(0,MIN($L386,INDEX(CASHBACK_RULES!$L$5:$L$304,$AC386)-$AH386)),MAX(0,$L386))))</f>
        <v/>
      </c>
      <c r="N386" s="49" t="str">
        <f>IF(OR($B386="",$D386=""),"",IF($AC386&gt;0,INDEX(CASHBACK_RULES!$I$5:$I$304,$AC386),0))</f>
        <v/>
      </c>
      <c r="O386" s="48" t="str">
        <f>IF(OR($B386="",$D386=""),"",ROUND($M386*$N386,0))</f>
        <v/>
      </c>
      <c r="P386" s="48" t="str">
        <f>IF($AC386&gt;0,IF(ISNUMBER(INDEX(CASHBACK_RULES!$J$5:$J$304,$AC386)),INDEX(CASHBACK_RULES!$J$5:$J$304,$AC386),"∞"),"")</f>
        <v/>
      </c>
      <c r="Q386" s="48" t="str">
        <f>IF(OR($B386="",$D386=""),"",IF($AC386=0,0,MAX(0,MIN($O386,IF(ISNUMBER($P386),$P386-$AF386,1E+15),IF(ISNUMBER($AA386),$AA386-$AG386,1E+15)))))</f>
        <v/>
      </c>
      <c r="R386" s="48" t="str">
        <f>IF(OR($B386="",$D386=""),"",IF($AC386=0,"",IF(AND(NOT(ISNUMBER($P386)),NOT(ISNUMBER($AA386))),"∞",MAX(0,MIN(IF(ISNUMBER($P386),$P386-$AF386-$Q386,1E+15),IF(ISNUMBER($AA386),$AA386-$AG386-$Q386,1E+15))))))</f>
        <v/>
      </c>
      <c r="S386" s="47" t="str">
        <f>IF($AD386="","",YEAR($AD386)*100+MONTH($AD386))</f>
        <v/>
      </c>
      <c r="T386" s="50" t="str">
        <f>IF($AD386="","",IFERROR(IF(INDEX(CARDS!$I$5:$I$34,MATCH($D386,CARDS!$A$5:$A$34,0))="","",IF(INDEX(CARDS!$I$5:$I$34,MATCH($D386,CARDS!$A$5:$A$34,0))&gt;INDEX(CARDS!$H$5:$H$34,MATCH($D386,CARDS!$A$5:$A$34,0)),DATE(YEAR($AD386),MONTH($AD386),MIN(INDEX(CARDS!$I$5:$I$34,MATCH($D386,CARDS!$A$5:$A$34,0)),DAY(EOMONTH($AD386,0)))),DATE(YEAR($AD386),MONTH($AD386)+1,MIN(INDEX(CARDS!$I$5:$I$34,MATCH($D386,CARDS!$A$5:$A$34,0)),DAY(EOMONTH($AD386,1)))))),""))</f>
        <v/>
      </c>
      <c r="U386" s="38" t="n"/>
      <c r="V386" s="37" t="n"/>
      <c r="W386" s="38" t="n"/>
      <c r="X386" s="38" t="n"/>
      <c r="Y386" s="44" t="str">
        <f>IF($AC386&gt;0,INDEX(CASHBACK_RULES!$A$5:$A$304,$AC386),"")</f>
        <v/>
      </c>
      <c r="Z386" s="45" t="str">
        <f>IF($AC386&gt;0,INDEX(CASHBACK_RULES!$E$5:$E$304,$AC386)&amp;"","")</f>
        <v/>
      </c>
      <c r="AA386" s="48" t="str">
        <f>IF($AC386&gt;0,IF(ISNUMBER(INDEX(CASHBACK_RULES!$K$5:$K$304,$AC386)),INDEX(CASHBACK_RULES!$K$5:$K$304,$AC386),"∞"),"")</f>
        <v/>
      </c>
      <c r="AB386" s="44" t="str">
        <f>IF(OR($B386="",$D386=""),"",IF($U386="Cancelled","Đã hủy",IF($AC386=0,"Không được hoàn",IF($Q386=0,IF(OR($O386&gt;0,$M386&lt;$L386),"Đã đạt cap","Không được hoàn"),IF(OR($Q386&lt;$O386,$M386&lt;$L386),"Hoàn một phần","Được hoàn")))))</f>
        <v/>
      </c>
      <c r="AC386" s="43">
        <f>IF(OR($B386="",$D386="",$I386="",$L386=""),0,IF($U386="Cancelled",0,IF($W386&lt;&gt;"",IFERROR(IF(INDEX(CASHBACK_RULES!$B$5:$B$304,MATCH($W386,CASHBACK_RULES!$A$5:$A$304,0))=$D386,MATCH($W386,CASHBACK_RULES!$A$5:$A$304,0),0),0),IFERROR(MATCH(1,INDEX((CASHBACK_RULES!$B$5:$B$304=$D386)*(CASHBACK_RULES!$G$5:$G$304=$I386)*(((CASHBACK_RULES!$N$5:$N$304="")+(CASHBACK_RULES!$N$5:$N$304&lt;=$B386))&gt;0)*(((CASHBACK_RULES!$O$5:$O$304="")+(CASHBACK_RULES!$O$5:$O$304&gt;=$B386))&gt;0)*(((CASHBACK_RULES!$M$5:$M$304="")+(CASHBACK_RULES!$M$5:$M$304&lt;=$L386))&gt;0),0),0),0))))</f>
        <v>0</v>
      </c>
      <c r="AD386" s="51" t="str">
        <f>IF(OR($B386="",$D386=""),"",IFERROR(IF(INDEX(CARDS!$H$5:$H$34,MATCH($D386,CARDS!$A$5:$A$34,0))="","",IF(DAY($B386)&lt;=INDEX(CARDS!$H$5:$H$34,MATCH($D386,CARDS!$A$5:$A$34,0)),DATE(YEAR($B386),MONTH($B386),MIN(INDEX(CARDS!$H$5:$H$34,MATCH($D386,CARDS!$A$5:$A$34,0)),DAY(EOMONTH($B386,0)))),DATE(YEAR($B386),MONTH($B386)+1,MIN(INDEX(CARDS!$H$5:$H$34,MATCH($D386,CARDS!$A$5:$A$34,0)),DAY(EOMONTH($B386,1)))))),""))</f>
        <v/>
      </c>
      <c r="AE386" s="52" t="str">
        <f>IF($C386="","",$C386&amp;"|"&amp;COUNTIF($C$5:$C386,$C386))</f>
        <v/>
      </c>
      <c r="AF386" s="53">
        <f>IF($AC386&gt;0,SUMIFS(Q$4:Q385,$D$4:$D385,$D386,$Z$4:$Z385,$Z386,$C$4:$C385,$C386),0)</f>
        <v>0</v>
      </c>
      <c r="AG386" s="53">
        <f>IF($AC386&gt;0,SUMIFS(Q$4:Q385,$D$4:$D385,$D386,$C$4:$C385,$C386),0)</f>
        <v>0</v>
      </c>
      <c r="AH386" s="53">
        <f>IF($AC386&gt;0,SUMIFS(M$4:M385,$D$4:$D385,$D386,$Z$4:$Z385,$Z386,$C$4:$C385,$C386),0)</f>
        <v>0</v>
      </c>
      <c r="AI386" s="43">
        <f>IF(OR($C386="",$I386=""),0,IF(COUNTIFS($C$5:$C386,$C386,$I$5:$I386,$I386)=1,1,0))</f>
        <v>0</v>
      </c>
      <c r="AJ386" s="43" t="str">
        <f>IF($AI386=1,SUMIFS($AI$4:$AI385,$C$4:$C385,$C386)+1,"")</f>
        <v/>
      </c>
      <c r="AK386" s="43">
        <f>IF(OR($C386="",$K386=""),0,IF(COUNTIFS($C$5:$C386,$C386,$K$5:$K386,$K386)=1,1,0))</f>
        <v>0</v>
      </c>
      <c r="AL386" s="43" t="str">
        <f>IF($AK386=1,SUMIFS($AK$4:$AK385,$C$4:$C385,$C386)+1,"")</f>
        <v/>
      </c>
      <c r="AM386" s="43">
        <f>IF(OR($C386="",$G386=""),0,IF(COUNTIFS($C$5:$C386,$C386,$G$5:$G386,$G386)=1,1,0))</f>
        <v>0</v>
      </c>
      <c r="AN386" s="43" t="str">
        <f>IF($AM386=1,SUMIFS($AM$4:$AM385,$C$4:$C385,$C386)+1,"")</f>
        <v/>
      </c>
    </row>
    <row r="387">
      <c r="A387" s="44" t="str">
        <f>IF(OR($B387="",$D387=""),"","TX"&amp;TEXT(ROW()-4,"0000"))</f>
        <v/>
      </c>
      <c r="B387" s="42" t="n"/>
      <c r="C387" s="47" t="str">
        <f>IF($B387="","",YEAR($B387)*100+MONTH($B387))</f>
        <v/>
      </c>
      <c r="D387" s="37" t="n"/>
      <c r="E387" s="45" t="str">
        <f>IF($D387="","",IFERROR(INDEX(CARDS!$B$5:$B$34,MATCH($D387,CARDS!$A$5:$A$34,0)),"⚠ Card ID?"))</f>
        <v/>
      </c>
      <c r="F387" s="45" t="str">
        <f>IF($D387="","",IFERROR(INDEX(CARDS!$C$5:$C$34,MATCH($D387,CARDS!$A$5:$A$34,0)),"⚠ Card ID?"))</f>
        <v/>
      </c>
      <c r="G387" s="37" t="n"/>
      <c r="H387" s="37" t="n"/>
      <c r="I387" s="41" t="n"/>
      <c r="J387" s="45" t="str">
        <f>IF($I387="","",IFERROR(INDEX(MCC_MASTER!$B$5:$B$504,MATCH($I387,MCC_MASTER!$A$5:$A$504,0)),"⚠ MCC chưa có"))</f>
        <v/>
      </c>
      <c r="K387" s="45" t="str">
        <f>IF($I387="","",IFERROR(IF(INDEX(MCC_MASTER!$C$5:$C$504,MATCH($I387,MCC_MASTER!$A$5:$A$504,0))="","Chưa phân loại",INDEX(MCC_MASTER!$C$5:$C$504,MATCH($I387,MCC_MASTER!$A$5:$A$504,0))),"Chưa phân loại"))</f>
        <v/>
      </c>
      <c r="L387" s="40" t="n"/>
      <c r="M387" s="48" t="str">
        <f>IF(OR($B387="",$D387=""),"",IF($AC387=0,0,IF(ISNUMBER(INDEX(CASHBACK_RULES!$L$5:$L$304,$AC387)),MAX(0,MIN($L387,INDEX(CASHBACK_RULES!$L$5:$L$304,$AC387)-$AH387)),MAX(0,$L387))))</f>
        <v/>
      </c>
      <c r="N387" s="49" t="str">
        <f>IF(OR($B387="",$D387=""),"",IF($AC387&gt;0,INDEX(CASHBACK_RULES!$I$5:$I$304,$AC387),0))</f>
        <v/>
      </c>
      <c r="O387" s="48" t="str">
        <f>IF(OR($B387="",$D387=""),"",ROUND($M387*$N387,0))</f>
        <v/>
      </c>
      <c r="P387" s="48" t="str">
        <f>IF($AC387&gt;0,IF(ISNUMBER(INDEX(CASHBACK_RULES!$J$5:$J$304,$AC387)),INDEX(CASHBACK_RULES!$J$5:$J$304,$AC387),"∞"),"")</f>
        <v/>
      </c>
      <c r="Q387" s="48" t="str">
        <f>IF(OR($B387="",$D387=""),"",IF($AC387=0,0,MAX(0,MIN($O387,IF(ISNUMBER($P387),$P387-$AF387,1E+15),IF(ISNUMBER($AA387),$AA387-$AG387,1E+15)))))</f>
        <v/>
      </c>
      <c r="R387" s="48" t="str">
        <f>IF(OR($B387="",$D387=""),"",IF($AC387=0,"",IF(AND(NOT(ISNUMBER($P387)),NOT(ISNUMBER($AA387))),"∞",MAX(0,MIN(IF(ISNUMBER($P387),$P387-$AF387-$Q387,1E+15),IF(ISNUMBER($AA387),$AA387-$AG387-$Q387,1E+15))))))</f>
        <v/>
      </c>
      <c r="S387" s="47" t="str">
        <f>IF($AD387="","",YEAR($AD387)*100+MONTH($AD387))</f>
        <v/>
      </c>
      <c r="T387" s="50" t="str">
        <f>IF($AD387="","",IFERROR(IF(INDEX(CARDS!$I$5:$I$34,MATCH($D387,CARDS!$A$5:$A$34,0))="","",IF(INDEX(CARDS!$I$5:$I$34,MATCH($D387,CARDS!$A$5:$A$34,0))&gt;INDEX(CARDS!$H$5:$H$34,MATCH($D387,CARDS!$A$5:$A$34,0)),DATE(YEAR($AD387),MONTH($AD387),MIN(INDEX(CARDS!$I$5:$I$34,MATCH($D387,CARDS!$A$5:$A$34,0)),DAY(EOMONTH($AD387,0)))),DATE(YEAR($AD387),MONTH($AD387)+1,MIN(INDEX(CARDS!$I$5:$I$34,MATCH($D387,CARDS!$A$5:$A$34,0)),DAY(EOMONTH($AD387,1)))))),""))</f>
        <v/>
      </c>
      <c r="U387" s="38" t="n"/>
      <c r="V387" s="37" t="n"/>
      <c r="W387" s="38" t="n"/>
      <c r="X387" s="38" t="n"/>
      <c r="Y387" s="44" t="str">
        <f>IF($AC387&gt;0,INDEX(CASHBACK_RULES!$A$5:$A$304,$AC387),"")</f>
        <v/>
      </c>
      <c r="Z387" s="45" t="str">
        <f>IF($AC387&gt;0,INDEX(CASHBACK_RULES!$E$5:$E$304,$AC387)&amp;"","")</f>
        <v/>
      </c>
      <c r="AA387" s="48" t="str">
        <f>IF($AC387&gt;0,IF(ISNUMBER(INDEX(CASHBACK_RULES!$K$5:$K$304,$AC387)),INDEX(CASHBACK_RULES!$K$5:$K$304,$AC387),"∞"),"")</f>
        <v/>
      </c>
      <c r="AB387" s="44" t="str">
        <f>IF(OR($B387="",$D387=""),"",IF($U387="Cancelled","Đã hủy",IF($AC387=0,"Không được hoàn",IF($Q387=0,IF(OR($O387&gt;0,$M387&lt;$L387),"Đã đạt cap","Không được hoàn"),IF(OR($Q387&lt;$O387,$M387&lt;$L387),"Hoàn một phần","Được hoàn")))))</f>
        <v/>
      </c>
      <c r="AC387" s="43">
        <f>IF(OR($B387="",$D387="",$I387="",$L387=""),0,IF($U387="Cancelled",0,IF($W387&lt;&gt;"",IFERROR(IF(INDEX(CASHBACK_RULES!$B$5:$B$304,MATCH($W387,CASHBACK_RULES!$A$5:$A$304,0))=$D387,MATCH($W387,CASHBACK_RULES!$A$5:$A$304,0),0),0),IFERROR(MATCH(1,INDEX((CASHBACK_RULES!$B$5:$B$304=$D387)*(CASHBACK_RULES!$G$5:$G$304=$I387)*(((CASHBACK_RULES!$N$5:$N$304="")+(CASHBACK_RULES!$N$5:$N$304&lt;=$B387))&gt;0)*(((CASHBACK_RULES!$O$5:$O$304="")+(CASHBACK_RULES!$O$5:$O$304&gt;=$B387))&gt;0)*(((CASHBACK_RULES!$M$5:$M$304="")+(CASHBACK_RULES!$M$5:$M$304&lt;=$L387))&gt;0),0),0),0))))</f>
        <v>0</v>
      </c>
      <c r="AD387" s="51" t="str">
        <f>IF(OR($B387="",$D387=""),"",IFERROR(IF(INDEX(CARDS!$H$5:$H$34,MATCH($D387,CARDS!$A$5:$A$34,0))="","",IF(DAY($B387)&lt;=INDEX(CARDS!$H$5:$H$34,MATCH($D387,CARDS!$A$5:$A$34,0)),DATE(YEAR($B387),MONTH($B387),MIN(INDEX(CARDS!$H$5:$H$34,MATCH($D387,CARDS!$A$5:$A$34,0)),DAY(EOMONTH($B387,0)))),DATE(YEAR($B387),MONTH($B387)+1,MIN(INDEX(CARDS!$H$5:$H$34,MATCH($D387,CARDS!$A$5:$A$34,0)),DAY(EOMONTH($B387,1)))))),""))</f>
        <v/>
      </c>
      <c r="AE387" s="52" t="str">
        <f>IF($C387="","",$C387&amp;"|"&amp;COUNTIF($C$5:$C387,$C387))</f>
        <v/>
      </c>
      <c r="AF387" s="53">
        <f>IF($AC387&gt;0,SUMIFS(Q$4:Q386,$D$4:$D386,$D387,$Z$4:$Z386,$Z387,$C$4:$C386,$C387),0)</f>
        <v>0</v>
      </c>
      <c r="AG387" s="53">
        <f>IF($AC387&gt;0,SUMIFS(Q$4:Q386,$D$4:$D386,$D387,$C$4:$C386,$C387),0)</f>
        <v>0</v>
      </c>
      <c r="AH387" s="53">
        <f>IF($AC387&gt;0,SUMIFS(M$4:M386,$D$4:$D386,$D387,$Z$4:$Z386,$Z387,$C$4:$C386,$C387),0)</f>
        <v>0</v>
      </c>
      <c r="AI387" s="43">
        <f>IF(OR($C387="",$I387=""),0,IF(COUNTIFS($C$5:$C387,$C387,$I$5:$I387,$I387)=1,1,0))</f>
        <v>0</v>
      </c>
      <c r="AJ387" s="43" t="str">
        <f>IF($AI387=1,SUMIFS($AI$4:$AI386,$C$4:$C386,$C387)+1,"")</f>
        <v/>
      </c>
      <c r="AK387" s="43">
        <f>IF(OR($C387="",$K387=""),0,IF(COUNTIFS($C$5:$C387,$C387,$K$5:$K387,$K387)=1,1,0))</f>
        <v>0</v>
      </c>
      <c r="AL387" s="43" t="str">
        <f>IF($AK387=1,SUMIFS($AK$4:$AK386,$C$4:$C386,$C387)+1,"")</f>
        <v/>
      </c>
      <c r="AM387" s="43">
        <f>IF(OR($C387="",$G387=""),0,IF(COUNTIFS($C$5:$C387,$C387,$G$5:$G387,$G387)=1,1,0))</f>
        <v>0</v>
      </c>
      <c r="AN387" s="43" t="str">
        <f>IF($AM387=1,SUMIFS($AM$4:$AM386,$C$4:$C386,$C387)+1,"")</f>
        <v/>
      </c>
    </row>
    <row r="388">
      <c r="A388" s="44" t="str">
        <f>IF(OR($B388="",$D388=""),"","TX"&amp;TEXT(ROW()-4,"0000"))</f>
        <v/>
      </c>
      <c r="B388" s="42" t="n"/>
      <c r="C388" s="47" t="str">
        <f>IF($B388="","",YEAR($B388)*100+MONTH($B388))</f>
        <v/>
      </c>
      <c r="D388" s="37" t="n"/>
      <c r="E388" s="45" t="str">
        <f>IF($D388="","",IFERROR(INDEX(CARDS!$B$5:$B$34,MATCH($D388,CARDS!$A$5:$A$34,0)),"⚠ Card ID?"))</f>
        <v/>
      </c>
      <c r="F388" s="45" t="str">
        <f>IF($D388="","",IFERROR(INDEX(CARDS!$C$5:$C$34,MATCH($D388,CARDS!$A$5:$A$34,0)),"⚠ Card ID?"))</f>
        <v/>
      </c>
      <c r="G388" s="37" t="n"/>
      <c r="H388" s="37" t="n"/>
      <c r="I388" s="41" t="n"/>
      <c r="J388" s="45" t="str">
        <f>IF($I388="","",IFERROR(INDEX(MCC_MASTER!$B$5:$B$504,MATCH($I388,MCC_MASTER!$A$5:$A$504,0)),"⚠ MCC chưa có"))</f>
        <v/>
      </c>
      <c r="K388" s="45" t="str">
        <f>IF($I388="","",IFERROR(IF(INDEX(MCC_MASTER!$C$5:$C$504,MATCH($I388,MCC_MASTER!$A$5:$A$504,0))="","Chưa phân loại",INDEX(MCC_MASTER!$C$5:$C$504,MATCH($I388,MCC_MASTER!$A$5:$A$504,0))),"Chưa phân loại"))</f>
        <v/>
      </c>
      <c r="L388" s="40" t="n"/>
      <c r="M388" s="48" t="str">
        <f>IF(OR($B388="",$D388=""),"",IF($AC388=0,0,IF(ISNUMBER(INDEX(CASHBACK_RULES!$L$5:$L$304,$AC388)),MAX(0,MIN($L388,INDEX(CASHBACK_RULES!$L$5:$L$304,$AC388)-$AH388)),MAX(0,$L388))))</f>
        <v/>
      </c>
      <c r="N388" s="49" t="str">
        <f>IF(OR($B388="",$D388=""),"",IF($AC388&gt;0,INDEX(CASHBACK_RULES!$I$5:$I$304,$AC388),0))</f>
        <v/>
      </c>
      <c r="O388" s="48" t="str">
        <f>IF(OR($B388="",$D388=""),"",ROUND($M388*$N388,0))</f>
        <v/>
      </c>
      <c r="P388" s="48" t="str">
        <f>IF($AC388&gt;0,IF(ISNUMBER(INDEX(CASHBACK_RULES!$J$5:$J$304,$AC388)),INDEX(CASHBACK_RULES!$J$5:$J$304,$AC388),"∞"),"")</f>
        <v/>
      </c>
      <c r="Q388" s="48" t="str">
        <f>IF(OR($B388="",$D388=""),"",IF($AC388=0,0,MAX(0,MIN($O388,IF(ISNUMBER($P388),$P388-$AF388,1E+15),IF(ISNUMBER($AA388),$AA388-$AG388,1E+15)))))</f>
        <v/>
      </c>
      <c r="R388" s="48" t="str">
        <f>IF(OR($B388="",$D388=""),"",IF($AC388=0,"",IF(AND(NOT(ISNUMBER($P388)),NOT(ISNUMBER($AA388))),"∞",MAX(0,MIN(IF(ISNUMBER($P388),$P388-$AF388-$Q388,1E+15),IF(ISNUMBER($AA388),$AA388-$AG388-$Q388,1E+15))))))</f>
        <v/>
      </c>
      <c r="S388" s="47" t="str">
        <f>IF($AD388="","",YEAR($AD388)*100+MONTH($AD388))</f>
        <v/>
      </c>
      <c r="T388" s="50" t="str">
        <f>IF($AD388="","",IFERROR(IF(INDEX(CARDS!$I$5:$I$34,MATCH($D388,CARDS!$A$5:$A$34,0))="","",IF(INDEX(CARDS!$I$5:$I$34,MATCH($D388,CARDS!$A$5:$A$34,0))&gt;INDEX(CARDS!$H$5:$H$34,MATCH($D388,CARDS!$A$5:$A$34,0)),DATE(YEAR($AD388),MONTH($AD388),MIN(INDEX(CARDS!$I$5:$I$34,MATCH($D388,CARDS!$A$5:$A$34,0)),DAY(EOMONTH($AD388,0)))),DATE(YEAR($AD388),MONTH($AD388)+1,MIN(INDEX(CARDS!$I$5:$I$34,MATCH($D388,CARDS!$A$5:$A$34,0)),DAY(EOMONTH($AD388,1)))))),""))</f>
        <v/>
      </c>
      <c r="U388" s="38" t="n"/>
      <c r="V388" s="37" t="n"/>
      <c r="W388" s="38" t="n"/>
      <c r="X388" s="38" t="n"/>
      <c r="Y388" s="44" t="str">
        <f>IF($AC388&gt;0,INDEX(CASHBACK_RULES!$A$5:$A$304,$AC388),"")</f>
        <v/>
      </c>
      <c r="Z388" s="45" t="str">
        <f>IF($AC388&gt;0,INDEX(CASHBACK_RULES!$E$5:$E$304,$AC388)&amp;"","")</f>
        <v/>
      </c>
      <c r="AA388" s="48" t="str">
        <f>IF($AC388&gt;0,IF(ISNUMBER(INDEX(CASHBACK_RULES!$K$5:$K$304,$AC388)),INDEX(CASHBACK_RULES!$K$5:$K$304,$AC388),"∞"),"")</f>
        <v/>
      </c>
      <c r="AB388" s="44" t="str">
        <f>IF(OR($B388="",$D388=""),"",IF($U388="Cancelled","Đã hủy",IF($AC388=0,"Không được hoàn",IF($Q388=0,IF(OR($O388&gt;0,$M388&lt;$L388),"Đã đạt cap","Không được hoàn"),IF(OR($Q388&lt;$O388,$M388&lt;$L388),"Hoàn một phần","Được hoàn")))))</f>
        <v/>
      </c>
      <c r="AC388" s="43">
        <f>IF(OR($B388="",$D388="",$I388="",$L388=""),0,IF($U388="Cancelled",0,IF($W388&lt;&gt;"",IFERROR(IF(INDEX(CASHBACK_RULES!$B$5:$B$304,MATCH($W388,CASHBACK_RULES!$A$5:$A$304,0))=$D388,MATCH($W388,CASHBACK_RULES!$A$5:$A$304,0),0),0),IFERROR(MATCH(1,INDEX((CASHBACK_RULES!$B$5:$B$304=$D388)*(CASHBACK_RULES!$G$5:$G$304=$I388)*(((CASHBACK_RULES!$N$5:$N$304="")+(CASHBACK_RULES!$N$5:$N$304&lt;=$B388))&gt;0)*(((CASHBACK_RULES!$O$5:$O$304="")+(CASHBACK_RULES!$O$5:$O$304&gt;=$B388))&gt;0)*(((CASHBACK_RULES!$M$5:$M$304="")+(CASHBACK_RULES!$M$5:$M$304&lt;=$L388))&gt;0),0),0),0))))</f>
        <v>0</v>
      </c>
      <c r="AD388" s="51" t="str">
        <f>IF(OR($B388="",$D388=""),"",IFERROR(IF(INDEX(CARDS!$H$5:$H$34,MATCH($D388,CARDS!$A$5:$A$34,0))="","",IF(DAY($B388)&lt;=INDEX(CARDS!$H$5:$H$34,MATCH($D388,CARDS!$A$5:$A$34,0)),DATE(YEAR($B388),MONTH($B388),MIN(INDEX(CARDS!$H$5:$H$34,MATCH($D388,CARDS!$A$5:$A$34,0)),DAY(EOMONTH($B388,0)))),DATE(YEAR($B388),MONTH($B388)+1,MIN(INDEX(CARDS!$H$5:$H$34,MATCH($D388,CARDS!$A$5:$A$34,0)),DAY(EOMONTH($B388,1)))))),""))</f>
        <v/>
      </c>
      <c r="AE388" s="52" t="str">
        <f>IF($C388="","",$C388&amp;"|"&amp;COUNTIF($C$5:$C388,$C388))</f>
        <v/>
      </c>
      <c r="AF388" s="53">
        <f>IF($AC388&gt;0,SUMIFS(Q$4:Q387,$D$4:$D387,$D388,$Z$4:$Z387,$Z388,$C$4:$C387,$C388),0)</f>
        <v>0</v>
      </c>
      <c r="AG388" s="53">
        <f>IF($AC388&gt;0,SUMIFS(Q$4:Q387,$D$4:$D387,$D388,$C$4:$C387,$C388),0)</f>
        <v>0</v>
      </c>
      <c r="AH388" s="53">
        <f>IF($AC388&gt;0,SUMIFS(M$4:M387,$D$4:$D387,$D388,$Z$4:$Z387,$Z388,$C$4:$C387,$C388),0)</f>
        <v>0</v>
      </c>
      <c r="AI388" s="43">
        <f>IF(OR($C388="",$I388=""),0,IF(COUNTIFS($C$5:$C388,$C388,$I$5:$I388,$I388)=1,1,0))</f>
        <v>0</v>
      </c>
      <c r="AJ388" s="43" t="str">
        <f>IF($AI388=1,SUMIFS($AI$4:$AI387,$C$4:$C387,$C388)+1,"")</f>
        <v/>
      </c>
      <c r="AK388" s="43">
        <f>IF(OR($C388="",$K388=""),0,IF(COUNTIFS($C$5:$C388,$C388,$K$5:$K388,$K388)=1,1,0))</f>
        <v>0</v>
      </c>
      <c r="AL388" s="43" t="str">
        <f>IF($AK388=1,SUMIFS($AK$4:$AK387,$C$4:$C387,$C388)+1,"")</f>
        <v/>
      </c>
      <c r="AM388" s="43">
        <f>IF(OR($C388="",$G388=""),0,IF(COUNTIFS($C$5:$C388,$C388,$G$5:$G388,$G388)=1,1,0))</f>
        <v>0</v>
      </c>
      <c r="AN388" s="43" t="str">
        <f>IF($AM388=1,SUMIFS($AM$4:$AM387,$C$4:$C387,$C388)+1,"")</f>
        <v/>
      </c>
    </row>
    <row r="389">
      <c r="A389" s="44" t="str">
        <f>IF(OR($B389="",$D389=""),"","TX"&amp;TEXT(ROW()-4,"0000"))</f>
        <v/>
      </c>
      <c r="B389" s="42" t="n"/>
      <c r="C389" s="47" t="str">
        <f>IF($B389="","",YEAR($B389)*100+MONTH($B389))</f>
        <v/>
      </c>
      <c r="D389" s="37" t="n"/>
      <c r="E389" s="45" t="str">
        <f>IF($D389="","",IFERROR(INDEX(CARDS!$B$5:$B$34,MATCH($D389,CARDS!$A$5:$A$34,0)),"⚠ Card ID?"))</f>
        <v/>
      </c>
      <c r="F389" s="45" t="str">
        <f>IF($D389="","",IFERROR(INDEX(CARDS!$C$5:$C$34,MATCH($D389,CARDS!$A$5:$A$34,0)),"⚠ Card ID?"))</f>
        <v/>
      </c>
      <c r="G389" s="37" t="n"/>
      <c r="H389" s="37" t="n"/>
      <c r="I389" s="41" t="n"/>
      <c r="J389" s="45" t="str">
        <f>IF($I389="","",IFERROR(INDEX(MCC_MASTER!$B$5:$B$504,MATCH($I389,MCC_MASTER!$A$5:$A$504,0)),"⚠ MCC chưa có"))</f>
        <v/>
      </c>
      <c r="K389" s="45" t="str">
        <f>IF($I389="","",IFERROR(IF(INDEX(MCC_MASTER!$C$5:$C$504,MATCH($I389,MCC_MASTER!$A$5:$A$504,0))="","Chưa phân loại",INDEX(MCC_MASTER!$C$5:$C$504,MATCH($I389,MCC_MASTER!$A$5:$A$504,0))),"Chưa phân loại"))</f>
        <v/>
      </c>
      <c r="L389" s="40" t="n"/>
      <c r="M389" s="48" t="str">
        <f>IF(OR($B389="",$D389=""),"",IF($AC389=0,0,IF(ISNUMBER(INDEX(CASHBACK_RULES!$L$5:$L$304,$AC389)),MAX(0,MIN($L389,INDEX(CASHBACK_RULES!$L$5:$L$304,$AC389)-$AH389)),MAX(0,$L389))))</f>
        <v/>
      </c>
      <c r="N389" s="49" t="str">
        <f>IF(OR($B389="",$D389=""),"",IF($AC389&gt;0,INDEX(CASHBACK_RULES!$I$5:$I$304,$AC389),0))</f>
        <v/>
      </c>
      <c r="O389" s="48" t="str">
        <f>IF(OR($B389="",$D389=""),"",ROUND($M389*$N389,0))</f>
        <v/>
      </c>
      <c r="P389" s="48" t="str">
        <f>IF($AC389&gt;0,IF(ISNUMBER(INDEX(CASHBACK_RULES!$J$5:$J$304,$AC389)),INDEX(CASHBACK_RULES!$J$5:$J$304,$AC389),"∞"),"")</f>
        <v/>
      </c>
      <c r="Q389" s="48" t="str">
        <f>IF(OR($B389="",$D389=""),"",IF($AC389=0,0,MAX(0,MIN($O389,IF(ISNUMBER($P389),$P389-$AF389,1E+15),IF(ISNUMBER($AA389),$AA389-$AG389,1E+15)))))</f>
        <v/>
      </c>
      <c r="R389" s="48" t="str">
        <f>IF(OR($B389="",$D389=""),"",IF($AC389=0,"",IF(AND(NOT(ISNUMBER($P389)),NOT(ISNUMBER($AA389))),"∞",MAX(0,MIN(IF(ISNUMBER($P389),$P389-$AF389-$Q389,1E+15),IF(ISNUMBER($AA389),$AA389-$AG389-$Q389,1E+15))))))</f>
        <v/>
      </c>
      <c r="S389" s="47" t="str">
        <f>IF($AD389="","",YEAR($AD389)*100+MONTH($AD389))</f>
        <v/>
      </c>
      <c r="T389" s="50" t="str">
        <f>IF($AD389="","",IFERROR(IF(INDEX(CARDS!$I$5:$I$34,MATCH($D389,CARDS!$A$5:$A$34,0))="","",IF(INDEX(CARDS!$I$5:$I$34,MATCH($D389,CARDS!$A$5:$A$34,0))&gt;INDEX(CARDS!$H$5:$H$34,MATCH($D389,CARDS!$A$5:$A$34,0)),DATE(YEAR($AD389),MONTH($AD389),MIN(INDEX(CARDS!$I$5:$I$34,MATCH($D389,CARDS!$A$5:$A$34,0)),DAY(EOMONTH($AD389,0)))),DATE(YEAR($AD389),MONTH($AD389)+1,MIN(INDEX(CARDS!$I$5:$I$34,MATCH($D389,CARDS!$A$5:$A$34,0)),DAY(EOMONTH($AD389,1)))))),""))</f>
        <v/>
      </c>
      <c r="U389" s="38" t="n"/>
      <c r="V389" s="37" t="n"/>
      <c r="W389" s="38" t="n"/>
      <c r="X389" s="38" t="n"/>
      <c r="Y389" s="44" t="str">
        <f>IF($AC389&gt;0,INDEX(CASHBACK_RULES!$A$5:$A$304,$AC389),"")</f>
        <v/>
      </c>
      <c r="Z389" s="45" t="str">
        <f>IF($AC389&gt;0,INDEX(CASHBACK_RULES!$E$5:$E$304,$AC389)&amp;"","")</f>
        <v/>
      </c>
      <c r="AA389" s="48" t="str">
        <f>IF($AC389&gt;0,IF(ISNUMBER(INDEX(CASHBACK_RULES!$K$5:$K$304,$AC389)),INDEX(CASHBACK_RULES!$K$5:$K$304,$AC389),"∞"),"")</f>
        <v/>
      </c>
      <c r="AB389" s="44" t="str">
        <f>IF(OR($B389="",$D389=""),"",IF($U389="Cancelled","Đã hủy",IF($AC389=0,"Không được hoàn",IF($Q389=0,IF(OR($O389&gt;0,$M389&lt;$L389),"Đã đạt cap","Không được hoàn"),IF(OR($Q389&lt;$O389,$M389&lt;$L389),"Hoàn một phần","Được hoàn")))))</f>
        <v/>
      </c>
      <c r="AC389" s="43">
        <f>IF(OR($B389="",$D389="",$I389="",$L389=""),0,IF($U389="Cancelled",0,IF($W389&lt;&gt;"",IFERROR(IF(INDEX(CASHBACK_RULES!$B$5:$B$304,MATCH($W389,CASHBACK_RULES!$A$5:$A$304,0))=$D389,MATCH($W389,CASHBACK_RULES!$A$5:$A$304,0),0),0),IFERROR(MATCH(1,INDEX((CASHBACK_RULES!$B$5:$B$304=$D389)*(CASHBACK_RULES!$G$5:$G$304=$I389)*(((CASHBACK_RULES!$N$5:$N$304="")+(CASHBACK_RULES!$N$5:$N$304&lt;=$B389))&gt;0)*(((CASHBACK_RULES!$O$5:$O$304="")+(CASHBACK_RULES!$O$5:$O$304&gt;=$B389))&gt;0)*(((CASHBACK_RULES!$M$5:$M$304="")+(CASHBACK_RULES!$M$5:$M$304&lt;=$L389))&gt;0),0),0),0))))</f>
        <v>0</v>
      </c>
      <c r="AD389" s="51" t="str">
        <f>IF(OR($B389="",$D389=""),"",IFERROR(IF(INDEX(CARDS!$H$5:$H$34,MATCH($D389,CARDS!$A$5:$A$34,0))="","",IF(DAY($B389)&lt;=INDEX(CARDS!$H$5:$H$34,MATCH($D389,CARDS!$A$5:$A$34,0)),DATE(YEAR($B389),MONTH($B389),MIN(INDEX(CARDS!$H$5:$H$34,MATCH($D389,CARDS!$A$5:$A$34,0)),DAY(EOMONTH($B389,0)))),DATE(YEAR($B389),MONTH($B389)+1,MIN(INDEX(CARDS!$H$5:$H$34,MATCH($D389,CARDS!$A$5:$A$34,0)),DAY(EOMONTH($B389,1)))))),""))</f>
        <v/>
      </c>
      <c r="AE389" s="52" t="str">
        <f>IF($C389="","",$C389&amp;"|"&amp;COUNTIF($C$5:$C389,$C389))</f>
        <v/>
      </c>
      <c r="AF389" s="53">
        <f>IF($AC389&gt;0,SUMIFS(Q$4:Q388,$D$4:$D388,$D389,$Z$4:$Z388,$Z389,$C$4:$C388,$C389),0)</f>
        <v>0</v>
      </c>
      <c r="AG389" s="53">
        <f>IF($AC389&gt;0,SUMIFS(Q$4:Q388,$D$4:$D388,$D389,$C$4:$C388,$C389),0)</f>
        <v>0</v>
      </c>
      <c r="AH389" s="53">
        <f>IF($AC389&gt;0,SUMIFS(M$4:M388,$D$4:$D388,$D389,$Z$4:$Z388,$Z389,$C$4:$C388,$C389),0)</f>
        <v>0</v>
      </c>
      <c r="AI389" s="43">
        <f>IF(OR($C389="",$I389=""),0,IF(COUNTIFS($C$5:$C389,$C389,$I$5:$I389,$I389)=1,1,0))</f>
        <v>0</v>
      </c>
      <c r="AJ389" s="43" t="str">
        <f>IF($AI389=1,SUMIFS($AI$4:$AI388,$C$4:$C388,$C389)+1,"")</f>
        <v/>
      </c>
      <c r="AK389" s="43">
        <f>IF(OR($C389="",$K389=""),0,IF(COUNTIFS($C$5:$C389,$C389,$K$5:$K389,$K389)=1,1,0))</f>
        <v>0</v>
      </c>
      <c r="AL389" s="43" t="str">
        <f>IF($AK389=1,SUMIFS($AK$4:$AK388,$C$4:$C388,$C389)+1,"")</f>
        <v/>
      </c>
      <c r="AM389" s="43">
        <f>IF(OR($C389="",$G389=""),0,IF(COUNTIFS($C$5:$C389,$C389,$G$5:$G389,$G389)=1,1,0))</f>
        <v>0</v>
      </c>
      <c r="AN389" s="43" t="str">
        <f>IF($AM389=1,SUMIFS($AM$4:$AM388,$C$4:$C388,$C389)+1,"")</f>
        <v/>
      </c>
    </row>
    <row r="390">
      <c r="A390" s="44" t="str">
        <f>IF(OR($B390="",$D390=""),"","TX"&amp;TEXT(ROW()-4,"0000"))</f>
        <v/>
      </c>
      <c r="B390" s="42" t="n"/>
      <c r="C390" s="47" t="str">
        <f>IF($B390="","",YEAR($B390)*100+MONTH($B390))</f>
        <v/>
      </c>
      <c r="D390" s="37" t="n"/>
      <c r="E390" s="45" t="str">
        <f>IF($D390="","",IFERROR(INDEX(CARDS!$B$5:$B$34,MATCH($D390,CARDS!$A$5:$A$34,0)),"⚠ Card ID?"))</f>
        <v/>
      </c>
      <c r="F390" s="45" t="str">
        <f>IF($D390="","",IFERROR(INDEX(CARDS!$C$5:$C$34,MATCH($D390,CARDS!$A$5:$A$34,0)),"⚠ Card ID?"))</f>
        <v/>
      </c>
      <c r="G390" s="37" t="n"/>
      <c r="H390" s="37" t="n"/>
      <c r="I390" s="41" t="n"/>
      <c r="J390" s="45" t="str">
        <f>IF($I390="","",IFERROR(INDEX(MCC_MASTER!$B$5:$B$504,MATCH($I390,MCC_MASTER!$A$5:$A$504,0)),"⚠ MCC chưa có"))</f>
        <v/>
      </c>
      <c r="K390" s="45" t="str">
        <f>IF($I390="","",IFERROR(IF(INDEX(MCC_MASTER!$C$5:$C$504,MATCH($I390,MCC_MASTER!$A$5:$A$504,0))="","Chưa phân loại",INDEX(MCC_MASTER!$C$5:$C$504,MATCH($I390,MCC_MASTER!$A$5:$A$504,0))),"Chưa phân loại"))</f>
        <v/>
      </c>
      <c r="L390" s="40" t="n"/>
      <c r="M390" s="48" t="str">
        <f>IF(OR($B390="",$D390=""),"",IF($AC390=0,0,IF(ISNUMBER(INDEX(CASHBACK_RULES!$L$5:$L$304,$AC390)),MAX(0,MIN($L390,INDEX(CASHBACK_RULES!$L$5:$L$304,$AC390)-$AH390)),MAX(0,$L390))))</f>
        <v/>
      </c>
      <c r="N390" s="49" t="str">
        <f>IF(OR($B390="",$D390=""),"",IF($AC390&gt;0,INDEX(CASHBACK_RULES!$I$5:$I$304,$AC390),0))</f>
        <v/>
      </c>
      <c r="O390" s="48" t="str">
        <f>IF(OR($B390="",$D390=""),"",ROUND($M390*$N390,0))</f>
        <v/>
      </c>
      <c r="P390" s="48" t="str">
        <f>IF($AC390&gt;0,IF(ISNUMBER(INDEX(CASHBACK_RULES!$J$5:$J$304,$AC390)),INDEX(CASHBACK_RULES!$J$5:$J$304,$AC390),"∞"),"")</f>
        <v/>
      </c>
      <c r="Q390" s="48" t="str">
        <f>IF(OR($B390="",$D390=""),"",IF($AC390=0,0,MAX(0,MIN($O390,IF(ISNUMBER($P390),$P390-$AF390,1E+15),IF(ISNUMBER($AA390),$AA390-$AG390,1E+15)))))</f>
        <v/>
      </c>
      <c r="R390" s="48" t="str">
        <f>IF(OR($B390="",$D390=""),"",IF($AC390=0,"",IF(AND(NOT(ISNUMBER($P390)),NOT(ISNUMBER($AA390))),"∞",MAX(0,MIN(IF(ISNUMBER($P390),$P390-$AF390-$Q390,1E+15),IF(ISNUMBER($AA390),$AA390-$AG390-$Q390,1E+15))))))</f>
        <v/>
      </c>
      <c r="S390" s="47" t="str">
        <f>IF($AD390="","",YEAR($AD390)*100+MONTH($AD390))</f>
        <v/>
      </c>
      <c r="T390" s="50" t="str">
        <f>IF($AD390="","",IFERROR(IF(INDEX(CARDS!$I$5:$I$34,MATCH($D390,CARDS!$A$5:$A$34,0))="","",IF(INDEX(CARDS!$I$5:$I$34,MATCH($D390,CARDS!$A$5:$A$34,0))&gt;INDEX(CARDS!$H$5:$H$34,MATCH($D390,CARDS!$A$5:$A$34,0)),DATE(YEAR($AD390),MONTH($AD390),MIN(INDEX(CARDS!$I$5:$I$34,MATCH($D390,CARDS!$A$5:$A$34,0)),DAY(EOMONTH($AD390,0)))),DATE(YEAR($AD390),MONTH($AD390)+1,MIN(INDEX(CARDS!$I$5:$I$34,MATCH($D390,CARDS!$A$5:$A$34,0)),DAY(EOMONTH($AD390,1)))))),""))</f>
        <v/>
      </c>
      <c r="U390" s="38" t="n"/>
      <c r="V390" s="37" t="n"/>
      <c r="W390" s="38" t="n"/>
      <c r="X390" s="38" t="n"/>
      <c r="Y390" s="44" t="str">
        <f>IF($AC390&gt;0,INDEX(CASHBACK_RULES!$A$5:$A$304,$AC390),"")</f>
        <v/>
      </c>
      <c r="Z390" s="45" t="str">
        <f>IF($AC390&gt;0,INDEX(CASHBACK_RULES!$E$5:$E$304,$AC390)&amp;"","")</f>
        <v/>
      </c>
      <c r="AA390" s="48" t="str">
        <f>IF($AC390&gt;0,IF(ISNUMBER(INDEX(CASHBACK_RULES!$K$5:$K$304,$AC390)),INDEX(CASHBACK_RULES!$K$5:$K$304,$AC390),"∞"),"")</f>
        <v/>
      </c>
      <c r="AB390" s="44" t="str">
        <f>IF(OR($B390="",$D390=""),"",IF($U390="Cancelled","Đã hủy",IF($AC390=0,"Không được hoàn",IF($Q390=0,IF(OR($O390&gt;0,$M390&lt;$L390),"Đã đạt cap","Không được hoàn"),IF(OR($Q390&lt;$O390,$M390&lt;$L390),"Hoàn một phần","Được hoàn")))))</f>
        <v/>
      </c>
      <c r="AC390" s="43">
        <f>IF(OR($B390="",$D390="",$I390="",$L390=""),0,IF($U390="Cancelled",0,IF($W390&lt;&gt;"",IFERROR(IF(INDEX(CASHBACK_RULES!$B$5:$B$304,MATCH($W390,CASHBACK_RULES!$A$5:$A$304,0))=$D390,MATCH($W390,CASHBACK_RULES!$A$5:$A$304,0),0),0),IFERROR(MATCH(1,INDEX((CASHBACK_RULES!$B$5:$B$304=$D390)*(CASHBACK_RULES!$G$5:$G$304=$I390)*(((CASHBACK_RULES!$N$5:$N$304="")+(CASHBACK_RULES!$N$5:$N$304&lt;=$B390))&gt;0)*(((CASHBACK_RULES!$O$5:$O$304="")+(CASHBACK_RULES!$O$5:$O$304&gt;=$B390))&gt;0)*(((CASHBACK_RULES!$M$5:$M$304="")+(CASHBACK_RULES!$M$5:$M$304&lt;=$L390))&gt;0),0),0),0))))</f>
        <v>0</v>
      </c>
      <c r="AD390" s="51" t="str">
        <f>IF(OR($B390="",$D390=""),"",IFERROR(IF(INDEX(CARDS!$H$5:$H$34,MATCH($D390,CARDS!$A$5:$A$34,0))="","",IF(DAY($B390)&lt;=INDEX(CARDS!$H$5:$H$34,MATCH($D390,CARDS!$A$5:$A$34,0)),DATE(YEAR($B390),MONTH($B390),MIN(INDEX(CARDS!$H$5:$H$34,MATCH($D390,CARDS!$A$5:$A$34,0)),DAY(EOMONTH($B390,0)))),DATE(YEAR($B390),MONTH($B390)+1,MIN(INDEX(CARDS!$H$5:$H$34,MATCH($D390,CARDS!$A$5:$A$34,0)),DAY(EOMONTH($B390,1)))))),""))</f>
        <v/>
      </c>
      <c r="AE390" s="52" t="str">
        <f>IF($C390="","",$C390&amp;"|"&amp;COUNTIF($C$5:$C390,$C390))</f>
        <v/>
      </c>
      <c r="AF390" s="53">
        <f>IF($AC390&gt;0,SUMIFS(Q$4:Q389,$D$4:$D389,$D390,$Z$4:$Z389,$Z390,$C$4:$C389,$C390),0)</f>
        <v>0</v>
      </c>
      <c r="AG390" s="53">
        <f>IF($AC390&gt;0,SUMIFS(Q$4:Q389,$D$4:$D389,$D390,$C$4:$C389,$C390),0)</f>
        <v>0</v>
      </c>
      <c r="AH390" s="53">
        <f>IF($AC390&gt;0,SUMIFS(M$4:M389,$D$4:$D389,$D390,$Z$4:$Z389,$Z390,$C$4:$C389,$C390),0)</f>
        <v>0</v>
      </c>
      <c r="AI390" s="43">
        <f>IF(OR($C390="",$I390=""),0,IF(COUNTIFS($C$5:$C390,$C390,$I$5:$I390,$I390)=1,1,0))</f>
        <v>0</v>
      </c>
      <c r="AJ390" s="43" t="str">
        <f>IF($AI390=1,SUMIFS($AI$4:$AI389,$C$4:$C389,$C390)+1,"")</f>
        <v/>
      </c>
      <c r="AK390" s="43">
        <f>IF(OR($C390="",$K390=""),0,IF(COUNTIFS($C$5:$C390,$C390,$K$5:$K390,$K390)=1,1,0))</f>
        <v>0</v>
      </c>
      <c r="AL390" s="43" t="str">
        <f>IF($AK390=1,SUMIFS($AK$4:$AK389,$C$4:$C389,$C390)+1,"")</f>
        <v/>
      </c>
      <c r="AM390" s="43">
        <f>IF(OR($C390="",$G390=""),0,IF(COUNTIFS($C$5:$C390,$C390,$G$5:$G390,$G390)=1,1,0))</f>
        <v>0</v>
      </c>
      <c r="AN390" s="43" t="str">
        <f>IF($AM390=1,SUMIFS($AM$4:$AM389,$C$4:$C389,$C390)+1,"")</f>
        <v/>
      </c>
    </row>
    <row r="391">
      <c r="A391" s="44" t="str">
        <f>IF(OR($B391="",$D391=""),"","TX"&amp;TEXT(ROW()-4,"0000"))</f>
        <v/>
      </c>
      <c r="B391" s="42" t="n"/>
      <c r="C391" s="47" t="str">
        <f>IF($B391="","",YEAR($B391)*100+MONTH($B391))</f>
        <v/>
      </c>
      <c r="D391" s="37" t="n"/>
      <c r="E391" s="45" t="str">
        <f>IF($D391="","",IFERROR(INDEX(CARDS!$B$5:$B$34,MATCH($D391,CARDS!$A$5:$A$34,0)),"⚠ Card ID?"))</f>
        <v/>
      </c>
      <c r="F391" s="45" t="str">
        <f>IF($D391="","",IFERROR(INDEX(CARDS!$C$5:$C$34,MATCH($D391,CARDS!$A$5:$A$34,0)),"⚠ Card ID?"))</f>
        <v/>
      </c>
      <c r="G391" s="37" t="n"/>
      <c r="H391" s="37" t="n"/>
      <c r="I391" s="41" t="n"/>
      <c r="J391" s="45" t="str">
        <f>IF($I391="","",IFERROR(INDEX(MCC_MASTER!$B$5:$B$504,MATCH($I391,MCC_MASTER!$A$5:$A$504,0)),"⚠ MCC chưa có"))</f>
        <v/>
      </c>
      <c r="K391" s="45" t="str">
        <f>IF($I391="","",IFERROR(IF(INDEX(MCC_MASTER!$C$5:$C$504,MATCH($I391,MCC_MASTER!$A$5:$A$504,0))="","Chưa phân loại",INDEX(MCC_MASTER!$C$5:$C$504,MATCH($I391,MCC_MASTER!$A$5:$A$504,0))),"Chưa phân loại"))</f>
        <v/>
      </c>
      <c r="L391" s="40" t="n"/>
      <c r="M391" s="48" t="str">
        <f>IF(OR($B391="",$D391=""),"",IF($AC391=0,0,IF(ISNUMBER(INDEX(CASHBACK_RULES!$L$5:$L$304,$AC391)),MAX(0,MIN($L391,INDEX(CASHBACK_RULES!$L$5:$L$304,$AC391)-$AH391)),MAX(0,$L391))))</f>
        <v/>
      </c>
      <c r="N391" s="49" t="str">
        <f>IF(OR($B391="",$D391=""),"",IF($AC391&gt;0,INDEX(CASHBACK_RULES!$I$5:$I$304,$AC391),0))</f>
        <v/>
      </c>
      <c r="O391" s="48" t="str">
        <f>IF(OR($B391="",$D391=""),"",ROUND($M391*$N391,0))</f>
        <v/>
      </c>
      <c r="P391" s="48" t="str">
        <f>IF($AC391&gt;0,IF(ISNUMBER(INDEX(CASHBACK_RULES!$J$5:$J$304,$AC391)),INDEX(CASHBACK_RULES!$J$5:$J$304,$AC391),"∞"),"")</f>
        <v/>
      </c>
      <c r="Q391" s="48" t="str">
        <f>IF(OR($B391="",$D391=""),"",IF($AC391=0,0,MAX(0,MIN($O391,IF(ISNUMBER($P391),$P391-$AF391,1E+15),IF(ISNUMBER($AA391),$AA391-$AG391,1E+15)))))</f>
        <v/>
      </c>
      <c r="R391" s="48" t="str">
        <f>IF(OR($B391="",$D391=""),"",IF($AC391=0,"",IF(AND(NOT(ISNUMBER($P391)),NOT(ISNUMBER($AA391))),"∞",MAX(0,MIN(IF(ISNUMBER($P391),$P391-$AF391-$Q391,1E+15),IF(ISNUMBER($AA391),$AA391-$AG391-$Q391,1E+15))))))</f>
        <v/>
      </c>
      <c r="S391" s="47" t="str">
        <f>IF($AD391="","",YEAR($AD391)*100+MONTH($AD391))</f>
        <v/>
      </c>
      <c r="T391" s="50" t="str">
        <f>IF($AD391="","",IFERROR(IF(INDEX(CARDS!$I$5:$I$34,MATCH($D391,CARDS!$A$5:$A$34,0))="","",IF(INDEX(CARDS!$I$5:$I$34,MATCH($D391,CARDS!$A$5:$A$34,0))&gt;INDEX(CARDS!$H$5:$H$34,MATCH($D391,CARDS!$A$5:$A$34,0)),DATE(YEAR($AD391),MONTH($AD391),MIN(INDEX(CARDS!$I$5:$I$34,MATCH($D391,CARDS!$A$5:$A$34,0)),DAY(EOMONTH($AD391,0)))),DATE(YEAR($AD391),MONTH($AD391)+1,MIN(INDEX(CARDS!$I$5:$I$34,MATCH($D391,CARDS!$A$5:$A$34,0)),DAY(EOMONTH($AD391,1)))))),""))</f>
        <v/>
      </c>
      <c r="U391" s="38" t="n"/>
      <c r="V391" s="37" t="n"/>
      <c r="W391" s="38" t="n"/>
      <c r="X391" s="38" t="n"/>
      <c r="Y391" s="44" t="str">
        <f>IF($AC391&gt;0,INDEX(CASHBACK_RULES!$A$5:$A$304,$AC391),"")</f>
        <v/>
      </c>
      <c r="Z391" s="45" t="str">
        <f>IF($AC391&gt;0,INDEX(CASHBACK_RULES!$E$5:$E$304,$AC391)&amp;"","")</f>
        <v/>
      </c>
      <c r="AA391" s="48" t="str">
        <f>IF($AC391&gt;0,IF(ISNUMBER(INDEX(CASHBACK_RULES!$K$5:$K$304,$AC391)),INDEX(CASHBACK_RULES!$K$5:$K$304,$AC391),"∞"),"")</f>
        <v/>
      </c>
      <c r="AB391" s="44" t="str">
        <f>IF(OR($B391="",$D391=""),"",IF($U391="Cancelled","Đã hủy",IF($AC391=0,"Không được hoàn",IF($Q391=0,IF(OR($O391&gt;0,$M391&lt;$L391),"Đã đạt cap","Không được hoàn"),IF(OR($Q391&lt;$O391,$M391&lt;$L391),"Hoàn một phần","Được hoàn")))))</f>
        <v/>
      </c>
      <c r="AC391" s="43">
        <f>IF(OR($B391="",$D391="",$I391="",$L391=""),0,IF($U391="Cancelled",0,IF($W391&lt;&gt;"",IFERROR(IF(INDEX(CASHBACK_RULES!$B$5:$B$304,MATCH($W391,CASHBACK_RULES!$A$5:$A$304,0))=$D391,MATCH($W391,CASHBACK_RULES!$A$5:$A$304,0),0),0),IFERROR(MATCH(1,INDEX((CASHBACK_RULES!$B$5:$B$304=$D391)*(CASHBACK_RULES!$G$5:$G$304=$I391)*(((CASHBACK_RULES!$N$5:$N$304="")+(CASHBACK_RULES!$N$5:$N$304&lt;=$B391))&gt;0)*(((CASHBACK_RULES!$O$5:$O$304="")+(CASHBACK_RULES!$O$5:$O$304&gt;=$B391))&gt;0)*(((CASHBACK_RULES!$M$5:$M$304="")+(CASHBACK_RULES!$M$5:$M$304&lt;=$L391))&gt;0),0),0),0))))</f>
        <v>0</v>
      </c>
      <c r="AD391" s="51" t="str">
        <f>IF(OR($B391="",$D391=""),"",IFERROR(IF(INDEX(CARDS!$H$5:$H$34,MATCH($D391,CARDS!$A$5:$A$34,0))="","",IF(DAY($B391)&lt;=INDEX(CARDS!$H$5:$H$34,MATCH($D391,CARDS!$A$5:$A$34,0)),DATE(YEAR($B391),MONTH($B391),MIN(INDEX(CARDS!$H$5:$H$34,MATCH($D391,CARDS!$A$5:$A$34,0)),DAY(EOMONTH($B391,0)))),DATE(YEAR($B391),MONTH($B391)+1,MIN(INDEX(CARDS!$H$5:$H$34,MATCH($D391,CARDS!$A$5:$A$34,0)),DAY(EOMONTH($B391,1)))))),""))</f>
        <v/>
      </c>
      <c r="AE391" s="52" t="str">
        <f>IF($C391="","",$C391&amp;"|"&amp;COUNTIF($C$5:$C391,$C391))</f>
        <v/>
      </c>
      <c r="AF391" s="53">
        <f>IF($AC391&gt;0,SUMIFS(Q$4:Q390,$D$4:$D390,$D391,$Z$4:$Z390,$Z391,$C$4:$C390,$C391),0)</f>
        <v>0</v>
      </c>
      <c r="AG391" s="53">
        <f>IF($AC391&gt;0,SUMIFS(Q$4:Q390,$D$4:$D390,$D391,$C$4:$C390,$C391),0)</f>
        <v>0</v>
      </c>
      <c r="AH391" s="53">
        <f>IF($AC391&gt;0,SUMIFS(M$4:M390,$D$4:$D390,$D391,$Z$4:$Z390,$Z391,$C$4:$C390,$C391),0)</f>
        <v>0</v>
      </c>
      <c r="AI391" s="43">
        <f>IF(OR($C391="",$I391=""),0,IF(COUNTIFS($C$5:$C391,$C391,$I$5:$I391,$I391)=1,1,0))</f>
        <v>0</v>
      </c>
      <c r="AJ391" s="43" t="str">
        <f>IF($AI391=1,SUMIFS($AI$4:$AI390,$C$4:$C390,$C391)+1,"")</f>
        <v/>
      </c>
      <c r="AK391" s="43">
        <f>IF(OR($C391="",$K391=""),0,IF(COUNTIFS($C$5:$C391,$C391,$K$5:$K391,$K391)=1,1,0))</f>
        <v>0</v>
      </c>
      <c r="AL391" s="43" t="str">
        <f>IF($AK391=1,SUMIFS($AK$4:$AK390,$C$4:$C390,$C391)+1,"")</f>
        <v/>
      </c>
      <c r="AM391" s="43">
        <f>IF(OR($C391="",$G391=""),0,IF(COUNTIFS($C$5:$C391,$C391,$G$5:$G391,$G391)=1,1,0))</f>
        <v>0</v>
      </c>
      <c r="AN391" s="43" t="str">
        <f>IF($AM391=1,SUMIFS($AM$4:$AM390,$C$4:$C390,$C391)+1,"")</f>
        <v/>
      </c>
    </row>
    <row r="392">
      <c r="A392" s="44" t="str">
        <f>IF(OR($B392="",$D392=""),"","TX"&amp;TEXT(ROW()-4,"0000"))</f>
        <v/>
      </c>
      <c r="B392" s="42" t="n"/>
      <c r="C392" s="47" t="str">
        <f>IF($B392="","",YEAR($B392)*100+MONTH($B392))</f>
        <v/>
      </c>
      <c r="D392" s="37" t="n"/>
      <c r="E392" s="45" t="str">
        <f>IF($D392="","",IFERROR(INDEX(CARDS!$B$5:$B$34,MATCH($D392,CARDS!$A$5:$A$34,0)),"⚠ Card ID?"))</f>
        <v/>
      </c>
      <c r="F392" s="45" t="str">
        <f>IF($D392="","",IFERROR(INDEX(CARDS!$C$5:$C$34,MATCH($D392,CARDS!$A$5:$A$34,0)),"⚠ Card ID?"))</f>
        <v/>
      </c>
      <c r="G392" s="37" t="n"/>
      <c r="H392" s="37" t="n"/>
      <c r="I392" s="41" t="n"/>
      <c r="J392" s="45" t="str">
        <f>IF($I392="","",IFERROR(INDEX(MCC_MASTER!$B$5:$B$504,MATCH($I392,MCC_MASTER!$A$5:$A$504,0)),"⚠ MCC chưa có"))</f>
        <v/>
      </c>
      <c r="K392" s="45" t="str">
        <f>IF($I392="","",IFERROR(IF(INDEX(MCC_MASTER!$C$5:$C$504,MATCH($I392,MCC_MASTER!$A$5:$A$504,0))="","Chưa phân loại",INDEX(MCC_MASTER!$C$5:$C$504,MATCH($I392,MCC_MASTER!$A$5:$A$504,0))),"Chưa phân loại"))</f>
        <v/>
      </c>
      <c r="L392" s="40" t="n"/>
      <c r="M392" s="48" t="str">
        <f>IF(OR($B392="",$D392=""),"",IF($AC392=0,0,IF(ISNUMBER(INDEX(CASHBACK_RULES!$L$5:$L$304,$AC392)),MAX(0,MIN($L392,INDEX(CASHBACK_RULES!$L$5:$L$304,$AC392)-$AH392)),MAX(0,$L392))))</f>
        <v/>
      </c>
      <c r="N392" s="49" t="str">
        <f>IF(OR($B392="",$D392=""),"",IF($AC392&gt;0,INDEX(CASHBACK_RULES!$I$5:$I$304,$AC392),0))</f>
        <v/>
      </c>
      <c r="O392" s="48" t="str">
        <f>IF(OR($B392="",$D392=""),"",ROUND($M392*$N392,0))</f>
        <v/>
      </c>
      <c r="P392" s="48" t="str">
        <f>IF($AC392&gt;0,IF(ISNUMBER(INDEX(CASHBACK_RULES!$J$5:$J$304,$AC392)),INDEX(CASHBACK_RULES!$J$5:$J$304,$AC392),"∞"),"")</f>
        <v/>
      </c>
      <c r="Q392" s="48" t="str">
        <f>IF(OR($B392="",$D392=""),"",IF($AC392=0,0,MAX(0,MIN($O392,IF(ISNUMBER($P392),$P392-$AF392,1E+15),IF(ISNUMBER($AA392),$AA392-$AG392,1E+15)))))</f>
        <v/>
      </c>
      <c r="R392" s="48" t="str">
        <f>IF(OR($B392="",$D392=""),"",IF($AC392=0,"",IF(AND(NOT(ISNUMBER($P392)),NOT(ISNUMBER($AA392))),"∞",MAX(0,MIN(IF(ISNUMBER($P392),$P392-$AF392-$Q392,1E+15),IF(ISNUMBER($AA392),$AA392-$AG392-$Q392,1E+15))))))</f>
        <v/>
      </c>
      <c r="S392" s="47" t="str">
        <f>IF($AD392="","",YEAR($AD392)*100+MONTH($AD392))</f>
        <v/>
      </c>
      <c r="T392" s="50" t="str">
        <f>IF($AD392="","",IFERROR(IF(INDEX(CARDS!$I$5:$I$34,MATCH($D392,CARDS!$A$5:$A$34,0))="","",IF(INDEX(CARDS!$I$5:$I$34,MATCH($D392,CARDS!$A$5:$A$34,0))&gt;INDEX(CARDS!$H$5:$H$34,MATCH($D392,CARDS!$A$5:$A$34,0)),DATE(YEAR($AD392),MONTH($AD392),MIN(INDEX(CARDS!$I$5:$I$34,MATCH($D392,CARDS!$A$5:$A$34,0)),DAY(EOMONTH($AD392,0)))),DATE(YEAR($AD392),MONTH($AD392)+1,MIN(INDEX(CARDS!$I$5:$I$34,MATCH($D392,CARDS!$A$5:$A$34,0)),DAY(EOMONTH($AD392,1)))))),""))</f>
        <v/>
      </c>
      <c r="U392" s="38" t="n"/>
      <c r="V392" s="37" t="n"/>
      <c r="W392" s="38" t="n"/>
      <c r="X392" s="38" t="n"/>
      <c r="Y392" s="44" t="str">
        <f>IF($AC392&gt;0,INDEX(CASHBACK_RULES!$A$5:$A$304,$AC392),"")</f>
        <v/>
      </c>
      <c r="Z392" s="45" t="str">
        <f>IF($AC392&gt;0,INDEX(CASHBACK_RULES!$E$5:$E$304,$AC392)&amp;"","")</f>
        <v/>
      </c>
      <c r="AA392" s="48" t="str">
        <f>IF($AC392&gt;0,IF(ISNUMBER(INDEX(CASHBACK_RULES!$K$5:$K$304,$AC392)),INDEX(CASHBACK_RULES!$K$5:$K$304,$AC392),"∞"),"")</f>
        <v/>
      </c>
      <c r="AB392" s="44" t="str">
        <f>IF(OR($B392="",$D392=""),"",IF($U392="Cancelled","Đã hủy",IF($AC392=0,"Không được hoàn",IF($Q392=0,IF(OR($O392&gt;0,$M392&lt;$L392),"Đã đạt cap","Không được hoàn"),IF(OR($Q392&lt;$O392,$M392&lt;$L392),"Hoàn một phần","Được hoàn")))))</f>
        <v/>
      </c>
      <c r="AC392" s="43">
        <f>IF(OR($B392="",$D392="",$I392="",$L392=""),0,IF($U392="Cancelled",0,IF($W392&lt;&gt;"",IFERROR(IF(INDEX(CASHBACK_RULES!$B$5:$B$304,MATCH($W392,CASHBACK_RULES!$A$5:$A$304,0))=$D392,MATCH($W392,CASHBACK_RULES!$A$5:$A$304,0),0),0),IFERROR(MATCH(1,INDEX((CASHBACK_RULES!$B$5:$B$304=$D392)*(CASHBACK_RULES!$G$5:$G$304=$I392)*(((CASHBACK_RULES!$N$5:$N$304="")+(CASHBACK_RULES!$N$5:$N$304&lt;=$B392))&gt;0)*(((CASHBACK_RULES!$O$5:$O$304="")+(CASHBACK_RULES!$O$5:$O$304&gt;=$B392))&gt;0)*(((CASHBACK_RULES!$M$5:$M$304="")+(CASHBACK_RULES!$M$5:$M$304&lt;=$L392))&gt;0),0),0),0))))</f>
        <v>0</v>
      </c>
      <c r="AD392" s="51" t="str">
        <f>IF(OR($B392="",$D392=""),"",IFERROR(IF(INDEX(CARDS!$H$5:$H$34,MATCH($D392,CARDS!$A$5:$A$34,0))="","",IF(DAY($B392)&lt;=INDEX(CARDS!$H$5:$H$34,MATCH($D392,CARDS!$A$5:$A$34,0)),DATE(YEAR($B392),MONTH($B392),MIN(INDEX(CARDS!$H$5:$H$34,MATCH($D392,CARDS!$A$5:$A$34,0)),DAY(EOMONTH($B392,0)))),DATE(YEAR($B392),MONTH($B392)+1,MIN(INDEX(CARDS!$H$5:$H$34,MATCH($D392,CARDS!$A$5:$A$34,0)),DAY(EOMONTH($B392,1)))))),""))</f>
        <v/>
      </c>
      <c r="AE392" s="52" t="str">
        <f>IF($C392="","",$C392&amp;"|"&amp;COUNTIF($C$5:$C392,$C392))</f>
        <v/>
      </c>
      <c r="AF392" s="53">
        <f>IF($AC392&gt;0,SUMIFS(Q$4:Q391,$D$4:$D391,$D392,$Z$4:$Z391,$Z392,$C$4:$C391,$C392),0)</f>
        <v>0</v>
      </c>
      <c r="AG392" s="53">
        <f>IF($AC392&gt;0,SUMIFS(Q$4:Q391,$D$4:$D391,$D392,$C$4:$C391,$C392),0)</f>
        <v>0</v>
      </c>
      <c r="AH392" s="53">
        <f>IF($AC392&gt;0,SUMIFS(M$4:M391,$D$4:$D391,$D392,$Z$4:$Z391,$Z392,$C$4:$C391,$C392),0)</f>
        <v>0</v>
      </c>
      <c r="AI392" s="43">
        <f>IF(OR($C392="",$I392=""),0,IF(COUNTIFS($C$5:$C392,$C392,$I$5:$I392,$I392)=1,1,0))</f>
        <v>0</v>
      </c>
      <c r="AJ392" s="43" t="str">
        <f>IF($AI392=1,SUMIFS($AI$4:$AI391,$C$4:$C391,$C392)+1,"")</f>
        <v/>
      </c>
      <c r="AK392" s="43">
        <f>IF(OR($C392="",$K392=""),0,IF(COUNTIFS($C$5:$C392,$C392,$K$5:$K392,$K392)=1,1,0))</f>
        <v>0</v>
      </c>
      <c r="AL392" s="43" t="str">
        <f>IF($AK392=1,SUMIFS($AK$4:$AK391,$C$4:$C391,$C392)+1,"")</f>
        <v/>
      </c>
      <c r="AM392" s="43">
        <f>IF(OR($C392="",$G392=""),0,IF(COUNTIFS($C$5:$C392,$C392,$G$5:$G392,$G392)=1,1,0))</f>
        <v>0</v>
      </c>
      <c r="AN392" s="43" t="str">
        <f>IF($AM392=1,SUMIFS($AM$4:$AM391,$C$4:$C391,$C392)+1,"")</f>
        <v/>
      </c>
    </row>
    <row r="393">
      <c r="A393" s="44" t="str">
        <f>IF(OR($B393="",$D393=""),"","TX"&amp;TEXT(ROW()-4,"0000"))</f>
        <v/>
      </c>
      <c r="B393" s="42" t="n"/>
      <c r="C393" s="47" t="str">
        <f>IF($B393="","",YEAR($B393)*100+MONTH($B393))</f>
        <v/>
      </c>
      <c r="D393" s="37" t="n"/>
      <c r="E393" s="45" t="str">
        <f>IF($D393="","",IFERROR(INDEX(CARDS!$B$5:$B$34,MATCH($D393,CARDS!$A$5:$A$34,0)),"⚠ Card ID?"))</f>
        <v/>
      </c>
      <c r="F393" s="45" t="str">
        <f>IF($D393="","",IFERROR(INDEX(CARDS!$C$5:$C$34,MATCH($D393,CARDS!$A$5:$A$34,0)),"⚠ Card ID?"))</f>
        <v/>
      </c>
      <c r="G393" s="37" t="n"/>
      <c r="H393" s="37" t="n"/>
      <c r="I393" s="41" t="n"/>
      <c r="J393" s="45" t="str">
        <f>IF($I393="","",IFERROR(INDEX(MCC_MASTER!$B$5:$B$504,MATCH($I393,MCC_MASTER!$A$5:$A$504,0)),"⚠ MCC chưa có"))</f>
        <v/>
      </c>
      <c r="K393" s="45" t="str">
        <f>IF($I393="","",IFERROR(IF(INDEX(MCC_MASTER!$C$5:$C$504,MATCH($I393,MCC_MASTER!$A$5:$A$504,0))="","Chưa phân loại",INDEX(MCC_MASTER!$C$5:$C$504,MATCH($I393,MCC_MASTER!$A$5:$A$504,0))),"Chưa phân loại"))</f>
        <v/>
      </c>
      <c r="L393" s="40" t="n"/>
      <c r="M393" s="48" t="str">
        <f>IF(OR($B393="",$D393=""),"",IF($AC393=0,0,IF(ISNUMBER(INDEX(CASHBACK_RULES!$L$5:$L$304,$AC393)),MAX(0,MIN($L393,INDEX(CASHBACK_RULES!$L$5:$L$304,$AC393)-$AH393)),MAX(0,$L393))))</f>
        <v/>
      </c>
      <c r="N393" s="49" t="str">
        <f>IF(OR($B393="",$D393=""),"",IF($AC393&gt;0,INDEX(CASHBACK_RULES!$I$5:$I$304,$AC393),0))</f>
        <v/>
      </c>
      <c r="O393" s="48" t="str">
        <f>IF(OR($B393="",$D393=""),"",ROUND($M393*$N393,0))</f>
        <v/>
      </c>
      <c r="P393" s="48" t="str">
        <f>IF($AC393&gt;0,IF(ISNUMBER(INDEX(CASHBACK_RULES!$J$5:$J$304,$AC393)),INDEX(CASHBACK_RULES!$J$5:$J$304,$AC393),"∞"),"")</f>
        <v/>
      </c>
      <c r="Q393" s="48" t="str">
        <f>IF(OR($B393="",$D393=""),"",IF($AC393=0,0,MAX(0,MIN($O393,IF(ISNUMBER($P393),$P393-$AF393,1E+15),IF(ISNUMBER($AA393),$AA393-$AG393,1E+15)))))</f>
        <v/>
      </c>
      <c r="R393" s="48" t="str">
        <f>IF(OR($B393="",$D393=""),"",IF($AC393=0,"",IF(AND(NOT(ISNUMBER($P393)),NOT(ISNUMBER($AA393))),"∞",MAX(0,MIN(IF(ISNUMBER($P393),$P393-$AF393-$Q393,1E+15),IF(ISNUMBER($AA393),$AA393-$AG393-$Q393,1E+15))))))</f>
        <v/>
      </c>
      <c r="S393" s="47" t="str">
        <f>IF($AD393="","",YEAR($AD393)*100+MONTH($AD393))</f>
        <v/>
      </c>
      <c r="T393" s="50" t="str">
        <f>IF($AD393="","",IFERROR(IF(INDEX(CARDS!$I$5:$I$34,MATCH($D393,CARDS!$A$5:$A$34,0))="","",IF(INDEX(CARDS!$I$5:$I$34,MATCH($D393,CARDS!$A$5:$A$34,0))&gt;INDEX(CARDS!$H$5:$H$34,MATCH($D393,CARDS!$A$5:$A$34,0)),DATE(YEAR($AD393),MONTH($AD393),MIN(INDEX(CARDS!$I$5:$I$34,MATCH($D393,CARDS!$A$5:$A$34,0)),DAY(EOMONTH($AD393,0)))),DATE(YEAR($AD393),MONTH($AD393)+1,MIN(INDEX(CARDS!$I$5:$I$34,MATCH($D393,CARDS!$A$5:$A$34,0)),DAY(EOMONTH($AD393,1)))))),""))</f>
        <v/>
      </c>
      <c r="U393" s="38" t="n"/>
      <c r="V393" s="37" t="n"/>
      <c r="W393" s="38" t="n"/>
      <c r="X393" s="38" t="n"/>
      <c r="Y393" s="44" t="str">
        <f>IF($AC393&gt;0,INDEX(CASHBACK_RULES!$A$5:$A$304,$AC393),"")</f>
        <v/>
      </c>
      <c r="Z393" s="45" t="str">
        <f>IF($AC393&gt;0,INDEX(CASHBACK_RULES!$E$5:$E$304,$AC393)&amp;"","")</f>
        <v/>
      </c>
      <c r="AA393" s="48" t="str">
        <f>IF($AC393&gt;0,IF(ISNUMBER(INDEX(CASHBACK_RULES!$K$5:$K$304,$AC393)),INDEX(CASHBACK_RULES!$K$5:$K$304,$AC393),"∞"),"")</f>
        <v/>
      </c>
      <c r="AB393" s="44" t="str">
        <f>IF(OR($B393="",$D393=""),"",IF($U393="Cancelled","Đã hủy",IF($AC393=0,"Không được hoàn",IF($Q393=0,IF(OR($O393&gt;0,$M393&lt;$L393),"Đã đạt cap","Không được hoàn"),IF(OR($Q393&lt;$O393,$M393&lt;$L393),"Hoàn một phần","Được hoàn")))))</f>
        <v/>
      </c>
      <c r="AC393" s="43">
        <f>IF(OR($B393="",$D393="",$I393="",$L393=""),0,IF($U393="Cancelled",0,IF($W393&lt;&gt;"",IFERROR(IF(INDEX(CASHBACK_RULES!$B$5:$B$304,MATCH($W393,CASHBACK_RULES!$A$5:$A$304,0))=$D393,MATCH($W393,CASHBACK_RULES!$A$5:$A$304,0),0),0),IFERROR(MATCH(1,INDEX((CASHBACK_RULES!$B$5:$B$304=$D393)*(CASHBACK_RULES!$G$5:$G$304=$I393)*(((CASHBACK_RULES!$N$5:$N$304="")+(CASHBACK_RULES!$N$5:$N$304&lt;=$B393))&gt;0)*(((CASHBACK_RULES!$O$5:$O$304="")+(CASHBACK_RULES!$O$5:$O$304&gt;=$B393))&gt;0)*(((CASHBACK_RULES!$M$5:$M$304="")+(CASHBACK_RULES!$M$5:$M$304&lt;=$L393))&gt;0),0),0),0))))</f>
        <v>0</v>
      </c>
      <c r="AD393" s="51" t="str">
        <f>IF(OR($B393="",$D393=""),"",IFERROR(IF(INDEX(CARDS!$H$5:$H$34,MATCH($D393,CARDS!$A$5:$A$34,0))="","",IF(DAY($B393)&lt;=INDEX(CARDS!$H$5:$H$34,MATCH($D393,CARDS!$A$5:$A$34,0)),DATE(YEAR($B393),MONTH($B393),MIN(INDEX(CARDS!$H$5:$H$34,MATCH($D393,CARDS!$A$5:$A$34,0)),DAY(EOMONTH($B393,0)))),DATE(YEAR($B393),MONTH($B393)+1,MIN(INDEX(CARDS!$H$5:$H$34,MATCH($D393,CARDS!$A$5:$A$34,0)),DAY(EOMONTH($B393,1)))))),""))</f>
        <v/>
      </c>
      <c r="AE393" s="52" t="str">
        <f>IF($C393="","",$C393&amp;"|"&amp;COUNTIF($C$5:$C393,$C393))</f>
        <v/>
      </c>
      <c r="AF393" s="53">
        <f>IF($AC393&gt;0,SUMIFS(Q$4:Q392,$D$4:$D392,$D393,$Z$4:$Z392,$Z393,$C$4:$C392,$C393),0)</f>
        <v>0</v>
      </c>
      <c r="AG393" s="53">
        <f>IF($AC393&gt;0,SUMIFS(Q$4:Q392,$D$4:$D392,$D393,$C$4:$C392,$C393),0)</f>
        <v>0</v>
      </c>
      <c r="AH393" s="53">
        <f>IF($AC393&gt;0,SUMIFS(M$4:M392,$D$4:$D392,$D393,$Z$4:$Z392,$Z393,$C$4:$C392,$C393),0)</f>
        <v>0</v>
      </c>
      <c r="AI393" s="43">
        <f>IF(OR($C393="",$I393=""),0,IF(COUNTIFS($C$5:$C393,$C393,$I$5:$I393,$I393)=1,1,0))</f>
        <v>0</v>
      </c>
      <c r="AJ393" s="43" t="str">
        <f>IF($AI393=1,SUMIFS($AI$4:$AI392,$C$4:$C392,$C393)+1,"")</f>
        <v/>
      </c>
      <c r="AK393" s="43">
        <f>IF(OR($C393="",$K393=""),0,IF(COUNTIFS($C$5:$C393,$C393,$K$5:$K393,$K393)=1,1,0))</f>
        <v>0</v>
      </c>
      <c r="AL393" s="43" t="str">
        <f>IF($AK393=1,SUMIFS($AK$4:$AK392,$C$4:$C392,$C393)+1,"")</f>
        <v/>
      </c>
      <c r="AM393" s="43">
        <f>IF(OR($C393="",$G393=""),0,IF(COUNTIFS($C$5:$C393,$C393,$G$5:$G393,$G393)=1,1,0))</f>
        <v>0</v>
      </c>
      <c r="AN393" s="43" t="str">
        <f>IF($AM393=1,SUMIFS($AM$4:$AM392,$C$4:$C392,$C393)+1,"")</f>
        <v/>
      </c>
    </row>
    <row r="394">
      <c r="A394" s="44" t="str">
        <f>IF(OR($B394="",$D394=""),"","TX"&amp;TEXT(ROW()-4,"0000"))</f>
        <v/>
      </c>
      <c r="B394" s="42" t="n"/>
      <c r="C394" s="47" t="str">
        <f>IF($B394="","",YEAR($B394)*100+MONTH($B394))</f>
        <v/>
      </c>
      <c r="D394" s="37" t="n"/>
      <c r="E394" s="45" t="str">
        <f>IF($D394="","",IFERROR(INDEX(CARDS!$B$5:$B$34,MATCH($D394,CARDS!$A$5:$A$34,0)),"⚠ Card ID?"))</f>
        <v/>
      </c>
      <c r="F394" s="45" t="str">
        <f>IF($D394="","",IFERROR(INDEX(CARDS!$C$5:$C$34,MATCH($D394,CARDS!$A$5:$A$34,0)),"⚠ Card ID?"))</f>
        <v/>
      </c>
      <c r="G394" s="37" t="n"/>
      <c r="H394" s="37" t="n"/>
      <c r="I394" s="41" t="n"/>
      <c r="J394" s="45" t="str">
        <f>IF($I394="","",IFERROR(INDEX(MCC_MASTER!$B$5:$B$504,MATCH($I394,MCC_MASTER!$A$5:$A$504,0)),"⚠ MCC chưa có"))</f>
        <v/>
      </c>
      <c r="K394" s="45" t="str">
        <f>IF($I394="","",IFERROR(IF(INDEX(MCC_MASTER!$C$5:$C$504,MATCH($I394,MCC_MASTER!$A$5:$A$504,0))="","Chưa phân loại",INDEX(MCC_MASTER!$C$5:$C$504,MATCH($I394,MCC_MASTER!$A$5:$A$504,0))),"Chưa phân loại"))</f>
        <v/>
      </c>
      <c r="L394" s="40" t="n"/>
      <c r="M394" s="48" t="str">
        <f>IF(OR($B394="",$D394=""),"",IF($AC394=0,0,IF(ISNUMBER(INDEX(CASHBACK_RULES!$L$5:$L$304,$AC394)),MAX(0,MIN($L394,INDEX(CASHBACK_RULES!$L$5:$L$304,$AC394)-$AH394)),MAX(0,$L394))))</f>
        <v/>
      </c>
      <c r="N394" s="49" t="str">
        <f>IF(OR($B394="",$D394=""),"",IF($AC394&gt;0,INDEX(CASHBACK_RULES!$I$5:$I$304,$AC394),0))</f>
        <v/>
      </c>
      <c r="O394" s="48" t="str">
        <f>IF(OR($B394="",$D394=""),"",ROUND($M394*$N394,0))</f>
        <v/>
      </c>
      <c r="P394" s="48" t="str">
        <f>IF($AC394&gt;0,IF(ISNUMBER(INDEX(CASHBACK_RULES!$J$5:$J$304,$AC394)),INDEX(CASHBACK_RULES!$J$5:$J$304,$AC394),"∞"),"")</f>
        <v/>
      </c>
      <c r="Q394" s="48" t="str">
        <f>IF(OR($B394="",$D394=""),"",IF($AC394=0,0,MAX(0,MIN($O394,IF(ISNUMBER($P394),$P394-$AF394,1E+15),IF(ISNUMBER($AA394),$AA394-$AG394,1E+15)))))</f>
        <v/>
      </c>
      <c r="R394" s="48" t="str">
        <f>IF(OR($B394="",$D394=""),"",IF($AC394=0,"",IF(AND(NOT(ISNUMBER($P394)),NOT(ISNUMBER($AA394))),"∞",MAX(0,MIN(IF(ISNUMBER($P394),$P394-$AF394-$Q394,1E+15),IF(ISNUMBER($AA394),$AA394-$AG394-$Q394,1E+15))))))</f>
        <v/>
      </c>
      <c r="S394" s="47" t="str">
        <f>IF($AD394="","",YEAR($AD394)*100+MONTH($AD394))</f>
        <v/>
      </c>
      <c r="T394" s="50" t="str">
        <f>IF($AD394="","",IFERROR(IF(INDEX(CARDS!$I$5:$I$34,MATCH($D394,CARDS!$A$5:$A$34,0))="","",IF(INDEX(CARDS!$I$5:$I$34,MATCH($D394,CARDS!$A$5:$A$34,0))&gt;INDEX(CARDS!$H$5:$H$34,MATCH($D394,CARDS!$A$5:$A$34,0)),DATE(YEAR($AD394),MONTH($AD394),MIN(INDEX(CARDS!$I$5:$I$34,MATCH($D394,CARDS!$A$5:$A$34,0)),DAY(EOMONTH($AD394,0)))),DATE(YEAR($AD394),MONTH($AD394)+1,MIN(INDEX(CARDS!$I$5:$I$34,MATCH($D394,CARDS!$A$5:$A$34,0)),DAY(EOMONTH($AD394,1)))))),""))</f>
        <v/>
      </c>
      <c r="U394" s="38" t="n"/>
      <c r="V394" s="37" t="n"/>
      <c r="W394" s="38" t="n"/>
      <c r="X394" s="38" t="n"/>
      <c r="Y394" s="44" t="str">
        <f>IF($AC394&gt;0,INDEX(CASHBACK_RULES!$A$5:$A$304,$AC394),"")</f>
        <v/>
      </c>
      <c r="Z394" s="45" t="str">
        <f>IF($AC394&gt;0,INDEX(CASHBACK_RULES!$E$5:$E$304,$AC394)&amp;"","")</f>
        <v/>
      </c>
      <c r="AA394" s="48" t="str">
        <f>IF($AC394&gt;0,IF(ISNUMBER(INDEX(CASHBACK_RULES!$K$5:$K$304,$AC394)),INDEX(CASHBACK_RULES!$K$5:$K$304,$AC394),"∞"),"")</f>
        <v/>
      </c>
      <c r="AB394" s="44" t="str">
        <f>IF(OR($B394="",$D394=""),"",IF($U394="Cancelled","Đã hủy",IF($AC394=0,"Không được hoàn",IF($Q394=0,IF(OR($O394&gt;0,$M394&lt;$L394),"Đã đạt cap","Không được hoàn"),IF(OR($Q394&lt;$O394,$M394&lt;$L394),"Hoàn một phần","Được hoàn")))))</f>
        <v/>
      </c>
      <c r="AC394" s="43">
        <f>IF(OR($B394="",$D394="",$I394="",$L394=""),0,IF($U394="Cancelled",0,IF($W394&lt;&gt;"",IFERROR(IF(INDEX(CASHBACK_RULES!$B$5:$B$304,MATCH($W394,CASHBACK_RULES!$A$5:$A$304,0))=$D394,MATCH($W394,CASHBACK_RULES!$A$5:$A$304,0),0),0),IFERROR(MATCH(1,INDEX((CASHBACK_RULES!$B$5:$B$304=$D394)*(CASHBACK_RULES!$G$5:$G$304=$I394)*(((CASHBACK_RULES!$N$5:$N$304="")+(CASHBACK_RULES!$N$5:$N$304&lt;=$B394))&gt;0)*(((CASHBACK_RULES!$O$5:$O$304="")+(CASHBACK_RULES!$O$5:$O$304&gt;=$B394))&gt;0)*(((CASHBACK_RULES!$M$5:$M$304="")+(CASHBACK_RULES!$M$5:$M$304&lt;=$L394))&gt;0),0),0),0))))</f>
        <v>0</v>
      </c>
      <c r="AD394" s="51" t="str">
        <f>IF(OR($B394="",$D394=""),"",IFERROR(IF(INDEX(CARDS!$H$5:$H$34,MATCH($D394,CARDS!$A$5:$A$34,0))="","",IF(DAY($B394)&lt;=INDEX(CARDS!$H$5:$H$34,MATCH($D394,CARDS!$A$5:$A$34,0)),DATE(YEAR($B394),MONTH($B394),MIN(INDEX(CARDS!$H$5:$H$34,MATCH($D394,CARDS!$A$5:$A$34,0)),DAY(EOMONTH($B394,0)))),DATE(YEAR($B394),MONTH($B394)+1,MIN(INDEX(CARDS!$H$5:$H$34,MATCH($D394,CARDS!$A$5:$A$34,0)),DAY(EOMONTH($B394,1)))))),""))</f>
        <v/>
      </c>
      <c r="AE394" s="52" t="str">
        <f>IF($C394="","",$C394&amp;"|"&amp;COUNTIF($C$5:$C394,$C394))</f>
        <v/>
      </c>
      <c r="AF394" s="53">
        <f>IF($AC394&gt;0,SUMIFS(Q$4:Q393,$D$4:$D393,$D394,$Z$4:$Z393,$Z394,$C$4:$C393,$C394),0)</f>
        <v>0</v>
      </c>
      <c r="AG394" s="53">
        <f>IF($AC394&gt;0,SUMIFS(Q$4:Q393,$D$4:$D393,$D394,$C$4:$C393,$C394),0)</f>
        <v>0</v>
      </c>
      <c r="AH394" s="53">
        <f>IF($AC394&gt;0,SUMIFS(M$4:M393,$D$4:$D393,$D394,$Z$4:$Z393,$Z394,$C$4:$C393,$C394),0)</f>
        <v>0</v>
      </c>
      <c r="AI394" s="43">
        <f>IF(OR($C394="",$I394=""),0,IF(COUNTIFS($C$5:$C394,$C394,$I$5:$I394,$I394)=1,1,0))</f>
        <v>0</v>
      </c>
      <c r="AJ394" s="43" t="str">
        <f>IF($AI394=1,SUMIFS($AI$4:$AI393,$C$4:$C393,$C394)+1,"")</f>
        <v/>
      </c>
      <c r="AK394" s="43">
        <f>IF(OR($C394="",$K394=""),0,IF(COUNTIFS($C$5:$C394,$C394,$K$5:$K394,$K394)=1,1,0))</f>
        <v>0</v>
      </c>
      <c r="AL394" s="43" t="str">
        <f>IF($AK394=1,SUMIFS($AK$4:$AK393,$C$4:$C393,$C394)+1,"")</f>
        <v/>
      </c>
      <c r="AM394" s="43">
        <f>IF(OR($C394="",$G394=""),0,IF(COUNTIFS($C$5:$C394,$C394,$G$5:$G394,$G394)=1,1,0))</f>
        <v>0</v>
      </c>
      <c r="AN394" s="43" t="str">
        <f>IF($AM394=1,SUMIFS($AM$4:$AM393,$C$4:$C393,$C394)+1,"")</f>
        <v/>
      </c>
    </row>
    <row r="395">
      <c r="A395" s="44" t="str">
        <f>IF(OR($B395="",$D395=""),"","TX"&amp;TEXT(ROW()-4,"0000"))</f>
        <v/>
      </c>
      <c r="B395" s="42" t="n"/>
      <c r="C395" s="47" t="str">
        <f>IF($B395="","",YEAR($B395)*100+MONTH($B395))</f>
        <v/>
      </c>
      <c r="D395" s="37" t="n"/>
      <c r="E395" s="45" t="str">
        <f>IF($D395="","",IFERROR(INDEX(CARDS!$B$5:$B$34,MATCH($D395,CARDS!$A$5:$A$34,0)),"⚠ Card ID?"))</f>
        <v/>
      </c>
      <c r="F395" s="45" t="str">
        <f>IF($D395="","",IFERROR(INDEX(CARDS!$C$5:$C$34,MATCH($D395,CARDS!$A$5:$A$34,0)),"⚠ Card ID?"))</f>
        <v/>
      </c>
      <c r="G395" s="37" t="n"/>
      <c r="H395" s="37" t="n"/>
      <c r="I395" s="41" t="n"/>
      <c r="J395" s="45" t="str">
        <f>IF($I395="","",IFERROR(INDEX(MCC_MASTER!$B$5:$B$504,MATCH($I395,MCC_MASTER!$A$5:$A$504,0)),"⚠ MCC chưa có"))</f>
        <v/>
      </c>
      <c r="K395" s="45" t="str">
        <f>IF($I395="","",IFERROR(IF(INDEX(MCC_MASTER!$C$5:$C$504,MATCH($I395,MCC_MASTER!$A$5:$A$504,0))="","Chưa phân loại",INDEX(MCC_MASTER!$C$5:$C$504,MATCH($I395,MCC_MASTER!$A$5:$A$504,0))),"Chưa phân loại"))</f>
        <v/>
      </c>
      <c r="L395" s="40" t="n"/>
      <c r="M395" s="48" t="str">
        <f>IF(OR($B395="",$D395=""),"",IF($AC395=0,0,IF(ISNUMBER(INDEX(CASHBACK_RULES!$L$5:$L$304,$AC395)),MAX(0,MIN($L395,INDEX(CASHBACK_RULES!$L$5:$L$304,$AC395)-$AH395)),MAX(0,$L395))))</f>
        <v/>
      </c>
      <c r="N395" s="49" t="str">
        <f>IF(OR($B395="",$D395=""),"",IF($AC395&gt;0,INDEX(CASHBACK_RULES!$I$5:$I$304,$AC395),0))</f>
        <v/>
      </c>
      <c r="O395" s="48" t="str">
        <f>IF(OR($B395="",$D395=""),"",ROUND($M395*$N395,0))</f>
        <v/>
      </c>
      <c r="P395" s="48" t="str">
        <f>IF($AC395&gt;0,IF(ISNUMBER(INDEX(CASHBACK_RULES!$J$5:$J$304,$AC395)),INDEX(CASHBACK_RULES!$J$5:$J$304,$AC395),"∞"),"")</f>
        <v/>
      </c>
      <c r="Q395" s="48" t="str">
        <f>IF(OR($B395="",$D395=""),"",IF($AC395=0,0,MAX(0,MIN($O395,IF(ISNUMBER($P395),$P395-$AF395,1E+15),IF(ISNUMBER($AA395),$AA395-$AG395,1E+15)))))</f>
        <v/>
      </c>
      <c r="R395" s="48" t="str">
        <f>IF(OR($B395="",$D395=""),"",IF($AC395=0,"",IF(AND(NOT(ISNUMBER($P395)),NOT(ISNUMBER($AA395))),"∞",MAX(0,MIN(IF(ISNUMBER($P395),$P395-$AF395-$Q395,1E+15),IF(ISNUMBER($AA395),$AA395-$AG395-$Q395,1E+15))))))</f>
        <v/>
      </c>
      <c r="S395" s="47" t="str">
        <f>IF($AD395="","",YEAR($AD395)*100+MONTH($AD395))</f>
        <v/>
      </c>
      <c r="T395" s="50" t="str">
        <f>IF($AD395="","",IFERROR(IF(INDEX(CARDS!$I$5:$I$34,MATCH($D395,CARDS!$A$5:$A$34,0))="","",IF(INDEX(CARDS!$I$5:$I$34,MATCH($D395,CARDS!$A$5:$A$34,0))&gt;INDEX(CARDS!$H$5:$H$34,MATCH($D395,CARDS!$A$5:$A$34,0)),DATE(YEAR($AD395),MONTH($AD395),MIN(INDEX(CARDS!$I$5:$I$34,MATCH($D395,CARDS!$A$5:$A$34,0)),DAY(EOMONTH($AD395,0)))),DATE(YEAR($AD395),MONTH($AD395)+1,MIN(INDEX(CARDS!$I$5:$I$34,MATCH($D395,CARDS!$A$5:$A$34,0)),DAY(EOMONTH($AD395,1)))))),""))</f>
        <v/>
      </c>
      <c r="U395" s="38" t="n"/>
      <c r="V395" s="37" t="n"/>
      <c r="W395" s="38" t="n"/>
      <c r="X395" s="38" t="n"/>
      <c r="Y395" s="44" t="str">
        <f>IF($AC395&gt;0,INDEX(CASHBACK_RULES!$A$5:$A$304,$AC395),"")</f>
        <v/>
      </c>
      <c r="Z395" s="45" t="str">
        <f>IF($AC395&gt;0,INDEX(CASHBACK_RULES!$E$5:$E$304,$AC395)&amp;"","")</f>
        <v/>
      </c>
      <c r="AA395" s="48" t="str">
        <f>IF($AC395&gt;0,IF(ISNUMBER(INDEX(CASHBACK_RULES!$K$5:$K$304,$AC395)),INDEX(CASHBACK_RULES!$K$5:$K$304,$AC395),"∞"),"")</f>
        <v/>
      </c>
      <c r="AB395" s="44" t="str">
        <f>IF(OR($B395="",$D395=""),"",IF($U395="Cancelled","Đã hủy",IF($AC395=0,"Không được hoàn",IF($Q395=0,IF(OR($O395&gt;0,$M395&lt;$L395),"Đã đạt cap","Không được hoàn"),IF(OR($Q395&lt;$O395,$M395&lt;$L395),"Hoàn một phần","Được hoàn")))))</f>
        <v/>
      </c>
      <c r="AC395" s="43">
        <f>IF(OR($B395="",$D395="",$I395="",$L395=""),0,IF($U395="Cancelled",0,IF($W395&lt;&gt;"",IFERROR(IF(INDEX(CASHBACK_RULES!$B$5:$B$304,MATCH($W395,CASHBACK_RULES!$A$5:$A$304,0))=$D395,MATCH($W395,CASHBACK_RULES!$A$5:$A$304,0),0),0),IFERROR(MATCH(1,INDEX((CASHBACK_RULES!$B$5:$B$304=$D395)*(CASHBACK_RULES!$G$5:$G$304=$I395)*(((CASHBACK_RULES!$N$5:$N$304="")+(CASHBACK_RULES!$N$5:$N$304&lt;=$B395))&gt;0)*(((CASHBACK_RULES!$O$5:$O$304="")+(CASHBACK_RULES!$O$5:$O$304&gt;=$B395))&gt;0)*(((CASHBACK_RULES!$M$5:$M$304="")+(CASHBACK_RULES!$M$5:$M$304&lt;=$L395))&gt;0),0),0),0))))</f>
        <v>0</v>
      </c>
      <c r="AD395" s="51" t="str">
        <f>IF(OR($B395="",$D395=""),"",IFERROR(IF(INDEX(CARDS!$H$5:$H$34,MATCH($D395,CARDS!$A$5:$A$34,0))="","",IF(DAY($B395)&lt;=INDEX(CARDS!$H$5:$H$34,MATCH($D395,CARDS!$A$5:$A$34,0)),DATE(YEAR($B395),MONTH($B395),MIN(INDEX(CARDS!$H$5:$H$34,MATCH($D395,CARDS!$A$5:$A$34,0)),DAY(EOMONTH($B395,0)))),DATE(YEAR($B395),MONTH($B395)+1,MIN(INDEX(CARDS!$H$5:$H$34,MATCH($D395,CARDS!$A$5:$A$34,0)),DAY(EOMONTH($B395,1)))))),""))</f>
        <v/>
      </c>
      <c r="AE395" s="52" t="str">
        <f>IF($C395="","",$C395&amp;"|"&amp;COUNTIF($C$5:$C395,$C395))</f>
        <v/>
      </c>
      <c r="AF395" s="53">
        <f>IF($AC395&gt;0,SUMIFS(Q$4:Q394,$D$4:$D394,$D395,$Z$4:$Z394,$Z395,$C$4:$C394,$C395),0)</f>
        <v>0</v>
      </c>
      <c r="AG395" s="53">
        <f>IF($AC395&gt;0,SUMIFS(Q$4:Q394,$D$4:$D394,$D395,$C$4:$C394,$C395),0)</f>
        <v>0</v>
      </c>
      <c r="AH395" s="53">
        <f>IF($AC395&gt;0,SUMIFS(M$4:M394,$D$4:$D394,$D395,$Z$4:$Z394,$Z395,$C$4:$C394,$C395),0)</f>
        <v>0</v>
      </c>
      <c r="AI395" s="43">
        <f>IF(OR($C395="",$I395=""),0,IF(COUNTIFS($C$5:$C395,$C395,$I$5:$I395,$I395)=1,1,0))</f>
        <v>0</v>
      </c>
      <c r="AJ395" s="43" t="str">
        <f>IF($AI395=1,SUMIFS($AI$4:$AI394,$C$4:$C394,$C395)+1,"")</f>
        <v/>
      </c>
      <c r="AK395" s="43">
        <f>IF(OR($C395="",$K395=""),0,IF(COUNTIFS($C$5:$C395,$C395,$K$5:$K395,$K395)=1,1,0))</f>
        <v>0</v>
      </c>
      <c r="AL395" s="43" t="str">
        <f>IF($AK395=1,SUMIFS($AK$4:$AK394,$C$4:$C394,$C395)+1,"")</f>
        <v/>
      </c>
      <c r="AM395" s="43">
        <f>IF(OR($C395="",$G395=""),0,IF(COUNTIFS($C$5:$C395,$C395,$G$5:$G395,$G395)=1,1,0))</f>
        <v>0</v>
      </c>
      <c r="AN395" s="43" t="str">
        <f>IF($AM395=1,SUMIFS($AM$4:$AM394,$C$4:$C394,$C395)+1,"")</f>
        <v/>
      </c>
    </row>
    <row r="396">
      <c r="A396" s="44" t="str">
        <f>IF(OR($B396="",$D396=""),"","TX"&amp;TEXT(ROW()-4,"0000"))</f>
        <v/>
      </c>
      <c r="B396" s="42" t="n"/>
      <c r="C396" s="47" t="str">
        <f>IF($B396="","",YEAR($B396)*100+MONTH($B396))</f>
        <v/>
      </c>
      <c r="D396" s="37" t="n"/>
      <c r="E396" s="45" t="str">
        <f>IF($D396="","",IFERROR(INDEX(CARDS!$B$5:$B$34,MATCH($D396,CARDS!$A$5:$A$34,0)),"⚠ Card ID?"))</f>
        <v/>
      </c>
      <c r="F396" s="45" t="str">
        <f>IF($D396="","",IFERROR(INDEX(CARDS!$C$5:$C$34,MATCH($D396,CARDS!$A$5:$A$34,0)),"⚠ Card ID?"))</f>
        <v/>
      </c>
      <c r="G396" s="37" t="n"/>
      <c r="H396" s="37" t="n"/>
      <c r="I396" s="41" t="n"/>
      <c r="J396" s="45" t="str">
        <f>IF($I396="","",IFERROR(INDEX(MCC_MASTER!$B$5:$B$504,MATCH($I396,MCC_MASTER!$A$5:$A$504,0)),"⚠ MCC chưa có"))</f>
        <v/>
      </c>
      <c r="K396" s="45" t="str">
        <f>IF($I396="","",IFERROR(IF(INDEX(MCC_MASTER!$C$5:$C$504,MATCH($I396,MCC_MASTER!$A$5:$A$504,0))="","Chưa phân loại",INDEX(MCC_MASTER!$C$5:$C$504,MATCH($I396,MCC_MASTER!$A$5:$A$504,0))),"Chưa phân loại"))</f>
        <v/>
      </c>
      <c r="L396" s="40" t="n"/>
      <c r="M396" s="48" t="str">
        <f>IF(OR($B396="",$D396=""),"",IF($AC396=0,0,IF(ISNUMBER(INDEX(CASHBACK_RULES!$L$5:$L$304,$AC396)),MAX(0,MIN($L396,INDEX(CASHBACK_RULES!$L$5:$L$304,$AC396)-$AH396)),MAX(0,$L396))))</f>
        <v/>
      </c>
      <c r="N396" s="49" t="str">
        <f>IF(OR($B396="",$D396=""),"",IF($AC396&gt;0,INDEX(CASHBACK_RULES!$I$5:$I$304,$AC396),0))</f>
        <v/>
      </c>
      <c r="O396" s="48" t="str">
        <f>IF(OR($B396="",$D396=""),"",ROUND($M396*$N396,0))</f>
        <v/>
      </c>
      <c r="P396" s="48" t="str">
        <f>IF($AC396&gt;0,IF(ISNUMBER(INDEX(CASHBACK_RULES!$J$5:$J$304,$AC396)),INDEX(CASHBACK_RULES!$J$5:$J$304,$AC396),"∞"),"")</f>
        <v/>
      </c>
      <c r="Q396" s="48" t="str">
        <f>IF(OR($B396="",$D396=""),"",IF($AC396=0,0,MAX(0,MIN($O396,IF(ISNUMBER($P396),$P396-$AF396,1E+15),IF(ISNUMBER($AA396),$AA396-$AG396,1E+15)))))</f>
        <v/>
      </c>
      <c r="R396" s="48" t="str">
        <f>IF(OR($B396="",$D396=""),"",IF($AC396=0,"",IF(AND(NOT(ISNUMBER($P396)),NOT(ISNUMBER($AA396))),"∞",MAX(0,MIN(IF(ISNUMBER($P396),$P396-$AF396-$Q396,1E+15),IF(ISNUMBER($AA396),$AA396-$AG396-$Q396,1E+15))))))</f>
        <v/>
      </c>
      <c r="S396" s="47" t="str">
        <f>IF($AD396="","",YEAR($AD396)*100+MONTH($AD396))</f>
        <v/>
      </c>
      <c r="T396" s="50" t="str">
        <f>IF($AD396="","",IFERROR(IF(INDEX(CARDS!$I$5:$I$34,MATCH($D396,CARDS!$A$5:$A$34,0))="","",IF(INDEX(CARDS!$I$5:$I$34,MATCH($D396,CARDS!$A$5:$A$34,0))&gt;INDEX(CARDS!$H$5:$H$34,MATCH($D396,CARDS!$A$5:$A$34,0)),DATE(YEAR($AD396),MONTH($AD396),MIN(INDEX(CARDS!$I$5:$I$34,MATCH($D396,CARDS!$A$5:$A$34,0)),DAY(EOMONTH($AD396,0)))),DATE(YEAR($AD396),MONTH($AD396)+1,MIN(INDEX(CARDS!$I$5:$I$34,MATCH($D396,CARDS!$A$5:$A$34,0)),DAY(EOMONTH($AD396,1)))))),""))</f>
        <v/>
      </c>
      <c r="U396" s="38" t="n"/>
      <c r="V396" s="37" t="n"/>
      <c r="W396" s="38" t="n"/>
      <c r="X396" s="38" t="n"/>
      <c r="Y396" s="44" t="str">
        <f>IF($AC396&gt;0,INDEX(CASHBACK_RULES!$A$5:$A$304,$AC396),"")</f>
        <v/>
      </c>
      <c r="Z396" s="45" t="str">
        <f>IF($AC396&gt;0,INDEX(CASHBACK_RULES!$E$5:$E$304,$AC396)&amp;"","")</f>
        <v/>
      </c>
      <c r="AA396" s="48" t="str">
        <f>IF($AC396&gt;0,IF(ISNUMBER(INDEX(CASHBACK_RULES!$K$5:$K$304,$AC396)),INDEX(CASHBACK_RULES!$K$5:$K$304,$AC396),"∞"),"")</f>
        <v/>
      </c>
      <c r="AB396" s="44" t="str">
        <f>IF(OR($B396="",$D396=""),"",IF($U396="Cancelled","Đã hủy",IF($AC396=0,"Không được hoàn",IF($Q396=0,IF(OR($O396&gt;0,$M396&lt;$L396),"Đã đạt cap","Không được hoàn"),IF(OR($Q396&lt;$O396,$M396&lt;$L396),"Hoàn một phần","Được hoàn")))))</f>
        <v/>
      </c>
      <c r="AC396" s="43">
        <f>IF(OR($B396="",$D396="",$I396="",$L396=""),0,IF($U396="Cancelled",0,IF($W396&lt;&gt;"",IFERROR(IF(INDEX(CASHBACK_RULES!$B$5:$B$304,MATCH($W396,CASHBACK_RULES!$A$5:$A$304,0))=$D396,MATCH($W396,CASHBACK_RULES!$A$5:$A$304,0),0),0),IFERROR(MATCH(1,INDEX((CASHBACK_RULES!$B$5:$B$304=$D396)*(CASHBACK_RULES!$G$5:$G$304=$I396)*(((CASHBACK_RULES!$N$5:$N$304="")+(CASHBACK_RULES!$N$5:$N$304&lt;=$B396))&gt;0)*(((CASHBACK_RULES!$O$5:$O$304="")+(CASHBACK_RULES!$O$5:$O$304&gt;=$B396))&gt;0)*(((CASHBACK_RULES!$M$5:$M$304="")+(CASHBACK_RULES!$M$5:$M$304&lt;=$L396))&gt;0),0),0),0))))</f>
        <v>0</v>
      </c>
      <c r="AD396" s="51" t="str">
        <f>IF(OR($B396="",$D396=""),"",IFERROR(IF(INDEX(CARDS!$H$5:$H$34,MATCH($D396,CARDS!$A$5:$A$34,0))="","",IF(DAY($B396)&lt;=INDEX(CARDS!$H$5:$H$34,MATCH($D396,CARDS!$A$5:$A$34,0)),DATE(YEAR($B396),MONTH($B396),MIN(INDEX(CARDS!$H$5:$H$34,MATCH($D396,CARDS!$A$5:$A$34,0)),DAY(EOMONTH($B396,0)))),DATE(YEAR($B396),MONTH($B396)+1,MIN(INDEX(CARDS!$H$5:$H$34,MATCH($D396,CARDS!$A$5:$A$34,0)),DAY(EOMONTH($B396,1)))))),""))</f>
        <v/>
      </c>
      <c r="AE396" s="52" t="str">
        <f>IF($C396="","",$C396&amp;"|"&amp;COUNTIF($C$5:$C396,$C396))</f>
        <v/>
      </c>
      <c r="AF396" s="53">
        <f>IF($AC396&gt;0,SUMIFS(Q$4:Q395,$D$4:$D395,$D396,$Z$4:$Z395,$Z396,$C$4:$C395,$C396),0)</f>
        <v>0</v>
      </c>
      <c r="AG396" s="53">
        <f>IF($AC396&gt;0,SUMIFS(Q$4:Q395,$D$4:$D395,$D396,$C$4:$C395,$C396),0)</f>
        <v>0</v>
      </c>
      <c r="AH396" s="53">
        <f>IF($AC396&gt;0,SUMIFS(M$4:M395,$D$4:$D395,$D396,$Z$4:$Z395,$Z396,$C$4:$C395,$C396),0)</f>
        <v>0</v>
      </c>
      <c r="AI396" s="43">
        <f>IF(OR($C396="",$I396=""),0,IF(COUNTIFS($C$5:$C396,$C396,$I$5:$I396,$I396)=1,1,0))</f>
        <v>0</v>
      </c>
      <c r="AJ396" s="43" t="str">
        <f>IF($AI396=1,SUMIFS($AI$4:$AI395,$C$4:$C395,$C396)+1,"")</f>
        <v/>
      </c>
      <c r="AK396" s="43">
        <f>IF(OR($C396="",$K396=""),0,IF(COUNTIFS($C$5:$C396,$C396,$K$5:$K396,$K396)=1,1,0))</f>
        <v>0</v>
      </c>
      <c r="AL396" s="43" t="str">
        <f>IF($AK396=1,SUMIFS($AK$4:$AK395,$C$4:$C395,$C396)+1,"")</f>
        <v/>
      </c>
      <c r="AM396" s="43">
        <f>IF(OR($C396="",$G396=""),0,IF(COUNTIFS($C$5:$C396,$C396,$G$5:$G396,$G396)=1,1,0))</f>
        <v>0</v>
      </c>
      <c r="AN396" s="43" t="str">
        <f>IF($AM396=1,SUMIFS($AM$4:$AM395,$C$4:$C395,$C396)+1,"")</f>
        <v/>
      </c>
    </row>
    <row r="397">
      <c r="A397" s="44" t="str">
        <f>IF(OR($B397="",$D397=""),"","TX"&amp;TEXT(ROW()-4,"0000"))</f>
        <v/>
      </c>
      <c r="B397" s="42" t="n"/>
      <c r="C397" s="47" t="str">
        <f>IF($B397="","",YEAR($B397)*100+MONTH($B397))</f>
        <v/>
      </c>
      <c r="D397" s="37" t="n"/>
      <c r="E397" s="45" t="str">
        <f>IF($D397="","",IFERROR(INDEX(CARDS!$B$5:$B$34,MATCH($D397,CARDS!$A$5:$A$34,0)),"⚠ Card ID?"))</f>
        <v/>
      </c>
      <c r="F397" s="45" t="str">
        <f>IF($D397="","",IFERROR(INDEX(CARDS!$C$5:$C$34,MATCH($D397,CARDS!$A$5:$A$34,0)),"⚠ Card ID?"))</f>
        <v/>
      </c>
      <c r="G397" s="37" t="n"/>
      <c r="H397" s="37" t="n"/>
      <c r="I397" s="41" t="n"/>
      <c r="J397" s="45" t="str">
        <f>IF($I397="","",IFERROR(INDEX(MCC_MASTER!$B$5:$B$504,MATCH($I397,MCC_MASTER!$A$5:$A$504,0)),"⚠ MCC chưa có"))</f>
        <v/>
      </c>
      <c r="K397" s="45" t="str">
        <f>IF($I397="","",IFERROR(IF(INDEX(MCC_MASTER!$C$5:$C$504,MATCH($I397,MCC_MASTER!$A$5:$A$504,0))="","Chưa phân loại",INDEX(MCC_MASTER!$C$5:$C$504,MATCH($I397,MCC_MASTER!$A$5:$A$504,0))),"Chưa phân loại"))</f>
        <v/>
      </c>
      <c r="L397" s="40" t="n"/>
      <c r="M397" s="48" t="str">
        <f>IF(OR($B397="",$D397=""),"",IF($AC397=0,0,IF(ISNUMBER(INDEX(CASHBACK_RULES!$L$5:$L$304,$AC397)),MAX(0,MIN($L397,INDEX(CASHBACK_RULES!$L$5:$L$304,$AC397)-$AH397)),MAX(0,$L397))))</f>
        <v/>
      </c>
      <c r="N397" s="49" t="str">
        <f>IF(OR($B397="",$D397=""),"",IF($AC397&gt;0,INDEX(CASHBACK_RULES!$I$5:$I$304,$AC397),0))</f>
        <v/>
      </c>
      <c r="O397" s="48" t="str">
        <f>IF(OR($B397="",$D397=""),"",ROUND($M397*$N397,0))</f>
        <v/>
      </c>
      <c r="P397" s="48" t="str">
        <f>IF($AC397&gt;0,IF(ISNUMBER(INDEX(CASHBACK_RULES!$J$5:$J$304,$AC397)),INDEX(CASHBACK_RULES!$J$5:$J$304,$AC397),"∞"),"")</f>
        <v/>
      </c>
      <c r="Q397" s="48" t="str">
        <f>IF(OR($B397="",$D397=""),"",IF($AC397=0,0,MAX(0,MIN($O397,IF(ISNUMBER($P397),$P397-$AF397,1E+15),IF(ISNUMBER($AA397),$AA397-$AG397,1E+15)))))</f>
        <v/>
      </c>
      <c r="R397" s="48" t="str">
        <f>IF(OR($B397="",$D397=""),"",IF($AC397=0,"",IF(AND(NOT(ISNUMBER($P397)),NOT(ISNUMBER($AA397))),"∞",MAX(0,MIN(IF(ISNUMBER($P397),$P397-$AF397-$Q397,1E+15),IF(ISNUMBER($AA397),$AA397-$AG397-$Q397,1E+15))))))</f>
        <v/>
      </c>
      <c r="S397" s="47" t="str">
        <f>IF($AD397="","",YEAR($AD397)*100+MONTH($AD397))</f>
        <v/>
      </c>
      <c r="T397" s="50" t="str">
        <f>IF($AD397="","",IFERROR(IF(INDEX(CARDS!$I$5:$I$34,MATCH($D397,CARDS!$A$5:$A$34,0))="","",IF(INDEX(CARDS!$I$5:$I$34,MATCH($D397,CARDS!$A$5:$A$34,0))&gt;INDEX(CARDS!$H$5:$H$34,MATCH($D397,CARDS!$A$5:$A$34,0)),DATE(YEAR($AD397),MONTH($AD397),MIN(INDEX(CARDS!$I$5:$I$34,MATCH($D397,CARDS!$A$5:$A$34,0)),DAY(EOMONTH($AD397,0)))),DATE(YEAR($AD397),MONTH($AD397)+1,MIN(INDEX(CARDS!$I$5:$I$34,MATCH($D397,CARDS!$A$5:$A$34,0)),DAY(EOMONTH($AD397,1)))))),""))</f>
        <v/>
      </c>
      <c r="U397" s="38" t="n"/>
      <c r="V397" s="37" t="n"/>
      <c r="W397" s="38" t="n"/>
      <c r="X397" s="38" t="n"/>
      <c r="Y397" s="44" t="str">
        <f>IF($AC397&gt;0,INDEX(CASHBACK_RULES!$A$5:$A$304,$AC397),"")</f>
        <v/>
      </c>
      <c r="Z397" s="45" t="str">
        <f>IF($AC397&gt;0,INDEX(CASHBACK_RULES!$E$5:$E$304,$AC397)&amp;"","")</f>
        <v/>
      </c>
      <c r="AA397" s="48" t="str">
        <f>IF($AC397&gt;0,IF(ISNUMBER(INDEX(CASHBACK_RULES!$K$5:$K$304,$AC397)),INDEX(CASHBACK_RULES!$K$5:$K$304,$AC397),"∞"),"")</f>
        <v/>
      </c>
      <c r="AB397" s="44" t="str">
        <f>IF(OR($B397="",$D397=""),"",IF($U397="Cancelled","Đã hủy",IF($AC397=0,"Không được hoàn",IF($Q397=0,IF(OR($O397&gt;0,$M397&lt;$L397),"Đã đạt cap","Không được hoàn"),IF(OR($Q397&lt;$O397,$M397&lt;$L397),"Hoàn một phần","Được hoàn")))))</f>
        <v/>
      </c>
      <c r="AC397" s="43">
        <f>IF(OR($B397="",$D397="",$I397="",$L397=""),0,IF($U397="Cancelled",0,IF($W397&lt;&gt;"",IFERROR(IF(INDEX(CASHBACK_RULES!$B$5:$B$304,MATCH($W397,CASHBACK_RULES!$A$5:$A$304,0))=$D397,MATCH($W397,CASHBACK_RULES!$A$5:$A$304,0),0),0),IFERROR(MATCH(1,INDEX((CASHBACK_RULES!$B$5:$B$304=$D397)*(CASHBACK_RULES!$G$5:$G$304=$I397)*(((CASHBACK_RULES!$N$5:$N$304="")+(CASHBACK_RULES!$N$5:$N$304&lt;=$B397))&gt;0)*(((CASHBACK_RULES!$O$5:$O$304="")+(CASHBACK_RULES!$O$5:$O$304&gt;=$B397))&gt;0)*(((CASHBACK_RULES!$M$5:$M$304="")+(CASHBACK_RULES!$M$5:$M$304&lt;=$L397))&gt;0),0),0),0))))</f>
        <v>0</v>
      </c>
      <c r="AD397" s="51" t="str">
        <f>IF(OR($B397="",$D397=""),"",IFERROR(IF(INDEX(CARDS!$H$5:$H$34,MATCH($D397,CARDS!$A$5:$A$34,0))="","",IF(DAY($B397)&lt;=INDEX(CARDS!$H$5:$H$34,MATCH($D397,CARDS!$A$5:$A$34,0)),DATE(YEAR($B397),MONTH($B397),MIN(INDEX(CARDS!$H$5:$H$34,MATCH($D397,CARDS!$A$5:$A$34,0)),DAY(EOMONTH($B397,0)))),DATE(YEAR($B397),MONTH($B397)+1,MIN(INDEX(CARDS!$H$5:$H$34,MATCH($D397,CARDS!$A$5:$A$34,0)),DAY(EOMONTH($B397,1)))))),""))</f>
        <v/>
      </c>
      <c r="AE397" s="52" t="str">
        <f>IF($C397="","",$C397&amp;"|"&amp;COUNTIF($C$5:$C397,$C397))</f>
        <v/>
      </c>
      <c r="AF397" s="53">
        <f>IF($AC397&gt;0,SUMIFS(Q$4:Q396,$D$4:$D396,$D397,$Z$4:$Z396,$Z397,$C$4:$C396,$C397),0)</f>
        <v>0</v>
      </c>
      <c r="AG397" s="53">
        <f>IF($AC397&gt;0,SUMIFS(Q$4:Q396,$D$4:$D396,$D397,$C$4:$C396,$C397),0)</f>
        <v>0</v>
      </c>
      <c r="AH397" s="53">
        <f>IF($AC397&gt;0,SUMIFS(M$4:M396,$D$4:$D396,$D397,$Z$4:$Z396,$Z397,$C$4:$C396,$C397),0)</f>
        <v>0</v>
      </c>
      <c r="AI397" s="43">
        <f>IF(OR($C397="",$I397=""),0,IF(COUNTIFS($C$5:$C397,$C397,$I$5:$I397,$I397)=1,1,0))</f>
        <v>0</v>
      </c>
      <c r="AJ397" s="43" t="str">
        <f>IF($AI397=1,SUMIFS($AI$4:$AI396,$C$4:$C396,$C397)+1,"")</f>
        <v/>
      </c>
      <c r="AK397" s="43">
        <f>IF(OR($C397="",$K397=""),0,IF(COUNTIFS($C$5:$C397,$C397,$K$5:$K397,$K397)=1,1,0))</f>
        <v>0</v>
      </c>
      <c r="AL397" s="43" t="str">
        <f>IF($AK397=1,SUMIFS($AK$4:$AK396,$C$4:$C396,$C397)+1,"")</f>
        <v/>
      </c>
      <c r="AM397" s="43">
        <f>IF(OR($C397="",$G397=""),0,IF(COUNTIFS($C$5:$C397,$C397,$G$5:$G397,$G397)=1,1,0))</f>
        <v>0</v>
      </c>
      <c r="AN397" s="43" t="str">
        <f>IF($AM397=1,SUMIFS($AM$4:$AM396,$C$4:$C396,$C397)+1,"")</f>
        <v/>
      </c>
    </row>
    <row r="398">
      <c r="A398" s="44" t="str">
        <f>IF(OR($B398="",$D398=""),"","TX"&amp;TEXT(ROW()-4,"0000"))</f>
        <v/>
      </c>
      <c r="B398" s="42" t="n"/>
      <c r="C398" s="47" t="str">
        <f>IF($B398="","",YEAR($B398)*100+MONTH($B398))</f>
        <v/>
      </c>
      <c r="D398" s="37" t="n"/>
      <c r="E398" s="45" t="str">
        <f>IF($D398="","",IFERROR(INDEX(CARDS!$B$5:$B$34,MATCH($D398,CARDS!$A$5:$A$34,0)),"⚠ Card ID?"))</f>
        <v/>
      </c>
      <c r="F398" s="45" t="str">
        <f>IF($D398="","",IFERROR(INDEX(CARDS!$C$5:$C$34,MATCH($D398,CARDS!$A$5:$A$34,0)),"⚠ Card ID?"))</f>
        <v/>
      </c>
      <c r="G398" s="37" t="n"/>
      <c r="H398" s="37" t="n"/>
      <c r="I398" s="41" t="n"/>
      <c r="J398" s="45" t="str">
        <f>IF($I398="","",IFERROR(INDEX(MCC_MASTER!$B$5:$B$504,MATCH($I398,MCC_MASTER!$A$5:$A$504,0)),"⚠ MCC chưa có"))</f>
        <v/>
      </c>
      <c r="K398" s="45" t="str">
        <f>IF($I398="","",IFERROR(IF(INDEX(MCC_MASTER!$C$5:$C$504,MATCH($I398,MCC_MASTER!$A$5:$A$504,0))="","Chưa phân loại",INDEX(MCC_MASTER!$C$5:$C$504,MATCH($I398,MCC_MASTER!$A$5:$A$504,0))),"Chưa phân loại"))</f>
        <v/>
      </c>
      <c r="L398" s="40" t="n"/>
      <c r="M398" s="48" t="str">
        <f>IF(OR($B398="",$D398=""),"",IF($AC398=0,0,IF(ISNUMBER(INDEX(CASHBACK_RULES!$L$5:$L$304,$AC398)),MAX(0,MIN($L398,INDEX(CASHBACK_RULES!$L$5:$L$304,$AC398)-$AH398)),MAX(0,$L398))))</f>
        <v/>
      </c>
      <c r="N398" s="49" t="str">
        <f>IF(OR($B398="",$D398=""),"",IF($AC398&gt;0,INDEX(CASHBACK_RULES!$I$5:$I$304,$AC398),0))</f>
        <v/>
      </c>
      <c r="O398" s="48" t="str">
        <f>IF(OR($B398="",$D398=""),"",ROUND($M398*$N398,0))</f>
        <v/>
      </c>
      <c r="P398" s="48" t="str">
        <f>IF($AC398&gt;0,IF(ISNUMBER(INDEX(CASHBACK_RULES!$J$5:$J$304,$AC398)),INDEX(CASHBACK_RULES!$J$5:$J$304,$AC398),"∞"),"")</f>
        <v/>
      </c>
      <c r="Q398" s="48" t="str">
        <f>IF(OR($B398="",$D398=""),"",IF($AC398=0,0,MAX(0,MIN($O398,IF(ISNUMBER($P398),$P398-$AF398,1E+15),IF(ISNUMBER($AA398),$AA398-$AG398,1E+15)))))</f>
        <v/>
      </c>
      <c r="R398" s="48" t="str">
        <f>IF(OR($B398="",$D398=""),"",IF($AC398=0,"",IF(AND(NOT(ISNUMBER($P398)),NOT(ISNUMBER($AA398))),"∞",MAX(0,MIN(IF(ISNUMBER($P398),$P398-$AF398-$Q398,1E+15),IF(ISNUMBER($AA398),$AA398-$AG398-$Q398,1E+15))))))</f>
        <v/>
      </c>
      <c r="S398" s="47" t="str">
        <f>IF($AD398="","",YEAR($AD398)*100+MONTH($AD398))</f>
        <v/>
      </c>
      <c r="T398" s="50" t="str">
        <f>IF($AD398="","",IFERROR(IF(INDEX(CARDS!$I$5:$I$34,MATCH($D398,CARDS!$A$5:$A$34,0))="","",IF(INDEX(CARDS!$I$5:$I$34,MATCH($D398,CARDS!$A$5:$A$34,0))&gt;INDEX(CARDS!$H$5:$H$34,MATCH($D398,CARDS!$A$5:$A$34,0)),DATE(YEAR($AD398),MONTH($AD398),MIN(INDEX(CARDS!$I$5:$I$34,MATCH($D398,CARDS!$A$5:$A$34,0)),DAY(EOMONTH($AD398,0)))),DATE(YEAR($AD398),MONTH($AD398)+1,MIN(INDEX(CARDS!$I$5:$I$34,MATCH($D398,CARDS!$A$5:$A$34,0)),DAY(EOMONTH($AD398,1)))))),""))</f>
        <v/>
      </c>
      <c r="U398" s="38" t="n"/>
      <c r="V398" s="37" t="n"/>
      <c r="W398" s="38" t="n"/>
      <c r="X398" s="38" t="n"/>
      <c r="Y398" s="44" t="str">
        <f>IF($AC398&gt;0,INDEX(CASHBACK_RULES!$A$5:$A$304,$AC398),"")</f>
        <v/>
      </c>
      <c r="Z398" s="45" t="str">
        <f>IF($AC398&gt;0,INDEX(CASHBACK_RULES!$E$5:$E$304,$AC398)&amp;"","")</f>
        <v/>
      </c>
      <c r="AA398" s="48" t="str">
        <f>IF($AC398&gt;0,IF(ISNUMBER(INDEX(CASHBACK_RULES!$K$5:$K$304,$AC398)),INDEX(CASHBACK_RULES!$K$5:$K$304,$AC398),"∞"),"")</f>
        <v/>
      </c>
      <c r="AB398" s="44" t="str">
        <f>IF(OR($B398="",$D398=""),"",IF($U398="Cancelled","Đã hủy",IF($AC398=0,"Không được hoàn",IF($Q398=0,IF(OR($O398&gt;0,$M398&lt;$L398),"Đã đạt cap","Không được hoàn"),IF(OR($Q398&lt;$O398,$M398&lt;$L398),"Hoàn một phần","Được hoàn")))))</f>
        <v/>
      </c>
      <c r="AC398" s="43">
        <f>IF(OR($B398="",$D398="",$I398="",$L398=""),0,IF($U398="Cancelled",0,IF($W398&lt;&gt;"",IFERROR(IF(INDEX(CASHBACK_RULES!$B$5:$B$304,MATCH($W398,CASHBACK_RULES!$A$5:$A$304,0))=$D398,MATCH($W398,CASHBACK_RULES!$A$5:$A$304,0),0),0),IFERROR(MATCH(1,INDEX((CASHBACK_RULES!$B$5:$B$304=$D398)*(CASHBACK_RULES!$G$5:$G$304=$I398)*(((CASHBACK_RULES!$N$5:$N$304="")+(CASHBACK_RULES!$N$5:$N$304&lt;=$B398))&gt;0)*(((CASHBACK_RULES!$O$5:$O$304="")+(CASHBACK_RULES!$O$5:$O$304&gt;=$B398))&gt;0)*(((CASHBACK_RULES!$M$5:$M$304="")+(CASHBACK_RULES!$M$5:$M$304&lt;=$L398))&gt;0),0),0),0))))</f>
        <v>0</v>
      </c>
      <c r="AD398" s="51" t="str">
        <f>IF(OR($B398="",$D398=""),"",IFERROR(IF(INDEX(CARDS!$H$5:$H$34,MATCH($D398,CARDS!$A$5:$A$34,0))="","",IF(DAY($B398)&lt;=INDEX(CARDS!$H$5:$H$34,MATCH($D398,CARDS!$A$5:$A$34,0)),DATE(YEAR($B398),MONTH($B398),MIN(INDEX(CARDS!$H$5:$H$34,MATCH($D398,CARDS!$A$5:$A$34,0)),DAY(EOMONTH($B398,0)))),DATE(YEAR($B398),MONTH($B398)+1,MIN(INDEX(CARDS!$H$5:$H$34,MATCH($D398,CARDS!$A$5:$A$34,0)),DAY(EOMONTH($B398,1)))))),""))</f>
        <v/>
      </c>
      <c r="AE398" s="52" t="str">
        <f>IF($C398="","",$C398&amp;"|"&amp;COUNTIF($C$5:$C398,$C398))</f>
        <v/>
      </c>
      <c r="AF398" s="53">
        <f>IF($AC398&gt;0,SUMIFS(Q$4:Q397,$D$4:$D397,$D398,$Z$4:$Z397,$Z398,$C$4:$C397,$C398),0)</f>
        <v>0</v>
      </c>
      <c r="AG398" s="53">
        <f>IF($AC398&gt;0,SUMIFS(Q$4:Q397,$D$4:$D397,$D398,$C$4:$C397,$C398),0)</f>
        <v>0</v>
      </c>
      <c r="AH398" s="53">
        <f>IF($AC398&gt;0,SUMIFS(M$4:M397,$D$4:$D397,$D398,$Z$4:$Z397,$Z398,$C$4:$C397,$C398),0)</f>
        <v>0</v>
      </c>
      <c r="AI398" s="43">
        <f>IF(OR($C398="",$I398=""),0,IF(COUNTIFS($C$5:$C398,$C398,$I$5:$I398,$I398)=1,1,0))</f>
        <v>0</v>
      </c>
      <c r="AJ398" s="43" t="str">
        <f>IF($AI398=1,SUMIFS($AI$4:$AI397,$C$4:$C397,$C398)+1,"")</f>
        <v/>
      </c>
      <c r="AK398" s="43">
        <f>IF(OR($C398="",$K398=""),0,IF(COUNTIFS($C$5:$C398,$C398,$K$5:$K398,$K398)=1,1,0))</f>
        <v>0</v>
      </c>
      <c r="AL398" s="43" t="str">
        <f>IF($AK398=1,SUMIFS($AK$4:$AK397,$C$4:$C397,$C398)+1,"")</f>
        <v/>
      </c>
      <c r="AM398" s="43">
        <f>IF(OR($C398="",$G398=""),0,IF(COUNTIFS($C$5:$C398,$C398,$G$5:$G398,$G398)=1,1,0))</f>
        <v>0</v>
      </c>
      <c r="AN398" s="43" t="str">
        <f>IF($AM398=1,SUMIFS($AM$4:$AM397,$C$4:$C397,$C398)+1,"")</f>
        <v/>
      </c>
    </row>
    <row r="399">
      <c r="A399" s="44" t="str">
        <f>IF(OR($B399="",$D399=""),"","TX"&amp;TEXT(ROW()-4,"0000"))</f>
        <v/>
      </c>
      <c r="B399" s="42" t="n"/>
      <c r="C399" s="47" t="str">
        <f>IF($B399="","",YEAR($B399)*100+MONTH($B399))</f>
        <v/>
      </c>
      <c r="D399" s="37" t="n"/>
      <c r="E399" s="45" t="str">
        <f>IF($D399="","",IFERROR(INDEX(CARDS!$B$5:$B$34,MATCH($D399,CARDS!$A$5:$A$34,0)),"⚠ Card ID?"))</f>
        <v/>
      </c>
      <c r="F399" s="45" t="str">
        <f>IF($D399="","",IFERROR(INDEX(CARDS!$C$5:$C$34,MATCH($D399,CARDS!$A$5:$A$34,0)),"⚠ Card ID?"))</f>
        <v/>
      </c>
      <c r="G399" s="37" t="n"/>
      <c r="H399" s="37" t="n"/>
      <c r="I399" s="41" t="n"/>
      <c r="J399" s="45" t="str">
        <f>IF($I399="","",IFERROR(INDEX(MCC_MASTER!$B$5:$B$504,MATCH($I399,MCC_MASTER!$A$5:$A$504,0)),"⚠ MCC chưa có"))</f>
        <v/>
      </c>
      <c r="K399" s="45" t="str">
        <f>IF($I399="","",IFERROR(IF(INDEX(MCC_MASTER!$C$5:$C$504,MATCH($I399,MCC_MASTER!$A$5:$A$504,0))="","Chưa phân loại",INDEX(MCC_MASTER!$C$5:$C$504,MATCH($I399,MCC_MASTER!$A$5:$A$504,0))),"Chưa phân loại"))</f>
        <v/>
      </c>
      <c r="L399" s="40" t="n"/>
      <c r="M399" s="48" t="str">
        <f>IF(OR($B399="",$D399=""),"",IF($AC399=0,0,IF(ISNUMBER(INDEX(CASHBACK_RULES!$L$5:$L$304,$AC399)),MAX(0,MIN($L399,INDEX(CASHBACK_RULES!$L$5:$L$304,$AC399)-$AH399)),MAX(0,$L399))))</f>
        <v/>
      </c>
      <c r="N399" s="49" t="str">
        <f>IF(OR($B399="",$D399=""),"",IF($AC399&gt;0,INDEX(CASHBACK_RULES!$I$5:$I$304,$AC399),0))</f>
        <v/>
      </c>
      <c r="O399" s="48" t="str">
        <f>IF(OR($B399="",$D399=""),"",ROUND($M399*$N399,0))</f>
        <v/>
      </c>
      <c r="P399" s="48" t="str">
        <f>IF($AC399&gt;0,IF(ISNUMBER(INDEX(CASHBACK_RULES!$J$5:$J$304,$AC399)),INDEX(CASHBACK_RULES!$J$5:$J$304,$AC399),"∞"),"")</f>
        <v/>
      </c>
      <c r="Q399" s="48" t="str">
        <f>IF(OR($B399="",$D399=""),"",IF($AC399=0,0,MAX(0,MIN($O399,IF(ISNUMBER($P399),$P399-$AF399,1E+15),IF(ISNUMBER($AA399),$AA399-$AG399,1E+15)))))</f>
        <v/>
      </c>
      <c r="R399" s="48" t="str">
        <f>IF(OR($B399="",$D399=""),"",IF($AC399=0,"",IF(AND(NOT(ISNUMBER($P399)),NOT(ISNUMBER($AA399))),"∞",MAX(0,MIN(IF(ISNUMBER($P399),$P399-$AF399-$Q399,1E+15),IF(ISNUMBER($AA399),$AA399-$AG399-$Q399,1E+15))))))</f>
        <v/>
      </c>
      <c r="S399" s="47" t="str">
        <f>IF($AD399="","",YEAR($AD399)*100+MONTH($AD399))</f>
        <v/>
      </c>
      <c r="T399" s="50" t="str">
        <f>IF($AD399="","",IFERROR(IF(INDEX(CARDS!$I$5:$I$34,MATCH($D399,CARDS!$A$5:$A$34,0))="","",IF(INDEX(CARDS!$I$5:$I$34,MATCH($D399,CARDS!$A$5:$A$34,0))&gt;INDEX(CARDS!$H$5:$H$34,MATCH($D399,CARDS!$A$5:$A$34,0)),DATE(YEAR($AD399),MONTH($AD399),MIN(INDEX(CARDS!$I$5:$I$34,MATCH($D399,CARDS!$A$5:$A$34,0)),DAY(EOMONTH($AD399,0)))),DATE(YEAR($AD399),MONTH($AD399)+1,MIN(INDEX(CARDS!$I$5:$I$34,MATCH($D399,CARDS!$A$5:$A$34,0)),DAY(EOMONTH($AD399,1)))))),""))</f>
        <v/>
      </c>
      <c r="U399" s="38" t="n"/>
      <c r="V399" s="37" t="n"/>
      <c r="W399" s="38" t="n"/>
      <c r="X399" s="38" t="n"/>
      <c r="Y399" s="44" t="str">
        <f>IF($AC399&gt;0,INDEX(CASHBACK_RULES!$A$5:$A$304,$AC399),"")</f>
        <v/>
      </c>
      <c r="Z399" s="45" t="str">
        <f>IF($AC399&gt;0,INDEX(CASHBACK_RULES!$E$5:$E$304,$AC399)&amp;"","")</f>
        <v/>
      </c>
      <c r="AA399" s="48" t="str">
        <f>IF($AC399&gt;0,IF(ISNUMBER(INDEX(CASHBACK_RULES!$K$5:$K$304,$AC399)),INDEX(CASHBACK_RULES!$K$5:$K$304,$AC399),"∞"),"")</f>
        <v/>
      </c>
      <c r="AB399" s="44" t="str">
        <f>IF(OR($B399="",$D399=""),"",IF($U399="Cancelled","Đã hủy",IF($AC399=0,"Không được hoàn",IF($Q399=0,IF(OR($O399&gt;0,$M399&lt;$L399),"Đã đạt cap","Không được hoàn"),IF(OR($Q399&lt;$O399,$M399&lt;$L399),"Hoàn một phần","Được hoàn")))))</f>
        <v/>
      </c>
      <c r="AC399" s="43">
        <f>IF(OR($B399="",$D399="",$I399="",$L399=""),0,IF($U399="Cancelled",0,IF($W399&lt;&gt;"",IFERROR(IF(INDEX(CASHBACK_RULES!$B$5:$B$304,MATCH($W399,CASHBACK_RULES!$A$5:$A$304,0))=$D399,MATCH($W399,CASHBACK_RULES!$A$5:$A$304,0),0),0),IFERROR(MATCH(1,INDEX((CASHBACK_RULES!$B$5:$B$304=$D399)*(CASHBACK_RULES!$G$5:$G$304=$I399)*(((CASHBACK_RULES!$N$5:$N$304="")+(CASHBACK_RULES!$N$5:$N$304&lt;=$B399))&gt;0)*(((CASHBACK_RULES!$O$5:$O$304="")+(CASHBACK_RULES!$O$5:$O$304&gt;=$B399))&gt;0)*(((CASHBACK_RULES!$M$5:$M$304="")+(CASHBACK_RULES!$M$5:$M$304&lt;=$L399))&gt;0),0),0),0))))</f>
        <v>0</v>
      </c>
      <c r="AD399" s="51" t="str">
        <f>IF(OR($B399="",$D399=""),"",IFERROR(IF(INDEX(CARDS!$H$5:$H$34,MATCH($D399,CARDS!$A$5:$A$34,0))="","",IF(DAY($B399)&lt;=INDEX(CARDS!$H$5:$H$34,MATCH($D399,CARDS!$A$5:$A$34,0)),DATE(YEAR($B399),MONTH($B399),MIN(INDEX(CARDS!$H$5:$H$34,MATCH($D399,CARDS!$A$5:$A$34,0)),DAY(EOMONTH($B399,0)))),DATE(YEAR($B399),MONTH($B399)+1,MIN(INDEX(CARDS!$H$5:$H$34,MATCH($D399,CARDS!$A$5:$A$34,0)),DAY(EOMONTH($B399,1)))))),""))</f>
        <v/>
      </c>
      <c r="AE399" s="52" t="str">
        <f>IF($C399="","",$C399&amp;"|"&amp;COUNTIF($C$5:$C399,$C399))</f>
        <v/>
      </c>
      <c r="AF399" s="53">
        <f>IF($AC399&gt;0,SUMIFS(Q$4:Q398,$D$4:$D398,$D399,$Z$4:$Z398,$Z399,$C$4:$C398,$C399),0)</f>
        <v>0</v>
      </c>
      <c r="AG399" s="53">
        <f>IF($AC399&gt;0,SUMIFS(Q$4:Q398,$D$4:$D398,$D399,$C$4:$C398,$C399),0)</f>
        <v>0</v>
      </c>
      <c r="AH399" s="53">
        <f>IF($AC399&gt;0,SUMIFS(M$4:M398,$D$4:$D398,$D399,$Z$4:$Z398,$Z399,$C$4:$C398,$C399),0)</f>
        <v>0</v>
      </c>
      <c r="AI399" s="43">
        <f>IF(OR($C399="",$I399=""),0,IF(COUNTIFS($C$5:$C399,$C399,$I$5:$I399,$I399)=1,1,0))</f>
        <v>0</v>
      </c>
      <c r="AJ399" s="43" t="str">
        <f>IF($AI399=1,SUMIFS($AI$4:$AI398,$C$4:$C398,$C399)+1,"")</f>
        <v/>
      </c>
      <c r="AK399" s="43">
        <f>IF(OR($C399="",$K399=""),0,IF(COUNTIFS($C$5:$C399,$C399,$K$5:$K399,$K399)=1,1,0))</f>
        <v>0</v>
      </c>
      <c r="AL399" s="43" t="str">
        <f>IF($AK399=1,SUMIFS($AK$4:$AK398,$C$4:$C398,$C399)+1,"")</f>
        <v/>
      </c>
      <c r="AM399" s="43">
        <f>IF(OR($C399="",$G399=""),0,IF(COUNTIFS($C$5:$C399,$C399,$G$5:$G399,$G399)=1,1,0))</f>
        <v>0</v>
      </c>
      <c r="AN399" s="43" t="str">
        <f>IF($AM399=1,SUMIFS($AM$4:$AM398,$C$4:$C398,$C399)+1,"")</f>
        <v/>
      </c>
    </row>
    <row r="400">
      <c r="A400" s="44" t="str">
        <f>IF(OR($B400="",$D400=""),"","TX"&amp;TEXT(ROW()-4,"0000"))</f>
        <v/>
      </c>
      <c r="B400" s="42" t="n"/>
      <c r="C400" s="47" t="str">
        <f>IF($B400="","",YEAR($B400)*100+MONTH($B400))</f>
        <v/>
      </c>
      <c r="D400" s="37" t="n"/>
      <c r="E400" s="45" t="str">
        <f>IF($D400="","",IFERROR(INDEX(CARDS!$B$5:$B$34,MATCH($D400,CARDS!$A$5:$A$34,0)),"⚠ Card ID?"))</f>
        <v/>
      </c>
      <c r="F400" s="45" t="str">
        <f>IF($D400="","",IFERROR(INDEX(CARDS!$C$5:$C$34,MATCH($D400,CARDS!$A$5:$A$34,0)),"⚠ Card ID?"))</f>
        <v/>
      </c>
      <c r="G400" s="37" t="n"/>
      <c r="H400" s="37" t="n"/>
      <c r="I400" s="41" t="n"/>
      <c r="J400" s="45" t="str">
        <f>IF($I400="","",IFERROR(INDEX(MCC_MASTER!$B$5:$B$504,MATCH($I400,MCC_MASTER!$A$5:$A$504,0)),"⚠ MCC chưa có"))</f>
        <v/>
      </c>
      <c r="K400" s="45" t="str">
        <f>IF($I400="","",IFERROR(IF(INDEX(MCC_MASTER!$C$5:$C$504,MATCH($I400,MCC_MASTER!$A$5:$A$504,0))="","Chưa phân loại",INDEX(MCC_MASTER!$C$5:$C$504,MATCH($I400,MCC_MASTER!$A$5:$A$504,0))),"Chưa phân loại"))</f>
        <v/>
      </c>
      <c r="L400" s="40" t="n"/>
      <c r="M400" s="48" t="str">
        <f>IF(OR($B400="",$D400=""),"",IF($AC400=0,0,IF(ISNUMBER(INDEX(CASHBACK_RULES!$L$5:$L$304,$AC400)),MAX(0,MIN($L400,INDEX(CASHBACK_RULES!$L$5:$L$304,$AC400)-$AH400)),MAX(0,$L400))))</f>
        <v/>
      </c>
      <c r="N400" s="49" t="str">
        <f>IF(OR($B400="",$D400=""),"",IF($AC400&gt;0,INDEX(CASHBACK_RULES!$I$5:$I$304,$AC400),0))</f>
        <v/>
      </c>
      <c r="O400" s="48" t="str">
        <f>IF(OR($B400="",$D400=""),"",ROUND($M400*$N400,0))</f>
        <v/>
      </c>
      <c r="P400" s="48" t="str">
        <f>IF($AC400&gt;0,IF(ISNUMBER(INDEX(CASHBACK_RULES!$J$5:$J$304,$AC400)),INDEX(CASHBACK_RULES!$J$5:$J$304,$AC400),"∞"),"")</f>
        <v/>
      </c>
      <c r="Q400" s="48" t="str">
        <f>IF(OR($B400="",$D400=""),"",IF($AC400=0,0,MAX(0,MIN($O400,IF(ISNUMBER($P400),$P400-$AF400,1E+15),IF(ISNUMBER($AA400),$AA400-$AG400,1E+15)))))</f>
        <v/>
      </c>
      <c r="R400" s="48" t="str">
        <f>IF(OR($B400="",$D400=""),"",IF($AC400=0,"",IF(AND(NOT(ISNUMBER($P400)),NOT(ISNUMBER($AA400))),"∞",MAX(0,MIN(IF(ISNUMBER($P400),$P400-$AF400-$Q400,1E+15),IF(ISNUMBER($AA400),$AA400-$AG400-$Q400,1E+15))))))</f>
        <v/>
      </c>
      <c r="S400" s="47" t="str">
        <f>IF($AD400="","",YEAR($AD400)*100+MONTH($AD400))</f>
        <v/>
      </c>
      <c r="T400" s="50" t="str">
        <f>IF($AD400="","",IFERROR(IF(INDEX(CARDS!$I$5:$I$34,MATCH($D400,CARDS!$A$5:$A$34,0))="","",IF(INDEX(CARDS!$I$5:$I$34,MATCH($D400,CARDS!$A$5:$A$34,0))&gt;INDEX(CARDS!$H$5:$H$34,MATCH($D400,CARDS!$A$5:$A$34,0)),DATE(YEAR($AD400),MONTH($AD400),MIN(INDEX(CARDS!$I$5:$I$34,MATCH($D400,CARDS!$A$5:$A$34,0)),DAY(EOMONTH($AD400,0)))),DATE(YEAR($AD400),MONTH($AD400)+1,MIN(INDEX(CARDS!$I$5:$I$34,MATCH($D400,CARDS!$A$5:$A$34,0)),DAY(EOMONTH($AD400,1)))))),""))</f>
        <v/>
      </c>
      <c r="U400" s="38" t="n"/>
      <c r="V400" s="37" t="n"/>
      <c r="W400" s="38" t="n"/>
      <c r="X400" s="38" t="n"/>
      <c r="Y400" s="44" t="str">
        <f>IF($AC400&gt;0,INDEX(CASHBACK_RULES!$A$5:$A$304,$AC400),"")</f>
        <v/>
      </c>
      <c r="Z400" s="45" t="str">
        <f>IF($AC400&gt;0,INDEX(CASHBACK_RULES!$E$5:$E$304,$AC400)&amp;"","")</f>
        <v/>
      </c>
      <c r="AA400" s="48" t="str">
        <f>IF($AC400&gt;0,IF(ISNUMBER(INDEX(CASHBACK_RULES!$K$5:$K$304,$AC400)),INDEX(CASHBACK_RULES!$K$5:$K$304,$AC400),"∞"),"")</f>
        <v/>
      </c>
      <c r="AB400" s="44" t="str">
        <f>IF(OR($B400="",$D400=""),"",IF($U400="Cancelled","Đã hủy",IF($AC400=0,"Không được hoàn",IF($Q400=0,IF(OR($O400&gt;0,$M400&lt;$L400),"Đã đạt cap","Không được hoàn"),IF(OR($Q400&lt;$O400,$M400&lt;$L400),"Hoàn một phần","Được hoàn")))))</f>
        <v/>
      </c>
      <c r="AC400" s="43">
        <f>IF(OR($B400="",$D400="",$I400="",$L400=""),0,IF($U400="Cancelled",0,IF($W400&lt;&gt;"",IFERROR(IF(INDEX(CASHBACK_RULES!$B$5:$B$304,MATCH($W400,CASHBACK_RULES!$A$5:$A$304,0))=$D400,MATCH($W400,CASHBACK_RULES!$A$5:$A$304,0),0),0),IFERROR(MATCH(1,INDEX((CASHBACK_RULES!$B$5:$B$304=$D400)*(CASHBACK_RULES!$G$5:$G$304=$I400)*(((CASHBACK_RULES!$N$5:$N$304="")+(CASHBACK_RULES!$N$5:$N$304&lt;=$B400))&gt;0)*(((CASHBACK_RULES!$O$5:$O$304="")+(CASHBACK_RULES!$O$5:$O$304&gt;=$B400))&gt;0)*(((CASHBACK_RULES!$M$5:$M$304="")+(CASHBACK_RULES!$M$5:$M$304&lt;=$L400))&gt;0),0),0),0))))</f>
        <v>0</v>
      </c>
      <c r="AD400" s="51" t="str">
        <f>IF(OR($B400="",$D400=""),"",IFERROR(IF(INDEX(CARDS!$H$5:$H$34,MATCH($D400,CARDS!$A$5:$A$34,0))="","",IF(DAY($B400)&lt;=INDEX(CARDS!$H$5:$H$34,MATCH($D400,CARDS!$A$5:$A$34,0)),DATE(YEAR($B400),MONTH($B400),MIN(INDEX(CARDS!$H$5:$H$34,MATCH($D400,CARDS!$A$5:$A$34,0)),DAY(EOMONTH($B400,0)))),DATE(YEAR($B400),MONTH($B400)+1,MIN(INDEX(CARDS!$H$5:$H$34,MATCH($D400,CARDS!$A$5:$A$34,0)),DAY(EOMONTH($B400,1)))))),""))</f>
        <v/>
      </c>
      <c r="AE400" s="52" t="str">
        <f>IF($C400="","",$C400&amp;"|"&amp;COUNTIF($C$5:$C400,$C400))</f>
        <v/>
      </c>
      <c r="AF400" s="53">
        <f>IF($AC400&gt;0,SUMIFS(Q$4:Q399,$D$4:$D399,$D400,$Z$4:$Z399,$Z400,$C$4:$C399,$C400),0)</f>
        <v>0</v>
      </c>
      <c r="AG400" s="53">
        <f>IF($AC400&gt;0,SUMIFS(Q$4:Q399,$D$4:$D399,$D400,$C$4:$C399,$C400),0)</f>
        <v>0</v>
      </c>
      <c r="AH400" s="53">
        <f>IF($AC400&gt;0,SUMIFS(M$4:M399,$D$4:$D399,$D400,$Z$4:$Z399,$Z400,$C$4:$C399,$C400),0)</f>
        <v>0</v>
      </c>
      <c r="AI400" s="43">
        <f>IF(OR($C400="",$I400=""),0,IF(COUNTIFS($C$5:$C400,$C400,$I$5:$I400,$I400)=1,1,0))</f>
        <v>0</v>
      </c>
      <c r="AJ400" s="43" t="str">
        <f>IF($AI400=1,SUMIFS($AI$4:$AI399,$C$4:$C399,$C400)+1,"")</f>
        <v/>
      </c>
      <c r="AK400" s="43">
        <f>IF(OR($C400="",$K400=""),0,IF(COUNTIFS($C$5:$C400,$C400,$K$5:$K400,$K400)=1,1,0))</f>
        <v>0</v>
      </c>
      <c r="AL400" s="43" t="str">
        <f>IF($AK400=1,SUMIFS($AK$4:$AK399,$C$4:$C399,$C400)+1,"")</f>
        <v/>
      </c>
      <c r="AM400" s="43">
        <f>IF(OR($C400="",$G400=""),0,IF(COUNTIFS($C$5:$C400,$C400,$G$5:$G400,$G400)=1,1,0))</f>
        <v>0</v>
      </c>
      <c r="AN400" s="43" t="str">
        <f>IF($AM400=1,SUMIFS($AM$4:$AM399,$C$4:$C399,$C400)+1,"")</f>
        <v/>
      </c>
    </row>
    <row r="401">
      <c r="A401" s="44" t="str">
        <f>IF(OR($B401="",$D401=""),"","TX"&amp;TEXT(ROW()-4,"0000"))</f>
        <v/>
      </c>
      <c r="B401" s="42" t="n"/>
      <c r="C401" s="47" t="str">
        <f>IF($B401="","",YEAR($B401)*100+MONTH($B401))</f>
        <v/>
      </c>
      <c r="D401" s="37" t="n"/>
      <c r="E401" s="45" t="str">
        <f>IF($D401="","",IFERROR(INDEX(CARDS!$B$5:$B$34,MATCH($D401,CARDS!$A$5:$A$34,0)),"⚠ Card ID?"))</f>
        <v/>
      </c>
      <c r="F401" s="45" t="str">
        <f>IF($D401="","",IFERROR(INDEX(CARDS!$C$5:$C$34,MATCH($D401,CARDS!$A$5:$A$34,0)),"⚠ Card ID?"))</f>
        <v/>
      </c>
      <c r="G401" s="37" t="n"/>
      <c r="H401" s="37" t="n"/>
      <c r="I401" s="41" t="n"/>
      <c r="J401" s="45" t="str">
        <f>IF($I401="","",IFERROR(INDEX(MCC_MASTER!$B$5:$B$504,MATCH($I401,MCC_MASTER!$A$5:$A$504,0)),"⚠ MCC chưa có"))</f>
        <v/>
      </c>
      <c r="K401" s="45" t="str">
        <f>IF($I401="","",IFERROR(IF(INDEX(MCC_MASTER!$C$5:$C$504,MATCH($I401,MCC_MASTER!$A$5:$A$504,0))="","Chưa phân loại",INDEX(MCC_MASTER!$C$5:$C$504,MATCH($I401,MCC_MASTER!$A$5:$A$504,0))),"Chưa phân loại"))</f>
        <v/>
      </c>
      <c r="L401" s="40" t="n"/>
      <c r="M401" s="48" t="str">
        <f>IF(OR($B401="",$D401=""),"",IF($AC401=0,0,IF(ISNUMBER(INDEX(CASHBACK_RULES!$L$5:$L$304,$AC401)),MAX(0,MIN($L401,INDEX(CASHBACK_RULES!$L$5:$L$304,$AC401)-$AH401)),MAX(0,$L401))))</f>
        <v/>
      </c>
      <c r="N401" s="49" t="str">
        <f>IF(OR($B401="",$D401=""),"",IF($AC401&gt;0,INDEX(CASHBACK_RULES!$I$5:$I$304,$AC401),0))</f>
        <v/>
      </c>
      <c r="O401" s="48" t="str">
        <f>IF(OR($B401="",$D401=""),"",ROUND($M401*$N401,0))</f>
        <v/>
      </c>
      <c r="P401" s="48" t="str">
        <f>IF($AC401&gt;0,IF(ISNUMBER(INDEX(CASHBACK_RULES!$J$5:$J$304,$AC401)),INDEX(CASHBACK_RULES!$J$5:$J$304,$AC401),"∞"),"")</f>
        <v/>
      </c>
      <c r="Q401" s="48" t="str">
        <f>IF(OR($B401="",$D401=""),"",IF($AC401=0,0,MAX(0,MIN($O401,IF(ISNUMBER($P401),$P401-$AF401,1E+15),IF(ISNUMBER($AA401),$AA401-$AG401,1E+15)))))</f>
        <v/>
      </c>
      <c r="R401" s="48" t="str">
        <f>IF(OR($B401="",$D401=""),"",IF($AC401=0,"",IF(AND(NOT(ISNUMBER($P401)),NOT(ISNUMBER($AA401))),"∞",MAX(0,MIN(IF(ISNUMBER($P401),$P401-$AF401-$Q401,1E+15),IF(ISNUMBER($AA401),$AA401-$AG401-$Q401,1E+15))))))</f>
        <v/>
      </c>
      <c r="S401" s="47" t="str">
        <f>IF($AD401="","",YEAR($AD401)*100+MONTH($AD401))</f>
        <v/>
      </c>
      <c r="T401" s="50" t="str">
        <f>IF($AD401="","",IFERROR(IF(INDEX(CARDS!$I$5:$I$34,MATCH($D401,CARDS!$A$5:$A$34,0))="","",IF(INDEX(CARDS!$I$5:$I$34,MATCH($D401,CARDS!$A$5:$A$34,0))&gt;INDEX(CARDS!$H$5:$H$34,MATCH($D401,CARDS!$A$5:$A$34,0)),DATE(YEAR($AD401),MONTH($AD401),MIN(INDEX(CARDS!$I$5:$I$34,MATCH($D401,CARDS!$A$5:$A$34,0)),DAY(EOMONTH($AD401,0)))),DATE(YEAR($AD401),MONTH($AD401)+1,MIN(INDEX(CARDS!$I$5:$I$34,MATCH($D401,CARDS!$A$5:$A$34,0)),DAY(EOMONTH($AD401,1)))))),""))</f>
        <v/>
      </c>
      <c r="U401" s="38" t="n"/>
      <c r="V401" s="37" t="n"/>
      <c r="W401" s="38" t="n"/>
      <c r="X401" s="38" t="n"/>
      <c r="Y401" s="44" t="str">
        <f>IF($AC401&gt;0,INDEX(CASHBACK_RULES!$A$5:$A$304,$AC401),"")</f>
        <v/>
      </c>
      <c r="Z401" s="45" t="str">
        <f>IF($AC401&gt;0,INDEX(CASHBACK_RULES!$E$5:$E$304,$AC401)&amp;"","")</f>
        <v/>
      </c>
      <c r="AA401" s="48" t="str">
        <f>IF($AC401&gt;0,IF(ISNUMBER(INDEX(CASHBACK_RULES!$K$5:$K$304,$AC401)),INDEX(CASHBACK_RULES!$K$5:$K$304,$AC401),"∞"),"")</f>
        <v/>
      </c>
      <c r="AB401" s="44" t="str">
        <f>IF(OR($B401="",$D401=""),"",IF($U401="Cancelled","Đã hủy",IF($AC401=0,"Không được hoàn",IF($Q401=0,IF(OR($O401&gt;0,$M401&lt;$L401),"Đã đạt cap","Không được hoàn"),IF(OR($Q401&lt;$O401,$M401&lt;$L401),"Hoàn một phần","Được hoàn")))))</f>
        <v/>
      </c>
      <c r="AC401" s="43">
        <f>IF(OR($B401="",$D401="",$I401="",$L401=""),0,IF($U401="Cancelled",0,IF($W401&lt;&gt;"",IFERROR(IF(INDEX(CASHBACK_RULES!$B$5:$B$304,MATCH($W401,CASHBACK_RULES!$A$5:$A$304,0))=$D401,MATCH($W401,CASHBACK_RULES!$A$5:$A$304,0),0),0),IFERROR(MATCH(1,INDEX((CASHBACK_RULES!$B$5:$B$304=$D401)*(CASHBACK_RULES!$G$5:$G$304=$I401)*(((CASHBACK_RULES!$N$5:$N$304="")+(CASHBACK_RULES!$N$5:$N$304&lt;=$B401))&gt;0)*(((CASHBACK_RULES!$O$5:$O$304="")+(CASHBACK_RULES!$O$5:$O$304&gt;=$B401))&gt;0)*(((CASHBACK_RULES!$M$5:$M$304="")+(CASHBACK_RULES!$M$5:$M$304&lt;=$L401))&gt;0),0),0),0))))</f>
        <v>0</v>
      </c>
      <c r="AD401" s="51" t="str">
        <f>IF(OR($B401="",$D401=""),"",IFERROR(IF(INDEX(CARDS!$H$5:$H$34,MATCH($D401,CARDS!$A$5:$A$34,0))="","",IF(DAY($B401)&lt;=INDEX(CARDS!$H$5:$H$34,MATCH($D401,CARDS!$A$5:$A$34,0)),DATE(YEAR($B401),MONTH($B401),MIN(INDEX(CARDS!$H$5:$H$34,MATCH($D401,CARDS!$A$5:$A$34,0)),DAY(EOMONTH($B401,0)))),DATE(YEAR($B401),MONTH($B401)+1,MIN(INDEX(CARDS!$H$5:$H$34,MATCH($D401,CARDS!$A$5:$A$34,0)),DAY(EOMONTH($B401,1)))))),""))</f>
        <v/>
      </c>
      <c r="AE401" s="52" t="str">
        <f>IF($C401="","",$C401&amp;"|"&amp;COUNTIF($C$5:$C401,$C401))</f>
        <v/>
      </c>
      <c r="AF401" s="53">
        <f>IF($AC401&gt;0,SUMIFS(Q$4:Q400,$D$4:$D400,$D401,$Z$4:$Z400,$Z401,$C$4:$C400,$C401),0)</f>
        <v>0</v>
      </c>
      <c r="AG401" s="53">
        <f>IF($AC401&gt;0,SUMIFS(Q$4:Q400,$D$4:$D400,$D401,$C$4:$C400,$C401),0)</f>
        <v>0</v>
      </c>
      <c r="AH401" s="53">
        <f>IF($AC401&gt;0,SUMIFS(M$4:M400,$D$4:$D400,$D401,$Z$4:$Z400,$Z401,$C$4:$C400,$C401),0)</f>
        <v>0</v>
      </c>
      <c r="AI401" s="43">
        <f>IF(OR($C401="",$I401=""),0,IF(COUNTIFS($C$5:$C401,$C401,$I$5:$I401,$I401)=1,1,0))</f>
        <v>0</v>
      </c>
      <c r="AJ401" s="43" t="str">
        <f>IF($AI401=1,SUMIFS($AI$4:$AI400,$C$4:$C400,$C401)+1,"")</f>
        <v/>
      </c>
      <c r="AK401" s="43">
        <f>IF(OR($C401="",$K401=""),0,IF(COUNTIFS($C$5:$C401,$C401,$K$5:$K401,$K401)=1,1,0))</f>
        <v>0</v>
      </c>
      <c r="AL401" s="43" t="str">
        <f>IF($AK401=1,SUMIFS($AK$4:$AK400,$C$4:$C400,$C401)+1,"")</f>
        <v/>
      </c>
      <c r="AM401" s="43">
        <f>IF(OR($C401="",$G401=""),0,IF(COUNTIFS($C$5:$C401,$C401,$G$5:$G401,$G401)=1,1,0))</f>
        <v>0</v>
      </c>
      <c r="AN401" s="43" t="str">
        <f>IF($AM401=1,SUMIFS($AM$4:$AM400,$C$4:$C400,$C401)+1,"")</f>
        <v/>
      </c>
    </row>
    <row r="402">
      <c r="A402" s="44" t="str">
        <f>IF(OR($B402="",$D402=""),"","TX"&amp;TEXT(ROW()-4,"0000"))</f>
        <v/>
      </c>
      <c r="B402" s="42" t="n"/>
      <c r="C402" s="47" t="str">
        <f>IF($B402="","",YEAR($B402)*100+MONTH($B402))</f>
        <v/>
      </c>
      <c r="D402" s="37" t="n"/>
      <c r="E402" s="45" t="str">
        <f>IF($D402="","",IFERROR(INDEX(CARDS!$B$5:$B$34,MATCH($D402,CARDS!$A$5:$A$34,0)),"⚠ Card ID?"))</f>
        <v/>
      </c>
      <c r="F402" s="45" t="str">
        <f>IF($D402="","",IFERROR(INDEX(CARDS!$C$5:$C$34,MATCH($D402,CARDS!$A$5:$A$34,0)),"⚠ Card ID?"))</f>
        <v/>
      </c>
      <c r="G402" s="37" t="n"/>
      <c r="H402" s="37" t="n"/>
      <c r="I402" s="41" t="n"/>
      <c r="J402" s="45" t="str">
        <f>IF($I402="","",IFERROR(INDEX(MCC_MASTER!$B$5:$B$504,MATCH($I402,MCC_MASTER!$A$5:$A$504,0)),"⚠ MCC chưa có"))</f>
        <v/>
      </c>
      <c r="K402" s="45" t="str">
        <f>IF($I402="","",IFERROR(IF(INDEX(MCC_MASTER!$C$5:$C$504,MATCH($I402,MCC_MASTER!$A$5:$A$504,0))="","Chưa phân loại",INDEX(MCC_MASTER!$C$5:$C$504,MATCH($I402,MCC_MASTER!$A$5:$A$504,0))),"Chưa phân loại"))</f>
        <v/>
      </c>
      <c r="L402" s="40" t="n"/>
      <c r="M402" s="48" t="str">
        <f>IF(OR($B402="",$D402=""),"",IF($AC402=0,0,IF(ISNUMBER(INDEX(CASHBACK_RULES!$L$5:$L$304,$AC402)),MAX(0,MIN($L402,INDEX(CASHBACK_RULES!$L$5:$L$304,$AC402)-$AH402)),MAX(0,$L402))))</f>
        <v/>
      </c>
      <c r="N402" s="49" t="str">
        <f>IF(OR($B402="",$D402=""),"",IF($AC402&gt;0,INDEX(CASHBACK_RULES!$I$5:$I$304,$AC402),0))</f>
        <v/>
      </c>
      <c r="O402" s="48" t="str">
        <f>IF(OR($B402="",$D402=""),"",ROUND($M402*$N402,0))</f>
        <v/>
      </c>
      <c r="P402" s="48" t="str">
        <f>IF($AC402&gt;0,IF(ISNUMBER(INDEX(CASHBACK_RULES!$J$5:$J$304,$AC402)),INDEX(CASHBACK_RULES!$J$5:$J$304,$AC402),"∞"),"")</f>
        <v/>
      </c>
      <c r="Q402" s="48" t="str">
        <f>IF(OR($B402="",$D402=""),"",IF($AC402=0,0,MAX(0,MIN($O402,IF(ISNUMBER($P402),$P402-$AF402,1E+15),IF(ISNUMBER($AA402),$AA402-$AG402,1E+15)))))</f>
        <v/>
      </c>
      <c r="R402" s="48" t="str">
        <f>IF(OR($B402="",$D402=""),"",IF($AC402=0,"",IF(AND(NOT(ISNUMBER($P402)),NOT(ISNUMBER($AA402))),"∞",MAX(0,MIN(IF(ISNUMBER($P402),$P402-$AF402-$Q402,1E+15),IF(ISNUMBER($AA402),$AA402-$AG402-$Q402,1E+15))))))</f>
        <v/>
      </c>
      <c r="S402" s="47" t="str">
        <f>IF($AD402="","",YEAR($AD402)*100+MONTH($AD402))</f>
        <v/>
      </c>
      <c r="T402" s="50" t="str">
        <f>IF($AD402="","",IFERROR(IF(INDEX(CARDS!$I$5:$I$34,MATCH($D402,CARDS!$A$5:$A$34,0))="","",IF(INDEX(CARDS!$I$5:$I$34,MATCH($D402,CARDS!$A$5:$A$34,0))&gt;INDEX(CARDS!$H$5:$H$34,MATCH($D402,CARDS!$A$5:$A$34,0)),DATE(YEAR($AD402),MONTH($AD402),MIN(INDEX(CARDS!$I$5:$I$34,MATCH($D402,CARDS!$A$5:$A$34,0)),DAY(EOMONTH($AD402,0)))),DATE(YEAR($AD402),MONTH($AD402)+1,MIN(INDEX(CARDS!$I$5:$I$34,MATCH($D402,CARDS!$A$5:$A$34,0)),DAY(EOMONTH($AD402,1)))))),""))</f>
        <v/>
      </c>
      <c r="U402" s="38" t="n"/>
      <c r="V402" s="37" t="n"/>
      <c r="W402" s="38" t="n"/>
      <c r="X402" s="38" t="n"/>
      <c r="Y402" s="44" t="str">
        <f>IF($AC402&gt;0,INDEX(CASHBACK_RULES!$A$5:$A$304,$AC402),"")</f>
        <v/>
      </c>
      <c r="Z402" s="45" t="str">
        <f>IF($AC402&gt;0,INDEX(CASHBACK_RULES!$E$5:$E$304,$AC402)&amp;"","")</f>
        <v/>
      </c>
      <c r="AA402" s="48" t="str">
        <f>IF($AC402&gt;0,IF(ISNUMBER(INDEX(CASHBACK_RULES!$K$5:$K$304,$AC402)),INDEX(CASHBACK_RULES!$K$5:$K$304,$AC402),"∞"),"")</f>
        <v/>
      </c>
      <c r="AB402" s="44" t="str">
        <f>IF(OR($B402="",$D402=""),"",IF($U402="Cancelled","Đã hủy",IF($AC402=0,"Không được hoàn",IF($Q402=0,IF(OR($O402&gt;0,$M402&lt;$L402),"Đã đạt cap","Không được hoàn"),IF(OR($Q402&lt;$O402,$M402&lt;$L402),"Hoàn một phần","Được hoàn")))))</f>
        <v/>
      </c>
      <c r="AC402" s="43">
        <f>IF(OR($B402="",$D402="",$I402="",$L402=""),0,IF($U402="Cancelled",0,IF($W402&lt;&gt;"",IFERROR(IF(INDEX(CASHBACK_RULES!$B$5:$B$304,MATCH($W402,CASHBACK_RULES!$A$5:$A$304,0))=$D402,MATCH($W402,CASHBACK_RULES!$A$5:$A$304,0),0),0),IFERROR(MATCH(1,INDEX((CASHBACK_RULES!$B$5:$B$304=$D402)*(CASHBACK_RULES!$G$5:$G$304=$I402)*(((CASHBACK_RULES!$N$5:$N$304="")+(CASHBACK_RULES!$N$5:$N$304&lt;=$B402))&gt;0)*(((CASHBACK_RULES!$O$5:$O$304="")+(CASHBACK_RULES!$O$5:$O$304&gt;=$B402))&gt;0)*(((CASHBACK_RULES!$M$5:$M$304="")+(CASHBACK_RULES!$M$5:$M$304&lt;=$L402))&gt;0),0),0),0))))</f>
        <v>0</v>
      </c>
      <c r="AD402" s="51" t="str">
        <f>IF(OR($B402="",$D402=""),"",IFERROR(IF(INDEX(CARDS!$H$5:$H$34,MATCH($D402,CARDS!$A$5:$A$34,0))="","",IF(DAY($B402)&lt;=INDEX(CARDS!$H$5:$H$34,MATCH($D402,CARDS!$A$5:$A$34,0)),DATE(YEAR($B402),MONTH($B402),MIN(INDEX(CARDS!$H$5:$H$34,MATCH($D402,CARDS!$A$5:$A$34,0)),DAY(EOMONTH($B402,0)))),DATE(YEAR($B402),MONTH($B402)+1,MIN(INDEX(CARDS!$H$5:$H$34,MATCH($D402,CARDS!$A$5:$A$34,0)),DAY(EOMONTH($B402,1)))))),""))</f>
        <v/>
      </c>
      <c r="AE402" s="52" t="str">
        <f>IF($C402="","",$C402&amp;"|"&amp;COUNTIF($C$5:$C402,$C402))</f>
        <v/>
      </c>
      <c r="AF402" s="53">
        <f>IF($AC402&gt;0,SUMIFS(Q$4:Q401,$D$4:$D401,$D402,$Z$4:$Z401,$Z402,$C$4:$C401,$C402),0)</f>
        <v>0</v>
      </c>
      <c r="AG402" s="53">
        <f>IF($AC402&gt;0,SUMIFS(Q$4:Q401,$D$4:$D401,$D402,$C$4:$C401,$C402),0)</f>
        <v>0</v>
      </c>
      <c r="AH402" s="53">
        <f>IF($AC402&gt;0,SUMIFS(M$4:M401,$D$4:$D401,$D402,$Z$4:$Z401,$Z402,$C$4:$C401,$C402),0)</f>
        <v>0</v>
      </c>
      <c r="AI402" s="43">
        <f>IF(OR($C402="",$I402=""),0,IF(COUNTIFS($C$5:$C402,$C402,$I$5:$I402,$I402)=1,1,0))</f>
        <v>0</v>
      </c>
      <c r="AJ402" s="43" t="str">
        <f>IF($AI402=1,SUMIFS($AI$4:$AI401,$C$4:$C401,$C402)+1,"")</f>
        <v/>
      </c>
      <c r="AK402" s="43">
        <f>IF(OR($C402="",$K402=""),0,IF(COUNTIFS($C$5:$C402,$C402,$K$5:$K402,$K402)=1,1,0))</f>
        <v>0</v>
      </c>
      <c r="AL402" s="43" t="str">
        <f>IF($AK402=1,SUMIFS($AK$4:$AK401,$C$4:$C401,$C402)+1,"")</f>
        <v/>
      </c>
      <c r="AM402" s="43">
        <f>IF(OR($C402="",$G402=""),0,IF(COUNTIFS($C$5:$C402,$C402,$G$5:$G402,$G402)=1,1,0))</f>
        <v>0</v>
      </c>
      <c r="AN402" s="43" t="str">
        <f>IF($AM402=1,SUMIFS($AM$4:$AM401,$C$4:$C401,$C402)+1,"")</f>
        <v/>
      </c>
    </row>
    <row r="403">
      <c r="A403" s="44" t="str">
        <f>IF(OR($B403="",$D403=""),"","TX"&amp;TEXT(ROW()-4,"0000"))</f>
        <v/>
      </c>
      <c r="B403" s="42" t="n"/>
      <c r="C403" s="47" t="str">
        <f>IF($B403="","",YEAR($B403)*100+MONTH($B403))</f>
        <v/>
      </c>
      <c r="D403" s="37" t="n"/>
      <c r="E403" s="45" t="str">
        <f>IF($D403="","",IFERROR(INDEX(CARDS!$B$5:$B$34,MATCH($D403,CARDS!$A$5:$A$34,0)),"⚠ Card ID?"))</f>
        <v/>
      </c>
      <c r="F403" s="45" t="str">
        <f>IF($D403="","",IFERROR(INDEX(CARDS!$C$5:$C$34,MATCH($D403,CARDS!$A$5:$A$34,0)),"⚠ Card ID?"))</f>
        <v/>
      </c>
      <c r="G403" s="37" t="n"/>
      <c r="H403" s="37" t="n"/>
      <c r="I403" s="41" t="n"/>
      <c r="J403" s="45" t="str">
        <f>IF($I403="","",IFERROR(INDEX(MCC_MASTER!$B$5:$B$504,MATCH($I403,MCC_MASTER!$A$5:$A$504,0)),"⚠ MCC chưa có"))</f>
        <v/>
      </c>
      <c r="K403" s="45" t="str">
        <f>IF($I403="","",IFERROR(IF(INDEX(MCC_MASTER!$C$5:$C$504,MATCH($I403,MCC_MASTER!$A$5:$A$504,0))="","Chưa phân loại",INDEX(MCC_MASTER!$C$5:$C$504,MATCH($I403,MCC_MASTER!$A$5:$A$504,0))),"Chưa phân loại"))</f>
        <v/>
      </c>
      <c r="L403" s="40" t="n"/>
      <c r="M403" s="48" t="str">
        <f>IF(OR($B403="",$D403=""),"",IF($AC403=0,0,IF(ISNUMBER(INDEX(CASHBACK_RULES!$L$5:$L$304,$AC403)),MAX(0,MIN($L403,INDEX(CASHBACK_RULES!$L$5:$L$304,$AC403)-$AH403)),MAX(0,$L403))))</f>
        <v/>
      </c>
      <c r="N403" s="49" t="str">
        <f>IF(OR($B403="",$D403=""),"",IF($AC403&gt;0,INDEX(CASHBACK_RULES!$I$5:$I$304,$AC403),0))</f>
        <v/>
      </c>
      <c r="O403" s="48" t="str">
        <f>IF(OR($B403="",$D403=""),"",ROUND($M403*$N403,0))</f>
        <v/>
      </c>
      <c r="P403" s="48" t="str">
        <f>IF($AC403&gt;0,IF(ISNUMBER(INDEX(CASHBACK_RULES!$J$5:$J$304,$AC403)),INDEX(CASHBACK_RULES!$J$5:$J$304,$AC403),"∞"),"")</f>
        <v/>
      </c>
      <c r="Q403" s="48" t="str">
        <f>IF(OR($B403="",$D403=""),"",IF($AC403=0,0,MAX(0,MIN($O403,IF(ISNUMBER($P403),$P403-$AF403,1E+15),IF(ISNUMBER($AA403),$AA403-$AG403,1E+15)))))</f>
        <v/>
      </c>
      <c r="R403" s="48" t="str">
        <f>IF(OR($B403="",$D403=""),"",IF($AC403=0,"",IF(AND(NOT(ISNUMBER($P403)),NOT(ISNUMBER($AA403))),"∞",MAX(0,MIN(IF(ISNUMBER($P403),$P403-$AF403-$Q403,1E+15),IF(ISNUMBER($AA403),$AA403-$AG403-$Q403,1E+15))))))</f>
        <v/>
      </c>
      <c r="S403" s="47" t="str">
        <f>IF($AD403="","",YEAR($AD403)*100+MONTH($AD403))</f>
        <v/>
      </c>
      <c r="T403" s="50" t="str">
        <f>IF($AD403="","",IFERROR(IF(INDEX(CARDS!$I$5:$I$34,MATCH($D403,CARDS!$A$5:$A$34,0))="","",IF(INDEX(CARDS!$I$5:$I$34,MATCH($D403,CARDS!$A$5:$A$34,0))&gt;INDEX(CARDS!$H$5:$H$34,MATCH($D403,CARDS!$A$5:$A$34,0)),DATE(YEAR($AD403),MONTH($AD403),MIN(INDEX(CARDS!$I$5:$I$34,MATCH($D403,CARDS!$A$5:$A$34,0)),DAY(EOMONTH($AD403,0)))),DATE(YEAR($AD403),MONTH($AD403)+1,MIN(INDEX(CARDS!$I$5:$I$34,MATCH($D403,CARDS!$A$5:$A$34,0)),DAY(EOMONTH($AD403,1)))))),""))</f>
        <v/>
      </c>
      <c r="U403" s="38" t="n"/>
      <c r="V403" s="37" t="n"/>
      <c r="W403" s="38" t="n"/>
      <c r="X403" s="38" t="n"/>
      <c r="Y403" s="44" t="str">
        <f>IF($AC403&gt;0,INDEX(CASHBACK_RULES!$A$5:$A$304,$AC403),"")</f>
        <v/>
      </c>
      <c r="Z403" s="45" t="str">
        <f>IF($AC403&gt;0,INDEX(CASHBACK_RULES!$E$5:$E$304,$AC403)&amp;"","")</f>
        <v/>
      </c>
      <c r="AA403" s="48" t="str">
        <f>IF($AC403&gt;0,IF(ISNUMBER(INDEX(CASHBACK_RULES!$K$5:$K$304,$AC403)),INDEX(CASHBACK_RULES!$K$5:$K$304,$AC403),"∞"),"")</f>
        <v/>
      </c>
      <c r="AB403" s="44" t="str">
        <f>IF(OR($B403="",$D403=""),"",IF($U403="Cancelled","Đã hủy",IF($AC403=0,"Không được hoàn",IF($Q403=0,IF(OR($O403&gt;0,$M403&lt;$L403),"Đã đạt cap","Không được hoàn"),IF(OR($Q403&lt;$O403,$M403&lt;$L403),"Hoàn một phần","Được hoàn")))))</f>
        <v/>
      </c>
      <c r="AC403" s="43">
        <f>IF(OR($B403="",$D403="",$I403="",$L403=""),0,IF($U403="Cancelled",0,IF($W403&lt;&gt;"",IFERROR(IF(INDEX(CASHBACK_RULES!$B$5:$B$304,MATCH($W403,CASHBACK_RULES!$A$5:$A$304,0))=$D403,MATCH($W403,CASHBACK_RULES!$A$5:$A$304,0),0),0),IFERROR(MATCH(1,INDEX((CASHBACK_RULES!$B$5:$B$304=$D403)*(CASHBACK_RULES!$G$5:$G$304=$I403)*(((CASHBACK_RULES!$N$5:$N$304="")+(CASHBACK_RULES!$N$5:$N$304&lt;=$B403))&gt;0)*(((CASHBACK_RULES!$O$5:$O$304="")+(CASHBACK_RULES!$O$5:$O$304&gt;=$B403))&gt;0)*(((CASHBACK_RULES!$M$5:$M$304="")+(CASHBACK_RULES!$M$5:$M$304&lt;=$L403))&gt;0),0),0),0))))</f>
        <v>0</v>
      </c>
      <c r="AD403" s="51" t="str">
        <f>IF(OR($B403="",$D403=""),"",IFERROR(IF(INDEX(CARDS!$H$5:$H$34,MATCH($D403,CARDS!$A$5:$A$34,0))="","",IF(DAY($B403)&lt;=INDEX(CARDS!$H$5:$H$34,MATCH($D403,CARDS!$A$5:$A$34,0)),DATE(YEAR($B403),MONTH($B403),MIN(INDEX(CARDS!$H$5:$H$34,MATCH($D403,CARDS!$A$5:$A$34,0)),DAY(EOMONTH($B403,0)))),DATE(YEAR($B403),MONTH($B403)+1,MIN(INDEX(CARDS!$H$5:$H$34,MATCH($D403,CARDS!$A$5:$A$34,0)),DAY(EOMONTH($B403,1)))))),""))</f>
        <v/>
      </c>
      <c r="AE403" s="52" t="str">
        <f>IF($C403="","",$C403&amp;"|"&amp;COUNTIF($C$5:$C403,$C403))</f>
        <v/>
      </c>
      <c r="AF403" s="53">
        <f>IF($AC403&gt;0,SUMIFS(Q$4:Q402,$D$4:$D402,$D403,$Z$4:$Z402,$Z403,$C$4:$C402,$C403),0)</f>
        <v>0</v>
      </c>
      <c r="AG403" s="53">
        <f>IF($AC403&gt;0,SUMIFS(Q$4:Q402,$D$4:$D402,$D403,$C$4:$C402,$C403),0)</f>
        <v>0</v>
      </c>
      <c r="AH403" s="53">
        <f>IF($AC403&gt;0,SUMIFS(M$4:M402,$D$4:$D402,$D403,$Z$4:$Z402,$Z403,$C$4:$C402,$C403),0)</f>
        <v>0</v>
      </c>
      <c r="AI403" s="43">
        <f>IF(OR($C403="",$I403=""),0,IF(COUNTIFS($C$5:$C403,$C403,$I$5:$I403,$I403)=1,1,0))</f>
        <v>0</v>
      </c>
      <c r="AJ403" s="43" t="str">
        <f>IF($AI403=1,SUMIFS($AI$4:$AI402,$C$4:$C402,$C403)+1,"")</f>
        <v/>
      </c>
      <c r="AK403" s="43">
        <f>IF(OR($C403="",$K403=""),0,IF(COUNTIFS($C$5:$C403,$C403,$K$5:$K403,$K403)=1,1,0))</f>
        <v>0</v>
      </c>
      <c r="AL403" s="43" t="str">
        <f>IF($AK403=1,SUMIFS($AK$4:$AK402,$C$4:$C402,$C403)+1,"")</f>
        <v/>
      </c>
      <c r="AM403" s="43">
        <f>IF(OR($C403="",$G403=""),0,IF(COUNTIFS($C$5:$C403,$C403,$G$5:$G403,$G403)=1,1,0))</f>
        <v>0</v>
      </c>
      <c r="AN403" s="43" t="str">
        <f>IF($AM403=1,SUMIFS($AM$4:$AM402,$C$4:$C402,$C403)+1,"")</f>
        <v/>
      </c>
    </row>
    <row r="404">
      <c r="A404" s="44" t="str">
        <f>IF(OR($B404="",$D404=""),"","TX"&amp;TEXT(ROW()-4,"0000"))</f>
        <v/>
      </c>
      <c r="B404" s="42" t="n"/>
      <c r="C404" s="47" t="str">
        <f>IF($B404="","",YEAR($B404)*100+MONTH($B404))</f>
        <v/>
      </c>
      <c r="D404" s="37" t="n"/>
      <c r="E404" s="45" t="str">
        <f>IF($D404="","",IFERROR(INDEX(CARDS!$B$5:$B$34,MATCH($D404,CARDS!$A$5:$A$34,0)),"⚠ Card ID?"))</f>
        <v/>
      </c>
      <c r="F404" s="45" t="str">
        <f>IF($D404="","",IFERROR(INDEX(CARDS!$C$5:$C$34,MATCH($D404,CARDS!$A$5:$A$34,0)),"⚠ Card ID?"))</f>
        <v/>
      </c>
      <c r="G404" s="37" t="n"/>
      <c r="H404" s="37" t="n"/>
      <c r="I404" s="41" t="n"/>
      <c r="J404" s="45" t="str">
        <f>IF($I404="","",IFERROR(INDEX(MCC_MASTER!$B$5:$B$504,MATCH($I404,MCC_MASTER!$A$5:$A$504,0)),"⚠ MCC chưa có"))</f>
        <v/>
      </c>
      <c r="K404" s="45" t="str">
        <f>IF($I404="","",IFERROR(IF(INDEX(MCC_MASTER!$C$5:$C$504,MATCH($I404,MCC_MASTER!$A$5:$A$504,0))="","Chưa phân loại",INDEX(MCC_MASTER!$C$5:$C$504,MATCH($I404,MCC_MASTER!$A$5:$A$504,0))),"Chưa phân loại"))</f>
        <v/>
      </c>
      <c r="L404" s="40" t="n"/>
      <c r="M404" s="48" t="str">
        <f>IF(OR($B404="",$D404=""),"",IF($AC404=0,0,IF(ISNUMBER(INDEX(CASHBACK_RULES!$L$5:$L$304,$AC404)),MAX(0,MIN($L404,INDEX(CASHBACK_RULES!$L$5:$L$304,$AC404)-$AH404)),MAX(0,$L404))))</f>
        <v/>
      </c>
      <c r="N404" s="49" t="str">
        <f>IF(OR($B404="",$D404=""),"",IF($AC404&gt;0,INDEX(CASHBACK_RULES!$I$5:$I$304,$AC404),0))</f>
        <v/>
      </c>
      <c r="O404" s="48" t="str">
        <f>IF(OR($B404="",$D404=""),"",ROUND($M404*$N404,0))</f>
        <v/>
      </c>
      <c r="P404" s="48" t="str">
        <f>IF($AC404&gt;0,IF(ISNUMBER(INDEX(CASHBACK_RULES!$J$5:$J$304,$AC404)),INDEX(CASHBACK_RULES!$J$5:$J$304,$AC404),"∞"),"")</f>
        <v/>
      </c>
      <c r="Q404" s="48" t="str">
        <f>IF(OR($B404="",$D404=""),"",IF($AC404=0,0,MAX(0,MIN($O404,IF(ISNUMBER($P404),$P404-$AF404,1E+15),IF(ISNUMBER($AA404),$AA404-$AG404,1E+15)))))</f>
        <v/>
      </c>
      <c r="R404" s="48" t="str">
        <f>IF(OR($B404="",$D404=""),"",IF($AC404=0,"",IF(AND(NOT(ISNUMBER($P404)),NOT(ISNUMBER($AA404))),"∞",MAX(0,MIN(IF(ISNUMBER($P404),$P404-$AF404-$Q404,1E+15),IF(ISNUMBER($AA404),$AA404-$AG404-$Q404,1E+15))))))</f>
        <v/>
      </c>
      <c r="S404" s="47" t="str">
        <f>IF($AD404="","",YEAR($AD404)*100+MONTH($AD404))</f>
        <v/>
      </c>
      <c r="T404" s="50" t="str">
        <f>IF($AD404="","",IFERROR(IF(INDEX(CARDS!$I$5:$I$34,MATCH($D404,CARDS!$A$5:$A$34,0))="","",IF(INDEX(CARDS!$I$5:$I$34,MATCH($D404,CARDS!$A$5:$A$34,0))&gt;INDEX(CARDS!$H$5:$H$34,MATCH($D404,CARDS!$A$5:$A$34,0)),DATE(YEAR($AD404),MONTH($AD404),MIN(INDEX(CARDS!$I$5:$I$34,MATCH($D404,CARDS!$A$5:$A$34,0)),DAY(EOMONTH($AD404,0)))),DATE(YEAR($AD404),MONTH($AD404)+1,MIN(INDEX(CARDS!$I$5:$I$34,MATCH($D404,CARDS!$A$5:$A$34,0)),DAY(EOMONTH($AD404,1)))))),""))</f>
        <v/>
      </c>
      <c r="U404" s="38" t="n"/>
      <c r="V404" s="37" t="n"/>
      <c r="W404" s="38" t="n"/>
      <c r="X404" s="38" t="n"/>
      <c r="Y404" s="44" t="str">
        <f>IF($AC404&gt;0,INDEX(CASHBACK_RULES!$A$5:$A$304,$AC404),"")</f>
        <v/>
      </c>
      <c r="Z404" s="45" t="str">
        <f>IF($AC404&gt;0,INDEX(CASHBACK_RULES!$E$5:$E$304,$AC404)&amp;"","")</f>
        <v/>
      </c>
      <c r="AA404" s="48" t="str">
        <f>IF($AC404&gt;0,IF(ISNUMBER(INDEX(CASHBACK_RULES!$K$5:$K$304,$AC404)),INDEX(CASHBACK_RULES!$K$5:$K$304,$AC404),"∞"),"")</f>
        <v/>
      </c>
      <c r="AB404" s="44" t="str">
        <f>IF(OR($B404="",$D404=""),"",IF($U404="Cancelled","Đã hủy",IF($AC404=0,"Không được hoàn",IF($Q404=0,IF(OR($O404&gt;0,$M404&lt;$L404),"Đã đạt cap","Không được hoàn"),IF(OR($Q404&lt;$O404,$M404&lt;$L404),"Hoàn một phần","Được hoàn")))))</f>
        <v/>
      </c>
      <c r="AC404" s="43">
        <f>IF(OR($B404="",$D404="",$I404="",$L404=""),0,IF($U404="Cancelled",0,IF($W404&lt;&gt;"",IFERROR(IF(INDEX(CASHBACK_RULES!$B$5:$B$304,MATCH($W404,CASHBACK_RULES!$A$5:$A$304,0))=$D404,MATCH($W404,CASHBACK_RULES!$A$5:$A$304,0),0),0),IFERROR(MATCH(1,INDEX((CASHBACK_RULES!$B$5:$B$304=$D404)*(CASHBACK_RULES!$G$5:$G$304=$I404)*(((CASHBACK_RULES!$N$5:$N$304="")+(CASHBACK_RULES!$N$5:$N$304&lt;=$B404))&gt;0)*(((CASHBACK_RULES!$O$5:$O$304="")+(CASHBACK_RULES!$O$5:$O$304&gt;=$B404))&gt;0)*(((CASHBACK_RULES!$M$5:$M$304="")+(CASHBACK_RULES!$M$5:$M$304&lt;=$L404))&gt;0),0),0),0))))</f>
        <v>0</v>
      </c>
      <c r="AD404" s="51" t="str">
        <f>IF(OR($B404="",$D404=""),"",IFERROR(IF(INDEX(CARDS!$H$5:$H$34,MATCH($D404,CARDS!$A$5:$A$34,0))="","",IF(DAY($B404)&lt;=INDEX(CARDS!$H$5:$H$34,MATCH($D404,CARDS!$A$5:$A$34,0)),DATE(YEAR($B404),MONTH($B404),MIN(INDEX(CARDS!$H$5:$H$34,MATCH($D404,CARDS!$A$5:$A$34,0)),DAY(EOMONTH($B404,0)))),DATE(YEAR($B404),MONTH($B404)+1,MIN(INDEX(CARDS!$H$5:$H$34,MATCH($D404,CARDS!$A$5:$A$34,0)),DAY(EOMONTH($B404,1)))))),""))</f>
        <v/>
      </c>
      <c r="AE404" s="52" t="str">
        <f>IF($C404="","",$C404&amp;"|"&amp;COUNTIF($C$5:$C404,$C404))</f>
        <v/>
      </c>
      <c r="AF404" s="53">
        <f>IF($AC404&gt;0,SUMIFS(Q$4:Q403,$D$4:$D403,$D404,$Z$4:$Z403,$Z404,$C$4:$C403,$C404),0)</f>
        <v>0</v>
      </c>
      <c r="AG404" s="53">
        <f>IF($AC404&gt;0,SUMIFS(Q$4:Q403,$D$4:$D403,$D404,$C$4:$C403,$C404),0)</f>
        <v>0</v>
      </c>
      <c r="AH404" s="53">
        <f>IF($AC404&gt;0,SUMIFS(M$4:M403,$D$4:$D403,$D404,$Z$4:$Z403,$Z404,$C$4:$C403,$C404),0)</f>
        <v>0</v>
      </c>
      <c r="AI404" s="43">
        <f>IF(OR($C404="",$I404=""),0,IF(COUNTIFS($C$5:$C404,$C404,$I$5:$I404,$I404)=1,1,0))</f>
        <v>0</v>
      </c>
      <c r="AJ404" s="43" t="str">
        <f>IF($AI404=1,SUMIFS($AI$4:$AI403,$C$4:$C403,$C404)+1,"")</f>
        <v/>
      </c>
      <c r="AK404" s="43">
        <f>IF(OR($C404="",$K404=""),0,IF(COUNTIFS($C$5:$C404,$C404,$K$5:$K404,$K404)=1,1,0))</f>
        <v>0</v>
      </c>
      <c r="AL404" s="43" t="str">
        <f>IF($AK404=1,SUMIFS($AK$4:$AK403,$C$4:$C403,$C404)+1,"")</f>
        <v/>
      </c>
      <c r="AM404" s="43">
        <f>IF(OR($C404="",$G404=""),0,IF(COUNTIFS($C$5:$C404,$C404,$G$5:$G404,$G404)=1,1,0))</f>
        <v>0</v>
      </c>
      <c r="AN404" s="43" t="str">
        <f>IF($AM404=1,SUMIFS($AM$4:$AM403,$C$4:$C403,$C404)+1,"")</f>
        <v/>
      </c>
    </row>
    <row r="405">
      <c r="A405" s="44" t="str">
        <f>IF(OR($B405="",$D405=""),"","TX"&amp;TEXT(ROW()-4,"0000"))</f>
        <v/>
      </c>
      <c r="B405" s="42" t="n"/>
      <c r="C405" s="47" t="str">
        <f>IF($B405="","",YEAR($B405)*100+MONTH($B405))</f>
        <v/>
      </c>
      <c r="D405" s="37" t="n"/>
      <c r="E405" s="45" t="str">
        <f>IF($D405="","",IFERROR(INDEX(CARDS!$B$5:$B$34,MATCH($D405,CARDS!$A$5:$A$34,0)),"⚠ Card ID?"))</f>
        <v/>
      </c>
      <c r="F405" s="45" t="str">
        <f>IF($D405="","",IFERROR(INDEX(CARDS!$C$5:$C$34,MATCH($D405,CARDS!$A$5:$A$34,0)),"⚠ Card ID?"))</f>
        <v/>
      </c>
      <c r="G405" s="37" t="n"/>
      <c r="H405" s="37" t="n"/>
      <c r="I405" s="41" t="n"/>
      <c r="J405" s="45" t="str">
        <f>IF($I405="","",IFERROR(INDEX(MCC_MASTER!$B$5:$B$504,MATCH($I405,MCC_MASTER!$A$5:$A$504,0)),"⚠ MCC chưa có"))</f>
        <v/>
      </c>
      <c r="K405" s="45" t="str">
        <f>IF($I405="","",IFERROR(IF(INDEX(MCC_MASTER!$C$5:$C$504,MATCH($I405,MCC_MASTER!$A$5:$A$504,0))="","Chưa phân loại",INDEX(MCC_MASTER!$C$5:$C$504,MATCH($I405,MCC_MASTER!$A$5:$A$504,0))),"Chưa phân loại"))</f>
        <v/>
      </c>
      <c r="L405" s="40" t="n"/>
      <c r="M405" s="48" t="str">
        <f>IF(OR($B405="",$D405=""),"",IF($AC405=0,0,IF(ISNUMBER(INDEX(CASHBACK_RULES!$L$5:$L$304,$AC405)),MAX(0,MIN($L405,INDEX(CASHBACK_RULES!$L$5:$L$304,$AC405)-$AH405)),MAX(0,$L405))))</f>
        <v/>
      </c>
      <c r="N405" s="49" t="str">
        <f>IF(OR($B405="",$D405=""),"",IF($AC405&gt;0,INDEX(CASHBACK_RULES!$I$5:$I$304,$AC405),0))</f>
        <v/>
      </c>
      <c r="O405" s="48" t="str">
        <f>IF(OR($B405="",$D405=""),"",ROUND($M405*$N405,0))</f>
        <v/>
      </c>
      <c r="P405" s="48" t="str">
        <f>IF($AC405&gt;0,IF(ISNUMBER(INDEX(CASHBACK_RULES!$J$5:$J$304,$AC405)),INDEX(CASHBACK_RULES!$J$5:$J$304,$AC405),"∞"),"")</f>
        <v/>
      </c>
      <c r="Q405" s="48" t="str">
        <f>IF(OR($B405="",$D405=""),"",IF($AC405=0,0,MAX(0,MIN($O405,IF(ISNUMBER($P405),$P405-$AF405,1E+15),IF(ISNUMBER($AA405),$AA405-$AG405,1E+15)))))</f>
        <v/>
      </c>
      <c r="R405" s="48" t="str">
        <f>IF(OR($B405="",$D405=""),"",IF($AC405=0,"",IF(AND(NOT(ISNUMBER($P405)),NOT(ISNUMBER($AA405))),"∞",MAX(0,MIN(IF(ISNUMBER($P405),$P405-$AF405-$Q405,1E+15),IF(ISNUMBER($AA405),$AA405-$AG405-$Q405,1E+15))))))</f>
        <v/>
      </c>
      <c r="S405" s="47" t="str">
        <f>IF($AD405="","",YEAR($AD405)*100+MONTH($AD405))</f>
        <v/>
      </c>
      <c r="T405" s="50" t="str">
        <f>IF($AD405="","",IFERROR(IF(INDEX(CARDS!$I$5:$I$34,MATCH($D405,CARDS!$A$5:$A$34,0))="","",IF(INDEX(CARDS!$I$5:$I$34,MATCH($D405,CARDS!$A$5:$A$34,0))&gt;INDEX(CARDS!$H$5:$H$34,MATCH($D405,CARDS!$A$5:$A$34,0)),DATE(YEAR($AD405),MONTH($AD405),MIN(INDEX(CARDS!$I$5:$I$34,MATCH($D405,CARDS!$A$5:$A$34,0)),DAY(EOMONTH($AD405,0)))),DATE(YEAR($AD405),MONTH($AD405)+1,MIN(INDEX(CARDS!$I$5:$I$34,MATCH($D405,CARDS!$A$5:$A$34,0)),DAY(EOMONTH($AD405,1)))))),""))</f>
        <v/>
      </c>
      <c r="U405" s="38" t="n"/>
      <c r="V405" s="37" t="n"/>
      <c r="W405" s="38" t="n"/>
      <c r="X405" s="38" t="n"/>
      <c r="Y405" s="44" t="str">
        <f>IF($AC405&gt;0,INDEX(CASHBACK_RULES!$A$5:$A$304,$AC405),"")</f>
        <v/>
      </c>
      <c r="Z405" s="45" t="str">
        <f>IF($AC405&gt;0,INDEX(CASHBACK_RULES!$E$5:$E$304,$AC405)&amp;"","")</f>
        <v/>
      </c>
      <c r="AA405" s="48" t="str">
        <f>IF($AC405&gt;0,IF(ISNUMBER(INDEX(CASHBACK_RULES!$K$5:$K$304,$AC405)),INDEX(CASHBACK_RULES!$K$5:$K$304,$AC405),"∞"),"")</f>
        <v/>
      </c>
      <c r="AB405" s="44" t="str">
        <f>IF(OR($B405="",$D405=""),"",IF($U405="Cancelled","Đã hủy",IF($AC405=0,"Không được hoàn",IF($Q405=0,IF(OR($O405&gt;0,$M405&lt;$L405),"Đã đạt cap","Không được hoàn"),IF(OR($Q405&lt;$O405,$M405&lt;$L405),"Hoàn một phần","Được hoàn")))))</f>
        <v/>
      </c>
      <c r="AC405" s="43">
        <f>IF(OR($B405="",$D405="",$I405="",$L405=""),0,IF($U405="Cancelled",0,IF($W405&lt;&gt;"",IFERROR(IF(INDEX(CASHBACK_RULES!$B$5:$B$304,MATCH($W405,CASHBACK_RULES!$A$5:$A$304,0))=$D405,MATCH($W405,CASHBACK_RULES!$A$5:$A$304,0),0),0),IFERROR(MATCH(1,INDEX((CASHBACK_RULES!$B$5:$B$304=$D405)*(CASHBACK_RULES!$G$5:$G$304=$I405)*(((CASHBACK_RULES!$N$5:$N$304="")+(CASHBACK_RULES!$N$5:$N$304&lt;=$B405))&gt;0)*(((CASHBACK_RULES!$O$5:$O$304="")+(CASHBACK_RULES!$O$5:$O$304&gt;=$B405))&gt;0)*(((CASHBACK_RULES!$M$5:$M$304="")+(CASHBACK_RULES!$M$5:$M$304&lt;=$L405))&gt;0),0),0),0))))</f>
        <v>0</v>
      </c>
      <c r="AD405" s="51" t="str">
        <f>IF(OR($B405="",$D405=""),"",IFERROR(IF(INDEX(CARDS!$H$5:$H$34,MATCH($D405,CARDS!$A$5:$A$34,0))="","",IF(DAY($B405)&lt;=INDEX(CARDS!$H$5:$H$34,MATCH($D405,CARDS!$A$5:$A$34,0)),DATE(YEAR($B405),MONTH($B405),MIN(INDEX(CARDS!$H$5:$H$34,MATCH($D405,CARDS!$A$5:$A$34,0)),DAY(EOMONTH($B405,0)))),DATE(YEAR($B405),MONTH($B405)+1,MIN(INDEX(CARDS!$H$5:$H$34,MATCH($D405,CARDS!$A$5:$A$34,0)),DAY(EOMONTH($B405,1)))))),""))</f>
        <v/>
      </c>
      <c r="AE405" s="52" t="str">
        <f>IF($C405="","",$C405&amp;"|"&amp;COUNTIF($C$5:$C405,$C405))</f>
        <v/>
      </c>
      <c r="AF405" s="53">
        <f>IF($AC405&gt;0,SUMIFS(Q$4:Q404,$D$4:$D404,$D405,$Z$4:$Z404,$Z405,$C$4:$C404,$C405),0)</f>
        <v>0</v>
      </c>
      <c r="AG405" s="53">
        <f>IF($AC405&gt;0,SUMIFS(Q$4:Q404,$D$4:$D404,$D405,$C$4:$C404,$C405),0)</f>
        <v>0</v>
      </c>
      <c r="AH405" s="53">
        <f>IF($AC405&gt;0,SUMIFS(M$4:M404,$D$4:$D404,$D405,$Z$4:$Z404,$Z405,$C$4:$C404,$C405),0)</f>
        <v>0</v>
      </c>
      <c r="AI405" s="43">
        <f>IF(OR($C405="",$I405=""),0,IF(COUNTIFS($C$5:$C405,$C405,$I$5:$I405,$I405)=1,1,0))</f>
        <v>0</v>
      </c>
      <c r="AJ405" s="43" t="str">
        <f>IF($AI405=1,SUMIFS($AI$4:$AI404,$C$4:$C404,$C405)+1,"")</f>
        <v/>
      </c>
      <c r="AK405" s="43">
        <f>IF(OR($C405="",$K405=""),0,IF(COUNTIFS($C$5:$C405,$C405,$K$5:$K405,$K405)=1,1,0))</f>
        <v>0</v>
      </c>
      <c r="AL405" s="43" t="str">
        <f>IF($AK405=1,SUMIFS($AK$4:$AK404,$C$4:$C404,$C405)+1,"")</f>
        <v/>
      </c>
      <c r="AM405" s="43">
        <f>IF(OR($C405="",$G405=""),0,IF(COUNTIFS($C$5:$C405,$C405,$G$5:$G405,$G405)=1,1,0))</f>
        <v>0</v>
      </c>
      <c r="AN405" s="43" t="str">
        <f>IF($AM405=1,SUMIFS($AM$4:$AM404,$C$4:$C404,$C405)+1,"")</f>
        <v/>
      </c>
    </row>
    <row r="406">
      <c r="A406" s="44" t="str">
        <f>IF(OR($B406="",$D406=""),"","TX"&amp;TEXT(ROW()-4,"0000"))</f>
        <v/>
      </c>
      <c r="B406" s="42" t="n"/>
      <c r="C406" s="47" t="str">
        <f>IF($B406="","",YEAR($B406)*100+MONTH($B406))</f>
        <v/>
      </c>
      <c r="D406" s="37" t="n"/>
      <c r="E406" s="45" t="str">
        <f>IF($D406="","",IFERROR(INDEX(CARDS!$B$5:$B$34,MATCH($D406,CARDS!$A$5:$A$34,0)),"⚠ Card ID?"))</f>
        <v/>
      </c>
      <c r="F406" s="45" t="str">
        <f>IF($D406="","",IFERROR(INDEX(CARDS!$C$5:$C$34,MATCH($D406,CARDS!$A$5:$A$34,0)),"⚠ Card ID?"))</f>
        <v/>
      </c>
      <c r="G406" s="37" t="n"/>
      <c r="H406" s="37" t="n"/>
      <c r="I406" s="41" t="n"/>
      <c r="J406" s="45" t="str">
        <f>IF($I406="","",IFERROR(INDEX(MCC_MASTER!$B$5:$B$504,MATCH($I406,MCC_MASTER!$A$5:$A$504,0)),"⚠ MCC chưa có"))</f>
        <v/>
      </c>
      <c r="K406" s="45" t="str">
        <f>IF($I406="","",IFERROR(IF(INDEX(MCC_MASTER!$C$5:$C$504,MATCH($I406,MCC_MASTER!$A$5:$A$504,0))="","Chưa phân loại",INDEX(MCC_MASTER!$C$5:$C$504,MATCH($I406,MCC_MASTER!$A$5:$A$504,0))),"Chưa phân loại"))</f>
        <v/>
      </c>
      <c r="L406" s="40" t="n"/>
      <c r="M406" s="48" t="str">
        <f>IF(OR($B406="",$D406=""),"",IF($AC406=0,0,IF(ISNUMBER(INDEX(CASHBACK_RULES!$L$5:$L$304,$AC406)),MAX(0,MIN($L406,INDEX(CASHBACK_RULES!$L$5:$L$304,$AC406)-$AH406)),MAX(0,$L406))))</f>
        <v/>
      </c>
      <c r="N406" s="49" t="str">
        <f>IF(OR($B406="",$D406=""),"",IF($AC406&gt;0,INDEX(CASHBACK_RULES!$I$5:$I$304,$AC406),0))</f>
        <v/>
      </c>
      <c r="O406" s="48" t="str">
        <f>IF(OR($B406="",$D406=""),"",ROUND($M406*$N406,0))</f>
        <v/>
      </c>
      <c r="P406" s="48" t="str">
        <f>IF($AC406&gt;0,IF(ISNUMBER(INDEX(CASHBACK_RULES!$J$5:$J$304,$AC406)),INDEX(CASHBACK_RULES!$J$5:$J$304,$AC406),"∞"),"")</f>
        <v/>
      </c>
      <c r="Q406" s="48" t="str">
        <f>IF(OR($B406="",$D406=""),"",IF($AC406=0,0,MAX(0,MIN($O406,IF(ISNUMBER($P406),$P406-$AF406,1E+15),IF(ISNUMBER($AA406),$AA406-$AG406,1E+15)))))</f>
        <v/>
      </c>
      <c r="R406" s="48" t="str">
        <f>IF(OR($B406="",$D406=""),"",IF($AC406=0,"",IF(AND(NOT(ISNUMBER($P406)),NOT(ISNUMBER($AA406))),"∞",MAX(0,MIN(IF(ISNUMBER($P406),$P406-$AF406-$Q406,1E+15),IF(ISNUMBER($AA406),$AA406-$AG406-$Q406,1E+15))))))</f>
        <v/>
      </c>
      <c r="S406" s="47" t="str">
        <f>IF($AD406="","",YEAR($AD406)*100+MONTH($AD406))</f>
        <v/>
      </c>
      <c r="T406" s="50" t="str">
        <f>IF($AD406="","",IFERROR(IF(INDEX(CARDS!$I$5:$I$34,MATCH($D406,CARDS!$A$5:$A$34,0))="","",IF(INDEX(CARDS!$I$5:$I$34,MATCH($D406,CARDS!$A$5:$A$34,0))&gt;INDEX(CARDS!$H$5:$H$34,MATCH($D406,CARDS!$A$5:$A$34,0)),DATE(YEAR($AD406),MONTH($AD406),MIN(INDEX(CARDS!$I$5:$I$34,MATCH($D406,CARDS!$A$5:$A$34,0)),DAY(EOMONTH($AD406,0)))),DATE(YEAR($AD406),MONTH($AD406)+1,MIN(INDEX(CARDS!$I$5:$I$34,MATCH($D406,CARDS!$A$5:$A$34,0)),DAY(EOMONTH($AD406,1)))))),""))</f>
        <v/>
      </c>
      <c r="U406" s="38" t="n"/>
      <c r="V406" s="37" t="n"/>
      <c r="W406" s="38" t="n"/>
      <c r="X406" s="38" t="n"/>
      <c r="Y406" s="44" t="str">
        <f>IF($AC406&gt;0,INDEX(CASHBACK_RULES!$A$5:$A$304,$AC406),"")</f>
        <v/>
      </c>
      <c r="Z406" s="45" t="str">
        <f>IF($AC406&gt;0,INDEX(CASHBACK_RULES!$E$5:$E$304,$AC406)&amp;"","")</f>
        <v/>
      </c>
      <c r="AA406" s="48" t="str">
        <f>IF($AC406&gt;0,IF(ISNUMBER(INDEX(CASHBACK_RULES!$K$5:$K$304,$AC406)),INDEX(CASHBACK_RULES!$K$5:$K$304,$AC406),"∞"),"")</f>
        <v/>
      </c>
      <c r="AB406" s="44" t="str">
        <f>IF(OR($B406="",$D406=""),"",IF($U406="Cancelled","Đã hủy",IF($AC406=0,"Không được hoàn",IF($Q406=0,IF(OR($O406&gt;0,$M406&lt;$L406),"Đã đạt cap","Không được hoàn"),IF(OR($Q406&lt;$O406,$M406&lt;$L406),"Hoàn một phần","Được hoàn")))))</f>
        <v/>
      </c>
      <c r="AC406" s="43">
        <f>IF(OR($B406="",$D406="",$I406="",$L406=""),0,IF($U406="Cancelled",0,IF($W406&lt;&gt;"",IFERROR(IF(INDEX(CASHBACK_RULES!$B$5:$B$304,MATCH($W406,CASHBACK_RULES!$A$5:$A$304,0))=$D406,MATCH($W406,CASHBACK_RULES!$A$5:$A$304,0),0),0),IFERROR(MATCH(1,INDEX((CASHBACK_RULES!$B$5:$B$304=$D406)*(CASHBACK_RULES!$G$5:$G$304=$I406)*(((CASHBACK_RULES!$N$5:$N$304="")+(CASHBACK_RULES!$N$5:$N$304&lt;=$B406))&gt;0)*(((CASHBACK_RULES!$O$5:$O$304="")+(CASHBACK_RULES!$O$5:$O$304&gt;=$B406))&gt;0)*(((CASHBACK_RULES!$M$5:$M$304="")+(CASHBACK_RULES!$M$5:$M$304&lt;=$L406))&gt;0),0),0),0))))</f>
        <v>0</v>
      </c>
      <c r="AD406" s="51" t="str">
        <f>IF(OR($B406="",$D406=""),"",IFERROR(IF(INDEX(CARDS!$H$5:$H$34,MATCH($D406,CARDS!$A$5:$A$34,0))="","",IF(DAY($B406)&lt;=INDEX(CARDS!$H$5:$H$34,MATCH($D406,CARDS!$A$5:$A$34,0)),DATE(YEAR($B406),MONTH($B406),MIN(INDEX(CARDS!$H$5:$H$34,MATCH($D406,CARDS!$A$5:$A$34,0)),DAY(EOMONTH($B406,0)))),DATE(YEAR($B406),MONTH($B406)+1,MIN(INDEX(CARDS!$H$5:$H$34,MATCH($D406,CARDS!$A$5:$A$34,0)),DAY(EOMONTH($B406,1)))))),""))</f>
        <v/>
      </c>
      <c r="AE406" s="52" t="str">
        <f>IF($C406="","",$C406&amp;"|"&amp;COUNTIF($C$5:$C406,$C406))</f>
        <v/>
      </c>
      <c r="AF406" s="53">
        <f>IF($AC406&gt;0,SUMIFS(Q$4:Q405,$D$4:$D405,$D406,$Z$4:$Z405,$Z406,$C$4:$C405,$C406),0)</f>
        <v>0</v>
      </c>
      <c r="AG406" s="53">
        <f>IF($AC406&gt;0,SUMIFS(Q$4:Q405,$D$4:$D405,$D406,$C$4:$C405,$C406),0)</f>
        <v>0</v>
      </c>
      <c r="AH406" s="53">
        <f>IF($AC406&gt;0,SUMIFS(M$4:M405,$D$4:$D405,$D406,$Z$4:$Z405,$Z406,$C$4:$C405,$C406),0)</f>
        <v>0</v>
      </c>
      <c r="AI406" s="43">
        <f>IF(OR($C406="",$I406=""),0,IF(COUNTIFS($C$5:$C406,$C406,$I$5:$I406,$I406)=1,1,0))</f>
        <v>0</v>
      </c>
      <c r="AJ406" s="43" t="str">
        <f>IF($AI406=1,SUMIFS($AI$4:$AI405,$C$4:$C405,$C406)+1,"")</f>
        <v/>
      </c>
      <c r="AK406" s="43">
        <f>IF(OR($C406="",$K406=""),0,IF(COUNTIFS($C$5:$C406,$C406,$K$5:$K406,$K406)=1,1,0))</f>
        <v>0</v>
      </c>
      <c r="AL406" s="43" t="str">
        <f>IF($AK406=1,SUMIFS($AK$4:$AK405,$C$4:$C405,$C406)+1,"")</f>
        <v/>
      </c>
      <c r="AM406" s="43">
        <f>IF(OR($C406="",$G406=""),0,IF(COUNTIFS($C$5:$C406,$C406,$G$5:$G406,$G406)=1,1,0))</f>
        <v>0</v>
      </c>
      <c r="AN406" s="43" t="str">
        <f>IF($AM406=1,SUMIFS($AM$4:$AM405,$C$4:$C405,$C406)+1,"")</f>
        <v/>
      </c>
    </row>
    <row r="407">
      <c r="A407" s="44" t="str">
        <f>IF(OR($B407="",$D407=""),"","TX"&amp;TEXT(ROW()-4,"0000"))</f>
        <v/>
      </c>
      <c r="B407" s="42" t="n"/>
      <c r="C407" s="47" t="str">
        <f>IF($B407="","",YEAR($B407)*100+MONTH($B407))</f>
        <v/>
      </c>
      <c r="D407" s="37" t="n"/>
      <c r="E407" s="45" t="str">
        <f>IF($D407="","",IFERROR(INDEX(CARDS!$B$5:$B$34,MATCH($D407,CARDS!$A$5:$A$34,0)),"⚠ Card ID?"))</f>
        <v/>
      </c>
      <c r="F407" s="45" t="str">
        <f>IF($D407="","",IFERROR(INDEX(CARDS!$C$5:$C$34,MATCH($D407,CARDS!$A$5:$A$34,0)),"⚠ Card ID?"))</f>
        <v/>
      </c>
      <c r="G407" s="37" t="n"/>
      <c r="H407" s="37" t="n"/>
      <c r="I407" s="41" t="n"/>
      <c r="J407" s="45" t="str">
        <f>IF($I407="","",IFERROR(INDEX(MCC_MASTER!$B$5:$B$504,MATCH($I407,MCC_MASTER!$A$5:$A$504,0)),"⚠ MCC chưa có"))</f>
        <v/>
      </c>
      <c r="K407" s="45" t="str">
        <f>IF($I407="","",IFERROR(IF(INDEX(MCC_MASTER!$C$5:$C$504,MATCH($I407,MCC_MASTER!$A$5:$A$504,0))="","Chưa phân loại",INDEX(MCC_MASTER!$C$5:$C$504,MATCH($I407,MCC_MASTER!$A$5:$A$504,0))),"Chưa phân loại"))</f>
        <v/>
      </c>
      <c r="L407" s="40" t="n"/>
      <c r="M407" s="48" t="str">
        <f>IF(OR($B407="",$D407=""),"",IF($AC407=0,0,IF(ISNUMBER(INDEX(CASHBACK_RULES!$L$5:$L$304,$AC407)),MAX(0,MIN($L407,INDEX(CASHBACK_RULES!$L$5:$L$304,$AC407)-$AH407)),MAX(0,$L407))))</f>
        <v/>
      </c>
      <c r="N407" s="49" t="str">
        <f>IF(OR($B407="",$D407=""),"",IF($AC407&gt;0,INDEX(CASHBACK_RULES!$I$5:$I$304,$AC407),0))</f>
        <v/>
      </c>
      <c r="O407" s="48" t="str">
        <f>IF(OR($B407="",$D407=""),"",ROUND($M407*$N407,0))</f>
        <v/>
      </c>
      <c r="P407" s="48" t="str">
        <f>IF($AC407&gt;0,IF(ISNUMBER(INDEX(CASHBACK_RULES!$J$5:$J$304,$AC407)),INDEX(CASHBACK_RULES!$J$5:$J$304,$AC407),"∞"),"")</f>
        <v/>
      </c>
      <c r="Q407" s="48" t="str">
        <f>IF(OR($B407="",$D407=""),"",IF($AC407=0,0,MAX(0,MIN($O407,IF(ISNUMBER($P407),$P407-$AF407,1E+15),IF(ISNUMBER($AA407),$AA407-$AG407,1E+15)))))</f>
        <v/>
      </c>
      <c r="R407" s="48" t="str">
        <f>IF(OR($B407="",$D407=""),"",IF($AC407=0,"",IF(AND(NOT(ISNUMBER($P407)),NOT(ISNUMBER($AA407))),"∞",MAX(0,MIN(IF(ISNUMBER($P407),$P407-$AF407-$Q407,1E+15),IF(ISNUMBER($AA407),$AA407-$AG407-$Q407,1E+15))))))</f>
        <v/>
      </c>
      <c r="S407" s="47" t="str">
        <f>IF($AD407="","",YEAR($AD407)*100+MONTH($AD407))</f>
        <v/>
      </c>
      <c r="T407" s="50" t="str">
        <f>IF($AD407="","",IFERROR(IF(INDEX(CARDS!$I$5:$I$34,MATCH($D407,CARDS!$A$5:$A$34,0))="","",IF(INDEX(CARDS!$I$5:$I$34,MATCH($D407,CARDS!$A$5:$A$34,0))&gt;INDEX(CARDS!$H$5:$H$34,MATCH($D407,CARDS!$A$5:$A$34,0)),DATE(YEAR($AD407),MONTH($AD407),MIN(INDEX(CARDS!$I$5:$I$34,MATCH($D407,CARDS!$A$5:$A$34,0)),DAY(EOMONTH($AD407,0)))),DATE(YEAR($AD407),MONTH($AD407)+1,MIN(INDEX(CARDS!$I$5:$I$34,MATCH($D407,CARDS!$A$5:$A$34,0)),DAY(EOMONTH($AD407,1)))))),""))</f>
        <v/>
      </c>
      <c r="U407" s="38" t="n"/>
      <c r="V407" s="37" t="n"/>
      <c r="W407" s="38" t="n"/>
      <c r="X407" s="38" t="n"/>
      <c r="Y407" s="44" t="str">
        <f>IF($AC407&gt;0,INDEX(CASHBACK_RULES!$A$5:$A$304,$AC407),"")</f>
        <v/>
      </c>
      <c r="Z407" s="45" t="str">
        <f>IF($AC407&gt;0,INDEX(CASHBACK_RULES!$E$5:$E$304,$AC407)&amp;"","")</f>
        <v/>
      </c>
      <c r="AA407" s="48" t="str">
        <f>IF($AC407&gt;0,IF(ISNUMBER(INDEX(CASHBACK_RULES!$K$5:$K$304,$AC407)),INDEX(CASHBACK_RULES!$K$5:$K$304,$AC407),"∞"),"")</f>
        <v/>
      </c>
      <c r="AB407" s="44" t="str">
        <f>IF(OR($B407="",$D407=""),"",IF($U407="Cancelled","Đã hủy",IF($AC407=0,"Không được hoàn",IF($Q407=0,IF(OR($O407&gt;0,$M407&lt;$L407),"Đã đạt cap","Không được hoàn"),IF(OR($Q407&lt;$O407,$M407&lt;$L407),"Hoàn một phần","Được hoàn")))))</f>
        <v/>
      </c>
      <c r="AC407" s="43">
        <f>IF(OR($B407="",$D407="",$I407="",$L407=""),0,IF($U407="Cancelled",0,IF($W407&lt;&gt;"",IFERROR(IF(INDEX(CASHBACK_RULES!$B$5:$B$304,MATCH($W407,CASHBACK_RULES!$A$5:$A$304,0))=$D407,MATCH($W407,CASHBACK_RULES!$A$5:$A$304,0),0),0),IFERROR(MATCH(1,INDEX((CASHBACK_RULES!$B$5:$B$304=$D407)*(CASHBACK_RULES!$G$5:$G$304=$I407)*(((CASHBACK_RULES!$N$5:$N$304="")+(CASHBACK_RULES!$N$5:$N$304&lt;=$B407))&gt;0)*(((CASHBACK_RULES!$O$5:$O$304="")+(CASHBACK_RULES!$O$5:$O$304&gt;=$B407))&gt;0)*(((CASHBACK_RULES!$M$5:$M$304="")+(CASHBACK_RULES!$M$5:$M$304&lt;=$L407))&gt;0),0),0),0))))</f>
        <v>0</v>
      </c>
      <c r="AD407" s="51" t="str">
        <f>IF(OR($B407="",$D407=""),"",IFERROR(IF(INDEX(CARDS!$H$5:$H$34,MATCH($D407,CARDS!$A$5:$A$34,0))="","",IF(DAY($B407)&lt;=INDEX(CARDS!$H$5:$H$34,MATCH($D407,CARDS!$A$5:$A$34,0)),DATE(YEAR($B407),MONTH($B407),MIN(INDEX(CARDS!$H$5:$H$34,MATCH($D407,CARDS!$A$5:$A$34,0)),DAY(EOMONTH($B407,0)))),DATE(YEAR($B407),MONTH($B407)+1,MIN(INDEX(CARDS!$H$5:$H$34,MATCH($D407,CARDS!$A$5:$A$34,0)),DAY(EOMONTH($B407,1)))))),""))</f>
        <v/>
      </c>
      <c r="AE407" s="52" t="str">
        <f>IF($C407="","",$C407&amp;"|"&amp;COUNTIF($C$5:$C407,$C407))</f>
        <v/>
      </c>
      <c r="AF407" s="53">
        <f>IF($AC407&gt;0,SUMIFS(Q$4:Q406,$D$4:$D406,$D407,$Z$4:$Z406,$Z407,$C$4:$C406,$C407),0)</f>
        <v>0</v>
      </c>
      <c r="AG407" s="53">
        <f>IF($AC407&gt;0,SUMIFS(Q$4:Q406,$D$4:$D406,$D407,$C$4:$C406,$C407),0)</f>
        <v>0</v>
      </c>
      <c r="AH407" s="53">
        <f>IF($AC407&gt;0,SUMIFS(M$4:M406,$D$4:$D406,$D407,$Z$4:$Z406,$Z407,$C$4:$C406,$C407),0)</f>
        <v>0</v>
      </c>
      <c r="AI407" s="43">
        <f>IF(OR($C407="",$I407=""),0,IF(COUNTIFS($C$5:$C407,$C407,$I$5:$I407,$I407)=1,1,0))</f>
        <v>0</v>
      </c>
      <c r="AJ407" s="43" t="str">
        <f>IF($AI407=1,SUMIFS($AI$4:$AI406,$C$4:$C406,$C407)+1,"")</f>
        <v/>
      </c>
      <c r="AK407" s="43">
        <f>IF(OR($C407="",$K407=""),0,IF(COUNTIFS($C$5:$C407,$C407,$K$5:$K407,$K407)=1,1,0))</f>
        <v>0</v>
      </c>
      <c r="AL407" s="43" t="str">
        <f>IF($AK407=1,SUMIFS($AK$4:$AK406,$C$4:$C406,$C407)+1,"")</f>
        <v/>
      </c>
      <c r="AM407" s="43">
        <f>IF(OR($C407="",$G407=""),0,IF(COUNTIFS($C$5:$C407,$C407,$G$5:$G407,$G407)=1,1,0))</f>
        <v>0</v>
      </c>
      <c r="AN407" s="43" t="str">
        <f>IF($AM407=1,SUMIFS($AM$4:$AM406,$C$4:$C406,$C407)+1,"")</f>
        <v/>
      </c>
    </row>
    <row r="408">
      <c r="A408" s="44" t="str">
        <f>IF(OR($B408="",$D408=""),"","TX"&amp;TEXT(ROW()-4,"0000"))</f>
        <v/>
      </c>
      <c r="B408" s="42" t="n"/>
      <c r="C408" s="47" t="str">
        <f>IF($B408="","",YEAR($B408)*100+MONTH($B408))</f>
        <v/>
      </c>
      <c r="D408" s="37" t="n"/>
      <c r="E408" s="45" t="str">
        <f>IF($D408="","",IFERROR(INDEX(CARDS!$B$5:$B$34,MATCH($D408,CARDS!$A$5:$A$34,0)),"⚠ Card ID?"))</f>
        <v/>
      </c>
      <c r="F408" s="45" t="str">
        <f>IF($D408="","",IFERROR(INDEX(CARDS!$C$5:$C$34,MATCH($D408,CARDS!$A$5:$A$34,0)),"⚠ Card ID?"))</f>
        <v/>
      </c>
      <c r="G408" s="37" t="n"/>
      <c r="H408" s="37" t="n"/>
      <c r="I408" s="41" t="n"/>
      <c r="J408" s="45" t="str">
        <f>IF($I408="","",IFERROR(INDEX(MCC_MASTER!$B$5:$B$504,MATCH($I408,MCC_MASTER!$A$5:$A$504,0)),"⚠ MCC chưa có"))</f>
        <v/>
      </c>
      <c r="K408" s="45" t="str">
        <f>IF($I408="","",IFERROR(IF(INDEX(MCC_MASTER!$C$5:$C$504,MATCH($I408,MCC_MASTER!$A$5:$A$504,0))="","Chưa phân loại",INDEX(MCC_MASTER!$C$5:$C$504,MATCH($I408,MCC_MASTER!$A$5:$A$504,0))),"Chưa phân loại"))</f>
        <v/>
      </c>
      <c r="L408" s="40" t="n"/>
      <c r="M408" s="48" t="str">
        <f>IF(OR($B408="",$D408=""),"",IF($AC408=0,0,IF(ISNUMBER(INDEX(CASHBACK_RULES!$L$5:$L$304,$AC408)),MAX(0,MIN($L408,INDEX(CASHBACK_RULES!$L$5:$L$304,$AC408)-$AH408)),MAX(0,$L408))))</f>
        <v/>
      </c>
      <c r="N408" s="49" t="str">
        <f>IF(OR($B408="",$D408=""),"",IF($AC408&gt;0,INDEX(CASHBACK_RULES!$I$5:$I$304,$AC408),0))</f>
        <v/>
      </c>
      <c r="O408" s="48" t="str">
        <f>IF(OR($B408="",$D408=""),"",ROUND($M408*$N408,0))</f>
        <v/>
      </c>
      <c r="P408" s="48" t="str">
        <f>IF($AC408&gt;0,IF(ISNUMBER(INDEX(CASHBACK_RULES!$J$5:$J$304,$AC408)),INDEX(CASHBACK_RULES!$J$5:$J$304,$AC408),"∞"),"")</f>
        <v/>
      </c>
      <c r="Q408" s="48" t="str">
        <f>IF(OR($B408="",$D408=""),"",IF($AC408=0,0,MAX(0,MIN($O408,IF(ISNUMBER($P408),$P408-$AF408,1E+15),IF(ISNUMBER($AA408),$AA408-$AG408,1E+15)))))</f>
        <v/>
      </c>
      <c r="R408" s="48" t="str">
        <f>IF(OR($B408="",$D408=""),"",IF($AC408=0,"",IF(AND(NOT(ISNUMBER($P408)),NOT(ISNUMBER($AA408))),"∞",MAX(0,MIN(IF(ISNUMBER($P408),$P408-$AF408-$Q408,1E+15),IF(ISNUMBER($AA408),$AA408-$AG408-$Q408,1E+15))))))</f>
        <v/>
      </c>
      <c r="S408" s="47" t="str">
        <f>IF($AD408="","",YEAR($AD408)*100+MONTH($AD408))</f>
        <v/>
      </c>
      <c r="T408" s="50" t="str">
        <f>IF($AD408="","",IFERROR(IF(INDEX(CARDS!$I$5:$I$34,MATCH($D408,CARDS!$A$5:$A$34,0))="","",IF(INDEX(CARDS!$I$5:$I$34,MATCH($D408,CARDS!$A$5:$A$34,0))&gt;INDEX(CARDS!$H$5:$H$34,MATCH($D408,CARDS!$A$5:$A$34,0)),DATE(YEAR($AD408),MONTH($AD408),MIN(INDEX(CARDS!$I$5:$I$34,MATCH($D408,CARDS!$A$5:$A$34,0)),DAY(EOMONTH($AD408,0)))),DATE(YEAR($AD408),MONTH($AD408)+1,MIN(INDEX(CARDS!$I$5:$I$34,MATCH($D408,CARDS!$A$5:$A$34,0)),DAY(EOMONTH($AD408,1)))))),""))</f>
        <v/>
      </c>
      <c r="U408" s="38" t="n"/>
      <c r="V408" s="37" t="n"/>
      <c r="W408" s="38" t="n"/>
      <c r="X408" s="38" t="n"/>
      <c r="Y408" s="44" t="str">
        <f>IF($AC408&gt;0,INDEX(CASHBACK_RULES!$A$5:$A$304,$AC408),"")</f>
        <v/>
      </c>
      <c r="Z408" s="45" t="str">
        <f>IF($AC408&gt;0,INDEX(CASHBACK_RULES!$E$5:$E$304,$AC408)&amp;"","")</f>
        <v/>
      </c>
      <c r="AA408" s="48" t="str">
        <f>IF($AC408&gt;0,IF(ISNUMBER(INDEX(CASHBACK_RULES!$K$5:$K$304,$AC408)),INDEX(CASHBACK_RULES!$K$5:$K$304,$AC408),"∞"),"")</f>
        <v/>
      </c>
      <c r="AB408" s="44" t="str">
        <f>IF(OR($B408="",$D408=""),"",IF($U408="Cancelled","Đã hủy",IF($AC408=0,"Không được hoàn",IF($Q408=0,IF(OR($O408&gt;0,$M408&lt;$L408),"Đã đạt cap","Không được hoàn"),IF(OR($Q408&lt;$O408,$M408&lt;$L408),"Hoàn một phần","Được hoàn")))))</f>
        <v/>
      </c>
      <c r="AC408" s="43">
        <f>IF(OR($B408="",$D408="",$I408="",$L408=""),0,IF($U408="Cancelled",0,IF($W408&lt;&gt;"",IFERROR(IF(INDEX(CASHBACK_RULES!$B$5:$B$304,MATCH($W408,CASHBACK_RULES!$A$5:$A$304,0))=$D408,MATCH($W408,CASHBACK_RULES!$A$5:$A$304,0),0),0),IFERROR(MATCH(1,INDEX((CASHBACK_RULES!$B$5:$B$304=$D408)*(CASHBACK_RULES!$G$5:$G$304=$I408)*(((CASHBACK_RULES!$N$5:$N$304="")+(CASHBACK_RULES!$N$5:$N$304&lt;=$B408))&gt;0)*(((CASHBACK_RULES!$O$5:$O$304="")+(CASHBACK_RULES!$O$5:$O$304&gt;=$B408))&gt;0)*(((CASHBACK_RULES!$M$5:$M$304="")+(CASHBACK_RULES!$M$5:$M$304&lt;=$L408))&gt;0),0),0),0))))</f>
        <v>0</v>
      </c>
      <c r="AD408" s="51" t="str">
        <f>IF(OR($B408="",$D408=""),"",IFERROR(IF(INDEX(CARDS!$H$5:$H$34,MATCH($D408,CARDS!$A$5:$A$34,0))="","",IF(DAY($B408)&lt;=INDEX(CARDS!$H$5:$H$34,MATCH($D408,CARDS!$A$5:$A$34,0)),DATE(YEAR($B408),MONTH($B408),MIN(INDEX(CARDS!$H$5:$H$34,MATCH($D408,CARDS!$A$5:$A$34,0)),DAY(EOMONTH($B408,0)))),DATE(YEAR($B408),MONTH($B408)+1,MIN(INDEX(CARDS!$H$5:$H$34,MATCH($D408,CARDS!$A$5:$A$34,0)),DAY(EOMONTH($B408,1)))))),""))</f>
        <v/>
      </c>
      <c r="AE408" s="52" t="str">
        <f>IF($C408="","",$C408&amp;"|"&amp;COUNTIF($C$5:$C408,$C408))</f>
        <v/>
      </c>
      <c r="AF408" s="53">
        <f>IF($AC408&gt;0,SUMIFS(Q$4:Q407,$D$4:$D407,$D408,$Z$4:$Z407,$Z408,$C$4:$C407,$C408),0)</f>
        <v>0</v>
      </c>
      <c r="AG408" s="53">
        <f>IF($AC408&gt;0,SUMIFS(Q$4:Q407,$D$4:$D407,$D408,$C$4:$C407,$C408),0)</f>
        <v>0</v>
      </c>
      <c r="AH408" s="53">
        <f>IF($AC408&gt;0,SUMIFS(M$4:M407,$D$4:$D407,$D408,$Z$4:$Z407,$Z408,$C$4:$C407,$C408),0)</f>
        <v>0</v>
      </c>
      <c r="AI408" s="43">
        <f>IF(OR($C408="",$I408=""),0,IF(COUNTIFS($C$5:$C408,$C408,$I$5:$I408,$I408)=1,1,0))</f>
        <v>0</v>
      </c>
      <c r="AJ408" s="43" t="str">
        <f>IF($AI408=1,SUMIFS($AI$4:$AI407,$C$4:$C407,$C408)+1,"")</f>
        <v/>
      </c>
      <c r="AK408" s="43">
        <f>IF(OR($C408="",$K408=""),0,IF(COUNTIFS($C$5:$C408,$C408,$K$5:$K408,$K408)=1,1,0))</f>
        <v>0</v>
      </c>
      <c r="AL408" s="43" t="str">
        <f>IF($AK408=1,SUMIFS($AK$4:$AK407,$C$4:$C407,$C408)+1,"")</f>
        <v/>
      </c>
      <c r="AM408" s="43">
        <f>IF(OR($C408="",$G408=""),0,IF(COUNTIFS($C$5:$C408,$C408,$G$5:$G408,$G408)=1,1,0))</f>
        <v>0</v>
      </c>
      <c r="AN408" s="43" t="str">
        <f>IF($AM408=1,SUMIFS($AM$4:$AM407,$C$4:$C407,$C408)+1,"")</f>
        <v/>
      </c>
    </row>
    <row r="409">
      <c r="A409" s="44" t="str">
        <f>IF(OR($B409="",$D409=""),"","TX"&amp;TEXT(ROW()-4,"0000"))</f>
        <v/>
      </c>
      <c r="B409" s="42" t="n"/>
      <c r="C409" s="47" t="str">
        <f>IF($B409="","",YEAR($B409)*100+MONTH($B409))</f>
        <v/>
      </c>
      <c r="D409" s="37" t="n"/>
      <c r="E409" s="45" t="str">
        <f>IF($D409="","",IFERROR(INDEX(CARDS!$B$5:$B$34,MATCH($D409,CARDS!$A$5:$A$34,0)),"⚠ Card ID?"))</f>
        <v/>
      </c>
      <c r="F409" s="45" t="str">
        <f>IF($D409="","",IFERROR(INDEX(CARDS!$C$5:$C$34,MATCH($D409,CARDS!$A$5:$A$34,0)),"⚠ Card ID?"))</f>
        <v/>
      </c>
      <c r="G409" s="37" t="n"/>
      <c r="H409" s="37" t="n"/>
      <c r="I409" s="41" t="n"/>
      <c r="J409" s="45" t="str">
        <f>IF($I409="","",IFERROR(INDEX(MCC_MASTER!$B$5:$B$504,MATCH($I409,MCC_MASTER!$A$5:$A$504,0)),"⚠ MCC chưa có"))</f>
        <v/>
      </c>
      <c r="K409" s="45" t="str">
        <f>IF($I409="","",IFERROR(IF(INDEX(MCC_MASTER!$C$5:$C$504,MATCH($I409,MCC_MASTER!$A$5:$A$504,0))="","Chưa phân loại",INDEX(MCC_MASTER!$C$5:$C$504,MATCH($I409,MCC_MASTER!$A$5:$A$504,0))),"Chưa phân loại"))</f>
        <v/>
      </c>
      <c r="L409" s="40" t="n"/>
      <c r="M409" s="48" t="str">
        <f>IF(OR($B409="",$D409=""),"",IF($AC409=0,0,IF(ISNUMBER(INDEX(CASHBACK_RULES!$L$5:$L$304,$AC409)),MAX(0,MIN($L409,INDEX(CASHBACK_RULES!$L$5:$L$304,$AC409)-$AH409)),MAX(0,$L409))))</f>
        <v/>
      </c>
      <c r="N409" s="49" t="str">
        <f>IF(OR($B409="",$D409=""),"",IF($AC409&gt;0,INDEX(CASHBACK_RULES!$I$5:$I$304,$AC409),0))</f>
        <v/>
      </c>
      <c r="O409" s="48" t="str">
        <f>IF(OR($B409="",$D409=""),"",ROUND($M409*$N409,0))</f>
        <v/>
      </c>
      <c r="P409" s="48" t="str">
        <f>IF($AC409&gt;0,IF(ISNUMBER(INDEX(CASHBACK_RULES!$J$5:$J$304,$AC409)),INDEX(CASHBACK_RULES!$J$5:$J$304,$AC409),"∞"),"")</f>
        <v/>
      </c>
      <c r="Q409" s="48" t="str">
        <f>IF(OR($B409="",$D409=""),"",IF($AC409=0,0,MAX(0,MIN($O409,IF(ISNUMBER($P409),$P409-$AF409,1E+15),IF(ISNUMBER($AA409),$AA409-$AG409,1E+15)))))</f>
        <v/>
      </c>
      <c r="R409" s="48" t="str">
        <f>IF(OR($B409="",$D409=""),"",IF($AC409=0,"",IF(AND(NOT(ISNUMBER($P409)),NOT(ISNUMBER($AA409))),"∞",MAX(0,MIN(IF(ISNUMBER($P409),$P409-$AF409-$Q409,1E+15),IF(ISNUMBER($AA409),$AA409-$AG409-$Q409,1E+15))))))</f>
        <v/>
      </c>
      <c r="S409" s="47" t="str">
        <f>IF($AD409="","",YEAR($AD409)*100+MONTH($AD409))</f>
        <v/>
      </c>
      <c r="T409" s="50" t="str">
        <f>IF($AD409="","",IFERROR(IF(INDEX(CARDS!$I$5:$I$34,MATCH($D409,CARDS!$A$5:$A$34,0))="","",IF(INDEX(CARDS!$I$5:$I$34,MATCH($D409,CARDS!$A$5:$A$34,0))&gt;INDEX(CARDS!$H$5:$H$34,MATCH($D409,CARDS!$A$5:$A$34,0)),DATE(YEAR($AD409),MONTH($AD409),MIN(INDEX(CARDS!$I$5:$I$34,MATCH($D409,CARDS!$A$5:$A$34,0)),DAY(EOMONTH($AD409,0)))),DATE(YEAR($AD409),MONTH($AD409)+1,MIN(INDEX(CARDS!$I$5:$I$34,MATCH($D409,CARDS!$A$5:$A$34,0)),DAY(EOMONTH($AD409,1)))))),""))</f>
        <v/>
      </c>
      <c r="U409" s="38" t="n"/>
      <c r="V409" s="37" t="n"/>
      <c r="W409" s="38" t="n"/>
      <c r="X409" s="38" t="n"/>
      <c r="Y409" s="44" t="str">
        <f>IF($AC409&gt;0,INDEX(CASHBACK_RULES!$A$5:$A$304,$AC409),"")</f>
        <v/>
      </c>
      <c r="Z409" s="45" t="str">
        <f>IF($AC409&gt;0,INDEX(CASHBACK_RULES!$E$5:$E$304,$AC409)&amp;"","")</f>
        <v/>
      </c>
      <c r="AA409" s="48" t="str">
        <f>IF($AC409&gt;0,IF(ISNUMBER(INDEX(CASHBACK_RULES!$K$5:$K$304,$AC409)),INDEX(CASHBACK_RULES!$K$5:$K$304,$AC409),"∞"),"")</f>
        <v/>
      </c>
      <c r="AB409" s="44" t="str">
        <f>IF(OR($B409="",$D409=""),"",IF($U409="Cancelled","Đã hủy",IF($AC409=0,"Không được hoàn",IF($Q409=0,IF(OR($O409&gt;0,$M409&lt;$L409),"Đã đạt cap","Không được hoàn"),IF(OR($Q409&lt;$O409,$M409&lt;$L409),"Hoàn một phần","Được hoàn")))))</f>
        <v/>
      </c>
      <c r="AC409" s="43">
        <f>IF(OR($B409="",$D409="",$I409="",$L409=""),0,IF($U409="Cancelled",0,IF($W409&lt;&gt;"",IFERROR(IF(INDEX(CASHBACK_RULES!$B$5:$B$304,MATCH($W409,CASHBACK_RULES!$A$5:$A$304,0))=$D409,MATCH($W409,CASHBACK_RULES!$A$5:$A$304,0),0),0),IFERROR(MATCH(1,INDEX((CASHBACK_RULES!$B$5:$B$304=$D409)*(CASHBACK_RULES!$G$5:$G$304=$I409)*(((CASHBACK_RULES!$N$5:$N$304="")+(CASHBACK_RULES!$N$5:$N$304&lt;=$B409))&gt;0)*(((CASHBACK_RULES!$O$5:$O$304="")+(CASHBACK_RULES!$O$5:$O$304&gt;=$B409))&gt;0)*(((CASHBACK_RULES!$M$5:$M$304="")+(CASHBACK_RULES!$M$5:$M$304&lt;=$L409))&gt;0),0),0),0))))</f>
        <v>0</v>
      </c>
      <c r="AD409" s="51" t="str">
        <f>IF(OR($B409="",$D409=""),"",IFERROR(IF(INDEX(CARDS!$H$5:$H$34,MATCH($D409,CARDS!$A$5:$A$34,0))="","",IF(DAY($B409)&lt;=INDEX(CARDS!$H$5:$H$34,MATCH($D409,CARDS!$A$5:$A$34,0)),DATE(YEAR($B409),MONTH($B409),MIN(INDEX(CARDS!$H$5:$H$34,MATCH($D409,CARDS!$A$5:$A$34,0)),DAY(EOMONTH($B409,0)))),DATE(YEAR($B409),MONTH($B409)+1,MIN(INDEX(CARDS!$H$5:$H$34,MATCH($D409,CARDS!$A$5:$A$34,0)),DAY(EOMONTH($B409,1)))))),""))</f>
        <v/>
      </c>
      <c r="AE409" s="52" t="str">
        <f>IF($C409="","",$C409&amp;"|"&amp;COUNTIF($C$5:$C409,$C409))</f>
        <v/>
      </c>
      <c r="AF409" s="53">
        <f>IF($AC409&gt;0,SUMIFS(Q$4:Q408,$D$4:$D408,$D409,$Z$4:$Z408,$Z409,$C$4:$C408,$C409),0)</f>
        <v>0</v>
      </c>
      <c r="AG409" s="53">
        <f>IF($AC409&gt;0,SUMIFS(Q$4:Q408,$D$4:$D408,$D409,$C$4:$C408,$C409),0)</f>
        <v>0</v>
      </c>
      <c r="AH409" s="53">
        <f>IF($AC409&gt;0,SUMIFS(M$4:M408,$D$4:$D408,$D409,$Z$4:$Z408,$Z409,$C$4:$C408,$C409),0)</f>
        <v>0</v>
      </c>
      <c r="AI409" s="43">
        <f>IF(OR($C409="",$I409=""),0,IF(COUNTIFS($C$5:$C409,$C409,$I$5:$I409,$I409)=1,1,0))</f>
        <v>0</v>
      </c>
      <c r="AJ409" s="43" t="str">
        <f>IF($AI409=1,SUMIFS($AI$4:$AI408,$C$4:$C408,$C409)+1,"")</f>
        <v/>
      </c>
      <c r="AK409" s="43">
        <f>IF(OR($C409="",$K409=""),0,IF(COUNTIFS($C$5:$C409,$C409,$K$5:$K409,$K409)=1,1,0))</f>
        <v>0</v>
      </c>
      <c r="AL409" s="43" t="str">
        <f>IF($AK409=1,SUMIFS($AK$4:$AK408,$C$4:$C408,$C409)+1,"")</f>
        <v/>
      </c>
      <c r="AM409" s="43">
        <f>IF(OR($C409="",$G409=""),0,IF(COUNTIFS($C$5:$C409,$C409,$G$5:$G409,$G409)=1,1,0))</f>
        <v>0</v>
      </c>
      <c r="AN409" s="43" t="str">
        <f>IF($AM409=1,SUMIFS($AM$4:$AM408,$C$4:$C408,$C409)+1,"")</f>
        <v/>
      </c>
    </row>
    <row r="410">
      <c r="A410" s="44" t="str">
        <f>IF(OR($B410="",$D410=""),"","TX"&amp;TEXT(ROW()-4,"0000"))</f>
        <v/>
      </c>
      <c r="B410" s="42" t="n"/>
      <c r="C410" s="47" t="str">
        <f>IF($B410="","",YEAR($B410)*100+MONTH($B410))</f>
        <v/>
      </c>
      <c r="D410" s="37" t="n"/>
      <c r="E410" s="45" t="str">
        <f>IF($D410="","",IFERROR(INDEX(CARDS!$B$5:$B$34,MATCH($D410,CARDS!$A$5:$A$34,0)),"⚠ Card ID?"))</f>
        <v/>
      </c>
      <c r="F410" s="45" t="str">
        <f>IF($D410="","",IFERROR(INDEX(CARDS!$C$5:$C$34,MATCH($D410,CARDS!$A$5:$A$34,0)),"⚠ Card ID?"))</f>
        <v/>
      </c>
      <c r="G410" s="37" t="n"/>
      <c r="H410" s="37" t="n"/>
      <c r="I410" s="41" t="n"/>
      <c r="J410" s="45" t="str">
        <f>IF($I410="","",IFERROR(INDEX(MCC_MASTER!$B$5:$B$504,MATCH($I410,MCC_MASTER!$A$5:$A$504,0)),"⚠ MCC chưa có"))</f>
        <v/>
      </c>
      <c r="K410" s="45" t="str">
        <f>IF($I410="","",IFERROR(IF(INDEX(MCC_MASTER!$C$5:$C$504,MATCH($I410,MCC_MASTER!$A$5:$A$504,0))="","Chưa phân loại",INDEX(MCC_MASTER!$C$5:$C$504,MATCH($I410,MCC_MASTER!$A$5:$A$504,0))),"Chưa phân loại"))</f>
        <v/>
      </c>
      <c r="L410" s="40" t="n"/>
      <c r="M410" s="48" t="str">
        <f>IF(OR($B410="",$D410=""),"",IF($AC410=0,0,IF(ISNUMBER(INDEX(CASHBACK_RULES!$L$5:$L$304,$AC410)),MAX(0,MIN($L410,INDEX(CASHBACK_RULES!$L$5:$L$304,$AC410)-$AH410)),MAX(0,$L410))))</f>
        <v/>
      </c>
      <c r="N410" s="49" t="str">
        <f>IF(OR($B410="",$D410=""),"",IF($AC410&gt;0,INDEX(CASHBACK_RULES!$I$5:$I$304,$AC410),0))</f>
        <v/>
      </c>
      <c r="O410" s="48" t="str">
        <f>IF(OR($B410="",$D410=""),"",ROUND($M410*$N410,0))</f>
        <v/>
      </c>
      <c r="P410" s="48" t="str">
        <f>IF($AC410&gt;0,IF(ISNUMBER(INDEX(CASHBACK_RULES!$J$5:$J$304,$AC410)),INDEX(CASHBACK_RULES!$J$5:$J$304,$AC410),"∞"),"")</f>
        <v/>
      </c>
      <c r="Q410" s="48" t="str">
        <f>IF(OR($B410="",$D410=""),"",IF($AC410=0,0,MAX(0,MIN($O410,IF(ISNUMBER($P410),$P410-$AF410,1E+15),IF(ISNUMBER($AA410),$AA410-$AG410,1E+15)))))</f>
        <v/>
      </c>
      <c r="R410" s="48" t="str">
        <f>IF(OR($B410="",$D410=""),"",IF($AC410=0,"",IF(AND(NOT(ISNUMBER($P410)),NOT(ISNUMBER($AA410))),"∞",MAX(0,MIN(IF(ISNUMBER($P410),$P410-$AF410-$Q410,1E+15),IF(ISNUMBER($AA410),$AA410-$AG410-$Q410,1E+15))))))</f>
        <v/>
      </c>
      <c r="S410" s="47" t="str">
        <f>IF($AD410="","",YEAR($AD410)*100+MONTH($AD410))</f>
        <v/>
      </c>
      <c r="T410" s="50" t="str">
        <f>IF($AD410="","",IFERROR(IF(INDEX(CARDS!$I$5:$I$34,MATCH($D410,CARDS!$A$5:$A$34,0))="","",IF(INDEX(CARDS!$I$5:$I$34,MATCH($D410,CARDS!$A$5:$A$34,0))&gt;INDEX(CARDS!$H$5:$H$34,MATCH($D410,CARDS!$A$5:$A$34,0)),DATE(YEAR($AD410),MONTH($AD410),MIN(INDEX(CARDS!$I$5:$I$34,MATCH($D410,CARDS!$A$5:$A$34,0)),DAY(EOMONTH($AD410,0)))),DATE(YEAR($AD410),MONTH($AD410)+1,MIN(INDEX(CARDS!$I$5:$I$34,MATCH($D410,CARDS!$A$5:$A$34,0)),DAY(EOMONTH($AD410,1)))))),""))</f>
        <v/>
      </c>
      <c r="U410" s="38" t="n"/>
      <c r="V410" s="37" t="n"/>
      <c r="W410" s="38" t="n"/>
      <c r="X410" s="38" t="n"/>
      <c r="Y410" s="44" t="str">
        <f>IF($AC410&gt;0,INDEX(CASHBACK_RULES!$A$5:$A$304,$AC410),"")</f>
        <v/>
      </c>
      <c r="Z410" s="45" t="str">
        <f>IF($AC410&gt;0,INDEX(CASHBACK_RULES!$E$5:$E$304,$AC410)&amp;"","")</f>
        <v/>
      </c>
      <c r="AA410" s="48" t="str">
        <f>IF($AC410&gt;0,IF(ISNUMBER(INDEX(CASHBACK_RULES!$K$5:$K$304,$AC410)),INDEX(CASHBACK_RULES!$K$5:$K$304,$AC410),"∞"),"")</f>
        <v/>
      </c>
      <c r="AB410" s="44" t="str">
        <f>IF(OR($B410="",$D410=""),"",IF($U410="Cancelled","Đã hủy",IF($AC410=0,"Không được hoàn",IF($Q410=0,IF(OR($O410&gt;0,$M410&lt;$L410),"Đã đạt cap","Không được hoàn"),IF(OR($Q410&lt;$O410,$M410&lt;$L410),"Hoàn một phần","Được hoàn")))))</f>
        <v/>
      </c>
      <c r="AC410" s="43">
        <f>IF(OR($B410="",$D410="",$I410="",$L410=""),0,IF($U410="Cancelled",0,IF($W410&lt;&gt;"",IFERROR(IF(INDEX(CASHBACK_RULES!$B$5:$B$304,MATCH($W410,CASHBACK_RULES!$A$5:$A$304,0))=$D410,MATCH($W410,CASHBACK_RULES!$A$5:$A$304,0),0),0),IFERROR(MATCH(1,INDEX((CASHBACK_RULES!$B$5:$B$304=$D410)*(CASHBACK_RULES!$G$5:$G$304=$I410)*(((CASHBACK_RULES!$N$5:$N$304="")+(CASHBACK_RULES!$N$5:$N$304&lt;=$B410))&gt;0)*(((CASHBACK_RULES!$O$5:$O$304="")+(CASHBACK_RULES!$O$5:$O$304&gt;=$B410))&gt;0)*(((CASHBACK_RULES!$M$5:$M$304="")+(CASHBACK_RULES!$M$5:$M$304&lt;=$L410))&gt;0),0),0),0))))</f>
        <v>0</v>
      </c>
      <c r="AD410" s="51" t="str">
        <f>IF(OR($B410="",$D410=""),"",IFERROR(IF(INDEX(CARDS!$H$5:$H$34,MATCH($D410,CARDS!$A$5:$A$34,0))="","",IF(DAY($B410)&lt;=INDEX(CARDS!$H$5:$H$34,MATCH($D410,CARDS!$A$5:$A$34,0)),DATE(YEAR($B410),MONTH($B410),MIN(INDEX(CARDS!$H$5:$H$34,MATCH($D410,CARDS!$A$5:$A$34,0)),DAY(EOMONTH($B410,0)))),DATE(YEAR($B410),MONTH($B410)+1,MIN(INDEX(CARDS!$H$5:$H$34,MATCH($D410,CARDS!$A$5:$A$34,0)),DAY(EOMONTH($B410,1)))))),""))</f>
        <v/>
      </c>
      <c r="AE410" s="52" t="str">
        <f>IF($C410="","",$C410&amp;"|"&amp;COUNTIF($C$5:$C410,$C410))</f>
        <v/>
      </c>
      <c r="AF410" s="53">
        <f>IF($AC410&gt;0,SUMIFS(Q$4:Q409,$D$4:$D409,$D410,$Z$4:$Z409,$Z410,$C$4:$C409,$C410),0)</f>
        <v>0</v>
      </c>
      <c r="AG410" s="53">
        <f>IF($AC410&gt;0,SUMIFS(Q$4:Q409,$D$4:$D409,$D410,$C$4:$C409,$C410),0)</f>
        <v>0</v>
      </c>
      <c r="AH410" s="53">
        <f>IF($AC410&gt;0,SUMIFS(M$4:M409,$D$4:$D409,$D410,$Z$4:$Z409,$Z410,$C$4:$C409,$C410),0)</f>
        <v>0</v>
      </c>
      <c r="AI410" s="43">
        <f>IF(OR($C410="",$I410=""),0,IF(COUNTIFS($C$5:$C410,$C410,$I$5:$I410,$I410)=1,1,0))</f>
        <v>0</v>
      </c>
      <c r="AJ410" s="43" t="str">
        <f>IF($AI410=1,SUMIFS($AI$4:$AI409,$C$4:$C409,$C410)+1,"")</f>
        <v/>
      </c>
      <c r="AK410" s="43">
        <f>IF(OR($C410="",$K410=""),0,IF(COUNTIFS($C$5:$C410,$C410,$K$5:$K410,$K410)=1,1,0))</f>
        <v>0</v>
      </c>
      <c r="AL410" s="43" t="str">
        <f>IF($AK410=1,SUMIFS($AK$4:$AK409,$C$4:$C409,$C410)+1,"")</f>
        <v/>
      </c>
      <c r="AM410" s="43">
        <f>IF(OR($C410="",$G410=""),0,IF(COUNTIFS($C$5:$C410,$C410,$G$5:$G410,$G410)=1,1,0))</f>
        <v>0</v>
      </c>
      <c r="AN410" s="43" t="str">
        <f>IF($AM410=1,SUMIFS($AM$4:$AM409,$C$4:$C409,$C410)+1,"")</f>
        <v/>
      </c>
    </row>
    <row r="411">
      <c r="A411" s="44" t="str">
        <f>IF(OR($B411="",$D411=""),"","TX"&amp;TEXT(ROW()-4,"0000"))</f>
        <v/>
      </c>
      <c r="B411" s="42" t="n"/>
      <c r="C411" s="47" t="str">
        <f>IF($B411="","",YEAR($B411)*100+MONTH($B411))</f>
        <v/>
      </c>
      <c r="D411" s="37" t="n"/>
      <c r="E411" s="45" t="str">
        <f>IF($D411="","",IFERROR(INDEX(CARDS!$B$5:$B$34,MATCH($D411,CARDS!$A$5:$A$34,0)),"⚠ Card ID?"))</f>
        <v/>
      </c>
      <c r="F411" s="45" t="str">
        <f>IF($D411="","",IFERROR(INDEX(CARDS!$C$5:$C$34,MATCH($D411,CARDS!$A$5:$A$34,0)),"⚠ Card ID?"))</f>
        <v/>
      </c>
      <c r="G411" s="37" t="n"/>
      <c r="H411" s="37" t="n"/>
      <c r="I411" s="41" t="n"/>
      <c r="J411" s="45" t="str">
        <f>IF($I411="","",IFERROR(INDEX(MCC_MASTER!$B$5:$B$504,MATCH($I411,MCC_MASTER!$A$5:$A$504,0)),"⚠ MCC chưa có"))</f>
        <v/>
      </c>
      <c r="K411" s="45" t="str">
        <f>IF($I411="","",IFERROR(IF(INDEX(MCC_MASTER!$C$5:$C$504,MATCH($I411,MCC_MASTER!$A$5:$A$504,0))="","Chưa phân loại",INDEX(MCC_MASTER!$C$5:$C$504,MATCH($I411,MCC_MASTER!$A$5:$A$504,0))),"Chưa phân loại"))</f>
        <v/>
      </c>
      <c r="L411" s="40" t="n"/>
      <c r="M411" s="48" t="str">
        <f>IF(OR($B411="",$D411=""),"",IF($AC411=0,0,IF(ISNUMBER(INDEX(CASHBACK_RULES!$L$5:$L$304,$AC411)),MAX(0,MIN($L411,INDEX(CASHBACK_RULES!$L$5:$L$304,$AC411)-$AH411)),MAX(0,$L411))))</f>
        <v/>
      </c>
      <c r="N411" s="49" t="str">
        <f>IF(OR($B411="",$D411=""),"",IF($AC411&gt;0,INDEX(CASHBACK_RULES!$I$5:$I$304,$AC411),0))</f>
        <v/>
      </c>
      <c r="O411" s="48" t="str">
        <f>IF(OR($B411="",$D411=""),"",ROUND($M411*$N411,0))</f>
        <v/>
      </c>
      <c r="P411" s="48" t="str">
        <f>IF($AC411&gt;0,IF(ISNUMBER(INDEX(CASHBACK_RULES!$J$5:$J$304,$AC411)),INDEX(CASHBACK_RULES!$J$5:$J$304,$AC411),"∞"),"")</f>
        <v/>
      </c>
      <c r="Q411" s="48" t="str">
        <f>IF(OR($B411="",$D411=""),"",IF($AC411=0,0,MAX(0,MIN($O411,IF(ISNUMBER($P411),$P411-$AF411,1E+15),IF(ISNUMBER($AA411),$AA411-$AG411,1E+15)))))</f>
        <v/>
      </c>
      <c r="R411" s="48" t="str">
        <f>IF(OR($B411="",$D411=""),"",IF($AC411=0,"",IF(AND(NOT(ISNUMBER($P411)),NOT(ISNUMBER($AA411))),"∞",MAX(0,MIN(IF(ISNUMBER($P411),$P411-$AF411-$Q411,1E+15),IF(ISNUMBER($AA411),$AA411-$AG411-$Q411,1E+15))))))</f>
        <v/>
      </c>
      <c r="S411" s="47" t="str">
        <f>IF($AD411="","",YEAR($AD411)*100+MONTH($AD411))</f>
        <v/>
      </c>
      <c r="T411" s="50" t="str">
        <f>IF($AD411="","",IFERROR(IF(INDEX(CARDS!$I$5:$I$34,MATCH($D411,CARDS!$A$5:$A$34,0))="","",IF(INDEX(CARDS!$I$5:$I$34,MATCH($D411,CARDS!$A$5:$A$34,0))&gt;INDEX(CARDS!$H$5:$H$34,MATCH($D411,CARDS!$A$5:$A$34,0)),DATE(YEAR($AD411),MONTH($AD411),MIN(INDEX(CARDS!$I$5:$I$34,MATCH($D411,CARDS!$A$5:$A$34,0)),DAY(EOMONTH($AD411,0)))),DATE(YEAR($AD411),MONTH($AD411)+1,MIN(INDEX(CARDS!$I$5:$I$34,MATCH($D411,CARDS!$A$5:$A$34,0)),DAY(EOMONTH($AD411,1)))))),""))</f>
        <v/>
      </c>
      <c r="U411" s="38" t="n"/>
      <c r="V411" s="37" t="n"/>
      <c r="W411" s="38" t="n"/>
      <c r="X411" s="38" t="n"/>
      <c r="Y411" s="44" t="str">
        <f>IF($AC411&gt;0,INDEX(CASHBACK_RULES!$A$5:$A$304,$AC411),"")</f>
        <v/>
      </c>
      <c r="Z411" s="45" t="str">
        <f>IF($AC411&gt;0,INDEX(CASHBACK_RULES!$E$5:$E$304,$AC411)&amp;"","")</f>
        <v/>
      </c>
      <c r="AA411" s="48" t="str">
        <f>IF($AC411&gt;0,IF(ISNUMBER(INDEX(CASHBACK_RULES!$K$5:$K$304,$AC411)),INDEX(CASHBACK_RULES!$K$5:$K$304,$AC411),"∞"),"")</f>
        <v/>
      </c>
      <c r="AB411" s="44" t="str">
        <f>IF(OR($B411="",$D411=""),"",IF($U411="Cancelled","Đã hủy",IF($AC411=0,"Không được hoàn",IF($Q411=0,IF(OR($O411&gt;0,$M411&lt;$L411),"Đã đạt cap","Không được hoàn"),IF(OR($Q411&lt;$O411,$M411&lt;$L411),"Hoàn một phần","Được hoàn")))))</f>
        <v/>
      </c>
      <c r="AC411" s="43">
        <f>IF(OR($B411="",$D411="",$I411="",$L411=""),0,IF($U411="Cancelled",0,IF($W411&lt;&gt;"",IFERROR(IF(INDEX(CASHBACK_RULES!$B$5:$B$304,MATCH($W411,CASHBACK_RULES!$A$5:$A$304,0))=$D411,MATCH($W411,CASHBACK_RULES!$A$5:$A$304,0),0),0),IFERROR(MATCH(1,INDEX((CASHBACK_RULES!$B$5:$B$304=$D411)*(CASHBACK_RULES!$G$5:$G$304=$I411)*(((CASHBACK_RULES!$N$5:$N$304="")+(CASHBACK_RULES!$N$5:$N$304&lt;=$B411))&gt;0)*(((CASHBACK_RULES!$O$5:$O$304="")+(CASHBACK_RULES!$O$5:$O$304&gt;=$B411))&gt;0)*(((CASHBACK_RULES!$M$5:$M$304="")+(CASHBACK_RULES!$M$5:$M$304&lt;=$L411))&gt;0),0),0),0))))</f>
        <v>0</v>
      </c>
      <c r="AD411" s="51" t="str">
        <f>IF(OR($B411="",$D411=""),"",IFERROR(IF(INDEX(CARDS!$H$5:$H$34,MATCH($D411,CARDS!$A$5:$A$34,0))="","",IF(DAY($B411)&lt;=INDEX(CARDS!$H$5:$H$34,MATCH($D411,CARDS!$A$5:$A$34,0)),DATE(YEAR($B411),MONTH($B411),MIN(INDEX(CARDS!$H$5:$H$34,MATCH($D411,CARDS!$A$5:$A$34,0)),DAY(EOMONTH($B411,0)))),DATE(YEAR($B411),MONTH($B411)+1,MIN(INDEX(CARDS!$H$5:$H$34,MATCH($D411,CARDS!$A$5:$A$34,0)),DAY(EOMONTH($B411,1)))))),""))</f>
        <v/>
      </c>
      <c r="AE411" s="52" t="str">
        <f>IF($C411="","",$C411&amp;"|"&amp;COUNTIF($C$5:$C411,$C411))</f>
        <v/>
      </c>
      <c r="AF411" s="53">
        <f>IF($AC411&gt;0,SUMIFS(Q$4:Q410,$D$4:$D410,$D411,$Z$4:$Z410,$Z411,$C$4:$C410,$C411),0)</f>
        <v>0</v>
      </c>
      <c r="AG411" s="53">
        <f>IF($AC411&gt;0,SUMIFS(Q$4:Q410,$D$4:$D410,$D411,$C$4:$C410,$C411),0)</f>
        <v>0</v>
      </c>
      <c r="AH411" s="53">
        <f>IF($AC411&gt;0,SUMIFS(M$4:M410,$D$4:$D410,$D411,$Z$4:$Z410,$Z411,$C$4:$C410,$C411),0)</f>
        <v>0</v>
      </c>
      <c r="AI411" s="43">
        <f>IF(OR($C411="",$I411=""),0,IF(COUNTIFS($C$5:$C411,$C411,$I$5:$I411,$I411)=1,1,0))</f>
        <v>0</v>
      </c>
      <c r="AJ411" s="43" t="str">
        <f>IF($AI411=1,SUMIFS($AI$4:$AI410,$C$4:$C410,$C411)+1,"")</f>
        <v/>
      </c>
      <c r="AK411" s="43">
        <f>IF(OR($C411="",$K411=""),0,IF(COUNTIFS($C$5:$C411,$C411,$K$5:$K411,$K411)=1,1,0))</f>
        <v>0</v>
      </c>
      <c r="AL411" s="43" t="str">
        <f>IF($AK411=1,SUMIFS($AK$4:$AK410,$C$4:$C410,$C411)+1,"")</f>
        <v/>
      </c>
      <c r="AM411" s="43">
        <f>IF(OR($C411="",$G411=""),0,IF(COUNTIFS($C$5:$C411,$C411,$G$5:$G411,$G411)=1,1,0))</f>
        <v>0</v>
      </c>
      <c r="AN411" s="43" t="str">
        <f>IF($AM411=1,SUMIFS($AM$4:$AM410,$C$4:$C410,$C411)+1,"")</f>
        <v/>
      </c>
    </row>
    <row r="412">
      <c r="A412" s="44" t="str">
        <f>IF(OR($B412="",$D412=""),"","TX"&amp;TEXT(ROW()-4,"0000"))</f>
        <v/>
      </c>
      <c r="B412" s="42" t="n"/>
      <c r="C412" s="47" t="str">
        <f>IF($B412="","",YEAR($B412)*100+MONTH($B412))</f>
        <v/>
      </c>
      <c r="D412" s="37" t="n"/>
      <c r="E412" s="45" t="str">
        <f>IF($D412="","",IFERROR(INDEX(CARDS!$B$5:$B$34,MATCH($D412,CARDS!$A$5:$A$34,0)),"⚠ Card ID?"))</f>
        <v/>
      </c>
      <c r="F412" s="45" t="str">
        <f>IF($D412="","",IFERROR(INDEX(CARDS!$C$5:$C$34,MATCH($D412,CARDS!$A$5:$A$34,0)),"⚠ Card ID?"))</f>
        <v/>
      </c>
      <c r="G412" s="37" t="n"/>
      <c r="H412" s="37" t="n"/>
      <c r="I412" s="41" t="n"/>
      <c r="J412" s="45" t="str">
        <f>IF($I412="","",IFERROR(INDEX(MCC_MASTER!$B$5:$B$504,MATCH($I412,MCC_MASTER!$A$5:$A$504,0)),"⚠ MCC chưa có"))</f>
        <v/>
      </c>
      <c r="K412" s="45" t="str">
        <f>IF($I412="","",IFERROR(IF(INDEX(MCC_MASTER!$C$5:$C$504,MATCH($I412,MCC_MASTER!$A$5:$A$504,0))="","Chưa phân loại",INDEX(MCC_MASTER!$C$5:$C$504,MATCH($I412,MCC_MASTER!$A$5:$A$504,0))),"Chưa phân loại"))</f>
        <v/>
      </c>
      <c r="L412" s="40" t="n"/>
      <c r="M412" s="48" t="str">
        <f>IF(OR($B412="",$D412=""),"",IF($AC412=0,0,IF(ISNUMBER(INDEX(CASHBACK_RULES!$L$5:$L$304,$AC412)),MAX(0,MIN($L412,INDEX(CASHBACK_RULES!$L$5:$L$304,$AC412)-$AH412)),MAX(0,$L412))))</f>
        <v/>
      </c>
      <c r="N412" s="49" t="str">
        <f>IF(OR($B412="",$D412=""),"",IF($AC412&gt;0,INDEX(CASHBACK_RULES!$I$5:$I$304,$AC412),0))</f>
        <v/>
      </c>
      <c r="O412" s="48" t="str">
        <f>IF(OR($B412="",$D412=""),"",ROUND($M412*$N412,0))</f>
        <v/>
      </c>
      <c r="P412" s="48" t="str">
        <f>IF($AC412&gt;0,IF(ISNUMBER(INDEX(CASHBACK_RULES!$J$5:$J$304,$AC412)),INDEX(CASHBACK_RULES!$J$5:$J$304,$AC412),"∞"),"")</f>
        <v/>
      </c>
      <c r="Q412" s="48" t="str">
        <f>IF(OR($B412="",$D412=""),"",IF($AC412=0,0,MAX(0,MIN($O412,IF(ISNUMBER($P412),$P412-$AF412,1E+15),IF(ISNUMBER($AA412),$AA412-$AG412,1E+15)))))</f>
        <v/>
      </c>
      <c r="R412" s="48" t="str">
        <f>IF(OR($B412="",$D412=""),"",IF($AC412=0,"",IF(AND(NOT(ISNUMBER($P412)),NOT(ISNUMBER($AA412))),"∞",MAX(0,MIN(IF(ISNUMBER($P412),$P412-$AF412-$Q412,1E+15),IF(ISNUMBER($AA412),$AA412-$AG412-$Q412,1E+15))))))</f>
        <v/>
      </c>
      <c r="S412" s="47" t="str">
        <f>IF($AD412="","",YEAR($AD412)*100+MONTH($AD412))</f>
        <v/>
      </c>
      <c r="T412" s="50" t="str">
        <f>IF($AD412="","",IFERROR(IF(INDEX(CARDS!$I$5:$I$34,MATCH($D412,CARDS!$A$5:$A$34,0))="","",IF(INDEX(CARDS!$I$5:$I$34,MATCH($D412,CARDS!$A$5:$A$34,0))&gt;INDEX(CARDS!$H$5:$H$34,MATCH($D412,CARDS!$A$5:$A$34,0)),DATE(YEAR($AD412),MONTH($AD412),MIN(INDEX(CARDS!$I$5:$I$34,MATCH($D412,CARDS!$A$5:$A$34,0)),DAY(EOMONTH($AD412,0)))),DATE(YEAR($AD412),MONTH($AD412)+1,MIN(INDEX(CARDS!$I$5:$I$34,MATCH($D412,CARDS!$A$5:$A$34,0)),DAY(EOMONTH($AD412,1)))))),""))</f>
        <v/>
      </c>
      <c r="U412" s="38" t="n"/>
      <c r="V412" s="37" t="n"/>
      <c r="W412" s="38" t="n"/>
      <c r="X412" s="38" t="n"/>
      <c r="Y412" s="44" t="str">
        <f>IF($AC412&gt;0,INDEX(CASHBACK_RULES!$A$5:$A$304,$AC412),"")</f>
        <v/>
      </c>
      <c r="Z412" s="45" t="str">
        <f>IF($AC412&gt;0,INDEX(CASHBACK_RULES!$E$5:$E$304,$AC412)&amp;"","")</f>
        <v/>
      </c>
      <c r="AA412" s="48" t="str">
        <f>IF($AC412&gt;0,IF(ISNUMBER(INDEX(CASHBACK_RULES!$K$5:$K$304,$AC412)),INDEX(CASHBACK_RULES!$K$5:$K$304,$AC412),"∞"),"")</f>
        <v/>
      </c>
      <c r="AB412" s="44" t="str">
        <f>IF(OR($B412="",$D412=""),"",IF($U412="Cancelled","Đã hủy",IF($AC412=0,"Không được hoàn",IF($Q412=0,IF(OR($O412&gt;0,$M412&lt;$L412),"Đã đạt cap","Không được hoàn"),IF(OR($Q412&lt;$O412,$M412&lt;$L412),"Hoàn một phần","Được hoàn")))))</f>
        <v/>
      </c>
      <c r="AC412" s="43">
        <f>IF(OR($B412="",$D412="",$I412="",$L412=""),0,IF($U412="Cancelled",0,IF($W412&lt;&gt;"",IFERROR(IF(INDEX(CASHBACK_RULES!$B$5:$B$304,MATCH($W412,CASHBACK_RULES!$A$5:$A$304,0))=$D412,MATCH($W412,CASHBACK_RULES!$A$5:$A$304,0),0),0),IFERROR(MATCH(1,INDEX((CASHBACK_RULES!$B$5:$B$304=$D412)*(CASHBACK_RULES!$G$5:$G$304=$I412)*(((CASHBACK_RULES!$N$5:$N$304="")+(CASHBACK_RULES!$N$5:$N$304&lt;=$B412))&gt;0)*(((CASHBACK_RULES!$O$5:$O$304="")+(CASHBACK_RULES!$O$5:$O$304&gt;=$B412))&gt;0)*(((CASHBACK_RULES!$M$5:$M$304="")+(CASHBACK_RULES!$M$5:$M$304&lt;=$L412))&gt;0),0),0),0))))</f>
        <v>0</v>
      </c>
      <c r="AD412" s="51" t="str">
        <f>IF(OR($B412="",$D412=""),"",IFERROR(IF(INDEX(CARDS!$H$5:$H$34,MATCH($D412,CARDS!$A$5:$A$34,0))="","",IF(DAY($B412)&lt;=INDEX(CARDS!$H$5:$H$34,MATCH($D412,CARDS!$A$5:$A$34,0)),DATE(YEAR($B412),MONTH($B412),MIN(INDEX(CARDS!$H$5:$H$34,MATCH($D412,CARDS!$A$5:$A$34,0)),DAY(EOMONTH($B412,0)))),DATE(YEAR($B412),MONTH($B412)+1,MIN(INDEX(CARDS!$H$5:$H$34,MATCH($D412,CARDS!$A$5:$A$34,0)),DAY(EOMONTH($B412,1)))))),""))</f>
        <v/>
      </c>
      <c r="AE412" s="52" t="str">
        <f>IF($C412="","",$C412&amp;"|"&amp;COUNTIF($C$5:$C412,$C412))</f>
        <v/>
      </c>
      <c r="AF412" s="53">
        <f>IF($AC412&gt;0,SUMIFS(Q$4:Q411,$D$4:$D411,$D412,$Z$4:$Z411,$Z412,$C$4:$C411,$C412),0)</f>
        <v>0</v>
      </c>
      <c r="AG412" s="53">
        <f>IF($AC412&gt;0,SUMIFS(Q$4:Q411,$D$4:$D411,$D412,$C$4:$C411,$C412),0)</f>
        <v>0</v>
      </c>
      <c r="AH412" s="53">
        <f>IF($AC412&gt;0,SUMIFS(M$4:M411,$D$4:$D411,$D412,$Z$4:$Z411,$Z412,$C$4:$C411,$C412),0)</f>
        <v>0</v>
      </c>
      <c r="AI412" s="43">
        <f>IF(OR($C412="",$I412=""),0,IF(COUNTIFS($C$5:$C412,$C412,$I$5:$I412,$I412)=1,1,0))</f>
        <v>0</v>
      </c>
      <c r="AJ412" s="43" t="str">
        <f>IF($AI412=1,SUMIFS($AI$4:$AI411,$C$4:$C411,$C412)+1,"")</f>
        <v/>
      </c>
      <c r="AK412" s="43">
        <f>IF(OR($C412="",$K412=""),0,IF(COUNTIFS($C$5:$C412,$C412,$K$5:$K412,$K412)=1,1,0))</f>
        <v>0</v>
      </c>
      <c r="AL412" s="43" t="str">
        <f>IF($AK412=1,SUMIFS($AK$4:$AK411,$C$4:$C411,$C412)+1,"")</f>
        <v/>
      </c>
      <c r="AM412" s="43">
        <f>IF(OR($C412="",$G412=""),0,IF(COUNTIFS($C$5:$C412,$C412,$G$5:$G412,$G412)=1,1,0))</f>
        <v>0</v>
      </c>
      <c r="AN412" s="43" t="str">
        <f>IF($AM412=1,SUMIFS($AM$4:$AM411,$C$4:$C411,$C412)+1,"")</f>
        <v/>
      </c>
    </row>
    <row r="413">
      <c r="A413" s="44" t="str">
        <f>IF(OR($B413="",$D413=""),"","TX"&amp;TEXT(ROW()-4,"0000"))</f>
        <v/>
      </c>
      <c r="B413" s="42" t="n"/>
      <c r="C413" s="47" t="str">
        <f>IF($B413="","",YEAR($B413)*100+MONTH($B413))</f>
        <v/>
      </c>
      <c r="D413" s="37" t="n"/>
      <c r="E413" s="45" t="str">
        <f>IF($D413="","",IFERROR(INDEX(CARDS!$B$5:$B$34,MATCH($D413,CARDS!$A$5:$A$34,0)),"⚠ Card ID?"))</f>
        <v/>
      </c>
      <c r="F413" s="45" t="str">
        <f>IF($D413="","",IFERROR(INDEX(CARDS!$C$5:$C$34,MATCH($D413,CARDS!$A$5:$A$34,0)),"⚠ Card ID?"))</f>
        <v/>
      </c>
      <c r="G413" s="37" t="n"/>
      <c r="H413" s="37" t="n"/>
      <c r="I413" s="41" t="n"/>
      <c r="J413" s="45" t="str">
        <f>IF($I413="","",IFERROR(INDEX(MCC_MASTER!$B$5:$B$504,MATCH($I413,MCC_MASTER!$A$5:$A$504,0)),"⚠ MCC chưa có"))</f>
        <v/>
      </c>
      <c r="K413" s="45" t="str">
        <f>IF($I413="","",IFERROR(IF(INDEX(MCC_MASTER!$C$5:$C$504,MATCH($I413,MCC_MASTER!$A$5:$A$504,0))="","Chưa phân loại",INDEX(MCC_MASTER!$C$5:$C$504,MATCH($I413,MCC_MASTER!$A$5:$A$504,0))),"Chưa phân loại"))</f>
        <v/>
      </c>
      <c r="L413" s="40" t="n"/>
      <c r="M413" s="48" t="str">
        <f>IF(OR($B413="",$D413=""),"",IF($AC413=0,0,IF(ISNUMBER(INDEX(CASHBACK_RULES!$L$5:$L$304,$AC413)),MAX(0,MIN($L413,INDEX(CASHBACK_RULES!$L$5:$L$304,$AC413)-$AH413)),MAX(0,$L413))))</f>
        <v/>
      </c>
      <c r="N413" s="49" t="str">
        <f>IF(OR($B413="",$D413=""),"",IF($AC413&gt;0,INDEX(CASHBACK_RULES!$I$5:$I$304,$AC413),0))</f>
        <v/>
      </c>
      <c r="O413" s="48" t="str">
        <f>IF(OR($B413="",$D413=""),"",ROUND($M413*$N413,0))</f>
        <v/>
      </c>
      <c r="P413" s="48" t="str">
        <f>IF($AC413&gt;0,IF(ISNUMBER(INDEX(CASHBACK_RULES!$J$5:$J$304,$AC413)),INDEX(CASHBACK_RULES!$J$5:$J$304,$AC413),"∞"),"")</f>
        <v/>
      </c>
      <c r="Q413" s="48" t="str">
        <f>IF(OR($B413="",$D413=""),"",IF($AC413=0,0,MAX(0,MIN($O413,IF(ISNUMBER($P413),$P413-$AF413,1E+15),IF(ISNUMBER($AA413),$AA413-$AG413,1E+15)))))</f>
        <v/>
      </c>
      <c r="R413" s="48" t="str">
        <f>IF(OR($B413="",$D413=""),"",IF($AC413=0,"",IF(AND(NOT(ISNUMBER($P413)),NOT(ISNUMBER($AA413))),"∞",MAX(0,MIN(IF(ISNUMBER($P413),$P413-$AF413-$Q413,1E+15),IF(ISNUMBER($AA413),$AA413-$AG413-$Q413,1E+15))))))</f>
        <v/>
      </c>
      <c r="S413" s="47" t="str">
        <f>IF($AD413="","",YEAR($AD413)*100+MONTH($AD413))</f>
        <v/>
      </c>
      <c r="T413" s="50" t="str">
        <f>IF($AD413="","",IFERROR(IF(INDEX(CARDS!$I$5:$I$34,MATCH($D413,CARDS!$A$5:$A$34,0))="","",IF(INDEX(CARDS!$I$5:$I$34,MATCH($D413,CARDS!$A$5:$A$34,0))&gt;INDEX(CARDS!$H$5:$H$34,MATCH($D413,CARDS!$A$5:$A$34,0)),DATE(YEAR($AD413),MONTH($AD413),MIN(INDEX(CARDS!$I$5:$I$34,MATCH($D413,CARDS!$A$5:$A$34,0)),DAY(EOMONTH($AD413,0)))),DATE(YEAR($AD413),MONTH($AD413)+1,MIN(INDEX(CARDS!$I$5:$I$34,MATCH($D413,CARDS!$A$5:$A$34,0)),DAY(EOMONTH($AD413,1)))))),""))</f>
        <v/>
      </c>
      <c r="U413" s="38" t="n"/>
      <c r="V413" s="37" t="n"/>
      <c r="W413" s="38" t="n"/>
      <c r="X413" s="38" t="n"/>
      <c r="Y413" s="44" t="str">
        <f>IF($AC413&gt;0,INDEX(CASHBACK_RULES!$A$5:$A$304,$AC413),"")</f>
        <v/>
      </c>
      <c r="Z413" s="45" t="str">
        <f>IF($AC413&gt;0,INDEX(CASHBACK_RULES!$E$5:$E$304,$AC413)&amp;"","")</f>
        <v/>
      </c>
      <c r="AA413" s="48" t="str">
        <f>IF($AC413&gt;0,IF(ISNUMBER(INDEX(CASHBACK_RULES!$K$5:$K$304,$AC413)),INDEX(CASHBACK_RULES!$K$5:$K$304,$AC413),"∞"),"")</f>
        <v/>
      </c>
      <c r="AB413" s="44" t="str">
        <f>IF(OR($B413="",$D413=""),"",IF($U413="Cancelled","Đã hủy",IF($AC413=0,"Không được hoàn",IF($Q413=0,IF(OR($O413&gt;0,$M413&lt;$L413),"Đã đạt cap","Không được hoàn"),IF(OR($Q413&lt;$O413,$M413&lt;$L413),"Hoàn một phần","Được hoàn")))))</f>
        <v/>
      </c>
      <c r="AC413" s="43">
        <f>IF(OR($B413="",$D413="",$I413="",$L413=""),0,IF($U413="Cancelled",0,IF($W413&lt;&gt;"",IFERROR(IF(INDEX(CASHBACK_RULES!$B$5:$B$304,MATCH($W413,CASHBACK_RULES!$A$5:$A$304,0))=$D413,MATCH($W413,CASHBACK_RULES!$A$5:$A$304,0),0),0),IFERROR(MATCH(1,INDEX((CASHBACK_RULES!$B$5:$B$304=$D413)*(CASHBACK_RULES!$G$5:$G$304=$I413)*(((CASHBACK_RULES!$N$5:$N$304="")+(CASHBACK_RULES!$N$5:$N$304&lt;=$B413))&gt;0)*(((CASHBACK_RULES!$O$5:$O$304="")+(CASHBACK_RULES!$O$5:$O$304&gt;=$B413))&gt;0)*(((CASHBACK_RULES!$M$5:$M$304="")+(CASHBACK_RULES!$M$5:$M$304&lt;=$L413))&gt;0),0),0),0))))</f>
        <v>0</v>
      </c>
      <c r="AD413" s="51" t="str">
        <f>IF(OR($B413="",$D413=""),"",IFERROR(IF(INDEX(CARDS!$H$5:$H$34,MATCH($D413,CARDS!$A$5:$A$34,0))="","",IF(DAY($B413)&lt;=INDEX(CARDS!$H$5:$H$34,MATCH($D413,CARDS!$A$5:$A$34,0)),DATE(YEAR($B413),MONTH($B413),MIN(INDEX(CARDS!$H$5:$H$34,MATCH($D413,CARDS!$A$5:$A$34,0)),DAY(EOMONTH($B413,0)))),DATE(YEAR($B413),MONTH($B413)+1,MIN(INDEX(CARDS!$H$5:$H$34,MATCH($D413,CARDS!$A$5:$A$34,0)),DAY(EOMONTH($B413,1)))))),""))</f>
        <v/>
      </c>
      <c r="AE413" s="52" t="str">
        <f>IF($C413="","",$C413&amp;"|"&amp;COUNTIF($C$5:$C413,$C413))</f>
        <v/>
      </c>
      <c r="AF413" s="53">
        <f>IF($AC413&gt;0,SUMIFS(Q$4:Q412,$D$4:$D412,$D413,$Z$4:$Z412,$Z413,$C$4:$C412,$C413),0)</f>
        <v>0</v>
      </c>
      <c r="AG413" s="53">
        <f>IF($AC413&gt;0,SUMIFS(Q$4:Q412,$D$4:$D412,$D413,$C$4:$C412,$C413),0)</f>
        <v>0</v>
      </c>
      <c r="AH413" s="53">
        <f>IF($AC413&gt;0,SUMIFS(M$4:M412,$D$4:$D412,$D413,$Z$4:$Z412,$Z413,$C$4:$C412,$C413),0)</f>
        <v>0</v>
      </c>
      <c r="AI413" s="43">
        <f>IF(OR($C413="",$I413=""),0,IF(COUNTIFS($C$5:$C413,$C413,$I$5:$I413,$I413)=1,1,0))</f>
        <v>0</v>
      </c>
      <c r="AJ413" s="43" t="str">
        <f>IF($AI413=1,SUMIFS($AI$4:$AI412,$C$4:$C412,$C413)+1,"")</f>
        <v/>
      </c>
      <c r="AK413" s="43">
        <f>IF(OR($C413="",$K413=""),0,IF(COUNTIFS($C$5:$C413,$C413,$K$5:$K413,$K413)=1,1,0))</f>
        <v>0</v>
      </c>
      <c r="AL413" s="43" t="str">
        <f>IF($AK413=1,SUMIFS($AK$4:$AK412,$C$4:$C412,$C413)+1,"")</f>
        <v/>
      </c>
      <c r="AM413" s="43">
        <f>IF(OR($C413="",$G413=""),0,IF(COUNTIFS($C$5:$C413,$C413,$G$5:$G413,$G413)=1,1,0))</f>
        <v>0</v>
      </c>
      <c r="AN413" s="43" t="str">
        <f>IF($AM413=1,SUMIFS($AM$4:$AM412,$C$4:$C412,$C413)+1,"")</f>
        <v/>
      </c>
    </row>
    <row r="414">
      <c r="A414" s="44" t="str">
        <f>IF(OR($B414="",$D414=""),"","TX"&amp;TEXT(ROW()-4,"0000"))</f>
        <v/>
      </c>
      <c r="B414" s="42" t="n"/>
      <c r="C414" s="47" t="str">
        <f>IF($B414="","",YEAR($B414)*100+MONTH($B414))</f>
        <v/>
      </c>
      <c r="D414" s="37" t="n"/>
      <c r="E414" s="45" t="str">
        <f>IF($D414="","",IFERROR(INDEX(CARDS!$B$5:$B$34,MATCH($D414,CARDS!$A$5:$A$34,0)),"⚠ Card ID?"))</f>
        <v/>
      </c>
      <c r="F414" s="45" t="str">
        <f>IF($D414="","",IFERROR(INDEX(CARDS!$C$5:$C$34,MATCH($D414,CARDS!$A$5:$A$34,0)),"⚠ Card ID?"))</f>
        <v/>
      </c>
      <c r="G414" s="37" t="n"/>
      <c r="H414" s="37" t="n"/>
      <c r="I414" s="41" t="n"/>
      <c r="J414" s="45" t="str">
        <f>IF($I414="","",IFERROR(INDEX(MCC_MASTER!$B$5:$B$504,MATCH($I414,MCC_MASTER!$A$5:$A$504,0)),"⚠ MCC chưa có"))</f>
        <v/>
      </c>
      <c r="K414" s="45" t="str">
        <f>IF($I414="","",IFERROR(IF(INDEX(MCC_MASTER!$C$5:$C$504,MATCH($I414,MCC_MASTER!$A$5:$A$504,0))="","Chưa phân loại",INDEX(MCC_MASTER!$C$5:$C$504,MATCH($I414,MCC_MASTER!$A$5:$A$504,0))),"Chưa phân loại"))</f>
        <v/>
      </c>
      <c r="L414" s="40" t="n"/>
      <c r="M414" s="48" t="str">
        <f>IF(OR($B414="",$D414=""),"",IF($AC414=0,0,IF(ISNUMBER(INDEX(CASHBACK_RULES!$L$5:$L$304,$AC414)),MAX(0,MIN($L414,INDEX(CASHBACK_RULES!$L$5:$L$304,$AC414)-$AH414)),MAX(0,$L414))))</f>
        <v/>
      </c>
      <c r="N414" s="49" t="str">
        <f>IF(OR($B414="",$D414=""),"",IF($AC414&gt;0,INDEX(CASHBACK_RULES!$I$5:$I$304,$AC414),0))</f>
        <v/>
      </c>
      <c r="O414" s="48" t="str">
        <f>IF(OR($B414="",$D414=""),"",ROUND($M414*$N414,0))</f>
        <v/>
      </c>
      <c r="P414" s="48" t="str">
        <f>IF($AC414&gt;0,IF(ISNUMBER(INDEX(CASHBACK_RULES!$J$5:$J$304,$AC414)),INDEX(CASHBACK_RULES!$J$5:$J$304,$AC414),"∞"),"")</f>
        <v/>
      </c>
      <c r="Q414" s="48" t="str">
        <f>IF(OR($B414="",$D414=""),"",IF($AC414=0,0,MAX(0,MIN($O414,IF(ISNUMBER($P414),$P414-$AF414,1E+15),IF(ISNUMBER($AA414),$AA414-$AG414,1E+15)))))</f>
        <v/>
      </c>
      <c r="R414" s="48" t="str">
        <f>IF(OR($B414="",$D414=""),"",IF($AC414=0,"",IF(AND(NOT(ISNUMBER($P414)),NOT(ISNUMBER($AA414))),"∞",MAX(0,MIN(IF(ISNUMBER($P414),$P414-$AF414-$Q414,1E+15),IF(ISNUMBER($AA414),$AA414-$AG414-$Q414,1E+15))))))</f>
        <v/>
      </c>
      <c r="S414" s="47" t="str">
        <f>IF($AD414="","",YEAR($AD414)*100+MONTH($AD414))</f>
        <v/>
      </c>
      <c r="T414" s="50" t="str">
        <f>IF($AD414="","",IFERROR(IF(INDEX(CARDS!$I$5:$I$34,MATCH($D414,CARDS!$A$5:$A$34,0))="","",IF(INDEX(CARDS!$I$5:$I$34,MATCH($D414,CARDS!$A$5:$A$34,0))&gt;INDEX(CARDS!$H$5:$H$34,MATCH($D414,CARDS!$A$5:$A$34,0)),DATE(YEAR($AD414),MONTH($AD414),MIN(INDEX(CARDS!$I$5:$I$34,MATCH($D414,CARDS!$A$5:$A$34,0)),DAY(EOMONTH($AD414,0)))),DATE(YEAR($AD414),MONTH($AD414)+1,MIN(INDEX(CARDS!$I$5:$I$34,MATCH($D414,CARDS!$A$5:$A$34,0)),DAY(EOMONTH($AD414,1)))))),""))</f>
        <v/>
      </c>
      <c r="U414" s="38" t="n"/>
      <c r="V414" s="37" t="n"/>
      <c r="W414" s="38" t="n"/>
      <c r="X414" s="38" t="n"/>
      <c r="Y414" s="44" t="str">
        <f>IF($AC414&gt;0,INDEX(CASHBACK_RULES!$A$5:$A$304,$AC414),"")</f>
        <v/>
      </c>
      <c r="Z414" s="45" t="str">
        <f>IF($AC414&gt;0,INDEX(CASHBACK_RULES!$E$5:$E$304,$AC414)&amp;"","")</f>
        <v/>
      </c>
      <c r="AA414" s="48" t="str">
        <f>IF($AC414&gt;0,IF(ISNUMBER(INDEX(CASHBACK_RULES!$K$5:$K$304,$AC414)),INDEX(CASHBACK_RULES!$K$5:$K$304,$AC414),"∞"),"")</f>
        <v/>
      </c>
      <c r="AB414" s="44" t="str">
        <f>IF(OR($B414="",$D414=""),"",IF($U414="Cancelled","Đã hủy",IF($AC414=0,"Không được hoàn",IF($Q414=0,IF(OR($O414&gt;0,$M414&lt;$L414),"Đã đạt cap","Không được hoàn"),IF(OR($Q414&lt;$O414,$M414&lt;$L414),"Hoàn một phần","Được hoàn")))))</f>
        <v/>
      </c>
      <c r="AC414" s="43">
        <f>IF(OR($B414="",$D414="",$I414="",$L414=""),0,IF($U414="Cancelled",0,IF($W414&lt;&gt;"",IFERROR(IF(INDEX(CASHBACK_RULES!$B$5:$B$304,MATCH($W414,CASHBACK_RULES!$A$5:$A$304,0))=$D414,MATCH($W414,CASHBACK_RULES!$A$5:$A$304,0),0),0),IFERROR(MATCH(1,INDEX((CASHBACK_RULES!$B$5:$B$304=$D414)*(CASHBACK_RULES!$G$5:$G$304=$I414)*(((CASHBACK_RULES!$N$5:$N$304="")+(CASHBACK_RULES!$N$5:$N$304&lt;=$B414))&gt;0)*(((CASHBACK_RULES!$O$5:$O$304="")+(CASHBACK_RULES!$O$5:$O$304&gt;=$B414))&gt;0)*(((CASHBACK_RULES!$M$5:$M$304="")+(CASHBACK_RULES!$M$5:$M$304&lt;=$L414))&gt;0),0),0),0))))</f>
        <v>0</v>
      </c>
      <c r="AD414" s="51" t="str">
        <f>IF(OR($B414="",$D414=""),"",IFERROR(IF(INDEX(CARDS!$H$5:$H$34,MATCH($D414,CARDS!$A$5:$A$34,0))="","",IF(DAY($B414)&lt;=INDEX(CARDS!$H$5:$H$34,MATCH($D414,CARDS!$A$5:$A$34,0)),DATE(YEAR($B414),MONTH($B414),MIN(INDEX(CARDS!$H$5:$H$34,MATCH($D414,CARDS!$A$5:$A$34,0)),DAY(EOMONTH($B414,0)))),DATE(YEAR($B414),MONTH($B414)+1,MIN(INDEX(CARDS!$H$5:$H$34,MATCH($D414,CARDS!$A$5:$A$34,0)),DAY(EOMONTH($B414,1)))))),""))</f>
        <v/>
      </c>
      <c r="AE414" s="52" t="str">
        <f>IF($C414="","",$C414&amp;"|"&amp;COUNTIF($C$5:$C414,$C414))</f>
        <v/>
      </c>
      <c r="AF414" s="53">
        <f>IF($AC414&gt;0,SUMIFS(Q$4:Q413,$D$4:$D413,$D414,$Z$4:$Z413,$Z414,$C$4:$C413,$C414),0)</f>
        <v>0</v>
      </c>
      <c r="AG414" s="53">
        <f>IF($AC414&gt;0,SUMIFS(Q$4:Q413,$D$4:$D413,$D414,$C$4:$C413,$C414),0)</f>
        <v>0</v>
      </c>
      <c r="AH414" s="53">
        <f>IF($AC414&gt;0,SUMIFS(M$4:M413,$D$4:$D413,$D414,$Z$4:$Z413,$Z414,$C$4:$C413,$C414),0)</f>
        <v>0</v>
      </c>
      <c r="AI414" s="43">
        <f>IF(OR($C414="",$I414=""),0,IF(COUNTIFS($C$5:$C414,$C414,$I$5:$I414,$I414)=1,1,0))</f>
        <v>0</v>
      </c>
      <c r="AJ414" s="43" t="str">
        <f>IF($AI414=1,SUMIFS($AI$4:$AI413,$C$4:$C413,$C414)+1,"")</f>
        <v/>
      </c>
      <c r="AK414" s="43">
        <f>IF(OR($C414="",$K414=""),0,IF(COUNTIFS($C$5:$C414,$C414,$K$5:$K414,$K414)=1,1,0))</f>
        <v>0</v>
      </c>
      <c r="AL414" s="43" t="str">
        <f>IF($AK414=1,SUMIFS($AK$4:$AK413,$C$4:$C413,$C414)+1,"")</f>
        <v/>
      </c>
      <c r="AM414" s="43">
        <f>IF(OR($C414="",$G414=""),0,IF(COUNTIFS($C$5:$C414,$C414,$G$5:$G414,$G414)=1,1,0))</f>
        <v>0</v>
      </c>
      <c r="AN414" s="43" t="str">
        <f>IF($AM414=1,SUMIFS($AM$4:$AM413,$C$4:$C413,$C414)+1,"")</f>
        <v/>
      </c>
    </row>
    <row r="415">
      <c r="A415" s="44" t="str">
        <f>IF(OR($B415="",$D415=""),"","TX"&amp;TEXT(ROW()-4,"0000"))</f>
        <v/>
      </c>
      <c r="B415" s="42" t="n"/>
      <c r="C415" s="47" t="str">
        <f>IF($B415="","",YEAR($B415)*100+MONTH($B415))</f>
        <v/>
      </c>
      <c r="D415" s="37" t="n"/>
      <c r="E415" s="45" t="str">
        <f>IF($D415="","",IFERROR(INDEX(CARDS!$B$5:$B$34,MATCH($D415,CARDS!$A$5:$A$34,0)),"⚠ Card ID?"))</f>
        <v/>
      </c>
      <c r="F415" s="45" t="str">
        <f>IF($D415="","",IFERROR(INDEX(CARDS!$C$5:$C$34,MATCH($D415,CARDS!$A$5:$A$34,0)),"⚠ Card ID?"))</f>
        <v/>
      </c>
      <c r="G415" s="37" t="n"/>
      <c r="H415" s="37" t="n"/>
      <c r="I415" s="41" t="n"/>
      <c r="J415" s="45" t="str">
        <f>IF($I415="","",IFERROR(INDEX(MCC_MASTER!$B$5:$B$504,MATCH($I415,MCC_MASTER!$A$5:$A$504,0)),"⚠ MCC chưa có"))</f>
        <v/>
      </c>
      <c r="K415" s="45" t="str">
        <f>IF($I415="","",IFERROR(IF(INDEX(MCC_MASTER!$C$5:$C$504,MATCH($I415,MCC_MASTER!$A$5:$A$504,0))="","Chưa phân loại",INDEX(MCC_MASTER!$C$5:$C$504,MATCH($I415,MCC_MASTER!$A$5:$A$504,0))),"Chưa phân loại"))</f>
        <v/>
      </c>
      <c r="L415" s="40" t="n"/>
      <c r="M415" s="48" t="str">
        <f>IF(OR($B415="",$D415=""),"",IF($AC415=0,0,IF(ISNUMBER(INDEX(CASHBACK_RULES!$L$5:$L$304,$AC415)),MAX(0,MIN($L415,INDEX(CASHBACK_RULES!$L$5:$L$304,$AC415)-$AH415)),MAX(0,$L415))))</f>
        <v/>
      </c>
      <c r="N415" s="49" t="str">
        <f>IF(OR($B415="",$D415=""),"",IF($AC415&gt;0,INDEX(CASHBACK_RULES!$I$5:$I$304,$AC415),0))</f>
        <v/>
      </c>
      <c r="O415" s="48" t="str">
        <f>IF(OR($B415="",$D415=""),"",ROUND($M415*$N415,0))</f>
        <v/>
      </c>
      <c r="P415" s="48" t="str">
        <f>IF($AC415&gt;0,IF(ISNUMBER(INDEX(CASHBACK_RULES!$J$5:$J$304,$AC415)),INDEX(CASHBACK_RULES!$J$5:$J$304,$AC415),"∞"),"")</f>
        <v/>
      </c>
      <c r="Q415" s="48" t="str">
        <f>IF(OR($B415="",$D415=""),"",IF($AC415=0,0,MAX(0,MIN($O415,IF(ISNUMBER($P415),$P415-$AF415,1E+15),IF(ISNUMBER($AA415),$AA415-$AG415,1E+15)))))</f>
        <v/>
      </c>
      <c r="R415" s="48" t="str">
        <f>IF(OR($B415="",$D415=""),"",IF($AC415=0,"",IF(AND(NOT(ISNUMBER($P415)),NOT(ISNUMBER($AA415))),"∞",MAX(0,MIN(IF(ISNUMBER($P415),$P415-$AF415-$Q415,1E+15),IF(ISNUMBER($AA415),$AA415-$AG415-$Q415,1E+15))))))</f>
        <v/>
      </c>
      <c r="S415" s="47" t="str">
        <f>IF($AD415="","",YEAR($AD415)*100+MONTH($AD415))</f>
        <v/>
      </c>
      <c r="T415" s="50" t="str">
        <f>IF($AD415="","",IFERROR(IF(INDEX(CARDS!$I$5:$I$34,MATCH($D415,CARDS!$A$5:$A$34,0))="","",IF(INDEX(CARDS!$I$5:$I$34,MATCH($D415,CARDS!$A$5:$A$34,0))&gt;INDEX(CARDS!$H$5:$H$34,MATCH($D415,CARDS!$A$5:$A$34,0)),DATE(YEAR($AD415),MONTH($AD415),MIN(INDEX(CARDS!$I$5:$I$34,MATCH($D415,CARDS!$A$5:$A$34,0)),DAY(EOMONTH($AD415,0)))),DATE(YEAR($AD415),MONTH($AD415)+1,MIN(INDEX(CARDS!$I$5:$I$34,MATCH($D415,CARDS!$A$5:$A$34,0)),DAY(EOMONTH($AD415,1)))))),""))</f>
        <v/>
      </c>
      <c r="U415" s="38" t="n"/>
      <c r="V415" s="37" t="n"/>
      <c r="W415" s="38" t="n"/>
      <c r="X415" s="38" t="n"/>
      <c r="Y415" s="44" t="str">
        <f>IF($AC415&gt;0,INDEX(CASHBACK_RULES!$A$5:$A$304,$AC415),"")</f>
        <v/>
      </c>
      <c r="Z415" s="45" t="str">
        <f>IF($AC415&gt;0,INDEX(CASHBACK_RULES!$E$5:$E$304,$AC415)&amp;"","")</f>
        <v/>
      </c>
      <c r="AA415" s="48" t="str">
        <f>IF($AC415&gt;0,IF(ISNUMBER(INDEX(CASHBACK_RULES!$K$5:$K$304,$AC415)),INDEX(CASHBACK_RULES!$K$5:$K$304,$AC415),"∞"),"")</f>
        <v/>
      </c>
      <c r="AB415" s="44" t="str">
        <f>IF(OR($B415="",$D415=""),"",IF($U415="Cancelled","Đã hủy",IF($AC415=0,"Không được hoàn",IF($Q415=0,IF(OR($O415&gt;0,$M415&lt;$L415),"Đã đạt cap","Không được hoàn"),IF(OR($Q415&lt;$O415,$M415&lt;$L415),"Hoàn một phần","Được hoàn")))))</f>
        <v/>
      </c>
      <c r="AC415" s="43">
        <f>IF(OR($B415="",$D415="",$I415="",$L415=""),0,IF($U415="Cancelled",0,IF($W415&lt;&gt;"",IFERROR(IF(INDEX(CASHBACK_RULES!$B$5:$B$304,MATCH($W415,CASHBACK_RULES!$A$5:$A$304,0))=$D415,MATCH($W415,CASHBACK_RULES!$A$5:$A$304,0),0),0),IFERROR(MATCH(1,INDEX((CASHBACK_RULES!$B$5:$B$304=$D415)*(CASHBACK_RULES!$G$5:$G$304=$I415)*(((CASHBACK_RULES!$N$5:$N$304="")+(CASHBACK_RULES!$N$5:$N$304&lt;=$B415))&gt;0)*(((CASHBACK_RULES!$O$5:$O$304="")+(CASHBACK_RULES!$O$5:$O$304&gt;=$B415))&gt;0)*(((CASHBACK_RULES!$M$5:$M$304="")+(CASHBACK_RULES!$M$5:$M$304&lt;=$L415))&gt;0),0),0),0))))</f>
        <v>0</v>
      </c>
      <c r="AD415" s="51" t="str">
        <f>IF(OR($B415="",$D415=""),"",IFERROR(IF(INDEX(CARDS!$H$5:$H$34,MATCH($D415,CARDS!$A$5:$A$34,0))="","",IF(DAY($B415)&lt;=INDEX(CARDS!$H$5:$H$34,MATCH($D415,CARDS!$A$5:$A$34,0)),DATE(YEAR($B415),MONTH($B415),MIN(INDEX(CARDS!$H$5:$H$34,MATCH($D415,CARDS!$A$5:$A$34,0)),DAY(EOMONTH($B415,0)))),DATE(YEAR($B415),MONTH($B415)+1,MIN(INDEX(CARDS!$H$5:$H$34,MATCH($D415,CARDS!$A$5:$A$34,0)),DAY(EOMONTH($B415,1)))))),""))</f>
        <v/>
      </c>
      <c r="AE415" s="52" t="str">
        <f>IF($C415="","",$C415&amp;"|"&amp;COUNTIF($C$5:$C415,$C415))</f>
        <v/>
      </c>
      <c r="AF415" s="53">
        <f>IF($AC415&gt;0,SUMIFS(Q$4:Q414,$D$4:$D414,$D415,$Z$4:$Z414,$Z415,$C$4:$C414,$C415),0)</f>
        <v>0</v>
      </c>
      <c r="AG415" s="53">
        <f>IF($AC415&gt;0,SUMIFS(Q$4:Q414,$D$4:$D414,$D415,$C$4:$C414,$C415),0)</f>
        <v>0</v>
      </c>
      <c r="AH415" s="53">
        <f>IF($AC415&gt;0,SUMIFS(M$4:M414,$D$4:$D414,$D415,$Z$4:$Z414,$Z415,$C$4:$C414,$C415),0)</f>
        <v>0</v>
      </c>
      <c r="AI415" s="43">
        <f>IF(OR($C415="",$I415=""),0,IF(COUNTIFS($C$5:$C415,$C415,$I$5:$I415,$I415)=1,1,0))</f>
        <v>0</v>
      </c>
      <c r="AJ415" s="43" t="str">
        <f>IF($AI415=1,SUMIFS($AI$4:$AI414,$C$4:$C414,$C415)+1,"")</f>
        <v/>
      </c>
      <c r="AK415" s="43">
        <f>IF(OR($C415="",$K415=""),0,IF(COUNTIFS($C$5:$C415,$C415,$K$5:$K415,$K415)=1,1,0))</f>
        <v>0</v>
      </c>
      <c r="AL415" s="43" t="str">
        <f>IF($AK415=1,SUMIFS($AK$4:$AK414,$C$4:$C414,$C415)+1,"")</f>
        <v/>
      </c>
      <c r="AM415" s="43">
        <f>IF(OR($C415="",$G415=""),0,IF(COUNTIFS($C$5:$C415,$C415,$G$5:$G415,$G415)=1,1,0))</f>
        <v>0</v>
      </c>
      <c r="AN415" s="43" t="str">
        <f>IF($AM415=1,SUMIFS($AM$4:$AM414,$C$4:$C414,$C415)+1,"")</f>
        <v/>
      </c>
    </row>
    <row r="416">
      <c r="A416" s="44" t="str">
        <f>IF(OR($B416="",$D416=""),"","TX"&amp;TEXT(ROW()-4,"0000"))</f>
        <v/>
      </c>
      <c r="B416" s="42" t="n"/>
      <c r="C416" s="47" t="str">
        <f>IF($B416="","",YEAR($B416)*100+MONTH($B416))</f>
        <v/>
      </c>
      <c r="D416" s="37" t="n"/>
      <c r="E416" s="45" t="str">
        <f>IF($D416="","",IFERROR(INDEX(CARDS!$B$5:$B$34,MATCH($D416,CARDS!$A$5:$A$34,0)),"⚠ Card ID?"))</f>
        <v/>
      </c>
      <c r="F416" s="45" t="str">
        <f>IF($D416="","",IFERROR(INDEX(CARDS!$C$5:$C$34,MATCH($D416,CARDS!$A$5:$A$34,0)),"⚠ Card ID?"))</f>
        <v/>
      </c>
      <c r="G416" s="37" t="n"/>
      <c r="H416" s="37" t="n"/>
      <c r="I416" s="41" t="n"/>
      <c r="J416" s="45" t="str">
        <f>IF($I416="","",IFERROR(INDEX(MCC_MASTER!$B$5:$B$504,MATCH($I416,MCC_MASTER!$A$5:$A$504,0)),"⚠ MCC chưa có"))</f>
        <v/>
      </c>
      <c r="K416" s="45" t="str">
        <f>IF($I416="","",IFERROR(IF(INDEX(MCC_MASTER!$C$5:$C$504,MATCH($I416,MCC_MASTER!$A$5:$A$504,0))="","Chưa phân loại",INDEX(MCC_MASTER!$C$5:$C$504,MATCH($I416,MCC_MASTER!$A$5:$A$504,0))),"Chưa phân loại"))</f>
        <v/>
      </c>
      <c r="L416" s="40" t="n"/>
      <c r="M416" s="48" t="str">
        <f>IF(OR($B416="",$D416=""),"",IF($AC416=0,0,IF(ISNUMBER(INDEX(CASHBACK_RULES!$L$5:$L$304,$AC416)),MAX(0,MIN($L416,INDEX(CASHBACK_RULES!$L$5:$L$304,$AC416)-$AH416)),MAX(0,$L416))))</f>
        <v/>
      </c>
      <c r="N416" s="49" t="str">
        <f>IF(OR($B416="",$D416=""),"",IF($AC416&gt;0,INDEX(CASHBACK_RULES!$I$5:$I$304,$AC416),0))</f>
        <v/>
      </c>
      <c r="O416" s="48" t="str">
        <f>IF(OR($B416="",$D416=""),"",ROUND($M416*$N416,0))</f>
        <v/>
      </c>
      <c r="P416" s="48" t="str">
        <f>IF($AC416&gt;0,IF(ISNUMBER(INDEX(CASHBACK_RULES!$J$5:$J$304,$AC416)),INDEX(CASHBACK_RULES!$J$5:$J$304,$AC416),"∞"),"")</f>
        <v/>
      </c>
      <c r="Q416" s="48" t="str">
        <f>IF(OR($B416="",$D416=""),"",IF($AC416=0,0,MAX(0,MIN($O416,IF(ISNUMBER($P416),$P416-$AF416,1E+15),IF(ISNUMBER($AA416),$AA416-$AG416,1E+15)))))</f>
        <v/>
      </c>
      <c r="R416" s="48" t="str">
        <f>IF(OR($B416="",$D416=""),"",IF($AC416=0,"",IF(AND(NOT(ISNUMBER($P416)),NOT(ISNUMBER($AA416))),"∞",MAX(0,MIN(IF(ISNUMBER($P416),$P416-$AF416-$Q416,1E+15),IF(ISNUMBER($AA416),$AA416-$AG416-$Q416,1E+15))))))</f>
        <v/>
      </c>
      <c r="S416" s="47" t="str">
        <f>IF($AD416="","",YEAR($AD416)*100+MONTH($AD416))</f>
        <v/>
      </c>
      <c r="T416" s="50" t="str">
        <f>IF($AD416="","",IFERROR(IF(INDEX(CARDS!$I$5:$I$34,MATCH($D416,CARDS!$A$5:$A$34,0))="","",IF(INDEX(CARDS!$I$5:$I$34,MATCH($D416,CARDS!$A$5:$A$34,0))&gt;INDEX(CARDS!$H$5:$H$34,MATCH($D416,CARDS!$A$5:$A$34,0)),DATE(YEAR($AD416),MONTH($AD416),MIN(INDEX(CARDS!$I$5:$I$34,MATCH($D416,CARDS!$A$5:$A$34,0)),DAY(EOMONTH($AD416,0)))),DATE(YEAR($AD416),MONTH($AD416)+1,MIN(INDEX(CARDS!$I$5:$I$34,MATCH($D416,CARDS!$A$5:$A$34,0)),DAY(EOMONTH($AD416,1)))))),""))</f>
        <v/>
      </c>
      <c r="U416" s="38" t="n"/>
      <c r="V416" s="37" t="n"/>
      <c r="W416" s="38" t="n"/>
      <c r="X416" s="38" t="n"/>
      <c r="Y416" s="44" t="str">
        <f>IF($AC416&gt;0,INDEX(CASHBACK_RULES!$A$5:$A$304,$AC416),"")</f>
        <v/>
      </c>
      <c r="Z416" s="45" t="str">
        <f>IF($AC416&gt;0,INDEX(CASHBACK_RULES!$E$5:$E$304,$AC416)&amp;"","")</f>
        <v/>
      </c>
      <c r="AA416" s="48" t="str">
        <f>IF($AC416&gt;0,IF(ISNUMBER(INDEX(CASHBACK_RULES!$K$5:$K$304,$AC416)),INDEX(CASHBACK_RULES!$K$5:$K$304,$AC416),"∞"),"")</f>
        <v/>
      </c>
      <c r="AB416" s="44" t="str">
        <f>IF(OR($B416="",$D416=""),"",IF($U416="Cancelled","Đã hủy",IF($AC416=0,"Không được hoàn",IF($Q416=0,IF(OR($O416&gt;0,$M416&lt;$L416),"Đã đạt cap","Không được hoàn"),IF(OR($Q416&lt;$O416,$M416&lt;$L416),"Hoàn một phần","Được hoàn")))))</f>
        <v/>
      </c>
      <c r="AC416" s="43">
        <f>IF(OR($B416="",$D416="",$I416="",$L416=""),0,IF($U416="Cancelled",0,IF($W416&lt;&gt;"",IFERROR(IF(INDEX(CASHBACK_RULES!$B$5:$B$304,MATCH($W416,CASHBACK_RULES!$A$5:$A$304,0))=$D416,MATCH($W416,CASHBACK_RULES!$A$5:$A$304,0),0),0),IFERROR(MATCH(1,INDEX((CASHBACK_RULES!$B$5:$B$304=$D416)*(CASHBACK_RULES!$G$5:$G$304=$I416)*(((CASHBACK_RULES!$N$5:$N$304="")+(CASHBACK_RULES!$N$5:$N$304&lt;=$B416))&gt;0)*(((CASHBACK_RULES!$O$5:$O$304="")+(CASHBACK_RULES!$O$5:$O$304&gt;=$B416))&gt;0)*(((CASHBACK_RULES!$M$5:$M$304="")+(CASHBACK_RULES!$M$5:$M$304&lt;=$L416))&gt;0),0),0),0))))</f>
        <v>0</v>
      </c>
      <c r="AD416" s="51" t="str">
        <f>IF(OR($B416="",$D416=""),"",IFERROR(IF(INDEX(CARDS!$H$5:$H$34,MATCH($D416,CARDS!$A$5:$A$34,0))="","",IF(DAY($B416)&lt;=INDEX(CARDS!$H$5:$H$34,MATCH($D416,CARDS!$A$5:$A$34,0)),DATE(YEAR($B416),MONTH($B416),MIN(INDEX(CARDS!$H$5:$H$34,MATCH($D416,CARDS!$A$5:$A$34,0)),DAY(EOMONTH($B416,0)))),DATE(YEAR($B416),MONTH($B416)+1,MIN(INDEX(CARDS!$H$5:$H$34,MATCH($D416,CARDS!$A$5:$A$34,0)),DAY(EOMONTH($B416,1)))))),""))</f>
        <v/>
      </c>
      <c r="AE416" s="52" t="str">
        <f>IF($C416="","",$C416&amp;"|"&amp;COUNTIF($C$5:$C416,$C416))</f>
        <v/>
      </c>
      <c r="AF416" s="53">
        <f>IF($AC416&gt;0,SUMIFS(Q$4:Q415,$D$4:$D415,$D416,$Z$4:$Z415,$Z416,$C$4:$C415,$C416),0)</f>
        <v>0</v>
      </c>
      <c r="AG416" s="53">
        <f>IF($AC416&gt;0,SUMIFS(Q$4:Q415,$D$4:$D415,$D416,$C$4:$C415,$C416),0)</f>
        <v>0</v>
      </c>
      <c r="AH416" s="53">
        <f>IF($AC416&gt;0,SUMIFS(M$4:M415,$D$4:$D415,$D416,$Z$4:$Z415,$Z416,$C$4:$C415,$C416),0)</f>
        <v>0</v>
      </c>
      <c r="AI416" s="43">
        <f>IF(OR($C416="",$I416=""),0,IF(COUNTIFS($C$5:$C416,$C416,$I$5:$I416,$I416)=1,1,0))</f>
        <v>0</v>
      </c>
      <c r="AJ416" s="43" t="str">
        <f>IF($AI416=1,SUMIFS($AI$4:$AI415,$C$4:$C415,$C416)+1,"")</f>
        <v/>
      </c>
      <c r="AK416" s="43">
        <f>IF(OR($C416="",$K416=""),0,IF(COUNTIFS($C$5:$C416,$C416,$K$5:$K416,$K416)=1,1,0))</f>
        <v>0</v>
      </c>
      <c r="AL416" s="43" t="str">
        <f>IF($AK416=1,SUMIFS($AK$4:$AK415,$C$4:$C415,$C416)+1,"")</f>
        <v/>
      </c>
      <c r="AM416" s="43">
        <f>IF(OR($C416="",$G416=""),0,IF(COUNTIFS($C$5:$C416,$C416,$G$5:$G416,$G416)=1,1,0))</f>
        <v>0</v>
      </c>
      <c r="AN416" s="43" t="str">
        <f>IF($AM416=1,SUMIFS($AM$4:$AM415,$C$4:$C415,$C416)+1,"")</f>
        <v/>
      </c>
    </row>
    <row r="417">
      <c r="A417" s="44" t="str">
        <f>IF(OR($B417="",$D417=""),"","TX"&amp;TEXT(ROW()-4,"0000"))</f>
        <v/>
      </c>
      <c r="B417" s="42" t="n"/>
      <c r="C417" s="47" t="str">
        <f>IF($B417="","",YEAR($B417)*100+MONTH($B417))</f>
        <v/>
      </c>
      <c r="D417" s="37" t="n"/>
      <c r="E417" s="45" t="str">
        <f>IF($D417="","",IFERROR(INDEX(CARDS!$B$5:$B$34,MATCH($D417,CARDS!$A$5:$A$34,0)),"⚠ Card ID?"))</f>
        <v/>
      </c>
      <c r="F417" s="45" t="str">
        <f>IF($D417="","",IFERROR(INDEX(CARDS!$C$5:$C$34,MATCH($D417,CARDS!$A$5:$A$34,0)),"⚠ Card ID?"))</f>
        <v/>
      </c>
      <c r="G417" s="37" t="n"/>
      <c r="H417" s="37" t="n"/>
      <c r="I417" s="41" t="n"/>
      <c r="J417" s="45" t="str">
        <f>IF($I417="","",IFERROR(INDEX(MCC_MASTER!$B$5:$B$504,MATCH($I417,MCC_MASTER!$A$5:$A$504,0)),"⚠ MCC chưa có"))</f>
        <v/>
      </c>
      <c r="K417" s="45" t="str">
        <f>IF($I417="","",IFERROR(IF(INDEX(MCC_MASTER!$C$5:$C$504,MATCH($I417,MCC_MASTER!$A$5:$A$504,0))="","Chưa phân loại",INDEX(MCC_MASTER!$C$5:$C$504,MATCH($I417,MCC_MASTER!$A$5:$A$504,0))),"Chưa phân loại"))</f>
        <v/>
      </c>
      <c r="L417" s="40" t="n"/>
      <c r="M417" s="48" t="str">
        <f>IF(OR($B417="",$D417=""),"",IF($AC417=0,0,IF(ISNUMBER(INDEX(CASHBACK_RULES!$L$5:$L$304,$AC417)),MAX(0,MIN($L417,INDEX(CASHBACK_RULES!$L$5:$L$304,$AC417)-$AH417)),MAX(0,$L417))))</f>
        <v/>
      </c>
      <c r="N417" s="49" t="str">
        <f>IF(OR($B417="",$D417=""),"",IF($AC417&gt;0,INDEX(CASHBACK_RULES!$I$5:$I$304,$AC417),0))</f>
        <v/>
      </c>
      <c r="O417" s="48" t="str">
        <f>IF(OR($B417="",$D417=""),"",ROUND($M417*$N417,0))</f>
        <v/>
      </c>
      <c r="P417" s="48" t="str">
        <f>IF($AC417&gt;0,IF(ISNUMBER(INDEX(CASHBACK_RULES!$J$5:$J$304,$AC417)),INDEX(CASHBACK_RULES!$J$5:$J$304,$AC417),"∞"),"")</f>
        <v/>
      </c>
      <c r="Q417" s="48" t="str">
        <f>IF(OR($B417="",$D417=""),"",IF($AC417=0,0,MAX(0,MIN($O417,IF(ISNUMBER($P417),$P417-$AF417,1E+15),IF(ISNUMBER($AA417),$AA417-$AG417,1E+15)))))</f>
        <v/>
      </c>
      <c r="R417" s="48" t="str">
        <f>IF(OR($B417="",$D417=""),"",IF($AC417=0,"",IF(AND(NOT(ISNUMBER($P417)),NOT(ISNUMBER($AA417))),"∞",MAX(0,MIN(IF(ISNUMBER($P417),$P417-$AF417-$Q417,1E+15),IF(ISNUMBER($AA417),$AA417-$AG417-$Q417,1E+15))))))</f>
        <v/>
      </c>
      <c r="S417" s="47" t="str">
        <f>IF($AD417="","",YEAR($AD417)*100+MONTH($AD417))</f>
        <v/>
      </c>
      <c r="T417" s="50" t="str">
        <f>IF($AD417="","",IFERROR(IF(INDEX(CARDS!$I$5:$I$34,MATCH($D417,CARDS!$A$5:$A$34,0))="","",IF(INDEX(CARDS!$I$5:$I$34,MATCH($D417,CARDS!$A$5:$A$34,0))&gt;INDEX(CARDS!$H$5:$H$34,MATCH($D417,CARDS!$A$5:$A$34,0)),DATE(YEAR($AD417),MONTH($AD417),MIN(INDEX(CARDS!$I$5:$I$34,MATCH($D417,CARDS!$A$5:$A$34,0)),DAY(EOMONTH($AD417,0)))),DATE(YEAR($AD417),MONTH($AD417)+1,MIN(INDEX(CARDS!$I$5:$I$34,MATCH($D417,CARDS!$A$5:$A$34,0)),DAY(EOMONTH($AD417,1)))))),""))</f>
        <v/>
      </c>
      <c r="U417" s="38" t="n"/>
      <c r="V417" s="37" t="n"/>
      <c r="W417" s="38" t="n"/>
      <c r="X417" s="38" t="n"/>
      <c r="Y417" s="44" t="str">
        <f>IF($AC417&gt;0,INDEX(CASHBACK_RULES!$A$5:$A$304,$AC417),"")</f>
        <v/>
      </c>
      <c r="Z417" s="45" t="str">
        <f>IF($AC417&gt;0,INDEX(CASHBACK_RULES!$E$5:$E$304,$AC417)&amp;"","")</f>
        <v/>
      </c>
      <c r="AA417" s="48" t="str">
        <f>IF($AC417&gt;0,IF(ISNUMBER(INDEX(CASHBACK_RULES!$K$5:$K$304,$AC417)),INDEX(CASHBACK_RULES!$K$5:$K$304,$AC417),"∞"),"")</f>
        <v/>
      </c>
      <c r="AB417" s="44" t="str">
        <f>IF(OR($B417="",$D417=""),"",IF($U417="Cancelled","Đã hủy",IF($AC417=0,"Không được hoàn",IF($Q417=0,IF(OR($O417&gt;0,$M417&lt;$L417),"Đã đạt cap","Không được hoàn"),IF(OR($Q417&lt;$O417,$M417&lt;$L417),"Hoàn một phần","Được hoàn")))))</f>
        <v/>
      </c>
      <c r="AC417" s="43">
        <f>IF(OR($B417="",$D417="",$I417="",$L417=""),0,IF($U417="Cancelled",0,IF($W417&lt;&gt;"",IFERROR(IF(INDEX(CASHBACK_RULES!$B$5:$B$304,MATCH($W417,CASHBACK_RULES!$A$5:$A$304,0))=$D417,MATCH($W417,CASHBACK_RULES!$A$5:$A$304,0),0),0),IFERROR(MATCH(1,INDEX((CASHBACK_RULES!$B$5:$B$304=$D417)*(CASHBACK_RULES!$G$5:$G$304=$I417)*(((CASHBACK_RULES!$N$5:$N$304="")+(CASHBACK_RULES!$N$5:$N$304&lt;=$B417))&gt;0)*(((CASHBACK_RULES!$O$5:$O$304="")+(CASHBACK_RULES!$O$5:$O$304&gt;=$B417))&gt;0)*(((CASHBACK_RULES!$M$5:$M$304="")+(CASHBACK_RULES!$M$5:$M$304&lt;=$L417))&gt;0),0),0),0))))</f>
        <v>0</v>
      </c>
      <c r="AD417" s="51" t="str">
        <f>IF(OR($B417="",$D417=""),"",IFERROR(IF(INDEX(CARDS!$H$5:$H$34,MATCH($D417,CARDS!$A$5:$A$34,0))="","",IF(DAY($B417)&lt;=INDEX(CARDS!$H$5:$H$34,MATCH($D417,CARDS!$A$5:$A$34,0)),DATE(YEAR($B417),MONTH($B417),MIN(INDEX(CARDS!$H$5:$H$34,MATCH($D417,CARDS!$A$5:$A$34,0)),DAY(EOMONTH($B417,0)))),DATE(YEAR($B417),MONTH($B417)+1,MIN(INDEX(CARDS!$H$5:$H$34,MATCH($D417,CARDS!$A$5:$A$34,0)),DAY(EOMONTH($B417,1)))))),""))</f>
        <v/>
      </c>
      <c r="AE417" s="52" t="str">
        <f>IF($C417="","",$C417&amp;"|"&amp;COUNTIF($C$5:$C417,$C417))</f>
        <v/>
      </c>
      <c r="AF417" s="53">
        <f>IF($AC417&gt;0,SUMIFS(Q$4:Q416,$D$4:$D416,$D417,$Z$4:$Z416,$Z417,$C$4:$C416,$C417),0)</f>
        <v>0</v>
      </c>
      <c r="AG417" s="53">
        <f>IF($AC417&gt;0,SUMIFS(Q$4:Q416,$D$4:$D416,$D417,$C$4:$C416,$C417),0)</f>
        <v>0</v>
      </c>
      <c r="AH417" s="53">
        <f>IF($AC417&gt;0,SUMIFS(M$4:M416,$D$4:$D416,$D417,$Z$4:$Z416,$Z417,$C$4:$C416,$C417),0)</f>
        <v>0</v>
      </c>
      <c r="AI417" s="43">
        <f>IF(OR($C417="",$I417=""),0,IF(COUNTIFS($C$5:$C417,$C417,$I$5:$I417,$I417)=1,1,0))</f>
        <v>0</v>
      </c>
      <c r="AJ417" s="43" t="str">
        <f>IF($AI417=1,SUMIFS($AI$4:$AI416,$C$4:$C416,$C417)+1,"")</f>
        <v/>
      </c>
      <c r="AK417" s="43">
        <f>IF(OR($C417="",$K417=""),0,IF(COUNTIFS($C$5:$C417,$C417,$K$5:$K417,$K417)=1,1,0))</f>
        <v>0</v>
      </c>
      <c r="AL417" s="43" t="str">
        <f>IF($AK417=1,SUMIFS($AK$4:$AK416,$C$4:$C416,$C417)+1,"")</f>
        <v/>
      </c>
      <c r="AM417" s="43">
        <f>IF(OR($C417="",$G417=""),0,IF(COUNTIFS($C$5:$C417,$C417,$G$5:$G417,$G417)=1,1,0))</f>
        <v>0</v>
      </c>
      <c r="AN417" s="43" t="str">
        <f>IF($AM417=1,SUMIFS($AM$4:$AM416,$C$4:$C416,$C417)+1,"")</f>
        <v/>
      </c>
    </row>
    <row r="418">
      <c r="A418" s="44" t="str">
        <f>IF(OR($B418="",$D418=""),"","TX"&amp;TEXT(ROW()-4,"0000"))</f>
        <v/>
      </c>
      <c r="B418" s="42" t="n"/>
      <c r="C418" s="47" t="str">
        <f>IF($B418="","",YEAR($B418)*100+MONTH($B418))</f>
        <v/>
      </c>
      <c r="D418" s="37" t="n"/>
      <c r="E418" s="45" t="str">
        <f>IF($D418="","",IFERROR(INDEX(CARDS!$B$5:$B$34,MATCH($D418,CARDS!$A$5:$A$34,0)),"⚠ Card ID?"))</f>
        <v/>
      </c>
      <c r="F418" s="45" t="str">
        <f>IF($D418="","",IFERROR(INDEX(CARDS!$C$5:$C$34,MATCH($D418,CARDS!$A$5:$A$34,0)),"⚠ Card ID?"))</f>
        <v/>
      </c>
      <c r="G418" s="37" t="n"/>
      <c r="H418" s="37" t="n"/>
      <c r="I418" s="41" t="n"/>
      <c r="J418" s="45" t="str">
        <f>IF($I418="","",IFERROR(INDEX(MCC_MASTER!$B$5:$B$504,MATCH($I418,MCC_MASTER!$A$5:$A$504,0)),"⚠ MCC chưa có"))</f>
        <v/>
      </c>
      <c r="K418" s="45" t="str">
        <f>IF($I418="","",IFERROR(IF(INDEX(MCC_MASTER!$C$5:$C$504,MATCH($I418,MCC_MASTER!$A$5:$A$504,0))="","Chưa phân loại",INDEX(MCC_MASTER!$C$5:$C$504,MATCH($I418,MCC_MASTER!$A$5:$A$504,0))),"Chưa phân loại"))</f>
        <v/>
      </c>
      <c r="L418" s="40" t="n"/>
      <c r="M418" s="48" t="str">
        <f>IF(OR($B418="",$D418=""),"",IF($AC418=0,0,IF(ISNUMBER(INDEX(CASHBACK_RULES!$L$5:$L$304,$AC418)),MAX(0,MIN($L418,INDEX(CASHBACK_RULES!$L$5:$L$304,$AC418)-$AH418)),MAX(0,$L418))))</f>
        <v/>
      </c>
      <c r="N418" s="49" t="str">
        <f>IF(OR($B418="",$D418=""),"",IF($AC418&gt;0,INDEX(CASHBACK_RULES!$I$5:$I$304,$AC418),0))</f>
        <v/>
      </c>
      <c r="O418" s="48" t="str">
        <f>IF(OR($B418="",$D418=""),"",ROUND($M418*$N418,0))</f>
        <v/>
      </c>
      <c r="P418" s="48" t="str">
        <f>IF($AC418&gt;0,IF(ISNUMBER(INDEX(CASHBACK_RULES!$J$5:$J$304,$AC418)),INDEX(CASHBACK_RULES!$J$5:$J$304,$AC418),"∞"),"")</f>
        <v/>
      </c>
      <c r="Q418" s="48" t="str">
        <f>IF(OR($B418="",$D418=""),"",IF($AC418=0,0,MAX(0,MIN($O418,IF(ISNUMBER($P418),$P418-$AF418,1E+15),IF(ISNUMBER($AA418),$AA418-$AG418,1E+15)))))</f>
        <v/>
      </c>
      <c r="R418" s="48" t="str">
        <f>IF(OR($B418="",$D418=""),"",IF($AC418=0,"",IF(AND(NOT(ISNUMBER($P418)),NOT(ISNUMBER($AA418))),"∞",MAX(0,MIN(IF(ISNUMBER($P418),$P418-$AF418-$Q418,1E+15),IF(ISNUMBER($AA418),$AA418-$AG418-$Q418,1E+15))))))</f>
        <v/>
      </c>
      <c r="S418" s="47" t="str">
        <f>IF($AD418="","",YEAR($AD418)*100+MONTH($AD418))</f>
        <v/>
      </c>
      <c r="T418" s="50" t="str">
        <f>IF($AD418="","",IFERROR(IF(INDEX(CARDS!$I$5:$I$34,MATCH($D418,CARDS!$A$5:$A$34,0))="","",IF(INDEX(CARDS!$I$5:$I$34,MATCH($D418,CARDS!$A$5:$A$34,0))&gt;INDEX(CARDS!$H$5:$H$34,MATCH($D418,CARDS!$A$5:$A$34,0)),DATE(YEAR($AD418),MONTH($AD418),MIN(INDEX(CARDS!$I$5:$I$34,MATCH($D418,CARDS!$A$5:$A$34,0)),DAY(EOMONTH($AD418,0)))),DATE(YEAR($AD418),MONTH($AD418)+1,MIN(INDEX(CARDS!$I$5:$I$34,MATCH($D418,CARDS!$A$5:$A$34,0)),DAY(EOMONTH($AD418,1)))))),""))</f>
        <v/>
      </c>
      <c r="U418" s="38" t="n"/>
      <c r="V418" s="37" t="n"/>
      <c r="W418" s="38" t="n"/>
      <c r="X418" s="38" t="n"/>
      <c r="Y418" s="44" t="str">
        <f>IF($AC418&gt;0,INDEX(CASHBACK_RULES!$A$5:$A$304,$AC418),"")</f>
        <v/>
      </c>
      <c r="Z418" s="45" t="str">
        <f>IF($AC418&gt;0,INDEX(CASHBACK_RULES!$E$5:$E$304,$AC418)&amp;"","")</f>
        <v/>
      </c>
      <c r="AA418" s="48" t="str">
        <f>IF($AC418&gt;0,IF(ISNUMBER(INDEX(CASHBACK_RULES!$K$5:$K$304,$AC418)),INDEX(CASHBACK_RULES!$K$5:$K$304,$AC418),"∞"),"")</f>
        <v/>
      </c>
      <c r="AB418" s="44" t="str">
        <f>IF(OR($B418="",$D418=""),"",IF($U418="Cancelled","Đã hủy",IF($AC418=0,"Không được hoàn",IF($Q418=0,IF(OR($O418&gt;0,$M418&lt;$L418),"Đã đạt cap","Không được hoàn"),IF(OR($Q418&lt;$O418,$M418&lt;$L418),"Hoàn một phần","Được hoàn")))))</f>
        <v/>
      </c>
      <c r="AC418" s="43">
        <f>IF(OR($B418="",$D418="",$I418="",$L418=""),0,IF($U418="Cancelled",0,IF($W418&lt;&gt;"",IFERROR(IF(INDEX(CASHBACK_RULES!$B$5:$B$304,MATCH($W418,CASHBACK_RULES!$A$5:$A$304,0))=$D418,MATCH($W418,CASHBACK_RULES!$A$5:$A$304,0),0),0),IFERROR(MATCH(1,INDEX((CASHBACK_RULES!$B$5:$B$304=$D418)*(CASHBACK_RULES!$G$5:$G$304=$I418)*(((CASHBACK_RULES!$N$5:$N$304="")+(CASHBACK_RULES!$N$5:$N$304&lt;=$B418))&gt;0)*(((CASHBACK_RULES!$O$5:$O$304="")+(CASHBACK_RULES!$O$5:$O$304&gt;=$B418))&gt;0)*(((CASHBACK_RULES!$M$5:$M$304="")+(CASHBACK_RULES!$M$5:$M$304&lt;=$L418))&gt;0),0),0),0))))</f>
        <v>0</v>
      </c>
      <c r="AD418" s="51" t="str">
        <f>IF(OR($B418="",$D418=""),"",IFERROR(IF(INDEX(CARDS!$H$5:$H$34,MATCH($D418,CARDS!$A$5:$A$34,0))="","",IF(DAY($B418)&lt;=INDEX(CARDS!$H$5:$H$34,MATCH($D418,CARDS!$A$5:$A$34,0)),DATE(YEAR($B418),MONTH($B418),MIN(INDEX(CARDS!$H$5:$H$34,MATCH($D418,CARDS!$A$5:$A$34,0)),DAY(EOMONTH($B418,0)))),DATE(YEAR($B418),MONTH($B418)+1,MIN(INDEX(CARDS!$H$5:$H$34,MATCH($D418,CARDS!$A$5:$A$34,0)),DAY(EOMONTH($B418,1)))))),""))</f>
        <v/>
      </c>
      <c r="AE418" s="52" t="str">
        <f>IF($C418="","",$C418&amp;"|"&amp;COUNTIF($C$5:$C418,$C418))</f>
        <v/>
      </c>
      <c r="AF418" s="53">
        <f>IF($AC418&gt;0,SUMIFS(Q$4:Q417,$D$4:$D417,$D418,$Z$4:$Z417,$Z418,$C$4:$C417,$C418),0)</f>
        <v>0</v>
      </c>
      <c r="AG418" s="53">
        <f>IF($AC418&gt;0,SUMIFS(Q$4:Q417,$D$4:$D417,$D418,$C$4:$C417,$C418),0)</f>
        <v>0</v>
      </c>
      <c r="AH418" s="53">
        <f>IF($AC418&gt;0,SUMIFS(M$4:M417,$D$4:$D417,$D418,$Z$4:$Z417,$Z418,$C$4:$C417,$C418),0)</f>
        <v>0</v>
      </c>
      <c r="AI418" s="43">
        <f>IF(OR($C418="",$I418=""),0,IF(COUNTIFS($C$5:$C418,$C418,$I$5:$I418,$I418)=1,1,0))</f>
        <v>0</v>
      </c>
      <c r="AJ418" s="43" t="str">
        <f>IF($AI418=1,SUMIFS($AI$4:$AI417,$C$4:$C417,$C418)+1,"")</f>
        <v/>
      </c>
      <c r="AK418" s="43">
        <f>IF(OR($C418="",$K418=""),0,IF(COUNTIFS($C$5:$C418,$C418,$K$5:$K418,$K418)=1,1,0))</f>
        <v>0</v>
      </c>
      <c r="AL418" s="43" t="str">
        <f>IF($AK418=1,SUMIFS($AK$4:$AK417,$C$4:$C417,$C418)+1,"")</f>
        <v/>
      </c>
      <c r="AM418" s="43">
        <f>IF(OR($C418="",$G418=""),0,IF(COUNTIFS($C$5:$C418,$C418,$G$5:$G418,$G418)=1,1,0))</f>
        <v>0</v>
      </c>
      <c r="AN418" s="43" t="str">
        <f>IF($AM418=1,SUMIFS($AM$4:$AM417,$C$4:$C417,$C418)+1,"")</f>
        <v/>
      </c>
    </row>
    <row r="419">
      <c r="A419" s="44" t="str">
        <f>IF(OR($B419="",$D419=""),"","TX"&amp;TEXT(ROW()-4,"0000"))</f>
        <v/>
      </c>
      <c r="B419" s="42" t="n"/>
      <c r="C419" s="47" t="str">
        <f>IF($B419="","",YEAR($B419)*100+MONTH($B419))</f>
        <v/>
      </c>
      <c r="D419" s="37" t="n"/>
      <c r="E419" s="45" t="str">
        <f>IF($D419="","",IFERROR(INDEX(CARDS!$B$5:$B$34,MATCH($D419,CARDS!$A$5:$A$34,0)),"⚠ Card ID?"))</f>
        <v/>
      </c>
      <c r="F419" s="45" t="str">
        <f>IF($D419="","",IFERROR(INDEX(CARDS!$C$5:$C$34,MATCH($D419,CARDS!$A$5:$A$34,0)),"⚠ Card ID?"))</f>
        <v/>
      </c>
      <c r="G419" s="37" t="n"/>
      <c r="H419" s="37" t="n"/>
      <c r="I419" s="41" t="n"/>
      <c r="J419" s="45" t="str">
        <f>IF($I419="","",IFERROR(INDEX(MCC_MASTER!$B$5:$B$504,MATCH($I419,MCC_MASTER!$A$5:$A$504,0)),"⚠ MCC chưa có"))</f>
        <v/>
      </c>
      <c r="K419" s="45" t="str">
        <f>IF($I419="","",IFERROR(IF(INDEX(MCC_MASTER!$C$5:$C$504,MATCH($I419,MCC_MASTER!$A$5:$A$504,0))="","Chưa phân loại",INDEX(MCC_MASTER!$C$5:$C$504,MATCH($I419,MCC_MASTER!$A$5:$A$504,0))),"Chưa phân loại"))</f>
        <v/>
      </c>
      <c r="L419" s="40" t="n"/>
      <c r="M419" s="48" t="str">
        <f>IF(OR($B419="",$D419=""),"",IF($AC419=0,0,IF(ISNUMBER(INDEX(CASHBACK_RULES!$L$5:$L$304,$AC419)),MAX(0,MIN($L419,INDEX(CASHBACK_RULES!$L$5:$L$304,$AC419)-$AH419)),MAX(0,$L419))))</f>
        <v/>
      </c>
      <c r="N419" s="49" t="str">
        <f>IF(OR($B419="",$D419=""),"",IF($AC419&gt;0,INDEX(CASHBACK_RULES!$I$5:$I$304,$AC419),0))</f>
        <v/>
      </c>
      <c r="O419" s="48" t="str">
        <f>IF(OR($B419="",$D419=""),"",ROUND($M419*$N419,0))</f>
        <v/>
      </c>
      <c r="P419" s="48" t="str">
        <f>IF($AC419&gt;0,IF(ISNUMBER(INDEX(CASHBACK_RULES!$J$5:$J$304,$AC419)),INDEX(CASHBACK_RULES!$J$5:$J$304,$AC419),"∞"),"")</f>
        <v/>
      </c>
      <c r="Q419" s="48" t="str">
        <f>IF(OR($B419="",$D419=""),"",IF($AC419=0,0,MAX(0,MIN($O419,IF(ISNUMBER($P419),$P419-$AF419,1E+15),IF(ISNUMBER($AA419),$AA419-$AG419,1E+15)))))</f>
        <v/>
      </c>
      <c r="R419" s="48" t="str">
        <f>IF(OR($B419="",$D419=""),"",IF($AC419=0,"",IF(AND(NOT(ISNUMBER($P419)),NOT(ISNUMBER($AA419))),"∞",MAX(0,MIN(IF(ISNUMBER($P419),$P419-$AF419-$Q419,1E+15),IF(ISNUMBER($AA419),$AA419-$AG419-$Q419,1E+15))))))</f>
        <v/>
      </c>
      <c r="S419" s="47" t="str">
        <f>IF($AD419="","",YEAR($AD419)*100+MONTH($AD419))</f>
        <v/>
      </c>
      <c r="T419" s="50" t="str">
        <f>IF($AD419="","",IFERROR(IF(INDEX(CARDS!$I$5:$I$34,MATCH($D419,CARDS!$A$5:$A$34,0))="","",IF(INDEX(CARDS!$I$5:$I$34,MATCH($D419,CARDS!$A$5:$A$34,0))&gt;INDEX(CARDS!$H$5:$H$34,MATCH($D419,CARDS!$A$5:$A$34,0)),DATE(YEAR($AD419),MONTH($AD419),MIN(INDEX(CARDS!$I$5:$I$34,MATCH($D419,CARDS!$A$5:$A$34,0)),DAY(EOMONTH($AD419,0)))),DATE(YEAR($AD419),MONTH($AD419)+1,MIN(INDEX(CARDS!$I$5:$I$34,MATCH($D419,CARDS!$A$5:$A$34,0)),DAY(EOMONTH($AD419,1)))))),""))</f>
        <v/>
      </c>
      <c r="U419" s="38" t="n"/>
      <c r="V419" s="37" t="n"/>
      <c r="W419" s="38" t="n"/>
      <c r="X419" s="38" t="n"/>
      <c r="Y419" s="44" t="str">
        <f>IF($AC419&gt;0,INDEX(CASHBACK_RULES!$A$5:$A$304,$AC419),"")</f>
        <v/>
      </c>
      <c r="Z419" s="45" t="str">
        <f>IF($AC419&gt;0,INDEX(CASHBACK_RULES!$E$5:$E$304,$AC419)&amp;"","")</f>
        <v/>
      </c>
      <c r="AA419" s="48" t="str">
        <f>IF($AC419&gt;0,IF(ISNUMBER(INDEX(CASHBACK_RULES!$K$5:$K$304,$AC419)),INDEX(CASHBACK_RULES!$K$5:$K$304,$AC419),"∞"),"")</f>
        <v/>
      </c>
      <c r="AB419" s="44" t="str">
        <f>IF(OR($B419="",$D419=""),"",IF($U419="Cancelled","Đã hủy",IF($AC419=0,"Không được hoàn",IF($Q419=0,IF(OR($O419&gt;0,$M419&lt;$L419),"Đã đạt cap","Không được hoàn"),IF(OR($Q419&lt;$O419,$M419&lt;$L419),"Hoàn một phần","Được hoàn")))))</f>
        <v/>
      </c>
      <c r="AC419" s="43">
        <f>IF(OR($B419="",$D419="",$I419="",$L419=""),0,IF($U419="Cancelled",0,IF($W419&lt;&gt;"",IFERROR(IF(INDEX(CASHBACK_RULES!$B$5:$B$304,MATCH($W419,CASHBACK_RULES!$A$5:$A$304,0))=$D419,MATCH($W419,CASHBACK_RULES!$A$5:$A$304,0),0),0),IFERROR(MATCH(1,INDEX((CASHBACK_RULES!$B$5:$B$304=$D419)*(CASHBACK_RULES!$G$5:$G$304=$I419)*(((CASHBACK_RULES!$N$5:$N$304="")+(CASHBACK_RULES!$N$5:$N$304&lt;=$B419))&gt;0)*(((CASHBACK_RULES!$O$5:$O$304="")+(CASHBACK_RULES!$O$5:$O$304&gt;=$B419))&gt;0)*(((CASHBACK_RULES!$M$5:$M$304="")+(CASHBACK_RULES!$M$5:$M$304&lt;=$L419))&gt;0),0),0),0))))</f>
        <v>0</v>
      </c>
      <c r="AD419" s="51" t="str">
        <f>IF(OR($B419="",$D419=""),"",IFERROR(IF(INDEX(CARDS!$H$5:$H$34,MATCH($D419,CARDS!$A$5:$A$34,0))="","",IF(DAY($B419)&lt;=INDEX(CARDS!$H$5:$H$34,MATCH($D419,CARDS!$A$5:$A$34,0)),DATE(YEAR($B419),MONTH($B419),MIN(INDEX(CARDS!$H$5:$H$34,MATCH($D419,CARDS!$A$5:$A$34,0)),DAY(EOMONTH($B419,0)))),DATE(YEAR($B419),MONTH($B419)+1,MIN(INDEX(CARDS!$H$5:$H$34,MATCH($D419,CARDS!$A$5:$A$34,0)),DAY(EOMONTH($B419,1)))))),""))</f>
        <v/>
      </c>
      <c r="AE419" s="52" t="str">
        <f>IF($C419="","",$C419&amp;"|"&amp;COUNTIF($C$5:$C419,$C419))</f>
        <v/>
      </c>
      <c r="AF419" s="53">
        <f>IF($AC419&gt;0,SUMIFS(Q$4:Q418,$D$4:$D418,$D419,$Z$4:$Z418,$Z419,$C$4:$C418,$C419),0)</f>
        <v>0</v>
      </c>
      <c r="AG419" s="53">
        <f>IF($AC419&gt;0,SUMIFS(Q$4:Q418,$D$4:$D418,$D419,$C$4:$C418,$C419),0)</f>
        <v>0</v>
      </c>
      <c r="AH419" s="53">
        <f>IF($AC419&gt;0,SUMIFS(M$4:M418,$D$4:$D418,$D419,$Z$4:$Z418,$Z419,$C$4:$C418,$C419),0)</f>
        <v>0</v>
      </c>
      <c r="AI419" s="43">
        <f>IF(OR($C419="",$I419=""),0,IF(COUNTIFS($C$5:$C419,$C419,$I$5:$I419,$I419)=1,1,0))</f>
        <v>0</v>
      </c>
      <c r="AJ419" s="43" t="str">
        <f>IF($AI419=1,SUMIFS($AI$4:$AI418,$C$4:$C418,$C419)+1,"")</f>
        <v/>
      </c>
      <c r="AK419" s="43">
        <f>IF(OR($C419="",$K419=""),0,IF(COUNTIFS($C$5:$C419,$C419,$K$5:$K419,$K419)=1,1,0))</f>
        <v>0</v>
      </c>
      <c r="AL419" s="43" t="str">
        <f>IF($AK419=1,SUMIFS($AK$4:$AK418,$C$4:$C418,$C419)+1,"")</f>
        <v/>
      </c>
      <c r="AM419" s="43">
        <f>IF(OR($C419="",$G419=""),0,IF(COUNTIFS($C$5:$C419,$C419,$G$5:$G419,$G419)=1,1,0))</f>
        <v>0</v>
      </c>
      <c r="AN419" s="43" t="str">
        <f>IF($AM419=1,SUMIFS($AM$4:$AM418,$C$4:$C418,$C419)+1,"")</f>
        <v/>
      </c>
    </row>
    <row r="420">
      <c r="A420" s="44" t="str">
        <f>IF(OR($B420="",$D420=""),"","TX"&amp;TEXT(ROW()-4,"0000"))</f>
        <v/>
      </c>
      <c r="B420" s="42" t="n"/>
      <c r="C420" s="47" t="str">
        <f>IF($B420="","",YEAR($B420)*100+MONTH($B420))</f>
        <v/>
      </c>
      <c r="D420" s="37" t="n"/>
      <c r="E420" s="45" t="str">
        <f>IF($D420="","",IFERROR(INDEX(CARDS!$B$5:$B$34,MATCH($D420,CARDS!$A$5:$A$34,0)),"⚠ Card ID?"))</f>
        <v/>
      </c>
      <c r="F420" s="45" t="str">
        <f>IF($D420="","",IFERROR(INDEX(CARDS!$C$5:$C$34,MATCH($D420,CARDS!$A$5:$A$34,0)),"⚠ Card ID?"))</f>
        <v/>
      </c>
      <c r="G420" s="37" t="n"/>
      <c r="H420" s="37" t="n"/>
      <c r="I420" s="41" t="n"/>
      <c r="J420" s="45" t="str">
        <f>IF($I420="","",IFERROR(INDEX(MCC_MASTER!$B$5:$B$504,MATCH($I420,MCC_MASTER!$A$5:$A$504,0)),"⚠ MCC chưa có"))</f>
        <v/>
      </c>
      <c r="K420" s="45" t="str">
        <f>IF($I420="","",IFERROR(IF(INDEX(MCC_MASTER!$C$5:$C$504,MATCH($I420,MCC_MASTER!$A$5:$A$504,0))="","Chưa phân loại",INDEX(MCC_MASTER!$C$5:$C$504,MATCH($I420,MCC_MASTER!$A$5:$A$504,0))),"Chưa phân loại"))</f>
        <v/>
      </c>
      <c r="L420" s="40" t="n"/>
      <c r="M420" s="48" t="str">
        <f>IF(OR($B420="",$D420=""),"",IF($AC420=0,0,IF(ISNUMBER(INDEX(CASHBACK_RULES!$L$5:$L$304,$AC420)),MAX(0,MIN($L420,INDEX(CASHBACK_RULES!$L$5:$L$304,$AC420)-$AH420)),MAX(0,$L420))))</f>
        <v/>
      </c>
      <c r="N420" s="49" t="str">
        <f>IF(OR($B420="",$D420=""),"",IF($AC420&gt;0,INDEX(CASHBACK_RULES!$I$5:$I$304,$AC420),0))</f>
        <v/>
      </c>
      <c r="O420" s="48" t="str">
        <f>IF(OR($B420="",$D420=""),"",ROUND($M420*$N420,0))</f>
        <v/>
      </c>
      <c r="P420" s="48" t="str">
        <f>IF($AC420&gt;0,IF(ISNUMBER(INDEX(CASHBACK_RULES!$J$5:$J$304,$AC420)),INDEX(CASHBACK_RULES!$J$5:$J$304,$AC420),"∞"),"")</f>
        <v/>
      </c>
      <c r="Q420" s="48" t="str">
        <f>IF(OR($B420="",$D420=""),"",IF($AC420=0,0,MAX(0,MIN($O420,IF(ISNUMBER($P420),$P420-$AF420,1E+15),IF(ISNUMBER($AA420),$AA420-$AG420,1E+15)))))</f>
        <v/>
      </c>
      <c r="R420" s="48" t="str">
        <f>IF(OR($B420="",$D420=""),"",IF($AC420=0,"",IF(AND(NOT(ISNUMBER($P420)),NOT(ISNUMBER($AA420))),"∞",MAX(0,MIN(IF(ISNUMBER($P420),$P420-$AF420-$Q420,1E+15),IF(ISNUMBER($AA420),$AA420-$AG420-$Q420,1E+15))))))</f>
        <v/>
      </c>
      <c r="S420" s="47" t="str">
        <f>IF($AD420="","",YEAR($AD420)*100+MONTH($AD420))</f>
        <v/>
      </c>
      <c r="T420" s="50" t="str">
        <f>IF($AD420="","",IFERROR(IF(INDEX(CARDS!$I$5:$I$34,MATCH($D420,CARDS!$A$5:$A$34,0))="","",IF(INDEX(CARDS!$I$5:$I$34,MATCH($D420,CARDS!$A$5:$A$34,0))&gt;INDEX(CARDS!$H$5:$H$34,MATCH($D420,CARDS!$A$5:$A$34,0)),DATE(YEAR($AD420),MONTH($AD420),MIN(INDEX(CARDS!$I$5:$I$34,MATCH($D420,CARDS!$A$5:$A$34,0)),DAY(EOMONTH($AD420,0)))),DATE(YEAR($AD420),MONTH($AD420)+1,MIN(INDEX(CARDS!$I$5:$I$34,MATCH($D420,CARDS!$A$5:$A$34,0)),DAY(EOMONTH($AD420,1)))))),""))</f>
        <v/>
      </c>
      <c r="U420" s="38" t="n"/>
      <c r="V420" s="37" t="n"/>
      <c r="W420" s="38" t="n"/>
      <c r="X420" s="38" t="n"/>
      <c r="Y420" s="44" t="str">
        <f>IF($AC420&gt;0,INDEX(CASHBACK_RULES!$A$5:$A$304,$AC420),"")</f>
        <v/>
      </c>
      <c r="Z420" s="45" t="str">
        <f>IF($AC420&gt;0,INDEX(CASHBACK_RULES!$E$5:$E$304,$AC420)&amp;"","")</f>
        <v/>
      </c>
      <c r="AA420" s="48" t="str">
        <f>IF($AC420&gt;0,IF(ISNUMBER(INDEX(CASHBACK_RULES!$K$5:$K$304,$AC420)),INDEX(CASHBACK_RULES!$K$5:$K$304,$AC420),"∞"),"")</f>
        <v/>
      </c>
      <c r="AB420" s="44" t="str">
        <f>IF(OR($B420="",$D420=""),"",IF($U420="Cancelled","Đã hủy",IF($AC420=0,"Không được hoàn",IF($Q420=0,IF(OR($O420&gt;0,$M420&lt;$L420),"Đã đạt cap","Không được hoàn"),IF(OR($Q420&lt;$O420,$M420&lt;$L420),"Hoàn một phần","Được hoàn")))))</f>
        <v/>
      </c>
      <c r="AC420" s="43">
        <f>IF(OR($B420="",$D420="",$I420="",$L420=""),0,IF($U420="Cancelled",0,IF($W420&lt;&gt;"",IFERROR(IF(INDEX(CASHBACK_RULES!$B$5:$B$304,MATCH($W420,CASHBACK_RULES!$A$5:$A$304,0))=$D420,MATCH($W420,CASHBACK_RULES!$A$5:$A$304,0),0),0),IFERROR(MATCH(1,INDEX((CASHBACK_RULES!$B$5:$B$304=$D420)*(CASHBACK_RULES!$G$5:$G$304=$I420)*(((CASHBACK_RULES!$N$5:$N$304="")+(CASHBACK_RULES!$N$5:$N$304&lt;=$B420))&gt;0)*(((CASHBACK_RULES!$O$5:$O$304="")+(CASHBACK_RULES!$O$5:$O$304&gt;=$B420))&gt;0)*(((CASHBACK_RULES!$M$5:$M$304="")+(CASHBACK_RULES!$M$5:$M$304&lt;=$L420))&gt;0),0),0),0))))</f>
        <v>0</v>
      </c>
      <c r="AD420" s="51" t="str">
        <f>IF(OR($B420="",$D420=""),"",IFERROR(IF(INDEX(CARDS!$H$5:$H$34,MATCH($D420,CARDS!$A$5:$A$34,0))="","",IF(DAY($B420)&lt;=INDEX(CARDS!$H$5:$H$34,MATCH($D420,CARDS!$A$5:$A$34,0)),DATE(YEAR($B420),MONTH($B420),MIN(INDEX(CARDS!$H$5:$H$34,MATCH($D420,CARDS!$A$5:$A$34,0)),DAY(EOMONTH($B420,0)))),DATE(YEAR($B420),MONTH($B420)+1,MIN(INDEX(CARDS!$H$5:$H$34,MATCH($D420,CARDS!$A$5:$A$34,0)),DAY(EOMONTH($B420,1)))))),""))</f>
        <v/>
      </c>
      <c r="AE420" s="52" t="str">
        <f>IF($C420="","",$C420&amp;"|"&amp;COUNTIF($C$5:$C420,$C420))</f>
        <v/>
      </c>
      <c r="AF420" s="53">
        <f>IF($AC420&gt;0,SUMIFS(Q$4:Q419,$D$4:$D419,$D420,$Z$4:$Z419,$Z420,$C$4:$C419,$C420),0)</f>
        <v>0</v>
      </c>
      <c r="AG420" s="53">
        <f>IF($AC420&gt;0,SUMIFS(Q$4:Q419,$D$4:$D419,$D420,$C$4:$C419,$C420),0)</f>
        <v>0</v>
      </c>
      <c r="AH420" s="53">
        <f>IF($AC420&gt;0,SUMIFS(M$4:M419,$D$4:$D419,$D420,$Z$4:$Z419,$Z420,$C$4:$C419,$C420),0)</f>
        <v>0</v>
      </c>
      <c r="AI420" s="43">
        <f>IF(OR($C420="",$I420=""),0,IF(COUNTIFS($C$5:$C420,$C420,$I$5:$I420,$I420)=1,1,0))</f>
        <v>0</v>
      </c>
      <c r="AJ420" s="43" t="str">
        <f>IF($AI420=1,SUMIFS($AI$4:$AI419,$C$4:$C419,$C420)+1,"")</f>
        <v/>
      </c>
      <c r="AK420" s="43">
        <f>IF(OR($C420="",$K420=""),0,IF(COUNTIFS($C$5:$C420,$C420,$K$5:$K420,$K420)=1,1,0))</f>
        <v>0</v>
      </c>
      <c r="AL420" s="43" t="str">
        <f>IF($AK420=1,SUMIFS($AK$4:$AK419,$C$4:$C419,$C420)+1,"")</f>
        <v/>
      </c>
      <c r="AM420" s="43">
        <f>IF(OR($C420="",$G420=""),0,IF(COUNTIFS($C$5:$C420,$C420,$G$5:$G420,$G420)=1,1,0))</f>
        <v>0</v>
      </c>
      <c r="AN420" s="43" t="str">
        <f>IF($AM420=1,SUMIFS($AM$4:$AM419,$C$4:$C419,$C420)+1,"")</f>
        <v/>
      </c>
    </row>
    <row r="421">
      <c r="A421" s="44" t="str">
        <f>IF(OR($B421="",$D421=""),"","TX"&amp;TEXT(ROW()-4,"0000"))</f>
        <v/>
      </c>
      <c r="B421" s="42" t="n"/>
      <c r="C421" s="47" t="str">
        <f>IF($B421="","",YEAR($B421)*100+MONTH($B421))</f>
        <v/>
      </c>
      <c r="D421" s="37" t="n"/>
      <c r="E421" s="45" t="str">
        <f>IF($D421="","",IFERROR(INDEX(CARDS!$B$5:$B$34,MATCH($D421,CARDS!$A$5:$A$34,0)),"⚠ Card ID?"))</f>
        <v/>
      </c>
      <c r="F421" s="45" t="str">
        <f>IF($D421="","",IFERROR(INDEX(CARDS!$C$5:$C$34,MATCH($D421,CARDS!$A$5:$A$34,0)),"⚠ Card ID?"))</f>
        <v/>
      </c>
      <c r="G421" s="37" t="n"/>
      <c r="H421" s="37" t="n"/>
      <c r="I421" s="41" t="n"/>
      <c r="J421" s="45" t="str">
        <f>IF($I421="","",IFERROR(INDEX(MCC_MASTER!$B$5:$B$504,MATCH($I421,MCC_MASTER!$A$5:$A$504,0)),"⚠ MCC chưa có"))</f>
        <v/>
      </c>
      <c r="K421" s="45" t="str">
        <f>IF($I421="","",IFERROR(IF(INDEX(MCC_MASTER!$C$5:$C$504,MATCH($I421,MCC_MASTER!$A$5:$A$504,0))="","Chưa phân loại",INDEX(MCC_MASTER!$C$5:$C$504,MATCH($I421,MCC_MASTER!$A$5:$A$504,0))),"Chưa phân loại"))</f>
        <v/>
      </c>
      <c r="L421" s="40" t="n"/>
      <c r="M421" s="48" t="str">
        <f>IF(OR($B421="",$D421=""),"",IF($AC421=0,0,IF(ISNUMBER(INDEX(CASHBACK_RULES!$L$5:$L$304,$AC421)),MAX(0,MIN($L421,INDEX(CASHBACK_RULES!$L$5:$L$304,$AC421)-$AH421)),MAX(0,$L421))))</f>
        <v/>
      </c>
      <c r="N421" s="49" t="str">
        <f>IF(OR($B421="",$D421=""),"",IF($AC421&gt;0,INDEX(CASHBACK_RULES!$I$5:$I$304,$AC421),0))</f>
        <v/>
      </c>
      <c r="O421" s="48" t="str">
        <f>IF(OR($B421="",$D421=""),"",ROUND($M421*$N421,0))</f>
        <v/>
      </c>
      <c r="P421" s="48" t="str">
        <f>IF($AC421&gt;0,IF(ISNUMBER(INDEX(CASHBACK_RULES!$J$5:$J$304,$AC421)),INDEX(CASHBACK_RULES!$J$5:$J$304,$AC421),"∞"),"")</f>
        <v/>
      </c>
      <c r="Q421" s="48" t="str">
        <f>IF(OR($B421="",$D421=""),"",IF($AC421=0,0,MAX(0,MIN($O421,IF(ISNUMBER($P421),$P421-$AF421,1E+15),IF(ISNUMBER($AA421),$AA421-$AG421,1E+15)))))</f>
        <v/>
      </c>
      <c r="R421" s="48" t="str">
        <f>IF(OR($B421="",$D421=""),"",IF($AC421=0,"",IF(AND(NOT(ISNUMBER($P421)),NOT(ISNUMBER($AA421))),"∞",MAX(0,MIN(IF(ISNUMBER($P421),$P421-$AF421-$Q421,1E+15),IF(ISNUMBER($AA421),$AA421-$AG421-$Q421,1E+15))))))</f>
        <v/>
      </c>
      <c r="S421" s="47" t="str">
        <f>IF($AD421="","",YEAR($AD421)*100+MONTH($AD421))</f>
        <v/>
      </c>
      <c r="T421" s="50" t="str">
        <f>IF($AD421="","",IFERROR(IF(INDEX(CARDS!$I$5:$I$34,MATCH($D421,CARDS!$A$5:$A$34,0))="","",IF(INDEX(CARDS!$I$5:$I$34,MATCH($D421,CARDS!$A$5:$A$34,0))&gt;INDEX(CARDS!$H$5:$H$34,MATCH($D421,CARDS!$A$5:$A$34,0)),DATE(YEAR($AD421),MONTH($AD421),MIN(INDEX(CARDS!$I$5:$I$34,MATCH($D421,CARDS!$A$5:$A$34,0)),DAY(EOMONTH($AD421,0)))),DATE(YEAR($AD421),MONTH($AD421)+1,MIN(INDEX(CARDS!$I$5:$I$34,MATCH($D421,CARDS!$A$5:$A$34,0)),DAY(EOMONTH($AD421,1)))))),""))</f>
        <v/>
      </c>
      <c r="U421" s="38" t="n"/>
      <c r="V421" s="37" t="n"/>
      <c r="W421" s="38" t="n"/>
      <c r="X421" s="38" t="n"/>
      <c r="Y421" s="44" t="str">
        <f>IF($AC421&gt;0,INDEX(CASHBACK_RULES!$A$5:$A$304,$AC421),"")</f>
        <v/>
      </c>
      <c r="Z421" s="45" t="str">
        <f>IF($AC421&gt;0,INDEX(CASHBACK_RULES!$E$5:$E$304,$AC421)&amp;"","")</f>
        <v/>
      </c>
      <c r="AA421" s="48" t="str">
        <f>IF($AC421&gt;0,IF(ISNUMBER(INDEX(CASHBACK_RULES!$K$5:$K$304,$AC421)),INDEX(CASHBACK_RULES!$K$5:$K$304,$AC421),"∞"),"")</f>
        <v/>
      </c>
      <c r="AB421" s="44" t="str">
        <f>IF(OR($B421="",$D421=""),"",IF($U421="Cancelled","Đã hủy",IF($AC421=0,"Không được hoàn",IF($Q421=0,IF(OR($O421&gt;0,$M421&lt;$L421),"Đã đạt cap","Không được hoàn"),IF(OR($Q421&lt;$O421,$M421&lt;$L421),"Hoàn một phần","Được hoàn")))))</f>
        <v/>
      </c>
      <c r="AC421" s="43">
        <f>IF(OR($B421="",$D421="",$I421="",$L421=""),0,IF($U421="Cancelled",0,IF($W421&lt;&gt;"",IFERROR(IF(INDEX(CASHBACK_RULES!$B$5:$B$304,MATCH($W421,CASHBACK_RULES!$A$5:$A$304,0))=$D421,MATCH($W421,CASHBACK_RULES!$A$5:$A$304,0),0),0),IFERROR(MATCH(1,INDEX((CASHBACK_RULES!$B$5:$B$304=$D421)*(CASHBACK_RULES!$G$5:$G$304=$I421)*(((CASHBACK_RULES!$N$5:$N$304="")+(CASHBACK_RULES!$N$5:$N$304&lt;=$B421))&gt;0)*(((CASHBACK_RULES!$O$5:$O$304="")+(CASHBACK_RULES!$O$5:$O$304&gt;=$B421))&gt;0)*(((CASHBACK_RULES!$M$5:$M$304="")+(CASHBACK_RULES!$M$5:$M$304&lt;=$L421))&gt;0),0),0),0))))</f>
        <v>0</v>
      </c>
      <c r="AD421" s="51" t="str">
        <f>IF(OR($B421="",$D421=""),"",IFERROR(IF(INDEX(CARDS!$H$5:$H$34,MATCH($D421,CARDS!$A$5:$A$34,0))="","",IF(DAY($B421)&lt;=INDEX(CARDS!$H$5:$H$34,MATCH($D421,CARDS!$A$5:$A$34,0)),DATE(YEAR($B421),MONTH($B421),MIN(INDEX(CARDS!$H$5:$H$34,MATCH($D421,CARDS!$A$5:$A$34,0)),DAY(EOMONTH($B421,0)))),DATE(YEAR($B421),MONTH($B421)+1,MIN(INDEX(CARDS!$H$5:$H$34,MATCH($D421,CARDS!$A$5:$A$34,0)),DAY(EOMONTH($B421,1)))))),""))</f>
        <v/>
      </c>
      <c r="AE421" s="52" t="str">
        <f>IF($C421="","",$C421&amp;"|"&amp;COUNTIF($C$5:$C421,$C421))</f>
        <v/>
      </c>
      <c r="AF421" s="53">
        <f>IF($AC421&gt;0,SUMIFS(Q$4:Q420,$D$4:$D420,$D421,$Z$4:$Z420,$Z421,$C$4:$C420,$C421),0)</f>
        <v>0</v>
      </c>
      <c r="AG421" s="53">
        <f>IF($AC421&gt;0,SUMIFS(Q$4:Q420,$D$4:$D420,$D421,$C$4:$C420,$C421),0)</f>
        <v>0</v>
      </c>
      <c r="AH421" s="53">
        <f>IF($AC421&gt;0,SUMIFS(M$4:M420,$D$4:$D420,$D421,$Z$4:$Z420,$Z421,$C$4:$C420,$C421),0)</f>
        <v>0</v>
      </c>
      <c r="AI421" s="43">
        <f>IF(OR($C421="",$I421=""),0,IF(COUNTIFS($C$5:$C421,$C421,$I$5:$I421,$I421)=1,1,0))</f>
        <v>0</v>
      </c>
      <c r="AJ421" s="43" t="str">
        <f>IF($AI421=1,SUMIFS($AI$4:$AI420,$C$4:$C420,$C421)+1,"")</f>
        <v/>
      </c>
      <c r="AK421" s="43">
        <f>IF(OR($C421="",$K421=""),0,IF(COUNTIFS($C$5:$C421,$C421,$K$5:$K421,$K421)=1,1,0))</f>
        <v>0</v>
      </c>
      <c r="AL421" s="43" t="str">
        <f>IF($AK421=1,SUMIFS($AK$4:$AK420,$C$4:$C420,$C421)+1,"")</f>
        <v/>
      </c>
      <c r="AM421" s="43">
        <f>IF(OR($C421="",$G421=""),0,IF(COUNTIFS($C$5:$C421,$C421,$G$5:$G421,$G421)=1,1,0))</f>
        <v>0</v>
      </c>
      <c r="AN421" s="43" t="str">
        <f>IF($AM421=1,SUMIFS($AM$4:$AM420,$C$4:$C420,$C421)+1,"")</f>
        <v/>
      </c>
    </row>
    <row r="422">
      <c r="A422" s="44" t="str">
        <f>IF(OR($B422="",$D422=""),"","TX"&amp;TEXT(ROW()-4,"0000"))</f>
        <v/>
      </c>
      <c r="B422" s="42" t="n"/>
      <c r="C422" s="47" t="str">
        <f>IF($B422="","",YEAR($B422)*100+MONTH($B422))</f>
        <v/>
      </c>
      <c r="D422" s="37" t="n"/>
      <c r="E422" s="45" t="str">
        <f>IF($D422="","",IFERROR(INDEX(CARDS!$B$5:$B$34,MATCH($D422,CARDS!$A$5:$A$34,0)),"⚠ Card ID?"))</f>
        <v/>
      </c>
      <c r="F422" s="45" t="str">
        <f>IF($D422="","",IFERROR(INDEX(CARDS!$C$5:$C$34,MATCH($D422,CARDS!$A$5:$A$34,0)),"⚠ Card ID?"))</f>
        <v/>
      </c>
      <c r="G422" s="37" t="n"/>
      <c r="H422" s="37" t="n"/>
      <c r="I422" s="41" t="n"/>
      <c r="J422" s="45" t="str">
        <f>IF($I422="","",IFERROR(INDEX(MCC_MASTER!$B$5:$B$504,MATCH($I422,MCC_MASTER!$A$5:$A$504,0)),"⚠ MCC chưa có"))</f>
        <v/>
      </c>
      <c r="K422" s="45" t="str">
        <f>IF($I422="","",IFERROR(IF(INDEX(MCC_MASTER!$C$5:$C$504,MATCH($I422,MCC_MASTER!$A$5:$A$504,0))="","Chưa phân loại",INDEX(MCC_MASTER!$C$5:$C$504,MATCH($I422,MCC_MASTER!$A$5:$A$504,0))),"Chưa phân loại"))</f>
        <v/>
      </c>
      <c r="L422" s="40" t="n"/>
      <c r="M422" s="48" t="str">
        <f>IF(OR($B422="",$D422=""),"",IF($AC422=0,0,IF(ISNUMBER(INDEX(CASHBACK_RULES!$L$5:$L$304,$AC422)),MAX(0,MIN($L422,INDEX(CASHBACK_RULES!$L$5:$L$304,$AC422)-$AH422)),MAX(0,$L422))))</f>
        <v/>
      </c>
      <c r="N422" s="49" t="str">
        <f>IF(OR($B422="",$D422=""),"",IF($AC422&gt;0,INDEX(CASHBACK_RULES!$I$5:$I$304,$AC422),0))</f>
        <v/>
      </c>
      <c r="O422" s="48" t="str">
        <f>IF(OR($B422="",$D422=""),"",ROUND($M422*$N422,0))</f>
        <v/>
      </c>
      <c r="P422" s="48" t="str">
        <f>IF($AC422&gt;0,IF(ISNUMBER(INDEX(CASHBACK_RULES!$J$5:$J$304,$AC422)),INDEX(CASHBACK_RULES!$J$5:$J$304,$AC422),"∞"),"")</f>
        <v/>
      </c>
      <c r="Q422" s="48" t="str">
        <f>IF(OR($B422="",$D422=""),"",IF($AC422=0,0,MAX(0,MIN($O422,IF(ISNUMBER($P422),$P422-$AF422,1E+15),IF(ISNUMBER($AA422),$AA422-$AG422,1E+15)))))</f>
        <v/>
      </c>
      <c r="R422" s="48" t="str">
        <f>IF(OR($B422="",$D422=""),"",IF($AC422=0,"",IF(AND(NOT(ISNUMBER($P422)),NOT(ISNUMBER($AA422))),"∞",MAX(0,MIN(IF(ISNUMBER($P422),$P422-$AF422-$Q422,1E+15),IF(ISNUMBER($AA422),$AA422-$AG422-$Q422,1E+15))))))</f>
        <v/>
      </c>
      <c r="S422" s="47" t="str">
        <f>IF($AD422="","",YEAR($AD422)*100+MONTH($AD422))</f>
        <v/>
      </c>
      <c r="T422" s="50" t="str">
        <f>IF($AD422="","",IFERROR(IF(INDEX(CARDS!$I$5:$I$34,MATCH($D422,CARDS!$A$5:$A$34,0))="","",IF(INDEX(CARDS!$I$5:$I$34,MATCH($D422,CARDS!$A$5:$A$34,0))&gt;INDEX(CARDS!$H$5:$H$34,MATCH($D422,CARDS!$A$5:$A$34,0)),DATE(YEAR($AD422),MONTH($AD422),MIN(INDEX(CARDS!$I$5:$I$34,MATCH($D422,CARDS!$A$5:$A$34,0)),DAY(EOMONTH($AD422,0)))),DATE(YEAR($AD422),MONTH($AD422)+1,MIN(INDEX(CARDS!$I$5:$I$34,MATCH($D422,CARDS!$A$5:$A$34,0)),DAY(EOMONTH($AD422,1)))))),""))</f>
        <v/>
      </c>
      <c r="U422" s="38" t="n"/>
      <c r="V422" s="37" t="n"/>
      <c r="W422" s="38" t="n"/>
      <c r="X422" s="38" t="n"/>
      <c r="Y422" s="44" t="str">
        <f>IF($AC422&gt;0,INDEX(CASHBACK_RULES!$A$5:$A$304,$AC422),"")</f>
        <v/>
      </c>
      <c r="Z422" s="45" t="str">
        <f>IF($AC422&gt;0,INDEX(CASHBACK_RULES!$E$5:$E$304,$AC422)&amp;"","")</f>
        <v/>
      </c>
      <c r="AA422" s="48" t="str">
        <f>IF($AC422&gt;0,IF(ISNUMBER(INDEX(CASHBACK_RULES!$K$5:$K$304,$AC422)),INDEX(CASHBACK_RULES!$K$5:$K$304,$AC422),"∞"),"")</f>
        <v/>
      </c>
      <c r="AB422" s="44" t="str">
        <f>IF(OR($B422="",$D422=""),"",IF($U422="Cancelled","Đã hủy",IF($AC422=0,"Không được hoàn",IF($Q422=0,IF(OR($O422&gt;0,$M422&lt;$L422),"Đã đạt cap","Không được hoàn"),IF(OR($Q422&lt;$O422,$M422&lt;$L422),"Hoàn một phần","Được hoàn")))))</f>
        <v/>
      </c>
      <c r="AC422" s="43">
        <f>IF(OR($B422="",$D422="",$I422="",$L422=""),0,IF($U422="Cancelled",0,IF($W422&lt;&gt;"",IFERROR(IF(INDEX(CASHBACK_RULES!$B$5:$B$304,MATCH($W422,CASHBACK_RULES!$A$5:$A$304,0))=$D422,MATCH($W422,CASHBACK_RULES!$A$5:$A$304,0),0),0),IFERROR(MATCH(1,INDEX((CASHBACK_RULES!$B$5:$B$304=$D422)*(CASHBACK_RULES!$G$5:$G$304=$I422)*(((CASHBACK_RULES!$N$5:$N$304="")+(CASHBACK_RULES!$N$5:$N$304&lt;=$B422))&gt;0)*(((CASHBACK_RULES!$O$5:$O$304="")+(CASHBACK_RULES!$O$5:$O$304&gt;=$B422))&gt;0)*(((CASHBACK_RULES!$M$5:$M$304="")+(CASHBACK_RULES!$M$5:$M$304&lt;=$L422))&gt;0),0),0),0))))</f>
        <v>0</v>
      </c>
      <c r="AD422" s="51" t="str">
        <f>IF(OR($B422="",$D422=""),"",IFERROR(IF(INDEX(CARDS!$H$5:$H$34,MATCH($D422,CARDS!$A$5:$A$34,0))="","",IF(DAY($B422)&lt;=INDEX(CARDS!$H$5:$H$34,MATCH($D422,CARDS!$A$5:$A$34,0)),DATE(YEAR($B422),MONTH($B422),MIN(INDEX(CARDS!$H$5:$H$34,MATCH($D422,CARDS!$A$5:$A$34,0)),DAY(EOMONTH($B422,0)))),DATE(YEAR($B422),MONTH($B422)+1,MIN(INDEX(CARDS!$H$5:$H$34,MATCH($D422,CARDS!$A$5:$A$34,0)),DAY(EOMONTH($B422,1)))))),""))</f>
        <v/>
      </c>
      <c r="AE422" s="52" t="str">
        <f>IF($C422="","",$C422&amp;"|"&amp;COUNTIF($C$5:$C422,$C422))</f>
        <v/>
      </c>
      <c r="AF422" s="53">
        <f>IF($AC422&gt;0,SUMIFS(Q$4:Q421,$D$4:$D421,$D422,$Z$4:$Z421,$Z422,$C$4:$C421,$C422),0)</f>
        <v>0</v>
      </c>
      <c r="AG422" s="53">
        <f>IF($AC422&gt;0,SUMIFS(Q$4:Q421,$D$4:$D421,$D422,$C$4:$C421,$C422),0)</f>
        <v>0</v>
      </c>
      <c r="AH422" s="53">
        <f>IF($AC422&gt;0,SUMIFS(M$4:M421,$D$4:$D421,$D422,$Z$4:$Z421,$Z422,$C$4:$C421,$C422),0)</f>
        <v>0</v>
      </c>
      <c r="AI422" s="43">
        <f>IF(OR($C422="",$I422=""),0,IF(COUNTIFS($C$5:$C422,$C422,$I$5:$I422,$I422)=1,1,0))</f>
        <v>0</v>
      </c>
      <c r="AJ422" s="43" t="str">
        <f>IF($AI422=1,SUMIFS($AI$4:$AI421,$C$4:$C421,$C422)+1,"")</f>
        <v/>
      </c>
      <c r="AK422" s="43">
        <f>IF(OR($C422="",$K422=""),0,IF(COUNTIFS($C$5:$C422,$C422,$K$5:$K422,$K422)=1,1,0))</f>
        <v>0</v>
      </c>
      <c r="AL422" s="43" t="str">
        <f>IF($AK422=1,SUMIFS($AK$4:$AK421,$C$4:$C421,$C422)+1,"")</f>
        <v/>
      </c>
      <c r="AM422" s="43">
        <f>IF(OR($C422="",$G422=""),0,IF(COUNTIFS($C$5:$C422,$C422,$G$5:$G422,$G422)=1,1,0))</f>
        <v>0</v>
      </c>
      <c r="AN422" s="43" t="str">
        <f>IF($AM422=1,SUMIFS($AM$4:$AM421,$C$4:$C421,$C422)+1,"")</f>
        <v/>
      </c>
    </row>
    <row r="423">
      <c r="A423" s="44" t="str">
        <f>IF(OR($B423="",$D423=""),"","TX"&amp;TEXT(ROW()-4,"0000"))</f>
        <v/>
      </c>
      <c r="B423" s="42" t="n"/>
      <c r="C423" s="47" t="str">
        <f>IF($B423="","",YEAR($B423)*100+MONTH($B423))</f>
        <v/>
      </c>
      <c r="D423" s="37" t="n"/>
      <c r="E423" s="45" t="str">
        <f>IF($D423="","",IFERROR(INDEX(CARDS!$B$5:$B$34,MATCH($D423,CARDS!$A$5:$A$34,0)),"⚠ Card ID?"))</f>
        <v/>
      </c>
      <c r="F423" s="45" t="str">
        <f>IF($D423="","",IFERROR(INDEX(CARDS!$C$5:$C$34,MATCH($D423,CARDS!$A$5:$A$34,0)),"⚠ Card ID?"))</f>
        <v/>
      </c>
      <c r="G423" s="37" t="n"/>
      <c r="H423" s="37" t="n"/>
      <c r="I423" s="41" t="n"/>
      <c r="J423" s="45" t="str">
        <f>IF($I423="","",IFERROR(INDEX(MCC_MASTER!$B$5:$B$504,MATCH($I423,MCC_MASTER!$A$5:$A$504,0)),"⚠ MCC chưa có"))</f>
        <v/>
      </c>
      <c r="K423" s="45" t="str">
        <f>IF($I423="","",IFERROR(IF(INDEX(MCC_MASTER!$C$5:$C$504,MATCH($I423,MCC_MASTER!$A$5:$A$504,0))="","Chưa phân loại",INDEX(MCC_MASTER!$C$5:$C$504,MATCH($I423,MCC_MASTER!$A$5:$A$504,0))),"Chưa phân loại"))</f>
        <v/>
      </c>
      <c r="L423" s="40" t="n"/>
      <c r="M423" s="48" t="str">
        <f>IF(OR($B423="",$D423=""),"",IF($AC423=0,0,IF(ISNUMBER(INDEX(CASHBACK_RULES!$L$5:$L$304,$AC423)),MAX(0,MIN($L423,INDEX(CASHBACK_RULES!$L$5:$L$304,$AC423)-$AH423)),MAX(0,$L423))))</f>
        <v/>
      </c>
      <c r="N423" s="49" t="str">
        <f>IF(OR($B423="",$D423=""),"",IF($AC423&gt;0,INDEX(CASHBACK_RULES!$I$5:$I$304,$AC423),0))</f>
        <v/>
      </c>
      <c r="O423" s="48" t="str">
        <f>IF(OR($B423="",$D423=""),"",ROUND($M423*$N423,0))</f>
        <v/>
      </c>
      <c r="P423" s="48" t="str">
        <f>IF($AC423&gt;0,IF(ISNUMBER(INDEX(CASHBACK_RULES!$J$5:$J$304,$AC423)),INDEX(CASHBACK_RULES!$J$5:$J$304,$AC423),"∞"),"")</f>
        <v/>
      </c>
      <c r="Q423" s="48" t="str">
        <f>IF(OR($B423="",$D423=""),"",IF($AC423=0,0,MAX(0,MIN($O423,IF(ISNUMBER($P423),$P423-$AF423,1E+15),IF(ISNUMBER($AA423),$AA423-$AG423,1E+15)))))</f>
        <v/>
      </c>
      <c r="R423" s="48" t="str">
        <f>IF(OR($B423="",$D423=""),"",IF($AC423=0,"",IF(AND(NOT(ISNUMBER($P423)),NOT(ISNUMBER($AA423))),"∞",MAX(0,MIN(IF(ISNUMBER($P423),$P423-$AF423-$Q423,1E+15),IF(ISNUMBER($AA423),$AA423-$AG423-$Q423,1E+15))))))</f>
        <v/>
      </c>
      <c r="S423" s="47" t="str">
        <f>IF($AD423="","",YEAR($AD423)*100+MONTH($AD423))</f>
        <v/>
      </c>
      <c r="T423" s="50" t="str">
        <f>IF($AD423="","",IFERROR(IF(INDEX(CARDS!$I$5:$I$34,MATCH($D423,CARDS!$A$5:$A$34,0))="","",IF(INDEX(CARDS!$I$5:$I$34,MATCH($D423,CARDS!$A$5:$A$34,0))&gt;INDEX(CARDS!$H$5:$H$34,MATCH($D423,CARDS!$A$5:$A$34,0)),DATE(YEAR($AD423),MONTH($AD423),MIN(INDEX(CARDS!$I$5:$I$34,MATCH($D423,CARDS!$A$5:$A$34,0)),DAY(EOMONTH($AD423,0)))),DATE(YEAR($AD423),MONTH($AD423)+1,MIN(INDEX(CARDS!$I$5:$I$34,MATCH($D423,CARDS!$A$5:$A$34,0)),DAY(EOMONTH($AD423,1)))))),""))</f>
        <v/>
      </c>
      <c r="U423" s="38" t="n"/>
      <c r="V423" s="37" t="n"/>
      <c r="W423" s="38" t="n"/>
      <c r="X423" s="38" t="n"/>
      <c r="Y423" s="44" t="str">
        <f>IF($AC423&gt;0,INDEX(CASHBACK_RULES!$A$5:$A$304,$AC423),"")</f>
        <v/>
      </c>
      <c r="Z423" s="45" t="str">
        <f>IF($AC423&gt;0,INDEX(CASHBACK_RULES!$E$5:$E$304,$AC423)&amp;"","")</f>
        <v/>
      </c>
      <c r="AA423" s="48" t="str">
        <f>IF($AC423&gt;0,IF(ISNUMBER(INDEX(CASHBACK_RULES!$K$5:$K$304,$AC423)),INDEX(CASHBACK_RULES!$K$5:$K$304,$AC423),"∞"),"")</f>
        <v/>
      </c>
      <c r="AB423" s="44" t="str">
        <f>IF(OR($B423="",$D423=""),"",IF($U423="Cancelled","Đã hủy",IF($AC423=0,"Không được hoàn",IF($Q423=0,IF(OR($O423&gt;0,$M423&lt;$L423),"Đã đạt cap","Không được hoàn"),IF(OR($Q423&lt;$O423,$M423&lt;$L423),"Hoàn một phần","Được hoàn")))))</f>
        <v/>
      </c>
      <c r="AC423" s="43">
        <f>IF(OR($B423="",$D423="",$I423="",$L423=""),0,IF($U423="Cancelled",0,IF($W423&lt;&gt;"",IFERROR(IF(INDEX(CASHBACK_RULES!$B$5:$B$304,MATCH($W423,CASHBACK_RULES!$A$5:$A$304,0))=$D423,MATCH($W423,CASHBACK_RULES!$A$5:$A$304,0),0),0),IFERROR(MATCH(1,INDEX((CASHBACK_RULES!$B$5:$B$304=$D423)*(CASHBACK_RULES!$G$5:$G$304=$I423)*(((CASHBACK_RULES!$N$5:$N$304="")+(CASHBACK_RULES!$N$5:$N$304&lt;=$B423))&gt;0)*(((CASHBACK_RULES!$O$5:$O$304="")+(CASHBACK_RULES!$O$5:$O$304&gt;=$B423))&gt;0)*(((CASHBACK_RULES!$M$5:$M$304="")+(CASHBACK_RULES!$M$5:$M$304&lt;=$L423))&gt;0),0),0),0))))</f>
        <v>0</v>
      </c>
      <c r="AD423" s="51" t="str">
        <f>IF(OR($B423="",$D423=""),"",IFERROR(IF(INDEX(CARDS!$H$5:$H$34,MATCH($D423,CARDS!$A$5:$A$34,0))="","",IF(DAY($B423)&lt;=INDEX(CARDS!$H$5:$H$34,MATCH($D423,CARDS!$A$5:$A$34,0)),DATE(YEAR($B423),MONTH($B423),MIN(INDEX(CARDS!$H$5:$H$34,MATCH($D423,CARDS!$A$5:$A$34,0)),DAY(EOMONTH($B423,0)))),DATE(YEAR($B423),MONTH($B423)+1,MIN(INDEX(CARDS!$H$5:$H$34,MATCH($D423,CARDS!$A$5:$A$34,0)),DAY(EOMONTH($B423,1)))))),""))</f>
        <v/>
      </c>
      <c r="AE423" s="52" t="str">
        <f>IF($C423="","",$C423&amp;"|"&amp;COUNTIF($C$5:$C423,$C423))</f>
        <v/>
      </c>
      <c r="AF423" s="53">
        <f>IF($AC423&gt;0,SUMIFS(Q$4:Q422,$D$4:$D422,$D423,$Z$4:$Z422,$Z423,$C$4:$C422,$C423),0)</f>
        <v>0</v>
      </c>
      <c r="AG423" s="53">
        <f>IF($AC423&gt;0,SUMIFS(Q$4:Q422,$D$4:$D422,$D423,$C$4:$C422,$C423),0)</f>
        <v>0</v>
      </c>
      <c r="AH423" s="53">
        <f>IF($AC423&gt;0,SUMIFS(M$4:M422,$D$4:$D422,$D423,$Z$4:$Z422,$Z423,$C$4:$C422,$C423),0)</f>
        <v>0</v>
      </c>
      <c r="AI423" s="43">
        <f>IF(OR($C423="",$I423=""),0,IF(COUNTIFS($C$5:$C423,$C423,$I$5:$I423,$I423)=1,1,0))</f>
        <v>0</v>
      </c>
      <c r="AJ423" s="43" t="str">
        <f>IF($AI423=1,SUMIFS($AI$4:$AI422,$C$4:$C422,$C423)+1,"")</f>
        <v/>
      </c>
      <c r="AK423" s="43">
        <f>IF(OR($C423="",$K423=""),0,IF(COUNTIFS($C$5:$C423,$C423,$K$5:$K423,$K423)=1,1,0))</f>
        <v>0</v>
      </c>
      <c r="AL423" s="43" t="str">
        <f>IF($AK423=1,SUMIFS($AK$4:$AK422,$C$4:$C422,$C423)+1,"")</f>
        <v/>
      </c>
      <c r="AM423" s="43">
        <f>IF(OR($C423="",$G423=""),0,IF(COUNTIFS($C$5:$C423,$C423,$G$5:$G423,$G423)=1,1,0))</f>
        <v>0</v>
      </c>
      <c r="AN423" s="43" t="str">
        <f>IF($AM423=1,SUMIFS($AM$4:$AM422,$C$4:$C422,$C423)+1,"")</f>
        <v/>
      </c>
    </row>
    <row r="424">
      <c r="A424" s="44" t="str">
        <f>IF(OR($B424="",$D424=""),"","TX"&amp;TEXT(ROW()-4,"0000"))</f>
        <v/>
      </c>
      <c r="B424" s="42" t="n"/>
      <c r="C424" s="47" t="str">
        <f>IF($B424="","",YEAR($B424)*100+MONTH($B424))</f>
        <v/>
      </c>
      <c r="D424" s="37" t="n"/>
      <c r="E424" s="45" t="str">
        <f>IF($D424="","",IFERROR(INDEX(CARDS!$B$5:$B$34,MATCH($D424,CARDS!$A$5:$A$34,0)),"⚠ Card ID?"))</f>
        <v/>
      </c>
      <c r="F424" s="45" t="str">
        <f>IF($D424="","",IFERROR(INDEX(CARDS!$C$5:$C$34,MATCH($D424,CARDS!$A$5:$A$34,0)),"⚠ Card ID?"))</f>
        <v/>
      </c>
      <c r="G424" s="37" t="n"/>
      <c r="H424" s="37" t="n"/>
      <c r="I424" s="41" t="n"/>
      <c r="J424" s="45" t="str">
        <f>IF($I424="","",IFERROR(INDEX(MCC_MASTER!$B$5:$B$504,MATCH($I424,MCC_MASTER!$A$5:$A$504,0)),"⚠ MCC chưa có"))</f>
        <v/>
      </c>
      <c r="K424" s="45" t="str">
        <f>IF($I424="","",IFERROR(IF(INDEX(MCC_MASTER!$C$5:$C$504,MATCH($I424,MCC_MASTER!$A$5:$A$504,0))="","Chưa phân loại",INDEX(MCC_MASTER!$C$5:$C$504,MATCH($I424,MCC_MASTER!$A$5:$A$504,0))),"Chưa phân loại"))</f>
        <v/>
      </c>
      <c r="L424" s="40" t="n"/>
      <c r="M424" s="48" t="str">
        <f>IF(OR($B424="",$D424=""),"",IF($AC424=0,0,IF(ISNUMBER(INDEX(CASHBACK_RULES!$L$5:$L$304,$AC424)),MAX(0,MIN($L424,INDEX(CASHBACK_RULES!$L$5:$L$304,$AC424)-$AH424)),MAX(0,$L424))))</f>
        <v/>
      </c>
      <c r="N424" s="49" t="str">
        <f>IF(OR($B424="",$D424=""),"",IF($AC424&gt;0,INDEX(CASHBACK_RULES!$I$5:$I$304,$AC424),0))</f>
        <v/>
      </c>
      <c r="O424" s="48" t="str">
        <f>IF(OR($B424="",$D424=""),"",ROUND($M424*$N424,0))</f>
        <v/>
      </c>
      <c r="P424" s="48" t="str">
        <f>IF($AC424&gt;0,IF(ISNUMBER(INDEX(CASHBACK_RULES!$J$5:$J$304,$AC424)),INDEX(CASHBACK_RULES!$J$5:$J$304,$AC424),"∞"),"")</f>
        <v/>
      </c>
      <c r="Q424" s="48" t="str">
        <f>IF(OR($B424="",$D424=""),"",IF($AC424=0,0,MAX(0,MIN($O424,IF(ISNUMBER($P424),$P424-$AF424,1E+15),IF(ISNUMBER($AA424),$AA424-$AG424,1E+15)))))</f>
        <v/>
      </c>
      <c r="R424" s="48" t="str">
        <f>IF(OR($B424="",$D424=""),"",IF($AC424=0,"",IF(AND(NOT(ISNUMBER($P424)),NOT(ISNUMBER($AA424))),"∞",MAX(0,MIN(IF(ISNUMBER($P424),$P424-$AF424-$Q424,1E+15),IF(ISNUMBER($AA424),$AA424-$AG424-$Q424,1E+15))))))</f>
        <v/>
      </c>
      <c r="S424" s="47" t="str">
        <f>IF($AD424="","",YEAR($AD424)*100+MONTH($AD424))</f>
        <v/>
      </c>
      <c r="T424" s="50" t="str">
        <f>IF($AD424="","",IFERROR(IF(INDEX(CARDS!$I$5:$I$34,MATCH($D424,CARDS!$A$5:$A$34,0))="","",IF(INDEX(CARDS!$I$5:$I$34,MATCH($D424,CARDS!$A$5:$A$34,0))&gt;INDEX(CARDS!$H$5:$H$34,MATCH($D424,CARDS!$A$5:$A$34,0)),DATE(YEAR($AD424),MONTH($AD424),MIN(INDEX(CARDS!$I$5:$I$34,MATCH($D424,CARDS!$A$5:$A$34,0)),DAY(EOMONTH($AD424,0)))),DATE(YEAR($AD424),MONTH($AD424)+1,MIN(INDEX(CARDS!$I$5:$I$34,MATCH($D424,CARDS!$A$5:$A$34,0)),DAY(EOMONTH($AD424,1)))))),""))</f>
        <v/>
      </c>
      <c r="U424" s="38" t="n"/>
      <c r="V424" s="37" t="n"/>
      <c r="W424" s="38" t="n"/>
      <c r="X424" s="38" t="n"/>
      <c r="Y424" s="44" t="str">
        <f>IF($AC424&gt;0,INDEX(CASHBACK_RULES!$A$5:$A$304,$AC424),"")</f>
        <v/>
      </c>
      <c r="Z424" s="45" t="str">
        <f>IF($AC424&gt;0,INDEX(CASHBACK_RULES!$E$5:$E$304,$AC424)&amp;"","")</f>
        <v/>
      </c>
      <c r="AA424" s="48" t="str">
        <f>IF($AC424&gt;0,IF(ISNUMBER(INDEX(CASHBACK_RULES!$K$5:$K$304,$AC424)),INDEX(CASHBACK_RULES!$K$5:$K$304,$AC424),"∞"),"")</f>
        <v/>
      </c>
      <c r="AB424" s="44" t="str">
        <f>IF(OR($B424="",$D424=""),"",IF($U424="Cancelled","Đã hủy",IF($AC424=0,"Không được hoàn",IF($Q424=0,IF(OR($O424&gt;0,$M424&lt;$L424),"Đã đạt cap","Không được hoàn"),IF(OR($Q424&lt;$O424,$M424&lt;$L424),"Hoàn một phần","Được hoàn")))))</f>
        <v/>
      </c>
      <c r="AC424" s="43">
        <f>IF(OR($B424="",$D424="",$I424="",$L424=""),0,IF($U424="Cancelled",0,IF($W424&lt;&gt;"",IFERROR(IF(INDEX(CASHBACK_RULES!$B$5:$B$304,MATCH($W424,CASHBACK_RULES!$A$5:$A$304,0))=$D424,MATCH($W424,CASHBACK_RULES!$A$5:$A$304,0),0),0),IFERROR(MATCH(1,INDEX((CASHBACK_RULES!$B$5:$B$304=$D424)*(CASHBACK_RULES!$G$5:$G$304=$I424)*(((CASHBACK_RULES!$N$5:$N$304="")+(CASHBACK_RULES!$N$5:$N$304&lt;=$B424))&gt;0)*(((CASHBACK_RULES!$O$5:$O$304="")+(CASHBACK_RULES!$O$5:$O$304&gt;=$B424))&gt;0)*(((CASHBACK_RULES!$M$5:$M$304="")+(CASHBACK_RULES!$M$5:$M$304&lt;=$L424))&gt;0),0),0),0))))</f>
        <v>0</v>
      </c>
      <c r="AD424" s="51" t="str">
        <f>IF(OR($B424="",$D424=""),"",IFERROR(IF(INDEX(CARDS!$H$5:$H$34,MATCH($D424,CARDS!$A$5:$A$34,0))="","",IF(DAY($B424)&lt;=INDEX(CARDS!$H$5:$H$34,MATCH($D424,CARDS!$A$5:$A$34,0)),DATE(YEAR($B424),MONTH($B424),MIN(INDEX(CARDS!$H$5:$H$34,MATCH($D424,CARDS!$A$5:$A$34,0)),DAY(EOMONTH($B424,0)))),DATE(YEAR($B424),MONTH($B424)+1,MIN(INDEX(CARDS!$H$5:$H$34,MATCH($D424,CARDS!$A$5:$A$34,0)),DAY(EOMONTH($B424,1)))))),""))</f>
        <v/>
      </c>
      <c r="AE424" s="52" t="str">
        <f>IF($C424="","",$C424&amp;"|"&amp;COUNTIF($C$5:$C424,$C424))</f>
        <v/>
      </c>
      <c r="AF424" s="53">
        <f>IF($AC424&gt;0,SUMIFS(Q$4:Q423,$D$4:$D423,$D424,$Z$4:$Z423,$Z424,$C$4:$C423,$C424),0)</f>
        <v>0</v>
      </c>
      <c r="AG424" s="53">
        <f>IF($AC424&gt;0,SUMIFS(Q$4:Q423,$D$4:$D423,$D424,$C$4:$C423,$C424),0)</f>
        <v>0</v>
      </c>
      <c r="AH424" s="53">
        <f>IF($AC424&gt;0,SUMIFS(M$4:M423,$D$4:$D423,$D424,$Z$4:$Z423,$Z424,$C$4:$C423,$C424),0)</f>
        <v>0</v>
      </c>
      <c r="AI424" s="43">
        <f>IF(OR($C424="",$I424=""),0,IF(COUNTIFS($C$5:$C424,$C424,$I$5:$I424,$I424)=1,1,0))</f>
        <v>0</v>
      </c>
      <c r="AJ424" s="43" t="str">
        <f>IF($AI424=1,SUMIFS($AI$4:$AI423,$C$4:$C423,$C424)+1,"")</f>
        <v/>
      </c>
      <c r="AK424" s="43">
        <f>IF(OR($C424="",$K424=""),0,IF(COUNTIFS($C$5:$C424,$C424,$K$5:$K424,$K424)=1,1,0))</f>
        <v>0</v>
      </c>
      <c r="AL424" s="43" t="str">
        <f>IF($AK424=1,SUMIFS($AK$4:$AK423,$C$4:$C423,$C424)+1,"")</f>
        <v/>
      </c>
      <c r="AM424" s="43">
        <f>IF(OR($C424="",$G424=""),0,IF(COUNTIFS($C$5:$C424,$C424,$G$5:$G424,$G424)=1,1,0))</f>
        <v>0</v>
      </c>
      <c r="AN424" s="43" t="str">
        <f>IF($AM424=1,SUMIFS($AM$4:$AM423,$C$4:$C423,$C424)+1,"")</f>
        <v/>
      </c>
    </row>
    <row r="425">
      <c r="A425" s="44" t="str">
        <f>IF(OR($B425="",$D425=""),"","TX"&amp;TEXT(ROW()-4,"0000"))</f>
        <v/>
      </c>
      <c r="B425" s="42" t="n"/>
      <c r="C425" s="47" t="str">
        <f>IF($B425="","",YEAR($B425)*100+MONTH($B425))</f>
        <v/>
      </c>
      <c r="D425" s="37" t="n"/>
      <c r="E425" s="45" t="str">
        <f>IF($D425="","",IFERROR(INDEX(CARDS!$B$5:$B$34,MATCH($D425,CARDS!$A$5:$A$34,0)),"⚠ Card ID?"))</f>
        <v/>
      </c>
      <c r="F425" s="45" t="str">
        <f>IF($D425="","",IFERROR(INDEX(CARDS!$C$5:$C$34,MATCH($D425,CARDS!$A$5:$A$34,0)),"⚠ Card ID?"))</f>
        <v/>
      </c>
      <c r="G425" s="37" t="n"/>
      <c r="H425" s="37" t="n"/>
      <c r="I425" s="41" t="n"/>
      <c r="J425" s="45" t="str">
        <f>IF($I425="","",IFERROR(INDEX(MCC_MASTER!$B$5:$B$504,MATCH($I425,MCC_MASTER!$A$5:$A$504,0)),"⚠ MCC chưa có"))</f>
        <v/>
      </c>
      <c r="K425" s="45" t="str">
        <f>IF($I425="","",IFERROR(IF(INDEX(MCC_MASTER!$C$5:$C$504,MATCH($I425,MCC_MASTER!$A$5:$A$504,0))="","Chưa phân loại",INDEX(MCC_MASTER!$C$5:$C$504,MATCH($I425,MCC_MASTER!$A$5:$A$504,0))),"Chưa phân loại"))</f>
        <v/>
      </c>
      <c r="L425" s="40" t="n"/>
      <c r="M425" s="48" t="str">
        <f>IF(OR($B425="",$D425=""),"",IF($AC425=0,0,IF(ISNUMBER(INDEX(CASHBACK_RULES!$L$5:$L$304,$AC425)),MAX(0,MIN($L425,INDEX(CASHBACK_RULES!$L$5:$L$304,$AC425)-$AH425)),MAX(0,$L425))))</f>
        <v/>
      </c>
      <c r="N425" s="49" t="str">
        <f>IF(OR($B425="",$D425=""),"",IF($AC425&gt;0,INDEX(CASHBACK_RULES!$I$5:$I$304,$AC425),0))</f>
        <v/>
      </c>
      <c r="O425" s="48" t="str">
        <f>IF(OR($B425="",$D425=""),"",ROUND($M425*$N425,0))</f>
        <v/>
      </c>
      <c r="P425" s="48" t="str">
        <f>IF($AC425&gt;0,IF(ISNUMBER(INDEX(CASHBACK_RULES!$J$5:$J$304,$AC425)),INDEX(CASHBACK_RULES!$J$5:$J$304,$AC425),"∞"),"")</f>
        <v/>
      </c>
      <c r="Q425" s="48" t="str">
        <f>IF(OR($B425="",$D425=""),"",IF($AC425=0,0,MAX(0,MIN($O425,IF(ISNUMBER($P425),$P425-$AF425,1E+15),IF(ISNUMBER($AA425),$AA425-$AG425,1E+15)))))</f>
        <v/>
      </c>
      <c r="R425" s="48" t="str">
        <f>IF(OR($B425="",$D425=""),"",IF($AC425=0,"",IF(AND(NOT(ISNUMBER($P425)),NOT(ISNUMBER($AA425))),"∞",MAX(0,MIN(IF(ISNUMBER($P425),$P425-$AF425-$Q425,1E+15),IF(ISNUMBER($AA425),$AA425-$AG425-$Q425,1E+15))))))</f>
        <v/>
      </c>
      <c r="S425" s="47" t="str">
        <f>IF($AD425="","",YEAR($AD425)*100+MONTH($AD425))</f>
        <v/>
      </c>
      <c r="T425" s="50" t="str">
        <f>IF($AD425="","",IFERROR(IF(INDEX(CARDS!$I$5:$I$34,MATCH($D425,CARDS!$A$5:$A$34,0))="","",IF(INDEX(CARDS!$I$5:$I$34,MATCH($D425,CARDS!$A$5:$A$34,0))&gt;INDEX(CARDS!$H$5:$H$34,MATCH($D425,CARDS!$A$5:$A$34,0)),DATE(YEAR($AD425),MONTH($AD425),MIN(INDEX(CARDS!$I$5:$I$34,MATCH($D425,CARDS!$A$5:$A$34,0)),DAY(EOMONTH($AD425,0)))),DATE(YEAR($AD425),MONTH($AD425)+1,MIN(INDEX(CARDS!$I$5:$I$34,MATCH($D425,CARDS!$A$5:$A$34,0)),DAY(EOMONTH($AD425,1)))))),""))</f>
        <v/>
      </c>
      <c r="U425" s="38" t="n"/>
      <c r="V425" s="37" t="n"/>
      <c r="W425" s="38" t="n"/>
      <c r="X425" s="38" t="n"/>
      <c r="Y425" s="44" t="str">
        <f>IF($AC425&gt;0,INDEX(CASHBACK_RULES!$A$5:$A$304,$AC425),"")</f>
        <v/>
      </c>
      <c r="Z425" s="45" t="str">
        <f>IF($AC425&gt;0,INDEX(CASHBACK_RULES!$E$5:$E$304,$AC425)&amp;"","")</f>
        <v/>
      </c>
      <c r="AA425" s="48" t="str">
        <f>IF($AC425&gt;0,IF(ISNUMBER(INDEX(CASHBACK_RULES!$K$5:$K$304,$AC425)),INDEX(CASHBACK_RULES!$K$5:$K$304,$AC425),"∞"),"")</f>
        <v/>
      </c>
      <c r="AB425" s="44" t="str">
        <f>IF(OR($B425="",$D425=""),"",IF($U425="Cancelled","Đã hủy",IF($AC425=0,"Không được hoàn",IF($Q425=0,IF(OR($O425&gt;0,$M425&lt;$L425),"Đã đạt cap","Không được hoàn"),IF(OR($Q425&lt;$O425,$M425&lt;$L425),"Hoàn một phần","Được hoàn")))))</f>
        <v/>
      </c>
      <c r="AC425" s="43">
        <f>IF(OR($B425="",$D425="",$I425="",$L425=""),0,IF($U425="Cancelled",0,IF($W425&lt;&gt;"",IFERROR(IF(INDEX(CASHBACK_RULES!$B$5:$B$304,MATCH($W425,CASHBACK_RULES!$A$5:$A$304,0))=$D425,MATCH($W425,CASHBACK_RULES!$A$5:$A$304,0),0),0),IFERROR(MATCH(1,INDEX((CASHBACK_RULES!$B$5:$B$304=$D425)*(CASHBACK_RULES!$G$5:$G$304=$I425)*(((CASHBACK_RULES!$N$5:$N$304="")+(CASHBACK_RULES!$N$5:$N$304&lt;=$B425))&gt;0)*(((CASHBACK_RULES!$O$5:$O$304="")+(CASHBACK_RULES!$O$5:$O$304&gt;=$B425))&gt;0)*(((CASHBACK_RULES!$M$5:$M$304="")+(CASHBACK_RULES!$M$5:$M$304&lt;=$L425))&gt;0),0),0),0))))</f>
        <v>0</v>
      </c>
      <c r="AD425" s="51" t="str">
        <f>IF(OR($B425="",$D425=""),"",IFERROR(IF(INDEX(CARDS!$H$5:$H$34,MATCH($D425,CARDS!$A$5:$A$34,0))="","",IF(DAY($B425)&lt;=INDEX(CARDS!$H$5:$H$34,MATCH($D425,CARDS!$A$5:$A$34,0)),DATE(YEAR($B425),MONTH($B425),MIN(INDEX(CARDS!$H$5:$H$34,MATCH($D425,CARDS!$A$5:$A$34,0)),DAY(EOMONTH($B425,0)))),DATE(YEAR($B425),MONTH($B425)+1,MIN(INDEX(CARDS!$H$5:$H$34,MATCH($D425,CARDS!$A$5:$A$34,0)),DAY(EOMONTH($B425,1)))))),""))</f>
        <v/>
      </c>
      <c r="AE425" s="52" t="str">
        <f>IF($C425="","",$C425&amp;"|"&amp;COUNTIF($C$5:$C425,$C425))</f>
        <v/>
      </c>
      <c r="AF425" s="53">
        <f>IF($AC425&gt;0,SUMIFS(Q$4:Q424,$D$4:$D424,$D425,$Z$4:$Z424,$Z425,$C$4:$C424,$C425),0)</f>
        <v>0</v>
      </c>
      <c r="AG425" s="53">
        <f>IF($AC425&gt;0,SUMIFS(Q$4:Q424,$D$4:$D424,$D425,$C$4:$C424,$C425),0)</f>
        <v>0</v>
      </c>
      <c r="AH425" s="53">
        <f>IF($AC425&gt;0,SUMIFS(M$4:M424,$D$4:$D424,$D425,$Z$4:$Z424,$Z425,$C$4:$C424,$C425),0)</f>
        <v>0</v>
      </c>
      <c r="AI425" s="43">
        <f>IF(OR($C425="",$I425=""),0,IF(COUNTIFS($C$5:$C425,$C425,$I$5:$I425,$I425)=1,1,0))</f>
        <v>0</v>
      </c>
      <c r="AJ425" s="43" t="str">
        <f>IF($AI425=1,SUMIFS($AI$4:$AI424,$C$4:$C424,$C425)+1,"")</f>
        <v/>
      </c>
      <c r="AK425" s="43">
        <f>IF(OR($C425="",$K425=""),0,IF(COUNTIFS($C$5:$C425,$C425,$K$5:$K425,$K425)=1,1,0))</f>
        <v>0</v>
      </c>
      <c r="AL425" s="43" t="str">
        <f>IF($AK425=1,SUMIFS($AK$4:$AK424,$C$4:$C424,$C425)+1,"")</f>
        <v/>
      </c>
      <c r="AM425" s="43">
        <f>IF(OR($C425="",$G425=""),0,IF(COUNTIFS($C$5:$C425,$C425,$G$5:$G425,$G425)=1,1,0))</f>
        <v>0</v>
      </c>
      <c r="AN425" s="43" t="str">
        <f>IF($AM425=1,SUMIFS($AM$4:$AM424,$C$4:$C424,$C425)+1,"")</f>
        <v/>
      </c>
    </row>
    <row r="426">
      <c r="A426" s="44" t="str">
        <f>IF(OR($B426="",$D426=""),"","TX"&amp;TEXT(ROW()-4,"0000"))</f>
        <v/>
      </c>
      <c r="B426" s="42" t="n"/>
      <c r="C426" s="47" t="str">
        <f>IF($B426="","",YEAR($B426)*100+MONTH($B426))</f>
        <v/>
      </c>
      <c r="D426" s="37" t="n"/>
      <c r="E426" s="45" t="str">
        <f>IF($D426="","",IFERROR(INDEX(CARDS!$B$5:$B$34,MATCH($D426,CARDS!$A$5:$A$34,0)),"⚠ Card ID?"))</f>
        <v/>
      </c>
      <c r="F426" s="45" t="str">
        <f>IF($D426="","",IFERROR(INDEX(CARDS!$C$5:$C$34,MATCH($D426,CARDS!$A$5:$A$34,0)),"⚠ Card ID?"))</f>
        <v/>
      </c>
      <c r="G426" s="37" t="n"/>
      <c r="H426" s="37" t="n"/>
      <c r="I426" s="41" t="n"/>
      <c r="J426" s="45" t="str">
        <f>IF($I426="","",IFERROR(INDEX(MCC_MASTER!$B$5:$B$504,MATCH($I426,MCC_MASTER!$A$5:$A$504,0)),"⚠ MCC chưa có"))</f>
        <v/>
      </c>
      <c r="K426" s="45" t="str">
        <f>IF($I426="","",IFERROR(IF(INDEX(MCC_MASTER!$C$5:$C$504,MATCH($I426,MCC_MASTER!$A$5:$A$504,0))="","Chưa phân loại",INDEX(MCC_MASTER!$C$5:$C$504,MATCH($I426,MCC_MASTER!$A$5:$A$504,0))),"Chưa phân loại"))</f>
        <v/>
      </c>
      <c r="L426" s="40" t="n"/>
      <c r="M426" s="48" t="str">
        <f>IF(OR($B426="",$D426=""),"",IF($AC426=0,0,IF(ISNUMBER(INDEX(CASHBACK_RULES!$L$5:$L$304,$AC426)),MAX(0,MIN($L426,INDEX(CASHBACK_RULES!$L$5:$L$304,$AC426)-$AH426)),MAX(0,$L426))))</f>
        <v/>
      </c>
      <c r="N426" s="49" t="str">
        <f>IF(OR($B426="",$D426=""),"",IF($AC426&gt;0,INDEX(CASHBACK_RULES!$I$5:$I$304,$AC426),0))</f>
        <v/>
      </c>
      <c r="O426" s="48" t="str">
        <f>IF(OR($B426="",$D426=""),"",ROUND($M426*$N426,0))</f>
        <v/>
      </c>
      <c r="P426" s="48" t="str">
        <f>IF($AC426&gt;0,IF(ISNUMBER(INDEX(CASHBACK_RULES!$J$5:$J$304,$AC426)),INDEX(CASHBACK_RULES!$J$5:$J$304,$AC426),"∞"),"")</f>
        <v/>
      </c>
      <c r="Q426" s="48" t="str">
        <f>IF(OR($B426="",$D426=""),"",IF($AC426=0,0,MAX(0,MIN($O426,IF(ISNUMBER($P426),$P426-$AF426,1E+15),IF(ISNUMBER($AA426),$AA426-$AG426,1E+15)))))</f>
        <v/>
      </c>
      <c r="R426" s="48" t="str">
        <f>IF(OR($B426="",$D426=""),"",IF($AC426=0,"",IF(AND(NOT(ISNUMBER($P426)),NOT(ISNUMBER($AA426))),"∞",MAX(0,MIN(IF(ISNUMBER($P426),$P426-$AF426-$Q426,1E+15),IF(ISNUMBER($AA426),$AA426-$AG426-$Q426,1E+15))))))</f>
        <v/>
      </c>
      <c r="S426" s="47" t="str">
        <f>IF($AD426="","",YEAR($AD426)*100+MONTH($AD426))</f>
        <v/>
      </c>
      <c r="T426" s="50" t="str">
        <f>IF($AD426="","",IFERROR(IF(INDEX(CARDS!$I$5:$I$34,MATCH($D426,CARDS!$A$5:$A$34,0))="","",IF(INDEX(CARDS!$I$5:$I$34,MATCH($D426,CARDS!$A$5:$A$34,0))&gt;INDEX(CARDS!$H$5:$H$34,MATCH($D426,CARDS!$A$5:$A$34,0)),DATE(YEAR($AD426),MONTH($AD426),MIN(INDEX(CARDS!$I$5:$I$34,MATCH($D426,CARDS!$A$5:$A$34,0)),DAY(EOMONTH($AD426,0)))),DATE(YEAR($AD426),MONTH($AD426)+1,MIN(INDEX(CARDS!$I$5:$I$34,MATCH($D426,CARDS!$A$5:$A$34,0)),DAY(EOMONTH($AD426,1)))))),""))</f>
        <v/>
      </c>
      <c r="U426" s="38" t="n"/>
      <c r="V426" s="37" t="n"/>
      <c r="W426" s="38" t="n"/>
      <c r="X426" s="38" t="n"/>
      <c r="Y426" s="44" t="str">
        <f>IF($AC426&gt;0,INDEX(CASHBACK_RULES!$A$5:$A$304,$AC426),"")</f>
        <v/>
      </c>
      <c r="Z426" s="45" t="str">
        <f>IF($AC426&gt;0,INDEX(CASHBACK_RULES!$E$5:$E$304,$AC426)&amp;"","")</f>
        <v/>
      </c>
      <c r="AA426" s="48" t="str">
        <f>IF($AC426&gt;0,IF(ISNUMBER(INDEX(CASHBACK_RULES!$K$5:$K$304,$AC426)),INDEX(CASHBACK_RULES!$K$5:$K$304,$AC426),"∞"),"")</f>
        <v/>
      </c>
      <c r="AB426" s="44" t="str">
        <f>IF(OR($B426="",$D426=""),"",IF($U426="Cancelled","Đã hủy",IF($AC426=0,"Không được hoàn",IF($Q426=0,IF(OR($O426&gt;0,$M426&lt;$L426),"Đã đạt cap","Không được hoàn"),IF(OR($Q426&lt;$O426,$M426&lt;$L426),"Hoàn một phần","Được hoàn")))))</f>
        <v/>
      </c>
      <c r="AC426" s="43">
        <f>IF(OR($B426="",$D426="",$I426="",$L426=""),0,IF($U426="Cancelled",0,IF($W426&lt;&gt;"",IFERROR(IF(INDEX(CASHBACK_RULES!$B$5:$B$304,MATCH($W426,CASHBACK_RULES!$A$5:$A$304,0))=$D426,MATCH($W426,CASHBACK_RULES!$A$5:$A$304,0),0),0),IFERROR(MATCH(1,INDEX((CASHBACK_RULES!$B$5:$B$304=$D426)*(CASHBACK_RULES!$G$5:$G$304=$I426)*(((CASHBACK_RULES!$N$5:$N$304="")+(CASHBACK_RULES!$N$5:$N$304&lt;=$B426))&gt;0)*(((CASHBACK_RULES!$O$5:$O$304="")+(CASHBACK_RULES!$O$5:$O$304&gt;=$B426))&gt;0)*(((CASHBACK_RULES!$M$5:$M$304="")+(CASHBACK_RULES!$M$5:$M$304&lt;=$L426))&gt;0),0),0),0))))</f>
        <v>0</v>
      </c>
      <c r="AD426" s="51" t="str">
        <f>IF(OR($B426="",$D426=""),"",IFERROR(IF(INDEX(CARDS!$H$5:$H$34,MATCH($D426,CARDS!$A$5:$A$34,0))="","",IF(DAY($B426)&lt;=INDEX(CARDS!$H$5:$H$34,MATCH($D426,CARDS!$A$5:$A$34,0)),DATE(YEAR($B426),MONTH($B426),MIN(INDEX(CARDS!$H$5:$H$34,MATCH($D426,CARDS!$A$5:$A$34,0)),DAY(EOMONTH($B426,0)))),DATE(YEAR($B426),MONTH($B426)+1,MIN(INDEX(CARDS!$H$5:$H$34,MATCH($D426,CARDS!$A$5:$A$34,0)),DAY(EOMONTH($B426,1)))))),""))</f>
        <v/>
      </c>
      <c r="AE426" s="52" t="str">
        <f>IF($C426="","",$C426&amp;"|"&amp;COUNTIF($C$5:$C426,$C426))</f>
        <v/>
      </c>
      <c r="AF426" s="53">
        <f>IF($AC426&gt;0,SUMIFS(Q$4:Q425,$D$4:$D425,$D426,$Z$4:$Z425,$Z426,$C$4:$C425,$C426),0)</f>
        <v>0</v>
      </c>
      <c r="AG426" s="53">
        <f>IF($AC426&gt;0,SUMIFS(Q$4:Q425,$D$4:$D425,$D426,$C$4:$C425,$C426),0)</f>
        <v>0</v>
      </c>
      <c r="AH426" s="53">
        <f>IF($AC426&gt;0,SUMIFS(M$4:M425,$D$4:$D425,$D426,$Z$4:$Z425,$Z426,$C$4:$C425,$C426),0)</f>
        <v>0</v>
      </c>
      <c r="AI426" s="43">
        <f>IF(OR($C426="",$I426=""),0,IF(COUNTIFS($C$5:$C426,$C426,$I$5:$I426,$I426)=1,1,0))</f>
        <v>0</v>
      </c>
      <c r="AJ426" s="43" t="str">
        <f>IF($AI426=1,SUMIFS($AI$4:$AI425,$C$4:$C425,$C426)+1,"")</f>
        <v/>
      </c>
      <c r="AK426" s="43">
        <f>IF(OR($C426="",$K426=""),0,IF(COUNTIFS($C$5:$C426,$C426,$K$5:$K426,$K426)=1,1,0))</f>
        <v>0</v>
      </c>
      <c r="AL426" s="43" t="str">
        <f>IF($AK426=1,SUMIFS($AK$4:$AK425,$C$4:$C425,$C426)+1,"")</f>
        <v/>
      </c>
      <c r="AM426" s="43">
        <f>IF(OR($C426="",$G426=""),0,IF(COUNTIFS($C$5:$C426,$C426,$G$5:$G426,$G426)=1,1,0))</f>
        <v>0</v>
      </c>
      <c r="AN426" s="43" t="str">
        <f>IF($AM426=1,SUMIFS($AM$4:$AM425,$C$4:$C425,$C426)+1,"")</f>
        <v/>
      </c>
    </row>
    <row r="427">
      <c r="A427" s="44" t="str">
        <f>IF(OR($B427="",$D427=""),"","TX"&amp;TEXT(ROW()-4,"0000"))</f>
        <v/>
      </c>
      <c r="B427" s="42" t="n"/>
      <c r="C427" s="47" t="str">
        <f>IF($B427="","",YEAR($B427)*100+MONTH($B427))</f>
        <v/>
      </c>
      <c r="D427" s="37" t="n"/>
      <c r="E427" s="45" t="str">
        <f>IF($D427="","",IFERROR(INDEX(CARDS!$B$5:$B$34,MATCH($D427,CARDS!$A$5:$A$34,0)),"⚠ Card ID?"))</f>
        <v/>
      </c>
      <c r="F427" s="45" t="str">
        <f>IF($D427="","",IFERROR(INDEX(CARDS!$C$5:$C$34,MATCH($D427,CARDS!$A$5:$A$34,0)),"⚠ Card ID?"))</f>
        <v/>
      </c>
      <c r="G427" s="37" t="n"/>
      <c r="H427" s="37" t="n"/>
      <c r="I427" s="41" t="n"/>
      <c r="J427" s="45" t="str">
        <f>IF($I427="","",IFERROR(INDEX(MCC_MASTER!$B$5:$B$504,MATCH($I427,MCC_MASTER!$A$5:$A$504,0)),"⚠ MCC chưa có"))</f>
        <v/>
      </c>
      <c r="K427" s="45" t="str">
        <f>IF($I427="","",IFERROR(IF(INDEX(MCC_MASTER!$C$5:$C$504,MATCH($I427,MCC_MASTER!$A$5:$A$504,0))="","Chưa phân loại",INDEX(MCC_MASTER!$C$5:$C$504,MATCH($I427,MCC_MASTER!$A$5:$A$504,0))),"Chưa phân loại"))</f>
        <v/>
      </c>
      <c r="L427" s="40" t="n"/>
      <c r="M427" s="48" t="str">
        <f>IF(OR($B427="",$D427=""),"",IF($AC427=0,0,IF(ISNUMBER(INDEX(CASHBACK_RULES!$L$5:$L$304,$AC427)),MAX(0,MIN($L427,INDEX(CASHBACK_RULES!$L$5:$L$304,$AC427)-$AH427)),MAX(0,$L427))))</f>
        <v/>
      </c>
      <c r="N427" s="49" t="str">
        <f>IF(OR($B427="",$D427=""),"",IF($AC427&gt;0,INDEX(CASHBACK_RULES!$I$5:$I$304,$AC427),0))</f>
        <v/>
      </c>
      <c r="O427" s="48" t="str">
        <f>IF(OR($B427="",$D427=""),"",ROUND($M427*$N427,0))</f>
        <v/>
      </c>
      <c r="P427" s="48" t="str">
        <f>IF($AC427&gt;0,IF(ISNUMBER(INDEX(CASHBACK_RULES!$J$5:$J$304,$AC427)),INDEX(CASHBACK_RULES!$J$5:$J$304,$AC427),"∞"),"")</f>
        <v/>
      </c>
      <c r="Q427" s="48" t="str">
        <f>IF(OR($B427="",$D427=""),"",IF($AC427=0,0,MAX(0,MIN($O427,IF(ISNUMBER($P427),$P427-$AF427,1E+15),IF(ISNUMBER($AA427),$AA427-$AG427,1E+15)))))</f>
        <v/>
      </c>
      <c r="R427" s="48" t="str">
        <f>IF(OR($B427="",$D427=""),"",IF($AC427=0,"",IF(AND(NOT(ISNUMBER($P427)),NOT(ISNUMBER($AA427))),"∞",MAX(0,MIN(IF(ISNUMBER($P427),$P427-$AF427-$Q427,1E+15),IF(ISNUMBER($AA427),$AA427-$AG427-$Q427,1E+15))))))</f>
        <v/>
      </c>
      <c r="S427" s="47" t="str">
        <f>IF($AD427="","",YEAR($AD427)*100+MONTH($AD427))</f>
        <v/>
      </c>
      <c r="T427" s="50" t="str">
        <f>IF($AD427="","",IFERROR(IF(INDEX(CARDS!$I$5:$I$34,MATCH($D427,CARDS!$A$5:$A$34,0))="","",IF(INDEX(CARDS!$I$5:$I$34,MATCH($D427,CARDS!$A$5:$A$34,0))&gt;INDEX(CARDS!$H$5:$H$34,MATCH($D427,CARDS!$A$5:$A$34,0)),DATE(YEAR($AD427),MONTH($AD427),MIN(INDEX(CARDS!$I$5:$I$34,MATCH($D427,CARDS!$A$5:$A$34,0)),DAY(EOMONTH($AD427,0)))),DATE(YEAR($AD427),MONTH($AD427)+1,MIN(INDEX(CARDS!$I$5:$I$34,MATCH($D427,CARDS!$A$5:$A$34,0)),DAY(EOMONTH($AD427,1)))))),""))</f>
        <v/>
      </c>
      <c r="U427" s="38" t="n"/>
      <c r="V427" s="37" t="n"/>
      <c r="W427" s="38" t="n"/>
      <c r="X427" s="38" t="n"/>
      <c r="Y427" s="44" t="str">
        <f>IF($AC427&gt;0,INDEX(CASHBACK_RULES!$A$5:$A$304,$AC427),"")</f>
        <v/>
      </c>
      <c r="Z427" s="45" t="str">
        <f>IF($AC427&gt;0,INDEX(CASHBACK_RULES!$E$5:$E$304,$AC427)&amp;"","")</f>
        <v/>
      </c>
      <c r="AA427" s="48" t="str">
        <f>IF($AC427&gt;0,IF(ISNUMBER(INDEX(CASHBACK_RULES!$K$5:$K$304,$AC427)),INDEX(CASHBACK_RULES!$K$5:$K$304,$AC427),"∞"),"")</f>
        <v/>
      </c>
      <c r="AB427" s="44" t="str">
        <f>IF(OR($B427="",$D427=""),"",IF($U427="Cancelled","Đã hủy",IF($AC427=0,"Không được hoàn",IF($Q427=0,IF(OR($O427&gt;0,$M427&lt;$L427),"Đã đạt cap","Không được hoàn"),IF(OR($Q427&lt;$O427,$M427&lt;$L427),"Hoàn một phần","Được hoàn")))))</f>
        <v/>
      </c>
      <c r="AC427" s="43">
        <f>IF(OR($B427="",$D427="",$I427="",$L427=""),0,IF($U427="Cancelled",0,IF($W427&lt;&gt;"",IFERROR(IF(INDEX(CASHBACK_RULES!$B$5:$B$304,MATCH($W427,CASHBACK_RULES!$A$5:$A$304,0))=$D427,MATCH($W427,CASHBACK_RULES!$A$5:$A$304,0),0),0),IFERROR(MATCH(1,INDEX((CASHBACK_RULES!$B$5:$B$304=$D427)*(CASHBACK_RULES!$G$5:$G$304=$I427)*(((CASHBACK_RULES!$N$5:$N$304="")+(CASHBACK_RULES!$N$5:$N$304&lt;=$B427))&gt;0)*(((CASHBACK_RULES!$O$5:$O$304="")+(CASHBACK_RULES!$O$5:$O$304&gt;=$B427))&gt;0)*(((CASHBACK_RULES!$M$5:$M$304="")+(CASHBACK_RULES!$M$5:$M$304&lt;=$L427))&gt;0),0),0),0))))</f>
        <v>0</v>
      </c>
      <c r="AD427" s="51" t="str">
        <f>IF(OR($B427="",$D427=""),"",IFERROR(IF(INDEX(CARDS!$H$5:$H$34,MATCH($D427,CARDS!$A$5:$A$34,0))="","",IF(DAY($B427)&lt;=INDEX(CARDS!$H$5:$H$34,MATCH($D427,CARDS!$A$5:$A$34,0)),DATE(YEAR($B427),MONTH($B427),MIN(INDEX(CARDS!$H$5:$H$34,MATCH($D427,CARDS!$A$5:$A$34,0)),DAY(EOMONTH($B427,0)))),DATE(YEAR($B427),MONTH($B427)+1,MIN(INDEX(CARDS!$H$5:$H$34,MATCH($D427,CARDS!$A$5:$A$34,0)),DAY(EOMONTH($B427,1)))))),""))</f>
        <v/>
      </c>
      <c r="AE427" s="52" t="str">
        <f>IF($C427="","",$C427&amp;"|"&amp;COUNTIF($C$5:$C427,$C427))</f>
        <v/>
      </c>
      <c r="AF427" s="53">
        <f>IF($AC427&gt;0,SUMIFS(Q$4:Q426,$D$4:$D426,$D427,$Z$4:$Z426,$Z427,$C$4:$C426,$C427),0)</f>
        <v>0</v>
      </c>
      <c r="AG427" s="53">
        <f>IF($AC427&gt;0,SUMIFS(Q$4:Q426,$D$4:$D426,$D427,$C$4:$C426,$C427),0)</f>
        <v>0</v>
      </c>
      <c r="AH427" s="53">
        <f>IF($AC427&gt;0,SUMIFS(M$4:M426,$D$4:$D426,$D427,$Z$4:$Z426,$Z427,$C$4:$C426,$C427),0)</f>
        <v>0</v>
      </c>
      <c r="AI427" s="43">
        <f>IF(OR($C427="",$I427=""),0,IF(COUNTIFS($C$5:$C427,$C427,$I$5:$I427,$I427)=1,1,0))</f>
        <v>0</v>
      </c>
      <c r="AJ427" s="43" t="str">
        <f>IF($AI427=1,SUMIFS($AI$4:$AI426,$C$4:$C426,$C427)+1,"")</f>
        <v/>
      </c>
      <c r="AK427" s="43">
        <f>IF(OR($C427="",$K427=""),0,IF(COUNTIFS($C$5:$C427,$C427,$K$5:$K427,$K427)=1,1,0))</f>
        <v>0</v>
      </c>
      <c r="AL427" s="43" t="str">
        <f>IF($AK427=1,SUMIFS($AK$4:$AK426,$C$4:$C426,$C427)+1,"")</f>
        <v/>
      </c>
      <c r="AM427" s="43">
        <f>IF(OR($C427="",$G427=""),0,IF(COUNTIFS($C$5:$C427,$C427,$G$5:$G427,$G427)=1,1,0))</f>
        <v>0</v>
      </c>
      <c r="AN427" s="43" t="str">
        <f>IF($AM427=1,SUMIFS($AM$4:$AM426,$C$4:$C426,$C427)+1,"")</f>
        <v/>
      </c>
    </row>
    <row r="428">
      <c r="A428" s="44" t="str">
        <f>IF(OR($B428="",$D428=""),"","TX"&amp;TEXT(ROW()-4,"0000"))</f>
        <v/>
      </c>
      <c r="B428" s="42" t="n"/>
      <c r="C428" s="47" t="str">
        <f>IF($B428="","",YEAR($B428)*100+MONTH($B428))</f>
        <v/>
      </c>
      <c r="D428" s="37" t="n"/>
      <c r="E428" s="45" t="str">
        <f>IF($D428="","",IFERROR(INDEX(CARDS!$B$5:$B$34,MATCH($D428,CARDS!$A$5:$A$34,0)),"⚠ Card ID?"))</f>
        <v/>
      </c>
      <c r="F428" s="45" t="str">
        <f>IF($D428="","",IFERROR(INDEX(CARDS!$C$5:$C$34,MATCH($D428,CARDS!$A$5:$A$34,0)),"⚠ Card ID?"))</f>
        <v/>
      </c>
      <c r="G428" s="37" t="n"/>
      <c r="H428" s="37" t="n"/>
      <c r="I428" s="41" t="n"/>
      <c r="J428" s="45" t="str">
        <f>IF($I428="","",IFERROR(INDEX(MCC_MASTER!$B$5:$B$504,MATCH($I428,MCC_MASTER!$A$5:$A$504,0)),"⚠ MCC chưa có"))</f>
        <v/>
      </c>
      <c r="K428" s="45" t="str">
        <f>IF($I428="","",IFERROR(IF(INDEX(MCC_MASTER!$C$5:$C$504,MATCH($I428,MCC_MASTER!$A$5:$A$504,0))="","Chưa phân loại",INDEX(MCC_MASTER!$C$5:$C$504,MATCH($I428,MCC_MASTER!$A$5:$A$504,0))),"Chưa phân loại"))</f>
        <v/>
      </c>
      <c r="L428" s="40" t="n"/>
      <c r="M428" s="48" t="str">
        <f>IF(OR($B428="",$D428=""),"",IF($AC428=0,0,IF(ISNUMBER(INDEX(CASHBACK_RULES!$L$5:$L$304,$AC428)),MAX(0,MIN($L428,INDEX(CASHBACK_RULES!$L$5:$L$304,$AC428)-$AH428)),MAX(0,$L428))))</f>
        <v/>
      </c>
      <c r="N428" s="49" t="str">
        <f>IF(OR($B428="",$D428=""),"",IF($AC428&gt;0,INDEX(CASHBACK_RULES!$I$5:$I$304,$AC428),0))</f>
        <v/>
      </c>
      <c r="O428" s="48" t="str">
        <f>IF(OR($B428="",$D428=""),"",ROUND($M428*$N428,0))</f>
        <v/>
      </c>
      <c r="P428" s="48" t="str">
        <f>IF($AC428&gt;0,IF(ISNUMBER(INDEX(CASHBACK_RULES!$J$5:$J$304,$AC428)),INDEX(CASHBACK_RULES!$J$5:$J$304,$AC428),"∞"),"")</f>
        <v/>
      </c>
      <c r="Q428" s="48" t="str">
        <f>IF(OR($B428="",$D428=""),"",IF($AC428=0,0,MAX(0,MIN($O428,IF(ISNUMBER($P428),$P428-$AF428,1E+15),IF(ISNUMBER($AA428),$AA428-$AG428,1E+15)))))</f>
        <v/>
      </c>
      <c r="R428" s="48" t="str">
        <f>IF(OR($B428="",$D428=""),"",IF($AC428=0,"",IF(AND(NOT(ISNUMBER($P428)),NOT(ISNUMBER($AA428))),"∞",MAX(0,MIN(IF(ISNUMBER($P428),$P428-$AF428-$Q428,1E+15),IF(ISNUMBER($AA428),$AA428-$AG428-$Q428,1E+15))))))</f>
        <v/>
      </c>
      <c r="S428" s="47" t="str">
        <f>IF($AD428="","",YEAR($AD428)*100+MONTH($AD428))</f>
        <v/>
      </c>
      <c r="T428" s="50" t="str">
        <f>IF($AD428="","",IFERROR(IF(INDEX(CARDS!$I$5:$I$34,MATCH($D428,CARDS!$A$5:$A$34,0))="","",IF(INDEX(CARDS!$I$5:$I$34,MATCH($D428,CARDS!$A$5:$A$34,0))&gt;INDEX(CARDS!$H$5:$H$34,MATCH($D428,CARDS!$A$5:$A$34,0)),DATE(YEAR($AD428),MONTH($AD428),MIN(INDEX(CARDS!$I$5:$I$34,MATCH($D428,CARDS!$A$5:$A$34,0)),DAY(EOMONTH($AD428,0)))),DATE(YEAR($AD428),MONTH($AD428)+1,MIN(INDEX(CARDS!$I$5:$I$34,MATCH($D428,CARDS!$A$5:$A$34,0)),DAY(EOMONTH($AD428,1)))))),""))</f>
        <v/>
      </c>
      <c r="U428" s="38" t="n"/>
      <c r="V428" s="37" t="n"/>
      <c r="W428" s="38" t="n"/>
      <c r="X428" s="38" t="n"/>
      <c r="Y428" s="44" t="str">
        <f>IF($AC428&gt;0,INDEX(CASHBACK_RULES!$A$5:$A$304,$AC428),"")</f>
        <v/>
      </c>
      <c r="Z428" s="45" t="str">
        <f>IF($AC428&gt;0,INDEX(CASHBACK_RULES!$E$5:$E$304,$AC428)&amp;"","")</f>
        <v/>
      </c>
      <c r="AA428" s="48" t="str">
        <f>IF($AC428&gt;0,IF(ISNUMBER(INDEX(CASHBACK_RULES!$K$5:$K$304,$AC428)),INDEX(CASHBACK_RULES!$K$5:$K$304,$AC428),"∞"),"")</f>
        <v/>
      </c>
      <c r="AB428" s="44" t="str">
        <f>IF(OR($B428="",$D428=""),"",IF($U428="Cancelled","Đã hủy",IF($AC428=0,"Không được hoàn",IF($Q428=0,IF(OR($O428&gt;0,$M428&lt;$L428),"Đã đạt cap","Không được hoàn"),IF(OR($Q428&lt;$O428,$M428&lt;$L428),"Hoàn một phần","Được hoàn")))))</f>
        <v/>
      </c>
      <c r="AC428" s="43">
        <f>IF(OR($B428="",$D428="",$I428="",$L428=""),0,IF($U428="Cancelled",0,IF($W428&lt;&gt;"",IFERROR(IF(INDEX(CASHBACK_RULES!$B$5:$B$304,MATCH($W428,CASHBACK_RULES!$A$5:$A$304,0))=$D428,MATCH($W428,CASHBACK_RULES!$A$5:$A$304,0),0),0),IFERROR(MATCH(1,INDEX((CASHBACK_RULES!$B$5:$B$304=$D428)*(CASHBACK_RULES!$G$5:$G$304=$I428)*(((CASHBACK_RULES!$N$5:$N$304="")+(CASHBACK_RULES!$N$5:$N$304&lt;=$B428))&gt;0)*(((CASHBACK_RULES!$O$5:$O$304="")+(CASHBACK_RULES!$O$5:$O$304&gt;=$B428))&gt;0)*(((CASHBACK_RULES!$M$5:$M$304="")+(CASHBACK_RULES!$M$5:$M$304&lt;=$L428))&gt;0),0),0),0))))</f>
        <v>0</v>
      </c>
      <c r="AD428" s="51" t="str">
        <f>IF(OR($B428="",$D428=""),"",IFERROR(IF(INDEX(CARDS!$H$5:$H$34,MATCH($D428,CARDS!$A$5:$A$34,0))="","",IF(DAY($B428)&lt;=INDEX(CARDS!$H$5:$H$34,MATCH($D428,CARDS!$A$5:$A$34,0)),DATE(YEAR($B428),MONTH($B428),MIN(INDEX(CARDS!$H$5:$H$34,MATCH($D428,CARDS!$A$5:$A$34,0)),DAY(EOMONTH($B428,0)))),DATE(YEAR($B428),MONTH($B428)+1,MIN(INDEX(CARDS!$H$5:$H$34,MATCH($D428,CARDS!$A$5:$A$34,0)),DAY(EOMONTH($B428,1)))))),""))</f>
        <v/>
      </c>
      <c r="AE428" s="52" t="str">
        <f>IF($C428="","",$C428&amp;"|"&amp;COUNTIF($C$5:$C428,$C428))</f>
        <v/>
      </c>
      <c r="AF428" s="53">
        <f>IF($AC428&gt;0,SUMIFS(Q$4:Q427,$D$4:$D427,$D428,$Z$4:$Z427,$Z428,$C$4:$C427,$C428),0)</f>
        <v>0</v>
      </c>
      <c r="AG428" s="53">
        <f>IF($AC428&gt;0,SUMIFS(Q$4:Q427,$D$4:$D427,$D428,$C$4:$C427,$C428),0)</f>
        <v>0</v>
      </c>
      <c r="AH428" s="53">
        <f>IF($AC428&gt;0,SUMIFS(M$4:M427,$D$4:$D427,$D428,$Z$4:$Z427,$Z428,$C$4:$C427,$C428),0)</f>
        <v>0</v>
      </c>
      <c r="AI428" s="43">
        <f>IF(OR($C428="",$I428=""),0,IF(COUNTIFS($C$5:$C428,$C428,$I$5:$I428,$I428)=1,1,0))</f>
        <v>0</v>
      </c>
      <c r="AJ428" s="43" t="str">
        <f>IF($AI428=1,SUMIFS($AI$4:$AI427,$C$4:$C427,$C428)+1,"")</f>
        <v/>
      </c>
      <c r="AK428" s="43">
        <f>IF(OR($C428="",$K428=""),0,IF(COUNTIFS($C$5:$C428,$C428,$K$5:$K428,$K428)=1,1,0))</f>
        <v>0</v>
      </c>
      <c r="AL428" s="43" t="str">
        <f>IF($AK428=1,SUMIFS($AK$4:$AK427,$C$4:$C427,$C428)+1,"")</f>
        <v/>
      </c>
      <c r="AM428" s="43">
        <f>IF(OR($C428="",$G428=""),0,IF(COUNTIFS($C$5:$C428,$C428,$G$5:$G428,$G428)=1,1,0))</f>
        <v>0</v>
      </c>
      <c r="AN428" s="43" t="str">
        <f>IF($AM428=1,SUMIFS($AM$4:$AM427,$C$4:$C427,$C428)+1,"")</f>
        <v/>
      </c>
    </row>
    <row r="429">
      <c r="A429" s="44" t="str">
        <f>IF(OR($B429="",$D429=""),"","TX"&amp;TEXT(ROW()-4,"0000"))</f>
        <v/>
      </c>
      <c r="B429" s="42" t="n"/>
      <c r="C429" s="47" t="str">
        <f>IF($B429="","",YEAR($B429)*100+MONTH($B429))</f>
        <v/>
      </c>
      <c r="D429" s="37" t="n"/>
      <c r="E429" s="45" t="str">
        <f>IF($D429="","",IFERROR(INDEX(CARDS!$B$5:$B$34,MATCH($D429,CARDS!$A$5:$A$34,0)),"⚠ Card ID?"))</f>
        <v/>
      </c>
      <c r="F429" s="45" t="str">
        <f>IF($D429="","",IFERROR(INDEX(CARDS!$C$5:$C$34,MATCH($D429,CARDS!$A$5:$A$34,0)),"⚠ Card ID?"))</f>
        <v/>
      </c>
      <c r="G429" s="37" t="n"/>
      <c r="H429" s="37" t="n"/>
      <c r="I429" s="41" t="n"/>
      <c r="J429" s="45" t="str">
        <f>IF($I429="","",IFERROR(INDEX(MCC_MASTER!$B$5:$B$504,MATCH($I429,MCC_MASTER!$A$5:$A$504,0)),"⚠ MCC chưa có"))</f>
        <v/>
      </c>
      <c r="K429" s="45" t="str">
        <f>IF($I429="","",IFERROR(IF(INDEX(MCC_MASTER!$C$5:$C$504,MATCH($I429,MCC_MASTER!$A$5:$A$504,0))="","Chưa phân loại",INDEX(MCC_MASTER!$C$5:$C$504,MATCH($I429,MCC_MASTER!$A$5:$A$504,0))),"Chưa phân loại"))</f>
        <v/>
      </c>
      <c r="L429" s="40" t="n"/>
      <c r="M429" s="48" t="str">
        <f>IF(OR($B429="",$D429=""),"",IF($AC429=0,0,IF(ISNUMBER(INDEX(CASHBACK_RULES!$L$5:$L$304,$AC429)),MAX(0,MIN($L429,INDEX(CASHBACK_RULES!$L$5:$L$304,$AC429)-$AH429)),MAX(0,$L429))))</f>
        <v/>
      </c>
      <c r="N429" s="49" t="str">
        <f>IF(OR($B429="",$D429=""),"",IF($AC429&gt;0,INDEX(CASHBACK_RULES!$I$5:$I$304,$AC429),0))</f>
        <v/>
      </c>
      <c r="O429" s="48" t="str">
        <f>IF(OR($B429="",$D429=""),"",ROUND($M429*$N429,0))</f>
        <v/>
      </c>
      <c r="P429" s="48" t="str">
        <f>IF($AC429&gt;0,IF(ISNUMBER(INDEX(CASHBACK_RULES!$J$5:$J$304,$AC429)),INDEX(CASHBACK_RULES!$J$5:$J$304,$AC429),"∞"),"")</f>
        <v/>
      </c>
      <c r="Q429" s="48" t="str">
        <f>IF(OR($B429="",$D429=""),"",IF($AC429=0,0,MAX(0,MIN($O429,IF(ISNUMBER($P429),$P429-$AF429,1E+15),IF(ISNUMBER($AA429),$AA429-$AG429,1E+15)))))</f>
        <v/>
      </c>
      <c r="R429" s="48" t="str">
        <f>IF(OR($B429="",$D429=""),"",IF($AC429=0,"",IF(AND(NOT(ISNUMBER($P429)),NOT(ISNUMBER($AA429))),"∞",MAX(0,MIN(IF(ISNUMBER($P429),$P429-$AF429-$Q429,1E+15),IF(ISNUMBER($AA429),$AA429-$AG429-$Q429,1E+15))))))</f>
        <v/>
      </c>
      <c r="S429" s="47" t="str">
        <f>IF($AD429="","",YEAR($AD429)*100+MONTH($AD429))</f>
        <v/>
      </c>
      <c r="T429" s="50" t="str">
        <f>IF($AD429="","",IFERROR(IF(INDEX(CARDS!$I$5:$I$34,MATCH($D429,CARDS!$A$5:$A$34,0))="","",IF(INDEX(CARDS!$I$5:$I$34,MATCH($D429,CARDS!$A$5:$A$34,0))&gt;INDEX(CARDS!$H$5:$H$34,MATCH($D429,CARDS!$A$5:$A$34,0)),DATE(YEAR($AD429),MONTH($AD429),MIN(INDEX(CARDS!$I$5:$I$34,MATCH($D429,CARDS!$A$5:$A$34,0)),DAY(EOMONTH($AD429,0)))),DATE(YEAR($AD429),MONTH($AD429)+1,MIN(INDEX(CARDS!$I$5:$I$34,MATCH($D429,CARDS!$A$5:$A$34,0)),DAY(EOMONTH($AD429,1)))))),""))</f>
        <v/>
      </c>
      <c r="U429" s="38" t="n"/>
      <c r="V429" s="37" t="n"/>
      <c r="W429" s="38" t="n"/>
      <c r="X429" s="38" t="n"/>
      <c r="Y429" s="44" t="str">
        <f>IF($AC429&gt;0,INDEX(CASHBACK_RULES!$A$5:$A$304,$AC429),"")</f>
        <v/>
      </c>
      <c r="Z429" s="45" t="str">
        <f>IF($AC429&gt;0,INDEX(CASHBACK_RULES!$E$5:$E$304,$AC429)&amp;"","")</f>
        <v/>
      </c>
      <c r="AA429" s="48" t="str">
        <f>IF($AC429&gt;0,IF(ISNUMBER(INDEX(CASHBACK_RULES!$K$5:$K$304,$AC429)),INDEX(CASHBACK_RULES!$K$5:$K$304,$AC429),"∞"),"")</f>
        <v/>
      </c>
      <c r="AB429" s="44" t="str">
        <f>IF(OR($B429="",$D429=""),"",IF($U429="Cancelled","Đã hủy",IF($AC429=0,"Không được hoàn",IF($Q429=0,IF(OR($O429&gt;0,$M429&lt;$L429),"Đã đạt cap","Không được hoàn"),IF(OR($Q429&lt;$O429,$M429&lt;$L429),"Hoàn một phần","Được hoàn")))))</f>
        <v/>
      </c>
      <c r="AC429" s="43">
        <f>IF(OR($B429="",$D429="",$I429="",$L429=""),0,IF($U429="Cancelled",0,IF($W429&lt;&gt;"",IFERROR(IF(INDEX(CASHBACK_RULES!$B$5:$B$304,MATCH($W429,CASHBACK_RULES!$A$5:$A$304,0))=$D429,MATCH($W429,CASHBACK_RULES!$A$5:$A$304,0),0),0),IFERROR(MATCH(1,INDEX((CASHBACK_RULES!$B$5:$B$304=$D429)*(CASHBACK_RULES!$G$5:$G$304=$I429)*(((CASHBACK_RULES!$N$5:$N$304="")+(CASHBACK_RULES!$N$5:$N$304&lt;=$B429))&gt;0)*(((CASHBACK_RULES!$O$5:$O$304="")+(CASHBACK_RULES!$O$5:$O$304&gt;=$B429))&gt;0)*(((CASHBACK_RULES!$M$5:$M$304="")+(CASHBACK_RULES!$M$5:$M$304&lt;=$L429))&gt;0),0),0),0))))</f>
        <v>0</v>
      </c>
      <c r="AD429" s="51" t="str">
        <f>IF(OR($B429="",$D429=""),"",IFERROR(IF(INDEX(CARDS!$H$5:$H$34,MATCH($D429,CARDS!$A$5:$A$34,0))="","",IF(DAY($B429)&lt;=INDEX(CARDS!$H$5:$H$34,MATCH($D429,CARDS!$A$5:$A$34,0)),DATE(YEAR($B429),MONTH($B429),MIN(INDEX(CARDS!$H$5:$H$34,MATCH($D429,CARDS!$A$5:$A$34,0)),DAY(EOMONTH($B429,0)))),DATE(YEAR($B429),MONTH($B429)+1,MIN(INDEX(CARDS!$H$5:$H$34,MATCH($D429,CARDS!$A$5:$A$34,0)),DAY(EOMONTH($B429,1)))))),""))</f>
        <v/>
      </c>
      <c r="AE429" s="52" t="str">
        <f>IF($C429="","",$C429&amp;"|"&amp;COUNTIF($C$5:$C429,$C429))</f>
        <v/>
      </c>
      <c r="AF429" s="53">
        <f>IF($AC429&gt;0,SUMIFS(Q$4:Q428,$D$4:$D428,$D429,$Z$4:$Z428,$Z429,$C$4:$C428,$C429),0)</f>
        <v>0</v>
      </c>
      <c r="AG429" s="53">
        <f>IF($AC429&gt;0,SUMIFS(Q$4:Q428,$D$4:$D428,$D429,$C$4:$C428,$C429),0)</f>
        <v>0</v>
      </c>
      <c r="AH429" s="53">
        <f>IF($AC429&gt;0,SUMIFS(M$4:M428,$D$4:$D428,$D429,$Z$4:$Z428,$Z429,$C$4:$C428,$C429),0)</f>
        <v>0</v>
      </c>
      <c r="AI429" s="43">
        <f>IF(OR($C429="",$I429=""),0,IF(COUNTIFS($C$5:$C429,$C429,$I$5:$I429,$I429)=1,1,0))</f>
        <v>0</v>
      </c>
      <c r="AJ429" s="43" t="str">
        <f>IF($AI429=1,SUMIFS($AI$4:$AI428,$C$4:$C428,$C429)+1,"")</f>
        <v/>
      </c>
      <c r="AK429" s="43">
        <f>IF(OR($C429="",$K429=""),0,IF(COUNTIFS($C$5:$C429,$C429,$K$5:$K429,$K429)=1,1,0))</f>
        <v>0</v>
      </c>
      <c r="AL429" s="43" t="str">
        <f>IF($AK429=1,SUMIFS($AK$4:$AK428,$C$4:$C428,$C429)+1,"")</f>
        <v/>
      </c>
      <c r="AM429" s="43">
        <f>IF(OR($C429="",$G429=""),0,IF(COUNTIFS($C$5:$C429,$C429,$G$5:$G429,$G429)=1,1,0))</f>
        <v>0</v>
      </c>
      <c r="AN429" s="43" t="str">
        <f>IF($AM429=1,SUMIFS($AM$4:$AM428,$C$4:$C428,$C429)+1,"")</f>
        <v/>
      </c>
    </row>
    <row r="430">
      <c r="A430" s="44" t="str">
        <f>IF(OR($B430="",$D430=""),"","TX"&amp;TEXT(ROW()-4,"0000"))</f>
        <v/>
      </c>
      <c r="B430" s="42" t="n"/>
      <c r="C430" s="47" t="str">
        <f>IF($B430="","",YEAR($B430)*100+MONTH($B430))</f>
        <v/>
      </c>
      <c r="D430" s="37" t="n"/>
      <c r="E430" s="45" t="str">
        <f>IF($D430="","",IFERROR(INDEX(CARDS!$B$5:$B$34,MATCH($D430,CARDS!$A$5:$A$34,0)),"⚠ Card ID?"))</f>
        <v/>
      </c>
      <c r="F430" s="45" t="str">
        <f>IF($D430="","",IFERROR(INDEX(CARDS!$C$5:$C$34,MATCH($D430,CARDS!$A$5:$A$34,0)),"⚠ Card ID?"))</f>
        <v/>
      </c>
      <c r="G430" s="37" t="n"/>
      <c r="H430" s="37" t="n"/>
      <c r="I430" s="41" t="n"/>
      <c r="J430" s="45" t="str">
        <f>IF($I430="","",IFERROR(INDEX(MCC_MASTER!$B$5:$B$504,MATCH($I430,MCC_MASTER!$A$5:$A$504,0)),"⚠ MCC chưa có"))</f>
        <v/>
      </c>
      <c r="K430" s="45" t="str">
        <f>IF($I430="","",IFERROR(IF(INDEX(MCC_MASTER!$C$5:$C$504,MATCH($I430,MCC_MASTER!$A$5:$A$504,0))="","Chưa phân loại",INDEX(MCC_MASTER!$C$5:$C$504,MATCH($I430,MCC_MASTER!$A$5:$A$504,0))),"Chưa phân loại"))</f>
        <v/>
      </c>
      <c r="L430" s="40" t="n"/>
      <c r="M430" s="48" t="str">
        <f>IF(OR($B430="",$D430=""),"",IF($AC430=0,0,IF(ISNUMBER(INDEX(CASHBACK_RULES!$L$5:$L$304,$AC430)),MAX(0,MIN($L430,INDEX(CASHBACK_RULES!$L$5:$L$304,$AC430)-$AH430)),MAX(0,$L430))))</f>
        <v/>
      </c>
      <c r="N430" s="49" t="str">
        <f>IF(OR($B430="",$D430=""),"",IF($AC430&gt;0,INDEX(CASHBACK_RULES!$I$5:$I$304,$AC430),0))</f>
        <v/>
      </c>
      <c r="O430" s="48" t="str">
        <f>IF(OR($B430="",$D430=""),"",ROUND($M430*$N430,0))</f>
        <v/>
      </c>
      <c r="P430" s="48" t="str">
        <f>IF($AC430&gt;0,IF(ISNUMBER(INDEX(CASHBACK_RULES!$J$5:$J$304,$AC430)),INDEX(CASHBACK_RULES!$J$5:$J$304,$AC430),"∞"),"")</f>
        <v/>
      </c>
      <c r="Q430" s="48" t="str">
        <f>IF(OR($B430="",$D430=""),"",IF($AC430=0,0,MAX(0,MIN($O430,IF(ISNUMBER($P430),$P430-$AF430,1E+15),IF(ISNUMBER($AA430),$AA430-$AG430,1E+15)))))</f>
        <v/>
      </c>
      <c r="R430" s="48" t="str">
        <f>IF(OR($B430="",$D430=""),"",IF($AC430=0,"",IF(AND(NOT(ISNUMBER($P430)),NOT(ISNUMBER($AA430))),"∞",MAX(0,MIN(IF(ISNUMBER($P430),$P430-$AF430-$Q430,1E+15),IF(ISNUMBER($AA430),$AA430-$AG430-$Q430,1E+15))))))</f>
        <v/>
      </c>
      <c r="S430" s="47" t="str">
        <f>IF($AD430="","",YEAR($AD430)*100+MONTH($AD430))</f>
        <v/>
      </c>
      <c r="T430" s="50" t="str">
        <f>IF($AD430="","",IFERROR(IF(INDEX(CARDS!$I$5:$I$34,MATCH($D430,CARDS!$A$5:$A$34,0))="","",IF(INDEX(CARDS!$I$5:$I$34,MATCH($D430,CARDS!$A$5:$A$34,0))&gt;INDEX(CARDS!$H$5:$H$34,MATCH($D430,CARDS!$A$5:$A$34,0)),DATE(YEAR($AD430),MONTH($AD430),MIN(INDEX(CARDS!$I$5:$I$34,MATCH($D430,CARDS!$A$5:$A$34,0)),DAY(EOMONTH($AD430,0)))),DATE(YEAR($AD430),MONTH($AD430)+1,MIN(INDEX(CARDS!$I$5:$I$34,MATCH($D430,CARDS!$A$5:$A$34,0)),DAY(EOMONTH($AD430,1)))))),""))</f>
        <v/>
      </c>
      <c r="U430" s="38" t="n"/>
      <c r="V430" s="37" t="n"/>
      <c r="W430" s="38" t="n"/>
      <c r="X430" s="38" t="n"/>
      <c r="Y430" s="44" t="str">
        <f>IF($AC430&gt;0,INDEX(CASHBACK_RULES!$A$5:$A$304,$AC430),"")</f>
        <v/>
      </c>
      <c r="Z430" s="45" t="str">
        <f>IF($AC430&gt;0,INDEX(CASHBACK_RULES!$E$5:$E$304,$AC430)&amp;"","")</f>
        <v/>
      </c>
      <c r="AA430" s="48" t="str">
        <f>IF($AC430&gt;0,IF(ISNUMBER(INDEX(CASHBACK_RULES!$K$5:$K$304,$AC430)),INDEX(CASHBACK_RULES!$K$5:$K$304,$AC430),"∞"),"")</f>
        <v/>
      </c>
      <c r="AB430" s="44" t="str">
        <f>IF(OR($B430="",$D430=""),"",IF($U430="Cancelled","Đã hủy",IF($AC430=0,"Không được hoàn",IF($Q430=0,IF(OR($O430&gt;0,$M430&lt;$L430),"Đã đạt cap","Không được hoàn"),IF(OR($Q430&lt;$O430,$M430&lt;$L430),"Hoàn một phần","Được hoàn")))))</f>
        <v/>
      </c>
      <c r="AC430" s="43">
        <f>IF(OR($B430="",$D430="",$I430="",$L430=""),0,IF($U430="Cancelled",0,IF($W430&lt;&gt;"",IFERROR(IF(INDEX(CASHBACK_RULES!$B$5:$B$304,MATCH($W430,CASHBACK_RULES!$A$5:$A$304,0))=$D430,MATCH($W430,CASHBACK_RULES!$A$5:$A$304,0),0),0),IFERROR(MATCH(1,INDEX((CASHBACK_RULES!$B$5:$B$304=$D430)*(CASHBACK_RULES!$G$5:$G$304=$I430)*(((CASHBACK_RULES!$N$5:$N$304="")+(CASHBACK_RULES!$N$5:$N$304&lt;=$B430))&gt;0)*(((CASHBACK_RULES!$O$5:$O$304="")+(CASHBACK_RULES!$O$5:$O$304&gt;=$B430))&gt;0)*(((CASHBACK_RULES!$M$5:$M$304="")+(CASHBACK_RULES!$M$5:$M$304&lt;=$L430))&gt;0),0),0),0))))</f>
        <v>0</v>
      </c>
      <c r="AD430" s="51" t="str">
        <f>IF(OR($B430="",$D430=""),"",IFERROR(IF(INDEX(CARDS!$H$5:$H$34,MATCH($D430,CARDS!$A$5:$A$34,0))="","",IF(DAY($B430)&lt;=INDEX(CARDS!$H$5:$H$34,MATCH($D430,CARDS!$A$5:$A$34,0)),DATE(YEAR($B430),MONTH($B430),MIN(INDEX(CARDS!$H$5:$H$34,MATCH($D430,CARDS!$A$5:$A$34,0)),DAY(EOMONTH($B430,0)))),DATE(YEAR($B430),MONTH($B430)+1,MIN(INDEX(CARDS!$H$5:$H$34,MATCH($D430,CARDS!$A$5:$A$34,0)),DAY(EOMONTH($B430,1)))))),""))</f>
        <v/>
      </c>
      <c r="AE430" s="52" t="str">
        <f>IF($C430="","",$C430&amp;"|"&amp;COUNTIF($C$5:$C430,$C430))</f>
        <v/>
      </c>
      <c r="AF430" s="53">
        <f>IF($AC430&gt;0,SUMIFS(Q$4:Q429,$D$4:$D429,$D430,$Z$4:$Z429,$Z430,$C$4:$C429,$C430),0)</f>
        <v>0</v>
      </c>
      <c r="AG430" s="53">
        <f>IF($AC430&gt;0,SUMIFS(Q$4:Q429,$D$4:$D429,$D430,$C$4:$C429,$C430),0)</f>
        <v>0</v>
      </c>
      <c r="AH430" s="53">
        <f>IF($AC430&gt;0,SUMIFS(M$4:M429,$D$4:$D429,$D430,$Z$4:$Z429,$Z430,$C$4:$C429,$C430),0)</f>
        <v>0</v>
      </c>
      <c r="AI430" s="43">
        <f>IF(OR($C430="",$I430=""),0,IF(COUNTIFS($C$5:$C430,$C430,$I$5:$I430,$I430)=1,1,0))</f>
        <v>0</v>
      </c>
      <c r="AJ430" s="43" t="str">
        <f>IF($AI430=1,SUMIFS($AI$4:$AI429,$C$4:$C429,$C430)+1,"")</f>
        <v/>
      </c>
      <c r="AK430" s="43">
        <f>IF(OR($C430="",$K430=""),0,IF(COUNTIFS($C$5:$C430,$C430,$K$5:$K430,$K430)=1,1,0))</f>
        <v>0</v>
      </c>
      <c r="AL430" s="43" t="str">
        <f>IF($AK430=1,SUMIFS($AK$4:$AK429,$C$4:$C429,$C430)+1,"")</f>
        <v/>
      </c>
      <c r="AM430" s="43">
        <f>IF(OR($C430="",$G430=""),0,IF(COUNTIFS($C$5:$C430,$C430,$G$5:$G430,$G430)=1,1,0))</f>
        <v>0</v>
      </c>
      <c r="AN430" s="43" t="str">
        <f>IF($AM430=1,SUMIFS($AM$4:$AM429,$C$4:$C429,$C430)+1,"")</f>
        <v/>
      </c>
    </row>
    <row r="431">
      <c r="A431" s="44" t="str">
        <f>IF(OR($B431="",$D431=""),"","TX"&amp;TEXT(ROW()-4,"0000"))</f>
        <v/>
      </c>
      <c r="B431" s="42" t="n"/>
      <c r="C431" s="47" t="str">
        <f>IF($B431="","",YEAR($B431)*100+MONTH($B431))</f>
        <v/>
      </c>
      <c r="D431" s="37" t="n"/>
      <c r="E431" s="45" t="str">
        <f>IF($D431="","",IFERROR(INDEX(CARDS!$B$5:$B$34,MATCH($D431,CARDS!$A$5:$A$34,0)),"⚠ Card ID?"))</f>
        <v/>
      </c>
      <c r="F431" s="45" t="str">
        <f>IF($D431="","",IFERROR(INDEX(CARDS!$C$5:$C$34,MATCH($D431,CARDS!$A$5:$A$34,0)),"⚠ Card ID?"))</f>
        <v/>
      </c>
      <c r="G431" s="37" t="n"/>
      <c r="H431" s="37" t="n"/>
      <c r="I431" s="41" t="n"/>
      <c r="J431" s="45" t="str">
        <f>IF($I431="","",IFERROR(INDEX(MCC_MASTER!$B$5:$B$504,MATCH($I431,MCC_MASTER!$A$5:$A$504,0)),"⚠ MCC chưa có"))</f>
        <v/>
      </c>
      <c r="K431" s="45" t="str">
        <f>IF($I431="","",IFERROR(IF(INDEX(MCC_MASTER!$C$5:$C$504,MATCH($I431,MCC_MASTER!$A$5:$A$504,0))="","Chưa phân loại",INDEX(MCC_MASTER!$C$5:$C$504,MATCH($I431,MCC_MASTER!$A$5:$A$504,0))),"Chưa phân loại"))</f>
        <v/>
      </c>
      <c r="L431" s="40" t="n"/>
      <c r="M431" s="48" t="str">
        <f>IF(OR($B431="",$D431=""),"",IF($AC431=0,0,IF(ISNUMBER(INDEX(CASHBACK_RULES!$L$5:$L$304,$AC431)),MAX(0,MIN($L431,INDEX(CASHBACK_RULES!$L$5:$L$304,$AC431)-$AH431)),MAX(0,$L431))))</f>
        <v/>
      </c>
      <c r="N431" s="49" t="str">
        <f>IF(OR($B431="",$D431=""),"",IF($AC431&gt;0,INDEX(CASHBACK_RULES!$I$5:$I$304,$AC431),0))</f>
        <v/>
      </c>
      <c r="O431" s="48" t="str">
        <f>IF(OR($B431="",$D431=""),"",ROUND($M431*$N431,0))</f>
        <v/>
      </c>
      <c r="P431" s="48" t="str">
        <f>IF($AC431&gt;0,IF(ISNUMBER(INDEX(CASHBACK_RULES!$J$5:$J$304,$AC431)),INDEX(CASHBACK_RULES!$J$5:$J$304,$AC431),"∞"),"")</f>
        <v/>
      </c>
      <c r="Q431" s="48" t="str">
        <f>IF(OR($B431="",$D431=""),"",IF($AC431=0,0,MAX(0,MIN($O431,IF(ISNUMBER($P431),$P431-$AF431,1E+15),IF(ISNUMBER($AA431),$AA431-$AG431,1E+15)))))</f>
        <v/>
      </c>
      <c r="R431" s="48" t="str">
        <f>IF(OR($B431="",$D431=""),"",IF($AC431=0,"",IF(AND(NOT(ISNUMBER($P431)),NOT(ISNUMBER($AA431))),"∞",MAX(0,MIN(IF(ISNUMBER($P431),$P431-$AF431-$Q431,1E+15),IF(ISNUMBER($AA431),$AA431-$AG431-$Q431,1E+15))))))</f>
        <v/>
      </c>
      <c r="S431" s="47" t="str">
        <f>IF($AD431="","",YEAR($AD431)*100+MONTH($AD431))</f>
        <v/>
      </c>
      <c r="T431" s="50" t="str">
        <f>IF($AD431="","",IFERROR(IF(INDEX(CARDS!$I$5:$I$34,MATCH($D431,CARDS!$A$5:$A$34,0))="","",IF(INDEX(CARDS!$I$5:$I$34,MATCH($D431,CARDS!$A$5:$A$34,0))&gt;INDEX(CARDS!$H$5:$H$34,MATCH($D431,CARDS!$A$5:$A$34,0)),DATE(YEAR($AD431),MONTH($AD431),MIN(INDEX(CARDS!$I$5:$I$34,MATCH($D431,CARDS!$A$5:$A$34,0)),DAY(EOMONTH($AD431,0)))),DATE(YEAR($AD431),MONTH($AD431)+1,MIN(INDEX(CARDS!$I$5:$I$34,MATCH($D431,CARDS!$A$5:$A$34,0)),DAY(EOMONTH($AD431,1)))))),""))</f>
        <v/>
      </c>
      <c r="U431" s="38" t="n"/>
      <c r="V431" s="37" t="n"/>
      <c r="W431" s="38" t="n"/>
      <c r="X431" s="38" t="n"/>
      <c r="Y431" s="44" t="str">
        <f>IF($AC431&gt;0,INDEX(CASHBACK_RULES!$A$5:$A$304,$AC431),"")</f>
        <v/>
      </c>
      <c r="Z431" s="45" t="str">
        <f>IF($AC431&gt;0,INDEX(CASHBACK_RULES!$E$5:$E$304,$AC431)&amp;"","")</f>
        <v/>
      </c>
      <c r="AA431" s="48" t="str">
        <f>IF($AC431&gt;0,IF(ISNUMBER(INDEX(CASHBACK_RULES!$K$5:$K$304,$AC431)),INDEX(CASHBACK_RULES!$K$5:$K$304,$AC431),"∞"),"")</f>
        <v/>
      </c>
      <c r="AB431" s="44" t="str">
        <f>IF(OR($B431="",$D431=""),"",IF($U431="Cancelled","Đã hủy",IF($AC431=0,"Không được hoàn",IF($Q431=0,IF(OR($O431&gt;0,$M431&lt;$L431),"Đã đạt cap","Không được hoàn"),IF(OR($Q431&lt;$O431,$M431&lt;$L431),"Hoàn một phần","Được hoàn")))))</f>
        <v/>
      </c>
      <c r="AC431" s="43">
        <f>IF(OR($B431="",$D431="",$I431="",$L431=""),0,IF($U431="Cancelled",0,IF($W431&lt;&gt;"",IFERROR(IF(INDEX(CASHBACK_RULES!$B$5:$B$304,MATCH($W431,CASHBACK_RULES!$A$5:$A$304,0))=$D431,MATCH($W431,CASHBACK_RULES!$A$5:$A$304,0),0),0),IFERROR(MATCH(1,INDEX((CASHBACK_RULES!$B$5:$B$304=$D431)*(CASHBACK_RULES!$G$5:$G$304=$I431)*(((CASHBACK_RULES!$N$5:$N$304="")+(CASHBACK_RULES!$N$5:$N$304&lt;=$B431))&gt;0)*(((CASHBACK_RULES!$O$5:$O$304="")+(CASHBACK_RULES!$O$5:$O$304&gt;=$B431))&gt;0)*(((CASHBACK_RULES!$M$5:$M$304="")+(CASHBACK_RULES!$M$5:$M$304&lt;=$L431))&gt;0),0),0),0))))</f>
        <v>0</v>
      </c>
      <c r="AD431" s="51" t="str">
        <f>IF(OR($B431="",$D431=""),"",IFERROR(IF(INDEX(CARDS!$H$5:$H$34,MATCH($D431,CARDS!$A$5:$A$34,0))="","",IF(DAY($B431)&lt;=INDEX(CARDS!$H$5:$H$34,MATCH($D431,CARDS!$A$5:$A$34,0)),DATE(YEAR($B431),MONTH($B431),MIN(INDEX(CARDS!$H$5:$H$34,MATCH($D431,CARDS!$A$5:$A$34,0)),DAY(EOMONTH($B431,0)))),DATE(YEAR($B431),MONTH($B431)+1,MIN(INDEX(CARDS!$H$5:$H$34,MATCH($D431,CARDS!$A$5:$A$34,0)),DAY(EOMONTH($B431,1)))))),""))</f>
        <v/>
      </c>
      <c r="AE431" s="52" t="str">
        <f>IF($C431="","",$C431&amp;"|"&amp;COUNTIF($C$5:$C431,$C431))</f>
        <v/>
      </c>
      <c r="AF431" s="53">
        <f>IF($AC431&gt;0,SUMIFS(Q$4:Q430,$D$4:$D430,$D431,$Z$4:$Z430,$Z431,$C$4:$C430,$C431),0)</f>
        <v>0</v>
      </c>
      <c r="AG431" s="53">
        <f>IF($AC431&gt;0,SUMIFS(Q$4:Q430,$D$4:$D430,$D431,$C$4:$C430,$C431),0)</f>
        <v>0</v>
      </c>
      <c r="AH431" s="53">
        <f>IF($AC431&gt;0,SUMIFS(M$4:M430,$D$4:$D430,$D431,$Z$4:$Z430,$Z431,$C$4:$C430,$C431),0)</f>
        <v>0</v>
      </c>
      <c r="AI431" s="43">
        <f>IF(OR($C431="",$I431=""),0,IF(COUNTIFS($C$5:$C431,$C431,$I$5:$I431,$I431)=1,1,0))</f>
        <v>0</v>
      </c>
      <c r="AJ431" s="43" t="str">
        <f>IF($AI431=1,SUMIFS($AI$4:$AI430,$C$4:$C430,$C431)+1,"")</f>
        <v/>
      </c>
      <c r="AK431" s="43">
        <f>IF(OR($C431="",$K431=""),0,IF(COUNTIFS($C$5:$C431,$C431,$K$5:$K431,$K431)=1,1,0))</f>
        <v>0</v>
      </c>
      <c r="AL431" s="43" t="str">
        <f>IF($AK431=1,SUMIFS($AK$4:$AK430,$C$4:$C430,$C431)+1,"")</f>
        <v/>
      </c>
      <c r="AM431" s="43">
        <f>IF(OR($C431="",$G431=""),0,IF(COUNTIFS($C$5:$C431,$C431,$G$5:$G431,$G431)=1,1,0))</f>
        <v>0</v>
      </c>
      <c r="AN431" s="43" t="str">
        <f>IF($AM431=1,SUMIFS($AM$4:$AM430,$C$4:$C430,$C431)+1,"")</f>
        <v/>
      </c>
    </row>
    <row r="432">
      <c r="A432" s="44" t="str">
        <f>IF(OR($B432="",$D432=""),"","TX"&amp;TEXT(ROW()-4,"0000"))</f>
        <v/>
      </c>
      <c r="B432" s="42" t="n"/>
      <c r="C432" s="47" t="str">
        <f>IF($B432="","",YEAR($B432)*100+MONTH($B432))</f>
        <v/>
      </c>
      <c r="D432" s="37" t="n"/>
      <c r="E432" s="45" t="str">
        <f>IF($D432="","",IFERROR(INDEX(CARDS!$B$5:$B$34,MATCH($D432,CARDS!$A$5:$A$34,0)),"⚠ Card ID?"))</f>
        <v/>
      </c>
      <c r="F432" s="45" t="str">
        <f>IF($D432="","",IFERROR(INDEX(CARDS!$C$5:$C$34,MATCH($D432,CARDS!$A$5:$A$34,0)),"⚠ Card ID?"))</f>
        <v/>
      </c>
      <c r="G432" s="37" t="n"/>
      <c r="H432" s="37" t="n"/>
      <c r="I432" s="41" t="n"/>
      <c r="J432" s="45" t="str">
        <f>IF($I432="","",IFERROR(INDEX(MCC_MASTER!$B$5:$B$504,MATCH($I432,MCC_MASTER!$A$5:$A$504,0)),"⚠ MCC chưa có"))</f>
        <v/>
      </c>
      <c r="K432" s="45" t="str">
        <f>IF($I432="","",IFERROR(IF(INDEX(MCC_MASTER!$C$5:$C$504,MATCH($I432,MCC_MASTER!$A$5:$A$504,0))="","Chưa phân loại",INDEX(MCC_MASTER!$C$5:$C$504,MATCH($I432,MCC_MASTER!$A$5:$A$504,0))),"Chưa phân loại"))</f>
        <v/>
      </c>
      <c r="L432" s="40" t="n"/>
      <c r="M432" s="48" t="str">
        <f>IF(OR($B432="",$D432=""),"",IF($AC432=0,0,IF(ISNUMBER(INDEX(CASHBACK_RULES!$L$5:$L$304,$AC432)),MAX(0,MIN($L432,INDEX(CASHBACK_RULES!$L$5:$L$304,$AC432)-$AH432)),MAX(0,$L432))))</f>
        <v/>
      </c>
      <c r="N432" s="49" t="str">
        <f>IF(OR($B432="",$D432=""),"",IF($AC432&gt;0,INDEX(CASHBACK_RULES!$I$5:$I$304,$AC432),0))</f>
        <v/>
      </c>
      <c r="O432" s="48" t="str">
        <f>IF(OR($B432="",$D432=""),"",ROUND($M432*$N432,0))</f>
        <v/>
      </c>
      <c r="P432" s="48" t="str">
        <f>IF($AC432&gt;0,IF(ISNUMBER(INDEX(CASHBACK_RULES!$J$5:$J$304,$AC432)),INDEX(CASHBACK_RULES!$J$5:$J$304,$AC432),"∞"),"")</f>
        <v/>
      </c>
      <c r="Q432" s="48" t="str">
        <f>IF(OR($B432="",$D432=""),"",IF($AC432=0,0,MAX(0,MIN($O432,IF(ISNUMBER($P432),$P432-$AF432,1E+15),IF(ISNUMBER($AA432),$AA432-$AG432,1E+15)))))</f>
        <v/>
      </c>
      <c r="R432" s="48" t="str">
        <f>IF(OR($B432="",$D432=""),"",IF($AC432=0,"",IF(AND(NOT(ISNUMBER($P432)),NOT(ISNUMBER($AA432))),"∞",MAX(0,MIN(IF(ISNUMBER($P432),$P432-$AF432-$Q432,1E+15),IF(ISNUMBER($AA432),$AA432-$AG432-$Q432,1E+15))))))</f>
        <v/>
      </c>
      <c r="S432" s="47" t="str">
        <f>IF($AD432="","",YEAR($AD432)*100+MONTH($AD432))</f>
        <v/>
      </c>
      <c r="T432" s="50" t="str">
        <f>IF($AD432="","",IFERROR(IF(INDEX(CARDS!$I$5:$I$34,MATCH($D432,CARDS!$A$5:$A$34,0))="","",IF(INDEX(CARDS!$I$5:$I$34,MATCH($D432,CARDS!$A$5:$A$34,0))&gt;INDEX(CARDS!$H$5:$H$34,MATCH($D432,CARDS!$A$5:$A$34,0)),DATE(YEAR($AD432),MONTH($AD432),MIN(INDEX(CARDS!$I$5:$I$34,MATCH($D432,CARDS!$A$5:$A$34,0)),DAY(EOMONTH($AD432,0)))),DATE(YEAR($AD432),MONTH($AD432)+1,MIN(INDEX(CARDS!$I$5:$I$34,MATCH($D432,CARDS!$A$5:$A$34,0)),DAY(EOMONTH($AD432,1)))))),""))</f>
        <v/>
      </c>
      <c r="U432" s="38" t="n"/>
      <c r="V432" s="37" t="n"/>
      <c r="W432" s="38" t="n"/>
      <c r="X432" s="38" t="n"/>
      <c r="Y432" s="44" t="str">
        <f>IF($AC432&gt;0,INDEX(CASHBACK_RULES!$A$5:$A$304,$AC432),"")</f>
        <v/>
      </c>
      <c r="Z432" s="45" t="str">
        <f>IF($AC432&gt;0,INDEX(CASHBACK_RULES!$E$5:$E$304,$AC432)&amp;"","")</f>
        <v/>
      </c>
      <c r="AA432" s="48" t="str">
        <f>IF($AC432&gt;0,IF(ISNUMBER(INDEX(CASHBACK_RULES!$K$5:$K$304,$AC432)),INDEX(CASHBACK_RULES!$K$5:$K$304,$AC432),"∞"),"")</f>
        <v/>
      </c>
      <c r="AB432" s="44" t="str">
        <f>IF(OR($B432="",$D432=""),"",IF($U432="Cancelled","Đã hủy",IF($AC432=0,"Không được hoàn",IF($Q432=0,IF(OR($O432&gt;0,$M432&lt;$L432),"Đã đạt cap","Không được hoàn"),IF(OR($Q432&lt;$O432,$M432&lt;$L432),"Hoàn một phần","Được hoàn")))))</f>
        <v/>
      </c>
      <c r="AC432" s="43">
        <f>IF(OR($B432="",$D432="",$I432="",$L432=""),0,IF($U432="Cancelled",0,IF($W432&lt;&gt;"",IFERROR(IF(INDEX(CASHBACK_RULES!$B$5:$B$304,MATCH($W432,CASHBACK_RULES!$A$5:$A$304,0))=$D432,MATCH($W432,CASHBACK_RULES!$A$5:$A$304,0),0),0),IFERROR(MATCH(1,INDEX((CASHBACK_RULES!$B$5:$B$304=$D432)*(CASHBACK_RULES!$G$5:$G$304=$I432)*(((CASHBACK_RULES!$N$5:$N$304="")+(CASHBACK_RULES!$N$5:$N$304&lt;=$B432))&gt;0)*(((CASHBACK_RULES!$O$5:$O$304="")+(CASHBACK_RULES!$O$5:$O$304&gt;=$B432))&gt;0)*(((CASHBACK_RULES!$M$5:$M$304="")+(CASHBACK_RULES!$M$5:$M$304&lt;=$L432))&gt;0),0),0),0))))</f>
        <v>0</v>
      </c>
      <c r="AD432" s="51" t="str">
        <f>IF(OR($B432="",$D432=""),"",IFERROR(IF(INDEX(CARDS!$H$5:$H$34,MATCH($D432,CARDS!$A$5:$A$34,0))="","",IF(DAY($B432)&lt;=INDEX(CARDS!$H$5:$H$34,MATCH($D432,CARDS!$A$5:$A$34,0)),DATE(YEAR($B432),MONTH($B432),MIN(INDEX(CARDS!$H$5:$H$34,MATCH($D432,CARDS!$A$5:$A$34,0)),DAY(EOMONTH($B432,0)))),DATE(YEAR($B432),MONTH($B432)+1,MIN(INDEX(CARDS!$H$5:$H$34,MATCH($D432,CARDS!$A$5:$A$34,0)),DAY(EOMONTH($B432,1)))))),""))</f>
        <v/>
      </c>
      <c r="AE432" s="52" t="str">
        <f>IF($C432="","",$C432&amp;"|"&amp;COUNTIF($C$5:$C432,$C432))</f>
        <v/>
      </c>
      <c r="AF432" s="53">
        <f>IF($AC432&gt;0,SUMIFS(Q$4:Q431,$D$4:$D431,$D432,$Z$4:$Z431,$Z432,$C$4:$C431,$C432),0)</f>
        <v>0</v>
      </c>
      <c r="AG432" s="53">
        <f>IF($AC432&gt;0,SUMIFS(Q$4:Q431,$D$4:$D431,$D432,$C$4:$C431,$C432),0)</f>
        <v>0</v>
      </c>
      <c r="AH432" s="53">
        <f>IF($AC432&gt;0,SUMIFS(M$4:M431,$D$4:$D431,$D432,$Z$4:$Z431,$Z432,$C$4:$C431,$C432),0)</f>
        <v>0</v>
      </c>
      <c r="AI432" s="43">
        <f>IF(OR($C432="",$I432=""),0,IF(COUNTIFS($C$5:$C432,$C432,$I$5:$I432,$I432)=1,1,0))</f>
        <v>0</v>
      </c>
      <c r="AJ432" s="43" t="str">
        <f>IF($AI432=1,SUMIFS($AI$4:$AI431,$C$4:$C431,$C432)+1,"")</f>
        <v/>
      </c>
      <c r="AK432" s="43">
        <f>IF(OR($C432="",$K432=""),0,IF(COUNTIFS($C$5:$C432,$C432,$K$5:$K432,$K432)=1,1,0))</f>
        <v>0</v>
      </c>
      <c r="AL432" s="43" t="str">
        <f>IF($AK432=1,SUMIFS($AK$4:$AK431,$C$4:$C431,$C432)+1,"")</f>
        <v/>
      </c>
      <c r="AM432" s="43">
        <f>IF(OR($C432="",$G432=""),0,IF(COUNTIFS($C$5:$C432,$C432,$G$5:$G432,$G432)=1,1,0))</f>
        <v>0</v>
      </c>
      <c r="AN432" s="43" t="str">
        <f>IF($AM432=1,SUMIFS($AM$4:$AM431,$C$4:$C431,$C432)+1,"")</f>
        <v/>
      </c>
    </row>
    <row r="433">
      <c r="A433" s="44" t="str">
        <f>IF(OR($B433="",$D433=""),"","TX"&amp;TEXT(ROW()-4,"0000"))</f>
        <v/>
      </c>
      <c r="B433" s="42" t="n"/>
      <c r="C433" s="47" t="str">
        <f>IF($B433="","",YEAR($B433)*100+MONTH($B433))</f>
        <v/>
      </c>
      <c r="D433" s="37" t="n"/>
      <c r="E433" s="45" t="str">
        <f>IF($D433="","",IFERROR(INDEX(CARDS!$B$5:$B$34,MATCH($D433,CARDS!$A$5:$A$34,0)),"⚠ Card ID?"))</f>
        <v/>
      </c>
      <c r="F433" s="45" t="str">
        <f>IF($D433="","",IFERROR(INDEX(CARDS!$C$5:$C$34,MATCH($D433,CARDS!$A$5:$A$34,0)),"⚠ Card ID?"))</f>
        <v/>
      </c>
      <c r="G433" s="37" t="n"/>
      <c r="H433" s="37" t="n"/>
      <c r="I433" s="41" t="n"/>
      <c r="J433" s="45" t="str">
        <f>IF($I433="","",IFERROR(INDEX(MCC_MASTER!$B$5:$B$504,MATCH($I433,MCC_MASTER!$A$5:$A$504,0)),"⚠ MCC chưa có"))</f>
        <v/>
      </c>
      <c r="K433" s="45" t="str">
        <f>IF($I433="","",IFERROR(IF(INDEX(MCC_MASTER!$C$5:$C$504,MATCH($I433,MCC_MASTER!$A$5:$A$504,0))="","Chưa phân loại",INDEX(MCC_MASTER!$C$5:$C$504,MATCH($I433,MCC_MASTER!$A$5:$A$504,0))),"Chưa phân loại"))</f>
        <v/>
      </c>
      <c r="L433" s="40" t="n"/>
      <c r="M433" s="48" t="str">
        <f>IF(OR($B433="",$D433=""),"",IF($AC433=0,0,IF(ISNUMBER(INDEX(CASHBACK_RULES!$L$5:$L$304,$AC433)),MAX(0,MIN($L433,INDEX(CASHBACK_RULES!$L$5:$L$304,$AC433)-$AH433)),MAX(0,$L433))))</f>
        <v/>
      </c>
      <c r="N433" s="49" t="str">
        <f>IF(OR($B433="",$D433=""),"",IF($AC433&gt;0,INDEX(CASHBACK_RULES!$I$5:$I$304,$AC433),0))</f>
        <v/>
      </c>
      <c r="O433" s="48" t="str">
        <f>IF(OR($B433="",$D433=""),"",ROUND($M433*$N433,0))</f>
        <v/>
      </c>
      <c r="P433" s="48" t="str">
        <f>IF($AC433&gt;0,IF(ISNUMBER(INDEX(CASHBACK_RULES!$J$5:$J$304,$AC433)),INDEX(CASHBACK_RULES!$J$5:$J$304,$AC433),"∞"),"")</f>
        <v/>
      </c>
      <c r="Q433" s="48" t="str">
        <f>IF(OR($B433="",$D433=""),"",IF($AC433=0,0,MAX(0,MIN($O433,IF(ISNUMBER($P433),$P433-$AF433,1E+15),IF(ISNUMBER($AA433),$AA433-$AG433,1E+15)))))</f>
        <v/>
      </c>
      <c r="R433" s="48" t="str">
        <f>IF(OR($B433="",$D433=""),"",IF($AC433=0,"",IF(AND(NOT(ISNUMBER($P433)),NOT(ISNUMBER($AA433))),"∞",MAX(0,MIN(IF(ISNUMBER($P433),$P433-$AF433-$Q433,1E+15),IF(ISNUMBER($AA433),$AA433-$AG433-$Q433,1E+15))))))</f>
        <v/>
      </c>
      <c r="S433" s="47" t="str">
        <f>IF($AD433="","",YEAR($AD433)*100+MONTH($AD433))</f>
        <v/>
      </c>
      <c r="T433" s="50" t="str">
        <f>IF($AD433="","",IFERROR(IF(INDEX(CARDS!$I$5:$I$34,MATCH($D433,CARDS!$A$5:$A$34,0))="","",IF(INDEX(CARDS!$I$5:$I$34,MATCH($D433,CARDS!$A$5:$A$34,0))&gt;INDEX(CARDS!$H$5:$H$34,MATCH($D433,CARDS!$A$5:$A$34,0)),DATE(YEAR($AD433),MONTH($AD433),MIN(INDEX(CARDS!$I$5:$I$34,MATCH($D433,CARDS!$A$5:$A$34,0)),DAY(EOMONTH($AD433,0)))),DATE(YEAR($AD433),MONTH($AD433)+1,MIN(INDEX(CARDS!$I$5:$I$34,MATCH($D433,CARDS!$A$5:$A$34,0)),DAY(EOMONTH($AD433,1)))))),""))</f>
        <v/>
      </c>
      <c r="U433" s="38" t="n"/>
      <c r="V433" s="37" t="n"/>
      <c r="W433" s="38" t="n"/>
      <c r="X433" s="38" t="n"/>
      <c r="Y433" s="44" t="str">
        <f>IF($AC433&gt;0,INDEX(CASHBACK_RULES!$A$5:$A$304,$AC433),"")</f>
        <v/>
      </c>
      <c r="Z433" s="45" t="str">
        <f>IF($AC433&gt;0,INDEX(CASHBACK_RULES!$E$5:$E$304,$AC433)&amp;"","")</f>
        <v/>
      </c>
      <c r="AA433" s="48" t="str">
        <f>IF($AC433&gt;0,IF(ISNUMBER(INDEX(CASHBACK_RULES!$K$5:$K$304,$AC433)),INDEX(CASHBACK_RULES!$K$5:$K$304,$AC433),"∞"),"")</f>
        <v/>
      </c>
      <c r="AB433" s="44" t="str">
        <f>IF(OR($B433="",$D433=""),"",IF($U433="Cancelled","Đã hủy",IF($AC433=0,"Không được hoàn",IF($Q433=0,IF(OR($O433&gt;0,$M433&lt;$L433),"Đã đạt cap","Không được hoàn"),IF(OR($Q433&lt;$O433,$M433&lt;$L433),"Hoàn một phần","Được hoàn")))))</f>
        <v/>
      </c>
      <c r="AC433" s="43">
        <f>IF(OR($B433="",$D433="",$I433="",$L433=""),0,IF($U433="Cancelled",0,IF($W433&lt;&gt;"",IFERROR(IF(INDEX(CASHBACK_RULES!$B$5:$B$304,MATCH($W433,CASHBACK_RULES!$A$5:$A$304,0))=$D433,MATCH($W433,CASHBACK_RULES!$A$5:$A$304,0),0),0),IFERROR(MATCH(1,INDEX((CASHBACK_RULES!$B$5:$B$304=$D433)*(CASHBACK_RULES!$G$5:$G$304=$I433)*(((CASHBACK_RULES!$N$5:$N$304="")+(CASHBACK_RULES!$N$5:$N$304&lt;=$B433))&gt;0)*(((CASHBACK_RULES!$O$5:$O$304="")+(CASHBACK_RULES!$O$5:$O$304&gt;=$B433))&gt;0)*(((CASHBACK_RULES!$M$5:$M$304="")+(CASHBACK_RULES!$M$5:$M$304&lt;=$L433))&gt;0),0),0),0))))</f>
        <v>0</v>
      </c>
      <c r="AD433" s="51" t="str">
        <f>IF(OR($B433="",$D433=""),"",IFERROR(IF(INDEX(CARDS!$H$5:$H$34,MATCH($D433,CARDS!$A$5:$A$34,0))="","",IF(DAY($B433)&lt;=INDEX(CARDS!$H$5:$H$34,MATCH($D433,CARDS!$A$5:$A$34,0)),DATE(YEAR($B433),MONTH($B433),MIN(INDEX(CARDS!$H$5:$H$34,MATCH($D433,CARDS!$A$5:$A$34,0)),DAY(EOMONTH($B433,0)))),DATE(YEAR($B433),MONTH($B433)+1,MIN(INDEX(CARDS!$H$5:$H$34,MATCH($D433,CARDS!$A$5:$A$34,0)),DAY(EOMONTH($B433,1)))))),""))</f>
        <v/>
      </c>
      <c r="AE433" s="52" t="str">
        <f>IF($C433="","",$C433&amp;"|"&amp;COUNTIF($C$5:$C433,$C433))</f>
        <v/>
      </c>
      <c r="AF433" s="53">
        <f>IF($AC433&gt;0,SUMIFS(Q$4:Q432,$D$4:$D432,$D433,$Z$4:$Z432,$Z433,$C$4:$C432,$C433),0)</f>
        <v>0</v>
      </c>
      <c r="AG433" s="53">
        <f>IF($AC433&gt;0,SUMIFS(Q$4:Q432,$D$4:$D432,$D433,$C$4:$C432,$C433),0)</f>
        <v>0</v>
      </c>
      <c r="AH433" s="53">
        <f>IF($AC433&gt;0,SUMIFS(M$4:M432,$D$4:$D432,$D433,$Z$4:$Z432,$Z433,$C$4:$C432,$C433),0)</f>
        <v>0</v>
      </c>
      <c r="AI433" s="43">
        <f>IF(OR($C433="",$I433=""),0,IF(COUNTIFS($C$5:$C433,$C433,$I$5:$I433,$I433)=1,1,0))</f>
        <v>0</v>
      </c>
      <c r="AJ433" s="43" t="str">
        <f>IF($AI433=1,SUMIFS($AI$4:$AI432,$C$4:$C432,$C433)+1,"")</f>
        <v/>
      </c>
      <c r="AK433" s="43">
        <f>IF(OR($C433="",$K433=""),0,IF(COUNTIFS($C$5:$C433,$C433,$K$5:$K433,$K433)=1,1,0))</f>
        <v>0</v>
      </c>
      <c r="AL433" s="43" t="str">
        <f>IF($AK433=1,SUMIFS($AK$4:$AK432,$C$4:$C432,$C433)+1,"")</f>
        <v/>
      </c>
      <c r="AM433" s="43">
        <f>IF(OR($C433="",$G433=""),0,IF(COUNTIFS($C$5:$C433,$C433,$G$5:$G433,$G433)=1,1,0))</f>
        <v>0</v>
      </c>
      <c r="AN433" s="43" t="str">
        <f>IF($AM433=1,SUMIFS($AM$4:$AM432,$C$4:$C432,$C433)+1,"")</f>
        <v/>
      </c>
    </row>
    <row r="434">
      <c r="A434" s="44" t="str">
        <f>IF(OR($B434="",$D434=""),"","TX"&amp;TEXT(ROW()-4,"0000"))</f>
        <v/>
      </c>
      <c r="B434" s="42" t="n"/>
      <c r="C434" s="47" t="str">
        <f>IF($B434="","",YEAR($B434)*100+MONTH($B434))</f>
        <v/>
      </c>
      <c r="D434" s="37" t="n"/>
      <c r="E434" s="45" t="str">
        <f>IF($D434="","",IFERROR(INDEX(CARDS!$B$5:$B$34,MATCH($D434,CARDS!$A$5:$A$34,0)),"⚠ Card ID?"))</f>
        <v/>
      </c>
      <c r="F434" s="45" t="str">
        <f>IF($D434="","",IFERROR(INDEX(CARDS!$C$5:$C$34,MATCH($D434,CARDS!$A$5:$A$34,0)),"⚠ Card ID?"))</f>
        <v/>
      </c>
      <c r="G434" s="37" t="n"/>
      <c r="H434" s="37" t="n"/>
      <c r="I434" s="41" t="n"/>
      <c r="J434" s="45" t="str">
        <f>IF($I434="","",IFERROR(INDEX(MCC_MASTER!$B$5:$B$504,MATCH($I434,MCC_MASTER!$A$5:$A$504,0)),"⚠ MCC chưa có"))</f>
        <v/>
      </c>
      <c r="K434" s="45" t="str">
        <f>IF($I434="","",IFERROR(IF(INDEX(MCC_MASTER!$C$5:$C$504,MATCH($I434,MCC_MASTER!$A$5:$A$504,0))="","Chưa phân loại",INDEX(MCC_MASTER!$C$5:$C$504,MATCH($I434,MCC_MASTER!$A$5:$A$504,0))),"Chưa phân loại"))</f>
        <v/>
      </c>
      <c r="L434" s="40" t="n"/>
      <c r="M434" s="48" t="str">
        <f>IF(OR($B434="",$D434=""),"",IF($AC434=0,0,IF(ISNUMBER(INDEX(CASHBACK_RULES!$L$5:$L$304,$AC434)),MAX(0,MIN($L434,INDEX(CASHBACK_RULES!$L$5:$L$304,$AC434)-$AH434)),MAX(0,$L434))))</f>
        <v/>
      </c>
      <c r="N434" s="49" t="str">
        <f>IF(OR($B434="",$D434=""),"",IF($AC434&gt;0,INDEX(CASHBACK_RULES!$I$5:$I$304,$AC434),0))</f>
        <v/>
      </c>
      <c r="O434" s="48" t="str">
        <f>IF(OR($B434="",$D434=""),"",ROUND($M434*$N434,0))</f>
        <v/>
      </c>
      <c r="P434" s="48" t="str">
        <f>IF($AC434&gt;0,IF(ISNUMBER(INDEX(CASHBACK_RULES!$J$5:$J$304,$AC434)),INDEX(CASHBACK_RULES!$J$5:$J$304,$AC434),"∞"),"")</f>
        <v/>
      </c>
      <c r="Q434" s="48" t="str">
        <f>IF(OR($B434="",$D434=""),"",IF($AC434=0,0,MAX(0,MIN($O434,IF(ISNUMBER($P434),$P434-$AF434,1E+15),IF(ISNUMBER($AA434),$AA434-$AG434,1E+15)))))</f>
        <v/>
      </c>
      <c r="R434" s="48" t="str">
        <f>IF(OR($B434="",$D434=""),"",IF($AC434=0,"",IF(AND(NOT(ISNUMBER($P434)),NOT(ISNUMBER($AA434))),"∞",MAX(0,MIN(IF(ISNUMBER($P434),$P434-$AF434-$Q434,1E+15),IF(ISNUMBER($AA434),$AA434-$AG434-$Q434,1E+15))))))</f>
        <v/>
      </c>
      <c r="S434" s="47" t="str">
        <f>IF($AD434="","",YEAR($AD434)*100+MONTH($AD434))</f>
        <v/>
      </c>
      <c r="T434" s="50" t="str">
        <f>IF($AD434="","",IFERROR(IF(INDEX(CARDS!$I$5:$I$34,MATCH($D434,CARDS!$A$5:$A$34,0))="","",IF(INDEX(CARDS!$I$5:$I$34,MATCH($D434,CARDS!$A$5:$A$34,0))&gt;INDEX(CARDS!$H$5:$H$34,MATCH($D434,CARDS!$A$5:$A$34,0)),DATE(YEAR($AD434),MONTH($AD434),MIN(INDEX(CARDS!$I$5:$I$34,MATCH($D434,CARDS!$A$5:$A$34,0)),DAY(EOMONTH($AD434,0)))),DATE(YEAR($AD434),MONTH($AD434)+1,MIN(INDEX(CARDS!$I$5:$I$34,MATCH($D434,CARDS!$A$5:$A$34,0)),DAY(EOMONTH($AD434,1)))))),""))</f>
        <v/>
      </c>
      <c r="U434" s="38" t="n"/>
      <c r="V434" s="37" t="n"/>
      <c r="W434" s="38" t="n"/>
      <c r="X434" s="38" t="n"/>
      <c r="Y434" s="44" t="str">
        <f>IF($AC434&gt;0,INDEX(CASHBACK_RULES!$A$5:$A$304,$AC434),"")</f>
        <v/>
      </c>
      <c r="Z434" s="45" t="str">
        <f>IF($AC434&gt;0,INDEX(CASHBACK_RULES!$E$5:$E$304,$AC434)&amp;"","")</f>
        <v/>
      </c>
      <c r="AA434" s="48" t="str">
        <f>IF($AC434&gt;0,IF(ISNUMBER(INDEX(CASHBACK_RULES!$K$5:$K$304,$AC434)),INDEX(CASHBACK_RULES!$K$5:$K$304,$AC434),"∞"),"")</f>
        <v/>
      </c>
      <c r="AB434" s="44" t="str">
        <f>IF(OR($B434="",$D434=""),"",IF($U434="Cancelled","Đã hủy",IF($AC434=0,"Không được hoàn",IF($Q434=0,IF(OR($O434&gt;0,$M434&lt;$L434),"Đã đạt cap","Không được hoàn"),IF(OR($Q434&lt;$O434,$M434&lt;$L434),"Hoàn một phần","Được hoàn")))))</f>
        <v/>
      </c>
      <c r="AC434" s="43">
        <f>IF(OR($B434="",$D434="",$I434="",$L434=""),0,IF($U434="Cancelled",0,IF($W434&lt;&gt;"",IFERROR(IF(INDEX(CASHBACK_RULES!$B$5:$B$304,MATCH($W434,CASHBACK_RULES!$A$5:$A$304,0))=$D434,MATCH($W434,CASHBACK_RULES!$A$5:$A$304,0),0),0),IFERROR(MATCH(1,INDEX((CASHBACK_RULES!$B$5:$B$304=$D434)*(CASHBACK_RULES!$G$5:$G$304=$I434)*(((CASHBACK_RULES!$N$5:$N$304="")+(CASHBACK_RULES!$N$5:$N$304&lt;=$B434))&gt;0)*(((CASHBACK_RULES!$O$5:$O$304="")+(CASHBACK_RULES!$O$5:$O$304&gt;=$B434))&gt;0)*(((CASHBACK_RULES!$M$5:$M$304="")+(CASHBACK_RULES!$M$5:$M$304&lt;=$L434))&gt;0),0),0),0))))</f>
        <v>0</v>
      </c>
      <c r="AD434" s="51" t="str">
        <f>IF(OR($B434="",$D434=""),"",IFERROR(IF(INDEX(CARDS!$H$5:$H$34,MATCH($D434,CARDS!$A$5:$A$34,0))="","",IF(DAY($B434)&lt;=INDEX(CARDS!$H$5:$H$34,MATCH($D434,CARDS!$A$5:$A$34,0)),DATE(YEAR($B434),MONTH($B434),MIN(INDEX(CARDS!$H$5:$H$34,MATCH($D434,CARDS!$A$5:$A$34,0)),DAY(EOMONTH($B434,0)))),DATE(YEAR($B434),MONTH($B434)+1,MIN(INDEX(CARDS!$H$5:$H$34,MATCH($D434,CARDS!$A$5:$A$34,0)),DAY(EOMONTH($B434,1)))))),""))</f>
        <v/>
      </c>
      <c r="AE434" s="52" t="str">
        <f>IF($C434="","",$C434&amp;"|"&amp;COUNTIF($C$5:$C434,$C434))</f>
        <v/>
      </c>
      <c r="AF434" s="53">
        <f>IF($AC434&gt;0,SUMIFS(Q$4:Q433,$D$4:$D433,$D434,$Z$4:$Z433,$Z434,$C$4:$C433,$C434),0)</f>
        <v>0</v>
      </c>
      <c r="AG434" s="53">
        <f>IF($AC434&gt;0,SUMIFS(Q$4:Q433,$D$4:$D433,$D434,$C$4:$C433,$C434),0)</f>
        <v>0</v>
      </c>
      <c r="AH434" s="53">
        <f>IF($AC434&gt;0,SUMIFS(M$4:M433,$D$4:$D433,$D434,$Z$4:$Z433,$Z434,$C$4:$C433,$C434),0)</f>
        <v>0</v>
      </c>
      <c r="AI434" s="43">
        <f>IF(OR($C434="",$I434=""),0,IF(COUNTIFS($C$5:$C434,$C434,$I$5:$I434,$I434)=1,1,0))</f>
        <v>0</v>
      </c>
      <c r="AJ434" s="43" t="str">
        <f>IF($AI434=1,SUMIFS($AI$4:$AI433,$C$4:$C433,$C434)+1,"")</f>
        <v/>
      </c>
      <c r="AK434" s="43">
        <f>IF(OR($C434="",$K434=""),0,IF(COUNTIFS($C$5:$C434,$C434,$K$5:$K434,$K434)=1,1,0))</f>
        <v>0</v>
      </c>
      <c r="AL434" s="43" t="str">
        <f>IF($AK434=1,SUMIFS($AK$4:$AK433,$C$4:$C433,$C434)+1,"")</f>
        <v/>
      </c>
      <c r="AM434" s="43">
        <f>IF(OR($C434="",$G434=""),0,IF(COUNTIFS($C$5:$C434,$C434,$G$5:$G434,$G434)=1,1,0))</f>
        <v>0</v>
      </c>
      <c r="AN434" s="43" t="str">
        <f>IF($AM434=1,SUMIFS($AM$4:$AM433,$C$4:$C433,$C434)+1,"")</f>
        <v/>
      </c>
    </row>
    <row r="435">
      <c r="A435" s="44" t="str">
        <f>IF(OR($B435="",$D435=""),"","TX"&amp;TEXT(ROW()-4,"0000"))</f>
        <v/>
      </c>
      <c r="B435" s="42" t="n"/>
      <c r="C435" s="47" t="str">
        <f>IF($B435="","",YEAR($B435)*100+MONTH($B435))</f>
        <v/>
      </c>
      <c r="D435" s="37" t="n"/>
      <c r="E435" s="45" t="str">
        <f>IF($D435="","",IFERROR(INDEX(CARDS!$B$5:$B$34,MATCH($D435,CARDS!$A$5:$A$34,0)),"⚠ Card ID?"))</f>
        <v/>
      </c>
      <c r="F435" s="45" t="str">
        <f>IF($D435="","",IFERROR(INDEX(CARDS!$C$5:$C$34,MATCH($D435,CARDS!$A$5:$A$34,0)),"⚠ Card ID?"))</f>
        <v/>
      </c>
      <c r="G435" s="37" t="n"/>
      <c r="H435" s="37" t="n"/>
      <c r="I435" s="41" t="n"/>
      <c r="J435" s="45" t="str">
        <f>IF($I435="","",IFERROR(INDEX(MCC_MASTER!$B$5:$B$504,MATCH($I435,MCC_MASTER!$A$5:$A$504,0)),"⚠ MCC chưa có"))</f>
        <v/>
      </c>
      <c r="K435" s="45" t="str">
        <f>IF($I435="","",IFERROR(IF(INDEX(MCC_MASTER!$C$5:$C$504,MATCH($I435,MCC_MASTER!$A$5:$A$504,0))="","Chưa phân loại",INDEX(MCC_MASTER!$C$5:$C$504,MATCH($I435,MCC_MASTER!$A$5:$A$504,0))),"Chưa phân loại"))</f>
        <v/>
      </c>
      <c r="L435" s="40" t="n"/>
      <c r="M435" s="48" t="str">
        <f>IF(OR($B435="",$D435=""),"",IF($AC435=0,0,IF(ISNUMBER(INDEX(CASHBACK_RULES!$L$5:$L$304,$AC435)),MAX(0,MIN($L435,INDEX(CASHBACK_RULES!$L$5:$L$304,$AC435)-$AH435)),MAX(0,$L435))))</f>
        <v/>
      </c>
      <c r="N435" s="49" t="str">
        <f>IF(OR($B435="",$D435=""),"",IF($AC435&gt;0,INDEX(CASHBACK_RULES!$I$5:$I$304,$AC435),0))</f>
        <v/>
      </c>
      <c r="O435" s="48" t="str">
        <f>IF(OR($B435="",$D435=""),"",ROUND($M435*$N435,0))</f>
        <v/>
      </c>
      <c r="P435" s="48" t="str">
        <f>IF($AC435&gt;0,IF(ISNUMBER(INDEX(CASHBACK_RULES!$J$5:$J$304,$AC435)),INDEX(CASHBACK_RULES!$J$5:$J$304,$AC435),"∞"),"")</f>
        <v/>
      </c>
      <c r="Q435" s="48" t="str">
        <f>IF(OR($B435="",$D435=""),"",IF($AC435=0,0,MAX(0,MIN($O435,IF(ISNUMBER($P435),$P435-$AF435,1E+15),IF(ISNUMBER($AA435),$AA435-$AG435,1E+15)))))</f>
        <v/>
      </c>
      <c r="R435" s="48" t="str">
        <f>IF(OR($B435="",$D435=""),"",IF($AC435=0,"",IF(AND(NOT(ISNUMBER($P435)),NOT(ISNUMBER($AA435))),"∞",MAX(0,MIN(IF(ISNUMBER($P435),$P435-$AF435-$Q435,1E+15),IF(ISNUMBER($AA435),$AA435-$AG435-$Q435,1E+15))))))</f>
        <v/>
      </c>
      <c r="S435" s="47" t="str">
        <f>IF($AD435="","",YEAR($AD435)*100+MONTH($AD435))</f>
        <v/>
      </c>
      <c r="T435" s="50" t="str">
        <f>IF($AD435="","",IFERROR(IF(INDEX(CARDS!$I$5:$I$34,MATCH($D435,CARDS!$A$5:$A$34,0))="","",IF(INDEX(CARDS!$I$5:$I$34,MATCH($D435,CARDS!$A$5:$A$34,0))&gt;INDEX(CARDS!$H$5:$H$34,MATCH($D435,CARDS!$A$5:$A$34,0)),DATE(YEAR($AD435),MONTH($AD435),MIN(INDEX(CARDS!$I$5:$I$34,MATCH($D435,CARDS!$A$5:$A$34,0)),DAY(EOMONTH($AD435,0)))),DATE(YEAR($AD435),MONTH($AD435)+1,MIN(INDEX(CARDS!$I$5:$I$34,MATCH($D435,CARDS!$A$5:$A$34,0)),DAY(EOMONTH($AD435,1)))))),""))</f>
        <v/>
      </c>
      <c r="U435" s="38" t="n"/>
      <c r="V435" s="37" t="n"/>
      <c r="W435" s="38" t="n"/>
      <c r="X435" s="38" t="n"/>
      <c r="Y435" s="44" t="str">
        <f>IF($AC435&gt;0,INDEX(CASHBACK_RULES!$A$5:$A$304,$AC435),"")</f>
        <v/>
      </c>
      <c r="Z435" s="45" t="str">
        <f>IF($AC435&gt;0,INDEX(CASHBACK_RULES!$E$5:$E$304,$AC435)&amp;"","")</f>
        <v/>
      </c>
      <c r="AA435" s="48" t="str">
        <f>IF($AC435&gt;0,IF(ISNUMBER(INDEX(CASHBACK_RULES!$K$5:$K$304,$AC435)),INDEX(CASHBACK_RULES!$K$5:$K$304,$AC435),"∞"),"")</f>
        <v/>
      </c>
      <c r="AB435" s="44" t="str">
        <f>IF(OR($B435="",$D435=""),"",IF($U435="Cancelled","Đã hủy",IF($AC435=0,"Không được hoàn",IF($Q435=0,IF(OR($O435&gt;0,$M435&lt;$L435),"Đã đạt cap","Không được hoàn"),IF(OR($Q435&lt;$O435,$M435&lt;$L435),"Hoàn một phần","Được hoàn")))))</f>
        <v/>
      </c>
      <c r="AC435" s="43">
        <f>IF(OR($B435="",$D435="",$I435="",$L435=""),0,IF($U435="Cancelled",0,IF($W435&lt;&gt;"",IFERROR(IF(INDEX(CASHBACK_RULES!$B$5:$B$304,MATCH($W435,CASHBACK_RULES!$A$5:$A$304,0))=$D435,MATCH($W435,CASHBACK_RULES!$A$5:$A$304,0),0),0),IFERROR(MATCH(1,INDEX((CASHBACK_RULES!$B$5:$B$304=$D435)*(CASHBACK_RULES!$G$5:$G$304=$I435)*(((CASHBACK_RULES!$N$5:$N$304="")+(CASHBACK_RULES!$N$5:$N$304&lt;=$B435))&gt;0)*(((CASHBACK_RULES!$O$5:$O$304="")+(CASHBACK_RULES!$O$5:$O$304&gt;=$B435))&gt;0)*(((CASHBACK_RULES!$M$5:$M$304="")+(CASHBACK_RULES!$M$5:$M$304&lt;=$L435))&gt;0),0),0),0))))</f>
        <v>0</v>
      </c>
      <c r="AD435" s="51" t="str">
        <f>IF(OR($B435="",$D435=""),"",IFERROR(IF(INDEX(CARDS!$H$5:$H$34,MATCH($D435,CARDS!$A$5:$A$34,0))="","",IF(DAY($B435)&lt;=INDEX(CARDS!$H$5:$H$34,MATCH($D435,CARDS!$A$5:$A$34,0)),DATE(YEAR($B435),MONTH($B435),MIN(INDEX(CARDS!$H$5:$H$34,MATCH($D435,CARDS!$A$5:$A$34,0)),DAY(EOMONTH($B435,0)))),DATE(YEAR($B435),MONTH($B435)+1,MIN(INDEX(CARDS!$H$5:$H$34,MATCH($D435,CARDS!$A$5:$A$34,0)),DAY(EOMONTH($B435,1)))))),""))</f>
        <v/>
      </c>
      <c r="AE435" s="52" t="str">
        <f>IF($C435="","",$C435&amp;"|"&amp;COUNTIF($C$5:$C435,$C435))</f>
        <v/>
      </c>
      <c r="AF435" s="53">
        <f>IF($AC435&gt;0,SUMIFS(Q$4:Q434,$D$4:$D434,$D435,$Z$4:$Z434,$Z435,$C$4:$C434,$C435),0)</f>
        <v>0</v>
      </c>
      <c r="AG435" s="53">
        <f>IF($AC435&gt;0,SUMIFS(Q$4:Q434,$D$4:$D434,$D435,$C$4:$C434,$C435),0)</f>
        <v>0</v>
      </c>
      <c r="AH435" s="53">
        <f>IF($AC435&gt;0,SUMIFS(M$4:M434,$D$4:$D434,$D435,$Z$4:$Z434,$Z435,$C$4:$C434,$C435),0)</f>
        <v>0</v>
      </c>
      <c r="AI435" s="43">
        <f>IF(OR($C435="",$I435=""),0,IF(COUNTIFS($C$5:$C435,$C435,$I$5:$I435,$I435)=1,1,0))</f>
        <v>0</v>
      </c>
      <c r="AJ435" s="43" t="str">
        <f>IF($AI435=1,SUMIFS($AI$4:$AI434,$C$4:$C434,$C435)+1,"")</f>
        <v/>
      </c>
      <c r="AK435" s="43">
        <f>IF(OR($C435="",$K435=""),0,IF(COUNTIFS($C$5:$C435,$C435,$K$5:$K435,$K435)=1,1,0))</f>
        <v>0</v>
      </c>
      <c r="AL435" s="43" t="str">
        <f>IF($AK435=1,SUMIFS($AK$4:$AK434,$C$4:$C434,$C435)+1,"")</f>
        <v/>
      </c>
      <c r="AM435" s="43">
        <f>IF(OR($C435="",$G435=""),0,IF(COUNTIFS($C$5:$C435,$C435,$G$5:$G435,$G435)=1,1,0))</f>
        <v>0</v>
      </c>
      <c r="AN435" s="43" t="str">
        <f>IF($AM435=1,SUMIFS($AM$4:$AM434,$C$4:$C434,$C435)+1,"")</f>
        <v/>
      </c>
    </row>
    <row r="436">
      <c r="A436" s="44" t="str">
        <f>IF(OR($B436="",$D436=""),"","TX"&amp;TEXT(ROW()-4,"0000"))</f>
        <v/>
      </c>
      <c r="B436" s="42" t="n"/>
      <c r="C436" s="47" t="str">
        <f>IF($B436="","",YEAR($B436)*100+MONTH($B436))</f>
        <v/>
      </c>
      <c r="D436" s="37" t="n"/>
      <c r="E436" s="45" t="str">
        <f>IF($D436="","",IFERROR(INDEX(CARDS!$B$5:$B$34,MATCH($D436,CARDS!$A$5:$A$34,0)),"⚠ Card ID?"))</f>
        <v/>
      </c>
      <c r="F436" s="45" t="str">
        <f>IF($D436="","",IFERROR(INDEX(CARDS!$C$5:$C$34,MATCH($D436,CARDS!$A$5:$A$34,0)),"⚠ Card ID?"))</f>
        <v/>
      </c>
      <c r="G436" s="37" t="n"/>
      <c r="H436" s="37" t="n"/>
      <c r="I436" s="41" t="n"/>
      <c r="J436" s="45" t="str">
        <f>IF($I436="","",IFERROR(INDEX(MCC_MASTER!$B$5:$B$504,MATCH($I436,MCC_MASTER!$A$5:$A$504,0)),"⚠ MCC chưa có"))</f>
        <v/>
      </c>
      <c r="K436" s="45" t="str">
        <f>IF($I436="","",IFERROR(IF(INDEX(MCC_MASTER!$C$5:$C$504,MATCH($I436,MCC_MASTER!$A$5:$A$504,0))="","Chưa phân loại",INDEX(MCC_MASTER!$C$5:$C$504,MATCH($I436,MCC_MASTER!$A$5:$A$504,0))),"Chưa phân loại"))</f>
        <v/>
      </c>
      <c r="L436" s="40" t="n"/>
      <c r="M436" s="48" t="str">
        <f>IF(OR($B436="",$D436=""),"",IF($AC436=0,0,IF(ISNUMBER(INDEX(CASHBACK_RULES!$L$5:$L$304,$AC436)),MAX(0,MIN($L436,INDEX(CASHBACK_RULES!$L$5:$L$304,$AC436)-$AH436)),MAX(0,$L436))))</f>
        <v/>
      </c>
      <c r="N436" s="49" t="str">
        <f>IF(OR($B436="",$D436=""),"",IF($AC436&gt;0,INDEX(CASHBACK_RULES!$I$5:$I$304,$AC436),0))</f>
        <v/>
      </c>
      <c r="O436" s="48" t="str">
        <f>IF(OR($B436="",$D436=""),"",ROUND($M436*$N436,0))</f>
        <v/>
      </c>
      <c r="P436" s="48" t="str">
        <f>IF($AC436&gt;0,IF(ISNUMBER(INDEX(CASHBACK_RULES!$J$5:$J$304,$AC436)),INDEX(CASHBACK_RULES!$J$5:$J$304,$AC436),"∞"),"")</f>
        <v/>
      </c>
      <c r="Q436" s="48" t="str">
        <f>IF(OR($B436="",$D436=""),"",IF($AC436=0,0,MAX(0,MIN($O436,IF(ISNUMBER($P436),$P436-$AF436,1E+15),IF(ISNUMBER($AA436),$AA436-$AG436,1E+15)))))</f>
        <v/>
      </c>
      <c r="R436" s="48" t="str">
        <f>IF(OR($B436="",$D436=""),"",IF($AC436=0,"",IF(AND(NOT(ISNUMBER($P436)),NOT(ISNUMBER($AA436))),"∞",MAX(0,MIN(IF(ISNUMBER($P436),$P436-$AF436-$Q436,1E+15),IF(ISNUMBER($AA436),$AA436-$AG436-$Q436,1E+15))))))</f>
        <v/>
      </c>
      <c r="S436" s="47" t="str">
        <f>IF($AD436="","",YEAR($AD436)*100+MONTH($AD436))</f>
        <v/>
      </c>
      <c r="T436" s="50" t="str">
        <f>IF($AD436="","",IFERROR(IF(INDEX(CARDS!$I$5:$I$34,MATCH($D436,CARDS!$A$5:$A$34,0))="","",IF(INDEX(CARDS!$I$5:$I$34,MATCH($D436,CARDS!$A$5:$A$34,0))&gt;INDEX(CARDS!$H$5:$H$34,MATCH($D436,CARDS!$A$5:$A$34,0)),DATE(YEAR($AD436),MONTH($AD436),MIN(INDEX(CARDS!$I$5:$I$34,MATCH($D436,CARDS!$A$5:$A$34,0)),DAY(EOMONTH($AD436,0)))),DATE(YEAR($AD436),MONTH($AD436)+1,MIN(INDEX(CARDS!$I$5:$I$34,MATCH($D436,CARDS!$A$5:$A$34,0)),DAY(EOMONTH($AD436,1)))))),""))</f>
        <v/>
      </c>
      <c r="U436" s="38" t="n"/>
      <c r="V436" s="37" t="n"/>
      <c r="W436" s="38" t="n"/>
      <c r="X436" s="38" t="n"/>
      <c r="Y436" s="44" t="str">
        <f>IF($AC436&gt;0,INDEX(CASHBACK_RULES!$A$5:$A$304,$AC436),"")</f>
        <v/>
      </c>
      <c r="Z436" s="45" t="str">
        <f>IF($AC436&gt;0,INDEX(CASHBACK_RULES!$E$5:$E$304,$AC436)&amp;"","")</f>
        <v/>
      </c>
      <c r="AA436" s="48" t="str">
        <f>IF($AC436&gt;0,IF(ISNUMBER(INDEX(CASHBACK_RULES!$K$5:$K$304,$AC436)),INDEX(CASHBACK_RULES!$K$5:$K$304,$AC436),"∞"),"")</f>
        <v/>
      </c>
      <c r="AB436" s="44" t="str">
        <f>IF(OR($B436="",$D436=""),"",IF($U436="Cancelled","Đã hủy",IF($AC436=0,"Không được hoàn",IF($Q436=0,IF(OR($O436&gt;0,$M436&lt;$L436),"Đã đạt cap","Không được hoàn"),IF(OR($Q436&lt;$O436,$M436&lt;$L436),"Hoàn một phần","Được hoàn")))))</f>
        <v/>
      </c>
      <c r="AC436" s="43">
        <f>IF(OR($B436="",$D436="",$I436="",$L436=""),0,IF($U436="Cancelled",0,IF($W436&lt;&gt;"",IFERROR(IF(INDEX(CASHBACK_RULES!$B$5:$B$304,MATCH($W436,CASHBACK_RULES!$A$5:$A$304,0))=$D436,MATCH($W436,CASHBACK_RULES!$A$5:$A$304,0),0),0),IFERROR(MATCH(1,INDEX((CASHBACK_RULES!$B$5:$B$304=$D436)*(CASHBACK_RULES!$G$5:$G$304=$I436)*(((CASHBACK_RULES!$N$5:$N$304="")+(CASHBACK_RULES!$N$5:$N$304&lt;=$B436))&gt;0)*(((CASHBACK_RULES!$O$5:$O$304="")+(CASHBACK_RULES!$O$5:$O$304&gt;=$B436))&gt;0)*(((CASHBACK_RULES!$M$5:$M$304="")+(CASHBACK_RULES!$M$5:$M$304&lt;=$L436))&gt;0),0),0),0))))</f>
        <v>0</v>
      </c>
      <c r="AD436" s="51" t="str">
        <f>IF(OR($B436="",$D436=""),"",IFERROR(IF(INDEX(CARDS!$H$5:$H$34,MATCH($D436,CARDS!$A$5:$A$34,0))="","",IF(DAY($B436)&lt;=INDEX(CARDS!$H$5:$H$34,MATCH($D436,CARDS!$A$5:$A$34,0)),DATE(YEAR($B436),MONTH($B436),MIN(INDEX(CARDS!$H$5:$H$34,MATCH($D436,CARDS!$A$5:$A$34,0)),DAY(EOMONTH($B436,0)))),DATE(YEAR($B436),MONTH($B436)+1,MIN(INDEX(CARDS!$H$5:$H$34,MATCH($D436,CARDS!$A$5:$A$34,0)),DAY(EOMONTH($B436,1)))))),""))</f>
        <v/>
      </c>
      <c r="AE436" s="52" t="str">
        <f>IF($C436="","",$C436&amp;"|"&amp;COUNTIF($C$5:$C436,$C436))</f>
        <v/>
      </c>
      <c r="AF436" s="53">
        <f>IF($AC436&gt;0,SUMIFS(Q$4:Q435,$D$4:$D435,$D436,$Z$4:$Z435,$Z436,$C$4:$C435,$C436),0)</f>
        <v>0</v>
      </c>
      <c r="AG436" s="53">
        <f>IF($AC436&gt;0,SUMIFS(Q$4:Q435,$D$4:$D435,$D436,$C$4:$C435,$C436),0)</f>
        <v>0</v>
      </c>
      <c r="AH436" s="53">
        <f>IF($AC436&gt;0,SUMIFS(M$4:M435,$D$4:$D435,$D436,$Z$4:$Z435,$Z436,$C$4:$C435,$C436),0)</f>
        <v>0</v>
      </c>
      <c r="AI436" s="43">
        <f>IF(OR($C436="",$I436=""),0,IF(COUNTIFS($C$5:$C436,$C436,$I$5:$I436,$I436)=1,1,0))</f>
        <v>0</v>
      </c>
      <c r="AJ436" s="43" t="str">
        <f>IF($AI436=1,SUMIFS($AI$4:$AI435,$C$4:$C435,$C436)+1,"")</f>
        <v/>
      </c>
      <c r="AK436" s="43">
        <f>IF(OR($C436="",$K436=""),0,IF(COUNTIFS($C$5:$C436,$C436,$K$5:$K436,$K436)=1,1,0))</f>
        <v>0</v>
      </c>
      <c r="AL436" s="43" t="str">
        <f>IF($AK436=1,SUMIFS($AK$4:$AK435,$C$4:$C435,$C436)+1,"")</f>
        <v/>
      </c>
      <c r="AM436" s="43">
        <f>IF(OR($C436="",$G436=""),0,IF(COUNTIFS($C$5:$C436,$C436,$G$5:$G436,$G436)=1,1,0))</f>
        <v>0</v>
      </c>
      <c r="AN436" s="43" t="str">
        <f>IF($AM436=1,SUMIFS($AM$4:$AM435,$C$4:$C435,$C436)+1,"")</f>
        <v/>
      </c>
    </row>
    <row r="437">
      <c r="A437" s="44" t="str">
        <f>IF(OR($B437="",$D437=""),"","TX"&amp;TEXT(ROW()-4,"0000"))</f>
        <v/>
      </c>
      <c r="B437" s="42" t="n"/>
      <c r="C437" s="47" t="str">
        <f>IF($B437="","",YEAR($B437)*100+MONTH($B437))</f>
        <v/>
      </c>
      <c r="D437" s="37" t="n"/>
      <c r="E437" s="45" t="str">
        <f>IF($D437="","",IFERROR(INDEX(CARDS!$B$5:$B$34,MATCH($D437,CARDS!$A$5:$A$34,0)),"⚠ Card ID?"))</f>
        <v/>
      </c>
      <c r="F437" s="45" t="str">
        <f>IF($D437="","",IFERROR(INDEX(CARDS!$C$5:$C$34,MATCH($D437,CARDS!$A$5:$A$34,0)),"⚠ Card ID?"))</f>
        <v/>
      </c>
      <c r="G437" s="37" t="n"/>
      <c r="H437" s="37" t="n"/>
      <c r="I437" s="41" t="n"/>
      <c r="J437" s="45" t="str">
        <f>IF($I437="","",IFERROR(INDEX(MCC_MASTER!$B$5:$B$504,MATCH($I437,MCC_MASTER!$A$5:$A$504,0)),"⚠ MCC chưa có"))</f>
        <v/>
      </c>
      <c r="K437" s="45" t="str">
        <f>IF($I437="","",IFERROR(IF(INDEX(MCC_MASTER!$C$5:$C$504,MATCH($I437,MCC_MASTER!$A$5:$A$504,0))="","Chưa phân loại",INDEX(MCC_MASTER!$C$5:$C$504,MATCH($I437,MCC_MASTER!$A$5:$A$504,0))),"Chưa phân loại"))</f>
        <v/>
      </c>
      <c r="L437" s="40" t="n"/>
      <c r="M437" s="48" t="str">
        <f>IF(OR($B437="",$D437=""),"",IF($AC437=0,0,IF(ISNUMBER(INDEX(CASHBACK_RULES!$L$5:$L$304,$AC437)),MAX(0,MIN($L437,INDEX(CASHBACK_RULES!$L$5:$L$304,$AC437)-$AH437)),MAX(0,$L437))))</f>
        <v/>
      </c>
      <c r="N437" s="49" t="str">
        <f>IF(OR($B437="",$D437=""),"",IF($AC437&gt;0,INDEX(CASHBACK_RULES!$I$5:$I$304,$AC437),0))</f>
        <v/>
      </c>
      <c r="O437" s="48" t="str">
        <f>IF(OR($B437="",$D437=""),"",ROUND($M437*$N437,0))</f>
        <v/>
      </c>
      <c r="P437" s="48" t="str">
        <f>IF($AC437&gt;0,IF(ISNUMBER(INDEX(CASHBACK_RULES!$J$5:$J$304,$AC437)),INDEX(CASHBACK_RULES!$J$5:$J$304,$AC437),"∞"),"")</f>
        <v/>
      </c>
      <c r="Q437" s="48" t="str">
        <f>IF(OR($B437="",$D437=""),"",IF($AC437=0,0,MAX(0,MIN($O437,IF(ISNUMBER($P437),$P437-$AF437,1E+15),IF(ISNUMBER($AA437),$AA437-$AG437,1E+15)))))</f>
        <v/>
      </c>
      <c r="R437" s="48" t="str">
        <f>IF(OR($B437="",$D437=""),"",IF($AC437=0,"",IF(AND(NOT(ISNUMBER($P437)),NOT(ISNUMBER($AA437))),"∞",MAX(0,MIN(IF(ISNUMBER($P437),$P437-$AF437-$Q437,1E+15),IF(ISNUMBER($AA437),$AA437-$AG437-$Q437,1E+15))))))</f>
        <v/>
      </c>
      <c r="S437" s="47" t="str">
        <f>IF($AD437="","",YEAR($AD437)*100+MONTH($AD437))</f>
        <v/>
      </c>
      <c r="T437" s="50" t="str">
        <f>IF($AD437="","",IFERROR(IF(INDEX(CARDS!$I$5:$I$34,MATCH($D437,CARDS!$A$5:$A$34,0))="","",IF(INDEX(CARDS!$I$5:$I$34,MATCH($D437,CARDS!$A$5:$A$34,0))&gt;INDEX(CARDS!$H$5:$H$34,MATCH($D437,CARDS!$A$5:$A$34,0)),DATE(YEAR($AD437),MONTH($AD437),MIN(INDEX(CARDS!$I$5:$I$34,MATCH($D437,CARDS!$A$5:$A$34,0)),DAY(EOMONTH($AD437,0)))),DATE(YEAR($AD437),MONTH($AD437)+1,MIN(INDEX(CARDS!$I$5:$I$34,MATCH($D437,CARDS!$A$5:$A$34,0)),DAY(EOMONTH($AD437,1)))))),""))</f>
        <v/>
      </c>
      <c r="U437" s="38" t="n"/>
      <c r="V437" s="37" t="n"/>
      <c r="W437" s="38" t="n"/>
      <c r="X437" s="38" t="n"/>
      <c r="Y437" s="44" t="str">
        <f>IF($AC437&gt;0,INDEX(CASHBACK_RULES!$A$5:$A$304,$AC437),"")</f>
        <v/>
      </c>
      <c r="Z437" s="45" t="str">
        <f>IF($AC437&gt;0,INDEX(CASHBACK_RULES!$E$5:$E$304,$AC437)&amp;"","")</f>
        <v/>
      </c>
      <c r="AA437" s="48" t="str">
        <f>IF($AC437&gt;0,IF(ISNUMBER(INDEX(CASHBACK_RULES!$K$5:$K$304,$AC437)),INDEX(CASHBACK_RULES!$K$5:$K$304,$AC437),"∞"),"")</f>
        <v/>
      </c>
      <c r="AB437" s="44" t="str">
        <f>IF(OR($B437="",$D437=""),"",IF($U437="Cancelled","Đã hủy",IF($AC437=0,"Không được hoàn",IF($Q437=0,IF(OR($O437&gt;0,$M437&lt;$L437),"Đã đạt cap","Không được hoàn"),IF(OR($Q437&lt;$O437,$M437&lt;$L437),"Hoàn một phần","Được hoàn")))))</f>
        <v/>
      </c>
      <c r="AC437" s="43">
        <f>IF(OR($B437="",$D437="",$I437="",$L437=""),0,IF($U437="Cancelled",0,IF($W437&lt;&gt;"",IFERROR(IF(INDEX(CASHBACK_RULES!$B$5:$B$304,MATCH($W437,CASHBACK_RULES!$A$5:$A$304,0))=$D437,MATCH($W437,CASHBACK_RULES!$A$5:$A$304,0),0),0),IFERROR(MATCH(1,INDEX((CASHBACK_RULES!$B$5:$B$304=$D437)*(CASHBACK_RULES!$G$5:$G$304=$I437)*(((CASHBACK_RULES!$N$5:$N$304="")+(CASHBACK_RULES!$N$5:$N$304&lt;=$B437))&gt;0)*(((CASHBACK_RULES!$O$5:$O$304="")+(CASHBACK_RULES!$O$5:$O$304&gt;=$B437))&gt;0)*(((CASHBACK_RULES!$M$5:$M$304="")+(CASHBACK_RULES!$M$5:$M$304&lt;=$L437))&gt;0),0),0),0))))</f>
        <v>0</v>
      </c>
      <c r="AD437" s="51" t="str">
        <f>IF(OR($B437="",$D437=""),"",IFERROR(IF(INDEX(CARDS!$H$5:$H$34,MATCH($D437,CARDS!$A$5:$A$34,0))="","",IF(DAY($B437)&lt;=INDEX(CARDS!$H$5:$H$34,MATCH($D437,CARDS!$A$5:$A$34,0)),DATE(YEAR($B437),MONTH($B437),MIN(INDEX(CARDS!$H$5:$H$34,MATCH($D437,CARDS!$A$5:$A$34,0)),DAY(EOMONTH($B437,0)))),DATE(YEAR($B437),MONTH($B437)+1,MIN(INDEX(CARDS!$H$5:$H$34,MATCH($D437,CARDS!$A$5:$A$34,0)),DAY(EOMONTH($B437,1)))))),""))</f>
        <v/>
      </c>
      <c r="AE437" s="52" t="str">
        <f>IF($C437="","",$C437&amp;"|"&amp;COUNTIF($C$5:$C437,$C437))</f>
        <v/>
      </c>
      <c r="AF437" s="53">
        <f>IF($AC437&gt;0,SUMIFS(Q$4:Q436,$D$4:$D436,$D437,$Z$4:$Z436,$Z437,$C$4:$C436,$C437),0)</f>
        <v>0</v>
      </c>
      <c r="AG437" s="53">
        <f>IF($AC437&gt;0,SUMIFS(Q$4:Q436,$D$4:$D436,$D437,$C$4:$C436,$C437),0)</f>
        <v>0</v>
      </c>
      <c r="AH437" s="53">
        <f>IF($AC437&gt;0,SUMIFS(M$4:M436,$D$4:$D436,$D437,$Z$4:$Z436,$Z437,$C$4:$C436,$C437),0)</f>
        <v>0</v>
      </c>
      <c r="AI437" s="43">
        <f>IF(OR($C437="",$I437=""),0,IF(COUNTIFS($C$5:$C437,$C437,$I$5:$I437,$I437)=1,1,0))</f>
        <v>0</v>
      </c>
      <c r="AJ437" s="43" t="str">
        <f>IF($AI437=1,SUMIFS($AI$4:$AI436,$C$4:$C436,$C437)+1,"")</f>
        <v/>
      </c>
      <c r="AK437" s="43">
        <f>IF(OR($C437="",$K437=""),0,IF(COUNTIFS($C$5:$C437,$C437,$K$5:$K437,$K437)=1,1,0))</f>
        <v>0</v>
      </c>
      <c r="AL437" s="43" t="str">
        <f>IF($AK437=1,SUMIFS($AK$4:$AK436,$C$4:$C436,$C437)+1,"")</f>
        <v/>
      </c>
      <c r="AM437" s="43">
        <f>IF(OR($C437="",$G437=""),0,IF(COUNTIFS($C$5:$C437,$C437,$G$5:$G437,$G437)=1,1,0))</f>
        <v>0</v>
      </c>
      <c r="AN437" s="43" t="str">
        <f>IF($AM437=1,SUMIFS($AM$4:$AM436,$C$4:$C436,$C437)+1,"")</f>
        <v/>
      </c>
    </row>
    <row r="438">
      <c r="A438" s="44" t="str">
        <f>IF(OR($B438="",$D438=""),"","TX"&amp;TEXT(ROW()-4,"0000"))</f>
        <v/>
      </c>
      <c r="B438" s="42" t="n"/>
      <c r="C438" s="47" t="str">
        <f>IF($B438="","",YEAR($B438)*100+MONTH($B438))</f>
        <v/>
      </c>
      <c r="D438" s="37" t="n"/>
      <c r="E438" s="45" t="str">
        <f>IF($D438="","",IFERROR(INDEX(CARDS!$B$5:$B$34,MATCH($D438,CARDS!$A$5:$A$34,0)),"⚠ Card ID?"))</f>
        <v/>
      </c>
      <c r="F438" s="45" t="str">
        <f>IF($D438="","",IFERROR(INDEX(CARDS!$C$5:$C$34,MATCH($D438,CARDS!$A$5:$A$34,0)),"⚠ Card ID?"))</f>
        <v/>
      </c>
      <c r="G438" s="37" t="n"/>
      <c r="H438" s="37" t="n"/>
      <c r="I438" s="41" t="n"/>
      <c r="J438" s="45" t="str">
        <f>IF($I438="","",IFERROR(INDEX(MCC_MASTER!$B$5:$B$504,MATCH($I438,MCC_MASTER!$A$5:$A$504,0)),"⚠ MCC chưa có"))</f>
        <v/>
      </c>
      <c r="K438" s="45" t="str">
        <f>IF($I438="","",IFERROR(IF(INDEX(MCC_MASTER!$C$5:$C$504,MATCH($I438,MCC_MASTER!$A$5:$A$504,0))="","Chưa phân loại",INDEX(MCC_MASTER!$C$5:$C$504,MATCH($I438,MCC_MASTER!$A$5:$A$504,0))),"Chưa phân loại"))</f>
        <v/>
      </c>
      <c r="L438" s="40" t="n"/>
      <c r="M438" s="48" t="str">
        <f>IF(OR($B438="",$D438=""),"",IF($AC438=0,0,IF(ISNUMBER(INDEX(CASHBACK_RULES!$L$5:$L$304,$AC438)),MAX(0,MIN($L438,INDEX(CASHBACK_RULES!$L$5:$L$304,$AC438)-$AH438)),MAX(0,$L438))))</f>
        <v/>
      </c>
      <c r="N438" s="49" t="str">
        <f>IF(OR($B438="",$D438=""),"",IF($AC438&gt;0,INDEX(CASHBACK_RULES!$I$5:$I$304,$AC438),0))</f>
        <v/>
      </c>
      <c r="O438" s="48" t="str">
        <f>IF(OR($B438="",$D438=""),"",ROUND($M438*$N438,0))</f>
        <v/>
      </c>
      <c r="P438" s="48" t="str">
        <f>IF($AC438&gt;0,IF(ISNUMBER(INDEX(CASHBACK_RULES!$J$5:$J$304,$AC438)),INDEX(CASHBACK_RULES!$J$5:$J$304,$AC438),"∞"),"")</f>
        <v/>
      </c>
      <c r="Q438" s="48" t="str">
        <f>IF(OR($B438="",$D438=""),"",IF($AC438=0,0,MAX(0,MIN($O438,IF(ISNUMBER($P438),$P438-$AF438,1E+15),IF(ISNUMBER($AA438),$AA438-$AG438,1E+15)))))</f>
        <v/>
      </c>
      <c r="R438" s="48" t="str">
        <f>IF(OR($B438="",$D438=""),"",IF($AC438=0,"",IF(AND(NOT(ISNUMBER($P438)),NOT(ISNUMBER($AA438))),"∞",MAX(0,MIN(IF(ISNUMBER($P438),$P438-$AF438-$Q438,1E+15),IF(ISNUMBER($AA438),$AA438-$AG438-$Q438,1E+15))))))</f>
        <v/>
      </c>
      <c r="S438" s="47" t="str">
        <f>IF($AD438="","",YEAR($AD438)*100+MONTH($AD438))</f>
        <v/>
      </c>
      <c r="T438" s="50" t="str">
        <f>IF($AD438="","",IFERROR(IF(INDEX(CARDS!$I$5:$I$34,MATCH($D438,CARDS!$A$5:$A$34,0))="","",IF(INDEX(CARDS!$I$5:$I$34,MATCH($D438,CARDS!$A$5:$A$34,0))&gt;INDEX(CARDS!$H$5:$H$34,MATCH($D438,CARDS!$A$5:$A$34,0)),DATE(YEAR($AD438),MONTH($AD438),MIN(INDEX(CARDS!$I$5:$I$34,MATCH($D438,CARDS!$A$5:$A$34,0)),DAY(EOMONTH($AD438,0)))),DATE(YEAR($AD438),MONTH($AD438)+1,MIN(INDEX(CARDS!$I$5:$I$34,MATCH($D438,CARDS!$A$5:$A$34,0)),DAY(EOMONTH($AD438,1)))))),""))</f>
        <v/>
      </c>
      <c r="U438" s="38" t="n"/>
      <c r="V438" s="37" t="n"/>
      <c r="W438" s="38" t="n"/>
      <c r="X438" s="38" t="n"/>
      <c r="Y438" s="44" t="str">
        <f>IF($AC438&gt;0,INDEX(CASHBACK_RULES!$A$5:$A$304,$AC438),"")</f>
        <v/>
      </c>
      <c r="Z438" s="45" t="str">
        <f>IF($AC438&gt;0,INDEX(CASHBACK_RULES!$E$5:$E$304,$AC438)&amp;"","")</f>
        <v/>
      </c>
      <c r="AA438" s="48" t="str">
        <f>IF($AC438&gt;0,IF(ISNUMBER(INDEX(CASHBACK_RULES!$K$5:$K$304,$AC438)),INDEX(CASHBACK_RULES!$K$5:$K$304,$AC438),"∞"),"")</f>
        <v/>
      </c>
      <c r="AB438" s="44" t="str">
        <f>IF(OR($B438="",$D438=""),"",IF($U438="Cancelled","Đã hủy",IF($AC438=0,"Không được hoàn",IF($Q438=0,IF(OR($O438&gt;0,$M438&lt;$L438),"Đã đạt cap","Không được hoàn"),IF(OR($Q438&lt;$O438,$M438&lt;$L438),"Hoàn một phần","Được hoàn")))))</f>
        <v/>
      </c>
      <c r="AC438" s="43">
        <f>IF(OR($B438="",$D438="",$I438="",$L438=""),0,IF($U438="Cancelled",0,IF($W438&lt;&gt;"",IFERROR(IF(INDEX(CASHBACK_RULES!$B$5:$B$304,MATCH($W438,CASHBACK_RULES!$A$5:$A$304,0))=$D438,MATCH($W438,CASHBACK_RULES!$A$5:$A$304,0),0),0),IFERROR(MATCH(1,INDEX((CASHBACK_RULES!$B$5:$B$304=$D438)*(CASHBACK_RULES!$G$5:$G$304=$I438)*(((CASHBACK_RULES!$N$5:$N$304="")+(CASHBACK_RULES!$N$5:$N$304&lt;=$B438))&gt;0)*(((CASHBACK_RULES!$O$5:$O$304="")+(CASHBACK_RULES!$O$5:$O$304&gt;=$B438))&gt;0)*(((CASHBACK_RULES!$M$5:$M$304="")+(CASHBACK_RULES!$M$5:$M$304&lt;=$L438))&gt;0),0),0),0))))</f>
        <v>0</v>
      </c>
      <c r="AD438" s="51" t="str">
        <f>IF(OR($B438="",$D438=""),"",IFERROR(IF(INDEX(CARDS!$H$5:$H$34,MATCH($D438,CARDS!$A$5:$A$34,0))="","",IF(DAY($B438)&lt;=INDEX(CARDS!$H$5:$H$34,MATCH($D438,CARDS!$A$5:$A$34,0)),DATE(YEAR($B438),MONTH($B438),MIN(INDEX(CARDS!$H$5:$H$34,MATCH($D438,CARDS!$A$5:$A$34,0)),DAY(EOMONTH($B438,0)))),DATE(YEAR($B438),MONTH($B438)+1,MIN(INDEX(CARDS!$H$5:$H$34,MATCH($D438,CARDS!$A$5:$A$34,0)),DAY(EOMONTH($B438,1)))))),""))</f>
        <v/>
      </c>
      <c r="AE438" s="52" t="str">
        <f>IF($C438="","",$C438&amp;"|"&amp;COUNTIF($C$5:$C438,$C438))</f>
        <v/>
      </c>
      <c r="AF438" s="53">
        <f>IF($AC438&gt;0,SUMIFS(Q$4:Q437,$D$4:$D437,$D438,$Z$4:$Z437,$Z438,$C$4:$C437,$C438),0)</f>
        <v>0</v>
      </c>
      <c r="AG438" s="53">
        <f>IF($AC438&gt;0,SUMIFS(Q$4:Q437,$D$4:$D437,$D438,$C$4:$C437,$C438),0)</f>
        <v>0</v>
      </c>
      <c r="AH438" s="53">
        <f>IF($AC438&gt;0,SUMIFS(M$4:M437,$D$4:$D437,$D438,$Z$4:$Z437,$Z438,$C$4:$C437,$C438),0)</f>
        <v>0</v>
      </c>
      <c r="AI438" s="43">
        <f>IF(OR($C438="",$I438=""),0,IF(COUNTIFS($C$5:$C438,$C438,$I$5:$I438,$I438)=1,1,0))</f>
        <v>0</v>
      </c>
      <c r="AJ438" s="43" t="str">
        <f>IF($AI438=1,SUMIFS($AI$4:$AI437,$C$4:$C437,$C438)+1,"")</f>
        <v/>
      </c>
      <c r="AK438" s="43">
        <f>IF(OR($C438="",$K438=""),0,IF(COUNTIFS($C$5:$C438,$C438,$K$5:$K438,$K438)=1,1,0))</f>
        <v>0</v>
      </c>
      <c r="AL438" s="43" t="str">
        <f>IF($AK438=1,SUMIFS($AK$4:$AK437,$C$4:$C437,$C438)+1,"")</f>
        <v/>
      </c>
      <c r="AM438" s="43">
        <f>IF(OR($C438="",$G438=""),0,IF(COUNTIFS($C$5:$C438,$C438,$G$5:$G438,$G438)=1,1,0))</f>
        <v>0</v>
      </c>
      <c r="AN438" s="43" t="str">
        <f>IF($AM438=1,SUMIFS($AM$4:$AM437,$C$4:$C437,$C438)+1,"")</f>
        <v/>
      </c>
    </row>
    <row r="439">
      <c r="A439" s="44" t="str">
        <f>IF(OR($B439="",$D439=""),"","TX"&amp;TEXT(ROW()-4,"0000"))</f>
        <v/>
      </c>
      <c r="B439" s="42" t="n"/>
      <c r="C439" s="47" t="str">
        <f>IF($B439="","",YEAR($B439)*100+MONTH($B439))</f>
        <v/>
      </c>
      <c r="D439" s="37" t="n"/>
      <c r="E439" s="45" t="str">
        <f>IF($D439="","",IFERROR(INDEX(CARDS!$B$5:$B$34,MATCH($D439,CARDS!$A$5:$A$34,0)),"⚠ Card ID?"))</f>
        <v/>
      </c>
      <c r="F439" s="45" t="str">
        <f>IF($D439="","",IFERROR(INDEX(CARDS!$C$5:$C$34,MATCH($D439,CARDS!$A$5:$A$34,0)),"⚠ Card ID?"))</f>
        <v/>
      </c>
      <c r="G439" s="37" t="n"/>
      <c r="H439" s="37" t="n"/>
      <c r="I439" s="41" t="n"/>
      <c r="J439" s="45" t="str">
        <f>IF($I439="","",IFERROR(INDEX(MCC_MASTER!$B$5:$B$504,MATCH($I439,MCC_MASTER!$A$5:$A$504,0)),"⚠ MCC chưa có"))</f>
        <v/>
      </c>
      <c r="K439" s="45" t="str">
        <f>IF($I439="","",IFERROR(IF(INDEX(MCC_MASTER!$C$5:$C$504,MATCH($I439,MCC_MASTER!$A$5:$A$504,0))="","Chưa phân loại",INDEX(MCC_MASTER!$C$5:$C$504,MATCH($I439,MCC_MASTER!$A$5:$A$504,0))),"Chưa phân loại"))</f>
        <v/>
      </c>
      <c r="L439" s="40" t="n"/>
      <c r="M439" s="48" t="str">
        <f>IF(OR($B439="",$D439=""),"",IF($AC439=0,0,IF(ISNUMBER(INDEX(CASHBACK_RULES!$L$5:$L$304,$AC439)),MAX(0,MIN($L439,INDEX(CASHBACK_RULES!$L$5:$L$304,$AC439)-$AH439)),MAX(0,$L439))))</f>
        <v/>
      </c>
      <c r="N439" s="49" t="str">
        <f>IF(OR($B439="",$D439=""),"",IF($AC439&gt;0,INDEX(CASHBACK_RULES!$I$5:$I$304,$AC439),0))</f>
        <v/>
      </c>
      <c r="O439" s="48" t="str">
        <f>IF(OR($B439="",$D439=""),"",ROUND($M439*$N439,0))</f>
        <v/>
      </c>
      <c r="P439" s="48" t="str">
        <f>IF($AC439&gt;0,IF(ISNUMBER(INDEX(CASHBACK_RULES!$J$5:$J$304,$AC439)),INDEX(CASHBACK_RULES!$J$5:$J$304,$AC439),"∞"),"")</f>
        <v/>
      </c>
      <c r="Q439" s="48" t="str">
        <f>IF(OR($B439="",$D439=""),"",IF($AC439=0,0,MAX(0,MIN($O439,IF(ISNUMBER($P439),$P439-$AF439,1E+15),IF(ISNUMBER($AA439),$AA439-$AG439,1E+15)))))</f>
        <v/>
      </c>
      <c r="R439" s="48" t="str">
        <f>IF(OR($B439="",$D439=""),"",IF($AC439=0,"",IF(AND(NOT(ISNUMBER($P439)),NOT(ISNUMBER($AA439))),"∞",MAX(0,MIN(IF(ISNUMBER($P439),$P439-$AF439-$Q439,1E+15),IF(ISNUMBER($AA439),$AA439-$AG439-$Q439,1E+15))))))</f>
        <v/>
      </c>
      <c r="S439" s="47" t="str">
        <f>IF($AD439="","",YEAR($AD439)*100+MONTH($AD439))</f>
        <v/>
      </c>
      <c r="T439" s="50" t="str">
        <f>IF($AD439="","",IFERROR(IF(INDEX(CARDS!$I$5:$I$34,MATCH($D439,CARDS!$A$5:$A$34,0))="","",IF(INDEX(CARDS!$I$5:$I$34,MATCH($D439,CARDS!$A$5:$A$34,0))&gt;INDEX(CARDS!$H$5:$H$34,MATCH($D439,CARDS!$A$5:$A$34,0)),DATE(YEAR($AD439),MONTH($AD439),MIN(INDEX(CARDS!$I$5:$I$34,MATCH($D439,CARDS!$A$5:$A$34,0)),DAY(EOMONTH($AD439,0)))),DATE(YEAR($AD439),MONTH($AD439)+1,MIN(INDEX(CARDS!$I$5:$I$34,MATCH($D439,CARDS!$A$5:$A$34,0)),DAY(EOMONTH($AD439,1)))))),""))</f>
        <v/>
      </c>
      <c r="U439" s="38" t="n"/>
      <c r="V439" s="37" t="n"/>
      <c r="W439" s="38" t="n"/>
      <c r="X439" s="38" t="n"/>
      <c r="Y439" s="44" t="str">
        <f>IF($AC439&gt;0,INDEX(CASHBACK_RULES!$A$5:$A$304,$AC439),"")</f>
        <v/>
      </c>
      <c r="Z439" s="45" t="str">
        <f>IF($AC439&gt;0,INDEX(CASHBACK_RULES!$E$5:$E$304,$AC439)&amp;"","")</f>
        <v/>
      </c>
      <c r="AA439" s="48" t="str">
        <f>IF($AC439&gt;0,IF(ISNUMBER(INDEX(CASHBACK_RULES!$K$5:$K$304,$AC439)),INDEX(CASHBACK_RULES!$K$5:$K$304,$AC439),"∞"),"")</f>
        <v/>
      </c>
      <c r="AB439" s="44" t="str">
        <f>IF(OR($B439="",$D439=""),"",IF($U439="Cancelled","Đã hủy",IF($AC439=0,"Không được hoàn",IF($Q439=0,IF(OR($O439&gt;0,$M439&lt;$L439),"Đã đạt cap","Không được hoàn"),IF(OR($Q439&lt;$O439,$M439&lt;$L439),"Hoàn một phần","Được hoàn")))))</f>
        <v/>
      </c>
      <c r="AC439" s="43">
        <f>IF(OR($B439="",$D439="",$I439="",$L439=""),0,IF($U439="Cancelled",0,IF($W439&lt;&gt;"",IFERROR(IF(INDEX(CASHBACK_RULES!$B$5:$B$304,MATCH($W439,CASHBACK_RULES!$A$5:$A$304,0))=$D439,MATCH($W439,CASHBACK_RULES!$A$5:$A$304,0),0),0),IFERROR(MATCH(1,INDEX((CASHBACK_RULES!$B$5:$B$304=$D439)*(CASHBACK_RULES!$G$5:$G$304=$I439)*(((CASHBACK_RULES!$N$5:$N$304="")+(CASHBACK_RULES!$N$5:$N$304&lt;=$B439))&gt;0)*(((CASHBACK_RULES!$O$5:$O$304="")+(CASHBACK_RULES!$O$5:$O$304&gt;=$B439))&gt;0)*(((CASHBACK_RULES!$M$5:$M$304="")+(CASHBACK_RULES!$M$5:$M$304&lt;=$L439))&gt;0),0),0),0))))</f>
        <v>0</v>
      </c>
      <c r="AD439" s="51" t="str">
        <f>IF(OR($B439="",$D439=""),"",IFERROR(IF(INDEX(CARDS!$H$5:$H$34,MATCH($D439,CARDS!$A$5:$A$34,0))="","",IF(DAY($B439)&lt;=INDEX(CARDS!$H$5:$H$34,MATCH($D439,CARDS!$A$5:$A$34,0)),DATE(YEAR($B439),MONTH($B439),MIN(INDEX(CARDS!$H$5:$H$34,MATCH($D439,CARDS!$A$5:$A$34,0)),DAY(EOMONTH($B439,0)))),DATE(YEAR($B439),MONTH($B439)+1,MIN(INDEX(CARDS!$H$5:$H$34,MATCH($D439,CARDS!$A$5:$A$34,0)),DAY(EOMONTH($B439,1)))))),""))</f>
        <v/>
      </c>
      <c r="AE439" s="52" t="str">
        <f>IF($C439="","",$C439&amp;"|"&amp;COUNTIF($C$5:$C439,$C439))</f>
        <v/>
      </c>
      <c r="AF439" s="53">
        <f>IF($AC439&gt;0,SUMIFS(Q$4:Q438,$D$4:$D438,$D439,$Z$4:$Z438,$Z439,$C$4:$C438,$C439),0)</f>
        <v>0</v>
      </c>
      <c r="AG439" s="53">
        <f>IF($AC439&gt;0,SUMIFS(Q$4:Q438,$D$4:$D438,$D439,$C$4:$C438,$C439),0)</f>
        <v>0</v>
      </c>
      <c r="AH439" s="53">
        <f>IF($AC439&gt;0,SUMIFS(M$4:M438,$D$4:$D438,$D439,$Z$4:$Z438,$Z439,$C$4:$C438,$C439),0)</f>
        <v>0</v>
      </c>
      <c r="AI439" s="43">
        <f>IF(OR($C439="",$I439=""),0,IF(COUNTIFS($C$5:$C439,$C439,$I$5:$I439,$I439)=1,1,0))</f>
        <v>0</v>
      </c>
      <c r="AJ439" s="43" t="str">
        <f>IF($AI439=1,SUMIFS($AI$4:$AI438,$C$4:$C438,$C439)+1,"")</f>
        <v/>
      </c>
      <c r="AK439" s="43">
        <f>IF(OR($C439="",$K439=""),0,IF(COUNTIFS($C$5:$C439,$C439,$K$5:$K439,$K439)=1,1,0))</f>
        <v>0</v>
      </c>
      <c r="AL439" s="43" t="str">
        <f>IF($AK439=1,SUMIFS($AK$4:$AK438,$C$4:$C438,$C439)+1,"")</f>
        <v/>
      </c>
      <c r="AM439" s="43">
        <f>IF(OR($C439="",$G439=""),0,IF(COUNTIFS($C$5:$C439,$C439,$G$5:$G439,$G439)=1,1,0))</f>
        <v>0</v>
      </c>
      <c r="AN439" s="43" t="str">
        <f>IF($AM439=1,SUMIFS($AM$4:$AM438,$C$4:$C438,$C439)+1,"")</f>
        <v/>
      </c>
    </row>
    <row r="440">
      <c r="A440" s="44" t="str">
        <f>IF(OR($B440="",$D440=""),"","TX"&amp;TEXT(ROW()-4,"0000"))</f>
        <v/>
      </c>
      <c r="B440" s="42" t="n"/>
      <c r="C440" s="47" t="str">
        <f>IF($B440="","",YEAR($B440)*100+MONTH($B440))</f>
        <v/>
      </c>
      <c r="D440" s="37" t="n"/>
      <c r="E440" s="45" t="str">
        <f>IF($D440="","",IFERROR(INDEX(CARDS!$B$5:$B$34,MATCH($D440,CARDS!$A$5:$A$34,0)),"⚠ Card ID?"))</f>
        <v/>
      </c>
      <c r="F440" s="45" t="str">
        <f>IF($D440="","",IFERROR(INDEX(CARDS!$C$5:$C$34,MATCH($D440,CARDS!$A$5:$A$34,0)),"⚠ Card ID?"))</f>
        <v/>
      </c>
      <c r="G440" s="37" t="n"/>
      <c r="H440" s="37" t="n"/>
      <c r="I440" s="41" t="n"/>
      <c r="J440" s="45" t="str">
        <f>IF($I440="","",IFERROR(INDEX(MCC_MASTER!$B$5:$B$504,MATCH($I440,MCC_MASTER!$A$5:$A$504,0)),"⚠ MCC chưa có"))</f>
        <v/>
      </c>
      <c r="K440" s="45" t="str">
        <f>IF($I440="","",IFERROR(IF(INDEX(MCC_MASTER!$C$5:$C$504,MATCH($I440,MCC_MASTER!$A$5:$A$504,0))="","Chưa phân loại",INDEX(MCC_MASTER!$C$5:$C$504,MATCH($I440,MCC_MASTER!$A$5:$A$504,0))),"Chưa phân loại"))</f>
        <v/>
      </c>
      <c r="L440" s="40" t="n"/>
      <c r="M440" s="48" t="str">
        <f>IF(OR($B440="",$D440=""),"",IF($AC440=0,0,IF(ISNUMBER(INDEX(CASHBACK_RULES!$L$5:$L$304,$AC440)),MAX(0,MIN($L440,INDEX(CASHBACK_RULES!$L$5:$L$304,$AC440)-$AH440)),MAX(0,$L440))))</f>
        <v/>
      </c>
      <c r="N440" s="49" t="str">
        <f>IF(OR($B440="",$D440=""),"",IF($AC440&gt;0,INDEX(CASHBACK_RULES!$I$5:$I$304,$AC440),0))</f>
        <v/>
      </c>
      <c r="O440" s="48" t="str">
        <f>IF(OR($B440="",$D440=""),"",ROUND($M440*$N440,0))</f>
        <v/>
      </c>
      <c r="P440" s="48" t="str">
        <f>IF($AC440&gt;0,IF(ISNUMBER(INDEX(CASHBACK_RULES!$J$5:$J$304,$AC440)),INDEX(CASHBACK_RULES!$J$5:$J$304,$AC440),"∞"),"")</f>
        <v/>
      </c>
      <c r="Q440" s="48" t="str">
        <f>IF(OR($B440="",$D440=""),"",IF($AC440=0,0,MAX(0,MIN($O440,IF(ISNUMBER($P440),$P440-$AF440,1E+15),IF(ISNUMBER($AA440),$AA440-$AG440,1E+15)))))</f>
        <v/>
      </c>
      <c r="R440" s="48" t="str">
        <f>IF(OR($B440="",$D440=""),"",IF($AC440=0,"",IF(AND(NOT(ISNUMBER($P440)),NOT(ISNUMBER($AA440))),"∞",MAX(0,MIN(IF(ISNUMBER($P440),$P440-$AF440-$Q440,1E+15),IF(ISNUMBER($AA440),$AA440-$AG440-$Q440,1E+15))))))</f>
        <v/>
      </c>
      <c r="S440" s="47" t="str">
        <f>IF($AD440="","",YEAR($AD440)*100+MONTH($AD440))</f>
        <v/>
      </c>
      <c r="T440" s="50" t="str">
        <f>IF($AD440="","",IFERROR(IF(INDEX(CARDS!$I$5:$I$34,MATCH($D440,CARDS!$A$5:$A$34,0))="","",IF(INDEX(CARDS!$I$5:$I$34,MATCH($D440,CARDS!$A$5:$A$34,0))&gt;INDEX(CARDS!$H$5:$H$34,MATCH($D440,CARDS!$A$5:$A$34,0)),DATE(YEAR($AD440),MONTH($AD440),MIN(INDEX(CARDS!$I$5:$I$34,MATCH($D440,CARDS!$A$5:$A$34,0)),DAY(EOMONTH($AD440,0)))),DATE(YEAR($AD440),MONTH($AD440)+1,MIN(INDEX(CARDS!$I$5:$I$34,MATCH($D440,CARDS!$A$5:$A$34,0)),DAY(EOMONTH($AD440,1)))))),""))</f>
        <v/>
      </c>
      <c r="U440" s="38" t="n"/>
      <c r="V440" s="37" t="n"/>
      <c r="W440" s="38" t="n"/>
      <c r="X440" s="38" t="n"/>
      <c r="Y440" s="44" t="str">
        <f>IF($AC440&gt;0,INDEX(CASHBACK_RULES!$A$5:$A$304,$AC440),"")</f>
        <v/>
      </c>
      <c r="Z440" s="45" t="str">
        <f>IF($AC440&gt;0,INDEX(CASHBACK_RULES!$E$5:$E$304,$AC440)&amp;"","")</f>
        <v/>
      </c>
      <c r="AA440" s="48" t="str">
        <f>IF($AC440&gt;0,IF(ISNUMBER(INDEX(CASHBACK_RULES!$K$5:$K$304,$AC440)),INDEX(CASHBACK_RULES!$K$5:$K$304,$AC440),"∞"),"")</f>
        <v/>
      </c>
      <c r="AB440" s="44" t="str">
        <f>IF(OR($B440="",$D440=""),"",IF($U440="Cancelled","Đã hủy",IF($AC440=0,"Không được hoàn",IF($Q440=0,IF(OR($O440&gt;0,$M440&lt;$L440),"Đã đạt cap","Không được hoàn"),IF(OR($Q440&lt;$O440,$M440&lt;$L440),"Hoàn một phần","Được hoàn")))))</f>
        <v/>
      </c>
      <c r="AC440" s="43">
        <f>IF(OR($B440="",$D440="",$I440="",$L440=""),0,IF($U440="Cancelled",0,IF($W440&lt;&gt;"",IFERROR(IF(INDEX(CASHBACK_RULES!$B$5:$B$304,MATCH($W440,CASHBACK_RULES!$A$5:$A$304,0))=$D440,MATCH($W440,CASHBACK_RULES!$A$5:$A$304,0),0),0),IFERROR(MATCH(1,INDEX((CASHBACK_RULES!$B$5:$B$304=$D440)*(CASHBACK_RULES!$G$5:$G$304=$I440)*(((CASHBACK_RULES!$N$5:$N$304="")+(CASHBACK_RULES!$N$5:$N$304&lt;=$B440))&gt;0)*(((CASHBACK_RULES!$O$5:$O$304="")+(CASHBACK_RULES!$O$5:$O$304&gt;=$B440))&gt;0)*(((CASHBACK_RULES!$M$5:$M$304="")+(CASHBACK_RULES!$M$5:$M$304&lt;=$L440))&gt;0),0),0),0))))</f>
        <v>0</v>
      </c>
      <c r="AD440" s="51" t="str">
        <f>IF(OR($B440="",$D440=""),"",IFERROR(IF(INDEX(CARDS!$H$5:$H$34,MATCH($D440,CARDS!$A$5:$A$34,0))="","",IF(DAY($B440)&lt;=INDEX(CARDS!$H$5:$H$34,MATCH($D440,CARDS!$A$5:$A$34,0)),DATE(YEAR($B440),MONTH($B440),MIN(INDEX(CARDS!$H$5:$H$34,MATCH($D440,CARDS!$A$5:$A$34,0)),DAY(EOMONTH($B440,0)))),DATE(YEAR($B440),MONTH($B440)+1,MIN(INDEX(CARDS!$H$5:$H$34,MATCH($D440,CARDS!$A$5:$A$34,0)),DAY(EOMONTH($B440,1)))))),""))</f>
        <v/>
      </c>
      <c r="AE440" s="52" t="str">
        <f>IF($C440="","",$C440&amp;"|"&amp;COUNTIF($C$5:$C440,$C440))</f>
        <v/>
      </c>
      <c r="AF440" s="53">
        <f>IF($AC440&gt;0,SUMIFS(Q$4:Q439,$D$4:$D439,$D440,$Z$4:$Z439,$Z440,$C$4:$C439,$C440),0)</f>
        <v>0</v>
      </c>
      <c r="AG440" s="53">
        <f>IF($AC440&gt;0,SUMIFS(Q$4:Q439,$D$4:$D439,$D440,$C$4:$C439,$C440),0)</f>
        <v>0</v>
      </c>
      <c r="AH440" s="53">
        <f>IF($AC440&gt;0,SUMIFS(M$4:M439,$D$4:$D439,$D440,$Z$4:$Z439,$Z440,$C$4:$C439,$C440),0)</f>
        <v>0</v>
      </c>
      <c r="AI440" s="43">
        <f>IF(OR($C440="",$I440=""),0,IF(COUNTIFS($C$5:$C440,$C440,$I$5:$I440,$I440)=1,1,0))</f>
        <v>0</v>
      </c>
      <c r="AJ440" s="43" t="str">
        <f>IF($AI440=1,SUMIFS($AI$4:$AI439,$C$4:$C439,$C440)+1,"")</f>
        <v/>
      </c>
      <c r="AK440" s="43">
        <f>IF(OR($C440="",$K440=""),0,IF(COUNTIFS($C$5:$C440,$C440,$K$5:$K440,$K440)=1,1,0))</f>
        <v>0</v>
      </c>
      <c r="AL440" s="43" t="str">
        <f>IF($AK440=1,SUMIFS($AK$4:$AK439,$C$4:$C439,$C440)+1,"")</f>
        <v/>
      </c>
      <c r="AM440" s="43">
        <f>IF(OR($C440="",$G440=""),0,IF(COUNTIFS($C$5:$C440,$C440,$G$5:$G440,$G440)=1,1,0))</f>
        <v>0</v>
      </c>
      <c r="AN440" s="43" t="str">
        <f>IF($AM440=1,SUMIFS($AM$4:$AM439,$C$4:$C439,$C440)+1,"")</f>
        <v/>
      </c>
    </row>
    <row r="441">
      <c r="A441" s="44" t="str">
        <f>IF(OR($B441="",$D441=""),"","TX"&amp;TEXT(ROW()-4,"0000"))</f>
        <v/>
      </c>
      <c r="B441" s="42" t="n"/>
      <c r="C441" s="47" t="str">
        <f>IF($B441="","",YEAR($B441)*100+MONTH($B441))</f>
        <v/>
      </c>
      <c r="D441" s="37" t="n"/>
      <c r="E441" s="45" t="str">
        <f>IF($D441="","",IFERROR(INDEX(CARDS!$B$5:$B$34,MATCH($D441,CARDS!$A$5:$A$34,0)),"⚠ Card ID?"))</f>
        <v/>
      </c>
      <c r="F441" s="45" t="str">
        <f>IF($D441="","",IFERROR(INDEX(CARDS!$C$5:$C$34,MATCH($D441,CARDS!$A$5:$A$34,0)),"⚠ Card ID?"))</f>
        <v/>
      </c>
      <c r="G441" s="37" t="n"/>
      <c r="H441" s="37" t="n"/>
      <c r="I441" s="41" t="n"/>
      <c r="J441" s="45" t="str">
        <f>IF($I441="","",IFERROR(INDEX(MCC_MASTER!$B$5:$B$504,MATCH($I441,MCC_MASTER!$A$5:$A$504,0)),"⚠ MCC chưa có"))</f>
        <v/>
      </c>
      <c r="K441" s="45" t="str">
        <f>IF($I441="","",IFERROR(IF(INDEX(MCC_MASTER!$C$5:$C$504,MATCH($I441,MCC_MASTER!$A$5:$A$504,0))="","Chưa phân loại",INDEX(MCC_MASTER!$C$5:$C$504,MATCH($I441,MCC_MASTER!$A$5:$A$504,0))),"Chưa phân loại"))</f>
        <v/>
      </c>
      <c r="L441" s="40" t="n"/>
      <c r="M441" s="48" t="str">
        <f>IF(OR($B441="",$D441=""),"",IF($AC441=0,0,IF(ISNUMBER(INDEX(CASHBACK_RULES!$L$5:$L$304,$AC441)),MAX(0,MIN($L441,INDEX(CASHBACK_RULES!$L$5:$L$304,$AC441)-$AH441)),MAX(0,$L441))))</f>
        <v/>
      </c>
      <c r="N441" s="49" t="str">
        <f>IF(OR($B441="",$D441=""),"",IF($AC441&gt;0,INDEX(CASHBACK_RULES!$I$5:$I$304,$AC441),0))</f>
        <v/>
      </c>
      <c r="O441" s="48" t="str">
        <f>IF(OR($B441="",$D441=""),"",ROUND($M441*$N441,0))</f>
        <v/>
      </c>
      <c r="P441" s="48" t="str">
        <f>IF($AC441&gt;0,IF(ISNUMBER(INDEX(CASHBACK_RULES!$J$5:$J$304,$AC441)),INDEX(CASHBACK_RULES!$J$5:$J$304,$AC441),"∞"),"")</f>
        <v/>
      </c>
      <c r="Q441" s="48" t="str">
        <f>IF(OR($B441="",$D441=""),"",IF($AC441=0,0,MAX(0,MIN($O441,IF(ISNUMBER($P441),$P441-$AF441,1E+15),IF(ISNUMBER($AA441),$AA441-$AG441,1E+15)))))</f>
        <v/>
      </c>
      <c r="R441" s="48" t="str">
        <f>IF(OR($B441="",$D441=""),"",IF($AC441=0,"",IF(AND(NOT(ISNUMBER($P441)),NOT(ISNUMBER($AA441))),"∞",MAX(0,MIN(IF(ISNUMBER($P441),$P441-$AF441-$Q441,1E+15),IF(ISNUMBER($AA441),$AA441-$AG441-$Q441,1E+15))))))</f>
        <v/>
      </c>
      <c r="S441" s="47" t="str">
        <f>IF($AD441="","",YEAR($AD441)*100+MONTH($AD441))</f>
        <v/>
      </c>
      <c r="T441" s="50" t="str">
        <f>IF($AD441="","",IFERROR(IF(INDEX(CARDS!$I$5:$I$34,MATCH($D441,CARDS!$A$5:$A$34,0))="","",IF(INDEX(CARDS!$I$5:$I$34,MATCH($D441,CARDS!$A$5:$A$34,0))&gt;INDEX(CARDS!$H$5:$H$34,MATCH($D441,CARDS!$A$5:$A$34,0)),DATE(YEAR($AD441),MONTH($AD441),MIN(INDEX(CARDS!$I$5:$I$34,MATCH($D441,CARDS!$A$5:$A$34,0)),DAY(EOMONTH($AD441,0)))),DATE(YEAR($AD441),MONTH($AD441)+1,MIN(INDEX(CARDS!$I$5:$I$34,MATCH($D441,CARDS!$A$5:$A$34,0)),DAY(EOMONTH($AD441,1)))))),""))</f>
        <v/>
      </c>
      <c r="U441" s="38" t="n"/>
      <c r="V441" s="37" t="n"/>
      <c r="W441" s="38" t="n"/>
      <c r="X441" s="38" t="n"/>
      <c r="Y441" s="44" t="str">
        <f>IF($AC441&gt;0,INDEX(CASHBACK_RULES!$A$5:$A$304,$AC441),"")</f>
        <v/>
      </c>
      <c r="Z441" s="45" t="str">
        <f>IF($AC441&gt;0,INDEX(CASHBACK_RULES!$E$5:$E$304,$AC441)&amp;"","")</f>
        <v/>
      </c>
      <c r="AA441" s="48" t="str">
        <f>IF($AC441&gt;0,IF(ISNUMBER(INDEX(CASHBACK_RULES!$K$5:$K$304,$AC441)),INDEX(CASHBACK_RULES!$K$5:$K$304,$AC441),"∞"),"")</f>
        <v/>
      </c>
      <c r="AB441" s="44" t="str">
        <f>IF(OR($B441="",$D441=""),"",IF($U441="Cancelled","Đã hủy",IF($AC441=0,"Không được hoàn",IF($Q441=0,IF(OR($O441&gt;0,$M441&lt;$L441),"Đã đạt cap","Không được hoàn"),IF(OR($Q441&lt;$O441,$M441&lt;$L441),"Hoàn một phần","Được hoàn")))))</f>
        <v/>
      </c>
      <c r="AC441" s="43">
        <f>IF(OR($B441="",$D441="",$I441="",$L441=""),0,IF($U441="Cancelled",0,IF($W441&lt;&gt;"",IFERROR(IF(INDEX(CASHBACK_RULES!$B$5:$B$304,MATCH($W441,CASHBACK_RULES!$A$5:$A$304,0))=$D441,MATCH($W441,CASHBACK_RULES!$A$5:$A$304,0),0),0),IFERROR(MATCH(1,INDEX((CASHBACK_RULES!$B$5:$B$304=$D441)*(CASHBACK_RULES!$G$5:$G$304=$I441)*(((CASHBACK_RULES!$N$5:$N$304="")+(CASHBACK_RULES!$N$5:$N$304&lt;=$B441))&gt;0)*(((CASHBACK_RULES!$O$5:$O$304="")+(CASHBACK_RULES!$O$5:$O$304&gt;=$B441))&gt;0)*(((CASHBACK_RULES!$M$5:$M$304="")+(CASHBACK_RULES!$M$5:$M$304&lt;=$L441))&gt;0),0),0),0))))</f>
        <v>0</v>
      </c>
      <c r="AD441" s="51" t="str">
        <f>IF(OR($B441="",$D441=""),"",IFERROR(IF(INDEX(CARDS!$H$5:$H$34,MATCH($D441,CARDS!$A$5:$A$34,0))="","",IF(DAY($B441)&lt;=INDEX(CARDS!$H$5:$H$34,MATCH($D441,CARDS!$A$5:$A$34,0)),DATE(YEAR($B441),MONTH($B441),MIN(INDEX(CARDS!$H$5:$H$34,MATCH($D441,CARDS!$A$5:$A$34,0)),DAY(EOMONTH($B441,0)))),DATE(YEAR($B441),MONTH($B441)+1,MIN(INDEX(CARDS!$H$5:$H$34,MATCH($D441,CARDS!$A$5:$A$34,0)),DAY(EOMONTH($B441,1)))))),""))</f>
        <v/>
      </c>
      <c r="AE441" s="52" t="str">
        <f>IF($C441="","",$C441&amp;"|"&amp;COUNTIF($C$5:$C441,$C441))</f>
        <v/>
      </c>
      <c r="AF441" s="53">
        <f>IF($AC441&gt;0,SUMIFS(Q$4:Q440,$D$4:$D440,$D441,$Z$4:$Z440,$Z441,$C$4:$C440,$C441),0)</f>
        <v>0</v>
      </c>
      <c r="AG441" s="53">
        <f>IF($AC441&gt;0,SUMIFS(Q$4:Q440,$D$4:$D440,$D441,$C$4:$C440,$C441),0)</f>
        <v>0</v>
      </c>
      <c r="AH441" s="53">
        <f>IF($AC441&gt;0,SUMIFS(M$4:M440,$D$4:$D440,$D441,$Z$4:$Z440,$Z441,$C$4:$C440,$C441),0)</f>
        <v>0</v>
      </c>
      <c r="AI441" s="43">
        <f>IF(OR($C441="",$I441=""),0,IF(COUNTIFS($C$5:$C441,$C441,$I$5:$I441,$I441)=1,1,0))</f>
        <v>0</v>
      </c>
      <c r="AJ441" s="43" t="str">
        <f>IF($AI441=1,SUMIFS($AI$4:$AI440,$C$4:$C440,$C441)+1,"")</f>
        <v/>
      </c>
      <c r="AK441" s="43">
        <f>IF(OR($C441="",$K441=""),0,IF(COUNTIFS($C$5:$C441,$C441,$K$5:$K441,$K441)=1,1,0))</f>
        <v>0</v>
      </c>
      <c r="AL441" s="43" t="str">
        <f>IF($AK441=1,SUMIFS($AK$4:$AK440,$C$4:$C440,$C441)+1,"")</f>
        <v/>
      </c>
      <c r="AM441" s="43">
        <f>IF(OR($C441="",$G441=""),0,IF(COUNTIFS($C$5:$C441,$C441,$G$5:$G441,$G441)=1,1,0))</f>
        <v>0</v>
      </c>
      <c r="AN441" s="43" t="str">
        <f>IF($AM441=1,SUMIFS($AM$4:$AM440,$C$4:$C440,$C441)+1,"")</f>
        <v/>
      </c>
    </row>
    <row r="442">
      <c r="A442" s="44" t="str">
        <f>IF(OR($B442="",$D442=""),"","TX"&amp;TEXT(ROW()-4,"0000"))</f>
        <v/>
      </c>
      <c r="B442" s="42" t="n"/>
      <c r="C442" s="47" t="str">
        <f>IF($B442="","",YEAR($B442)*100+MONTH($B442))</f>
        <v/>
      </c>
      <c r="D442" s="37" t="n"/>
      <c r="E442" s="45" t="str">
        <f>IF($D442="","",IFERROR(INDEX(CARDS!$B$5:$B$34,MATCH($D442,CARDS!$A$5:$A$34,0)),"⚠ Card ID?"))</f>
        <v/>
      </c>
      <c r="F442" s="45" t="str">
        <f>IF($D442="","",IFERROR(INDEX(CARDS!$C$5:$C$34,MATCH($D442,CARDS!$A$5:$A$34,0)),"⚠ Card ID?"))</f>
        <v/>
      </c>
      <c r="G442" s="37" t="n"/>
      <c r="H442" s="37" t="n"/>
      <c r="I442" s="41" t="n"/>
      <c r="J442" s="45" t="str">
        <f>IF($I442="","",IFERROR(INDEX(MCC_MASTER!$B$5:$B$504,MATCH($I442,MCC_MASTER!$A$5:$A$504,0)),"⚠ MCC chưa có"))</f>
        <v/>
      </c>
      <c r="K442" s="45" t="str">
        <f>IF($I442="","",IFERROR(IF(INDEX(MCC_MASTER!$C$5:$C$504,MATCH($I442,MCC_MASTER!$A$5:$A$504,0))="","Chưa phân loại",INDEX(MCC_MASTER!$C$5:$C$504,MATCH($I442,MCC_MASTER!$A$5:$A$504,0))),"Chưa phân loại"))</f>
        <v/>
      </c>
      <c r="L442" s="40" t="n"/>
      <c r="M442" s="48" t="str">
        <f>IF(OR($B442="",$D442=""),"",IF($AC442=0,0,IF(ISNUMBER(INDEX(CASHBACK_RULES!$L$5:$L$304,$AC442)),MAX(0,MIN($L442,INDEX(CASHBACK_RULES!$L$5:$L$304,$AC442)-$AH442)),MAX(0,$L442))))</f>
        <v/>
      </c>
      <c r="N442" s="49" t="str">
        <f>IF(OR($B442="",$D442=""),"",IF($AC442&gt;0,INDEX(CASHBACK_RULES!$I$5:$I$304,$AC442),0))</f>
        <v/>
      </c>
      <c r="O442" s="48" t="str">
        <f>IF(OR($B442="",$D442=""),"",ROUND($M442*$N442,0))</f>
        <v/>
      </c>
      <c r="P442" s="48" t="str">
        <f>IF($AC442&gt;0,IF(ISNUMBER(INDEX(CASHBACK_RULES!$J$5:$J$304,$AC442)),INDEX(CASHBACK_RULES!$J$5:$J$304,$AC442),"∞"),"")</f>
        <v/>
      </c>
      <c r="Q442" s="48" t="str">
        <f>IF(OR($B442="",$D442=""),"",IF($AC442=0,0,MAX(0,MIN($O442,IF(ISNUMBER($P442),$P442-$AF442,1E+15),IF(ISNUMBER($AA442),$AA442-$AG442,1E+15)))))</f>
        <v/>
      </c>
      <c r="R442" s="48" t="str">
        <f>IF(OR($B442="",$D442=""),"",IF($AC442=0,"",IF(AND(NOT(ISNUMBER($P442)),NOT(ISNUMBER($AA442))),"∞",MAX(0,MIN(IF(ISNUMBER($P442),$P442-$AF442-$Q442,1E+15),IF(ISNUMBER($AA442),$AA442-$AG442-$Q442,1E+15))))))</f>
        <v/>
      </c>
      <c r="S442" s="47" t="str">
        <f>IF($AD442="","",YEAR($AD442)*100+MONTH($AD442))</f>
        <v/>
      </c>
      <c r="T442" s="50" t="str">
        <f>IF($AD442="","",IFERROR(IF(INDEX(CARDS!$I$5:$I$34,MATCH($D442,CARDS!$A$5:$A$34,0))="","",IF(INDEX(CARDS!$I$5:$I$34,MATCH($D442,CARDS!$A$5:$A$34,0))&gt;INDEX(CARDS!$H$5:$H$34,MATCH($D442,CARDS!$A$5:$A$34,0)),DATE(YEAR($AD442),MONTH($AD442),MIN(INDEX(CARDS!$I$5:$I$34,MATCH($D442,CARDS!$A$5:$A$34,0)),DAY(EOMONTH($AD442,0)))),DATE(YEAR($AD442),MONTH($AD442)+1,MIN(INDEX(CARDS!$I$5:$I$34,MATCH($D442,CARDS!$A$5:$A$34,0)),DAY(EOMONTH($AD442,1)))))),""))</f>
        <v/>
      </c>
      <c r="U442" s="38" t="n"/>
      <c r="V442" s="37" t="n"/>
      <c r="W442" s="38" t="n"/>
      <c r="X442" s="38" t="n"/>
      <c r="Y442" s="44" t="str">
        <f>IF($AC442&gt;0,INDEX(CASHBACK_RULES!$A$5:$A$304,$AC442),"")</f>
        <v/>
      </c>
      <c r="Z442" s="45" t="str">
        <f>IF($AC442&gt;0,INDEX(CASHBACK_RULES!$E$5:$E$304,$AC442)&amp;"","")</f>
        <v/>
      </c>
      <c r="AA442" s="48" t="str">
        <f>IF($AC442&gt;0,IF(ISNUMBER(INDEX(CASHBACK_RULES!$K$5:$K$304,$AC442)),INDEX(CASHBACK_RULES!$K$5:$K$304,$AC442),"∞"),"")</f>
        <v/>
      </c>
      <c r="AB442" s="44" t="str">
        <f>IF(OR($B442="",$D442=""),"",IF($U442="Cancelled","Đã hủy",IF($AC442=0,"Không được hoàn",IF($Q442=0,IF(OR($O442&gt;0,$M442&lt;$L442),"Đã đạt cap","Không được hoàn"),IF(OR($Q442&lt;$O442,$M442&lt;$L442),"Hoàn một phần","Được hoàn")))))</f>
        <v/>
      </c>
      <c r="AC442" s="43">
        <f>IF(OR($B442="",$D442="",$I442="",$L442=""),0,IF($U442="Cancelled",0,IF($W442&lt;&gt;"",IFERROR(IF(INDEX(CASHBACK_RULES!$B$5:$B$304,MATCH($W442,CASHBACK_RULES!$A$5:$A$304,0))=$D442,MATCH($W442,CASHBACK_RULES!$A$5:$A$304,0),0),0),IFERROR(MATCH(1,INDEX((CASHBACK_RULES!$B$5:$B$304=$D442)*(CASHBACK_RULES!$G$5:$G$304=$I442)*(((CASHBACK_RULES!$N$5:$N$304="")+(CASHBACK_RULES!$N$5:$N$304&lt;=$B442))&gt;0)*(((CASHBACK_RULES!$O$5:$O$304="")+(CASHBACK_RULES!$O$5:$O$304&gt;=$B442))&gt;0)*(((CASHBACK_RULES!$M$5:$M$304="")+(CASHBACK_RULES!$M$5:$M$304&lt;=$L442))&gt;0),0),0),0))))</f>
        <v>0</v>
      </c>
      <c r="AD442" s="51" t="str">
        <f>IF(OR($B442="",$D442=""),"",IFERROR(IF(INDEX(CARDS!$H$5:$H$34,MATCH($D442,CARDS!$A$5:$A$34,0))="","",IF(DAY($B442)&lt;=INDEX(CARDS!$H$5:$H$34,MATCH($D442,CARDS!$A$5:$A$34,0)),DATE(YEAR($B442),MONTH($B442),MIN(INDEX(CARDS!$H$5:$H$34,MATCH($D442,CARDS!$A$5:$A$34,0)),DAY(EOMONTH($B442,0)))),DATE(YEAR($B442),MONTH($B442)+1,MIN(INDEX(CARDS!$H$5:$H$34,MATCH($D442,CARDS!$A$5:$A$34,0)),DAY(EOMONTH($B442,1)))))),""))</f>
        <v/>
      </c>
      <c r="AE442" s="52" t="str">
        <f>IF($C442="","",$C442&amp;"|"&amp;COUNTIF($C$5:$C442,$C442))</f>
        <v/>
      </c>
      <c r="AF442" s="53">
        <f>IF($AC442&gt;0,SUMIFS(Q$4:Q441,$D$4:$D441,$D442,$Z$4:$Z441,$Z442,$C$4:$C441,$C442),0)</f>
        <v>0</v>
      </c>
      <c r="AG442" s="53">
        <f>IF($AC442&gt;0,SUMIFS(Q$4:Q441,$D$4:$D441,$D442,$C$4:$C441,$C442),0)</f>
        <v>0</v>
      </c>
      <c r="AH442" s="53">
        <f>IF($AC442&gt;0,SUMIFS(M$4:M441,$D$4:$D441,$D442,$Z$4:$Z441,$Z442,$C$4:$C441,$C442),0)</f>
        <v>0</v>
      </c>
      <c r="AI442" s="43">
        <f>IF(OR($C442="",$I442=""),0,IF(COUNTIFS($C$5:$C442,$C442,$I$5:$I442,$I442)=1,1,0))</f>
        <v>0</v>
      </c>
      <c r="AJ442" s="43" t="str">
        <f>IF($AI442=1,SUMIFS($AI$4:$AI441,$C$4:$C441,$C442)+1,"")</f>
        <v/>
      </c>
      <c r="AK442" s="43">
        <f>IF(OR($C442="",$K442=""),0,IF(COUNTIFS($C$5:$C442,$C442,$K$5:$K442,$K442)=1,1,0))</f>
        <v>0</v>
      </c>
      <c r="AL442" s="43" t="str">
        <f>IF($AK442=1,SUMIFS($AK$4:$AK441,$C$4:$C441,$C442)+1,"")</f>
        <v/>
      </c>
      <c r="AM442" s="43">
        <f>IF(OR($C442="",$G442=""),0,IF(COUNTIFS($C$5:$C442,$C442,$G$5:$G442,$G442)=1,1,0))</f>
        <v>0</v>
      </c>
      <c r="AN442" s="43" t="str">
        <f>IF($AM442=1,SUMIFS($AM$4:$AM441,$C$4:$C441,$C442)+1,"")</f>
        <v/>
      </c>
    </row>
    <row r="443">
      <c r="A443" s="44" t="str">
        <f>IF(OR($B443="",$D443=""),"","TX"&amp;TEXT(ROW()-4,"0000"))</f>
        <v/>
      </c>
      <c r="B443" s="42" t="n"/>
      <c r="C443" s="47" t="str">
        <f>IF($B443="","",YEAR($B443)*100+MONTH($B443))</f>
        <v/>
      </c>
      <c r="D443" s="37" t="n"/>
      <c r="E443" s="45" t="str">
        <f>IF($D443="","",IFERROR(INDEX(CARDS!$B$5:$B$34,MATCH($D443,CARDS!$A$5:$A$34,0)),"⚠ Card ID?"))</f>
        <v/>
      </c>
      <c r="F443" s="45" t="str">
        <f>IF($D443="","",IFERROR(INDEX(CARDS!$C$5:$C$34,MATCH($D443,CARDS!$A$5:$A$34,0)),"⚠ Card ID?"))</f>
        <v/>
      </c>
      <c r="G443" s="37" t="n"/>
      <c r="H443" s="37" t="n"/>
      <c r="I443" s="41" t="n"/>
      <c r="J443" s="45" t="str">
        <f>IF($I443="","",IFERROR(INDEX(MCC_MASTER!$B$5:$B$504,MATCH($I443,MCC_MASTER!$A$5:$A$504,0)),"⚠ MCC chưa có"))</f>
        <v/>
      </c>
      <c r="K443" s="45" t="str">
        <f>IF($I443="","",IFERROR(IF(INDEX(MCC_MASTER!$C$5:$C$504,MATCH($I443,MCC_MASTER!$A$5:$A$504,0))="","Chưa phân loại",INDEX(MCC_MASTER!$C$5:$C$504,MATCH($I443,MCC_MASTER!$A$5:$A$504,0))),"Chưa phân loại"))</f>
        <v/>
      </c>
      <c r="L443" s="40" t="n"/>
      <c r="M443" s="48" t="str">
        <f>IF(OR($B443="",$D443=""),"",IF($AC443=0,0,IF(ISNUMBER(INDEX(CASHBACK_RULES!$L$5:$L$304,$AC443)),MAX(0,MIN($L443,INDEX(CASHBACK_RULES!$L$5:$L$304,$AC443)-$AH443)),MAX(0,$L443))))</f>
        <v/>
      </c>
      <c r="N443" s="49" t="str">
        <f>IF(OR($B443="",$D443=""),"",IF($AC443&gt;0,INDEX(CASHBACK_RULES!$I$5:$I$304,$AC443),0))</f>
        <v/>
      </c>
      <c r="O443" s="48" t="str">
        <f>IF(OR($B443="",$D443=""),"",ROUND($M443*$N443,0))</f>
        <v/>
      </c>
      <c r="P443" s="48" t="str">
        <f>IF($AC443&gt;0,IF(ISNUMBER(INDEX(CASHBACK_RULES!$J$5:$J$304,$AC443)),INDEX(CASHBACK_RULES!$J$5:$J$304,$AC443),"∞"),"")</f>
        <v/>
      </c>
      <c r="Q443" s="48" t="str">
        <f>IF(OR($B443="",$D443=""),"",IF($AC443=0,0,MAX(0,MIN($O443,IF(ISNUMBER($P443),$P443-$AF443,1E+15),IF(ISNUMBER($AA443),$AA443-$AG443,1E+15)))))</f>
        <v/>
      </c>
      <c r="R443" s="48" t="str">
        <f>IF(OR($B443="",$D443=""),"",IF($AC443=0,"",IF(AND(NOT(ISNUMBER($P443)),NOT(ISNUMBER($AA443))),"∞",MAX(0,MIN(IF(ISNUMBER($P443),$P443-$AF443-$Q443,1E+15),IF(ISNUMBER($AA443),$AA443-$AG443-$Q443,1E+15))))))</f>
        <v/>
      </c>
      <c r="S443" s="47" t="str">
        <f>IF($AD443="","",YEAR($AD443)*100+MONTH($AD443))</f>
        <v/>
      </c>
      <c r="T443" s="50" t="str">
        <f>IF($AD443="","",IFERROR(IF(INDEX(CARDS!$I$5:$I$34,MATCH($D443,CARDS!$A$5:$A$34,0))="","",IF(INDEX(CARDS!$I$5:$I$34,MATCH($D443,CARDS!$A$5:$A$34,0))&gt;INDEX(CARDS!$H$5:$H$34,MATCH($D443,CARDS!$A$5:$A$34,0)),DATE(YEAR($AD443),MONTH($AD443),MIN(INDEX(CARDS!$I$5:$I$34,MATCH($D443,CARDS!$A$5:$A$34,0)),DAY(EOMONTH($AD443,0)))),DATE(YEAR($AD443),MONTH($AD443)+1,MIN(INDEX(CARDS!$I$5:$I$34,MATCH($D443,CARDS!$A$5:$A$34,0)),DAY(EOMONTH($AD443,1)))))),""))</f>
        <v/>
      </c>
      <c r="U443" s="38" t="n"/>
      <c r="V443" s="37" t="n"/>
      <c r="W443" s="38" t="n"/>
      <c r="X443" s="38" t="n"/>
      <c r="Y443" s="44" t="str">
        <f>IF($AC443&gt;0,INDEX(CASHBACK_RULES!$A$5:$A$304,$AC443),"")</f>
        <v/>
      </c>
      <c r="Z443" s="45" t="str">
        <f>IF($AC443&gt;0,INDEX(CASHBACK_RULES!$E$5:$E$304,$AC443)&amp;"","")</f>
        <v/>
      </c>
      <c r="AA443" s="48" t="str">
        <f>IF($AC443&gt;0,IF(ISNUMBER(INDEX(CASHBACK_RULES!$K$5:$K$304,$AC443)),INDEX(CASHBACK_RULES!$K$5:$K$304,$AC443),"∞"),"")</f>
        <v/>
      </c>
      <c r="AB443" s="44" t="str">
        <f>IF(OR($B443="",$D443=""),"",IF($U443="Cancelled","Đã hủy",IF($AC443=0,"Không được hoàn",IF($Q443=0,IF(OR($O443&gt;0,$M443&lt;$L443),"Đã đạt cap","Không được hoàn"),IF(OR($Q443&lt;$O443,$M443&lt;$L443),"Hoàn một phần","Được hoàn")))))</f>
        <v/>
      </c>
      <c r="AC443" s="43">
        <f>IF(OR($B443="",$D443="",$I443="",$L443=""),0,IF($U443="Cancelled",0,IF($W443&lt;&gt;"",IFERROR(IF(INDEX(CASHBACK_RULES!$B$5:$B$304,MATCH($W443,CASHBACK_RULES!$A$5:$A$304,0))=$D443,MATCH($W443,CASHBACK_RULES!$A$5:$A$304,0),0),0),IFERROR(MATCH(1,INDEX((CASHBACK_RULES!$B$5:$B$304=$D443)*(CASHBACK_RULES!$G$5:$G$304=$I443)*(((CASHBACK_RULES!$N$5:$N$304="")+(CASHBACK_RULES!$N$5:$N$304&lt;=$B443))&gt;0)*(((CASHBACK_RULES!$O$5:$O$304="")+(CASHBACK_RULES!$O$5:$O$304&gt;=$B443))&gt;0)*(((CASHBACK_RULES!$M$5:$M$304="")+(CASHBACK_RULES!$M$5:$M$304&lt;=$L443))&gt;0),0),0),0))))</f>
        <v>0</v>
      </c>
      <c r="AD443" s="51" t="str">
        <f>IF(OR($B443="",$D443=""),"",IFERROR(IF(INDEX(CARDS!$H$5:$H$34,MATCH($D443,CARDS!$A$5:$A$34,0))="","",IF(DAY($B443)&lt;=INDEX(CARDS!$H$5:$H$34,MATCH($D443,CARDS!$A$5:$A$34,0)),DATE(YEAR($B443),MONTH($B443),MIN(INDEX(CARDS!$H$5:$H$34,MATCH($D443,CARDS!$A$5:$A$34,0)),DAY(EOMONTH($B443,0)))),DATE(YEAR($B443),MONTH($B443)+1,MIN(INDEX(CARDS!$H$5:$H$34,MATCH($D443,CARDS!$A$5:$A$34,0)),DAY(EOMONTH($B443,1)))))),""))</f>
        <v/>
      </c>
      <c r="AE443" s="52" t="str">
        <f>IF($C443="","",$C443&amp;"|"&amp;COUNTIF($C$5:$C443,$C443))</f>
        <v/>
      </c>
      <c r="AF443" s="53">
        <f>IF($AC443&gt;0,SUMIFS(Q$4:Q442,$D$4:$D442,$D443,$Z$4:$Z442,$Z443,$C$4:$C442,$C443),0)</f>
        <v>0</v>
      </c>
      <c r="AG443" s="53">
        <f>IF($AC443&gt;0,SUMIFS(Q$4:Q442,$D$4:$D442,$D443,$C$4:$C442,$C443),0)</f>
        <v>0</v>
      </c>
      <c r="AH443" s="53">
        <f>IF($AC443&gt;0,SUMIFS(M$4:M442,$D$4:$D442,$D443,$Z$4:$Z442,$Z443,$C$4:$C442,$C443),0)</f>
        <v>0</v>
      </c>
      <c r="AI443" s="43">
        <f>IF(OR($C443="",$I443=""),0,IF(COUNTIFS($C$5:$C443,$C443,$I$5:$I443,$I443)=1,1,0))</f>
        <v>0</v>
      </c>
      <c r="AJ443" s="43" t="str">
        <f>IF($AI443=1,SUMIFS($AI$4:$AI442,$C$4:$C442,$C443)+1,"")</f>
        <v/>
      </c>
      <c r="AK443" s="43">
        <f>IF(OR($C443="",$K443=""),0,IF(COUNTIFS($C$5:$C443,$C443,$K$5:$K443,$K443)=1,1,0))</f>
        <v>0</v>
      </c>
      <c r="AL443" s="43" t="str">
        <f>IF($AK443=1,SUMIFS($AK$4:$AK442,$C$4:$C442,$C443)+1,"")</f>
        <v/>
      </c>
      <c r="AM443" s="43">
        <f>IF(OR($C443="",$G443=""),0,IF(COUNTIFS($C$5:$C443,$C443,$G$5:$G443,$G443)=1,1,0))</f>
        <v>0</v>
      </c>
      <c r="AN443" s="43" t="str">
        <f>IF($AM443=1,SUMIFS($AM$4:$AM442,$C$4:$C442,$C443)+1,"")</f>
        <v/>
      </c>
    </row>
    <row r="444">
      <c r="A444" s="44" t="str">
        <f>IF(OR($B444="",$D444=""),"","TX"&amp;TEXT(ROW()-4,"0000"))</f>
        <v/>
      </c>
      <c r="B444" s="42" t="n"/>
      <c r="C444" s="47" t="str">
        <f>IF($B444="","",YEAR($B444)*100+MONTH($B444))</f>
        <v/>
      </c>
      <c r="D444" s="37" t="n"/>
      <c r="E444" s="45" t="str">
        <f>IF($D444="","",IFERROR(INDEX(CARDS!$B$5:$B$34,MATCH($D444,CARDS!$A$5:$A$34,0)),"⚠ Card ID?"))</f>
        <v/>
      </c>
      <c r="F444" s="45" t="str">
        <f>IF($D444="","",IFERROR(INDEX(CARDS!$C$5:$C$34,MATCH($D444,CARDS!$A$5:$A$34,0)),"⚠ Card ID?"))</f>
        <v/>
      </c>
      <c r="G444" s="37" t="n"/>
      <c r="H444" s="37" t="n"/>
      <c r="I444" s="41" t="n"/>
      <c r="J444" s="45" t="str">
        <f>IF($I444="","",IFERROR(INDEX(MCC_MASTER!$B$5:$B$504,MATCH($I444,MCC_MASTER!$A$5:$A$504,0)),"⚠ MCC chưa có"))</f>
        <v/>
      </c>
      <c r="K444" s="45" t="str">
        <f>IF($I444="","",IFERROR(IF(INDEX(MCC_MASTER!$C$5:$C$504,MATCH($I444,MCC_MASTER!$A$5:$A$504,0))="","Chưa phân loại",INDEX(MCC_MASTER!$C$5:$C$504,MATCH($I444,MCC_MASTER!$A$5:$A$504,0))),"Chưa phân loại"))</f>
        <v/>
      </c>
      <c r="L444" s="40" t="n"/>
      <c r="M444" s="48" t="str">
        <f>IF(OR($B444="",$D444=""),"",IF($AC444=0,0,IF(ISNUMBER(INDEX(CASHBACK_RULES!$L$5:$L$304,$AC444)),MAX(0,MIN($L444,INDEX(CASHBACK_RULES!$L$5:$L$304,$AC444)-$AH444)),MAX(0,$L444))))</f>
        <v/>
      </c>
      <c r="N444" s="49" t="str">
        <f>IF(OR($B444="",$D444=""),"",IF($AC444&gt;0,INDEX(CASHBACK_RULES!$I$5:$I$304,$AC444),0))</f>
        <v/>
      </c>
      <c r="O444" s="48" t="str">
        <f>IF(OR($B444="",$D444=""),"",ROUND($M444*$N444,0))</f>
        <v/>
      </c>
      <c r="P444" s="48" t="str">
        <f>IF($AC444&gt;0,IF(ISNUMBER(INDEX(CASHBACK_RULES!$J$5:$J$304,$AC444)),INDEX(CASHBACK_RULES!$J$5:$J$304,$AC444),"∞"),"")</f>
        <v/>
      </c>
      <c r="Q444" s="48" t="str">
        <f>IF(OR($B444="",$D444=""),"",IF($AC444=0,0,MAX(0,MIN($O444,IF(ISNUMBER($P444),$P444-$AF444,1E+15),IF(ISNUMBER($AA444),$AA444-$AG444,1E+15)))))</f>
        <v/>
      </c>
      <c r="R444" s="48" t="str">
        <f>IF(OR($B444="",$D444=""),"",IF($AC444=0,"",IF(AND(NOT(ISNUMBER($P444)),NOT(ISNUMBER($AA444))),"∞",MAX(0,MIN(IF(ISNUMBER($P444),$P444-$AF444-$Q444,1E+15),IF(ISNUMBER($AA444),$AA444-$AG444-$Q444,1E+15))))))</f>
        <v/>
      </c>
      <c r="S444" s="47" t="str">
        <f>IF($AD444="","",YEAR($AD444)*100+MONTH($AD444))</f>
        <v/>
      </c>
      <c r="T444" s="50" t="str">
        <f>IF($AD444="","",IFERROR(IF(INDEX(CARDS!$I$5:$I$34,MATCH($D444,CARDS!$A$5:$A$34,0))="","",IF(INDEX(CARDS!$I$5:$I$34,MATCH($D444,CARDS!$A$5:$A$34,0))&gt;INDEX(CARDS!$H$5:$H$34,MATCH($D444,CARDS!$A$5:$A$34,0)),DATE(YEAR($AD444),MONTH($AD444),MIN(INDEX(CARDS!$I$5:$I$34,MATCH($D444,CARDS!$A$5:$A$34,0)),DAY(EOMONTH($AD444,0)))),DATE(YEAR($AD444),MONTH($AD444)+1,MIN(INDEX(CARDS!$I$5:$I$34,MATCH($D444,CARDS!$A$5:$A$34,0)),DAY(EOMONTH($AD444,1)))))),""))</f>
        <v/>
      </c>
      <c r="U444" s="38" t="n"/>
      <c r="V444" s="37" t="n"/>
      <c r="W444" s="38" t="n"/>
      <c r="X444" s="38" t="n"/>
      <c r="Y444" s="44" t="str">
        <f>IF($AC444&gt;0,INDEX(CASHBACK_RULES!$A$5:$A$304,$AC444),"")</f>
        <v/>
      </c>
      <c r="Z444" s="45" t="str">
        <f>IF($AC444&gt;0,INDEX(CASHBACK_RULES!$E$5:$E$304,$AC444)&amp;"","")</f>
        <v/>
      </c>
      <c r="AA444" s="48" t="str">
        <f>IF($AC444&gt;0,IF(ISNUMBER(INDEX(CASHBACK_RULES!$K$5:$K$304,$AC444)),INDEX(CASHBACK_RULES!$K$5:$K$304,$AC444),"∞"),"")</f>
        <v/>
      </c>
      <c r="AB444" s="44" t="str">
        <f>IF(OR($B444="",$D444=""),"",IF($U444="Cancelled","Đã hủy",IF($AC444=0,"Không được hoàn",IF($Q444=0,IF(OR($O444&gt;0,$M444&lt;$L444),"Đã đạt cap","Không được hoàn"),IF(OR($Q444&lt;$O444,$M444&lt;$L444),"Hoàn một phần","Được hoàn")))))</f>
        <v/>
      </c>
      <c r="AC444" s="43">
        <f>IF(OR($B444="",$D444="",$I444="",$L444=""),0,IF($U444="Cancelled",0,IF($W444&lt;&gt;"",IFERROR(IF(INDEX(CASHBACK_RULES!$B$5:$B$304,MATCH($W444,CASHBACK_RULES!$A$5:$A$304,0))=$D444,MATCH($W444,CASHBACK_RULES!$A$5:$A$304,0),0),0),IFERROR(MATCH(1,INDEX((CASHBACK_RULES!$B$5:$B$304=$D444)*(CASHBACK_RULES!$G$5:$G$304=$I444)*(((CASHBACK_RULES!$N$5:$N$304="")+(CASHBACK_RULES!$N$5:$N$304&lt;=$B444))&gt;0)*(((CASHBACK_RULES!$O$5:$O$304="")+(CASHBACK_RULES!$O$5:$O$304&gt;=$B444))&gt;0)*(((CASHBACK_RULES!$M$5:$M$304="")+(CASHBACK_RULES!$M$5:$M$304&lt;=$L444))&gt;0),0),0),0))))</f>
        <v>0</v>
      </c>
      <c r="AD444" s="51" t="str">
        <f>IF(OR($B444="",$D444=""),"",IFERROR(IF(INDEX(CARDS!$H$5:$H$34,MATCH($D444,CARDS!$A$5:$A$34,0))="","",IF(DAY($B444)&lt;=INDEX(CARDS!$H$5:$H$34,MATCH($D444,CARDS!$A$5:$A$34,0)),DATE(YEAR($B444),MONTH($B444),MIN(INDEX(CARDS!$H$5:$H$34,MATCH($D444,CARDS!$A$5:$A$34,0)),DAY(EOMONTH($B444,0)))),DATE(YEAR($B444),MONTH($B444)+1,MIN(INDEX(CARDS!$H$5:$H$34,MATCH($D444,CARDS!$A$5:$A$34,0)),DAY(EOMONTH($B444,1)))))),""))</f>
        <v/>
      </c>
      <c r="AE444" s="52" t="str">
        <f>IF($C444="","",$C444&amp;"|"&amp;COUNTIF($C$5:$C444,$C444))</f>
        <v/>
      </c>
      <c r="AF444" s="53">
        <f>IF($AC444&gt;0,SUMIFS(Q$4:Q443,$D$4:$D443,$D444,$Z$4:$Z443,$Z444,$C$4:$C443,$C444),0)</f>
        <v>0</v>
      </c>
      <c r="AG444" s="53">
        <f>IF($AC444&gt;0,SUMIFS(Q$4:Q443,$D$4:$D443,$D444,$C$4:$C443,$C444),0)</f>
        <v>0</v>
      </c>
      <c r="AH444" s="53">
        <f>IF($AC444&gt;0,SUMIFS(M$4:M443,$D$4:$D443,$D444,$Z$4:$Z443,$Z444,$C$4:$C443,$C444),0)</f>
        <v>0</v>
      </c>
      <c r="AI444" s="43">
        <f>IF(OR($C444="",$I444=""),0,IF(COUNTIFS($C$5:$C444,$C444,$I$5:$I444,$I444)=1,1,0))</f>
        <v>0</v>
      </c>
      <c r="AJ444" s="43" t="str">
        <f>IF($AI444=1,SUMIFS($AI$4:$AI443,$C$4:$C443,$C444)+1,"")</f>
        <v/>
      </c>
      <c r="AK444" s="43">
        <f>IF(OR($C444="",$K444=""),0,IF(COUNTIFS($C$5:$C444,$C444,$K$5:$K444,$K444)=1,1,0))</f>
        <v>0</v>
      </c>
      <c r="AL444" s="43" t="str">
        <f>IF($AK444=1,SUMIFS($AK$4:$AK443,$C$4:$C443,$C444)+1,"")</f>
        <v/>
      </c>
      <c r="AM444" s="43">
        <f>IF(OR($C444="",$G444=""),0,IF(COUNTIFS($C$5:$C444,$C444,$G$5:$G444,$G444)=1,1,0))</f>
        <v>0</v>
      </c>
      <c r="AN444" s="43" t="str">
        <f>IF($AM444=1,SUMIFS($AM$4:$AM443,$C$4:$C443,$C444)+1,"")</f>
        <v/>
      </c>
    </row>
    <row r="445">
      <c r="A445" s="44" t="str">
        <f>IF(OR($B445="",$D445=""),"","TX"&amp;TEXT(ROW()-4,"0000"))</f>
        <v/>
      </c>
      <c r="B445" s="42" t="n"/>
      <c r="C445" s="47" t="str">
        <f>IF($B445="","",YEAR($B445)*100+MONTH($B445))</f>
        <v/>
      </c>
      <c r="D445" s="37" t="n"/>
      <c r="E445" s="45" t="str">
        <f>IF($D445="","",IFERROR(INDEX(CARDS!$B$5:$B$34,MATCH($D445,CARDS!$A$5:$A$34,0)),"⚠ Card ID?"))</f>
        <v/>
      </c>
      <c r="F445" s="45" t="str">
        <f>IF($D445="","",IFERROR(INDEX(CARDS!$C$5:$C$34,MATCH($D445,CARDS!$A$5:$A$34,0)),"⚠ Card ID?"))</f>
        <v/>
      </c>
      <c r="G445" s="37" t="n"/>
      <c r="H445" s="37" t="n"/>
      <c r="I445" s="41" t="n"/>
      <c r="J445" s="45" t="str">
        <f>IF($I445="","",IFERROR(INDEX(MCC_MASTER!$B$5:$B$504,MATCH($I445,MCC_MASTER!$A$5:$A$504,0)),"⚠ MCC chưa có"))</f>
        <v/>
      </c>
      <c r="K445" s="45" t="str">
        <f>IF($I445="","",IFERROR(IF(INDEX(MCC_MASTER!$C$5:$C$504,MATCH($I445,MCC_MASTER!$A$5:$A$504,0))="","Chưa phân loại",INDEX(MCC_MASTER!$C$5:$C$504,MATCH($I445,MCC_MASTER!$A$5:$A$504,0))),"Chưa phân loại"))</f>
        <v/>
      </c>
      <c r="L445" s="40" t="n"/>
      <c r="M445" s="48" t="str">
        <f>IF(OR($B445="",$D445=""),"",IF($AC445=0,0,IF(ISNUMBER(INDEX(CASHBACK_RULES!$L$5:$L$304,$AC445)),MAX(0,MIN($L445,INDEX(CASHBACK_RULES!$L$5:$L$304,$AC445)-$AH445)),MAX(0,$L445))))</f>
        <v/>
      </c>
      <c r="N445" s="49" t="str">
        <f>IF(OR($B445="",$D445=""),"",IF($AC445&gt;0,INDEX(CASHBACK_RULES!$I$5:$I$304,$AC445),0))</f>
        <v/>
      </c>
      <c r="O445" s="48" t="str">
        <f>IF(OR($B445="",$D445=""),"",ROUND($M445*$N445,0))</f>
        <v/>
      </c>
      <c r="P445" s="48" t="str">
        <f>IF($AC445&gt;0,IF(ISNUMBER(INDEX(CASHBACK_RULES!$J$5:$J$304,$AC445)),INDEX(CASHBACK_RULES!$J$5:$J$304,$AC445),"∞"),"")</f>
        <v/>
      </c>
      <c r="Q445" s="48" t="str">
        <f>IF(OR($B445="",$D445=""),"",IF($AC445=0,0,MAX(0,MIN($O445,IF(ISNUMBER($P445),$P445-$AF445,1E+15),IF(ISNUMBER($AA445),$AA445-$AG445,1E+15)))))</f>
        <v/>
      </c>
      <c r="R445" s="48" t="str">
        <f>IF(OR($B445="",$D445=""),"",IF($AC445=0,"",IF(AND(NOT(ISNUMBER($P445)),NOT(ISNUMBER($AA445))),"∞",MAX(0,MIN(IF(ISNUMBER($P445),$P445-$AF445-$Q445,1E+15),IF(ISNUMBER($AA445),$AA445-$AG445-$Q445,1E+15))))))</f>
        <v/>
      </c>
      <c r="S445" s="47" t="str">
        <f>IF($AD445="","",YEAR($AD445)*100+MONTH($AD445))</f>
        <v/>
      </c>
      <c r="T445" s="50" t="str">
        <f>IF($AD445="","",IFERROR(IF(INDEX(CARDS!$I$5:$I$34,MATCH($D445,CARDS!$A$5:$A$34,0))="","",IF(INDEX(CARDS!$I$5:$I$34,MATCH($D445,CARDS!$A$5:$A$34,0))&gt;INDEX(CARDS!$H$5:$H$34,MATCH($D445,CARDS!$A$5:$A$34,0)),DATE(YEAR($AD445),MONTH($AD445),MIN(INDEX(CARDS!$I$5:$I$34,MATCH($D445,CARDS!$A$5:$A$34,0)),DAY(EOMONTH($AD445,0)))),DATE(YEAR($AD445),MONTH($AD445)+1,MIN(INDEX(CARDS!$I$5:$I$34,MATCH($D445,CARDS!$A$5:$A$34,0)),DAY(EOMONTH($AD445,1)))))),""))</f>
        <v/>
      </c>
      <c r="U445" s="38" t="n"/>
      <c r="V445" s="37" t="n"/>
      <c r="W445" s="38" t="n"/>
      <c r="X445" s="38" t="n"/>
      <c r="Y445" s="44" t="str">
        <f>IF($AC445&gt;0,INDEX(CASHBACK_RULES!$A$5:$A$304,$AC445),"")</f>
        <v/>
      </c>
      <c r="Z445" s="45" t="str">
        <f>IF($AC445&gt;0,INDEX(CASHBACK_RULES!$E$5:$E$304,$AC445)&amp;"","")</f>
        <v/>
      </c>
      <c r="AA445" s="48" t="str">
        <f>IF($AC445&gt;0,IF(ISNUMBER(INDEX(CASHBACK_RULES!$K$5:$K$304,$AC445)),INDEX(CASHBACK_RULES!$K$5:$K$304,$AC445),"∞"),"")</f>
        <v/>
      </c>
      <c r="AB445" s="44" t="str">
        <f>IF(OR($B445="",$D445=""),"",IF($U445="Cancelled","Đã hủy",IF($AC445=0,"Không được hoàn",IF($Q445=0,IF(OR($O445&gt;0,$M445&lt;$L445),"Đã đạt cap","Không được hoàn"),IF(OR($Q445&lt;$O445,$M445&lt;$L445),"Hoàn một phần","Được hoàn")))))</f>
        <v/>
      </c>
      <c r="AC445" s="43">
        <f>IF(OR($B445="",$D445="",$I445="",$L445=""),0,IF($U445="Cancelled",0,IF($W445&lt;&gt;"",IFERROR(IF(INDEX(CASHBACK_RULES!$B$5:$B$304,MATCH($W445,CASHBACK_RULES!$A$5:$A$304,0))=$D445,MATCH($W445,CASHBACK_RULES!$A$5:$A$304,0),0),0),IFERROR(MATCH(1,INDEX((CASHBACK_RULES!$B$5:$B$304=$D445)*(CASHBACK_RULES!$G$5:$G$304=$I445)*(((CASHBACK_RULES!$N$5:$N$304="")+(CASHBACK_RULES!$N$5:$N$304&lt;=$B445))&gt;0)*(((CASHBACK_RULES!$O$5:$O$304="")+(CASHBACK_RULES!$O$5:$O$304&gt;=$B445))&gt;0)*(((CASHBACK_RULES!$M$5:$M$304="")+(CASHBACK_RULES!$M$5:$M$304&lt;=$L445))&gt;0),0),0),0))))</f>
        <v>0</v>
      </c>
      <c r="AD445" s="51" t="str">
        <f>IF(OR($B445="",$D445=""),"",IFERROR(IF(INDEX(CARDS!$H$5:$H$34,MATCH($D445,CARDS!$A$5:$A$34,0))="","",IF(DAY($B445)&lt;=INDEX(CARDS!$H$5:$H$34,MATCH($D445,CARDS!$A$5:$A$34,0)),DATE(YEAR($B445),MONTH($B445),MIN(INDEX(CARDS!$H$5:$H$34,MATCH($D445,CARDS!$A$5:$A$34,0)),DAY(EOMONTH($B445,0)))),DATE(YEAR($B445),MONTH($B445)+1,MIN(INDEX(CARDS!$H$5:$H$34,MATCH($D445,CARDS!$A$5:$A$34,0)),DAY(EOMONTH($B445,1)))))),""))</f>
        <v/>
      </c>
      <c r="AE445" s="52" t="str">
        <f>IF($C445="","",$C445&amp;"|"&amp;COUNTIF($C$5:$C445,$C445))</f>
        <v/>
      </c>
      <c r="AF445" s="53">
        <f>IF($AC445&gt;0,SUMIFS(Q$4:Q444,$D$4:$D444,$D445,$Z$4:$Z444,$Z445,$C$4:$C444,$C445),0)</f>
        <v>0</v>
      </c>
      <c r="AG445" s="53">
        <f>IF($AC445&gt;0,SUMIFS(Q$4:Q444,$D$4:$D444,$D445,$C$4:$C444,$C445),0)</f>
        <v>0</v>
      </c>
      <c r="AH445" s="53">
        <f>IF($AC445&gt;0,SUMIFS(M$4:M444,$D$4:$D444,$D445,$Z$4:$Z444,$Z445,$C$4:$C444,$C445),0)</f>
        <v>0</v>
      </c>
      <c r="AI445" s="43">
        <f>IF(OR($C445="",$I445=""),0,IF(COUNTIFS($C$5:$C445,$C445,$I$5:$I445,$I445)=1,1,0))</f>
        <v>0</v>
      </c>
      <c r="AJ445" s="43" t="str">
        <f>IF($AI445=1,SUMIFS($AI$4:$AI444,$C$4:$C444,$C445)+1,"")</f>
        <v/>
      </c>
      <c r="AK445" s="43">
        <f>IF(OR($C445="",$K445=""),0,IF(COUNTIFS($C$5:$C445,$C445,$K$5:$K445,$K445)=1,1,0))</f>
        <v>0</v>
      </c>
      <c r="AL445" s="43" t="str">
        <f>IF($AK445=1,SUMIFS($AK$4:$AK444,$C$4:$C444,$C445)+1,"")</f>
        <v/>
      </c>
      <c r="AM445" s="43">
        <f>IF(OR($C445="",$G445=""),0,IF(COUNTIFS($C$5:$C445,$C445,$G$5:$G445,$G445)=1,1,0))</f>
        <v>0</v>
      </c>
      <c r="AN445" s="43" t="str">
        <f>IF($AM445=1,SUMIFS($AM$4:$AM444,$C$4:$C444,$C445)+1,"")</f>
        <v/>
      </c>
    </row>
    <row r="446">
      <c r="A446" s="44" t="str">
        <f>IF(OR($B446="",$D446=""),"","TX"&amp;TEXT(ROW()-4,"0000"))</f>
        <v/>
      </c>
      <c r="B446" s="42" t="n"/>
      <c r="C446" s="47" t="str">
        <f>IF($B446="","",YEAR($B446)*100+MONTH($B446))</f>
        <v/>
      </c>
      <c r="D446" s="37" t="n"/>
      <c r="E446" s="45" t="str">
        <f>IF($D446="","",IFERROR(INDEX(CARDS!$B$5:$B$34,MATCH($D446,CARDS!$A$5:$A$34,0)),"⚠ Card ID?"))</f>
        <v/>
      </c>
      <c r="F446" s="45" t="str">
        <f>IF($D446="","",IFERROR(INDEX(CARDS!$C$5:$C$34,MATCH($D446,CARDS!$A$5:$A$34,0)),"⚠ Card ID?"))</f>
        <v/>
      </c>
      <c r="G446" s="37" t="n"/>
      <c r="H446" s="37" t="n"/>
      <c r="I446" s="41" t="n"/>
      <c r="J446" s="45" t="str">
        <f>IF($I446="","",IFERROR(INDEX(MCC_MASTER!$B$5:$B$504,MATCH($I446,MCC_MASTER!$A$5:$A$504,0)),"⚠ MCC chưa có"))</f>
        <v/>
      </c>
      <c r="K446" s="45" t="str">
        <f>IF($I446="","",IFERROR(IF(INDEX(MCC_MASTER!$C$5:$C$504,MATCH($I446,MCC_MASTER!$A$5:$A$504,0))="","Chưa phân loại",INDEX(MCC_MASTER!$C$5:$C$504,MATCH($I446,MCC_MASTER!$A$5:$A$504,0))),"Chưa phân loại"))</f>
        <v/>
      </c>
      <c r="L446" s="40" t="n"/>
      <c r="M446" s="48" t="str">
        <f>IF(OR($B446="",$D446=""),"",IF($AC446=0,0,IF(ISNUMBER(INDEX(CASHBACK_RULES!$L$5:$L$304,$AC446)),MAX(0,MIN($L446,INDEX(CASHBACK_RULES!$L$5:$L$304,$AC446)-$AH446)),MAX(0,$L446))))</f>
        <v/>
      </c>
      <c r="N446" s="49" t="str">
        <f>IF(OR($B446="",$D446=""),"",IF($AC446&gt;0,INDEX(CASHBACK_RULES!$I$5:$I$304,$AC446),0))</f>
        <v/>
      </c>
      <c r="O446" s="48" t="str">
        <f>IF(OR($B446="",$D446=""),"",ROUND($M446*$N446,0))</f>
        <v/>
      </c>
      <c r="P446" s="48" t="str">
        <f>IF($AC446&gt;0,IF(ISNUMBER(INDEX(CASHBACK_RULES!$J$5:$J$304,$AC446)),INDEX(CASHBACK_RULES!$J$5:$J$304,$AC446),"∞"),"")</f>
        <v/>
      </c>
      <c r="Q446" s="48" t="str">
        <f>IF(OR($B446="",$D446=""),"",IF($AC446=0,0,MAX(0,MIN($O446,IF(ISNUMBER($P446),$P446-$AF446,1E+15),IF(ISNUMBER($AA446),$AA446-$AG446,1E+15)))))</f>
        <v/>
      </c>
      <c r="R446" s="48" t="str">
        <f>IF(OR($B446="",$D446=""),"",IF($AC446=0,"",IF(AND(NOT(ISNUMBER($P446)),NOT(ISNUMBER($AA446))),"∞",MAX(0,MIN(IF(ISNUMBER($P446),$P446-$AF446-$Q446,1E+15),IF(ISNUMBER($AA446),$AA446-$AG446-$Q446,1E+15))))))</f>
        <v/>
      </c>
      <c r="S446" s="47" t="str">
        <f>IF($AD446="","",YEAR($AD446)*100+MONTH($AD446))</f>
        <v/>
      </c>
      <c r="T446" s="50" t="str">
        <f>IF($AD446="","",IFERROR(IF(INDEX(CARDS!$I$5:$I$34,MATCH($D446,CARDS!$A$5:$A$34,0))="","",IF(INDEX(CARDS!$I$5:$I$34,MATCH($D446,CARDS!$A$5:$A$34,0))&gt;INDEX(CARDS!$H$5:$H$34,MATCH($D446,CARDS!$A$5:$A$34,0)),DATE(YEAR($AD446),MONTH($AD446),MIN(INDEX(CARDS!$I$5:$I$34,MATCH($D446,CARDS!$A$5:$A$34,0)),DAY(EOMONTH($AD446,0)))),DATE(YEAR($AD446),MONTH($AD446)+1,MIN(INDEX(CARDS!$I$5:$I$34,MATCH($D446,CARDS!$A$5:$A$34,0)),DAY(EOMONTH($AD446,1)))))),""))</f>
        <v/>
      </c>
      <c r="U446" s="38" t="n"/>
      <c r="V446" s="37" t="n"/>
      <c r="W446" s="38" t="n"/>
      <c r="X446" s="38" t="n"/>
      <c r="Y446" s="44" t="str">
        <f>IF($AC446&gt;0,INDEX(CASHBACK_RULES!$A$5:$A$304,$AC446),"")</f>
        <v/>
      </c>
      <c r="Z446" s="45" t="str">
        <f>IF($AC446&gt;0,INDEX(CASHBACK_RULES!$E$5:$E$304,$AC446)&amp;"","")</f>
        <v/>
      </c>
      <c r="AA446" s="48" t="str">
        <f>IF($AC446&gt;0,IF(ISNUMBER(INDEX(CASHBACK_RULES!$K$5:$K$304,$AC446)),INDEX(CASHBACK_RULES!$K$5:$K$304,$AC446),"∞"),"")</f>
        <v/>
      </c>
      <c r="AB446" s="44" t="str">
        <f>IF(OR($B446="",$D446=""),"",IF($U446="Cancelled","Đã hủy",IF($AC446=0,"Không được hoàn",IF($Q446=0,IF(OR($O446&gt;0,$M446&lt;$L446),"Đã đạt cap","Không được hoàn"),IF(OR($Q446&lt;$O446,$M446&lt;$L446),"Hoàn một phần","Được hoàn")))))</f>
        <v/>
      </c>
      <c r="AC446" s="43">
        <f>IF(OR($B446="",$D446="",$I446="",$L446=""),0,IF($U446="Cancelled",0,IF($W446&lt;&gt;"",IFERROR(IF(INDEX(CASHBACK_RULES!$B$5:$B$304,MATCH($W446,CASHBACK_RULES!$A$5:$A$304,0))=$D446,MATCH($W446,CASHBACK_RULES!$A$5:$A$304,0),0),0),IFERROR(MATCH(1,INDEX((CASHBACK_RULES!$B$5:$B$304=$D446)*(CASHBACK_RULES!$G$5:$G$304=$I446)*(((CASHBACK_RULES!$N$5:$N$304="")+(CASHBACK_RULES!$N$5:$N$304&lt;=$B446))&gt;0)*(((CASHBACK_RULES!$O$5:$O$304="")+(CASHBACK_RULES!$O$5:$O$304&gt;=$B446))&gt;0)*(((CASHBACK_RULES!$M$5:$M$304="")+(CASHBACK_RULES!$M$5:$M$304&lt;=$L446))&gt;0),0),0),0))))</f>
        <v>0</v>
      </c>
      <c r="AD446" s="51" t="str">
        <f>IF(OR($B446="",$D446=""),"",IFERROR(IF(INDEX(CARDS!$H$5:$H$34,MATCH($D446,CARDS!$A$5:$A$34,0))="","",IF(DAY($B446)&lt;=INDEX(CARDS!$H$5:$H$34,MATCH($D446,CARDS!$A$5:$A$34,0)),DATE(YEAR($B446),MONTH($B446),MIN(INDEX(CARDS!$H$5:$H$34,MATCH($D446,CARDS!$A$5:$A$34,0)),DAY(EOMONTH($B446,0)))),DATE(YEAR($B446),MONTH($B446)+1,MIN(INDEX(CARDS!$H$5:$H$34,MATCH($D446,CARDS!$A$5:$A$34,0)),DAY(EOMONTH($B446,1)))))),""))</f>
        <v/>
      </c>
      <c r="AE446" s="52" t="str">
        <f>IF($C446="","",$C446&amp;"|"&amp;COUNTIF($C$5:$C446,$C446))</f>
        <v/>
      </c>
      <c r="AF446" s="53">
        <f>IF($AC446&gt;0,SUMIFS(Q$4:Q445,$D$4:$D445,$D446,$Z$4:$Z445,$Z446,$C$4:$C445,$C446),0)</f>
        <v>0</v>
      </c>
      <c r="AG446" s="53">
        <f>IF($AC446&gt;0,SUMIFS(Q$4:Q445,$D$4:$D445,$D446,$C$4:$C445,$C446),0)</f>
        <v>0</v>
      </c>
      <c r="AH446" s="53">
        <f>IF($AC446&gt;0,SUMIFS(M$4:M445,$D$4:$D445,$D446,$Z$4:$Z445,$Z446,$C$4:$C445,$C446),0)</f>
        <v>0</v>
      </c>
      <c r="AI446" s="43">
        <f>IF(OR($C446="",$I446=""),0,IF(COUNTIFS($C$5:$C446,$C446,$I$5:$I446,$I446)=1,1,0))</f>
        <v>0</v>
      </c>
      <c r="AJ446" s="43" t="str">
        <f>IF($AI446=1,SUMIFS($AI$4:$AI445,$C$4:$C445,$C446)+1,"")</f>
        <v/>
      </c>
      <c r="AK446" s="43">
        <f>IF(OR($C446="",$K446=""),0,IF(COUNTIFS($C$5:$C446,$C446,$K$5:$K446,$K446)=1,1,0))</f>
        <v>0</v>
      </c>
      <c r="AL446" s="43" t="str">
        <f>IF($AK446=1,SUMIFS($AK$4:$AK445,$C$4:$C445,$C446)+1,"")</f>
        <v/>
      </c>
      <c r="AM446" s="43">
        <f>IF(OR($C446="",$G446=""),0,IF(COUNTIFS($C$5:$C446,$C446,$G$5:$G446,$G446)=1,1,0))</f>
        <v>0</v>
      </c>
      <c r="AN446" s="43" t="str">
        <f>IF($AM446=1,SUMIFS($AM$4:$AM445,$C$4:$C445,$C446)+1,"")</f>
        <v/>
      </c>
    </row>
    <row r="447">
      <c r="A447" s="44" t="str">
        <f>IF(OR($B447="",$D447=""),"","TX"&amp;TEXT(ROW()-4,"0000"))</f>
        <v/>
      </c>
      <c r="B447" s="42" t="n"/>
      <c r="C447" s="47" t="str">
        <f>IF($B447="","",YEAR($B447)*100+MONTH($B447))</f>
        <v/>
      </c>
      <c r="D447" s="37" t="n"/>
      <c r="E447" s="45" t="str">
        <f>IF($D447="","",IFERROR(INDEX(CARDS!$B$5:$B$34,MATCH($D447,CARDS!$A$5:$A$34,0)),"⚠ Card ID?"))</f>
        <v/>
      </c>
      <c r="F447" s="45" t="str">
        <f>IF($D447="","",IFERROR(INDEX(CARDS!$C$5:$C$34,MATCH($D447,CARDS!$A$5:$A$34,0)),"⚠ Card ID?"))</f>
        <v/>
      </c>
      <c r="G447" s="37" t="n"/>
      <c r="H447" s="37" t="n"/>
      <c r="I447" s="41" t="n"/>
      <c r="J447" s="45" t="str">
        <f>IF($I447="","",IFERROR(INDEX(MCC_MASTER!$B$5:$B$504,MATCH($I447,MCC_MASTER!$A$5:$A$504,0)),"⚠ MCC chưa có"))</f>
        <v/>
      </c>
      <c r="K447" s="45" t="str">
        <f>IF($I447="","",IFERROR(IF(INDEX(MCC_MASTER!$C$5:$C$504,MATCH($I447,MCC_MASTER!$A$5:$A$504,0))="","Chưa phân loại",INDEX(MCC_MASTER!$C$5:$C$504,MATCH($I447,MCC_MASTER!$A$5:$A$504,0))),"Chưa phân loại"))</f>
        <v/>
      </c>
      <c r="L447" s="40" t="n"/>
      <c r="M447" s="48" t="str">
        <f>IF(OR($B447="",$D447=""),"",IF($AC447=0,0,IF(ISNUMBER(INDEX(CASHBACK_RULES!$L$5:$L$304,$AC447)),MAX(0,MIN($L447,INDEX(CASHBACK_RULES!$L$5:$L$304,$AC447)-$AH447)),MAX(0,$L447))))</f>
        <v/>
      </c>
      <c r="N447" s="49" t="str">
        <f>IF(OR($B447="",$D447=""),"",IF($AC447&gt;0,INDEX(CASHBACK_RULES!$I$5:$I$304,$AC447),0))</f>
        <v/>
      </c>
      <c r="O447" s="48" t="str">
        <f>IF(OR($B447="",$D447=""),"",ROUND($M447*$N447,0))</f>
        <v/>
      </c>
      <c r="P447" s="48" t="str">
        <f>IF($AC447&gt;0,IF(ISNUMBER(INDEX(CASHBACK_RULES!$J$5:$J$304,$AC447)),INDEX(CASHBACK_RULES!$J$5:$J$304,$AC447),"∞"),"")</f>
        <v/>
      </c>
      <c r="Q447" s="48" t="str">
        <f>IF(OR($B447="",$D447=""),"",IF($AC447=0,0,MAX(0,MIN($O447,IF(ISNUMBER($P447),$P447-$AF447,1E+15),IF(ISNUMBER($AA447),$AA447-$AG447,1E+15)))))</f>
        <v/>
      </c>
      <c r="R447" s="48" t="str">
        <f>IF(OR($B447="",$D447=""),"",IF($AC447=0,"",IF(AND(NOT(ISNUMBER($P447)),NOT(ISNUMBER($AA447))),"∞",MAX(0,MIN(IF(ISNUMBER($P447),$P447-$AF447-$Q447,1E+15),IF(ISNUMBER($AA447),$AA447-$AG447-$Q447,1E+15))))))</f>
        <v/>
      </c>
      <c r="S447" s="47" t="str">
        <f>IF($AD447="","",YEAR($AD447)*100+MONTH($AD447))</f>
        <v/>
      </c>
      <c r="T447" s="50" t="str">
        <f>IF($AD447="","",IFERROR(IF(INDEX(CARDS!$I$5:$I$34,MATCH($D447,CARDS!$A$5:$A$34,0))="","",IF(INDEX(CARDS!$I$5:$I$34,MATCH($D447,CARDS!$A$5:$A$34,0))&gt;INDEX(CARDS!$H$5:$H$34,MATCH($D447,CARDS!$A$5:$A$34,0)),DATE(YEAR($AD447),MONTH($AD447),MIN(INDEX(CARDS!$I$5:$I$34,MATCH($D447,CARDS!$A$5:$A$34,0)),DAY(EOMONTH($AD447,0)))),DATE(YEAR($AD447),MONTH($AD447)+1,MIN(INDEX(CARDS!$I$5:$I$34,MATCH($D447,CARDS!$A$5:$A$34,0)),DAY(EOMONTH($AD447,1)))))),""))</f>
        <v/>
      </c>
      <c r="U447" s="38" t="n"/>
      <c r="V447" s="37" t="n"/>
      <c r="W447" s="38" t="n"/>
      <c r="X447" s="38" t="n"/>
      <c r="Y447" s="44" t="str">
        <f>IF($AC447&gt;0,INDEX(CASHBACK_RULES!$A$5:$A$304,$AC447),"")</f>
        <v/>
      </c>
      <c r="Z447" s="45" t="str">
        <f>IF($AC447&gt;0,INDEX(CASHBACK_RULES!$E$5:$E$304,$AC447)&amp;"","")</f>
        <v/>
      </c>
      <c r="AA447" s="48" t="str">
        <f>IF($AC447&gt;0,IF(ISNUMBER(INDEX(CASHBACK_RULES!$K$5:$K$304,$AC447)),INDEX(CASHBACK_RULES!$K$5:$K$304,$AC447),"∞"),"")</f>
        <v/>
      </c>
      <c r="AB447" s="44" t="str">
        <f>IF(OR($B447="",$D447=""),"",IF($U447="Cancelled","Đã hủy",IF($AC447=0,"Không được hoàn",IF($Q447=0,IF(OR($O447&gt;0,$M447&lt;$L447),"Đã đạt cap","Không được hoàn"),IF(OR($Q447&lt;$O447,$M447&lt;$L447),"Hoàn một phần","Được hoàn")))))</f>
        <v/>
      </c>
      <c r="AC447" s="43">
        <f>IF(OR($B447="",$D447="",$I447="",$L447=""),0,IF($U447="Cancelled",0,IF($W447&lt;&gt;"",IFERROR(IF(INDEX(CASHBACK_RULES!$B$5:$B$304,MATCH($W447,CASHBACK_RULES!$A$5:$A$304,0))=$D447,MATCH($W447,CASHBACK_RULES!$A$5:$A$304,0),0),0),IFERROR(MATCH(1,INDEX((CASHBACK_RULES!$B$5:$B$304=$D447)*(CASHBACK_RULES!$G$5:$G$304=$I447)*(((CASHBACK_RULES!$N$5:$N$304="")+(CASHBACK_RULES!$N$5:$N$304&lt;=$B447))&gt;0)*(((CASHBACK_RULES!$O$5:$O$304="")+(CASHBACK_RULES!$O$5:$O$304&gt;=$B447))&gt;0)*(((CASHBACK_RULES!$M$5:$M$304="")+(CASHBACK_RULES!$M$5:$M$304&lt;=$L447))&gt;0),0),0),0))))</f>
        <v>0</v>
      </c>
      <c r="AD447" s="51" t="str">
        <f>IF(OR($B447="",$D447=""),"",IFERROR(IF(INDEX(CARDS!$H$5:$H$34,MATCH($D447,CARDS!$A$5:$A$34,0))="","",IF(DAY($B447)&lt;=INDEX(CARDS!$H$5:$H$34,MATCH($D447,CARDS!$A$5:$A$34,0)),DATE(YEAR($B447),MONTH($B447),MIN(INDEX(CARDS!$H$5:$H$34,MATCH($D447,CARDS!$A$5:$A$34,0)),DAY(EOMONTH($B447,0)))),DATE(YEAR($B447),MONTH($B447)+1,MIN(INDEX(CARDS!$H$5:$H$34,MATCH($D447,CARDS!$A$5:$A$34,0)),DAY(EOMONTH($B447,1)))))),""))</f>
        <v/>
      </c>
      <c r="AE447" s="52" t="str">
        <f>IF($C447="","",$C447&amp;"|"&amp;COUNTIF($C$5:$C447,$C447))</f>
        <v/>
      </c>
      <c r="AF447" s="53">
        <f>IF($AC447&gt;0,SUMIFS(Q$4:Q446,$D$4:$D446,$D447,$Z$4:$Z446,$Z447,$C$4:$C446,$C447),0)</f>
        <v>0</v>
      </c>
      <c r="AG447" s="53">
        <f>IF($AC447&gt;0,SUMIFS(Q$4:Q446,$D$4:$D446,$D447,$C$4:$C446,$C447),0)</f>
        <v>0</v>
      </c>
      <c r="AH447" s="53">
        <f>IF($AC447&gt;0,SUMIFS(M$4:M446,$D$4:$D446,$D447,$Z$4:$Z446,$Z447,$C$4:$C446,$C447),0)</f>
        <v>0</v>
      </c>
      <c r="AI447" s="43">
        <f>IF(OR($C447="",$I447=""),0,IF(COUNTIFS($C$5:$C447,$C447,$I$5:$I447,$I447)=1,1,0))</f>
        <v>0</v>
      </c>
      <c r="AJ447" s="43" t="str">
        <f>IF($AI447=1,SUMIFS($AI$4:$AI446,$C$4:$C446,$C447)+1,"")</f>
        <v/>
      </c>
      <c r="AK447" s="43">
        <f>IF(OR($C447="",$K447=""),0,IF(COUNTIFS($C$5:$C447,$C447,$K$5:$K447,$K447)=1,1,0))</f>
        <v>0</v>
      </c>
      <c r="AL447" s="43" t="str">
        <f>IF($AK447=1,SUMIFS($AK$4:$AK446,$C$4:$C446,$C447)+1,"")</f>
        <v/>
      </c>
      <c r="AM447" s="43">
        <f>IF(OR($C447="",$G447=""),0,IF(COUNTIFS($C$5:$C447,$C447,$G$5:$G447,$G447)=1,1,0))</f>
        <v>0</v>
      </c>
      <c r="AN447" s="43" t="str">
        <f>IF($AM447=1,SUMIFS($AM$4:$AM446,$C$4:$C446,$C447)+1,"")</f>
        <v/>
      </c>
    </row>
    <row r="448">
      <c r="A448" s="44" t="str">
        <f>IF(OR($B448="",$D448=""),"","TX"&amp;TEXT(ROW()-4,"0000"))</f>
        <v/>
      </c>
      <c r="B448" s="42" t="n"/>
      <c r="C448" s="47" t="str">
        <f>IF($B448="","",YEAR($B448)*100+MONTH($B448))</f>
        <v/>
      </c>
      <c r="D448" s="37" t="n"/>
      <c r="E448" s="45" t="str">
        <f>IF($D448="","",IFERROR(INDEX(CARDS!$B$5:$B$34,MATCH($D448,CARDS!$A$5:$A$34,0)),"⚠ Card ID?"))</f>
        <v/>
      </c>
      <c r="F448" s="45" t="str">
        <f>IF($D448="","",IFERROR(INDEX(CARDS!$C$5:$C$34,MATCH($D448,CARDS!$A$5:$A$34,0)),"⚠ Card ID?"))</f>
        <v/>
      </c>
      <c r="G448" s="37" t="n"/>
      <c r="H448" s="37" t="n"/>
      <c r="I448" s="41" t="n"/>
      <c r="J448" s="45" t="str">
        <f>IF($I448="","",IFERROR(INDEX(MCC_MASTER!$B$5:$B$504,MATCH($I448,MCC_MASTER!$A$5:$A$504,0)),"⚠ MCC chưa có"))</f>
        <v/>
      </c>
      <c r="K448" s="45" t="str">
        <f>IF($I448="","",IFERROR(IF(INDEX(MCC_MASTER!$C$5:$C$504,MATCH($I448,MCC_MASTER!$A$5:$A$504,0))="","Chưa phân loại",INDEX(MCC_MASTER!$C$5:$C$504,MATCH($I448,MCC_MASTER!$A$5:$A$504,0))),"Chưa phân loại"))</f>
        <v/>
      </c>
      <c r="L448" s="40" t="n"/>
      <c r="M448" s="48" t="str">
        <f>IF(OR($B448="",$D448=""),"",IF($AC448=0,0,IF(ISNUMBER(INDEX(CASHBACK_RULES!$L$5:$L$304,$AC448)),MAX(0,MIN($L448,INDEX(CASHBACK_RULES!$L$5:$L$304,$AC448)-$AH448)),MAX(0,$L448))))</f>
        <v/>
      </c>
      <c r="N448" s="49" t="str">
        <f>IF(OR($B448="",$D448=""),"",IF($AC448&gt;0,INDEX(CASHBACK_RULES!$I$5:$I$304,$AC448),0))</f>
        <v/>
      </c>
      <c r="O448" s="48" t="str">
        <f>IF(OR($B448="",$D448=""),"",ROUND($M448*$N448,0))</f>
        <v/>
      </c>
      <c r="P448" s="48" t="str">
        <f>IF($AC448&gt;0,IF(ISNUMBER(INDEX(CASHBACK_RULES!$J$5:$J$304,$AC448)),INDEX(CASHBACK_RULES!$J$5:$J$304,$AC448),"∞"),"")</f>
        <v/>
      </c>
      <c r="Q448" s="48" t="str">
        <f>IF(OR($B448="",$D448=""),"",IF($AC448=0,0,MAX(0,MIN($O448,IF(ISNUMBER($P448),$P448-$AF448,1E+15),IF(ISNUMBER($AA448),$AA448-$AG448,1E+15)))))</f>
        <v/>
      </c>
      <c r="R448" s="48" t="str">
        <f>IF(OR($B448="",$D448=""),"",IF($AC448=0,"",IF(AND(NOT(ISNUMBER($P448)),NOT(ISNUMBER($AA448))),"∞",MAX(0,MIN(IF(ISNUMBER($P448),$P448-$AF448-$Q448,1E+15),IF(ISNUMBER($AA448),$AA448-$AG448-$Q448,1E+15))))))</f>
        <v/>
      </c>
      <c r="S448" s="47" t="str">
        <f>IF($AD448="","",YEAR($AD448)*100+MONTH($AD448))</f>
        <v/>
      </c>
      <c r="T448" s="50" t="str">
        <f>IF($AD448="","",IFERROR(IF(INDEX(CARDS!$I$5:$I$34,MATCH($D448,CARDS!$A$5:$A$34,0))="","",IF(INDEX(CARDS!$I$5:$I$34,MATCH($D448,CARDS!$A$5:$A$34,0))&gt;INDEX(CARDS!$H$5:$H$34,MATCH($D448,CARDS!$A$5:$A$34,0)),DATE(YEAR($AD448),MONTH($AD448),MIN(INDEX(CARDS!$I$5:$I$34,MATCH($D448,CARDS!$A$5:$A$34,0)),DAY(EOMONTH($AD448,0)))),DATE(YEAR($AD448),MONTH($AD448)+1,MIN(INDEX(CARDS!$I$5:$I$34,MATCH($D448,CARDS!$A$5:$A$34,0)),DAY(EOMONTH($AD448,1)))))),""))</f>
        <v/>
      </c>
      <c r="U448" s="38" t="n"/>
      <c r="V448" s="37" t="n"/>
      <c r="W448" s="38" t="n"/>
      <c r="X448" s="38" t="n"/>
      <c r="Y448" s="44" t="str">
        <f>IF($AC448&gt;0,INDEX(CASHBACK_RULES!$A$5:$A$304,$AC448),"")</f>
        <v/>
      </c>
      <c r="Z448" s="45" t="str">
        <f>IF($AC448&gt;0,INDEX(CASHBACK_RULES!$E$5:$E$304,$AC448)&amp;"","")</f>
        <v/>
      </c>
      <c r="AA448" s="48" t="str">
        <f>IF($AC448&gt;0,IF(ISNUMBER(INDEX(CASHBACK_RULES!$K$5:$K$304,$AC448)),INDEX(CASHBACK_RULES!$K$5:$K$304,$AC448),"∞"),"")</f>
        <v/>
      </c>
      <c r="AB448" s="44" t="str">
        <f>IF(OR($B448="",$D448=""),"",IF($U448="Cancelled","Đã hủy",IF($AC448=0,"Không được hoàn",IF($Q448=0,IF(OR($O448&gt;0,$M448&lt;$L448),"Đã đạt cap","Không được hoàn"),IF(OR($Q448&lt;$O448,$M448&lt;$L448),"Hoàn một phần","Được hoàn")))))</f>
        <v/>
      </c>
      <c r="AC448" s="43">
        <f>IF(OR($B448="",$D448="",$I448="",$L448=""),0,IF($U448="Cancelled",0,IF($W448&lt;&gt;"",IFERROR(IF(INDEX(CASHBACK_RULES!$B$5:$B$304,MATCH($W448,CASHBACK_RULES!$A$5:$A$304,0))=$D448,MATCH($W448,CASHBACK_RULES!$A$5:$A$304,0),0),0),IFERROR(MATCH(1,INDEX((CASHBACK_RULES!$B$5:$B$304=$D448)*(CASHBACK_RULES!$G$5:$G$304=$I448)*(((CASHBACK_RULES!$N$5:$N$304="")+(CASHBACK_RULES!$N$5:$N$304&lt;=$B448))&gt;0)*(((CASHBACK_RULES!$O$5:$O$304="")+(CASHBACK_RULES!$O$5:$O$304&gt;=$B448))&gt;0)*(((CASHBACK_RULES!$M$5:$M$304="")+(CASHBACK_RULES!$M$5:$M$304&lt;=$L448))&gt;0),0),0),0))))</f>
        <v>0</v>
      </c>
      <c r="AD448" s="51" t="str">
        <f>IF(OR($B448="",$D448=""),"",IFERROR(IF(INDEX(CARDS!$H$5:$H$34,MATCH($D448,CARDS!$A$5:$A$34,0))="","",IF(DAY($B448)&lt;=INDEX(CARDS!$H$5:$H$34,MATCH($D448,CARDS!$A$5:$A$34,0)),DATE(YEAR($B448),MONTH($B448),MIN(INDEX(CARDS!$H$5:$H$34,MATCH($D448,CARDS!$A$5:$A$34,0)),DAY(EOMONTH($B448,0)))),DATE(YEAR($B448),MONTH($B448)+1,MIN(INDEX(CARDS!$H$5:$H$34,MATCH($D448,CARDS!$A$5:$A$34,0)),DAY(EOMONTH($B448,1)))))),""))</f>
        <v/>
      </c>
      <c r="AE448" s="52" t="str">
        <f>IF($C448="","",$C448&amp;"|"&amp;COUNTIF($C$5:$C448,$C448))</f>
        <v/>
      </c>
      <c r="AF448" s="53">
        <f>IF($AC448&gt;0,SUMIFS(Q$4:Q447,$D$4:$D447,$D448,$Z$4:$Z447,$Z448,$C$4:$C447,$C448),0)</f>
        <v>0</v>
      </c>
      <c r="AG448" s="53">
        <f>IF($AC448&gt;0,SUMIFS(Q$4:Q447,$D$4:$D447,$D448,$C$4:$C447,$C448),0)</f>
        <v>0</v>
      </c>
      <c r="AH448" s="53">
        <f>IF($AC448&gt;0,SUMIFS(M$4:M447,$D$4:$D447,$D448,$Z$4:$Z447,$Z448,$C$4:$C447,$C448),0)</f>
        <v>0</v>
      </c>
      <c r="AI448" s="43">
        <f>IF(OR($C448="",$I448=""),0,IF(COUNTIFS($C$5:$C448,$C448,$I$5:$I448,$I448)=1,1,0))</f>
        <v>0</v>
      </c>
      <c r="AJ448" s="43" t="str">
        <f>IF($AI448=1,SUMIFS($AI$4:$AI447,$C$4:$C447,$C448)+1,"")</f>
        <v/>
      </c>
      <c r="AK448" s="43">
        <f>IF(OR($C448="",$K448=""),0,IF(COUNTIFS($C$5:$C448,$C448,$K$5:$K448,$K448)=1,1,0))</f>
        <v>0</v>
      </c>
      <c r="AL448" s="43" t="str">
        <f>IF($AK448=1,SUMIFS($AK$4:$AK447,$C$4:$C447,$C448)+1,"")</f>
        <v/>
      </c>
      <c r="AM448" s="43">
        <f>IF(OR($C448="",$G448=""),0,IF(COUNTIFS($C$5:$C448,$C448,$G$5:$G448,$G448)=1,1,0))</f>
        <v>0</v>
      </c>
      <c r="AN448" s="43" t="str">
        <f>IF($AM448=1,SUMIFS($AM$4:$AM447,$C$4:$C447,$C448)+1,"")</f>
        <v/>
      </c>
    </row>
    <row r="449">
      <c r="A449" s="44" t="str">
        <f>IF(OR($B449="",$D449=""),"","TX"&amp;TEXT(ROW()-4,"0000"))</f>
        <v/>
      </c>
      <c r="B449" s="42" t="n"/>
      <c r="C449" s="47" t="str">
        <f>IF($B449="","",YEAR($B449)*100+MONTH($B449))</f>
        <v/>
      </c>
      <c r="D449" s="37" t="n"/>
      <c r="E449" s="45" t="str">
        <f>IF($D449="","",IFERROR(INDEX(CARDS!$B$5:$B$34,MATCH($D449,CARDS!$A$5:$A$34,0)),"⚠ Card ID?"))</f>
        <v/>
      </c>
      <c r="F449" s="45" t="str">
        <f>IF($D449="","",IFERROR(INDEX(CARDS!$C$5:$C$34,MATCH($D449,CARDS!$A$5:$A$34,0)),"⚠ Card ID?"))</f>
        <v/>
      </c>
      <c r="G449" s="37" t="n"/>
      <c r="H449" s="37" t="n"/>
      <c r="I449" s="41" t="n"/>
      <c r="J449" s="45" t="str">
        <f>IF($I449="","",IFERROR(INDEX(MCC_MASTER!$B$5:$B$504,MATCH($I449,MCC_MASTER!$A$5:$A$504,0)),"⚠ MCC chưa có"))</f>
        <v/>
      </c>
      <c r="K449" s="45" t="str">
        <f>IF($I449="","",IFERROR(IF(INDEX(MCC_MASTER!$C$5:$C$504,MATCH($I449,MCC_MASTER!$A$5:$A$504,0))="","Chưa phân loại",INDEX(MCC_MASTER!$C$5:$C$504,MATCH($I449,MCC_MASTER!$A$5:$A$504,0))),"Chưa phân loại"))</f>
        <v/>
      </c>
      <c r="L449" s="40" t="n"/>
      <c r="M449" s="48" t="str">
        <f>IF(OR($B449="",$D449=""),"",IF($AC449=0,0,IF(ISNUMBER(INDEX(CASHBACK_RULES!$L$5:$L$304,$AC449)),MAX(0,MIN($L449,INDEX(CASHBACK_RULES!$L$5:$L$304,$AC449)-$AH449)),MAX(0,$L449))))</f>
        <v/>
      </c>
      <c r="N449" s="49" t="str">
        <f>IF(OR($B449="",$D449=""),"",IF($AC449&gt;0,INDEX(CASHBACK_RULES!$I$5:$I$304,$AC449),0))</f>
        <v/>
      </c>
      <c r="O449" s="48" t="str">
        <f>IF(OR($B449="",$D449=""),"",ROUND($M449*$N449,0))</f>
        <v/>
      </c>
      <c r="P449" s="48" t="str">
        <f>IF($AC449&gt;0,IF(ISNUMBER(INDEX(CASHBACK_RULES!$J$5:$J$304,$AC449)),INDEX(CASHBACK_RULES!$J$5:$J$304,$AC449),"∞"),"")</f>
        <v/>
      </c>
      <c r="Q449" s="48" t="str">
        <f>IF(OR($B449="",$D449=""),"",IF($AC449=0,0,MAX(0,MIN($O449,IF(ISNUMBER($P449),$P449-$AF449,1E+15),IF(ISNUMBER($AA449),$AA449-$AG449,1E+15)))))</f>
        <v/>
      </c>
      <c r="R449" s="48" t="str">
        <f>IF(OR($B449="",$D449=""),"",IF($AC449=0,"",IF(AND(NOT(ISNUMBER($P449)),NOT(ISNUMBER($AA449))),"∞",MAX(0,MIN(IF(ISNUMBER($P449),$P449-$AF449-$Q449,1E+15),IF(ISNUMBER($AA449),$AA449-$AG449-$Q449,1E+15))))))</f>
        <v/>
      </c>
      <c r="S449" s="47" t="str">
        <f>IF($AD449="","",YEAR($AD449)*100+MONTH($AD449))</f>
        <v/>
      </c>
      <c r="T449" s="50" t="str">
        <f>IF($AD449="","",IFERROR(IF(INDEX(CARDS!$I$5:$I$34,MATCH($D449,CARDS!$A$5:$A$34,0))="","",IF(INDEX(CARDS!$I$5:$I$34,MATCH($D449,CARDS!$A$5:$A$34,0))&gt;INDEX(CARDS!$H$5:$H$34,MATCH($D449,CARDS!$A$5:$A$34,0)),DATE(YEAR($AD449),MONTH($AD449),MIN(INDEX(CARDS!$I$5:$I$34,MATCH($D449,CARDS!$A$5:$A$34,0)),DAY(EOMONTH($AD449,0)))),DATE(YEAR($AD449),MONTH($AD449)+1,MIN(INDEX(CARDS!$I$5:$I$34,MATCH($D449,CARDS!$A$5:$A$34,0)),DAY(EOMONTH($AD449,1)))))),""))</f>
        <v/>
      </c>
      <c r="U449" s="38" t="n"/>
      <c r="V449" s="37" t="n"/>
      <c r="W449" s="38" t="n"/>
      <c r="X449" s="38" t="n"/>
      <c r="Y449" s="44" t="str">
        <f>IF($AC449&gt;0,INDEX(CASHBACK_RULES!$A$5:$A$304,$AC449),"")</f>
        <v/>
      </c>
      <c r="Z449" s="45" t="str">
        <f>IF($AC449&gt;0,INDEX(CASHBACK_RULES!$E$5:$E$304,$AC449)&amp;"","")</f>
        <v/>
      </c>
      <c r="AA449" s="48" t="str">
        <f>IF($AC449&gt;0,IF(ISNUMBER(INDEX(CASHBACK_RULES!$K$5:$K$304,$AC449)),INDEX(CASHBACK_RULES!$K$5:$K$304,$AC449),"∞"),"")</f>
        <v/>
      </c>
      <c r="AB449" s="44" t="str">
        <f>IF(OR($B449="",$D449=""),"",IF($U449="Cancelled","Đã hủy",IF($AC449=0,"Không được hoàn",IF($Q449=0,IF(OR($O449&gt;0,$M449&lt;$L449),"Đã đạt cap","Không được hoàn"),IF(OR($Q449&lt;$O449,$M449&lt;$L449),"Hoàn một phần","Được hoàn")))))</f>
        <v/>
      </c>
      <c r="AC449" s="43">
        <f>IF(OR($B449="",$D449="",$I449="",$L449=""),0,IF($U449="Cancelled",0,IF($W449&lt;&gt;"",IFERROR(IF(INDEX(CASHBACK_RULES!$B$5:$B$304,MATCH($W449,CASHBACK_RULES!$A$5:$A$304,0))=$D449,MATCH($W449,CASHBACK_RULES!$A$5:$A$304,0),0),0),IFERROR(MATCH(1,INDEX((CASHBACK_RULES!$B$5:$B$304=$D449)*(CASHBACK_RULES!$G$5:$G$304=$I449)*(((CASHBACK_RULES!$N$5:$N$304="")+(CASHBACK_RULES!$N$5:$N$304&lt;=$B449))&gt;0)*(((CASHBACK_RULES!$O$5:$O$304="")+(CASHBACK_RULES!$O$5:$O$304&gt;=$B449))&gt;0)*(((CASHBACK_RULES!$M$5:$M$304="")+(CASHBACK_RULES!$M$5:$M$304&lt;=$L449))&gt;0),0),0),0))))</f>
        <v>0</v>
      </c>
      <c r="AD449" s="51" t="str">
        <f>IF(OR($B449="",$D449=""),"",IFERROR(IF(INDEX(CARDS!$H$5:$H$34,MATCH($D449,CARDS!$A$5:$A$34,0))="","",IF(DAY($B449)&lt;=INDEX(CARDS!$H$5:$H$34,MATCH($D449,CARDS!$A$5:$A$34,0)),DATE(YEAR($B449),MONTH($B449),MIN(INDEX(CARDS!$H$5:$H$34,MATCH($D449,CARDS!$A$5:$A$34,0)),DAY(EOMONTH($B449,0)))),DATE(YEAR($B449),MONTH($B449)+1,MIN(INDEX(CARDS!$H$5:$H$34,MATCH($D449,CARDS!$A$5:$A$34,0)),DAY(EOMONTH($B449,1)))))),""))</f>
        <v/>
      </c>
      <c r="AE449" s="52" t="str">
        <f>IF($C449="","",$C449&amp;"|"&amp;COUNTIF($C$5:$C449,$C449))</f>
        <v/>
      </c>
      <c r="AF449" s="53">
        <f>IF($AC449&gt;0,SUMIFS(Q$4:Q448,$D$4:$D448,$D449,$Z$4:$Z448,$Z449,$C$4:$C448,$C449),0)</f>
        <v>0</v>
      </c>
      <c r="AG449" s="53">
        <f>IF($AC449&gt;0,SUMIFS(Q$4:Q448,$D$4:$D448,$D449,$C$4:$C448,$C449),0)</f>
        <v>0</v>
      </c>
      <c r="AH449" s="53">
        <f>IF($AC449&gt;0,SUMIFS(M$4:M448,$D$4:$D448,$D449,$Z$4:$Z448,$Z449,$C$4:$C448,$C449),0)</f>
        <v>0</v>
      </c>
      <c r="AI449" s="43">
        <f>IF(OR($C449="",$I449=""),0,IF(COUNTIFS($C$5:$C449,$C449,$I$5:$I449,$I449)=1,1,0))</f>
        <v>0</v>
      </c>
      <c r="AJ449" s="43" t="str">
        <f>IF($AI449=1,SUMIFS($AI$4:$AI448,$C$4:$C448,$C449)+1,"")</f>
        <v/>
      </c>
      <c r="AK449" s="43">
        <f>IF(OR($C449="",$K449=""),0,IF(COUNTIFS($C$5:$C449,$C449,$K$5:$K449,$K449)=1,1,0))</f>
        <v>0</v>
      </c>
      <c r="AL449" s="43" t="str">
        <f>IF($AK449=1,SUMIFS($AK$4:$AK448,$C$4:$C448,$C449)+1,"")</f>
        <v/>
      </c>
      <c r="AM449" s="43">
        <f>IF(OR($C449="",$G449=""),0,IF(COUNTIFS($C$5:$C449,$C449,$G$5:$G449,$G449)=1,1,0))</f>
        <v>0</v>
      </c>
      <c r="AN449" s="43" t="str">
        <f>IF($AM449=1,SUMIFS($AM$4:$AM448,$C$4:$C448,$C449)+1,"")</f>
        <v/>
      </c>
    </row>
    <row r="450">
      <c r="A450" s="44" t="str">
        <f>IF(OR($B450="",$D450=""),"","TX"&amp;TEXT(ROW()-4,"0000"))</f>
        <v/>
      </c>
      <c r="B450" s="42" t="n"/>
      <c r="C450" s="47" t="str">
        <f>IF($B450="","",YEAR($B450)*100+MONTH($B450))</f>
        <v/>
      </c>
      <c r="D450" s="37" t="n"/>
      <c r="E450" s="45" t="str">
        <f>IF($D450="","",IFERROR(INDEX(CARDS!$B$5:$B$34,MATCH($D450,CARDS!$A$5:$A$34,0)),"⚠ Card ID?"))</f>
        <v/>
      </c>
      <c r="F450" s="45" t="str">
        <f>IF($D450="","",IFERROR(INDEX(CARDS!$C$5:$C$34,MATCH($D450,CARDS!$A$5:$A$34,0)),"⚠ Card ID?"))</f>
        <v/>
      </c>
      <c r="G450" s="37" t="n"/>
      <c r="H450" s="37" t="n"/>
      <c r="I450" s="41" t="n"/>
      <c r="J450" s="45" t="str">
        <f>IF($I450="","",IFERROR(INDEX(MCC_MASTER!$B$5:$B$504,MATCH($I450,MCC_MASTER!$A$5:$A$504,0)),"⚠ MCC chưa có"))</f>
        <v/>
      </c>
      <c r="K450" s="45" t="str">
        <f>IF($I450="","",IFERROR(IF(INDEX(MCC_MASTER!$C$5:$C$504,MATCH($I450,MCC_MASTER!$A$5:$A$504,0))="","Chưa phân loại",INDEX(MCC_MASTER!$C$5:$C$504,MATCH($I450,MCC_MASTER!$A$5:$A$504,0))),"Chưa phân loại"))</f>
        <v/>
      </c>
      <c r="L450" s="40" t="n"/>
      <c r="M450" s="48" t="str">
        <f>IF(OR($B450="",$D450=""),"",IF($AC450=0,0,IF(ISNUMBER(INDEX(CASHBACK_RULES!$L$5:$L$304,$AC450)),MAX(0,MIN($L450,INDEX(CASHBACK_RULES!$L$5:$L$304,$AC450)-$AH450)),MAX(0,$L450))))</f>
        <v/>
      </c>
      <c r="N450" s="49" t="str">
        <f>IF(OR($B450="",$D450=""),"",IF($AC450&gt;0,INDEX(CASHBACK_RULES!$I$5:$I$304,$AC450),0))</f>
        <v/>
      </c>
      <c r="O450" s="48" t="str">
        <f>IF(OR($B450="",$D450=""),"",ROUND($M450*$N450,0))</f>
        <v/>
      </c>
      <c r="P450" s="48" t="str">
        <f>IF($AC450&gt;0,IF(ISNUMBER(INDEX(CASHBACK_RULES!$J$5:$J$304,$AC450)),INDEX(CASHBACK_RULES!$J$5:$J$304,$AC450),"∞"),"")</f>
        <v/>
      </c>
      <c r="Q450" s="48" t="str">
        <f>IF(OR($B450="",$D450=""),"",IF($AC450=0,0,MAX(0,MIN($O450,IF(ISNUMBER($P450),$P450-$AF450,1E+15),IF(ISNUMBER($AA450),$AA450-$AG450,1E+15)))))</f>
        <v/>
      </c>
      <c r="R450" s="48" t="str">
        <f>IF(OR($B450="",$D450=""),"",IF($AC450=0,"",IF(AND(NOT(ISNUMBER($P450)),NOT(ISNUMBER($AA450))),"∞",MAX(0,MIN(IF(ISNUMBER($P450),$P450-$AF450-$Q450,1E+15),IF(ISNUMBER($AA450),$AA450-$AG450-$Q450,1E+15))))))</f>
        <v/>
      </c>
      <c r="S450" s="47" t="str">
        <f>IF($AD450="","",YEAR($AD450)*100+MONTH($AD450))</f>
        <v/>
      </c>
      <c r="T450" s="50" t="str">
        <f>IF($AD450="","",IFERROR(IF(INDEX(CARDS!$I$5:$I$34,MATCH($D450,CARDS!$A$5:$A$34,0))="","",IF(INDEX(CARDS!$I$5:$I$34,MATCH($D450,CARDS!$A$5:$A$34,0))&gt;INDEX(CARDS!$H$5:$H$34,MATCH($D450,CARDS!$A$5:$A$34,0)),DATE(YEAR($AD450),MONTH($AD450),MIN(INDEX(CARDS!$I$5:$I$34,MATCH($D450,CARDS!$A$5:$A$34,0)),DAY(EOMONTH($AD450,0)))),DATE(YEAR($AD450),MONTH($AD450)+1,MIN(INDEX(CARDS!$I$5:$I$34,MATCH($D450,CARDS!$A$5:$A$34,0)),DAY(EOMONTH($AD450,1)))))),""))</f>
        <v/>
      </c>
      <c r="U450" s="38" t="n"/>
      <c r="V450" s="37" t="n"/>
      <c r="W450" s="38" t="n"/>
      <c r="X450" s="38" t="n"/>
      <c r="Y450" s="44" t="str">
        <f>IF($AC450&gt;0,INDEX(CASHBACK_RULES!$A$5:$A$304,$AC450),"")</f>
        <v/>
      </c>
      <c r="Z450" s="45" t="str">
        <f>IF($AC450&gt;0,INDEX(CASHBACK_RULES!$E$5:$E$304,$AC450)&amp;"","")</f>
        <v/>
      </c>
      <c r="AA450" s="48" t="str">
        <f>IF($AC450&gt;0,IF(ISNUMBER(INDEX(CASHBACK_RULES!$K$5:$K$304,$AC450)),INDEX(CASHBACK_RULES!$K$5:$K$304,$AC450),"∞"),"")</f>
        <v/>
      </c>
      <c r="AB450" s="44" t="str">
        <f>IF(OR($B450="",$D450=""),"",IF($U450="Cancelled","Đã hủy",IF($AC450=0,"Không được hoàn",IF($Q450=0,IF(OR($O450&gt;0,$M450&lt;$L450),"Đã đạt cap","Không được hoàn"),IF(OR($Q450&lt;$O450,$M450&lt;$L450),"Hoàn một phần","Được hoàn")))))</f>
        <v/>
      </c>
      <c r="AC450" s="43">
        <f>IF(OR($B450="",$D450="",$I450="",$L450=""),0,IF($U450="Cancelled",0,IF($W450&lt;&gt;"",IFERROR(IF(INDEX(CASHBACK_RULES!$B$5:$B$304,MATCH($W450,CASHBACK_RULES!$A$5:$A$304,0))=$D450,MATCH($W450,CASHBACK_RULES!$A$5:$A$304,0),0),0),IFERROR(MATCH(1,INDEX((CASHBACK_RULES!$B$5:$B$304=$D450)*(CASHBACK_RULES!$G$5:$G$304=$I450)*(((CASHBACK_RULES!$N$5:$N$304="")+(CASHBACK_RULES!$N$5:$N$304&lt;=$B450))&gt;0)*(((CASHBACK_RULES!$O$5:$O$304="")+(CASHBACK_RULES!$O$5:$O$304&gt;=$B450))&gt;0)*(((CASHBACK_RULES!$M$5:$M$304="")+(CASHBACK_RULES!$M$5:$M$304&lt;=$L450))&gt;0),0),0),0))))</f>
        <v>0</v>
      </c>
      <c r="AD450" s="51" t="str">
        <f>IF(OR($B450="",$D450=""),"",IFERROR(IF(INDEX(CARDS!$H$5:$H$34,MATCH($D450,CARDS!$A$5:$A$34,0))="","",IF(DAY($B450)&lt;=INDEX(CARDS!$H$5:$H$34,MATCH($D450,CARDS!$A$5:$A$34,0)),DATE(YEAR($B450),MONTH($B450),MIN(INDEX(CARDS!$H$5:$H$34,MATCH($D450,CARDS!$A$5:$A$34,0)),DAY(EOMONTH($B450,0)))),DATE(YEAR($B450),MONTH($B450)+1,MIN(INDEX(CARDS!$H$5:$H$34,MATCH($D450,CARDS!$A$5:$A$34,0)),DAY(EOMONTH($B450,1)))))),""))</f>
        <v/>
      </c>
      <c r="AE450" s="52" t="str">
        <f>IF($C450="","",$C450&amp;"|"&amp;COUNTIF($C$5:$C450,$C450))</f>
        <v/>
      </c>
      <c r="AF450" s="53">
        <f>IF($AC450&gt;0,SUMIFS(Q$4:Q449,$D$4:$D449,$D450,$Z$4:$Z449,$Z450,$C$4:$C449,$C450),0)</f>
        <v>0</v>
      </c>
      <c r="AG450" s="53">
        <f>IF($AC450&gt;0,SUMIFS(Q$4:Q449,$D$4:$D449,$D450,$C$4:$C449,$C450),0)</f>
        <v>0</v>
      </c>
      <c r="AH450" s="53">
        <f>IF($AC450&gt;0,SUMIFS(M$4:M449,$D$4:$D449,$D450,$Z$4:$Z449,$Z450,$C$4:$C449,$C450),0)</f>
        <v>0</v>
      </c>
      <c r="AI450" s="43">
        <f>IF(OR($C450="",$I450=""),0,IF(COUNTIFS($C$5:$C450,$C450,$I$5:$I450,$I450)=1,1,0))</f>
        <v>0</v>
      </c>
      <c r="AJ450" s="43" t="str">
        <f>IF($AI450=1,SUMIFS($AI$4:$AI449,$C$4:$C449,$C450)+1,"")</f>
        <v/>
      </c>
      <c r="AK450" s="43">
        <f>IF(OR($C450="",$K450=""),0,IF(COUNTIFS($C$5:$C450,$C450,$K$5:$K450,$K450)=1,1,0))</f>
        <v>0</v>
      </c>
      <c r="AL450" s="43" t="str">
        <f>IF($AK450=1,SUMIFS($AK$4:$AK449,$C$4:$C449,$C450)+1,"")</f>
        <v/>
      </c>
      <c r="AM450" s="43">
        <f>IF(OR($C450="",$G450=""),0,IF(COUNTIFS($C$5:$C450,$C450,$G$5:$G450,$G450)=1,1,0))</f>
        <v>0</v>
      </c>
      <c r="AN450" s="43" t="str">
        <f>IF($AM450=1,SUMIFS($AM$4:$AM449,$C$4:$C449,$C450)+1,"")</f>
        <v/>
      </c>
    </row>
    <row r="451">
      <c r="A451" s="44" t="str">
        <f>IF(OR($B451="",$D451=""),"","TX"&amp;TEXT(ROW()-4,"0000"))</f>
        <v/>
      </c>
      <c r="B451" s="42" t="n"/>
      <c r="C451" s="47" t="str">
        <f>IF($B451="","",YEAR($B451)*100+MONTH($B451))</f>
        <v/>
      </c>
      <c r="D451" s="37" t="n"/>
      <c r="E451" s="45" t="str">
        <f>IF($D451="","",IFERROR(INDEX(CARDS!$B$5:$B$34,MATCH($D451,CARDS!$A$5:$A$34,0)),"⚠ Card ID?"))</f>
        <v/>
      </c>
      <c r="F451" s="45" t="str">
        <f>IF($D451="","",IFERROR(INDEX(CARDS!$C$5:$C$34,MATCH($D451,CARDS!$A$5:$A$34,0)),"⚠ Card ID?"))</f>
        <v/>
      </c>
      <c r="G451" s="37" t="n"/>
      <c r="H451" s="37" t="n"/>
      <c r="I451" s="41" t="n"/>
      <c r="J451" s="45" t="str">
        <f>IF($I451="","",IFERROR(INDEX(MCC_MASTER!$B$5:$B$504,MATCH($I451,MCC_MASTER!$A$5:$A$504,0)),"⚠ MCC chưa có"))</f>
        <v/>
      </c>
      <c r="K451" s="45" t="str">
        <f>IF($I451="","",IFERROR(IF(INDEX(MCC_MASTER!$C$5:$C$504,MATCH($I451,MCC_MASTER!$A$5:$A$504,0))="","Chưa phân loại",INDEX(MCC_MASTER!$C$5:$C$504,MATCH($I451,MCC_MASTER!$A$5:$A$504,0))),"Chưa phân loại"))</f>
        <v/>
      </c>
      <c r="L451" s="40" t="n"/>
      <c r="M451" s="48" t="str">
        <f>IF(OR($B451="",$D451=""),"",IF($AC451=0,0,IF(ISNUMBER(INDEX(CASHBACK_RULES!$L$5:$L$304,$AC451)),MAX(0,MIN($L451,INDEX(CASHBACK_RULES!$L$5:$L$304,$AC451)-$AH451)),MAX(0,$L451))))</f>
        <v/>
      </c>
      <c r="N451" s="49" t="str">
        <f>IF(OR($B451="",$D451=""),"",IF($AC451&gt;0,INDEX(CASHBACK_RULES!$I$5:$I$304,$AC451),0))</f>
        <v/>
      </c>
      <c r="O451" s="48" t="str">
        <f>IF(OR($B451="",$D451=""),"",ROUND($M451*$N451,0))</f>
        <v/>
      </c>
      <c r="P451" s="48" t="str">
        <f>IF($AC451&gt;0,IF(ISNUMBER(INDEX(CASHBACK_RULES!$J$5:$J$304,$AC451)),INDEX(CASHBACK_RULES!$J$5:$J$304,$AC451),"∞"),"")</f>
        <v/>
      </c>
      <c r="Q451" s="48" t="str">
        <f>IF(OR($B451="",$D451=""),"",IF($AC451=0,0,MAX(0,MIN($O451,IF(ISNUMBER($P451),$P451-$AF451,1E+15),IF(ISNUMBER($AA451),$AA451-$AG451,1E+15)))))</f>
        <v/>
      </c>
      <c r="R451" s="48" t="str">
        <f>IF(OR($B451="",$D451=""),"",IF($AC451=0,"",IF(AND(NOT(ISNUMBER($P451)),NOT(ISNUMBER($AA451))),"∞",MAX(0,MIN(IF(ISNUMBER($P451),$P451-$AF451-$Q451,1E+15),IF(ISNUMBER($AA451),$AA451-$AG451-$Q451,1E+15))))))</f>
        <v/>
      </c>
      <c r="S451" s="47" t="str">
        <f>IF($AD451="","",YEAR($AD451)*100+MONTH($AD451))</f>
        <v/>
      </c>
      <c r="T451" s="50" t="str">
        <f>IF($AD451="","",IFERROR(IF(INDEX(CARDS!$I$5:$I$34,MATCH($D451,CARDS!$A$5:$A$34,0))="","",IF(INDEX(CARDS!$I$5:$I$34,MATCH($D451,CARDS!$A$5:$A$34,0))&gt;INDEX(CARDS!$H$5:$H$34,MATCH($D451,CARDS!$A$5:$A$34,0)),DATE(YEAR($AD451),MONTH($AD451),MIN(INDEX(CARDS!$I$5:$I$34,MATCH($D451,CARDS!$A$5:$A$34,0)),DAY(EOMONTH($AD451,0)))),DATE(YEAR($AD451),MONTH($AD451)+1,MIN(INDEX(CARDS!$I$5:$I$34,MATCH($D451,CARDS!$A$5:$A$34,0)),DAY(EOMONTH($AD451,1)))))),""))</f>
        <v/>
      </c>
      <c r="U451" s="38" t="n"/>
      <c r="V451" s="37" t="n"/>
      <c r="W451" s="38" t="n"/>
      <c r="X451" s="38" t="n"/>
      <c r="Y451" s="44" t="str">
        <f>IF($AC451&gt;0,INDEX(CASHBACK_RULES!$A$5:$A$304,$AC451),"")</f>
        <v/>
      </c>
      <c r="Z451" s="45" t="str">
        <f>IF($AC451&gt;0,INDEX(CASHBACK_RULES!$E$5:$E$304,$AC451)&amp;"","")</f>
        <v/>
      </c>
      <c r="AA451" s="48" t="str">
        <f>IF($AC451&gt;0,IF(ISNUMBER(INDEX(CASHBACK_RULES!$K$5:$K$304,$AC451)),INDEX(CASHBACK_RULES!$K$5:$K$304,$AC451),"∞"),"")</f>
        <v/>
      </c>
      <c r="AB451" s="44" t="str">
        <f>IF(OR($B451="",$D451=""),"",IF($U451="Cancelled","Đã hủy",IF($AC451=0,"Không được hoàn",IF($Q451=0,IF(OR($O451&gt;0,$M451&lt;$L451),"Đã đạt cap","Không được hoàn"),IF(OR($Q451&lt;$O451,$M451&lt;$L451),"Hoàn một phần","Được hoàn")))))</f>
        <v/>
      </c>
      <c r="AC451" s="43">
        <f>IF(OR($B451="",$D451="",$I451="",$L451=""),0,IF($U451="Cancelled",0,IF($W451&lt;&gt;"",IFERROR(IF(INDEX(CASHBACK_RULES!$B$5:$B$304,MATCH($W451,CASHBACK_RULES!$A$5:$A$304,0))=$D451,MATCH($W451,CASHBACK_RULES!$A$5:$A$304,0),0),0),IFERROR(MATCH(1,INDEX((CASHBACK_RULES!$B$5:$B$304=$D451)*(CASHBACK_RULES!$G$5:$G$304=$I451)*(((CASHBACK_RULES!$N$5:$N$304="")+(CASHBACK_RULES!$N$5:$N$304&lt;=$B451))&gt;0)*(((CASHBACK_RULES!$O$5:$O$304="")+(CASHBACK_RULES!$O$5:$O$304&gt;=$B451))&gt;0)*(((CASHBACK_RULES!$M$5:$M$304="")+(CASHBACK_RULES!$M$5:$M$304&lt;=$L451))&gt;0),0),0),0))))</f>
        <v>0</v>
      </c>
      <c r="AD451" s="51" t="str">
        <f>IF(OR($B451="",$D451=""),"",IFERROR(IF(INDEX(CARDS!$H$5:$H$34,MATCH($D451,CARDS!$A$5:$A$34,0))="","",IF(DAY($B451)&lt;=INDEX(CARDS!$H$5:$H$34,MATCH($D451,CARDS!$A$5:$A$34,0)),DATE(YEAR($B451),MONTH($B451),MIN(INDEX(CARDS!$H$5:$H$34,MATCH($D451,CARDS!$A$5:$A$34,0)),DAY(EOMONTH($B451,0)))),DATE(YEAR($B451),MONTH($B451)+1,MIN(INDEX(CARDS!$H$5:$H$34,MATCH($D451,CARDS!$A$5:$A$34,0)),DAY(EOMONTH($B451,1)))))),""))</f>
        <v/>
      </c>
      <c r="AE451" s="52" t="str">
        <f>IF($C451="","",$C451&amp;"|"&amp;COUNTIF($C$5:$C451,$C451))</f>
        <v/>
      </c>
      <c r="AF451" s="53">
        <f>IF($AC451&gt;0,SUMIFS(Q$4:Q450,$D$4:$D450,$D451,$Z$4:$Z450,$Z451,$C$4:$C450,$C451),0)</f>
        <v>0</v>
      </c>
      <c r="AG451" s="53">
        <f>IF($AC451&gt;0,SUMIFS(Q$4:Q450,$D$4:$D450,$D451,$C$4:$C450,$C451),0)</f>
        <v>0</v>
      </c>
      <c r="AH451" s="53">
        <f>IF($AC451&gt;0,SUMIFS(M$4:M450,$D$4:$D450,$D451,$Z$4:$Z450,$Z451,$C$4:$C450,$C451),0)</f>
        <v>0</v>
      </c>
      <c r="AI451" s="43">
        <f>IF(OR($C451="",$I451=""),0,IF(COUNTIFS($C$5:$C451,$C451,$I$5:$I451,$I451)=1,1,0))</f>
        <v>0</v>
      </c>
      <c r="AJ451" s="43" t="str">
        <f>IF($AI451=1,SUMIFS($AI$4:$AI450,$C$4:$C450,$C451)+1,"")</f>
        <v/>
      </c>
      <c r="AK451" s="43">
        <f>IF(OR($C451="",$K451=""),0,IF(COUNTIFS($C$5:$C451,$C451,$K$5:$K451,$K451)=1,1,0))</f>
        <v>0</v>
      </c>
      <c r="AL451" s="43" t="str">
        <f>IF($AK451=1,SUMIFS($AK$4:$AK450,$C$4:$C450,$C451)+1,"")</f>
        <v/>
      </c>
      <c r="AM451" s="43">
        <f>IF(OR($C451="",$G451=""),0,IF(COUNTIFS($C$5:$C451,$C451,$G$5:$G451,$G451)=1,1,0))</f>
        <v>0</v>
      </c>
      <c r="AN451" s="43" t="str">
        <f>IF($AM451=1,SUMIFS($AM$4:$AM450,$C$4:$C450,$C451)+1,"")</f>
        <v/>
      </c>
    </row>
    <row r="452">
      <c r="A452" s="44" t="str">
        <f>IF(OR($B452="",$D452=""),"","TX"&amp;TEXT(ROW()-4,"0000"))</f>
        <v/>
      </c>
      <c r="B452" s="42" t="n"/>
      <c r="C452" s="47" t="str">
        <f>IF($B452="","",YEAR($B452)*100+MONTH($B452))</f>
        <v/>
      </c>
      <c r="D452" s="37" t="n"/>
      <c r="E452" s="45" t="str">
        <f>IF($D452="","",IFERROR(INDEX(CARDS!$B$5:$B$34,MATCH($D452,CARDS!$A$5:$A$34,0)),"⚠ Card ID?"))</f>
        <v/>
      </c>
      <c r="F452" s="45" t="str">
        <f>IF($D452="","",IFERROR(INDEX(CARDS!$C$5:$C$34,MATCH($D452,CARDS!$A$5:$A$34,0)),"⚠ Card ID?"))</f>
        <v/>
      </c>
      <c r="G452" s="37" t="n"/>
      <c r="H452" s="37" t="n"/>
      <c r="I452" s="41" t="n"/>
      <c r="J452" s="45" t="str">
        <f>IF($I452="","",IFERROR(INDEX(MCC_MASTER!$B$5:$B$504,MATCH($I452,MCC_MASTER!$A$5:$A$504,0)),"⚠ MCC chưa có"))</f>
        <v/>
      </c>
      <c r="K452" s="45" t="str">
        <f>IF($I452="","",IFERROR(IF(INDEX(MCC_MASTER!$C$5:$C$504,MATCH($I452,MCC_MASTER!$A$5:$A$504,0))="","Chưa phân loại",INDEX(MCC_MASTER!$C$5:$C$504,MATCH($I452,MCC_MASTER!$A$5:$A$504,0))),"Chưa phân loại"))</f>
        <v/>
      </c>
      <c r="L452" s="40" t="n"/>
      <c r="M452" s="48" t="str">
        <f>IF(OR($B452="",$D452=""),"",IF($AC452=0,0,IF(ISNUMBER(INDEX(CASHBACK_RULES!$L$5:$L$304,$AC452)),MAX(0,MIN($L452,INDEX(CASHBACK_RULES!$L$5:$L$304,$AC452)-$AH452)),MAX(0,$L452))))</f>
        <v/>
      </c>
      <c r="N452" s="49" t="str">
        <f>IF(OR($B452="",$D452=""),"",IF($AC452&gt;0,INDEX(CASHBACK_RULES!$I$5:$I$304,$AC452),0))</f>
        <v/>
      </c>
      <c r="O452" s="48" t="str">
        <f>IF(OR($B452="",$D452=""),"",ROUND($M452*$N452,0))</f>
        <v/>
      </c>
      <c r="P452" s="48" t="str">
        <f>IF($AC452&gt;0,IF(ISNUMBER(INDEX(CASHBACK_RULES!$J$5:$J$304,$AC452)),INDEX(CASHBACK_RULES!$J$5:$J$304,$AC452),"∞"),"")</f>
        <v/>
      </c>
      <c r="Q452" s="48" t="str">
        <f>IF(OR($B452="",$D452=""),"",IF($AC452=0,0,MAX(0,MIN($O452,IF(ISNUMBER($P452),$P452-$AF452,1E+15),IF(ISNUMBER($AA452),$AA452-$AG452,1E+15)))))</f>
        <v/>
      </c>
      <c r="R452" s="48" t="str">
        <f>IF(OR($B452="",$D452=""),"",IF($AC452=0,"",IF(AND(NOT(ISNUMBER($P452)),NOT(ISNUMBER($AA452))),"∞",MAX(0,MIN(IF(ISNUMBER($P452),$P452-$AF452-$Q452,1E+15),IF(ISNUMBER($AA452),$AA452-$AG452-$Q452,1E+15))))))</f>
        <v/>
      </c>
      <c r="S452" s="47" t="str">
        <f>IF($AD452="","",YEAR($AD452)*100+MONTH($AD452))</f>
        <v/>
      </c>
      <c r="T452" s="50" t="str">
        <f>IF($AD452="","",IFERROR(IF(INDEX(CARDS!$I$5:$I$34,MATCH($D452,CARDS!$A$5:$A$34,0))="","",IF(INDEX(CARDS!$I$5:$I$34,MATCH($D452,CARDS!$A$5:$A$34,0))&gt;INDEX(CARDS!$H$5:$H$34,MATCH($D452,CARDS!$A$5:$A$34,0)),DATE(YEAR($AD452),MONTH($AD452),MIN(INDEX(CARDS!$I$5:$I$34,MATCH($D452,CARDS!$A$5:$A$34,0)),DAY(EOMONTH($AD452,0)))),DATE(YEAR($AD452),MONTH($AD452)+1,MIN(INDEX(CARDS!$I$5:$I$34,MATCH($D452,CARDS!$A$5:$A$34,0)),DAY(EOMONTH($AD452,1)))))),""))</f>
        <v/>
      </c>
      <c r="U452" s="38" t="n"/>
      <c r="V452" s="37" t="n"/>
      <c r="W452" s="38" t="n"/>
      <c r="X452" s="38" t="n"/>
      <c r="Y452" s="44" t="str">
        <f>IF($AC452&gt;0,INDEX(CASHBACK_RULES!$A$5:$A$304,$AC452),"")</f>
        <v/>
      </c>
      <c r="Z452" s="45" t="str">
        <f>IF($AC452&gt;0,INDEX(CASHBACK_RULES!$E$5:$E$304,$AC452)&amp;"","")</f>
        <v/>
      </c>
      <c r="AA452" s="48" t="str">
        <f>IF($AC452&gt;0,IF(ISNUMBER(INDEX(CASHBACK_RULES!$K$5:$K$304,$AC452)),INDEX(CASHBACK_RULES!$K$5:$K$304,$AC452),"∞"),"")</f>
        <v/>
      </c>
      <c r="AB452" s="44" t="str">
        <f>IF(OR($B452="",$D452=""),"",IF($U452="Cancelled","Đã hủy",IF($AC452=0,"Không được hoàn",IF($Q452=0,IF(OR($O452&gt;0,$M452&lt;$L452),"Đã đạt cap","Không được hoàn"),IF(OR($Q452&lt;$O452,$M452&lt;$L452),"Hoàn một phần","Được hoàn")))))</f>
        <v/>
      </c>
      <c r="AC452" s="43">
        <f>IF(OR($B452="",$D452="",$I452="",$L452=""),0,IF($U452="Cancelled",0,IF($W452&lt;&gt;"",IFERROR(IF(INDEX(CASHBACK_RULES!$B$5:$B$304,MATCH($W452,CASHBACK_RULES!$A$5:$A$304,0))=$D452,MATCH($W452,CASHBACK_RULES!$A$5:$A$304,0),0),0),IFERROR(MATCH(1,INDEX((CASHBACK_RULES!$B$5:$B$304=$D452)*(CASHBACK_RULES!$G$5:$G$304=$I452)*(((CASHBACK_RULES!$N$5:$N$304="")+(CASHBACK_RULES!$N$5:$N$304&lt;=$B452))&gt;0)*(((CASHBACK_RULES!$O$5:$O$304="")+(CASHBACK_RULES!$O$5:$O$304&gt;=$B452))&gt;0)*(((CASHBACK_RULES!$M$5:$M$304="")+(CASHBACK_RULES!$M$5:$M$304&lt;=$L452))&gt;0),0),0),0))))</f>
        <v>0</v>
      </c>
      <c r="AD452" s="51" t="str">
        <f>IF(OR($B452="",$D452=""),"",IFERROR(IF(INDEX(CARDS!$H$5:$H$34,MATCH($D452,CARDS!$A$5:$A$34,0))="","",IF(DAY($B452)&lt;=INDEX(CARDS!$H$5:$H$34,MATCH($D452,CARDS!$A$5:$A$34,0)),DATE(YEAR($B452),MONTH($B452),MIN(INDEX(CARDS!$H$5:$H$34,MATCH($D452,CARDS!$A$5:$A$34,0)),DAY(EOMONTH($B452,0)))),DATE(YEAR($B452),MONTH($B452)+1,MIN(INDEX(CARDS!$H$5:$H$34,MATCH($D452,CARDS!$A$5:$A$34,0)),DAY(EOMONTH($B452,1)))))),""))</f>
        <v/>
      </c>
      <c r="AE452" s="52" t="str">
        <f>IF($C452="","",$C452&amp;"|"&amp;COUNTIF($C$5:$C452,$C452))</f>
        <v/>
      </c>
      <c r="AF452" s="53">
        <f>IF($AC452&gt;0,SUMIFS(Q$4:Q451,$D$4:$D451,$D452,$Z$4:$Z451,$Z452,$C$4:$C451,$C452),0)</f>
        <v>0</v>
      </c>
      <c r="AG452" s="53">
        <f>IF($AC452&gt;0,SUMIFS(Q$4:Q451,$D$4:$D451,$D452,$C$4:$C451,$C452),0)</f>
        <v>0</v>
      </c>
      <c r="AH452" s="53">
        <f>IF($AC452&gt;0,SUMIFS(M$4:M451,$D$4:$D451,$D452,$Z$4:$Z451,$Z452,$C$4:$C451,$C452),0)</f>
        <v>0</v>
      </c>
      <c r="AI452" s="43">
        <f>IF(OR($C452="",$I452=""),0,IF(COUNTIFS($C$5:$C452,$C452,$I$5:$I452,$I452)=1,1,0))</f>
        <v>0</v>
      </c>
      <c r="AJ452" s="43" t="str">
        <f>IF($AI452=1,SUMIFS($AI$4:$AI451,$C$4:$C451,$C452)+1,"")</f>
        <v/>
      </c>
      <c r="AK452" s="43">
        <f>IF(OR($C452="",$K452=""),0,IF(COUNTIFS($C$5:$C452,$C452,$K$5:$K452,$K452)=1,1,0))</f>
        <v>0</v>
      </c>
      <c r="AL452" s="43" t="str">
        <f>IF($AK452=1,SUMIFS($AK$4:$AK451,$C$4:$C451,$C452)+1,"")</f>
        <v/>
      </c>
      <c r="AM452" s="43">
        <f>IF(OR($C452="",$G452=""),0,IF(COUNTIFS($C$5:$C452,$C452,$G$5:$G452,$G452)=1,1,0))</f>
        <v>0</v>
      </c>
      <c r="AN452" s="43" t="str">
        <f>IF($AM452=1,SUMIFS($AM$4:$AM451,$C$4:$C451,$C452)+1,"")</f>
        <v/>
      </c>
    </row>
    <row r="453">
      <c r="A453" s="44" t="str">
        <f>IF(OR($B453="",$D453=""),"","TX"&amp;TEXT(ROW()-4,"0000"))</f>
        <v/>
      </c>
      <c r="B453" s="42" t="n"/>
      <c r="C453" s="47" t="str">
        <f>IF($B453="","",YEAR($B453)*100+MONTH($B453))</f>
        <v/>
      </c>
      <c r="D453" s="37" t="n"/>
      <c r="E453" s="45" t="str">
        <f>IF($D453="","",IFERROR(INDEX(CARDS!$B$5:$B$34,MATCH($D453,CARDS!$A$5:$A$34,0)),"⚠ Card ID?"))</f>
        <v/>
      </c>
      <c r="F453" s="45" t="str">
        <f>IF($D453="","",IFERROR(INDEX(CARDS!$C$5:$C$34,MATCH($D453,CARDS!$A$5:$A$34,0)),"⚠ Card ID?"))</f>
        <v/>
      </c>
      <c r="G453" s="37" t="n"/>
      <c r="H453" s="37" t="n"/>
      <c r="I453" s="41" t="n"/>
      <c r="J453" s="45" t="str">
        <f>IF($I453="","",IFERROR(INDEX(MCC_MASTER!$B$5:$B$504,MATCH($I453,MCC_MASTER!$A$5:$A$504,0)),"⚠ MCC chưa có"))</f>
        <v/>
      </c>
      <c r="K453" s="45" t="str">
        <f>IF($I453="","",IFERROR(IF(INDEX(MCC_MASTER!$C$5:$C$504,MATCH($I453,MCC_MASTER!$A$5:$A$504,0))="","Chưa phân loại",INDEX(MCC_MASTER!$C$5:$C$504,MATCH($I453,MCC_MASTER!$A$5:$A$504,0))),"Chưa phân loại"))</f>
        <v/>
      </c>
      <c r="L453" s="40" t="n"/>
      <c r="M453" s="48" t="str">
        <f>IF(OR($B453="",$D453=""),"",IF($AC453=0,0,IF(ISNUMBER(INDEX(CASHBACK_RULES!$L$5:$L$304,$AC453)),MAX(0,MIN($L453,INDEX(CASHBACK_RULES!$L$5:$L$304,$AC453)-$AH453)),MAX(0,$L453))))</f>
        <v/>
      </c>
      <c r="N453" s="49" t="str">
        <f>IF(OR($B453="",$D453=""),"",IF($AC453&gt;0,INDEX(CASHBACK_RULES!$I$5:$I$304,$AC453),0))</f>
        <v/>
      </c>
      <c r="O453" s="48" t="str">
        <f>IF(OR($B453="",$D453=""),"",ROUND($M453*$N453,0))</f>
        <v/>
      </c>
      <c r="P453" s="48" t="str">
        <f>IF($AC453&gt;0,IF(ISNUMBER(INDEX(CASHBACK_RULES!$J$5:$J$304,$AC453)),INDEX(CASHBACK_RULES!$J$5:$J$304,$AC453),"∞"),"")</f>
        <v/>
      </c>
      <c r="Q453" s="48" t="str">
        <f>IF(OR($B453="",$D453=""),"",IF($AC453=0,0,MAX(0,MIN($O453,IF(ISNUMBER($P453),$P453-$AF453,1E+15),IF(ISNUMBER($AA453),$AA453-$AG453,1E+15)))))</f>
        <v/>
      </c>
      <c r="R453" s="48" t="str">
        <f>IF(OR($B453="",$D453=""),"",IF($AC453=0,"",IF(AND(NOT(ISNUMBER($P453)),NOT(ISNUMBER($AA453))),"∞",MAX(0,MIN(IF(ISNUMBER($P453),$P453-$AF453-$Q453,1E+15),IF(ISNUMBER($AA453),$AA453-$AG453-$Q453,1E+15))))))</f>
        <v/>
      </c>
      <c r="S453" s="47" t="str">
        <f>IF($AD453="","",YEAR($AD453)*100+MONTH($AD453))</f>
        <v/>
      </c>
      <c r="T453" s="50" t="str">
        <f>IF($AD453="","",IFERROR(IF(INDEX(CARDS!$I$5:$I$34,MATCH($D453,CARDS!$A$5:$A$34,0))="","",IF(INDEX(CARDS!$I$5:$I$34,MATCH($D453,CARDS!$A$5:$A$34,0))&gt;INDEX(CARDS!$H$5:$H$34,MATCH($D453,CARDS!$A$5:$A$34,0)),DATE(YEAR($AD453),MONTH($AD453),MIN(INDEX(CARDS!$I$5:$I$34,MATCH($D453,CARDS!$A$5:$A$34,0)),DAY(EOMONTH($AD453,0)))),DATE(YEAR($AD453),MONTH($AD453)+1,MIN(INDEX(CARDS!$I$5:$I$34,MATCH($D453,CARDS!$A$5:$A$34,0)),DAY(EOMONTH($AD453,1)))))),""))</f>
        <v/>
      </c>
      <c r="U453" s="38" t="n"/>
      <c r="V453" s="37" t="n"/>
      <c r="W453" s="38" t="n"/>
      <c r="X453" s="38" t="n"/>
      <c r="Y453" s="44" t="str">
        <f>IF($AC453&gt;0,INDEX(CASHBACK_RULES!$A$5:$A$304,$AC453),"")</f>
        <v/>
      </c>
      <c r="Z453" s="45" t="str">
        <f>IF($AC453&gt;0,INDEX(CASHBACK_RULES!$E$5:$E$304,$AC453)&amp;"","")</f>
        <v/>
      </c>
      <c r="AA453" s="48" t="str">
        <f>IF($AC453&gt;0,IF(ISNUMBER(INDEX(CASHBACK_RULES!$K$5:$K$304,$AC453)),INDEX(CASHBACK_RULES!$K$5:$K$304,$AC453),"∞"),"")</f>
        <v/>
      </c>
      <c r="AB453" s="44" t="str">
        <f>IF(OR($B453="",$D453=""),"",IF($U453="Cancelled","Đã hủy",IF($AC453=0,"Không được hoàn",IF($Q453=0,IF(OR($O453&gt;0,$M453&lt;$L453),"Đã đạt cap","Không được hoàn"),IF(OR($Q453&lt;$O453,$M453&lt;$L453),"Hoàn một phần","Được hoàn")))))</f>
        <v/>
      </c>
      <c r="AC453" s="43">
        <f>IF(OR($B453="",$D453="",$I453="",$L453=""),0,IF($U453="Cancelled",0,IF($W453&lt;&gt;"",IFERROR(IF(INDEX(CASHBACK_RULES!$B$5:$B$304,MATCH($W453,CASHBACK_RULES!$A$5:$A$304,0))=$D453,MATCH($W453,CASHBACK_RULES!$A$5:$A$304,0),0),0),IFERROR(MATCH(1,INDEX((CASHBACK_RULES!$B$5:$B$304=$D453)*(CASHBACK_RULES!$G$5:$G$304=$I453)*(((CASHBACK_RULES!$N$5:$N$304="")+(CASHBACK_RULES!$N$5:$N$304&lt;=$B453))&gt;0)*(((CASHBACK_RULES!$O$5:$O$304="")+(CASHBACK_RULES!$O$5:$O$304&gt;=$B453))&gt;0)*(((CASHBACK_RULES!$M$5:$M$304="")+(CASHBACK_RULES!$M$5:$M$304&lt;=$L453))&gt;0),0),0),0))))</f>
        <v>0</v>
      </c>
      <c r="AD453" s="51" t="str">
        <f>IF(OR($B453="",$D453=""),"",IFERROR(IF(INDEX(CARDS!$H$5:$H$34,MATCH($D453,CARDS!$A$5:$A$34,0))="","",IF(DAY($B453)&lt;=INDEX(CARDS!$H$5:$H$34,MATCH($D453,CARDS!$A$5:$A$34,0)),DATE(YEAR($B453),MONTH($B453),MIN(INDEX(CARDS!$H$5:$H$34,MATCH($D453,CARDS!$A$5:$A$34,0)),DAY(EOMONTH($B453,0)))),DATE(YEAR($B453),MONTH($B453)+1,MIN(INDEX(CARDS!$H$5:$H$34,MATCH($D453,CARDS!$A$5:$A$34,0)),DAY(EOMONTH($B453,1)))))),""))</f>
        <v/>
      </c>
      <c r="AE453" s="52" t="str">
        <f>IF($C453="","",$C453&amp;"|"&amp;COUNTIF($C$5:$C453,$C453))</f>
        <v/>
      </c>
      <c r="AF453" s="53">
        <f>IF($AC453&gt;0,SUMIFS(Q$4:Q452,$D$4:$D452,$D453,$Z$4:$Z452,$Z453,$C$4:$C452,$C453),0)</f>
        <v>0</v>
      </c>
      <c r="AG453" s="53">
        <f>IF($AC453&gt;0,SUMIFS(Q$4:Q452,$D$4:$D452,$D453,$C$4:$C452,$C453),0)</f>
        <v>0</v>
      </c>
      <c r="AH453" s="53">
        <f>IF($AC453&gt;0,SUMIFS(M$4:M452,$D$4:$D452,$D453,$Z$4:$Z452,$Z453,$C$4:$C452,$C453),0)</f>
        <v>0</v>
      </c>
      <c r="AI453" s="43">
        <f>IF(OR($C453="",$I453=""),0,IF(COUNTIFS($C$5:$C453,$C453,$I$5:$I453,$I453)=1,1,0))</f>
        <v>0</v>
      </c>
      <c r="AJ453" s="43" t="str">
        <f>IF($AI453=1,SUMIFS($AI$4:$AI452,$C$4:$C452,$C453)+1,"")</f>
        <v/>
      </c>
      <c r="AK453" s="43">
        <f>IF(OR($C453="",$K453=""),0,IF(COUNTIFS($C$5:$C453,$C453,$K$5:$K453,$K453)=1,1,0))</f>
        <v>0</v>
      </c>
      <c r="AL453" s="43" t="str">
        <f>IF($AK453=1,SUMIFS($AK$4:$AK452,$C$4:$C452,$C453)+1,"")</f>
        <v/>
      </c>
      <c r="AM453" s="43">
        <f>IF(OR($C453="",$G453=""),0,IF(COUNTIFS($C$5:$C453,$C453,$G$5:$G453,$G453)=1,1,0))</f>
        <v>0</v>
      </c>
      <c r="AN453" s="43" t="str">
        <f>IF($AM453=1,SUMIFS($AM$4:$AM452,$C$4:$C452,$C453)+1,"")</f>
        <v/>
      </c>
    </row>
    <row r="454">
      <c r="A454" s="44" t="str">
        <f>IF(OR($B454="",$D454=""),"","TX"&amp;TEXT(ROW()-4,"0000"))</f>
        <v/>
      </c>
      <c r="B454" s="42" t="n"/>
      <c r="C454" s="47" t="str">
        <f>IF($B454="","",YEAR($B454)*100+MONTH($B454))</f>
        <v/>
      </c>
      <c r="D454" s="37" t="n"/>
      <c r="E454" s="45" t="str">
        <f>IF($D454="","",IFERROR(INDEX(CARDS!$B$5:$B$34,MATCH($D454,CARDS!$A$5:$A$34,0)),"⚠ Card ID?"))</f>
        <v/>
      </c>
      <c r="F454" s="45" t="str">
        <f>IF($D454="","",IFERROR(INDEX(CARDS!$C$5:$C$34,MATCH($D454,CARDS!$A$5:$A$34,0)),"⚠ Card ID?"))</f>
        <v/>
      </c>
      <c r="G454" s="37" t="n"/>
      <c r="H454" s="37" t="n"/>
      <c r="I454" s="41" t="n"/>
      <c r="J454" s="45" t="str">
        <f>IF($I454="","",IFERROR(INDEX(MCC_MASTER!$B$5:$B$504,MATCH($I454,MCC_MASTER!$A$5:$A$504,0)),"⚠ MCC chưa có"))</f>
        <v/>
      </c>
      <c r="K454" s="45" t="str">
        <f>IF($I454="","",IFERROR(IF(INDEX(MCC_MASTER!$C$5:$C$504,MATCH($I454,MCC_MASTER!$A$5:$A$504,0))="","Chưa phân loại",INDEX(MCC_MASTER!$C$5:$C$504,MATCH($I454,MCC_MASTER!$A$5:$A$504,0))),"Chưa phân loại"))</f>
        <v/>
      </c>
      <c r="L454" s="40" t="n"/>
      <c r="M454" s="48" t="str">
        <f>IF(OR($B454="",$D454=""),"",IF($AC454=0,0,IF(ISNUMBER(INDEX(CASHBACK_RULES!$L$5:$L$304,$AC454)),MAX(0,MIN($L454,INDEX(CASHBACK_RULES!$L$5:$L$304,$AC454)-$AH454)),MAX(0,$L454))))</f>
        <v/>
      </c>
      <c r="N454" s="49" t="str">
        <f>IF(OR($B454="",$D454=""),"",IF($AC454&gt;0,INDEX(CASHBACK_RULES!$I$5:$I$304,$AC454),0))</f>
        <v/>
      </c>
      <c r="O454" s="48" t="str">
        <f>IF(OR($B454="",$D454=""),"",ROUND($M454*$N454,0))</f>
        <v/>
      </c>
      <c r="P454" s="48" t="str">
        <f>IF($AC454&gt;0,IF(ISNUMBER(INDEX(CASHBACK_RULES!$J$5:$J$304,$AC454)),INDEX(CASHBACK_RULES!$J$5:$J$304,$AC454),"∞"),"")</f>
        <v/>
      </c>
      <c r="Q454" s="48" t="str">
        <f>IF(OR($B454="",$D454=""),"",IF($AC454=0,0,MAX(0,MIN($O454,IF(ISNUMBER($P454),$P454-$AF454,1E+15),IF(ISNUMBER($AA454),$AA454-$AG454,1E+15)))))</f>
        <v/>
      </c>
      <c r="R454" s="48" t="str">
        <f>IF(OR($B454="",$D454=""),"",IF($AC454=0,"",IF(AND(NOT(ISNUMBER($P454)),NOT(ISNUMBER($AA454))),"∞",MAX(0,MIN(IF(ISNUMBER($P454),$P454-$AF454-$Q454,1E+15),IF(ISNUMBER($AA454),$AA454-$AG454-$Q454,1E+15))))))</f>
        <v/>
      </c>
      <c r="S454" s="47" t="str">
        <f>IF($AD454="","",YEAR($AD454)*100+MONTH($AD454))</f>
        <v/>
      </c>
      <c r="T454" s="50" t="str">
        <f>IF($AD454="","",IFERROR(IF(INDEX(CARDS!$I$5:$I$34,MATCH($D454,CARDS!$A$5:$A$34,0))="","",IF(INDEX(CARDS!$I$5:$I$34,MATCH($D454,CARDS!$A$5:$A$34,0))&gt;INDEX(CARDS!$H$5:$H$34,MATCH($D454,CARDS!$A$5:$A$34,0)),DATE(YEAR($AD454),MONTH($AD454),MIN(INDEX(CARDS!$I$5:$I$34,MATCH($D454,CARDS!$A$5:$A$34,0)),DAY(EOMONTH($AD454,0)))),DATE(YEAR($AD454),MONTH($AD454)+1,MIN(INDEX(CARDS!$I$5:$I$34,MATCH($D454,CARDS!$A$5:$A$34,0)),DAY(EOMONTH($AD454,1)))))),""))</f>
        <v/>
      </c>
      <c r="U454" s="38" t="n"/>
      <c r="V454" s="37" t="n"/>
      <c r="W454" s="38" t="n"/>
      <c r="X454" s="38" t="n"/>
      <c r="Y454" s="44" t="str">
        <f>IF($AC454&gt;0,INDEX(CASHBACK_RULES!$A$5:$A$304,$AC454),"")</f>
        <v/>
      </c>
      <c r="Z454" s="45" t="str">
        <f>IF($AC454&gt;0,INDEX(CASHBACK_RULES!$E$5:$E$304,$AC454)&amp;"","")</f>
        <v/>
      </c>
      <c r="AA454" s="48" t="str">
        <f>IF($AC454&gt;0,IF(ISNUMBER(INDEX(CASHBACK_RULES!$K$5:$K$304,$AC454)),INDEX(CASHBACK_RULES!$K$5:$K$304,$AC454),"∞"),"")</f>
        <v/>
      </c>
      <c r="AB454" s="44" t="str">
        <f>IF(OR($B454="",$D454=""),"",IF($U454="Cancelled","Đã hủy",IF($AC454=0,"Không được hoàn",IF($Q454=0,IF(OR($O454&gt;0,$M454&lt;$L454),"Đã đạt cap","Không được hoàn"),IF(OR($Q454&lt;$O454,$M454&lt;$L454),"Hoàn một phần","Được hoàn")))))</f>
        <v/>
      </c>
      <c r="AC454" s="43">
        <f>IF(OR($B454="",$D454="",$I454="",$L454=""),0,IF($U454="Cancelled",0,IF($W454&lt;&gt;"",IFERROR(IF(INDEX(CASHBACK_RULES!$B$5:$B$304,MATCH($W454,CASHBACK_RULES!$A$5:$A$304,0))=$D454,MATCH($W454,CASHBACK_RULES!$A$5:$A$304,0),0),0),IFERROR(MATCH(1,INDEX((CASHBACK_RULES!$B$5:$B$304=$D454)*(CASHBACK_RULES!$G$5:$G$304=$I454)*(((CASHBACK_RULES!$N$5:$N$304="")+(CASHBACK_RULES!$N$5:$N$304&lt;=$B454))&gt;0)*(((CASHBACK_RULES!$O$5:$O$304="")+(CASHBACK_RULES!$O$5:$O$304&gt;=$B454))&gt;0)*(((CASHBACK_RULES!$M$5:$M$304="")+(CASHBACK_RULES!$M$5:$M$304&lt;=$L454))&gt;0),0),0),0))))</f>
        <v>0</v>
      </c>
      <c r="AD454" s="51" t="str">
        <f>IF(OR($B454="",$D454=""),"",IFERROR(IF(INDEX(CARDS!$H$5:$H$34,MATCH($D454,CARDS!$A$5:$A$34,0))="","",IF(DAY($B454)&lt;=INDEX(CARDS!$H$5:$H$34,MATCH($D454,CARDS!$A$5:$A$34,0)),DATE(YEAR($B454),MONTH($B454),MIN(INDEX(CARDS!$H$5:$H$34,MATCH($D454,CARDS!$A$5:$A$34,0)),DAY(EOMONTH($B454,0)))),DATE(YEAR($B454),MONTH($B454)+1,MIN(INDEX(CARDS!$H$5:$H$34,MATCH($D454,CARDS!$A$5:$A$34,0)),DAY(EOMONTH($B454,1)))))),""))</f>
        <v/>
      </c>
      <c r="AE454" s="52" t="str">
        <f>IF($C454="","",$C454&amp;"|"&amp;COUNTIF($C$5:$C454,$C454))</f>
        <v/>
      </c>
      <c r="AF454" s="53">
        <f>IF($AC454&gt;0,SUMIFS(Q$4:Q453,$D$4:$D453,$D454,$Z$4:$Z453,$Z454,$C$4:$C453,$C454),0)</f>
        <v>0</v>
      </c>
      <c r="AG454" s="53">
        <f>IF($AC454&gt;0,SUMIFS(Q$4:Q453,$D$4:$D453,$D454,$C$4:$C453,$C454),0)</f>
        <v>0</v>
      </c>
      <c r="AH454" s="53">
        <f>IF($AC454&gt;0,SUMIFS(M$4:M453,$D$4:$D453,$D454,$Z$4:$Z453,$Z454,$C$4:$C453,$C454),0)</f>
        <v>0</v>
      </c>
      <c r="AI454" s="43">
        <f>IF(OR($C454="",$I454=""),0,IF(COUNTIFS($C$5:$C454,$C454,$I$5:$I454,$I454)=1,1,0))</f>
        <v>0</v>
      </c>
      <c r="AJ454" s="43" t="str">
        <f>IF($AI454=1,SUMIFS($AI$4:$AI453,$C$4:$C453,$C454)+1,"")</f>
        <v/>
      </c>
      <c r="AK454" s="43">
        <f>IF(OR($C454="",$K454=""),0,IF(COUNTIFS($C$5:$C454,$C454,$K$5:$K454,$K454)=1,1,0))</f>
        <v>0</v>
      </c>
      <c r="AL454" s="43" t="str">
        <f>IF($AK454=1,SUMIFS($AK$4:$AK453,$C$4:$C453,$C454)+1,"")</f>
        <v/>
      </c>
      <c r="AM454" s="43">
        <f>IF(OR($C454="",$G454=""),0,IF(COUNTIFS($C$5:$C454,$C454,$G$5:$G454,$G454)=1,1,0))</f>
        <v>0</v>
      </c>
      <c r="AN454" s="43" t="str">
        <f>IF($AM454=1,SUMIFS($AM$4:$AM453,$C$4:$C453,$C454)+1,"")</f>
        <v/>
      </c>
    </row>
    <row r="455">
      <c r="A455" s="44" t="str">
        <f>IF(OR($B455="",$D455=""),"","TX"&amp;TEXT(ROW()-4,"0000"))</f>
        <v/>
      </c>
      <c r="B455" s="42" t="n"/>
      <c r="C455" s="47" t="str">
        <f>IF($B455="","",YEAR($B455)*100+MONTH($B455))</f>
        <v/>
      </c>
      <c r="D455" s="37" t="n"/>
      <c r="E455" s="45" t="str">
        <f>IF($D455="","",IFERROR(INDEX(CARDS!$B$5:$B$34,MATCH($D455,CARDS!$A$5:$A$34,0)),"⚠ Card ID?"))</f>
        <v/>
      </c>
      <c r="F455" s="45" t="str">
        <f>IF($D455="","",IFERROR(INDEX(CARDS!$C$5:$C$34,MATCH($D455,CARDS!$A$5:$A$34,0)),"⚠ Card ID?"))</f>
        <v/>
      </c>
      <c r="G455" s="37" t="n"/>
      <c r="H455" s="37" t="n"/>
      <c r="I455" s="41" t="n"/>
      <c r="J455" s="45" t="str">
        <f>IF($I455="","",IFERROR(INDEX(MCC_MASTER!$B$5:$B$504,MATCH($I455,MCC_MASTER!$A$5:$A$504,0)),"⚠ MCC chưa có"))</f>
        <v/>
      </c>
      <c r="K455" s="45" t="str">
        <f>IF($I455="","",IFERROR(IF(INDEX(MCC_MASTER!$C$5:$C$504,MATCH($I455,MCC_MASTER!$A$5:$A$504,0))="","Chưa phân loại",INDEX(MCC_MASTER!$C$5:$C$504,MATCH($I455,MCC_MASTER!$A$5:$A$504,0))),"Chưa phân loại"))</f>
        <v/>
      </c>
      <c r="L455" s="40" t="n"/>
      <c r="M455" s="48" t="str">
        <f>IF(OR($B455="",$D455=""),"",IF($AC455=0,0,IF(ISNUMBER(INDEX(CASHBACK_RULES!$L$5:$L$304,$AC455)),MAX(0,MIN($L455,INDEX(CASHBACK_RULES!$L$5:$L$304,$AC455)-$AH455)),MAX(0,$L455))))</f>
        <v/>
      </c>
      <c r="N455" s="49" t="str">
        <f>IF(OR($B455="",$D455=""),"",IF($AC455&gt;0,INDEX(CASHBACK_RULES!$I$5:$I$304,$AC455),0))</f>
        <v/>
      </c>
      <c r="O455" s="48" t="str">
        <f>IF(OR($B455="",$D455=""),"",ROUND($M455*$N455,0))</f>
        <v/>
      </c>
      <c r="P455" s="48" t="str">
        <f>IF($AC455&gt;0,IF(ISNUMBER(INDEX(CASHBACK_RULES!$J$5:$J$304,$AC455)),INDEX(CASHBACK_RULES!$J$5:$J$304,$AC455),"∞"),"")</f>
        <v/>
      </c>
      <c r="Q455" s="48" t="str">
        <f>IF(OR($B455="",$D455=""),"",IF($AC455=0,0,MAX(0,MIN($O455,IF(ISNUMBER($P455),$P455-$AF455,1E+15),IF(ISNUMBER($AA455),$AA455-$AG455,1E+15)))))</f>
        <v/>
      </c>
      <c r="R455" s="48" t="str">
        <f>IF(OR($B455="",$D455=""),"",IF($AC455=0,"",IF(AND(NOT(ISNUMBER($P455)),NOT(ISNUMBER($AA455))),"∞",MAX(0,MIN(IF(ISNUMBER($P455),$P455-$AF455-$Q455,1E+15),IF(ISNUMBER($AA455),$AA455-$AG455-$Q455,1E+15))))))</f>
        <v/>
      </c>
      <c r="S455" s="47" t="str">
        <f>IF($AD455="","",YEAR($AD455)*100+MONTH($AD455))</f>
        <v/>
      </c>
      <c r="T455" s="50" t="str">
        <f>IF($AD455="","",IFERROR(IF(INDEX(CARDS!$I$5:$I$34,MATCH($D455,CARDS!$A$5:$A$34,0))="","",IF(INDEX(CARDS!$I$5:$I$34,MATCH($D455,CARDS!$A$5:$A$34,0))&gt;INDEX(CARDS!$H$5:$H$34,MATCH($D455,CARDS!$A$5:$A$34,0)),DATE(YEAR($AD455),MONTH($AD455),MIN(INDEX(CARDS!$I$5:$I$34,MATCH($D455,CARDS!$A$5:$A$34,0)),DAY(EOMONTH($AD455,0)))),DATE(YEAR($AD455),MONTH($AD455)+1,MIN(INDEX(CARDS!$I$5:$I$34,MATCH($D455,CARDS!$A$5:$A$34,0)),DAY(EOMONTH($AD455,1)))))),""))</f>
        <v/>
      </c>
      <c r="U455" s="38" t="n"/>
      <c r="V455" s="37" t="n"/>
      <c r="W455" s="38" t="n"/>
      <c r="X455" s="38" t="n"/>
      <c r="Y455" s="44" t="str">
        <f>IF($AC455&gt;0,INDEX(CASHBACK_RULES!$A$5:$A$304,$AC455),"")</f>
        <v/>
      </c>
      <c r="Z455" s="45" t="str">
        <f>IF($AC455&gt;0,INDEX(CASHBACK_RULES!$E$5:$E$304,$AC455)&amp;"","")</f>
        <v/>
      </c>
      <c r="AA455" s="48" t="str">
        <f>IF($AC455&gt;0,IF(ISNUMBER(INDEX(CASHBACK_RULES!$K$5:$K$304,$AC455)),INDEX(CASHBACK_RULES!$K$5:$K$304,$AC455),"∞"),"")</f>
        <v/>
      </c>
      <c r="AB455" s="44" t="str">
        <f>IF(OR($B455="",$D455=""),"",IF($U455="Cancelled","Đã hủy",IF($AC455=0,"Không được hoàn",IF($Q455=0,IF(OR($O455&gt;0,$M455&lt;$L455),"Đã đạt cap","Không được hoàn"),IF(OR($Q455&lt;$O455,$M455&lt;$L455),"Hoàn một phần","Được hoàn")))))</f>
        <v/>
      </c>
      <c r="AC455" s="43">
        <f>IF(OR($B455="",$D455="",$I455="",$L455=""),0,IF($U455="Cancelled",0,IF($W455&lt;&gt;"",IFERROR(IF(INDEX(CASHBACK_RULES!$B$5:$B$304,MATCH($W455,CASHBACK_RULES!$A$5:$A$304,0))=$D455,MATCH($W455,CASHBACK_RULES!$A$5:$A$304,0),0),0),IFERROR(MATCH(1,INDEX((CASHBACK_RULES!$B$5:$B$304=$D455)*(CASHBACK_RULES!$G$5:$G$304=$I455)*(((CASHBACK_RULES!$N$5:$N$304="")+(CASHBACK_RULES!$N$5:$N$304&lt;=$B455))&gt;0)*(((CASHBACK_RULES!$O$5:$O$304="")+(CASHBACK_RULES!$O$5:$O$304&gt;=$B455))&gt;0)*(((CASHBACK_RULES!$M$5:$M$304="")+(CASHBACK_RULES!$M$5:$M$304&lt;=$L455))&gt;0),0),0),0))))</f>
        <v>0</v>
      </c>
      <c r="AD455" s="51" t="str">
        <f>IF(OR($B455="",$D455=""),"",IFERROR(IF(INDEX(CARDS!$H$5:$H$34,MATCH($D455,CARDS!$A$5:$A$34,0))="","",IF(DAY($B455)&lt;=INDEX(CARDS!$H$5:$H$34,MATCH($D455,CARDS!$A$5:$A$34,0)),DATE(YEAR($B455),MONTH($B455),MIN(INDEX(CARDS!$H$5:$H$34,MATCH($D455,CARDS!$A$5:$A$34,0)),DAY(EOMONTH($B455,0)))),DATE(YEAR($B455),MONTH($B455)+1,MIN(INDEX(CARDS!$H$5:$H$34,MATCH($D455,CARDS!$A$5:$A$34,0)),DAY(EOMONTH($B455,1)))))),""))</f>
        <v/>
      </c>
      <c r="AE455" s="52" t="str">
        <f>IF($C455="","",$C455&amp;"|"&amp;COUNTIF($C$5:$C455,$C455))</f>
        <v/>
      </c>
      <c r="AF455" s="53">
        <f>IF($AC455&gt;0,SUMIFS(Q$4:Q454,$D$4:$D454,$D455,$Z$4:$Z454,$Z455,$C$4:$C454,$C455),0)</f>
        <v>0</v>
      </c>
      <c r="AG455" s="53">
        <f>IF($AC455&gt;0,SUMIFS(Q$4:Q454,$D$4:$D454,$D455,$C$4:$C454,$C455),0)</f>
        <v>0</v>
      </c>
      <c r="AH455" s="53">
        <f>IF($AC455&gt;0,SUMIFS(M$4:M454,$D$4:$D454,$D455,$Z$4:$Z454,$Z455,$C$4:$C454,$C455),0)</f>
        <v>0</v>
      </c>
      <c r="AI455" s="43">
        <f>IF(OR($C455="",$I455=""),0,IF(COUNTIFS($C$5:$C455,$C455,$I$5:$I455,$I455)=1,1,0))</f>
        <v>0</v>
      </c>
      <c r="AJ455" s="43" t="str">
        <f>IF($AI455=1,SUMIFS($AI$4:$AI454,$C$4:$C454,$C455)+1,"")</f>
        <v/>
      </c>
      <c r="AK455" s="43">
        <f>IF(OR($C455="",$K455=""),0,IF(COUNTIFS($C$5:$C455,$C455,$K$5:$K455,$K455)=1,1,0))</f>
        <v>0</v>
      </c>
      <c r="AL455" s="43" t="str">
        <f>IF($AK455=1,SUMIFS($AK$4:$AK454,$C$4:$C454,$C455)+1,"")</f>
        <v/>
      </c>
      <c r="AM455" s="43">
        <f>IF(OR($C455="",$G455=""),0,IF(COUNTIFS($C$5:$C455,$C455,$G$5:$G455,$G455)=1,1,0))</f>
        <v>0</v>
      </c>
      <c r="AN455" s="43" t="str">
        <f>IF($AM455=1,SUMIFS($AM$4:$AM454,$C$4:$C454,$C455)+1,"")</f>
        <v/>
      </c>
    </row>
    <row r="456">
      <c r="A456" s="44" t="str">
        <f>IF(OR($B456="",$D456=""),"","TX"&amp;TEXT(ROW()-4,"0000"))</f>
        <v/>
      </c>
      <c r="B456" s="42" t="n"/>
      <c r="C456" s="47" t="str">
        <f>IF($B456="","",YEAR($B456)*100+MONTH($B456))</f>
        <v/>
      </c>
      <c r="D456" s="37" t="n"/>
      <c r="E456" s="45" t="str">
        <f>IF($D456="","",IFERROR(INDEX(CARDS!$B$5:$B$34,MATCH($D456,CARDS!$A$5:$A$34,0)),"⚠ Card ID?"))</f>
        <v/>
      </c>
      <c r="F456" s="45" t="str">
        <f>IF($D456="","",IFERROR(INDEX(CARDS!$C$5:$C$34,MATCH($D456,CARDS!$A$5:$A$34,0)),"⚠ Card ID?"))</f>
        <v/>
      </c>
      <c r="G456" s="37" t="n"/>
      <c r="H456" s="37" t="n"/>
      <c r="I456" s="41" t="n"/>
      <c r="J456" s="45" t="str">
        <f>IF($I456="","",IFERROR(INDEX(MCC_MASTER!$B$5:$B$504,MATCH($I456,MCC_MASTER!$A$5:$A$504,0)),"⚠ MCC chưa có"))</f>
        <v/>
      </c>
      <c r="K456" s="45" t="str">
        <f>IF($I456="","",IFERROR(IF(INDEX(MCC_MASTER!$C$5:$C$504,MATCH($I456,MCC_MASTER!$A$5:$A$504,0))="","Chưa phân loại",INDEX(MCC_MASTER!$C$5:$C$504,MATCH($I456,MCC_MASTER!$A$5:$A$504,0))),"Chưa phân loại"))</f>
        <v/>
      </c>
      <c r="L456" s="40" t="n"/>
      <c r="M456" s="48" t="str">
        <f>IF(OR($B456="",$D456=""),"",IF($AC456=0,0,IF(ISNUMBER(INDEX(CASHBACK_RULES!$L$5:$L$304,$AC456)),MAX(0,MIN($L456,INDEX(CASHBACK_RULES!$L$5:$L$304,$AC456)-$AH456)),MAX(0,$L456))))</f>
        <v/>
      </c>
      <c r="N456" s="49" t="str">
        <f>IF(OR($B456="",$D456=""),"",IF($AC456&gt;0,INDEX(CASHBACK_RULES!$I$5:$I$304,$AC456),0))</f>
        <v/>
      </c>
      <c r="O456" s="48" t="str">
        <f>IF(OR($B456="",$D456=""),"",ROUND($M456*$N456,0))</f>
        <v/>
      </c>
      <c r="P456" s="48" t="str">
        <f>IF($AC456&gt;0,IF(ISNUMBER(INDEX(CASHBACK_RULES!$J$5:$J$304,$AC456)),INDEX(CASHBACK_RULES!$J$5:$J$304,$AC456),"∞"),"")</f>
        <v/>
      </c>
      <c r="Q456" s="48" t="str">
        <f>IF(OR($B456="",$D456=""),"",IF($AC456=0,0,MAX(0,MIN($O456,IF(ISNUMBER($P456),$P456-$AF456,1E+15),IF(ISNUMBER($AA456),$AA456-$AG456,1E+15)))))</f>
        <v/>
      </c>
      <c r="R456" s="48" t="str">
        <f>IF(OR($B456="",$D456=""),"",IF($AC456=0,"",IF(AND(NOT(ISNUMBER($P456)),NOT(ISNUMBER($AA456))),"∞",MAX(0,MIN(IF(ISNUMBER($P456),$P456-$AF456-$Q456,1E+15),IF(ISNUMBER($AA456),$AA456-$AG456-$Q456,1E+15))))))</f>
        <v/>
      </c>
      <c r="S456" s="47" t="str">
        <f>IF($AD456="","",YEAR($AD456)*100+MONTH($AD456))</f>
        <v/>
      </c>
      <c r="T456" s="50" t="str">
        <f>IF($AD456="","",IFERROR(IF(INDEX(CARDS!$I$5:$I$34,MATCH($D456,CARDS!$A$5:$A$34,0))="","",IF(INDEX(CARDS!$I$5:$I$34,MATCH($D456,CARDS!$A$5:$A$34,0))&gt;INDEX(CARDS!$H$5:$H$34,MATCH($D456,CARDS!$A$5:$A$34,0)),DATE(YEAR($AD456),MONTH($AD456),MIN(INDEX(CARDS!$I$5:$I$34,MATCH($D456,CARDS!$A$5:$A$34,0)),DAY(EOMONTH($AD456,0)))),DATE(YEAR($AD456),MONTH($AD456)+1,MIN(INDEX(CARDS!$I$5:$I$34,MATCH($D456,CARDS!$A$5:$A$34,0)),DAY(EOMONTH($AD456,1)))))),""))</f>
        <v/>
      </c>
      <c r="U456" s="38" t="n"/>
      <c r="V456" s="37" t="n"/>
      <c r="W456" s="38" t="n"/>
      <c r="X456" s="38" t="n"/>
      <c r="Y456" s="44" t="str">
        <f>IF($AC456&gt;0,INDEX(CASHBACK_RULES!$A$5:$A$304,$AC456),"")</f>
        <v/>
      </c>
      <c r="Z456" s="45" t="str">
        <f>IF($AC456&gt;0,INDEX(CASHBACK_RULES!$E$5:$E$304,$AC456)&amp;"","")</f>
        <v/>
      </c>
      <c r="AA456" s="48" t="str">
        <f>IF($AC456&gt;0,IF(ISNUMBER(INDEX(CASHBACK_RULES!$K$5:$K$304,$AC456)),INDEX(CASHBACK_RULES!$K$5:$K$304,$AC456),"∞"),"")</f>
        <v/>
      </c>
      <c r="AB456" s="44" t="str">
        <f>IF(OR($B456="",$D456=""),"",IF($U456="Cancelled","Đã hủy",IF($AC456=0,"Không được hoàn",IF($Q456=0,IF(OR($O456&gt;0,$M456&lt;$L456),"Đã đạt cap","Không được hoàn"),IF(OR($Q456&lt;$O456,$M456&lt;$L456),"Hoàn một phần","Được hoàn")))))</f>
        <v/>
      </c>
      <c r="AC456" s="43">
        <f>IF(OR($B456="",$D456="",$I456="",$L456=""),0,IF($U456="Cancelled",0,IF($W456&lt;&gt;"",IFERROR(IF(INDEX(CASHBACK_RULES!$B$5:$B$304,MATCH($W456,CASHBACK_RULES!$A$5:$A$304,0))=$D456,MATCH($W456,CASHBACK_RULES!$A$5:$A$304,0),0),0),IFERROR(MATCH(1,INDEX((CASHBACK_RULES!$B$5:$B$304=$D456)*(CASHBACK_RULES!$G$5:$G$304=$I456)*(((CASHBACK_RULES!$N$5:$N$304="")+(CASHBACK_RULES!$N$5:$N$304&lt;=$B456))&gt;0)*(((CASHBACK_RULES!$O$5:$O$304="")+(CASHBACK_RULES!$O$5:$O$304&gt;=$B456))&gt;0)*(((CASHBACK_RULES!$M$5:$M$304="")+(CASHBACK_RULES!$M$5:$M$304&lt;=$L456))&gt;0),0),0),0))))</f>
        <v>0</v>
      </c>
      <c r="AD456" s="51" t="str">
        <f>IF(OR($B456="",$D456=""),"",IFERROR(IF(INDEX(CARDS!$H$5:$H$34,MATCH($D456,CARDS!$A$5:$A$34,0))="","",IF(DAY($B456)&lt;=INDEX(CARDS!$H$5:$H$34,MATCH($D456,CARDS!$A$5:$A$34,0)),DATE(YEAR($B456),MONTH($B456),MIN(INDEX(CARDS!$H$5:$H$34,MATCH($D456,CARDS!$A$5:$A$34,0)),DAY(EOMONTH($B456,0)))),DATE(YEAR($B456),MONTH($B456)+1,MIN(INDEX(CARDS!$H$5:$H$34,MATCH($D456,CARDS!$A$5:$A$34,0)),DAY(EOMONTH($B456,1)))))),""))</f>
        <v/>
      </c>
      <c r="AE456" s="52" t="str">
        <f>IF($C456="","",$C456&amp;"|"&amp;COUNTIF($C$5:$C456,$C456))</f>
        <v/>
      </c>
      <c r="AF456" s="53">
        <f>IF($AC456&gt;0,SUMIFS(Q$4:Q455,$D$4:$D455,$D456,$Z$4:$Z455,$Z456,$C$4:$C455,$C456),0)</f>
        <v>0</v>
      </c>
      <c r="AG456" s="53">
        <f>IF($AC456&gt;0,SUMIFS(Q$4:Q455,$D$4:$D455,$D456,$C$4:$C455,$C456),0)</f>
        <v>0</v>
      </c>
      <c r="AH456" s="53">
        <f>IF($AC456&gt;0,SUMIFS(M$4:M455,$D$4:$D455,$D456,$Z$4:$Z455,$Z456,$C$4:$C455,$C456),0)</f>
        <v>0</v>
      </c>
      <c r="AI456" s="43">
        <f>IF(OR($C456="",$I456=""),0,IF(COUNTIFS($C$5:$C456,$C456,$I$5:$I456,$I456)=1,1,0))</f>
        <v>0</v>
      </c>
      <c r="AJ456" s="43" t="str">
        <f>IF($AI456=1,SUMIFS($AI$4:$AI455,$C$4:$C455,$C456)+1,"")</f>
        <v/>
      </c>
      <c r="AK456" s="43">
        <f>IF(OR($C456="",$K456=""),0,IF(COUNTIFS($C$5:$C456,$C456,$K$5:$K456,$K456)=1,1,0))</f>
        <v>0</v>
      </c>
      <c r="AL456" s="43" t="str">
        <f>IF($AK456=1,SUMIFS($AK$4:$AK455,$C$4:$C455,$C456)+1,"")</f>
        <v/>
      </c>
      <c r="AM456" s="43">
        <f>IF(OR($C456="",$G456=""),0,IF(COUNTIFS($C$5:$C456,$C456,$G$5:$G456,$G456)=1,1,0))</f>
        <v>0</v>
      </c>
      <c r="AN456" s="43" t="str">
        <f>IF($AM456=1,SUMIFS($AM$4:$AM455,$C$4:$C455,$C456)+1,"")</f>
        <v/>
      </c>
    </row>
    <row r="457">
      <c r="A457" s="44" t="str">
        <f>IF(OR($B457="",$D457=""),"","TX"&amp;TEXT(ROW()-4,"0000"))</f>
        <v/>
      </c>
      <c r="B457" s="42" t="n"/>
      <c r="C457" s="47" t="str">
        <f>IF($B457="","",YEAR($B457)*100+MONTH($B457))</f>
        <v/>
      </c>
      <c r="D457" s="37" t="n"/>
      <c r="E457" s="45" t="str">
        <f>IF($D457="","",IFERROR(INDEX(CARDS!$B$5:$B$34,MATCH($D457,CARDS!$A$5:$A$34,0)),"⚠ Card ID?"))</f>
        <v/>
      </c>
      <c r="F457" s="45" t="str">
        <f>IF($D457="","",IFERROR(INDEX(CARDS!$C$5:$C$34,MATCH($D457,CARDS!$A$5:$A$34,0)),"⚠ Card ID?"))</f>
        <v/>
      </c>
      <c r="G457" s="37" t="n"/>
      <c r="H457" s="37" t="n"/>
      <c r="I457" s="41" t="n"/>
      <c r="J457" s="45" t="str">
        <f>IF($I457="","",IFERROR(INDEX(MCC_MASTER!$B$5:$B$504,MATCH($I457,MCC_MASTER!$A$5:$A$504,0)),"⚠ MCC chưa có"))</f>
        <v/>
      </c>
      <c r="K457" s="45" t="str">
        <f>IF($I457="","",IFERROR(IF(INDEX(MCC_MASTER!$C$5:$C$504,MATCH($I457,MCC_MASTER!$A$5:$A$504,0))="","Chưa phân loại",INDEX(MCC_MASTER!$C$5:$C$504,MATCH($I457,MCC_MASTER!$A$5:$A$504,0))),"Chưa phân loại"))</f>
        <v/>
      </c>
      <c r="L457" s="40" t="n"/>
      <c r="M457" s="48" t="str">
        <f>IF(OR($B457="",$D457=""),"",IF($AC457=0,0,IF(ISNUMBER(INDEX(CASHBACK_RULES!$L$5:$L$304,$AC457)),MAX(0,MIN($L457,INDEX(CASHBACK_RULES!$L$5:$L$304,$AC457)-$AH457)),MAX(0,$L457))))</f>
        <v/>
      </c>
      <c r="N457" s="49" t="str">
        <f>IF(OR($B457="",$D457=""),"",IF($AC457&gt;0,INDEX(CASHBACK_RULES!$I$5:$I$304,$AC457),0))</f>
        <v/>
      </c>
      <c r="O457" s="48" t="str">
        <f>IF(OR($B457="",$D457=""),"",ROUND($M457*$N457,0))</f>
        <v/>
      </c>
      <c r="P457" s="48" t="str">
        <f>IF($AC457&gt;0,IF(ISNUMBER(INDEX(CASHBACK_RULES!$J$5:$J$304,$AC457)),INDEX(CASHBACK_RULES!$J$5:$J$304,$AC457),"∞"),"")</f>
        <v/>
      </c>
      <c r="Q457" s="48" t="str">
        <f>IF(OR($B457="",$D457=""),"",IF($AC457=0,0,MAX(0,MIN($O457,IF(ISNUMBER($P457),$P457-$AF457,1E+15),IF(ISNUMBER($AA457),$AA457-$AG457,1E+15)))))</f>
        <v/>
      </c>
      <c r="R457" s="48" t="str">
        <f>IF(OR($B457="",$D457=""),"",IF($AC457=0,"",IF(AND(NOT(ISNUMBER($P457)),NOT(ISNUMBER($AA457))),"∞",MAX(0,MIN(IF(ISNUMBER($P457),$P457-$AF457-$Q457,1E+15),IF(ISNUMBER($AA457),$AA457-$AG457-$Q457,1E+15))))))</f>
        <v/>
      </c>
      <c r="S457" s="47" t="str">
        <f>IF($AD457="","",YEAR($AD457)*100+MONTH($AD457))</f>
        <v/>
      </c>
      <c r="T457" s="50" t="str">
        <f>IF($AD457="","",IFERROR(IF(INDEX(CARDS!$I$5:$I$34,MATCH($D457,CARDS!$A$5:$A$34,0))="","",IF(INDEX(CARDS!$I$5:$I$34,MATCH($D457,CARDS!$A$5:$A$34,0))&gt;INDEX(CARDS!$H$5:$H$34,MATCH($D457,CARDS!$A$5:$A$34,0)),DATE(YEAR($AD457),MONTH($AD457),MIN(INDEX(CARDS!$I$5:$I$34,MATCH($D457,CARDS!$A$5:$A$34,0)),DAY(EOMONTH($AD457,0)))),DATE(YEAR($AD457),MONTH($AD457)+1,MIN(INDEX(CARDS!$I$5:$I$34,MATCH($D457,CARDS!$A$5:$A$34,0)),DAY(EOMONTH($AD457,1)))))),""))</f>
        <v/>
      </c>
      <c r="U457" s="38" t="n"/>
      <c r="V457" s="37" t="n"/>
      <c r="W457" s="38" t="n"/>
      <c r="X457" s="38" t="n"/>
      <c r="Y457" s="44" t="str">
        <f>IF($AC457&gt;0,INDEX(CASHBACK_RULES!$A$5:$A$304,$AC457),"")</f>
        <v/>
      </c>
      <c r="Z457" s="45" t="str">
        <f>IF($AC457&gt;0,INDEX(CASHBACK_RULES!$E$5:$E$304,$AC457)&amp;"","")</f>
        <v/>
      </c>
      <c r="AA457" s="48" t="str">
        <f>IF($AC457&gt;0,IF(ISNUMBER(INDEX(CASHBACK_RULES!$K$5:$K$304,$AC457)),INDEX(CASHBACK_RULES!$K$5:$K$304,$AC457),"∞"),"")</f>
        <v/>
      </c>
      <c r="AB457" s="44" t="str">
        <f>IF(OR($B457="",$D457=""),"",IF($U457="Cancelled","Đã hủy",IF($AC457=0,"Không được hoàn",IF($Q457=0,IF(OR($O457&gt;0,$M457&lt;$L457),"Đã đạt cap","Không được hoàn"),IF(OR($Q457&lt;$O457,$M457&lt;$L457),"Hoàn một phần","Được hoàn")))))</f>
        <v/>
      </c>
      <c r="AC457" s="43">
        <f>IF(OR($B457="",$D457="",$I457="",$L457=""),0,IF($U457="Cancelled",0,IF($W457&lt;&gt;"",IFERROR(IF(INDEX(CASHBACK_RULES!$B$5:$B$304,MATCH($W457,CASHBACK_RULES!$A$5:$A$304,0))=$D457,MATCH($W457,CASHBACK_RULES!$A$5:$A$304,0),0),0),IFERROR(MATCH(1,INDEX((CASHBACK_RULES!$B$5:$B$304=$D457)*(CASHBACK_RULES!$G$5:$G$304=$I457)*(((CASHBACK_RULES!$N$5:$N$304="")+(CASHBACK_RULES!$N$5:$N$304&lt;=$B457))&gt;0)*(((CASHBACK_RULES!$O$5:$O$304="")+(CASHBACK_RULES!$O$5:$O$304&gt;=$B457))&gt;0)*(((CASHBACK_RULES!$M$5:$M$304="")+(CASHBACK_RULES!$M$5:$M$304&lt;=$L457))&gt;0),0),0),0))))</f>
        <v>0</v>
      </c>
      <c r="AD457" s="51" t="str">
        <f>IF(OR($B457="",$D457=""),"",IFERROR(IF(INDEX(CARDS!$H$5:$H$34,MATCH($D457,CARDS!$A$5:$A$34,0))="","",IF(DAY($B457)&lt;=INDEX(CARDS!$H$5:$H$34,MATCH($D457,CARDS!$A$5:$A$34,0)),DATE(YEAR($B457),MONTH($B457),MIN(INDEX(CARDS!$H$5:$H$34,MATCH($D457,CARDS!$A$5:$A$34,0)),DAY(EOMONTH($B457,0)))),DATE(YEAR($B457),MONTH($B457)+1,MIN(INDEX(CARDS!$H$5:$H$34,MATCH($D457,CARDS!$A$5:$A$34,0)),DAY(EOMONTH($B457,1)))))),""))</f>
        <v/>
      </c>
      <c r="AE457" s="52" t="str">
        <f>IF($C457="","",$C457&amp;"|"&amp;COUNTIF($C$5:$C457,$C457))</f>
        <v/>
      </c>
      <c r="AF457" s="53">
        <f>IF($AC457&gt;0,SUMIFS(Q$4:Q456,$D$4:$D456,$D457,$Z$4:$Z456,$Z457,$C$4:$C456,$C457),0)</f>
        <v>0</v>
      </c>
      <c r="AG457" s="53">
        <f>IF($AC457&gt;0,SUMIFS(Q$4:Q456,$D$4:$D456,$D457,$C$4:$C456,$C457),0)</f>
        <v>0</v>
      </c>
      <c r="AH457" s="53">
        <f>IF($AC457&gt;0,SUMIFS(M$4:M456,$D$4:$D456,$D457,$Z$4:$Z456,$Z457,$C$4:$C456,$C457),0)</f>
        <v>0</v>
      </c>
      <c r="AI457" s="43">
        <f>IF(OR($C457="",$I457=""),0,IF(COUNTIFS($C$5:$C457,$C457,$I$5:$I457,$I457)=1,1,0))</f>
        <v>0</v>
      </c>
      <c r="AJ457" s="43" t="str">
        <f>IF($AI457=1,SUMIFS($AI$4:$AI456,$C$4:$C456,$C457)+1,"")</f>
        <v/>
      </c>
      <c r="AK457" s="43">
        <f>IF(OR($C457="",$K457=""),0,IF(COUNTIFS($C$5:$C457,$C457,$K$5:$K457,$K457)=1,1,0))</f>
        <v>0</v>
      </c>
      <c r="AL457" s="43" t="str">
        <f>IF($AK457=1,SUMIFS($AK$4:$AK456,$C$4:$C456,$C457)+1,"")</f>
        <v/>
      </c>
      <c r="AM457" s="43">
        <f>IF(OR($C457="",$G457=""),0,IF(COUNTIFS($C$5:$C457,$C457,$G$5:$G457,$G457)=1,1,0))</f>
        <v>0</v>
      </c>
      <c r="AN457" s="43" t="str">
        <f>IF($AM457=1,SUMIFS($AM$4:$AM456,$C$4:$C456,$C457)+1,"")</f>
        <v/>
      </c>
    </row>
    <row r="458">
      <c r="A458" s="44" t="str">
        <f>IF(OR($B458="",$D458=""),"","TX"&amp;TEXT(ROW()-4,"0000"))</f>
        <v/>
      </c>
      <c r="B458" s="42" t="n"/>
      <c r="C458" s="47" t="str">
        <f>IF($B458="","",YEAR($B458)*100+MONTH($B458))</f>
        <v/>
      </c>
      <c r="D458" s="37" t="n"/>
      <c r="E458" s="45" t="str">
        <f>IF($D458="","",IFERROR(INDEX(CARDS!$B$5:$B$34,MATCH($D458,CARDS!$A$5:$A$34,0)),"⚠ Card ID?"))</f>
        <v/>
      </c>
      <c r="F458" s="45" t="str">
        <f>IF($D458="","",IFERROR(INDEX(CARDS!$C$5:$C$34,MATCH($D458,CARDS!$A$5:$A$34,0)),"⚠ Card ID?"))</f>
        <v/>
      </c>
      <c r="G458" s="37" t="n"/>
      <c r="H458" s="37" t="n"/>
      <c r="I458" s="41" t="n"/>
      <c r="J458" s="45" t="str">
        <f>IF($I458="","",IFERROR(INDEX(MCC_MASTER!$B$5:$B$504,MATCH($I458,MCC_MASTER!$A$5:$A$504,0)),"⚠ MCC chưa có"))</f>
        <v/>
      </c>
      <c r="K458" s="45" t="str">
        <f>IF($I458="","",IFERROR(IF(INDEX(MCC_MASTER!$C$5:$C$504,MATCH($I458,MCC_MASTER!$A$5:$A$504,0))="","Chưa phân loại",INDEX(MCC_MASTER!$C$5:$C$504,MATCH($I458,MCC_MASTER!$A$5:$A$504,0))),"Chưa phân loại"))</f>
        <v/>
      </c>
      <c r="L458" s="40" t="n"/>
      <c r="M458" s="48" t="str">
        <f>IF(OR($B458="",$D458=""),"",IF($AC458=0,0,IF(ISNUMBER(INDEX(CASHBACK_RULES!$L$5:$L$304,$AC458)),MAX(0,MIN($L458,INDEX(CASHBACK_RULES!$L$5:$L$304,$AC458)-$AH458)),MAX(0,$L458))))</f>
        <v/>
      </c>
      <c r="N458" s="49" t="str">
        <f>IF(OR($B458="",$D458=""),"",IF($AC458&gt;0,INDEX(CASHBACK_RULES!$I$5:$I$304,$AC458),0))</f>
        <v/>
      </c>
      <c r="O458" s="48" t="str">
        <f>IF(OR($B458="",$D458=""),"",ROUND($M458*$N458,0))</f>
        <v/>
      </c>
      <c r="P458" s="48" t="str">
        <f>IF($AC458&gt;0,IF(ISNUMBER(INDEX(CASHBACK_RULES!$J$5:$J$304,$AC458)),INDEX(CASHBACK_RULES!$J$5:$J$304,$AC458),"∞"),"")</f>
        <v/>
      </c>
      <c r="Q458" s="48" t="str">
        <f>IF(OR($B458="",$D458=""),"",IF($AC458=0,0,MAX(0,MIN($O458,IF(ISNUMBER($P458),$P458-$AF458,1E+15),IF(ISNUMBER($AA458),$AA458-$AG458,1E+15)))))</f>
        <v/>
      </c>
      <c r="R458" s="48" t="str">
        <f>IF(OR($B458="",$D458=""),"",IF($AC458=0,"",IF(AND(NOT(ISNUMBER($P458)),NOT(ISNUMBER($AA458))),"∞",MAX(0,MIN(IF(ISNUMBER($P458),$P458-$AF458-$Q458,1E+15),IF(ISNUMBER($AA458),$AA458-$AG458-$Q458,1E+15))))))</f>
        <v/>
      </c>
      <c r="S458" s="47" t="str">
        <f>IF($AD458="","",YEAR($AD458)*100+MONTH($AD458))</f>
        <v/>
      </c>
      <c r="T458" s="50" t="str">
        <f>IF($AD458="","",IFERROR(IF(INDEX(CARDS!$I$5:$I$34,MATCH($D458,CARDS!$A$5:$A$34,0))="","",IF(INDEX(CARDS!$I$5:$I$34,MATCH($D458,CARDS!$A$5:$A$34,0))&gt;INDEX(CARDS!$H$5:$H$34,MATCH($D458,CARDS!$A$5:$A$34,0)),DATE(YEAR($AD458),MONTH($AD458),MIN(INDEX(CARDS!$I$5:$I$34,MATCH($D458,CARDS!$A$5:$A$34,0)),DAY(EOMONTH($AD458,0)))),DATE(YEAR($AD458),MONTH($AD458)+1,MIN(INDEX(CARDS!$I$5:$I$34,MATCH($D458,CARDS!$A$5:$A$34,0)),DAY(EOMONTH($AD458,1)))))),""))</f>
        <v/>
      </c>
      <c r="U458" s="38" t="n"/>
      <c r="V458" s="37" t="n"/>
      <c r="W458" s="38" t="n"/>
      <c r="X458" s="38" t="n"/>
      <c r="Y458" s="44" t="str">
        <f>IF($AC458&gt;0,INDEX(CASHBACK_RULES!$A$5:$A$304,$AC458),"")</f>
        <v/>
      </c>
      <c r="Z458" s="45" t="str">
        <f>IF($AC458&gt;0,INDEX(CASHBACK_RULES!$E$5:$E$304,$AC458)&amp;"","")</f>
        <v/>
      </c>
      <c r="AA458" s="48" t="str">
        <f>IF($AC458&gt;0,IF(ISNUMBER(INDEX(CASHBACK_RULES!$K$5:$K$304,$AC458)),INDEX(CASHBACK_RULES!$K$5:$K$304,$AC458),"∞"),"")</f>
        <v/>
      </c>
      <c r="AB458" s="44" t="str">
        <f>IF(OR($B458="",$D458=""),"",IF($U458="Cancelled","Đã hủy",IF($AC458=0,"Không được hoàn",IF($Q458=0,IF(OR($O458&gt;0,$M458&lt;$L458),"Đã đạt cap","Không được hoàn"),IF(OR($Q458&lt;$O458,$M458&lt;$L458),"Hoàn một phần","Được hoàn")))))</f>
        <v/>
      </c>
      <c r="AC458" s="43">
        <f>IF(OR($B458="",$D458="",$I458="",$L458=""),0,IF($U458="Cancelled",0,IF($W458&lt;&gt;"",IFERROR(IF(INDEX(CASHBACK_RULES!$B$5:$B$304,MATCH($W458,CASHBACK_RULES!$A$5:$A$304,0))=$D458,MATCH($W458,CASHBACK_RULES!$A$5:$A$304,0),0),0),IFERROR(MATCH(1,INDEX((CASHBACK_RULES!$B$5:$B$304=$D458)*(CASHBACK_RULES!$G$5:$G$304=$I458)*(((CASHBACK_RULES!$N$5:$N$304="")+(CASHBACK_RULES!$N$5:$N$304&lt;=$B458))&gt;0)*(((CASHBACK_RULES!$O$5:$O$304="")+(CASHBACK_RULES!$O$5:$O$304&gt;=$B458))&gt;0)*(((CASHBACK_RULES!$M$5:$M$304="")+(CASHBACK_RULES!$M$5:$M$304&lt;=$L458))&gt;0),0),0),0))))</f>
        <v>0</v>
      </c>
      <c r="AD458" s="51" t="str">
        <f>IF(OR($B458="",$D458=""),"",IFERROR(IF(INDEX(CARDS!$H$5:$H$34,MATCH($D458,CARDS!$A$5:$A$34,0))="","",IF(DAY($B458)&lt;=INDEX(CARDS!$H$5:$H$34,MATCH($D458,CARDS!$A$5:$A$34,0)),DATE(YEAR($B458),MONTH($B458),MIN(INDEX(CARDS!$H$5:$H$34,MATCH($D458,CARDS!$A$5:$A$34,0)),DAY(EOMONTH($B458,0)))),DATE(YEAR($B458),MONTH($B458)+1,MIN(INDEX(CARDS!$H$5:$H$34,MATCH($D458,CARDS!$A$5:$A$34,0)),DAY(EOMONTH($B458,1)))))),""))</f>
        <v/>
      </c>
      <c r="AE458" s="52" t="str">
        <f>IF($C458="","",$C458&amp;"|"&amp;COUNTIF($C$5:$C458,$C458))</f>
        <v/>
      </c>
      <c r="AF458" s="53">
        <f>IF($AC458&gt;0,SUMIFS(Q$4:Q457,$D$4:$D457,$D458,$Z$4:$Z457,$Z458,$C$4:$C457,$C458),0)</f>
        <v>0</v>
      </c>
      <c r="AG458" s="53">
        <f>IF($AC458&gt;0,SUMIFS(Q$4:Q457,$D$4:$D457,$D458,$C$4:$C457,$C458),0)</f>
        <v>0</v>
      </c>
      <c r="AH458" s="53">
        <f>IF($AC458&gt;0,SUMIFS(M$4:M457,$D$4:$D457,$D458,$Z$4:$Z457,$Z458,$C$4:$C457,$C458),0)</f>
        <v>0</v>
      </c>
      <c r="AI458" s="43">
        <f>IF(OR($C458="",$I458=""),0,IF(COUNTIFS($C$5:$C458,$C458,$I$5:$I458,$I458)=1,1,0))</f>
        <v>0</v>
      </c>
      <c r="AJ458" s="43" t="str">
        <f>IF($AI458=1,SUMIFS($AI$4:$AI457,$C$4:$C457,$C458)+1,"")</f>
        <v/>
      </c>
      <c r="AK458" s="43">
        <f>IF(OR($C458="",$K458=""),0,IF(COUNTIFS($C$5:$C458,$C458,$K$5:$K458,$K458)=1,1,0))</f>
        <v>0</v>
      </c>
      <c r="AL458" s="43" t="str">
        <f>IF($AK458=1,SUMIFS($AK$4:$AK457,$C$4:$C457,$C458)+1,"")</f>
        <v/>
      </c>
      <c r="AM458" s="43">
        <f>IF(OR($C458="",$G458=""),0,IF(COUNTIFS($C$5:$C458,$C458,$G$5:$G458,$G458)=1,1,0))</f>
        <v>0</v>
      </c>
      <c r="AN458" s="43" t="str">
        <f>IF($AM458=1,SUMIFS($AM$4:$AM457,$C$4:$C457,$C458)+1,"")</f>
        <v/>
      </c>
    </row>
    <row r="459">
      <c r="A459" s="44" t="str">
        <f>IF(OR($B459="",$D459=""),"","TX"&amp;TEXT(ROW()-4,"0000"))</f>
        <v/>
      </c>
      <c r="B459" s="42" t="n"/>
      <c r="C459" s="47" t="str">
        <f>IF($B459="","",YEAR($B459)*100+MONTH($B459))</f>
        <v/>
      </c>
      <c r="D459" s="37" t="n"/>
      <c r="E459" s="45" t="str">
        <f>IF($D459="","",IFERROR(INDEX(CARDS!$B$5:$B$34,MATCH($D459,CARDS!$A$5:$A$34,0)),"⚠ Card ID?"))</f>
        <v/>
      </c>
      <c r="F459" s="45" t="str">
        <f>IF($D459="","",IFERROR(INDEX(CARDS!$C$5:$C$34,MATCH($D459,CARDS!$A$5:$A$34,0)),"⚠ Card ID?"))</f>
        <v/>
      </c>
      <c r="G459" s="37" t="n"/>
      <c r="H459" s="37" t="n"/>
      <c r="I459" s="41" t="n"/>
      <c r="J459" s="45" t="str">
        <f>IF($I459="","",IFERROR(INDEX(MCC_MASTER!$B$5:$B$504,MATCH($I459,MCC_MASTER!$A$5:$A$504,0)),"⚠ MCC chưa có"))</f>
        <v/>
      </c>
      <c r="K459" s="45" t="str">
        <f>IF($I459="","",IFERROR(IF(INDEX(MCC_MASTER!$C$5:$C$504,MATCH($I459,MCC_MASTER!$A$5:$A$504,0))="","Chưa phân loại",INDEX(MCC_MASTER!$C$5:$C$504,MATCH($I459,MCC_MASTER!$A$5:$A$504,0))),"Chưa phân loại"))</f>
        <v/>
      </c>
      <c r="L459" s="40" t="n"/>
      <c r="M459" s="48" t="str">
        <f>IF(OR($B459="",$D459=""),"",IF($AC459=0,0,IF(ISNUMBER(INDEX(CASHBACK_RULES!$L$5:$L$304,$AC459)),MAX(0,MIN($L459,INDEX(CASHBACK_RULES!$L$5:$L$304,$AC459)-$AH459)),MAX(0,$L459))))</f>
        <v/>
      </c>
      <c r="N459" s="49" t="str">
        <f>IF(OR($B459="",$D459=""),"",IF($AC459&gt;0,INDEX(CASHBACK_RULES!$I$5:$I$304,$AC459),0))</f>
        <v/>
      </c>
      <c r="O459" s="48" t="str">
        <f>IF(OR($B459="",$D459=""),"",ROUND($M459*$N459,0))</f>
        <v/>
      </c>
      <c r="P459" s="48" t="str">
        <f>IF($AC459&gt;0,IF(ISNUMBER(INDEX(CASHBACK_RULES!$J$5:$J$304,$AC459)),INDEX(CASHBACK_RULES!$J$5:$J$304,$AC459),"∞"),"")</f>
        <v/>
      </c>
      <c r="Q459" s="48" t="str">
        <f>IF(OR($B459="",$D459=""),"",IF($AC459=0,0,MAX(0,MIN($O459,IF(ISNUMBER($P459),$P459-$AF459,1E+15),IF(ISNUMBER($AA459),$AA459-$AG459,1E+15)))))</f>
        <v/>
      </c>
      <c r="R459" s="48" t="str">
        <f>IF(OR($B459="",$D459=""),"",IF($AC459=0,"",IF(AND(NOT(ISNUMBER($P459)),NOT(ISNUMBER($AA459))),"∞",MAX(0,MIN(IF(ISNUMBER($P459),$P459-$AF459-$Q459,1E+15),IF(ISNUMBER($AA459),$AA459-$AG459-$Q459,1E+15))))))</f>
        <v/>
      </c>
      <c r="S459" s="47" t="str">
        <f>IF($AD459="","",YEAR($AD459)*100+MONTH($AD459))</f>
        <v/>
      </c>
      <c r="T459" s="50" t="str">
        <f>IF($AD459="","",IFERROR(IF(INDEX(CARDS!$I$5:$I$34,MATCH($D459,CARDS!$A$5:$A$34,0))="","",IF(INDEX(CARDS!$I$5:$I$34,MATCH($D459,CARDS!$A$5:$A$34,0))&gt;INDEX(CARDS!$H$5:$H$34,MATCH($D459,CARDS!$A$5:$A$34,0)),DATE(YEAR($AD459),MONTH($AD459),MIN(INDEX(CARDS!$I$5:$I$34,MATCH($D459,CARDS!$A$5:$A$34,0)),DAY(EOMONTH($AD459,0)))),DATE(YEAR($AD459),MONTH($AD459)+1,MIN(INDEX(CARDS!$I$5:$I$34,MATCH($D459,CARDS!$A$5:$A$34,0)),DAY(EOMONTH($AD459,1)))))),""))</f>
        <v/>
      </c>
      <c r="U459" s="38" t="n"/>
      <c r="V459" s="37" t="n"/>
      <c r="W459" s="38" t="n"/>
      <c r="X459" s="38" t="n"/>
      <c r="Y459" s="44" t="str">
        <f>IF($AC459&gt;0,INDEX(CASHBACK_RULES!$A$5:$A$304,$AC459),"")</f>
        <v/>
      </c>
      <c r="Z459" s="45" t="str">
        <f>IF($AC459&gt;0,INDEX(CASHBACK_RULES!$E$5:$E$304,$AC459)&amp;"","")</f>
        <v/>
      </c>
      <c r="AA459" s="48" t="str">
        <f>IF($AC459&gt;0,IF(ISNUMBER(INDEX(CASHBACK_RULES!$K$5:$K$304,$AC459)),INDEX(CASHBACK_RULES!$K$5:$K$304,$AC459),"∞"),"")</f>
        <v/>
      </c>
      <c r="AB459" s="44" t="str">
        <f>IF(OR($B459="",$D459=""),"",IF($U459="Cancelled","Đã hủy",IF($AC459=0,"Không được hoàn",IF($Q459=0,IF(OR($O459&gt;0,$M459&lt;$L459),"Đã đạt cap","Không được hoàn"),IF(OR($Q459&lt;$O459,$M459&lt;$L459),"Hoàn một phần","Được hoàn")))))</f>
        <v/>
      </c>
      <c r="AC459" s="43">
        <f>IF(OR($B459="",$D459="",$I459="",$L459=""),0,IF($U459="Cancelled",0,IF($W459&lt;&gt;"",IFERROR(IF(INDEX(CASHBACK_RULES!$B$5:$B$304,MATCH($W459,CASHBACK_RULES!$A$5:$A$304,0))=$D459,MATCH($W459,CASHBACK_RULES!$A$5:$A$304,0),0),0),IFERROR(MATCH(1,INDEX((CASHBACK_RULES!$B$5:$B$304=$D459)*(CASHBACK_RULES!$G$5:$G$304=$I459)*(((CASHBACK_RULES!$N$5:$N$304="")+(CASHBACK_RULES!$N$5:$N$304&lt;=$B459))&gt;0)*(((CASHBACK_RULES!$O$5:$O$304="")+(CASHBACK_RULES!$O$5:$O$304&gt;=$B459))&gt;0)*(((CASHBACK_RULES!$M$5:$M$304="")+(CASHBACK_RULES!$M$5:$M$304&lt;=$L459))&gt;0),0),0),0))))</f>
        <v>0</v>
      </c>
      <c r="AD459" s="51" t="str">
        <f>IF(OR($B459="",$D459=""),"",IFERROR(IF(INDEX(CARDS!$H$5:$H$34,MATCH($D459,CARDS!$A$5:$A$34,0))="","",IF(DAY($B459)&lt;=INDEX(CARDS!$H$5:$H$34,MATCH($D459,CARDS!$A$5:$A$34,0)),DATE(YEAR($B459),MONTH($B459),MIN(INDEX(CARDS!$H$5:$H$34,MATCH($D459,CARDS!$A$5:$A$34,0)),DAY(EOMONTH($B459,0)))),DATE(YEAR($B459),MONTH($B459)+1,MIN(INDEX(CARDS!$H$5:$H$34,MATCH($D459,CARDS!$A$5:$A$34,0)),DAY(EOMONTH($B459,1)))))),""))</f>
        <v/>
      </c>
      <c r="AE459" s="52" t="str">
        <f>IF($C459="","",$C459&amp;"|"&amp;COUNTIF($C$5:$C459,$C459))</f>
        <v/>
      </c>
      <c r="AF459" s="53">
        <f>IF($AC459&gt;0,SUMIFS(Q$4:Q458,$D$4:$D458,$D459,$Z$4:$Z458,$Z459,$C$4:$C458,$C459),0)</f>
        <v>0</v>
      </c>
      <c r="AG459" s="53">
        <f>IF($AC459&gt;0,SUMIFS(Q$4:Q458,$D$4:$D458,$D459,$C$4:$C458,$C459),0)</f>
        <v>0</v>
      </c>
      <c r="AH459" s="53">
        <f>IF($AC459&gt;0,SUMIFS(M$4:M458,$D$4:$D458,$D459,$Z$4:$Z458,$Z459,$C$4:$C458,$C459),0)</f>
        <v>0</v>
      </c>
      <c r="AI459" s="43">
        <f>IF(OR($C459="",$I459=""),0,IF(COUNTIFS($C$5:$C459,$C459,$I$5:$I459,$I459)=1,1,0))</f>
        <v>0</v>
      </c>
      <c r="AJ459" s="43" t="str">
        <f>IF($AI459=1,SUMIFS($AI$4:$AI458,$C$4:$C458,$C459)+1,"")</f>
        <v/>
      </c>
      <c r="AK459" s="43">
        <f>IF(OR($C459="",$K459=""),0,IF(COUNTIFS($C$5:$C459,$C459,$K$5:$K459,$K459)=1,1,0))</f>
        <v>0</v>
      </c>
      <c r="AL459" s="43" t="str">
        <f>IF($AK459=1,SUMIFS($AK$4:$AK458,$C$4:$C458,$C459)+1,"")</f>
        <v/>
      </c>
      <c r="AM459" s="43">
        <f>IF(OR($C459="",$G459=""),0,IF(COUNTIFS($C$5:$C459,$C459,$G$5:$G459,$G459)=1,1,0))</f>
        <v>0</v>
      </c>
      <c r="AN459" s="43" t="str">
        <f>IF($AM459=1,SUMIFS($AM$4:$AM458,$C$4:$C458,$C459)+1,"")</f>
        <v/>
      </c>
    </row>
    <row r="460">
      <c r="A460" s="44" t="str">
        <f>IF(OR($B460="",$D460=""),"","TX"&amp;TEXT(ROW()-4,"0000"))</f>
        <v/>
      </c>
      <c r="B460" s="42" t="n"/>
      <c r="C460" s="47" t="str">
        <f>IF($B460="","",YEAR($B460)*100+MONTH($B460))</f>
        <v/>
      </c>
      <c r="D460" s="37" t="n"/>
      <c r="E460" s="45" t="str">
        <f>IF($D460="","",IFERROR(INDEX(CARDS!$B$5:$B$34,MATCH($D460,CARDS!$A$5:$A$34,0)),"⚠ Card ID?"))</f>
        <v/>
      </c>
      <c r="F460" s="45" t="str">
        <f>IF($D460="","",IFERROR(INDEX(CARDS!$C$5:$C$34,MATCH($D460,CARDS!$A$5:$A$34,0)),"⚠ Card ID?"))</f>
        <v/>
      </c>
      <c r="G460" s="37" t="n"/>
      <c r="H460" s="37" t="n"/>
      <c r="I460" s="41" t="n"/>
      <c r="J460" s="45" t="str">
        <f>IF($I460="","",IFERROR(INDEX(MCC_MASTER!$B$5:$B$504,MATCH($I460,MCC_MASTER!$A$5:$A$504,0)),"⚠ MCC chưa có"))</f>
        <v/>
      </c>
      <c r="K460" s="45" t="str">
        <f>IF($I460="","",IFERROR(IF(INDEX(MCC_MASTER!$C$5:$C$504,MATCH($I460,MCC_MASTER!$A$5:$A$504,0))="","Chưa phân loại",INDEX(MCC_MASTER!$C$5:$C$504,MATCH($I460,MCC_MASTER!$A$5:$A$504,0))),"Chưa phân loại"))</f>
        <v/>
      </c>
      <c r="L460" s="40" t="n"/>
      <c r="M460" s="48" t="str">
        <f>IF(OR($B460="",$D460=""),"",IF($AC460=0,0,IF(ISNUMBER(INDEX(CASHBACK_RULES!$L$5:$L$304,$AC460)),MAX(0,MIN($L460,INDEX(CASHBACK_RULES!$L$5:$L$304,$AC460)-$AH460)),MAX(0,$L460))))</f>
        <v/>
      </c>
      <c r="N460" s="49" t="str">
        <f>IF(OR($B460="",$D460=""),"",IF($AC460&gt;0,INDEX(CASHBACK_RULES!$I$5:$I$304,$AC460),0))</f>
        <v/>
      </c>
      <c r="O460" s="48" t="str">
        <f>IF(OR($B460="",$D460=""),"",ROUND($M460*$N460,0))</f>
        <v/>
      </c>
      <c r="P460" s="48" t="str">
        <f>IF($AC460&gt;0,IF(ISNUMBER(INDEX(CASHBACK_RULES!$J$5:$J$304,$AC460)),INDEX(CASHBACK_RULES!$J$5:$J$304,$AC460),"∞"),"")</f>
        <v/>
      </c>
      <c r="Q460" s="48" t="str">
        <f>IF(OR($B460="",$D460=""),"",IF($AC460=0,0,MAX(0,MIN($O460,IF(ISNUMBER($P460),$P460-$AF460,1E+15),IF(ISNUMBER($AA460),$AA460-$AG460,1E+15)))))</f>
        <v/>
      </c>
      <c r="R460" s="48" t="str">
        <f>IF(OR($B460="",$D460=""),"",IF($AC460=0,"",IF(AND(NOT(ISNUMBER($P460)),NOT(ISNUMBER($AA460))),"∞",MAX(0,MIN(IF(ISNUMBER($P460),$P460-$AF460-$Q460,1E+15),IF(ISNUMBER($AA460),$AA460-$AG460-$Q460,1E+15))))))</f>
        <v/>
      </c>
      <c r="S460" s="47" t="str">
        <f>IF($AD460="","",YEAR($AD460)*100+MONTH($AD460))</f>
        <v/>
      </c>
      <c r="T460" s="50" t="str">
        <f>IF($AD460="","",IFERROR(IF(INDEX(CARDS!$I$5:$I$34,MATCH($D460,CARDS!$A$5:$A$34,0))="","",IF(INDEX(CARDS!$I$5:$I$34,MATCH($D460,CARDS!$A$5:$A$34,0))&gt;INDEX(CARDS!$H$5:$H$34,MATCH($D460,CARDS!$A$5:$A$34,0)),DATE(YEAR($AD460),MONTH($AD460),MIN(INDEX(CARDS!$I$5:$I$34,MATCH($D460,CARDS!$A$5:$A$34,0)),DAY(EOMONTH($AD460,0)))),DATE(YEAR($AD460),MONTH($AD460)+1,MIN(INDEX(CARDS!$I$5:$I$34,MATCH($D460,CARDS!$A$5:$A$34,0)),DAY(EOMONTH($AD460,1)))))),""))</f>
        <v/>
      </c>
      <c r="U460" s="38" t="n"/>
      <c r="V460" s="37" t="n"/>
      <c r="W460" s="38" t="n"/>
      <c r="X460" s="38" t="n"/>
      <c r="Y460" s="44" t="str">
        <f>IF($AC460&gt;0,INDEX(CASHBACK_RULES!$A$5:$A$304,$AC460),"")</f>
        <v/>
      </c>
      <c r="Z460" s="45" t="str">
        <f>IF($AC460&gt;0,INDEX(CASHBACK_RULES!$E$5:$E$304,$AC460)&amp;"","")</f>
        <v/>
      </c>
      <c r="AA460" s="48" t="str">
        <f>IF($AC460&gt;0,IF(ISNUMBER(INDEX(CASHBACK_RULES!$K$5:$K$304,$AC460)),INDEX(CASHBACK_RULES!$K$5:$K$304,$AC460),"∞"),"")</f>
        <v/>
      </c>
      <c r="AB460" s="44" t="str">
        <f>IF(OR($B460="",$D460=""),"",IF($U460="Cancelled","Đã hủy",IF($AC460=0,"Không được hoàn",IF($Q460=0,IF(OR($O460&gt;0,$M460&lt;$L460),"Đã đạt cap","Không được hoàn"),IF(OR($Q460&lt;$O460,$M460&lt;$L460),"Hoàn một phần","Được hoàn")))))</f>
        <v/>
      </c>
      <c r="AC460" s="43">
        <f>IF(OR($B460="",$D460="",$I460="",$L460=""),0,IF($U460="Cancelled",0,IF($W460&lt;&gt;"",IFERROR(IF(INDEX(CASHBACK_RULES!$B$5:$B$304,MATCH($W460,CASHBACK_RULES!$A$5:$A$304,0))=$D460,MATCH($W460,CASHBACK_RULES!$A$5:$A$304,0),0),0),IFERROR(MATCH(1,INDEX((CASHBACK_RULES!$B$5:$B$304=$D460)*(CASHBACK_RULES!$G$5:$G$304=$I460)*(((CASHBACK_RULES!$N$5:$N$304="")+(CASHBACK_RULES!$N$5:$N$304&lt;=$B460))&gt;0)*(((CASHBACK_RULES!$O$5:$O$304="")+(CASHBACK_RULES!$O$5:$O$304&gt;=$B460))&gt;0)*(((CASHBACK_RULES!$M$5:$M$304="")+(CASHBACK_RULES!$M$5:$M$304&lt;=$L460))&gt;0),0),0),0))))</f>
        <v>0</v>
      </c>
      <c r="AD460" s="51" t="str">
        <f>IF(OR($B460="",$D460=""),"",IFERROR(IF(INDEX(CARDS!$H$5:$H$34,MATCH($D460,CARDS!$A$5:$A$34,0))="","",IF(DAY($B460)&lt;=INDEX(CARDS!$H$5:$H$34,MATCH($D460,CARDS!$A$5:$A$34,0)),DATE(YEAR($B460),MONTH($B460),MIN(INDEX(CARDS!$H$5:$H$34,MATCH($D460,CARDS!$A$5:$A$34,0)),DAY(EOMONTH($B460,0)))),DATE(YEAR($B460),MONTH($B460)+1,MIN(INDEX(CARDS!$H$5:$H$34,MATCH($D460,CARDS!$A$5:$A$34,0)),DAY(EOMONTH($B460,1)))))),""))</f>
        <v/>
      </c>
      <c r="AE460" s="52" t="str">
        <f>IF($C460="","",$C460&amp;"|"&amp;COUNTIF($C$5:$C460,$C460))</f>
        <v/>
      </c>
      <c r="AF460" s="53">
        <f>IF($AC460&gt;0,SUMIFS(Q$4:Q459,$D$4:$D459,$D460,$Z$4:$Z459,$Z460,$C$4:$C459,$C460),0)</f>
        <v>0</v>
      </c>
      <c r="AG460" s="53">
        <f>IF($AC460&gt;0,SUMIFS(Q$4:Q459,$D$4:$D459,$D460,$C$4:$C459,$C460),0)</f>
        <v>0</v>
      </c>
      <c r="AH460" s="53">
        <f>IF($AC460&gt;0,SUMIFS(M$4:M459,$D$4:$D459,$D460,$Z$4:$Z459,$Z460,$C$4:$C459,$C460),0)</f>
        <v>0</v>
      </c>
      <c r="AI460" s="43">
        <f>IF(OR($C460="",$I460=""),0,IF(COUNTIFS($C$5:$C460,$C460,$I$5:$I460,$I460)=1,1,0))</f>
        <v>0</v>
      </c>
      <c r="AJ460" s="43" t="str">
        <f>IF($AI460=1,SUMIFS($AI$4:$AI459,$C$4:$C459,$C460)+1,"")</f>
        <v/>
      </c>
      <c r="AK460" s="43">
        <f>IF(OR($C460="",$K460=""),0,IF(COUNTIFS($C$5:$C460,$C460,$K$5:$K460,$K460)=1,1,0))</f>
        <v>0</v>
      </c>
      <c r="AL460" s="43" t="str">
        <f>IF($AK460=1,SUMIFS($AK$4:$AK459,$C$4:$C459,$C460)+1,"")</f>
        <v/>
      </c>
      <c r="AM460" s="43">
        <f>IF(OR($C460="",$G460=""),0,IF(COUNTIFS($C$5:$C460,$C460,$G$5:$G460,$G460)=1,1,0))</f>
        <v>0</v>
      </c>
      <c r="AN460" s="43" t="str">
        <f>IF($AM460=1,SUMIFS($AM$4:$AM459,$C$4:$C459,$C460)+1,"")</f>
        <v/>
      </c>
    </row>
    <row r="461">
      <c r="A461" s="44" t="str">
        <f>IF(OR($B461="",$D461=""),"","TX"&amp;TEXT(ROW()-4,"0000"))</f>
        <v/>
      </c>
      <c r="B461" s="42" t="n"/>
      <c r="C461" s="47" t="str">
        <f>IF($B461="","",YEAR($B461)*100+MONTH($B461))</f>
        <v/>
      </c>
      <c r="D461" s="37" t="n"/>
      <c r="E461" s="45" t="str">
        <f>IF($D461="","",IFERROR(INDEX(CARDS!$B$5:$B$34,MATCH($D461,CARDS!$A$5:$A$34,0)),"⚠ Card ID?"))</f>
        <v/>
      </c>
      <c r="F461" s="45" t="str">
        <f>IF($D461="","",IFERROR(INDEX(CARDS!$C$5:$C$34,MATCH($D461,CARDS!$A$5:$A$34,0)),"⚠ Card ID?"))</f>
        <v/>
      </c>
      <c r="G461" s="37" t="n"/>
      <c r="H461" s="37" t="n"/>
      <c r="I461" s="41" t="n"/>
      <c r="J461" s="45" t="str">
        <f>IF($I461="","",IFERROR(INDEX(MCC_MASTER!$B$5:$B$504,MATCH($I461,MCC_MASTER!$A$5:$A$504,0)),"⚠ MCC chưa có"))</f>
        <v/>
      </c>
      <c r="K461" s="45" t="str">
        <f>IF($I461="","",IFERROR(IF(INDEX(MCC_MASTER!$C$5:$C$504,MATCH($I461,MCC_MASTER!$A$5:$A$504,0))="","Chưa phân loại",INDEX(MCC_MASTER!$C$5:$C$504,MATCH($I461,MCC_MASTER!$A$5:$A$504,0))),"Chưa phân loại"))</f>
        <v/>
      </c>
      <c r="L461" s="40" t="n"/>
      <c r="M461" s="48" t="str">
        <f>IF(OR($B461="",$D461=""),"",IF($AC461=0,0,IF(ISNUMBER(INDEX(CASHBACK_RULES!$L$5:$L$304,$AC461)),MAX(0,MIN($L461,INDEX(CASHBACK_RULES!$L$5:$L$304,$AC461)-$AH461)),MAX(0,$L461))))</f>
        <v/>
      </c>
      <c r="N461" s="49" t="str">
        <f>IF(OR($B461="",$D461=""),"",IF($AC461&gt;0,INDEX(CASHBACK_RULES!$I$5:$I$304,$AC461),0))</f>
        <v/>
      </c>
      <c r="O461" s="48" t="str">
        <f>IF(OR($B461="",$D461=""),"",ROUND($M461*$N461,0))</f>
        <v/>
      </c>
      <c r="P461" s="48" t="str">
        <f>IF($AC461&gt;0,IF(ISNUMBER(INDEX(CASHBACK_RULES!$J$5:$J$304,$AC461)),INDEX(CASHBACK_RULES!$J$5:$J$304,$AC461),"∞"),"")</f>
        <v/>
      </c>
      <c r="Q461" s="48" t="str">
        <f>IF(OR($B461="",$D461=""),"",IF($AC461=0,0,MAX(0,MIN($O461,IF(ISNUMBER($P461),$P461-$AF461,1E+15),IF(ISNUMBER($AA461),$AA461-$AG461,1E+15)))))</f>
        <v/>
      </c>
      <c r="R461" s="48" t="str">
        <f>IF(OR($B461="",$D461=""),"",IF($AC461=0,"",IF(AND(NOT(ISNUMBER($P461)),NOT(ISNUMBER($AA461))),"∞",MAX(0,MIN(IF(ISNUMBER($P461),$P461-$AF461-$Q461,1E+15),IF(ISNUMBER($AA461),$AA461-$AG461-$Q461,1E+15))))))</f>
        <v/>
      </c>
      <c r="S461" s="47" t="str">
        <f>IF($AD461="","",YEAR($AD461)*100+MONTH($AD461))</f>
        <v/>
      </c>
      <c r="T461" s="50" t="str">
        <f>IF($AD461="","",IFERROR(IF(INDEX(CARDS!$I$5:$I$34,MATCH($D461,CARDS!$A$5:$A$34,0))="","",IF(INDEX(CARDS!$I$5:$I$34,MATCH($D461,CARDS!$A$5:$A$34,0))&gt;INDEX(CARDS!$H$5:$H$34,MATCH($D461,CARDS!$A$5:$A$34,0)),DATE(YEAR($AD461),MONTH($AD461),MIN(INDEX(CARDS!$I$5:$I$34,MATCH($D461,CARDS!$A$5:$A$34,0)),DAY(EOMONTH($AD461,0)))),DATE(YEAR($AD461),MONTH($AD461)+1,MIN(INDEX(CARDS!$I$5:$I$34,MATCH($D461,CARDS!$A$5:$A$34,0)),DAY(EOMONTH($AD461,1)))))),""))</f>
        <v/>
      </c>
      <c r="U461" s="38" t="n"/>
      <c r="V461" s="37" t="n"/>
      <c r="W461" s="38" t="n"/>
      <c r="X461" s="38" t="n"/>
      <c r="Y461" s="44" t="str">
        <f>IF($AC461&gt;0,INDEX(CASHBACK_RULES!$A$5:$A$304,$AC461),"")</f>
        <v/>
      </c>
      <c r="Z461" s="45" t="str">
        <f>IF($AC461&gt;0,INDEX(CASHBACK_RULES!$E$5:$E$304,$AC461)&amp;"","")</f>
        <v/>
      </c>
      <c r="AA461" s="48" t="str">
        <f>IF($AC461&gt;0,IF(ISNUMBER(INDEX(CASHBACK_RULES!$K$5:$K$304,$AC461)),INDEX(CASHBACK_RULES!$K$5:$K$304,$AC461),"∞"),"")</f>
        <v/>
      </c>
      <c r="AB461" s="44" t="str">
        <f>IF(OR($B461="",$D461=""),"",IF($U461="Cancelled","Đã hủy",IF($AC461=0,"Không được hoàn",IF($Q461=0,IF(OR($O461&gt;0,$M461&lt;$L461),"Đã đạt cap","Không được hoàn"),IF(OR($Q461&lt;$O461,$M461&lt;$L461),"Hoàn một phần","Được hoàn")))))</f>
        <v/>
      </c>
      <c r="AC461" s="43">
        <f>IF(OR($B461="",$D461="",$I461="",$L461=""),0,IF($U461="Cancelled",0,IF($W461&lt;&gt;"",IFERROR(IF(INDEX(CASHBACK_RULES!$B$5:$B$304,MATCH($W461,CASHBACK_RULES!$A$5:$A$304,0))=$D461,MATCH($W461,CASHBACK_RULES!$A$5:$A$304,0),0),0),IFERROR(MATCH(1,INDEX((CASHBACK_RULES!$B$5:$B$304=$D461)*(CASHBACK_RULES!$G$5:$G$304=$I461)*(((CASHBACK_RULES!$N$5:$N$304="")+(CASHBACK_RULES!$N$5:$N$304&lt;=$B461))&gt;0)*(((CASHBACK_RULES!$O$5:$O$304="")+(CASHBACK_RULES!$O$5:$O$304&gt;=$B461))&gt;0)*(((CASHBACK_RULES!$M$5:$M$304="")+(CASHBACK_RULES!$M$5:$M$304&lt;=$L461))&gt;0),0),0),0))))</f>
        <v>0</v>
      </c>
      <c r="AD461" s="51" t="str">
        <f>IF(OR($B461="",$D461=""),"",IFERROR(IF(INDEX(CARDS!$H$5:$H$34,MATCH($D461,CARDS!$A$5:$A$34,0))="","",IF(DAY($B461)&lt;=INDEX(CARDS!$H$5:$H$34,MATCH($D461,CARDS!$A$5:$A$34,0)),DATE(YEAR($B461),MONTH($B461),MIN(INDEX(CARDS!$H$5:$H$34,MATCH($D461,CARDS!$A$5:$A$34,0)),DAY(EOMONTH($B461,0)))),DATE(YEAR($B461),MONTH($B461)+1,MIN(INDEX(CARDS!$H$5:$H$34,MATCH($D461,CARDS!$A$5:$A$34,0)),DAY(EOMONTH($B461,1)))))),""))</f>
        <v/>
      </c>
      <c r="AE461" s="52" t="str">
        <f>IF($C461="","",$C461&amp;"|"&amp;COUNTIF($C$5:$C461,$C461))</f>
        <v/>
      </c>
      <c r="AF461" s="53">
        <f>IF($AC461&gt;0,SUMIFS(Q$4:Q460,$D$4:$D460,$D461,$Z$4:$Z460,$Z461,$C$4:$C460,$C461),0)</f>
        <v>0</v>
      </c>
      <c r="AG461" s="53">
        <f>IF($AC461&gt;0,SUMIFS(Q$4:Q460,$D$4:$D460,$D461,$C$4:$C460,$C461),0)</f>
        <v>0</v>
      </c>
      <c r="AH461" s="53">
        <f>IF($AC461&gt;0,SUMIFS(M$4:M460,$D$4:$D460,$D461,$Z$4:$Z460,$Z461,$C$4:$C460,$C461),0)</f>
        <v>0</v>
      </c>
      <c r="AI461" s="43">
        <f>IF(OR($C461="",$I461=""),0,IF(COUNTIFS($C$5:$C461,$C461,$I$5:$I461,$I461)=1,1,0))</f>
        <v>0</v>
      </c>
      <c r="AJ461" s="43" t="str">
        <f>IF($AI461=1,SUMIFS($AI$4:$AI460,$C$4:$C460,$C461)+1,"")</f>
        <v/>
      </c>
      <c r="AK461" s="43">
        <f>IF(OR($C461="",$K461=""),0,IF(COUNTIFS($C$5:$C461,$C461,$K$5:$K461,$K461)=1,1,0))</f>
        <v>0</v>
      </c>
      <c r="AL461" s="43" t="str">
        <f>IF($AK461=1,SUMIFS($AK$4:$AK460,$C$4:$C460,$C461)+1,"")</f>
        <v/>
      </c>
      <c r="AM461" s="43">
        <f>IF(OR($C461="",$G461=""),0,IF(COUNTIFS($C$5:$C461,$C461,$G$5:$G461,$G461)=1,1,0))</f>
        <v>0</v>
      </c>
      <c r="AN461" s="43" t="str">
        <f>IF($AM461=1,SUMIFS($AM$4:$AM460,$C$4:$C460,$C461)+1,"")</f>
        <v/>
      </c>
    </row>
    <row r="462">
      <c r="A462" s="44" t="str">
        <f>IF(OR($B462="",$D462=""),"","TX"&amp;TEXT(ROW()-4,"0000"))</f>
        <v/>
      </c>
      <c r="B462" s="42" t="n"/>
      <c r="C462" s="47" t="str">
        <f>IF($B462="","",YEAR($B462)*100+MONTH($B462))</f>
        <v/>
      </c>
      <c r="D462" s="37" t="n"/>
      <c r="E462" s="45" t="str">
        <f>IF($D462="","",IFERROR(INDEX(CARDS!$B$5:$B$34,MATCH($D462,CARDS!$A$5:$A$34,0)),"⚠ Card ID?"))</f>
        <v/>
      </c>
      <c r="F462" s="45" t="str">
        <f>IF($D462="","",IFERROR(INDEX(CARDS!$C$5:$C$34,MATCH($D462,CARDS!$A$5:$A$34,0)),"⚠ Card ID?"))</f>
        <v/>
      </c>
      <c r="G462" s="37" t="n"/>
      <c r="H462" s="37" t="n"/>
      <c r="I462" s="41" t="n"/>
      <c r="J462" s="45" t="str">
        <f>IF($I462="","",IFERROR(INDEX(MCC_MASTER!$B$5:$B$504,MATCH($I462,MCC_MASTER!$A$5:$A$504,0)),"⚠ MCC chưa có"))</f>
        <v/>
      </c>
      <c r="K462" s="45" t="str">
        <f>IF($I462="","",IFERROR(IF(INDEX(MCC_MASTER!$C$5:$C$504,MATCH($I462,MCC_MASTER!$A$5:$A$504,0))="","Chưa phân loại",INDEX(MCC_MASTER!$C$5:$C$504,MATCH($I462,MCC_MASTER!$A$5:$A$504,0))),"Chưa phân loại"))</f>
        <v/>
      </c>
      <c r="L462" s="40" t="n"/>
      <c r="M462" s="48" t="str">
        <f>IF(OR($B462="",$D462=""),"",IF($AC462=0,0,IF(ISNUMBER(INDEX(CASHBACK_RULES!$L$5:$L$304,$AC462)),MAX(0,MIN($L462,INDEX(CASHBACK_RULES!$L$5:$L$304,$AC462)-$AH462)),MAX(0,$L462))))</f>
        <v/>
      </c>
      <c r="N462" s="49" t="str">
        <f>IF(OR($B462="",$D462=""),"",IF($AC462&gt;0,INDEX(CASHBACK_RULES!$I$5:$I$304,$AC462),0))</f>
        <v/>
      </c>
      <c r="O462" s="48" t="str">
        <f>IF(OR($B462="",$D462=""),"",ROUND($M462*$N462,0))</f>
        <v/>
      </c>
      <c r="P462" s="48" t="str">
        <f>IF($AC462&gt;0,IF(ISNUMBER(INDEX(CASHBACK_RULES!$J$5:$J$304,$AC462)),INDEX(CASHBACK_RULES!$J$5:$J$304,$AC462),"∞"),"")</f>
        <v/>
      </c>
      <c r="Q462" s="48" t="str">
        <f>IF(OR($B462="",$D462=""),"",IF($AC462=0,0,MAX(0,MIN($O462,IF(ISNUMBER($P462),$P462-$AF462,1E+15),IF(ISNUMBER($AA462),$AA462-$AG462,1E+15)))))</f>
        <v/>
      </c>
      <c r="R462" s="48" t="str">
        <f>IF(OR($B462="",$D462=""),"",IF($AC462=0,"",IF(AND(NOT(ISNUMBER($P462)),NOT(ISNUMBER($AA462))),"∞",MAX(0,MIN(IF(ISNUMBER($P462),$P462-$AF462-$Q462,1E+15),IF(ISNUMBER($AA462),$AA462-$AG462-$Q462,1E+15))))))</f>
        <v/>
      </c>
      <c r="S462" s="47" t="str">
        <f>IF($AD462="","",YEAR($AD462)*100+MONTH($AD462))</f>
        <v/>
      </c>
      <c r="T462" s="50" t="str">
        <f>IF($AD462="","",IFERROR(IF(INDEX(CARDS!$I$5:$I$34,MATCH($D462,CARDS!$A$5:$A$34,0))="","",IF(INDEX(CARDS!$I$5:$I$34,MATCH($D462,CARDS!$A$5:$A$34,0))&gt;INDEX(CARDS!$H$5:$H$34,MATCH($D462,CARDS!$A$5:$A$34,0)),DATE(YEAR($AD462),MONTH($AD462),MIN(INDEX(CARDS!$I$5:$I$34,MATCH($D462,CARDS!$A$5:$A$34,0)),DAY(EOMONTH($AD462,0)))),DATE(YEAR($AD462),MONTH($AD462)+1,MIN(INDEX(CARDS!$I$5:$I$34,MATCH($D462,CARDS!$A$5:$A$34,0)),DAY(EOMONTH($AD462,1)))))),""))</f>
        <v/>
      </c>
      <c r="U462" s="38" t="n"/>
      <c r="V462" s="37" t="n"/>
      <c r="W462" s="38" t="n"/>
      <c r="X462" s="38" t="n"/>
      <c r="Y462" s="44" t="str">
        <f>IF($AC462&gt;0,INDEX(CASHBACK_RULES!$A$5:$A$304,$AC462),"")</f>
        <v/>
      </c>
      <c r="Z462" s="45" t="str">
        <f>IF($AC462&gt;0,INDEX(CASHBACK_RULES!$E$5:$E$304,$AC462)&amp;"","")</f>
        <v/>
      </c>
      <c r="AA462" s="48" t="str">
        <f>IF($AC462&gt;0,IF(ISNUMBER(INDEX(CASHBACK_RULES!$K$5:$K$304,$AC462)),INDEX(CASHBACK_RULES!$K$5:$K$304,$AC462),"∞"),"")</f>
        <v/>
      </c>
      <c r="AB462" s="44" t="str">
        <f>IF(OR($B462="",$D462=""),"",IF($U462="Cancelled","Đã hủy",IF($AC462=0,"Không được hoàn",IF($Q462=0,IF(OR($O462&gt;0,$M462&lt;$L462),"Đã đạt cap","Không được hoàn"),IF(OR($Q462&lt;$O462,$M462&lt;$L462),"Hoàn một phần","Được hoàn")))))</f>
        <v/>
      </c>
      <c r="AC462" s="43">
        <f>IF(OR($B462="",$D462="",$I462="",$L462=""),0,IF($U462="Cancelled",0,IF($W462&lt;&gt;"",IFERROR(IF(INDEX(CASHBACK_RULES!$B$5:$B$304,MATCH($W462,CASHBACK_RULES!$A$5:$A$304,0))=$D462,MATCH($W462,CASHBACK_RULES!$A$5:$A$304,0),0),0),IFERROR(MATCH(1,INDEX((CASHBACK_RULES!$B$5:$B$304=$D462)*(CASHBACK_RULES!$G$5:$G$304=$I462)*(((CASHBACK_RULES!$N$5:$N$304="")+(CASHBACK_RULES!$N$5:$N$304&lt;=$B462))&gt;0)*(((CASHBACK_RULES!$O$5:$O$304="")+(CASHBACK_RULES!$O$5:$O$304&gt;=$B462))&gt;0)*(((CASHBACK_RULES!$M$5:$M$304="")+(CASHBACK_RULES!$M$5:$M$304&lt;=$L462))&gt;0),0),0),0))))</f>
        <v>0</v>
      </c>
      <c r="AD462" s="51" t="str">
        <f>IF(OR($B462="",$D462=""),"",IFERROR(IF(INDEX(CARDS!$H$5:$H$34,MATCH($D462,CARDS!$A$5:$A$34,0))="","",IF(DAY($B462)&lt;=INDEX(CARDS!$H$5:$H$34,MATCH($D462,CARDS!$A$5:$A$34,0)),DATE(YEAR($B462),MONTH($B462),MIN(INDEX(CARDS!$H$5:$H$34,MATCH($D462,CARDS!$A$5:$A$34,0)),DAY(EOMONTH($B462,0)))),DATE(YEAR($B462),MONTH($B462)+1,MIN(INDEX(CARDS!$H$5:$H$34,MATCH($D462,CARDS!$A$5:$A$34,0)),DAY(EOMONTH($B462,1)))))),""))</f>
        <v/>
      </c>
      <c r="AE462" s="52" t="str">
        <f>IF($C462="","",$C462&amp;"|"&amp;COUNTIF($C$5:$C462,$C462))</f>
        <v/>
      </c>
      <c r="AF462" s="53">
        <f>IF($AC462&gt;0,SUMIFS(Q$4:Q461,$D$4:$D461,$D462,$Z$4:$Z461,$Z462,$C$4:$C461,$C462),0)</f>
        <v>0</v>
      </c>
      <c r="AG462" s="53">
        <f>IF($AC462&gt;0,SUMIFS(Q$4:Q461,$D$4:$D461,$D462,$C$4:$C461,$C462),0)</f>
        <v>0</v>
      </c>
      <c r="AH462" s="53">
        <f>IF($AC462&gt;0,SUMIFS(M$4:M461,$D$4:$D461,$D462,$Z$4:$Z461,$Z462,$C$4:$C461,$C462),0)</f>
        <v>0</v>
      </c>
      <c r="AI462" s="43">
        <f>IF(OR($C462="",$I462=""),0,IF(COUNTIFS($C$5:$C462,$C462,$I$5:$I462,$I462)=1,1,0))</f>
        <v>0</v>
      </c>
      <c r="AJ462" s="43" t="str">
        <f>IF($AI462=1,SUMIFS($AI$4:$AI461,$C$4:$C461,$C462)+1,"")</f>
        <v/>
      </c>
      <c r="AK462" s="43">
        <f>IF(OR($C462="",$K462=""),0,IF(COUNTIFS($C$5:$C462,$C462,$K$5:$K462,$K462)=1,1,0))</f>
        <v>0</v>
      </c>
      <c r="AL462" s="43" t="str">
        <f>IF($AK462=1,SUMIFS($AK$4:$AK461,$C$4:$C461,$C462)+1,"")</f>
        <v/>
      </c>
      <c r="AM462" s="43">
        <f>IF(OR($C462="",$G462=""),0,IF(COUNTIFS($C$5:$C462,$C462,$G$5:$G462,$G462)=1,1,0))</f>
        <v>0</v>
      </c>
      <c r="AN462" s="43" t="str">
        <f>IF($AM462=1,SUMIFS($AM$4:$AM461,$C$4:$C461,$C462)+1,"")</f>
        <v/>
      </c>
    </row>
    <row r="463">
      <c r="A463" s="44" t="str">
        <f>IF(OR($B463="",$D463=""),"","TX"&amp;TEXT(ROW()-4,"0000"))</f>
        <v/>
      </c>
      <c r="B463" s="42" t="n"/>
      <c r="C463" s="47" t="str">
        <f>IF($B463="","",YEAR($B463)*100+MONTH($B463))</f>
        <v/>
      </c>
      <c r="D463" s="37" t="n"/>
      <c r="E463" s="45" t="str">
        <f>IF($D463="","",IFERROR(INDEX(CARDS!$B$5:$B$34,MATCH($D463,CARDS!$A$5:$A$34,0)),"⚠ Card ID?"))</f>
        <v/>
      </c>
      <c r="F463" s="45" t="str">
        <f>IF($D463="","",IFERROR(INDEX(CARDS!$C$5:$C$34,MATCH($D463,CARDS!$A$5:$A$34,0)),"⚠ Card ID?"))</f>
        <v/>
      </c>
      <c r="G463" s="37" t="n"/>
      <c r="H463" s="37" t="n"/>
      <c r="I463" s="41" t="n"/>
      <c r="J463" s="45" t="str">
        <f>IF($I463="","",IFERROR(INDEX(MCC_MASTER!$B$5:$B$504,MATCH($I463,MCC_MASTER!$A$5:$A$504,0)),"⚠ MCC chưa có"))</f>
        <v/>
      </c>
      <c r="K463" s="45" t="str">
        <f>IF($I463="","",IFERROR(IF(INDEX(MCC_MASTER!$C$5:$C$504,MATCH($I463,MCC_MASTER!$A$5:$A$504,0))="","Chưa phân loại",INDEX(MCC_MASTER!$C$5:$C$504,MATCH($I463,MCC_MASTER!$A$5:$A$504,0))),"Chưa phân loại"))</f>
        <v/>
      </c>
      <c r="L463" s="40" t="n"/>
      <c r="M463" s="48" t="str">
        <f>IF(OR($B463="",$D463=""),"",IF($AC463=0,0,IF(ISNUMBER(INDEX(CASHBACK_RULES!$L$5:$L$304,$AC463)),MAX(0,MIN($L463,INDEX(CASHBACK_RULES!$L$5:$L$304,$AC463)-$AH463)),MAX(0,$L463))))</f>
        <v/>
      </c>
      <c r="N463" s="49" t="str">
        <f>IF(OR($B463="",$D463=""),"",IF($AC463&gt;0,INDEX(CASHBACK_RULES!$I$5:$I$304,$AC463),0))</f>
        <v/>
      </c>
      <c r="O463" s="48" t="str">
        <f>IF(OR($B463="",$D463=""),"",ROUND($M463*$N463,0))</f>
        <v/>
      </c>
      <c r="P463" s="48" t="str">
        <f>IF($AC463&gt;0,IF(ISNUMBER(INDEX(CASHBACK_RULES!$J$5:$J$304,$AC463)),INDEX(CASHBACK_RULES!$J$5:$J$304,$AC463),"∞"),"")</f>
        <v/>
      </c>
      <c r="Q463" s="48" t="str">
        <f>IF(OR($B463="",$D463=""),"",IF($AC463=0,0,MAX(0,MIN($O463,IF(ISNUMBER($P463),$P463-$AF463,1E+15),IF(ISNUMBER($AA463),$AA463-$AG463,1E+15)))))</f>
        <v/>
      </c>
      <c r="R463" s="48" t="str">
        <f>IF(OR($B463="",$D463=""),"",IF($AC463=0,"",IF(AND(NOT(ISNUMBER($P463)),NOT(ISNUMBER($AA463))),"∞",MAX(0,MIN(IF(ISNUMBER($P463),$P463-$AF463-$Q463,1E+15),IF(ISNUMBER($AA463),$AA463-$AG463-$Q463,1E+15))))))</f>
        <v/>
      </c>
      <c r="S463" s="47" t="str">
        <f>IF($AD463="","",YEAR($AD463)*100+MONTH($AD463))</f>
        <v/>
      </c>
      <c r="T463" s="50" t="str">
        <f>IF($AD463="","",IFERROR(IF(INDEX(CARDS!$I$5:$I$34,MATCH($D463,CARDS!$A$5:$A$34,0))="","",IF(INDEX(CARDS!$I$5:$I$34,MATCH($D463,CARDS!$A$5:$A$34,0))&gt;INDEX(CARDS!$H$5:$H$34,MATCH($D463,CARDS!$A$5:$A$34,0)),DATE(YEAR($AD463),MONTH($AD463),MIN(INDEX(CARDS!$I$5:$I$34,MATCH($D463,CARDS!$A$5:$A$34,0)),DAY(EOMONTH($AD463,0)))),DATE(YEAR($AD463),MONTH($AD463)+1,MIN(INDEX(CARDS!$I$5:$I$34,MATCH($D463,CARDS!$A$5:$A$34,0)),DAY(EOMONTH($AD463,1)))))),""))</f>
        <v/>
      </c>
      <c r="U463" s="38" t="n"/>
      <c r="V463" s="37" t="n"/>
      <c r="W463" s="38" t="n"/>
      <c r="X463" s="38" t="n"/>
      <c r="Y463" s="44" t="str">
        <f>IF($AC463&gt;0,INDEX(CASHBACK_RULES!$A$5:$A$304,$AC463),"")</f>
        <v/>
      </c>
      <c r="Z463" s="45" t="str">
        <f>IF($AC463&gt;0,INDEX(CASHBACK_RULES!$E$5:$E$304,$AC463)&amp;"","")</f>
        <v/>
      </c>
      <c r="AA463" s="48" t="str">
        <f>IF($AC463&gt;0,IF(ISNUMBER(INDEX(CASHBACK_RULES!$K$5:$K$304,$AC463)),INDEX(CASHBACK_RULES!$K$5:$K$304,$AC463),"∞"),"")</f>
        <v/>
      </c>
      <c r="AB463" s="44" t="str">
        <f>IF(OR($B463="",$D463=""),"",IF($U463="Cancelled","Đã hủy",IF($AC463=0,"Không được hoàn",IF($Q463=0,IF(OR($O463&gt;0,$M463&lt;$L463),"Đã đạt cap","Không được hoàn"),IF(OR($Q463&lt;$O463,$M463&lt;$L463),"Hoàn một phần","Được hoàn")))))</f>
        <v/>
      </c>
      <c r="AC463" s="43">
        <f>IF(OR($B463="",$D463="",$I463="",$L463=""),0,IF($U463="Cancelled",0,IF($W463&lt;&gt;"",IFERROR(IF(INDEX(CASHBACK_RULES!$B$5:$B$304,MATCH($W463,CASHBACK_RULES!$A$5:$A$304,0))=$D463,MATCH($W463,CASHBACK_RULES!$A$5:$A$304,0),0),0),IFERROR(MATCH(1,INDEX((CASHBACK_RULES!$B$5:$B$304=$D463)*(CASHBACK_RULES!$G$5:$G$304=$I463)*(((CASHBACK_RULES!$N$5:$N$304="")+(CASHBACK_RULES!$N$5:$N$304&lt;=$B463))&gt;0)*(((CASHBACK_RULES!$O$5:$O$304="")+(CASHBACK_RULES!$O$5:$O$304&gt;=$B463))&gt;0)*(((CASHBACK_RULES!$M$5:$M$304="")+(CASHBACK_RULES!$M$5:$M$304&lt;=$L463))&gt;0),0),0),0))))</f>
        <v>0</v>
      </c>
      <c r="AD463" s="51" t="str">
        <f>IF(OR($B463="",$D463=""),"",IFERROR(IF(INDEX(CARDS!$H$5:$H$34,MATCH($D463,CARDS!$A$5:$A$34,0))="","",IF(DAY($B463)&lt;=INDEX(CARDS!$H$5:$H$34,MATCH($D463,CARDS!$A$5:$A$34,0)),DATE(YEAR($B463),MONTH($B463),MIN(INDEX(CARDS!$H$5:$H$34,MATCH($D463,CARDS!$A$5:$A$34,0)),DAY(EOMONTH($B463,0)))),DATE(YEAR($B463),MONTH($B463)+1,MIN(INDEX(CARDS!$H$5:$H$34,MATCH($D463,CARDS!$A$5:$A$34,0)),DAY(EOMONTH($B463,1)))))),""))</f>
        <v/>
      </c>
      <c r="AE463" s="52" t="str">
        <f>IF($C463="","",$C463&amp;"|"&amp;COUNTIF($C$5:$C463,$C463))</f>
        <v/>
      </c>
      <c r="AF463" s="53">
        <f>IF($AC463&gt;0,SUMIFS(Q$4:Q462,$D$4:$D462,$D463,$Z$4:$Z462,$Z463,$C$4:$C462,$C463),0)</f>
        <v>0</v>
      </c>
      <c r="AG463" s="53">
        <f>IF($AC463&gt;0,SUMIFS(Q$4:Q462,$D$4:$D462,$D463,$C$4:$C462,$C463),0)</f>
        <v>0</v>
      </c>
      <c r="AH463" s="53">
        <f>IF($AC463&gt;0,SUMIFS(M$4:M462,$D$4:$D462,$D463,$Z$4:$Z462,$Z463,$C$4:$C462,$C463),0)</f>
        <v>0</v>
      </c>
      <c r="AI463" s="43">
        <f>IF(OR($C463="",$I463=""),0,IF(COUNTIFS($C$5:$C463,$C463,$I$5:$I463,$I463)=1,1,0))</f>
        <v>0</v>
      </c>
      <c r="AJ463" s="43" t="str">
        <f>IF($AI463=1,SUMIFS($AI$4:$AI462,$C$4:$C462,$C463)+1,"")</f>
        <v/>
      </c>
      <c r="AK463" s="43">
        <f>IF(OR($C463="",$K463=""),0,IF(COUNTIFS($C$5:$C463,$C463,$K$5:$K463,$K463)=1,1,0))</f>
        <v>0</v>
      </c>
      <c r="AL463" s="43" t="str">
        <f>IF($AK463=1,SUMIFS($AK$4:$AK462,$C$4:$C462,$C463)+1,"")</f>
        <v/>
      </c>
      <c r="AM463" s="43">
        <f>IF(OR($C463="",$G463=""),0,IF(COUNTIFS($C$5:$C463,$C463,$G$5:$G463,$G463)=1,1,0))</f>
        <v>0</v>
      </c>
      <c r="AN463" s="43" t="str">
        <f>IF($AM463=1,SUMIFS($AM$4:$AM462,$C$4:$C462,$C463)+1,"")</f>
        <v/>
      </c>
    </row>
    <row r="464">
      <c r="A464" s="44" t="str">
        <f>IF(OR($B464="",$D464=""),"","TX"&amp;TEXT(ROW()-4,"0000"))</f>
        <v/>
      </c>
      <c r="B464" s="42" t="n"/>
      <c r="C464" s="47" t="str">
        <f>IF($B464="","",YEAR($B464)*100+MONTH($B464))</f>
        <v/>
      </c>
      <c r="D464" s="37" t="n"/>
      <c r="E464" s="45" t="str">
        <f>IF($D464="","",IFERROR(INDEX(CARDS!$B$5:$B$34,MATCH($D464,CARDS!$A$5:$A$34,0)),"⚠ Card ID?"))</f>
        <v/>
      </c>
      <c r="F464" s="45" t="str">
        <f>IF($D464="","",IFERROR(INDEX(CARDS!$C$5:$C$34,MATCH($D464,CARDS!$A$5:$A$34,0)),"⚠ Card ID?"))</f>
        <v/>
      </c>
      <c r="G464" s="37" t="n"/>
      <c r="H464" s="37" t="n"/>
      <c r="I464" s="41" t="n"/>
      <c r="J464" s="45" t="str">
        <f>IF($I464="","",IFERROR(INDEX(MCC_MASTER!$B$5:$B$504,MATCH($I464,MCC_MASTER!$A$5:$A$504,0)),"⚠ MCC chưa có"))</f>
        <v/>
      </c>
      <c r="K464" s="45" t="str">
        <f>IF($I464="","",IFERROR(IF(INDEX(MCC_MASTER!$C$5:$C$504,MATCH($I464,MCC_MASTER!$A$5:$A$504,0))="","Chưa phân loại",INDEX(MCC_MASTER!$C$5:$C$504,MATCH($I464,MCC_MASTER!$A$5:$A$504,0))),"Chưa phân loại"))</f>
        <v/>
      </c>
      <c r="L464" s="40" t="n"/>
      <c r="M464" s="48" t="str">
        <f>IF(OR($B464="",$D464=""),"",IF($AC464=0,0,IF(ISNUMBER(INDEX(CASHBACK_RULES!$L$5:$L$304,$AC464)),MAX(0,MIN($L464,INDEX(CASHBACK_RULES!$L$5:$L$304,$AC464)-$AH464)),MAX(0,$L464))))</f>
        <v/>
      </c>
      <c r="N464" s="49" t="str">
        <f>IF(OR($B464="",$D464=""),"",IF($AC464&gt;0,INDEX(CASHBACK_RULES!$I$5:$I$304,$AC464),0))</f>
        <v/>
      </c>
      <c r="O464" s="48" t="str">
        <f>IF(OR($B464="",$D464=""),"",ROUND($M464*$N464,0))</f>
        <v/>
      </c>
      <c r="P464" s="48" t="str">
        <f>IF($AC464&gt;0,IF(ISNUMBER(INDEX(CASHBACK_RULES!$J$5:$J$304,$AC464)),INDEX(CASHBACK_RULES!$J$5:$J$304,$AC464),"∞"),"")</f>
        <v/>
      </c>
      <c r="Q464" s="48" t="str">
        <f>IF(OR($B464="",$D464=""),"",IF($AC464=0,0,MAX(0,MIN($O464,IF(ISNUMBER($P464),$P464-$AF464,1E+15),IF(ISNUMBER($AA464),$AA464-$AG464,1E+15)))))</f>
        <v/>
      </c>
      <c r="R464" s="48" t="str">
        <f>IF(OR($B464="",$D464=""),"",IF($AC464=0,"",IF(AND(NOT(ISNUMBER($P464)),NOT(ISNUMBER($AA464))),"∞",MAX(0,MIN(IF(ISNUMBER($P464),$P464-$AF464-$Q464,1E+15),IF(ISNUMBER($AA464),$AA464-$AG464-$Q464,1E+15))))))</f>
        <v/>
      </c>
      <c r="S464" s="47" t="str">
        <f>IF($AD464="","",YEAR($AD464)*100+MONTH($AD464))</f>
        <v/>
      </c>
      <c r="T464" s="50" t="str">
        <f>IF($AD464="","",IFERROR(IF(INDEX(CARDS!$I$5:$I$34,MATCH($D464,CARDS!$A$5:$A$34,0))="","",IF(INDEX(CARDS!$I$5:$I$34,MATCH($D464,CARDS!$A$5:$A$34,0))&gt;INDEX(CARDS!$H$5:$H$34,MATCH($D464,CARDS!$A$5:$A$34,0)),DATE(YEAR($AD464),MONTH($AD464),MIN(INDEX(CARDS!$I$5:$I$34,MATCH($D464,CARDS!$A$5:$A$34,0)),DAY(EOMONTH($AD464,0)))),DATE(YEAR($AD464),MONTH($AD464)+1,MIN(INDEX(CARDS!$I$5:$I$34,MATCH($D464,CARDS!$A$5:$A$34,0)),DAY(EOMONTH($AD464,1)))))),""))</f>
        <v/>
      </c>
      <c r="U464" s="38" t="n"/>
      <c r="V464" s="37" t="n"/>
      <c r="W464" s="38" t="n"/>
      <c r="X464" s="38" t="n"/>
      <c r="Y464" s="44" t="str">
        <f>IF($AC464&gt;0,INDEX(CASHBACK_RULES!$A$5:$A$304,$AC464),"")</f>
        <v/>
      </c>
      <c r="Z464" s="45" t="str">
        <f>IF($AC464&gt;0,INDEX(CASHBACK_RULES!$E$5:$E$304,$AC464)&amp;"","")</f>
        <v/>
      </c>
      <c r="AA464" s="48" t="str">
        <f>IF($AC464&gt;0,IF(ISNUMBER(INDEX(CASHBACK_RULES!$K$5:$K$304,$AC464)),INDEX(CASHBACK_RULES!$K$5:$K$304,$AC464),"∞"),"")</f>
        <v/>
      </c>
      <c r="AB464" s="44" t="str">
        <f>IF(OR($B464="",$D464=""),"",IF($U464="Cancelled","Đã hủy",IF($AC464=0,"Không được hoàn",IF($Q464=0,IF(OR($O464&gt;0,$M464&lt;$L464),"Đã đạt cap","Không được hoàn"),IF(OR($Q464&lt;$O464,$M464&lt;$L464),"Hoàn một phần","Được hoàn")))))</f>
        <v/>
      </c>
      <c r="AC464" s="43">
        <f>IF(OR($B464="",$D464="",$I464="",$L464=""),0,IF($U464="Cancelled",0,IF($W464&lt;&gt;"",IFERROR(IF(INDEX(CASHBACK_RULES!$B$5:$B$304,MATCH($W464,CASHBACK_RULES!$A$5:$A$304,0))=$D464,MATCH($W464,CASHBACK_RULES!$A$5:$A$304,0),0),0),IFERROR(MATCH(1,INDEX((CASHBACK_RULES!$B$5:$B$304=$D464)*(CASHBACK_RULES!$G$5:$G$304=$I464)*(((CASHBACK_RULES!$N$5:$N$304="")+(CASHBACK_RULES!$N$5:$N$304&lt;=$B464))&gt;0)*(((CASHBACK_RULES!$O$5:$O$304="")+(CASHBACK_RULES!$O$5:$O$304&gt;=$B464))&gt;0)*(((CASHBACK_RULES!$M$5:$M$304="")+(CASHBACK_RULES!$M$5:$M$304&lt;=$L464))&gt;0),0),0),0))))</f>
        <v>0</v>
      </c>
      <c r="AD464" s="51" t="str">
        <f>IF(OR($B464="",$D464=""),"",IFERROR(IF(INDEX(CARDS!$H$5:$H$34,MATCH($D464,CARDS!$A$5:$A$34,0))="","",IF(DAY($B464)&lt;=INDEX(CARDS!$H$5:$H$34,MATCH($D464,CARDS!$A$5:$A$34,0)),DATE(YEAR($B464),MONTH($B464),MIN(INDEX(CARDS!$H$5:$H$34,MATCH($D464,CARDS!$A$5:$A$34,0)),DAY(EOMONTH($B464,0)))),DATE(YEAR($B464),MONTH($B464)+1,MIN(INDEX(CARDS!$H$5:$H$34,MATCH($D464,CARDS!$A$5:$A$34,0)),DAY(EOMONTH($B464,1)))))),""))</f>
        <v/>
      </c>
      <c r="AE464" s="52" t="str">
        <f>IF($C464="","",$C464&amp;"|"&amp;COUNTIF($C$5:$C464,$C464))</f>
        <v/>
      </c>
      <c r="AF464" s="53">
        <f>IF($AC464&gt;0,SUMIFS(Q$4:Q463,$D$4:$D463,$D464,$Z$4:$Z463,$Z464,$C$4:$C463,$C464),0)</f>
        <v>0</v>
      </c>
      <c r="AG464" s="53">
        <f>IF($AC464&gt;0,SUMIFS(Q$4:Q463,$D$4:$D463,$D464,$C$4:$C463,$C464),0)</f>
        <v>0</v>
      </c>
      <c r="AH464" s="53">
        <f>IF($AC464&gt;0,SUMIFS(M$4:M463,$D$4:$D463,$D464,$Z$4:$Z463,$Z464,$C$4:$C463,$C464),0)</f>
        <v>0</v>
      </c>
      <c r="AI464" s="43">
        <f>IF(OR($C464="",$I464=""),0,IF(COUNTIFS($C$5:$C464,$C464,$I$5:$I464,$I464)=1,1,0))</f>
        <v>0</v>
      </c>
      <c r="AJ464" s="43" t="str">
        <f>IF($AI464=1,SUMIFS($AI$4:$AI463,$C$4:$C463,$C464)+1,"")</f>
        <v/>
      </c>
      <c r="AK464" s="43">
        <f>IF(OR($C464="",$K464=""),0,IF(COUNTIFS($C$5:$C464,$C464,$K$5:$K464,$K464)=1,1,0))</f>
        <v>0</v>
      </c>
      <c r="AL464" s="43" t="str">
        <f>IF($AK464=1,SUMIFS($AK$4:$AK463,$C$4:$C463,$C464)+1,"")</f>
        <v/>
      </c>
      <c r="AM464" s="43">
        <f>IF(OR($C464="",$G464=""),0,IF(COUNTIFS($C$5:$C464,$C464,$G$5:$G464,$G464)=1,1,0))</f>
        <v>0</v>
      </c>
      <c r="AN464" s="43" t="str">
        <f>IF($AM464=1,SUMIFS($AM$4:$AM463,$C$4:$C463,$C464)+1,"")</f>
        <v/>
      </c>
    </row>
    <row r="465">
      <c r="A465" s="44" t="str">
        <f>IF(OR($B465="",$D465=""),"","TX"&amp;TEXT(ROW()-4,"0000"))</f>
        <v/>
      </c>
      <c r="B465" s="42" t="n"/>
      <c r="C465" s="47" t="str">
        <f>IF($B465="","",YEAR($B465)*100+MONTH($B465))</f>
        <v/>
      </c>
      <c r="D465" s="37" t="n"/>
      <c r="E465" s="45" t="str">
        <f>IF($D465="","",IFERROR(INDEX(CARDS!$B$5:$B$34,MATCH($D465,CARDS!$A$5:$A$34,0)),"⚠ Card ID?"))</f>
        <v/>
      </c>
      <c r="F465" s="45" t="str">
        <f>IF($D465="","",IFERROR(INDEX(CARDS!$C$5:$C$34,MATCH($D465,CARDS!$A$5:$A$34,0)),"⚠ Card ID?"))</f>
        <v/>
      </c>
      <c r="G465" s="37" t="n"/>
      <c r="H465" s="37" t="n"/>
      <c r="I465" s="41" t="n"/>
      <c r="J465" s="45" t="str">
        <f>IF($I465="","",IFERROR(INDEX(MCC_MASTER!$B$5:$B$504,MATCH($I465,MCC_MASTER!$A$5:$A$504,0)),"⚠ MCC chưa có"))</f>
        <v/>
      </c>
      <c r="K465" s="45" t="str">
        <f>IF($I465="","",IFERROR(IF(INDEX(MCC_MASTER!$C$5:$C$504,MATCH($I465,MCC_MASTER!$A$5:$A$504,0))="","Chưa phân loại",INDEX(MCC_MASTER!$C$5:$C$504,MATCH($I465,MCC_MASTER!$A$5:$A$504,0))),"Chưa phân loại"))</f>
        <v/>
      </c>
      <c r="L465" s="40" t="n"/>
      <c r="M465" s="48" t="str">
        <f>IF(OR($B465="",$D465=""),"",IF($AC465=0,0,IF(ISNUMBER(INDEX(CASHBACK_RULES!$L$5:$L$304,$AC465)),MAX(0,MIN($L465,INDEX(CASHBACK_RULES!$L$5:$L$304,$AC465)-$AH465)),MAX(0,$L465))))</f>
        <v/>
      </c>
      <c r="N465" s="49" t="str">
        <f>IF(OR($B465="",$D465=""),"",IF($AC465&gt;0,INDEX(CASHBACK_RULES!$I$5:$I$304,$AC465),0))</f>
        <v/>
      </c>
      <c r="O465" s="48" t="str">
        <f>IF(OR($B465="",$D465=""),"",ROUND($M465*$N465,0))</f>
        <v/>
      </c>
      <c r="P465" s="48" t="str">
        <f>IF($AC465&gt;0,IF(ISNUMBER(INDEX(CASHBACK_RULES!$J$5:$J$304,$AC465)),INDEX(CASHBACK_RULES!$J$5:$J$304,$AC465),"∞"),"")</f>
        <v/>
      </c>
      <c r="Q465" s="48" t="str">
        <f>IF(OR($B465="",$D465=""),"",IF($AC465=0,0,MAX(0,MIN($O465,IF(ISNUMBER($P465),$P465-$AF465,1E+15),IF(ISNUMBER($AA465),$AA465-$AG465,1E+15)))))</f>
        <v/>
      </c>
      <c r="R465" s="48" t="str">
        <f>IF(OR($B465="",$D465=""),"",IF($AC465=0,"",IF(AND(NOT(ISNUMBER($P465)),NOT(ISNUMBER($AA465))),"∞",MAX(0,MIN(IF(ISNUMBER($P465),$P465-$AF465-$Q465,1E+15),IF(ISNUMBER($AA465),$AA465-$AG465-$Q465,1E+15))))))</f>
        <v/>
      </c>
      <c r="S465" s="47" t="str">
        <f>IF($AD465="","",YEAR($AD465)*100+MONTH($AD465))</f>
        <v/>
      </c>
      <c r="T465" s="50" t="str">
        <f>IF($AD465="","",IFERROR(IF(INDEX(CARDS!$I$5:$I$34,MATCH($D465,CARDS!$A$5:$A$34,0))="","",IF(INDEX(CARDS!$I$5:$I$34,MATCH($D465,CARDS!$A$5:$A$34,0))&gt;INDEX(CARDS!$H$5:$H$34,MATCH($D465,CARDS!$A$5:$A$34,0)),DATE(YEAR($AD465),MONTH($AD465),MIN(INDEX(CARDS!$I$5:$I$34,MATCH($D465,CARDS!$A$5:$A$34,0)),DAY(EOMONTH($AD465,0)))),DATE(YEAR($AD465),MONTH($AD465)+1,MIN(INDEX(CARDS!$I$5:$I$34,MATCH($D465,CARDS!$A$5:$A$34,0)),DAY(EOMONTH($AD465,1)))))),""))</f>
        <v/>
      </c>
      <c r="U465" s="38" t="n"/>
      <c r="V465" s="37" t="n"/>
      <c r="W465" s="38" t="n"/>
      <c r="X465" s="38" t="n"/>
      <c r="Y465" s="44" t="str">
        <f>IF($AC465&gt;0,INDEX(CASHBACK_RULES!$A$5:$A$304,$AC465),"")</f>
        <v/>
      </c>
      <c r="Z465" s="45" t="str">
        <f>IF($AC465&gt;0,INDEX(CASHBACK_RULES!$E$5:$E$304,$AC465)&amp;"","")</f>
        <v/>
      </c>
      <c r="AA465" s="48" t="str">
        <f>IF($AC465&gt;0,IF(ISNUMBER(INDEX(CASHBACK_RULES!$K$5:$K$304,$AC465)),INDEX(CASHBACK_RULES!$K$5:$K$304,$AC465),"∞"),"")</f>
        <v/>
      </c>
      <c r="AB465" s="44" t="str">
        <f>IF(OR($B465="",$D465=""),"",IF($U465="Cancelled","Đã hủy",IF($AC465=0,"Không được hoàn",IF($Q465=0,IF(OR($O465&gt;0,$M465&lt;$L465),"Đã đạt cap","Không được hoàn"),IF(OR($Q465&lt;$O465,$M465&lt;$L465),"Hoàn một phần","Được hoàn")))))</f>
        <v/>
      </c>
      <c r="AC465" s="43">
        <f>IF(OR($B465="",$D465="",$I465="",$L465=""),0,IF($U465="Cancelled",0,IF($W465&lt;&gt;"",IFERROR(IF(INDEX(CASHBACK_RULES!$B$5:$B$304,MATCH($W465,CASHBACK_RULES!$A$5:$A$304,0))=$D465,MATCH($W465,CASHBACK_RULES!$A$5:$A$304,0),0),0),IFERROR(MATCH(1,INDEX((CASHBACK_RULES!$B$5:$B$304=$D465)*(CASHBACK_RULES!$G$5:$G$304=$I465)*(((CASHBACK_RULES!$N$5:$N$304="")+(CASHBACK_RULES!$N$5:$N$304&lt;=$B465))&gt;0)*(((CASHBACK_RULES!$O$5:$O$304="")+(CASHBACK_RULES!$O$5:$O$304&gt;=$B465))&gt;0)*(((CASHBACK_RULES!$M$5:$M$304="")+(CASHBACK_RULES!$M$5:$M$304&lt;=$L465))&gt;0),0),0),0))))</f>
        <v>0</v>
      </c>
      <c r="AD465" s="51" t="str">
        <f>IF(OR($B465="",$D465=""),"",IFERROR(IF(INDEX(CARDS!$H$5:$H$34,MATCH($D465,CARDS!$A$5:$A$34,0))="","",IF(DAY($B465)&lt;=INDEX(CARDS!$H$5:$H$34,MATCH($D465,CARDS!$A$5:$A$34,0)),DATE(YEAR($B465),MONTH($B465),MIN(INDEX(CARDS!$H$5:$H$34,MATCH($D465,CARDS!$A$5:$A$34,0)),DAY(EOMONTH($B465,0)))),DATE(YEAR($B465),MONTH($B465)+1,MIN(INDEX(CARDS!$H$5:$H$34,MATCH($D465,CARDS!$A$5:$A$34,0)),DAY(EOMONTH($B465,1)))))),""))</f>
        <v/>
      </c>
      <c r="AE465" s="52" t="str">
        <f>IF($C465="","",$C465&amp;"|"&amp;COUNTIF($C$5:$C465,$C465))</f>
        <v/>
      </c>
      <c r="AF465" s="53">
        <f>IF($AC465&gt;0,SUMIFS(Q$4:Q464,$D$4:$D464,$D465,$Z$4:$Z464,$Z465,$C$4:$C464,$C465),0)</f>
        <v>0</v>
      </c>
      <c r="AG465" s="53">
        <f>IF($AC465&gt;0,SUMIFS(Q$4:Q464,$D$4:$D464,$D465,$C$4:$C464,$C465),0)</f>
        <v>0</v>
      </c>
      <c r="AH465" s="53">
        <f>IF($AC465&gt;0,SUMIFS(M$4:M464,$D$4:$D464,$D465,$Z$4:$Z464,$Z465,$C$4:$C464,$C465),0)</f>
        <v>0</v>
      </c>
      <c r="AI465" s="43">
        <f>IF(OR($C465="",$I465=""),0,IF(COUNTIFS($C$5:$C465,$C465,$I$5:$I465,$I465)=1,1,0))</f>
        <v>0</v>
      </c>
      <c r="AJ465" s="43" t="str">
        <f>IF($AI465=1,SUMIFS($AI$4:$AI464,$C$4:$C464,$C465)+1,"")</f>
        <v/>
      </c>
      <c r="AK465" s="43">
        <f>IF(OR($C465="",$K465=""),0,IF(COUNTIFS($C$5:$C465,$C465,$K$5:$K465,$K465)=1,1,0))</f>
        <v>0</v>
      </c>
      <c r="AL465" s="43" t="str">
        <f>IF($AK465=1,SUMIFS($AK$4:$AK464,$C$4:$C464,$C465)+1,"")</f>
        <v/>
      </c>
      <c r="AM465" s="43">
        <f>IF(OR($C465="",$G465=""),0,IF(COUNTIFS($C$5:$C465,$C465,$G$5:$G465,$G465)=1,1,0))</f>
        <v>0</v>
      </c>
      <c r="AN465" s="43" t="str">
        <f>IF($AM465=1,SUMIFS($AM$4:$AM464,$C$4:$C464,$C465)+1,"")</f>
        <v/>
      </c>
    </row>
    <row r="466">
      <c r="A466" s="44" t="str">
        <f>IF(OR($B466="",$D466=""),"","TX"&amp;TEXT(ROW()-4,"0000"))</f>
        <v/>
      </c>
      <c r="B466" s="42" t="n"/>
      <c r="C466" s="47" t="str">
        <f>IF($B466="","",YEAR($B466)*100+MONTH($B466))</f>
        <v/>
      </c>
      <c r="D466" s="37" t="n"/>
      <c r="E466" s="45" t="str">
        <f>IF($D466="","",IFERROR(INDEX(CARDS!$B$5:$B$34,MATCH($D466,CARDS!$A$5:$A$34,0)),"⚠ Card ID?"))</f>
        <v/>
      </c>
      <c r="F466" s="45" t="str">
        <f>IF($D466="","",IFERROR(INDEX(CARDS!$C$5:$C$34,MATCH($D466,CARDS!$A$5:$A$34,0)),"⚠ Card ID?"))</f>
        <v/>
      </c>
      <c r="G466" s="37" t="n"/>
      <c r="H466" s="37" t="n"/>
      <c r="I466" s="41" t="n"/>
      <c r="J466" s="45" t="str">
        <f>IF($I466="","",IFERROR(INDEX(MCC_MASTER!$B$5:$B$504,MATCH($I466,MCC_MASTER!$A$5:$A$504,0)),"⚠ MCC chưa có"))</f>
        <v/>
      </c>
      <c r="K466" s="45" t="str">
        <f>IF($I466="","",IFERROR(IF(INDEX(MCC_MASTER!$C$5:$C$504,MATCH($I466,MCC_MASTER!$A$5:$A$504,0))="","Chưa phân loại",INDEX(MCC_MASTER!$C$5:$C$504,MATCH($I466,MCC_MASTER!$A$5:$A$504,0))),"Chưa phân loại"))</f>
        <v/>
      </c>
      <c r="L466" s="40" t="n"/>
      <c r="M466" s="48" t="str">
        <f>IF(OR($B466="",$D466=""),"",IF($AC466=0,0,IF(ISNUMBER(INDEX(CASHBACK_RULES!$L$5:$L$304,$AC466)),MAX(0,MIN($L466,INDEX(CASHBACK_RULES!$L$5:$L$304,$AC466)-$AH466)),MAX(0,$L466))))</f>
        <v/>
      </c>
      <c r="N466" s="49" t="str">
        <f>IF(OR($B466="",$D466=""),"",IF($AC466&gt;0,INDEX(CASHBACK_RULES!$I$5:$I$304,$AC466),0))</f>
        <v/>
      </c>
      <c r="O466" s="48" t="str">
        <f>IF(OR($B466="",$D466=""),"",ROUND($M466*$N466,0))</f>
        <v/>
      </c>
      <c r="P466" s="48" t="str">
        <f>IF($AC466&gt;0,IF(ISNUMBER(INDEX(CASHBACK_RULES!$J$5:$J$304,$AC466)),INDEX(CASHBACK_RULES!$J$5:$J$304,$AC466),"∞"),"")</f>
        <v/>
      </c>
      <c r="Q466" s="48" t="str">
        <f>IF(OR($B466="",$D466=""),"",IF($AC466=0,0,MAX(0,MIN($O466,IF(ISNUMBER($P466),$P466-$AF466,1E+15),IF(ISNUMBER($AA466),$AA466-$AG466,1E+15)))))</f>
        <v/>
      </c>
      <c r="R466" s="48" t="str">
        <f>IF(OR($B466="",$D466=""),"",IF($AC466=0,"",IF(AND(NOT(ISNUMBER($P466)),NOT(ISNUMBER($AA466))),"∞",MAX(0,MIN(IF(ISNUMBER($P466),$P466-$AF466-$Q466,1E+15),IF(ISNUMBER($AA466),$AA466-$AG466-$Q466,1E+15))))))</f>
        <v/>
      </c>
      <c r="S466" s="47" t="str">
        <f>IF($AD466="","",YEAR($AD466)*100+MONTH($AD466))</f>
        <v/>
      </c>
      <c r="T466" s="50" t="str">
        <f>IF($AD466="","",IFERROR(IF(INDEX(CARDS!$I$5:$I$34,MATCH($D466,CARDS!$A$5:$A$34,0))="","",IF(INDEX(CARDS!$I$5:$I$34,MATCH($D466,CARDS!$A$5:$A$34,0))&gt;INDEX(CARDS!$H$5:$H$34,MATCH($D466,CARDS!$A$5:$A$34,0)),DATE(YEAR($AD466),MONTH($AD466),MIN(INDEX(CARDS!$I$5:$I$34,MATCH($D466,CARDS!$A$5:$A$34,0)),DAY(EOMONTH($AD466,0)))),DATE(YEAR($AD466),MONTH($AD466)+1,MIN(INDEX(CARDS!$I$5:$I$34,MATCH($D466,CARDS!$A$5:$A$34,0)),DAY(EOMONTH($AD466,1)))))),""))</f>
        <v/>
      </c>
      <c r="U466" s="38" t="n"/>
      <c r="V466" s="37" t="n"/>
      <c r="W466" s="38" t="n"/>
      <c r="X466" s="38" t="n"/>
      <c r="Y466" s="44" t="str">
        <f>IF($AC466&gt;0,INDEX(CASHBACK_RULES!$A$5:$A$304,$AC466),"")</f>
        <v/>
      </c>
      <c r="Z466" s="45" t="str">
        <f>IF($AC466&gt;0,INDEX(CASHBACK_RULES!$E$5:$E$304,$AC466)&amp;"","")</f>
        <v/>
      </c>
      <c r="AA466" s="48" t="str">
        <f>IF($AC466&gt;0,IF(ISNUMBER(INDEX(CASHBACK_RULES!$K$5:$K$304,$AC466)),INDEX(CASHBACK_RULES!$K$5:$K$304,$AC466),"∞"),"")</f>
        <v/>
      </c>
      <c r="AB466" s="44" t="str">
        <f>IF(OR($B466="",$D466=""),"",IF($U466="Cancelled","Đã hủy",IF($AC466=0,"Không được hoàn",IF($Q466=0,IF(OR($O466&gt;0,$M466&lt;$L466),"Đã đạt cap","Không được hoàn"),IF(OR($Q466&lt;$O466,$M466&lt;$L466),"Hoàn một phần","Được hoàn")))))</f>
        <v/>
      </c>
      <c r="AC466" s="43">
        <f>IF(OR($B466="",$D466="",$I466="",$L466=""),0,IF($U466="Cancelled",0,IF($W466&lt;&gt;"",IFERROR(IF(INDEX(CASHBACK_RULES!$B$5:$B$304,MATCH($W466,CASHBACK_RULES!$A$5:$A$304,0))=$D466,MATCH($W466,CASHBACK_RULES!$A$5:$A$304,0),0),0),IFERROR(MATCH(1,INDEX((CASHBACK_RULES!$B$5:$B$304=$D466)*(CASHBACK_RULES!$G$5:$G$304=$I466)*(((CASHBACK_RULES!$N$5:$N$304="")+(CASHBACK_RULES!$N$5:$N$304&lt;=$B466))&gt;0)*(((CASHBACK_RULES!$O$5:$O$304="")+(CASHBACK_RULES!$O$5:$O$304&gt;=$B466))&gt;0)*(((CASHBACK_RULES!$M$5:$M$304="")+(CASHBACK_RULES!$M$5:$M$304&lt;=$L466))&gt;0),0),0),0))))</f>
        <v>0</v>
      </c>
      <c r="AD466" s="51" t="str">
        <f>IF(OR($B466="",$D466=""),"",IFERROR(IF(INDEX(CARDS!$H$5:$H$34,MATCH($D466,CARDS!$A$5:$A$34,0))="","",IF(DAY($B466)&lt;=INDEX(CARDS!$H$5:$H$34,MATCH($D466,CARDS!$A$5:$A$34,0)),DATE(YEAR($B466),MONTH($B466),MIN(INDEX(CARDS!$H$5:$H$34,MATCH($D466,CARDS!$A$5:$A$34,0)),DAY(EOMONTH($B466,0)))),DATE(YEAR($B466),MONTH($B466)+1,MIN(INDEX(CARDS!$H$5:$H$34,MATCH($D466,CARDS!$A$5:$A$34,0)),DAY(EOMONTH($B466,1)))))),""))</f>
        <v/>
      </c>
      <c r="AE466" s="52" t="str">
        <f>IF($C466="","",$C466&amp;"|"&amp;COUNTIF($C$5:$C466,$C466))</f>
        <v/>
      </c>
      <c r="AF466" s="53">
        <f>IF($AC466&gt;0,SUMIFS(Q$4:Q465,$D$4:$D465,$D466,$Z$4:$Z465,$Z466,$C$4:$C465,$C466),0)</f>
        <v>0</v>
      </c>
      <c r="AG466" s="53">
        <f>IF($AC466&gt;0,SUMIFS(Q$4:Q465,$D$4:$D465,$D466,$C$4:$C465,$C466),0)</f>
        <v>0</v>
      </c>
      <c r="AH466" s="53">
        <f>IF($AC466&gt;0,SUMIFS(M$4:M465,$D$4:$D465,$D466,$Z$4:$Z465,$Z466,$C$4:$C465,$C466),0)</f>
        <v>0</v>
      </c>
      <c r="AI466" s="43">
        <f>IF(OR($C466="",$I466=""),0,IF(COUNTIFS($C$5:$C466,$C466,$I$5:$I466,$I466)=1,1,0))</f>
        <v>0</v>
      </c>
      <c r="AJ466" s="43" t="str">
        <f>IF($AI466=1,SUMIFS($AI$4:$AI465,$C$4:$C465,$C466)+1,"")</f>
        <v/>
      </c>
      <c r="AK466" s="43">
        <f>IF(OR($C466="",$K466=""),0,IF(COUNTIFS($C$5:$C466,$C466,$K$5:$K466,$K466)=1,1,0))</f>
        <v>0</v>
      </c>
      <c r="AL466" s="43" t="str">
        <f>IF($AK466=1,SUMIFS($AK$4:$AK465,$C$4:$C465,$C466)+1,"")</f>
        <v/>
      </c>
      <c r="AM466" s="43">
        <f>IF(OR($C466="",$G466=""),0,IF(COUNTIFS($C$5:$C466,$C466,$G$5:$G466,$G466)=1,1,0))</f>
        <v>0</v>
      </c>
      <c r="AN466" s="43" t="str">
        <f>IF($AM466=1,SUMIFS($AM$4:$AM465,$C$4:$C465,$C466)+1,"")</f>
        <v/>
      </c>
    </row>
    <row r="467">
      <c r="A467" s="44" t="str">
        <f>IF(OR($B467="",$D467=""),"","TX"&amp;TEXT(ROW()-4,"0000"))</f>
        <v/>
      </c>
      <c r="B467" s="42" t="n"/>
      <c r="C467" s="47" t="str">
        <f>IF($B467="","",YEAR($B467)*100+MONTH($B467))</f>
        <v/>
      </c>
      <c r="D467" s="37" t="n"/>
      <c r="E467" s="45" t="str">
        <f>IF($D467="","",IFERROR(INDEX(CARDS!$B$5:$B$34,MATCH($D467,CARDS!$A$5:$A$34,0)),"⚠ Card ID?"))</f>
        <v/>
      </c>
      <c r="F467" s="45" t="str">
        <f>IF($D467="","",IFERROR(INDEX(CARDS!$C$5:$C$34,MATCH($D467,CARDS!$A$5:$A$34,0)),"⚠ Card ID?"))</f>
        <v/>
      </c>
      <c r="G467" s="37" t="n"/>
      <c r="H467" s="37" t="n"/>
      <c r="I467" s="41" t="n"/>
      <c r="J467" s="45" t="str">
        <f>IF($I467="","",IFERROR(INDEX(MCC_MASTER!$B$5:$B$504,MATCH($I467,MCC_MASTER!$A$5:$A$504,0)),"⚠ MCC chưa có"))</f>
        <v/>
      </c>
      <c r="K467" s="45" t="str">
        <f>IF($I467="","",IFERROR(IF(INDEX(MCC_MASTER!$C$5:$C$504,MATCH($I467,MCC_MASTER!$A$5:$A$504,0))="","Chưa phân loại",INDEX(MCC_MASTER!$C$5:$C$504,MATCH($I467,MCC_MASTER!$A$5:$A$504,0))),"Chưa phân loại"))</f>
        <v/>
      </c>
      <c r="L467" s="40" t="n"/>
      <c r="M467" s="48" t="str">
        <f>IF(OR($B467="",$D467=""),"",IF($AC467=0,0,IF(ISNUMBER(INDEX(CASHBACK_RULES!$L$5:$L$304,$AC467)),MAX(0,MIN($L467,INDEX(CASHBACK_RULES!$L$5:$L$304,$AC467)-$AH467)),MAX(0,$L467))))</f>
        <v/>
      </c>
      <c r="N467" s="49" t="str">
        <f>IF(OR($B467="",$D467=""),"",IF($AC467&gt;0,INDEX(CASHBACK_RULES!$I$5:$I$304,$AC467),0))</f>
        <v/>
      </c>
      <c r="O467" s="48" t="str">
        <f>IF(OR($B467="",$D467=""),"",ROUND($M467*$N467,0))</f>
        <v/>
      </c>
      <c r="P467" s="48" t="str">
        <f>IF($AC467&gt;0,IF(ISNUMBER(INDEX(CASHBACK_RULES!$J$5:$J$304,$AC467)),INDEX(CASHBACK_RULES!$J$5:$J$304,$AC467),"∞"),"")</f>
        <v/>
      </c>
      <c r="Q467" s="48" t="str">
        <f>IF(OR($B467="",$D467=""),"",IF($AC467=0,0,MAX(0,MIN($O467,IF(ISNUMBER($P467),$P467-$AF467,1E+15),IF(ISNUMBER($AA467),$AA467-$AG467,1E+15)))))</f>
        <v/>
      </c>
      <c r="R467" s="48" t="str">
        <f>IF(OR($B467="",$D467=""),"",IF($AC467=0,"",IF(AND(NOT(ISNUMBER($P467)),NOT(ISNUMBER($AA467))),"∞",MAX(0,MIN(IF(ISNUMBER($P467),$P467-$AF467-$Q467,1E+15),IF(ISNUMBER($AA467),$AA467-$AG467-$Q467,1E+15))))))</f>
        <v/>
      </c>
      <c r="S467" s="47" t="str">
        <f>IF($AD467="","",YEAR($AD467)*100+MONTH($AD467))</f>
        <v/>
      </c>
      <c r="T467" s="50" t="str">
        <f>IF($AD467="","",IFERROR(IF(INDEX(CARDS!$I$5:$I$34,MATCH($D467,CARDS!$A$5:$A$34,0))="","",IF(INDEX(CARDS!$I$5:$I$34,MATCH($D467,CARDS!$A$5:$A$34,0))&gt;INDEX(CARDS!$H$5:$H$34,MATCH($D467,CARDS!$A$5:$A$34,0)),DATE(YEAR($AD467),MONTH($AD467),MIN(INDEX(CARDS!$I$5:$I$34,MATCH($D467,CARDS!$A$5:$A$34,0)),DAY(EOMONTH($AD467,0)))),DATE(YEAR($AD467),MONTH($AD467)+1,MIN(INDEX(CARDS!$I$5:$I$34,MATCH($D467,CARDS!$A$5:$A$34,0)),DAY(EOMONTH($AD467,1)))))),""))</f>
        <v/>
      </c>
      <c r="U467" s="38" t="n"/>
      <c r="V467" s="37" t="n"/>
      <c r="W467" s="38" t="n"/>
      <c r="X467" s="38" t="n"/>
      <c r="Y467" s="44" t="str">
        <f>IF($AC467&gt;0,INDEX(CASHBACK_RULES!$A$5:$A$304,$AC467),"")</f>
        <v/>
      </c>
      <c r="Z467" s="45" t="str">
        <f>IF($AC467&gt;0,INDEX(CASHBACK_RULES!$E$5:$E$304,$AC467)&amp;"","")</f>
        <v/>
      </c>
      <c r="AA467" s="48" t="str">
        <f>IF($AC467&gt;0,IF(ISNUMBER(INDEX(CASHBACK_RULES!$K$5:$K$304,$AC467)),INDEX(CASHBACK_RULES!$K$5:$K$304,$AC467),"∞"),"")</f>
        <v/>
      </c>
      <c r="AB467" s="44" t="str">
        <f>IF(OR($B467="",$D467=""),"",IF($U467="Cancelled","Đã hủy",IF($AC467=0,"Không được hoàn",IF($Q467=0,IF(OR($O467&gt;0,$M467&lt;$L467),"Đã đạt cap","Không được hoàn"),IF(OR($Q467&lt;$O467,$M467&lt;$L467),"Hoàn một phần","Được hoàn")))))</f>
        <v/>
      </c>
      <c r="AC467" s="43">
        <f>IF(OR($B467="",$D467="",$I467="",$L467=""),0,IF($U467="Cancelled",0,IF($W467&lt;&gt;"",IFERROR(IF(INDEX(CASHBACK_RULES!$B$5:$B$304,MATCH($W467,CASHBACK_RULES!$A$5:$A$304,0))=$D467,MATCH($W467,CASHBACK_RULES!$A$5:$A$304,0),0),0),IFERROR(MATCH(1,INDEX((CASHBACK_RULES!$B$5:$B$304=$D467)*(CASHBACK_RULES!$G$5:$G$304=$I467)*(((CASHBACK_RULES!$N$5:$N$304="")+(CASHBACK_RULES!$N$5:$N$304&lt;=$B467))&gt;0)*(((CASHBACK_RULES!$O$5:$O$304="")+(CASHBACK_RULES!$O$5:$O$304&gt;=$B467))&gt;0)*(((CASHBACK_RULES!$M$5:$M$304="")+(CASHBACK_RULES!$M$5:$M$304&lt;=$L467))&gt;0),0),0),0))))</f>
        <v>0</v>
      </c>
      <c r="AD467" s="51" t="str">
        <f>IF(OR($B467="",$D467=""),"",IFERROR(IF(INDEX(CARDS!$H$5:$H$34,MATCH($D467,CARDS!$A$5:$A$34,0))="","",IF(DAY($B467)&lt;=INDEX(CARDS!$H$5:$H$34,MATCH($D467,CARDS!$A$5:$A$34,0)),DATE(YEAR($B467),MONTH($B467),MIN(INDEX(CARDS!$H$5:$H$34,MATCH($D467,CARDS!$A$5:$A$34,0)),DAY(EOMONTH($B467,0)))),DATE(YEAR($B467),MONTH($B467)+1,MIN(INDEX(CARDS!$H$5:$H$34,MATCH($D467,CARDS!$A$5:$A$34,0)),DAY(EOMONTH($B467,1)))))),""))</f>
        <v/>
      </c>
      <c r="AE467" s="52" t="str">
        <f>IF($C467="","",$C467&amp;"|"&amp;COUNTIF($C$5:$C467,$C467))</f>
        <v/>
      </c>
      <c r="AF467" s="53">
        <f>IF($AC467&gt;0,SUMIFS(Q$4:Q466,$D$4:$D466,$D467,$Z$4:$Z466,$Z467,$C$4:$C466,$C467),0)</f>
        <v>0</v>
      </c>
      <c r="AG467" s="53">
        <f>IF($AC467&gt;0,SUMIFS(Q$4:Q466,$D$4:$D466,$D467,$C$4:$C466,$C467),0)</f>
        <v>0</v>
      </c>
      <c r="AH467" s="53">
        <f>IF($AC467&gt;0,SUMIFS(M$4:M466,$D$4:$D466,$D467,$Z$4:$Z466,$Z467,$C$4:$C466,$C467),0)</f>
        <v>0</v>
      </c>
      <c r="AI467" s="43">
        <f>IF(OR($C467="",$I467=""),0,IF(COUNTIFS($C$5:$C467,$C467,$I$5:$I467,$I467)=1,1,0))</f>
        <v>0</v>
      </c>
      <c r="AJ467" s="43" t="str">
        <f>IF($AI467=1,SUMIFS($AI$4:$AI466,$C$4:$C466,$C467)+1,"")</f>
        <v/>
      </c>
      <c r="AK467" s="43">
        <f>IF(OR($C467="",$K467=""),0,IF(COUNTIFS($C$5:$C467,$C467,$K$5:$K467,$K467)=1,1,0))</f>
        <v>0</v>
      </c>
      <c r="AL467" s="43" t="str">
        <f>IF($AK467=1,SUMIFS($AK$4:$AK466,$C$4:$C466,$C467)+1,"")</f>
        <v/>
      </c>
      <c r="AM467" s="43">
        <f>IF(OR($C467="",$G467=""),0,IF(COUNTIFS($C$5:$C467,$C467,$G$5:$G467,$G467)=1,1,0))</f>
        <v>0</v>
      </c>
      <c r="AN467" s="43" t="str">
        <f>IF($AM467=1,SUMIFS($AM$4:$AM466,$C$4:$C466,$C467)+1,"")</f>
        <v/>
      </c>
    </row>
    <row r="468">
      <c r="A468" s="44" t="str">
        <f>IF(OR($B468="",$D468=""),"","TX"&amp;TEXT(ROW()-4,"0000"))</f>
        <v/>
      </c>
      <c r="B468" s="42" t="n"/>
      <c r="C468" s="47" t="str">
        <f>IF($B468="","",YEAR($B468)*100+MONTH($B468))</f>
        <v/>
      </c>
      <c r="D468" s="37" t="n"/>
      <c r="E468" s="45" t="str">
        <f>IF($D468="","",IFERROR(INDEX(CARDS!$B$5:$B$34,MATCH($D468,CARDS!$A$5:$A$34,0)),"⚠ Card ID?"))</f>
        <v/>
      </c>
      <c r="F468" s="45" t="str">
        <f>IF($D468="","",IFERROR(INDEX(CARDS!$C$5:$C$34,MATCH($D468,CARDS!$A$5:$A$34,0)),"⚠ Card ID?"))</f>
        <v/>
      </c>
      <c r="G468" s="37" t="n"/>
      <c r="H468" s="37" t="n"/>
      <c r="I468" s="41" t="n"/>
      <c r="J468" s="45" t="str">
        <f>IF($I468="","",IFERROR(INDEX(MCC_MASTER!$B$5:$B$504,MATCH($I468,MCC_MASTER!$A$5:$A$504,0)),"⚠ MCC chưa có"))</f>
        <v/>
      </c>
      <c r="K468" s="45" t="str">
        <f>IF($I468="","",IFERROR(IF(INDEX(MCC_MASTER!$C$5:$C$504,MATCH($I468,MCC_MASTER!$A$5:$A$504,0))="","Chưa phân loại",INDEX(MCC_MASTER!$C$5:$C$504,MATCH($I468,MCC_MASTER!$A$5:$A$504,0))),"Chưa phân loại"))</f>
        <v/>
      </c>
      <c r="L468" s="40" t="n"/>
      <c r="M468" s="48" t="str">
        <f>IF(OR($B468="",$D468=""),"",IF($AC468=0,0,IF(ISNUMBER(INDEX(CASHBACK_RULES!$L$5:$L$304,$AC468)),MAX(0,MIN($L468,INDEX(CASHBACK_RULES!$L$5:$L$304,$AC468)-$AH468)),MAX(0,$L468))))</f>
        <v/>
      </c>
      <c r="N468" s="49" t="str">
        <f>IF(OR($B468="",$D468=""),"",IF($AC468&gt;0,INDEX(CASHBACK_RULES!$I$5:$I$304,$AC468),0))</f>
        <v/>
      </c>
      <c r="O468" s="48" t="str">
        <f>IF(OR($B468="",$D468=""),"",ROUND($M468*$N468,0))</f>
        <v/>
      </c>
      <c r="P468" s="48" t="str">
        <f>IF($AC468&gt;0,IF(ISNUMBER(INDEX(CASHBACK_RULES!$J$5:$J$304,$AC468)),INDEX(CASHBACK_RULES!$J$5:$J$304,$AC468),"∞"),"")</f>
        <v/>
      </c>
      <c r="Q468" s="48" t="str">
        <f>IF(OR($B468="",$D468=""),"",IF($AC468=0,0,MAX(0,MIN($O468,IF(ISNUMBER($P468),$P468-$AF468,1E+15),IF(ISNUMBER($AA468),$AA468-$AG468,1E+15)))))</f>
        <v/>
      </c>
      <c r="R468" s="48" t="str">
        <f>IF(OR($B468="",$D468=""),"",IF($AC468=0,"",IF(AND(NOT(ISNUMBER($P468)),NOT(ISNUMBER($AA468))),"∞",MAX(0,MIN(IF(ISNUMBER($P468),$P468-$AF468-$Q468,1E+15),IF(ISNUMBER($AA468),$AA468-$AG468-$Q468,1E+15))))))</f>
        <v/>
      </c>
      <c r="S468" s="47" t="str">
        <f>IF($AD468="","",YEAR($AD468)*100+MONTH($AD468))</f>
        <v/>
      </c>
      <c r="T468" s="50" t="str">
        <f>IF($AD468="","",IFERROR(IF(INDEX(CARDS!$I$5:$I$34,MATCH($D468,CARDS!$A$5:$A$34,0))="","",IF(INDEX(CARDS!$I$5:$I$34,MATCH($D468,CARDS!$A$5:$A$34,0))&gt;INDEX(CARDS!$H$5:$H$34,MATCH($D468,CARDS!$A$5:$A$34,0)),DATE(YEAR($AD468),MONTH($AD468),MIN(INDEX(CARDS!$I$5:$I$34,MATCH($D468,CARDS!$A$5:$A$34,0)),DAY(EOMONTH($AD468,0)))),DATE(YEAR($AD468),MONTH($AD468)+1,MIN(INDEX(CARDS!$I$5:$I$34,MATCH($D468,CARDS!$A$5:$A$34,0)),DAY(EOMONTH($AD468,1)))))),""))</f>
        <v/>
      </c>
      <c r="U468" s="38" t="n"/>
      <c r="V468" s="37" t="n"/>
      <c r="W468" s="38" t="n"/>
      <c r="X468" s="38" t="n"/>
      <c r="Y468" s="44" t="str">
        <f>IF($AC468&gt;0,INDEX(CASHBACK_RULES!$A$5:$A$304,$AC468),"")</f>
        <v/>
      </c>
      <c r="Z468" s="45" t="str">
        <f>IF($AC468&gt;0,INDEX(CASHBACK_RULES!$E$5:$E$304,$AC468)&amp;"","")</f>
        <v/>
      </c>
      <c r="AA468" s="48" t="str">
        <f>IF($AC468&gt;0,IF(ISNUMBER(INDEX(CASHBACK_RULES!$K$5:$K$304,$AC468)),INDEX(CASHBACK_RULES!$K$5:$K$304,$AC468),"∞"),"")</f>
        <v/>
      </c>
      <c r="AB468" s="44" t="str">
        <f>IF(OR($B468="",$D468=""),"",IF($U468="Cancelled","Đã hủy",IF($AC468=0,"Không được hoàn",IF($Q468=0,IF(OR($O468&gt;0,$M468&lt;$L468),"Đã đạt cap","Không được hoàn"),IF(OR($Q468&lt;$O468,$M468&lt;$L468),"Hoàn một phần","Được hoàn")))))</f>
        <v/>
      </c>
      <c r="AC468" s="43">
        <f>IF(OR($B468="",$D468="",$I468="",$L468=""),0,IF($U468="Cancelled",0,IF($W468&lt;&gt;"",IFERROR(IF(INDEX(CASHBACK_RULES!$B$5:$B$304,MATCH($W468,CASHBACK_RULES!$A$5:$A$304,0))=$D468,MATCH($W468,CASHBACK_RULES!$A$5:$A$304,0),0),0),IFERROR(MATCH(1,INDEX((CASHBACK_RULES!$B$5:$B$304=$D468)*(CASHBACK_RULES!$G$5:$G$304=$I468)*(((CASHBACK_RULES!$N$5:$N$304="")+(CASHBACK_RULES!$N$5:$N$304&lt;=$B468))&gt;0)*(((CASHBACK_RULES!$O$5:$O$304="")+(CASHBACK_RULES!$O$5:$O$304&gt;=$B468))&gt;0)*(((CASHBACK_RULES!$M$5:$M$304="")+(CASHBACK_RULES!$M$5:$M$304&lt;=$L468))&gt;0),0),0),0))))</f>
        <v>0</v>
      </c>
      <c r="AD468" s="51" t="str">
        <f>IF(OR($B468="",$D468=""),"",IFERROR(IF(INDEX(CARDS!$H$5:$H$34,MATCH($D468,CARDS!$A$5:$A$34,0))="","",IF(DAY($B468)&lt;=INDEX(CARDS!$H$5:$H$34,MATCH($D468,CARDS!$A$5:$A$34,0)),DATE(YEAR($B468),MONTH($B468),MIN(INDEX(CARDS!$H$5:$H$34,MATCH($D468,CARDS!$A$5:$A$34,0)),DAY(EOMONTH($B468,0)))),DATE(YEAR($B468),MONTH($B468)+1,MIN(INDEX(CARDS!$H$5:$H$34,MATCH($D468,CARDS!$A$5:$A$34,0)),DAY(EOMONTH($B468,1)))))),""))</f>
        <v/>
      </c>
      <c r="AE468" s="52" t="str">
        <f>IF($C468="","",$C468&amp;"|"&amp;COUNTIF($C$5:$C468,$C468))</f>
        <v/>
      </c>
      <c r="AF468" s="53">
        <f>IF($AC468&gt;0,SUMIFS(Q$4:Q467,$D$4:$D467,$D468,$Z$4:$Z467,$Z468,$C$4:$C467,$C468),0)</f>
        <v>0</v>
      </c>
      <c r="AG468" s="53">
        <f>IF($AC468&gt;0,SUMIFS(Q$4:Q467,$D$4:$D467,$D468,$C$4:$C467,$C468),0)</f>
        <v>0</v>
      </c>
      <c r="AH468" s="53">
        <f>IF($AC468&gt;0,SUMIFS(M$4:M467,$D$4:$D467,$D468,$Z$4:$Z467,$Z468,$C$4:$C467,$C468),0)</f>
        <v>0</v>
      </c>
      <c r="AI468" s="43">
        <f>IF(OR($C468="",$I468=""),0,IF(COUNTIFS($C$5:$C468,$C468,$I$5:$I468,$I468)=1,1,0))</f>
        <v>0</v>
      </c>
      <c r="AJ468" s="43" t="str">
        <f>IF($AI468=1,SUMIFS($AI$4:$AI467,$C$4:$C467,$C468)+1,"")</f>
        <v/>
      </c>
      <c r="AK468" s="43">
        <f>IF(OR($C468="",$K468=""),0,IF(COUNTIFS($C$5:$C468,$C468,$K$5:$K468,$K468)=1,1,0))</f>
        <v>0</v>
      </c>
      <c r="AL468" s="43" t="str">
        <f>IF($AK468=1,SUMIFS($AK$4:$AK467,$C$4:$C467,$C468)+1,"")</f>
        <v/>
      </c>
      <c r="AM468" s="43">
        <f>IF(OR($C468="",$G468=""),0,IF(COUNTIFS($C$5:$C468,$C468,$G$5:$G468,$G468)=1,1,0))</f>
        <v>0</v>
      </c>
      <c r="AN468" s="43" t="str">
        <f>IF($AM468=1,SUMIFS($AM$4:$AM467,$C$4:$C467,$C468)+1,"")</f>
        <v/>
      </c>
    </row>
    <row r="469">
      <c r="A469" s="44" t="str">
        <f>IF(OR($B469="",$D469=""),"","TX"&amp;TEXT(ROW()-4,"0000"))</f>
        <v/>
      </c>
      <c r="B469" s="42" t="n"/>
      <c r="C469" s="47" t="str">
        <f>IF($B469="","",YEAR($B469)*100+MONTH($B469))</f>
        <v/>
      </c>
      <c r="D469" s="37" t="n"/>
      <c r="E469" s="45" t="str">
        <f>IF($D469="","",IFERROR(INDEX(CARDS!$B$5:$B$34,MATCH($D469,CARDS!$A$5:$A$34,0)),"⚠ Card ID?"))</f>
        <v/>
      </c>
      <c r="F469" s="45" t="str">
        <f>IF($D469="","",IFERROR(INDEX(CARDS!$C$5:$C$34,MATCH($D469,CARDS!$A$5:$A$34,0)),"⚠ Card ID?"))</f>
        <v/>
      </c>
      <c r="G469" s="37" t="n"/>
      <c r="H469" s="37" t="n"/>
      <c r="I469" s="41" t="n"/>
      <c r="J469" s="45" t="str">
        <f>IF($I469="","",IFERROR(INDEX(MCC_MASTER!$B$5:$B$504,MATCH($I469,MCC_MASTER!$A$5:$A$504,0)),"⚠ MCC chưa có"))</f>
        <v/>
      </c>
      <c r="K469" s="45" t="str">
        <f>IF($I469="","",IFERROR(IF(INDEX(MCC_MASTER!$C$5:$C$504,MATCH($I469,MCC_MASTER!$A$5:$A$504,0))="","Chưa phân loại",INDEX(MCC_MASTER!$C$5:$C$504,MATCH($I469,MCC_MASTER!$A$5:$A$504,0))),"Chưa phân loại"))</f>
        <v/>
      </c>
      <c r="L469" s="40" t="n"/>
      <c r="M469" s="48" t="str">
        <f>IF(OR($B469="",$D469=""),"",IF($AC469=0,0,IF(ISNUMBER(INDEX(CASHBACK_RULES!$L$5:$L$304,$AC469)),MAX(0,MIN($L469,INDEX(CASHBACK_RULES!$L$5:$L$304,$AC469)-$AH469)),MAX(0,$L469))))</f>
        <v/>
      </c>
      <c r="N469" s="49" t="str">
        <f>IF(OR($B469="",$D469=""),"",IF($AC469&gt;0,INDEX(CASHBACK_RULES!$I$5:$I$304,$AC469),0))</f>
        <v/>
      </c>
      <c r="O469" s="48" t="str">
        <f>IF(OR($B469="",$D469=""),"",ROUND($M469*$N469,0))</f>
        <v/>
      </c>
      <c r="P469" s="48" t="str">
        <f>IF($AC469&gt;0,IF(ISNUMBER(INDEX(CASHBACK_RULES!$J$5:$J$304,$AC469)),INDEX(CASHBACK_RULES!$J$5:$J$304,$AC469),"∞"),"")</f>
        <v/>
      </c>
      <c r="Q469" s="48" t="str">
        <f>IF(OR($B469="",$D469=""),"",IF($AC469=0,0,MAX(0,MIN($O469,IF(ISNUMBER($P469),$P469-$AF469,1E+15),IF(ISNUMBER($AA469),$AA469-$AG469,1E+15)))))</f>
        <v/>
      </c>
      <c r="R469" s="48" t="str">
        <f>IF(OR($B469="",$D469=""),"",IF($AC469=0,"",IF(AND(NOT(ISNUMBER($P469)),NOT(ISNUMBER($AA469))),"∞",MAX(0,MIN(IF(ISNUMBER($P469),$P469-$AF469-$Q469,1E+15),IF(ISNUMBER($AA469),$AA469-$AG469-$Q469,1E+15))))))</f>
        <v/>
      </c>
      <c r="S469" s="47" t="str">
        <f>IF($AD469="","",YEAR($AD469)*100+MONTH($AD469))</f>
        <v/>
      </c>
      <c r="T469" s="50" t="str">
        <f>IF($AD469="","",IFERROR(IF(INDEX(CARDS!$I$5:$I$34,MATCH($D469,CARDS!$A$5:$A$34,0))="","",IF(INDEX(CARDS!$I$5:$I$34,MATCH($D469,CARDS!$A$5:$A$34,0))&gt;INDEX(CARDS!$H$5:$H$34,MATCH($D469,CARDS!$A$5:$A$34,0)),DATE(YEAR($AD469),MONTH($AD469),MIN(INDEX(CARDS!$I$5:$I$34,MATCH($D469,CARDS!$A$5:$A$34,0)),DAY(EOMONTH($AD469,0)))),DATE(YEAR($AD469),MONTH($AD469)+1,MIN(INDEX(CARDS!$I$5:$I$34,MATCH($D469,CARDS!$A$5:$A$34,0)),DAY(EOMONTH($AD469,1)))))),""))</f>
        <v/>
      </c>
      <c r="U469" s="38" t="n"/>
      <c r="V469" s="37" t="n"/>
      <c r="W469" s="38" t="n"/>
      <c r="X469" s="38" t="n"/>
      <c r="Y469" s="44" t="str">
        <f>IF($AC469&gt;0,INDEX(CASHBACK_RULES!$A$5:$A$304,$AC469),"")</f>
        <v/>
      </c>
      <c r="Z469" s="45" t="str">
        <f>IF($AC469&gt;0,INDEX(CASHBACK_RULES!$E$5:$E$304,$AC469)&amp;"","")</f>
        <v/>
      </c>
      <c r="AA469" s="48" t="str">
        <f>IF($AC469&gt;0,IF(ISNUMBER(INDEX(CASHBACK_RULES!$K$5:$K$304,$AC469)),INDEX(CASHBACK_RULES!$K$5:$K$304,$AC469),"∞"),"")</f>
        <v/>
      </c>
      <c r="AB469" s="44" t="str">
        <f>IF(OR($B469="",$D469=""),"",IF($U469="Cancelled","Đã hủy",IF($AC469=0,"Không được hoàn",IF($Q469=0,IF(OR($O469&gt;0,$M469&lt;$L469),"Đã đạt cap","Không được hoàn"),IF(OR($Q469&lt;$O469,$M469&lt;$L469),"Hoàn một phần","Được hoàn")))))</f>
        <v/>
      </c>
      <c r="AC469" s="43">
        <f>IF(OR($B469="",$D469="",$I469="",$L469=""),0,IF($U469="Cancelled",0,IF($W469&lt;&gt;"",IFERROR(IF(INDEX(CASHBACK_RULES!$B$5:$B$304,MATCH($W469,CASHBACK_RULES!$A$5:$A$304,0))=$D469,MATCH($W469,CASHBACK_RULES!$A$5:$A$304,0),0),0),IFERROR(MATCH(1,INDEX((CASHBACK_RULES!$B$5:$B$304=$D469)*(CASHBACK_RULES!$G$5:$G$304=$I469)*(((CASHBACK_RULES!$N$5:$N$304="")+(CASHBACK_RULES!$N$5:$N$304&lt;=$B469))&gt;0)*(((CASHBACK_RULES!$O$5:$O$304="")+(CASHBACK_RULES!$O$5:$O$304&gt;=$B469))&gt;0)*(((CASHBACK_RULES!$M$5:$M$304="")+(CASHBACK_RULES!$M$5:$M$304&lt;=$L469))&gt;0),0),0),0))))</f>
        <v>0</v>
      </c>
      <c r="AD469" s="51" t="str">
        <f>IF(OR($B469="",$D469=""),"",IFERROR(IF(INDEX(CARDS!$H$5:$H$34,MATCH($D469,CARDS!$A$5:$A$34,0))="","",IF(DAY($B469)&lt;=INDEX(CARDS!$H$5:$H$34,MATCH($D469,CARDS!$A$5:$A$34,0)),DATE(YEAR($B469),MONTH($B469),MIN(INDEX(CARDS!$H$5:$H$34,MATCH($D469,CARDS!$A$5:$A$34,0)),DAY(EOMONTH($B469,0)))),DATE(YEAR($B469),MONTH($B469)+1,MIN(INDEX(CARDS!$H$5:$H$34,MATCH($D469,CARDS!$A$5:$A$34,0)),DAY(EOMONTH($B469,1)))))),""))</f>
        <v/>
      </c>
      <c r="AE469" s="52" t="str">
        <f>IF($C469="","",$C469&amp;"|"&amp;COUNTIF($C$5:$C469,$C469))</f>
        <v/>
      </c>
      <c r="AF469" s="53">
        <f>IF($AC469&gt;0,SUMIFS(Q$4:Q468,$D$4:$D468,$D469,$Z$4:$Z468,$Z469,$C$4:$C468,$C469),0)</f>
        <v>0</v>
      </c>
      <c r="AG469" s="53">
        <f>IF($AC469&gt;0,SUMIFS(Q$4:Q468,$D$4:$D468,$D469,$C$4:$C468,$C469),0)</f>
        <v>0</v>
      </c>
      <c r="AH469" s="53">
        <f>IF($AC469&gt;0,SUMIFS(M$4:M468,$D$4:$D468,$D469,$Z$4:$Z468,$Z469,$C$4:$C468,$C469),0)</f>
        <v>0</v>
      </c>
      <c r="AI469" s="43">
        <f>IF(OR($C469="",$I469=""),0,IF(COUNTIFS($C$5:$C469,$C469,$I$5:$I469,$I469)=1,1,0))</f>
        <v>0</v>
      </c>
      <c r="AJ469" s="43" t="str">
        <f>IF($AI469=1,SUMIFS($AI$4:$AI468,$C$4:$C468,$C469)+1,"")</f>
        <v/>
      </c>
      <c r="AK469" s="43">
        <f>IF(OR($C469="",$K469=""),0,IF(COUNTIFS($C$5:$C469,$C469,$K$5:$K469,$K469)=1,1,0))</f>
        <v>0</v>
      </c>
      <c r="AL469" s="43" t="str">
        <f>IF($AK469=1,SUMIFS($AK$4:$AK468,$C$4:$C468,$C469)+1,"")</f>
        <v/>
      </c>
      <c r="AM469" s="43">
        <f>IF(OR($C469="",$G469=""),0,IF(COUNTIFS($C$5:$C469,$C469,$G$5:$G469,$G469)=1,1,0))</f>
        <v>0</v>
      </c>
      <c r="AN469" s="43" t="str">
        <f>IF($AM469=1,SUMIFS($AM$4:$AM468,$C$4:$C468,$C469)+1,"")</f>
        <v/>
      </c>
    </row>
    <row r="470">
      <c r="A470" s="44" t="str">
        <f>IF(OR($B470="",$D470=""),"","TX"&amp;TEXT(ROW()-4,"0000"))</f>
        <v/>
      </c>
      <c r="B470" s="42" t="n"/>
      <c r="C470" s="47" t="str">
        <f>IF($B470="","",YEAR($B470)*100+MONTH($B470))</f>
        <v/>
      </c>
      <c r="D470" s="37" t="n"/>
      <c r="E470" s="45" t="str">
        <f>IF($D470="","",IFERROR(INDEX(CARDS!$B$5:$B$34,MATCH($D470,CARDS!$A$5:$A$34,0)),"⚠ Card ID?"))</f>
        <v/>
      </c>
      <c r="F470" s="45" t="str">
        <f>IF($D470="","",IFERROR(INDEX(CARDS!$C$5:$C$34,MATCH($D470,CARDS!$A$5:$A$34,0)),"⚠ Card ID?"))</f>
        <v/>
      </c>
      <c r="G470" s="37" t="n"/>
      <c r="H470" s="37" t="n"/>
      <c r="I470" s="41" t="n"/>
      <c r="J470" s="45" t="str">
        <f>IF($I470="","",IFERROR(INDEX(MCC_MASTER!$B$5:$B$504,MATCH($I470,MCC_MASTER!$A$5:$A$504,0)),"⚠ MCC chưa có"))</f>
        <v/>
      </c>
      <c r="K470" s="45" t="str">
        <f>IF($I470="","",IFERROR(IF(INDEX(MCC_MASTER!$C$5:$C$504,MATCH($I470,MCC_MASTER!$A$5:$A$504,0))="","Chưa phân loại",INDEX(MCC_MASTER!$C$5:$C$504,MATCH($I470,MCC_MASTER!$A$5:$A$504,0))),"Chưa phân loại"))</f>
        <v/>
      </c>
      <c r="L470" s="40" t="n"/>
      <c r="M470" s="48" t="str">
        <f>IF(OR($B470="",$D470=""),"",IF($AC470=0,0,IF(ISNUMBER(INDEX(CASHBACK_RULES!$L$5:$L$304,$AC470)),MAX(0,MIN($L470,INDEX(CASHBACK_RULES!$L$5:$L$304,$AC470)-$AH470)),MAX(0,$L470))))</f>
        <v/>
      </c>
      <c r="N470" s="49" t="str">
        <f>IF(OR($B470="",$D470=""),"",IF($AC470&gt;0,INDEX(CASHBACK_RULES!$I$5:$I$304,$AC470),0))</f>
        <v/>
      </c>
      <c r="O470" s="48" t="str">
        <f>IF(OR($B470="",$D470=""),"",ROUND($M470*$N470,0))</f>
        <v/>
      </c>
      <c r="P470" s="48" t="str">
        <f>IF($AC470&gt;0,IF(ISNUMBER(INDEX(CASHBACK_RULES!$J$5:$J$304,$AC470)),INDEX(CASHBACK_RULES!$J$5:$J$304,$AC470),"∞"),"")</f>
        <v/>
      </c>
      <c r="Q470" s="48" t="str">
        <f>IF(OR($B470="",$D470=""),"",IF($AC470=0,0,MAX(0,MIN($O470,IF(ISNUMBER($P470),$P470-$AF470,1E+15),IF(ISNUMBER($AA470),$AA470-$AG470,1E+15)))))</f>
        <v/>
      </c>
      <c r="R470" s="48" t="str">
        <f>IF(OR($B470="",$D470=""),"",IF($AC470=0,"",IF(AND(NOT(ISNUMBER($P470)),NOT(ISNUMBER($AA470))),"∞",MAX(0,MIN(IF(ISNUMBER($P470),$P470-$AF470-$Q470,1E+15),IF(ISNUMBER($AA470),$AA470-$AG470-$Q470,1E+15))))))</f>
        <v/>
      </c>
      <c r="S470" s="47" t="str">
        <f>IF($AD470="","",YEAR($AD470)*100+MONTH($AD470))</f>
        <v/>
      </c>
      <c r="T470" s="50" t="str">
        <f>IF($AD470="","",IFERROR(IF(INDEX(CARDS!$I$5:$I$34,MATCH($D470,CARDS!$A$5:$A$34,0))="","",IF(INDEX(CARDS!$I$5:$I$34,MATCH($D470,CARDS!$A$5:$A$34,0))&gt;INDEX(CARDS!$H$5:$H$34,MATCH($D470,CARDS!$A$5:$A$34,0)),DATE(YEAR($AD470),MONTH($AD470),MIN(INDEX(CARDS!$I$5:$I$34,MATCH($D470,CARDS!$A$5:$A$34,0)),DAY(EOMONTH($AD470,0)))),DATE(YEAR($AD470),MONTH($AD470)+1,MIN(INDEX(CARDS!$I$5:$I$34,MATCH($D470,CARDS!$A$5:$A$34,0)),DAY(EOMONTH($AD470,1)))))),""))</f>
        <v/>
      </c>
      <c r="U470" s="38" t="n"/>
      <c r="V470" s="37" t="n"/>
      <c r="W470" s="38" t="n"/>
      <c r="X470" s="38" t="n"/>
      <c r="Y470" s="44" t="str">
        <f>IF($AC470&gt;0,INDEX(CASHBACK_RULES!$A$5:$A$304,$AC470),"")</f>
        <v/>
      </c>
      <c r="Z470" s="45" t="str">
        <f>IF($AC470&gt;0,INDEX(CASHBACK_RULES!$E$5:$E$304,$AC470)&amp;"","")</f>
        <v/>
      </c>
      <c r="AA470" s="48" t="str">
        <f>IF($AC470&gt;0,IF(ISNUMBER(INDEX(CASHBACK_RULES!$K$5:$K$304,$AC470)),INDEX(CASHBACK_RULES!$K$5:$K$304,$AC470),"∞"),"")</f>
        <v/>
      </c>
      <c r="AB470" s="44" t="str">
        <f>IF(OR($B470="",$D470=""),"",IF($U470="Cancelled","Đã hủy",IF($AC470=0,"Không được hoàn",IF($Q470=0,IF(OR($O470&gt;0,$M470&lt;$L470),"Đã đạt cap","Không được hoàn"),IF(OR($Q470&lt;$O470,$M470&lt;$L470),"Hoàn một phần","Được hoàn")))))</f>
        <v/>
      </c>
      <c r="AC470" s="43">
        <f>IF(OR($B470="",$D470="",$I470="",$L470=""),0,IF($U470="Cancelled",0,IF($W470&lt;&gt;"",IFERROR(IF(INDEX(CASHBACK_RULES!$B$5:$B$304,MATCH($W470,CASHBACK_RULES!$A$5:$A$304,0))=$D470,MATCH($W470,CASHBACK_RULES!$A$5:$A$304,0),0),0),IFERROR(MATCH(1,INDEX((CASHBACK_RULES!$B$5:$B$304=$D470)*(CASHBACK_RULES!$G$5:$G$304=$I470)*(((CASHBACK_RULES!$N$5:$N$304="")+(CASHBACK_RULES!$N$5:$N$304&lt;=$B470))&gt;0)*(((CASHBACK_RULES!$O$5:$O$304="")+(CASHBACK_RULES!$O$5:$O$304&gt;=$B470))&gt;0)*(((CASHBACK_RULES!$M$5:$M$304="")+(CASHBACK_RULES!$M$5:$M$304&lt;=$L470))&gt;0),0),0),0))))</f>
        <v>0</v>
      </c>
      <c r="AD470" s="51" t="str">
        <f>IF(OR($B470="",$D470=""),"",IFERROR(IF(INDEX(CARDS!$H$5:$H$34,MATCH($D470,CARDS!$A$5:$A$34,0))="","",IF(DAY($B470)&lt;=INDEX(CARDS!$H$5:$H$34,MATCH($D470,CARDS!$A$5:$A$34,0)),DATE(YEAR($B470),MONTH($B470),MIN(INDEX(CARDS!$H$5:$H$34,MATCH($D470,CARDS!$A$5:$A$34,0)),DAY(EOMONTH($B470,0)))),DATE(YEAR($B470),MONTH($B470)+1,MIN(INDEX(CARDS!$H$5:$H$34,MATCH($D470,CARDS!$A$5:$A$34,0)),DAY(EOMONTH($B470,1)))))),""))</f>
        <v/>
      </c>
      <c r="AE470" s="52" t="str">
        <f>IF($C470="","",$C470&amp;"|"&amp;COUNTIF($C$5:$C470,$C470))</f>
        <v/>
      </c>
      <c r="AF470" s="53">
        <f>IF($AC470&gt;0,SUMIFS(Q$4:Q469,$D$4:$D469,$D470,$Z$4:$Z469,$Z470,$C$4:$C469,$C470),0)</f>
        <v>0</v>
      </c>
      <c r="AG470" s="53">
        <f>IF($AC470&gt;0,SUMIFS(Q$4:Q469,$D$4:$D469,$D470,$C$4:$C469,$C470),0)</f>
        <v>0</v>
      </c>
      <c r="AH470" s="53">
        <f>IF($AC470&gt;0,SUMIFS(M$4:M469,$D$4:$D469,$D470,$Z$4:$Z469,$Z470,$C$4:$C469,$C470),0)</f>
        <v>0</v>
      </c>
      <c r="AI470" s="43">
        <f>IF(OR($C470="",$I470=""),0,IF(COUNTIFS($C$5:$C470,$C470,$I$5:$I470,$I470)=1,1,0))</f>
        <v>0</v>
      </c>
      <c r="AJ470" s="43" t="str">
        <f>IF($AI470=1,SUMIFS($AI$4:$AI469,$C$4:$C469,$C470)+1,"")</f>
        <v/>
      </c>
      <c r="AK470" s="43">
        <f>IF(OR($C470="",$K470=""),0,IF(COUNTIFS($C$5:$C470,$C470,$K$5:$K470,$K470)=1,1,0))</f>
        <v>0</v>
      </c>
      <c r="AL470" s="43" t="str">
        <f>IF($AK470=1,SUMIFS($AK$4:$AK469,$C$4:$C469,$C470)+1,"")</f>
        <v/>
      </c>
      <c r="AM470" s="43">
        <f>IF(OR($C470="",$G470=""),0,IF(COUNTIFS($C$5:$C470,$C470,$G$5:$G470,$G470)=1,1,0))</f>
        <v>0</v>
      </c>
      <c r="AN470" s="43" t="str">
        <f>IF($AM470=1,SUMIFS($AM$4:$AM469,$C$4:$C469,$C470)+1,"")</f>
        <v/>
      </c>
    </row>
    <row r="471">
      <c r="A471" s="44" t="str">
        <f>IF(OR($B471="",$D471=""),"","TX"&amp;TEXT(ROW()-4,"0000"))</f>
        <v/>
      </c>
      <c r="B471" s="42" t="n"/>
      <c r="C471" s="47" t="str">
        <f>IF($B471="","",YEAR($B471)*100+MONTH($B471))</f>
        <v/>
      </c>
      <c r="D471" s="37" t="n"/>
      <c r="E471" s="45" t="str">
        <f>IF($D471="","",IFERROR(INDEX(CARDS!$B$5:$B$34,MATCH($D471,CARDS!$A$5:$A$34,0)),"⚠ Card ID?"))</f>
        <v/>
      </c>
      <c r="F471" s="45" t="str">
        <f>IF($D471="","",IFERROR(INDEX(CARDS!$C$5:$C$34,MATCH($D471,CARDS!$A$5:$A$34,0)),"⚠ Card ID?"))</f>
        <v/>
      </c>
      <c r="G471" s="37" t="n"/>
      <c r="H471" s="37" t="n"/>
      <c r="I471" s="41" t="n"/>
      <c r="J471" s="45" t="str">
        <f>IF($I471="","",IFERROR(INDEX(MCC_MASTER!$B$5:$B$504,MATCH($I471,MCC_MASTER!$A$5:$A$504,0)),"⚠ MCC chưa có"))</f>
        <v/>
      </c>
      <c r="K471" s="45" t="str">
        <f>IF($I471="","",IFERROR(IF(INDEX(MCC_MASTER!$C$5:$C$504,MATCH($I471,MCC_MASTER!$A$5:$A$504,0))="","Chưa phân loại",INDEX(MCC_MASTER!$C$5:$C$504,MATCH($I471,MCC_MASTER!$A$5:$A$504,0))),"Chưa phân loại"))</f>
        <v/>
      </c>
      <c r="L471" s="40" t="n"/>
      <c r="M471" s="48" t="str">
        <f>IF(OR($B471="",$D471=""),"",IF($AC471=0,0,IF(ISNUMBER(INDEX(CASHBACK_RULES!$L$5:$L$304,$AC471)),MAX(0,MIN($L471,INDEX(CASHBACK_RULES!$L$5:$L$304,$AC471)-$AH471)),MAX(0,$L471))))</f>
        <v/>
      </c>
      <c r="N471" s="49" t="str">
        <f>IF(OR($B471="",$D471=""),"",IF($AC471&gt;0,INDEX(CASHBACK_RULES!$I$5:$I$304,$AC471),0))</f>
        <v/>
      </c>
      <c r="O471" s="48" t="str">
        <f>IF(OR($B471="",$D471=""),"",ROUND($M471*$N471,0))</f>
        <v/>
      </c>
      <c r="P471" s="48" t="str">
        <f>IF($AC471&gt;0,IF(ISNUMBER(INDEX(CASHBACK_RULES!$J$5:$J$304,$AC471)),INDEX(CASHBACK_RULES!$J$5:$J$304,$AC471),"∞"),"")</f>
        <v/>
      </c>
      <c r="Q471" s="48" t="str">
        <f>IF(OR($B471="",$D471=""),"",IF($AC471=0,0,MAX(0,MIN($O471,IF(ISNUMBER($P471),$P471-$AF471,1E+15),IF(ISNUMBER($AA471),$AA471-$AG471,1E+15)))))</f>
        <v/>
      </c>
      <c r="R471" s="48" t="str">
        <f>IF(OR($B471="",$D471=""),"",IF($AC471=0,"",IF(AND(NOT(ISNUMBER($P471)),NOT(ISNUMBER($AA471))),"∞",MAX(0,MIN(IF(ISNUMBER($P471),$P471-$AF471-$Q471,1E+15),IF(ISNUMBER($AA471),$AA471-$AG471-$Q471,1E+15))))))</f>
        <v/>
      </c>
      <c r="S471" s="47" t="str">
        <f>IF($AD471="","",YEAR($AD471)*100+MONTH($AD471))</f>
        <v/>
      </c>
      <c r="T471" s="50" t="str">
        <f>IF($AD471="","",IFERROR(IF(INDEX(CARDS!$I$5:$I$34,MATCH($D471,CARDS!$A$5:$A$34,0))="","",IF(INDEX(CARDS!$I$5:$I$34,MATCH($D471,CARDS!$A$5:$A$34,0))&gt;INDEX(CARDS!$H$5:$H$34,MATCH($D471,CARDS!$A$5:$A$34,0)),DATE(YEAR($AD471),MONTH($AD471),MIN(INDEX(CARDS!$I$5:$I$34,MATCH($D471,CARDS!$A$5:$A$34,0)),DAY(EOMONTH($AD471,0)))),DATE(YEAR($AD471),MONTH($AD471)+1,MIN(INDEX(CARDS!$I$5:$I$34,MATCH($D471,CARDS!$A$5:$A$34,0)),DAY(EOMONTH($AD471,1)))))),""))</f>
        <v/>
      </c>
      <c r="U471" s="38" t="n"/>
      <c r="V471" s="37" t="n"/>
      <c r="W471" s="38" t="n"/>
      <c r="X471" s="38" t="n"/>
      <c r="Y471" s="44" t="str">
        <f>IF($AC471&gt;0,INDEX(CASHBACK_RULES!$A$5:$A$304,$AC471),"")</f>
        <v/>
      </c>
      <c r="Z471" s="45" t="str">
        <f>IF($AC471&gt;0,INDEX(CASHBACK_RULES!$E$5:$E$304,$AC471)&amp;"","")</f>
        <v/>
      </c>
      <c r="AA471" s="48" t="str">
        <f>IF($AC471&gt;0,IF(ISNUMBER(INDEX(CASHBACK_RULES!$K$5:$K$304,$AC471)),INDEX(CASHBACK_RULES!$K$5:$K$304,$AC471),"∞"),"")</f>
        <v/>
      </c>
      <c r="AB471" s="44" t="str">
        <f>IF(OR($B471="",$D471=""),"",IF($U471="Cancelled","Đã hủy",IF($AC471=0,"Không được hoàn",IF($Q471=0,IF(OR($O471&gt;0,$M471&lt;$L471),"Đã đạt cap","Không được hoàn"),IF(OR($Q471&lt;$O471,$M471&lt;$L471),"Hoàn một phần","Được hoàn")))))</f>
        <v/>
      </c>
      <c r="AC471" s="43">
        <f>IF(OR($B471="",$D471="",$I471="",$L471=""),0,IF($U471="Cancelled",0,IF($W471&lt;&gt;"",IFERROR(IF(INDEX(CASHBACK_RULES!$B$5:$B$304,MATCH($W471,CASHBACK_RULES!$A$5:$A$304,0))=$D471,MATCH($W471,CASHBACK_RULES!$A$5:$A$304,0),0),0),IFERROR(MATCH(1,INDEX((CASHBACK_RULES!$B$5:$B$304=$D471)*(CASHBACK_RULES!$G$5:$G$304=$I471)*(((CASHBACK_RULES!$N$5:$N$304="")+(CASHBACK_RULES!$N$5:$N$304&lt;=$B471))&gt;0)*(((CASHBACK_RULES!$O$5:$O$304="")+(CASHBACK_RULES!$O$5:$O$304&gt;=$B471))&gt;0)*(((CASHBACK_RULES!$M$5:$M$304="")+(CASHBACK_RULES!$M$5:$M$304&lt;=$L471))&gt;0),0),0),0))))</f>
        <v>0</v>
      </c>
      <c r="AD471" s="51" t="str">
        <f>IF(OR($B471="",$D471=""),"",IFERROR(IF(INDEX(CARDS!$H$5:$H$34,MATCH($D471,CARDS!$A$5:$A$34,0))="","",IF(DAY($B471)&lt;=INDEX(CARDS!$H$5:$H$34,MATCH($D471,CARDS!$A$5:$A$34,0)),DATE(YEAR($B471),MONTH($B471),MIN(INDEX(CARDS!$H$5:$H$34,MATCH($D471,CARDS!$A$5:$A$34,0)),DAY(EOMONTH($B471,0)))),DATE(YEAR($B471),MONTH($B471)+1,MIN(INDEX(CARDS!$H$5:$H$34,MATCH($D471,CARDS!$A$5:$A$34,0)),DAY(EOMONTH($B471,1)))))),""))</f>
        <v/>
      </c>
      <c r="AE471" s="52" t="str">
        <f>IF($C471="","",$C471&amp;"|"&amp;COUNTIF($C$5:$C471,$C471))</f>
        <v/>
      </c>
      <c r="AF471" s="53">
        <f>IF($AC471&gt;0,SUMIFS(Q$4:Q470,$D$4:$D470,$D471,$Z$4:$Z470,$Z471,$C$4:$C470,$C471),0)</f>
        <v>0</v>
      </c>
      <c r="AG471" s="53">
        <f>IF($AC471&gt;0,SUMIFS(Q$4:Q470,$D$4:$D470,$D471,$C$4:$C470,$C471),0)</f>
        <v>0</v>
      </c>
      <c r="AH471" s="53">
        <f>IF($AC471&gt;0,SUMIFS(M$4:M470,$D$4:$D470,$D471,$Z$4:$Z470,$Z471,$C$4:$C470,$C471),0)</f>
        <v>0</v>
      </c>
      <c r="AI471" s="43">
        <f>IF(OR($C471="",$I471=""),0,IF(COUNTIFS($C$5:$C471,$C471,$I$5:$I471,$I471)=1,1,0))</f>
        <v>0</v>
      </c>
      <c r="AJ471" s="43" t="str">
        <f>IF($AI471=1,SUMIFS($AI$4:$AI470,$C$4:$C470,$C471)+1,"")</f>
        <v/>
      </c>
      <c r="AK471" s="43">
        <f>IF(OR($C471="",$K471=""),0,IF(COUNTIFS($C$5:$C471,$C471,$K$5:$K471,$K471)=1,1,0))</f>
        <v>0</v>
      </c>
      <c r="AL471" s="43" t="str">
        <f>IF($AK471=1,SUMIFS($AK$4:$AK470,$C$4:$C470,$C471)+1,"")</f>
        <v/>
      </c>
      <c r="AM471" s="43">
        <f>IF(OR($C471="",$G471=""),0,IF(COUNTIFS($C$5:$C471,$C471,$G$5:$G471,$G471)=1,1,0))</f>
        <v>0</v>
      </c>
      <c r="AN471" s="43" t="str">
        <f>IF($AM471=1,SUMIFS($AM$4:$AM470,$C$4:$C470,$C471)+1,"")</f>
        <v/>
      </c>
    </row>
    <row r="472">
      <c r="A472" s="44" t="str">
        <f>IF(OR($B472="",$D472=""),"","TX"&amp;TEXT(ROW()-4,"0000"))</f>
        <v/>
      </c>
      <c r="B472" s="42" t="n"/>
      <c r="C472" s="47" t="str">
        <f>IF($B472="","",YEAR($B472)*100+MONTH($B472))</f>
        <v/>
      </c>
      <c r="D472" s="37" t="n"/>
      <c r="E472" s="45" t="str">
        <f>IF($D472="","",IFERROR(INDEX(CARDS!$B$5:$B$34,MATCH($D472,CARDS!$A$5:$A$34,0)),"⚠ Card ID?"))</f>
        <v/>
      </c>
      <c r="F472" s="45" t="str">
        <f>IF($D472="","",IFERROR(INDEX(CARDS!$C$5:$C$34,MATCH($D472,CARDS!$A$5:$A$34,0)),"⚠ Card ID?"))</f>
        <v/>
      </c>
      <c r="G472" s="37" t="n"/>
      <c r="H472" s="37" t="n"/>
      <c r="I472" s="41" t="n"/>
      <c r="J472" s="45" t="str">
        <f>IF($I472="","",IFERROR(INDEX(MCC_MASTER!$B$5:$B$504,MATCH($I472,MCC_MASTER!$A$5:$A$504,0)),"⚠ MCC chưa có"))</f>
        <v/>
      </c>
      <c r="K472" s="45" t="str">
        <f>IF($I472="","",IFERROR(IF(INDEX(MCC_MASTER!$C$5:$C$504,MATCH($I472,MCC_MASTER!$A$5:$A$504,0))="","Chưa phân loại",INDEX(MCC_MASTER!$C$5:$C$504,MATCH($I472,MCC_MASTER!$A$5:$A$504,0))),"Chưa phân loại"))</f>
        <v/>
      </c>
      <c r="L472" s="40" t="n"/>
      <c r="M472" s="48" t="str">
        <f>IF(OR($B472="",$D472=""),"",IF($AC472=0,0,IF(ISNUMBER(INDEX(CASHBACK_RULES!$L$5:$L$304,$AC472)),MAX(0,MIN($L472,INDEX(CASHBACK_RULES!$L$5:$L$304,$AC472)-$AH472)),MAX(0,$L472))))</f>
        <v/>
      </c>
      <c r="N472" s="49" t="str">
        <f>IF(OR($B472="",$D472=""),"",IF($AC472&gt;0,INDEX(CASHBACK_RULES!$I$5:$I$304,$AC472),0))</f>
        <v/>
      </c>
      <c r="O472" s="48" t="str">
        <f>IF(OR($B472="",$D472=""),"",ROUND($M472*$N472,0))</f>
        <v/>
      </c>
      <c r="P472" s="48" t="str">
        <f>IF($AC472&gt;0,IF(ISNUMBER(INDEX(CASHBACK_RULES!$J$5:$J$304,$AC472)),INDEX(CASHBACK_RULES!$J$5:$J$304,$AC472),"∞"),"")</f>
        <v/>
      </c>
      <c r="Q472" s="48" t="str">
        <f>IF(OR($B472="",$D472=""),"",IF($AC472=0,0,MAX(0,MIN($O472,IF(ISNUMBER($P472),$P472-$AF472,1E+15),IF(ISNUMBER($AA472),$AA472-$AG472,1E+15)))))</f>
        <v/>
      </c>
      <c r="R472" s="48" t="str">
        <f>IF(OR($B472="",$D472=""),"",IF($AC472=0,"",IF(AND(NOT(ISNUMBER($P472)),NOT(ISNUMBER($AA472))),"∞",MAX(0,MIN(IF(ISNUMBER($P472),$P472-$AF472-$Q472,1E+15),IF(ISNUMBER($AA472),$AA472-$AG472-$Q472,1E+15))))))</f>
        <v/>
      </c>
      <c r="S472" s="47" t="str">
        <f>IF($AD472="","",YEAR($AD472)*100+MONTH($AD472))</f>
        <v/>
      </c>
      <c r="T472" s="50" t="str">
        <f>IF($AD472="","",IFERROR(IF(INDEX(CARDS!$I$5:$I$34,MATCH($D472,CARDS!$A$5:$A$34,0))="","",IF(INDEX(CARDS!$I$5:$I$34,MATCH($D472,CARDS!$A$5:$A$34,0))&gt;INDEX(CARDS!$H$5:$H$34,MATCH($D472,CARDS!$A$5:$A$34,0)),DATE(YEAR($AD472),MONTH($AD472),MIN(INDEX(CARDS!$I$5:$I$34,MATCH($D472,CARDS!$A$5:$A$34,0)),DAY(EOMONTH($AD472,0)))),DATE(YEAR($AD472),MONTH($AD472)+1,MIN(INDEX(CARDS!$I$5:$I$34,MATCH($D472,CARDS!$A$5:$A$34,0)),DAY(EOMONTH($AD472,1)))))),""))</f>
        <v/>
      </c>
      <c r="U472" s="38" t="n"/>
      <c r="V472" s="37" t="n"/>
      <c r="W472" s="38" t="n"/>
      <c r="X472" s="38" t="n"/>
      <c r="Y472" s="44" t="str">
        <f>IF($AC472&gt;0,INDEX(CASHBACK_RULES!$A$5:$A$304,$AC472),"")</f>
        <v/>
      </c>
      <c r="Z472" s="45" t="str">
        <f>IF($AC472&gt;0,INDEX(CASHBACK_RULES!$E$5:$E$304,$AC472)&amp;"","")</f>
        <v/>
      </c>
      <c r="AA472" s="48" t="str">
        <f>IF($AC472&gt;0,IF(ISNUMBER(INDEX(CASHBACK_RULES!$K$5:$K$304,$AC472)),INDEX(CASHBACK_RULES!$K$5:$K$304,$AC472),"∞"),"")</f>
        <v/>
      </c>
      <c r="AB472" s="44" t="str">
        <f>IF(OR($B472="",$D472=""),"",IF($U472="Cancelled","Đã hủy",IF($AC472=0,"Không được hoàn",IF($Q472=0,IF(OR($O472&gt;0,$M472&lt;$L472),"Đã đạt cap","Không được hoàn"),IF(OR($Q472&lt;$O472,$M472&lt;$L472),"Hoàn một phần","Được hoàn")))))</f>
        <v/>
      </c>
      <c r="AC472" s="43">
        <f>IF(OR($B472="",$D472="",$I472="",$L472=""),0,IF($U472="Cancelled",0,IF($W472&lt;&gt;"",IFERROR(IF(INDEX(CASHBACK_RULES!$B$5:$B$304,MATCH($W472,CASHBACK_RULES!$A$5:$A$304,0))=$D472,MATCH($W472,CASHBACK_RULES!$A$5:$A$304,0),0),0),IFERROR(MATCH(1,INDEX((CASHBACK_RULES!$B$5:$B$304=$D472)*(CASHBACK_RULES!$G$5:$G$304=$I472)*(((CASHBACK_RULES!$N$5:$N$304="")+(CASHBACK_RULES!$N$5:$N$304&lt;=$B472))&gt;0)*(((CASHBACK_RULES!$O$5:$O$304="")+(CASHBACK_RULES!$O$5:$O$304&gt;=$B472))&gt;0)*(((CASHBACK_RULES!$M$5:$M$304="")+(CASHBACK_RULES!$M$5:$M$304&lt;=$L472))&gt;0),0),0),0))))</f>
        <v>0</v>
      </c>
      <c r="AD472" s="51" t="str">
        <f>IF(OR($B472="",$D472=""),"",IFERROR(IF(INDEX(CARDS!$H$5:$H$34,MATCH($D472,CARDS!$A$5:$A$34,0))="","",IF(DAY($B472)&lt;=INDEX(CARDS!$H$5:$H$34,MATCH($D472,CARDS!$A$5:$A$34,0)),DATE(YEAR($B472),MONTH($B472),MIN(INDEX(CARDS!$H$5:$H$34,MATCH($D472,CARDS!$A$5:$A$34,0)),DAY(EOMONTH($B472,0)))),DATE(YEAR($B472),MONTH($B472)+1,MIN(INDEX(CARDS!$H$5:$H$34,MATCH($D472,CARDS!$A$5:$A$34,0)),DAY(EOMONTH($B472,1)))))),""))</f>
        <v/>
      </c>
      <c r="AE472" s="52" t="str">
        <f>IF($C472="","",$C472&amp;"|"&amp;COUNTIF($C$5:$C472,$C472))</f>
        <v/>
      </c>
      <c r="AF472" s="53">
        <f>IF($AC472&gt;0,SUMIFS(Q$4:Q471,$D$4:$D471,$D472,$Z$4:$Z471,$Z472,$C$4:$C471,$C472),0)</f>
        <v>0</v>
      </c>
      <c r="AG472" s="53">
        <f>IF($AC472&gt;0,SUMIFS(Q$4:Q471,$D$4:$D471,$D472,$C$4:$C471,$C472),0)</f>
        <v>0</v>
      </c>
      <c r="AH472" s="53">
        <f>IF($AC472&gt;0,SUMIFS(M$4:M471,$D$4:$D471,$D472,$Z$4:$Z471,$Z472,$C$4:$C471,$C472),0)</f>
        <v>0</v>
      </c>
      <c r="AI472" s="43">
        <f>IF(OR($C472="",$I472=""),0,IF(COUNTIFS($C$5:$C472,$C472,$I$5:$I472,$I472)=1,1,0))</f>
        <v>0</v>
      </c>
      <c r="AJ472" s="43" t="str">
        <f>IF($AI472=1,SUMIFS($AI$4:$AI471,$C$4:$C471,$C472)+1,"")</f>
        <v/>
      </c>
      <c r="AK472" s="43">
        <f>IF(OR($C472="",$K472=""),0,IF(COUNTIFS($C$5:$C472,$C472,$K$5:$K472,$K472)=1,1,0))</f>
        <v>0</v>
      </c>
      <c r="AL472" s="43" t="str">
        <f>IF($AK472=1,SUMIFS($AK$4:$AK471,$C$4:$C471,$C472)+1,"")</f>
        <v/>
      </c>
      <c r="AM472" s="43">
        <f>IF(OR($C472="",$G472=""),0,IF(COUNTIFS($C$5:$C472,$C472,$G$5:$G472,$G472)=1,1,0))</f>
        <v>0</v>
      </c>
      <c r="AN472" s="43" t="str">
        <f>IF($AM472=1,SUMIFS($AM$4:$AM471,$C$4:$C471,$C472)+1,"")</f>
        <v/>
      </c>
    </row>
    <row r="473">
      <c r="A473" s="44" t="str">
        <f>IF(OR($B473="",$D473=""),"","TX"&amp;TEXT(ROW()-4,"0000"))</f>
        <v/>
      </c>
      <c r="B473" s="42" t="n"/>
      <c r="C473" s="47" t="str">
        <f>IF($B473="","",YEAR($B473)*100+MONTH($B473))</f>
        <v/>
      </c>
      <c r="D473" s="37" t="n"/>
      <c r="E473" s="45" t="str">
        <f>IF($D473="","",IFERROR(INDEX(CARDS!$B$5:$B$34,MATCH($D473,CARDS!$A$5:$A$34,0)),"⚠ Card ID?"))</f>
        <v/>
      </c>
      <c r="F473" s="45" t="str">
        <f>IF($D473="","",IFERROR(INDEX(CARDS!$C$5:$C$34,MATCH($D473,CARDS!$A$5:$A$34,0)),"⚠ Card ID?"))</f>
        <v/>
      </c>
      <c r="G473" s="37" t="n"/>
      <c r="H473" s="37" t="n"/>
      <c r="I473" s="41" t="n"/>
      <c r="J473" s="45" t="str">
        <f>IF($I473="","",IFERROR(INDEX(MCC_MASTER!$B$5:$B$504,MATCH($I473,MCC_MASTER!$A$5:$A$504,0)),"⚠ MCC chưa có"))</f>
        <v/>
      </c>
      <c r="K473" s="45" t="str">
        <f>IF($I473="","",IFERROR(IF(INDEX(MCC_MASTER!$C$5:$C$504,MATCH($I473,MCC_MASTER!$A$5:$A$504,0))="","Chưa phân loại",INDEX(MCC_MASTER!$C$5:$C$504,MATCH($I473,MCC_MASTER!$A$5:$A$504,0))),"Chưa phân loại"))</f>
        <v/>
      </c>
      <c r="L473" s="40" t="n"/>
      <c r="M473" s="48" t="str">
        <f>IF(OR($B473="",$D473=""),"",IF($AC473=0,0,IF(ISNUMBER(INDEX(CASHBACK_RULES!$L$5:$L$304,$AC473)),MAX(0,MIN($L473,INDEX(CASHBACK_RULES!$L$5:$L$304,$AC473)-$AH473)),MAX(0,$L473))))</f>
        <v/>
      </c>
      <c r="N473" s="49" t="str">
        <f>IF(OR($B473="",$D473=""),"",IF($AC473&gt;0,INDEX(CASHBACK_RULES!$I$5:$I$304,$AC473),0))</f>
        <v/>
      </c>
      <c r="O473" s="48" t="str">
        <f>IF(OR($B473="",$D473=""),"",ROUND($M473*$N473,0))</f>
        <v/>
      </c>
      <c r="P473" s="48" t="str">
        <f>IF($AC473&gt;0,IF(ISNUMBER(INDEX(CASHBACK_RULES!$J$5:$J$304,$AC473)),INDEX(CASHBACK_RULES!$J$5:$J$304,$AC473),"∞"),"")</f>
        <v/>
      </c>
      <c r="Q473" s="48" t="str">
        <f>IF(OR($B473="",$D473=""),"",IF($AC473=0,0,MAX(0,MIN($O473,IF(ISNUMBER($P473),$P473-$AF473,1E+15),IF(ISNUMBER($AA473),$AA473-$AG473,1E+15)))))</f>
        <v/>
      </c>
      <c r="R473" s="48" t="str">
        <f>IF(OR($B473="",$D473=""),"",IF($AC473=0,"",IF(AND(NOT(ISNUMBER($P473)),NOT(ISNUMBER($AA473))),"∞",MAX(0,MIN(IF(ISNUMBER($P473),$P473-$AF473-$Q473,1E+15),IF(ISNUMBER($AA473),$AA473-$AG473-$Q473,1E+15))))))</f>
        <v/>
      </c>
      <c r="S473" s="47" t="str">
        <f>IF($AD473="","",YEAR($AD473)*100+MONTH($AD473))</f>
        <v/>
      </c>
      <c r="T473" s="50" t="str">
        <f>IF($AD473="","",IFERROR(IF(INDEX(CARDS!$I$5:$I$34,MATCH($D473,CARDS!$A$5:$A$34,0))="","",IF(INDEX(CARDS!$I$5:$I$34,MATCH($D473,CARDS!$A$5:$A$34,0))&gt;INDEX(CARDS!$H$5:$H$34,MATCH($D473,CARDS!$A$5:$A$34,0)),DATE(YEAR($AD473),MONTH($AD473),MIN(INDEX(CARDS!$I$5:$I$34,MATCH($D473,CARDS!$A$5:$A$34,0)),DAY(EOMONTH($AD473,0)))),DATE(YEAR($AD473),MONTH($AD473)+1,MIN(INDEX(CARDS!$I$5:$I$34,MATCH($D473,CARDS!$A$5:$A$34,0)),DAY(EOMONTH($AD473,1)))))),""))</f>
        <v/>
      </c>
      <c r="U473" s="38" t="n"/>
      <c r="V473" s="37" t="n"/>
      <c r="W473" s="38" t="n"/>
      <c r="X473" s="38" t="n"/>
      <c r="Y473" s="44" t="str">
        <f>IF($AC473&gt;0,INDEX(CASHBACK_RULES!$A$5:$A$304,$AC473),"")</f>
        <v/>
      </c>
      <c r="Z473" s="45" t="str">
        <f>IF($AC473&gt;0,INDEX(CASHBACK_RULES!$E$5:$E$304,$AC473)&amp;"","")</f>
        <v/>
      </c>
      <c r="AA473" s="48" t="str">
        <f>IF($AC473&gt;0,IF(ISNUMBER(INDEX(CASHBACK_RULES!$K$5:$K$304,$AC473)),INDEX(CASHBACK_RULES!$K$5:$K$304,$AC473),"∞"),"")</f>
        <v/>
      </c>
      <c r="AB473" s="44" t="str">
        <f>IF(OR($B473="",$D473=""),"",IF($U473="Cancelled","Đã hủy",IF($AC473=0,"Không được hoàn",IF($Q473=0,IF(OR($O473&gt;0,$M473&lt;$L473),"Đã đạt cap","Không được hoàn"),IF(OR($Q473&lt;$O473,$M473&lt;$L473),"Hoàn một phần","Được hoàn")))))</f>
        <v/>
      </c>
      <c r="AC473" s="43">
        <f>IF(OR($B473="",$D473="",$I473="",$L473=""),0,IF($U473="Cancelled",0,IF($W473&lt;&gt;"",IFERROR(IF(INDEX(CASHBACK_RULES!$B$5:$B$304,MATCH($W473,CASHBACK_RULES!$A$5:$A$304,0))=$D473,MATCH($W473,CASHBACK_RULES!$A$5:$A$304,0),0),0),IFERROR(MATCH(1,INDEX((CASHBACK_RULES!$B$5:$B$304=$D473)*(CASHBACK_RULES!$G$5:$G$304=$I473)*(((CASHBACK_RULES!$N$5:$N$304="")+(CASHBACK_RULES!$N$5:$N$304&lt;=$B473))&gt;0)*(((CASHBACK_RULES!$O$5:$O$304="")+(CASHBACK_RULES!$O$5:$O$304&gt;=$B473))&gt;0)*(((CASHBACK_RULES!$M$5:$M$304="")+(CASHBACK_RULES!$M$5:$M$304&lt;=$L473))&gt;0),0),0),0))))</f>
        <v>0</v>
      </c>
      <c r="AD473" s="51" t="str">
        <f>IF(OR($B473="",$D473=""),"",IFERROR(IF(INDEX(CARDS!$H$5:$H$34,MATCH($D473,CARDS!$A$5:$A$34,0))="","",IF(DAY($B473)&lt;=INDEX(CARDS!$H$5:$H$34,MATCH($D473,CARDS!$A$5:$A$34,0)),DATE(YEAR($B473),MONTH($B473),MIN(INDEX(CARDS!$H$5:$H$34,MATCH($D473,CARDS!$A$5:$A$34,0)),DAY(EOMONTH($B473,0)))),DATE(YEAR($B473),MONTH($B473)+1,MIN(INDEX(CARDS!$H$5:$H$34,MATCH($D473,CARDS!$A$5:$A$34,0)),DAY(EOMONTH($B473,1)))))),""))</f>
        <v/>
      </c>
      <c r="AE473" s="52" t="str">
        <f>IF($C473="","",$C473&amp;"|"&amp;COUNTIF($C$5:$C473,$C473))</f>
        <v/>
      </c>
      <c r="AF473" s="53">
        <f>IF($AC473&gt;0,SUMIFS(Q$4:Q472,$D$4:$D472,$D473,$Z$4:$Z472,$Z473,$C$4:$C472,$C473),0)</f>
        <v>0</v>
      </c>
      <c r="AG473" s="53">
        <f>IF($AC473&gt;0,SUMIFS(Q$4:Q472,$D$4:$D472,$D473,$C$4:$C472,$C473),0)</f>
        <v>0</v>
      </c>
      <c r="AH473" s="53">
        <f>IF($AC473&gt;0,SUMIFS(M$4:M472,$D$4:$D472,$D473,$Z$4:$Z472,$Z473,$C$4:$C472,$C473),0)</f>
        <v>0</v>
      </c>
      <c r="AI473" s="43">
        <f>IF(OR($C473="",$I473=""),0,IF(COUNTIFS($C$5:$C473,$C473,$I$5:$I473,$I473)=1,1,0))</f>
        <v>0</v>
      </c>
      <c r="AJ473" s="43" t="str">
        <f>IF($AI473=1,SUMIFS($AI$4:$AI472,$C$4:$C472,$C473)+1,"")</f>
        <v/>
      </c>
      <c r="AK473" s="43">
        <f>IF(OR($C473="",$K473=""),0,IF(COUNTIFS($C$5:$C473,$C473,$K$5:$K473,$K473)=1,1,0))</f>
        <v>0</v>
      </c>
      <c r="AL473" s="43" t="str">
        <f>IF($AK473=1,SUMIFS($AK$4:$AK472,$C$4:$C472,$C473)+1,"")</f>
        <v/>
      </c>
      <c r="AM473" s="43">
        <f>IF(OR($C473="",$G473=""),0,IF(COUNTIFS($C$5:$C473,$C473,$G$5:$G473,$G473)=1,1,0))</f>
        <v>0</v>
      </c>
      <c r="AN473" s="43" t="str">
        <f>IF($AM473=1,SUMIFS($AM$4:$AM472,$C$4:$C472,$C473)+1,"")</f>
        <v/>
      </c>
    </row>
    <row r="474">
      <c r="A474" s="44" t="str">
        <f>IF(OR($B474="",$D474=""),"","TX"&amp;TEXT(ROW()-4,"0000"))</f>
        <v/>
      </c>
      <c r="B474" s="42" t="n"/>
      <c r="C474" s="47" t="str">
        <f>IF($B474="","",YEAR($B474)*100+MONTH($B474))</f>
        <v/>
      </c>
      <c r="D474" s="37" t="n"/>
      <c r="E474" s="45" t="str">
        <f>IF($D474="","",IFERROR(INDEX(CARDS!$B$5:$B$34,MATCH($D474,CARDS!$A$5:$A$34,0)),"⚠ Card ID?"))</f>
        <v/>
      </c>
      <c r="F474" s="45" t="str">
        <f>IF($D474="","",IFERROR(INDEX(CARDS!$C$5:$C$34,MATCH($D474,CARDS!$A$5:$A$34,0)),"⚠ Card ID?"))</f>
        <v/>
      </c>
      <c r="G474" s="37" t="n"/>
      <c r="H474" s="37" t="n"/>
      <c r="I474" s="41" t="n"/>
      <c r="J474" s="45" t="str">
        <f>IF($I474="","",IFERROR(INDEX(MCC_MASTER!$B$5:$B$504,MATCH($I474,MCC_MASTER!$A$5:$A$504,0)),"⚠ MCC chưa có"))</f>
        <v/>
      </c>
      <c r="K474" s="45" t="str">
        <f>IF($I474="","",IFERROR(IF(INDEX(MCC_MASTER!$C$5:$C$504,MATCH($I474,MCC_MASTER!$A$5:$A$504,0))="","Chưa phân loại",INDEX(MCC_MASTER!$C$5:$C$504,MATCH($I474,MCC_MASTER!$A$5:$A$504,0))),"Chưa phân loại"))</f>
        <v/>
      </c>
      <c r="L474" s="40" t="n"/>
      <c r="M474" s="48" t="str">
        <f>IF(OR($B474="",$D474=""),"",IF($AC474=0,0,IF(ISNUMBER(INDEX(CASHBACK_RULES!$L$5:$L$304,$AC474)),MAX(0,MIN($L474,INDEX(CASHBACK_RULES!$L$5:$L$304,$AC474)-$AH474)),MAX(0,$L474))))</f>
        <v/>
      </c>
      <c r="N474" s="49" t="str">
        <f>IF(OR($B474="",$D474=""),"",IF($AC474&gt;0,INDEX(CASHBACK_RULES!$I$5:$I$304,$AC474),0))</f>
        <v/>
      </c>
      <c r="O474" s="48" t="str">
        <f>IF(OR($B474="",$D474=""),"",ROUND($M474*$N474,0))</f>
        <v/>
      </c>
      <c r="P474" s="48" t="str">
        <f>IF($AC474&gt;0,IF(ISNUMBER(INDEX(CASHBACK_RULES!$J$5:$J$304,$AC474)),INDEX(CASHBACK_RULES!$J$5:$J$304,$AC474),"∞"),"")</f>
        <v/>
      </c>
      <c r="Q474" s="48" t="str">
        <f>IF(OR($B474="",$D474=""),"",IF($AC474=0,0,MAX(0,MIN($O474,IF(ISNUMBER($P474),$P474-$AF474,1E+15),IF(ISNUMBER($AA474),$AA474-$AG474,1E+15)))))</f>
        <v/>
      </c>
      <c r="R474" s="48" t="str">
        <f>IF(OR($B474="",$D474=""),"",IF($AC474=0,"",IF(AND(NOT(ISNUMBER($P474)),NOT(ISNUMBER($AA474))),"∞",MAX(0,MIN(IF(ISNUMBER($P474),$P474-$AF474-$Q474,1E+15),IF(ISNUMBER($AA474),$AA474-$AG474-$Q474,1E+15))))))</f>
        <v/>
      </c>
      <c r="S474" s="47" t="str">
        <f>IF($AD474="","",YEAR($AD474)*100+MONTH($AD474))</f>
        <v/>
      </c>
      <c r="T474" s="50" t="str">
        <f>IF($AD474="","",IFERROR(IF(INDEX(CARDS!$I$5:$I$34,MATCH($D474,CARDS!$A$5:$A$34,0))="","",IF(INDEX(CARDS!$I$5:$I$34,MATCH($D474,CARDS!$A$5:$A$34,0))&gt;INDEX(CARDS!$H$5:$H$34,MATCH($D474,CARDS!$A$5:$A$34,0)),DATE(YEAR($AD474),MONTH($AD474),MIN(INDEX(CARDS!$I$5:$I$34,MATCH($D474,CARDS!$A$5:$A$34,0)),DAY(EOMONTH($AD474,0)))),DATE(YEAR($AD474),MONTH($AD474)+1,MIN(INDEX(CARDS!$I$5:$I$34,MATCH($D474,CARDS!$A$5:$A$34,0)),DAY(EOMONTH($AD474,1)))))),""))</f>
        <v/>
      </c>
      <c r="U474" s="38" t="n"/>
      <c r="V474" s="37" t="n"/>
      <c r="W474" s="38" t="n"/>
      <c r="X474" s="38" t="n"/>
      <c r="Y474" s="44" t="str">
        <f>IF($AC474&gt;0,INDEX(CASHBACK_RULES!$A$5:$A$304,$AC474),"")</f>
        <v/>
      </c>
      <c r="Z474" s="45" t="str">
        <f>IF($AC474&gt;0,INDEX(CASHBACK_RULES!$E$5:$E$304,$AC474)&amp;"","")</f>
        <v/>
      </c>
      <c r="AA474" s="48" t="str">
        <f>IF($AC474&gt;0,IF(ISNUMBER(INDEX(CASHBACK_RULES!$K$5:$K$304,$AC474)),INDEX(CASHBACK_RULES!$K$5:$K$304,$AC474),"∞"),"")</f>
        <v/>
      </c>
      <c r="AB474" s="44" t="str">
        <f>IF(OR($B474="",$D474=""),"",IF($U474="Cancelled","Đã hủy",IF($AC474=0,"Không được hoàn",IF($Q474=0,IF(OR($O474&gt;0,$M474&lt;$L474),"Đã đạt cap","Không được hoàn"),IF(OR($Q474&lt;$O474,$M474&lt;$L474),"Hoàn một phần","Được hoàn")))))</f>
        <v/>
      </c>
      <c r="AC474" s="43">
        <f>IF(OR($B474="",$D474="",$I474="",$L474=""),0,IF($U474="Cancelled",0,IF($W474&lt;&gt;"",IFERROR(IF(INDEX(CASHBACK_RULES!$B$5:$B$304,MATCH($W474,CASHBACK_RULES!$A$5:$A$304,0))=$D474,MATCH($W474,CASHBACK_RULES!$A$5:$A$304,0),0),0),IFERROR(MATCH(1,INDEX((CASHBACK_RULES!$B$5:$B$304=$D474)*(CASHBACK_RULES!$G$5:$G$304=$I474)*(((CASHBACK_RULES!$N$5:$N$304="")+(CASHBACK_RULES!$N$5:$N$304&lt;=$B474))&gt;0)*(((CASHBACK_RULES!$O$5:$O$304="")+(CASHBACK_RULES!$O$5:$O$304&gt;=$B474))&gt;0)*(((CASHBACK_RULES!$M$5:$M$304="")+(CASHBACK_RULES!$M$5:$M$304&lt;=$L474))&gt;0),0),0),0))))</f>
        <v>0</v>
      </c>
      <c r="AD474" s="51" t="str">
        <f>IF(OR($B474="",$D474=""),"",IFERROR(IF(INDEX(CARDS!$H$5:$H$34,MATCH($D474,CARDS!$A$5:$A$34,0))="","",IF(DAY($B474)&lt;=INDEX(CARDS!$H$5:$H$34,MATCH($D474,CARDS!$A$5:$A$34,0)),DATE(YEAR($B474),MONTH($B474),MIN(INDEX(CARDS!$H$5:$H$34,MATCH($D474,CARDS!$A$5:$A$34,0)),DAY(EOMONTH($B474,0)))),DATE(YEAR($B474),MONTH($B474)+1,MIN(INDEX(CARDS!$H$5:$H$34,MATCH($D474,CARDS!$A$5:$A$34,0)),DAY(EOMONTH($B474,1)))))),""))</f>
        <v/>
      </c>
      <c r="AE474" s="52" t="str">
        <f>IF($C474="","",$C474&amp;"|"&amp;COUNTIF($C$5:$C474,$C474))</f>
        <v/>
      </c>
      <c r="AF474" s="53">
        <f>IF($AC474&gt;0,SUMIFS(Q$4:Q473,$D$4:$D473,$D474,$Z$4:$Z473,$Z474,$C$4:$C473,$C474),0)</f>
        <v>0</v>
      </c>
      <c r="AG474" s="53">
        <f>IF($AC474&gt;0,SUMIFS(Q$4:Q473,$D$4:$D473,$D474,$C$4:$C473,$C474),0)</f>
        <v>0</v>
      </c>
      <c r="AH474" s="53">
        <f>IF($AC474&gt;0,SUMIFS(M$4:M473,$D$4:$D473,$D474,$Z$4:$Z473,$Z474,$C$4:$C473,$C474),0)</f>
        <v>0</v>
      </c>
      <c r="AI474" s="43">
        <f>IF(OR($C474="",$I474=""),0,IF(COUNTIFS($C$5:$C474,$C474,$I$5:$I474,$I474)=1,1,0))</f>
        <v>0</v>
      </c>
      <c r="AJ474" s="43" t="str">
        <f>IF($AI474=1,SUMIFS($AI$4:$AI473,$C$4:$C473,$C474)+1,"")</f>
        <v/>
      </c>
      <c r="AK474" s="43">
        <f>IF(OR($C474="",$K474=""),0,IF(COUNTIFS($C$5:$C474,$C474,$K$5:$K474,$K474)=1,1,0))</f>
        <v>0</v>
      </c>
      <c r="AL474" s="43" t="str">
        <f>IF($AK474=1,SUMIFS($AK$4:$AK473,$C$4:$C473,$C474)+1,"")</f>
        <v/>
      </c>
      <c r="AM474" s="43">
        <f>IF(OR($C474="",$G474=""),0,IF(COUNTIFS($C$5:$C474,$C474,$G$5:$G474,$G474)=1,1,0))</f>
        <v>0</v>
      </c>
      <c r="AN474" s="43" t="str">
        <f>IF($AM474=1,SUMIFS($AM$4:$AM473,$C$4:$C473,$C474)+1,"")</f>
        <v/>
      </c>
    </row>
    <row r="475">
      <c r="A475" s="44" t="str">
        <f>IF(OR($B475="",$D475=""),"","TX"&amp;TEXT(ROW()-4,"0000"))</f>
        <v/>
      </c>
      <c r="B475" s="42" t="n"/>
      <c r="C475" s="47" t="str">
        <f>IF($B475="","",YEAR($B475)*100+MONTH($B475))</f>
        <v/>
      </c>
      <c r="D475" s="37" t="n"/>
      <c r="E475" s="45" t="str">
        <f>IF($D475="","",IFERROR(INDEX(CARDS!$B$5:$B$34,MATCH($D475,CARDS!$A$5:$A$34,0)),"⚠ Card ID?"))</f>
        <v/>
      </c>
      <c r="F475" s="45" t="str">
        <f>IF($D475="","",IFERROR(INDEX(CARDS!$C$5:$C$34,MATCH($D475,CARDS!$A$5:$A$34,0)),"⚠ Card ID?"))</f>
        <v/>
      </c>
      <c r="G475" s="37" t="n"/>
      <c r="H475" s="37" t="n"/>
      <c r="I475" s="41" t="n"/>
      <c r="J475" s="45" t="str">
        <f>IF($I475="","",IFERROR(INDEX(MCC_MASTER!$B$5:$B$504,MATCH($I475,MCC_MASTER!$A$5:$A$504,0)),"⚠ MCC chưa có"))</f>
        <v/>
      </c>
      <c r="K475" s="45" t="str">
        <f>IF($I475="","",IFERROR(IF(INDEX(MCC_MASTER!$C$5:$C$504,MATCH($I475,MCC_MASTER!$A$5:$A$504,0))="","Chưa phân loại",INDEX(MCC_MASTER!$C$5:$C$504,MATCH($I475,MCC_MASTER!$A$5:$A$504,0))),"Chưa phân loại"))</f>
        <v/>
      </c>
      <c r="L475" s="40" t="n"/>
      <c r="M475" s="48" t="str">
        <f>IF(OR($B475="",$D475=""),"",IF($AC475=0,0,IF(ISNUMBER(INDEX(CASHBACK_RULES!$L$5:$L$304,$AC475)),MAX(0,MIN($L475,INDEX(CASHBACK_RULES!$L$5:$L$304,$AC475)-$AH475)),MAX(0,$L475))))</f>
        <v/>
      </c>
      <c r="N475" s="49" t="str">
        <f>IF(OR($B475="",$D475=""),"",IF($AC475&gt;0,INDEX(CASHBACK_RULES!$I$5:$I$304,$AC475),0))</f>
        <v/>
      </c>
      <c r="O475" s="48" t="str">
        <f>IF(OR($B475="",$D475=""),"",ROUND($M475*$N475,0))</f>
        <v/>
      </c>
      <c r="P475" s="48" t="str">
        <f>IF($AC475&gt;0,IF(ISNUMBER(INDEX(CASHBACK_RULES!$J$5:$J$304,$AC475)),INDEX(CASHBACK_RULES!$J$5:$J$304,$AC475),"∞"),"")</f>
        <v/>
      </c>
      <c r="Q475" s="48" t="str">
        <f>IF(OR($B475="",$D475=""),"",IF($AC475=0,0,MAX(0,MIN($O475,IF(ISNUMBER($P475),$P475-$AF475,1E+15),IF(ISNUMBER($AA475),$AA475-$AG475,1E+15)))))</f>
        <v/>
      </c>
      <c r="R475" s="48" t="str">
        <f>IF(OR($B475="",$D475=""),"",IF($AC475=0,"",IF(AND(NOT(ISNUMBER($P475)),NOT(ISNUMBER($AA475))),"∞",MAX(0,MIN(IF(ISNUMBER($P475),$P475-$AF475-$Q475,1E+15),IF(ISNUMBER($AA475),$AA475-$AG475-$Q475,1E+15))))))</f>
        <v/>
      </c>
      <c r="S475" s="47" t="str">
        <f>IF($AD475="","",YEAR($AD475)*100+MONTH($AD475))</f>
        <v/>
      </c>
      <c r="T475" s="50" t="str">
        <f>IF($AD475="","",IFERROR(IF(INDEX(CARDS!$I$5:$I$34,MATCH($D475,CARDS!$A$5:$A$34,0))="","",IF(INDEX(CARDS!$I$5:$I$34,MATCH($D475,CARDS!$A$5:$A$34,0))&gt;INDEX(CARDS!$H$5:$H$34,MATCH($D475,CARDS!$A$5:$A$34,0)),DATE(YEAR($AD475),MONTH($AD475),MIN(INDEX(CARDS!$I$5:$I$34,MATCH($D475,CARDS!$A$5:$A$34,0)),DAY(EOMONTH($AD475,0)))),DATE(YEAR($AD475),MONTH($AD475)+1,MIN(INDEX(CARDS!$I$5:$I$34,MATCH($D475,CARDS!$A$5:$A$34,0)),DAY(EOMONTH($AD475,1)))))),""))</f>
        <v/>
      </c>
      <c r="U475" s="38" t="n"/>
      <c r="V475" s="37" t="n"/>
      <c r="W475" s="38" t="n"/>
      <c r="X475" s="38" t="n"/>
      <c r="Y475" s="44" t="str">
        <f>IF($AC475&gt;0,INDEX(CASHBACK_RULES!$A$5:$A$304,$AC475),"")</f>
        <v/>
      </c>
      <c r="Z475" s="45" t="str">
        <f>IF($AC475&gt;0,INDEX(CASHBACK_RULES!$E$5:$E$304,$AC475)&amp;"","")</f>
        <v/>
      </c>
      <c r="AA475" s="48" t="str">
        <f>IF($AC475&gt;0,IF(ISNUMBER(INDEX(CASHBACK_RULES!$K$5:$K$304,$AC475)),INDEX(CASHBACK_RULES!$K$5:$K$304,$AC475),"∞"),"")</f>
        <v/>
      </c>
      <c r="AB475" s="44" t="str">
        <f>IF(OR($B475="",$D475=""),"",IF($U475="Cancelled","Đã hủy",IF($AC475=0,"Không được hoàn",IF($Q475=0,IF(OR($O475&gt;0,$M475&lt;$L475),"Đã đạt cap","Không được hoàn"),IF(OR($Q475&lt;$O475,$M475&lt;$L475),"Hoàn một phần","Được hoàn")))))</f>
        <v/>
      </c>
      <c r="AC475" s="43">
        <f>IF(OR($B475="",$D475="",$I475="",$L475=""),0,IF($U475="Cancelled",0,IF($W475&lt;&gt;"",IFERROR(IF(INDEX(CASHBACK_RULES!$B$5:$B$304,MATCH($W475,CASHBACK_RULES!$A$5:$A$304,0))=$D475,MATCH($W475,CASHBACK_RULES!$A$5:$A$304,0),0),0),IFERROR(MATCH(1,INDEX((CASHBACK_RULES!$B$5:$B$304=$D475)*(CASHBACK_RULES!$G$5:$G$304=$I475)*(((CASHBACK_RULES!$N$5:$N$304="")+(CASHBACK_RULES!$N$5:$N$304&lt;=$B475))&gt;0)*(((CASHBACK_RULES!$O$5:$O$304="")+(CASHBACK_RULES!$O$5:$O$304&gt;=$B475))&gt;0)*(((CASHBACK_RULES!$M$5:$M$304="")+(CASHBACK_RULES!$M$5:$M$304&lt;=$L475))&gt;0),0),0),0))))</f>
        <v>0</v>
      </c>
      <c r="AD475" s="51" t="str">
        <f>IF(OR($B475="",$D475=""),"",IFERROR(IF(INDEX(CARDS!$H$5:$H$34,MATCH($D475,CARDS!$A$5:$A$34,0))="","",IF(DAY($B475)&lt;=INDEX(CARDS!$H$5:$H$34,MATCH($D475,CARDS!$A$5:$A$34,0)),DATE(YEAR($B475),MONTH($B475),MIN(INDEX(CARDS!$H$5:$H$34,MATCH($D475,CARDS!$A$5:$A$34,0)),DAY(EOMONTH($B475,0)))),DATE(YEAR($B475),MONTH($B475)+1,MIN(INDEX(CARDS!$H$5:$H$34,MATCH($D475,CARDS!$A$5:$A$34,0)),DAY(EOMONTH($B475,1)))))),""))</f>
        <v/>
      </c>
      <c r="AE475" s="52" t="str">
        <f>IF($C475="","",$C475&amp;"|"&amp;COUNTIF($C$5:$C475,$C475))</f>
        <v/>
      </c>
      <c r="AF475" s="53">
        <f>IF($AC475&gt;0,SUMIFS(Q$4:Q474,$D$4:$D474,$D475,$Z$4:$Z474,$Z475,$C$4:$C474,$C475),0)</f>
        <v>0</v>
      </c>
      <c r="AG475" s="53">
        <f>IF($AC475&gt;0,SUMIFS(Q$4:Q474,$D$4:$D474,$D475,$C$4:$C474,$C475),0)</f>
        <v>0</v>
      </c>
      <c r="AH475" s="53">
        <f>IF($AC475&gt;0,SUMIFS(M$4:M474,$D$4:$D474,$D475,$Z$4:$Z474,$Z475,$C$4:$C474,$C475),0)</f>
        <v>0</v>
      </c>
      <c r="AI475" s="43">
        <f>IF(OR($C475="",$I475=""),0,IF(COUNTIFS($C$5:$C475,$C475,$I$5:$I475,$I475)=1,1,0))</f>
        <v>0</v>
      </c>
      <c r="AJ475" s="43" t="str">
        <f>IF($AI475=1,SUMIFS($AI$4:$AI474,$C$4:$C474,$C475)+1,"")</f>
        <v/>
      </c>
      <c r="AK475" s="43">
        <f>IF(OR($C475="",$K475=""),0,IF(COUNTIFS($C$5:$C475,$C475,$K$5:$K475,$K475)=1,1,0))</f>
        <v>0</v>
      </c>
      <c r="AL475" s="43" t="str">
        <f>IF($AK475=1,SUMIFS($AK$4:$AK474,$C$4:$C474,$C475)+1,"")</f>
        <v/>
      </c>
      <c r="AM475" s="43">
        <f>IF(OR($C475="",$G475=""),0,IF(COUNTIFS($C$5:$C475,$C475,$G$5:$G475,$G475)=1,1,0))</f>
        <v>0</v>
      </c>
      <c r="AN475" s="43" t="str">
        <f>IF($AM475=1,SUMIFS($AM$4:$AM474,$C$4:$C474,$C475)+1,"")</f>
        <v/>
      </c>
    </row>
    <row r="476">
      <c r="A476" s="44" t="str">
        <f>IF(OR($B476="",$D476=""),"","TX"&amp;TEXT(ROW()-4,"0000"))</f>
        <v/>
      </c>
      <c r="B476" s="42" t="n"/>
      <c r="C476" s="47" t="str">
        <f>IF($B476="","",YEAR($B476)*100+MONTH($B476))</f>
        <v/>
      </c>
      <c r="D476" s="37" t="n"/>
      <c r="E476" s="45" t="str">
        <f>IF($D476="","",IFERROR(INDEX(CARDS!$B$5:$B$34,MATCH($D476,CARDS!$A$5:$A$34,0)),"⚠ Card ID?"))</f>
        <v/>
      </c>
      <c r="F476" s="45" t="str">
        <f>IF($D476="","",IFERROR(INDEX(CARDS!$C$5:$C$34,MATCH($D476,CARDS!$A$5:$A$34,0)),"⚠ Card ID?"))</f>
        <v/>
      </c>
      <c r="G476" s="37" t="n"/>
      <c r="H476" s="37" t="n"/>
      <c r="I476" s="41" t="n"/>
      <c r="J476" s="45" t="str">
        <f>IF($I476="","",IFERROR(INDEX(MCC_MASTER!$B$5:$B$504,MATCH($I476,MCC_MASTER!$A$5:$A$504,0)),"⚠ MCC chưa có"))</f>
        <v/>
      </c>
      <c r="K476" s="45" t="str">
        <f>IF($I476="","",IFERROR(IF(INDEX(MCC_MASTER!$C$5:$C$504,MATCH($I476,MCC_MASTER!$A$5:$A$504,0))="","Chưa phân loại",INDEX(MCC_MASTER!$C$5:$C$504,MATCH($I476,MCC_MASTER!$A$5:$A$504,0))),"Chưa phân loại"))</f>
        <v/>
      </c>
      <c r="L476" s="40" t="n"/>
      <c r="M476" s="48" t="str">
        <f>IF(OR($B476="",$D476=""),"",IF($AC476=0,0,IF(ISNUMBER(INDEX(CASHBACK_RULES!$L$5:$L$304,$AC476)),MAX(0,MIN($L476,INDEX(CASHBACK_RULES!$L$5:$L$304,$AC476)-$AH476)),MAX(0,$L476))))</f>
        <v/>
      </c>
      <c r="N476" s="49" t="str">
        <f>IF(OR($B476="",$D476=""),"",IF($AC476&gt;0,INDEX(CASHBACK_RULES!$I$5:$I$304,$AC476),0))</f>
        <v/>
      </c>
      <c r="O476" s="48" t="str">
        <f>IF(OR($B476="",$D476=""),"",ROUND($M476*$N476,0))</f>
        <v/>
      </c>
      <c r="P476" s="48" t="str">
        <f>IF($AC476&gt;0,IF(ISNUMBER(INDEX(CASHBACK_RULES!$J$5:$J$304,$AC476)),INDEX(CASHBACK_RULES!$J$5:$J$304,$AC476),"∞"),"")</f>
        <v/>
      </c>
      <c r="Q476" s="48" t="str">
        <f>IF(OR($B476="",$D476=""),"",IF($AC476=0,0,MAX(0,MIN($O476,IF(ISNUMBER($P476),$P476-$AF476,1E+15),IF(ISNUMBER($AA476),$AA476-$AG476,1E+15)))))</f>
        <v/>
      </c>
      <c r="R476" s="48" t="str">
        <f>IF(OR($B476="",$D476=""),"",IF($AC476=0,"",IF(AND(NOT(ISNUMBER($P476)),NOT(ISNUMBER($AA476))),"∞",MAX(0,MIN(IF(ISNUMBER($P476),$P476-$AF476-$Q476,1E+15),IF(ISNUMBER($AA476),$AA476-$AG476-$Q476,1E+15))))))</f>
        <v/>
      </c>
      <c r="S476" s="47" t="str">
        <f>IF($AD476="","",YEAR($AD476)*100+MONTH($AD476))</f>
        <v/>
      </c>
      <c r="T476" s="50" t="str">
        <f>IF($AD476="","",IFERROR(IF(INDEX(CARDS!$I$5:$I$34,MATCH($D476,CARDS!$A$5:$A$34,0))="","",IF(INDEX(CARDS!$I$5:$I$34,MATCH($D476,CARDS!$A$5:$A$34,0))&gt;INDEX(CARDS!$H$5:$H$34,MATCH($D476,CARDS!$A$5:$A$34,0)),DATE(YEAR($AD476),MONTH($AD476),MIN(INDEX(CARDS!$I$5:$I$34,MATCH($D476,CARDS!$A$5:$A$34,0)),DAY(EOMONTH($AD476,0)))),DATE(YEAR($AD476),MONTH($AD476)+1,MIN(INDEX(CARDS!$I$5:$I$34,MATCH($D476,CARDS!$A$5:$A$34,0)),DAY(EOMONTH($AD476,1)))))),""))</f>
        <v/>
      </c>
      <c r="U476" s="38" t="n"/>
      <c r="V476" s="37" t="n"/>
      <c r="W476" s="38" t="n"/>
      <c r="X476" s="38" t="n"/>
      <c r="Y476" s="44" t="str">
        <f>IF($AC476&gt;0,INDEX(CASHBACK_RULES!$A$5:$A$304,$AC476),"")</f>
        <v/>
      </c>
      <c r="Z476" s="45" t="str">
        <f>IF($AC476&gt;0,INDEX(CASHBACK_RULES!$E$5:$E$304,$AC476)&amp;"","")</f>
        <v/>
      </c>
      <c r="AA476" s="48" t="str">
        <f>IF($AC476&gt;0,IF(ISNUMBER(INDEX(CASHBACK_RULES!$K$5:$K$304,$AC476)),INDEX(CASHBACK_RULES!$K$5:$K$304,$AC476),"∞"),"")</f>
        <v/>
      </c>
      <c r="AB476" s="44" t="str">
        <f>IF(OR($B476="",$D476=""),"",IF($U476="Cancelled","Đã hủy",IF($AC476=0,"Không được hoàn",IF($Q476=0,IF(OR($O476&gt;0,$M476&lt;$L476),"Đã đạt cap","Không được hoàn"),IF(OR($Q476&lt;$O476,$M476&lt;$L476),"Hoàn một phần","Được hoàn")))))</f>
        <v/>
      </c>
      <c r="AC476" s="43">
        <f>IF(OR($B476="",$D476="",$I476="",$L476=""),0,IF($U476="Cancelled",0,IF($W476&lt;&gt;"",IFERROR(IF(INDEX(CASHBACK_RULES!$B$5:$B$304,MATCH($W476,CASHBACK_RULES!$A$5:$A$304,0))=$D476,MATCH($W476,CASHBACK_RULES!$A$5:$A$304,0),0),0),IFERROR(MATCH(1,INDEX((CASHBACK_RULES!$B$5:$B$304=$D476)*(CASHBACK_RULES!$G$5:$G$304=$I476)*(((CASHBACK_RULES!$N$5:$N$304="")+(CASHBACK_RULES!$N$5:$N$304&lt;=$B476))&gt;0)*(((CASHBACK_RULES!$O$5:$O$304="")+(CASHBACK_RULES!$O$5:$O$304&gt;=$B476))&gt;0)*(((CASHBACK_RULES!$M$5:$M$304="")+(CASHBACK_RULES!$M$5:$M$304&lt;=$L476))&gt;0),0),0),0))))</f>
        <v>0</v>
      </c>
      <c r="AD476" s="51" t="str">
        <f>IF(OR($B476="",$D476=""),"",IFERROR(IF(INDEX(CARDS!$H$5:$H$34,MATCH($D476,CARDS!$A$5:$A$34,0))="","",IF(DAY($B476)&lt;=INDEX(CARDS!$H$5:$H$34,MATCH($D476,CARDS!$A$5:$A$34,0)),DATE(YEAR($B476),MONTH($B476),MIN(INDEX(CARDS!$H$5:$H$34,MATCH($D476,CARDS!$A$5:$A$34,0)),DAY(EOMONTH($B476,0)))),DATE(YEAR($B476),MONTH($B476)+1,MIN(INDEX(CARDS!$H$5:$H$34,MATCH($D476,CARDS!$A$5:$A$34,0)),DAY(EOMONTH($B476,1)))))),""))</f>
        <v/>
      </c>
      <c r="AE476" s="52" t="str">
        <f>IF($C476="","",$C476&amp;"|"&amp;COUNTIF($C$5:$C476,$C476))</f>
        <v/>
      </c>
      <c r="AF476" s="53">
        <f>IF($AC476&gt;0,SUMIFS(Q$4:Q475,$D$4:$D475,$D476,$Z$4:$Z475,$Z476,$C$4:$C475,$C476),0)</f>
        <v>0</v>
      </c>
      <c r="AG476" s="53">
        <f>IF($AC476&gt;0,SUMIFS(Q$4:Q475,$D$4:$D475,$D476,$C$4:$C475,$C476),0)</f>
        <v>0</v>
      </c>
      <c r="AH476" s="53">
        <f>IF($AC476&gt;0,SUMIFS(M$4:M475,$D$4:$D475,$D476,$Z$4:$Z475,$Z476,$C$4:$C475,$C476),0)</f>
        <v>0</v>
      </c>
      <c r="AI476" s="43">
        <f>IF(OR($C476="",$I476=""),0,IF(COUNTIFS($C$5:$C476,$C476,$I$5:$I476,$I476)=1,1,0))</f>
        <v>0</v>
      </c>
      <c r="AJ476" s="43" t="str">
        <f>IF($AI476=1,SUMIFS($AI$4:$AI475,$C$4:$C475,$C476)+1,"")</f>
        <v/>
      </c>
      <c r="AK476" s="43">
        <f>IF(OR($C476="",$K476=""),0,IF(COUNTIFS($C$5:$C476,$C476,$K$5:$K476,$K476)=1,1,0))</f>
        <v>0</v>
      </c>
      <c r="AL476" s="43" t="str">
        <f>IF($AK476=1,SUMIFS($AK$4:$AK475,$C$4:$C475,$C476)+1,"")</f>
        <v/>
      </c>
      <c r="AM476" s="43">
        <f>IF(OR($C476="",$G476=""),0,IF(COUNTIFS($C$5:$C476,$C476,$G$5:$G476,$G476)=1,1,0))</f>
        <v>0</v>
      </c>
      <c r="AN476" s="43" t="str">
        <f>IF($AM476=1,SUMIFS($AM$4:$AM475,$C$4:$C475,$C476)+1,"")</f>
        <v/>
      </c>
    </row>
    <row r="477">
      <c r="A477" s="44" t="str">
        <f>IF(OR($B477="",$D477=""),"","TX"&amp;TEXT(ROW()-4,"0000"))</f>
        <v/>
      </c>
      <c r="B477" s="42" t="n"/>
      <c r="C477" s="47" t="str">
        <f>IF($B477="","",YEAR($B477)*100+MONTH($B477))</f>
        <v/>
      </c>
      <c r="D477" s="37" t="n"/>
      <c r="E477" s="45" t="str">
        <f>IF($D477="","",IFERROR(INDEX(CARDS!$B$5:$B$34,MATCH($D477,CARDS!$A$5:$A$34,0)),"⚠ Card ID?"))</f>
        <v/>
      </c>
      <c r="F477" s="45" t="str">
        <f>IF($D477="","",IFERROR(INDEX(CARDS!$C$5:$C$34,MATCH($D477,CARDS!$A$5:$A$34,0)),"⚠ Card ID?"))</f>
        <v/>
      </c>
      <c r="G477" s="37" t="n"/>
      <c r="H477" s="37" t="n"/>
      <c r="I477" s="41" t="n"/>
      <c r="J477" s="45" t="str">
        <f>IF($I477="","",IFERROR(INDEX(MCC_MASTER!$B$5:$B$504,MATCH($I477,MCC_MASTER!$A$5:$A$504,0)),"⚠ MCC chưa có"))</f>
        <v/>
      </c>
      <c r="K477" s="45" t="str">
        <f>IF($I477="","",IFERROR(IF(INDEX(MCC_MASTER!$C$5:$C$504,MATCH($I477,MCC_MASTER!$A$5:$A$504,0))="","Chưa phân loại",INDEX(MCC_MASTER!$C$5:$C$504,MATCH($I477,MCC_MASTER!$A$5:$A$504,0))),"Chưa phân loại"))</f>
        <v/>
      </c>
      <c r="L477" s="40" t="n"/>
      <c r="M477" s="48" t="str">
        <f>IF(OR($B477="",$D477=""),"",IF($AC477=0,0,IF(ISNUMBER(INDEX(CASHBACK_RULES!$L$5:$L$304,$AC477)),MAX(0,MIN($L477,INDEX(CASHBACK_RULES!$L$5:$L$304,$AC477)-$AH477)),MAX(0,$L477))))</f>
        <v/>
      </c>
      <c r="N477" s="49" t="str">
        <f>IF(OR($B477="",$D477=""),"",IF($AC477&gt;0,INDEX(CASHBACK_RULES!$I$5:$I$304,$AC477),0))</f>
        <v/>
      </c>
      <c r="O477" s="48" t="str">
        <f>IF(OR($B477="",$D477=""),"",ROUND($M477*$N477,0))</f>
        <v/>
      </c>
      <c r="P477" s="48" t="str">
        <f>IF($AC477&gt;0,IF(ISNUMBER(INDEX(CASHBACK_RULES!$J$5:$J$304,$AC477)),INDEX(CASHBACK_RULES!$J$5:$J$304,$AC477),"∞"),"")</f>
        <v/>
      </c>
      <c r="Q477" s="48" t="str">
        <f>IF(OR($B477="",$D477=""),"",IF($AC477=0,0,MAX(0,MIN($O477,IF(ISNUMBER($P477),$P477-$AF477,1E+15),IF(ISNUMBER($AA477),$AA477-$AG477,1E+15)))))</f>
        <v/>
      </c>
      <c r="R477" s="48" t="str">
        <f>IF(OR($B477="",$D477=""),"",IF($AC477=0,"",IF(AND(NOT(ISNUMBER($P477)),NOT(ISNUMBER($AA477))),"∞",MAX(0,MIN(IF(ISNUMBER($P477),$P477-$AF477-$Q477,1E+15),IF(ISNUMBER($AA477),$AA477-$AG477-$Q477,1E+15))))))</f>
        <v/>
      </c>
      <c r="S477" s="47" t="str">
        <f>IF($AD477="","",YEAR($AD477)*100+MONTH($AD477))</f>
        <v/>
      </c>
      <c r="T477" s="50" t="str">
        <f>IF($AD477="","",IFERROR(IF(INDEX(CARDS!$I$5:$I$34,MATCH($D477,CARDS!$A$5:$A$34,0))="","",IF(INDEX(CARDS!$I$5:$I$34,MATCH($D477,CARDS!$A$5:$A$34,0))&gt;INDEX(CARDS!$H$5:$H$34,MATCH($D477,CARDS!$A$5:$A$34,0)),DATE(YEAR($AD477),MONTH($AD477),MIN(INDEX(CARDS!$I$5:$I$34,MATCH($D477,CARDS!$A$5:$A$34,0)),DAY(EOMONTH($AD477,0)))),DATE(YEAR($AD477),MONTH($AD477)+1,MIN(INDEX(CARDS!$I$5:$I$34,MATCH($D477,CARDS!$A$5:$A$34,0)),DAY(EOMONTH($AD477,1)))))),""))</f>
        <v/>
      </c>
      <c r="U477" s="38" t="n"/>
      <c r="V477" s="37" t="n"/>
      <c r="W477" s="38" t="n"/>
      <c r="X477" s="38" t="n"/>
      <c r="Y477" s="44" t="str">
        <f>IF($AC477&gt;0,INDEX(CASHBACK_RULES!$A$5:$A$304,$AC477),"")</f>
        <v/>
      </c>
      <c r="Z477" s="45" t="str">
        <f>IF($AC477&gt;0,INDEX(CASHBACK_RULES!$E$5:$E$304,$AC477)&amp;"","")</f>
        <v/>
      </c>
      <c r="AA477" s="48" t="str">
        <f>IF($AC477&gt;0,IF(ISNUMBER(INDEX(CASHBACK_RULES!$K$5:$K$304,$AC477)),INDEX(CASHBACK_RULES!$K$5:$K$304,$AC477),"∞"),"")</f>
        <v/>
      </c>
      <c r="AB477" s="44" t="str">
        <f>IF(OR($B477="",$D477=""),"",IF($U477="Cancelled","Đã hủy",IF($AC477=0,"Không được hoàn",IF($Q477=0,IF(OR($O477&gt;0,$M477&lt;$L477),"Đã đạt cap","Không được hoàn"),IF(OR($Q477&lt;$O477,$M477&lt;$L477),"Hoàn một phần","Được hoàn")))))</f>
        <v/>
      </c>
      <c r="AC477" s="43">
        <f>IF(OR($B477="",$D477="",$I477="",$L477=""),0,IF($U477="Cancelled",0,IF($W477&lt;&gt;"",IFERROR(IF(INDEX(CASHBACK_RULES!$B$5:$B$304,MATCH($W477,CASHBACK_RULES!$A$5:$A$304,0))=$D477,MATCH($W477,CASHBACK_RULES!$A$5:$A$304,0),0),0),IFERROR(MATCH(1,INDEX((CASHBACK_RULES!$B$5:$B$304=$D477)*(CASHBACK_RULES!$G$5:$G$304=$I477)*(((CASHBACK_RULES!$N$5:$N$304="")+(CASHBACK_RULES!$N$5:$N$304&lt;=$B477))&gt;0)*(((CASHBACK_RULES!$O$5:$O$304="")+(CASHBACK_RULES!$O$5:$O$304&gt;=$B477))&gt;0)*(((CASHBACK_RULES!$M$5:$M$304="")+(CASHBACK_RULES!$M$5:$M$304&lt;=$L477))&gt;0),0),0),0))))</f>
        <v>0</v>
      </c>
      <c r="AD477" s="51" t="str">
        <f>IF(OR($B477="",$D477=""),"",IFERROR(IF(INDEX(CARDS!$H$5:$H$34,MATCH($D477,CARDS!$A$5:$A$34,0))="","",IF(DAY($B477)&lt;=INDEX(CARDS!$H$5:$H$34,MATCH($D477,CARDS!$A$5:$A$34,0)),DATE(YEAR($B477),MONTH($B477),MIN(INDEX(CARDS!$H$5:$H$34,MATCH($D477,CARDS!$A$5:$A$34,0)),DAY(EOMONTH($B477,0)))),DATE(YEAR($B477),MONTH($B477)+1,MIN(INDEX(CARDS!$H$5:$H$34,MATCH($D477,CARDS!$A$5:$A$34,0)),DAY(EOMONTH($B477,1)))))),""))</f>
        <v/>
      </c>
      <c r="AE477" s="52" t="str">
        <f>IF($C477="","",$C477&amp;"|"&amp;COUNTIF($C$5:$C477,$C477))</f>
        <v/>
      </c>
      <c r="AF477" s="53">
        <f>IF($AC477&gt;0,SUMIFS(Q$4:Q476,$D$4:$D476,$D477,$Z$4:$Z476,$Z477,$C$4:$C476,$C477),0)</f>
        <v>0</v>
      </c>
      <c r="AG477" s="53">
        <f>IF($AC477&gt;0,SUMIFS(Q$4:Q476,$D$4:$D476,$D477,$C$4:$C476,$C477),0)</f>
        <v>0</v>
      </c>
      <c r="AH477" s="53">
        <f>IF($AC477&gt;0,SUMIFS(M$4:M476,$D$4:$D476,$D477,$Z$4:$Z476,$Z477,$C$4:$C476,$C477),0)</f>
        <v>0</v>
      </c>
      <c r="AI477" s="43">
        <f>IF(OR($C477="",$I477=""),0,IF(COUNTIFS($C$5:$C477,$C477,$I$5:$I477,$I477)=1,1,0))</f>
        <v>0</v>
      </c>
      <c r="AJ477" s="43" t="str">
        <f>IF($AI477=1,SUMIFS($AI$4:$AI476,$C$4:$C476,$C477)+1,"")</f>
        <v/>
      </c>
      <c r="AK477" s="43">
        <f>IF(OR($C477="",$K477=""),0,IF(COUNTIFS($C$5:$C477,$C477,$K$5:$K477,$K477)=1,1,0))</f>
        <v>0</v>
      </c>
      <c r="AL477" s="43" t="str">
        <f>IF($AK477=1,SUMIFS($AK$4:$AK476,$C$4:$C476,$C477)+1,"")</f>
        <v/>
      </c>
      <c r="AM477" s="43">
        <f>IF(OR($C477="",$G477=""),0,IF(COUNTIFS($C$5:$C477,$C477,$G$5:$G477,$G477)=1,1,0))</f>
        <v>0</v>
      </c>
      <c r="AN477" s="43" t="str">
        <f>IF($AM477=1,SUMIFS($AM$4:$AM476,$C$4:$C476,$C477)+1,"")</f>
        <v/>
      </c>
    </row>
    <row r="478">
      <c r="A478" s="44" t="str">
        <f>IF(OR($B478="",$D478=""),"","TX"&amp;TEXT(ROW()-4,"0000"))</f>
        <v/>
      </c>
      <c r="B478" s="42" t="n"/>
      <c r="C478" s="47" t="str">
        <f>IF($B478="","",YEAR($B478)*100+MONTH($B478))</f>
        <v/>
      </c>
      <c r="D478" s="37" t="n"/>
      <c r="E478" s="45" t="str">
        <f>IF($D478="","",IFERROR(INDEX(CARDS!$B$5:$B$34,MATCH($D478,CARDS!$A$5:$A$34,0)),"⚠ Card ID?"))</f>
        <v/>
      </c>
      <c r="F478" s="45" t="str">
        <f>IF($D478="","",IFERROR(INDEX(CARDS!$C$5:$C$34,MATCH($D478,CARDS!$A$5:$A$34,0)),"⚠ Card ID?"))</f>
        <v/>
      </c>
      <c r="G478" s="37" t="n"/>
      <c r="H478" s="37" t="n"/>
      <c r="I478" s="41" t="n"/>
      <c r="J478" s="45" t="str">
        <f>IF($I478="","",IFERROR(INDEX(MCC_MASTER!$B$5:$B$504,MATCH($I478,MCC_MASTER!$A$5:$A$504,0)),"⚠ MCC chưa có"))</f>
        <v/>
      </c>
      <c r="K478" s="45" t="str">
        <f>IF($I478="","",IFERROR(IF(INDEX(MCC_MASTER!$C$5:$C$504,MATCH($I478,MCC_MASTER!$A$5:$A$504,0))="","Chưa phân loại",INDEX(MCC_MASTER!$C$5:$C$504,MATCH($I478,MCC_MASTER!$A$5:$A$504,0))),"Chưa phân loại"))</f>
        <v/>
      </c>
      <c r="L478" s="40" t="n"/>
      <c r="M478" s="48" t="str">
        <f>IF(OR($B478="",$D478=""),"",IF($AC478=0,0,IF(ISNUMBER(INDEX(CASHBACK_RULES!$L$5:$L$304,$AC478)),MAX(0,MIN($L478,INDEX(CASHBACK_RULES!$L$5:$L$304,$AC478)-$AH478)),MAX(0,$L478))))</f>
        <v/>
      </c>
      <c r="N478" s="49" t="str">
        <f>IF(OR($B478="",$D478=""),"",IF($AC478&gt;0,INDEX(CASHBACK_RULES!$I$5:$I$304,$AC478),0))</f>
        <v/>
      </c>
      <c r="O478" s="48" t="str">
        <f>IF(OR($B478="",$D478=""),"",ROUND($M478*$N478,0))</f>
        <v/>
      </c>
      <c r="P478" s="48" t="str">
        <f>IF($AC478&gt;0,IF(ISNUMBER(INDEX(CASHBACK_RULES!$J$5:$J$304,$AC478)),INDEX(CASHBACK_RULES!$J$5:$J$304,$AC478),"∞"),"")</f>
        <v/>
      </c>
      <c r="Q478" s="48" t="str">
        <f>IF(OR($B478="",$D478=""),"",IF($AC478=0,0,MAX(0,MIN($O478,IF(ISNUMBER($P478),$P478-$AF478,1E+15),IF(ISNUMBER($AA478),$AA478-$AG478,1E+15)))))</f>
        <v/>
      </c>
      <c r="R478" s="48" t="str">
        <f>IF(OR($B478="",$D478=""),"",IF($AC478=0,"",IF(AND(NOT(ISNUMBER($P478)),NOT(ISNUMBER($AA478))),"∞",MAX(0,MIN(IF(ISNUMBER($P478),$P478-$AF478-$Q478,1E+15),IF(ISNUMBER($AA478),$AA478-$AG478-$Q478,1E+15))))))</f>
        <v/>
      </c>
      <c r="S478" s="47" t="str">
        <f>IF($AD478="","",YEAR($AD478)*100+MONTH($AD478))</f>
        <v/>
      </c>
      <c r="T478" s="50" t="str">
        <f>IF($AD478="","",IFERROR(IF(INDEX(CARDS!$I$5:$I$34,MATCH($D478,CARDS!$A$5:$A$34,0))="","",IF(INDEX(CARDS!$I$5:$I$34,MATCH($D478,CARDS!$A$5:$A$34,0))&gt;INDEX(CARDS!$H$5:$H$34,MATCH($D478,CARDS!$A$5:$A$34,0)),DATE(YEAR($AD478),MONTH($AD478),MIN(INDEX(CARDS!$I$5:$I$34,MATCH($D478,CARDS!$A$5:$A$34,0)),DAY(EOMONTH($AD478,0)))),DATE(YEAR($AD478),MONTH($AD478)+1,MIN(INDEX(CARDS!$I$5:$I$34,MATCH($D478,CARDS!$A$5:$A$34,0)),DAY(EOMONTH($AD478,1)))))),""))</f>
        <v/>
      </c>
      <c r="U478" s="38" t="n"/>
      <c r="V478" s="37" t="n"/>
      <c r="W478" s="38" t="n"/>
      <c r="X478" s="38" t="n"/>
      <c r="Y478" s="44" t="str">
        <f>IF($AC478&gt;0,INDEX(CASHBACK_RULES!$A$5:$A$304,$AC478),"")</f>
        <v/>
      </c>
      <c r="Z478" s="45" t="str">
        <f>IF($AC478&gt;0,INDEX(CASHBACK_RULES!$E$5:$E$304,$AC478)&amp;"","")</f>
        <v/>
      </c>
      <c r="AA478" s="48" t="str">
        <f>IF($AC478&gt;0,IF(ISNUMBER(INDEX(CASHBACK_RULES!$K$5:$K$304,$AC478)),INDEX(CASHBACK_RULES!$K$5:$K$304,$AC478),"∞"),"")</f>
        <v/>
      </c>
      <c r="AB478" s="44" t="str">
        <f>IF(OR($B478="",$D478=""),"",IF($U478="Cancelled","Đã hủy",IF($AC478=0,"Không được hoàn",IF($Q478=0,IF(OR($O478&gt;0,$M478&lt;$L478),"Đã đạt cap","Không được hoàn"),IF(OR($Q478&lt;$O478,$M478&lt;$L478),"Hoàn một phần","Được hoàn")))))</f>
        <v/>
      </c>
      <c r="AC478" s="43">
        <f>IF(OR($B478="",$D478="",$I478="",$L478=""),0,IF($U478="Cancelled",0,IF($W478&lt;&gt;"",IFERROR(IF(INDEX(CASHBACK_RULES!$B$5:$B$304,MATCH($W478,CASHBACK_RULES!$A$5:$A$304,0))=$D478,MATCH($W478,CASHBACK_RULES!$A$5:$A$304,0),0),0),IFERROR(MATCH(1,INDEX((CASHBACK_RULES!$B$5:$B$304=$D478)*(CASHBACK_RULES!$G$5:$G$304=$I478)*(((CASHBACK_RULES!$N$5:$N$304="")+(CASHBACK_RULES!$N$5:$N$304&lt;=$B478))&gt;0)*(((CASHBACK_RULES!$O$5:$O$304="")+(CASHBACK_RULES!$O$5:$O$304&gt;=$B478))&gt;0)*(((CASHBACK_RULES!$M$5:$M$304="")+(CASHBACK_RULES!$M$5:$M$304&lt;=$L478))&gt;0),0),0),0))))</f>
        <v>0</v>
      </c>
      <c r="AD478" s="51" t="str">
        <f>IF(OR($B478="",$D478=""),"",IFERROR(IF(INDEX(CARDS!$H$5:$H$34,MATCH($D478,CARDS!$A$5:$A$34,0))="","",IF(DAY($B478)&lt;=INDEX(CARDS!$H$5:$H$34,MATCH($D478,CARDS!$A$5:$A$34,0)),DATE(YEAR($B478),MONTH($B478),MIN(INDEX(CARDS!$H$5:$H$34,MATCH($D478,CARDS!$A$5:$A$34,0)),DAY(EOMONTH($B478,0)))),DATE(YEAR($B478),MONTH($B478)+1,MIN(INDEX(CARDS!$H$5:$H$34,MATCH($D478,CARDS!$A$5:$A$34,0)),DAY(EOMONTH($B478,1)))))),""))</f>
        <v/>
      </c>
      <c r="AE478" s="52" t="str">
        <f>IF($C478="","",$C478&amp;"|"&amp;COUNTIF($C$5:$C478,$C478))</f>
        <v/>
      </c>
      <c r="AF478" s="53">
        <f>IF($AC478&gt;0,SUMIFS(Q$4:Q477,$D$4:$D477,$D478,$Z$4:$Z477,$Z478,$C$4:$C477,$C478),0)</f>
        <v>0</v>
      </c>
      <c r="AG478" s="53">
        <f>IF($AC478&gt;0,SUMIFS(Q$4:Q477,$D$4:$D477,$D478,$C$4:$C477,$C478),0)</f>
        <v>0</v>
      </c>
      <c r="AH478" s="53">
        <f>IF($AC478&gt;0,SUMIFS(M$4:M477,$D$4:$D477,$D478,$Z$4:$Z477,$Z478,$C$4:$C477,$C478),0)</f>
        <v>0</v>
      </c>
      <c r="AI478" s="43">
        <f>IF(OR($C478="",$I478=""),0,IF(COUNTIFS($C$5:$C478,$C478,$I$5:$I478,$I478)=1,1,0))</f>
        <v>0</v>
      </c>
      <c r="AJ478" s="43" t="str">
        <f>IF($AI478=1,SUMIFS($AI$4:$AI477,$C$4:$C477,$C478)+1,"")</f>
        <v/>
      </c>
      <c r="AK478" s="43">
        <f>IF(OR($C478="",$K478=""),0,IF(COUNTIFS($C$5:$C478,$C478,$K$5:$K478,$K478)=1,1,0))</f>
        <v>0</v>
      </c>
      <c r="AL478" s="43" t="str">
        <f>IF($AK478=1,SUMIFS($AK$4:$AK477,$C$4:$C477,$C478)+1,"")</f>
        <v/>
      </c>
      <c r="AM478" s="43">
        <f>IF(OR($C478="",$G478=""),0,IF(COUNTIFS($C$5:$C478,$C478,$G$5:$G478,$G478)=1,1,0))</f>
        <v>0</v>
      </c>
      <c r="AN478" s="43" t="str">
        <f>IF($AM478=1,SUMIFS($AM$4:$AM477,$C$4:$C477,$C478)+1,"")</f>
        <v/>
      </c>
    </row>
    <row r="479">
      <c r="A479" s="44" t="str">
        <f>IF(OR($B479="",$D479=""),"","TX"&amp;TEXT(ROW()-4,"0000"))</f>
        <v/>
      </c>
      <c r="B479" s="42" t="n"/>
      <c r="C479" s="47" t="str">
        <f>IF($B479="","",YEAR($B479)*100+MONTH($B479))</f>
        <v/>
      </c>
      <c r="D479" s="37" t="n"/>
      <c r="E479" s="45" t="str">
        <f>IF($D479="","",IFERROR(INDEX(CARDS!$B$5:$B$34,MATCH($D479,CARDS!$A$5:$A$34,0)),"⚠ Card ID?"))</f>
        <v/>
      </c>
      <c r="F479" s="45" t="str">
        <f>IF($D479="","",IFERROR(INDEX(CARDS!$C$5:$C$34,MATCH($D479,CARDS!$A$5:$A$34,0)),"⚠ Card ID?"))</f>
        <v/>
      </c>
      <c r="G479" s="37" t="n"/>
      <c r="H479" s="37" t="n"/>
      <c r="I479" s="41" t="n"/>
      <c r="J479" s="45" t="str">
        <f>IF($I479="","",IFERROR(INDEX(MCC_MASTER!$B$5:$B$504,MATCH($I479,MCC_MASTER!$A$5:$A$504,0)),"⚠ MCC chưa có"))</f>
        <v/>
      </c>
      <c r="K479" s="45" t="str">
        <f>IF($I479="","",IFERROR(IF(INDEX(MCC_MASTER!$C$5:$C$504,MATCH($I479,MCC_MASTER!$A$5:$A$504,0))="","Chưa phân loại",INDEX(MCC_MASTER!$C$5:$C$504,MATCH($I479,MCC_MASTER!$A$5:$A$504,0))),"Chưa phân loại"))</f>
        <v/>
      </c>
      <c r="L479" s="40" t="n"/>
      <c r="M479" s="48" t="str">
        <f>IF(OR($B479="",$D479=""),"",IF($AC479=0,0,IF(ISNUMBER(INDEX(CASHBACK_RULES!$L$5:$L$304,$AC479)),MAX(0,MIN($L479,INDEX(CASHBACK_RULES!$L$5:$L$304,$AC479)-$AH479)),MAX(0,$L479))))</f>
        <v/>
      </c>
      <c r="N479" s="49" t="str">
        <f>IF(OR($B479="",$D479=""),"",IF($AC479&gt;0,INDEX(CASHBACK_RULES!$I$5:$I$304,$AC479),0))</f>
        <v/>
      </c>
      <c r="O479" s="48" t="str">
        <f>IF(OR($B479="",$D479=""),"",ROUND($M479*$N479,0))</f>
        <v/>
      </c>
      <c r="P479" s="48" t="str">
        <f>IF($AC479&gt;0,IF(ISNUMBER(INDEX(CASHBACK_RULES!$J$5:$J$304,$AC479)),INDEX(CASHBACK_RULES!$J$5:$J$304,$AC479),"∞"),"")</f>
        <v/>
      </c>
      <c r="Q479" s="48" t="str">
        <f>IF(OR($B479="",$D479=""),"",IF($AC479=0,0,MAX(0,MIN($O479,IF(ISNUMBER($P479),$P479-$AF479,1E+15),IF(ISNUMBER($AA479),$AA479-$AG479,1E+15)))))</f>
        <v/>
      </c>
      <c r="R479" s="48" t="str">
        <f>IF(OR($B479="",$D479=""),"",IF($AC479=0,"",IF(AND(NOT(ISNUMBER($P479)),NOT(ISNUMBER($AA479))),"∞",MAX(0,MIN(IF(ISNUMBER($P479),$P479-$AF479-$Q479,1E+15),IF(ISNUMBER($AA479),$AA479-$AG479-$Q479,1E+15))))))</f>
        <v/>
      </c>
      <c r="S479" s="47" t="str">
        <f>IF($AD479="","",YEAR($AD479)*100+MONTH($AD479))</f>
        <v/>
      </c>
      <c r="T479" s="50" t="str">
        <f>IF($AD479="","",IFERROR(IF(INDEX(CARDS!$I$5:$I$34,MATCH($D479,CARDS!$A$5:$A$34,0))="","",IF(INDEX(CARDS!$I$5:$I$34,MATCH($D479,CARDS!$A$5:$A$34,0))&gt;INDEX(CARDS!$H$5:$H$34,MATCH($D479,CARDS!$A$5:$A$34,0)),DATE(YEAR($AD479),MONTH($AD479),MIN(INDEX(CARDS!$I$5:$I$34,MATCH($D479,CARDS!$A$5:$A$34,0)),DAY(EOMONTH($AD479,0)))),DATE(YEAR($AD479),MONTH($AD479)+1,MIN(INDEX(CARDS!$I$5:$I$34,MATCH($D479,CARDS!$A$5:$A$34,0)),DAY(EOMONTH($AD479,1)))))),""))</f>
        <v/>
      </c>
      <c r="U479" s="38" t="n"/>
      <c r="V479" s="37" t="n"/>
      <c r="W479" s="38" t="n"/>
      <c r="X479" s="38" t="n"/>
      <c r="Y479" s="44" t="str">
        <f>IF($AC479&gt;0,INDEX(CASHBACK_RULES!$A$5:$A$304,$AC479),"")</f>
        <v/>
      </c>
      <c r="Z479" s="45" t="str">
        <f>IF($AC479&gt;0,INDEX(CASHBACK_RULES!$E$5:$E$304,$AC479)&amp;"","")</f>
        <v/>
      </c>
      <c r="AA479" s="48" t="str">
        <f>IF($AC479&gt;0,IF(ISNUMBER(INDEX(CASHBACK_RULES!$K$5:$K$304,$AC479)),INDEX(CASHBACK_RULES!$K$5:$K$304,$AC479),"∞"),"")</f>
        <v/>
      </c>
      <c r="AB479" s="44" t="str">
        <f>IF(OR($B479="",$D479=""),"",IF($U479="Cancelled","Đã hủy",IF($AC479=0,"Không được hoàn",IF($Q479=0,IF(OR($O479&gt;0,$M479&lt;$L479),"Đã đạt cap","Không được hoàn"),IF(OR($Q479&lt;$O479,$M479&lt;$L479),"Hoàn một phần","Được hoàn")))))</f>
        <v/>
      </c>
      <c r="AC479" s="43">
        <f>IF(OR($B479="",$D479="",$I479="",$L479=""),0,IF($U479="Cancelled",0,IF($W479&lt;&gt;"",IFERROR(IF(INDEX(CASHBACK_RULES!$B$5:$B$304,MATCH($W479,CASHBACK_RULES!$A$5:$A$304,0))=$D479,MATCH($W479,CASHBACK_RULES!$A$5:$A$304,0),0),0),IFERROR(MATCH(1,INDEX((CASHBACK_RULES!$B$5:$B$304=$D479)*(CASHBACK_RULES!$G$5:$G$304=$I479)*(((CASHBACK_RULES!$N$5:$N$304="")+(CASHBACK_RULES!$N$5:$N$304&lt;=$B479))&gt;0)*(((CASHBACK_RULES!$O$5:$O$304="")+(CASHBACK_RULES!$O$5:$O$304&gt;=$B479))&gt;0)*(((CASHBACK_RULES!$M$5:$M$304="")+(CASHBACK_RULES!$M$5:$M$304&lt;=$L479))&gt;0),0),0),0))))</f>
        <v>0</v>
      </c>
      <c r="AD479" s="51" t="str">
        <f>IF(OR($B479="",$D479=""),"",IFERROR(IF(INDEX(CARDS!$H$5:$H$34,MATCH($D479,CARDS!$A$5:$A$34,0))="","",IF(DAY($B479)&lt;=INDEX(CARDS!$H$5:$H$34,MATCH($D479,CARDS!$A$5:$A$34,0)),DATE(YEAR($B479),MONTH($B479),MIN(INDEX(CARDS!$H$5:$H$34,MATCH($D479,CARDS!$A$5:$A$34,0)),DAY(EOMONTH($B479,0)))),DATE(YEAR($B479),MONTH($B479)+1,MIN(INDEX(CARDS!$H$5:$H$34,MATCH($D479,CARDS!$A$5:$A$34,0)),DAY(EOMONTH($B479,1)))))),""))</f>
        <v/>
      </c>
      <c r="AE479" s="52" t="str">
        <f>IF($C479="","",$C479&amp;"|"&amp;COUNTIF($C$5:$C479,$C479))</f>
        <v/>
      </c>
      <c r="AF479" s="53">
        <f>IF($AC479&gt;0,SUMIFS(Q$4:Q478,$D$4:$D478,$D479,$Z$4:$Z478,$Z479,$C$4:$C478,$C479),0)</f>
        <v>0</v>
      </c>
      <c r="AG479" s="53">
        <f>IF($AC479&gt;0,SUMIFS(Q$4:Q478,$D$4:$D478,$D479,$C$4:$C478,$C479),0)</f>
        <v>0</v>
      </c>
      <c r="AH479" s="53">
        <f>IF($AC479&gt;0,SUMIFS(M$4:M478,$D$4:$D478,$D479,$Z$4:$Z478,$Z479,$C$4:$C478,$C479),0)</f>
        <v>0</v>
      </c>
      <c r="AI479" s="43">
        <f>IF(OR($C479="",$I479=""),0,IF(COUNTIFS($C$5:$C479,$C479,$I$5:$I479,$I479)=1,1,0))</f>
        <v>0</v>
      </c>
      <c r="AJ479" s="43" t="str">
        <f>IF($AI479=1,SUMIFS($AI$4:$AI478,$C$4:$C478,$C479)+1,"")</f>
        <v/>
      </c>
      <c r="AK479" s="43">
        <f>IF(OR($C479="",$K479=""),0,IF(COUNTIFS($C$5:$C479,$C479,$K$5:$K479,$K479)=1,1,0))</f>
        <v>0</v>
      </c>
      <c r="AL479" s="43" t="str">
        <f>IF($AK479=1,SUMIFS($AK$4:$AK478,$C$4:$C478,$C479)+1,"")</f>
        <v/>
      </c>
      <c r="AM479" s="43">
        <f>IF(OR($C479="",$G479=""),0,IF(COUNTIFS($C$5:$C479,$C479,$G$5:$G479,$G479)=1,1,0))</f>
        <v>0</v>
      </c>
      <c r="AN479" s="43" t="str">
        <f>IF($AM479=1,SUMIFS($AM$4:$AM478,$C$4:$C478,$C479)+1,"")</f>
        <v/>
      </c>
    </row>
    <row r="480">
      <c r="A480" s="44" t="str">
        <f>IF(OR($B480="",$D480=""),"","TX"&amp;TEXT(ROW()-4,"0000"))</f>
        <v/>
      </c>
      <c r="B480" s="42" t="n"/>
      <c r="C480" s="47" t="str">
        <f>IF($B480="","",YEAR($B480)*100+MONTH($B480))</f>
        <v/>
      </c>
      <c r="D480" s="37" t="n"/>
      <c r="E480" s="45" t="str">
        <f>IF($D480="","",IFERROR(INDEX(CARDS!$B$5:$B$34,MATCH($D480,CARDS!$A$5:$A$34,0)),"⚠ Card ID?"))</f>
        <v/>
      </c>
      <c r="F480" s="45" t="str">
        <f>IF($D480="","",IFERROR(INDEX(CARDS!$C$5:$C$34,MATCH($D480,CARDS!$A$5:$A$34,0)),"⚠ Card ID?"))</f>
        <v/>
      </c>
      <c r="G480" s="37" t="n"/>
      <c r="H480" s="37" t="n"/>
      <c r="I480" s="41" t="n"/>
      <c r="J480" s="45" t="str">
        <f>IF($I480="","",IFERROR(INDEX(MCC_MASTER!$B$5:$B$504,MATCH($I480,MCC_MASTER!$A$5:$A$504,0)),"⚠ MCC chưa có"))</f>
        <v/>
      </c>
      <c r="K480" s="45" t="str">
        <f>IF($I480="","",IFERROR(IF(INDEX(MCC_MASTER!$C$5:$C$504,MATCH($I480,MCC_MASTER!$A$5:$A$504,0))="","Chưa phân loại",INDEX(MCC_MASTER!$C$5:$C$504,MATCH($I480,MCC_MASTER!$A$5:$A$504,0))),"Chưa phân loại"))</f>
        <v/>
      </c>
      <c r="L480" s="40" t="n"/>
      <c r="M480" s="48" t="str">
        <f>IF(OR($B480="",$D480=""),"",IF($AC480=0,0,IF(ISNUMBER(INDEX(CASHBACK_RULES!$L$5:$L$304,$AC480)),MAX(0,MIN($L480,INDEX(CASHBACK_RULES!$L$5:$L$304,$AC480)-$AH480)),MAX(0,$L480))))</f>
        <v/>
      </c>
      <c r="N480" s="49" t="str">
        <f>IF(OR($B480="",$D480=""),"",IF($AC480&gt;0,INDEX(CASHBACK_RULES!$I$5:$I$304,$AC480),0))</f>
        <v/>
      </c>
      <c r="O480" s="48" t="str">
        <f>IF(OR($B480="",$D480=""),"",ROUND($M480*$N480,0))</f>
        <v/>
      </c>
      <c r="P480" s="48" t="str">
        <f>IF($AC480&gt;0,IF(ISNUMBER(INDEX(CASHBACK_RULES!$J$5:$J$304,$AC480)),INDEX(CASHBACK_RULES!$J$5:$J$304,$AC480),"∞"),"")</f>
        <v/>
      </c>
      <c r="Q480" s="48" t="str">
        <f>IF(OR($B480="",$D480=""),"",IF($AC480=0,0,MAX(0,MIN($O480,IF(ISNUMBER($P480),$P480-$AF480,1E+15),IF(ISNUMBER($AA480),$AA480-$AG480,1E+15)))))</f>
        <v/>
      </c>
      <c r="R480" s="48" t="str">
        <f>IF(OR($B480="",$D480=""),"",IF($AC480=0,"",IF(AND(NOT(ISNUMBER($P480)),NOT(ISNUMBER($AA480))),"∞",MAX(0,MIN(IF(ISNUMBER($P480),$P480-$AF480-$Q480,1E+15),IF(ISNUMBER($AA480),$AA480-$AG480-$Q480,1E+15))))))</f>
        <v/>
      </c>
      <c r="S480" s="47" t="str">
        <f>IF($AD480="","",YEAR($AD480)*100+MONTH($AD480))</f>
        <v/>
      </c>
      <c r="T480" s="50" t="str">
        <f>IF($AD480="","",IFERROR(IF(INDEX(CARDS!$I$5:$I$34,MATCH($D480,CARDS!$A$5:$A$34,0))="","",IF(INDEX(CARDS!$I$5:$I$34,MATCH($D480,CARDS!$A$5:$A$34,0))&gt;INDEX(CARDS!$H$5:$H$34,MATCH($D480,CARDS!$A$5:$A$34,0)),DATE(YEAR($AD480),MONTH($AD480),MIN(INDEX(CARDS!$I$5:$I$34,MATCH($D480,CARDS!$A$5:$A$34,0)),DAY(EOMONTH($AD480,0)))),DATE(YEAR($AD480),MONTH($AD480)+1,MIN(INDEX(CARDS!$I$5:$I$34,MATCH($D480,CARDS!$A$5:$A$34,0)),DAY(EOMONTH($AD480,1)))))),""))</f>
        <v/>
      </c>
      <c r="U480" s="38" t="n"/>
      <c r="V480" s="37" t="n"/>
      <c r="W480" s="38" t="n"/>
      <c r="X480" s="38" t="n"/>
      <c r="Y480" s="44" t="str">
        <f>IF($AC480&gt;0,INDEX(CASHBACK_RULES!$A$5:$A$304,$AC480),"")</f>
        <v/>
      </c>
      <c r="Z480" s="45" t="str">
        <f>IF($AC480&gt;0,INDEX(CASHBACK_RULES!$E$5:$E$304,$AC480)&amp;"","")</f>
        <v/>
      </c>
      <c r="AA480" s="48" t="str">
        <f>IF($AC480&gt;0,IF(ISNUMBER(INDEX(CASHBACK_RULES!$K$5:$K$304,$AC480)),INDEX(CASHBACK_RULES!$K$5:$K$304,$AC480),"∞"),"")</f>
        <v/>
      </c>
      <c r="AB480" s="44" t="str">
        <f>IF(OR($B480="",$D480=""),"",IF($U480="Cancelled","Đã hủy",IF($AC480=0,"Không được hoàn",IF($Q480=0,IF(OR($O480&gt;0,$M480&lt;$L480),"Đã đạt cap","Không được hoàn"),IF(OR($Q480&lt;$O480,$M480&lt;$L480),"Hoàn một phần","Được hoàn")))))</f>
        <v/>
      </c>
      <c r="AC480" s="43">
        <f>IF(OR($B480="",$D480="",$I480="",$L480=""),0,IF($U480="Cancelled",0,IF($W480&lt;&gt;"",IFERROR(IF(INDEX(CASHBACK_RULES!$B$5:$B$304,MATCH($W480,CASHBACK_RULES!$A$5:$A$304,0))=$D480,MATCH($W480,CASHBACK_RULES!$A$5:$A$304,0),0),0),IFERROR(MATCH(1,INDEX((CASHBACK_RULES!$B$5:$B$304=$D480)*(CASHBACK_RULES!$G$5:$G$304=$I480)*(((CASHBACK_RULES!$N$5:$N$304="")+(CASHBACK_RULES!$N$5:$N$304&lt;=$B480))&gt;0)*(((CASHBACK_RULES!$O$5:$O$304="")+(CASHBACK_RULES!$O$5:$O$304&gt;=$B480))&gt;0)*(((CASHBACK_RULES!$M$5:$M$304="")+(CASHBACK_RULES!$M$5:$M$304&lt;=$L480))&gt;0),0),0),0))))</f>
        <v>0</v>
      </c>
      <c r="AD480" s="51" t="str">
        <f>IF(OR($B480="",$D480=""),"",IFERROR(IF(INDEX(CARDS!$H$5:$H$34,MATCH($D480,CARDS!$A$5:$A$34,0))="","",IF(DAY($B480)&lt;=INDEX(CARDS!$H$5:$H$34,MATCH($D480,CARDS!$A$5:$A$34,0)),DATE(YEAR($B480),MONTH($B480),MIN(INDEX(CARDS!$H$5:$H$34,MATCH($D480,CARDS!$A$5:$A$34,0)),DAY(EOMONTH($B480,0)))),DATE(YEAR($B480),MONTH($B480)+1,MIN(INDEX(CARDS!$H$5:$H$34,MATCH($D480,CARDS!$A$5:$A$34,0)),DAY(EOMONTH($B480,1)))))),""))</f>
        <v/>
      </c>
      <c r="AE480" s="52" t="str">
        <f>IF($C480="","",$C480&amp;"|"&amp;COUNTIF($C$5:$C480,$C480))</f>
        <v/>
      </c>
      <c r="AF480" s="53">
        <f>IF($AC480&gt;0,SUMIFS(Q$4:Q479,$D$4:$D479,$D480,$Z$4:$Z479,$Z480,$C$4:$C479,$C480),0)</f>
        <v>0</v>
      </c>
      <c r="AG480" s="53">
        <f>IF($AC480&gt;0,SUMIFS(Q$4:Q479,$D$4:$D479,$D480,$C$4:$C479,$C480),0)</f>
        <v>0</v>
      </c>
      <c r="AH480" s="53">
        <f>IF($AC480&gt;0,SUMIFS(M$4:M479,$D$4:$D479,$D480,$Z$4:$Z479,$Z480,$C$4:$C479,$C480),0)</f>
        <v>0</v>
      </c>
      <c r="AI480" s="43">
        <f>IF(OR($C480="",$I480=""),0,IF(COUNTIFS($C$5:$C480,$C480,$I$5:$I480,$I480)=1,1,0))</f>
        <v>0</v>
      </c>
      <c r="AJ480" s="43" t="str">
        <f>IF($AI480=1,SUMIFS($AI$4:$AI479,$C$4:$C479,$C480)+1,"")</f>
        <v/>
      </c>
      <c r="AK480" s="43">
        <f>IF(OR($C480="",$K480=""),0,IF(COUNTIFS($C$5:$C480,$C480,$K$5:$K480,$K480)=1,1,0))</f>
        <v>0</v>
      </c>
      <c r="AL480" s="43" t="str">
        <f>IF($AK480=1,SUMIFS($AK$4:$AK479,$C$4:$C479,$C480)+1,"")</f>
        <v/>
      </c>
      <c r="AM480" s="43">
        <f>IF(OR($C480="",$G480=""),0,IF(COUNTIFS($C$5:$C480,$C480,$G$5:$G480,$G480)=1,1,0))</f>
        <v>0</v>
      </c>
      <c r="AN480" s="43" t="str">
        <f>IF($AM480=1,SUMIFS($AM$4:$AM479,$C$4:$C479,$C480)+1,"")</f>
        <v/>
      </c>
    </row>
    <row r="481">
      <c r="A481" s="44" t="str">
        <f>IF(OR($B481="",$D481=""),"","TX"&amp;TEXT(ROW()-4,"0000"))</f>
        <v/>
      </c>
      <c r="B481" s="42" t="n"/>
      <c r="C481" s="47" t="str">
        <f>IF($B481="","",YEAR($B481)*100+MONTH($B481))</f>
        <v/>
      </c>
      <c r="D481" s="37" t="n"/>
      <c r="E481" s="45" t="str">
        <f>IF($D481="","",IFERROR(INDEX(CARDS!$B$5:$B$34,MATCH($D481,CARDS!$A$5:$A$34,0)),"⚠ Card ID?"))</f>
        <v/>
      </c>
      <c r="F481" s="45" t="str">
        <f>IF($D481="","",IFERROR(INDEX(CARDS!$C$5:$C$34,MATCH($D481,CARDS!$A$5:$A$34,0)),"⚠ Card ID?"))</f>
        <v/>
      </c>
      <c r="G481" s="37" t="n"/>
      <c r="H481" s="37" t="n"/>
      <c r="I481" s="41" t="n"/>
      <c r="J481" s="45" t="str">
        <f>IF($I481="","",IFERROR(INDEX(MCC_MASTER!$B$5:$B$504,MATCH($I481,MCC_MASTER!$A$5:$A$504,0)),"⚠ MCC chưa có"))</f>
        <v/>
      </c>
      <c r="K481" s="45" t="str">
        <f>IF($I481="","",IFERROR(IF(INDEX(MCC_MASTER!$C$5:$C$504,MATCH($I481,MCC_MASTER!$A$5:$A$504,0))="","Chưa phân loại",INDEX(MCC_MASTER!$C$5:$C$504,MATCH($I481,MCC_MASTER!$A$5:$A$504,0))),"Chưa phân loại"))</f>
        <v/>
      </c>
      <c r="L481" s="40" t="n"/>
      <c r="M481" s="48" t="str">
        <f>IF(OR($B481="",$D481=""),"",IF($AC481=0,0,IF(ISNUMBER(INDEX(CASHBACK_RULES!$L$5:$L$304,$AC481)),MAX(0,MIN($L481,INDEX(CASHBACK_RULES!$L$5:$L$304,$AC481)-$AH481)),MAX(0,$L481))))</f>
        <v/>
      </c>
      <c r="N481" s="49" t="str">
        <f>IF(OR($B481="",$D481=""),"",IF($AC481&gt;0,INDEX(CASHBACK_RULES!$I$5:$I$304,$AC481),0))</f>
        <v/>
      </c>
      <c r="O481" s="48" t="str">
        <f>IF(OR($B481="",$D481=""),"",ROUND($M481*$N481,0))</f>
        <v/>
      </c>
      <c r="P481" s="48" t="str">
        <f>IF($AC481&gt;0,IF(ISNUMBER(INDEX(CASHBACK_RULES!$J$5:$J$304,$AC481)),INDEX(CASHBACK_RULES!$J$5:$J$304,$AC481),"∞"),"")</f>
        <v/>
      </c>
      <c r="Q481" s="48" t="str">
        <f>IF(OR($B481="",$D481=""),"",IF($AC481=0,0,MAX(0,MIN($O481,IF(ISNUMBER($P481),$P481-$AF481,1E+15),IF(ISNUMBER($AA481),$AA481-$AG481,1E+15)))))</f>
        <v/>
      </c>
      <c r="R481" s="48" t="str">
        <f>IF(OR($B481="",$D481=""),"",IF($AC481=0,"",IF(AND(NOT(ISNUMBER($P481)),NOT(ISNUMBER($AA481))),"∞",MAX(0,MIN(IF(ISNUMBER($P481),$P481-$AF481-$Q481,1E+15),IF(ISNUMBER($AA481),$AA481-$AG481-$Q481,1E+15))))))</f>
        <v/>
      </c>
      <c r="S481" s="47" t="str">
        <f>IF($AD481="","",YEAR($AD481)*100+MONTH($AD481))</f>
        <v/>
      </c>
      <c r="T481" s="50" t="str">
        <f>IF($AD481="","",IFERROR(IF(INDEX(CARDS!$I$5:$I$34,MATCH($D481,CARDS!$A$5:$A$34,0))="","",IF(INDEX(CARDS!$I$5:$I$34,MATCH($D481,CARDS!$A$5:$A$34,0))&gt;INDEX(CARDS!$H$5:$H$34,MATCH($D481,CARDS!$A$5:$A$34,0)),DATE(YEAR($AD481),MONTH($AD481),MIN(INDEX(CARDS!$I$5:$I$34,MATCH($D481,CARDS!$A$5:$A$34,0)),DAY(EOMONTH($AD481,0)))),DATE(YEAR($AD481),MONTH($AD481)+1,MIN(INDEX(CARDS!$I$5:$I$34,MATCH($D481,CARDS!$A$5:$A$34,0)),DAY(EOMONTH($AD481,1)))))),""))</f>
        <v/>
      </c>
      <c r="U481" s="38" t="n"/>
      <c r="V481" s="37" t="n"/>
      <c r="W481" s="38" t="n"/>
      <c r="X481" s="38" t="n"/>
      <c r="Y481" s="44" t="str">
        <f>IF($AC481&gt;0,INDEX(CASHBACK_RULES!$A$5:$A$304,$AC481),"")</f>
        <v/>
      </c>
      <c r="Z481" s="45" t="str">
        <f>IF($AC481&gt;0,INDEX(CASHBACK_RULES!$E$5:$E$304,$AC481)&amp;"","")</f>
        <v/>
      </c>
      <c r="AA481" s="48" t="str">
        <f>IF($AC481&gt;0,IF(ISNUMBER(INDEX(CASHBACK_RULES!$K$5:$K$304,$AC481)),INDEX(CASHBACK_RULES!$K$5:$K$304,$AC481),"∞"),"")</f>
        <v/>
      </c>
      <c r="AB481" s="44" t="str">
        <f>IF(OR($B481="",$D481=""),"",IF($U481="Cancelled","Đã hủy",IF($AC481=0,"Không được hoàn",IF($Q481=0,IF(OR($O481&gt;0,$M481&lt;$L481),"Đã đạt cap","Không được hoàn"),IF(OR($Q481&lt;$O481,$M481&lt;$L481),"Hoàn một phần","Được hoàn")))))</f>
        <v/>
      </c>
      <c r="AC481" s="43">
        <f>IF(OR($B481="",$D481="",$I481="",$L481=""),0,IF($U481="Cancelled",0,IF($W481&lt;&gt;"",IFERROR(IF(INDEX(CASHBACK_RULES!$B$5:$B$304,MATCH($W481,CASHBACK_RULES!$A$5:$A$304,0))=$D481,MATCH($W481,CASHBACK_RULES!$A$5:$A$304,0),0),0),IFERROR(MATCH(1,INDEX((CASHBACK_RULES!$B$5:$B$304=$D481)*(CASHBACK_RULES!$G$5:$G$304=$I481)*(((CASHBACK_RULES!$N$5:$N$304="")+(CASHBACK_RULES!$N$5:$N$304&lt;=$B481))&gt;0)*(((CASHBACK_RULES!$O$5:$O$304="")+(CASHBACK_RULES!$O$5:$O$304&gt;=$B481))&gt;0)*(((CASHBACK_RULES!$M$5:$M$304="")+(CASHBACK_RULES!$M$5:$M$304&lt;=$L481))&gt;0),0),0),0))))</f>
        <v>0</v>
      </c>
      <c r="AD481" s="51" t="str">
        <f>IF(OR($B481="",$D481=""),"",IFERROR(IF(INDEX(CARDS!$H$5:$H$34,MATCH($D481,CARDS!$A$5:$A$34,0))="","",IF(DAY($B481)&lt;=INDEX(CARDS!$H$5:$H$34,MATCH($D481,CARDS!$A$5:$A$34,0)),DATE(YEAR($B481),MONTH($B481),MIN(INDEX(CARDS!$H$5:$H$34,MATCH($D481,CARDS!$A$5:$A$34,0)),DAY(EOMONTH($B481,0)))),DATE(YEAR($B481),MONTH($B481)+1,MIN(INDEX(CARDS!$H$5:$H$34,MATCH($D481,CARDS!$A$5:$A$34,0)),DAY(EOMONTH($B481,1)))))),""))</f>
        <v/>
      </c>
      <c r="AE481" s="52" t="str">
        <f>IF($C481="","",$C481&amp;"|"&amp;COUNTIF($C$5:$C481,$C481))</f>
        <v/>
      </c>
      <c r="AF481" s="53">
        <f>IF($AC481&gt;0,SUMIFS(Q$4:Q480,$D$4:$D480,$D481,$Z$4:$Z480,$Z481,$C$4:$C480,$C481),0)</f>
        <v>0</v>
      </c>
      <c r="AG481" s="53">
        <f>IF($AC481&gt;0,SUMIFS(Q$4:Q480,$D$4:$D480,$D481,$C$4:$C480,$C481),0)</f>
        <v>0</v>
      </c>
      <c r="AH481" s="53">
        <f>IF($AC481&gt;0,SUMIFS(M$4:M480,$D$4:$D480,$D481,$Z$4:$Z480,$Z481,$C$4:$C480,$C481),0)</f>
        <v>0</v>
      </c>
      <c r="AI481" s="43">
        <f>IF(OR($C481="",$I481=""),0,IF(COUNTIFS($C$5:$C481,$C481,$I$5:$I481,$I481)=1,1,0))</f>
        <v>0</v>
      </c>
      <c r="AJ481" s="43" t="str">
        <f>IF($AI481=1,SUMIFS($AI$4:$AI480,$C$4:$C480,$C481)+1,"")</f>
        <v/>
      </c>
      <c r="AK481" s="43">
        <f>IF(OR($C481="",$K481=""),0,IF(COUNTIFS($C$5:$C481,$C481,$K$5:$K481,$K481)=1,1,0))</f>
        <v>0</v>
      </c>
      <c r="AL481" s="43" t="str">
        <f>IF($AK481=1,SUMIFS($AK$4:$AK480,$C$4:$C480,$C481)+1,"")</f>
        <v/>
      </c>
      <c r="AM481" s="43">
        <f>IF(OR($C481="",$G481=""),0,IF(COUNTIFS($C$5:$C481,$C481,$G$5:$G481,$G481)=1,1,0))</f>
        <v>0</v>
      </c>
      <c r="AN481" s="43" t="str">
        <f>IF($AM481=1,SUMIFS($AM$4:$AM480,$C$4:$C480,$C481)+1,"")</f>
        <v/>
      </c>
    </row>
    <row r="482">
      <c r="A482" s="44" t="str">
        <f>IF(OR($B482="",$D482=""),"","TX"&amp;TEXT(ROW()-4,"0000"))</f>
        <v/>
      </c>
      <c r="B482" s="42" t="n"/>
      <c r="C482" s="47" t="str">
        <f>IF($B482="","",YEAR($B482)*100+MONTH($B482))</f>
        <v/>
      </c>
      <c r="D482" s="37" t="n"/>
      <c r="E482" s="45" t="str">
        <f>IF($D482="","",IFERROR(INDEX(CARDS!$B$5:$B$34,MATCH($D482,CARDS!$A$5:$A$34,0)),"⚠ Card ID?"))</f>
        <v/>
      </c>
      <c r="F482" s="45" t="str">
        <f>IF($D482="","",IFERROR(INDEX(CARDS!$C$5:$C$34,MATCH($D482,CARDS!$A$5:$A$34,0)),"⚠ Card ID?"))</f>
        <v/>
      </c>
      <c r="G482" s="37" t="n"/>
      <c r="H482" s="37" t="n"/>
      <c r="I482" s="41" t="n"/>
      <c r="J482" s="45" t="str">
        <f>IF($I482="","",IFERROR(INDEX(MCC_MASTER!$B$5:$B$504,MATCH($I482,MCC_MASTER!$A$5:$A$504,0)),"⚠ MCC chưa có"))</f>
        <v/>
      </c>
      <c r="K482" s="45" t="str">
        <f>IF($I482="","",IFERROR(IF(INDEX(MCC_MASTER!$C$5:$C$504,MATCH($I482,MCC_MASTER!$A$5:$A$504,0))="","Chưa phân loại",INDEX(MCC_MASTER!$C$5:$C$504,MATCH($I482,MCC_MASTER!$A$5:$A$504,0))),"Chưa phân loại"))</f>
        <v/>
      </c>
      <c r="L482" s="40" t="n"/>
      <c r="M482" s="48" t="str">
        <f>IF(OR($B482="",$D482=""),"",IF($AC482=0,0,IF(ISNUMBER(INDEX(CASHBACK_RULES!$L$5:$L$304,$AC482)),MAX(0,MIN($L482,INDEX(CASHBACK_RULES!$L$5:$L$304,$AC482)-$AH482)),MAX(0,$L482))))</f>
        <v/>
      </c>
      <c r="N482" s="49" t="str">
        <f>IF(OR($B482="",$D482=""),"",IF($AC482&gt;0,INDEX(CASHBACK_RULES!$I$5:$I$304,$AC482),0))</f>
        <v/>
      </c>
      <c r="O482" s="48" t="str">
        <f>IF(OR($B482="",$D482=""),"",ROUND($M482*$N482,0))</f>
        <v/>
      </c>
      <c r="P482" s="48" t="str">
        <f>IF($AC482&gt;0,IF(ISNUMBER(INDEX(CASHBACK_RULES!$J$5:$J$304,$AC482)),INDEX(CASHBACK_RULES!$J$5:$J$304,$AC482),"∞"),"")</f>
        <v/>
      </c>
      <c r="Q482" s="48" t="str">
        <f>IF(OR($B482="",$D482=""),"",IF($AC482=0,0,MAX(0,MIN($O482,IF(ISNUMBER($P482),$P482-$AF482,1E+15),IF(ISNUMBER($AA482),$AA482-$AG482,1E+15)))))</f>
        <v/>
      </c>
      <c r="R482" s="48" t="str">
        <f>IF(OR($B482="",$D482=""),"",IF($AC482=0,"",IF(AND(NOT(ISNUMBER($P482)),NOT(ISNUMBER($AA482))),"∞",MAX(0,MIN(IF(ISNUMBER($P482),$P482-$AF482-$Q482,1E+15),IF(ISNUMBER($AA482),$AA482-$AG482-$Q482,1E+15))))))</f>
        <v/>
      </c>
      <c r="S482" s="47" t="str">
        <f>IF($AD482="","",YEAR($AD482)*100+MONTH($AD482))</f>
        <v/>
      </c>
      <c r="T482" s="50" t="str">
        <f>IF($AD482="","",IFERROR(IF(INDEX(CARDS!$I$5:$I$34,MATCH($D482,CARDS!$A$5:$A$34,0))="","",IF(INDEX(CARDS!$I$5:$I$34,MATCH($D482,CARDS!$A$5:$A$34,0))&gt;INDEX(CARDS!$H$5:$H$34,MATCH($D482,CARDS!$A$5:$A$34,0)),DATE(YEAR($AD482),MONTH($AD482),MIN(INDEX(CARDS!$I$5:$I$34,MATCH($D482,CARDS!$A$5:$A$34,0)),DAY(EOMONTH($AD482,0)))),DATE(YEAR($AD482),MONTH($AD482)+1,MIN(INDEX(CARDS!$I$5:$I$34,MATCH($D482,CARDS!$A$5:$A$34,0)),DAY(EOMONTH($AD482,1)))))),""))</f>
        <v/>
      </c>
      <c r="U482" s="38" t="n"/>
      <c r="V482" s="37" t="n"/>
      <c r="W482" s="38" t="n"/>
      <c r="X482" s="38" t="n"/>
      <c r="Y482" s="44" t="str">
        <f>IF($AC482&gt;0,INDEX(CASHBACK_RULES!$A$5:$A$304,$AC482),"")</f>
        <v/>
      </c>
      <c r="Z482" s="45" t="str">
        <f>IF($AC482&gt;0,INDEX(CASHBACK_RULES!$E$5:$E$304,$AC482)&amp;"","")</f>
        <v/>
      </c>
      <c r="AA482" s="48" t="str">
        <f>IF($AC482&gt;0,IF(ISNUMBER(INDEX(CASHBACK_RULES!$K$5:$K$304,$AC482)),INDEX(CASHBACK_RULES!$K$5:$K$304,$AC482),"∞"),"")</f>
        <v/>
      </c>
      <c r="AB482" s="44" t="str">
        <f>IF(OR($B482="",$D482=""),"",IF($U482="Cancelled","Đã hủy",IF($AC482=0,"Không được hoàn",IF($Q482=0,IF(OR($O482&gt;0,$M482&lt;$L482),"Đã đạt cap","Không được hoàn"),IF(OR($Q482&lt;$O482,$M482&lt;$L482),"Hoàn một phần","Được hoàn")))))</f>
        <v/>
      </c>
      <c r="AC482" s="43">
        <f>IF(OR($B482="",$D482="",$I482="",$L482=""),0,IF($U482="Cancelled",0,IF($W482&lt;&gt;"",IFERROR(IF(INDEX(CASHBACK_RULES!$B$5:$B$304,MATCH($W482,CASHBACK_RULES!$A$5:$A$304,0))=$D482,MATCH($W482,CASHBACK_RULES!$A$5:$A$304,0),0),0),IFERROR(MATCH(1,INDEX((CASHBACK_RULES!$B$5:$B$304=$D482)*(CASHBACK_RULES!$G$5:$G$304=$I482)*(((CASHBACK_RULES!$N$5:$N$304="")+(CASHBACK_RULES!$N$5:$N$304&lt;=$B482))&gt;0)*(((CASHBACK_RULES!$O$5:$O$304="")+(CASHBACK_RULES!$O$5:$O$304&gt;=$B482))&gt;0)*(((CASHBACK_RULES!$M$5:$M$304="")+(CASHBACK_RULES!$M$5:$M$304&lt;=$L482))&gt;0),0),0),0))))</f>
        <v>0</v>
      </c>
      <c r="AD482" s="51" t="str">
        <f>IF(OR($B482="",$D482=""),"",IFERROR(IF(INDEX(CARDS!$H$5:$H$34,MATCH($D482,CARDS!$A$5:$A$34,0))="","",IF(DAY($B482)&lt;=INDEX(CARDS!$H$5:$H$34,MATCH($D482,CARDS!$A$5:$A$34,0)),DATE(YEAR($B482),MONTH($B482),MIN(INDEX(CARDS!$H$5:$H$34,MATCH($D482,CARDS!$A$5:$A$34,0)),DAY(EOMONTH($B482,0)))),DATE(YEAR($B482),MONTH($B482)+1,MIN(INDEX(CARDS!$H$5:$H$34,MATCH($D482,CARDS!$A$5:$A$34,0)),DAY(EOMONTH($B482,1)))))),""))</f>
        <v/>
      </c>
      <c r="AE482" s="52" t="str">
        <f>IF($C482="","",$C482&amp;"|"&amp;COUNTIF($C$5:$C482,$C482))</f>
        <v/>
      </c>
      <c r="AF482" s="53">
        <f>IF($AC482&gt;0,SUMIFS(Q$4:Q481,$D$4:$D481,$D482,$Z$4:$Z481,$Z482,$C$4:$C481,$C482),0)</f>
        <v>0</v>
      </c>
      <c r="AG482" s="53">
        <f>IF($AC482&gt;0,SUMIFS(Q$4:Q481,$D$4:$D481,$D482,$C$4:$C481,$C482),0)</f>
        <v>0</v>
      </c>
      <c r="AH482" s="53">
        <f>IF($AC482&gt;0,SUMIFS(M$4:M481,$D$4:$D481,$D482,$Z$4:$Z481,$Z482,$C$4:$C481,$C482),0)</f>
        <v>0</v>
      </c>
      <c r="AI482" s="43">
        <f>IF(OR($C482="",$I482=""),0,IF(COUNTIFS($C$5:$C482,$C482,$I$5:$I482,$I482)=1,1,0))</f>
        <v>0</v>
      </c>
      <c r="AJ482" s="43" t="str">
        <f>IF($AI482=1,SUMIFS($AI$4:$AI481,$C$4:$C481,$C482)+1,"")</f>
        <v/>
      </c>
      <c r="AK482" s="43">
        <f>IF(OR($C482="",$K482=""),0,IF(COUNTIFS($C$5:$C482,$C482,$K$5:$K482,$K482)=1,1,0))</f>
        <v>0</v>
      </c>
      <c r="AL482" s="43" t="str">
        <f>IF($AK482=1,SUMIFS($AK$4:$AK481,$C$4:$C481,$C482)+1,"")</f>
        <v/>
      </c>
      <c r="AM482" s="43">
        <f>IF(OR($C482="",$G482=""),0,IF(COUNTIFS($C$5:$C482,$C482,$G$5:$G482,$G482)=1,1,0))</f>
        <v>0</v>
      </c>
      <c r="AN482" s="43" t="str">
        <f>IF($AM482=1,SUMIFS($AM$4:$AM481,$C$4:$C481,$C482)+1,"")</f>
        <v/>
      </c>
    </row>
    <row r="483">
      <c r="A483" s="44" t="str">
        <f>IF(OR($B483="",$D483=""),"","TX"&amp;TEXT(ROW()-4,"0000"))</f>
        <v/>
      </c>
      <c r="B483" s="42" t="n"/>
      <c r="C483" s="47" t="str">
        <f>IF($B483="","",YEAR($B483)*100+MONTH($B483))</f>
        <v/>
      </c>
      <c r="D483" s="37" t="n"/>
      <c r="E483" s="45" t="str">
        <f>IF($D483="","",IFERROR(INDEX(CARDS!$B$5:$B$34,MATCH($D483,CARDS!$A$5:$A$34,0)),"⚠ Card ID?"))</f>
        <v/>
      </c>
      <c r="F483" s="45" t="str">
        <f>IF($D483="","",IFERROR(INDEX(CARDS!$C$5:$C$34,MATCH($D483,CARDS!$A$5:$A$34,0)),"⚠ Card ID?"))</f>
        <v/>
      </c>
      <c r="G483" s="37" t="n"/>
      <c r="H483" s="37" t="n"/>
      <c r="I483" s="41" t="n"/>
      <c r="J483" s="45" t="str">
        <f>IF($I483="","",IFERROR(INDEX(MCC_MASTER!$B$5:$B$504,MATCH($I483,MCC_MASTER!$A$5:$A$504,0)),"⚠ MCC chưa có"))</f>
        <v/>
      </c>
      <c r="K483" s="45" t="str">
        <f>IF($I483="","",IFERROR(IF(INDEX(MCC_MASTER!$C$5:$C$504,MATCH($I483,MCC_MASTER!$A$5:$A$504,0))="","Chưa phân loại",INDEX(MCC_MASTER!$C$5:$C$504,MATCH($I483,MCC_MASTER!$A$5:$A$504,0))),"Chưa phân loại"))</f>
        <v/>
      </c>
      <c r="L483" s="40" t="n"/>
      <c r="M483" s="48" t="str">
        <f>IF(OR($B483="",$D483=""),"",IF($AC483=0,0,IF(ISNUMBER(INDEX(CASHBACK_RULES!$L$5:$L$304,$AC483)),MAX(0,MIN($L483,INDEX(CASHBACK_RULES!$L$5:$L$304,$AC483)-$AH483)),MAX(0,$L483))))</f>
        <v/>
      </c>
      <c r="N483" s="49" t="str">
        <f>IF(OR($B483="",$D483=""),"",IF($AC483&gt;0,INDEX(CASHBACK_RULES!$I$5:$I$304,$AC483),0))</f>
        <v/>
      </c>
      <c r="O483" s="48" t="str">
        <f>IF(OR($B483="",$D483=""),"",ROUND($M483*$N483,0))</f>
        <v/>
      </c>
      <c r="P483" s="48" t="str">
        <f>IF($AC483&gt;0,IF(ISNUMBER(INDEX(CASHBACK_RULES!$J$5:$J$304,$AC483)),INDEX(CASHBACK_RULES!$J$5:$J$304,$AC483),"∞"),"")</f>
        <v/>
      </c>
      <c r="Q483" s="48" t="str">
        <f>IF(OR($B483="",$D483=""),"",IF($AC483=0,0,MAX(0,MIN($O483,IF(ISNUMBER($P483),$P483-$AF483,1E+15),IF(ISNUMBER($AA483),$AA483-$AG483,1E+15)))))</f>
        <v/>
      </c>
      <c r="R483" s="48" t="str">
        <f>IF(OR($B483="",$D483=""),"",IF($AC483=0,"",IF(AND(NOT(ISNUMBER($P483)),NOT(ISNUMBER($AA483))),"∞",MAX(0,MIN(IF(ISNUMBER($P483),$P483-$AF483-$Q483,1E+15),IF(ISNUMBER($AA483),$AA483-$AG483-$Q483,1E+15))))))</f>
        <v/>
      </c>
      <c r="S483" s="47" t="str">
        <f>IF($AD483="","",YEAR($AD483)*100+MONTH($AD483))</f>
        <v/>
      </c>
      <c r="T483" s="50" t="str">
        <f>IF($AD483="","",IFERROR(IF(INDEX(CARDS!$I$5:$I$34,MATCH($D483,CARDS!$A$5:$A$34,0))="","",IF(INDEX(CARDS!$I$5:$I$34,MATCH($D483,CARDS!$A$5:$A$34,0))&gt;INDEX(CARDS!$H$5:$H$34,MATCH($D483,CARDS!$A$5:$A$34,0)),DATE(YEAR($AD483),MONTH($AD483),MIN(INDEX(CARDS!$I$5:$I$34,MATCH($D483,CARDS!$A$5:$A$34,0)),DAY(EOMONTH($AD483,0)))),DATE(YEAR($AD483),MONTH($AD483)+1,MIN(INDEX(CARDS!$I$5:$I$34,MATCH($D483,CARDS!$A$5:$A$34,0)),DAY(EOMONTH($AD483,1)))))),""))</f>
        <v/>
      </c>
      <c r="U483" s="38" t="n"/>
      <c r="V483" s="37" t="n"/>
      <c r="W483" s="38" t="n"/>
      <c r="X483" s="38" t="n"/>
      <c r="Y483" s="44" t="str">
        <f>IF($AC483&gt;0,INDEX(CASHBACK_RULES!$A$5:$A$304,$AC483),"")</f>
        <v/>
      </c>
      <c r="Z483" s="45" t="str">
        <f>IF($AC483&gt;0,INDEX(CASHBACK_RULES!$E$5:$E$304,$AC483)&amp;"","")</f>
        <v/>
      </c>
      <c r="AA483" s="48" t="str">
        <f>IF($AC483&gt;0,IF(ISNUMBER(INDEX(CASHBACK_RULES!$K$5:$K$304,$AC483)),INDEX(CASHBACK_RULES!$K$5:$K$304,$AC483),"∞"),"")</f>
        <v/>
      </c>
      <c r="AB483" s="44" t="str">
        <f>IF(OR($B483="",$D483=""),"",IF($U483="Cancelled","Đã hủy",IF($AC483=0,"Không được hoàn",IF($Q483=0,IF(OR($O483&gt;0,$M483&lt;$L483),"Đã đạt cap","Không được hoàn"),IF(OR($Q483&lt;$O483,$M483&lt;$L483),"Hoàn một phần","Được hoàn")))))</f>
        <v/>
      </c>
      <c r="AC483" s="43">
        <f>IF(OR($B483="",$D483="",$I483="",$L483=""),0,IF($U483="Cancelled",0,IF($W483&lt;&gt;"",IFERROR(IF(INDEX(CASHBACK_RULES!$B$5:$B$304,MATCH($W483,CASHBACK_RULES!$A$5:$A$304,0))=$D483,MATCH($W483,CASHBACK_RULES!$A$5:$A$304,0),0),0),IFERROR(MATCH(1,INDEX((CASHBACK_RULES!$B$5:$B$304=$D483)*(CASHBACK_RULES!$G$5:$G$304=$I483)*(((CASHBACK_RULES!$N$5:$N$304="")+(CASHBACK_RULES!$N$5:$N$304&lt;=$B483))&gt;0)*(((CASHBACK_RULES!$O$5:$O$304="")+(CASHBACK_RULES!$O$5:$O$304&gt;=$B483))&gt;0)*(((CASHBACK_RULES!$M$5:$M$304="")+(CASHBACK_RULES!$M$5:$M$304&lt;=$L483))&gt;0),0),0),0))))</f>
        <v>0</v>
      </c>
      <c r="AD483" s="51" t="str">
        <f>IF(OR($B483="",$D483=""),"",IFERROR(IF(INDEX(CARDS!$H$5:$H$34,MATCH($D483,CARDS!$A$5:$A$34,0))="","",IF(DAY($B483)&lt;=INDEX(CARDS!$H$5:$H$34,MATCH($D483,CARDS!$A$5:$A$34,0)),DATE(YEAR($B483),MONTH($B483),MIN(INDEX(CARDS!$H$5:$H$34,MATCH($D483,CARDS!$A$5:$A$34,0)),DAY(EOMONTH($B483,0)))),DATE(YEAR($B483),MONTH($B483)+1,MIN(INDEX(CARDS!$H$5:$H$34,MATCH($D483,CARDS!$A$5:$A$34,0)),DAY(EOMONTH($B483,1)))))),""))</f>
        <v/>
      </c>
      <c r="AE483" s="52" t="str">
        <f>IF($C483="","",$C483&amp;"|"&amp;COUNTIF($C$5:$C483,$C483))</f>
        <v/>
      </c>
      <c r="AF483" s="53">
        <f>IF($AC483&gt;0,SUMIFS(Q$4:Q482,$D$4:$D482,$D483,$Z$4:$Z482,$Z483,$C$4:$C482,$C483),0)</f>
        <v>0</v>
      </c>
      <c r="AG483" s="53">
        <f>IF($AC483&gt;0,SUMIFS(Q$4:Q482,$D$4:$D482,$D483,$C$4:$C482,$C483),0)</f>
        <v>0</v>
      </c>
      <c r="AH483" s="53">
        <f>IF($AC483&gt;0,SUMIFS(M$4:M482,$D$4:$D482,$D483,$Z$4:$Z482,$Z483,$C$4:$C482,$C483),0)</f>
        <v>0</v>
      </c>
      <c r="AI483" s="43">
        <f>IF(OR($C483="",$I483=""),0,IF(COUNTIFS($C$5:$C483,$C483,$I$5:$I483,$I483)=1,1,0))</f>
        <v>0</v>
      </c>
      <c r="AJ483" s="43" t="str">
        <f>IF($AI483=1,SUMIFS($AI$4:$AI482,$C$4:$C482,$C483)+1,"")</f>
        <v/>
      </c>
      <c r="AK483" s="43">
        <f>IF(OR($C483="",$K483=""),0,IF(COUNTIFS($C$5:$C483,$C483,$K$5:$K483,$K483)=1,1,0))</f>
        <v>0</v>
      </c>
      <c r="AL483" s="43" t="str">
        <f>IF($AK483=1,SUMIFS($AK$4:$AK482,$C$4:$C482,$C483)+1,"")</f>
        <v/>
      </c>
      <c r="AM483" s="43">
        <f>IF(OR($C483="",$G483=""),0,IF(COUNTIFS($C$5:$C483,$C483,$G$5:$G483,$G483)=1,1,0))</f>
        <v>0</v>
      </c>
      <c r="AN483" s="43" t="str">
        <f>IF($AM483=1,SUMIFS($AM$4:$AM482,$C$4:$C482,$C483)+1,"")</f>
        <v/>
      </c>
    </row>
    <row r="484">
      <c r="A484" s="44" t="str">
        <f>IF(OR($B484="",$D484=""),"","TX"&amp;TEXT(ROW()-4,"0000"))</f>
        <v/>
      </c>
      <c r="B484" s="42" t="n"/>
      <c r="C484" s="47" t="str">
        <f>IF($B484="","",YEAR($B484)*100+MONTH($B484))</f>
        <v/>
      </c>
      <c r="D484" s="37" t="n"/>
      <c r="E484" s="45" t="str">
        <f>IF($D484="","",IFERROR(INDEX(CARDS!$B$5:$B$34,MATCH($D484,CARDS!$A$5:$A$34,0)),"⚠ Card ID?"))</f>
        <v/>
      </c>
      <c r="F484" s="45" t="str">
        <f>IF($D484="","",IFERROR(INDEX(CARDS!$C$5:$C$34,MATCH($D484,CARDS!$A$5:$A$34,0)),"⚠ Card ID?"))</f>
        <v/>
      </c>
      <c r="G484" s="37" t="n"/>
      <c r="H484" s="37" t="n"/>
      <c r="I484" s="41" t="n"/>
      <c r="J484" s="45" t="str">
        <f>IF($I484="","",IFERROR(INDEX(MCC_MASTER!$B$5:$B$504,MATCH($I484,MCC_MASTER!$A$5:$A$504,0)),"⚠ MCC chưa có"))</f>
        <v/>
      </c>
      <c r="K484" s="45" t="str">
        <f>IF($I484="","",IFERROR(IF(INDEX(MCC_MASTER!$C$5:$C$504,MATCH($I484,MCC_MASTER!$A$5:$A$504,0))="","Chưa phân loại",INDEX(MCC_MASTER!$C$5:$C$504,MATCH($I484,MCC_MASTER!$A$5:$A$504,0))),"Chưa phân loại"))</f>
        <v/>
      </c>
      <c r="L484" s="40" t="n"/>
      <c r="M484" s="48" t="str">
        <f>IF(OR($B484="",$D484=""),"",IF($AC484=0,0,IF(ISNUMBER(INDEX(CASHBACK_RULES!$L$5:$L$304,$AC484)),MAX(0,MIN($L484,INDEX(CASHBACK_RULES!$L$5:$L$304,$AC484)-$AH484)),MAX(0,$L484))))</f>
        <v/>
      </c>
      <c r="N484" s="49" t="str">
        <f>IF(OR($B484="",$D484=""),"",IF($AC484&gt;0,INDEX(CASHBACK_RULES!$I$5:$I$304,$AC484),0))</f>
        <v/>
      </c>
      <c r="O484" s="48" t="str">
        <f>IF(OR($B484="",$D484=""),"",ROUND($M484*$N484,0))</f>
        <v/>
      </c>
      <c r="P484" s="48" t="str">
        <f>IF($AC484&gt;0,IF(ISNUMBER(INDEX(CASHBACK_RULES!$J$5:$J$304,$AC484)),INDEX(CASHBACK_RULES!$J$5:$J$304,$AC484),"∞"),"")</f>
        <v/>
      </c>
      <c r="Q484" s="48" t="str">
        <f>IF(OR($B484="",$D484=""),"",IF($AC484=0,0,MAX(0,MIN($O484,IF(ISNUMBER($P484),$P484-$AF484,1E+15),IF(ISNUMBER($AA484),$AA484-$AG484,1E+15)))))</f>
        <v/>
      </c>
      <c r="R484" s="48" t="str">
        <f>IF(OR($B484="",$D484=""),"",IF($AC484=0,"",IF(AND(NOT(ISNUMBER($P484)),NOT(ISNUMBER($AA484))),"∞",MAX(0,MIN(IF(ISNUMBER($P484),$P484-$AF484-$Q484,1E+15),IF(ISNUMBER($AA484),$AA484-$AG484-$Q484,1E+15))))))</f>
        <v/>
      </c>
      <c r="S484" s="47" t="str">
        <f>IF($AD484="","",YEAR($AD484)*100+MONTH($AD484))</f>
        <v/>
      </c>
      <c r="T484" s="50" t="str">
        <f>IF($AD484="","",IFERROR(IF(INDEX(CARDS!$I$5:$I$34,MATCH($D484,CARDS!$A$5:$A$34,0))="","",IF(INDEX(CARDS!$I$5:$I$34,MATCH($D484,CARDS!$A$5:$A$34,0))&gt;INDEX(CARDS!$H$5:$H$34,MATCH($D484,CARDS!$A$5:$A$34,0)),DATE(YEAR($AD484),MONTH($AD484),MIN(INDEX(CARDS!$I$5:$I$34,MATCH($D484,CARDS!$A$5:$A$34,0)),DAY(EOMONTH($AD484,0)))),DATE(YEAR($AD484),MONTH($AD484)+1,MIN(INDEX(CARDS!$I$5:$I$34,MATCH($D484,CARDS!$A$5:$A$34,0)),DAY(EOMONTH($AD484,1)))))),""))</f>
        <v/>
      </c>
      <c r="U484" s="38" t="n"/>
      <c r="V484" s="37" t="n"/>
      <c r="W484" s="38" t="n"/>
      <c r="X484" s="38" t="n"/>
      <c r="Y484" s="44" t="str">
        <f>IF($AC484&gt;0,INDEX(CASHBACK_RULES!$A$5:$A$304,$AC484),"")</f>
        <v/>
      </c>
      <c r="Z484" s="45" t="str">
        <f>IF($AC484&gt;0,INDEX(CASHBACK_RULES!$E$5:$E$304,$AC484)&amp;"","")</f>
        <v/>
      </c>
      <c r="AA484" s="48" t="str">
        <f>IF($AC484&gt;0,IF(ISNUMBER(INDEX(CASHBACK_RULES!$K$5:$K$304,$AC484)),INDEX(CASHBACK_RULES!$K$5:$K$304,$AC484),"∞"),"")</f>
        <v/>
      </c>
      <c r="AB484" s="44" t="str">
        <f>IF(OR($B484="",$D484=""),"",IF($U484="Cancelled","Đã hủy",IF($AC484=0,"Không được hoàn",IF($Q484=0,IF(OR($O484&gt;0,$M484&lt;$L484),"Đã đạt cap","Không được hoàn"),IF(OR($Q484&lt;$O484,$M484&lt;$L484),"Hoàn một phần","Được hoàn")))))</f>
        <v/>
      </c>
      <c r="AC484" s="43">
        <f>IF(OR($B484="",$D484="",$I484="",$L484=""),0,IF($U484="Cancelled",0,IF($W484&lt;&gt;"",IFERROR(IF(INDEX(CASHBACK_RULES!$B$5:$B$304,MATCH($W484,CASHBACK_RULES!$A$5:$A$304,0))=$D484,MATCH($W484,CASHBACK_RULES!$A$5:$A$304,0),0),0),IFERROR(MATCH(1,INDEX((CASHBACK_RULES!$B$5:$B$304=$D484)*(CASHBACK_RULES!$G$5:$G$304=$I484)*(((CASHBACK_RULES!$N$5:$N$304="")+(CASHBACK_RULES!$N$5:$N$304&lt;=$B484))&gt;0)*(((CASHBACK_RULES!$O$5:$O$304="")+(CASHBACK_RULES!$O$5:$O$304&gt;=$B484))&gt;0)*(((CASHBACK_RULES!$M$5:$M$304="")+(CASHBACK_RULES!$M$5:$M$304&lt;=$L484))&gt;0),0),0),0))))</f>
        <v>0</v>
      </c>
      <c r="AD484" s="51" t="str">
        <f>IF(OR($B484="",$D484=""),"",IFERROR(IF(INDEX(CARDS!$H$5:$H$34,MATCH($D484,CARDS!$A$5:$A$34,0))="","",IF(DAY($B484)&lt;=INDEX(CARDS!$H$5:$H$34,MATCH($D484,CARDS!$A$5:$A$34,0)),DATE(YEAR($B484),MONTH($B484),MIN(INDEX(CARDS!$H$5:$H$34,MATCH($D484,CARDS!$A$5:$A$34,0)),DAY(EOMONTH($B484,0)))),DATE(YEAR($B484),MONTH($B484)+1,MIN(INDEX(CARDS!$H$5:$H$34,MATCH($D484,CARDS!$A$5:$A$34,0)),DAY(EOMONTH($B484,1)))))),""))</f>
        <v/>
      </c>
      <c r="AE484" s="52" t="str">
        <f>IF($C484="","",$C484&amp;"|"&amp;COUNTIF($C$5:$C484,$C484))</f>
        <v/>
      </c>
      <c r="AF484" s="53">
        <f>IF($AC484&gt;0,SUMIFS(Q$4:Q483,$D$4:$D483,$D484,$Z$4:$Z483,$Z484,$C$4:$C483,$C484),0)</f>
        <v>0</v>
      </c>
      <c r="AG484" s="53">
        <f>IF($AC484&gt;0,SUMIFS(Q$4:Q483,$D$4:$D483,$D484,$C$4:$C483,$C484),0)</f>
        <v>0</v>
      </c>
      <c r="AH484" s="53">
        <f>IF($AC484&gt;0,SUMIFS(M$4:M483,$D$4:$D483,$D484,$Z$4:$Z483,$Z484,$C$4:$C483,$C484),0)</f>
        <v>0</v>
      </c>
      <c r="AI484" s="43">
        <f>IF(OR($C484="",$I484=""),0,IF(COUNTIFS($C$5:$C484,$C484,$I$5:$I484,$I484)=1,1,0))</f>
        <v>0</v>
      </c>
      <c r="AJ484" s="43" t="str">
        <f>IF($AI484=1,SUMIFS($AI$4:$AI483,$C$4:$C483,$C484)+1,"")</f>
        <v/>
      </c>
      <c r="AK484" s="43">
        <f>IF(OR($C484="",$K484=""),0,IF(COUNTIFS($C$5:$C484,$C484,$K$5:$K484,$K484)=1,1,0))</f>
        <v>0</v>
      </c>
      <c r="AL484" s="43" t="str">
        <f>IF($AK484=1,SUMIFS($AK$4:$AK483,$C$4:$C483,$C484)+1,"")</f>
        <v/>
      </c>
      <c r="AM484" s="43">
        <f>IF(OR($C484="",$G484=""),0,IF(COUNTIFS($C$5:$C484,$C484,$G$5:$G484,$G484)=1,1,0))</f>
        <v>0</v>
      </c>
      <c r="AN484" s="43" t="str">
        <f>IF($AM484=1,SUMIFS($AM$4:$AM483,$C$4:$C483,$C484)+1,"")</f>
        <v/>
      </c>
    </row>
    <row r="485">
      <c r="A485" s="44" t="str">
        <f>IF(OR($B485="",$D485=""),"","TX"&amp;TEXT(ROW()-4,"0000"))</f>
        <v/>
      </c>
      <c r="B485" s="42" t="n"/>
      <c r="C485" s="47" t="str">
        <f>IF($B485="","",YEAR($B485)*100+MONTH($B485))</f>
        <v/>
      </c>
      <c r="D485" s="37" t="n"/>
      <c r="E485" s="45" t="str">
        <f>IF($D485="","",IFERROR(INDEX(CARDS!$B$5:$B$34,MATCH($D485,CARDS!$A$5:$A$34,0)),"⚠ Card ID?"))</f>
        <v/>
      </c>
      <c r="F485" s="45" t="str">
        <f>IF($D485="","",IFERROR(INDEX(CARDS!$C$5:$C$34,MATCH($D485,CARDS!$A$5:$A$34,0)),"⚠ Card ID?"))</f>
        <v/>
      </c>
      <c r="G485" s="37" t="n"/>
      <c r="H485" s="37" t="n"/>
      <c r="I485" s="41" t="n"/>
      <c r="J485" s="45" t="str">
        <f>IF($I485="","",IFERROR(INDEX(MCC_MASTER!$B$5:$B$504,MATCH($I485,MCC_MASTER!$A$5:$A$504,0)),"⚠ MCC chưa có"))</f>
        <v/>
      </c>
      <c r="K485" s="45" t="str">
        <f>IF($I485="","",IFERROR(IF(INDEX(MCC_MASTER!$C$5:$C$504,MATCH($I485,MCC_MASTER!$A$5:$A$504,0))="","Chưa phân loại",INDEX(MCC_MASTER!$C$5:$C$504,MATCH($I485,MCC_MASTER!$A$5:$A$504,0))),"Chưa phân loại"))</f>
        <v/>
      </c>
      <c r="L485" s="40" t="n"/>
      <c r="M485" s="48" t="str">
        <f>IF(OR($B485="",$D485=""),"",IF($AC485=0,0,IF(ISNUMBER(INDEX(CASHBACK_RULES!$L$5:$L$304,$AC485)),MAX(0,MIN($L485,INDEX(CASHBACK_RULES!$L$5:$L$304,$AC485)-$AH485)),MAX(0,$L485))))</f>
        <v/>
      </c>
      <c r="N485" s="49" t="str">
        <f>IF(OR($B485="",$D485=""),"",IF($AC485&gt;0,INDEX(CASHBACK_RULES!$I$5:$I$304,$AC485),0))</f>
        <v/>
      </c>
      <c r="O485" s="48" t="str">
        <f>IF(OR($B485="",$D485=""),"",ROUND($M485*$N485,0))</f>
        <v/>
      </c>
      <c r="P485" s="48" t="str">
        <f>IF($AC485&gt;0,IF(ISNUMBER(INDEX(CASHBACK_RULES!$J$5:$J$304,$AC485)),INDEX(CASHBACK_RULES!$J$5:$J$304,$AC485),"∞"),"")</f>
        <v/>
      </c>
      <c r="Q485" s="48" t="str">
        <f>IF(OR($B485="",$D485=""),"",IF($AC485=0,0,MAX(0,MIN($O485,IF(ISNUMBER($P485),$P485-$AF485,1E+15),IF(ISNUMBER($AA485),$AA485-$AG485,1E+15)))))</f>
        <v/>
      </c>
      <c r="R485" s="48" t="str">
        <f>IF(OR($B485="",$D485=""),"",IF($AC485=0,"",IF(AND(NOT(ISNUMBER($P485)),NOT(ISNUMBER($AA485))),"∞",MAX(0,MIN(IF(ISNUMBER($P485),$P485-$AF485-$Q485,1E+15),IF(ISNUMBER($AA485),$AA485-$AG485-$Q485,1E+15))))))</f>
        <v/>
      </c>
      <c r="S485" s="47" t="str">
        <f>IF($AD485="","",YEAR($AD485)*100+MONTH($AD485))</f>
        <v/>
      </c>
      <c r="T485" s="50" t="str">
        <f>IF($AD485="","",IFERROR(IF(INDEX(CARDS!$I$5:$I$34,MATCH($D485,CARDS!$A$5:$A$34,0))="","",IF(INDEX(CARDS!$I$5:$I$34,MATCH($D485,CARDS!$A$5:$A$34,0))&gt;INDEX(CARDS!$H$5:$H$34,MATCH($D485,CARDS!$A$5:$A$34,0)),DATE(YEAR($AD485),MONTH($AD485),MIN(INDEX(CARDS!$I$5:$I$34,MATCH($D485,CARDS!$A$5:$A$34,0)),DAY(EOMONTH($AD485,0)))),DATE(YEAR($AD485),MONTH($AD485)+1,MIN(INDEX(CARDS!$I$5:$I$34,MATCH($D485,CARDS!$A$5:$A$34,0)),DAY(EOMONTH($AD485,1)))))),""))</f>
        <v/>
      </c>
      <c r="U485" s="38" t="n"/>
      <c r="V485" s="37" t="n"/>
      <c r="W485" s="38" t="n"/>
      <c r="X485" s="38" t="n"/>
      <c r="Y485" s="44" t="str">
        <f>IF($AC485&gt;0,INDEX(CASHBACK_RULES!$A$5:$A$304,$AC485),"")</f>
        <v/>
      </c>
      <c r="Z485" s="45" t="str">
        <f>IF($AC485&gt;0,INDEX(CASHBACK_RULES!$E$5:$E$304,$AC485)&amp;"","")</f>
        <v/>
      </c>
      <c r="AA485" s="48" t="str">
        <f>IF($AC485&gt;0,IF(ISNUMBER(INDEX(CASHBACK_RULES!$K$5:$K$304,$AC485)),INDEX(CASHBACK_RULES!$K$5:$K$304,$AC485),"∞"),"")</f>
        <v/>
      </c>
      <c r="AB485" s="44" t="str">
        <f>IF(OR($B485="",$D485=""),"",IF($U485="Cancelled","Đã hủy",IF($AC485=0,"Không được hoàn",IF($Q485=0,IF(OR($O485&gt;0,$M485&lt;$L485),"Đã đạt cap","Không được hoàn"),IF(OR($Q485&lt;$O485,$M485&lt;$L485),"Hoàn một phần","Được hoàn")))))</f>
        <v/>
      </c>
      <c r="AC485" s="43">
        <f>IF(OR($B485="",$D485="",$I485="",$L485=""),0,IF($U485="Cancelled",0,IF($W485&lt;&gt;"",IFERROR(IF(INDEX(CASHBACK_RULES!$B$5:$B$304,MATCH($W485,CASHBACK_RULES!$A$5:$A$304,0))=$D485,MATCH($W485,CASHBACK_RULES!$A$5:$A$304,0),0),0),IFERROR(MATCH(1,INDEX((CASHBACK_RULES!$B$5:$B$304=$D485)*(CASHBACK_RULES!$G$5:$G$304=$I485)*(((CASHBACK_RULES!$N$5:$N$304="")+(CASHBACK_RULES!$N$5:$N$304&lt;=$B485))&gt;0)*(((CASHBACK_RULES!$O$5:$O$304="")+(CASHBACK_RULES!$O$5:$O$304&gt;=$B485))&gt;0)*(((CASHBACK_RULES!$M$5:$M$304="")+(CASHBACK_RULES!$M$5:$M$304&lt;=$L485))&gt;0),0),0),0))))</f>
        <v>0</v>
      </c>
      <c r="AD485" s="51" t="str">
        <f>IF(OR($B485="",$D485=""),"",IFERROR(IF(INDEX(CARDS!$H$5:$H$34,MATCH($D485,CARDS!$A$5:$A$34,0))="","",IF(DAY($B485)&lt;=INDEX(CARDS!$H$5:$H$34,MATCH($D485,CARDS!$A$5:$A$34,0)),DATE(YEAR($B485),MONTH($B485),MIN(INDEX(CARDS!$H$5:$H$34,MATCH($D485,CARDS!$A$5:$A$34,0)),DAY(EOMONTH($B485,0)))),DATE(YEAR($B485),MONTH($B485)+1,MIN(INDEX(CARDS!$H$5:$H$34,MATCH($D485,CARDS!$A$5:$A$34,0)),DAY(EOMONTH($B485,1)))))),""))</f>
        <v/>
      </c>
      <c r="AE485" s="52" t="str">
        <f>IF($C485="","",$C485&amp;"|"&amp;COUNTIF($C$5:$C485,$C485))</f>
        <v/>
      </c>
      <c r="AF485" s="53">
        <f>IF($AC485&gt;0,SUMIFS(Q$4:Q484,$D$4:$D484,$D485,$Z$4:$Z484,$Z485,$C$4:$C484,$C485),0)</f>
        <v>0</v>
      </c>
      <c r="AG485" s="53">
        <f>IF($AC485&gt;0,SUMIFS(Q$4:Q484,$D$4:$D484,$D485,$C$4:$C484,$C485),0)</f>
        <v>0</v>
      </c>
      <c r="AH485" s="53">
        <f>IF($AC485&gt;0,SUMIFS(M$4:M484,$D$4:$D484,$D485,$Z$4:$Z484,$Z485,$C$4:$C484,$C485),0)</f>
        <v>0</v>
      </c>
      <c r="AI485" s="43">
        <f>IF(OR($C485="",$I485=""),0,IF(COUNTIFS($C$5:$C485,$C485,$I$5:$I485,$I485)=1,1,0))</f>
        <v>0</v>
      </c>
      <c r="AJ485" s="43" t="str">
        <f>IF($AI485=1,SUMIFS($AI$4:$AI484,$C$4:$C484,$C485)+1,"")</f>
        <v/>
      </c>
      <c r="AK485" s="43">
        <f>IF(OR($C485="",$K485=""),0,IF(COUNTIFS($C$5:$C485,$C485,$K$5:$K485,$K485)=1,1,0))</f>
        <v>0</v>
      </c>
      <c r="AL485" s="43" t="str">
        <f>IF($AK485=1,SUMIFS($AK$4:$AK484,$C$4:$C484,$C485)+1,"")</f>
        <v/>
      </c>
      <c r="AM485" s="43">
        <f>IF(OR($C485="",$G485=""),0,IF(COUNTIFS($C$5:$C485,$C485,$G$5:$G485,$G485)=1,1,0))</f>
        <v>0</v>
      </c>
      <c r="AN485" s="43" t="str">
        <f>IF($AM485=1,SUMIFS($AM$4:$AM484,$C$4:$C484,$C485)+1,"")</f>
        <v/>
      </c>
    </row>
    <row r="486">
      <c r="A486" s="44" t="str">
        <f>IF(OR($B486="",$D486=""),"","TX"&amp;TEXT(ROW()-4,"0000"))</f>
        <v/>
      </c>
      <c r="B486" s="42" t="n"/>
      <c r="C486" s="47" t="str">
        <f>IF($B486="","",YEAR($B486)*100+MONTH($B486))</f>
        <v/>
      </c>
      <c r="D486" s="37" t="n"/>
      <c r="E486" s="45" t="str">
        <f>IF($D486="","",IFERROR(INDEX(CARDS!$B$5:$B$34,MATCH($D486,CARDS!$A$5:$A$34,0)),"⚠ Card ID?"))</f>
        <v/>
      </c>
      <c r="F486" s="45" t="str">
        <f>IF($D486="","",IFERROR(INDEX(CARDS!$C$5:$C$34,MATCH($D486,CARDS!$A$5:$A$34,0)),"⚠ Card ID?"))</f>
        <v/>
      </c>
      <c r="G486" s="37" t="n"/>
      <c r="H486" s="37" t="n"/>
      <c r="I486" s="41" t="n"/>
      <c r="J486" s="45" t="str">
        <f>IF($I486="","",IFERROR(INDEX(MCC_MASTER!$B$5:$B$504,MATCH($I486,MCC_MASTER!$A$5:$A$504,0)),"⚠ MCC chưa có"))</f>
        <v/>
      </c>
      <c r="K486" s="45" t="str">
        <f>IF($I486="","",IFERROR(IF(INDEX(MCC_MASTER!$C$5:$C$504,MATCH($I486,MCC_MASTER!$A$5:$A$504,0))="","Chưa phân loại",INDEX(MCC_MASTER!$C$5:$C$504,MATCH($I486,MCC_MASTER!$A$5:$A$504,0))),"Chưa phân loại"))</f>
        <v/>
      </c>
      <c r="L486" s="40" t="n"/>
      <c r="M486" s="48" t="str">
        <f>IF(OR($B486="",$D486=""),"",IF($AC486=0,0,IF(ISNUMBER(INDEX(CASHBACK_RULES!$L$5:$L$304,$AC486)),MAX(0,MIN($L486,INDEX(CASHBACK_RULES!$L$5:$L$304,$AC486)-$AH486)),MAX(0,$L486))))</f>
        <v/>
      </c>
      <c r="N486" s="49" t="str">
        <f>IF(OR($B486="",$D486=""),"",IF($AC486&gt;0,INDEX(CASHBACK_RULES!$I$5:$I$304,$AC486),0))</f>
        <v/>
      </c>
      <c r="O486" s="48" t="str">
        <f>IF(OR($B486="",$D486=""),"",ROUND($M486*$N486,0))</f>
        <v/>
      </c>
      <c r="P486" s="48" t="str">
        <f>IF($AC486&gt;0,IF(ISNUMBER(INDEX(CASHBACK_RULES!$J$5:$J$304,$AC486)),INDEX(CASHBACK_RULES!$J$5:$J$304,$AC486),"∞"),"")</f>
        <v/>
      </c>
      <c r="Q486" s="48" t="str">
        <f>IF(OR($B486="",$D486=""),"",IF($AC486=0,0,MAX(0,MIN($O486,IF(ISNUMBER($P486),$P486-$AF486,1E+15),IF(ISNUMBER($AA486),$AA486-$AG486,1E+15)))))</f>
        <v/>
      </c>
      <c r="R486" s="48" t="str">
        <f>IF(OR($B486="",$D486=""),"",IF($AC486=0,"",IF(AND(NOT(ISNUMBER($P486)),NOT(ISNUMBER($AA486))),"∞",MAX(0,MIN(IF(ISNUMBER($P486),$P486-$AF486-$Q486,1E+15),IF(ISNUMBER($AA486),$AA486-$AG486-$Q486,1E+15))))))</f>
        <v/>
      </c>
      <c r="S486" s="47" t="str">
        <f>IF($AD486="","",YEAR($AD486)*100+MONTH($AD486))</f>
        <v/>
      </c>
      <c r="T486" s="50" t="str">
        <f>IF($AD486="","",IFERROR(IF(INDEX(CARDS!$I$5:$I$34,MATCH($D486,CARDS!$A$5:$A$34,0))="","",IF(INDEX(CARDS!$I$5:$I$34,MATCH($D486,CARDS!$A$5:$A$34,0))&gt;INDEX(CARDS!$H$5:$H$34,MATCH($D486,CARDS!$A$5:$A$34,0)),DATE(YEAR($AD486),MONTH($AD486),MIN(INDEX(CARDS!$I$5:$I$34,MATCH($D486,CARDS!$A$5:$A$34,0)),DAY(EOMONTH($AD486,0)))),DATE(YEAR($AD486),MONTH($AD486)+1,MIN(INDEX(CARDS!$I$5:$I$34,MATCH($D486,CARDS!$A$5:$A$34,0)),DAY(EOMONTH($AD486,1)))))),""))</f>
        <v/>
      </c>
      <c r="U486" s="38" t="n"/>
      <c r="V486" s="37" t="n"/>
      <c r="W486" s="38" t="n"/>
      <c r="X486" s="38" t="n"/>
      <c r="Y486" s="44" t="str">
        <f>IF($AC486&gt;0,INDEX(CASHBACK_RULES!$A$5:$A$304,$AC486),"")</f>
        <v/>
      </c>
      <c r="Z486" s="45" t="str">
        <f>IF($AC486&gt;0,INDEX(CASHBACK_RULES!$E$5:$E$304,$AC486)&amp;"","")</f>
        <v/>
      </c>
      <c r="AA486" s="48" t="str">
        <f>IF($AC486&gt;0,IF(ISNUMBER(INDEX(CASHBACK_RULES!$K$5:$K$304,$AC486)),INDEX(CASHBACK_RULES!$K$5:$K$304,$AC486),"∞"),"")</f>
        <v/>
      </c>
      <c r="AB486" s="44" t="str">
        <f>IF(OR($B486="",$D486=""),"",IF($U486="Cancelled","Đã hủy",IF($AC486=0,"Không được hoàn",IF($Q486=0,IF(OR($O486&gt;0,$M486&lt;$L486),"Đã đạt cap","Không được hoàn"),IF(OR($Q486&lt;$O486,$M486&lt;$L486),"Hoàn một phần","Được hoàn")))))</f>
        <v/>
      </c>
      <c r="AC486" s="43">
        <f>IF(OR($B486="",$D486="",$I486="",$L486=""),0,IF($U486="Cancelled",0,IF($W486&lt;&gt;"",IFERROR(IF(INDEX(CASHBACK_RULES!$B$5:$B$304,MATCH($W486,CASHBACK_RULES!$A$5:$A$304,0))=$D486,MATCH($W486,CASHBACK_RULES!$A$5:$A$304,0),0),0),IFERROR(MATCH(1,INDEX((CASHBACK_RULES!$B$5:$B$304=$D486)*(CASHBACK_RULES!$G$5:$G$304=$I486)*(((CASHBACK_RULES!$N$5:$N$304="")+(CASHBACK_RULES!$N$5:$N$304&lt;=$B486))&gt;0)*(((CASHBACK_RULES!$O$5:$O$304="")+(CASHBACK_RULES!$O$5:$O$304&gt;=$B486))&gt;0)*(((CASHBACK_RULES!$M$5:$M$304="")+(CASHBACK_RULES!$M$5:$M$304&lt;=$L486))&gt;0),0),0),0))))</f>
        <v>0</v>
      </c>
      <c r="AD486" s="51" t="str">
        <f>IF(OR($B486="",$D486=""),"",IFERROR(IF(INDEX(CARDS!$H$5:$H$34,MATCH($D486,CARDS!$A$5:$A$34,0))="","",IF(DAY($B486)&lt;=INDEX(CARDS!$H$5:$H$34,MATCH($D486,CARDS!$A$5:$A$34,0)),DATE(YEAR($B486),MONTH($B486),MIN(INDEX(CARDS!$H$5:$H$34,MATCH($D486,CARDS!$A$5:$A$34,0)),DAY(EOMONTH($B486,0)))),DATE(YEAR($B486),MONTH($B486)+1,MIN(INDEX(CARDS!$H$5:$H$34,MATCH($D486,CARDS!$A$5:$A$34,0)),DAY(EOMONTH($B486,1)))))),""))</f>
        <v/>
      </c>
      <c r="AE486" s="52" t="str">
        <f>IF($C486="","",$C486&amp;"|"&amp;COUNTIF($C$5:$C486,$C486))</f>
        <v/>
      </c>
      <c r="AF486" s="53">
        <f>IF($AC486&gt;0,SUMIFS(Q$4:Q485,$D$4:$D485,$D486,$Z$4:$Z485,$Z486,$C$4:$C485,$C486),0)</f>
        <v>0</v>
      </c>
      <c r="AG486" s="53">
        <f>IF($AC486&gt;0,SUMIFS(Q$4:Q485,$D$4:$D485,$D486,$C$4:$C485,$C486),0)</f>
        <v>0</v>
      </c>
      <c r="AH486" s="53">
        <f>IF($AC486&gt;0,SUMIFS(M$4:M485,$D$4:$D485,$D486,$Z$4:$Z485,$Z486,$C$4:$C485,$C486),0)</f>
        <v>0</v>
      </c>
      <c r="AI486" s="43">
        <f>IF(OR($C486="",$I486=""),0,IF(COUNTIFS($C$5:$C486,$C486,$I$5:$I486,$I486)=1,1,0))</f>
        <v>0</v>
      </c>
      <c r="AJ486" s="43" t="str">
        <f>IF($AI486=1,SUMIFS($AI$4:$AI485,$C$4:$C485,$C486)+1,"")</f>
        <v/>
      </c>
      <c r="AK486" s="43">
        <f>IF(OR($C486="",$K486=""),0,IF(COUNTIFS($C$5:$C486,$C486,$K$5:$K486,$K486)=1,1,0))</f>
        <v>0</v>
      </c>
      <c r="AL486" s="43" t="str">
        <f>IF($AK486=1,SUMIFS($AK$4:$AK485,$C$4:$C485,$C486)+1,"")</f>
        <v/>
      </c>
      <c r="AM486" s="43">
        <f>IF(OR($C486="",$G486=""),0,IF(COUNTIFS($C$5:$C486,$C486,$G$5:$G486,$G486)=1,1,0))</f>
        <v>0</v>
      </c>
      <c r="AN486" s="43" t="str">
        <f>IF($AM486=1,SUMIFS($AM$4:$AM485,$C$4:$C485,$C486)+1,"")</f>
        <v/>
      </c>
    </row>
    <row r="487">
      <c r="A487" s="44" t="str">
        <f>IF(OR($B487="",$D487=""),"","TX"&amp;TEXT(ROW()-4,"0000"))</f>
        <v/>
      </c>
      <c r="B487" s="42" t="n"/>
      <c r="C487" s="47" t="str">
        <f>IF($B487="","",YEAR($B487)*100+MONTH($B487))</f>
        <v/>
      </c>
      <c r="D487" s="37" t="n"/>
      <c r="E487" s="45" t="str">
        <f>IF($D487="","",IFERROR(INDEX(CARDS!$B$5:$B$34,MATCH($D487,CARDS!$A$5:$A$34,0)),"⚠ Card ID?"))</f>
        <v/>
      </c>
      <c r="F487" s="45" t="str">
        <f>IF($D487="","",IFERROR(INDEX(CARDS!$C$5:$C$34,MATCH($D487,CARDS!$A$5:$A$34,0)),"⚠ Card ID?"))</f>
        <v/>
      </c>
      <c r="G487" s="37" t="n"/>
      <c r="H487" s="37" t="n"/>
      <c r="I487" s="41" t="n"/>
      <c r="J487" s="45" t="str">
        <f>IF($I487="","",IFERROR(INDEX(MCC_MASTER!$B$5:$B$504,MATCH($I487,MCC_MASTER!$A$5:$A$504,0)),"⚠ MCC chưa có"))</f>
        <v/>
      </c>
      <c r="K487" s="45" t="str">
        <f>IF($I487="","",IFERROR(IF(INDEX(MCC_MASTER!$C$5:$C$504,MATCH($I487,MCC_MASTER!$A$5:$A$504,0))="","Chưa phân loại",INDEX(MCC_MASTER!$C$5:$C$504,MATCH($I487,MCC_MASTER!$A$5:$A$504,0))),"Chưa phân loại"))</f>
        <v/>
      </c>
      <c r="L487" s="40" t="n"/>
      <c r="M487" s="48" t="str">
        <f>IF(OR($B487="",$D487=""),"",IF($AC487=0,0,IF(ISNUMBER(INDEX(CASHBACK_RULES!$L$5:$L$304,$AC487)),MAX(0,MIN($L487,INDEX(CASHBACK_RULES!$L$5:$L$304,$AC487)-$AH487)),MAX(0,$L487))))</f>
        <v/>
      </c>
      <c r="N487" s="49" t="str">
        <f>IF(OR($B487="",$D487=""),"",IF($AC487&gt;0,INDEX(CASHBACK_RULES!$I$5:$I$304,$AC487),0))</f>
        <v/>
      </c>
      <c r="O487" s="48" t="str">
        <f>IF(OR($B487="",$D487=""),"",ROUND($M487*$N487,0))</f>
        <v/>
      </c>
      <c r="P487" s="48" t="str">
        <f>IF($AC487&gt;0,IF(ISNUMBER(INDEX(CASHBACK_RULES!$J$5:$J$304,$AC487)),INDEX(CASHBACK_RULES!$J$5:$J$304,$AC487),"∞"),"")</f>
        <v/>
      </c>
      <c r="Q487" s="48" t="str">
        <f>IF(OR($B487="",$D487=""),"",IF($AC487=0,0,MAX(0,MIN($O487,IF(ISNUMBER($P487),$P487-$AF487,1E+15),IF(ISNUMBER($AA487),$AA487-$AG487,1E+15)))))</f>
        <v/>
      </c>
      <c r="R487" s="48" t="str">
        <f>IF(OR($B487="",$D487=""),"",IF($AC487=0,"",IF(AND(NOT(ISNUMBER($P487)),NOT(ISNUMBER($AA487))),"∞",MAX(0,MIN(IF(ISNUMBER($P487),$P487-$AF487-$Q487,1E+15),IF(ISNUMBER($AA487),$AA487-$AG487-$Q487,1E+15))))))</f>
        <v/>
      </c>
      <c r="S487" s="47" t="str">
        <f>IF($AD487="","",YEAR($AD487)*100+MONTH($AD487))</f>
        <v/>
      </c>
      <c r="T487" s="50" t="str">
        <f>IF($AD487="","",IFERROR(IF(INDEX(CARDS!$I$5:$I$34,MATCH($D487,CARDS!$A$5:$A$34,0))="","",IF(INDEX(CARDS!$I$5:$I$34,MATCH($D487,CARDS!$A$5:$A$34,0))&gt;INDEX(CARDS!$H$5:$H$34,MATCH($D487,CARDS!$A$5:$A$34,0)),DATE(YEAR($AD487),MONTH($AD487),MIN(INDEX(CARDS!$I$5:$I$34,MATCH($D487,CARDS!$A$5:$A$34,0)),DAY(EOMONTH($AD487,0)))),DATE(YEAR($AD487),MONTH($AD487)+1,MIN(INDEX(CARDS!$I$5:$I$34,MATCH($D487,CARDS!$A$5:$A$34,0)),DAY(EOMONTH($AD487,1)))))),""))</f>
        <v/>
      </c>
      <c r="U487" s="38" t="n"/>
      <c r="V487" s="37" t="n"/>
      <c r="W487" s="38" t="n"/>
      <c r="X487" s="38" t="n"/>
      <c r="Y487" s="44" t="str">
        <f>IF($AC487&gt;0,INDEX(CASHBACK_RULES!$A$5:$A$304,$AC487),"")</f>
        <v/>
      </c>
      <c r="Z487" s="45" t="str">
        <f>IF($AC487&gt;0,INDEX(CASHBACK_RULES!$E$5:$E$304,$AC487)&amp;"","")</f>
        <v/>
      </c>
      <c r="AA487" s="48" t="str">
        <f>IF($AC487&gt;0,IF(ISNUMBER(INDEX(CASHBACK_RULES!$K$5:$K$304,$AC487)),INDEX(CASHBACK_RULES!$K$5:$K$304,$AC487),"∞"),"")</f>
        <v/>
      </c>
      <c r="AB487" s="44" t="str">
        <f>IF(OR($B487="",$D487=""),"",IF($U487="Cancelled","Đã hủy",IF($AC487=0,"Không được hoàn",IF($Q487=0,IF(OR($O487&gt;0,$M487&lt;$L487),"Đã đạt cap","Không được hoàn"),IF(OR($Q487&lt;$O487,$M487&lt;$L487),"Hoàn một phần","Được hoàn")))))</f>
        <v/>
      </c>
      <c r="AC487" s="43">
        <f>IF(OR($B487="",$D487="",$I487="",$L487=""),0,IF($U487="Cancelled",0,IF($W487&lt;&gt;"",IFERROR(IF(INDEX(CASHBACK_RULES!$B$5:$B$304,MATCH($W487,CASHBACK_RULES!$A$5:$A$304,0))=$D487,MATCH($W487,CASHBACK_RULES!$A$5:$A$304,0),0),0),IFERROR(MATCH(1,INDEX((CASHBACK_RULES!$B$5:$B$304=$D487)*(CASHBACK_RULES!$G$5:$G$304=$I487)*(((CASHBACK_RULES!$N$5:$N$304="")+(CASHBACK_RULES!$N$5:$N$304&lt;=$B487))&gt;0)*(((CASHBACK_RULES!$O$5:$O$304="")+(CASHBACK_RULES!$O$5:$O$304&gt;=$B487))&gt;0)*(((CASHBACK_RULES!$M$5:$M$304="")+(CASHBACK_RULES!$M$5:$M$304&lt;=$L487))&gt;0),0),0),0))))</f>
        <v>0</v>
      </c>
      <c r="AD487" s="51" t="str">
        <f>IF(OR($B487="",$D487=""),"",IFERROR(IF(INDEX(CARDS!$H$5:$H$34,MATCH($D487,CARDS!$A$5:$A$34,0))="","",IF(DAY($B487)&lt;=INDEX(CARDS!$H$5:$H$34,MATCH($D487,CARDS!$A$5:$A$34,0)),DATE(YEAR($B487),MONTH($B487),MIN(INDEX(CARDS!$H$5:$H$34,MATCH($D487,CARDS!$A$5:$A$34,0)),DAY(EOMONTH($B487,0)))),DATE(YEAR($B487),MONTH($B487)+1,MIN(INDEX(CARDS!$H$5:$H$34,MATCH($D487,CARDS!$A$5:$A$34,0)),DAY(EOMONTH($B487,1)))))),""))</f>
        <v/>
      </c>
      <c r="AE487" s="52" t="str">
        <f>IF($C487="","",$C487&amp;"|"&amp;COUNTIF($C$5:$C487,$C487))</f>
        <v/>
      </c>
      <c r="AF487" s="53">
        <f>IF($AC487&gt;0,SUMIFS(Q$4:Q486,$D$4:$D486,$D487,$Z$4:$Z486,$Z487,$C$4:$C486,$C487),0)</f>
        <v>0</v>
      </c>
      <c r="AG487" s="53">
        <f>IF($AC487&gt;0,SUMIFS(Q$4:Q486,$D$4:$D486,$D487,$C$4:$C486,$C487),0)</f>
        <v>0</v>
      </c>
      <c r="AH487" s="53">
        <f>IF($AC487&gt;0,SUMIFS(M$4:M486,$D$4:$D486,$D487,$Z$4:$Z486,$Z487,$C$4:$C486,$C487),0)</f>
        <v>0</v>
      </c>
      <c r="AI487" s="43">
        <f>IF(OR($C487="",$I487=""),0,IF(COUNTIFS($C$5:$C487,$C487,$I$5:$I487,$I487)=1,1,0))</f>
        <v>0</v>
      </c>
      <c r="AJ487" s="43" t="str">
        <f>IF($AI487=1,SUMIFS($AI$4:$AI486,$C$4:$C486,$C487)+1,"")</f>
        <v/>
      </c>
      <c r="AK487" s="43">
        <f>IF(OR($C487="",$K487=""),0,IF(COUNTIFS($C$5:$C487,$C487,$K$5:$K487,$K487)=1,1,0))</f>
        <v>0</v>
      </c>
      <c r="AL487" s="43" t="str">
        <f>IF($AK487=1,SUMIFS($AK$4:$AK486,$C$4:$C486,$C487)+1,"")</f>
        <v/>
      </c>
      <c r="AM487" s="43">
        <f>IF(OR($C487="",$G487=""),0,IF(COUNTIFS($C$5:$C487,$C487,$G$5:$G487,$G487)=1,1,0))</f>
        <v>0</v>
      </c>
      <c r="AN487" s="43" t="str">
        <f>IF($AM487=1,SUMIFS($AM$4:$AM486,$C$4:$C486,$C487)+1,"")</f>
        <v/>
      </c>
    </row>
    <row r="488">
      <c r="A488" s="44" t="str">
        <f>IF(OR($B488="",$D488=""),"","TX"&amp;TEXT(ROW()-4,"0000"))</f>
        <v/>
      </c>
      <c r="B488" s="42" t="n"/>
      <c r="C488" s="47" t="str">
        <f>IF($B488="","",YEAR($B488)*100+MONTH($B488))</f>
        <v/>
      </c>
      <c r="D488" s="37" t="n"/>
      <c r="E488" s="45" t="str">
        <f>IF($D488="","",IFERROR(INDEX(CARDS!$B$5:$B$34,MATCH($D488,CARDS!$A$5:$A$34,0)),"⚠ Card ID?"))</f>
        <v/>
      </c>
      <c r="F488" s="45" t="str">
        <f>IF($D488="","",IFERROR(INDEX(CARDS!$C$5:$C$34,MATCH($D488,CARDS!$A$5:$A$34,0)),"⚠ Card ID?"))</f>
        <v/>
      </c>
      <c r="G488" s="37" t="n"/>
      <c r="H488" s="37" t="n"/>
      <c r="I488" s="41" t="n"/>
      <c r="J488" s="45" t="str">
        <f>IF($I488="","",IFERROR(INDEX(MCC_MASTER!$B$5:$B$504,MATCH($I488,MCC_MASTER!$A$5:$A$504,0)),"⚠ MCC chưa có"))</f>
        <v/>
      </c>
      <c r="K488" s="45" t="str">
        <f>IF($I488="","",IFERROR(IF(INDEX(MCC_MASTER!$C$5:$C$504,MATCH($I488,MCC_MASTER!$A$5:$A$504,0))="","Chưa phân loại",INDEX(MCC_MASTER!$C$5:$C$504,MATCH($I488,MCC_MASTER!$A$5:$A$504,0))),"Chưa phân loại"))</f>
        <v/>
      </c>
      <c r="L488" s="40" t="n"/>
      <c r="M488" s="48" t="str">
        <f>IF(OR($B488="",$D488=""),"",IF($AC488=0,0,IF(ISNUMBER(INDEX(CASHBACK_RULES!$L$5:$L$304,$AC488)),MAX(0,MIN($L488,INDEX(CASHBACK_RULES!$L$5:$L$304,$AC488)-$AH488)),MAX(0,$L488))))</f>
        <v/>
      </c>
      <c r="N488" s="49" t="str">
        <f>IF(OR($B488="",$D488=""),"",IF($AC488&gt;0,INDEX(CASHBACK_RULES!$I$5:$I$304,$AC488),0))</f>
        <v/>
      </c>
      <c r="O488" s="48" t="str">
        <f>IF(OR($B488="",$D488=""),"",ROUND($M488*$N488,0))</f>
        <v/>
      </c>
      <c r="P488" s="48" t="str">
        <f>IF($AC488&gt;0,IF(ISNUMBER(INDEX(CASHBACK_RULES!$J$5:$J$304,$AC488)),INDEX(CASHBACK_RULES!$J$5:$J$304,$AC488),"∞"),"")</f>
        <v/>
      </c>
      <c r="Q488" s="48" t="str">
        <f>IF(OR($B488="",$D488=""),"",IF($AC488=0,0,MAX(0,MIN($O488,IF(ISNUMBER($P488),$P488-$AF488,1E+15),IF(ISNUMBER($AA488),$AA488-$AG488,1E+15)))))</f>
        <v/>
      </c>
      <c r="R488" s="48" t="str">
        <f>IF(OR($B488="",$D488=""),"",IF($AC488=0,"",IF(AND(NOT(ISNUMBER($P488)),NOT(ISNUMBER($AA488))),"∞",MAX(0,MIN(IF(ISNUMBER($P488),$P488-$AF488-$Q488,1E+15),IF(ISNUMBER($AA488),$AA488-$AG488-$Q488,1E+15))))))</f>
        <v/>
      </c>
      <c r="S488" s="47" t="str">
        <f>IF($AD488="","",YEAR($AD488)*100+MONTH($AD488))</f>
        <v/>
      </c>
      <c r="T488" s="50" t="str">
        <f>IF($AD488="","",IFERROR(IF(INDEX(CARDS!$I$5:$I$34,MATCH($D488,CARDS!$A$5:$A$34,0))="","",IF(INDEX(CARDS!$I$5:$I$34,MATCH($D488,CARDS!$A$5:$A$34,0))&gt;INDEX(CARDS!$H$5:$H$34,MATCH($D488,CARDS!$A$5:$A$34,0)),DATE(YEAR($AD488),MONTH($AD488),MIN(INDEX(CARDS!$I$5:$I$34,MATCH($D488,CARDS!$A$5:$A$34,0)),DAY(EOMONTH($AD488,0)))),DATE(YEAR($AD488),MONTH($AD488)+1,MIN(INDEX(CARDS!$I$5:$I$34,MATCH($D488,CARDS!$A$5:$A$34,0)),DAY(EOMONTH($AD488,1)))))),""))</f>
        <v/>
      </c>
      <c r="U488" s="38" t="n"/>
      <c r="V488" s="37" t="n"/>
      <c r="W488" s="38" t="n"/>
      <c r="X488" s="38" t="n"/>
      <c r="Y488" s="44" t="str">
        <f>IF($AC488&gt;0,INDEX(CASHBACK_RULES!$A$5:$A$304,$AC488),"")</f>
        <v/>
      </c>
      <c r="Z488" s="45" t="str">
        <f>IF($AC488&gt;0,INDEX(CASHBACK_RULES!$E$5:$E$304,$AC488)&amp;"","")</f>
        <v/>
      </c>
      <c r="AA488" s="48" t="str">
        <f>IF($AC488&gt;0,IF(ISNUMBER(INDEX(CASHBACK_RULES!$K$5:$K$304,$AC488)),INDEX(CASHBACK_RULES!$K$5:$K$304,$AC488),"∞"),"")</f>
        <v/>
      </c>
      <c r="AB488" s="44" t="str">
        <f>IF(OR($B488="",$D488=""),"",IF($U488="Cancelled","Đã hủy",IF($AC488=0,"Không được hoàn",IF($Q488=0,IF(OR($O488&gt;0,$M488&lt;$L488),"Đã đạt cap","Không được hoàn"),IF(OR($Q488&lt;$O488,$M488&lt;$L488),"Hoàn một phần","Được hoàn")))))</f>
        <v/>
      </c>
      <c r="AC488" s="43">
        <f>IF(OR($B488="",$D488="",$I488="",$L488=""),0,IF($U488="Cancelled",0,IF($W488&lt;&gt;"",IFERROR(IF(INDEX(CASHBACK_RULES!$B$5:$B$304,MATCH($W488,CASHBACK_RULES!$A$5:$A$304,0))=$D488,MATCH($W488,CASHBACK_RULES!$A$5:$A$304,0),0),0),IFERROR(MATCH(1,INDEX((CASHBACK_RULES!$B$5:$B$304=$D488)*(CASHBACK_RULES!$G$5:$G$304=$I488)*(((CASHBACK_RULES!$N$5:$N$304="")+(CASHBACK_RULES!$N$5:$N$304&lt;=$B488))&gt;0)*(((CASHBACK_RULES!$O$5:$O$304="")+(CASHBACK_RULES!$O$5:$O$304&gt;=$B488))&gt;0)*(((CASHBACK_RULES!$M$5:$M$304="")+(CASHBACK_RULES!$M$5:$M$304&lt;=$L488))&gt;0),0),0),0))))</f>
        <v>0</v>
      </c>
      <c r="AD488" s="51" t="str">
        <f>IF(OR($B488="",$D488=""),"",IFERROR(IF(INDEX(CARDS!$H$5:$H$34,MATCH($D488,CARDS!$A$5:$A$34,0))="","",IF(DAY($B488)&lt;=INDEX(CARDS!$H$5:$H$34,MATCH($D488,CARDS!$A$5:$A$34,0)),DATE(YEAR($B488),MONTH($B488),MIN(INDEX(CARDS!$H$5:$H$34,MATCH($D488,CARDS!$A$5:$A$34,0)),DAY(EOMONTH($B488,0)))),DATE(YEAR($B488),MONTH($B488)+1,MIN(INDEX(CARDS!$H$5:$H$34,MATCH($D488,CARDS!$A$5:$A$34,0)),DAY(EOMONTH($B488,1)))))),""))</f>
        <v/>
      </c>
      <c r="AE488" s="52" t="str">
        <f>IF($C488="","",$C488&amp;"|"&amp;COUNTIF($C$5:$C488,$C488))</f>
        <v/>
      </c>
      <c r="AF488" s="53">
        <f>IF($AC488&gt;0,SUMIFS(Q$4:Q487,$D$4:$D487,$D488,$Z$4:$Z487,$Z488,$C$4:$C487,$C488),0)</f>
        <v>0</v>
      </c>
      <c r="AG488" s="53">
        <f>IF($AC488&gt;0,SUMIFS(Q$4:Q487,$D$4:$D487,$D488,$C$4:$C487,$C488),0)</f>
        <v>0</v>
      </c>
      <c r="AH488" s="53">
        <f>IF($AC488&gt;0,SUMIFS(M$4:M487,$D$4:$D487,$D488,$Z$4:$Z487,$Z488,$C$4:$C487,$C488),0)</f>
        <v>0</v>
      </c>
      <c r="AI488" s="43">
        <f>IF(OR($C488="",$I488=""),0,IF(COUNTIFS($C$5:$C488,$C488,$I$5:$I488,$I488)=1,1,0))</f>
        <v>0</v>
      </c>
      <c r="AJ488" s="43" t="str">
        <f>IF($AI488=1,SUMIFS($AI$4:$AI487,$C$4:$C487,$C488)+1,"")</f>
        <v/>
      </c>
      <c r="AK488" s="43">
        <f>IF(OR($C488="",$K488=""),0,IF(COUNTIFS($C$5:$C488,$C488,$K$5:$K488,$K488)=1,1,0))</f>
        <v>0</v>
      </c>
      <c r="AL488" s="43" t="str">
        <f>IF($AK488=1,SUMIFS($AK$4:$AK487,$C$4:$C487,$C488)+1,"")</f>
        <v/>
      </c>
      <c r="AM488" s="43">
        <f>IF(OR($C488="",$G488=""),0,IF(COUNTIFS($C$5:$C488,$C488,$G$5:$G488,$G488)=1,1,0))</f>
        <v>0</v>
      </c>
      <c r="AN488" s="43" t="str">
        <f>IF($AM488=1,SUMIFS($AM$4:$AM487,$C$4:$C487,$C488)+1,"")</f>
        <v/>
      </c>
    </row>
    <row r="489">
      <c r="A489" s="44" t="str">
        <f>IF(OR($B489="",$D489=""),"","TX"&amp;TEXT(ROW()-4,"0000"))</f>
        <v/>
      </c>
      <c r="B489" s="42" t="n"/>
      <c r="C489" s="47" t="str">
        <f>IF($B489="","",YEAR($B489)*100+MONTH($B489))</f>
        <v/>
      </c>
      <c r="D489" s="37" t="n"/>
      <c r="E489" s="45" t="str">
        <f>IF($D489="","",IFERROR(INDEX(CARDS!$B$5:$B$34,MATCH($D489,CARDS!$A$5:$A$34,0)),"⚠ Card ID?"))</f>
        <v/>
      </c>
      <c r="F489" s="45" t="str">
        <f>IF($D489="","",IFERROR(INDEX(CARDS!$C$5:$C$34,MATCH($D489,CARDS!$A$5:$A$34,0)),"⚠ Card ID?"))</f>
        <v/>
      </c>
      <c r="G489" s="37" t="n"/>
      <c r="H489" s="37" t="n"/>
      <c r="I489" s="41" t="n"/>
      <c r="J489" s="45" t="str">
        <f>IF($I489="","",IFERROR(INDEX(MCC_MASTER!$B$5:$B$504,MATCH($I489,MCC_MASTER!$A$5:$A$504,0)),"⚠ MCC chưa có"))</f>
        <v/>
      </c>
      <c r="K489" s="45" t="str">
        <f>IF($I489="","",IFERROR(IF(INDEX(MCC_MASTER!$C$5:$C$504,MATCH($I489,MCC_MASTER!$A$5:$A$504,0))="","Chưa phân loại",INDEX(MCC_MASTER!$C$5:$C$504,MATCH($I489,MCC_MASTER!$A$5:$A$504,0))),"Chưa phân loại"))</f>
        <v/>
      </c>
      <c r="L489" s="40" t="n"/>
      <c r="M489" s="48" t="str">
        <f>IF(OR($B489="",$D489=""),"",IF($AC489=0,0,IF(ISNUMBER(INDEX(CASHBACK_RULES!$L$5:$L$304,$AC489)),MAX(0,MIN($L489,INDEX(CASHBACK_RULES!$L$5:$L$304,$AC489)-$AH489)),MAX(0,$L489))))</f>
        <v/>
      </c>
      <c r="N489" s="49" t="str">
        <f>IF(OR($B489="",$D489=""),"",IF($AC489&gt;0,INDEX(CASHBACK_RULES!$I$5:$I$304,$AC489),0))</f>
        <v/>
      </c>
      <c r="O489" s="48" t="str">
        <f>IF(OR($B489="",$D489=""),"",ROUND($M489*$N489,0))</f>
        <v/>
      </c>
      <c r="P489" s="48" t="str">
        <f>IF($AC489&gt;0,IF(ISNUMBER(INDEX(CASHBACK_RULES!$J$5:$J$304,$AC489)),INDEX(CASHBACK_RULES!$J$5:$J$304,$AC489),"∞"),"")</f>
        <v/>
      </c>
      <c r="Q489" s="48" t="str">
        <f>IF(OR($B489="",$D489=""),"",IF($AC489=0,0,MAX(0,MIN($O489,IF(ISNUMBER($P489),$P489-$AF489,1E+15),IF(ISNUMBER($AA489),$AA489-$AG489,1E+15)))))</f>
        <v/>
      </c>
      <c r="R489" s="48" t="str">
        <f>IF(OR($B489="",$D489=""),"",IF($AC489=0,"",IF(AND(NOT(ISNUMBER($P489)),NOT(ISNUMBER($AA489))),"∞",MAX(0,MIN(IF(ISNUMBER($P489),$P489-$AF489-$Q489,1E+15),IF(ISNUMBER($AA489),$AA489-$AG489-$Q489,1E+15))))))</f>
        <v/>
      </c>
      <c r="S489" s="47" t="str">
        <f>IF($AD489="","",YEAR($AD489)*100+MONTH($AD489))</f>
        <v/>
      </c>
      <c r="T489" s="50" t="str">
        <f>IF($AD489="","",IFERROR(IF(INDEX(CARDS!$I$5:$I$34,MATCH($D489,CARDS!$A$5:$A$34,0))="","",IF(INDEX(CARDS!$I$5:$I$34,MATCH($D489,CARDS!$A$5:$A$34,0))&gt;INDEX(CARDS!$H$5:$H$34,MATCH($D489,CARDS!$A$5:$A$34,0)),DATE(YEAR($AD489),MONTH($AD489),MIN(INDEX(CARDS!$I$5:$I$34,MATCH($D489,CARDS!$A$5:$A$34,0)),DAY(EOMONTH($AD489,0)))),DATE(YEAR($AD489),MONTH($AD489)+1,MIN(INDEX(CARDS!$I$5:$I$34,MATCH($D489,CARDS!$A$5:$A$34,0)),DAY(EOMONTH($AD489,1)))))),""))</f>
        <v/>
      </c>
      <c r="U489" s="38" t="n"/>
      <c r="V489" s="37" t="n"/>
      <c r="W489" s="38" t="n"/>
      <c r="X489" s="38" t="n"/>
      <c r="Y489" s="44" t="str">
        <f>IF($AC489&gt;0,INDEX(CASHBACK_RULES!$A$5:$A$304,$AC489),"")</f>
        <v/>
      </c>
      <c r="Z489" s="45" t="str">
        <f>IF($AC489&gt;0,INDEX(CASHBACK_RULES!$E$5:$E$304,$AC489)&amp;"","")</f>
        <v/>
      </c>
      <c r="AA489" s="48" t="str">
        <f>IF($AC489&gt;0,IF(ISNUMBER(INDEX(CASHBACK_RULES!$K$5:$K$304,$AC489)),INDEX(CASHBACK_RULES!$K$5:$K$304,$AC489),"∞"),"")</f>
        <v/>
      </c>
      <c r="AB489" s="44" t="str">
        <f>IF(OR($B489="",$D489=""),"",IF($U489="Cancelled","Đã hủy",IF($AC489=0,"Không được hoàn",IF($Q489=0,IF(OR($O489&gt;0,$M489&lt;$L489),"Đã đạt cap","Không được hoàn"),IF(OR($Q489&lt;$O489,$M489&lt;$L489),"Hoàn một phần","Được hoàn")))))</f>
        <v/>
      </c>
      <c r="AC489" s="43">
        <f>IF(OR($B489="",$D489="",$I489="",$L489=""),0,IF($U489="Cancelled",0,IF($W489&lt;&gt;"",IFERROR(IF(INDEX(CASHBACK_RULES!$B$5:$B$304,MATCH($W489,CASHBACK_RULES!$A$5:$A$304,0))=$D489,MATCH($W489,CASHBACK_RULES!$A$5:$A$304,0),0),0),IFERROR(MATCH(1,INDEX((CASHBACK_RULES!$B$5:$B$304=$D489)*(CASHBACK_RULES!$G$5:$G$304=$I489)*(((CASHBACK_RULES!$N$5:$N$304="")+(CASHBACK_RULES!$N$5:$N$304&lt;=$B489))&gt;0)*(((CASHBACK_RULES!$O$5:$O$304="")+(CASHBACK_RULES!$O$5:$O$304&gt;=$B489))&gt;0)*(((CASHBACK_RULES!$M$5:$M$304="")+(CASHBACK_RULES!$M$5:$M$304&lt;=$L489))&gt;0),0),0),0))))</f>
        <v>0</v>
      </c>
      <c r="AD489" s="51" t="str">
        <f>IF(OR($B489="",$D489=""),"",IFERROR(IF(INDEX(CARDS!$H$5:$H$34,MATCH($D489,CARDS!$A$5:$A$34,0))="","",IF(DAY($B489)&lt;=INDEX(CARDS!$H$5:$H$34,MATCH($D489,CARDS!$A$5:$A$34,0)),DATE(YEAR($B489),MONTH($B489),MIN(INDEX(CARDS!$H$5:$H$34,MATCH($D489,CARDS!$A$5:$A$34,0)),DAY(EOMONTH($B489,0)))),DATE(YEAR($B489),MONTH($B489)+1,MIN(INDEX(CARDS!$H$5:$H$34,MATCH($D489,CARDS!$A$5:$A$34,0)),DAY(EOMONTH($B489,1)))))),""))</f>
        <v/>
      </c>
      <c r="AE489" s="52" t="str">
        <f>IF($C489="","",$C489&amp;"|"&amp;COUNTIF($C$5:$C489,$C489))</f>
        <v/>
      </c>
      <c r="AF489" s="53">
        <f>IF($AC489&gt;0,SUMIFS(Q$4:Q488,$D$4:$D488,$D489,$Z$4:$Z488,$Z489,$C$4:$C488,$C489),0)</f>
        <v>0</v>
      </c>
      <c r="AG489" s="53">
        <f>IF($AC489&gt;0,SUMIFS(Q$4:Q488,$D$4:$D488,$D489,$C$4:$C488,$C489),0)</f>
        <v>0</v>
      </c>
      <c r="AH489" s="53">
        <f>IF($AC489&gt;0,SUMIFS(M$4:M488,$D$4:$D488,$D489,$Z$4:$Z488,$Z489,$C$4:$C488,$C489),0)</f>
        <v>0</v>
      </c>
      <c r="AI489" s="43">
        <f>IF(OR($C489="",$I489=""),0,IF(COUNTIFS($C$5:$C489,$C489,$I$5:$I489,$I489)=1,1,0))</f>
        <v>0</v>
      </c>
      <c r="AJ489" s="43" t="str">
        <f>IF($AI489=1,SUMIFS($AI$4:$AI488,$C$4:$C488,$C489)+1,"")</f>
        <v/>
      </c>
      <c r="AK489" s="43">
        <f>IF(OR($C489="",$K489=""),0,IF(COUNTIFS($C$5:$C489,$C489,$K$5:$K489,$K489)=1,1,0))</f>
        <v>0</v>
      </c>
      <c r="AL489" s="43" t="str">
        <f>IF($AK489=1,SUMIFS($AK$4:$AK488,$C$4:$C488,$C489)+1,"")</f>
        <v/>
      </c>
      <c r="AM489" s="43">
        <f>IF(OR($C489="",$G489=""),0,IF(COUNTIFS($C$5:$C489,$C489,$G$5:$G489,$G489)=1,1,0))</f>
        <v>0</v>
      </c>
      <c r="AN489" s="43" t="str">
        <f>IF($AM489=1,SUMIFS($AM$4:$AM488,$C$4:$C488,$C489)+1,"")</f>
        <v/>
      </c>
    </row>
    <row r="490">
      <c r="A490" s="44" t="str">
        <f>IF(OR($B490="",$D490=""),"","TX"&amp;TEXT(ROW()-4,"0000"))</f>
        <v/>
      </c>
      <c r="B490" s="42" t="n"/>
      <c r="C490" s="47" t="str">
        <f>IF($B490="","",YEAR($B490)*100+MONTH($B490))</f>
        <v/>
      </c>
      <c r="D490" s="37" t="n"/>
      <c r="E490" s="45" t="str">
        <f>IF($D490="","",IFERROR(INDEX(CARDS!$B$5:$B$34,MATCH($D490,CARDS!$A$5:$A$34,0)),"⚠ Card ID?"))</f>
        <v/>
      </c>
      <c r="F490" s="45" t="str">
        <f>IF($D490="","",IFERROR(INDEX(CARDS!$C$5:$C$34,MATCH($D490,CARDS!$A$5:$A$34,0)),"⚠ Card ID?"))</f>
        <v/>
      </c>
      <c r="G490" s="37" t="n"/>
      <c r="H490" s="37" t="n"/>
      <c r="I490" s="41" t="n"/>
      <c r="J490" s="45" t="str">
        <f>IF($I490="","",IFERROR(INDEX(MCC_MASTER!$B$5:$B$504,MATCH($I490,MCC_MASTER!$A$5:$A$504,0)),"⚠ MCC chưa có"))</f>
        <v/>
      </c>
      <c r="K490" s="45" t="str">
        <f>IF($I490="","",IFERROR(IF(INDEX(MCC_MASTER!$C$5:$C$504,MATCH($I490,MCC_MASTER!$A$5:$A$504,0))="","Chưa phân loại",INDEX(MCC_MASTER!$C$5:$C$504,MATCH($I490,MCC_MASTER!$A$5:$A$504,0))),"Chưa phân loại"))</f>
        <v/>
      </c>
      <c r="L490" s="40" t="n"/>
      <c r="M490" s="48" t="str">
        <f>IF(OR($B490="",$D490=""),"",IF($AC490=0,0,IF(ISNUMBER(INDEX(CASHBACK_RULES!$L$5:$L$304,$AC490)),MAX(0,MIN($L490,INDEX(CASHBACK_RULES!$L$5:$L$304,$AC490)-$AH490)),MAX(0,$L490))))</f>
        <v/>
      </c>
      <c r="N490" s="49" t="str">
        <f>IF(OR($B490="",$D490=""),"",IF($AC490&gt;0,INDEX(CASHBACK_RULES!$I$5:$I$304,$AC490),0))</f>
        <v/>
      </c>
      <c r="O490" s="48" t="str">
        <f>IF(OR($B490="",$D490=""),"",ROUND($M490*$N490,0))</f>
        <v/>
      </c>
      <c r="P490" s="48" t="str">
        <f>IF($AC490&gt;0,IF(ISNUMBER(INDEX(CASHBACK_RULES!$J$5:$J$304,$AC490)),INDEX(CASHBACK_RULES!$J$5:$J$304,$AC490),"∞"),"")</f>
        <v/>
      </c>
      <c r="Q490" s="48" t="str">
        <f>IF(OR($B490="",$D490=""),"",IF($AC490=0,0,MAX(0,MIN($O490,IF(ISNUMBER($P490),$P490-$AF490,1E+15),IF(ISNUMBER($AA490),$AA490-$AG490,1E+15)))))</f>
        <v/>
      </c>
      <c r="R490" s="48" t="str">
        <f>IF(OR($B490="",$D490=""),"",IF($AC490=0,"",IF(AND(NOT(ISNUMBER($P490)),NOT(ISNUMBER($AA490))),"∞",MAX(0,MIN(IF(ISNUMBER($P490),$P490-$AF490-$Q490,1E+15),IF(ISNUMBER($AA490),$AA490-$AG490-$Q490,1E+15))))))</f>
        <v/>
      </c>
      <c r="S490" s="47" t="str">
        <f>IF($AD490="","",YEAR($AD490)*100+MONTH($AD490))</f>
        <v/>
      </c>
      <c r="T490" s="50" t="str">
        <f>IF($AD490="","",IFERROR(IF(INDEX(CARDS!$I$5:$I$34,MATCH($D490,CARDS!$A$5:$A$34,0))="","",IF(INDEX(CARDS!$I$5:$I$34,MATCH($D490,CARDS!$A$5:$A$34,0))&gt;INDEX(CARDS!$H$5:$H$34,MATCH($D490,CARDS!$A$5:$A$34,0)),DATE(YEAR($AD490),MONTH($AD490),MIN(INDEX(CARDS!$I$5:$I$34,MATCH($D490,CARDS!$A$5:$A$34,0)),DAY(EOMONTH($AD490,0)))),DATE(YEAR($AD490),MONTH($AD490)+1,MIN(INDEX(CARDS!$I$5:$I$34,MATCH($D490,CARDS!$A$5:$A$34,0)),DAY(EOMONTH($AD490,1)))))),""))</f>
        <v/>
      </c>
      <c r="U490" s="38" t="n"/>
      <c r="V490" s="37" t="n"/>
      <c r="W490" s="38" t="n"/>
      <c r="X490" s="38" t="n"/>
      <c r="Y490" s="44" t="str">
        <f>IF($AC490&gt;0,INDEX(CASHBACK_RULES!$A$5:$A$304,$AC490),"")</f>
        <v/>
      </c>
      <c r="Z490" s="45" t="str">
        <f>IF($AC490&gt;0,INDEX(CASHBACK_RULES!$E$5:$E$304,$AC490)&amp;"","")</f>
        <v/>
      </c>
      <c r="AA490" s="48" t="str">
        <f>IF($AC490&gt;0,IF(ISNUMBER(INDEX(CASHBACK_RULES!$K$5:$K$304,$AC490)),INDEX(CASHBACK_RULES!$K$5:$K$304,$AC490),"∞"),"")</f>
        <v/>
      </c>
      <c r="AB490" s="44" t="str">
        <f>IF(OR($B490="",$D490=""),"",IF($U490="Cancelled","Đã hủy",IF($AC490=0,"Không được hoàn",IF($Q490=0,IF(OR($O490&gt;0,$M490&lt;$L490),"Đã đạt cap","Không được hoàn"),IF(OR($Q490&lt;$O490,$M490&lt;$L490),"Hoàn một phần","Được hoàn")))))</f>
        <v/>
      </c>
      <c r="AC490" s="43">
        <f>IF(OR($B490="",$D490="",$I490="",$L490=""),0,IF($U490="Cancelled",0,IF($W490&lt;&gt;"",IFERROR(IF(INDEX(CASHBACK_RULES!$B$5:$B$304,MATCH($W490,CASHBACK_RULES!$A$5:$A$304,0))=$D490,MATCH($W490,CASHBACK_RULES!$A$5:$A$304,0),0),0),IFERROR(MATCH(1,INDEX((CASHBACK_RULES!$B$5:$B$304=$D490)*(CASHBACK_RULES!$G$5:$G$304=$I490)*(((CASHBACK_RULES!$N$5:$N$304="")+(CASHBACK_RULES!$N$5:$N$304&lt;=$B490))&gt;0)*(((CASHBACK_RULES!$O$5:$O$304="")+(CASHBACK_RULES!$O$5:$O$304&gt;=$B490))&gt;0)*(((CASHBACK_RULES!$M$5:$M$304="")+(CASHBACK_RULES!$M$5:$M$304&lt;=$L490))&gt;0),0),0),0))))</f>
        <v>0</v>
      </c>
      <c r="AD490" s="51" t="str">
        <f>IF(OR($B490="",$D490=""),"",IFERROR(IF(INDEX(CARDS!$H$5:$H$34,MATCH($D490,CARDS!$A$5:$A$34,0))="","",IF(DAY($B490)&lt;=INDEX(CARDS!$H$5:$H$34,MATCH($D490,CARDS!$A$5:$A$34,0)),DATE(YEAR($B490),MONTH($B490),MIN(INDEX(CARDS!$H$5:$H$34,MATCH($D490,CARDS!$A$5:$A$34,0)),DAY(EOMONTH($B490,0)))),DATE(YEAR($B490),MONTH($B490)+1,MIN(INDEX(CARDS!$H$5:$H$34,MATCH($D490,CARDS!$A$5:$A$34,0)),DAY(EOMONTH($B490,1)))))),""))</f>
        <v/>
      </c>
      <c r="AE490" s="52" t="str">
        <f>IF($C490="","",$C490&amp;"|"&amp;COUNTIF($C$5:$C490,$C490))</f>
        <v/>
      </c>
      <c r="AF490" s="53">
        <f>IF($AC490&gt;0,SUMIFS(Q$4:Q489,$D$4:$D489,$D490,$Z$4:$Z489,$Z490,$C$4:$C489,$C490),0)</f>
        <v>0</v>
      </c>
      <c r="AG490" s="53">
        <f>IF($AC490&gt;0,SUMIFS(Q$4:Q489,$D$4:$D489,$D490,$C$4:$C489,$C490),0)</f>
        <v>0</v>
      </c>
      <c r="AH490" s="53">
        <f>IF($AC490&gt;0,SUMIFS(M$4:M489,$D$4:$D489,$D490,$Z$4:$Z489,$Z490,$C$4:$C489,$C490),0)</f>
        <v>0</v>
      </c>
      <c r="AI490" s="43">
        <f>IF(OR($C490="",$I490=""),0,IF(COUNTIFS($C$5:$C490,$C490,$I$5:$I490,$I490)=1,1,0))</f>
        <v>0</v>
      </c>
      <c r="AJ490" s="43" t="str">
        <f>IF($AI490=1,SUMIFS($AI$4:$AI489,$C$4:$C489,$C490)+1,"")</f>
        <v/>
      </c>
      <c r="AK490" s="43">
        <f>IF(OR($C490="",$K490=""),0,IF(COUNTIFS($C$5:$C490,$C490,$K$5:$K490,$K490)=1,1,0))</f>
        <v>0</v>
      </c>
      <c r="AL490" s="43" t="str">
        <f>IF($AK490=1,SUMIFS($AK$4:$AK489,$C$4:$C489,$C490)+1,"")</f>
        <v/>
      </c>
      <c r="AM490" s="43">
        <f>IF(OR($C490="",$G490=""),0,IF(COUNTIFS($C$5:$C490,$C490,$G$5:$G490,$G490)=1,1,0))</f>
        <v>0</v>
      </c>
      <c r="AN490" s="43" t="str">
        <f>IF($AM490=1,SUMIFS($AM$4:$AM489,$C$4:$C489,$C490)+1,"")</f>
        <v/>
      </c>
    </row>
    <row r="491">
      <c r="A491" s="44" t="str">
        <f>IF(OR($B491="",$D491=""),"","TX"&amp;TEXT(ROW()-4,"0000"))</f>
        <v/>
      </c>
      <c r="B491" s="42" t="n"/>
      <c r="C491" s="47" t="str">
        <f>IF($B491="","",YEAR($B491)*100+MONTH($B491))</f>
        <v/>
      </c>
      <c r="D491" s="37" t="n"/>
      <c r="E491" s="45" t="str">
        <f>IF($D491="","",IFERROR(INDEX(CARDS!$B$5:$B$34,MATCH($D491,CARDS!$A$5:$A$34,0)),"⚠ Card ID?"))</f>
        <v/>
      </c>
      <c r="F491" s="45" t="str">
        <f>IF($D491="","",IFERROR(INDEX(CARDS!$C$5:$C$34,MATCH($D491,CARDS!$A$5:$A$34,0)),"⚠ Card ID?"))</f>
        <v/>
      </c>
      <c r="G491" s="37" t="n"/>
      <c r="H491" s="37" t="n"/>
      <c r="I491" s="41" t="n"/>
      <c r="J491" s="45" t="str">
        <f>IF($I491="","",IFERROR(INDEX(MCC_MASTER!$B$5:$B$504,MATCH($I491,MCC_MASTER!$A$5:$A$504,0)),"⚠ MCC chưa có"))</f>
        <v/>
      </c>
      <c r="K491" s="45" t="str">
        <f>IF($I491="","",IFERROR(IF(INDEX(MCC_MASTER!$C$5:$C$504,MATCH($I491,MCC_MASTER!$A$5:$A$504,0))="","Chưa phân loại",INDEX(MCC_MASTER!$C$5:$C$504,MATCH($I491,MCC_MASTER!$A$5:$A$504,0))),"Chưa phân loại"))</f>
        <v/>
      </c>
      <c r="L491" s="40" t="n"/>
      <c r="M491" s="48" t="str">
        <f>IF(OR($B491="",$D491=""),"",IF($AC491=0,0,IF(ISNUMBER(INDEX(CASHBACK_RULES!$L$5:$L$304,$AC491)),MAX(0,MIN($L491,INDEX(CASHBACK_RULES!$L$5:$L$304,$AC491)-$AH491)),MAX(0,$L491))))</f>
        <v/>
      </c>
      <c r="N491" s="49" t="str">
        <f>IF(OR($B491="",$D491=""),"",IF($AC491&gt;0,INDEX(CASHBACK_RULES!$I$5:$I$304,$AC491),0))</f>
        <v/>
      </c>
      <c r="O491" s="48" t="str">
        <f>IF(OR($B491="",$D491=""),"",ROUND($M491*$N491,0))</f>
        <v/>
      </c>
      <c r="P491" s="48" t="str">
        <f>IF($AC491&gt;0,IF(ISNUMBER(INDEX(CASHBACK_RULES!$J$5:$J$304,$AC491)),INDEX(CASHBACK_RULES!$J$5:$J$304,$AC491),"∞"),"")</f>
        <v/>
      </c>
      <c r="Q491" s="48" t="str">
        <f>IF(OR($B491="",$D491=""),"",IF($AC491=0,0,MAX(0,MIN($O491,IF(ISNUMBER($P491),$P491-$AF491,1E+15),IF(ISNUMBER($AA491),$AA491-$AG491,1E+15)))))</f>
        <v/>
      </c>
      <c r="R491" s="48" t="str">
        <f>IF(OR($B491="",$D491=""),"",IF($AC491=0,"",IF(AND(NOT(ISNUMBER($P491)),NOT(ISNUMBER($AA491))),"∞",MAX(0,MIN(IF(ISNUMBER($P491),$P491-$AF491-$Q491,1E+15),IF(ISNUMBER($AA491),$AA491-$AG491-$Q491,1E+15))))))</f>
        <v/>
      </c>
      <c r="S491" s="47" t="str">
        <f>IF($AD491="","",YEAR($AD491)*100+MONTH($AD491))</f>
        <v/>
      </c>
      <c r="T491" s="50" t="str">
        <f>IF($AD491="","",IFERROR(IF(INDEX(CARDS!$I$5:$I$34,MATCH($D491,CARDS!$A$5:$A$34,0))="","",IF(INDEX(CARDS!$I$5:$I$34,MATCH($D491,CARDS!$A$5:$A$34,0))&gt;INDEX(CARDS!$H$5:$H$34,MATCH($D491,CARDS!$A$5:$A$34,0)),DATE(YEAR($AD491),MONTH($AD491),MIN(INDEX(CARDS!$I$5:$I$34,MATCH($D491,CARDS!$A$5:$A$34,0)),DAY(EOMONTH($AD491,0)))),DATE(YEAR($AD491),MONTH($AD491)+1,MIN(INDEX(CARDS!$I$5:$I$34,MATCH($D491,CARDS!$A$5:$A$34,0)),DAY(EOMONTH($AD491,1)))))),""))</f>
        <v/>
      </c>
      <c r="U491" s="38" t="n"/>
      <c r="V491" s="37" t="n"/>
      <c r="W491" s="38" t="n"/>
      <c r="X491" s="38" t="n"/>
      <c r="Y491" s="44" t="str">
        <f>IF($AC491&gt;0,INDEX(CASHBACK_RULES!$A$5:$A$304,$AC491),"")</f>
        <v/>
      </c>
      <c r="Z491" s="45" t="str">
        <f>IF($AC491&gt;0,INDEX(CASHBACK_RULES!$E$5:$E$304,$AC491)&amp;"","")</f>
        <v/>
      </c>
      <c r="AA491" s="48" t="str">
        <f>IF($AC491&gt;0,IF(ISNUMBER(INDEX(CASHBACK_RULES!$K$5:$K$304,$AC491)),INDEX(CASHBACK_RULES!$K$5:$K$304,$AC491),"∞"),"")</f>
        <v/>
      </c>
      <c r="AB491" s="44" t="str">
        <f>IF(OR($B491="",$D491=""),"",IF($U491="Cancelled","Đã hủy",IF($AC491=0,"Không được hoàn",IF($Q491=0,IF(OR($O491&gt;0,$M491&lt;$L491),"Đã đạt cap","Không được hoàn"),IF(OR($Q491&lt;$O491,$M491&lt;$L491),"Hoàn một phần","Được hoàn")))))</f>
        <v/>
      </c>
      <c r="AC491" s="43">
        <f>IF(OR($B491="",$D491="",$I491="",$L491=""),0,IF($U491="Cancelled",0,IF($W491&lt;&gt;"",IFERROR(IF(INDEX(CASHBACK_RULES!$B$5:$B$304,MATCH($W491,CASHBACK_RULES!$A$5:$A$304,0))=$D491,MATCH($W491,CASHBACK_RULES!$A$5:$A$304,0),0),0),IFERROR(MATCH(1,INDEX((CASHBACK_RULES!$B$5:$B$304=$D491)*(CASHBACK_RULES!$G$5:$G$304=$I491)*(((CASHBACK_RULES!$N$5:$N$304="")+(CASHBACK_RULES!$N$5:$N$304&lt;=$B491))&gt;0)*(((CASHBACK_RULES!$O$5:$O$304="")+(CASHBACK_RULES!$O$5:$O$304&gt;=$B491))&gt;0)*(((CASHBACK_RULES!$M$5:$M$304="")+(CASHBACK_RULES!$M$5:$M$304&lt;=$L491))&gt;0),0),0),0))))</f>
        <v>0</v>
      </c>
      <c r="AD491" s="51" t="str">
        <f>IF(OR($B491="",$D491=""),"",IFERROR(IF(INDEX(CARDS!$H$5:$H$34,MATCH($D491,CARDS!$A$5:$A$34,0))="","",IF(DAY($B491)&lt;=INDEX(CARDS!$H$5:$H$34,MATCH($D491,CARDS!$A$5:$A$34,0)),DATE(YEAR($B491),MONTH($B491),MIN(INDEX(CARDS!$H$5:$H$34,MATCH($D491,CARDS!$A$5:$A$34,0)),DAY(EOMONTH($B491,0)))),DATE(YEAR($B491),MONTH($B491)+1,MIN(INDEX(CARDS!$H$5:$H$34,MATCH($D491,CARDS!$A$5:$A$34,0)),DAY(EOMONTH($B491,1)))))),""))</f>
        <v/>
      </c>
      <c r="AE491" s="52" t="str">
        <f>IF($C491="","",$C491&amp;"|"&amp;COUNTIF($C$5:$C491,$C491))</f>
        <v/>
      </c>
      <c r="AF491" s="53">
        <f>IF($AC491&gt;0,SUMIFS(Q$4:Q490,$D$4:$D490,$D491,$Z$4:$Z490,$Z491,$C$4:$C490,$C491),0)</f>
        <v>0</v>
      </c>
      <c r="AG491" s="53">
        <f>IF($AC491&gt;0,SUMIFS(Q$4:Q490,$D$4:$D490,$D491,$C$4:$C490,$C491),0)</f>
        <v>0</v>
      </c>
      <c r="AH491" s="53">
        <f>IF($AC491&gt;0,SUMIFS(M$4:M490,$D$4:$D490,$D491,$Z$4:$Z490,$Z491,$C$4:$C490,$C491),0)</f>
        <v>0</v>
      </c>
      <c r="AI491" s="43">
        <f>IF(OR($C491="",$I491=""),0,IF(COUNTIFS($C$5:$C491,$C491,$I$5:$I491,$I491)=1,1,0))</f>
        <v>0</v>
      </c>
      <c r="AJ491" s="43" t="str">
        <f>IF($AI491=1,SUMIFS($AI$4:$AI490,$C$4:$C490,$C491)+1,"")</f>
        <v/>
      </c>
      <c r="AK491" s="43">
        <f>IF(OR($C491="",$K491=""),0,IF(COUNTIFS($C$5:$C491,$C491,$K$5:$K491,$K491)=1,1,0))</f>
        <v>0</v>
      </c>
      <c r="AL491" s="43" t="str">
        <f>IF($AK491=1,SUMIFS($AK$4:$AK490,$C$4:$C490,$C491)+1,"")</f>
        <v/>
      </c>
      <c r="AM491" s="43">
        <f>IF(OR($C491="",$G491=""),0,IF(COUNTIFS($C$5:$C491,$C491,$G$5:$G491,$G491)=1,1,0))</f>
        <v>0</v>
      </c>
      <c r="AN491" s="43" t="str">
        <f>IF($AM491=1,SUMIFS($AM$4:$AM490,$C$4:$C490,$C491)+1,"")</f>
        <v/>
      </c>
    </row>
    <row r="492">
      <c r="A492" s="44" t="str">
        <f>IF(OR($B492="",$D492=""),"","TX"&amp;TEXT(ROW()-4,"0000"))</f>
        <v/>
      </c>
      <c r="B492" s="42" t="n"/>
      <c r="C492" s="47" t="str">
        <f>IF($B492="","",YEAR($B492)*100+MONTH($B492))</f>
        <v/>
      </c>
      <c r="D492" s="37" t="n"/>
      <c r="E492" s="45" t="str">
        <f>IF($D492="","",IFERROR(INDEX(CARDS!$B$5:$B$34,MATCH($D492,CARDS!$A$5:$A$34,0)),"⚠ Card ID?"))</f>
        <v/>
      </c>
      <c r="F492" s="45" t="str">
        <f>IF($D492="","",IFERROR(INDEX(CARDS!$C$5:$C$34,MATCH($D492,CARDS!$A$5:$A$34,0)),"⚠ Card ID?"))</f>
        <v/>
      </c>
      <c r="G492" s="37" t="n"/>
      <c r="H492" s="37" t="n"/>
      <c r="I492" s="41" t="n"/>
      <c r="J492" s="45" t="str">
        <f>IF($I492="","",IFERROR(INDEX(MCC_MASTER!$B$5:$B$504,MATCH($I492,MCC_MASTER!$A$5:$A$504,0)),"⚠ MCC chưa có"))</f>
        <v/>
      </c>
      <c r="K492" s="45" t="str">
        <f>IF($I492="","",IFERROR(IF(INDEX(MCC_MASTER!$C$5:$C$504,MATCH($I492,MCC_MASTER!$A$5:$A$504,0))="","Chưa phân loại",INDEX(MCC_MASTER!$C$5:$C$504,MATCH($I492,MCC_MASTER!$A$5:$A$504,0))),"Chưa phân loại"))</f>
        <v/>
      </c>
      <c r="L492" s="40" t="n"/>
      <c r="M492" s="48" t="str">
        <f>IF(OR($B492="",$D492=""),"",IF($AC492=0,0,IF(ISNUMBER(INDEX(CASHBACK_RULES!$L$5:$L$304,$AC492)),MAX(0,MIN($L492,INDEX(CASHBACK_RULES!$L$5:$L$304,$AC492)-$AH492)),MAX(0,$L492))))</f>
        <v/>
      </c>
      <c r="N492" s="49" t="str">
        <f>IF(OR($B492="",$D492=""),"",IF($AC492&gt;0,INDEX(CASHBACK_RULES!$I$5:$I$304,$AC492),0))</f>
        <v/>
      </c>
      <c r="O492" s="48" t="str">
        <f>IF(OR($B492="",$D492=""),"",ROUND($M492*$N492,0))</f>
        <v/>
      </c>
      <c r="P492" s="48" t="str">
        <f>IF($AC492&gt;0,IF(ISNUMBER(INDEX(CASHBACK_RULES!$J$5:$J$304,$AC492)),INDEX(CASHBACK_RULES!$J$5:$J$304,$AC492),"∞"),"")</f>
        <v/>
      </c>
      <c r="Q492" s="48" t="str">
        <f>IF(OR($B492="",$D492=""),"",IF($AC492=0,0,MAX(0,MIN($O492,IF(ISNUMBER($P492),$P492-$AF492,1E+15),IF(ISNUMBER($AA492),$AA492-$AG492,1E+15)))))</f>
        <v/>
      </c>
      <c r="R492" s="48" t="str">
        <f>IF(OR($B492="",$D492=""),"",IF($AC492=0,"",IF(AND(NOT(ISNUMBER($P492)),NOT(ISNUMBER($AA492))),"∞",MAX(0,MIN(IF(ISNUMBER($P492),$P492-$AF492-$Q492,1E+15),IF(ISNUMBER($AA492),$AA492-$AG492-$Q492,1E+15))))))</f>
        <v/>
      </c>
      <c r="S492" s="47" t="str">
        <f>IF($AD492="","",YEAR($AD492)*100+MONTH($AD492))</f>
        <v/>
      </c>
      <c r="T492" s="50" t="str">
        <f>IF($AD492="","",IFERROR(IF(INDEX(CARDS!$I$5:$I$34,MATCH($D492,CARDS!$A$5:$A$34,0))="","",IF(INDEX(CARDS!$I$5:$I$34,MATCH($D492,CARDS!$A$5:$A$34,0))&gt;INDEX(CARDS!$H$5:$H$34,MATCH($D492,CARDS!$A$5:$A$34,0)),DATE(YEAR($AD492),MONTH($AD492),MIN(INDEX(CARDS!$I$5:$I$34,MATCH($D492,CARDS!$A$5:$A$34,0)),DAY(EOMONTH($AD492,0)))),DATE(YEAR($AD492),MONTH($AD492)+1,MIN(INDEX(CARDS!$I$5:$I$34,MATCH($D492,CARDS!$A$5:$A$34,0)),DAY(EOMONTH($AD492,1)))))),""))</f>
        <v/>
      </c>
      <c r="U492" s="38" t="n"/>
      <c r="V492" s="37" t="n"/>
      <c r="W492" s="38" t="n"/>
      <c r="X492" s="38" t="n"/>
      <c r="Y492" s="44" t="str">
        <f>IF($AC492&gt;0,INDEX(CASHBACK_RULES!$A$5:$A$304,$AC492),"")</f>
        <v/>
      </c>
      <c r="Z492" s="45" t="str">
        <f>IF($AC492&gt;0,INDEX(CASHBACK_RULES!$E$5:$E$304,$AC492)&amp;"","")</f>
        <v/>
      </c>
      <c r="AA492" s="48" t="str">
        <f>IF($AC492&gt;0,IF(ISNUMBER(INDEX(CASHBACK_RULES!$K$5:$K$304,$AC492)),INDEX(CASHBACK_RULES!$K$5:$K$304,$AC492),"∞"),"")</f>
        <v/>
      </c>
      <c r="AB492" s="44" t="str">
        <f>IF(OR($B492="",$D492=""),"",IF($U492="Cancelled","Đã hủy",IF($AC492=0,"Không được hoàn",IF($Q492=0,IF(OR($O492&gt;0,$M492&lt;$L492),"Đã đạt cap","Không được hoàn"),IF(OR($Q492&lt;$O492,$M492&lt;$L492),"Hoàn một phần","Được hoàn")))))</f>
        <v/>
      </c>
      <c r="AC492" s="43">
        <f>IF(OR($B492="",$D492="",$I492="",$L492=""),0,IF($U492="Cancelled",0,IF($W492&lt;&gt;"",IFERROR(IF(INDEX(CASHBACK_RULES!$B$5:$B$304,MATCH($W492,CASHBACK_RULES!$A$5:$A$304,0))=$D492,MATCH($W492,CASHBACK_RULES!$A$5:$A$304,0),0),0),IFERROR(MATCH(1,INDEX((CASHBACK_RULES!$B$5:$B$304=$D492)*(CASHBACK_RULES!$G$5:$G$304=$I492)*(((CASHBACK_RULES!$N$5:$N$304="")+(CASHBACK_RULES!$N$5:$N$304&lt;=$B492))&gt;0)*(((CASHBACK_RULES!$O$5:$O$304="")+(CASHBACK_RULES!$O$5:$O$304&gt;=$B492))&gt;0)*(((CASHBACK_RULES!$M$5:$M$304="")+(CASHBACK_RULES!$M$5:$M$304&lt;=$L492))&gt;0),0),0),0))))</f>
        <v>0</v>
      </c>
      <c r="AD492" s="51" t="str">
        <f>IF(OR($B492="",$D492=""),"",IFERROR(IF(INDEX(CARDS!$H$5:$H$34,MATCH($D492,CARDS!$A$5:$A$34,0))="","",IF(DAY($B492)&lt;=INDEX(CARDS!$H$5:$H$34,MATCH($D492,CARDS!$A$5:$A$34,0)),DATE(YEAR($B492),MONTH($B492),MIN(INDEX(CARDS!$H$5:$H$34,MATCH($D492,CARDS!$A$5:$A$34,0)),DAY(EOMONTH($B492,0)))),DATE(YEAR($B492),MONTH($B492)+1,MIN(INDEX(CARDS!$H$5:$H$34,MATCH($D492,CARDS!$A$5:$A$34,0)),DAY(EOMONTH($B492,1)))))),""))</f>
        <v/>
      </c>
      <c r="AE492" s="52" t="str">
        <f>IF($C492="","",$C492&amp;"|"&amp;COUNTIF($C$5:$C492,$C492))</f>
        <v/>
      </c>
      <c r="AF492" s="53">
        <f>IF($AC492&gt;0,SUMIFS(Q$4:Q491,$D$4:$D491,$D492,$Z$4:$Z491,$Z492,$C$4:$C491,$C492),0)</f>
        <v>0</v>
      </c>
      <c r="AG492" s="53">
        <f>IF($AC492&gt;0,SUMIFS(Q$4:Q491,$D$4:$D491,$D492,$C$4:$C491,$C492),0)</f>
        <v>0</v>
      </c>
      <c r="AH492" s="53">
        <f>IF($AC492&gt;0,SUMIFS(M$4:M491,$D$4:$D491,$D492,$Z$4:$Z491,$Z492,$C$4:$C491,$C492),0)</f>
        <v>0</v>
      </c>
      <c r="AI492" s="43">
        <f>IF(OR($C492="",$I492=""),0,IF(COUNTIFS($C$5:$C492,$C492,$I$5:$I492,$I492)=1,1,0))</f>
        <v>0</v>
      </c>
      <c r="AJ492" s="43" t="str">
        <f>IF($AI492=1,SUMIFS($AI$4:$AI491,$C$4:$C491,$C492)+1,"")</f>
        <v/>
      </c>
      <c r="AK492" s="43">
        <f>IF(OR($C492="",$K492=""),0,IF(COUNTIFS($C$5:$C492,$C492,$K$5:$K492,$K492)=1,1,0))</f>
        <v>0</v>
      </c>
      <c r="AL492" s="43" t="str">
        <f>IF($AK492=1,SUMIFS($AK$4:$AK491,$C$4:$C491,$C492)+1,"")</f>
        <v/>
      </c>
      <c r="AM492" s="43">
        <f>IF(OR($C492="",$G492=""),0,IF(COUNTIFS($C$5:$C492,$C492,$G$5:$G492,$G492)=1,1,0))</f>
        <v>0</v>
      </c>
      <c r="AN492" s="43" t="str">
        <f>IF($AM492=1,SUMIFS($AM$4:$AM491,$C$4:$C491,$C492)+1,"")</f>
        <v/>
      </c>
    </row>
    <row r="493">
      <c r="A493" s="44" t="str">
        <f>IF(OR($B493="",$D493=""),"","TX"&amp;TEXT(ROW()-4,"0000"))</f>
        <v/>
      </c>
      <c r="B493" s="42" t="n"/>
      <c r="C493" s="47" t="str">
        <f>IF($B493="","",YEAR($B493)*100+MONTH($B493))</f>
        <v/>
      </c>
      <c r="D493" s="37" t="n"/>
      <c r="E493" s="45" t="str">
        <f>IF($D493="","",IFERROR(INDEX(CARDS!$B$5:$B$34,MATCH($D493,CARDS!$A$5:$A$34,0)),"⚠ Card ID?"))</f>
        <v/>
      </c>
      <c r="F493" s="45" t="str">
        <f>IF($D493="","",IFERROR(INDEX(CARDS!$C$5:$C$34,MATCH($D493,CARDS!$A$5:$A$34,0)),"⚠ Card ID?"))</f>
        <v/>
      </c>
      <c r="G493" s="37" t="n"/>
      <c r="H493" s="37" t="n"/>
      <c r="I493" s="41" t="n"/>
      <c r="J493" s="45" t="str">
        <f>IF($I493="","",IFERROR(INDEX(MCC_MASTER!$B$5:$B$504,MATCH($I493,MCC_MASTER!$A$5:$A$504,0)),"⚠ MCC chưa có"))</f>
        <v/>
      </c>
      <c r="K493" s="45" t="str">
        <f>IF($I493="","",IFERROR(IF(INDEX(MCC_MASTER!$C$5:$C$504,MATCH($I493,MCC_MASTER!$A$5:$A$504,0))="","Chưa phân loại",INDEX(MCC_MASTER!$C$5:$C$504,MATCH($I493,MCC_MASTER!$A$5:$A$504,0))),"Chưa phân loại"))</f>
        <v/>
      </c>
      <c r="L493" s="40" t="n"/>
      <c r="M493" s="48" t="str">
        <f>IF(OR($B493="",$D493=""),"",IF($AC493=0,0,IF(ISNUMBER(INDEX(CASHBACK_RULES!$L$5:$L$304,$AC493)),MAX(0,MIN($L493,INDEX(CASHBACK_RULES!$L$5:$L$304,$AC493)-$AH493)),MAX(0,$L493))))</f>
        <v/>
      </c>
      <c r="N493" s="49" t="str">
        <f>IF(OR($B493="",$D493=""),"",IF($AC493&gt;0,INDEX(CASHBACK_RULES!$I$5:$I$304,$AC493),0))</f>
        <v/>
      </c>
      <c r="O493" s="48" t="str">
        <f>IF(OR($B493="",$D493=""),"",ROUND($M493*$N493,0))</f>
        <v/>
      </c>
      <c r="P493" s="48" t="str">
        <f>IF($AC493&gt;0,IF(ISNUMBER(INDEX(CASHBACK_RULES!$J$5:$J$304,$AC493)),INDEX(CASHBACK_RULES!$J$5:$J$304,$AC493),"∞"),"")</f>
        <v/>
      </c>
      <c r="Q493" s="48" t="str">
        <f>IF(OR($B493="",$D493=""),"",IF($AC493=0,0,MAX(0,MIN($O493,IF(ISNUMBER($P493),$P493-$AF493,1E+15),IF(ISNUMBER($AA493),$AA493-$AG493,1E+15)))))</f>
        <v/>
      </c>
      <c r="R493" s="48" t="str">
        <f>IF(OR($B493="",$D493=""),"",IF($AC493=0,"",IF(AND(NOT(ISNUMBER($P493)),NOT(ISNUMBER($AA493))),"∞",MAX(0,MIN(IF(ISNUMBER($P493),$P493-$AF493-$Q493,1E+15),IF(ISNUMBER($AA493),$AA493-$AG493-$Q493,1E+15))))))</f>
        <v/>
      </c>
      <c r="S493" s="47" t="str">
        <f>IF($AD493="","",YEAR($AD493)*100+MONTH($AD493))</f>
        <v/>
      </c>
      <c r="T493" s="50" t="str">
        <f>IF($AD493="","",IFERROR(IF(INDEX(CARDS!$I$5:$I$34,MATCH($D493,CARDS!$A$5:$A$34,0))="","",IF(INDEX(CARDS!$I$5:$I$34,MATCH($D493,CARDS!$A$5:$A$34,0))&gt;INDEX(CARDS!$H$5:$H$34,MATCH($D493,CARDS!$A$5:$A$34,0)),DATE(YEAR($AD493),MONTH($AD493),MIN(INDEX(CARDS!$I$5:$I$34,MATCH($D493,CARDS!$A$5:$A$34,0)),DAY(EOMONTH($AD493,0)))),DATE(YEAR($AD493),MONTH($AD493)+1,MIN(INDEX(CARDS!$I$5:$I$34,MATCH($D493,CARDS!$A$5:$A$34,0)),DAY(EOMONTH($AD493,1)))))),""))</f>
        <v/>
      </c>
      <c r="U493" s="38" t="n"/>
      <c r="V493" s="37" t="n"/>
      <c r="W493" s="38" t="n"/>
      <c r="X493" s="38" t="n"/>
      <c r="Y493" s="44" t="str">
        <f>IF($AC493&gt;0,INDEX(CASHBACK_RULES!$A$5:$A$304,$AC493),"")</f>
        <v/>
      </c>
      <c r="Z493" s="45" t="str">
        <f>IF($AC493&gt;0,INDEX(CASHBACK_RULES!$E$5:$E$304,$AC493)&amp;"","")</f>
        <v/>
      </c>
      <c r="AA493" s="48" t="str">
        <f>IF($AC493&gt;0,IF(ISNUMBER(INDEX(CASHBACK_RULES!$K$5:$K$304,$AC493)),INDEX(CASHBACK_RULES!$K$5:$K$304,$AC493),"∞"),"")</f>
        <v/>
      </c>
      <c r="AB493" s="44" t="str">
        <f>IF(OR($B493="",$D493=""),"",IF($U493="Cancelled","Đã hủy",IF($AC493=0,"Không được hoàn",IF($Q493=0,IF(OR($O493&gt;0,$M493&lt;$L493),"Đã đạt cap","Không được hoàn"),IF(OR($Q493&lt;$O493,$M493&lt;$L493),"Hoàn một phần","Được hoàn")))))</f>
        <v/>
      </c>
      <c r="AC493" s="43">
        <f>IF(OR($B493="",$D493="",$I493="",$L493=""),0,IF($U493="Cancelled",0,IF($W493&lt;&gt;"",IFERROR(IF(INDEX(CASHBACK_RULES!$B$5:$B$304,MATCH($W493,CASHBACK_RULES!$A$5:$A$304,0))=$D493,MATCH($W493,CASHBACK_RULES!$A$5:$A$304,0),0),0),IFERROR(MATCH(1,INDEX((CASHBACK_RULES!$B$5:$B$304=$D493)*(CASHBACK_RULES!$G$5:$G$304=$I493)*(((CASHBACK_RULES!$N$5:$N$304="")+(CASHBACK_RULES!$N$5:$N$304&lt;=$B493))&gt;0)*(((CASHBACK_RULES!$O$5:$O$304="")+(CASHBACK_RULES!$O$5:$O$304&gt;=$B493))&gt;0)*(((CASHBACK_RULES!$M$5:$M$304="")+(CASHBACK_RULES!$M$5:$M$304&lt;=$L493))&gt;0),0),0),0))))</f>
        <v>0</v>
      </c>
      <c r="AD493" s="51" t="str">
        <f>IF(OR($B493="",$D493=""),"",IFERROR(IF(INDEX(CARDS!$H$5:$H$34,MATCH($D493,CARDS!$A$5:$A$34,0))="","",IF(DAY($B493)&lt;=INDEX(CARDS!$H$5:$H$34,MATCH($D493,CARDS!$A$5:$A$34,0)),DATE(YEAR($B493),MONTH($B493),MIN(INDEX(CARDS!$H$5:$H$34,MATCH($D493,CARDS!$A$5:$A$34,0)),DAY(EOMONTH($B493,0)))),DATE(YEAR($B493),MONTH($B493)+1,MIN(INDEX(CARDS!$H$5:$H$34,MATCH($D493,CARDS!$A$5:$A$34,0)),DAY(EOMONTH($B493,1)))))),""))</f>
        <v/>
      </c>
      <c r="AE493" s="52" t="str">
        <f>IF($C493="","",$C493&amp;"|"&amp;COUNTIF($C$5:$C493,$C493))</f>
        <v/>
      </c>
      <c r="AF493" s="53">
        <f>IF($AC493&gt;0,SUMIFS(Q$4:Q492,$D$4:$D492,$D493,$Z$4:$Z492,$Z493,$C$4:$C492,$C493),0)</f>
        <v>0</v>
      </c>
      <c r="AG493" s="53">
        <f>IF($AC493&gt;0,SUMIFS(Q$4:Q492,$D$4:$D492,$D493,$C$4:$C492,$C493),0)</f>
        <v>0</v>
      </c>
      <c r="AH493" s="53">
        <f>IF($AC493&gt;0,SUMIFS(M$4:M492,$D$4:$D492,$D493,$Z$4:$Z492,$Z493,$C$4:$C492,$C493),0)</f>
        <v>0</v>
      </c>
      <c r="AI493" s="43">
        <f>IF(OR($C493="",$I493=""),0,IF(COUNTIFS($C$5:$C493,$C493,$I$5:$I493,$I493)=1,1,0))</f>
        <v>0</v>
      </c>
      <c r="AJ493" s="43" t="str">
        <f>IF($AI493=1,SUMIFS($AI$4:$AI492,$C$4:$C492,$C493)+1,"")</f>
        <v/>
      </c>
      <c r="AK493" s="43">
        <f>IF(OR($C493="",$K493=""),0,IF(COUNTIFS($C$5:$C493,$C493,$K$5:$K493,$K493)=1,1,0))</f>
        <v>0</v>
      </c>
      <c r="AL493" s="43" t="str">
        <f>IF($AK493=1,SUMIFS($AK$4:$AK492,$C$4:$C492,$C493)+1,"")</f>
        <v/>
      </c>
      <c r="AM493" s="43">
        <f>IF(OR($C493="",$G493=""),0,IF(COUNTIFS($C$5:$C493,$C493,$G$5:$G493,$G493)=1,1,0))</f>
        <v>0</v>
      </c>
      <c r="AN493" s="43" t="str">
        <f>IF($AM493=1,SUMIFS($AM$4:$AM492,$C$4:$C492,$C493)+1,"")</f>
        <v/>
      </c>
    </row>
    <row r="494">
      <c r="A494" s="44" t="str">
        <f>IF(OR($B494="",$D494=""),"","TX"&amp;TEXT(ROW()-4,"0000"))</f>
        <v/>
      </c>
      <c r="B494" s="42" t="n"/>
      <c r="C494" s="47" t="str">
        <f>IF($B494="","",YEAR($B494)*100+MONTH($B494))</f>
        <v/>
      </c>
      <c r="D494" s="37" t="n"/>
      <c r="E494" s="45" t="str">
        <f>IF($D494="","",IFERROR(INDEX(CARDS!$B$5:$B$34,MATCH($D494,CARDS!$A$5:$A$34,0)),"⚠ Card ID?"))</f>
        <v/>
      </c>
      <c r="F494" s="45" t="str">
        <f>IF($D494="","",IFERROR(INDEX(CARDS!$C$5:$C$34,MATCH($D494,CARDS!$A$5:$A$34,0)),"⚠ Card ID?"))</f>
        <v/>
      </c>
      <c r="G494" s="37" t="n"/>
      <c r="H494" s="37" t="n"/>
      <c r="I494" s="41" t="n"/>
      <c r="J494" s="45" t="str">
        <f>IF($I494="","",IFERROR(INDEX(MCC_MASTER!$B$5:$B$504,MATCH($I494,MCC_MASTER!$A$5:$A$504,0)),"⚠ MCC chưa có"))</f>
        <v/>
      </c>
      <c r="K494" s="45" t="str">
        <f>IF($I494="","",IFERROR(IF(INDEX(MCC_MASTER!$C$5:$C$504,MATCH($I494,MCC_MASTER!$A$5:$A$504,0))="","Chưa phân loại",INDEX(MCC_MASTER!$C$5:$C$504,MATCH($I494,MCC_MASTER!$A$5:$A$504,0))),"Chưa phân loại"))</f>
        <v/>
      </c>
      <c r="L494" s="40" t="n"/>
      <c r="M494" s="48" t="str">
        <f>IF(OR($B494="",$D494=""),"",IF($AC494=0,0,IF(ISNUMBER(INDEX(CASHBACK_RULES!$L$5:$L$304,$AC494)),MAX(0,MIN($L494,INDEX(CASHBACK_RULES!$L$5:$L$304,$AC494)-$AH494)),MAX(0,$L494))))</f>
        <v/>
      </c>
      <c r="N494" s="49" t="str">
        <f>IF(OR($B494="",$D494=""),"",IF($AC494&gt;0,INDEX(CASHBACK_RULES!$I$5:$I$304,$AC494),0))</f>
        <v/>
      </c>
      <c r="O494" s="48" t="str">
        <f>IF(OR($B494="",$D494=""),"",ROUND($M494*$N494,0))</f>
        <v/>
      </c>
      <c r="P494" s="48" t="str">
        <f>IF($AC494&gt;0,IF(ISNUMBER(INDEX(CASHBACK_RULES!$J$5:$J$304,$AC494)),INDEX(CASHBACK_RULES!$J$5:$J$304,$AC494),"∞"),"")</f>
        <v/>
      </c>
      <c r="Q494" s="48" t="str">
        <f>IF(OR($B494="",$D494=""),"",IF($AC494=0,0,MAX(0,MIN($O494,IF(ISNUMBER($P494),$P494-$AF494,1E+15),IF(ISNUMBER($AA494),$AA494-$AG494,1E+15)))))</f>
        <v/>
      </c>
      <c r="R494" s="48" t="str">
        <f>IF(OR($B494="",$D494=""),"",IF($AC494=0,"",IF(AND(NOT(ISNUMBER($P494)),NOT(ISNUMBER($AA494))),"∞",MAX(0,MIN(IF(ISNUMBER($P494),$P494-$AF494-$Q494,1E+15),IF(ISNUMBER($AA494),$AA494-$AG494-$Q494,1E+15))))))</f>
        <v/>
      </c>
      <c r="S494" s="47" t="str">
        <f>IF($AD494="","",YEAR($AD494)*100+MONTH($AD494))</f>
        <v/>
      </c>
      <c r="T494" s="50" t="str">
        <f>IF($AD494="","",IFERROR(IF(INDEX(CARDS!$I$5:$I$34,MATCH($D494,CARDS!$A$5:$A$34,0))="","",IF(INDEX(CARDS!$I$5:$I$34,MATCH($D494,CARDS!$A$5:$A$34,0))&gt;INDEX(CARDS!$H$5:$H$34,MATCH($D494,CARDS!$A$5:$A$34,0)),DATE(YEAR($AD494),MONTH($AD494),MIN(INDEX(CARDS!$I$5:$I$34,MATCH($D494,CARDS!$A$5:$A$34,0)),DAY(EOMONTH($AD494,0)))),DATE(YEAR($AD494),MONTH($AD494)+1,MIN(INDEX(CARDS!$I$5:$I$34,MATCH($D494,CARDS!$A$5:$A$34,0)),DAY(EOMONTH($AD494,1)))))),""))</f>
        <v/>
      </c>
      <c r="U494" s="38" t="n"/>
      <c r="V494" s="37" t="n"/>
      <c r="W494" s="38" t="n"/>
      <c r="X494" s="38" t="n"/>
      <c r="Y494" s="44" t="str">
        <f>IF($AC494&gt;0,INDEX(CASHBACK_RULES!$A$5:$A$304,$AC494),"")</f>
        <v/>
      </c>
      <c r="Z494" s="45" t="str">
        <f>IF($AC494&gt;0,INDEX(CASHBACK_RULES!$E$5:$E$304,$AC494)&amp;"","")</f>
        <v/>
      </c>
      <c r="AA494" s="48" t="str">
        <f>IF($AC494&gt;0,IF(ISNUMBER(INDEX(CASHBACK_RULES!$K$5:$K$304,$AC494)),INDEX(CASHBACK_RULES!$K$5:$K$304,$AC494),"∞"),"")</f>
        <v/>
      </c>
      <c r="AB494" s="44" t="str">
        <f>IF(OR($B494="",$D494=""),"",IF($U494="Cancelled","Đã hủy",IF($AC494=0,"Không được hoàn",IF($Q494=0,IF(OR($O494&gt;0,$M494&lt;$L494),"Đã đạt cap","Không được hoàn"),IF(OR($Q494&lt;$O494,$M494&lt;$L494),"Hoàn một phần","Được hoàn")))))</f>
        <v/>
      </c>
      <c r="AC494" s="43">
        <f>IF(OR($B494="",$D494="",$I494="",$L494=""),0,IF($U494="Cancelled",0,IF($W494&lt;&gt;"",IFERROR(IF(INDEX(CASHBACK_RULES!$B$5:$B$304,MATCH($W494,CASHBACK_RULES!$A$5:$A$304,0))=$D494,MATCH($W494,CASHBACK_RULES!$A$5:$A$304,0),0),0),IFERROR(MATCH(1,INDEX((CASHBACK_RULES!$B$5:$B$304=$D494)*(CASHBACK_RULES!$G$5:$G$304=$I494)*(((CASHBACK_RULES!$N$5:$N$304="")+(CASHBACK_RULES!$N$5:$N$304&lt;=$B494))&gt;0)*(((CASHBACK_RULES!$O$5:$O$304="")+(CASHBACK_RULES!$O$5:$O$304&gt;=$B494))&gt;0)*(((CASHBACK_RULES!$M$5:$M$304="")+(CASHBACK_RULES!$M$5:$M$304&lt;=$L494))&gt;0),0),0),0))))</f>
        <v>0</v>
      </c>
      <c r="AD494" s="51" t="str">
        <f>IF(OR($B494="",$D494=""),"",IFERROR(IF(INDEX(CARDS!$H$5:$H$34,MATCH($D494,CARDS!$A$5:$A$34,0))="","",IF(DAY($B494)&lt;=INDEX(CARDS!$H$5:$H$34,MATCH($D494,CARDS!$A$5:$A$34,0)),DATE(YEAR($B494),MONTH($B494),MIN(INDEX(CARDS!$H$5:$H$34,MATCH($D494,CARDS!$A$5:$A$34,0)),DAY(EOMONTH($B494,0)))),DATE(YEAR($B494),MONTH($B494)+1,MIN(INDEX(CARDS!$H$5:$H$34,MATCH($D494,CARDS!$A$5:$A$34,0)),DAY(EOMONTH($B494,1)))))),""))</f>
        <v/>
      </c>
      <c r="AE494" s="52" t="str">
        <f>IF($C494="","",$C494&amp;"|"&amp;COUNTIF($C$5:$C494,$C494))</f>
        <v/>
      </c>
      <c r="AF494" s="53">
        <f>IF($AC494&gt;0,SUMIFS(Q$4:Q493,$D$4:$D493,$D494,$Z$4:$Z493,$Z494,$C$4:$C493,$C494),0)</f>
        <v>0</v>
      </c>
      <c r="AG494" s="53">
        <f>IF($AC494&gt;0,SUMIFS(Q$4:Q493,$D$4:$D493,$D494,$C$4:$C493,$C494),0)</f>
        <v>0</v>
      </c>
      <c r="AH494" s="53">
        <f>IF($AC494&gt;0,SUMIFS(M$4:M493,$D$4:$D493,$D494,$Z$4:$Z493,$Z494,$C$4:$C493,$C494),0)</f>
        <v>0</v>
      </c>
      <c r="AI494" s="43">
        <f>IF(OR($C494="",$I494=""),0,IF(COUNTIFS($C$5:$C494,$C494,$I$5:$I494,$I494)=1,1,0))</f>
        <v>0</v>
      </c>
      <c r="AJ494" s="43" t="str">
        <f>IF($AI494=1,SUMIFS($AI$4:$AI493,$C$4:$C493,$C494)+1,"")</f>
        <v/>
      </c>
      <c r="AK494" s="43">
        <f>IF(OR($C494="",$K494=""),0,IF(COUNTIFS($C$5:$C494,$C494,$K$5:$K494,$K494)=1,1,0))</f>
        <v>0</v>
      </c>
      <c r="AL494" s="43" t="str">
        <f>IF($AK494=1,SUMIFS($AK$4:$AK493,$C$4:$C493,$C494)+1,"")</f>
        <v/>
      </c>
      <c r="AM494" s="43">
        <f>IF(OR($C494="",$G494=""),0,IF(COUNTIFS($C$5:$C494,$C494,$G$5:$G494,$G494)=1,1,0))</f>
        <v>0</v>
      </c>
      <c r="AN494" s="43" t="str">
        <f>IF($AM494=1,SUMIFS($AM$4:$AM493,$C$4:$C493,$C494)+1,"")</f>
        <v/>
      </c>
    </row>
    <row r="495">
      <c r="A495" s="44" t="str">
        <f>IF(OR($B495="",$D495=""),"","TX"&amp;TEXT(ROW()-4,"0000"))</f>
        <v/>
      </c>
      <c r="B495" s="42" t="n"/>
      <c r="C495" s="47" t="str">
        <f>IF($B495="","",YEAR($B495)*100+MONTH($B495))</f>
        <v/>
      </c>
      <c r="D495" s="37" t="n"/>
      <c r="E495" s="45" t="str">
        <f>IF($D495="","",IFERROR(INDEX(CARDS!$B$5:$B$34,MATCH($D495,CARDS!$A$5:$A$34,0)),"⚠ Card ID?"))</f>
        <v/>
      </c>
      <c r="F495" s="45" t="str">
        <f>IF($D495="","",IFERROR(INDEX(CARDS!$C$5:$C$34,MATCH($D495,CARDS!$A$5:$A$34,0)),"⚠ Card ID?"))</f>
        <v/>
      </c>
      <c r="G495" s="37" t="n"/>
      <c r="H495" s="37" t="n"/>
      <c r="I495" s="41" t="n"/>
      <c r="J495" s="45" t="str">
        <f>IF($I495="","",IFERROR(INDEX(MCC_MASTER!$B$5:$B$504,MATCH($I495,MCC_MASTER!$A$5:$A$504,0)),"⚠ MCC chưa có"))</f>
        <v/>
      </c>
      <c r="K495" s="45" t="str">
        <f>IF($I495="","",IFERROR(IF(INDEX(MCC_MASTER!$C$5:$C$504,MATCH($I495,MCC_MASTER!$A$5:$A$504,0))="","Chưa phân loại",INDEX(MCC_MASTER!$C$5:$C$504,MATCH($I495,MCC_MASTER!$A$5:$A$504,0))),"Chưa phân loại"))</f>
        <v/>
      </c>
      <c r="L495" s="40" t="n"/>
      <c r="M495" s="48" t="str">
        <f>IF(OR($B495="",$D495=""),"",IF($AC495=0,0,IF(ISNUMBER(INDEX(CASHBACK_RULES!$L$5:$L$304,$AC495)),MAX(0,MIN($L495,INDEX(CASHBACK_RULES!$L$5:$L$304,$AC495)-$AH495)),MAX(0,$L495))))</f>
        <v/>
      </c>
      <c r="N495" s="49" t="str">
        <f>IF(OR($B495="",$D495=""),"",IF($AC495&gt;0,INDEX(CASHBACK_RULES!$I$5:$I$304,$AC495),0))</f>
        <v/>
      </c>
      <c r="O495" s="48" t="str">
        <f>IF(OR($B495="",$D495=""),"",ROUND($M495*$N495,0))</f>
        <v/>
      </c>
      <c r="P495" s="48" t="str">
        <f>IF($AC495&gt;0,IF(ISNUMBER(INDEX(CASHBACK_RULES!$J$5:$J$304,$AC495)),INDEX(CASHBACK_RULES!$J$5:$J$304,$AC495),"∞"),"")</f>
        <v/>
      </c>
      <c r="Q495" s="48" t="str">
        <f>IF(OR($B495="",$D495=""),"",IF($AC495=0,0,MAX(0,MIN($O495,IF(ISNUMBER($P495),$P495-$AF495,1E+15),IF(ISNUMBER($AA495),$AA495-$AG495,1E+15)))))</f>
        <v/>
      </c>
      <c r="R495" s="48" t="str">
        <f>IF(OR($B495="",$D495=""),"",IF($AC495=0,"",IF(AND(NOT(ISNUMBER($P495)),NOT(ISNUMBER($AA495))),"∞",MAX(0,MIN(IF(ISNUMBER($P495),$P495-$AF495-$Q495,1E+15),IF(ISNUMBER($AA495),$AA495-$AG495-$Q495,1E+15))))))</f>
        <v/>
      </c>
      <c r="S495" s="47" t="str">
        <f>IF($AD495="","",YEAR($AD495)*100+MONTH($AD495))</f>
        <v/>
      </c>
      <c r="T495" s="50" t="str">
        <f>IF($AD495="","",IFERROR(IF(INDEX(CARDS!$I$5:$I$34,MATCH($D495,CARDS!$A$5:$A$34,0))="","",IF(INDEX(CARDS!$I$5:$I$34,MATCH($D495,CARDS!$A$5:$A$34,0))&gt;INDEX(CARDS!$H$5:$H$34,MATCH($D495,CARDS!$A$5:$A$34,0)),DATE(YEAR($AD495),MONTH($AD495),MIN(INDEX(CARDS!$I$5:$I$34,MATCH($D495,CARDS!$A$5:$A$34,0)),DAY(EOMONTH($AD495,0)))),DATE(YEAR($AD495),MONTH($AD495)+1,MIN(INDEX(CARDS!$I$5:$I$34,MATCH($D495,CARDS!$A$5:$A$34,0)),DAY(EOMONTH($AD495,1)))))),""))</f>
        <v/>
      </c>
      <c r="U495" s="38" t="n"/>
      <c r="V495" s="37" t="n"/>
      <c r="W495" s="38" t="n"/>
      <c r="X495" s="38" t="n"/>
      <c r="Y495" s="44" t="str">
        <f>IF($AC495&gt;0,INDEX(CASHBACK_RULES!$A$5:$A$304,$AC495),"")</f>
        <v/>
      </c>
      <c r="Z495" s="45" t="str">
        <f>IF($AC495&gt;0,INDEX(CASHBACK_RULES!$E$5:$E$304,$AC495)&amp;"","")</f>
        <v/>
      </c>
      <c r="AA495" s="48" t="str">
        <f>IF($AC495&gt;0,IF(ISNUMBER(INDEX(CASHBACK_RULES!$K$5:$K$304,$AC495)),INDEX(CASHBACK_RULES!$K$5:$K$304,$AC495),"∞"),"")</f>
        <v/>
      </c>
      <c r="AB495" s="44" t="str">
        <f>IF(OR($B495="",$D495=""),"",IF($U495="Cancelled","Đã hủy",IF($AC495=0,"Không được hoàn",IF($Q495=0,IF(OR($O495&gt;0,$M495&lt;$L495),"Đã đạt cap","Không được hoàn"),IF(OR($Q495&lt;$O495,$M495&lt;$L495),"Hoàn một phần","Được hoàn")))))</f>
        <v/>
      </c>
      <c r="AC495" s="43">
        <f>IF(OR($B495="",$D495="",$I495="",$L495=""),0,IF($U495="Cancelled",0,IF($W495&lt;&gt;"",IFERROR(IF(INDEX(CASHBACK_RULES!$B$5:$B$304,MATCH($W495,CASHBACK_RULES!$A$5:$A$304,0))=$D495,MATCH($W495,CASHBACK_RULES!$A$5:$A$304,0),0),0),IFERROR(MATCH(1,INDEX((CASHBACK_RULES!$B$5:$B$304=$D495)*(CASHBACK_RULES!$G$5:$G$304=$I495)*(((CASHBACK_RULES!$N$5:$N$304="")+(CASHBACK_RULES!$N$5:$N$304&lt;=$B495))&gt;0)*(((CASHBACK_RULES!$O$5:$O$304="")+(CASHBACK_RULES!$O$5:$O$304&gt;=$B495))&gt;0)*(((CASHBACK_RULES!$M$5:$M$304="")+(CASHBACK_RULES!$M$5:$M$304&lt;=$L495))&gt;0),0),0),0))))</f>
        <v>0</v>
      </c>
      <c r="AD495" s="51" t="str">
        <f>IF(OR($B495="",$D495=""),"",IFERROR(IF(INDEX(CARDS!$H$5:$H$34,MATCH($D495,CARDS!$A$5:$A$34,0))="","",IF(DAY($B495)&lt;=INDEX(CARDS!$H$5:$H$34,MATCH($D495,CARDS!$A$5:$A$34,0)),DATE(YEAR($B495),MONTH($B495),MIN(INDEX(CARDS!$H$5:$H$34,MATCH($D495,CARDS!$A$5:$A$34,0)),DAY(EOMONTH($B495,0)))),DATE(YEAR($B495),MONTH($B495)+1,MIN(INDEX(CARDS!$H$5:$H$34,MATCH($D495,CARDS!$A$5:$A$34,0)),DAY(EOMONTH($B495,1)))))),""))</f>
        <v/>
      </c>
      <c r="AE495" s="52" t="str">
        <f>IF($C495="","",$C495&amp;"|"&amp;COUNTIF($C$5:$C495,$C495))</f>
        <v/>
      </c>
      <c r="AF495" s="53">
        <f>IF($AC495&gt;0,SUMIFS(Q$4:Q494,$D$4:$D494,$D495,$Z$4:$Z494,$Z495,$C$4:$C494,$C495),0)</f>
        <v>0</v>
      </c>
      <c r="AG495" s="53">
        <f>IF($AC495&gt;0,SUMIFS(Q$4:Q494,$D$4:$D494,$D495,$C$4:$C494,$C495),0)</f>
        <v>0</v>
      </c>
      <c r="AH495" s="53">
        <f>IF($AC495&gt;0,SUMIFS(M$4:M494,$D$4:$D494,$D495,$Z$4:$Z494,$Z495,$C$4:$C494,$C495),0)</f>
        <v>0</v>
      </c>
      <c r="AI495" s="43">
        <f>IF(OR($C495="",$I495=""),0,IF(COUNTIFS($C$5:$C495,$C495,$I$5:$I495,$I495)=1,1,0))</f>
        <v>0</v>
      </c>
      <c r="AJ495" s="43" t="str">
        <f>IF($AI495=1,SUMIFS($AI$4:$AI494,$C$4:$C494,$C495)+1,"")</f>
        <v/>
      </c>
      <c r="AK495" s="43">
        <f>IF(OR($C495="",$K495=""),0,IF(COUNTIFS($C$5:$C495,$C495,$K$5:$K495,$K495)=1,1,0))</f>
        <v>0</v>
      </c>
      <c r="AL495" s="43" t="str">
        <f>IF($AK495=1,SUMIFS($AK$4:$AK494,$C$4:$C494,$C495)+1,"")</f>
        <v/>
      </c>
      <c r="AM495" s="43">
        <f>IF(OR($C495="",$G495=""),0,IF(COUNTIFS($C$5:$C495,$C495,$G$5:$G495,$G495)=1,1,0))</f>
        <v>0</v>
      </c>
      <c r="AN495" s="43" t="str">
        <f>IF($AM495=1,SUMIFS($AM$4:$AM494,$C$4:$C494,$C495)+1,"")</f>
        <v/>
      </c>
    </row>
    <row r="496">
      <c r="A496" s="44" t="str">
        <f>IF(OR($B496="",$D496=""),"","TX"&amp;TEXT(ROW()-4,"0000"))</f>
        <v/>
      </c>
      <c r="B496" s="42" t="n"/>
      <c r="C496" s="47" t="str">
        <f>IF($B496="","",YEAR($B496)*100+MONTH($B496))</f>
        <v/>
      </c>
      <c r="D496" s="37" t="n"/>
      <c r="E496" s="45" t="str">
        <f>IF($D496="","",IFERROR(INDEX(CARDS!$B$5:$B$34,MATCH($D496,CARDS!$A$5:$A$34,0)),"⚠ Card ID?"))</f>
        <v/>
      </c>
      <c r="F496" s="45" t="str">
        <f>IF($D496="","",IFERROR(INDEX(CARDS!$C$5:$C$34,MATCH($D496,CARDS!$A$5:$A$34,0)),"⚠ Card ID?"))</f>
        <v/>
      </c>
      <c r="G496" s="37" t="n"/>
      <c r="H496" s="37" t="n"/>
      <c r="I496" s="41" t="n"/>
      <c r="J496" s="45" t="str">
        <f>IF($I496="","",IFERROR(INDEX(MCC_MASTER!$B$5:$B$504,MATCH($I496,MCC_MASTER!$A$5:$A$504,0)),"⚠ MCC chưa có"))</f>
        <v/>
      </c>
      <c r="K496" s="45" t="str">
        <f>IF($I496="","",IFERROR(IF(INDEX(MCC_MASTER!$C$5:$C$504,MATCH($I496,MCC_MASTER!$A$5:$A$504,0))="","Chưa phân loại",INDEX(MCC_MASTER!$C$5:$C$504,MATCH($I496,MCC_MASTER!$A$5:$A$504,0))),"Chưa phân loại"))</f>
        <v/>
      </c>
      <c r="L496" s="40" t="n"/>
      <c r="M496" s="48" t="str">
        <f>IF(OR($B496="",$D496=""),"",IF($AC496=0,0,IF(ISNUMBER(INDEX(CASHBACK_RULES!$L$5:$L$304,$AC496)),MAX(0,MIN($L496,INDEX(CASHBACK_RULES!$L$5:$L$304,$AC496)-$AH496)),MAX(0,$L496))))</f>
        <v/>
      </c>
      <c r="N496" s="49" t="str">
        <f>IF(OR($B496="",$D496=""),"",IF($AC496&gt;0,INDEX(CASHBACK_RULES!$I$5:$I$304,$AC496),0))</f>
        <v/>
      </c>
      <c r="O496" s="48" t="str">
        <f>IF(OR($B496="",$D496=""),"",ROUND($M496*$N496,0))</f>
        <v/>
      </c>
      <c r="P496" s="48" t="str">
        <f>IF($AC496&gt;0,IF(ISNUMBER(INDEX(CASHBACK_RULES!$J$5:$J$304,$AC496)),INDEX(CASHBACK_RULES!$J$5:$J$304,$AC496),"∞"),"")</f>
        <v/>
      </c>
      <c r="Q496" s="48" t="str">
        <f>IF(OR($B496="",$D496=""),"",IF($AC496=0,0,MAX(0,MIN($O496,IF(ISNUMBER($P496),$P496-$AF496,1E+15),IF(ISNUMBER($AA496),$AA496-$AG496,1E+15)))))</f>
        <v/>
      </c>
      <c r="R496" s="48" t="str">
        <f>IF(OR($B496="",$D496=""),"",IF($AC496=0,"",IF(AND(NOT(ISNUMBER($P496)),NOT(ISNUMBER($AA496))),"∞",MAX(0,MIN(IF(ISNUMBER($P496),$P496-$AF496-$Q496,1E+15),IF(ISNUMBER($AA496),$AA496-$AG496-$Q496,1E+15))))))</f>
        <v/>
      </c>
      <c r="S496" s="47" t="str">
        <f>IF($AD496="","",YEAR($AD496)*100+MONTH($AD496))</f>
        <v/>
      </c>
      <c r="T496" s="50" t="str">
        <f>IF($AD496="","",IFERROR(IF(INDEX(CARDS!$I$5:$I$34,MATCH($D496,CARDS!$A$5:$A$34,0))="","",IF(INDEX(CARDS!$I$5:$I$34,MATCH($D496,CARDS!$A$5:$A$34,0))&gt;INDEX(CARDS!$H$5:$H$34,MATCH($D496,CARDS!$A$5:$A$34,0)),DATE(YEAR($AD496),MONTH($AD496),MIN(INDEX(CARDS!$I$5:$I$34,MATCH($D496,CARDS!$A$5:$A$34,0)),DAY(EOMONTH($AD496,0)))),DATE(YEAR($AD496),MONTH($AD496)+1,MIN(INDEX(CARDS!$I$5:$I$34,MATCH($D496,CARDS!$A$5:$A$34,0)),DAY(EOMONTH($AD496,1)))))),""))</f>
        <v/>
      </c>
      <c r="U496" s="38" t="n"/>
      <c r="V496" s="37" t="n"/>
      <c r="W496" s="38" t="n"/>
      <c r="X496" s="38" t="n"/>
      <c r="Y496" s="44" t="str">
        <f>IF($AC496&gt;0,INDEX(CASHBACK_RULES!$A$5:$A$304,$AC496),"")</f>
        <v/>
      </c>
      <c r="Z496" s="45" t="str">
        <f>IF($AC496&gt;0,INDEX(CASHBACK_RULES!$E$5:$E$304,$AC496)&amp;"","")</f>
        <v/>
      </c>
      <c r="AA496" s="48" t="str">
        <f>IF($AC496&gt;0,IF(ISNUMBER(INDEX(CASHBACK_RULES!$K$5:$K$304,$AC496)),INDEX(CASHBACK_RULES!$K$5:$K$304,$AC496),"∞"),"")</f>
        <v/>
      </c>
      <c r="AB496" s="44" t="str">
        <f>IF(OR($B496="",$D496=""),"",IF($U496="Cancelled","Đã hủy",IF($AC496=0,"Không được hoàn",IF($Q496=0,IF(OR($O496&gt;0,$M496&lt;$L496),"Đã đạt cap","Không được hoàn"),IF(OR($Q496&lt;$O496,$M496&lt;$L496),"Hoàn một phần","Được hoàn")))))</f>
        <v/>
      </c>
      <c r="AC496" s="43">
        <f>IF(OR($B496="",$D496="",$I496="",$L496=""),0,IF($U496="Cancelled",0,IF($W496&lt;&gt;"",IFERROR(IF(INDEX(CASHBACK_RULES!$B$5:$B$304,MATCH($W496,CASHBACK_RULES!$A$5:$A$304,0))=$D496,MATCH($W496,CASHBACK_RULES!$A$5:$A$304,0),0),0),IFERROR(MATCH(1,INDEX((CASHBACK_RULES!$B$5:$B$304=$D496)*(CASHBACK_RULES!$G$5:$G$304=$I496)*(((CASHBACK_RULES!$N$5:$N$304="")+(CASHBACK_RULES!$N$5:$N$304&lt;=$B496))&gt;0)*(((CASHBACK_RULES!$O$5:$O$304="")+(CASHBACK_RULES!$O$5:$O$304&gt;=$B496))&gt;0)*(((CASHBACK_RULES!$M$5:$M$304="")+(CASHBACK_RULES!$M$5:$M$304&lt;=$L496))&gt;0),0),0),0))))</f>
        <v>0</v>
      </c>
      <c r="AD496" s="51" t="str">
        <f>IF(OR($B496="",$D496=""),"",IFERROR(IF(INDEX(CARDS!$H$5:$H$34,MATCH($D496,CARDS!$A$5:$A$34,0))="","",IF(DAY($B496)&lt;=INDEX(CARDS!$H$5:$H$34,MATCH($D496,CARDS!$A$5:$A$34,0)),DATE(YEAR($B496),MONTH($B496),MIN(INDEX(CARDS!$H$5:$H$34,MATCH($D496,CARDS!$A$5:$A$34,0)),DAY(EOMONTH($B496,0)))),DATE(YEAR($B496),MONTH($B496)+1,MIN(INDEX(CARDS!$H$5:$H$34,MATCH($D496,CARDS!$A$5:$A$34,0)),DAY(EOMONTH($B496,1)))))),""))</f>
        <v/>
      </c>
      <c r="AE496" s="52" t="str">
        <f>IF($C496="","",$C496&amp;"|"&amp;COUNTIF($C$5:$C496,$C496))</f>
        <v/>
      </c>
      <c r="AF496" s="53">
        <f>IF($AC496&gt;0,SUMIFS(Q$4:Q495,$D$4:$D495,$D496,$Z$4:$Z495,$Z496,$C$4:$C495,$C496),0)</f>
        <v>0</v>
      </c>
      <c r="AG496" s="53">
        <f>IF($AC496&gt;0,SUMIFS(Q$4:Q495,$D$4:$D495,$D496,$C$4:$C495,$C496),0)</f>
        <v>0</v>
      </c>
      <c r="AH496" s="53">
        <f>IF($AC496&gt;0,SUMIFS(M$4:M495,$D$4:$D495,$D496,$Z$4:$Z495,$Z496,$C$4:$C495,$C496),0)</f>
        <v>0</v>
      </c>
      <c r="AI496" s="43">
        <f>IF(OR($C496="",$I496=""),0,IF(COUNTIFS($C$5:$C496,$C496,$I$5:$I496,$I496)=1,1,0))</f>
        <v>0</v>
      </c>
      <c r="AJ496" s="43" t="str">
        <f>IF($AI496=1,SUMIFS($AI$4:$AI495,$C$4:$C495,$C496)+1,"")</f>
        <v/>
      </c>
      <c r="AK496" s="43">
        <f>IF(OR($C496="",$K496=""),0,IF(COUNTIFS($C$5:$C496,$C496,$K$5:$K496,$K496)=1,1,0))</f>
        <v>0</v>
      </c>
      <c r="AL496" s="43" t="str">
        <f>IF($AK496=1,SUMIFS($AK$4:$AK495,$C$4:$C495,$C496)+1,"")</f>
        <v/>
      </c>
      <c r="AM496" s="43">
        <f>IF(OR($C496="",$G496=""),0,IF(COUNTIFS($C$5:$C496,$C496,$G$5:$G496,$G496)=1,1,0))</f>
        <v>0</v>
      </c>
      <c r="AN496" s="43" t="str">
        <f>IF($AM496=1,SUMIFS($AM$4:$AM495,$C$4:$C495,$C496)+1,"")</f>
        <v/>
      </c>
    </row>
    <row r="497">
      <c r="A497" s="44" t="str">
        <f>IF(OR($B497="",$D497=""),"","TX"&amp;TEXT(ROW()-4,"0000"))</f>
        <v/>
      </c>
      <c r="B497" s="42" t="n"/>
      <c r="C497" s="47" t="str">
        <f>IF($B497="","",YEAR($B497)*100+MONTH($B497))</f>
        <v/>
      </c>
      <c r="D497" s="37" t="n"/>
      <c r="E497" s="45" t="str">
        <f>IF($D497="","",IFERROR(INDEX(CARDS!$B$5:$B$34,MATCH($D497,CARDS!$A$5:$A$34,0)),"⚠ Card ID?"))</f>
        <v/>
      </c>
      <c r="F497" s="45" t="str">
        <f>IF($D497="","",IFERROR(INDEX(CARDS!$C$5:$C$34,MATCH($D497,CARDS!$A$5:$A$34,0)),"⚠ Card ID?"))</f>
        <v/>
      </c>
      <c r="G497" s="37" t="n"/>
      <c r="H497" s="37" t="n"/>
      <c r="I497" s="41" t="n"/>
      <c r="J497" s="45" t="str">
        <f>IF($I497="","",IFERROR(INDEX(MCC_MASTER!$B$5:$B$504,MATCH($I497,MCC_MASTER!$A$5:$A$504,0)),"⚠ MCC chưa có"))</f>
        <v/>
      </c>
      <c r="K497" s="45" t="str">
        <f>IF($I497="","",IFERROR(IF(INDEX(MCC_MASTER!$C$5:$C$504,MATCH($I497,MCC_MASTER!$A$5:$A$504,0))="","Chưa phân loại",INDEX(MCC_MASTER!$C$5:$C$504,MATCH($I497,MCC_MASTER!$A$5:$A$504,0))),"Chưa phân loại"))</f>
        <v/>
      </c>
      <c r="L497" s="40" t="n"/>
      <c r="M497" s="48" t="str">
        <f>IF(OR($B497="",$D497=""),"",IF($AC497=0,0,IF(ISNUMBER(INDEX(CASHBACK_RULES!$L$5:$L$304,$AC497)),MAX(0,MIN($L497,INDEX(CASHBACK_RULES!$L$5:$L$304,$AC497)-$AH497)),MAX(0,$L497))))</f>
        <v/>
      </c>
      <c r="N497" s="49" t="str">
        <f>IF(OR($B497="",$D497=""),"",IF($AC497&gt;0,INDEX(CASHBACK_RULES!$I$5:$I$304,$AC497),0))</f>
        <v/>
      </c>
      <c r="O497" s="48" t="str">
        <f>IF(OR($B497="",$D497=""),"",ROUND($M497*$N497,0))</f>
        <v/>
      </c>
      <c r="P497" s="48" t="str">
        <f>IF($AC497&gt;0,IF(ISNUMBER(INDEX(CASHBACK_RULES!$J$5:$J$304,$AC497)),INDEX(CASHBACK_RULES!$J$5:$J$304,$AC497),"∞"),"")</f>
        <v/>
      </c>
      <c r="Q497" s="48" t="str">
        <f>IF(OR($B497="",$D497=""),"",IF($AC497=0,0,MAX(0,MIN($O497,IF(ISNUMBER($P497),$P497-$AF497,1E+15),IF(ISNUMBER($AA497),$AA497-$AG497,1E+15)))))</f>
        <v/>
      </c>
      <c r="R497" s="48" t="str">
        <f>IF(OR($B497="",$D497=""),"",IF($AC497=0,"",IF(AND(NOT(ISNUMBER($P497)),NOT(ISNUMBER($AA497))),"∞",MAX(0,MIN(IF(ISNUMBER($P497),$P497-$AF497-$Q497,1E+15),IF(ISNUMBER($AA497),$AA497-$AG497-$Q497,1E+15))))))</f>
        <v/>
      </c>
      <c r="S497" s="47" t="str">
        <f>IF($AD497="","",YEAR($AD497)*100+MONTH($AD497))</f>
        <v/>
      </c>
      <c r="T497" s="50" t="str">
        <f>IF($AD497="","",IFERROR(IF(INDEX(CARDS!$I$5:$I$34,MATCH($D497,CARDS!$A$5:$A$34,0))="","",IF(INDEX(CARDS!$I$5:$I$34,MATCH($D497,CARDS!$A$5:$A$34,0))&gt;INDEX(CARDS!$H$5:$H$34,MATCH($D497,CARDS!$A$5:$A$34,0)),DATE(YEAR($AD497),MONTH($AD497),MIN(INDEX(CARDS!$I$5:$I$34,MATCH($D497,CARDS!$A$5:$A$34,0)),DAY(EOMONTH($AD497,0)))),DATE(YEAR($AD497),MONTH($AD497)+1,MIN(INDEX(CARDS!$I$5:$I$34,MATCH($D497,CARDS!$A$5:$A$34,0)),DAY(EOMONTH($AD497,1)))))),""))</f>
        <v/>
      </c>
      <c r="U497" s="38" t="n"/>
      <c r="V497" s="37" t="n"/>
      <c r="W497" s="38" t="n"/>
      <c r="X497" s="38" t="n"/>
      <c r="Y497" s="44" t="str">
        <f>IF($AC497&gt;0,INDEX(CASHBACK_RULES!$A$5:$A$304,$AC497),"")</f>
        <v/>
      </c>
      <c r="Z497" s="45" t="str">
        <f>IF($AC497&gt;0,INDEX(CASHBACK_RULES!$E$5:$E$304,$AC497)&amp;"","")</f>
        <v/>
      </c>
      <c r="AA497" s="48" t="str">
        <f>IF($AC497&gt;0,IF(ISNUMBER(INDEX(CASHBACK_RULES!$K$5:$K$304,$AC497)),INDEX(CASHBACK_RULES!$K$5:$K$304,$AC497),"∞"),"")</f>
        <v/>
      </c>
      <c r="AB497" s="44" t="str">
        <f>IF(OR($B497="",$D497=""),"",IF($U497="Cancelled","Đã hủy",IF($AC497=0,"Không được hoàn",IF($Q497=0,IF(OR($O497&gt;0,$M497&lt;$L497),"Đã đạt cap","Không được hoàn"),IF(OR($Q497&lt;$O497,$M497&lt;$L497),"Hoàn một phần","Được hoàn")))))</f>
        <v/>
      </c>
      <c r="AC497" s="43">
        <f>IF(OR($B497="",$D497="",$I497="",$L497=""),0,IF($U497="Cancelled",0,IF($W497&lt;&gt;"",IFERROR(IF(INDEX(CASHBACK_RULES!$B$5:$B$304,MATCH($W497,CASHBACK_RULES!$A$5:$A$304,0))=$D497,MATCH($W497,CASHBACK_RULES!$A$5:$A$304,0),0),0),IFERROR(MATCH(1,INDEX((CASHBACK_RULES!$B$5:$B$304=$D497)*(CASHBACK_RULES!$G$5:$G$304=$I497)*(((CASHBACK_RULES!$N$5:$N$304="")+(CASHBACK_RULES!$N$5:$N$304&lt;=$B497))&gt;0)*(((CASHBACK_RULES!$O$5:$O$304="")+(CASHBACK_RULES!$O$5:$O$304&gt;=$B497))&gt;0)*(((CASHBACK_RULES!$M$5:$M$304="")+(CASHBACK_RULES!$M$5:$M$304&lt;=$L497))&gt;0),0),0),0))))</f>
        <v>0</v>
      </c>
      <c r="AD497" s="51" t="str">
        <f>IF(OR($B497="",$D497=""),"",IFERROR(IF(INDEX(CARDS!$H$5:$H$34,MATCH($D497,CARDS!$A$5:$A$34,0))="","",IF(DAY($B497)&lt;=INDEX(CARDS!$H$5:$H$34,MATCH($D497,CARDS!$A$5:$A$34,0)),DATE(YEAR($B497),MONTH($B497),MIN(INDEX(CARDS!$H$5:$H$34,MATCH($D497,CARDS!$A$5:$A$34,0)),DAY(EOMONTH($B497,0)))),DATE(YEAR($B497),MONTH($B497)+1,MIN(INDEX(CARDS!$H$5:$H$34,MATCH($D497,CARDS!$A$5:$A$34,0)),DAY(EOMONTH($B497,1)))))),""))</f>
        <v/>
      </c>
      <c r="AE497" s="52" t="str">
        <f>IF($C497="","",$C497&amp;"|"&amp;COUNTIF($C$5:$C497,$C497))</f>
        <v/>
      </c>
      <c r="AF497" s="53">
        <f>IF($AC497&gt;0,SUMIFS(Q$4:Q496,$D$4:$D496,$D497,$Z$4:$Z496,$Z497,$C$4:$C496,$C497),0)</f>
        <v>0</v>
      </c>
      <c r="AG497" s="53">
        <f>IF($AC497&gt;0,SUMIFS(Q$4:Q496,$D$4:$D496,$D497,$C$4:$C496,$C497),0)</f>
        <v>0</v>
      </c>
      <c r="AH497" s="53">
        <f>IF($AC497&gt;0,SUMIFS(M$4:M496,$D$4:$D496,$D497,$Z$4:$Z496,$Z497,$C$4:$C496,$C497),0)</f>
        <v>0</v>
      </c>
      <c r="AI497" s="43">
        <f>IF(OR($C497="",$I497=""),0,IF(COUNTIFS($C$5:$C497,$C497,$I$5:$I497,$I497)=1,1,0))</f>
        <v>0</v>
      </c>
      <c r="AJ497" s="43" t="str">
        <f>IF($AI497=1,SUMIFS($AI$4:$AI496,$C$4:$C496,$C497)+1,"")</f>
        <v/>
      </c>
      <c r="AK497" s="43">
        <f>IF(OR($C497="",$K497=""),0,IF(COUNTIFS($C$5:$C497,$C497,$K$5:$K497,$K497)=1,1,0))</f>
        <v>0</v>
      </c>
      <c r="AL497" s="43" t="str">
        <f>IF($AK497=1,SUMIFS($AK$4:$AK496,$C$4:$C496,$C497)+1,"")</f>
        <v/>
      </c>
      <c r="AM497" s="43">
        <f>IF(OR($C497="",$G497=""),0,IF(COUNTIFS($C$5:$C497,$C497,$G$5:$G497,$G497)=1,1,0))</f>
        <v>0</v>
      </c>
      <c r="AN497" s="43" t="str">
        <f>IF($AM497=1,SUMIFS($AM$4:$AM496,$C$4:$C496,$C497)+1,"")</f>
        <v/>
      </c>
    </row>
    <row r="498">
      <c r="A498" s="44" t="str">
        <f>IF(OR($B498="",$D498=""),"","TX"&amp;TEXT(ROW()-4,"0000"))</f>
        <v/>
      </c>
      <c r="B498" s="42" t="n"/>
      <c r="C498" s="47" t="str">
        <f>IF($B498="","",YEAR($B498)*100+MONTH($B498))</f>
        <v/>
      </c>
      <c r="D498" s="37" t="n"/>
      <c r="E498" s="45" t="str">
        <f>IF($D498="","",IFERROR(INDEX(CARDS!$B$5:$B$34,MATCH($D498,CARDS!$A$5:$A$34,0)),"⚠ Card ID?"))</f>
        <v/>
      </c>
      <c r="F498" s="45" t="str">
        <f>IF($D498="","",IFERROR(INDEX(CARDS!$C$5:$C$34,MATCH($D498,CARDS!$A$5:$A$34,0)),"⚠ Card ID?"))</f>
        <v/>
      </c>
      <c r="G498" s="37" t="n"/>
      <c r="H498" s="37" t="n"/>
      <c r="I498" s="41" t="n"/>
      <c r="J498" s="45" t="str">
        <f>IF($I498="","",IFERROR(INDEX(MCC_MASTER!$B$5:$B$504,MATCH($I498,MCC_MASTER!$A$5:$A$504,0)),"⚠ MCC chưa có"))</f>
        <v/>
      </c>
      <c r="K498" s="45" t="str">
        <f>IF($I498="","",IFERROR(IF(INDEX(MCC_MASTER!$C$5:$C$504,MATCH($I498,MCC_MASTER!$A$5:$A$504,0))="","Chưa phân loại",INDEX(MCC_MASTER!$C$5:$C$504,MATCH($I498,MCC_MASTER!$A$5:$A$504,0))),"Chưa phân loại"))</f>
        <v/>
      </c>
      <c r="L498" s="40" t="n"/>
      <c r="M498" s="48" t="str">
        <f>IF(OR($B498="",$D498=""),"",IF($AC498=0,0,IF(ISNUMBER(INDEX(CASHBACK_RULES!$L$5:$L$304,$AC498)),MAX(0,MIN($L498,INDEX(CASHBACK_RULES!$L$5:$L$304,$AC498)-$AH498)),MAX(0,$L498))))</f>
        <v/>
      </c>
      <c r="N498" s="49" t="str">
        <f>IF(OR($B498="",$D498=""),"",IF($AC498&gt;0,INDEX(CASHBACK_RULES!$I$5:$I$304,$AC498),0))</f>
        <v/>
      </c>
      <c r="O498" s="48" t="str">
        <f>IF(OR($B498="",$D498=""),"",ROUND($M498*$N498,0))</f>
        <v/>
      </c>
      <c r="P498" s="48" t="str">
        <f>IF($AC498&gt;0,IF(ISNUMBER(INDEX(CASHBACK_RULES!$J$5:$J$304,$AC498)),INDEX(CASHBACK_RULES!$J$5:$J$304,$AC498),"∞"),"")</f>
        <v/>
      </c>
      <c r="Q498" s="48" t="str">
        <f>IF(OR($B498="",$D498=""),"",IF($AC498=0,0,MAX(0,MIN($O498,IF(ISNUMBER($P498),$P498-$AF498,1E+15),IF(ISNUMBER($AA498),$AA498-$AG498,1E+15)))))</f>
        <v/>
      </c>
      <c r="R498" s="48" t="str">
        <f>IF(OR($B498="",$D498=""),"",IF($AC498=0,"",IF(AND(NOT(ISNUMBER($P498)),NOT(ISNUMBER($AA498))),"∞",MAX(0,MIN(IF(ISNUMBER($P498),$P498-$AF498-$Q498,1E+15),IF(ISNUMBER($AA498),$AA498-$AG498-$Q498,1E+15))))))</f>
        <v/>
      </c>
      <c r="S498" s="47" t="str">
        <f>IF($AD498="","",YEAR($AD498)*100+MONTH($AD498))</f>
        <v/>
      </c>
      <c r="T498" s="50" t="str">
        <f>IF($AD498="","",IFERROR(IF(INDEX(CARDS!$I$5:$I$34,MATCH($D498,CARDS!$A$5:$A$34,0))="","",IF(INDEX(CARDS!$I$5:$I$34,MATCH($D498,CARDS!$A$5:$A$34,0))&gt;INDEX(CARDS!$H$5:$H$34,MATCH($D498,CARDS!$A$5:$A$34,0)),DATE(YEAR($AD498),MONTH($AD498),MIN(INDEX(CARDS!$I$5:$I$34,MATCH($D498,CARDS!$A$5:$A$34,0)),DAY(EOMONTH($AD498,0)))),DATE(YEAR($AD498),MONTH($AD498)+1,MIN(INDEX(CARDS!$I$5:$I$34,MATCH($D498,CARDS!$A$5:$A$34,0)),DAY(EOMONTH($AD498,1)))))),""))</f>
        <v/>
      </c>
      <c r="U498" s="38" t="n"/>
      <c r="V498" s="37" t="n"/>
      <c r="W498" s="38" t="n"/>
      <c r="X498" s="38" t="n"/>
      <c r="Y498" s="44" t="str">
        <f>IF($AC498&gt;0,INDEX(CASHBACK_RULES!$A$5:$A$304,$AC498),"")</f>
        <v/>
      </c>
      <c r="Z498" s="45" t="str">
        <f>IF($AC498&gt;0,INDEX(CASHBACK_RULES!$E$5:$E$304,$AC498)&amp;"","")</f>
        <v/>
      </c>
      <c r="AA498" s="48" t="str">
        <f>IF($AC498&gt;0,IF(ISNUMBER(INDEX(CASHBACK_RULES!$K$5:$K$304,$AC498)),INDEX(CASHBACK_RULES!$K$5:$K$304,$AC498),"∞"),"")</f>
        <v/>
      </c>
      <c r="AB498" s="44" t="str">
        <f>IF(OR($B498="",$D498=""),"",IF($U498="Cancelled","Đã hủy",IF($AC498=0,"Không được hoàn",IF($Q498=0,IF(OR($O498&gt;0,$M498&lt;$L498),"Đã đạt cap","Không được hoàn"),IF(OR($Q498&lt;$O498,$M498&lt;$L498),"Hoàn một phần","Được hoàn")))))</f>
        <v/>
      </c>
      <c r="AC498" s="43">
        <f>IF(OR($B498="",$D498="",$I498="",$L498=""),0,IF($U498="Cancelled",0,IF($W498&lt;&gt;"",IFERROR(IF(INDEX(CASHBACK_RULES!$B$5:$B$304,MATCH($W498,CASHBACK_RULES!$A$5:$A$304,0))=$D498,MATCH($W498,CASHBACK_RULES!$A$5:$A$304,0),0),0),IFERROR(MATCH(1,INDEX((CASHBACK_RULES!$B$5:$B$304=$D498)*(CASHBACK_RULES!$G$5:$G$304=$I498)*(((CASHBACK_RULES!$N$5:$N$304="")+(CASHBACK_RULES!$N$5:$N$304&lt;=$B498))&gt;0)*(((CASHBACK_RULES!$O$5:$O$304="")+(CASHBACK_RULES!$O$5:$O$304&gt;=$B498))&gt;0)*(((CASHBACK_RULES!$M$5:$M$304="")+(CASHBACK_RULES!$M$5:$M$304&lt;=$L498))&gt;0),0),0),0))))</f>
        <v>0</v>
      </c>
      <c r="AD498" s="51" t="str">
        <f>IF(OR($B498="",$D498=""),"",IFERROR(IF(INDEX(CARDS!$H$5:$H$34,MATCH($D498,CARDS!$A$5:$A$34,0))="","",IF(DAY($B498)&lt;=INDEX(CARDS!$H$5:$H$34,MATCH($D498,CARDS!$A$5:$A$34,0)),DATE(YEAR($B498),MONTH($B498),MIN(INDEX(CARDS!$H$5:$H$34,MATCH($D498,CARDS!$A$5:$A$34,0)),DAY(EOMONTH($B498,0)))),DATE(YEAR($B498),MONTH($B498)+1,MIN(INDEX(CARDS!$H$5:$H$34,MATCH($D498,CARDS!$A$5:$A$34,0)),DAY(EOMONTH($B498,1)))))),""))</f>
        <v/>
      </c>
      <c r="AE498" s="52" t="str">
        <f>IF($C498="","",$C498&amp;"|"&amp;COUNTIF($C$5:$C498,$C498))</f>
        <v/>
      </c>
      <c r="AF498" s="53">
        <f>IF($AC498&gt;0,SUMIFS(Q$4:Q497,$D$4:$D497,$D498,$Z$4:$Z497,$Z498,$C$4:$C497,$C498),0)</f>
        <v>0</v>
      </c>
      <c r="AG498" s="53">
        <f>IF($AC498&gt;0,SUMIFS(Q$4:Q497,$D$4:$D497,$D498,$C$4:$C497,$C498),0)</f>
        <v>0</v>
      </c>
      <c r="AH498" s="53">
        <f>IF($AC498&gt;0,SUMIFS(M$4:M497,$D$4:$D497,$D498,$Z$4:$Z497,$Z498,$C$4:$C497,$C498),0)</f>
        <v>0</v>
      </c>
      <c r="AI498" s="43">
        <f>IF(OR($C498="",$I498=""),0,IF(COUNTIFS($C$5:$C498,$C498,$I$5:$I498,$I498)=1,1,0))</f>
        <v>0</v>
      </c>
      <c r="AJ498" s="43" t="str">
        <f>IF($AI498=1,SUMIFS($AI$4:$AI497,$C$4:$C497,$C498)+1,"")</f>
        <v/>
      </c>
      <c r="AK498" s="43">
        <f>IF(OR($C498="",$K498=""),0,IF(COUNTIFS($C$5:$C498,$C498,$K$5:$K498,$K498)=1,1,0))</f>
        <v>0</v>
      </c>
      <c r="AL498" s="43" t="str">
        <f>IF($AK498=1,SUMIFS($AK$4:$AK497,$C$4:$C497,$C498)+1,"")</f>
        <v/>
      </c>
      <c r="AM498" s="43">
        <f>IF(OR($C498="",$G498=""),0,IF(COUNTIFS($C$5:$C498,$C498,$G$5:$G498,$G498)=1,1,0))</f>
        <v>0</v>
      </c>
      <c r="AN498" s="43" t="str">
        <f>IF($AM498=1,SUMIFS($AM$4:$AM497,$C$4:$C497,$C498)+1,"")</f>
        <v/>
      </c>
    </row>
    <row r="499">
      <c r="A499" s="44" t="str">
        <f>IF(OR($B499="",$D499=""),"","TX"&amp;TEXT(ROW()-4,"0000"))</f>
        <v/>
      </c>
      <c r="B499" s="42" t="n"/>
      <c r="C499" s="47" t="str">
        <f>IF($B499="","",YEAR($B499)*100+MONTH($B499))</f>
        <v/>
      </c>
      <c r="D499" s="37" t="n"/>
      <c r="E499" s="45" t="str">
        <f>IF($D499="","",IFERROR(INDEX(CARDS!$B$5:$B$34,MATCH($D499,CARDS!$A$5:$A$34,0)),"⚠ Card ID?"))</f>
        <v/>
      </c>
      <c r="F499" s="45" t="str">
        <f>IF($D499="","",IFERROR(INDEX(CARDS!$C$5:$C$34,MATCH($D499,CARDS!$A$5:$A$34,0)),"⚠ Card ID?"))</f>
        <v/>
      </c>
      <c r="G499" s="37" t="n"/>
      <c r="H499" s="37" t="n"/>
      <c r="I499" s="41" t="n"/>
      <c r="J499" s="45" t="str">
        <f>IF($I499="","",IFERROR(INDEX(MCC_MASTER!$B$5:$B$504,MATCH($I499,MCC_MASTER!$A$5:$A$504,0)),"⚠ MCC chưa có"))</f>
        <v/>
      </c>
      <c r="K499" s="45" t="str">
        <f>IF($I499="","",IFERROR(IF(INDEX(MCC_MASTER!$C$5:$C$504,MATCH($I499,MCC_MASTER!$A$5:$A$504,0))="","Chưa phân loại",INDEX(MCC_MASTER!$C$5:$C$504,MATCH($I499,MCC_MASTER!$A$5:$A$504,0))),"Chưa phân loại"))</f>
        <v/>
      </c>
      <c r="L499" s="40" t="n"/>
      <c r="M499" s="48" t="str">
        <f>IF(OR($B499="",$D499=""),"",IF($AC499=0,0,IF(ISNUMBER(INDEX(CASHBACK_RULES!$L$5:$L$304,$AC499)),MAX(0,MIN($L499,INDEX(CASHBACK_RULES!$L$5:$L$304,$AC499)-$AH499)),MAX(0,$L499))))</f>
        <v/>
      </c>
      <c r="N499" s="49" t="str">
        <f>IF(OR($B499="",$D499=""),"",IF($AC499&gt;0,INDEX(CASHBACK_RULES!$I$5:$I$304,$AC499),0))</f>
        <v/>
      </c>
      <c r="O499" s="48" t="str">
        <f>IF(OR($B499="",$D499=""),"",ROUND($M499*$N499,0))</f>
        <v/>
      </c>
      <c r="P499" s="48" t="str">
        <f>IF($AC499&gt;0,IF(ISNUMBER(INDEX(CASHBACK_RULES!$J$5:$J$304,$AC499)),INDEX(CASHBACK_RULES!$J$5:$J$304,$AC499),"∞"),"")</f>
        <v/>
      </c>
      <c r="Q499" s="48" t="str">
        <f>IF(OR($B499="",$D499=""),"",IF($AC499=0,0,MAX(0,MIN($O499,IF(ISNUMBER($P499),$P499-$AF499,1E+15),IF(ISNUMBER($AA499),$AA499-$AG499,1E+15)))))</f>
        <v/>
      </c>
      <c r="R499" s="48" t="str">
        <f>IF(OR($B499="",$D499=""),"",IF($AC499=0,"",IF(AND(NOT(ISNUMBER($P499)),NOT(ISNUMBER($AA499))),"∞",MAX(0,MIN(IF(ISNUMBER($P499),$P499-$AF499-$Q499,1E+15),IF(ISNUMBER($AA499),$AA499-$AG499-$Q499,1E+15))))))</f>
        <v/>
      </c>
      <c r="S499" s="47" t="str">
        <f>IF($AD499="","",YEAR($AD499)*100+MONTH($AD499))</f>
        <v/>
      </c>
      <c r="T499" s="50" t="str">
        <f>IF($AD499="","",IFERROR(IF(INDEX(CARDS!$I$5:$I$34,MATCH($D499,CARDS!$A$5:$A$34,0))="","",IF(INDEX(CARDS!$I$5:$I$34,MATCH($D499,CARDS!$A$5:$A$34,0))&gt;INDEX(CARDS!$H$5:$H$34,MATCH($D499,CARDS!$A$5:$A$34,0)),DATE(YEAR($AD499),MONTH($AD499),MIN(INDEX(CARDS!$I$5:$I$34,MATCH($D499,CARDS!$A$5:$A$34,0)),DAY(EOMONTH($AD499,0)))),DATE(YEAR($AD499),MONTH($AD499)+1,MIN(INDEX(CARDS!$I$5:$I$34,MATCH($D499,CARDS!$A$5:$A$34,0)),DAY(EOMONTH($AD499,1)))))),""))</f>
        <v/>
      </c>
      <c r="U499" s="38" t="n"/>
      <c r="V499" s="37" t="n"/>
      <c r="W499" s="38" t="n"/>
      <c r="X499" s="38" t="n"/>
      <c r="Y499" s="44" t="str">
        <f>IF($AC499&gt;0,INDEX(CASHBACK_RULES!$A$5:$A$304,$AC499),"")</f>
        <v/>
      </c>
      <c r="Z499" s="45" t="str">
        <f>IF($AC499&gt;0,INDEX(CASHBACK_RULES!$E$5:$E$304,$AC499)&amp;"","")</f>
        <v/>
      </c>
      <c r="AA499" s="48" t="str">
        <f>IF($AC499&gt;0,IF(ISNUMBER(INDEX(CASHBACK_RULES!$K$5:$K$304,$AC499)),INDEX(CASHBACK_RULES!$K$5:$K$304,$AC499),"∞"),"")</f>
        <v/>
      </c>
      <c r="AB499" s="44" t="str">
        <f>IF(OR($B499="",$D499=""),"",IF($U499="Cancelled","Đã hủy",IF($AC499=0,"Không được hoàn",IF($Q499=0,IF(OR($O499&gt;0,$M499&lt;$L499),"Đã đạt cap","Không được hoàn"),IF(OR($Q499&lt;$O499,$M499&lt;$L499),"Hoàn một phần","Được hoàn")))))</f>
        <v/>
      </c>
      <c r="AC499" s="43">
        <f>IF(OR($B499="",$D499="",$I499="",$L499=""),0,IF($U499="Cancelled",0,IF($W499&lt;&gt;"",IFERROR(IF(INDEX(CASHBACK_RULES!$B$5:$B$304,MATCH($W499,CASHBACK_RULES!$A$5:$A$304,0))=$D499,MATCH($W499,CASHBACK_RULES!$A$5:$A$304,0),0),0),IFERROR(MATCH(1,INDEX((CASHBACK_RULES!$B$5:$B$304=$D499)*(CASHBACK_RULES!$G$5:$G$304=$I499)*(((CASHBACK_RULES!$N$5:$N$304="")+(CASHBACK_RULES!$N$5:$N$304&lt;=$B499))&gt;0)*(((CASHBACK_RULES!$O$5:$O$304="")+(CASHBACK_RULES!$O$5:$O$304&gt;=$B499))&gt;0)*(((CASHBACK_RULES!$M$5:$M$304="")+(CASHBACK_RULES!$M$5:$M$304&lt;=$L499))&gt;0),0),0),0))))</f>
        <v>0</v>
      </c>
      <c r="AD499" s="51" t="str">
        <f>IF(OR($B499="",$D499=""),"",IFERROR(IF(INDEX(CARDS!$H$5:$H$34,MATCH($D499,CARDS!$A$5:$A$34,0))="","",IF(DAY($B499)&lt;=INDEX(CARDS!$H$5:$H$34,MATCH($D499,CARDS!$A$5:$A$34,0)),DATE(YEAR($B499),MONTH($B499),MIN(INDEX(CARDS!$H$5:$H$34,MATCH($D499,CARDS!$A$5:$A$34,0)),DAY(EOMONTH($B499,0)))),DATE(YEAR($B499),MONTH($B499)+1,MIN(INDEX(CARDS!$H$5:$H$34,MATCH($D499,CARDS!$A$5:$A$34,0)),DAY(EOMONTH($B499,1)))))),""))</f>
        <v/>
      </c>
      <c r="AE499" s="52" t="str">
        <f>IF($C499="","",$C499&amp;"|"&amp;COUNTIF($C$5:$C499,$C499))</f>
        <v/>
      </c>
      <c r="AF499" s="53">
        <f>IF($AC499&gt;0,SUMIFS(Q$4:Q498,$D$4:$D498,$D499,$Z$4:$Z498,$Z499,$C$4:$C498,$C499),0)</f>
        <v>0</v>
      </c>
      <c r="AG499" s="53">
        <f>IF($AC499&gt;0,SUMIFS(Q$4:Q498,$D$4:$D498,$D499,$C$4:$C498,$C499),0)</f>
        <v>0</v>
      </c>
      <c r="AH499" s="53">
        <f>IF($AC499&gt;0,SUMIFS(M$4:M498,$D$4:$D498,$D499,$Z$4:$Z498,$Z499,$C$4:$C498,$C499),0)</f>
        <v>0</v>
      </c>
      <c r="AI499" s="43">
        <f>IF(OR($C499="",$I499=""),0,IF(COUNTIFS($C$5:$C499,$C499,$I$5:$I499,$I499)=1,1,0))</f>
        <v>0</v>
      </c>
      <c r="AJ499" s="43" t="str">
        <f>IF($AI499=1,SUMIFS($AI$4:$AI498,$C$4:$C498,$C499)+1,"")</f>
        <v/>
      </c>
      <c r="AK499" s="43">
        <f>IF(OR($C499="",$K499=""),0,IF(COUNTIFS($C$5:$C499,$C499,$K$5:$K499,$K499)=1,1,0))</f>
        <v>0</v>
      </c>
      <c r="AL499" s="43" t="str">
        <f>IF($AK499=1,SUMIFS($AK$4:$AK498,$C$4:$C498,$C499)+1,"")</f>
        <v/>
      </c>
      <c r="AM499" s="43">
        <f>IF(OR($C499="",$G499=""),0,IF(COUNTIFS($C$5:$C499,$C499,$G$5:$G499,$G499)=1,1,0))</f>
        <v>0</v>
      </c>
      <c r="AN499" s="43" t="str">
        <f>IF($AM499=1,SUMIFS($AM$4:$AM498,$C$4:$C498,$C499)+1,"")</f>
        <v/>
      </c>
    </row>
    <row r="500">
      <c r="A500" s="44" t="str">
        <f>IF(OR($B500="",$D500=""),"","TX"&amp;TEXT(ROW()-4,"0000"))</f>
        <v/>
      </c>
      <c r="B500" s="42" t="n"/>
      <c r="C500" s="47" t="str">
        <f>IF($B500="","",YEAR($B500)*100+MONTH($B500))</f>
        <v/>
      </c>
      <c r="D500" s="37" t="n"/>
      <c r="E500" s="45" t="str">
        <f>IF($D500="","",IFERROR(INDEX(CARDS!$B$5:$B$34,MATCH($D500,CARDS!$A$5:$A$34,0)),"⚠ Card ID?"))</f>
        <v/>
      </c>
      <c r="F500" s="45" t="str">
        <f>IF($D500="","",IFERROR(INDEX(CARDS!$C$5:$C$34,MATCH($D500,CARDS!$A$5:$A$34,0)),"⚠ Card ID?"))</f>
        <v/>
      </c>
      <c r="G500" s="37" t="n"/>
      <c r="H500" s="37" t="n"/>
      <c r="I500" s="41" t="n"/>
      <c r="J500" s="45" t="str">
        <f>IF($I500="","",IFERROR(INDEX(MCC_MASTER!$B$5:$B$504,MATCH($I500,MCC_MASTER!$A$5:$A$504,0)),"⚠ MCC chưa có"))</f>
        <v/>
      </c>
      <c r="K500" s="45" t="str">
        <f>IF($I500="","",IFERROR(IF(INDEX(MCC_MASTER!$C$5:$C$504,MATCH($I500,MCC_MASTER!$A$5:$A$504,0))="","Chưa phân loại",INDEX(MCC_MASTER!$C$5:$C$504,MATCH($I500,MCC_MASTER!$A$5:$A$504,0))),"Chưa phân loại"))</f>
        <v/>
      </c>
      <c r="L500" s="40" t="n"/>
      <c r="M500" s="48" t="str">
        <f>IF(OR($B500="",$D500=""),"",IF($AC500=0,0,IF(ISNUMBER(INDEX(CASHBACK_RULES!$L$5:$L$304,$AC500)),MAX(0,MIN($L500,INDEX(CASHBACK_RULES!$L$5:$L$304,$AC500)-$AH500)),MAX(0,$L500))))</f>
        <v/>
      </c>
      <c r="N500" s="49" t="str">
        <f>IF(OR($B500="",$D500=""),"",IF($AC500&gt;0,INDEX(CASHBACK_RULES!$I$5:$I$304,$AC500),0))</f>
        <v/>
      </c>
      <c r="O500" s="48" t="str">
        <f>IF(OR($B500="",$D500=""),"",ROUND($M500*$N500,0))</f>
        <v/>
      </c>
      <c r="P500" s="48" t="str">
        <f>IF($AC500&gt;0,IF(ISNUMBER(INDEX(CASHBACK_RULES!$J$5:$J$304,$AC500)),INDEX(CASHBACK_RULES!$J$5:$J$304,$AC500),"∞"),"")</f>
        <v/>
      </c>
      <c r="Q500" s="48" t="str">
        <f>IF(OR($B500="",$D500=""),"",IF($AC500=0,0,MAX(0,MIN($O500,IF(ISNUMBER($P500),$P500-$AF500,1E+15),IF(ISNUMBER($AA500),$AA500-$AG500,1E+15)))))</f>
        <v/>
      </c>
      <c r="R500" s="48" t="str">
        <f>IF(OR($B500="",$D500=""),"",IF($AC500=0,"",IF(AND(NOT(ISNUMBER($P500)),NOT(ISNUMBER($AA500))),"∞",MAX(0,MIN(IF(ISNUMBER($P500),$P500-$AF500-$Q500,1E+15),IF(ISNUMBER($AA500),$AA500-$AG500-$Q500,1E+15))))))</f>
        <v/>
      </c>
      <c r="S500" s="47" t="str">
        <f>IF($AD500="","",YEAR($AD500)*100+MONTH($AD500))</f>
        <v/>
      </c>
      <c r="T500" s="50" t="str">
        <f>IF($AD500="","",IFERROR(IF(INDEX(CARDS!$I$5:$I$34,MATCH($D500,CARDS!$A$5:$A$34,0))="","",IF(INDEX(CARDS!$I$5:$I$34,MATCH($D500,CARDS!$A$5:$A$34,0))&gt;INDEX(CARDS!$H$5:$H$34,MATCH($D500,CARDS!$A$5:$A$34,0)),DATE(YEAR($AD500),MONTH($AD500),MIN(INDEX(CARDS!$I$5:$I$34,MATCH($D500,CARDS!$A$5:$A$34,0)),DAY(EOMONTH($AD500,0)))),DATE(YEAR($AD500),MONTH($AD500)+1,MIN(INDEX(CARDS!$I$5:$I$34,MATCH($D500,CARDS!$A$5:$A$34,0)),DAY(EOMONTH($AD500,1)))))),""))</f>
        <v/>
      </c>
      <c r="U500" s="38" t="n"/>
      <c r="V500" s="37" t="n"/>
      <c r="W500" s="38" t="n"/>
      <c r="X500" s="38" t="n"/>
      <c r="Y500" s="44" t="str">
        <f>IF($AC500&gt;0,INDEX(CASHBACK_RULES!$A$5:$A$304,$AC500),"")</f>
        <v/>
      </c>
      <c r="Z500" s="45" t="str">
        <f>IF($AC500&gt;0,INDEX(CASHBACK_RULES!$E$5:$E$304,$AC500)&amp;"","")</f>
        <v/>
      </c>
      <c r="AA500" s="48" t="str">
        <f>IF($AC500&gt;0,IF(ISNUMBER(INDEX(CASHBACK_RULES!$K$5:$K$304,$AC500)),INDEX(CASHBACK_RULES!$K$5:$K$304,$AC500),"∞"),"")</f>
        <v/>
      </c>
      <c r="AB500" s="44" t="str">
        <f>IF(OR($B500="",$D500=""),"",IF($U500="Cancelled","Đã hủy",IF($AC500=0,"Không được hoàn",IF($Q500=0,IF(OR($O500&gt;0,$M500&lt;$L500),"Đã đạt cap","Không được hoàn"),IF(OR($Q500&lt;$O500,$M500&lt;$L500),"Hoàn một phần","Được hoàn")))))</f>
        <v/>
      </c>
      <c r="AC500" s="43">
        <f>IF(OR($B500="",$D500="",$I500="",$L500=""),0,IF($U500="Cancelled",0,IF($W500&lt;&gt;"",IFERROR(IF(INDEX(CASHBACK_RULES!$B$5:$B$304,MATCH($W500,CASHBACK_RULES!$A$5:$A$304,0))=$D500,MATCH($W500,CASHBACK_RULES!$A$5:$A$304,0),0),0),IFERROR(MATCH(1,INDEX((CASHBACK_RULES!$B$5:$B$304=$D500)*(CASHBACK_RULES!$G$5:$G$304=$I500)*(((CASHBACK_RULES!$N$5:$N$304="")+(CASHBACK_RULES!$N$5:$N$304&lt;=$B500))&gt;0)*(((CASHBACK_RULES!$O$5:$O$304="")+(CASHBACK_RULES!$O$5:$O$304&gt;=$B500))&gt;0)*(((CASHBACK_RULES!$M$5:$M$304="")+(CASHBACK_RULES!$M$5:$M$304&lt;=$L500))&gt;0),0),0),0))))</f>
        <v>0</v>
      </c>
      <c r="AD500" s="51" t="str">
        <f>IF(OR($B500="",$D500=""),"",IFERROR(IF(INDEX(CARDS!$H$5:$H$34,MATCH($D500,CARDS!$A$5:$A$34,0))="","",IF(DAY($B500)&lt;=INDEX(CARDS!$H$5:$H$34,MATCH($D500,CARDS!$A$5:$A$34,0)),DATE(YEAR($B500),MONTH($B500),MIN(INDEX(CARDS!$H$5:$H$34,MATCH($D500,CARDS!$A$5:$A$34,0)),DAY(EOMONTH($B500,0)))),DATE(YEAR($B500),MONTH($B500)+1,MIN(INDEX(CARDS!$H$5:$H$34,MATCH($D500,CARDS!$A$5:$A$34,0)),DAY(EOMONTH($B500,1)))))),""))</f>
        <v/>
      </c>
      <c r="AE500" s="52" t="str">
        <f>IF($C500="","",$C500&amp;"|"&amp;COUNTIF($C$5:$C500,$C500))</f>
        <v/>
      </c>
      <c r="AF500" s="53">
        <f>IF($AC500&gt;0,SUMIFS(Q$4:Q499,$D$4:$D499,$D500,$Z$4:$Z499,$Z500,$C$4:$C499,$C500),0)</f>
        <v>0</v>
      </c>
      <c r="AG500" s="53">
        <f>IF($AC500&gt;0,SUMIFS(Q$4:Q499,$D$4:$D499,$D500,$C$4:$C499,$C500),0)</f>
        <v>0</v>
      </c>
      <c r="AH500" s="53">
        <f>IF($AC500&gt;0,SUMIFS(M$4:M499,$D$4:$D499,$D500,$Z$4:$Z499,$Z500,$C$4:$C499,$C500),0)</f>
        <v>0</v>
      </c>
      <c r="AI500" s="43">
        <f>IF(OR($C500="",$I500=""),0,IF(COUNTIFS($C$5:$C500,$C500,$I$5:$I500,$I500)=1,1,0))</f>
        <v>0</v>
      </c>
      <c r="AJ500" s="43" t="str">
        <f>IF($AI500=1,SUMIFS($AI$4:$AI499,$C$4:$C499,$C500)+1,"")</f>
        <v/>
      </c>
      <c r="AK500" s="43">
        <f>IF(OR($C500="",$K500=""),0,IF(COUNTIFS($C$5:$C500,$C500,$K$5:$K500,$K500)=1,1,0))</f>
        <v>0</v>
      </c>
      <c r="AL500" s="43" t="str">
        <f>IF($AK500=1,SUMIFS($AK$4:$AK499,$C$4:$C499,$C500)+1,"")</f>
        <v/>
      </c>
      <c r="AM500" s="43">
        <f>IF(OR($C500="",$G500=""),0,IF(COUNTIFS($C$5:$C500,$C500,$G$5:$G500,$G500)=1,1,0))</f>
        <v>0</v>
      </c>
      <c r="AN500" s="43" t="str">
        <f>IF($AM500=1,SUMIFS($AM$4:$AM499,$C$4:$C499,$C500)+1,"")</f>
        <v/>
      </c>
    </row>
    <row r="501">
      <c r="A501" s="44" t="str">
        <f>IF(OR($B501="",$D501=""),"","TX"&amp;TEXT(ROW()-4,"0000"))</f>
        <v/>
      </c>
      <c r="B501" s="42" t="n"/>
      <c r="C501" s="47" t="str">
        <f>IF($B501="","",YEAR($B501)*100+MONTH($B501))</f>
        <v/>
      </c>
      <c r="D501" s="37" t="n"/>
      <c r="E501" s="45" t="str">
        <f>IF($D501="","",IFERROR(INDEX(CARDS!$B$5:$B$34,MATCH($D501,CARDS!$A$5:$A$34,0)),"⚠ Card ID?"))</f>
        <v/>
      </c>
      <c r="F501" s="45" t="str">
        <f>IF($D501="","",IFERROR(INDEX(CARDS!$C$5:$C$34,MATCH($D501,CARDS!$A$5:$A$34,0)),"⚠ Card ID?"))</f>
        <v/>
      </c>
      <c r="G501" s="37" t="n"/>
      <c r="H501" s="37" t="n"/>
      <c r="I501" s="41" t="n"/>
      <c r="J501" s="45" t="str">
        <f>IF($I501="","",IFERROR(INDEX(MCC_MASTER!$B$5:$B$504,MATCH($I501,MCC_MASTER!$A$5:$A$504,0)),"⚠ MCC chưa có"))</f>
        <v/>
      </c>
      <c r="K501" s="45" t="str">
        <f>IF($I501="","",IFERROR(IF(INDEX(MCC_MASTER!$C$5:$C$504,MATCH($I501,MCC_MASTER!$A$5:$A$504,0))="","Chưa phân loại",INDEX(MCC_MASTER!$C$5:$C$504,MATCH($I501,MCC_MASTER!$A$5:$A$504,0))),"Chưa phân loại"))</f>
        <v/>
      </c>
      <c r="L501" s="40" t="n"/>
      <c r="M501" s="48" t="str">
        <f>IF(OR($B501="",$D501=""),"",IF($AC501=0,0,IF(ISNUMBER(INDEX(CASHBACK_RULES!$L$5:$L$304,$AC501)),MAX(0,MIN($L501,INDEX(CASHBACK_RULES!$L$5:$L$304,$AC501)-$AH501)),MAX(0,$L501))))</f>
        <v/>
      </c>
      <c r="N501" s="49" t="str">
        <f>IF(OR($B501="",$D501=""),"",IF($AC501&gt;0,INDEX(CASHBACK_RULES!$I$5:$I$304,$AC501),0))</f>
        <v/>
      </c>
      <c r="O501" s="48" t="str">
        <f>IF(OR($B501="",$D501=""),"",ROUND($M501*$N501,0))</f>
        <v/>
      </c>
      <c r="P501" s="48" t="str">
        <f>IF($AC501&gt;0,IF(ISNUMBER(INDEX(CASHBACK_RULES!$J$5:$J$304,$AC501)),INDEX(CASHBACK_RULES!$J$5:$J$304,$AC501),"∞"),"")</f>
        <v/>
      </c>
      <c r="Q501" s="48" t="str">
        <f>IF(OR($B501="",$D501=""),"",IF($AC501=0,0,MAX(0,MIN($O501,IF(ISNUMBER($P501),$P501-$AF501,1E+15),IF(ISNUMBER($AA501),$AA501-$AG501,1E+15)))))</f>
        <v/>
      </c>
      <c r="R501" s="48" t="str">
        <f>IF(OR($B501="",$D501=""),"",IF($AC501=0,"",IF(AND(NOT(ISNUMBER($P501)),NOT(ISNUMBER($AA501))),"∞",MAX(0,MIN(IF(ISNUMBER($P501),$P501-$AF501-$Q501,1E+15),IF(ISNUMBER($AA501),$AA501-$AG501-$Q501,1E+15))))))</f>
        <v/>
      </c>
      <c r="S501" s="47" t="str">
        <f>IF($AD501="","",YEAR($AD501)*100+MONTH($AD501))</f>
        <v/>
      </c>
      <c r="T501" s="50" t="str">
        <f>IF($AD501="","",IFERROR(IF(INDEX(CARDS!$I$5:$I$34,MATCH($D501,CARDS!$A$5:$A$34,0))="","",IF(INDEX(CARDS!$I$5:$I$34,MATCH($D501,CARDS!$A$5:$A$34,0))&gt;INDEX(CARDS!$H$5:$H$34,MATCH($D501,CARDS!$A$5:$A$34,0)),DATE(YEAR($AD501),MONTH($AD501),MIN(INDEX(CARDS!$I$5:$I$34,MATCH($D501,CARDS!$A$5:$A$34,0)),DAY(EOMONTH($AD501,0)))),DATE(YEAR($AD501),MONTH($AD501)+1,MIN(INDEX(CARDS!$I$5:$I$34,MATCH($D501,CARDS!$A$5:$A$34,0)),DAY(EOMONTH($AD501,1)))))),""))</f>
        <v/>
      </c>
      <c r="U501" s="38" t="n"/>
      <c r="V501" s="37" t="n"/>
      <c r="W501" s="38" t="n"/>
      <c r="X501" s="38" t="n"/>
      <c r="Y501" s="44" t="str">
        <f>IF($AC501&gt;0,INDEX(CASHBACK_RULES!$A$5:$A$304,$AC501),"")</f>
        <v/>
      </c>
      <c r="Z501" s="45" t="str">
        <f>IF($AC501&gt;0,INDEX(CASHBACK_RULES!$E$5:$E$304,$AC501)&amp;"","")</f>
        <v/>
      </c>
      <c r="AA501" s="48" t="str">
        <f>IF($AC501&gt;0,IF(ISNUMBER(INDEX(CASHBACK_RULES!$K$5:$K$304,$AC501)),INDEX(CASHBACK_RULES!$K$5:$K$304,$AC501),"∞"),"")</f>
        <v/>
      </c>
      <c r="AB501" s="44" t="str">
        <f>IF(OR($B501="",$D501=""),"",IF($U501="Cancelled","Đã hủy",IF($AC501=0,"Không được hoàn",IF($Q501=0,IF(OR($O501&gt;0,$M501&lt;$L501),"Đã đạt cap","Không được hoàn"),IF(OR($Q501&lt;$O501,$M501&lt;$L501),"Hoàn một phần","Được hoàn")))))</f>
        <v/>
      </c>
      <c r="AC501" s="43">
        <f>IF(OR($B501="",$D501="",$I501="",$L501=""),0,IF($U501="Cancelled",0,IF($W501&lt;&gt;"",IFERROR(IF(INDEX(CASHBACK_RULES!$B$5:$B$304,MATCH($W501,CASHBACK_RULES!$A$5:$A$304,0))=$D501,MATCH($W501,CASHBACK_RULES!$A$5:$A$304,0),0),0),IFERROR(MATCH(1,INDEX((CASHBACK_RULES!$B$5:$B$304=$D501)*(CASHBACK_RULES!$G$5:$G$304=$I501)*(((CASHBACK_RULES!$N$5:$N$304="")+(CASHBACK_RULES!$N$5:$N$304&lt;=$B501))&gt;0)*(((CASHBACK_RULES!$O$5:$O$304="")+(CASHBACK_RULES!$O$5:$O$304&gt;=$B501))&gt;0)*(((CASHBACK_RULES!$M$5:$M$304="")+(CASHBACK_RULES!$M$5:$M$304&lt;=$L501))&gt;0),0),0),0))))</f>
        <v>0</v>
      </c>
      <c r="AD501" s="51" t="str">
        <f>IF(OR($B501="",$D501=""),"",IFERROR(IF(INDEX(CARDS!$H$5:$H$34,MATCH($D501,CARDS!$A$5:$A$34,0))="","",IF(DAY($B501)&lt;=INDEX(CARDS!$H$5:$H$34,MATCH($D501,CARDS!$A$5:$A$34,0)),DATE(YEAR($B501),MONTH($B501),MIN(INDEX(CARDS!$H$5:$H$34,MATCH($D501,CARDS!$A$5:$A$34,0)),DAY(EOMONTH($B501,0)))),DATE(YEAR($B501),MONTH($B501)+1,MIN(INDEX(CARDS!$H$5:$H$34,MATCH($D501,CARDS!$A$5:$A$34,0)),DAY(EOMONTH($B501,1)))))),""))</f>
        <v/>
      </c>
      <c r="AE501" s="52" t="str">
        <f>IF($C501="","",$C501&amp;"|"&amp;COUNTIF($C$5:$C501,$C501))</f>
        <v/>
      </c>
      <c r="AF501" s="53">
        <f>IF($AC501&gt;0,SUMIFS(Q$4:Q500,$D$4:$D500,$D501,$Z$4:$Z500,$Z501,$C$4:$C500,$C501),0)</f>
        <v>0</v>
      </c>
      <c r="AG501" s="53">
        <f>IF($AC501&gt;0,SUMIFS(Q$4:Q500,$D$4:$D500,$D501,$C$4:$C500,$C501),0)</f>
        <v>0</v>
      </c>
      <c r="AH501" s="53">
        <f>IF($AC501&gt;0,SUMIFS(M$4:M500,$D$4:$D500,$D501,$Z$4:$Z500,$Z501,$C$4:$C500,$C501),0)</f>
        <v>0</v>
      </c>
      <c r="AI501" s="43">
        <f>IF(OR($C501="",$I501=""),0,IF(COUNTIFS($C$5:$C501,$C501,$I$5:$I501,$I501)=1,1,0))</f>
        <v>0</v>
      </c>
      <c r="AJ501" s="43" t="str">
        <f>IF($AI501=1,SUMIFS($AI$4:$AI500,$C$4:$C500,$C501)+1,"")</f>
        <v/>
      </c>
      <c r="AK501" s="43">
        <f>IF(OR($C501="",$K501=""),0,IF(COUNTIFS($C$5:$C501,$C501,$K$5:$K501,$K501)=1,1,0))</f>
        <v>0</v>
      </c>
      <c r="AL501" s="43" t="str">
        <f>IF($AK501=1,SUMIFS($AK$4:$AK500,$C$4:$C500,$C501)+1,"")</f>
        <v/>
      </c>
      <c r="AM501" s="43">
        <f>IF(OR($C501="",$G501=""),0,IF(COUNTIFS($C$5:$C501,$C501,$G$5:$G501,$G501)=1,1,0))</f>
        <v>0</v>
      </c>
      <c r="AN501" s="43" t="str">
        <f>IF($AM501=1,SUMIFS($AM$4:$AM500,$C$4:$C500,$C501)+1,"")</f>
        <v/>
      </c>
    </row>
    <row r="502">
      <c r="A502" s="44" t="str">
        <f>IF(OR($B502="",$D502=""),"","TX"&amp;TEXT(ROW()-4,"0000"))</f>
        <v/>
      </c>
      <c r="B502" s="42" t="n"/>
      <c r="C502" s="47" t="str">
        <f>IF($B502="","",YEAR($B502)*100+MONTH($B502))</f>
        <v/>
      </c>
      <c r="D502" s="37" t="n"/>
      <c r="E502" s="45" t="str">
        <f>IF($D502="","",IFERROR(INDEX(CARDS!$B$5:$B$34,MATCH($D502,CARDS!$A$5:$A$34,0)),"⚠ Card ID?"))</f>
        <v/>
      </c>
      <c r="F502" s="45" t="str">
        <f>IF($D502="","",IFERROR(INDEX(CARDS!$C$5:$C$34,MATCH($D502,CARDS!$A$5:$A$34,0)),"⚠ Card ID?"))</f>
        <v/>
      </c>
      <c r="G502" s="37" t="n"/>
      <c r="H502" s="37" t="n"/>
      <c r="I502" s="41" t="n"/>
      <c r="J502" s="45" t="str">
        <f>IF($I502="","",IFERROR(INDEX(MCC_MASTER!$B$5:$B$504,MATCH($I502,MCC_MASTER!$A$5:$A$504,0)),"⚠ MCC chưa có"))</f>
        <v/>
      </c>
      <c r="K502" s="45" t="str">
        <f>IF($I502="","",IFERROR(IF(INDEX(MCC_MASTER!$C$5:$C$504,MATCH($I502,MCC_MASTER!$A$5:$A$504,0))="","Chưa phân loại",INDEX(MCC_MASTER!$C$5:$C$504,MATCH($I502,MCC_MASTER!$A$5:$A$504,0))),"Chưa phân loại"))</f>
        <v/>
      </c>
      <c r="L502" s="40" t="n"/>
      <c r="M502" s="48" t="str">
        <f>IF(OR($B502="",$D502=""),"",IF($AC502=0,0,IF(ISNUMBER(INDEX(CASHBACK_RULES!$L$5:$L$304,$AC502)),MAX(0,MIN($L502,INDEX(CASHBACK_RULES!$L$5:$L$304,$AC502)-$AH502)),MAX(0,$L502))))</f>
        <v/>
      </c>
      <c r="N502" s="49" t="str">
        <f>IF(OR($B502="",$D502=""),"",IF($AC502&gt;0,INDEX(CASHBACK_RULES!$I$5:$I$304,$AC502),0))</f>
        <v/>
      </c>
      <c r="O502" s="48" t="str">
        <f>IF(OR($B502="",$D502=""),"",ROUND($M502*$N502,0))</f>
        <v/>
      </c>
      <c r="P502" s="48" t="str">
        <f>IF($AC502&gt;0,IF(ISNUMBER(INDEX(CASHBACK_RULES!$J$5:$J$304,$AC502)),INDEX(CASHBACK_RULES!$J$5:$J$304,$AC502),"∞"),"")</f>
        <v/>
      </c>
      <c r="Q502" s="48" t="str">
        <f>IF(OR($B502="",$D502=""),"",IF($AC502=0,0,MAX(0,MIN($O502,IF(ISNUMBER($P502),$P502-$AF502,1E+15),IF(ISNUMBER($AA502),$AA502-$AG502,1E+15)))))</f>
        <v/>
      </c>
      <c r="R502" s="48" t="str">
        <f>IF(OR($B502="",$D502=""),"",IF($AC502=0,"",IF(AND(NOT(ISNUMBER($P502)),NOT(ISNUMBER($AA502))),"∞",MAX(0,MIN(IF(ISNUMBER($P502),$P502-$AF502-$Q502,1E+15),IF(ISNUMBER($AA502),$AA502-$AG502-$Q502,1E+15))))))</f>
        <v/>
      </c>
      <c r="S502" s="47" t="str">
        <f>IF($AD502="","",YEAR($AD502)*100+MONTH($AD502))</f>
        <v/>
      </c>
      <c r="T502" s="50" t="str">
        <f>IF($AD502="","",IFERROR(IF(INDEX(CARDS!$I$5:$I$34,MATCH($D502,CARDS!$A$5:$A$34,0))="","",IF(INDEX(CARDS!$I$5:$I$34,MATCH($D502,CARDS!$A$5:$A$34,0))&gt;INDEX(CARDS!$H$5:$H$34,MATCH($D502,CARDS!$A$5:$A$34,0)),DATE(YEAR($AD502),MONTH($AD502),MIN(INDEX(CARDS!$I$5:$I$34,MATCH($D502,CARDS!$A$5:$A$34,0)),DAY(EOMONTH($AD502,0)))),DATE(YEAR($AD502),MONTH($AD502)+1,MIN(INDEX(CARDS!$I$5:$I$34,MATCH($D502,CARDS!$A$5:$A$34,0)),DAY(EOMONTH($AD502,1)))))),""))</f>
        <v/>
      </c>
      <c r="U502" s="38" t="n"/>
      <c r="V502" s="37" t="n"/>
      <c r="W502" s="38" t="n"/>
      <c r="X502" s="38" t="n"/>
      <c r="Y502" s="44" t="str">
        <f>IF($AC502&gt;0,INDEX(CASHBACK_RULES!$A$5:$A$304,$AC502),"")</f>
        <v/>
      </c>
      <c r="Z502" s="45" t="str">
        <f>IF($AC502&gt;0,INDEX(CASHBACK_RULES!$E$5:$E$304,$AC502)&amp;"","")</f>
        <v/>
      </c>
      <c r="AA502" s="48" t="str">
        <f>IF($AC502&gt;0,IF(ISNUMBER(INDEX(CASHBACK_RULES!$K$5:$K$304,$AC502)),INDEX(CASHBACK_RULES!$K$5:$K$304,$AC502),"∞"),"")</f>
        <v/>
      </c>
      <c r="AB502" s="44" t="str">
        <f>IF(OR($B502="",$D502=""),"",IF($U502="Cancelled","Đã hủy",IF($AC502=0,"Không được hoàn",IF($Q502=0,IF(OR($O502&gt;0,$M502&lt;$L502),"Đã đạt cap","Không được hoàn"),IF(OR($Q502&lt;$O502,$M502&lt;$L502),"Hoàn một phần","Được hoàn")))))</f>
        <v/>
      </c>
      <c r="AC502" s="43">
        <f>IF(OR($B502="",$D502="",$I502="",$L502=""),0,IF($U502="Cancelled",0,IF($W502&lt;&gt;"",IFERROR(IF(INDEX(CASHBACK_RULES!$B$5:$B$304,MATCH($W502,CASHBACK_RULES!$A$5:$A$304,0))=$D502,MATCH($W502,CASHBACK_RULES!$A$5:$A$304,0),0),0),IFERROR(MATCH(1,INDEX((CASHBACK_RULES!$B$5:$B$304=$D502)*(CASHBACK_RULES!$G$5:$G$304=$I502)*(((CASHBACK_RULES!$N$5:$N$304="")+(CASHBACK_RULES!$N$5:$N$304&lt;=$B502))&gt;0)*(((CASHBACK_RULES!$O$5:$O$304="")+(CASHBACK_RULES!$O$5:$O$304&gt;=$B502))&gt;0)*(((CASHBACK_RULES!$M$5:$M$304="")+(CASHBACK_RULES!$M$5:$M$304&lt;=$L502))&gt;0),0),0),0))))</f>
        <v>0</v>
      </c>
      <c r="AD502" s="51" t="str">
        <f>IF(OR($B502="",$D502=""),"",IFERROR(IF(INDEX(CARDS!$H$5:$H$34,MATCH($D502,CARDS!$A$5:$A$34,0))="","",IF(DAY($B502)&lt;=INDEX(CARDS!$H$5:$H$34,MATCH($D502,CARDS!$A$5:$A$34,0)),DATE(YEAR($B502),MONTH($B502),MIN(INDEX(CARDS!$H$5:$H$34,MATCH($D502,CARDS!$A$5:$A$34,0)),DAY(EOMONTH($B502,0)))),DATE(YEAR($B502),MONTH($B502)+1,MIN(INDEX(CARDS!$H$5:$H$34,MATCH($D502,CARDS!$A$5:$A$34,0)),DAY(EOMONTH($B502,1)))))),""))</f>
        <v/>
      </c>
      <c r="AE502" s="52" t="str">
        <f>IF($C502="","",$C502&amp;"|"&amp;COUNTIF($C$5:$C502,$C502))</f>
        <v/>
      </c>
      <c r="AF502" s="53">
        <f>IF($AC502&gt;0,SUMIFS(Q$4:Q501,$D$4:$D501,$D502,$Z$4:$Z501,$Z502,$C$4:$C501,$C502),0)</f>
        <v>0</v>
      </c>
      <c r="AG502" s="53">
        <f>IF($AC502&gt;0,SUMIFS(Q$4:Q501,$D$4:$D501,$D502,$C$4:$C501,$C502),0)</f>
        <v>0</v>
      </c>
      <c r="AH502" s="53">
        <f>IF($AC502&gt;0,SUMIFS(M$4:M501,$D$4:$D501,$D502,$Z$4:$Z501,$Z502,$C$4:$C501,$C502),0)</f>
        <v>0</v>
      </c>
      <c r="AI502" s="43">
        <f>IF(OR($C502="",$I502=""),0,IF(COUNTIFS($C$5:$C502,$C502,$I$5:$I502,$I502)=1,1,0))</f>
        <v>0</v>
      </c>
      <c r="AJ502" s="43" t="str">
        <f>IF($AI502=1,SUMIFS($AI$4:$AI501,$C$4:$C501,$C502)+1,"")</f>
        <v/>
      </c>
      <c r="AK502" s="43">
        <f>IF(OR($C502="",$K502=""),0,IF(COUNTIFS($C$5:$C502,$C502,$K$5:$K502,$K502)=1,1,0))</f>
        <v>0</v>
      </c>
      <c r="AL502" s="43" t="str">
        <f>IF($AK502=1,SUMIFS($AK$4:$AK501,$C$4:$C501,$C502)+1,"")</f>
        <v/>
      </c>
      <c r="AM502" s="43">
        <f>IF(OR($C502="",$G502=""),0,IF(COUNTIFS($C$5:$C502,$C502,$G$5:$G502,$G502)=1,1,0))</f>
        <v>0</v>
      </c>
      <c r="AN502" s="43" t="str">
        <f>IF($AM502=1,SUMIFS($AM$4:$AM501,$C$4:$C501,$C502)+1,"")</f>
        <v/>
      </c>
    </row>
    <row r="503">
      <c r="A503" s="44" t="str">
        <f>IF(OR($B503="",$D503=""),"","TX"&amp;TEXT(ROW()-4,"0000"))</f>
        <v/>
      </c>
      <c r="B503" s="42" t="n"/>
      <c r="C503" s="47" t="str">
        <f>IF($B503="","",YEAR($B503)*100+MONTH($B503))</f>
        <v/>
      </c>
      <c r="D503" s="37" t="n"/>
      <c r="E503" s="45" t="str">
        <f>IF($D503="","",IFERROR(INDEX(CARDS!$B$5:$B$34,MATCH($D503,CARDS!$A$5:$A$34,0)),"⚠ Card ID?"))</f>
        <v/>
      </c>
      <c r="F503" s="45" t="str">
        <f>IF($D503="","",IFERROR(INDEX(CARDS!$C$5:$C$34,MATCH($D503,CARDS!$A$5:$A$34,0)),"⚠ Card ID?"))</f>
        <v/>
      </c>
      <c r="G503" s="37" t="n"/>
      <c r="H503" s="37" t="n"/>
      <c r="I503" s="41" t="n"/>
      <c r="J503" s="45" t="str">
        <f>IF($I503="","",IFERROR(INDEX(MCC_MASTER!$B$5:$B$504,MATCH($I503,MCC_MASTER!$A$5:$A$504,0)),"⚠ MCC chưa có"))</f>
        <v/>
      </c>
      <c r="K503" s="45" t="str">
        <f>IF($I503="","",IFERROR(IF(INDEX(MCC_MASTER!$C$5:$C$504,MATCH($I503,MCC_MASTER!$A$5:$A$504,0))="","Chưa phân loại",INDEX(MCC_MASTER!$C$5:$C$504,MATCH($I503,MCC_MASTER!$A$5:$A$504,0))),"Chưa phân loại"))</f>
        <v/>
      </c>
      <c r="L503" s="40" t="n"/>
      <c r="M503" s="48" t="str">
        <f>IF(OR($B503="",$D503=""),"",IF($AC503=0,0,IF(ISNUMBER(INDEX(CASHBACK_RULES!$L$5:$L$304,$AC503)),MAX(0,MIN($L503,INDEX(CASHBACK_RULES!$L$5:$L$304,$AC503)-$AH503)),MAX(0,$L503))))</f>
        <v/>
      </c>
      <c r="N503" s="49" t="str">
        <f>IF(OR($B503="",$D503=""),"",IF($AC503&gt;0,INDEX(CASHBACK_RULES!$I$5:$I$304,$AC503),0))</f>
        <v/>
      </c>
      <c r="O503" s="48" t="str">
        <f>IF(OR($B503="",$D503=""),"",ROUND($M503*$N503,0))</f>
        <v/>
      </c>
      <c r="P503" s="48" t="str">
        <f>IF($AC503&gt;0,IF(ISNUMBER(INDEX(CASHBACK_RULES!$J$5:$J$304,$AC503)),INDEX(CASHBACK_RULES!$J$5:$J$304,$AC503),"∞"),"")</f>
        <v/>
      </c>
      <c r="Q503" s="48" t="str">
        <f>IF(OR($B503="",$D503=""),"",IF($AC503=0,0,MAX(0,MIN($O503,IF(ISNUMBER($P503),$P503-$AF503,1E+15),IF(ISNUMBER($AA503),$AA503-$AG503,1E+15)))))</f>
        <v/>
      </c>
      <c r="R503" s="48" t="str">
        <f>IF(OR($B503="",$D503=""),"",IF($AC503=0,"",IF(AND(NOT(ISNUMBER($P503)),NOT(ISNUMBER($AA503))),"∞",MAX(0,MIN(IF(ISNUMBER($P503),$P503-$AF503-$Q503,1E+15),IF(ISNUMBER($AA503),$AA503-$AG503-$Q503,1E+15))))))</f>
        <v/>
      </c>
      <c r="S503" s="47" t="str">
        <f>IF($AD503="","",YEAR($AD503)*100+MONTH($AD503))</f>
        <v/>
      </c>
      <c r="T503" s="50" t="str">
        <f>IF($AD503="","",IFERROR(IF(INDEX(CARDS!$I$5:$I$34,MATCH($D503,CARDS!$A$5:$A$34,0))="","",IF(INDEX(CARDS!$I$5:$I$34,MATCH($D503,CARDS!$A$5:$A$34,0))&gt;INDEX(CARDS!$H$5:$H$34,MATCH($D503,CARDS!$A$5:$A$34,0)),DATE(YEAR($AD503),MONTH($AD503),MIN(INDEX(CARDS!$I$5:$I$34,MATCH($D503,CARDS!$A$5:$A$34,0)),DAY(EOMONTH($AD503,0)))),DATE(YEAR($AD503),MONTH($AD503)+1,MIN(INDEX(CARDS!$I$5:$I$34,MATCH($D503,CARDS!$A$5:$A$34,0)),DAY(EOMONTH($AD503,1)))))),""))</f>
        <v/>
      </c>
      <c r="U503" s="38" t="n"/>
      <c r="V503" s="37" t="n"/>
      <c r="W503" s="38" t="n"/>
      <c r="X503" s="38" t="n"/>
      <c r="Y503" s="44" t="str">
        <f>IF($AC503&gt;0,INDEX(CASHBACK_RULES!$A$5:$A$304,$AC503),"")</f>
        <v/>
      </c>
      <c r="Z503" s="45" t="str">
        <f>IF($AC503&gt;0,INDEX(CASHBACK_RULES!$E$5:$E$304,$AC503)&amp;"","")</f>
        <v/>
      </c>
      <c r="AA503" s="48" t="str">
        <f>IF($AC503&gt;0,IF(ISNUMBER(INDEX(CASHBACK_RULES!$K$5:$K$304,$AC503)),INDEX(CASHBACK_RULES!$K$5:$K$304,$AC503),"∞"),"")</f>
        <v/>
      </c>
      <c r="AB503" s="44" t="str">
        <f>IF(OR($B503="",$D503=""),"",IF($U503="Cancelled","Đã hủy",IF($AC503=0,"Không được hoàn",IF($Q503=0,IF(OR($O503&gt;0,$M503&lt;$L503),"Đã đạt cap","Không được hoàn"),IF(OR($Q503&lt;$O503,$M503&lt;$L503),"Hoàn một phần","Được hoàn")))))</f>
        <v/>
      </c>
      <c r="AC503" s="43">
        <f>IF(OR($B503="",$D503="",$I503="",$L503=""),0,IF($U503="Cancelled",0,IF($W503&lt;&gt;"",IFERROR(IF(INDEX(CASHBACK_RULES!$B$5:$B$304,MATCH($W503,CASHBACK_RULES!$A$5:$A$304,0))=$D503,MATCH($W503,CASHBACK_RULES!$A$5:$A$304,0),0),0),IFERROR(MATCH(1,INDEX((CASHBACK_RULES!$B$5:$B$304=$D503)*(CASHBACK_RULES!$G$5:$G$304=$I503)*(((CASHBACK_RULES!$N$5:$N$304="")+(CASHBACK_RULES!$N$5:$N$304&lt;=$B503))&gt;0)*(((CASHBACK_RULES!$O$5:$O$304="")+(CASHBACK_RULES!$O$5:$O$304&gt;=$B503))&gt;0)*(((CASHBACK_RULES!$M$5:$M$304="")+(CASHBACK_RULES!$M$5:$M$304&lt;=$L503))&gt;0),0),0),0))))</f>
        <v>0</v>
      </c>
      <c r="AD503" s="51" t="str">
        <f>IF(OR($B503="",$D503=""),"",IFERROR(IF(INDEX(CARDS!$H$5:$H$34,MATCH($D503,CARDS!$A$5:$A$34,0))="","",IF(DAY($B503)&lt;=INDEX(CARDS!$H$5:$H$34,MATCH($D503,CARDS!$A$5:$A$34,0)),DATE(YEAR($B503),MONTH($B503),MIN(INDEX(CARDS!$H$5:$H$34,MATCH($D503,CARDS!$A$5:$A$34,0)),DAY(EOMONTH($B503,0)))),DATE(YEAR($B503),MONTH($B503)+1,MIN(INDEX(CARDS!$H$5:$H$34,MATCH($D503,CARDS!$A$5:$A$34,0)),DAY(EOMONTH($B503,1)))))),""))</f>
        <v/>
      </c>
      <c r="AE503" s="52" t="str">
        <f>IF($C503="","",$C503&amp;"|"&amp;COUNTIF($C$5:$C503,$C503))</f>
        <v/>
      </c>
      <c r="AF503" s="53">
        <f>IF($AC503&gt;0,SUMIFS(Q$4:Q502,$D$4:$D502,$D503,$Z$4:$Z502,$Z503,$C$4:$C502,$C503),0)</f>
        <v>0</v>
      </c>
      <c r="AG503" s="53">
        <f>IF($AC503&gt;0,SUMIFS(Q$4:Q502,$D$4:$D502,$D503,$C$4:$C502,$C503),0)</f>
        <v>0</v>
      </c>
      <c r="AH503" s="53">
        <f>IF($AC503&gt;0,SUMIFS(M$4:M502,$D$4:$D502,$D503,$Z$4:$Z502,$Z503,$C$4:$C502,$C503),0)</f>
        <v>0</v>
      </c>
      <c r="AI503" s="43">
        <f>IF(OR($C503="",$I503=""),0,IF(COUNTIFS($C$5:$C503,$C503,$I$5:$I503,$I503)=1,1,0))</f>
        <v>0</v>
      </c>
      <c r="AJ503" s="43" t="str">
        <f>IF($AI503=1,SUMIFS($AI$4:$AI502,$C$4:$C502,$C503)+1,"")</f>
        <v/>
      </c>
      <c r="AK503" s="43">
        <f>IF(OR($C503="",$K503=""),0,IF(COUNTIFS($C$5:$C503,$C503,$K$5:$K503,$K503)=1,1,0))</f>
        <v>0</v>
      </c>
      <c r="AL503" s="43" t="str">
        <f>IF($AK503=1,SUMIFS($AK$4:$AK502,$C$4:$C502,$C503)+1,"")</f>
        <v/>
      </c>
      <c r="AM503" s="43">
        <f>IF(OR($C503="",$G503=""),0,IF(COUNTIFS($C$5:$C503,$C503,$G$5:$G503,$G503)=1,1,0))</f>
        <v>0</v>
      </c>
      <c r="AN503" s="43" t="str">
        <f>IF($AM503=1,SUMIFS($AM$4:$AM502,$C$4:$C502,$C503)+1,"")</f>
        <v/>
      </c>
    </row>
    <row r="504">
      <c r="A504" s="44" t="str">
        <f>IF(OR($B504="",$D504=""),"","TX"&amp;TEXT(ROW()-4,"0000"))</f>
        <v/>
      </c>
      <c r="B504" s="42" t="n"/>
      <c r="C504" s="47" t="str">
        <f>IF($B504="","",YEAR($B504)*100+MONTH($B504))</f>
        <v/>
      </c>
      <c r="D504" s="37" t="n"/>
      <c r="E504" s="45" t="str">
        <f>IF($D504="","",IFERROR(INDEX(CARDS!$B$5:$B$34,MATCH($D504,CARDS!$A$5:$A$34,0)),"⚠ Card ID?"))</f>
        <v/>
      </c>
      <c r="F504" s="45" t="str">
        <f>IF($D504="","",IFERROR(INDEX(CARDS!$C$5:$C$34,MATCH($D504,CARDS!$A$5:$A$34,0)),"⚠ Card ID?"))</f>
        <v/>
      </c>
      <c r="G504" s="37" t="n"/>
      <c r="H504" s="37" t="n"/>
      <c r="I504" s="41" t="n"/>
      <c r="J504" s="45" t="str">
        <f>IF($I504="","",IFERROR(INDEX(MCC_MASTER!$B$5:$B$504,MATCH($I504,MCC_MASTER!$A$5:$A$504,0)),"⚠ MCC chưa có"))</f>
        <v/>
      </c>
      <c r="K504" s="45" t="str">
        <f>IF($I504="","",IFERROR(IF(INDEX(MCC_MASTER!$C$5:$C$504,MATCH($I504,MCC_MASTER!$A$5:$A$504,0))="","Chưa phân loại",INDEX(MCC_MASTER!$C$5:$C$504,MATCH($I504,MCC_MASTER!$A$5:$A$504,0))),"Chưa phân loại"))</f>
        <v/>
      </c>
      <c r="L504" s="40" t="n"/>
      <c r="M504" s="48" t="str">
        <f>IF(OR($B504="",$D504=""),"",IF($AC504=0,0,IF(ISNUMBER(INDEX(CASHBACK_RULES!$L$5:$L$304,$AC504)),MAX(0,MIN($L504,INDEX(CASHBACK_RULES!$L$5:$L$304,$AC504)-$AH504)),MAX(0,$L504))))</f>
        <v/>
      </c>
      <c r="N504" s="49" t="str">
        <f>IF(OR($B504="",$D504=""),"",IF($AC504&gt;0,INDEX(CASHBACK_RULES!$I$5:$I$304,$AC504),0))</f>
        <v/>
      </c>
      <c r="O504" s="48" t="str">
        <f>IF(OR($B504="",$D504=""),"",ROUND($M504*$N504,0))</f>
        <v/>
      </c>
      <c r="P504" s="48" t="str">
        <f>IF($AC504&gt;0,IF(ISNUMBER(INDEX(CASHBACK_RULES!$J$5:$J$304,$AC504)),INDEX(CASHBACK_RULES!$J$5:$J$304,$AC504),"∞"),"")</f>
        <v/>
      </c>
      <c r="Q504" s="48" t="str">
        <f>IF(OR($B504="",$D504=""),"",IF($AC504=0,0,MAX(0,MIN($O504,IF(ISNUMBER($P504),$P504-$AF504,1E+15),IF(ISNUMBER($AA504),$AA504-$AG504,1E+15)))))</f>
        <v/>
      </c>
      <c r="R504" s="48" t="str">
        <f>IF(OR($B504="",$D504=""),"",IF($AC504=0,"",IF(AND(NOT(ISNUMBER($P504)),NOT(ISNUMBER($AA504))),"∞",MAX(0,MIN(IF(ISNUMBER($P504),$P504-$AF504-$Q504,1E+15),IF(ISNUMBER($AA504),$AA504-$AG504-$Q504,1E+15))))))</f>
        <v/>
      </c>
      <c r="S504" s="47" t="str">
        <f>IF($AD504="","",YEAR($AD504)*100+MONTH($AD504))</f>
        <v/>
      </c>
      <c r="T504" s="50" t="str">
        <f>IF($AD504="","",IFERROR(IF(INDEX(CARDS!$I$5:$I$34,MATCH($D504,CARDS!$A$5:$A$34,0))="","",IF(INDEX(CARDS!$I$5:$I$34,MATCH($D504,CARDS!$A$5:$A$34,0))&gt;INDEX(CARDS!$H$5:$H$34,MATCH($D504,CARDS!$A$5:$A$34,0)),DATE(YEAR($AD504),MONTH($AD504),MIN(INDEX(CARDS!$I$5:$I$34,MATCH($D504,CARDS!$A$5:$A$34,0)),DAY(EOMONTH($AD504,0)))),DATE(YEAR($AD504),MONTH($AD504)+1,MIN(INDEX(CARDS!$I$5:$I$34,MATCH($D504,CARDS!$A$5:$A$34,0)),DAY(EOMONTH($AD504,1)))))),""))</f>
        <v/>
      </c>
      <c r="U504" s="38" t="n"/>
      <c r="V504" s="37" t="n"/>
      <c r="W504" s="38" t="n"/>
      <c r="X504" s="38" t="n"/>
      <c r="Y504" s="44" t="str">
        <f>IF($AC504&gt;0,INDEX(CASHBACK_RULES!$A$5:$A$304,$AC504),"")</f>
        <v/>
      </c>
      <c r="Z504" s="45" t="str">
        <f>IF($AC504&gt;0,INDEX(CASHBACK_RULES!$E$5:$E$304,$AC504)&amp;"","")</f>
        <v/>
      </c>
      <c r="AA504" s="48" t="str">
        <f>IF($AC504&gt;0,IF(ISNUMBER(INDEX(CASHBACK_RULES!$K$5:$K$304,$AC504)),INDEX(CASHBACK_RULES!$K$5:$K$304,$AC504),"∞"),"")</f>
        <v/>
      </c>
      <c r="AB504" s="44" t="str">
        <f>IF(OR($B504="",$D504=""),"",IF($U504="Cancelled","Đã hủy",IF($AC504=0,"Không được hoàn",IF($Q504=0,IF(OR($O504&gt;0,$M504&lt;$L504),"Đã đạt cap","Không được hoàn"),IF(OR($Q504&lt;$O504,$M504&lt;$L504),"Hoàn một phần","Được hoàn")))))</f>
        <v/>
      </c>
      <c r="AC504" s="43">
        <f>IF(OR($B504="",$D504="",$I504="",$L504=""),0,IF($U504="Cancelled",0,IF($W504&lt;&gt;"",IFERROR(IF(INDEX(CASHBACK_RULES!$B$5:$B$304,MATCH($W504,CASHBACK_RULES!$A$5:$A$304,0))=$D504,MATCH($W504,CASHBACK_RULES!$A$5:$A$304,0),0),0),IFERROR(MATCH(1,INDEX((CASHBACK_RULES!$B$5:$B$304=$D504)*(CASHBACK_RULES!$G$5:$G$304=$I504)*(((CASHBACK_RULES!$N$5:$N$304="")+(CASHBACK_RULES!$N$5:$N$304&lt;=$B504))&gt;0)*(((CASHBACK_RULES!$O$5:$O$304="")+(CASHBACK_RULES!$O$5:$O$304&gt;=$B504))&gt;0)*(((CASHBACK_RULES!$M$5:$M$304="")+(CASHBACK_RULES!$M$5:$M$304&lt;=$L504))&gt;0),0),0),0))))</f>
        <v>0</v>
      </c>
      <c r="AD504" s="51" t="str">
        <f>IF(OR($B504="",$D504=""),"",IFERROR(IF(INDEX(CARDS!$H$5:$H$34,MATCH($D504,CARDS!$A$5:$A$34,0))="","",IF(DAY($B504)&lt;=INDEX(CARDS!$H$5:$H$34,MATCH($D504,CARDS!$A$5:$A$34,0)),DATE(YEAR($B504),MONTH($B504),MIN(INDEX(CARDS!$H$5:$H$34,MATCH($D504,CARDS!$A$5:$A$34,0)),DAY(EOMONTH($B504,0)))),DATE(YEAR($B504),MONTH($B504)+1,MIN(INDEX(CARDS!$H$5:$H$34,MATCH($D504,CARDS!$A$5:$A$34,0)),DAY(EOMONTH($B504,1)))))),""))</f>
        <v/>
      </c>
      <c r="AE504" s="52" t="str">
        <f>IF($C504="","",$C504&amp;"|"&amp;COUNTIF($C$5:$C504,$C504))</f>
        <v/>
      </c>
      <c r="AF504" s="53">
        <f>IF($AC504&gt;0,SUMIFS(Q$4:Q503,$D$4:$D503,$D504,$Z$4:$Z503,$Z504,$C$4:$C503,$C504),0)</f>
        <v>0</v>
      </c>
      <c r="AG504" s="53">
        <f>IF($AC504&gt;0,SUMIFS(Q$4:Q503,$D$4:$D503,$D504,$C$4:$C503,$C504),0)</f>
        <v>0</v>
      </c>
      <c r="AH504" s="53">
        <f>IF($AC504&gt;0,SUMIFS(M$4:M503,$D$4:$D503,$D504,$Z$4:$Z503,$Z504,$C$4:$C503,$C504),0)</f>
        <v>0</v>
      </c>
      <c r="AI504" s="43">
        <f>IF(OR($C504="",$I504=""),0,IF(COUNTIFS($C$5:$C504,$C504,$I$5:$I504,$I504)=1,1,0))</f>
        <v>0</v>
      </c>
      <c r="AJ504" s="43" t="str">
        <f>IF($AI504=1,SUMIFS($AI$4:$AI503,$C$4:$C503,$C504)+1,"")</f>
        <v/>
      </c>
      <c r="AK504" s="43">
        <f>IF(OR($C504="",$K504=""),0,IF(COUNTIFS($C$5:$C504,$C504,$K$5:$K504,$K504)=1,1,0))</f>
        <v>0</v>
      </c>
      <c r="AL504" s="43" t="str">
        <f>IF($AK504=1,SUMIFS($AK$4:$AK503,$C$4:$C503,$C504)+1,"")</f>
        <v/>
      </c>
      <c r="AM504" s="43">
        <f>IF(OR($C504="",$G504=""),0,IF(COUNTIFS($C$5:$C504,$C504,$G$5:$G504,$G504)=1,1,0))</f>
        <v>0</v>
      </c>
      <c r="AN504" s="43" t="str">
        <f>IF($AM504=1,SUMIFS($AM$4:$AM503,$C$4:$C503,$C504)+1,"")</f>
        <v/>
      </c>
    </row>
    <row r="505">
      <c r="A505" s="44" t="str">
        <f>IF(OR($B505="",$D505=""),"","TX"&amp;TEXT(ROW()-4,"0000"))</f>
        <v/>
      </c>
      <c r="B505" s="42" t="n"/>
      <c r="C505" s="47" t="str">
        <f>IF($B505="","",YEAR($B505)*100+MONTH($B505))</f>
        <v/>
      </c>
      <c r="D505" s="37" t="n"/>
      <c r="E505" s="45" t="str">
        <f>IF($D505="","",IFERROR(INDEX(CARDS!$B$5:$B$34,MATCH($D505,CARDS!$A$5:$A$34,0)),"⚠ Card ID?"))</f>
        <v/>
      </c>
      <c r="F505" s="45" t="str">
        <f>IF($D505="","",IFERROR(INDEX(CARDS!$C$5:$C$34,MATCH($D505,CARDS!$A$5:$A$34,0)),"⚠ Card ID?"))</f>
        <v/>
      </c>
      <c r="G505" s="37" t="n"/>
      <c r="H505" s="37" t="n"/>
      <c r="I505" s="41" t="n"/>
      <c r="J505" s="45" t="str">
        <f>IF($I505="","",IFERROR(INDEX(MCC_MASTER!$B$5:$B$504,MATCH($I505,MCC_MASTER!$A$5:$A$504,0)),"⚠ MCC chưa có"))</f>
        <v/>
      </c>
      <c r="K505" s="45" t="str">
        <f>IF($I505="","",IFERROR(IF(INDEX(MCC_MASTER!$C$5:$C$504,MATCH($I505,MCC_MASTER!$A$5:$A$504,0))="","Chưa phân loại",INDEX(MCC_MASTER!$C$5:$C$504,MATCH($I505,MCC_MASTER!$A$5:$A$504,0))),"Chưa phân loại"))</f>
        <v/>
      </c>
      <c r="L505" s="40" t="n"/>
      <c r="M505" s="48" t="str">
        <f>IF(OR($B505="",$D505=""),"",IF($AC505=0,0,IF(ISNUMBER(INDEX(CASHBACK_RULES!$L$5:$L$304,$AC505)),MAX(0,MIN($L505,INDEX(CASHBACK_RULES!$L$5:$L$304,$AC505)-$AH505)),MAX(0,$L505))))</f>
        <v/>
      </c>
      <c r="N505" s="49" t="str">
        <f>IF(OR($B505="",$D505=""),"",IF($AC505&gt;0,INDEX(CASHBACK_RULES!$I$5:$I$304,$AC505),0))</f>
        <v/>
      </c>
      <c r="O505" s="48" t="str">
        <f>IF(OR($B505="",$D505=""),"",ROUND($M505*$N505,0))</f>
        <v/>
      </c>
      <c r="P505" s="48" t="str">
        <f>IF($AC505&gt;0,IF(ISNUMBER(INDEX(CASHBACK_RULES!$J$5:$J$304,$AC505)),INDEX(CASHBACK_RULES!$J$5:$J$304,$AC505),"∞"),"")</f>
        <v/>
      </c>
      <c r="Q505" s="48" t="str">
        <f>IF(OR($B505="",$D505=""),"",IF($AC505=0,0,MAX(0,MIN($O505,IF(ISNUMBER($P505),$P505-$AF505,1E+15),IF(ISNUMBER($AA505),$AA505-$AG505,1E+15)))))</f>
        <v/>
      </c>
      <c r="R505" s="48" t="str">
        <f>IF(OR($B505="",$D505=""),"",IF($AC505=0,"",IF(AND(NOT(ISNUMBER($P505)),NOT(ISNUMBER($AA505))),"∞",MAX(0,MIN(IF(ISNUMBER($P505),$P505-$AF505-$Q505,1E+15),IF(ISNUMBER($AA505),$AA505-$AG505-$Q505,1E+15))))))</f>
        <v/>
      </c>
      <c r="S505" s="47" t="str">
        <f>IF($AD505="","",YEAR($AD505)*100+MONTH($AD505))</f>
        <v/>
      </c>
      <c r="T505" s="50" t="str">
        <f>IF($AD505="","",IFERROR(IF(INDEX(CARDS!$I$5:$I$34,MATCH($D505,CARDS!$A$5:$A$34,0))="","",IF(INDEX(CARDS!$I$5:$I$34,MATCH($D505,CARDS!$A$5:$A$34,0))&gt;INDEX(CARDS!$H$5:$H$34,MATCH($D505,CARDS!$A$5:$A$34,0)),DATE(YEAR($AD505),MONTH($AD505),MIN(INDEX(CARDS!$I$5:$I$34,MATCH($D505,CARDS!$A$5:$A$34,0)),DAY(EOMONTH($AD505,0)))),DATE(YEAR($AD505),MONTH($AD505)+1,MIN(INDEX(CARDS!$I$5:$I$34,MATCH($D505,CARDS!$A$5:$A$34,0)),DAY(EOMONTH($AD505,1)))))),""))</f>
        <v/>
      </c>
      <c r="U505" s="38" t="n"/>
      <c r="V505" s="37" t="n"/>
      <c r="W505" s="38" t="n"/>
      <c r="X505" s="38" t="n"/>
      <c r="Y505" s="44" t="str">
        <f>IF($AC505&gt;0,INDEX(CASHBACK_RULES!$A$5:$A$304,$AC505),"")</f>
        <v/>
      </c>
      <c r="Z505" s="45" t="str">
        <f>IF($AC505&gt;0,INDEX(CASHBACK_RULES!$E$5:$E$304,$AC505)&amp;"","")</f>
        <v/>
      </c>
      <c r="AA505" s="48" t="str">
        <f>IF($AC505&gt;0,IF(ISNUMBER(INDEX(CASHBACK_RULES!$K$5:$K$304,$AC505)),INDEX(CASHBACK_RULES!$K$5:$K$304,$AC505),"∞"),"")</f>
        <v/>
      </c>
      <c r="AB505" s="44" t="str">
        <f>IF(OR($B505="",$D505=""),"",IF($U505="Cancelled","Đã hủy",IF($AC505=0,"Không được hoàn",IF($Q505=0,IF(OR($O505&gt;0,$M505&lt;$L505),"Đã đạt cap","Không được hoàn"),IF(OR($Q505&lt;$O505,$M505&lt;$L505),"Hoàn một phần","Được hoàn")))))</f>
        <v/>
      </c>
      <c r="AC505" s="43">
        <f>IF(OR($B505="",$D505="",$I505="",$L505=""),0,IF($U505="Cancelled",0,IF($W505&lt;&gt;"",IFERROR(IF(INDEX(CASHBACK_RULES!$B$5:$B$304,MATCH($W505,CASHBACK_RULES!$A$5:$A$304,0))=$D505,MATCH($W505,CASHBACK_RULES!$A$5:$A$304,0),0),0),IFERROR(MATCH(1,INDEX((CASHBACK_RULES!$B$5:$B$304=$D505)*(CASHBACK_RULES!$G$5:$G$304=$I505)*(((CASHBACK_RULES!$N$5:$N$304="")+(CASHBACK_RULES!$N$5:$N$304&lt;=$B505))&gt;0)*(((CASHBACK_RULES!$O$5:$O$304="")+(CASHBACK_RULES!$O$5:$O$304&gt;=$B505))&gt;0)*(((CASHBACK_RULES!$M$5:$M$304="")+(CASHBACK_RULES!$M$5:$M$304&lt;=$L505))&gt;0),0),0),0))))</f>
        <v>0</v>
      </c>
      <c r="AD505" s="51" t="str">
        <f>IF(OR($B505="",$D505=""),"",IFERROR(IF(INDEX(CARDS!$H$5:$H$34,MATCH($D505,CARDS!$A$5:$A$34,0))="","",IF(DAY($B505)&lt;=INDEX(CARDS!$H$5:$H$34,MATCH($D505,CARDS!$A$5:$A$34,0)),DATE(YEAR($B505),MONTH($B505),MIN(INDEX(CARDS!$H$5:$H$34,MATCH($D505,CARDS!$A$5:$A$34,0)),DAY(EOMONTH($B505,0)))),DATE(YEAR($B505),MONTH($B505)+1,MIN(INDEX(CARDS!$H$5:$H$34,MATCH($D505,CARDS!$A$5:$A$34,0)),DAY(EOMONTH($B505,1)))))),""))</f>
        <v/>
      </c>
      <c r="AE505" s="52" t="str">
        <f>IF($C505="","",$C505&amp;"|"&amp;COUNTIF($C$5:$C505,$C505))</f>
        <v/>
      </c>
      <c r="AF505" s="53">
        <f>IF($AC505&gt;0,SUMIFS(Q$4:Q504,$D$4:$D504,$D505,$Z$4:$Z504,$Z505,$C$4:$C504,$C505),0)</f>
        <v>0</v>
      </c>
      <c r="AG505" s="53">
        <f>IF($AC505&gt;0,SUMIFS(Q$4:Q504,$D$4:$D504,$D505,$C$4:$C504,$C505),0)</f>
        <v>0</v>
      </c>
      <c r="AH505" s="53">
        <f>IF($AC505&gt;0,SUMIFS(M$4:M504,$D$4:$D504,$D505,$Z$4:$Z504,$Z505,$C$4:$C504,$C505),0)</f>
        <v>0</v>
      </c>
      <c r="AI505" s="43">
        <f>IF(OR($C505="",$I505=""),0,IF(COUNTIFS($C$5:$C505,$C505,$I$5:$I505,$I505)=1,1,0))</f>
        <v>0</v>
      </c>
      <c r="AJ505" s="43" t="str">
        <f>IF($AI505=1,SUMIFS($AI$4:$AI504,$C$4:$C504,$C505)+1,"")</f>
        <v/>
      </c>
      <c r="AK505" s="43">
        <f>IF(OR($C505="",$K505=""),0,IF(COUNTIFS($C$5:$C505,$C505,$K$5:$K505,$K505)=1,1,0))</f>
        <v>0</v>
      </c>
      <c r="AL505" s="43" t="str">
        <f>IF($AK505=1,SUMIFS($AK$4:$AK504,$C$4:$C504,$C505)+1,"")</f>
        <v/>
      </c>
      <c r="AM505" s="43">
        <f>IF(OR($C505="",$G505=""),0,IF(COUNTIFS($C$5:$C505,$C505,$G$5:$G505,$G505)=1,1,0))</f>
        <v>0</v>
      </c>
      <c r="AN505" s="43" t="str">
        <f>IF($AM505=1,SUMIFS($AM$4:$AM504,$C$4:$C504,$C505)+1,"")</f>
        <v/>
      </c>
    </row>
    <row r="506">
      <c r="A506" s="44" t="str">
        <f>IF(OR($B506="",$D506=""),"","TX"&amp;TEXT(ROW()-4,"0000"))</f>
        <v/>
      </c>
      <c r="B506" s="42" t="n"/>
      <c r="C506" s="47" t="str">
        <f>IF($B506="","",YEAR($B506)*100+MONTH($B506))</f>
        <v/>
      </c>
      <c r="D506" s="37" t="n"/>
      <c r="E506" s="45" t="str">
        <f>IF($D506="","",IFERROR(INDEX(CARDS!$B$5:$B$34,MATCH($D506,CARDS!$A$5:$A$34,0)),"⚠ Card ID?"))</f>
        <v/>
      </c>
      <c r="F506" s="45" t="str">
        <f>IF($D506="","",IFERROR(INDEX(CARDS!$C$5:$C$34,MATCH($D506,CARDS!$A$5:$A$34,0)),"⚠ Card ID?"))</f>
        <v/>
      </c>
      <c r="G506" s="37" t="n"/>
      <c r="H506" s="37" t="n"/>
      <c r="I506" s="41" t="n"/>
      <c r="J506" s="45" t="str">
        <f>IF($I506="","",IFERROR(INDEX(MCC_MASTER!$B$5:$B$504,MATCH($I506,MCC_MASTER!$A$5:$A$504,0)),"⚠ MCC chưa có"))</f>
        <v/>
      </c>
      <c r="K506" s="45" t="str">
        <f>IF($I506="","",IFERROR(IF(INDEX(MCC_MASTER!$C$5:$C$504,MATCH($I506,MCC_MASTER!$A$5:$A$504,0))="","Chưa phân loại",INDEX(MCC_MASTER!$C$5:$C$504,MATCH($I506,MCC_MASTER!$A$5:$A$504,0))),"Chưa phân loại"))</f>
        <v/>
      </c>
      <c r="L506" s="40" t="n"/>
      <c r="M506" s="48" t="str">
        <f>IF(OR($B506="",$D506=""),"",IF($AC506=0,0,IF(ISNUMBER(INDEX(CASHBACK_RULES!$L$5:$L$304,$AC506)),MAX(0,MIN($L506,INDEX(CASHBACK_RULES!$L$5:$L$304,$AC506)-$AH506)),MAX(0,$L506))))</f>
        <v/>
      </c>
      <c r="N506" s="49" t="str">
        <f>IF(OR($B506="",$D506=""),"",IF($AC506&gt;0,INDEX(CASHBACK_RULES!$I$5:$I$304,$AC506),0))</f>
        <v/>
      </c>
      <c r="O506" s="48" t="str">
        <f>IF(OR($B506="",$D506=""),"",ROUND($M506*$N506,0))</f>
        <v/>
      </c>
      <c r="P506" s="48" t="str">
        <f>IF($AC506&gt;0,IF(ISNUMBER(INDEX(CASHBACK_RULES!$J$5:$J$304,$AC506)),INDEX(CASHBACK_RULES!$J$5:$J$304,$AC506),"∞"),"")</f>
        <v/>
      </c>
      <c r="Q506" s="48" t="str">
        <f>IF(OR($B506="",$D506=""),"",IF($AC506=0,0,MAX(0,MIN($O506,IF(ISNUMBER($P506),$P506-$AF506,1E+15),IF(ISNUMBER($AA506),$AA506-$AG506,1E+15)))))</f>
        <v/>
      </c>
      <c r="R506" s="48" t="str">
        <f>IF(OR($B506="",$D506=""),"",IF($AC506=0,"",IF(AND(NOT(ISNUMBER($P506)),NOT(ISNUMBER($AA506))),"∞",MAX(0,MIN(IF(ISNUMBER($P506),$P506-$AF506-$Q506,1E+15),IF(ISNUMBER($AA506),$AA506-$AG506-$Q506,1E+15))))))</f>
        <v/>
      </c>
      <c r="S506" s="47" t="str">
        <f>IF($AD506="","",YEAR($AD506)*100+MONTH($AD506))</f>
        <v/>
      </c>
      <c r="T506" s="50" t="str">
        <f>IF($AD506="","",IFERROR(IF(INDEX(CARDS!$I$5:$I$34,MATCH($D506,CARDS!$A$5:$A$34,0))="","",IF(INDEX(CARDS!$I$5:$I$34,MATCH($D506,CARDS!$A$5:$A$34,0))&gt;INDEX(CARDS!$H$5:$H$34,MATCH($D506,CARDS!$A$5:$A$34,0)),DATE(YEAR($AD506),MONTH($AD506),MIN(INDEX(CARDS!$I$5:$I$34,MATCH($D506,CARDS!$A$5:$A$34,0)),DAY(EOMONTH($AD506,0)))),DATE(YEAR($AD506),MONTH($AD506)+1,MIN(INDEX(CARDS!$I$5:$I$34,MATCH($D506,CARDS!$A$5:$A$34,0)),DAY(EOMONTH($AD506,1)))))),""))</f>
        <v/>
      </c>
      <c r="U506" s="38" t="n"/>
      <c r="V506" s="37" t="n"/>
      <c r="W506" s="38" t="n"/>
      <c r="X506" s="38" t="n"/>
      <c r="Y506" s="44" t="str">
        <f>IF($AC506&gt;0,INDEX(CASHBACK_RULES!$A$5:$A$304,$AC506),"")</f>
        <v/>
      </c>
      <c r="Z506" s="45" t="str">
        <f>IF($AC506&gt;0,INDEX(CASHBACK_RULES!$E$5:$E$304,$AC506)&amp;"","")</f>
        <v/>
      </c>
      <c r="AA506" s="48" t="str">
        <f>IF($AC506&gt;0,IF(ISNUMBER(INDEX(CASHBACK_RULES!$K$5:$K$304,$AC506)),INDEX(CASHBACK_RULES!$K$5:$K$304,$AC506),"∞"),"")</f>
        <v/>
      </c>
      <c r="AB506" s="44" t="str">
        <f>IF(OR($B506="",$D506=""),"",IF($U506="Cancelled","Đã hủy",IF($AC506=0,"Không được hoàn",IF($Q506=0,IF(OR($O506&gt;0,$M506&lt;$L506),"Đã đạt cap","Không được hoàn"),IF(OR($Q506&lt;$O506,$M506&lt;$L506),"Hoàn một phần","Được hoàn")))))</f>
        <v/>
      </c>
      <c r="AC506" s="43">
        <f>IF(OR($B506="",$D506="",$I506="",$L506=""),0,IF($U506="Cancelled",0,IF($W506&lt;&gt;"",IFERROR(IF(INDEX(CASHBACK_RULES!$B$5:$B$304,MATCH($W506,CASHBACK_RULES!$A$5:$A$304,0))=$D506,MATCH($W506,CASHBACK_RULES!$A$5:$A$304,0),0),0),IFERROR(MATCH(1,INDEX((CASHBACK_RULES!$B$5:$B$304=$D506)*(CASHBACK_RULES!$G$5:$G$304=$I506)*(((CASHBACK_RULES!$N$5:$N$304="")+(CASHBACK_RULES!$N$5:$N$304&lt;=$B506))&gt;0)*(((CASHBACK_RULES!$O$5:$O$304="")+(CASHBACK_RULES!$O$5:$O$304&gt;=$B506))&gt;0)*(((CASHBACK_RULES!$M$5:$M$304="")+(CASHBACK_RULES!$M$5:$M$304&lt;=$L506))&gt;0),0),0),0))))</f>
        <v>0</v>
      </c>
      <c r="AD506" s="51" t="str">
        <f>IF(OR($B506="",$D506=""),"",IFERROR(IF(INDEX(CARDS!$H$5:$H$34,MATCH($D506,CARDS!$A$5:$A$34,0))="","",IF(DAY($B506)&lt;=INDEX(CARDS!$H$5:$H$34,MATCH($D506,CARDS!$A$5:$A$34,0)),DATE(YEAR($B506),MONTH($B506),MIN(INDEX(CARDS!$H$5:$H$34,MATCH($D506,CARDS!$A$5:$A$34,0)),DAY(EOMONTH($B506,0)))),DATE(YEAR($B506),MONTH($B506)+1,MIN(INDEX(CARDS!$H$5:$H$34,MATCH($D506,CARDS!$A$5:$A$34,0)),DAY(EOMONTH($B506,1)))))),""))</f>
        <v/>
      </c>
      <c r="AE506" s="52" t="str">
        <f>IF($C506="","",$C506&amp;"|"&amp;COUNTIF($C$5:$C506,$C506))</f>
        <v/>
      </c>
      <c r="AF506" s="53">
        <f>IF($AC506&gt;0,SUMIFS(Q$4:Q505,$D$4:$D505,$D506,$Z$4:$Z505,$Z506,$C$4:$C505,$C506),0)</f>
        <v>0</v>
      </c>
      <c r="AG506" s="53">
        <f>IF($AC506&gt;0,SUMIFS(Q$4:Q505,$D$4:$D505,$D506,$C$4:$C505,$C506),0)</f>
        <v>0</v>
      </c>
      <c r="AH506" s="53">
        <f>IF($AC506&gt;0,SUMIFS(M$4:M505,$D$4:$D505,$D506,$Z$4:$Z505,$Z506,$C$4:$C505,$C506),0)</f>
        <v>0</v>
      </c>
      <c r="AI506" s="43">
        <f>IF(OR($C506="",$I506=""),0,IF(COUNTIFS($C$5:$C506,$C506,$I$5:$I506,$I506)=1,1,0))</f>
        <v>0</v>
      </c>
      <c r="AJ506" s="43" t="str">
        <f>IF($AI506=1,SUMIFS($AI$4:$AI505,$C$4:$C505,$C506)+1,"")</f>
        <v/>
      </c>
      <c r="AK506" s="43">
        <f>IF(OR($C506="",$K506=""),0,IF(COUNTIFS($C$5:$C506,$C506,$K$5:$K506,$K506)=1,1,0))</f>
        <v>0</v>
      </c>
      <c r="AL506" s="43" t="str">
        <f>IF($AK506=1,SUMIFS($AK$4:$AK505,$C$4:$C505,$C506)+1,"")</f>
        <v/>
      </c>
      <c r="AM506" s="43">
        <f>IF(OR($C506="",$G506=""),0,IF(COUNTIFS($C$5:$C506,$C506,$G$5:$G506,$G506)=1,1,0))</f>
        <v>0</v>
      </c>
      <c r="AN506" s="43" t="str">
        <f>IF($AM506=1,SUMIFS($AM$4:$AM505,$C$4:$C505,$C506)+1,"")</f>
        <v/>
      </c>
    </row>
    <row r="507">
      <c r="A507" s="44" t="str">
        <f>IF(OR($B507="",$D507=""),"","TX"&amp;TEXT(ROW()-4,"0000"))</f>
        <v/>
      </c>
      <c r="B507" s="42" t="n"/>
      <c r="C507" s="47" t="str">
        <f>IF($B507="","",YEAR($B507)*100+MONTH($B507))</f>
        <v/>
      </c>
      <c r="D507" s="37" t="n"/>
      <c r="E507" s="45" t="str">
        <f>IF($D507="","",IFERROR(INDEX(CARDS!$B$5:$B$34,MATCH($D507,CARDS!$A$5:$A$34,0)),"⚠ Card ID?"))</f>
        <v/>
      </c>
      <c r="F507" s="45" t="str">
        <f>IF($D507="","",IFERROR(INDEX(CARDS!$C$5:$C$34,MATCH($D507,CARDS!$A$5:$A$34,0)),"⚠ Card ID?"))</f>
        <v/>
      </c>
      <c r="G507" s="37" t="n"/>
      <c r="H507" s="37" t="n"/>
      <c r="I507" s="41" t="n"/>
      <c r="J507" s="45" t="str">
        <f>IF($I507="","",IFERROR(INDEX(MCC_MASTER!$B$5:$B$504,MATCH($I507,MCC_MASTER!$A$5:$A$504,0)),"⚠ MCC chưa có"))</f>
        <v/>
      </c>
      <c r="K507" s="45" t="str">
        <f>IF($I507="","",IFERROR(IF(INDEX(MCC_MASTER!$C$5:$C$504,MATCH($I507,MCC_MASTER!$A$5:$A$504,0))="","Chưa phân loại",INDEX(MCC_MASTER!$C$5:$C$504,MATCH($I507,MCC_MASTER!$A$5:$A$504,0))),"Chưa phân loại"))</f>
        <v/>
      </c>
      <c r="L507" s="40" t="n"/>
      <c r="M507" s="48" t="str">
        <f>IF(OR($B507="",$D507=""),"",IF($AC507=0,0,IF(ISNUMBER(INDEX(CASHBACK_RULES!$L$5:$L$304,$AC507)),MAX(0,MIN($L507,INDEX(CASHBACK_RULES!$L$5:$L$304,$AC507)-$AH507)),MAX(0,$L507))))</f>
        <v/>
      </c>
      <c r="N507" s="49" t="str">
        <f>IF(OR($B507="",$D507=""),"",IF($AC507&gt;0,INDEX(CASHBACK_RULES!$I$5:$I$304,$AC507),0))</f>
        <v/>
      </c>
      <c r="O507" s="48" t="str">
        <f>IF(OR($B507="",$D507=""),"",ROUND($M507*$N507,0))</f>
        <v/>
      </c>
      <c r="P507" s="48" t="str">
        <f>IF($AC507&gt;0,IF(ISNUMBER(INDEX(CASHBACK_RULES!$J$5:$J$304,$AC507)),INDEX(CASHBACK_RULES!$J$5:$J$304,$AC507),"∞"),"")</f>
        <v/>
      </c>
      <c r="Q507" s="48" t="str">
        <f>IF(OR($B507="",$D507=""),"",IF($AC507=0,0,MAX(0,MIN($O507,IF(ISNUMBER($P507),$P507-$AF507,1E+15),IF(ISNUMBER($AA507),$AA507-$AG507,1E+15)))))</f>
        <v/>
      </c>
      <c r="R507" s="48" t="str">
        <f>IF(OR($B507="",$D507=""),"",IF($AC507=0,"",IF(AND(NOT(ISNUMBER($P507)),NOT(ISNUMBER($AA507))),"∞",MAX(0,MIN(IF(ISNUMBER($P507),$P507-$AF507-$Q507,1E+15),IF(ISNUMBER($AA507),$AA507-$AG507-$Q507,1E+15))))))</f>
        <v/>
      </c>
      <c r="S507" s="47" t="str">
        <f>IF($AD507="","",YEAR($AD507)*100+MONTH($AD507))</f>
        <v/>
      </c>
      <c r="T507" s="50" t="str">
        <f>IF($AD507="","",IFERROR(IF(INDEX(CARDS!$I$5:$I$34,MATCH($D507,CARDS!$A$5:$A$34,0))="","",IF(INDEX(CARDS!$I$5:$I$34,MATCH($D507,CARDS!$A$5:$A$34,0))&gt;INDEX(CARDS!$H$5:$H$34,MATCH($D507,CARDS!$A$5:$A$34,0)),DATE(YEAR($AD507),MONTH($AD507),MIN(INDEX(CARDS!$I$5:$I$34,MATCH($D507,CARDS!$A$5:$A$34,0)),DAY(EOMONTH($AD507,0)))),DATE(YEAR($AD507),MONTH($AD507)+1,MIN(INDEX(CARDS!$I$5:$I$34,MATCH($D507,CARDS!$A$5:$A$34,0)),DAY(EOMONTH($AD507,1)))))),""))</f>
        <v/>
      </c>
      <c r="U507" s="38" t="n"/>
      <c r="V507" s="37" t="n"/>
      <c r="W507" s="38" t="n"/>
      <c r="X507" s="38" t="n"/>
      <c r="Y507" s="44" t="str">
        <f>IF($AC507&gt;0,INDEX(CASHBACK_RULES!$A$5:$A$304,$AC507),"")</f>
        <v/>
      </c>
      <c r="Z507" s="45" t="str">
        <f>IF($AC507&gt;0,INDEX(CASHBACK_RULES!$E$5:$E$304,$AC507)&amp;"","")</f>
        <v/>
      </c>
      <c r="AA507" s="48" t="str">
        <f>IF($AC507&gt;0,IF(ISNUMBER(INDEX(CASHBACK_RULES!$K$5:$K$304,$AC507)),INDEX(CASHBACK_RULES!$K$5:$K$304,$AC507),"∞"),"")</f>
        <v/>
      </c>
      <c r="AB507" s="44" t="str">
        <f>IF(OR($B507="",$D507=""),"",IF($U507="Cancelled","Đã hủy",IF($AC507=0,"Không được hoàn",IF($Q507=0,IF(OR($O507&gt;0,$M507&lt;$L507),"Đã đạt cap","Không được hoàn"),IF(OR($Q507&lt;$O507,$M507&lt;$L507),"Hoàn một phần","Được hoàn")))))</f>
        <v/>
      </c>
      <c r="AC507" s="43">
        <f>IF(OR($B507="",$D507="",$I507="",$L507=""),0,IF($U507="Cancelled",0,IF($W507&lt;&gt;"",IFERROR(IF(INDEX(CASHBACK_RULES!$B$5:$B$304,MATCH($W507,CASHBACK_RULES!$A$5:$A$304,0))=$D507,MATCH($W507,CASHBACK_RULES!$A$5:$A$304,0),0),0),IFERROR(MATCH(1,INDEX((CASHBACK_RULES!$B$5:$B$304=$D507)*(CASHBACK_RULES!$G$5:$G$304=$I507)*(((CASHBACK_RULES!$N$5:$N$304="")+(CASHBACK_RULES!$N$5:$N$304&lt;=$B507))&gt;0)*(((CASHBACK_RULES!$O$5:$O$304="")+(CASHBACK_RULES!$O$5:$O$304&gt;=$B507))&gt;0)*(((CASHBACK_RULES!$M$5:$M$304="")+(CASHBACK_RULES!$M$5:$M$304&lt;=$L507))&gt;0),0),0),0))))</f>
        <v>0</v>
      </c>
      <c r="AD507" s="51" t="str">
        <f>IF(OR($B507="",$D507=""),"",IFERROR(IF(INDEX(CARDS!$H$5:$H$34,MATCH($D507,CARDS!$A$5:$A$34,0))="","",IF(DAY($B507)&lt;=INDEX(CARDS!$H$5:$H$34,MATCH($D507,CARDS!$A$5:$A$34,0)),DATE(YEAR($B507),MONTH($B507),MIN(INDEX(CARDS!$H$5:$H$34,MATCH($D507,CARDS!$A$5:$A$34,0)),DAY(EOMONTH($B507,0)))),DATE(YEAR($B507),MONTH($B507)+1,MIN(INDEX(CARDS!$H$5:$H$34,MATCH($D507,CARDS!$A$5:$A$34,0)),DAY(EOMONTH($B507,1)))))),""))</f>
        <v/>
      </c>
      <c r="AE507" s="52" t="str">
        <f>IF($C507="","",$C507&amp;"|"&amp;COUNTIF($C$5:$C507,$C507))</f>
        <v/>
      </c>
      <c r="AF507" s="53">
        <f>IF($AC507&gt;0,SUMIFS(Q$4:Q506,$D$4:$D506,$D507,$Z$4:$Z506,$Z507,$C$4:$C506,$C507),0)</f>
        <v>0</v>
      </c>
      <c r="AG507" s="53">
        <f>IF($AC507&gt;0,SUMIFS(Q$4:Q506,$D$4:$D506,$D507,$C$4:$C506,$C507),0)</f>
        <v>0</v>
      </c>
      <c r="AH507" s="53">
        <f>IF($AC507&gt;0,SUMIFS(M$4:M506,$D$4:$D506,$D507,$Z$4:$Z506,$Z507,$C$4:$C506,$C507),0)</f>
        <v>0</v>
      </c>
      <c r="AI507" s="43">
        <f>IF(OR($C507="",$I507=""),0,IF(COUNTIFS($C$5:$C507,$C507,$I$5:$I507,$I507)=1,1,0))</f>
        <v>0</v>
      </c>
      <c r="AJ507" s="43" t="str">
        <f>IF($AI507=1,SUMIFS($AI$4:$AI506,$C$4:$C506,$C507)+1,"")</f>
        <v/>
      </c>
      <c r="AK507" s="43">
        <f>IF(OR($C507="",$K507=""),0,IF(COUNTIFS($C$5:$C507,$C507,$K$5:$K507,$K507)=1,1,0))</f>
        <v>0</v>
      </c>
      <c r="AL507" s="43" t="str">
        <f>IF($AK507=1,SUMIFS($AK$4:$AK506,$C$4:$C506,$C507)+1,"")</f>
        <v/>
      </c>
      <c r="AM507" s="43">
        <f>IF(OR($C507="",$G507=""),0,IF(COUNTIFS($C$5:$C507,$C507,$G$5:$G507,$G507)=1,1,0))</f>
        <v>0</v>
      </c>
      <c r="AN507" s="43" t="str">
        <f>IF($AM507=1,SUMIFS($AM$4:$AM506,$C$4:$C506,$C507)+1,"")</f>
        <v/>
      </c>
    </row>
    <row r="508">
      <c r="A508" s="44" t="str">
        <f>IF(OR($B508="",$D508=""),"","TX"&amp;TEXT(ROW()-4,"0000"))</f>
        <v/>
      </c>
      <c r="B508" s="42" t="n"/>
      <c r="C508" s="47" t="str">
        <f>IF($B508="","",YEAR($B508)*100+MONTH($B508))</f>
        <v/>
      </c>
      <c r="D508" s="37" t="n"/>
      <c r="E508" s="45" t="str">
        <f>IF($D508="","",IFERROR(INDEX(CARDS!$B$5:$B$34,MATCH($D508,CARDS!$A$5:$A$34,0)),"⚠ Card ID?"))</f>
        <v/>
      </c>
      <c r="F508" s="45" t="str">
        <f>IF($D508="","",IFERROR(INDEX(CARDS!$C$5:$C$34,MATCH($D508,CARDS!$A$5:$A$34,0)),"⚠ Card ID?"))</f>
        <v/>
      </c>
      <c r="G508" s="37" t="n"/>
      <c r="H508" s="37" t="n"/>
      <c r="I508" s="41" t="n"/>
      <c r="J508" s="45" t="str">
        <f>IF($I508="","",IFERROR(INDEX(MCC_MASTER!$B$5:$B$504,MATCH($I508,MCC_MASTER!$A$5:$A$504,0)),"⚠ MCC chưa có"))</f>
        <v/>
      </c>
      <c r="K508" s="45" t="str">
        <f>IF($I508="","",IFERROR(IF(INDEX(MCC_MASTER!$C$5:$C$504,MATCH($I508,MCC_MASTER!$A$5:$A$504,0))="","Chưa phân loại",INDEX(MCC_MASTER!$C$5:$C$504,MATCH($I508,MCC_MASTER!$A$5:$A$504,0))),"Chưa phân loại"))</f>
        <v/>
      </c>
      <c r="L508" s="40" t="n"/>
      <c r="M508" s="48" t="str">
        <f>IF(OR($B508="",$D508=""),"",IF($AC508=0,0,IF(ISNUMBER(INDEX(CASHBACK_RULES!$L$5:$L$304,$AC508)),MAX(0,MIN($L508,INDEX(CASHBACK_RULES!$L$5:$L$304,$AC508)-$AH508)),MAX(0,$L508))))</f>
        <v/>
      </c>
      <c r="N508" s="49" t="str">
        <f>IF(OR($B508="",$D508=""),"",IF($AC508&gt;0,INDEX(CASHBACK_RULES!$I$5:$I$304,$AC508),0))</f>
        <v/>
      </c>
      <c r="O508" s="48" t="str">
        <f>IF(OR($B508="",$D508=""),"",ROUND($M508*$N508,0))</f>
        <v/>
      </c>
      <c r="P508" s="48" t="str">
        <f>IF($AC508&gt;0,IF(ISNUMBER(INDEX(CASHBACK_RULES!$J$5:$J$304,$AC508)),INDEX(CASHBACK_RULES!$J$5:$J$304,$AC508),"∞"),"")</f>
        <v/>
      </c>
      <c r="Q508" s="48" t="str">
        <f>IF(OR($B508="",$D508=""),"",IF($AC508=0,0,MAX(0,MIN($O508,IF(ISNUMBER($P508),$P508-$AF508,1E+15),IF(ISNUMBER($AA508),$AA508-$AG508,1E+15)))))</f>
        <v/>
      </c>
      <c r="R508" s="48" t="str">
        <f>IF(OR($B508="",$D508=""),"",IF($AC508=0,"",IF(AND(NOT(ISNUMBER($P508)),NOT(ISNUMBER($AA508))),"∞",MAX(0,MIN(IF(ISNUMBER($P508),$P508-$AF508-$Q508,1E+15),IF(ISNUMBER($AA508),$AA508-$AG508-$Q508,1E+15))))))</f>
        <v/>
      </c>
      <c r="S508" s="47" t="str">
        <f>IF($AD508="","",YEAR($AD508)*100+MONTH($AD508))</f>
        <v/>
      </c>
      <c r="T508" s="50" t="str">
        <f>IF($AD508="","",IFERROR(IF(INDEX(CARDS!$I$5:$I$34,MATCH($D508,CARDS!$A$5:$A$34,0))="","",IF(INDEX(CARDS!$I$5:$I$34,MATCH($D508,CARDS!$A$5:$A$34,0))&gt;INDEX(CARDS!$H$5:$H$34,MATCH($D508,CARDS!$A$5:$A$34,0)),DATE(YEAR($AD508),MONTH($AD508),MIN(INDEX(CARDS!$I$5:$I$34,MATCH($D508,CARDS!$A$5:$A$34,0)),DAY(EOMONTH($AD508,0)))),DATE(YEAR($AD508),MONTH($AD508)+1,MIN(INDEX(CARDS!$I$5:$I$34,MATCH($D508,CARDS!$A$5:$A$34,0)),DAY(EOMONTH($AD508,1)))))),""))</f>
        <v/>
      </c>
      <c r="U508" s="38" t="n"/>
      <c r="V508" s="37" t="n"/>
      <c r="W508" s="38" t="n"/>
      <c r="X508" s="38" t="n"/>
      <c r="Y508" s="44" t="str">
        <f>IF($AC508&gt;0,INDEX(CASHBACK_RULES!$A$5:$A$304,$AC508),"")</f>
        <v/>
      </c>
      <c r="Z508" s="45" t="str">
        <f>IF($AC508&gt;0,INDEX(CASHBACK_RULES!$E$5:$E$304,$AC508)&amp;"","")</f>
        <v/>
      </c>
      <c r="AA508" s="48" t="str">
        <f>IF($AC508&gt;0,IF(ISNUMBER(INDEX(CASHBACK_RULES!$K$5:$K$304,$AC508)),INDEX(CASHBACK_RULES!$K$5:$K$304,$AC508),"∞"),"")</f>
        <v/>
      </c>
      <c r="AB508" s="44" t="str">
        <f>IF(OR($B508="",$D508=""),"",IF($U508="Cancelled","Đã hủy",IF($AC508=0,"Không được hoàn",IF($Q508=0,IF(OR($O508&gt;0,$M508&lt;$L508),"Đã đạt cap","Không được hoàn"),IF(OR($Q508&lt;$O508,$M508&lt;$L508),"Hoàn một phần","Được hoàn")))))</f>
        <v/>
      </c>
      <c r="AC508" s="43">
        <f>IF(OR($B508="",$D508="",$I508="",$L508=""),0,IF($U508="Cancelled",0,IF($W508&lt;&gt;"",IFERROR(IF(INDEX(CASHBACK_RULES!$B$5:$B$304,MATCH($W508,CASHBACK_RULES!$A$5:$A$304,0))=$D508,MATCH($W508,CASHBACK_RULES!$A$5:$A$304,0),0),0),IFERROR(MATCH(1,INDEX((CASHBACK_RULES!$B$5:$B$304=$D508)*(CASHBACK_RULES!$G$5:$G$304=$I508)*(((CASHBACK_RULES!$N$5:$N$304="")+(CASHBACK_RULES!$N$5:$N$304&lt;=$B508))&gt;0)*(((CASHBACK_RULES!$O$5:$O$304="")+(CASHBACK_RULES!$O$5:$O$304&gt;=$B508))&gt;0)*(((CASHBACK_RULES!$M$5:$M$304="")+(CASHBACK_RULES!$M$5:$M$304&lt;=$L508))&gt;0),0),0),0))))</f>
        <v>0</v>
      </c>
      <c r="AD508" s="51" t="str">
        <f>IF(OR($B508="",$D508=""),"",IFERROR(IF(INDEX(CARDS!$H$5:$H$34,MATCH($D508,CARDS!$A$5:$A$34,0))="","",IF(DAY($B508)&lt;=INDEX(CARDS!$H$5:$H$34,MATCH($D508,CARDS!$A$5:$A$34,0)),DATE(YEAR($B508),MONTH($B508),MIN(INDEX(CARDS!$H$5:$H$34,MATCH($D508,CARDS!$A$5:$A$34,0)),DAY(EOMONTH($B508,0)))),DATE(YEAR($B508),MONTH($B508)+1,MIN(INDEX(CARDS!$H$5:$H$34,MATCH($D508,CARDS!$A$5:$A$34,0)),DAY(EOMONTH($B508,1)))))),""))</f>
        <v/>
      </c>
      <c r="AE508" s="52" t="str">
        <f>IF($C508="","",$C508&amp;"|"&amp;COUNTIF($C$5:$C508,$C508))</f>
        <v/>
      </c>
      <c r="AF508" s="53">
        <f>IF($AC508&gt;0,SUMIFS(Q$4:Q507,$D$4:$D507,$D508,$Z$4:$Z507,$Z508,$C$4:$C507,$C508),0)</f>
        <v>0</v>
      </c>
      <c r="AG508" s="53">
        <f>IF($AC508&gt;0,SUMIFS(Q$4:Q507,$D$4:$D507,$D508,$C$4:$C507,$C508),0)</f>
        <v>0</v>
      </c>
      <c r="AH508" s="53">
        <f>IF($AC508&gt;0,SUMIFS(M$4:M507,$D$4:$D507,$D508,$Z$4:$Z507,$Z508,$C$4:$C507,$C508),0)</f>
        <v>0</v>
      </c>
      <c r="AI508" s="43">
        <f>IF(OR($C508="",$I508=""),0,IF(COUNTIFS($C$5:$C508,$C508,$I$5:$I508,$I508)=1,1,0))</f>
        <v>0</v>
      </c>
      <c r="AJ508" s="43" t="str">
        <f>IF($AI508=1,SUMIFS($AI$4:$AI507,$C$4:$C507,$C508)+1,"")</f>
        <v/>
      </c>
      <c r="AK508" s="43">
        <f>IF(OR($C508="",$K508=""),0,IF(COUNTIFS($C$5:$C508,$C508,$K$5:$K508,$K508)=1,1,0))</f>
        <v>0</v>
      </c>
      <c r="AL508" s="43" t="str">
        <f>IF($AK508=1,SUMIFS($AK$4:$AK507,$C$4:$C507,$C508)+1,"")</f>
        <v/>
      </c>
      <c r="AM508" s="43">
        <f>IF(OR($C508="",$G508=""),0,IF(COUNTIFS($C$5:$C508,$C508,$G$5:$G508,$G508)=1,1,0))</f>
        <v>0</v>
      </c>
      <c r="AN508" s="43" t="str">
        <f>IF($AM508=1,SUMIFS($AM$4:$AM507,$C$4:$C507,$C508)+1,"")</f>
        <v/>
      </c>
    </row>
    <row r="509">
      <c r="A509" s="44" t="str">
        <f>IF(OR($B509="",$D509=""),"","TX"&amp;TEXT(ROW()-4,"0000"))</f>
        <v/>
      </c>
      <c r="B509" s="42" t="n"/>
      <c r="C509" s="47" t="str">
        <f>IF($B509="","",YEAR($B509)*100+MONTH($B509))</f>
        <v/>
      </c>
      <c r="D509" s="37" t="n"/>
      <c r="E509" s="45" t="str">
        <f>IF($D509="","",IFERROR(INDEX(CARDS!$B$5:$B$34,MATCH($D509,CARDS!$A$5:$A$34,0)),"⚠ Card ID?"))</f>
        <v/>
      </c>
      <c r="F509" s="45" t="str">
        <f>IF($D509="","",IFERROR(INDEX(CARDS!$C$5:$C$34,MATCH($D509,CARDS!$A$5:$A$34,0)),"⚠ Card ID?"))</f>
        <v/>
      </c>
      <c r="G509" s="37" t="n"/>
      <c r="H509" s="37" t="n"/>
      <c r="I509" s="41" t="n"/>
      <c r="J509" s="45" t="str">
        <f>IF($I509="","",IFERROR(INDEX(MCC_MASTER!$B$5:$B$504,MATCH($I509,MCC_MASTER!$A$5:$A$504,0)),"⚠ MCC chưa có"))</f>
        <v/>
      </c>
      <c r="K509" s="45" t="str">
        <f>IF($I509="","",IFERROR(IF(INDEX(MCC_MASTER!$C$5:$C$504,MATCH($I509,MCC_MASTER!$A$5:$A$504,0))="","Chưa phân loại",INDEX(MCC_MASTER!$C$5:$C$504,MATCH($I509,MCC_MASTER!$A$5:$A$504,0))),"Chưa phân loại"))</f>
        <v/>
      </c>
      <c r="L509" s="40" t="n"/>
      <c r="M509" s="48" t="str">
        <f>IF(OR($B509="",$D509=""),"",IF($AC509=0,0,IF(ISNUMBER(INDEX(CASHBACK_RULES!$L$5:$L$304,$AC509)),MAX(0,MIN($L509,INDEX(CASHBACK_RULES!$L$5:$L$304,$AC509)-$AH509)),MAX(0,$L509))))</f>
        <v/>
      </c>
      <c r="N509" s="49" t="str">
        <f>IF(OR($B509="",$D509=""),"",IF($AC509&gt;0,INDEX(CASHBACK_RULES!$I$5:$I$304,$AC509),0))</f>
        <v/>
      </c>
      <c r="O509" s="48" t="str">
        <f>IF(OR($B509="",$D509=""),"",ROUND($M509*$N509,0))</f>
        <v/>
      </c>
      <c r="P509" s="48" t="str">
        <f>IF($AC509&gt;0,IF(ISNUMBER(INDEX(CASHBACK_RULES!$J$5:$J$304,$AC509)),INDEX(CASHBACK_RULES!$J$5:$J$304,$AC509),"∞"),"")</f>
        <v/>
      </c>
      <c r="Q509" s="48" t="str">
        <f>IF(OR($B509="",$D509=""),"",IF($AC509=0,0,MAX(0,MIN($O509,IF(ISNUMBER($P509),$P509-$AF509,1E+15),IF(ISNUMBER($AA509),$AA509-$AG509,1E+15)))))</f>
        <v/>
      </c>
      <c r="R509" s="48" t="str">
        <f>IF(OR($B509="",$D509=""),"",IF($AC509=0,"",IF(AND(NOT(ISNUMBER($P509)),NOT(ISNUMBER($AA509))),"∞",MAX(0,MIN(IF(ISNUMBER($P509),$P509-$AF509-$Q509,1E+15),IF(ISNUMBER($AA509),$AA509-$AG509-$Q509,1E+15))))))</f>
        <v/>
      </c>
      <c r="S509" s="47" t="str">
        <f>IF($AD509="","",YEAR($AD509)*100+MONTH($AD509))</f>
        <v/>
      </c>
      <c r="T509" s="50" t="str">
        <f>IF($AD509="","",IFERROR(IF(INDEX(CARDS!$I$5:$I$34,MATCH($D509,CARDS!$A$5:$A$34,0))="","",IF(INDEX(CARDS!$I$5:$I$34,MATCH($D509,CARDS!$A$5:$A$34,0))&gt;INDEX(CARDS!$H$5:$H$34,MATCH($D509,CARDS!$A$5:$A$34,0)),DATE(YEAR($AD509),MONTH($AD509),MIN(INDEX(CARDS!$I$5:$I$34,MATCH($D509,CARDS!$A$5:$A$34,0)),DAY(EOMONTH($AD509,0)))),DATE(YEAR($AD509),MONTH($AD509)+1,MIN(INDEX(CARDS!$I$5:$I$34,MATCH($D509,CARDS!$A$5:$A$34,0)),DAY(EOMONTH($AD509,1)))))),""))</f>
        <v/>
      </c>
      <c r="U509" s="38" t="n"/>
      <c r="V509" s="37" t="n"/>
      <c r="W509" s="38" t="n"/>
      <c r="X509" s="38" t="n"/>
      <c r="Y509" s="44" t="str">
        <f>IF($AC509&gt;0,INDEX(CASHBACK_RULES!$A$5:$A$304,$AC509),"")</f>
        <v/>
      </c>
      <c r="Z509" s="45" t="str">
        <f>IF($AC509&gt;0,INDEX(CASHBACK_RULES!$E$5:$E$304,$AC509)&amp;"","")</f>
        <v/>
      </c>
      <c r="AA509" s="48" t="str">
        <f>IF($AC509&gt;0,IF(ISNUMBER(INDEX(CASHBACK_RULES!$K$5:$K$304,$AC509)),INDEX(CASHBACK_RULES!$K$5:$K$304,$AC509),"∞"),"")</f>
        <v/>
      </c>
      <c r="AB509" s="44" t="str">
        <f>IF(OR($B509="",$D509=""),"",IF($U509="Cancelled","Đã hủy",IF($AC509=0,"Không được hoàn",IF($Q509=0,IF(OR($O509&gt;0,$M509&lt;$L509),"Đã đạt cap","Không được hoàn"),IF(OR($Q509&lt;$O509,$M509&lt;$L509),"Hoàn một phần","Được hoàn")))))</f>
        <v/>
      </c>
      <c r="AC509" s="43">
        <f>IF(OR($B509="",$D509="",$I509="",$L509=""),0,IF($U509="Cancelled",0,IF($W509&lt;&gt;"",IFERROR(IF(INDEX(CASHBACK_RULES!$B$5:$B$304,MATCH($W509,CASHBACK_RULES!$A$5:$A$304,0))=$D509,MATCH($W509,CASHBACK_RULES!$A$5:$A$304,0),0),0),IFERROR(MATCH(1,INDEX((CASHBACK_RULES!$B$5:$B$304=$D509)*(CASHBACK_RULES!$G$5:$G$304=$I509)*(((CASHBACK_RULES!$N$5:$N$304="")+(CASHBACK_RULES!$N$5:$N$304&lt;=$B509))&gt;0)*(((CASHBACK_RULES!$O$5:$O$304="")+(CASHBACK_RULES!$O$5:$O$304&gt;=$B509))&gt;0)*(((CASHBACK_RULES!$M$5:$M$304="")+(CASHBACK_RULES!$M$5:$M$304&lt;=$L509))&gt;0),0),0),0))))</f>
        <v>0</v>
      </c>
      <c r="AD509" s="51" t="str">
        <f>IF(OR($B509="",$D509=""),"",IFERROR(IF(INDEX(CARDS!$H$5:$H$34,MATCH($D509,CARDS!$A$5:$A$34,0))="","",IF(DAY($B509)&lt;=INDEX(CARDS!$H$5:$H$34,MATCH($D509,CARDS!$A$5:$A$34,0)),DATE(YEAR($B509),MONTH($B509),MIN(INDEX(CARDS!$H$5:$H$34,MATCH($D509,CARDS!$A$5:$A$34,0)),DAY(EOMONTH($B509,0)))),DATE(YEAR($B509),MONTH($B509)+1,MIN(INDEX(CARDS!$H$5:$H$34,MATCH($D509,CARDS!$A$5:$A$34,0)),DAY(EOMONTH($B509,1)))))),""))</f>
        <v/>
      </c>
      <c r="AE509" s="52" t="str">
        <f>IF($C509="","",$C509&amp;"|"&amp;COUNTIF($C$5:$C509,$C509))</f>
        <v/>
      </c>
      <c r="AF509" s="53">
        <f>IF($AC509&gt;0,SUMIFS(Q$4:Q508,$D$4:$D508,$D509,$Z$4:$Z508,$Z509,$C$4:$C508,$C509),0)</f>
        <v>0</v>
      </c>
      <c r="AG509" s="53">
        <f>IF($AC509&gt;0,SUMIFS(Q$4:Q508,$D$4:$D508,$D509,$C$4:$C508,$C509),0)</f>
        <v>0</v>
      </c>
      <c r="AH509" s="53">
        <f>IF($AC509&gt;0,SUMIFS(M$4:M508,$D$4:$D508,$D509,$Z$4:$Z508,$Z509,$C$4:$C508,$C509),0)</f>
        <v>0</v>
      </c>
      <c r="AI509" s="43">
        <f>IF(OR($C509="",$I509=""),0,IF(COUNTIFS($C$5:$C509,$C509,$I$5:$I509,$I509)=1,1,0))</f>
        <v>0</v>
      </c>
      <c r="AJ509" s="43" t="str">
        <f>IF($AI509=1,SUMIFS($AI$4:$AI508,$C$4:$C508,$C509)+1,"")</f>
        <v/>
      </c>
      <c r="AK509" s="43">
        <f>IF(OR($C509="",$K509=""),0,IF(COUNTIFS($C$5:$C509,$C509,$K$5:$K509,$K509)=1,1,0))</f>
        <v>0</v>
      </c>
      <c r="AL509" s="43" t="str">
        <f>IF($AK509=1,SUMIFS($AK$4:$AK508,$C$4:$C508,$C509)+1,"")</f>
        <v/>
      </c>
      <c r="AM509" s="43">
        <f>IF(OR($C509="",$G509=""),0,IF(COUNTIFS($C$5:$C509,$C509,$G$5:$G509,$G509)=1,1,0))</f>
        <v>0</v>
      </c>
      <c r="AN509" s="43" t="str">
        <f>IF($AM509=1,SUMIFS($AM$4:$AM508,$C$4:$C508,$C509)+1,"")</f>
        <v/>
      </c>
    </row>
    <row r="510">
      <c r="A510" s="44" t="str">
        <f>IF(OR($B510="",$D510=""),"","TX"&amp;TEXT(ROW()-4,"0000"))</f>
        <v/>
      </c>
      <c r="B510" s="42" t="n"/>
      <c r="C510" s="47" t="str">
        <f>IF($B510="","",YEAR($B510)*100+MONTH($B510))</f>
        <v/>
      </c>
      <c r="D510" s="37" t="n"/>
      <c r="E510" s="45" t="str">
        <f>IF($D510="","",IFERROR(INDEX(CARDS!$B$5:$B$34,MATCH($D510,CARDS!$A$5:$A$34,0)),"⚠ Card ID?"))</f>
        <v/>
      </c>
      <c r="F510" s="45" t="str">
        <f>IF($D510="","",IFERROR(INDEX(CARDS!$C$5:$C$34,MATCH($D510,CARDS!$A$5:$A$34,0)),"⚠ Card ID?"))</f>
        <v/>
      </c>
      <c r="G510" s="37" t="n"/>
      <c r="H510" s="37" t="n"/>
      <c r="I510" s="41" t="n"/>
      <c r="J510" s="45" t="str">
        <f>IF($I510="","",IFERROR(INDEX(MCC_MASTER!$B$5:$B$504,MATCH($I510,MCC_MASTER!$A$5:$A$504,0)),"⚠ MCC chưa có"))</f>
        <v/>
      </c>
      <c r="K510" s="45" t="str">
        <f>IF($I510="","",IFERROR(IF(INDEX(MCC_MASTER!$C$5:$C$504,MATCH($I510,MCC_MASTER!$A$5:$A$504,0))="","Chưa phân loại",INDEX(MCC_MASTER!$C$5:$C$504,MATCH($I510,MCC_MASTER!$A$5:$A$504,0))),"Chưa phân loại"))</f>
        <v/>
      </c>
      <c r="L510" s="40" t="n"/>
      <c r="M510" s="48" t="str">
        <f>IF(OR($B510="",$D510=""),"",IF($AC510=0,0,IF(ISNUMBER(INDEX(CASHBACK_RULES!$L$5:$L$304,$AC510)),MAX(0,MIN($L510,INDEX(CASHBACK_RULES!$L$5:$L$304,$AC510)-$AH510)),MAX(0,$L510))))</f>
        <v/>
      </c>
      <c r="N510" s="49" t="str">
        <f>IF(OR($B510="",$D510=""),"",IF($AC510&gt;0,INDEX(CASHBACK_RULES!$I$5:$I$304,$AC510),0))</f>
        <v/>
      </c>
      <c r="O510" s="48" t="str">
        <f>IF(OR($B510="",$D510=""),"",ROUND($M510*$N510,0))</f>
        <v/>
      </c>
      <c r="P510" s="48" t="str">
        <f>IF($AC510&gt;0,IF(ISNUMBER(INDEX(CASHBACK_RULES!$J$5:$J$304,$AC510)),INDEX(CASHBACK_RULES!$J$5:$J$304,$AC510),"∞"),"")</f>
        <v/>
      </c>
      <c r="Q510" s="48" t="str">
        <f>IF(OR($B510="",$D510=""),"",IF($AC510=0,0,MAX(0,MIN($O510,IF(ISNUMBER($P510),$P510-$AF510,1E+15),IF(ISNUMBER($AA510),$AA510-$AG510,1E+15)))))</f>
        <v/>
      </c>
      <c r="R510" s="48" t="str">
        <f>IF(OR($B510="",$D510=""),"",IF($AC510=0,"",IF(AND(NOT(ISNUMBER($P510)),NOT(ISNUMBER($AA510))),"∞",MAX(0,MIN(IF(ISNUMBER($P510),$P510-$AF510-$Q510,1E+15),IF(ISNUMBER($AA510),$AA510-$AG510-$Q510,1E+15))))))</f>
        <v/>
      </c>
      <c r="S510" s="47" t="str">
        <f>IF($AD510="","",YEAR($AD510)*100+MONTH($AD510))</f>
        <v/>
      </c>
      <c r="T510" s="50" t="str">
        <f>IF($AD510="","",IFERROR(IF(INDEX(CARDS!$I$5:$I$34,MATCH($D510,CARDS!$A$5:$A$34,0))="","",IF(INDEX(CARDS!$I$5:$I$34,MATCH($D510,CARDS!$A$5:$A$34,0))&gt;INDEX(CARDS!$H$5:$H$34,MATCH($D510,CARDS!$A$5:$A$34,0)),DATE(YEAR($AD510),MONTH($AD510),MIN(INDEX(CARDS!$I$5:$I$34,MATCH($D510,CARDS!$A$5:$A$34,0)),DAY(EOMONTH($AD510,0)))),DATE(YEAR($AD510),MONTH($AD510)+1,MIN(INDEX(CARDS!$I$5:$I$34,MATCH($D510,CARDS!$A$5:$A$34,0)),DAY(EOMONTH($AD510,1)))))),""))</f>
        <v/>
      </c>
      <c r="U510" s="38" t="n"/>
      <c r="V510" s="37" t="n"/>
      <c r="W510" s="38" t="n"/>
      <c r="X510" s="38" t="n"/>
      <c r="Y510" s="44" t="str">
        <f>IF($AC510&gt;0,INDEX(CASHBACK_RULES!$A$5:$A$304,$AC510),"")</f>
        <v/>
      </c>
      <c r="Z510" s="45" t="str">
        <f>IF($AC510&gt;0,INDEX(CASHBACK_RULES!$E$5:$E$304,$AC510)&amp;"","")</f>
        <v/>
      </c>
      <c r="AA510" s="48" t="str">
        <f>IF($AC510&gt;0,IF(ISNUMBER(INDEX(CASHBACK_RULES!$K$5:$K$304,$AC510)),INDEX(CASHBACK_RULES!$K$5:$K$304,$AC510),"∞"),"")</f>
        <v/>
      </c>
      <c r="AB510" s="44" t="str">
        <f>IF(OR($B510="",$D510=""),"",IF($U510="Cancelled","Đã hủy",IF($AC510=0,"Không được hoàn",IF($Q510=0,IF(OR($O510&gt;0,$M510&lt;$L510),"Đã đạt cap","Không được hoàn"),IF(OR($Q510&lt;$O510,$M510&lt;$L510),"Hoàn một phần","Được hoàn")))))</f>
        <v/>
      </c>
      <c r="AC510" s="43">
        <f>IF(OR($B510="",$D510="",$I510="",$L510=""),0,IF($U510="Cancelled",0,IF($W510&lt;&gt;"",IFERROR(IF(INDEX(CASHBACK_RULES!$B$5:$B$304,MATCH($W510,CASHBACK_RULES!$A$5:$A$304,0))=$D510,MATCH($W510,CASHBACK_RULES!$A$5:$A$304,0),0),0),IFERROR(MATCH(1,INDEX((CASHBACK_RULES!$B$5:$B$304=$D510)*(CASHBACK_RULES!$G$5:$G$304=$I510)*(((CASHBACK_RULES!$N$5:$N$304="")+(CASHBACK_RULES!$N$5:$N$304&lt;=$B510))&gt;0)*(((CASHBACK_RULES!$O$5:$O$304="")+(CASHBACK_RULES!$O$5:$O$304&gt;=$B510))&gt;0)*(((CASHBACK_RULES!$M$5:$M$304="")+(CASHBACK_RULES!$M$5:$M$304&lt;=$L510))&gt;0),0),0),0))))</f>
        <v>0</v>
      </c>
      <c r="AD510" s="51" t="str">
        <f>IF(OR($B510="",$D510=""),"",IFERROR(IF(INDEX(CARDS!$H$5:$H$34,MATCH($D510,CARDS!$A$5:$A$34,0))="","",IF(DAY($B510)&lt;=INDEX(CARDS!$H$5:$H$34,MATCH($D510,CARDS!$A$5:$A$34,0)),DATE(YEAR($B510),MONTH($B510),MIN(INDEX(CARDS!$H$5:$H$34,MATCH($D510,CARDS!$A$5:$A$34,0)),DAY(EOMONTH($B510,0)))),DATE(YEAR($B510),MONTH($B510)+1,MIN(INDEX(CARDS!$H$5:$H$34,MATCH($D510,CARDS!$A$5:$A$34,0)),DAY(EOMONTH($B510,1)))))),""))</f>
        <v/>
      </c>
      <c r="AE510" s="52" t="str">
        <f>IF($C510="","",$C510&amp;"|"&amp;COUNTIF($C$5:$C510,$C510))</f>
        <v/>
      </c>
      <c r="AF510" s="53">
        <f>IF($AC510&gt;0,SUMIFS(Q$4:Q509,$D$4:$D509,$D510,$Z$4:$Z509,$Z510,$C$4:$C509,$C510),0)</f>
        <v>0</v>
      </c>
      <c r="AG510" s="53">
        <f>IF($AC510&gt;0,SUMIFS(Q$4:Q509,$D$4:$D509,$D510,$C$4:$C509,$C510),0)</f>
        <v>0</v>
      </c>
      <c r="AH510" s="53">
        <f>IF($AC510&gt;0,SUMIFS(M$4:M509,$D$4:$D509,$D510,$Z$4:$Z509,$Z510,$C$4:$C509,$C510),0)</f>
        <v>0</v>
      </c>
      <c r="AI510" s="43">
        <f>IF(OR($C510="",$I510=""),0,IF(COUNTIFS($C$5:$C510,$C510,$I$5:$I510,$I510)=1,1,0))</f>
        <v>0</v>
      </c>
      <c r="AJ510" s="43" t="str">
        <f>IF($AI510=1,SUMIFS($AI$4:$AI509,$C$4:$C509,$C510)+1,"")</f>
        <v/>
      </c>
      <c r="AK510" s="43">
        <f>IF(OR($C510="",$K510=""),0,IF(COUNTIFS($C$5:$C510,$C510,$K$5:$K510,$K510)=1,1,0))</f>
        <v>0</v>
      </c>
      <c r="AL510" s="43" t="str">
        <f>IF($AK510=1,SUMIFS($AK$4:$AK509,$C$4:$C509,$C510)+1,"")</f>
        <v/>
      </c>
      <c r="AM510" s="43">
        <f>IF(OR($C510="",$G510=""),0,IF(COUNTIFS($C$5:$C510,$C510,$G$5:$G510,$G510)=1,1,0))</f>
        <v>0</v>
      </c>
      <c r="AN510" s="43" t="str">
        <f>IF($AM510=1,SUMIFS($AM$4:$AM509,$C$4:$C509,$C510)+1,"")</f>
        <v/>
      </c>
    </row>
    <row r="511">
      <c r="A511" s="44" t="str">
        <f>IF(OR($B511="",$D511=""),"","TX"&amp;TEXT(ROW()-4,"0000"))</f>
        <v/>
      </c>
      <c r="B511" s="42" t="n"/>
      <c r="C511" s="47" t="str">
        <f>IF($B511="","",YEAR($B511)*100+MONTH($B511))</f>
        <v/>
      </c>
      <c r="D511" s="37" t="n"/>
      <c r="E511" s="45" t="str">
        <f>IF($D511="","",IFERROR(INDEX(CARDS!$B$5:$B$34,MATCH($D511,CARDS!$A$5:$A$34,0)),"⚠ Card ID?"))</f>
        <v/>
      </c>
      <c r="F511" s="45" t="str">
        <f>IF($D511="","",IFERROR(INDEX(CARDS!$C$5:$C$34,MATCH($D511,CARDS!$A$5:$A$34,0)),"⚠ Card ID?"))</f>
        <v/>
      </c>
      <c r="G511" s="37" t="n"/>
      <c r="H511" s="37" t="n"/>
      <c r="I511" s="41" t="n"/>
      <c r="J511" s="45" t="str">
        <f>IF($I511="","",IFERROR(INDEX(MCC_MASTER!$B$5:$B$504,MATCH($I511,MCC_MASTER!$A$5:$A$504,0)),"⚠ MCC chưa có"))</f>
        <v/>
      </c>
      <c r="K511" s="45" t="str">
        <f>IF($I511="","",IFERROR(IF(INDEX(MCC_MASTER!$C$5:$C$504,MATCH($I511,MCC_MASTER!$A$5:$A$504,0))="","Chưa phân loại",INDEX(MCC_MASTER!$C$5:$C$504,MATCH($I511,MCC_MASTER!$A$5:$A$504,0))),"Chưa phân loại"))</f>
        <v/>
      </c>
      <c r="L511" s="40" t="n"/>
      <c r="M511" s="48" t="str">
        <f>IF(OR($B511="",$D511=""),"",IF($AC511=0,0,IF(ISNUMBER(INDEX(CASHBACK_RULES!$L$5:$L$304,$AC511)),MAX(0,MIN($L511,INDEX(CASHBACK_RULES!$L$5:$L$304,$AC511)-$AH511)),MAX(0,$L511))))</f>
        <v/>
      </c>
      <c r="N511" s="49" t="str">
        <f>IF(OR($B511="",$D511=""),"",IF($AC511&gt;0,INDEX(CASHBACK_RULES!$I$5:$I$304,$AC511),0))</f>
        <v/>
      </c>
      <c r="O511" s="48" t="str">
        <f>IF(OR($B511="",$D511=""),"",ROUND($M511*$N511,0))</f>
        <v/>
      </c>
      <c r="P511" s="48" t="str">
        <f>IF($AC511&gt;0,IF(ISNUMBER(INDEX(CASHBACK_RULES!$J$5:$J$304,$AC511)),INDEX(CASHBACK_RULES!$J$5:$J$304,$AC511),"∞"),"")</f>
        <v/>
      </c>
      <c r="Q511" s="48" t="str">
        <f>IF(OR($B511="",$D511=""),"",IF($AC511=0,0,MAX(0,MIN($O511,IF(ISNUMBER($P511),$P511-$AF511,1E+15),IF(ISNUMBER($AA511),$AA511-$AG511,1E+15)))))</f>
        <v/>
      </c>
      <c r="R511" s="48" t="str">
        <f>IF(OR($B511="",$D511=""),"",IF($AC511=0,"",IF(AND(NOT(ISNUMBER($P511)),NOT(ISNUMBER($AA511))),"∞",MAX(0,MIN(IF(ISNUMBER($P511),$P511-$AF511-$Q511,1E+15),IF(ISNUMBER($AA511),$AA511-$AG511-$Q511,1E+15))))))</f>
        <v/>
      </c>
      <c r="S511" s="47" t="str">
        <f>IF($AD511="","",YEAR($AD511)*100+MONTH($AD511))</f>
        <v/>
      </c>
      <c r="T511" s="50" t="str">
        <f>IF($AD511="","",IFERROR(IF(INDEX(CARDS!$I$5:$I$34,MATCH($D511,CARDS!$A$5:$A$34,0))="","",IF(INDEX(CARDS!$I$5:$I$34,MATCH($D511,CARDS!$A$5:$A$34,0))&gt;INDEX(CARDS!$H$5:$H$34,MATCH($D511,CARDS!$A$5:$A$34,0)),DATE(YEAR($AD511),MONTH($AD511),MIN(INDEX(CARDS!$I$5:$I$34,MATCH($D511,CARDS!$A$5:$A$34,0)),DAY(EOMONTH($AD511,0)))),DATE(YEAR($AD511),MONTH($AD511)+1,MIN(INDEX(CARDS!$I$5:$I$34,MATCH($D511,CARDS!$A$5:$A$34,0)),DAY(EOMONTH($AD511,1)))))),""))</f>
        <v/>
      </c>
      <c r="U511" s="38" t="n"/>
      <c r="V511" s="37" t="n"/>
      <c r="W511" s="38" t="n"/>
      <c r="X511" s="38" t="n"/>
      <c r="Y511" s="44" t="str">
        <f>IF($AC511&gt;0,INDEX(CASHBACK_RULES!$A$5:$A$304,$AC511),"")</f>
        <v/>
      </c>
      <c r="Z511" s="45" t="str">
        <f>IF($AC511&gt;0,INDEX(CASHBACK_RULES!$E$5:$E$304,$AC511)&amp;"","")</f>
        <v/>
      </c>
      <c r="AA511" s="48" t="str">
        <f>IF($AC511&gt;0,IF(ISNUMBER(INDEX(CASHBACK_RULES!$K$5:$K$304,$AC511)),INDEX(CASHBACK_RULES!$K$5:$K$304,$AC511),"∞"),"")</f>
        <v/>
      </c>
      <c r="AB511" s="44" t="str">
        <f>IF(OR($B511="",$D511=""),"",IF($U511="Cancelled","Đã hủy",IF($AC511=0,"Không được hoàn",IF($Q511=0,IF(OR($O511&gt;0,$M511&lt;$L511),"Đã đạt cap","Không được hoàn"),IF(OR($Q511&lt;$O511,$M511&lt;$L511),"Hoàn một phần","Được hoàn")))))</f>
        <v/>
      </c>
      <c r="AC511" s="43">
        <f>IF(OR($B511="",$D511="",$I511="",$L511=""),0,IF($U511="Cancelled",0,IF($W511&lt;&gt;"",IFERROR(IF(INDEX(CASHBACK_RULES!$B$5:$B$304,MATCH($W511,CASHBACK_RULES!$A$5:$A$304,0))=$D511,MATCH($W511,CASHBACK_RULES!$A$5:$A$304,0),0),0),IFERROR(MATCH(1,INDEX((CASHBACK_RULES!$B$5:$B$304=$D511)*(CASHBACK_RULES!$G$5:$G$304=$I511)*(((CASHBACK_RULES!$N$5:$N$304="")+(CASHBACK_RULES!$N$5:$N$304&lt;=$B511))&gt;0)*(((CASHBACK_RULES!$O$5:$O$304="")+(CASHBACK_RULES!$O$5:$O$304&gt;=$B511))&gt;0)*(((CASHBACK_RULES!$M$5:$M$304="")+(CASHBACK_RULES!$M$5:$M$304&lt;=$L511))&gt;0),0),0),0))))</f>
        <v>0</v>
      </c>
      <c r="AD511" s="51" t="str">
        <f>IF(OR($B511="",$D511=""),"",IFERROR(IF(INDEX(CARDS!$H$5:$H$34,MATCH($D511,CARDS!$A$5:$A$34,0))="","",IF(DAY($B511)&lt;=INDEX(CARDS!$H$5:$H$34,MATCH($D511,CARDS!$A$5:$A$34,0)),DATE(YEAR($B511),MONTH($B511),MIN(INDEX(CARDS!$H$5:$H$34,MATCH($D511,CARDS!$A$5:$A$34,0)),DAY(EOMONTH($B511,0)))),DATE(YEAR($B511),MONTH($B511)+1,MIN(INDEX(CARDS!$H$5:$H$34,MATCH($D511,CARDS!$A$5:$A$34,0)),DAY(EOMONTH($B511,1)))))),""))</f>
        <v/>
      </c>
      <c r="AE511" s="52" t="str">
        <f>IF($C511="","",$C511&amp;"|"&amp;COUNTIF($C$5:$C511,$C511))</f>
        <v/>
      </c>
      <c r="AF511" s="53">
        <f>IF($AC511&gt;0,SUMIFS(Q$4:Q510,$D$4:$D510,$D511,$Z$4:$Z510,$Z511,$C$4:$C510,$C511),0)</f>
        <v>0</v>
      </c>
      <c r="AG511" s="53">
        <f>IF($AC511&gt;0,SUMIFS(Q$4:Q510,$D$4:$D510,$D511,$C$4:$C510,$C511),0)</f>
        <v>0</v>
      </c>
      <c r="AH511" s="53">
        <f>IF($AC511&gt;0,SUMIFS(M$4:M510,$D$4:$D510,$D511,$Z$4:$Z510,$Z511,$C$4:$C510,$C511),0)</f>
        <v>0</v>
      </c>
      <c r="AI511" s="43">
        <f>IF(OR($C511="",$I511=""),0,IF(COUNTIFS($C$5:$C511,$C511,$I$5:$I511,$I511)=1,1,0))</f>
        <v>0</v>
      </c>
      <c r="AJ511" s="43" t="str">
        <f>IF($AI511=1,SUMIFS($AI$4:$AI510,$C$4:$C510,$C511)+1,"")</f>
        <v/>
      </c>
      <c r="AK511" s="43">
        <f>IF(OR($C511="",$K511=""),0,IF(COUNTIFS($C$5:$C511,$C511,$K$5:$K511,$K511)=1,1,0))</f>
        <v>0</v>
      </c>
      <c r="AL511" s="43" t="str">
        <f>IF($AK511=1,SUMIFS($AK$4:$AK510,$C$4:$C510,$C511)+1,"")</f>
        <v/>
      </c>
      <c r="AM511" s="43">
        <f>IF(OR($C511="",$G511=""),0,IF(COUNTIFS($C$5:$C511,$C511,$G$5:$G511,$G511)=1,1,0))</f>
        <v>0</v>
      </c>
      <c r="AN511" s="43" t="str">
        <f>IF($AM511=1,SUMIFS($AM$4:$AM510,$C$4:$C510,$C511)+1,"")</f>
        <v/>
      </c>
    </row>
    <row r="512">
      <c r="A512" s="44" t="str">
        <f>IF(OR($B512="",$D512=""),"","TX"&amp;TEXT(ROW()-4,"0000"))</f>
        <v/>
      </c>
      <c r="B512" s="42" t="n"/>
      <c r="C512" s="47" t="str">
        <f>IF($B512="","",YEAR($B512)*100+MONTH($B512))</f>
        <v/>
      </c>
      <c r="D512" s="37" t="n"/>
      <c r="E512" s="45" t="str">
        <f>IF($D512="","",IFERROR(INDEX(CARDS!$B$5:$B$34,MATCH($D512,CARDS!$A$5:$A$34,0)),"⚠ Card ID?"))</f>
        <v/>
      </c>
      <c r="F512" s="45" t="str">
        <f>IF($D512="","",IFERROR(INDEX(CARDS!$C$5:$C$34,MATCH($D512,CARDS!$A$5:$A$34,0)),"⚠ Card ID?"))</f>
        <v/>
      </c>
      <c r="G512" s="37" t="n"/>
      <c r="H512" s="37" t="n"/>
      <c r="I512" s="41" t="n"/>
      <c r="J512" s="45" t="str">
        <f>IF($I512="","",IFERROR(INDEX(MCC_MASTER!$B$5:$B$504,MATCH($I512,MCC_MASTER!$A$5:$A$504,0)),"⚠ MCC chưa có"))</f>
        <v/>
      </c>
      <c r="K512" s="45" t="str">
        <f>IF($I512="","",IFERROR(IF(INDEX(MCC_MASTER!$C$5:$C$504,MATCH($I512,MCC_MASTER!$A$5:$A$504,0))="","Chưa phân loại",INDEX(MCC_MASTER!$C$5:$C$504,MATCH($I512,MCC_MASTER!$A$5:$A$504,0))),"Chưa phân loại"))</f>
        <v/>
      </c>
      <c r="L512" s="40" t="n"/>
      <c r="M512" s="48" t="str">
        <f>IF(OR($B512="",$D512=""),"",IF($AC512=0,0,IF(ISNUMBER(INDEX(CASHBACK_RULES!$L$5:$L$304,$AC512)),MAX(0,MIN($L512,INDEX(CASHBACK_RULES!$L$5:$L$304,$AC512)-$AH512)),MAX(0,$L512))))</f>
        <v/>
      </c>
      <c r="N512" s="49" t="str">
        <f>IF(OR($B512="",$D512=""),"",IF($AC512&gt;0,INDEX(CASHBACK_RULES!$I$5:$I$304,$AC512),0))</f>
        <v/>
      </c>
      <c r="O512" s="48" t="str">
        <f>IF(OR($B512="",$D512=""),"",ROUND($M512*$N512,0))</f>
        <v/>
      </c>
      <c r="P512" s="48" t="str">
        <f>IF($AC512&gt;0,IF(ISNUMBER(INDEX(CASHBACK_RULES!$J$5:$J$304,$AC512)),INDEX(CASHBACK_RULES!$J$5:$J$304,$AC512),"∞"),"")</f>
        <v/>
      </c>
      <c r="Q512" s="48" t="str">
        <f>IF(OR($B512="",$D512=""),"",IF($AC512=0,0,MAX(0,MIN($O512,IF(ISNUMBER($P512),$P512-$AF512,1E+15),IF(ISNUMBER($AA512),$AA512-$AG512,1E+15)))))</f>
        <v/>
      </c>
      <c r="R512" s="48" t="str">
        <f>IF(OR($B512="",$D512=""),"",IF($AC512=0,"",IF(AND(NOT(ISNUMBER($P512)),NOT(ISNUMBER($AA512))),"∞",MAX(0,MIN(IF(ISNUMBER($P512),$P512-$AF512-$Q512,1E+15),IF(ISNUMBER($AA512),$AA512-$AG512-$Q512,1E+15))))))</f>
        <v/>
      </c>
      <c r="S512" s="47" t="str">
        <f>IF($AD512="","",YEAR($AD512)*100+MONTH($AD512))</f>
        <v/>
      </c>
      <c r="T512" s="50" t="str">
        <f>IF($AD512="","",IFERROR(IF(INDEX(CARDS!$I$5:$I$34,MATCH($D512,CARDS!$A$5:$A$34,0))="","",IF(INDEX(CARDS!$I$5:$I$34,MATCH($D512,CARDS!$A$5:$A$34,0))&gt;INDEX(CARDS!$H$5:$H$34,MATCH($D512,CARDS!$A$5:$A$34,0)),DATE(YEAR($AD512),MONTH($AD512),MIN(INDEX(CARDS!$I$5:$I$34,MATCH($D512,CARDS!$A$5:$A$34,0)),DAY(EOMONTH($AD512,0)))),DATE(YEAR($AD512),MONTH($AD512)+1,MIN(INDEX(CARDS!$I$5:$I$34,MATCH($D512,CARDS!$A$5:$A$34,0)),DAY(EOMONTH($AD512,1)))))),""))</f>
        <v/>
      </c>
      <c r="U512" s="38" t="n"/>
      <c r="V512" s="37" t="n"/>
      <c r="W512" s="38" t="n"/>
      <c r="X512" s="38" t="n"/>
      <c r="Y512" s="44" t="str">
        <f>IF($AC512&gt;0,INDEX(CASHBACK_RULES!$A$5:$A$304,$AC512),"")</f>
        <v/>
      </c>
      <c r="Z512" s="45" t="str">
        <f>IF($AC512&gt;0,INDEX(CASHBACK_RULES!$E$5:$E$304,$AC512)&amp;"","")</f>
        <v/>
      </c>
      <c r="AA512" s="48" t="str">
        <f>IF($AC512&gt;0,IF(ISNUMBER(INDEX(CASHBACK_RULES!$K$5:$K$304,$AC512)),INDEX(CASHBACK_RULES!$K$5:$K$304,$AC512),"∞"),"")</f>
        <v/>
      </c>
      <c r="AB512" s="44" t="str">
        <f>IF(OR($B512="",$D512=""),"",IF($U512="Cancelled","Đã hủy",IF($AC512=0,"Không được hoàn",IF($Q512=0,IF(OR($O512&gt;0,$M512&lt;$L512),"Đã đạt cap","Không được hoàn"),IF(OR($Q512&lt;$O512,$M512&lt;$L512),"Hoàn một phần","Được hoàn")))))</f>
        <v/>
      </c>
      <c r="AC512" s="43">
        <f>IF(OR($B512="",$D512="",$I512="",$L512=""),0,IF($U512="Cancelled",0,IF($W512&lt;&gt;"",IFERROR(IF(INDEX(CASHBACK_RULES!$B$5:$B$304,MATCH($W512,CASHBACK_RULES!$A$5:$A$304,0))=$D512,MATCH($W512,CASHBACK_RULES!$A$5:$A$304,0),0),0),IFERROR(MATCH(1,INDEX((CASHBACK_RULES!$B$5:$B$304=$D512)*(CASHBACK_RULES!$G$5:$G$304=$I512)*(((CASHBACK_RULES!$N$5:$N$304="")+(CASHBACK_RULES!$N$5:$N$304&lt;=$B512))&gt;0)*(((CASHBACK_RULES!$O$5:$O$304="")+(CASHBACK_RULES!$O$5:$O$304&gt;=$B512))&gt;0)*(((CASHBACK_RULES!$M$5:$M$304="")+(CASHBACK_RULES!$M$5:$M$304&lt;=$L512))&gt;0),0),0),0))))</f>
        <v>0</v>
      </c>
      <c r="AD512" s="51" t="str">
        <f>IF(OR($B512="",$D512=""),"",IFERROR(IF(INDEX(CARDS!$H$5:$H$34,MATCH($D512,CARDS!$A$5:$A$34,0))="","",IF(DAY($B512)&lt;=INDEX(CARDS!$H$5:$H$34,MATCH($D512,CARDS!$A$5:$A$34,0)),DATE(YEAR($B512),MONTH($B512),MIN(INDEX(CARDS!$H$5:$H$34,MATCH($D512,CARDS!$A$5:$A$34,0)),DAY(EOMONTH($B512,0)))),DATE(YEAR($B512),MONTH($B512)+1,MIN(INDEX(CARDS!$H$5:$H$34,MATCH($D512,CARDS!$A$5:$A$34,0)),DAY(EOMONTH($B512,1)))))),""))</f>
        <v/>
      </c>
      <c r="AE512" s="52" t="str">
        <f>IF($C512="","",$C512&amp;"|"&amp;COUNTIF($C$5:$C512,$C512))</f>
        <v/>
      </c>
      <c r="AF512" s="53">
        <f>IF($AC512&gt;0,SUMIFS(Q$4:Q511,$D$4:$D511,$D512,$Z$4:$Z511,$Z512,$C$4:$C511,$C512),0)</f>
        <v>0</v>
      </c>
      <c r="AG512" s="53">
        <f>IF($AC512&gt;0,SUMIFS(Q$4:Q511,$D$4:$D511,$D512,$C$4:$C511,$C512),0)</f>
        <v>0</v>
      </c>
      <c r="AH512" s="53">
        <f>IF($AC512&gt;0,SUMIFS(M$4:M511,$D$4:$D511,$D512,$Z$4:$Z511,$Z512,$C$4:$C511,$C512),0)</f>
        <v>0</v>
      </c>
      <c r="AI512" s="43">
        <f>IF(OR($C512="",$I512=""),0,IF(COUNTIFS($C$5:$C512,$C512,$I$5:$I512,$I512)=1,1,0))</f>
        <v>0</v>
      </c>
      <c r="AJ512" s="43" t="str">
        <f>IF($AI512=1,SUMIFS($AI$4:$AI511,$C$4:$C511,$C512)+1,"")</f>
        <v/>
      </c>
      <c r="AK512" s="43">
        <f>IF(OR($C512="",$K512=""),0,IF(COUNTIFS($C$5:$C512,$C512,$K$5:$K512,$K512)=1,1,0))</f>
        <v>0</v>
      </c>
      <c r="AL512" s="43" t="str">
        <f>IF($AK512=1,SUMIFS($AK$4:$AK511,$C$4:$C511,$C512)+1,"")</f>
        <v/>
      </c>
      <c r="AM512" s="43">
        <f>IF(OR($C512="",$G512=""),0,IF(COUNTIFS($C$5:$C512,$C512,$G$5:$G512,$G512)=1,1,0))</f>
        <v>0</v>
      </c>
      <c r="AN512" s="43" t="str">
        <f>IF($AM512=1,SUMIFS($AM$4:$AM511,$C$4:$C511,$C512)+1,"")</f>
        <v/>
      </c>
    </row>
    <row r="513">
      <c r="A513" s="44" t="str">
        <f>IF(OR($B513="",$D513=""),"","TX"&amp;TEXT(ROW()-4,"0000"))</f>
        <v/>
      </c>
      <c r="B513" s="42" t="n"/>
      <c r="C513" s="47" t="str">
        <f>IF($B513="","",YEAR($B513)*100+MONTH($B513))</f>
        <v/>
      </c>
      <c r="D513" s="37" t="n"/>
      <c r="E513" s="45" t="str">
        <f>IF($D513="","",IFERROR(INDEX(CARDS!$B$5:$B$34,MATCH($D513,CARDS!$A$5:$A$34,0)),"⚠ Card ID?"))</f>
        <v/>
      </c>
      <c r="F513" s="45" t="str">
        <f>IF($D513="","",IFERROR(INDEX(CARDS!$C$5:$C$34,MATCH($D513,CARDS!$A$5:$A$34,0)),"⚠ Card ID?"))</f>
        <v/>
      </c>
      <c r="G513" s="37" t="n"/>
      <c r="H513" s="37" t="n"/>
      <c r="I513" s="41" t="n"/>
      <c r="J513" s="45" t="str">
        <f>IF($I513="","",IFERROR(INDEX(MCC_MASTER!$B$5:$B$504,MATCH($I513,MCC_MASTER!$A$5:$A$504,0)),"⚠ MCC chưa có"))</f>
        <v/>
      </c>
      <c r="K513" s="45" t="str">
        <f>IF($I513="","",IFERROR(IF(INDEX(MCC_MASTER!$C$5:$C$504,MATCH($I513,MCC_MASTER!$A$5:$A$504,0))="","Chưa phân loại",INDEX(MCC_MASTER!$C$5:$C$504,MATCH($I513,MCC_MASTER!$A$5:$A$504,0))),"Chưa phân loại"))</f>
        <v/>
      </c>
      <c r="L513" s="40" t="n"/>
      <c r="M513" s="48" t="str">
        <f>IF(OR($B513="",$D513=""),"",IF($AC513=0,0,IF(ISNUMBER(INDEX(CASHBACK_RULES!$L$5:$L$304,$AC513)),MAX(0,MIN($L513,INDEX(CASHBACK_RULES!$L$5:$L$304,$AC513)-$AH513)),MAX(0,$L513))))</f>
        <v/>
      </c>
      <c r="N513" s="49" t="str">
        <f>IF(OR($B513="",$D513=""),"",IF($AC513&gt;0,INDEX(CASHBACK_RULES!$I$5:$I$304,$AC513),0))</f>
        <v/>
      </c>
      <c r="O513" s="48" t="str">
        <f>IF(OR($B513="",$D513=""),"",ROUND($M513*$N513,0))</f>
        <v/>
      </c>
      <c r="P513" s="48" t="str">
        <f>IF($AC513&gt;0,IF(ISNUMBER(INDEX(CASHBACK_RULES!$J$5:$J$304,$AC513)),INDEX(CASHBACK_RULES!$J$5:$J$304,$AC513),"∞"),"")</f>
        <v/>
      </c>
      <c r="Q513" s="48" t="str">
        <f>IF(OR($B513="",$D513=""),"",IF($AC513=0,0,MAX(0,MIN($O513,IF(ISNUMBER($P513),$P513-$AF513,1E+15),IF(ISNUMBER($AA513),$AA513-$AG513,1E+15)))))</f>
        <v/>
      </c>
      <c r="R513" s="48" t="str">
        <f>IF(OR($B513="",$D513=""),"",IF($AC513=0,"",IF(AND(NOT(ISNUMBER($P513)),NOT(ISNUMBER($AA513))),"∞",MAX(0,MIN(IF(ISNUMBER($P513),$P513-$AF513-$Q513,1E+15),IF(ISNUMBER($AA513),$AA513-$AG513-$Q513,1E+15))))))</f>
        <v/>
      </c>
      <c r="S513" s="47" t="str">
        <f>IF($AD513="","",YEAR($AD513)*100+MONTH($AD513))</f>
        <v/>
      </c>
      <c r="T513" s="50" t="str">
        <f>IF($AD513="","",IFERROR(IF(INDEX(CARDS!$I$5:$I$34,MATCH($D513,CARDS!$A$5:$A$34,0))="","",IF(INDEX(CARDS!$I$5:$I$34,MATCH($D513,CARDS!$A$5:$A$34,0))&gt;INDEX(CARDS!$H$5:$H$34,MATCH($D513,CARDS!$A$5:$A$34,0)),DATE(YEAR($AD513),MONTH($AD513),MIN(INDEX(CARDS!$I$5:$I$34,MATCH($D513,CARDS!$A$5:$A$34,0)),DAY(EOMONTH($AD513,0)))),DATE(YEAR($AD513),MONTH($AD513)+1,MIN(INDEX(CARDS!$I$5:$I$34,MATCH($D513,CARDS!$A$5:$A$34,0)),DAY(EOMONTH($AD513,1)))))),""))</f>
        <v/>
      </c>
      <c r="U513" s="38" t="n"/>
      <c r="V513" s="37" t="n"/>
      <c r="W513" s="38" t="n"/>
      <c r="X513" s="38" t="n"/>
      <c r="Y513" s="44" t="str">
        <f>IF($AC513&gt;0,INDEX(CASHBACK_RULES!$A$5:$A$304,$AC513),"")</f>
        <v/>
      </c>
      <c r="Z513" s="45" t="str">
        <f>IF($AC513&gt;0,INDEX(CASHBACK_RULES!$E$5:$E$304,$AC513)&amp;"","")</f>
        <v/>
      </c>
      <c r="AA513" s="48" t="str">
        <f>IF($AC513&gt;0,IF(ISNUMBER(INDEX(CASHBACK_RULES!$K$5:$K$304,$AC513)),INDEX(CASHBACK_RULES!$K$5:$K$304,$AC513),"∞"),"")</f>
        <v/>
      </c>
      <c r="AB513" s="44" t="str">
        <f>IF(OR($B513="",$D513=""),"",IF($U513="Cancelled","Đã hủy",IF($AC513=0,"Không được hoàn",IF($Q513=0,IF(OR($O513&gt;0,$M513&lt;$L513),"Đã đạt cap","Không được hoàn"),IF(OR($Q513&lt;$O513,$M513&lt;$L513),"Hoàn một phần","Được hoàn")))))</f>
        <v/>
      </c>
      <c r="AC513" s="43">
        <f>IF(OR($B513="",$D513="",$I513="",$L513=""),0,IF($U513="Cancelled",0,IF($W513&lt;&gt;"",IFERROR(IF(INDEX(CASHBACK_RULES!$B$5:$B$304,MATCH($W513,CASHBACK_RULES!$A$5:$A$304,0))=$D513,MATCH($W513,CASHBACK_RULES!$A$5:$A$304,0),0),0),IFERROR(MATCH(1,INDEX((CASHBACK_RULES!$B$5:$B$304=$D513)*(CASHBACK_RULES!$G$5:$G$304=$I513)*(((CASHBACK_RULES!$N$5:$N$304="")+(CASHBACK_RULES!$N$5:$N$304&lt;=$B513))&gt;0)*(((CASHBACK_RULES!$O$5:$O$304="")+(CASHBACK_RULES!$O$5:$O$304&gt;=$B513))&gt;0)*(((CASHBACK_RULES!$M$5:$M$304="")+(CASHBACK_RULES!$M$5:$M$304&lt;=$L513))&gt;0),0),0),0))))</f>
        <v>0</v>
      </c>
      <c r="AD513" s="51" t="str">
        <f>IF(OR($B513="",$D513=""),"",IFERROR(IF(INDEX(CARDS!$H$5:$H$34,MATCH($D513,CARDS!$A$5:$A$34,0))="","",IF(DAY($B513)&lt;=INDEX(CARDS!$H$5:$H$34,MATCH($D513,CARDS!$A$5:$A$34,0)),DATE(YEAR($B513),MONTH($B513),MIN(INDEX(CARDS!$H$5:$H$34,MATCH($D513,CARDS!$A$5:$A$34,0)),DAY(EOMONTH($B513,0)))),DATE(YEAR($B513),MONTH($B513)+1,MIN(INDEX(CARDS!$H$5:$H$34,MATCH($D513,CARDS!$A$5:$A$34,0)),DAY(EOMONTH($B513,1)))))),""))</f>
        <v/>
      </c>
      <c r="AE513" s="52" t="str">
        <f>IF($C513="","",$C513&amp;"|"&amp;COUNTIF($C$5:$C513,$C513))</f>
        <v/>
      </c>
      <c r="AF513" s="53">
        <f>IF($AC513&gt;0,SUMIFS(Q$4:Q512,$D$4:$D512,$D513,$Z$4:$Z512,$Z513,$C$4:$C512,$C513),0)</f>
        <v>0</v>
      </c>
      <c r="AG513" s="53">
        <f>IF($AC513&gt;0,SUMIFS(Q$4:Q512,$D$4:$D512,$D513,$C$4:$C512,$C513),0)</f>
        <v>0</v>
      </c>
      <c r="AH513" s="53">
        <f>IF($AC513&gt;0,SUMIFS(M$4:M512,$D$4:$D512,$D513,$Z$4:$Z512,$Z513,$C$4:$C512,$C513),0)</f>
        <v>0</v>
      </c>
      <c r="AI513" s="43">
        <f>IF(OR($C513="",$I513=""),0,IF(COUNTIFS($C$5:$C513,$C513,$I$5:$I513,$I513)=1,1,0))</f>
        <v>0</v>
      </c>
      <c r="AJ513" s="43" t="str">
        <f>IF($AI513=1,SUMIFS($AI$4:$AI512,$C$4:$C512,$C513)+1,"")</f>
        <v/>
      </c>
      <c r="AK513" s="43">
        <f>IF(OR($C513="",$K513=""),0,IF(COUNTIFS($C$5:$C513,$C513,$K$5:$K513,$K513)=1,1,0))</f>
        <v>0</v>
      </c>
      <c r="AL513" s="43" t="str">
        <f>IF($AK513=1,SUMIFS($AK$4:$AK512,$C$4:$C512,$C513)+1,"")</f>
        <v/>
      </c>
      <c r="AM513" s="43">
        <f>IF(OR($C513="",$G513=""),0,IF(COUNTIFS($C$5:$C513,$C513,$G$5:$G513,$G513)=1,1,0))</f>
        <v>0</v>
      </c>
      <c r="AN513" s="43" t="str">
        <f>IF($AM513=1,SUMIFS($AM$4:$AM512,$C$4:$C512,$C513)+1,"")</f>
        <v/>
      </c>
    </row>
    <row r="514">
      <c r="A514" s="44" t="str">
        <f>IF(OR($B514="",$D514=""),"","TX"&amp;TEXT(ROW()-4,"0000"))</f>
        <v/>
      </c>
      <c r="B514" s="42" t="n"/>
      <c r="C514" s="47" t="str">
        <f>IF($B514="","",YEAR($B514)*100+MONTH($B514))</f>
        <v/>
      </c>
      <c r="D514" s="37" t="n"/>
      <c r="E514" s="45" t="str">
        <f>IF($D514="","",IFERROR(INDEX(CARDS!$B$5:$B$34,MATCH($D514,CARDS!$A$5:$A$34,0)),"⚠ Card ID?"))</f>
        <v/>
      </c>
      <c r="F514" s="45" t="str">
        <f>IF($D514="","",IFERROR(INDEX(CARDS!$C$5:$C$34,MATCH($D514,CARDS!$A$5:$A$34,0)),"⚠ Card ID?"))</f>
        <v/>
      </c>
      <c r="G514" s="37" t="n"/>
      <c r="H514" s="37" t="n"/>
      <c r="I514" s="41" t="n"/>
      <c r="J514" s="45" t="str">
        <f>IF($I514="","",IFERROR(INDEX(MCC_MASTER!$B$5:$B$504,MATCH($I514,MCC_MASTER!$A$5:$A$504,0)),"⚠ MCC chưa có"))</f>
        <v/>
      </c>
      <c r="K514" s="45" t="str">
        <f>IF($I514="","",IFERROR(IF(INDEX(MCC_MASTER!$C$5:$C$504,MATCH($I514,MCC_MASTER!$A$5:$A$504,0))="","Chưa phân loại",INDEX(MCC_MASTER!$C$5:$C$504,MATCH($I514,MCC_MASTER!$A$5:$A$504,0))),"Chưa phân loại"))</f>
        <v/>
      </c>
      <c r="L514" s="40" t="n"/>
      <c r="M514" s="48" t="str">
        <f>IF(OR($B514="",$D514=""),"",IF($AC514=0,0,IF(ISNUMBER(INDEX(CASHBACK_RULES!$L$5:$L$304,$AC514)),MAX(0,MIN($L514,INDEX(CASHBACK_RULES!$L$5:$L$304,$AC514)-$AH514)),MAX(0,$L514))))</f>
        <v/>
      </c>
      <c r="N514" s="49" t="str">
        <f>IF(OR($B514="",$D514=""),"",IF($AC514&gt;0,INDEX(CASHBACK_RULES!$I$5:$I$304,$AC514),0))</f>
        <v/>
      </c>
      <c r="O514" s="48" t="str">
        <f>IF(OR($B514="",$D514=""),"",ROUND($M514*$N514,0))</f>
        <v/>
      </c>
      <c r="P514" s="48" t="str">
        <f>IF($AC514&gt;0,IF(ISNUMBER(INDEX(CASHBACK_RULES!$J$5:$J$304,$AC514)),INDEX(CASHBACK_RULES!$J$5:$J$304,$AC514),"∞"),"")</f>
        <v/>
      </c>
      <c r="Q514" s="48" t="str">
        <f>IF(OR($B514="",$D514=""),"",IF($AC514=0,0,MAX(0,MIN($O514,IF(ISNUMBER($P514),$P514-$AF514,1E+15),IF(ISNUMBER($AA514),$AA514-$AG514,1E+15)))))</f>
        <v/>
      </c>
      <c r="R514" s="48" t="str">
        <f>IF(OR($B514="",$D514=""),"",IF($AC514=0,"",IF(AND(NOT(ISNUMBER($P514)),NOT(ISNUMBER($AA514))),"∞",MAX(0,MIN(IF(ISNUMBER($P514),$P514-$AF514-$Q514,1E+15),IF(ISNUMBER($AA514),$AA514-$AG514-$Q514,1E+15))))))</f>
        <v/>
      </c>
      <c r="S514" s="47" t="str">
        <f>IF($AD514="","",YEAR($AD514)*100+MONTH($AD514))</f>
        <v/>
      </c>
      <c r="T514" s="50" t="str">
        <f>IF($AD514="","",IFERROR(IF(INDEX(CARDS!$I$5:$I$34,MATCH($D514,CARDS!$A$5:$A$34,0))="","",IF(INDEX(CARDS!$I$5:$I$34,MATCH($D514,CARDS!$A$5:$A$34,0))&gt;INDEX(CARDS!$H$5:$H$34,MATCH($D514,CARDS!$A$5:$A$34,0)),DATE(YEAR($AD514),MONTH($AD514),MIN(INDEX(CARDS!$I$5:$I$34,MATCH($D514,CARDS!$A$5:$A$34,0)),DAY(EOMONTH($AD514,0)))),DATE(YEAR($AD514),MONTH($AD514)+1,MIN(INDEX(CARDS!$I$5:$I$34,MATCH($D514,CARDS!$A$5:$A$34,0)),DAY(EOMONTH($AD514,1)))))),""))</f>
        <v/>
      </c>
      <c r="U514" s="38" t="n"/>
      <c r="V514" s="37" t="n"/>
      <c r="W514" s="38" t="n"/>
      <c r="X514" s="38" t="n"/>
      <c r="Y514" s="44" t="str">
        <f>IF($AC514&gt;0,INDEX(CASHBACK_RULES!$A$5:$A$304,$AC514),"")</f>
        <v/>
      </c>
      <c r="Z514" s="45" t="str">
        <f>IF($AC514&gt;0,INDEX(CASHBACK_RULES!$E$5:$E$304,$AC514)&amp;"","")</f>
        <v/>
      </c>
      <c r="AA514" s="48" t="str">
        <f>IF($AC514&gt;0,IF(ISNUMBER(INDEX(CASHBACK_RULES!$K$5:$K$304,$AC514)),INDEX(CASHBACK_RULES!$K$5:$K$304,$AC514),"∞"),"")</f>
        <v/>
      </c>
      <c r="AB514" s="44" t="str">
        <f>IF(OR($B514="",$D514=""),"",IF($U514="Cancelled","Đã hủy",IF($AC514=0,"Không được hoàn",IF($Q514=0,IF(OR($O514&gt;0,$M514&lt;$L514),"Đã đạt cap","Không được hoàn"),IF(OR($Q514&lt;$O514,$M514&lt;$L514),"Hoàn một phần","Được hoàn")))))</f>
        <v/>
      </c>
      <c r="AC514" s="43">
        <f>IF(OR($B514="",$D514="",$I514="",$L514=""),0,IF($U514="Cancelled",0,IF($W514&lt;&gt;"",IFERROR(IF(INDEX(CASHBACK_RULES!$B$5:$B$304,MATCH($W514,CASHBACK_RULES!$A$5:$A$304,0))=$D514,MATCH($W514,CASHBACK_RULES!$A$5:$A$304,0),0),0),IFERROR(MATCH(1,INDEX((CASHBACK_RULES!$B$5:$B$304=$D514)*(CASHBACK_RULES!$G$5:$G$304=$I514)*(((CASHBACK_RULES!$N$5:$N$304="")+(CASHBACK_RULES!$N$5:$N$304&lt;=$B514))&gt;0)*(((CASHBACK_RULES!$O$5:$O$304="")+(CASHBACK_RULES!$O$5:$O$304&gt;=$B514))&gt;0)*(((CASHBACK_RULES!$M$5:$M$304="")+(CASHBACK_RULES!$M$5:$M$304&lt;=$L514))&gt;0),0),0),0))))</f>
        <v>0</v>
      </c>
      <c r="AD514" s="51" t="str">
        <f>IF(OR($B514="",$D514=""),"",IFERROR(IF(INDEX(CARDS!$H$5:$H$34,MATCH($D514,CARDS!$A$5:$A$34,0))="","",IF(DAY($B514)&lt;=INDEX(CARDS!$H$5:$H$34,MATCH($D514,CARDS!$A$5:$A$34,0)),DATE(YEAR($B514),MONTH($B514),MIN(INDEX(CARDS!$H$5:$H$34,MATCH($D514,CARDS!$A$5:$A$34,0)),DAY(EOMONTH($B514,0)))),DATE(YEAR($B514),MONTH($B514)+1,MIN(INDEX(CARDS!$H$5:$H$34,MATCH($D514,CARDS!$A$5:$A$34,0)),DAY(EOMONTH($B514,1)))))),""))</f>
        <v/>
      </c>
      <c r="AE514" s="52" t="str">
        <f>IF($C514="","",$C514&amp;"|"&amp;COUNTIF($C$5:$C514,$C514))</f>
        <v/>
      </c>
      <c r="AF514" s="53">
        <f>IF($AC514&gt;0,SUMIFS(Q$4:Q513,$D$4:$D513,$D514,$Z$4:$Z513,$Z514,$C$4:$C513,$C514),0)</f>
        <v>0</v>
      </c>
      <c r="AG514" s="53">
        <f>IF($AC514&gt;0,SUMIFS(Q$4:Q513,$D$4:$D513,$D514,$C$4:$C513,$C514),0)</f>
        <v>0</v>
      </c>
      <c r="AH514" s="53">
        <f>IF($AC514&gt;0,SUMIFS(M$4:M513,$D$4:$D513,$D514,$Z$4:$Z513,$Z514,$C$4:$C513,$C514),0)</f>
        <v>0</v>
      </c>
      <c r="AI514" s="43">
        <f>IF(OR($C514="",$I514=""),0,IF(COUNTIFS($C$5:$C514,$C514,$I$5:$I514,$I514)=1,1,0))</f>
        <v>0</v>
      </c>
      <c r="AJ514" s="43" t="str">
        <f>IF($AI514=1,SUMIFS($AI$4:$AI513,$C$4:$C513,$C514)+1,"")</f>
        <v/>
      </c>
      <c r="AK514" s="43">
        <f>IF(OR($C514="",$K514=""),0,IF(COUNTIFS($C$5:$C514,$C514,$K$5:$K514,$K514)=1,1,0))</f>
        <v>0</v>
      </c>
      <c r="AL514" s="43" t="str">
        <f>IF($AK514=1,SUMIFS($AK$4:$AK513,$C$4:$C513,$C514)+1,"")</f>
        <v/>
      </c>
      <c r="AM514" s="43">
        <f>IF(OR($C514="",$G514=""),0,IF(COUNTIFS($C$5:$C514,$C514,$G$5:$G514,$G514)=1,1,0))</f>
        <v>0</v>
      </c>
      <c r="AN514" s="43" t="str">
        <f>IF($AM514=1,SUMIFS($AM$4:$AM513,$C$4:$C513,$C514)+1,"")</f>
        <v/>
      </c>
    </row>
    <row r="515">
      <c r="A515" s="44" t="str">
        <f>IF(OR($B515="",$D515=""),"","TX"&amp;TEXT(ROW()-4,"0000"))</f>
        <v/>
      </c>
      <c r="B515" s="42" t="n"/>
      <c r="C515" s="47" t="str">
        <f>IF($B515="","",YEAR($B515)*100+MONTH($B515))</f>
        <v/>
      </c>
      <c r="D515" s="37" t="n"/>
      <c r="E515" s="45" t="str">
        <f>IF($D515="","",IFERROR(INDEX(CARDS!$B$5:$B$34,MATCH($D515,CARDS!$A$5:$A$34,0)),"⚠ Card ID?"))</f>
        <v/>
      </c>
      <c r="F515" s="45" t="str">
        <f>IF($D515="","",IFERROR(INDEX(CARDS!$C$5:$C$34,MATCH($D515,CARDS!$A$5:$A$34,0)),"⚠ Card ID?"))</f>
        <v/>
      </c>
      <c r="G515" s="37" t="n"/>
      <c r="H515" s="37" t="n"/>
      <c r="I515" s="41" t="n"/>
      <c r="J515" s="45" t="str">
        <f>IF($I515="","",IFERROR(INDEX(MCC_MASTER!$B$5:$B$504,MATCH($I515,MCC_MASTER!$A$5:$A$504,0)),"⚠ MCC chưa có"))</f>
        <v/>
      </c>
      <c r="K515" s="45" t="str">
        <f>IF($I515="","",IFERROR(IF(INDEX(MCC_MASTER!$C$5:$C$504,MATCH($I515,MCC_MASTER!$A$5:$A$504,0))="","Chưa phân loại",INDEX(MCC_MASTER!$C$5:$C$504,MATCH($I515,MCC_MASTER!$A$5:$A$504,0))),"Chưa phân loại"))</f>
        <v/>
      </c>
      <c r="L515" s="40" t="n"/>
      <c r="M515" s="48" t="str">
        <f>IF(OR($B515="",$D515=""),"",IF($AC515=0,0,IF(ISNUMBER(INDEX(CASHBACK_RULES!$L$5:$L$304,$AC515)),MAX(0,MIN($L515,INDEX(CASHBACK_RULES!$L$5:$L$304,$AC515)-$AH515)),MAX(0,$L515))))</f>
        <v/>
      </c>
      <c r="N515" s="49" t="str">
        <f>IF(OR($B515="",$D515=""),"",IF($AC515&gt;0,INDEX(CASHBACK_RULES!$I$5:$I$304,$AC515),0))</f>
        <v/>
      </c>
      <c r="O515" s="48" t="str">
        <f>IF(OR($B515="",$D515=""),"",ROUND($M515*$N515,0))</f>
        <v/>
      </c>
      <c r="P515" s="48" t="str">
        <f>IF($AC515&gt;0,IF(ISNUMBER(INDEX(CASHBACK_RULES!$J$5:$J$304,$AC515)),INDEX(CASHBACK_RULES!$J$5:$J$304,$AC515),"∞"),"")</f>
        <v/>
      </c>
      <c r="Q515" s="48" t="str">
        <f>IF(OR($B515="",$D515=""),"",IF($AC515=0,0,MAX(0,MIN($O515,IF(ISNUMBER($P515),$P515-$AF515,1E+15),IF(ISNUMBER($AA515),$AA515-$AG515,1E+15)))))</f>
        <v/>
      </c>
      <c r="R515" s="48" t="str">
        <f>IF(OR($B515="",$D515=""),"",IF($AC515=0,"",IF(AND(NOT(ISNUMBER($P515)),NOT(ISNUMBER($AA515))),"∞",MAX(0,MIN(IF(ISNUMBER($P515),$P515-$AF515-$Q515,1E+15),IF(ISNUMBER($AA515),$AA515-$AG515-$Q515,1E+15))))))</f>
        <v/>
      </c>
      <c r="S515" s="47" t="str">
        <f>IF($AD515="","",YEAR($AD515)*100+MONTH($AD515))</f>
        <v/>
      </c>
      <c r="T515" s="50" t="str">
        <f>IF($AD515="","",IFERROR(IF(INDEX(CARDS!$I$5:$I$34,MATCH($D515,CARDS!$A$5:$A$34,0))="","",IF(INDEX(CARDS!$I$5:$I$34,MATCH($D515,CARDS!$A$5:$A$34,0))&gt;INDEX(CARDS!$H$5:$H$34,MATCH($D515,CARDS!$A$5:$A$34,0)),DATE(YEAR($AD515),MONTH($AD515),MIN(INDEX(CARDS!$I$5:$I$34,MATCH($D515,CARDS!$A$5:$A$34,0)),DAY(EOMONTH($AD515,0)))),DATE(YEAR($AD515),MONTH($AD515)+1,MIN(INDEX(CARDS!$I$5:$I$34,MATCH($D515,CARDS!$A$5:$A$34,0)),DAY(EOMONTH($AD515,1)))))),""))</f>
        <v/>
      </c>
      <c r="U515" s="38" t="n"/>
      <c r="V515" s="37" t="n"/>
      <c r="W515" s="38" t="n"/>
      <c r="X515" s="38" t="n"/>
      <c r="Y515" s="44" t="str">
        <f>IF($AC515&gt;0,INDEX(CASHBACK_RULES!$A$5:$A$304,$AC515),"")</f>
        <v/>
      </c>
      <c r="Z515" s="45" t="str">
        <f>IF($AC515&gt;0,INDEX(CASHBACK_RULES!$E$5:$E$304,$AC515)&amp;"","")</f>
        <v/>
      </c>
      <c r="AA515" s="48" t="str">
        <f>IF($AC515&gt;0,IF(ISNUMBER(INDEX(CASHBACK_RULES!$K$5:$K$304,$AC515)),INDEX(CASHBACK_RULES!$K$5:$K$304,$AC515),"∞"),"")</f>
        <v/>
      </c>
      <c r="AB515" s="44" t="str">
        <f>IF(OR($B515="",$D515=""),"",IF($U515="Cancelled","Đã hủy",IF($AC515=0,"Không được hoàn",IF($Q515=0,IF(OR($O515&gt;0,$M515&lt;$L515),"Đã đạt cap","Không được hoàn"),IF(OR($Q515&lt;$O515,$M515&lt;$L515),"Hoàn một phần","Được hoàn")))))</f>
        <v/>
      </c>
      <c r="AC515" s="43">
        <f>IF(OR($B515="",$D515="",$I515="",$L515=""),0,IF($U515="Cancelled",0,IF($W515&lt;&gt;"",IFERROR(IF(INDEX(CASHBACK_RULES!$B$5:$B$304,MATCH($W515,CASHBACK_RULES!$A$5:$A$304,0))=$D515,MATCH($W515,CASHBACK_RULES!$A$5:$A$304,0),0),0),IFERROR(MATCH(1,INDEX((CASHBACK_RULES!$B$5:$B$304=$D515)*(CASHBACK_RULES!$G$5:$G$304=$I515)*(((CASHBACK_RULES!$N$5:$N$304="")+(CASHBACK_RULES!$N$5:$N$304&lt;=$B515))&gt;0)*(((CASHBACK_RULES!$O$5:$O$304="")+(CASHBACK_RULES!$O$5:$O$304&gt;=$B515))&gt;0)*(((CASHBACK_RULES!$M$5:$M$304="")+(CASHBACK_RULES!$M$5:$M$304&lt;=$L515))&gt;0),0),0),0))))</f>
        <v>0</v>
      </c>
      <c r="AD515" s="51" t="str">
        <f>IF(OR($B515="",$D515=""),"",IFERROR(IF(INDEX(CARDS!$H$5:$H$34,MATCH($D515,CARDS!$A$5:$A$34,0))="","",IF(DAY($B515)&lt;=INDEX(CARDS!$H$5:$H$34,MATCH($D515,CARDS!$A$5:$A$34,0)),DATE(YEAR($B515),MONTH($B515),MIN(INDEX(CARDS!$H$5:$H$34,MATCH($D515,CARDS!$A$5:$A$34,0)),DAY(EOMONTH($B515,0)))),DATE(YEAR($B515),MONTH($B515)+1,MIN(INDEX(CARDS!$H$5:$H$34,MATCH($D515,CARDS!$A$5:$A$34,0)),DAY(EOMONTH($B515,1)))))),""))</f>
        <v/>
      </c>
      <c r="AE515" s="52" t="str">
        <f>IF($C515="","",$C515&amp;"|"&amp;COUNTIF($C$5:$C515,$C515))</f>
        <v/>
      </c>
      <c r="AF515" s="53">
        <f>IF($AC515&gt;0,SUMIFS(Q$4:Q514,$D$4:$D514,$D515,$Z$4:$Z514,$Z515,$C$4:$C514,$C515),0)</f>
        <v>0</v>
      </c>
      <c r="AG515" s="53">
        <f>IF($AC515&gt;0,SUMIFS(Q$4:Q514,$D$4:$D514,$D515,$C$4:$C514,$C515),0)</f>
        <v>0</v>
      </c>
      <c r="AH515" s="53">
        <f>IF($AC515&gt;0,SUMIFS(M$4:M514,$D$4:$D514,$D515,$Z$4:$Z514,$Z515,$C$4:$C514,$C515),0)</f>
        <v>0</v>
      </c>
      <c r="AI515" s="43">
        <f>IF(OR($C515="",$I515=""),0,IF(COUNTIFS($C$5:$C515,$C515,$I$5:$I515,$I515)=1,1,0))</f>
        <v>0</v>
      </c>
      <c r="AJ515" s="43" t="str">
        <f>IF($AI515=1,SUMIFS($AI$4:$AI514,$C$4:$C514,$C515)+1,"")</f>
        <v/>
      </c>
      <c r="AK515" s="43">
        <f>IF(OR($C515="",$K515=""),0,IF(COUNTIFS($C$5:$C515,$C515,$K$5:$K515,$K515)=1,1,0))</f>
        <v>0</v>
      </c>
      <c r="AL515" s="43" t="str">
        <f>IF($AK515=1,SUMIFS($AK$4:$AK514,$C$4:$C514,$C515)+1,"")</f>
        <v/>
      </c>
      <c r="AM515" s="43">
        <f>IF(OR($C515="",$G515=""),0,IF(COUNTIFS($C$5:$C515,$C515,$G$5:$G515,$G515)=1,1,0))</f>
        <v>0</v>
      </c>
      <c r="AN515" s="43" t="str">
        <f>IF($AM515=1,SUMIFS($AM$4:$AM514,$C$4:$C514,$C515)+1,"")</f>
        <v/>
      </c>
    </row>
    <row r="516">
      <c r="A516" s="44" t="str">
        <f>IF(OR($B516="",$D516=""),"","TX"&amp;TEXT(ROW()-4,"0000"))</f>
        <v/>
      </c>
      <c r="B516" s="42" t="n"/>
      <c r="C516" s="47" t="str">
        <f>IF($B516="","",YEAR($B516)*100+MONTH($B516))</f>
        <v/>
      </c>
      <c r="D516" s="37" t="n"/>
      <c r="E516" s="45" t="str">
        <f>IF($D516="","",IFERROR(INDEX(CARDS!$B$5:$B$34,MATCH($D516,CARDS!$A$5:$A$34,0)),"⚠ Card ID?"))</f>
        <v/>
      </c>
      <c r="F516" s="45" t="str">
        <f>IF($D516="","",IFERROR(INDEX(CARDS!$C$5:$C$34,MATCH($D516,CARDS!$A$5:$A$34,0)),"⚠ Card ID?"))</f>
        <v/>
      </c>
      <c r="G516" s="37" t="n"/>
      <c r="H516" s="37" t="n"/>
      <c r="I516" s="41" t="n"/>
      <c r="J516" s="45" t="str">
        <f>IF($I516="","",IFERROR(INDEX(MCC_MASTER!$B$5:$B$504,MATCH($I516,MCC_MASTER!$A$5:$A$504,0)),"⚠ MCC chưa có"))</f>
        <v/>
      </c>
      <c r="K516" s="45" t="str">
        <f>IF($I516="","",IFERROR(IF(INDEX(MCC_MASTER!$C$5:$C$504,MATCH($I516,MCC_MASTER!$A$5:$A$504,0))="","Chưa phân loại",INDEX(MCC_MASTER!$C$5:$C$504,MATCH($I516,MCC_MASTER!$A$5:$A$504,0))),"Chưa phân loại"))</f>
        <v/>
      </c>
      <c r="L516" s="40" t="n"/>
      <c r="M516" s="48" t="str">
        <f>IF(OR($B516="",$D516=""),"",IF($AC516=0,0,IF(ISNUMBER(INDEX(CASHBACK_RULES!$L$5:$L$304,$AC516)),MAX(0,MIN($L516,INDEX(CASHBACK_RULES!$L$5:$L$304,$AC516)-$AH516)),MAX(0,$L516))))</f>
        <v/>
      </c>
      <c r="N516" s="49" t="str">
        <f>IF(OR($B516="",$D516=""),"",IF($AC516&gt;0,INDEX(CASHBACK_RULES!$I$5:$I$304,$AC516),0))</f>
        <v/>
      </c>
      <c r="O516" s="48" t="str">
        <f>IF(OR($B516="",$D516=""),"",ROUND($M516*$N516,0))</f>
        <v/>
      </c>
      <c r="P516" s="48" t="str">
        <f>IF($AC516&gt;0,IF(ISNUMBER(INDEX(CASHBACK_RULES!$J$5:$J$304,$AC516)),INDEX(CASHBACK_RULES!$J$5:$J$304,$AC516),"∞"),"")</f>
        <v/>
      </c>
      <c r="Q516" s="48" t="str">
        <f>IF(OR($B516="",$D516=""),"",IF($AC516=0,0,MAX(0,MIN($O516,IF(ISNUMBER($P516),$P516-$AF516,1E+15),IF(ISNUMBER($AA516),$AA516-$AG516,1E+15)))))</f>
        <v/>
      </c>
      <c r="R516" s="48" t="str">
        <f>IF(OR($B516="",$D516=""),"",IF($AC516=0,"",IF(AND(NOT(ISNUMBER($P516)),NOT(ISNUMBER($AA516))),"∞",MAX(0,MIN(IF(ISNUMBER($P516),$P516-$AF516-$Q516,1E+15),IF(ISNUMBER($AA516),$AA516-$AG516-$Q516,1E+15))))))</f>
        <v/>
      </c>
      <c r="S516" s="47" t="str">
        <f>IF($AD516="","",YEAR($AD516)*100+MONTH($AD516))</f>
        <v/>
      </c>
      <c r="T516" s="50" t="str">
        <f>IF($AD516="","",IFERROR(IF(INDEX(CARDS!$I$5:$I$34,MATCH($D516,CARDS!$A$5:$A$34,0))="","",IF(INDEX(CARDS!$I$5:$I$34,MATCH($D516,CARDS!$A$5:$A$34,0))&gt;INDEX(CARDS!$H$5:$H$34,MATCH($D516,CARDS!$A$5:$A$34,0)),DATE(YEAR($AD516),MONTH($AD516),MIN(INDEX(CARDS!$I$5:$I$34,MATCH($D516,CARDS!$A$5:$A$34,0)),DAY(EOMONTH($AD516,0)))),DATE(YEAR($AD516),MONTH($AD516)+1,MIN(INDEX(CARDS!$I$5:$I$34,MATCH($D516,CARDS!$A$5:$A$34,0)),DAY(EOMONTH($AD516,1)))))),""))</f>
        <v/>
      </c>
      <c r="U516" s="38" t="n"/>
      <c r="V516" s="37" t="n"/>
      <c r="W516" s="38" t="n"/>
      <c r="X516" s="38" t="n"/>
      <c r="Y516" s="44" t="str">
        <f>IF($AC516&gt;0,INDEX(CASHBACK_RULES!$A$5:$A$304,$AC516),"")</f>
        <v/>
      </c>
      <c r="Z516" s="45" t="str">
        <f>IF($AC516&gt;0,INDEX(CASHBACK_RULES!$E$5:$E$304,$AC516)&amp;"","")</f>
        <v/>
      </c>
      <c r="AA516" s="48" t="str">
        <f>IF($AC516&gt;0,IF(ISNUMBER(INDEX(CASHBACK_RULES!$K$5:$K$304,$AC516)),INDEX(CASHBACK_RULES!$K$5:$K$304,$AC516),"∞"),"")</f>
        <v/>
      </c>
      <c r="AB516" s="44" t="str">
        <f>IF(OR($B516="",$D516=""),"",IF($U516="Cancelled","Đã hủy",IF($AC516=0,"Không được hoàn",IF($Q516=0,IF(OR($O516&gt;0,$M516&lt;$L516),"Đã đạt cap","Không được hoàn"),IF(OR($Q516&lt;$O516,$M516&lt;$L516),"Hoàn một phần","Được hoàn")))))</f>
        <v/>
      </c>
      <c r="AC516" s="43">
        <f>IF(OR($B516="",$D516="",$I516="",$L516=""),0,IF($U516="Cancelled",0,IF($W516&lt;&gt;"",IFERROR(IF(INDEX(CASHBACK_RULES!$B$5:$B$304,MATCH($W516,CASHBACK_RULES!$A$5:$A$304,0))=$D516,MATCH($W516,CASHBACK_RULES!$A$5:$A$304,0),0),0),IFERROR(MATCH(1,INDEX((CASHBACK_RULES!$B$5:$B$304=$D516)*(CASHBACK_RULES!$G$5:$G$304=$I516)*(((CASHBACK_RULES!$N$5:$N$304="")+(CASHBACK_RULES!$N$5:$N$304&lt;=$B516))&gt;0)*(((CASHBACK_RULES!$O$5:$O$304="")+(CASHBACK_RULES!$O$5:$O$304&gt;=$B516))&gt;0)*(((CASHBACK_RULES!$M$5:$M$304="")+(CASHBACK_RULES!$M$5:$M$304&lt;=$L516))&gt;0),0),0),0))))</f>
        <v>0</v>
      </c>
      <c r="AD516" s="51" t="str">
        <f>IF(OR($B516="",$D516=""),"",IFERROR(IF(INDEX(CARDS!$H$5:$H$34,MATCH($D516,CARDS!$A$5:$A$34,0))="","",IF(DAY($B516)&lt;=INDEX(CARDS!$H$5:$H$34,MATCH($D516,CARDS!$A$5:$A$34,0)),DATE(YEAR($B516),MONTH($B516),MIN(INDEX(CARDS!$H$5:$H$34,MATCH($D516,CARDS!$A$5:$A$34,0)),DAY(EOMONTH($B516,0)))),DATE(YEAR($B516),MONTH($B516)+1,MIN(INDEX(CARDS!$H$5:$H$34,MATCH($D516,CARDS!$A$5:$A$34,0)),DAY(EOMONTH($B516,1)))))),""))</f>
        <v/>
      </c>
      <c r="AE516" s="52" t="str">
        <f>IF($C516="","",$C516&amp;"|"&amp;COUNTIF($C$5:$C516,$C516))</f>
        <v/>
      </c>
      <c r="AF516" s="53">
        <f>IF($AC516&gt;0,SUMIFS(Q$4:Q515,$D$4:$D515,$D516,$Z$4:$Z515,$Z516,$C$4:$C515,$C516),0)</f>
        <v>0</v>
      </c>
      <c r="AG516" s="53">
        <f>IF($AC516&gt;0,SUMIFS(Q$4:Q515,$D$4:$D515,$D516,$C$4:$C515,$C516),0)</f>
        <v>0</v>
      </c>
      <c r="AH516" s="53">
        <f>IF($AC516&gt;0,SUMIFS(M$4:M515,$D$4:$D515,$D516,$Z$4:$Z515,$Z516,$C$4:$C515,$C516),0)</f>
        <v>0</v>
      </c>
      <c r="AI516" s="43">
        <f>IF(OR($C516="",$I516=""),0,IF(COUNTIFS($C$5:$C516,$C516,$I$5:$I516,$I516)=1,1,0))</f>
        <v>0</v>
      </c>
      <c r="AJ516" s="43" t="str">
        <f>IF($AI516=1,SUMIFS($AI$4:$AI515,$C$4:$C515,$C516)+1,"")</f>
        <v/>
      </c>
      <c r="AK516" s="43">
        <f>IF(OR($C516="",$K516=""),0,IF(COUNTIFS($C$5:$C516,$C516,$K$5:$K516,$K516)=1,1,0))</f>
        <v>0</v>
      </c>
      <c r="AL516" s="43" t="str">
        <f>IF($AK516=1,SUMIFS($AK$4:$AK515,$C$4:$C515,$C516)+1,"")</f>
        <v/>
      </c>
      <c r="AM516" s="43">
        <f>IF(OR($C516="",$G516=""),0,IF(COUNTIFS($C$5:$C516,$C516,$G$5:$G516,$G516)=1,1,0))</f>
        <v>0</v>
      </c>
      <c r="AN516" s="43" t="str">
        <f>IF($AM516=1,SUMIFS($AM$4:$AM515,$C$4:$C515,$C516)+1,"")</f>
        <v/>
      </c>
    </row>
    <row r="517">
      <c r="A517" s="44" t="str">
        <f>IF(OR($B517="",$D517=""),"","TX"&amp;TEXT(ROW()-4,"0000"))</f>
        <v/>
      </c>
      <c r="B517" s="42" t="n"/>
      <c r="C517" s="47" t="str">
        <f>IF($B517="","",YEAR($B517)*100+MONTH($B517))</f>
        <v/>
      </c>
      <c r="D517" s="37" t="n"/>
      <c r="E517" s="45" t="str">
        <f>IF($D517="","",IFERROR(INDEX(CARDS!$B$5:$B$34,MATCH($D517,CARDS!$A$5:$A$34,0)),"⚠ Card ID?"))</f>
        <v/>
      </c>
      <c r="F517" s="45" t="str">
        <f>IF($D517="","",IFERROR(INDEX(CARDS!$C$5:$C$34,MATCH($D517,CARDS!$A$5:$A$34,0)),"⚠ Card ID?"))</f>
        <v/>
      </c>
      <c r="G517" s="37" t="n"/>
      <c r="H517" s="37" t="n"/>
      <c r="I517" s="41" t="n"/>
      <c r="J517" s="45" t="str">
        <f>IF($I517="","",IFERROR(INDEX(MCC_MASTER!$B$5:$B$504,MATCH($I517,MCC_MASTER!$A$5:$A$504,0)),"⚠ MCC chưa có"))</f>
        <v/>
      </c>
      <c r="K517" s="45" t="str">
        <f>IF($I517="","",IFERROR(IF(INDEX(MCC_MASTER!$C$5:$C$504,MATCH($I517,MCC_MASTER!$A$5:$A$504,0))="","Chưa phân loại",INDEX(MCC_MASTER!$C$5:$C$504,MATCH($I517,MCC_MASTER!$A$5:$A$504,0))),"Chưa phân loại"))</f>
        <v/>
      </c>
      <c r="L517" s="40" t="n"/>
      <c r="M517" s="48" t="str">
        <f>IF(OR($B517="",$D517=""),"",IF($AC517=0,0,IF(ISNUMBER(INDEX(CASHBACK_RULES!$L$5:$L$304,$AC517)),MAX(0,MIN($L517,INDEX(CASHBACK_RULES!$L$5:$L$304,$AC517)-$AH517)),MAX(0,$L517))))</f>
        <v/>
      </c>
      <c r="N517" s="49" t="str">
        <f>IF(OR($B517="",$D517=""),"",IF($AC517&gt;0,INDEX(CASHBACK_RULES!$I$5:$I$304,$AC517),0))</f>
        <v/>
      </c>
      <c r="O517" s="48" t="str">
        <f>IF(OR($B517="",$D517=""),"",ROUND($M517*$N517,0))</f>
        <v/>
      </c>
      <c r="P517" s="48" t="str">
        <f>IF($AC517&gt;0,IF(ISNUMBER(INDEX(CASHBACK_RULES!$J$5:$J$304,$AC517)),INDEX(CASHBACK_RULES!$J$5:$J$304,$AC517),"∞"),"")</f>
        <v/>
      </c>
      <c r="Q517" s="48" t="str">
        <f>IF(OR($B517="",$D517=""),"",IF($AC517=0,0,MAX(0,MIN($O517,IF(ISNUMBER($P517),$P517-$AF517,1E+15),IF(ISNUMBER($AA517),$AA517-$AG517,1E+15)))))</f>
        <v/>
      </c>
      <c r="R517" s="48" t="str">
        <f>IF(OR($B517="",$D517=""),"",IF($AC517=0,"",IF(AND(NOT(ISNUMBER($P517)),NOT(ISNUMBER($AA517))),"∞",MAX(0,MIN(IF(ISNUMBER($P517),$P517-$AF517-$Q517,1E+15),IF(ISNUMBER($AA517),$AA517-$AG517-$Q517,1E+15))))))</f>
        <v/>
      </c>
      <c r="S517" s="47" t="str">
        <f>IF($AD517="","",YEAR($AD517)*100+MONTH($AD517))</f>
        <v/>
      </c>
      <c r="T517" s="50" t="str">
        <f>IF($AD517="","",IFERROR(IF(INDEX(CARDS!$I$5:$I$34,MATCH($D517,CARDS!$A$5:$A$34,0))="","",IF(INDEX(CARDS!$I$5:$I$34,MATCH($D517,CARDS!$A$5:$A$34,0))&gt;INDEX(CARDS!$H$5:$H$34,MATCH($D517,CARDS!$A$5:$A$34,0)),DATE(YEAR($AD517),MONTH($AD517),MIN(INDEX(CARDS!$I$5:$I$34,MATCH($D517,CARDS!$A$5:$A$34,0)),DAY(EOMONTH($AD517,0)))),DATE(YEAR($AD517),MONTH($AD517)+1,MIN(INDEX(CARDS!$I$5:$I$34,MATCH($D517,CARDS!$A$5:$A$34,0)),DAY(EOMONTH($AD517,1)))))),""))</f>
        <v/>
      </c>
      <c r="U517" s="38" t="n"/>
      <c r="V517" s="37" t="n"/>
      <c r="W517" s="38" t="n"/>
      <c r="X517" s="38" t="n"/>
      <c r="Y517" s="44" t="str">
        <f>IF($AC517&gt;0,INDEX(CASHBACK_RULES!$A$5:$A$304,$AC517),"")</f>
        <v/>
      </c>
      <c r="Z517" s="45" t="str">
        <f>IF($AC517&gt;0,INDEX(CASHBACK_RULES!$E$5:$E$304,$AC517)&amp;"","")</f>
        <v/>
      </c>
      <c r="AA517" s="48" t="str">
        <f>IF($AC517&gt;0,IF(ISNUMBER(INDEX(CASHBACK_RULES!$K$5:$K$304,$AC517)),INDEX(CASHBACK_RULES!$K$5:$K$304,$AC517),"∞"),"")</f>
        <v/>
      </c>
      <c r="AB517" s="44" t="str">
        <f>IF(OR($B517="",$D517=""),"",IF($U517="Cancelled","Đã hủy",IF($AC517=0,"Không được hoàn",IF($Q517=0,IF(OR($O517&gt;0,$M517&lt;$L517),"Đã đạt cap","Không được hoàn"),IF(OR($Q517&lt;$O517,$M517&lt;$L517),"Hoàn một phần","Được hoàn")))))</f>
        <v/>
      </c>
      <c r="AC517" s="43">
        <f>IF(OR($B517="",$D517="",$I517="",$L517=""),0,IF($U517="Cancelled",0,IF($W517&lt;&gt;"",IFERROR(IF(INDEX(CASHBACK_RULES!$B$5:$B$304,MATCH($W517,CASHBACK_RULES!$A$5:$A$304,0))=$D517,MATCH($W517,CASHBACK_RULES!$A$5:$A$304,0),0),0),IFERROR(MATCH(1,INDEX((CASHBACK_RULES!$B$5:$B$304=$D517)*(CASHBACK_RULES!$G$5:$G$304=$I517)*(((CASHBACK_RULES!$N$5:$N$304="")+(CASHBACK_RULES!$N$5:$N$304&lt;=$B517))&gt;0)*(((CASHBACK_RULES!$O$5:$O$304="")+(CASHBACK_RULES!$O$5:$O$304&gt;=$B517))&gt;0)*(((CASHBACK_RULES!$M$5:$M$304="")+(CASHBACK_RULES!$M$5:$M$304&lt;=$L517))&gt;0),0),0),0))))</f>
        <v>0</v>
      </c>
      <c r="AD517" s="51" t="str">
        <f>IF(OR($B517="",$D517=""),"",IFERROR(IF(INDEX(CARDS!$H$5:$H$34,MATCH($D517,CARDS!$A$5:$A$34,0))="","",IF(DAY($B517)&lt;=INDEX(CARDS!$H$5:$H$34,MATCH($D517,CARDS!$A$5:$A$34,0)),DATE(YEAR($B517),MONTH($B517),MIN(INDEX(CARDS!$H$5:$H$34,MATCH($D517,CARDS!$A$5:$A$34,0)),DAY(EOMONTH($B517,0)))),DATE(YEAR($B517),MONTH($B517)+1,MIN(INDEX(CARDS!$H$5:$H$34,MATCH($D517,CARDS!$A$5:$A$34,0)),DAY(EOMONTH($B517,1)))))),""))</f>
        <v/>
      </c>
      <c r="AE517" s="52" t="str">
        <f>IF($C517="","",$C517&amp;"|"&amp;COUNTIF($C$5:$C517,$C517))</f>
        <v/>
      </c>
      <c r="AF517" s="53">
        <f>IF($AC517&gt;0,SUMIFS(Q$4:Q516,$D$4:$D516,$D517,$Z$4:$Z516,$Z517,$C$4:$C516,$C517),0)</f>
        <v>0</v>
      </c>
      <c r="AG517" s="53">
        <f>IF($AC517&gt;0,SUMIFS(Q$4:Q516,$D$4:$D516,$D517,$C$4:$C516,$C517),0)</f>
        <v>0</v>
      </c>
      <c r="AH517" s="53">
        <f>IF($AC517&gt;0,SUMIFS(M$4:M516,$D$4:$D516,$D517,$Z$4:$Z516,$Z517,$C$4:$C516,$C517),0)</f>
        <v>0</v>
      </c>
      <c r="AI517" s="43">
        <f>IF(OR($C517="",$I517=""),0,IF(COUNTIFS($C$5:$C517,$C517,$I$5:$I517,$I517)=1,1,0))</f>
        <v>0</v>
      </c>
      <c r="AJ517" s="43" t="str">
        <f>IF($AI517=1,SUMIFS($AI$4:$AI516,$C$4:$C516,$C517)+1,"")</f>
        <v/>
      </c>
      <c r="AK517" s="43">
        <f>IF(OR($C517="",$K517=""),0,IF(COUNTIFS($C$5:$C517,$C517,$K$5:$K517,$K517)=1,1,0))</f>
        <v>0</v>
      </c>
      <c r="AL517" s="43" t="str">
        <f>IF($AK517=1,SUMIFS($AK$4:$AK516,$C$4:$C516,$C517)+1,"")</f>
        <v/>
      </c>
      <c r="AM517" s="43">
        <f>IF(OR($C517="",$G517=""),0,IF(COUNTIFS($C$5:$C517,$C517,$G$5:$G517,$G517)=1,1,0))</f>
        <v>0</v>
      </c>
      <c r="AN517" s="43" t="str">
        <f>IF($AM517=1,SUMIFS($AM$4:$AM516,$C$4:$C516,$C517)+1,"")</f>
        <v/>
      </c>
    </row>
    <row r="518">
      <c r="A518" s="44" t="str">
        <f>IF(OR($B518="",$D518=""),"","TX"&amp;TEXT(ROW()-4,"0000"))</f>
        <v/>
      </c>
      <c r="B518" s="42" t="n"/>
      <c r="C518" s="47" t="str">
        <f>IF($B518="","",YEAR($B518)*100+MONTH($B518))</f>
        <v/>
      </c>
      <c r="D518" s="37" t="n"/>
      <c r="E518" s="45" t="str">
        <f>IF($D518="","",IFERROR(INDEX(CARDS!$B$5:$B$34,MATCH($D518,CARDS!$A$5:$A$34,0)),"⚠ Card ID?"))</f>
        <v/>
      </c>
      <c r="F518" s="45" t="str">
        <f>IF($D518="","",IFERROR(INDEX(CARDS!$C$5:$C$34,MATCH($D518,CARDS!$A$5:$A$34,0)),"⚠ Card ID?"))</f>
        <v/>
      </c>
      <c r="G518" s="37" t="n"/>
      <c r="H518" s="37" t="n"/>
      <c r="I518" s="41" t="n"/>
      <c r="J518" s="45" t="str">
        <f>IF($I518="","",IFERROR(INDEX(MCC_MASTER!$B$5:$B$504,MATCH($I518,MCC_MASTER!$A$5:$A$504,0)),"⚠ MCC chưa có"))</f>
        <v/>
      </c>
      <c r="K518" s="45" t="str">
        <f>IF($I518="","",IFERROR(IF(INDEX(MCC_MASTER!$C$5:$C$504,MATCH($I518,MCC_MASTER!$A$5:$A$504,0))="","Chưa phân loại",INDEX(MCC_MASTER!$C$5:$C$504,MATCH($I518,MCC_MASTER!$A$5:$A$504,0))),"Chưa phân loại"))</f>
        <v/>
      </c>
      <c r="L518" s="40" t="n"/>
      <c r="M518" s="48" t="str">
        <f>IF(OR($B518="",$D518=""),"",IF($AC518=0,0,IF(ISNUMBER(INDEX(CASHBACK_RULES!$L$5:$L$304,$AC518)),MAX(0,MIN($L518,INDEX(CASHBACK_RULES!$L$5:$L$304,$AC518)-$AH518)),MAX(0,$L518))))</f>
        <v/>
      </c>
      <c r="N518" s="49" t="str">
        <f>IF(OR($B518="",$D518=""),"",IF($AC518&gt;0,INDEX(CASHBACK_RULES!$I$5:$I$304,$AC518),0))</f>
        <v/>
      </c>
      <c r="O518" s="48" t="str">
        <f>IF(OR($B518="",$D518=""),"",ROUND($M518*$N518,0))</f>
        <v/>
      </c>
      <c r="P518" s="48" t="str">
        <f>IF($AC518&gt;0,IF(ISNUMBER(INDEX(CASHBACK_RULES!$J$5:$J$304,$AC518)),INDEX(CASHBACK_RULES!$J$5:$J$304,$AC518),"∞"),"")</f>
        <v/>
      </c>
      <c r="Q518" s="48" t="str">
        <f>IF(OR($B518="",$D518=""),"",IF($AC518=0,0,MAX(0,MIN($O518,IF(ISNUMBER($P518),$P518-$AF518,1E+15),IF(ISNUMBER($AA518),$AA518-$AG518,1E+15)))))</f>
        <v/>
      </c>
      <c r="R518" s="48" t="str">
        <f>IF(OR($B518="",$D518=""),"",IF($AC518=0,"",IF(AND(NOT(ISNUMBER($P518)),NOT(ISNUMBER($AA518))),"∞",MAX(0,MIN(IF(ISNUMBER($P518),$P518-$AF518-$Q518,1E+15),IF(ISNUMBER($AA518),$AA518-$AG518-$Q518,1E+15))))))</f>
        <v/>
      </c>
      <c r="S518" s="47" t="str">
        <f>IF($AD518="","",YEAR($AD518)*100+MONTH($AD518))</f>
        <v/>
      </c>
      <c r="T518" s="50" t="str">
        <f>IF($AD518="","",IFERROR(IF(INDEX(CARDS!$I$5:$I$34,MATCH($D518,CARDS!$A$5:$A$34,0))="","",IF(INDEX(CARDS!$I$5:$I$34,MATCH($D518,CARDS!$A$5:$A$34,0))&gt;INDEX(CARDS!$H$5:$H$34,MATCH($D518,CARDS!$A$5:$A$34,0)),DATE(YEAR($AD518),MONTH($AD518),MIN(INDEX(CARDS!$I$5:$I$34,MATCH($D518,CARDS!$A$5:$A$34,0)),DAY(EOMONTH($AD518,0)))),DATE(YEAR($AD518),MONTH($AD518)+1,MIN(INDEX(CARDS!$I$5:$I$34,MATCH($D518,CARDS!$A$5:$A$34,0)),DAY(EOMONTH($AD518,1)))))),""))</f>
        <v/>
      </c>
      <c r="U518" s="38" t="n"/>
      <c r="V518" s="37" t="n"/>
      <c r="W518" s="38" t="n"/>
      <c r="X518" s="38" t="n"/>
      <c r="Y518" s="44" t="str">
        <f>IF($AC518&gt;0,INDEX(CASHBACK_RULES!$A$5:$A$304,$AC518),"")</f>
        <v/>
      </c>
      <c r="Z518" s="45" t="str">
        <f>IF($AC518&gt;0,INDEX(CASHBACK_RULES!$E$5:$E$304,$AC518)&amp;"","")</f>
        <v/>
      </c>
      <c r="AA518" s="48" t="str">
        <f>IF($AC518&gt;0,IF(ISNUMBER(INDEX(CASHBACK_RULES!$K$5:$K$304,$AC518)),INDEX(CASHBACK_RULES!$K$5:$K$304,$AC518),"∞"),"")</f>
        <v/>
      </c>
      <c r="AB518" s="44" t="str">
        <f>IF(OR($B518="",$D518=""),"",IF($U518="Cancelled","Đã hủy",IF($AC518=0,"Không được hoàn",IF($Q518=0,IF(OR($O518&gt;0,$M518&lt;$L518),"Đã đạt cap","Không được hoàn"),IF(OR($Q518&lt;$O518,$M518&lt;$L518),"Hoàn một phần","Được hoàn")))))</f>
        <v/>
      </c>
      <c r="AC518" s="43">
        <f>IF(OR($B518="",$D518="",$I518="",$L518=""),0,IF($U518="Cancelled",0,IF($W518&lt;&gt;"",IFERROR(IF(INDEX(CASHBACK_RULES!$B$5:$B$304,MATCH($W518,CASHBACK_RULES!$A$5:$A$304,0))=$D518,MATCH($W518,CASHBACK_RULES!$A$5:$A$304,0),0),0),IFERROR(MATCH(1,INDEX((CASHBACK_RULES!$B$5:$B$304=$D518)*(CASHBACK_RULES!$G$5:$G$304=$I518)*(((CASHBACK_RULES!$N$5:$N$304="")+(CASHBACK_RULES!$N$5:$N$304&lt;=$B518))&gt;0)*(((CASHBACK_RULES!$O$5:$O$304="")+(CASHBACK_RULES!$O$5:$O$304&gt;=$B518))&gt;0)*(((CASHBACK_RULES!$M$5:$M$304="")+(CASHBACK_RULES!$M$5:$M$304&lt;=$L518))&gt;0),0),0),0))))</f>
        <v>0</v>
      </c>
      <c r="AD518" s="51" t="str">
        <f>IF(OR($B518="",$D518=""),"",IFERROR(IF(INDEX(CARDS!$H$5:$H$34,MATCH($D518,CARDS!$A$5:$A$34,0))="","",IF(DAY($B518)&lt;=INDEX(CARDS!$H$5:$H$34,MATCH($D518,CARDS!$A$5:$A$34,0)),DATE(YEAR($B518),MONTH($B518),MIN(INDEX(CARDS!$H$5:$H$34,MATCH($D518,CARDS!$A$5:$A$34,0)),DAY(EOMONTH($B518,0)))),DATE(YEAR($B518),MONTH($B518)+1,MIN(INDEX(CARDS!$H$5:$H$34,MATCH($D518,CARDS!$A$5:$A$34,0)),DAY(EOMONTH($B518,1)))))),""))</f>
        <v/>
      </c>
      <c r="AE518" s="52" t="str">
        <f>IF($C518="","",$C518&amp;"|"&amp;COUNTIF($C$5:$C518,$C518))</f>
        <v/>
      </c>
      <c r="AF518" s="53">
        <f>IF($AC518&gt;0,SUMIFS(Q$4:Q517,$D$4:$D517,$D518,$Z$4:$Z517,$Z518,$C$4:$C517,$C518),0)</f>
        <v>0</v>
      </c>
      <c r="AG518" s="53">
        <f>IF($AC518&gt;0,SUMIFS(Q$4:Q517,$D$4:$D517,$D518,$C$4:$C517,$C518),0)</f>
        <v>0</v>
      </c>
      <c r="AH518" s="53">
        <f>IF($AC518&gt;0,SUMIFS(M$4:M517,$D$4:$D517,$D518,$Z$4:$Z517,$Z518,$C$4:$C517,$C518),0)</f>
        <v>0</v>
      </c>
      <c r="AI518" s="43">
        <f>IF(OR($C518="",$I518=""),0,IF(COUNTIFS($C$5:$C518,$C518,$I$5:$I518,$I518)=1,1,0))</f>
        <v>0</v>
      </c>
      <c r="AJ518" s="43" t="str">
        <f>IF($AI518=1,SUMIFS($AI$4:$AI517,$C$4:$C517,$C518)+1,"")</f>
        <v/>
      </c>
      <c r="AK518" s="43">
        <f>IF(OR($C518="",$K518=""),0,IF(COUNTIFS($C$5:$C518,$C518,$K$5:$K518,$K518)=1,1,0))</f>
        <v>0</v>
      </c>
      <c r="AL518" s="43" t="str">
        <f>IF($AK518=1,SUMIFS($AK$4:$AK517,$C$4:$C517,$C518)+1,"")</f>
        <v/>
      </c>
      <c r="AM518" s="43">
        <f>IF(OR($C518="",$G518=""),0,IF(COUNTIFS($C$5:$C518,$C518,$G$5:$G518,$G518)=1,1,0))</f>
        <v>0</v>
      </c>
      <c r="AN518" s="43" t="str">
        <f>IF($AM518=1,SUMIFS($AM$4:$AM517,$C$4:$C517,$C518)+1,"")</f>
        <v/>
      </c>
    </row>
    <row r="519">
      <c r="A519" s="44" t="str">
        <f>IF(OR($B519="",$D519=""),"","TX"&amp;TEXT(ROW()-4,"0000"))</f>
        <v/>
      </c>
      <c r="B519" s="42" t="n"/>
      <c r="C519" s="47" t="str">
        <f>IF($B519="","",YEAR($B519)*100+MONTH($B519))</f>
        <v/>
      </c>
      <c r="D519" s="37" t="n"/>
      <c r="E519" s="45" t="str">
        <f>IF($D519="","",IFERROR(INDEX(CARDS!$B$5:$B$34,MATCH($D519,CARDS!$A$5:$A$34,0)),"⚠ Card ID?"))</f>
        <v/>
      </c>
      <c r="F519" s="45" t="str">
        <f>IF($D519="","",IFERROR(INDEX(CARDS!$C$5:$C$34,MATCH($D519,CARDS!$A$5:$A$34,0)),"⚠ Card ID?"))</f>
        <v/>
      </c>
      <c r="G519" s="37" t="n"/>
      <c r="H519" s="37" t="n"/>
      <c r="I519" s="41" t="n"/>
      <c r="J519" s="45" t="str">
        <f>IF($I519="","",IFERROR(INDEX(MCC_MASTER!$B$5:$B$504,MATCH($I519,MCC_MASTER!$A$5:$A$504,0)),"⚠ MCC chưa có"))</f>
        <v/>
      </c>
      <c r="K519" s="45" t="str">
        <f>IF($I519="","",IFERROR(IF(INDEX(MCC_MASTER!$C$5:$C$504,MATCH($I519,MCC_MASTER!$A$5:$A$504,0))="","Chưa phân loại",INDEX(MCC_MASTER!$C$5:$C$504,MATCH($I519,MCC_MASTER!$A$5:$A$504,0))),"Chưa phân loại"))</f>
        <v/>
      </c>
      <c r="L519" s="40" t="n"/>
      <c r="M519" s="48" t="str">
        <f>IF(OR($B519="",$D519=""),"",IF($AC519=0,0,IF(ISNUMBER(INDEX(CASHBACK_RULES!$L$5:$L$304,$AC519)),MAX(0,MIN($L519,INDEX(CASHBACK_RULES!$L$5:$L$304,$AC519)-$AH519)),MAX(0,$L519))))</f>
        <v/>
      </c>
      <c r="N519" s="49" t="str">
        <f>IF(OR($B519="",$D519=""),"",IF($AC519&gt;0,INDEX(CASHBACK_RULES!$I$5:$I$304,$AC519),0))</f>
        <v/>
      </c>
      <c r="O519" s="48" t="str">
        <f>IF(OR($B519="",$D519=""),"",ROUND($M519*$N519,0))</f>
        <v/>
      </c>
      <c r="P519" s="48" t="str">
        <f>IF($AC519&gt;0,IF(ISNUMBER(INDEX(CASHBACK_RULES!$J$5:$J$304,$AC519)),INDEX(CASHBACK_RULES!$J$5:$J$304,$AC519),"∞"),"")</f>
        <v/>
      </c>
      <c r="Q519" s="48" t="str">
        <f>IF(OR($B519="",$D519=""),"",IF($AC519=0,0,MAX(0,MIN($O519,IF(ISNUMBER($P519),$P519-$AF519,1E+15),IF(ISNUMBER($AA519),$AA519-$AG519,1E+15)))))</f>
        <v/>
      </c>
      <c r="R519" s="48" t="str">
        <f>IF(OR($B519="",$D519=""),"",IF($AC519=0,"",IF(AND(NOT(ISNUMBER($P519)),NOT(ISNUMBER($AA519))),"∞",MAX(0,MIN(IF(ISNUMBER($P519),$P519-$AF519-$Q519,1E+15),IF(ISNUMBER($AA519),$AA519-$AG519-$Q519,1E+15))))))</f>
        <v/>
      </c>
      <c r="S519" s="47" t="str">
        <f>IF($AD519="","",YEAR($AD519)*100+MONTH($AD519))</f>
        <v/>
      </c>
      <c r="T519" s="50" t="str">
        <f>IF($AD519="","",IFERROR(IF(INDEX(CARDS!$I$5:$I$34,MATCH($D519,CARDS!$A$5:$A$34,0))="","",IF(INDEX(CARDS!$I$5:$I$34,MATCH($D519,CARDS!$A$5:$A$34,0))&gt;INDEX(CARDS!$H$5:$H$34,MATCH($D519,CARDS!$A$5:$A$34,0)),DATE(YEAR($AD519),MONTH($AD519),MIN(INDEX(CARDS!$I$5:$I$34,MATCH($D519,CARDS!$A$5:$A$34,0)),DAY(EOMONTH($AD519,0)))),DATE(YEAR($AD519),MONTH($AD519)+1,MIN(INDEX(CARDS!$I$5:$I$34,MATCH($D519,CARDS!$A$5:$A$34,0)),DAY(EOMONTH($AD519,1)))))),""))</f>
        <v/>
      </c>
      <c r="U519" s="38" t="n"/>
      <c r="V519" s="37" t="n"/>
      <c r="W519" s="38" t="n"/>
      <c r="X519" s="38" t="n"/>
      <c r="Y519" s="44" t="str">
        <f>IF($AC519&gt;0,INDEX(CASHBACK_RULES!$A$5:$A$304,$AC519),"")</f>
        <v/>
      </c>
      <c r="Z519" s="45" t="str">
        <f>IF($AC519&gt;0,INDEX(CASHBACK_RULES!$E$5:$E$304,$AC519)&amp;"","")</f>
        <v/>
      </c>
      <c r="AA519" s="48" t="str">
        <f>IF($AC519&gt;0,IF(ISNUMBER(INDEX(CASHBACK_RULES!$K$5:$K$304,$AC519)),INDEX(CASHBACK_RULES!$K$5:$K$304,$AC519),"∞"),"")</f>
        <v/>
      </c>
      <c r="AB519" s="44" t="str">
        <f>IF(OR($B519="",$D519=""),"",IF($U519="Cancelled","Đã hủy",IF($AC519=0,"Không được hoàn",IF($Q519=0,IF(OR($O519&gt;0,$M519&lt;$L519),"Đã đạt cap","Không được hoàn"),IF(OR($Q519&lt;$O519,$M519&lt;$L519),"Hoàn một phần","Được hoàn")))))</f>
        <v/>
      </c>
      <c r="AC519" s="43">
        <f>IF(OR($B519="",$D519="",$I519="",$L519=""),0,IF($U519="Cancelled",0,IF($W519&lt;&gt;"",IFERROR(IF(INDEX(CASHBACK_RULES!$B$5:$B$304,MATCH($W519,CASHBACK_RULES!$A$5:$A$304,0))=$D519,MATCH($W519,CASHBACK_RULES!$A$5:$A$304,0),0),0),IFERROR(MATCH(1,INDEX((CASHBACK_RULES!$B$5:$B$304=$D519)*(CASHBACK_RULES!$G$5:$G$304=$I519)*(((CASHBACK_RULES!$N$5:$N$304="")+(CASHBACK_RULES!$N$5:$N$304&lt;=$B519))&gt;0)*(((CASHBACK_RULES!$O$5:$O$304="")+(CASHBACK_RULES!$O$5:$O$304&gt;=$B519))&gt;0)*(((CASHBACK_RULES!$M$5:$M$304="")+(CASHBACK_RULES!$M$5:$M$304&lt;=$L519))&gt;0),0),0),0))))</f>
        <v>0</v>
      </c>
      <c r="AD519" s="51" t="str">
        <f>IF(OR($B519="",$D519=""),"",IFERROR(IF(INDEX(CARDS!$H$5:$H$34,MATCH($D519,CARDS!$A$5:$A$34,0))="","",IF(DAY($B519)&lt;=INDEX(CARDS!$H$5:$H$34,MATCH($D519,CARDS!$A$5:$A$34,0)),DATE(YEAR($B519),MONTH($B519),MIN(INDEX(CARDS!$H$5:$H$34,MATCH($D519,CARDS!$A$5:$A$34,0)),DAY(EOMONTH($B519,0)))),DATE(YEAR($B519),MONTH($B519)+1,MIN(INDEX(CARDS!$H$5:$H$34,MATCH($D519,CARDS!$A$5:$A$34,0)),DAY(EOMONTH($B519,1)))))),""))</f>
        <v/>
      </c>
      <c r="AE519" s="52" t="str">
        <f>IF($C519="","",$C519&amp;"|"&amp;COUNTIF($C$5:$C519,$C519))</f>
        <v/>
      </c>
      <c r="AF519" s="53">
        <f>IF($AC519&gt;0,SUMIFS(Q$4:Q518,$D$4:$D518,$D519,$Z$4:$Z518,$Z519,$C$4:$C518,$C519),0)</f>
        <v>0</v>
      </c>
      <c r="AG519" s="53">
        <f>IF($AC519&gt;0,SUMIFS(Q$4:Q518,$D$4:$D518,$D519,$C$4:$C518,$C519),0)</f>
        <v>0</v>
      </c>
      <c r="AH519" s="53">
        <f>IF($AC519&gt;0,SUMIFS(M$4:M518,$D$4:$D518,$D519,$Z$4:$Z518,$Z519,$C$4:$C518,$C519),0)</f>
        <v>0</v>
      </c>
      <c r="AI519" s="43">
        <f>IF(OR($C519="",$I519=""),0,IF(COUNTIFS($C$5:$C519,$C519,$I$5:$I519,$I519)=1,1,0))</f>
        <v>0</v>
      </c>
      <c r="AJ519" s="43" t="str">
        <f>IF($AI519=1,SUMIFS($AI$4:$AI518,$C$4:$C518,$C519)+1,"")</f>
        <v/>
      </c>
      <c r="AK519" s="43">
        <f>IF(OR($C519="",$K519=""),0,IF(COUNTIFS($C$5:$C519,$C519,$K$5:$K519,$K519)=1,1,0))</f>
        <v>0</v>
      </c>
      <c r="AL519" s="43" t="str">
        <f>IF($AK519=1,SUMIFS($AK$4:$AK518,$C$4:$C518,$C519)+1,"")</f>
        <v/>
      </c>
      <c r="AM519" s="43">
        <f>IF(OR($C519="",$G519=""),0,IF(COUNTIFS($C$5:$C519,$C519,$G$5:$G519,$G519)=1,1,0))</f>
        <v>0</v>
      </c>
      <c r="AN519" s="43" t="str">
        <f>IF($AM519=1,SUMIFS($AM$4:$AM518,$C$4:$C518,$C519)+1,"")</f>
        <v/>
      </c>
    </row>
    <row r="520">
      <c r="A520" s="44" t="str">
        <f>IF(OR($B520="",$D520=""),"","TX"&amp;TEXT(ROW()-4,"0000"))</f>
        <v/>
      </c>
      <c r="B520" s="42" t="n"/>
      <c r="C520" s="47" t="str">
        <f>IF($B520="","",YEAR($B520)*100+MONTH($B520))</f>
        <v/>
      </c>
      <c r="D520" s="37" t="n"/>
      <c r="E520" s="45" t="str">
        <f>IF($D520="","",IFERROR(INDEX(CARDS!$B$5:$B$34,MATCH($D520,CARDS!$A$5:$A$34,0)),"⚠ Card ID?"))</f>
        <v/>
      </c>
      <c r="F520" s="45" t="str">
        <f>IF($D520="","",IFERROR(INDEX(CARDS!$C$5:$C$34,MATCH($D520,CARDS!$A$5:$A$34,0)),"⚠ Card ID?"))</f>
        <v/>
      </c>
      <c r="G520" s="37" t="n"/>
      <c r="H520" s="37" t="n"/>
      <c r="I520" s="41" t="n"/>
      <c r="J520" s="45" t="str">
        <f>IF($I520="","",IFERROR(INDEX(MCC_MASTER!$B$5:$B$504,MATCH($I520,MCC_MASTER!$A$5:$A$504,0)),"⚠ MCC chưa có"))</f>
        <v/>
      </c>
      <c r="K520" s="45" t="str">
        <f>IF($I520="","",IFERROR(IF(INDEX(MCC_MASTER!$C$5:$C$504,MATCH($I520,MCC_MASTER!$A$5:$A$504,0))="","Chưa phân loại",INDEX(MCC_MASTER!$C$5:$C$504,MATCH($I520,MCC_MASTER!$A$5:$A$504,0))),"Chưa phân loại"))</f>
        <v/>
      </c>
      <c r="L520" s="40" t="n"/>
      <c r="M520" s="48" t="str">
        <f>IF(OR($B520="",$D520=""),"",IF($AC520=0,0,IF(ISNUMBER(INDEX(CASHBACK_RULES!$L$5:$L$304,$AC520)),MAX(0,MIN($L520,INDEX(CASHBACK_RULES!$L$5:$L$304,$AC520)-$AH520)),MAX(0,$L520))))</f>
        <v/>
      </c>
      <c r="N520" s="49" t="str">
        <f>IF(OR($B520="",$D520=""),"",IF($AC520&gt;0,INDEX(CASHBACK_RULES!$I$5:$I$304,$AC520),0))</f>
        <v/>
      </c>
      <c r="O520" s="48" t="str">
        <f>IF(OR($B520="",$D520=""),"",ROUND($M520*$N520,0))</f>
        <v/>
      </c>
      <c r="P520" s="48" t="str">
        <f>IF($AC520&gt;0,IF(ISNUMBER(INDEX(CASHBACK_RULES!$J$5:$J$304,$AC520)),INDEX(CASHBACK_RULES!$J$5:$J$304,$AC520),"∞"),"")</f>
        <v/>
      </c>
      <c r="Q520" s="48" t="str">
        <f>IF(OR($B520="",$D520=""),"",IF($AC520=0,0,MAX(0,MIN($O520,IF(ISNUMBER($P520),$P520-$AF520,1E+15),IF(ISNUMBER($AA520),$AA520-$AG520,1E+15)))))</f>
        <v/>
      </c>
      <c r="R520" s="48" t="str">
        <f>IF(OR($B520="",$D520=""),"",IF($AC520=0,"",IF(AND(NOT(ISNUMBER($P520)),NOT(ISNUMBER($AA520))),"∞",MAX(0,MIN(IF(ISNUMBER($P520),$P520-$AF520-$Q520,1E+15),IF(ISNUMBER($AA520),$AA520-$AG520-$Q520,1E+15))))))</f>
        <v/>
      </c>
      <c r="S520" s="47" t="str">
        <f>IF($AD520="","",YEAR($AD520)*100+MONTH($AD520))</f>
        <v/>
      </c>
      <c r="T520" s="50" t="str">
        <f>IF($AD520="","",IFERROR(IF(INDEX(CARDS!$I$5:$I$34,MATCH($D520,CARDS!$A$5:$A$34,0))="","",IF(INDEX(CARDS!$I$5:$I$34,MATCH($D520,CARDS!$A$5:$A$34,0))&gt;INDEX(CARDS!$H$5:$H$34,MATCH($D520,CARDS!$A$5:$A$34,0)),DATE(YEAR($AD520),MONTH($AD520),MIN(INDEX(CARDS!$I$5:$I$34,MATCH($D520,CARDS!$A$5:$A$34,0)),DAY(EOMONTH($AD520,0)))),DATE(YEAR($AD520),MONTH($AD520)+1,MIN(INDEX(CARDS!$I$5:$I$34,MATCH($D520,CARDS!$A$5:$A$34,0)),DAY(EOMONTH($AD520,1)))))),""))</f>
        <v/>
      </c>
      <c r="U520" s="38" t="n"/>
      <c r="V520" s="37" t="n"/>
      <c r="W520" s="38" t="n"/>
      <c r="X520" s="38" t="n"/>
      <c r="Y520" s="44" t="str">
        <f>IF($AC520&gt;0,INDEX(CASHBACK_RULES!$A$5:$A$304,$AC520),"")</f>
        <v/>
      </c>
      <c r="Z520" s="45" t="str">
        <f>IF($AC520&gt;0,INDEX(CASHBACK_RULES!$E$5:$E$304,$AC520)&amp;"","")</f>
        <v/>
      </c>
      <c r="AA520" s="48" t="str">
        <f>IF($AC520&gt;0,IF(ISNUMBER(INDEX(CASHBACK_RULES!$K$5:$K$304,$AC520)),INDEX(CASHBACK_RULES!$K$5:$K$304,$AC520),"∞"),"")</f>
        <v/>
      </c>
      <c r="AB520" s="44" t="str">
        <f>IF(OR($B520="",$D520=""),"",IF($U520="Cancelled","Đã hủy",IF($AC520=0,"Không được hoàn",IF($Q520=0,IF(OR($O520&gt;0,$M520&lt;$L520),"Đã đạt cap","Không được hoàn"),IF(OR($Q520&lt;$O520,$M520&lt;$L520),"Hoàn một phần","Được hoàn")))))</f>
        <v/>
      </c>
      <c r="AC520" s="43">
        <f>IF(OR($B520="",$D520="",$I520="",$L520=""),0,IF($U520="Cancelled",0,IF($W520&lt;&gt;"",IFERROR(IF(INDEX(CASHBACK_RULES!$B$5:$B$304,MATCH($W520,CASHBACK_RULES!$A$5:$A$304,0))=$D520,MATCH($W520,CASHBACK_RULES!$A$5:$A$304,0),0),0),IFERROR(MATCH(1,INDEX((CASHBACK_RULES!$B$5:$B$304=$D520)*(CASHBACK_RULES!$G$5:$G$304=$I520)*(((CASHBACK_RULES!$N$5:$N$304="")+(CASHBACK_RULES!$N$5:$N$304&lt;=$B520))&gt;0)*(((CASHBACK_RULES!$O$5:$O$304="")+(CASHBACK_RULES!$O$5:$O$304&gt;=$B520))&gt;0)*(((CASHBACK_RULES!$M$5:$M$304="")+(CASHBACK_RULES!$M$5:$M$304&lt;=$L520))&gt;0),0),0),0))))</f>
        <v>0</v>
      </c>
      <c r="AD520" s="51" t="str">
        <f>IF(OR($B520="",$D520=""),"",IFERROR(IF(INDEX(CARDS!$H$5:$H$34,MATCH($D520,CARDS!$A$5:$A$34,0))="","",IF(DAY($B520)&lt;=INDEX(CARDS!$H$5:$H$34,MATCH($D520,CARDS!$A$5:$A$34,0)),DATE(YEAR($B520),MONTH($B520),MIN(INDEX(CARDS!$H$5:$H$34,MATCH($D520,CARDS!$A$5:$A$34,0)),DAY(EOMONTH($B520,0)))),DATE(YEAR($B520),MONTH($B520)+1,MIN(INDEX(CARDS!$H$5:$H$34,MATCH($D520,CARDS!$A$5:$A$34,0)),DAY(EOMONTH($B520,1)))))),""))</f>
        <v/>
      </c>
      <c r="AE520" s="52" t="str">
        <f>IF($C520="","",$C520&amp;"|"&amp;COUNTIF($C$5:$C520,$C520))</f>
        <v/>
      </c>
      <c r="AF520" s="53">
        <f>IF($AC520&gt;0,SUMIFS(Q$4:Q519,$D$4:$D519,$D520,$Z$4:$Z519,$Z520,$C$4:$C519,$C520),0)</f>
        <v>0</v>
      </c>
      <c r="AG520" s="53">
        <f>IF($AC520&gt;0,SUMIFS(Q$4:Q519,$D$4:$D519,$D520,$C$4:$C519,$C520),0)</f>
        <v>0</v>
      </c>
      <c r="AH520" s="53">
        <f>IF($AC520&gt;0,SUMIFS(M$4:M519,$D$4:$D519,$D520,$Z$4:$Z519,$Z520,$C$4:$C519,$C520),0)</f>
        <v>0</v>
      </c>
      <c r="AI520" s="43">
        <f>IF(OR($C520="",$I520=""),0,IF(COUNTIFS($C$5:$C520,$C520,$I$5:$I520,$I520)=1,1,0))</f>
        <v>0</v>
      </c>
      <c r="AJ520" s="43" t="str">
        <f>IF($AI520=1,SUMIFS($AI$4:$AI519,$C$4:$C519,$C520)+1,"")</f>
        <v/>
      </c>
      <c r="AK520" s="43">
        <f>IF(OR($C520="",$K520=""),0,IF(COUNTIFS($C$5:$C520,$C520,$K$5:$K520,$K520)=1,1,0))</f>
        <v>0</v>
      </c>
      <c r="AL520" s="43" t="str">
        <f>IF($AK520=1,SUMIFS($AK$4:$AK519,$C$4:$C519,$C520)+1,"")</f>
        <v/>
      </c>
      <c r="AM520" s="43">
        <f>IF(OR($C520="",$G520=""),0,IF(COUNTIFS($C$5:$C520,$C520,$G$5:$G520,$G520)=1,1,0))</f>
        <v>0</v>
      </c>
      <c r="AN520" s="43" t="str">
        <f>IF($AM520=1,SUMIFS($AM$4:$AM519,$C$4:$C519,$C520)+1,"")</f>
        <v/>
      </c>
    </row>
    <row r="521">
      <c r="A521" s="44" t="str">
        <f>IF(OR($B521="",$D521=""),"","TX"&amp;TEXT(ROW()-4,"0000"))</f>
        <v/>
      </c>
      <c r="B521" s="42" t="n"/>
      <c r="C521" s="47" t="str">
        <f>IF($B521="","",YEAR($B521)*100+MONTH($B521))</f>
        <v/>
      </c>
      <c r="D521" s="37" t="n"/>
      <c r="E521" s="45" t="str">
        <f>IF($D521="","",IFERROR(INDEX(CARDS!$B$5:$B$34,MATCH($D521,CARDS!$A$5:$A$34,0)),"⚠ Card ID?"))</f>
        <v/>
      </c>
      <c r="F521" s="45" t="str">
        <f>IF($D521="","",IFERROR(INDEX(CARDS!$C$5:$C$34,MATCH($D521,CARDS!$A$5:$A$34,0)),"⚠ Card ID?"))</f>
        <v/>
      </c>
      <c r="G521" s="37" t="n"/>
      <c r="H521" s="37" t="n"/>
      <c r="I521" s="41" t="n"/>
      <c r="J521" s="45" t="str">
        <f>IF($I521="","",IFERROR(INDEX(MCC_MASTER!$B$5:$B$504,MATCH($I521,MCC_MASTER!$A$5:$A$504,0)),"⚠ MCC chưa có"))</f>
        <v/>
      </c>
      <c r="K521" s="45" t="str">
        <f>IF($I521="","",IFERROR(IF(INDEX(MCC_MASTER!$C$5:$C$504,MATCH($I521,MCC_MASTER!$A$5:$A$504,0))="","Chưa phân loại",INDEX(MCC_MASTER!$C$5:$C$504,MATCH($I521,MCC_MASTER!$A$5:$A$504,0))),"Chưa phân loại"))</f>
        <v/>
      </c>
      <c r="L521" s="40" t="n"/>
      <c r="M521" s="48" t="str">
        <f>IF(OR($B521="",$D521=""),"",IF($AC521=0,0,IF(ISNUMBER(INDEX(CASHBACK_RULES!$L$5:$L$304,$AC521)),MAX(0,MIN($L521,INDEX(CASHBACK_RULES!$L$5:$L$304,$AC521)-$AH521)),MAX(0,$L521))))</f>
        <v/>
      </c>
      <c r="N521" s="49" t="str">
        <f>IF(OR($B521="",$D521=""),"",IF($AC521&gt;0,INDEX(CASHBACK_RULES!$I$5:$I$304,$AC521),0))</f>
        <v/>
      </c>
      <c r="O521" s="48" t="str">
        <f>IF(OR($B521="",$D521=""),"",ROUND($M521*$N521,0))</f>
        <v/>
      </c>
      <c r="P521" s="48" t="str">
        <f>IF($AC521&gt;0,IF(ISNUMBER(INDEX(CASHBACK_RULES!$J$5:$J$304,$AC521)),INDEX(CASHBACK_RULES!$J$5:$J$304,$AC521),"∞"),"")</f>
        <v/>
      </c>
      <c r="Q521" s="48" t="str">
        <f>IF(OR($B521="",$D521=""),"",IF($AC521=0,0,MAX(0,MIN($O521,IF(ISNUMBER($P521),$P521-$AF521,1E+15),IF(ISNUMBER($AA521),$AA521-$AG521,1E+15)))))</f>
        <v/>
      </c>
      <c r="R521" s="48" t="str">
        <f>IF(OR($B521="",$D521=""),"",IF($AC521=0,"",IF(AND(NOT(ISNUMBER($P521)),NOT(ISNUMBER($AA521))),"∞",MAX(0,MIN(IF(ISNUMBER($P521),$P521-$AF521-$Q521,1E+15),IF(ISNUMBER($AA521),$AA521-$AG521-$Q521,1E+15))))))</f>
        <v/>
      </c>
      <c r="S521" s="47" t="str">
        <f>IF($AD521="","",YEAR($AD521)*100+MONTH($AD521))</f>
        <v/>
      </c>
      <c r="T521" s="50" t="str">
        <f>IF($AD521="","",IFERROR(IF(INDEX(CARDS!$I$5:$I$34,MATCH($D521,CARDS!$A$5:$A$34,0))="","",IF(INDEX(CARDS!$I$5:$I$34,MATCH($D521,CARDS!$A$5:$A$34,0))&gt;INDEX(CARDS!$H$5:$H$34,MATCH($D521,CARDS!$A$5:$A$34,0)),DATE(YEAR($AD521),MONTH($AD521),MIN(INDEX(CARDS!$I$5:$I$34,MATCH($D521,CARDS!$A$5:$A$34,0)),DAY(EOMONTH($AD521,0)))),DATE(YEAR($AD521),MONTH($AD521)+1,MIN(INDEX(CARDS!$I$5:$I$34,MATCH($D521,CARDS!$A$5:$A$34,0)),DAY(EOMONTH($AD521,1)))))),""))</f>
        <v/>
      </c>
      <c r="U521" s="38" t="n"/>
      <c r="V521" s="37" t="n"/>
      <c r="W521" s="38" t="n"/>
      <c r="X521" s="38" t="n"/>
      <c r="Y521" s="44" t="str">
        <f>IF($AC521&gt;0,INDEX(CASHBACK_RULES!$A$5:$A$304,$AC521),"")</f>
        <v/>
      </c>
      <c r="Z521" s="45" t="str">
        <f>IF($AC521&gt;0,INDEX(CASHBACK_RULES!$E$5:$E$304,$AC521)&amp;"","")</f>
        <v/>
      </c>
      <c r="AA521" s="48" t="str">
        <f>IF($AC521&gt;0,IF(ISNUMBER(INDEX(CASHBACK_RULES!$K$5:$K$304,$AC521)),INDEX(CASHBACK_RULES!$K$5:$K$304,$AC521),"∞"),"")</f>
        <v/>
      </c>
      <c r="AB521" s="44" t="str">
        <f>IF(OR($B521="",$D521=""),"",IF($U521="Cancelled","Đã hủy",IF($AC521=0,"Không được hoàn",IF($Q521=0,IF(OR($O521&gt;0,$M521&lt;$L521),"Đã đạt cap","Không được hoàn"),IF(OR($Q521&lt;$O521,$M521&lt;$L521),"Hoàn một phần","Được hoàn")))))</f>
        <v/>
      </c>
      <c r="AC521" s="43">
        <f>IF(OR($B521="",$D521="",$I521="",$L521=""),0,IF($U521="Cancelled",0,IF($W521&lt;&gt;"",IFERROR(IF(INDEX(CASHBACK_RULES!$B$5:$B$304,MATCH($W521,CASHBACK_RULES!$A$5:$A$304,0))=$D521,MATCH($W521,CASHBACK_RULES!$A$5:$A$304,0),0),0),IFERROR(MATCH(1,INDEX((CASHBACK_RULES!$B$5:$B$304=$D521)*(CASHBACK_RULES!$G$5:$G$304=$I521)*(((CASHBACK_RULES!$N$5:$N$304="")+(CASHBACK_RULES!$N$5:$N$304&lt;=$B521))&gt;0)*(((CASHBACK_RULES!$O$5:$O$304="")+(CASHBACK_RULES!$O$5:$O$304&gt;=$B521))&gt;0)*(((CASHBACK_RULES!$M$5:$M$304="")+(CASHBACK_RULES!$M$5:$M$304&lt;=$L521))&gt;0),0),0),0))))</f>
        <v>0</v>
      </c>
      <c r="AD521" s="51" t="str">
        <f>IF(OR($B521="",$D521=""),"",IFERROR(IF(INDEX(CARDS!$H$5:$H$34,MATCH($D521,CARDS!$A$5:$A$34,0))="","",IF(DAY($B521)&lt;=INDEX(CARDS!$H$5:$H$34,MATCH($D521,CARDS!$A$5:$A$34,0)),DATE(YEAR($B521),MONTH($B521),MIN(INDEX(CARDS!$H$5:$H$34,MATCH($D521,CARDS!$A$5:$A$34,0)),DAY(EOMONTH($B521,0)))),DATE(YEAR($B521),MONTH($B521)+1,MIN(INDEX(CARDS!$H$5:$H$34,MATCH($D521,CARDS!$A$5:$A$34,0)),DAY(EOMONTH($B521,1)))))),""))</f>
        <v/>
      </c>
      <c r="AE521" s="52" t="str">
        <f>IF($C521="","",$C521&amp;"|"&amp;COUNTIF($C$5:$C521,$C521))</f>
        <v/>
      </c>
      <c r="AF521" s="53">
        <f>IF($AC521&gt;0,SUMIFS(Q$4:Q520,$D$4:$D520,$D521,$Z$4:$Z520,$Z521,$C$4:$C520,$C521),0)</f>
        <v>0</v>
      </c>
      <c r="AG521" s="53">
        <f>IF($AC521&gt;0,SUMIFS(Q$4:Q520,$D$4:$D520,$D521,$C$4:$C520,$C521),0)</f>
        <v>0</v>
      </c>
      <c r="AH521" s="53">
        <f>IF($AC521&gt;0,SUMIFS(M$4:M520,$D$4:$D520,$D521,$Z$4:$Z520,$Z521,$C$4:$C520,$C521),0)</f>
        <v>0</v>
      </c>
      <c r="AI521" s="43">
        <f>IF(OR($C521="",$I521=""),0,IF(COUNTIFS($C$5:$C521,$C521,$I$5:$I521,$I521)=1,1,0))</f>
        <v>0</v>
      </c>
      <c r="AJ521" s="43" t="str">
        <f>IF($AI521=1,SUMIFS($AI$4:$AI520,$C$4:$C520,$C521)+1,"")</f>
        <v/>
      </c>
      <c r="AK521" s="43">
        <f>IF(OR($C521="",$K521=""),0,IF(COUNTIFS($C$5:$C521,$C521,$K$5:$K521,$K521)=1,1,0))</f>
        <v>0</v>
      </c>
      <c r="AL521" s="43" t="str">
        <f>IF($AK521=1,SUMIFS($AK$4:$AK520,$C$4:$C520,$C521)+1,"")</f>
        <v/>
      </c>
      <c r="AM521" s="43">
        <f>IF(OR($C521="",$G521=""),0,IF(COUNTIFS($C$5:$C521,$C521,$G$5:$G521,$G521)=1,1,0))</f>
        <v>0</v>
      </c>
      <c r="AN521" s="43" t="str">
        <f>IF($AM521=1,SUMIFS($AM$4:$AM520,$C$4:$C520,$C521)+1,"")</f>
        <v/>
      </c>
    </row>
    <row r="522">
      <c r="A522" s="44" t="str">
        <f>IF(OR($B522="",$D522=""),"","TX"&amp;TEXT(ROW()-4,"0000"))</f>
        <v/>
      </c>
      <c r="B522" s="42" t="n"/>
      <c r="C522" s="47" t="str">
        <f>IF($B522="","",YEAR($B522)*100+MONTH($B522))</f>
        <v/>
      </c>
      <c r="D522" s="37" t="n"/>
      <c r="E522" s="45" t="str">
        <f>IF($D522="","",IFERROR(INDEX(CARDS!$B$5:$B$34,MATCH($D522,CARDS!$A$5:$A$34,0)),"⚠ Card ID?"))</f>
        <v/>
      </c>
      <c r="F522" s="45" t="str">
        <f>IF($D522="","",IFERROR(INDEX(CARDS!$C$5:$C$34,MATCH($D522,CARDS!$A$5:$A$34,0)),"⚠ Card ID?"))</f>
        <v/>
      </c>
      <c r="G522" s="37" t="n"/>
      <c r="H522" s="37" t="n"/>
      <c r="I522" s="41" t="n"/>
      <c r="J522" s="45" t="str">
        <f>IF($I522="","",IFERROR(INDEX(MCC_MASTER!$B$5:$B$504,MATCH($I522,MCC_MASTER!$A$5:$A$504,0)),"⚠ MCC chưa có"))</f>
        <v/>
      </c>
      <c r="K522" s="45" t="str">
        <f>IF($I522="","",IFERROR(IF(INDEX(MCC_MASTER!$C$5:$C$504,MATCH($I522,MCC_MASTER!$A$5:$A$504,0))="","Chưa phân loại",INDEX(MCC_MASTER!$C$5:$C$504,MATCH($I522,MCC_MASTER!$A$5:$A$504,0))),"Chưa phân loại"))</f>
        <v/>
      </c>
      <c r="L522" s="40" t="n"/>
      <c r="M522" s="48" t="str">
        <f>IF(OR($B522="",$D522=""),"",IF($AC522=0,0,IF(ISNUMBER(INDEX(CASHBACK_RULES!$L$5:$L$304,$AC522)),MAX(0,MIN($L522,INDEX(CASHBACK_RULES!$L$5:$L$304,$AC522)-$AH522)),MAX(0,$L522))))</f>
        <v/>
      </c>
      <c r="N522" s="49" t="str">
        <f>IF(OR($B522="",$D522=""),"",IF($AC522&gt;0,INDEX(CASHBACK_RULES!$I$5:$I$304,$AC522),0))</f>
        <v/>
      </c>
      <c r="O522" s="48" t="str">
        <f>IF(OR($B522="",$D522=""),"",ROUND($M522*$N522,0))</f>
        <v/>
      </c>
      <c r="P522" s="48" t="str">
        <f>IF($AC522&gt;0,IF(ISNUMBER(INDEX(CASHBACK_RULES!$J$5:$J$304,$AC522)),INDEX(CASHBACK_RULES!$J$5:$J$304,$AC522),"∞"),"")</f>
        <v/>
      </c>
      <c r="Q522" s="48" t="str">
        <f>IF(OR($B522="",$D522=""),"",IF($AC522=0,0,MAX(0,MIN($O522,IF(ISNUMBER($P522),$P522-$AF522,1E+15),IF(ISNUMBER($AA522),$AA522-$AG522,1E+15)))))</f>
        <v/>
      </c>
      <c r="R522" s="48" t="str">
        <f>IF(OR($B522="",$D522=""),"",IF($AC522=0,"",IF(AND(NOT(ISNUMBER($P522)),NOT(ISNUMBER($AA522))),"∞",MAX(0,MIN(IF(ISNUMBER($P522),$P522-$AF522-$Q522,1E+15),IF(ISNUMBER($AA522),$AA522-$AG522-$Q522,1E+15))))))</f>
        <v/>
      </c>
      <c r="S522" s="47" t="str">
        <f>IF($AD522="","",YEAR($AD522)*100+MONTH($AD522))</f>
        <v/>
      </c>
      <c r="T522" s="50" t="str">
        <f>IF($AD522="","",IFERROR(IF(INDEX(CARDS!$I$5:$I$34,MATCH($D522,CARDS!$A$5:$A$34,0))="","",IF(INDEX(CARDS!$I$5:$I$34,MATCH($D522,CARDS!$A$5:$A$34,0))&gt;INDEX(CARDS!$H$5:$H$34,MATCH($D522,CARDS!$A$5:$A$34,0)),DATE(YEAR($AD522),MONTH($AD522),MIN(INDEX(CARDS!$I$5:$I$34,MATCH($D522,CARDS!$A$5:$A$34,0)),DAY(EOMONTH($AD522,0)))),DATE(YEAR($AD522),MONTH($AD522)+1,MIN(INDEX(CARDS!$I$5:$I$34,MATCH($D522,CARDS!$A$5:$A$34,0)),DAY(EOMONTH($AD522,1)))))),""))</f>
        <v/>
      </c>
      <c r="U522" s="38" t="n"/>
      <c r="V522" s="37" t="n"/>
      <c r="W522" s="38" t="n"/>
      <c r="X522" s="38" t="n"/>
      <c r="Y522" s="44" t="str">
        <f>IF($AC522&gt;0,INDEX(CASHBACK_RULES!$A$5:$A$304,$AC522),"")</f>
        <v/>
      </c>
      <c r="Z522" s="45" t="str">
        <f>IF($AC522&gt;0,INDEX(CASHBACK_RULES!$E$5:$E$304,$AC522)&amp;"","")</f>
        <v/>
      </c>
      <c r="AA522" s="48" t="str">
        <f>IF($AC522&gt;0,IF(ISNUMBER(INDEX(CASHBACK_RULES!$K$5:$K$304,$AC522)),INDEX(CASHBACK_RULES!$K$5:$K$304,$AC522),"∞"),"")</f>
        <v/>
      </c>
      <c r="AB522" s="44" t="str">
        <f>IF(OR($B522="",$D522=""),"",IF($U522="Cancelled","Đã hủy",IF($AC522=0,"Không được hoàn",IF($Q522=0,IF(OR($O522&gt;0,$M522&lt;$L522),"Đã đạt cap","Không được hoàn"),IF(OR($Q522&lt;$O522,$M522&lt;$L522),"Hoàn một phần","Được hoàn")))))</f>
        <v/>
      </c>
      <c r="AC522" s="43">
        <f>IF(OR($B522="",$D522="",$I522="",$L522=""),0,IF($U522="Cancelled",0,IF($W522&lt;&gt;"",IFERROR(IF(INDEX(CASHBACK_RULES!$B$5:$B$304,MATCH($W522,CASHBACK_RULES!$A$5:$A$304,0))=$D522,MATCH($W522,CASHBACK_RULES!$A$5:$A$304,0),0),0),IFERROR(MATCH(1,INDEX((CASHBACK_RULES!$B$5:$B$304=$D522)*(CASHBACK_RULES!$G$5:$G$304=$I522)*(((CASHBACK_RULES!$N$5:$N$304="")+(CASHBACK_RULES!$N$5:$N$304&lt;=$B522))&gt;0)*(((CASHBACK_RULES!$O$5:$O$304="")+(CASHBACK_RULES!$O$5:$O$304&gt;=$B522))&gt;0)*(((CASHBACK_RULES!$M$5:$M$304="")+(CASHBACK_RULES!$M$5:$M$304&lt;=$L522))&gt;0),0),0),0))))</f>
        <v>0</v>
      </c>
      <c r="AD522" s="51" t="str">
        <f>IF(OR($B522="",$D522=""),"",IFERROR(IF(INDEX(CARDS!$H$5:$H$34,MATCH($D522,CARDS!$A$5:$A$34,0))="","",IF(DAY($B522)&lt;=INDEX(CARDS!$H$5:$H$34,MATCH($D522,CARDS!$A$5:$A$34,0)),DATE(YEAR($B522),MONTH($B522),MIN(INDEX(CARDS!$H$5:$H$34,MATCH($D522,CARDS!$A$5:$A$34,0)),DAY(EOMONTH($B522,0)))),DATE(YEAR($B522),MONTH($B522)+1,MIN(INDEX(CARDS!$H$5:$H$34,MATCH($D522,CARDS!$A$5:$A$34,0)),DAY(EOMONTH($B522,1)))))),""))</f>
        <v/>
      </c>
      <c r="AE522" s="52" t="str">
        <f>IF($C522="","",$C522&amp;"|"&amp;COUNTIF($C$5:$C522,$C522))</f>
        <v/>
      </c>
      <c r="AF522" s="53">
        <f>IF($AC522&gt;0,SUMIFS(Q$4:Q521,$D$4:$D521,$D522,$Z$4:$Z521,$Z522,$C$4:$C521,$C522),0)</f>
        <v>0</v>
      </c>
      <c r="AG522" s="53">
        <f>IF($AC522&gt;0,SUMIFS(Q$4:Q521,$D$4:$D521,$D522,$C$4:$C521,$C522),0)</f>
        <v>0</v>
      </c>
      <c r="AH522" s="53">
        <f>IF($AC522&gt;0,SUMIFS(M$4:M521,$D$4:$D521,$D522,$Z$4:$Z521,$Z522,$C$4:$C521,$C522),0)</f>
        <v>0</v>
      </c>
      <c r="AI522" s="43">
        <f>IF(OR($C522="",$I522=""),0,IF(COUNTIFS($C$5:$C522,$C522,$I$5:$I522,$I522)=1,1,0))</f>
        <v>0</v>
      </c>
      <c r="AJ522" s="43" t="str">
        <f>IF($AI522=1,SUMIFS($AI$4:$AI521,$C$4:$C521,$C522)+1,"")</f>
        <v/>
      </c>
      <c r="AK522" s="43">
        <f>IF(OR($C522="",$K522=""),0,IF(COUNTIFS($C$5:$C522,$C522,$K$5:$K522,$K522)=1,1,0))</f>
        <v>0</v>
      </c>
      <c r="AL522" s="43" t="str">
        <f>IF($AK522=1,SUMIFS($AK$4:$AK521,$C$4:$C521,$C522)+1,"")</f>
        <v/>
      </c>
      <c r="AM522" s="43">
        <f>IF(OR($C522="",$G522=""),0,IF(COUNTIFS($C$5:$C522,$C522,$G$5:$G522,$G522)=1,1,0))</f>
        <v>0</v>
      </c>
      <c r="AN522" s="43" t="str">
        <f>IF($AM522=1,SUMIFS($AM$4:$AM521,$C$4:$C521,$C522)+1,"")</f>
        <v/>
      </c>
    </row>
    <row r="523">
      <c r="A523" s="44" t="str">
        <f>IF(OR($B523="",$D523=""),"","TX"&amp;TEXT(ROW()-4,"0000"))</f>
        <v/>
      </c>
      <c r="B523" s="42" t="n"/>
      <c r="C523" s="47" t="str">
        <f>IF($B523="","",YEAR($B523)*100+MONTH($B523))</f>
        <v/>
      </c>
      <c r="D523" s="37" t="n"/>
      <c r="E523" s="45" t="str">
        <f>IF($D523="","",IFERROR(INDEX(CARDS!$B$5:$B$34,MATCH($D523,CARDS!$A$5:$A$34,0)),"⚠ Card ID?"))</f>
        <v/>
      </c>
      <c r="F523" s="45" t="str">
        <f>IF($D523="","",IFERROR(INDEX(CARDS!$C$5:$C$34,MATCH($D523,CARDS!$A$5:$A$34,0)),"⚠ Card ID?"))</f>
        <v/>
      </c>
      <c r="G523" s="37" t="n"/>
      <c r="H523" s="37" t="n"/>
      <c r="I523" s="41" t="n"/>
      <c r="J523" s="45" t="str">
        <f>IF($I523="","",IFERROR(INDEX(MCC_MASTER!$B$5:$B$504,MATCH($I523,MCC_MASTER!$A$5:$A$504,0)),"⚠ MCC chưa có"))</f>
        <v/>
      </c>
      <c r="K523" s="45" t="str">
        <f>IF($I523="","",IFERROR(IF(INDEX(MCC_MASTER!$C$5:$C$504,MATCH($I523,MCC_MASTER!$A$5:$A$504,0))="","Chưa phân loại",INDEX(MCC_MASTER!$C$5:$C$504,MATCH($I523,MCC_MASTER!$A$5:$A$504,0))),"Chưa phân loại"))</f>
        <v/>
      </c>
      <c r="L523" s="40" t="n"/>
      <c r="M523" s="48" t="str">
        <f>IF(OR($B523="",$D523=""),"",IF($AC523=0,0,IF(ISNUMBER(INDEX(CASHBACK_RULES!$L$5:$L$304,$AC523)),MAX(0,MIN($L523,INDEX(CASHBACK_RULES!$L$5:$L$304,$AC523)-$AH523)),MAX(0,$L523))))</f>
        <v/>
      </c>
      <c r="N523" s="49" t="str">
        <f>IF(OR($B523="",$D523=""),"",IF($AC523&gt;0,INDEX(CASHBACK_RULES!$I$5:$I$304,$AC523),0))</f>
        <v/>
      </c>
      <c r="O523" s="48" t="str">
        <f>IF(OR($B523="",$D523=""),"",ROUND($M523*$N523,0))</f>
        <v/>
      </c>
      <c r="P523" s="48" t="str">
        <f>IF($AC523&gt;0,IF(ISNUMBER(INDEX(CASHBACK_RULES!$J$5:$J$304,$AC523)),INDEX(CASHBACK_RULES!$J$5:$J$304,$AC523),"∞"),"")</f>
        <v/>
      </c>
      <c r="Q523" s="48" t="str">
        <f>IF(OR($B523="",$D523=""),"",IF($AC523=0,0,MAX(0,MIN($O523,IF(ISNUMBER($P523),$P523-$AF523,1E+15),IF(ISNUMBER($AA523),$AA523-$AG523,1E+15)))))</f>
        <v/>
      </c>
      <c r="R523" s="48" t="str">
        <f>IF(OR($B523="",$D523=""),"",IF($AC523=0,"",IF(AND(NOT(ISNUMBER($P523)),NOT(ISNUMBER($AA523))),"∞",MAX(0,MIN(IF(ISNUMBER($P523),$P523-$AF523-$Q523,1E+15),IF(ISNUMBER($AA523),$AA523-$AG523-$Q523,1E+15))))))</f>
        <v/>
      </c>
      <c r="S523" s="47" t="str">
        <f>IF($AD523="","",YEAR($AD523)*100+MONTH($AD523))</f>
        <v/>
      </c>
      <c r="T523" s="50" t="str">
        <f>IF($AD523="","",IFERROR(IF(INDEX(CARDS!$I$5:$I$34,MATCH($D523,CARDS!$A$5:$A$34,0))="","",IF(INDEX(CARDS!$I$5:$I$34,MATCH($D523,CARDS!$A$5:$A$34,0))&gt;INDEX(CARDS!$H$5:$H$34,MATCH($D523,CARDS!$A$5:$A$34,0)),DATE(YEAR($AD523),MONTH($AD523),MIN(INDEX(CARDS!$I$5:$I$34,MATCH($D523,CARDS!$A$5:$A$34,0)),DAY(EOMONTH($AD523,0)))),DATE(YEAR($AD523),MONTH($AD523)+1,MIN(INDEX(CARDS!$I$5:$I$34,MATCH($D523,CARDS!$A$5:$A$34,0)),DAY(EOMONTH($AD523,1)))))),""))</f>
        <v/>
      </c>
      <c r="U523" s="38" t="n"/>
      <c r="V523" s="37" t="n"/>
      <c r="W523" s="38" t="n"/>
      <c r="X523" s="38" t="n"/>
      <c r="Y523" s="44" t="str">
        <f>IF($AC523&gt;0,INDEX(CASHBACK_RULES!$A$5:$A$304,$AC523),"")</f>
        <v/>
      </c>
      <c r="Z523" s="45" t="str">
        <f>IF($AC523&gt;0,INDEX(CASHBACK_RULES!$E$5:$E$304,$AC523)&amp;"","")</f>
        <v/>
      </c>
      <c r="AA523" s="48" t="str">
        <f>IF($AC523&gt;0,IF(ISNUMBER(INDEX(CASHBACK_RULES!$K$5:$K$304,$AC523)),INDEX(CASHBACK_RULES!$K$5:$K$304,$AC523),"∞"),"")</f>
        <v/>
      </c>
      <c r="AB523" s="44" t="str">
        <f>IF(OR($B523="",$D523=""),"",IF($U523="Cancelled","Đã hủy",IF($AC523=0,"Không được hoàn",IF($Q523=0,IF(OR($O523&gt;0,$M523&lt;$L523),"Đã đạt cap","Không được hoàn"),IF(OR($Q523&lt;$O523,$M523&lt;$L523),"Hoàn một phần","Được hoàn")))))</f>
        <v/>
      </c>
      <c r="AC523" s="43">
        <f>IF(OR($B523="",$D523="",$I523="",$L523=""),0,IF($U523="Cancelled",0,IF($W523&lt;&gt;"",IFERROR(IF(INDEX(CASHBACK_RULES!$B$5:$B$304,MATCH($W523,CASHBACK_RULES!$A$5:$A$304,0))=$D523,MATCH($W523,CASHBACK_RULES!$A$5:$A$304,0),0),0),IFERROR(MATCH(1,INDEX((CASHBACK_RULES!$B$5:$B$304=$D523)*(CASHBACK_RULES!$G$5:$G$304=$I523)*(((CASHBACK_RULES!$N$5:$N$304="")+(CASHBACK_RULES!$N$5:$N$304&lt;=$B523))&gt;0)*(((CASHBACK_RULES!$O$5:$O$304="")+(CASHBACK_RULES!$O$5:$O$304&gt;=$B523))&gt;0)*(((CASHBACK_RULES!$M$5:$M$304="")+(CASHBACK_RULES!$M$5:$M$304&lt;=$L523))&gt;0),0),0),0))))</f>
        <v>0</v>
      </c>
      <c r="AD523" s="51" t="str">
        <f>IF(OR($B523="",$D523=""),"",IFERROR(IF(INDEX(CARDS!$H$5:$H$34,MATCH($D523,CARDS!$A$5:$A$34,0))="","",IF(DAY($B523)&lt;=INDEX(CARDS!$H$5:$H$34,MATCH($D523,CARDS!$A$5:$A$34,0)),DATE(YEAR($B523),MONTH($B523),MIN(INDEX(CARDS!$H$5:$H$34,MATCH($D523,CARDS!$A$5:$A$34,0)),DAY(EOMONTH($B523,0)))),DATE(YEAR($B523),MONTH($B523)+1,MIN(INDEX(CARDS!$H$5:$H$34,MATCH($D523,CARDS!$A$5:$A$34,0)),DAY(EOMONTH($B523,1)))))),""))</f>
        <v/>
      </c>
      <c r="AE523" s="52" t="str">
        <f>IF($C523="","",$C523&amp;"|"&amp;COUNTIF($C$5:$C523,$C523))</f>
        <v/>
      </c>
      <c r="AF523" s="53">
        <f>IF($AC523&gt;0,SUMIFS(Q$4:Q522,$D$4:$D522,$D523,$Z$4:$Z522,$Z523,$C$4:$C522,$C523),0)</f>
        <v>0</v>
      </c>
      <c r="AG523" s="53">
        <f>IF($AC523&gt;0,SUMIFS(Q$4:Q522,$D$4:$D522,$D523,$C$4:$C522,$C523),0)</f>
        <v>0</v>
      </c>
      <c r="AH523" s="53">
        <f>IF($AC523&gt;0,SUMIFS(M$4:M522,$D$4:$D522,$D523,$Z$4:$Z522,$Z523,$C$4:$C522,$C523),0)</f>
        <v>0</v>
      </c>
      <c r="AI523" s="43">
        <f>IF(OR($C523="",$I523=""),0,IF(COUNTIFS($C$5:$C523,$C523,$I$5:$I523,$I523)=1,1,0))</f>
        <v>0</v>
      </c>
      <c r="AJ523" s="43" t="str">
        <f>IF($AI523=1,SUMIFS($AI$4:$AI522,$C$4:$C522,$C523)+1,"")</f>
        <v/>
      </c>
      <c r="AK523" s="43">
        <f>IF(OR($C523="",$K523=""),0,IF(COUNTIFS($C$5:$C523,$C523,$K$5:$K523,$K523)=1,1,0))</f>
        <v>0</v>
      </c>
      <c r="AL523" s="43" t="str">
        <f>IF($AK523=1,SUMIFS($AK$4:$AK522,$C$4:$C522,$C523)+1,"")</f>
        <v/>
      </c>
      <c r="AM523" s="43">
        <f>IF(OR($C523="",$G523=""),0,IF(COUNTIFS($C$5:$C523,$C523,$G$5:$G523,$G523)=1,1,0))</f>
        <v>0</v>
      </c>
      <c r="AN523" s="43" t="str">
        <f>IF($AM523=1,SUMIFS($AM$4:$AM522,$C$4:$C522,$C523)+1,"")</f>
        <v/>
      </c>
    </row>
    <row r="524">
      <c r="A524" s="44" t="str">
        <f>IF(OR($B524="",$D524=""),"","TX"&amp;TEXT(ROW()-4,"0000"))</f>
        <v/>
      </c>
      <c r="B524" s="42" t="n"/>
      <c r="C524" s="47" t="str">
        <f>IF($B524="","",YEAR($B524)*100+MONTH($B524))</f>
        <v/>
      </c>
      <c r="D524" s="37" t="n"/>
      <c r="E524" s="45" t="str">
        <f>IF($D524="","",IFERROR(INDEX(CARDS!$B$5:$B$34,MATCH($D524,CARDS!$A$5:$A$34,0)),"⚠ Card ID?"))</f>
        <v/>
      </c>
      <c r="F524" s="45" t="str">
        <f>IF($D524="","",IFERROR(INDEX(CARDS!$C$5:$C$34,MATCH($D524,CARDS!$A$5:$A$34,0)),"⚠ Card ID?"))</f>
        <v/>
      </c>
      <c r="G524" s="37" t="n"/>
      <c r="H524" s="37" t="n"/>
      <c r="I524" s="41" t="n"/>
      <c r="J524" s="45" t="str">
        <f>IF($I524="","",IFERROR(INDEX(MCC_MASTER!$B$5:$B$504,MATCH($I524,MCC_MASTER!$A$5:$A$504,0)),"⚠ MCC chưa có"))</f>
        <v/>
      </c>
      <c r="K524" s="45" t="str">
        <f>IF($I524="","",IFERROR(IF(INDEX(MCC_MASTER!$C$5:$C$504,MATCH($I524,MCC_MASTER!$A$5:$A$504,0))="","Chưa phân loại",INDEX(MCC_MASTER!$C$5:$C$504,MATCH($I524,MCC_MASTER!$A$5:$A$504,0))),"Chưa phân loại"))</f>
        <v/>
      </c>
      <c r="L524" s="40" t="n"/>
      <c r="M524" s="48" t="str">
        <f>IF(OR($B524="",$D524=""),"",IF($AC524=0,0,IF(ISNUMBER(INDEX(CASHBACK_RULES!$L$5:$L$304,$AC524)),MAX(0,MIN($L524,INDEX(CASHBACK_RULES!$L$5:$L$304,$AC524)-$AH524)),MAX(0,$L524))))</f>
        <v/>
      </c>
      <c r="N524" s="49" t="str">
        <f>IF(OR($B524="",$D524=""),"",IF($AC524&gt;0,INDEX(CASHBACK_RULES!$I$5:$I$304,$AC524),0))</f>
        <v/>
      </c>
      <c r="O524" s="48" t="str">
        <f>IF(OR($B524="",$D524=""),"",ROUND($M524*$N524,0))</f>
        <v/>
      </c>
      <c r="P524" s="48" t="str">
        <f>IF($AC524&gt;0,IF(ISNUMBER(INDEX(CASHBACK_RULES!$J$5:$J$304,$AC524)),INDEX(CASHBACK_RULES!$J$5:$J$304,$AC524),"∞"),"")</f>
        <v/>
      </c>
      <c r="Q524" s="48" t="str">
        <f>IF(OR($B524="",$D524=""),"",IF($AC524=0,0,MAX(0,MIN($O524,IF(ISNUMBER($P524),$P524-$AF524,1E+15),IF(ISNUMBER($AA524),$AA524-$AG524,1E+15)))))</f>
        <v/>
      </c>
      <c r="R524" s="48" t="str">
        <f>IF(OR($B524="",$D524=""),"",IF($AC524=0,"",IF(AND(NOT(ISNUMBER($P524)),NOT(ISNUMBER($AA524))),"∞",MAX(0,MIN(IF(ISNUMBER($P524),$P524-$AF524-$Q524,1E+15),IF(ISNUMBER($AA524),$AA524-$AG524-$Q524,1E+15))))))</f>
        <v/>
      </c>
      <c r="S524" s="47" t="str">
        <f>IF($AD524="","",YEAR($AD524)*100+MONTH($AD524))</f>
        <v/>
      </c>
      <c r="T524" s="50" t="str">
        <f>IF($AD524="","",IFERROR(IF(INDEX(CARDS!$I$5:$I$34,MATCH($D524,CARDS!$A$5:$A$34,0))="","",IF(INDEX(CARDS!$I$5:$I$34,MATCH($D524,CARDS!$A$5:$A$34,0))&gt;INDEX(CARDS!$H$5:$H$34,MATCH($D524,CARDS!$A$5:$A$34,0)),DATE(YEAR($AD524),MONTH($AD524),MIN(INDEX(CARDS!$I$5:$I$34,MATCH($D524,CARDS!$A$5:$A$34,0)),DAY(EOMONTH($AD524,0)))),DATE(YEAR($AD524),MONTH($AD524)+1,MIN(INDEX(CARDS!$I$5:$I$34,MATCH($D524,CARDS!$A$5:$A$34,0)),DAY(EOMONTH($AD524,1)))))),""))</f>
        <v/>
      </c>
      <c r="U524" s="38" t="n"/>
      <c r="V524" s="37" t="n"/>
      <c r="W524" s="38" t="n"/>
      <c r="X524" s="38" t="n"/>
      <c r="Y524" s="44" t="str">
        <f>IF($AC524&gt;0,INDEX(CASHBACK_RULES!$A$5:$A$304,$AC524),"")</f>
        <v/>
      </c>
      <c r="Z524" s="45" t="str">
        <f>IF($AC524&gt;0,INDEX(CASHBACK_RULES!$E$5:$E$304,$AC524)&amp;"","")</f>
        <v/>
      </c>
      <c r="AA524" s="48" t="str">
        <f>IF($AC524&gt;0,IF(ISNUMBER(INDEX(CASHBACK_RULES!$K$5:$K$304,$AC524)),INDEX(CASHBACK_RULES!$K$5:$K$304,$AC524),"∞"),"")</f>
        <v/>
      </c>
      <c r="AB524" s="44" t="str">
        <f>IF(OR($B524="",$D524=""),"",IF($U524="Cancelled","Đã hủy",IF($AC524=0,"Không được hoàn",IF($Q524=0,IF(OR($O524&gt;0,$M524&lt;$L524),"Đã đạt cap","Không được hoàn"),IF(OR($Q524&lt;$O524,$M524&lt;$L524),"Hoàn một phần","Được hoàn")))))</f>
        <v/>
      </c>
      <c r="AC524" s="43">
        <f>IF(OR($B524="",$D524="",$I524="",$L524=""),0,IF($U524="Cancelled",0,IF($W524&lt;&gt;"",IFERROR(IF(INDEX(CASHBACK_RULES!$B$5:$B$304,MATCH($W524,CASHBACK_RULES!$A$5:$A$304,0))=$D524,MATCH($W524,CASHBACK_RULES!$A$5:$A$304,0),0),0),IFERROR(MATCH(1,INDEX((CASHBACK_RULES!$B$5:$B$304=$D524)*(CASHBACK_RULES!$G$5:$G$304=$I524)*(((CASHBACK_RULES!$N$5:$N$304="")+(CASHBACK_RULES!$N$5:$N$304&lt;=$B524))&gt;0)*(((CASHBACK_RULES!$O$5:$O$304="")+(CASHBACK_RULES!$O$5:$O$304&gt;=$B524))&gt;0)*(((CASHBACK_RULES!$M$5:$M$304="")+(CASHBACK_RULES!$M$5:$M$304&lt;=$L524))&gt;0),0),0),0))))</f>
        <v>0</v>
      </c>
      <c r="AD524" s="51" t="str">
        <f>IF(OR($B524="",$D524=""),"",IFERROR(IF(INDEX(CARDS!$H$5:$H$34,MATCH($D524,CARDS!$A$5:$A$34,0))="","",IF(DAY($B524)&lt;=INDEX(CARDS!$H$5:$H$34,MATCH($D524,CARDS!$A$5:$A$34,0)),DATE(YEAR($B524),MONTH($B524),MIN(INDEX(CARDS!$H$5:$H$34,MATCH($D524,CARDS!$A$5:$A$34,0)),DAY(EOMONTH($B524,0)))),DATE(YEAR($B524),MONTH($B524)+1,MIN(INDEX(CARDS!$H$5:$H$34,MATCH($D524,CARDS!$A$5:$A$34,0)),DAY(EOMONTH($B524,1)))))),""))</f>
        <v/>
      </c>
      <c r="AE524" s="52" t="str">
        <f>IF($C524="","",$C524&amp;"|"&amp;COUNTIF($C$5:$C524,$C524))</f>
        <v/>
      </c>
      <c r="AF524" s="53">
        <f>IF($AC524&gt;0,SUMIFS(Q$4:Q523,$D$4:$D523,$D524,$Z$4:$Z523,$Z524,$C$4:$C523,$C524),0)</f>
        <v>0</v>
      </c>
      <c r="AG524" s="53">
        <f>IF($AC524&gt;0,SUMIFS(Q$4:Q523,$D$4:$D523,$D524,$C$4:$C523,$C524),0)</f>
        <v>0</v>
      </c>
      <c r="AH524" s="53">
        <f>IF($AC524&gt;0,SUMIFS(M$4:M523,$D$4:$D523,$D524,$Z$4:$Z523,$Z524,$C$4:$C523,$C524),0)</f>
        <v>0</v>
      </c>
      <c r="AI524" s="43">
        <f>IF(OR($C524="",$I524=""),0,IF(COUNTIFS($C$5:$C524,$C524,$I$5:$I524,$I524)=1,1,0))</f>
        <v>0</v>
      </c>
      <c r="AJ524" s="43" t="str">
        <f>IF($AI524=1,SUMIFS($AI$4:$AI523,$C$4:$C523,$C524)+1,"")</f>
        <v/>
      </c>
      <c r="AK524" s="43">
        <f>IF(OR($C524="",$K524=""),0,IF(COUNTIFS($C$5:$C524,$C524,$K$5:$K524,$K524)=1,1,0))</f>
        <v>0</v>
      </c>
      <c r="AL524" s="43" t="str">
        <f>IF($AK524=1,SUMIFS($AK$4:$AK523,$C$4:$C523,$C524)+1,"")</f>
        <v/>
      </c>
      <c r="AM524" s="43">
        <f>IF(OR($C524="",$G524=""),0,IF(COUNTIFS($C$5:$C524,$C524,$G$5:$G524,$G524)=1,1,0))</f>
        <v>0</v>
      </c>
      <c r="AN524" s="43" t="str">
        <f>IF($AM524=1,SUMIFS($AM$4:$AM523,$C$4:$C523,$C524)+1,"")</f>
        <v/>
      </c>
    </row>
    <row r="525">
      <c r="A525" s="44" t="str">
        <f>IF(OR($B525="",$D525=""),"","TX"&amp;TEXT(ROW()-4,"0000"))</f>
        <v/>
      </c>
      <c r="B525" s="42" t="n"/>
      <c r="C525" s="47" t="str">
        <f>IF($B525="","",YEAR($B525)*100+MONTH($B525))</f>
        <v/>
      </c>
      <c r="D525" s="37" t="n"/>
      <c r="E525" s="45" t="str">
        <f>IF($D525="","",IFERROR(INDEX(CARDS!$B$5:$B$34,MATCH($D525,CARDS!$A$5:$A$34,0)),"⚠ Card ID?"))</f>
        <v/>
      </c>
      <c r="F525" s="45" t="str">
        <f>IF($D525="","",IFERROR(INDEX(CARDS!$C$5:$C$34,MATCH($D525,CARDS!$A$5:$A$34,0)),"⚠ Card ID?"))</f>
        <v/>
      </c>
      <c r="G525" s="37" t="n"/>
      <c r="H525" s="37" t="n"/>
      <c r="I525" s="41" t="n"/>
      <c r="J525" s="45" t="str">
        <f>IF($I525="","",IFERROR(INDEX(MCC_MASTER!$B$5:$B$504,MATCH($I525,MCC_MASTER!$A$5:$A$504,0)),"⚠ MCC chưa có"))</f>
        <v/>
      </c>
      <c r="K525" s="45" t="str">
        <f>IF($I525="","",IFERROR(IF(INDEX(MCC_MASTER!$C$5:$C$504,MATCH($I525,MCC_MASTER!$A$5:$A$504,0))="","Chưa phân loại",INDEX(MCC_MASTER!$C$5:$C$504,MATCH($I525,MCC_MASTER!$A$5:$A$504,0))),"Chưa phân loại"))</f>
        <v/>
      </c>
      <c r="L525" s="40" t="n"/>
      <c r="M525" s="48" t="str">
        <f>IF(OR($B525="",$D525=""),"",IF($AC525=0,0,IF(ISNUMBER(INDEX(CASHBACK_RULES!$L$5:$L$304,$AC525)),MAX(0,MIN($L525,INDEX(CASHBACK_RULES!$L$5:$L$304,$AC525)-$AH525)),MAX(0,$L525))))</f>
        <v/>
      </c>
      <c r="N525" s="49" t="str">
        <f>IF(OR($B525="",$D525=""),"",IF($AC525&gt;0,INDEX(CASHBACK_RULES!$I$5:$I$304,$AC525),0))</f>
        <v/>
      </c>
      <c r="O525" s="48" t="str">
        <f>IF(OR($B525="",$D525=""),"",ROUND($M525*$N525,0))</f>
        <v/>
      </c>
      <c r="P525" s="48" t="str">
        <f>IF($AC525&gt;0,IF(ISNUMBER(INDEX(CASHBACK_RULES!$J$5:$J$304,$AC525)),INDEX(CASHBACK_RULES!$J$5:$J$304,$AC525),"∞"),"")</f>
        <v/>
      </c>
      <c r="Q525" s="48" t="str">
        <f>IF(OR($B525="",$D525=""),"",IF($AC525=0,0,MAX(0,MIN($O525,IF(ISNUMBER($P525),$P525-$AF525,1E+15),IF(ISNUMBER($AA525),$AA525-$AG525,1E+15)))))</f>
        <v/>
      </c>
      <c r="R525" s="48" t="str">
        <f>IF(OR($B525="",$D525=""),"",IF($AC525=0,"",IF(AND(NOT(ISNUMBER($P525)),NOT(ISNUMBER($AA525))),"∞",MAX(0,MIN(IF(ISNUMBER($P525),$P525-$AF525-$Q525,1E+15),IF(ISNUMBER($AA525),$AA525-$AG525-$Q525,1E+15))))))</f>
        <v/>
      </c>
      <c r="S525" s="47" t="str">
        <f>IF($AD525="","",YEAR($AD525)*100+MONTH($AD525))</f>
        <v/>
      </c>
      <c r="T525" s="50" t="str">
        <f>IF($AD525="","",IFERROR(IF(INDEX(CARDS!$I$5:$I$34,MATCH($D525,CARDS!$A$5:$A$34,0))="","",IF(INDEX(CARDS!$I$5:$I$34,MATCH($D525,CARDS!$A$5:$A$34,0))&gt;INDEX(CARDS!$H$5:$H$34,MATCH($D525,CARDS!$A$5:$A$34,0)),DATE(YEAR($AD525),MONTH($AD525),MIN(INDEX(CARDS!$I$5:$I$34,MATCH($D525,CARDS!$A$5:$A$34,0)),DAY(EOMONTH($AD525,0)))),DATE(YEAR($AD525),MONTH($AD525)+1,MIN(INDEX(CARDS!$I$5:$I$34,MATCH($D525,CARDS!$A$5:$A$34,0)),DAY(EOMONTH($AD525,1)))))),""))</f>
        <v/>
      </c>
      <c r="U525" s="38" t="n"/>
      <c r="V525" s="37" t="n"/>
      <c r="W525" s="38" t="n"/>
      <c r="X525" s="38" t="n"/>
      <c r="Y525" s="44" t="str">
        <f>IF($AC525&gt;0,INDEX(CASHBACK_RULES!$A$5:$A$304,$AC525),"")</f>
        <v/>
      </c>
      <c r="Z525" s="45" t="str">
        <f>IF($AC525&gt;0,INDEX(CASHBACK_RULES!$E$5:$E$304,$AC525)&amp;"","")</f>
        <v/>
      </c>
      <c r="AA525" s="48" t="str">
        <f>IF($AC525&gt;0,IF(ISNUMBER(INDEX(CASHBACK_RULES!$K$5:$K$304,$AC525)),INDEX(CASHBACK_RULES!$K$5:$K$304,$AC525),"∞"),"")</f>
        <v/>
      </c>
      <c r="AB525" s="44" t="str">
        <f>IF(OR($B525="",$D525=""),"",IF($U525="Cancelled","Đã hủy",IF($AC525=0,"Không được hoàn",IF($Q525=0,IF(OR($O525&gt;0,$M525&lt;$L525),"Đã đạt cap","Không được hoàn"),IF(OR($Q525&lt;$O525,$M525&lt;$L525),"Hoàn một phần","Được hoàn")))))</f>
        <v/>
      </c>
      <c r="AC525" s="43">
        <f>IF(OR($B525="",$D525="",$I525="",$L525=""),0,IF($U525="Cancelled",0,IF($W525&lt;&gt;"",IFERROR(IF(INDEX(CASHBACK_RULES!$B$5:$B$304,MATCH($W525,CASHBACK_RULES!$A$5:$A$304,0))=$D525,MATCH($W525,CASHBACK_RULES!$A$5:$A$304,0),0),0),IFERROR(MATCH(1,INDEX((CASHBACK_RULES!$B$5:$B$304=$D525)*(CASHBACK_RULES!$G$5:$G$304=$I525)*(((CASHBACK_RULES!$N$5:$N$304="")+(CASHBACK_RULES!$N$5:$N$304&lt;=$B525))&gt;0)*(((CASHBACK_RULES!$O$5:$O$304="")+(CASHBACK_RULES!$O$5:$O$304&gt;=$B525))&gt;0)*(((CASHBACK_RULES!$M$5:$M$304="")+(CASHBACK_RULES!$M$5:$M$304&lt;=$L525))&gt;0),0),0),0))))</f>
        <v>0</v>
      </c>
      <c r="AD525" s="51" t="str">
        <f>IF(OR($B525="",$D525=""),"",IFERROR(IF(INDEX(CARDS!$H$5:$H$34,MATCH($D525,CARDS!$A$5:$A$34,0))="","",IF(DAY($B525)&lt;=INDEX(CARDS!$H$5:$H$34,MATCH($D525,CARDS!$A$5:$A$34,0)),DATE(YEAR($B525),MONTH($B525),MIN(INDEX(CARDS!$H$5:$H$34,MATCH($D525,CARDS!$A$5:$A$34,0)),DAY(EOMONTH($B525,0)))),DATE(YEAR($B525),MONTH($B525)+1,MIN(INDEX(CARDS!$H$5:$H$34,MATCH($D525,CARDS!$A$5:$A$34,0)),DAY(EOMONTH($B525,1)))))),""))</f>
        <v/>
      </c>
      <c r="AE525" s="52" t="str">
        <f>IF($C525="","",$C525&amp;"|"&amp;COUNTIF($C$5:$C525,$C525))</f>
        <v/>
      </c>
      <c r="AF525" s="53">
        <f>IF($AC525&gt;0,SUMIFS(Q$4:Q524,$D$4:$D524,$D525,$Z$4:$Z524,$Z525,$C$4:$C524,$C525),0)</f>
        <v>0</v>
      </c>
      <c r="AG525" s="53">
        <f>IF($AC525&gt;0,SUMIFS(Q$4:Q524,$D$4:$D524,$D525,$C$4:$C524,$C525),0)</f>
        <v>0</v>
      </c>
      <c r="AH525" s="53">
        <f>IF($AC525&gt;0,SUMIFS(M$4:M524,$D$4:$D524,$D525,$Z$4:$Z524,$Z525,$C$4:$C524,$C525),0)</f>
        <v>0</v>
      </c>
      <c r="AI525" s="43">
        <f>IF(OR($C525="",$I525=""),0,IF(COUNTIFS($C$5:$C525,$C525,$I$5:$I525,$I525)=1,1,0))</f>
        <v>0</v>
      </c>
      <c r="AJ525" s="43" t="str">
        <f>IF($AI525=1,SUMIFS($AI$4:$AI524,$C$4:$C524,$C525)+1,"")</f>
        <v/>
      </c>
      <c r="AK525" s="43">
        <f>IF(OR($C525="",$K525=""),0,IF(COUNTIFS($C$5:$C525,$C525,$K$5:$K525,$K525)=1,1,0))</f>
        <v>0</v>
      </c>
      <c r="AL525" s="43" t="str">
        <f>IF($AK525=1,SUMIFS($AK$4:$AK524,$C$4:$C524,$C525)+1,"")</f>
        <v/>
      </c>
      <c r="AM525" s="43">
        <f>IF(OR($C525="",$G525=""),0,IF(COUNTIFS($C$5:$C525,$C525,$G$5:$G525,$G525)=1,1,0))</f>
        <v>0</v>
      </c>
      <c r="AN525" s="43" t="str">
        <f>IF($AM525=1,SUMIFS($AM$4:$AM524,$C$4:$C524,$C525)+1,"")</f>
        <v/>
      </c>
    </row>
    <row r="526">
      <c r="A526" s="44" t="str">
        <f>IF(OR($B526="",$D526=""),"","TX"&amp;TEXT(ROW()-4,"0000"))</f>
        <v/>
      </c>
      <c r="B526" s="42" t="n"/>
      <c r="C526" s="47" t="str">
        <f>IF($B526="","",YEAR($B526)*100+MONTH($B526))</f>
        <v/>
      </c>
      <c r="D526" s="37" t="n"/>
      <c r="E526" s="45" t="str">
        <f>IF($D526="","",IFERROR(INDEX(CARDS!$B$5:$B$34,MATCH($D526,CARDS!$A$5:$A$34,0)),"⚠ Card ID?"))</f>
        <v/>
      </c>
      <c r="F526" s="45" t="str">
        <f>IF($D526="","",IFERROR(INDEX(CARDS!$C$5:$C$34,MATCH($D526,CARDS!$A$5:$A$34,0)),"⚠ Card ID?"))</f>
        <v/>
      </c>
      <c r="G526" s="37" t="n"/>
      <c r="H526" s="37" t="n"/>
      <c r="I526" s="41" t="n"/>
      <c r="J526" s="45" t="str">
        <f>IF($I526="","",IFERROR(INDEX(MCC_MASTER!$B$5:$B$504,MATCH($I526,MCC_MASTER!$A$5:$A$504,0)),"⚠ MCC chưa có"))</f>
        <v/>
      </c>
      <c r="K526" s="45" t="str">
        <f>IF($I526="","",IFERROR(IF(INDEX(MCC_MASTER!$C$5:$C$504,MATCH($I526,MCC_MASTER!$A$5:$A$504,0))="","Chưa phân loại",INDEX(MCC_MASTER!$C$5:$C$504,MATCH($I526,MCC_MASTER!$A$5:$A$504,0))),"Chưa phân loại"))</f>
        <v/>
      </c>
      <c r="L526" s="40" t="n"/>
      <c r="M526" s="48" t="str">
        <f>IF(OR($B526="",$D526=""),"",IF($AC526=0,0,IF(ISNUMBER(INDEX(CASHBACK_RULES!$L$5:$L$304,$AC526)),MAX(0,MIN($L526,INDEX(CASHBACK_RULES!$L$5:$L$304,$AC526)-$AH526)),MAX(0,$L526))))</f>
        <v/>
      </c>
      <c r="N526" s="49" t="str">
        <f>IF(OR($B526="",$D526=""),"",IF($AC526&gt;0,INDEX(CASHBACK_RULES!$I$5:$I$304,$AC526),0))</f>
        <v/>
      </c>
      <c r="O526" s="48" t="str">
        <f>IF(OR($B526="",$D526=""),"",ROUND($M526*$N526,0))</f>
        <v/>
      </c>
      <c r="P526" s="48" t="str">
        <f>IF($AC526&gt;0,IF(ISNUMBER(INDEX(CASHBACK_RULES!$J$5:$J$304,$AC526)),INDEX(CASHBACK_RULES!$J$5:$J$304,$AC526),"∞"),"")</f>
        <v/>
      </c>
      <c r="Q526" s="48" t="str">
        <f>IF(OR($B526="",$D526=""),"",IF($AC526=0,0,MAX(0,MIN($O526,IF(ISNUMBER($P526),$P526-$AF526,1E+15),IF(ISNUMBER($AA526),$AA526-$AG526,1E+15)))))</f>
        <v/>
      </c>
      <c r="R526" s="48" t="str">
        <f>IF(OR($B526="",$D526=""),"",IF($AC526=0,"",IF(AND(NOT(ISNUMBER($P526)),NOT(ISNUMBER($AA526))),"∞",MAX(0,MIN(IF(ISNUMBER($P526),$P526-$AF526-$Q526,1E+15),IF(ISNUMBER($AA526),$AA526-$AG526-$Q526,1E+15))))))</f>
        <v/>
      </c>
      <c r="S526" s="47" t="str">
        <f>IF($AD526="","",YEAR($AD526)*100+MONTH($AD526))</f>
        <v/>
      </c>
      <c r="T526" s="50" t="str">
        <f>IF($AD526="","",IFERROR(IF(INDEX(CARDS!$I$5:$I$34,MATCH($D526,CARDS!$A$5:$A$34,0))="","",IF(INDEX(CARDS!$I$5:$I$34,MATCH($D526,CARDS!$A$5:$A$34,0))&gt;INDEX(CARDS!$H$5:$H$34,MATCH($D526,CARDS!$A$5:$A$34,0)),DATE(YEAR($AD526),MONTH($AD526),MIN(INDEX(CARDS!$I$5:$I$34,MATCH($D526,CARDS!$A$5:$A$34,0)),DAY(EOMONTH($AD526,0)))),DATE(YEAR($AD526),MONTH($AD526)+1,MIN(INDEX(CARDS!$I$5:$I$34,MATCH($D526,CARDS!$A$5:$A$34,0)),DAY(EOMONTH($AD526,1)))))),""))</f>
        <v/>
      </c>
      <c r="U526" s="38" t="n"/>
      <c r="V526" s="37" t="n"/>
      <c r="W526" s="38" t="n"/>
      <c r="X526" s="38" t="n"/>
      <c r="Y526" s="44" t="str">
        <f>IF($AC526&gt;0,INDEX(CASHBACK_RULES!$A$5:$A$304,$AC526),"")</f>
        <v/>
      </c>
      <c r="Z526" s="45" t="str">
        <f>IF($AC526&gt;0,INDEX(CASHBACK_RULES!$E$5:$E$304,$AC526)&amp;"","")</f>
        <v/>
      </c>
      <c r="AA526" s="48" t="str">
        <f>IF($AC526&gt;0,IF(ISNUMBER(INDEX(CASHBACK_RULES!$K$5:$K$304,$AC526)),INDEX(CASHBACK_RULES!$K$5:$K$304,$AC526),"∞"),"")</f>
        <v/>
      </c>
      <c r="AB526" s="44" t="str">
        <f>IF(OR($B526="",$D526=""),"",IF($U526="Cancelled","Đã hủy",IF($AC526=0,"Không được hoàn",IF($Q526=0,IF(OR($O526&gt;0,$M526&lt;$L526),"Đã đạt cap","Không được hoàn"),IF(OR($Q526&lt;$O526,$M526&lt;$L526),"Hoàn một phần","Được hoàn")))))</f>
        <v/>
      </c>
      <c r="AC526" s="43">
        <f>IF(OR($B526="",$D526="",$I526="",$L526=""),0,IF($U526="Cancelled",0,IF($W526&lt;&gt;"",IFERROR(IF(INDEX(CASHBACK_RULES!$B$5:$B$304,MATCH($W526,CASHBACK_RULES!$A$5:$A$304,0))=$D526,MATCH($W526,CASHBACK_RULES!$A$5:$A$304,0),0),0),IFERROR(MATCH(1,INDEX((CASHBACK_RULES!$B$5:$B$304=$D526)*(CASHBACK_RULES!$G$5:$G$304=$I526)*(((CASHBACK_RULES!$N$5:$N$304="")+(CASHBACK_RULES!$N$5:$N$304&lt;=$B526))&gt;0)*(((CASHBACK_RULES!$O$5:$O$304="")+(CASHBACK_RULES!$O$5:$O$304&gt;=$B526))&gt;0)*(((CASHBACK_RULES!$M$5:$M$304="")+(CASHBACK_RULES!$M$5:$M$304&lt;=$L526))&gt;0),0),0),0))))</f>
        <v>0</v>
      </c>
      <c r="AD526" s="51" t="str">
        <f>IF(OR($B526="",$D526=""),"",IFERROR(IF(INDEX(CARDS!$H$5:$H$34,MATCH($D526,CARDS!$A$5:$A$34,0))="","",IF(DAY($B526)&lt;=INDEX(CARDS!$H$5:$H$34,MATCH($D526,CARDS!$A$5:$A$34,0)),DATE(YEAR($B526),MONTH($B526),MIN(INDEX(CARDS!$H$5:$H$34,MATCH($D526,CARDS!$A$5:$A$34,0)),DAY(EOMONTH($B526,0)))),DATE(YEAR($B526),MONTH($B526)+1,MIN(INDEX(CARDS!$H$5:$H$34,MATCH($D526,CARDS!$A$5:$A$34,0)),DAY(EOMONTH($B526,1)))))),""))</f>
        <v/>
      </c>
      <c r="AE526" s="52" t="str">
        <f>IF($C526="","",$C526&amp;"|"&amp;COUNTIF($C$5:$C526,$C526))</f>
        <v/>
      </c>
      <c r="AF526" s="53">
        <f>IF($AC526&gt;0,SUMIFS(Q$4:Q525,$D$4:$D525,$D526,$Z$4:$Z525,$Z526,$C$4:$C525,$C526),0)</f>
        <v>0</v>
      </c>
      <c r="AG526" s="53">
        <f>IF($AC526&gt;0,SUMIFS(Q$4:Q525,$D$4:$D525,$D526,$C$4:$C525,$C526),0)</f>
        <v>0</v>
      </c>
      <c r="AH526" s="53">
        <f>IF($AC526&gt;0,SUMIFS(M$4:M525,$D$4:$D525,$D526,$Z$4:$Z525,$Z526,$C$4:$C525,$C526),0)</f>
        <v>0</v>
      </c>
      <c r="AI526" s="43">
        <f>IF(OR($C526="",$I526=""),0,IF(COUNTIFS($C$5:$C526,$C526,$I$5:$I526,$I526)=1,1,0))</f>
        <v>0</v>
      </c>
      <c r="AJ526" s="43" t="str">
        <f>IF($AI526=1,SUMIFS($AI$4:$AI525,$C$4:$C525,$C526)+1,"")</f>
        <v/>
      </c>
      <c r="AK526" s="43">
        <f>IF(OR($C526="",$K526=""),0,IF(COUNTIFS($C$5:$C526,$C526,$K$5:$K526,$K526)=1,1,0))</f>
        <v>0</v>
      </c>
      <c r="AL526" s="43" t="str">
        <f>IF($AK526=1,SUMIFS($AK$4:$AK525,$C$4:$C525,$C526)+1,"")</f>
        <v/>
      </c>
      <c r="AM526" s="43">
        <f>IF(OR($C526="",$G526=""),0,IF(COUNTIFS($C$5:$C526,$C526,$G$5:$G526,$G526)=1,1,0))</f>
        <v>0</v>
      </c>
      <c r="AN526" s="43" t="str">
        <f>IF($AM526=1,SUMIFS($AM$4:$AM525,$C$4:$C525,$C526)+1,"")</f>
        <v/>
      </c>
    </row>
    <row r="527">
      <c r="A527" s="44" t="str">
        <f>IF(OR($B527="",$D527=""),"","TX"&amp;TEXT(ROW()-4,"0000"))</f>
        <v/>
      </c>
      <c r="B527" s="42" t="n"/>
      <c r="C527" s="47" t="str">
        <f>IF($B527="","",YEAR($B527)*100+MONTH($B527))</f>
        <v/>
      </c>
      <c r="D527" s="37" t="n"/>
      <c r="E527" s="45" t="str">
        <f>IF($D527="","",IFERROR(INDEX(CARDS!$B$5:$B$34,MATCH($D527,CARDS!$A$5:$A$34,0)),"⚠ Card ID?"))</f>
        <v/>
      </c>
      <c r="F527" s="45" t="str">
        <f>IF($D527="","",IFERROR(INDEX(CARDS!$C$5:$C$34,MATCH($D527,CARDS!$A$5:$A$34,0)),"⚠ Card ID?"))</f>
        <v/>
      </c>
      <c r="G527" s="37" t="n"/>
      <c r="H527" s="37" t="n"/>
      <c r="I527" s="41" t="n"/>
      <c r="J527" s="45" t="str">
        <f>IF($I527="","",IFERROR(INDEX(MCC_MASTER!$B$5:$B$504,MATCH($I527,MCC_MASTER!$A$5:$A$504,0)),"⚠ MCC chưa có"))</f>
        <v/>
      </c>
      <c r="K527" s="45" t="str">
        <f>IF($I527="","",IFERROR(IF(INDEX(MCC_MASTER!$C$5:$C$504,MATCH($I527,MCC_MASTER!$A$5:$A$504,0))="","Chưa phân loại",INDEX(MCC_MASTER!$C$5:$C$504,MATCH($I527,MCC_MASTER!$A$5:$A$504,0))),"Chưa phân loại"))</f>
        <v/>
      </c>
      <c r="L527" s="40" t="n"/>
      <c r="M527" s="48" t="str">
        <f>IF(OR($B527="",$D527=""),"",IF($AC527=0,0,IF(ISNUMBER(INDEX(CASHBACK_RULES!$L$5:$L$304,$AC527)),MAX(0,MIN($L527,INDEX(CASHBACK_RULES!$L$5:$L$304,$AC527)-$AH527)),MAX(0,$L527))))</f>
        <v/>
      </c>
      <c r="N527" s="49" t="str">
        <f>IF(OR($B527="",$D527=""),"",IF($AC527&gt;0,INDEX(CASHBACK_RULES!$I$5:$I$304,$AC527),0))</f>
        <v/>
      </c>
      <c r="O527" s="48" t="str">
        <f>IF(OR($B527="",$D527=""),"",ROUND($M527*$N527,0))</f>
        <v/>
      </c>
      <c r="P527" s="48" t="str">
        <f>IF($AC527&gt;0,IF(ISNUMBER(INDEX(CASHBACK_RULES!$J$5:$J$304,$AC527)),INDEX(CASHBACK_RULES!$J$5:$J$304,$AC527),"∞"),"")</f>
        <v/>
      </c>
      <c r="Q527" s="48" t="str">
        <f>IF(OR($B527="",$D527=""),"",IF($AC527=0,0,MAX(0,MIN($O527,IF(ISNUMBER($P527),$P527-$AF527,1E+15),IF(ISNUMBER($AA527),$AA527-$AG527,1E+15)))))</f>
        <v/>
      </c>
      <c r="R527" s="48" t="str">
        <f>IF(OR($B527="",$D527=""),"",IF($AC527=0,"",IF(AND(NOT(ISNUMBER($P527)),NOT(ISNUMBER($AA527))),"∞",MAX(0,MIN(IF(ISNUMBER($P527),$P527-$AF527-$Q527,1E+15),IF(ISNUMBER($AA527),$AA527-$AG527-$Q527,1E+15))))))</f>
        <v/>
      </c>
      <c r="S527" s="47" t="str">
        <f>IF($AD527="","",YEAR($AD527)*100+MONTH($AD527))</f>
        <v/>
      </c>
      <c r="T527" s="50" t="str">
        <f>IF($AD527="","",IFERROR(IF(INDEX(CARDS!$I$5:$I$34,MATCH($D527,CARDS!$A$5:$A$34,0))="","",IF(INDEX(CARDS!$I$5:$I$34,MATCH($D527,CARDS!$A$5:$A$34,0))&gt;INDEX(CARDS!$H$5:$H$34,MATCH($D527,CARDS!$A$5:$A$34,0)),DATE(YEAR($AD527),MONTH($AD527),MIN(INDEX(CARDS!$I$5:$I$34,MATCH($D527,CARDS!$A$5:$A$34,0)),DAY(EOMONTH($AD527,0)))),DATE(YEAR($AD527),MONTH($AD527)+1,MIN(INDEX(CARDS!$I$5:$I$34,MATCH($D527,CARDS!$A$5:$A$34,0)),DAY(EOMONTH($AD527,1)))))),""))</f>
        <v/>
      </c>
      <c r="U527" s="38" t="n"/>
      <c r="V527" s="37" t="n"/>
      <c r="W527" s="38" t="n"/>
      <c r="X527" s="38" t="n"/>
      <c r="Y527" s="44" t="str">
        <f>IF($AC527&gt;0,INDEX(CASHBACK_RULES!$A$5:$A$304,$AC527),"")</f>
        <v/>
      </c>
      <c r="Z527" s="45" t="str">
        <f>IF($AC527&gt;0,INDEX(CASHBACK_RULES!$E$5:$E$304,$AC527)&amp;"","")</f>
        <v/>
      </c>
      <c r="AA527" s="48" t="str">
        <f>IF($AC527&gt;0,IF(ISNUMBER(INDEX(CASHBACK_RULES!$K$5:$K$304,$AC527)),INDEX(CASHBACK_RULES!$K$5:$K$304,$AC527),"∞"),"")</f>
        <v/>
      </c>
      <c r="AB527" s="44" t="str">
        <f>IF(OR($B527="",$D527=""),"",IF($U527="Cancelled","Đã hủy",IF($AC527=0,"Không được hoàn",IF($Q527=0,IF(OR($O527&gt;0,$M527&lt;$L527),"Đã đạt cap","Không được hoàn"),IF(OR($Q527&lt;$O527,$M527&lt;$L527),"Hoàn một phần","Được hoàn")))))</f>
        <v/>
      </c>
      <c r="AC527" s="43">
        <f>IF(OR($B527="",$D527="",$I527="",$L527=""),0,IF($U527="Cancelled",0,IF($W527&lt;&gt;"",IFERROR(IF(INDEX(CASHBACK_RULES!$B$5:$B$304,MATCH($W527,CASHBACK_RULES!$A$5:$A$304,0))=$D527,MATCH($W527,CASHBACK_RULES!$A$5:$A$304,0),0),0),IFERROR(MATCH(1,INDEX((CASHBACK_RULES!$B$5:$B$304=$D527)*(CASHBACK_RULES!$G$5:$G$304=$I527)*(((CASHBACK_RULES!$N$5:$N$304="")+(CASHBACK_RULES!$N$5:$N$304&lt;=$B527))&gt;0)*(((CASHBACK_RULES!$O$5:$O$304="")+(CASHBACK_RULES!$O$5:$O$304&gt;=$B527))&gt;0)*(((CASHBACK_RULES!$M$5:$M$304="")+(CASHBACK_RULES!$M$5:$M$304&lt;=$L527))&gt;0),0),0),0))))</f>
        <v>0</v>
      </c>
      <c r="AD527" s="51" t="str">
        <f>IF(OR($B527="",$D527=""),"",IFERROR(IF(INDEX(CARDS!$H$5:$H$34,MATCH($D527,CARDS!$A$5:$A$34,0))="","",IF(DAY($B527)&lt;=INDEX(CARDS!$H$5:$H$34,MATCH($D527,CARDS!$A$5:$A$34,0)),DATE(YEAR($B527),MONTH($B527),MIN(INDEX(CARDS!$H$5:$H$34,MATCH($D527,CARDS!$A$5:$A$34,0)),DAY(EOMONTH($B527,0)))),DATE(YEAR($B527),MONTH($B527)+1,MIN(INDEX(CARDS!$H$5:$H$34,MATCH($D527,CARDS!$A$5:$A$34,0)),DAY(EOMONTH($B527,1)))))),""))</f>
        <v/>
      </c>
      <c r="AE527" s="52" t="str">
        <f>IF($C527="","",$C527&amp;"|"&amp;COUNTIF($C$5:$C527,$C527))</f>
        <v/>
      </c>
      <c r="AF527" s="53">
        <f>IF($AC527&gt;0,SUMIFS(Q$4:Q526,$D$4:$D526,$D527,$Z$4:$Z526,$Z527,$C$4:$C526,$C527),0)</f>
        <v>0</v>
      </c>
      <c r="AG527" s="53">
        <f>IF($AC527&gt;0,SUMIFS(Q$4:Q526,$D$4:$D526,$D527,$C$4:$C526,$C527),0)</f>
        <v>0</v>
      </c>
      <c r="AH527" s="53">
        <f>IF($AC527&gt;0,SUMIFS(M$4:M526,$D$4:$D526,$D527,$Z$4:$Z526,$Z527,$C$4:$C526,$C527),0)</f>
        <v>0</v>
      </c>
      <c r="AI527" s="43">
        <f>IF(OR($C527="",$I527=""),0,IF(COUNTIFS($C$5:$C527,$C527,$I$5:$I527,$I527)=1,1,0))</f>
        <v>0</v>
      </c>
      <c r="AJ527" s="43" t="str">
        <f>IF($AI527=1,SUMIFS($AI$4:$AI526,$C$4:$C526,$C527)+1,"")</f>
        <v/>
      </c>
      <c r="AK527" s="43">
        <f>IF(OR($C527="",$K527=""),0,IF(COUNTIFS($C$5:$C527,$C527,$K$5:$K527,$K527)=1,1,0))</f>
        <v>0</v>
      </c>
      <c r="AL527" s="43" t="str">
        <f>IF($AK527=1,SUMIFS($AK$4:$AK526,$C$4:$C526,$C527)+1,"")</f>
        <v/>
      </c>
      <c r="AM527" s="43">
        <f>IF(OR($C527="",$G527=""),0,IF(COUNTIFS($C$5:$C527,$C527,$G$5:$G527,$G527)=1,1,0))</f>
        <v>0</v>
      </c>
      <c r="AN527" s="43" t="str">
        <f>IF($AM527=1,SUMIFS($AM$4:$AM526,$C$4:$C526,$C527)+1,"")</f>
        <v/>
      </c>
    </row>
    <row r="528">
      <c r="A528" s="44" t="str">
        <f>IF(OR($B528="",$D528=""),"","TX"&amp;TEXT(ROW()-4,"0000"))</f>
        <v/>
      </c>
      <c r="B528" s="42" t="n"/>
      <c r="C528" s="47" t="str">
        <f>IF($B528="","",YEAR($B528)*100+MONTH($B528))</f>
        <v/>
      </c>
      <c r="D528" s="37" t="n"/>
      <c r="E528" s="45" t="str">
        <f>IF($D528="","",IFERROR(INDEX(CARDS!$B$5:$B$34,MATCH($D528,CARDS!$A$5:$A$34,0)),"⚠ Card ID?"))</f>
        <v/>
      </c>
      <c r="F528" s="45" t="str">
        <f>IF($D528="","",IFERROR(INDEX(CARDS!$C$5:$C$34,MATCH($D528,CARDS!$A$5:$A$34,0)),"⚠ Card ID?"))</f>
        <v/>
      </c>
      <c r="G528" s="37" t="n"/>
      <c r="H528" s="37" t="n"/>
      <c r="I528" s="41" t="n"/>
      <c r="J528" s="45" t="str">
        <f>IF($I528="","",IFERROR(INDEX(MCC_MASTER!$B$5:$B$504,MATCH($I528,MCC_MASTER!$A$5:$A$504,0)),"⚠ MCC chưa có"))</f>
        <v/>
      </c>
      <c r="K528" s="45" t="str">
        <f>IF($I528="","",IFERROR(IF(INDEX(MCC_MASTER!$C$5:$C$504,MATCH($I528,MCC_MASTER!$A$5:$A$504,0))="","Chưa phân loại",INDEX(MCC_MASTER!$C$5:$C$504,MATCH($I528,MCC_MASTER!$A$5:$A$504,0))),"Chưa phân loại"))</f>
        <v/>
      </c>
      <c r="L528" s="40" t="n"/>
      <c r="M528" s="48" t="str">
        <f>IF(OR($B528="",$D528=""),"",IF($AC528=0,0,IF(ISNUMBER(INDEX(CASHBACK_RULES!$L$5:$L$304,$AC528)),MAX(0,MIN($L528,INDEX(CASHBACK_RULES!$L$5:$L$304,$AC528)-$AH528)),MAX(0,$L528))))</f>
        <v/>
      </c>
      <c r="N528" s="49" t="str">
        <f>IF(OR($B528="",$D528=""),"",IF($AC528&gt;0,INDEX(CASHBACK_RULES!$I$5:$I$304,$AC528),0))</f>
        <v/>
      </c>
      <c r="O528" s="48" t="str">
        <f>IF(OR($B528="",$D528=""),"",ROUND($M528*$N528,0))</f>
        <v/>
      </c>
      <c r="P528" s="48" t="str">
        <f>IF($AC528&gt;0,IF(ISNUMBER(INDEX(CASHBACK_RULES!$J$5:$J$304,$AC528)),INDEX(CASHBACK_RULES!$J$5:$J$304,$AC528),"∞"),"")</f>
        <v/>
      </c>
      <c r="Q528" s="48" t="str">
        <f>IF(OR($B528="",$D528=""),"",IF($AC528=0,0,MAX(0,MIN($O528,IF(ISNUMBER($P528),$P528-$AF528,1E+15),IF(ISNUMBER($AA528),$AA528-$AG528,1E+15)))))</f>
        <v/>
      </c>
      <c r="R528" s="48" t="str">
        <f>IF(OR($B528="",$D528=""),"",IF($AC528=0,"",IF(AND(NOT(ISNUMBER($P528)),NOT(ISNUMBER($AA528))),"∞",MAX(0,MIN(IF(ISNUMBER($P528),$P528-$AF528-$Q528,1E+15),IF(ISNUMBER($AA528),$AA528-$AG528-$Q528,1E+15))))))</f>
        <v/>
      </c>
      <c r="S528" s="47" t="str">
        <f>IF($AD528="","",YEAR($AD528)*100+MONTH($AD528))</f>
        <v/>
      </c>
      <c r="T528" s="50" t="str">
        <f>IF($AD528="","",IFERROR(IF(INDEX(CARDS!$I$5:$I$34,MATCH($D528,CARDS!$A$5:$A$34,0))="","",IF(INDEX(CARDS!$I$5:$I$34,MATCH($D528,CARDS!$A$5:$A$34,0))&gt;INDEX(CARDS!$H$5:$H$34,MATCH($D528,CARDS!$A$5:$A$34,0)),DATE(YEAR($AD528),MONTH($AD528),MIN(INDEX(CARDS!$I$5:$I$34,MATCH($D528,CARDS!$A$5:$A$34,0)),DAY(EOMONTH($AD528,0)))),DATE(YEAR($AD528),MONTH($AD528)+1,MIN(INDEX(CARDS!$I$5:$I$34,MATCH($D528,CARDS!$A$5:$A$34,0)),DAY(EOMONTH($AD528,1)))))),""))</f>
        <v/>
      </c>
      <c r="U528" s="38" t="n"/>
      <c r="V528" s="37" t="n"/>
      <c r="W528" s="38" t="n"/>
      <c r="X528" s="38" t="n"/>
      <c r="Y528" s="44" t="str">
        <f>IF($AC528&gt;0,INDEX(CASHBACK_RULES!$A$5:$A$304,$AC528),"")</f>
        <v/>
      </c>
      <c r="Z528" s="45" t="str">
        <f>IF($AC528&gt;0,INDEX(CASHBACK_RULES!$E$5:$E$304,$AC528)&amp;"","")</f>
        <v/>
      </c>
      <c r="AA528" s="48" t="str">
        <f>IF($AC528&gt;0,IF(ISNUMBER(INDEX(CASHBACK_RULES!$K$5:$K$304,$AC528)),INDEX(CASHBACK_RULES!$K$5:$K$304,$AC528),"∞"),"")</f>
        <v/>
      </c>
      <c r="AB528" s="44" t="str">
        <f>IF(OR($B528="",$D528=""),"",IF($U528="Cancelled","Đã hủy",IF($AC528=0,"Không được hoàn",IF($Q528=0,IF(OR($O528&gt;0,$M528&lt;$L528),"Đã đạt cap","Không được hoàn"),IF(OR($Q528&lt;$O528,$M528&lt;$L528),"Hoàn một phần","Được hoàn")))))</f>
        <v/>
      </c>
      <c r="AC528" s="43">
        <f>IF(OR($B528="",$D528="",$I528="",$L528=""),0,IF($U528="Cancelled",0,IF($W528&lt;&gt;"",IFERROR(IF(INDEX(CASHBACK_RULES!$B$5:$B$304,MATCH($W528,CASHBACK_RULES!$A$5:$A$304,0))=$D528,MATCH($W528,CASHBACK_RULES!$A$5:$A$304,0),0),0),IFERROR(MATCH(1,INDEX((CASHBACK_RULES!$B$5:$B$304=$D528)*(CASHBACK_RULES!$G$5:$G$304=$I528)*(((CASHBACK_RULES!$N$5:$N$304="")+(CASHBACK_RULES!$N$5:$N$304&lt;=$B528))&gt;0)*(((CASHBACK_RULES!$O$5:$O$304="")+(CASHBACK_RULES!$O$5:$O$304&gt;=$B528))&gt;0)*(((CASHBACK_RULES!$M$5:$M$304="")+(CASHBACK_RULES!$M$5:$M$304&lt;=$L528))&gt;0),0),0),0))))</f>
        <v>0</v>
      </c>
      <c r="AD528" s="51" t="str">
        <f>IF(OR($B528="",$D528=""),"",IFERROR(IF(INDEX(CARDS!$H$5:$H$34,MATCH($D528,CARDS!$A$5:$A$34,0))="","",IF(DAY($B528)&lt;=INDEX(CARDS!$H$5:$H$34,MATCH($D528,CARDS!$A$5:$A$34,0)),DATE(YEAR($B528),MONTH($B528),MIN(INDEX(CARDS!$H$5:$H$34,MATCH($D528,CARDS!$A$5:$A$34,0)),DAY(EOMONTH($B528,0)))),DATE(YEAR($B528),MONTH($B528)+1,MIN(INDEX(CARDS!$H$5:$H$34,MATCH($D528,CARDS!$A$5:$A$34,0)),DAY(EOMONTH($B528,1)))))),""))</f>
        <v/>
      </c>
      <c r="AE528" s="52" t="str">
        <f>IF($C528="","",$C528&amp;"|"&amp;COUNTIF($C$5:$C528,$C528))</f>
        <v/>
      </c>
      <c r="AF528" s="53">
        <f>IF($AC528&gt;0,SUMIFS(Q$4:Q527,$D$4:$D527,$D528,$Z$4:$Z527,$Z528,$C$4:$C527,$C528),0)</f>
        <v>0</v>
      </c>
      <c r="AG528" s="53">
        <f>IF($AC528&gt;0,SUMIFS(Q$4:Q527,$D$4:$D527,$D528,$C$4:$C527,$C528),0)</f>
        <v>0</v>
      </c>
      <c r="AH528" s="53">
        <f>IF($AC528&gt;0,SUMIFS(M$4:M527,$D$4:$D527,$D528,$Z$4:$Z527,$Z528,$C$4:$C527,$C528),0)</f>
        <v>0</v>
      </c>
      <c r="AI528" s="43">
        <f>IF(OR($C528="",$I528=""),0,IF(COUNTIFS($C$5:$C528,$C528,$I$5:$I528,$I528)=1,1,0))</f>
        <v>0</v>
      </c>
      <c r="AJ528" s="43" t="str">
        <f>IF($AI528=1,SUMIFS($AI$4:$AI527,$C$4:$C527,$C528)+1,"")</f>
        <v/>
      </c>
      <c r="AK528" s="43">
        <f>IF(OR($C528="",$K528=""),0,IF(COUNTIFS($C$5:$C528,$C528,$K$5:$K528,$K528)=1,1,0))</f>
        <v>0</v>
      </c>
      <c r="AL528" s="43" t="str">
        <f>IF($AK528=1,SUMIFS($AK$4:$AK527,$C$4:$C527,$C528)+1,"")</f>
        <v/>
      </c>
      <c r="AM528" s="43">
        <f>IF(OR($C528="",$G528=""),0,IF(COUNTIFS($C$5:$C528,$C528,$G$5:$G528,$G528)=1,1,0))</f>
        <v>0</v>
      </c>
      <c r="AN528" s="43" t="str">
        <f>IF($AM528=1,SUMIFS($AM$4:$AM527,$C$4:$C527,$C528)+1,"")</f>
        <v/>
      </c>
    </row>
    <row r="529">
      <c r="A529" s="44" t="str">
        <f>IF(OR($B529="",$D529=""),"","TX"&amp;TEXT(ROW()-4,"0000"))</f>
        <v/>
      </c>
      <c r="B529" s="42" t="n"/>
      <c r="C529" s="47" t="str">
        <f>IF($B529="","",YEAR($B529)*100+MONTH($B529))</f>
        <v/>
      </c>
      <c r="D529" s="37" t="n"/>
      <c r="E529" s="45" t="str">
        <f>IF($D529="","",IFERROR(INDEX(CARDS!$B$5:$B$34,MATCH($D529,CARDS!$A$5:$A$34,0)),"⚠ Card ID?"))</f>
        <v/>
      </c>
      <c r="F529" s="45" t="str">
        <f>IF($D529="","",IFERROR(INDEX(CARDS!$C$5:$C$34,MATCH($D529,CARDS!$A$5:$A$34,0)),"⚠ Card ID?"))</f>
        <v/>
      </c>
      <c r="G529" s="37" t="n"/>
      <c r="H529" s="37" t="n"/>
      <c r="I529" s="41" t="n"/>
      <c r="J529" s="45" t="str">
        <f>IF($I529="","",IFERROR(INDEX(MCC_MASTER!$B$5:$B$504,MATCH($I529,MCC_MASTER!$A$5:$A$504,0)),"⚠ MCC chưa có"))</f>
        <v/>
      </c>
      <c r="K529" s="45" t="str">
        <f>IF($I529="","",IFERROR(IF(INDEX(MCC_MASTER!$C$5:$C$504,MATCH($I529,MCC_MASTER!$A$5:$A$504,0))="","Chưa phân loại",INDEX(MCC_MASTER!$C$5:$C$504,MATCH($I529,MCC_MASTER!$A$5:$A$504,0))),"Chưa phân loại"))</f>
        <v/>
      </c>
      <c r="L529" s="40" t="n"/>
      <c r="M529" s="48" t="str">
        <f>IF(OR($B529="",$D529=""),"",IF($AC529=0,0,IF(ISNUMBER(INDEX(CASHBACK_RULES!$L$5:$L$304,$AC529)),MAX(0,MIN($L529,INDEX(CASHBACK_RULES!$L$5:$L$304,$AC529)-$AH529)),MAX(0,$L529))))</f>
        <v/>
      </c>
      <c r="N529" s="49" t="str">
        <f>IF(OR($B529="",$D529=""),"",IF($AC529&gt;0,INDEX(CASHBACK_RULES!$I$5:$I$304,$AC529),0))</f>
        <v/>
      </c>
      <c r="O529" s="48" t="str">
        <f>IF(OR($B529="",$D529=""),"",ROUND($M529*$N529,0))</f>
        <v/>
      </c>
      <c r="P529" s="48" t="str">
        <f>IF($AC529&gt;0,IF(ISNUMBER(INDEX(CASHBACK_RULES!$J$5:$J$304,$AC529)),INDEX(CASHBACK_RULES!$J$5:$J$304,$AC529),"∞"),"")</f>
        <v/>
      </c>
      <c r="Q529" s="48" t="str">
        <f>IF(OR($B529="",$D529=""),"",IF($AC529=0,0,MAX(0,MIN($O529,IF(ISNUMBER($P529),$P529-$AF529,1E+15),IF(ISNUMBER($AA529),$AA529-$AG529,1E+15)))))</f>
        <v/>
      </c>
      <c r="R529" s="48" t="str">
        <f>IF(OR($B529="",$D529=""),"",IF($AC529=0,"",IF(AND(NOT(ISNUMBER($P529)),NOT(ISNUMBER($AA529))),"∞",MAX(0,MIN(IF(ISNUMBER($P529),$P529-$AF529-$Q529,1E+15),IF(ISNUMBER($AA529),$AA529-$AG529-$Q529,1E+15))))))</f>
        <v/>
      </c>
      <c r="S529" s="47" t="str">
        <f>IF($AD529="","",YEAR($AD529)*100+MONTH($AD529))</f>
        <v/>
      </c>
      <c r="T529" s="50" t="str">
        <f>IF($AD529="","",IFERROR(IF(INDEX(CARDS!$I$5:$I$34,MATCH($D529,CARDS!$A$5:$A$34,0))="","",IF(INDEX(CARDS!$I$5:$I$34,MATCH($D529,CARDS!$A$5:$A$34,0))&gt;INDEX(CARDS!$H$5:$H$34,MATCH($D529,CARDS!$A$5:$A$34,0)),DATE(YEAR($AD529),MONTH($AD529),MIN(INDEX(CARDS!$I$5:$I$34,MATCH($D529,CARDS!$A$5:$A$34,0)),DAY(EOMONTH($AD529,0)))),DATE(YEAR($AD529),MONTH($AD529)+1,MIN(INDEX(CARDS!$I$5:$I$34,MATCH($D529,CARDS!$A$5:$A$34,0)),DAY(EOMONTH($AD529,1)))))),""))</f>
        <v/>
      </c>
      <c r="U529" s="38" t="n"/>
      <c r="V529" s="37" t="n"/>
      <c r="W529" s="38" t="n"/>
      <c r="X529" s="38" t="n"/>
      <c r="Y529" s="44" t="str">
        <f>IF($AC529&gt;0,INDEX(CASHBACK_RULES!$A$5:$A$304,$AC529),"")</f>
        <v/>
      </c>
      <c r="Z529" s="45" t="str">
        <f>IF($AC529&gt;0,INDEX(CASHBACK_RULES!$E$5:$E$304,$AC529)&amp;"","")</f>
        <v/>
      </c>
      <c r="AA529" s="48" t="str">
        <f>IF($AC529&gt;0,IF(ISNUMBER(INDEX(CASHBACK_RULES!$K$5:$K$304,$AC529)),INDEX(CASHBACK_RULES!$K$5:$K$304,$AC529),"∞"),"")</f>
        <v/>
      </c>
      <c r="AB529" s="44" t="str">
        <f>IF(OR($B529="",$D529=""),"",IF($U529="Cancelled","Đã hủy",IF($AC529=0,"Không được hoàn",IF($Q529=0,IF(OR($O529&gt;0,$M529&lt;$L529),"Đã đạt cap","Không được hoàn"),IF(OR($Q529&lt;$O529,$M529&lt;$L529),"Hoàn một phần","Được hoàn")))))</f>
        <v/>
      </c>
      <c r="AC529" s="43">
        <f>IF(OR($B529="",$D529="",$I529="",$L529=""),0,IF($U529="Cancelled",0,IF($W529&lt;&gt;"",IFERROR(IF(INDEX(CASHBACK_RULES!$B$5:$B$304,MATCH($W529,CASHBACK_RULES!$A$5:$A$304,0))=$D529,MATCH($W529,CASHBACK_RULES!$A$5:$A$304,0),0),0),IFERROR(MATCH(1,INDEX((CASHBACK_RULES!$B$5:$B$304=$D529)*(CASHBACK_RULES!$G$5:$G$304=$I529)*(((CASHBACK_RULES!$N$5:$N$304="")+(CASHBACK_RULES!$N$5:$N$304&lt;=$B529))&gt;0)*(((CASHBACK_RULES!$O$5:$O$304="")+(CASHBACK_RULES!$O$5:$O$304&gt;=$B529))&gt;0)*(((CASHBACK_RULES!$M$5:$M$304="")+(CASHBACK_RULES!$M$5:$M$304&lt;=$L529))&gt;0),0),0),0))))</f>
        <v>0</v>
      </c>
      <c r="AD529" s="51" t="str">
        <f>IF(OR($B529="",$D529=""),"",IFERROR(IF(INDEX(CARDS!$H$5:$H$34,MATCH($D529,CARDS!$A$5:$A$34,0))="","",IF(DAY($B529)&lt;=INDEX(CARDS!$H$5:$H$34,MATCH($D529,CARDS!$A$5:$A$34,0)),DATE(YEAR($B529),MONTH($B529),MIN(INDEX(CARDS!$H$5:$H$34,MATCH($D529,CARDS!$A$5:$A$34,0)),DAY(EOMONTH($B529,0)))),DATE(YEAR($B529),MONTH($B529)+1,MIN(INDEX(CARDS!$H$5:$H$34,MATCH($D529,CARDS!$A$5:$A$34,0)),DAY(EOMONTH($B529,1)))))),""))</f>
        <v/>
      </c>
      <c r="AE529" s="52" t="str">
        <f>IF($C529="","",$C529&amp;"|"&amp;COUNTIF($C$5:$C529,$C529))</f>
        <v/>
      </c>
      <c r="AF529" s="53">
        <f>IF($AC529&gt;0,SUMIFS(Q$4:Q528,$D$4:$D528,$D529,$Z$4:$Z528,$Z529,$C$4:$C528,$C529),0)</f>
        <v>0</v>
      </c>
      <c r="AG529" s="53">
        <f>IF($AC529&gt;0,SUMIFS(Q$4:Q528,$D$4:$D528,$D529,$C$4:$C528,$C529),0)</f>
        <v>0</v>
      </c>
      <c r="AH529" s="53">
        <f>IF($AC529&gt;0,SUMIFS(M$4:M528,$D$4:$D528,$D529,$Z$4:$Z528,$Z529,$C$4:$C528,$C529),0)</f>
        <v>0</v>
      </c>
      <c r="AI529" s="43">
        <f>IF(OR($C529="",$I529=""),0,IF(COUNTIFS($C$5:$C529,$C529,$I$5:$I529,$I529)=1,1,0))</f>
        <v>0</v>
      </c>
      <c r="AJ529" s="43" t="str">
        <f>IF($AI529=1,SUMIFS($AI$4:$AI528,$C$4:$C528,$C529)+1,"")</f>
        <v/>
      </c>
      <c r="AK529" s="43">
        <f>IF(OR($C529="",$K529=""),0,IF(COUNTIFS($C$5:$C529,$C529,$K$5:$K529,$K529)=1,1,0))</f>
        <v>0</v>
      </c>
      <c r="AL529" s="43" t="str">
        <f>IF($AK529=1,SUMIFS($AK$4:$AK528,$C$4:$C528,$C529)+1,"")</f>
        <v/>
      </c>
      <c r="AM529" s="43">
        <f>IF(OR($C529="",$G529=""),0,IF(COUNTIFS($C$5:$C529,$C529,$G$5:$G529,$G529)=1,1,0))</f>
        <v>0</v>
      </c>
      <c r="AN529" s="43" t="str">
        <f>IF($AM529=1,SUMIFS($AM$4:$AM528,$C$4:$C528,$C529)+1,"")</f>
        <v/>
      </c>
    </row>
    <row r="530">
      <c r="A530" s="44" t="str">
        <f>IF(OR($B530="",$D530=""),"","TX"&amp;TEXT(ROW()-4,"0000"))</f>
        <v/>
      </c>
      <c r="B530" s="42" t="n"/>
      <c r="C530" s="47" t="str">
        <f>IF($B530="","",YEAR($B530)*100+MONTH($B530))</f>
        <v/>
      </c>
      <c r="D530" s="37" t="n"/>
      <c r="E530" s="45" t="str">
        <f>IF($D530="","",IFERROR(INDEX(CARDS!$B$5:$B$34,MATCH($D530,CARDS!$A$5:$A$34,0)),"⚠ Card ID?"))</f>
        <v/>
      </c>
      <c r="F530" s="45" t="str">
        <f>IF($D530="","",IFERROR(INDEX(CARDS!$C$5:$C$34,MATCH($D530,CARDS!$A$5:$A$34,0)),"⚠ Card ID?"))</f>
        <v/>
      </c>
      <c r="G530" s="37" t="n"/>
      <c r="H530" s="37" t="n"/>
      <c r="I530" s="41" t="n"/>
      <c r="J530" s="45" t="str">
        <f>IF($I530="","",IFERROR(INDEX(MCC_MASTER!$B$5:$B$504,MATCH($I530,MCC_MASTER!$A$5:$A$504,0)),"⚠ MCC chưa có"))</f>
        <v/>
      </c>
      <c r="K530" s="45" t="str">
        <f>IF($I530="","",IFERROR(IF(INDEX(MCC_MASTER!$C$5:$C$504,MATCH($I530,MCC_MASTER!$A$5:$A$504,0))="","Chưa phân loại",INDEX(MCC_MASTER!$C$5:$C$504,MATCH($I530,MCC_MASTER!$A$5:$A$504,0))),"Chưa phân loại"))</f>
        <v/>
      </c>
      <c r="L530" s="40" t="n"/>
      <c r="M530" s="48" t="str">
        <f>IF(OR($B530="",$D530=""),"",IF($AC530=0,0,IF(ISNUMBER(INDEX(CASHBACK_RULES!$L$5:$L$304,$AC530)),MAX(0,MIN($L530,INDEX(CASHBACK_RULES!$L$5:$L$304,$AC530)-$AH530)),MAX(0,$L530))))</f>
        <v/>
      </c>
      <c r="N530" s="49" t="str">
        <f>IF(OR($B530="",$D530=""),"",IF($AC530&gt;0,INDEX(CASHBACK_RULES!$I$5:$I$304,$AC530),0))</f>
        <v/>
      </c>
      <c r="O530" s="48" t="str">
        <f>IF(OR($B530="",$D530=""),"",ROUND($M530*$N530,0))</f>
        <v/>
      </c>
      <c r="P530" s="48" t="str">
        <f>IF($AC530&gt;0,IF(ISNUMBER(INDEX(CASHBACK_RULES!$J$5:$J$304,$AC530)),INDEX(CASHBACK_RULES!$J$5:$J$304,$AC530),"∞"),"")</f>
        <v/>
      </c>
      <c r="Q530" s="48" t="str">
        <f>IF(OR($B530="",$D530=""),"",IF($AC530=0,0,MAX(0,MIN($O530,IF(ISNUMBER($P530),$P530-$AF530,1E+15),IF(ISNUMBER($AA530),$AA530-$AG530,1E+15)))))</f>
        <v/>
      </c>
      <c r="R530" s="48" t="str">
        <f>IF(OR($B530="",$D530=""),"",IF($AC530=0,"",IF(AND(NOT(ISNUMBER($P530)),NOT(ISNUMBER($AA530))),"∞",MAX(0,MIN(IF(ISNUMBER($P530),$P530-$AF530-$Q530,1E+15),IF(ISNUMBER($AA530),$AA530-$AG530-$Q530,1E+15))))))</f>
        <v/>
      </c>
      <c r="S530" s="47" t="str">
        <f>IF($AD530="","",YEAR($AD530)*100+MONTH($AD530))</f>
        <v/>
      </c>
      <c r="T530" s="50" t="str">
        <f>IF($AD530="","",IFERROR(IF(INDEX(CARDS!$I$5:$I$34,MATCH($D530,CARDS!$A$5:$A$34,0))="","",IF(INDEX(CARDS!$I$5:$I$34,MATCH($D530,CARDS!$A$5:$A$34,0))&gt;INDEX(CARDS!$H$5:$H$34,MATCH($D530,CARDS!$A$5:$A$34,0)),DATE(YEAR($AD530),MONTH($AD530),MIN(INDEX(CARDS!$I$5:$I$34,MATCH($D530,CARDS!$A$5:$A$34,0)),DAY(EOMONTH($AD530,0)))),DATE(YEAR($AD530),MONTH($AD530)+1,MIN(INDEX(CARDS!$I$5:$I$34,MATCH($D530,CARDS!$A$5:$A$34,0)),DAY(EOMONTH($AD530,1)))))),""))</f>
        <v/>
      </c>
      <c r="U530" s="38" t="n"/>
      <c r="V530" s="37" t="n"/>
      <c r="W530" s="38" t="n"/>
      <c r="X530" s="38" t="n"/>
      <c r="Y530" s="44" t="str">
        <f>IF($AC530&gt;0,INDEX(CASHBACK_RULES!$A$5:$A$304,$AC530),"")</f>
        <v/>
      </c>
      <c r="Z530" s="45" t="str">
        <f>IF($AC530&gt;0,INDEX(CASHBACK_RULES!$E$5:$E$304,$AC530)&amp;"","")</f>
        <v/>
      </c>
      <c r="AA530" s="48" t="str">
        <f>IF($AC530&gt;0,IF(ISNUMBER(INDEX(CASHBACK_RULES!$K$5:$K$304,$AC530)),INDEX(CASHBACK_RULES!$K$5:$K$304,$AC530),"∞"),"")</f>
        <v/>
      </c>
      <c r="AB530" s="44" t="str">
        <f>IF(OR($B530="",$D530=""),"",IF($U530="Cancelled","Đã hủy",IF($AC530=0,"Không được hoàn",IF($Q530=0,IF(OR($O530&gt;0,$M530&lt;$L530),"Đã đạt cap","Không được hoàn"),IF(OR($Q530&lt;$O530,$M530&lt;$L530),"Hoàn một phần","Được hoàn")))))</f>
        <v/>
      </c>
      <c r="AC530" s="43">
        <f>IF(OR($B530="",$D530="",$I530="",$L530=""),0,IF($U530="Cancelled",0,IF($W530&lt;&gt;"",IFERROR(IF(INDEX(CASHBACK_RULES!$B$5:$B$304,MATCH($W530,CASHBACK_RULES!$A$5:$A$304,0))=$D530,MATCH($W530,CASHBACK_RULES!$A$5:$A$304,0),0),0),IFERROR(MATCH(1,INDEX((CASHBACK_RULES!$B$5:$B$304=$D530)*(CASHBACK_RULES!$G$5:$G$304=$I530)*(((CASHBACK_RULES!$N$5:$N$304="")+(CASHBACK_RULES!$N$5:$N$304&lt;=$B530))&gt;0)*(((CASHBACK_RULES!$O$5:$O$304="")+(CASHBACK_RULES!$O$5:$O$304&gt;=$B530))&gt;0)*(((CASHBACK_RULES!$M$5:$M$304="")+(CASHBACK_RULES!$M$5:$M$304&lt;=$L530))&gt;0),0),0),0))))</f>
        <v>0</v>
      </c>
      <c r="AD530" s="51" t="str">
        <f>IF(OR($B530="",$D530=""),"",IFERROR(IF(INDEX(CARDS!$H$5:$H$34,MATCH($D530,CARDS!$A$5:$A$34,0))="","",IF(DAY($B530)&lt;=INDEX(CARDS!$H$5:$H$34,MATCH($D530,CARDS!$A$5:$A$34,0)),DATE(YEAR($B530),MONTH($B530),MIN(INDEX(CARDS!$H$5:$H$34,MATCH($D530,CARDS!$A$5:$A$34,0)),DAY(EOMONTH($B530,0)))),DATE(YEAR($B530),MONTH($B530)+1,MIN(INDEX(CARDS!$H$5:$H$34,MATCH($D530,CARDS!$A$5:$A$34,0)),DAY(EOMONTH($B530,1)))))),""))</f>
        <v/>
      </c>
      <c r="AE530" s="52" t="str">
        <f>IF($C530="","",$C530&amp;"|"&amp;COUNTIF($C$5:$C530,$C530))</f>
        <v/>
      </c>
      <c r="AF530" s="53">
        <f>IF($AC530&gt;0,SUMIFS(Q$4:Q529,$D$4:$D529,$D530,$Z$4:$Z529,$Z530,$C$4:$C529,$C530),0)</f>
        <v>0</v>
      </c>
      <c r="AG530" s="53">
        <f>IF($AC530&gt;0,SUMIFS(Q$4:Q529,$D$4:$D529,$D530,$C$4:$C529,$C530),0)</f>
        <v>0</v>
      </c>
      <c r="AH530" s="53">
        <f>IF($AC530&gt;0,SUMIFS(M$4:M529,$D$4:$D529,$D530,$Z$4:$Z529,$Z530,$C$4:$C529,$C530),0)</f>
        <v>0</v>
      </c>
      <c r="AI530" s="43">
        <f>IF(OR($C530="",$I530=""),0,IF(COUNTIFS($C$5:$C530,$C530,$I$5:$I530,$I530)=1,1,0))</f>
        <v>0</v>
      </c>
      <c r="AJ530" s="43" t="str">
        <f>IF($AI530=1,SUMIFS($AI$4:$AI529,$C$4:$C529,$C530)+1,"")</f>
        <v/>
      </c>
      <c r="AK530" s="43">
        <f>IF(OR($C530="",$K530=""),0,IF(COUNTIFS($C$5:$C530,$C530,$K$5:$K530,$K530)=1,1,0))</f>
        <v>0</v>
      </c>
      <c r="AL530" s="43" t="str">
        <f>IF($AK530=1,SUMIFS($AK$4:$AK529,$C$4:$C529,$C530)+1,"")</f>
        <v/>
      </c>
      <c r="AM530" s="43">
        <f>IF(OR($C530="",$G530=""),0,IF(COUNTIFS($C$5:$C530,$C530,$G$5:$G530,$G530)=1,1,0))</f>
        <v>0</v>
      </c>
      <c r="AN530" s="43" t="str">
        <f>IF($AM530=1,SUMIFS($AM$4:$AM529,$C$4:$C529,$C530)+1,"")</f>
        <v/>
      </c>
    </row>
    <row r="531">
      <c r="A531" s="44" t="str">
        <f>IF(OR($B531="",$D531=""),"","TX"&amp;TEXT(ROW()-4,"0000"))</f>
        <v/>
      </c>
      <c r="B531" s="42" t="n"/>
      <c r="C531" s="47" t="str">
        <f>IF($B531="","",YEAR($B531)*100+MONTH($B531))</f>
        <v/>
      </c>
      <c r="D531" s="37" t="n"/>
      <c r="E531" s="45" t="str">
        <f>IF($D531="","",IFERROR(INDEX(CARDS!$B$5:$B$34,MATCH($D531,CARDS!$A$5:$A$34,0)),"⚠ Card ID?"))</f>
        <v/>
      </c>
      <c r="F531" s="45" t="str">
        <f>IF($D531="","",IFERROR(INDEX(CARDS!$C$5:$C$34,MATCH($D531,CARDS!$A$5:$A$34,0)),"⚠ Card ID?"))</f>
        <v/>
      </c>
      <c r="G531" s="37" t="n"/>
      <c r="H531" s="37" t="n"/>
      <c r="I531" s="41" t="n"/>
      <c r="J531" s="45" t="str">
        <f>IF($I531="","",IFERROR(INDEX(MCC_MASTER!$B$5:$B$504,MATCH($I531,MCC_MASTER!$A$5:$A$504,0)),"⚠ MCC chưa có"))</f>
        <v/>
      </c>
      <c r="K531" s="45" t="str">
        <f>IF($I531="","",IFERROR(IF(INDEX(MCC_MASTER!$C$5:$C$504,MATCH($I531,MCC_MASTER!$A$5:$A$504,0))="","Chưa phân loại",INDEX(MCC_MASTER!$C$5:$C$504,MATCH($I531,MCC_MASTER!$A$5:$A$504,0))),"Chưa phân loại"))</f>
        <v/>
      </c>
      <c r="L531" s="40" t="n"/>
      <c r="M531" s="48" t="str">
        <f>IF(OR($B531="",$D531=""),"",IF($AC531=0,0,IF(ISNUMBER(INDEX(CASHBACK_RULES!$L$5:$L$304,$AC531)),MAX(0,MIN($L531,INDEX(CASHBACK_RULES!$L$5:$L$304,$AC531)-$AH531)),MAX(0,$L531))))</f>
        <v/>
      </c>
      <c r="N531" s="49" t="str">
        <f>IF(OR($B531="",$D531=""),"",IF($AC531&gt;0,INDEX(CASHBACK_RULES!$I$5:$I$304,$AC531),0))</f>
        <v/>
      </c>
      <c r="O531" s="48" t="str">
        <f>IF(OR($B531="",$D531=""),"",ROUND($M531*$N531,0))</f>
        <v/>
      </c>
      <c r="P531" s="48" t="str">
        <f>IF($AC531&gt;0,IF(ISNUMBER(INDEX(CASHBACK_RULES!$J$5:$J$304,$AC531)),INDEX(CASHBACK_RULES!$J$5:$J$304,$AC531),"∞"),"")</f>
        <v/>
      </c>
      <c r="Q531" s="48" t="str">
        <f>IF(OR($B531="",$D531=""),"",IF($AC531=0,0,MAX(0,MIN($O531,IF(ISNUMBER($P531),$P531-$AF531,1E+15),IF(ISNUMBER($AA531),$AA531-$AG531,1E+15)))))</f>
        <v/>
      </c>
      <c r="R531" s="48" t="str">
        <f>IF(OR($B531="",$D531=""),"",IF($AC531=0,"",IF(AND(NOT(ISNUMBER($P531)),NOT(ISNUMBER($AA531))),"∞",MAX(0,MIN(IF(ISNUMBER($P531),$P531-$AF531-$Q531,1E+15),IF(ISNUMBER($AA531),$AA531-$AG531-$Q531,1E+15))))))</f>
        <v/>
      </c>
      <c r="S531" s="47" t="str">
        <f>IF($AD531="","",YEAR($AD531)*100+MONTH($AD531))</f>
        <v/>
      </c>
      <c r="T531" s="50" t="str">
        <f>IF($AD531="","",IFERROR(IF(INDEX(CARDS!$I$5:$I$34,MATCH($D531,CARDS!$A$5:$A$34,0))="","",IF(INDEX(CARDS!$I$5:$I$34,MATCH($D531,CARDS!$A$5:$A$34,0))&gt;INDEX(CARDS!$H$5:$H$34,MATCH($D531,CARDS!$A$5:$A$34,0)),DATE(YEAR($AD531),MONTH($AD531),MIN(INDEX(CARDS!$I$5:$I$34,MATCH($D531,CARDS!$A$5:$A$34,0)),DAY(EOMONTH($AD531,0)))),DATE(YEAR($AD531),MONTH($AD531)+1,MIN(INDEX(CARDS!$I$5:$I$34,MATCH($D531,CARDS!$A$5:$A$34,0)),DAY(EOMONTH($AD531,1)))))),""))</f>
        <v/>
      </c>
      <c r="U531" s="38" t="n"/>
      <c r="V531" s="37" t="n"/>
      <c r="W531" s="38" t="n"/>
      <c r="X531" s="38" t="n"/>
      <c r="Y531" s="44" t="str">
        <f>IF($AC531&gt;0,INDEX(CASHBACK_RULES!$A$5:$A$304,$AC531),"")</f>
        <v/>
      </c>
      <c r="Z531" s="45" t="str">
        <f>IF($AC531&gt;0,INDEX(CASHBACK_RULES!$E$5:$E$304,$AC531)&amp;"","")</f>
        <v/>
      </c>
      <c r="AA531" s="48" t="str">
        <f>IF($AC531&gt;0,IF(ISNUMBER(INDEX(CASHBACK_RULES!$K$5:$K$304,$AC531)),INDEX(CASHBACK_RULES!$K$5:$K$304,$AC531),"∞"),"")</f>
        <v/>
      </c>
      <c r="AB531" s="44" t="str">
        <f>IF(OR($B531="",$D531=""),"",IF($U531="Cancelled","Đã hủy",IF($AC531=0,"Không được hoàn",IF($Q531=0,IF(OR($O531&gt;0,$M531&lt;$L531),"Đã đạt cap","Không được hoàn"),IF(OR($Q531&lt;$O531,$M531&lt;$L531),"Hoàn một phần","Được hoàn")))))</f>
        <v/>
      </c>
      <c r="AC531" s="43">
        <f>IF(OR($B531="",$D531="",$I531="",$L531=""),0,IF($U531="Cancelled",0,IF($W531&lt;&gt;"",IFERROR(IF(INDEX(CASHBACK_RULES!$B$5:$B$304,MATCH($W531,CASHBACK_RULES!$A$5:$A$304,0))=$D531,MATCH($W531,CASHBACK_RULES!$A$5:$A$304,0),0),0),IFERROR(MATCH(1,INDEX((CASHBACK_RULES!$B$5:$B$304=$D531)*(CASHBACK_RULES!$G$5:$G$304=$I531)*(((CASHBACK_RULES!$N$5:$N$304="")+(CASHBACK_RULES!$N$5:$N$304&lt;=$B531))&gt;0)*(((CASHBACK_RULES!$O$5:$O$304="")+(CASHBACK_RULES!$O$5:$O$304&gt;=$B531))&gt;0)*(((CASHBACK_RULES!$M$5:$M$304="")+(CASHBACK_RULES!$M$5:$M$304&lt;=$L531))&gt;0),0),0),0))))</f>
        <v>0</v>
      </c>
      <c r="AD531" s="51" t="str">
        <f>IF(OR($B531="",$D531=""),"",IFERROR(IF(INDEX(CARDS!$H$5:$H$34,MATCH($D531,CARDS!$A$5:$A$34,0))="","",IF(DAY($B531)&lt;=INDEX(CARDS!$H$5:$H$34,MATCH($D531,CARDS!$A$5:$A$34,0)),DATE(YEAR($B531),MONTH($B531),MIN(INDEX(CARDS!$H$5:$H$34,MATCH($D531,CARDS!$A$5:$A$34,0)),DAY(EOMONTH($B531,0)))),DATE(YEAR($B531),MONTH($B531)+1,MIN(INDEX(CARDS!$H$5:$H$34,MATCH($D531,CARDS!$A$5:$A$34,0)),DAY(EOMONTH($B531,1)))))),""))</f>
        <v/>
      </c>
      <c r="AE531" s="52" t="str">
        <f>IF($C531="","",$C531&amp;"|"&amp;COUNTIF($C$5:$C531,$C531))</f>
        <v/>
      </c>
      <c r="AF531" s="53">
        <f>IF($AC531&gt;0,SUMIFS(Q$4:Q530,$D$4:$D530,$D531,$Z$4:$Z530,$Z531,$C$4:$C530,$C531),0)</f>
        <v>0</v>
      </c>
      <c r="AG531" s="53">
        <f>IF($AC531&gt;0,SUMIFS(Q$4:Q530,$D$4:$D530,$D531,$C$4:$C530,$C531),0)</f>
        <v>0</v>
      </c>
      <c r="AH531" s="53">
        <f>IF($AC531&gt;0,SUMIFS(M$4:M530,$D$4:$D530,$D531,$Z$4:$Z530,$Z531,$C$4:$C530,$C531),0)</f>
        <v>0</v>
      </c>
      <c r="AI531" s="43">
        <f>IF(OR($C531="",$I531=""),0,IF(COUNTIFS($C$5:$C531,$C531,$I$5:$I531,$I531)=1,1,0))</f>
        <v>0</v>
      </c>
      <c r="AJ531" s="43" t="str">
        <f>IF($AI531=1,SUMIFS($AI$4:$AI530,$C$4:$C530,$C531)+1,"")</f>
        <v/>
      </c>
      <c r="AK531" s="43">
        <f>IF(OR($C531="",$K531=""),0,IF(COUNTIFS($C$5:$C531,$C531,$K$5:$K531,$K531)=1,1,0))</f>
        <v>0</v>
      </c>
      <c r="AL531" s="43" t="str">
        <f>IF($AK531=1,SUMIFS($AK$4:$AK530,$C$4:$C530,$C531)+1,"")</f>
        <v/>
      </c>
      <c r="AM531" s="43">
        <f>IF(OR($C531="",$G531=""),0,IF(COUNTIFS($C$5:$C531,$C531,$G$5:$G531,$G531)=1,1,0))</f>
        <v>0</v>
      </c>
      <c r="AN531" s="43" t="str">
        <f>IF($AM531=1,SUMIFS($AM$4:$AM530,$C$4:$C530,$C531)+1,"")</f>
        <v/>
      </c>
    </row>
    <row r="532">
      <c r="A532" s="44" t="str">
        <f>IF(OR($B532="",$D532=""),"","TX"&amp;TEXT(ROW()-4,"0000"))</f>
        <v/>
      </c>
      <c r="B532" s="42" t="n"/>
      <c r="C532" s="47" t="str">
        <f>IF($B532="","",YEAR($B532)*100+MONTH($B532))</f>
        <v/>
      </c>
      <c r="D532" s="37" t="n"/>
      <c r="E532" s="45" t="str">
        <f>IF($D532="","",IFERROR(INDEX(CARDS!$B$5:$B$34,MATCH($D532,CARDS!$A$5:$A$34,0)),"⚠ Card ID?"))</f>
        <v/>
      </c>
      <c r="F532" s="45" t="str">
        <f>IF($D532="","",IFERROR(INDEX(CARDS!$C$5:$C$34,MATCH($D532,CARDS!$A$5:$A$34,0)),"⚠ Card ID?"))</f>
        <v/>
      </c>
      <c r="G532" s="37" t="n"/>
      <c r="H532" s="37" t="n"/>
      <c r="I532" s="41" t="n"/>
      <c r="J532" s="45" t="str">
        <f>IF($I532="","",IFERROR(INDEX(MCC_MASTER!$B$5:$B$504,MATCH($I532,MCC_MASTER!$A$5:$A$504,0)),"⚠ MCC chưa có"))</f>
        <v/>
      </c>
      <c r="K532" s="45" t="str">
        <f>IF($I532="","",IFERROR(IF(INDEX(MCC_MASTER!$C$5:$C$504,MATCH($I532,MCC_MASTER!$A$5:$A$504,0))="","Chưa phân loại",INDEX(MCC_MASTER!$C$5:$C$504,MATCH($I532,MCC_MASTER!$A$5:$A$504,0))),"Chưa phân loại"))</f>
        <v/>
      </c>
      <c r="L532" s="40" t="n"/>
      <c r="M532" s="48" t="str">
        <f>IF(OR($B532="",$D532=""),"",IF($AC532=0,0,IF(ISNUMBER(INDEX(CASHBACK_RULES!$L$5:$L$304,$AC532)),MAX(0,MIN($L532,INDEX(CASHBACK_RULES!$L$5:$L$304,$AC532)-$AH532)),MAX(0,$L532))))</f>
        <v/>
      </c>
      <c r="N532" s="49" t="str">
        <f>IF(OR($B532="",$D532=""),"",IF($AC532&gt;0,INDEX(CASHBACK_RULES!$I$5:$I$304,$AC532),0))</f>
        <v/>
      </c>
      <c r="O532" s="48" t="str">
        <f>IF(OR($B532="",$D532=""),"",ROUND($M532*$N532,0))</f>
        <v/>
      </c>
      <c r="P532" s="48" t="str">
        <f>IF($AC532&gt;0,IF(ISNUMBER(INDEX(CASHBACK_RULES!$J$5:$J$304,$AC532)),INDEX(CASHBACK_RULES!$J$5:$J$304,$AC532),"∞"),"")</f>
        <v/>
      </c>
      <c r="Q532" s="48" t="str">
        <f>IF(OR($B532="",$D532=""),"",IF($AC532=0,0,MAX(0,MIN($O532,IF(ISNUMBER($P532),$P532-$AF532,1E+15),IF(ISNUMBER($AA532),$AA532-$AG532,1E+15)))))</f>
        <v/>
      </c>
      <c r="R532" s="48" t="str">
        <f>IF(OR($B532="",$D532=""),"",IF($AC532=0,"",IF(AND(NOT(ISNUMBER($P532)),NOT(ISNUMBER($AA532))),"∞",MAX(0,MIN(IF(ISNUMBER($P532),$P532-$AF532-$Q532,1E+15),IF(ISNUMBER($AA532),$AA532-$AG532-$Q532,1E+15))))))</f>
        <v/>
      </c>
      <c r="S532" s="47" t="str">
        <f>IF($AD532="","",YEAR($AD532)*100+MONTH($AD532))</f>
        <v/>
      </c>
      <c r="T532" s="50" t="str">
        <f>IF($AD532="","",IFERROR(IF(INDEX(CARDS!$I$5:$I$34,MATCH($D532,CARDS!$A$5:$A$34,0))="","",IF(INDEX(CARDS!$I$5:$I$34,MATCH($D532,CARDS!$A$5:$A$34,0))&gt;INDEX(CARDS!$H$5:$H$34,MATCH($D532,CARDS!$A$5:$A$34,0)),DATE(YEAR($AD532),MONTH($AD532),MIN(INDEX(CARDS!$I$5:$I$34,MATCH($D532,CARDS!$A$5:$A$34,0)),DAY(EOMONTH($AD532,0)))),DATE(YEAR($AD532),MONTH($AD532)+1,MIN(INDEX(CARDS!$I$5:$I$34,MATCH($D532,CARDS!$A$5:$A$34,0)),DAY(EOMONTH($AD532,1)))))),""))</f>
        <v/>
      </c>
      <c r="U532" s="38" t="n"/>
      <c r="V532" s="37" t="n"/>
      <c r="W532" s="38" t="n"/>
      <c r="X532" s="38" t="n"/>
      <c r="Y532" s="44" t="str">
        <f>IF($AC532&gt;0,INDEX(CASHBACK_RULES!$A$5:$A$304,$AC532),"")</f>
        <v/>
      </c>
      <c r="Z532" s="45" t="str">
        <f>IF($AC532&gt;0,INDEX(CASHBACK_RULES!$E$5:$E$304,$AC532)&amp;"","")</f>
        <v/>
      </c>
      <c r="AA532" s="48" t="str">
        <f>IF($AC532&gt;0,IF(ISNUMBER(INDEX(CASHBACK_RULES!$K$5:$K$304,$AC532)),INDEX(CASHBACK_RULES!$K$5:$K$304,$AC532),"∞"),"")</f>
        <v/>
      </c>
      <c r="AB532" s="44" t="str">
        <f>IF(OR($B532="",$D532=""),"",IF($U532="Cancelled","Đã hủy",IF($AC532=0,"Không được hoàn",IF($Q532=0,IF(OR($O532&gt;0,$M532&lt;$L532),"Đã đạt cap","Không được hoàn"),IF(OR($Q532&lt;$O532,$M532&lt;$L532),"Hoàn một phần","Được hoàn")))))</f>
        <v/>
      </c>
      <c r="AC532" s="43">
        <f>IF(OR($B532="",$D532="",$I532="",$L532=""),0,IF($U532="Cancelled",0,IF($W532&lt;&gt;"",IFERROR(IF(INDEX(CASHBACK_RULES!$B$5:$B$304,MATCH($W532,CASHBACK_RULES!$A$5:$A$304,0))=$D532,MATCH($W532,CASHBACK_RULES!$A$5:$A$304,0),0),0),IFERROR(MATCH(1,INDEX((CASHBACK_RULES!$B$5:$B$304=$D532)*(CASHBACK_RULES!$G$5:$G$304=$I532)*(((CASHBACK_RULES!$N$5:$N$304="")+(CASHBACK_RULES!$N$5:$N$304&lt;=$B532))&gt;0)*(((CASHBACK_RULES!$O$5:$O$304="")+(CASHBACK_RULES!$O$5:$O$304&gt;=$B532))&gt;0)*(((CASHBACK_RULES!$M$5:$M$304="")+(CASHBACK_RULES!$M$5:$M$304&lt;=$L532))&gt;0),0),0),0))))</f>
        <v>0</v>
      </c>
      <c r="AD532" s="51" t="str">
        <f>IF(OR($B532="",$D532=""),"",IFERROR(IF(INDEX(CARDS!$H$5:$H$34,MATCH($D532,CARDS!$A$5:$A$34,0))="","",IF(DAY($B532)&lt;=INDEX(CARDS!$H$5:$H$34,MATCH($D532,CARDS!$A$5:$A$34,0)),DATE(YEAR($B532),MONTH($B532),MIN(INDEX(CARDS!$H$5:$H$34,MATCH($D532,CARDS!$A$5:$A$34,0)),DAY(EOMONTH($B532,0)))),DATE(YEAR($B532),MONTH($B532)+1,MIN(INDEX(CARDS!$H$5:$H$34,MATCH($D532,CARDS!$A$5:$A$34,0)),DAY(EOMONTH($B532,1)))))),""))</f>
        <v/>
      </c>
      <c r="AE532" s="52" t="str">
        <f>IF($C532="","",$C532&amp;"|"&amp;COUNTIF($C$5:$C532,$C532))</f>
        <v/>
      </c>
      <c r="AF532" s="53">
        <f>IF($AC532&gt;0,SUMIFS(Q$4:Q531,$D$4:$D531,$D532,$Z$4:$Z531,$Z532,$C$4:$C531,$C532),0)</f>
        <v>0</v>
      </c>
      <c r="AG532" s="53">
        <f>IF($AC532&gt;0,SUMIFS(Q$4:Q531,$D$4:$D531,$D532,$C$4:$C531,$C532),0)</f>
        <v>0</v>
      </c>
      <c r="AH532" s="53">
        <f>IF($AC532&gt;0,SUMIFS(M$4:M531,$D$4:$D531,$D532,$Z$4:$Z531,$Z532,$C$4:$C531,$C532),0)</f>
        <v>0</v>
      </c>
      <c r="AI532" s="43">
        <f>IF(OR($C532="",$I532=""),0,IF(COUNTIFS($C$5:$C532,$C532,$I$5:$I532,$I532)=1,1,0))</f>
        <v>0</v>
      </c>
      <c r="AJ532" s="43" t="str">
        <f>IF($AI532=1,SUMIFS($AI$4:$AI531,$C$4:$C531,$C532)+1,"")</f>
        <v/>
      </c>
      <c r="AK532" s="43">
        <f>IF(OR($C532="",$K532=""),0,IF(COUNTIFS($C$5:$C532,$C532,$K$5:$K532,$K532)=1,1,0))</f>
        <v>0</v>
      </c>
      <c r="AL532" s="43" t="str">
        <f>IF($AK532=1,SUMIFS($AK$4:$AK531,$C$4:$C531,$C532)+1,"")</f>
        <v/>
      </c>
      <c r="AM532" s="43">
        <f>IF(OR($C532="",$G532=""),0,IF(COUNTIFS($C$5:$C532,$C532,$G$5:$G532,$G532)=1,1,0))</f>
        <v>0</v>
      </c>
      <c r="AN532" s="43" t="str">
        <f>IF($AM532=1,SUMIFS($AM$4:$AM531,$C$4:$C531,$C532)+1,"")</f>
        <v/>
      </c>
    </row>
    <row r="533">
      <c r="A533" s="44" t="str">
        <f>IF(OR($B533="",$D533=""),"","TX"&amp;TEXT(ROW()-4,"0000"))</f>
        <v/>
      </c>
      <c r="B533" s="42" t="n"/>
      <c r="C533" s="47" t="str">
        <f>IF($B533="","",YEAR($B533)*100+MONTH($B533))</f>
        <v/>
      </c>
      <c r="D533" s="37" t="n"/>
      <c r="E533" s="45" t="str">
        <f>IF($D533="","",IFERROR(INDEX(CARDS!$B$5:$B$34,MATCH($D533,CARDS!$A$5:$A$34,0)),"⚠ Card ID?"))</f>
        <v/>
      </c>
      <c r="F533" s="45" t="str">
        <f>IF($D533="","",IFERROR(INDEX(CARDS!$C$5:$C$34,MATCH($D533,CARDS!$A$5:$A$34,0)),"⚠ Card ID?"))</f>
        <v/>
      </c>
      <c r="G533" s="37" t="n"/>
      <c r="H533" s="37" t="n"/>
      <c r="I533" s="41" t="n"/>
      <c r="J533" s="45" t="str">
        <f>IF($I533="","",IFERROR(INDEX(MCC_MASTER!$B$5:$B$504,MATCH($I533,MCC_MASTER!$A$5:$A$504,0)),"⚠ MCC chưa có"))</f>
        <v/>
      </c>
      <c r="K533" s="45" t="str">
        <f>IF($I533="","",IFERROR(IF(INDEX(MCC_MASTER!$C$5:$C$504,MATCH($I533,MCC_MASTER!$A$5:$A$504,0))="","Chưa phân loại",INDEX(MCC_MASTER!$C$5:$C$504,MATCH($I533,MCC_MASTER!$A$5:$A$504,0))),"Chưa phân loại"))</f>
        <v/>
      </c>
      <c r="L533" s="40" t="n"/>
      <c r="M533" s="48" t="str">
        <f>IF(OR($B533="",$D533=""),"",IF($AC533=0,0,IF(ISNUMBER(INDEX(CASHBACK_RULES!$L$5:$L$304,$AC533)),MAX(0,MIN($L533,INDEX(CASHBACK_RULES!$L$5:$L$304,$AC533)-$AH533)),MAX(0,$L533))))</f>
        <v/>
      </c>
      <c r="N533" s="49" t="str">
        <f>IF(OR($B533="",$D533=""),"",IF($AC533&gt;0,INDEX(CASHBACK_RULES!$I$5:$I$304,$AC533),0))</f>
        <v/>
      </c>
      <c r="O533" s="48" t="str">
        <f>IF(OR($B533="",$D533=""),"",ROUND($M533*$N533,0))</f>
        <v/>
      </c>
      <c r="P533" s="48" t="str">
        <f>IF($AC533&gt;0,IF(ISNUMBER(INDEX(CASHBACK_RULES!$J$5:$J$304,$AC533)),INDEX(CASHBACK_RULES!$J$5:$J$304,$AC533),"∞"),"")</f>
        <v/>
      </c>
      <c r="Q533" s="48" t="str">
        <f>IF(OR($B533="",$D533=""),"",IF($AC533=0,0,MAX(0,MIN($O533,IF(ISNUMBER($P533),$P533-$AF533,1E+15),IF(ISNUMBER($AA533),$AA533-$AG533,1E+15)))))</f>
        <v/>
      </c>
      <c r="R533" s="48" t="str">
        <f>IF(OR($B533="",$D533=""),"",IF($AC533=0,"",IF(AND(NOT(ISNUMBER($P533)),NOT(ISNUMBER($AA533))),"∞",MAX(0,MIN(IF(ISNUMBER($P533),$P533-$AF533-$Q533,1E+15),IF(ISNUMBER($AA533),$AA533-$AG533-$Q533,1E+15))))))</f>
        <v/>
      </c>
      <c r="S533" s="47" t="str">
        <f>IF($AD533="","",YEAR($AD533)*100+MONTH($AD533))</f>
        <v/>
      </c>
      <c r="T533" s="50" t="str">
        <f>IF($AD533="","",IFERROR(IF(INDEX(CARDS!$I$5:$I$34,MATCH($D533,CARDS!$A$5:$A$34,0))="","",IF(INDEX(CARDS!$I$5:$I$34,MATCH($D533,CARDS!$A$5:$A$34,0))&gt;INDEX(CARDS!$H$5:$H$34,MATCH($D533,CARDS!$A$5:$A$34,0)),DATE(YEAR($AD533),MONTH($AD533),MIN(INDEX(CARDS!$I$5:$I$34,MATCH($D533,CARDS!$A$5:$A$34,0)),DAY(EOMONTH($AD533,0)))),DATE(YEAR($AD533),MONTH($AD533)+1,MIN(INDEX(CARDS!$I$5:$I$34,MATCH($D533,CARDS!$A$5:$A$34,0)),DAY(EOMONTH($AD533,1)))))),""))</f>
        <v/>
      </c>
      <c r="U533" s="38" t="n"/>
      <c r="V533" s="37" t="n"/>
      <c r="W533" s="38" t="n"/>
      <c r="X533" s="38" t="n"/>
      <c r="Y533" s="44" t="str">
        <f>IF($AC533&gt;0,INDEX(CASHBACK_RULES!$A$5:$A$304,$AC533),"")</f>
        <v/>
      </c>
      <c r="Z533" s="45" t="str">
        <f>IF($AC533&gt;0,INDEX(CASHBACK_RULES!$E$5:$E$304,$AC533)&amp;"","")</f>
        <v/>
      </c>
      <c r="AA533" s="48" t="str">
        <f>IF($AC533&gt;0,IF(ISNUMBER(INDEX(CASHBACK_RULES!$K$5:$K$304,$AC533)),INDEX(CASHBACK_RULES!$K$5:$K$304,$AC533),"∞"),"")</f>
        <v/>
      </c>
      <c r="AB533" s="44" t="str">
        <f>IF(OR($B533="",$D533=""),"",IF($U533="Cancelled","Đã hủy",IF($AC533=0,"Không được hoàn",IF($Q533=0,IF(OR($O533&gt;0,$M533&lt;$L533),"Đã đạt cap","Không được hoàn"),IF(OR($Q533&lt;$O533,$M533&lt;$L533),"Hoàn một phần","Được hoàn")))))</f>
        <v/>
      </c>
      <c r="AC533" s="43">
        <f>IF(OR($B533="",$D533="",$I533="",$L533=""),0,IF($U533="Cancelled",0,IF($W533&lt;&gt;"",IFERROR(IF(INDEX(CASHBACK_RULES!$B$5:$B$304,MATCH($W533,CASHBACK_RULES!$A$5:$A$304,0))=$D533,MATCH($W533,CASHBACK_RULES!$A$5:$A$304,0),0),0),IFERROR(MATCH(1,INDEX((CASHBACK_RULES!$B$5:$B$304=$D533)*(CASHBACK_RULES!$G$5:$G$304=$I533)*(((CASHBACK_RULES!$N$5:$N$304="")+(CASHBACK_RULES!$N$5:$N$304&lt;=$B533))&gt;0)*(((CASHBACK_RULES!$O$5:$O$304="")+(CASHBACK_RULES!$O$5:$O$304&gt;=$B533))&gt;0)*(((CASHBACK_RULES!$M$5:$M$304="")+(CASHBACK_RULES!$M$5:$M$304&lt;=$L533))&gt;0),0),0),0))))</f>
        <v>0</v>
      </c>
      <c r="AD533" s="51" t="str">
        <f>IF(OR($B533="",$D533=""),"",IFERROR(IF(INDEX(CARDS!$H$5:$H$34,MATCH($D533,CARDS!$A$5:$A$34,0))="","",IF(DAY($B533)&lt;=INDEX(CARDS!$H$5:$H$34,MATCH($D533,CARDS!$A$5:$A$34,0)),DATE(YEAR($B533),MONTH($B533),MIN(INDEX(CARDS!$H$5:$H$34,MATCH($D533,CARDS!$A$5:$A$34,0)),DAY(EOMONTH($B533,0)))),DATE(YEAR($B533),MONTH($B533)+1,MIN(INDEX(CARDS!$H$5:$H$34,MATCH($D533,CARDS!$A$5:$A$34,0)),DAY(EOMONTH($B533,1)))))),""))</f>
        <v/>
      </c>
      <c r="AE533" s="52" t="str">
        <f>IF($C533="","",$C533&amp;"|"&amp;COUNTIF($C$5:$C533,$C533))</f>
        <v/>
      </c>
      <c r="AF533" s="53">
        <f>IF($AC533&gt;0,SUMIFS(Q$4:Q532,$D$4:$D532,$D533,$Z$4:$Z532,$Z533,$C$4:$C532,$C533),0)</f>
        <v>0</v>
      </c>
      <c r="AG533" s="53">
        <f>IF($AC533&gt;0,SUMIFS(Q$4:Q532,$D$4:$D532,$D533,$C$4:$C532,$C533),0)</f>
        <v>0</v>
      </c>
      <c r="AH533" s="53">
        <f>IF($AC533&gt;0,SUMIFS(M$4:M532,$D$4:$D532,$D533,$Z$4:$Z532,$Z533,$C$4:$C532,$C533),0)</f>
        <v>0</v>
      </c>
      <c r="AI533" s="43">
        <f>IF(OR($C533="",$I533=""),0,IF(COUNTIFS($C$5:$C533,$C533,$I$5:$I533,$I533)=1,1,0))</f>
        <v>0</v>
      </c>
      <c r="AJ533" s="43" t="str">
        <f>IF($AI533=1,SUMIFS($AI$4:$AI532,$C$4:$C532,$C533)+1,"")</f>
        <v/>
      </c>
      <c r="AK533" s="43">
        <f>IF(OR($C533="",$K533=""),0,IF(COUNTIFS($C$5:$C533,$C533,$K$5:$K533,$K533)=1,1,0))</f>
        <v>0</v>
      </c>
      <c r="AL533" s="43" t="str">
        <f>IF($AK533=1,SUMIFS($AK$4:$AK532,$C$4:$C532,$C533)+1,"")</f>
        <v/>
      </c>
      <c r="AM533" s="43">
        <f>IF(OR($C533="",$G533=""),0,IF(COUNTIFS($C$5:$C533,$C533,$G$5:$G533,$G533)=1,1,0))</f>
        <v>0</v>
      </c>
      <c r="AN533" s="43" t="str">
        <f>IF($AM533=1,SUMIFS($AM$4:$AM532,$C$4:$C532,$C533)+1,"")</f>
        <v/>
      </c>
    </row>
    <row r="534">
      <c r="A534" s="44" t="str">
        <f>IF(OR($B534="",$D534=""),"","TX"&amp;TEXT(ROW()-4,"0000"))</f>
        <v/>
      </c>
      <c r="B534" s="42" t="n"/>
      <c r="C534" s="47" t="str">
        <f>IF($B534="","",YEAR($B534)*100+MONTH($B534))</f>
        <v/>
      </c>
      <c r="D534" s="37" t="n"/>
      <c r="E534" s="45" t="str">
        <f>IF($D534="","",IFERROR(INDEX(CARDS!$B$5:$B$34,MATCH($D534,CARDS!$A$5:$A$34,0)),"⚠ Card ID?"))</f>
        <v/>
      </c>
      <c r="F534" s="45" t="str">
        <f>IF($D534="","",IFERROR(INDEX(CARDS!$C$5:$C$34,MATCH($D534,CARDS!$A$5:$A$34,0)),"⚠ Card ID?"))</f>
        <v/>
      </c>
      <c r="G534" s="37" t="n"/>
      <c r="H534" s="37" t="n"/>
      <c r="I534" s="41" t="n"/>
      <c r="J534" s="45" t="str">
        <f>IF($I534="","",IFERROR(INDEX(MCC_MASTER!$B$5:$B$504,MATCH($I534,MCC_MASTER!$A$5:$A$504,0)),"⚠ MCC chưa có"))</f>
        <v/>
      </c>
      <c r="K534" s="45" t="str">
        <f>IF($I534="","",IFERROR(IF(INDEX(MCC_MASTER!$C$5:$C$504,MATCH($I534,MCC_MASTER!$A$5:$A$504,0))="","Chưa phân loại",INDEX(MCC_MASTER!$C$5:$C$504,MATCH($I534,MCC_MASTER!$A$5:$A$504,0))),"Chưa phân loại"))</f>
        <v/>
      </c>
      <c r="L534" s="40" t="n"/>
      <c r="M534" s="48" t="str">
        <f>IF(OR($B534="",$D534=""),"",IF($AC534=0,0,IF(ISNUMBER(INDEX(CASHBACK_RULES!$L$5:$L$304,$AC534)),MAX(0,MIN($L534,INDEX(CASHBACK_RULES!$L$5:$L$304,$AC534)-$AH534)),MAX(0,$L534))))</f>
        <v/>
      </c>
      <c r="N534" s="49" t="str">
        <f>IF(OR($B534="",$D534=""),"",IF($AC534&gt;0,INDEX(CASHBACK_RULES!$I$5:$I$304,$AC534),0))</f>
        <v/>
      </c>
      <c r="O534" s="48" t="str">
        <f>IF(OR($B534="",$D534=""),"",ROUND($M534*$N534,0))</f>
        <v/>
      </c>
      <c r="P534" s="48" t="str">
        <f>IF($AC534&gt;0,IF(ISNUMBER(INDEX(CASHBACK_RULES!$J$5:$J$304,$AC534)),INDEX(CASHBACK_RULES!$J$5:$J$304,$AC534),"∞"),"")</f>
        <v/>
      </c>
      <c r="Q534" s="48" t="str">
        <f>IF(OR($B534="",$D534=""),"",IF($AC534=0,0,MAX(0,MIN($O534,IF(ISNUMBER($P534),$P534-$AF534,1E+15),IF(ISNUMBER($AA534),$AA534-$AG534,1E+15)))))</f>
        <v/>
      </c>
      <c r="R534" s="48" t="str">
        <f>IF(OR($B534="",$D534=""),"",IF($AC534=0,"",IF(AND(NOT(ISNUMBER($P534)),NOT(ISNUMBER($AA534))),"∞",MAX(0,MIN(IF(ISNUMBER($P534),$P534-$AF534-$Q534,1E+15),IF(ISNUMBER($AA534),$AA534-$AG534-$Q534,1E+15))))))</f>
        <v/>
      </c>
      <c r="S534" s="47" t="str">
        <f>IF($AD534="","",YEAR($AD534)*100+MONTH($AD534))</f>
        <v/>
      </c>
      <c r="T534" s="50" t="str">
        <f>IF($AD534="","",IFERROR(IF(INDEX(CARDS!$I$5:$I$34,MATCH($D534,CARDS!$A$5:$A$34,0))="","",IF(INDEX(CARDS!$I$5:$I$34,MATCH($D534,CARDS!$A$5:$A$34,0))&gt;INDEX(CARDS!$H$5:$H$34,MATCH($D534,CARDS!$A$5:$A$34,0)),DATE(YEAR($AD534),MONTH($AD534),MIN(INDEX(CARDS!$I$5:$I$34,MATCH($D534,CARDS!$A$5:$A$34,0)),DAY(EOMONTH($AD534,0)))),DATE(YEAR($AD534),MONTH($AD534)+1,MIN(INDEX(CARDS!$I$5:$I$34,MATCH($D534,CARDS!$A$5:$A$34,0)),DAY(EOMONTH($AD534,1)))))),""))</f>
        <v/>
      </c>
      <c r="U534" s="38" t="n"/>
      <c r="V534" s="37" t="n"/>
      <c r="W534" s="38" t="n"/>
      <c r="X534" s="38" t="n"/>
      <c r="Y534" s="44" t="str">
        <f>IF($AC534&gt;0,INDEX(CASHBACK_RULES!$A$5:$A$304,$AC534),"")</f>
        <v/>
      </c>
      <c r="Z534" s="45" t="str">
        <f>IF($AC534&gt;0,INDEX(CASHBACK_RULES!$E$5:$E$304,$AC534)&amp;"","")</f>
        <v/>
      </c>
      <c r="AA534" s="48" t="str">
        <f>IF($AC534&gt;0,IF(ISNUMBER(INDEX(CASHBACK_RULES!$K$5:$K$304,$AC534)),INDEX(CASHBACK_RULES!$K$5:$K$304,$AC534),"∞"),"")</f>
        <v/>
      </c>
      <c r="AB534" s="44" t="str">
        <f>IF(OR($B534="",$D534=""),"",IF($U534="Cancelled","Đã hủy",IF($AC534=0,"Không được hoàn",IF($Q534=0,IF(OR($O534&gt;0,$M534&lt;$L534),"Đã đạt cap","Không được hoàn"),IF(OR($Q534&lt;$O534,$M534&lt;$L534),"Hoàn một phần","Được hoàn")))))</f>
        <v/>
      </c>
      <c r="AC534" s="43">
        <f>IF(OR($B534="",$D534="",$I534="",$L534=""),0,IF($U534="Cancelled",0,IF($W534&lt;&gt;"",IFERROR(IF(INDEX(CASHBACK_RULES!$B$5:$B$304,MATCH($W534,CASHBACK_RULES!$A$5:$A$304,0))=$D534,MATCH($W534,CASHBACK_RULES!$A$5:$A$304,0),0),0),IFERROR(MATCH(1,INDEX((CASHBACK_RULES!$B$5:$B$304=$D534)*(CASHBACK_RULES!$G$5:$G$304=$I534)*(((CASHBACK_RULES!$N$5:$N$304="")+(CASHBACK_RULES!$N$5:$N$304&lt;=$B534))&gt;0)*(((CASHBACK_RULES!$O$5:$O$304="")+(CASHBACK_RULES!$O$5:$O$304&gt;=$B534))&gt;0)*(((CASHBACK_RULES!$M$5:$M$304="")+(CASHBACK_RULES!$M$5:$M$304&lt;=$L534))&gt;0),0),0),0))))</f>
        <v>0</v>
      </c>
      <c r="AD534" s="51" t="str">
        <f>IF(OR($B534="",$D534=""),"",IFERROR(IF(INDEX(CARDS!$H$5:$H$34,MATCH($D534,CARDS!$A$5:$A$34,0))="","",IF(DAY($B534)&lt;=INDEX(CARDS!$H$5:$H$34,MATCH($D534,CARDS!$A$5:$A$34,0)),DATE(YEAR($B534),MONTH($B534),MIN(INDEX(CARDS!$H$5:$H$34,MATCH($D534,CARDS!$A$5:$A$34,0)),DAY(EOMONTH($B534,0)))),DATE(YEAR($B534),MONTH($B534)+1,MIN(INDEX(CARDS!$H$5:$H$34,MATCH($D534,CARDS!$A$5:$A$34,0)),DAY(EOMONTH($B534,1)))))),""))</f>
        <v/>
      </c>
      <c r="AE534" s="52" t="str">
        <f>IF($C534="","",$C534&amp;"|"&amp;COUNTIF($C$5:$C534,$C534))</f>
        <v/>
      </c>
      <c r="AF534" s="53">
        <f>IF($AC534&gt;0,SUMIFS(Q$4:Q533,$D$4:$D533,$D534,$Z$4:$Z533,$Z534,$C$4:$C533,$C534),0)</f>
        <v>0</v>
      </c>
      <c r="AG534" s="53">
        <f>IF($AC534&gt;0,SUMIFS(Q$4:Q533,$D$4:$D533,$D534,$C$4:$C533,$C534),0)</f>
        <v>0</v>
      </c>
      <c r="AH534" s="53">
        <f>IF($AC534&gt;0,SUMIFS(M$4:M533,$D$4:$D533,$D534,$Z$4:$Z533,$Z534,$C$4:$C533,$C534),0)</f>
        <v>0</v>
      </c>
      <c r="AI534" s="43">
        <f>IF(OR($C534="",$I534=""),0,IF(COUNTIFS($C$5:$C534,$C534,$I$5:$I534,$I534)=1,1,0))</f>
        <v>0</v>
      </c>
      <c r="AJ534" s="43" t="str">
        <f>IF($AI534=1,SUMIFS($AI$4:$AI533,$C$4:$C533,$C534)+1,"")</f>
        <v/>
      </c>
      <c r="AK534" s="43">
        <f>IF(OR($C534="",$K534=""),0,IF(COUNTIFS($C$5:$C534,$C534,$K$5:$K534,$K534)=1,1,0))</f>
        <v>0</v>
      </c>
      <c r="AL534" s="43" t="str">
        <f>IF($AK534=1,SUMIFS($AK$4:$AK533,$C$4:$C533,$C534)+1,"")</f>
        <v/>
      </c>
      <c r="AM534" s="43">
        <f>IF(OR($C534="",$G534=""),0,IF(COUNTIFS($C$5:$C534,$C534,$G$5:$G534,$G534)=1,1,0))</f>
        <v>0</v>
      </c>
      <c r="AN534" s="43" t="str">
        <f>IF($AM534=1,SUMIFS($AM$4:$AM533,$C$4:$C533,$C534)+1,"")</f>
        <v/>
      </c>
    </row>
    <row r="535">
      <c r="A535" s="44" t="str">
        <f>IF(OR($B535="",$D535=""),"","TX"&amp;TEXT(ROW()-4,"0000"))</f>
        <v/>
      </c>
      <c r="B535" s="42" t="n"/>
      <c r="C535" s="47" t="str">
        <f>IF($B535="","",YEAR($B535)*100+MONTH($B535))</f>
        <v/>
      </c>
      <c r="D535" s="37" t="n"/>
      <c r="E535" s="45" t="str">
        <f>IF($D535="","",IFERROR(INDEX(CARDS!$B$5:$B$34,MATCH($D535,CARDS!$A$5:$A$34,0)),"⚠ Card ID?"))</f>
        <v/>
      </c>
      <c r="F535" s="45" t="str">
        <f>IF($D535="","",IFERROR(INDEX(CARDS!$C$5:$C$34,MATCH($D535,CARDS!$A$5:$A$34,0)),"⚠ Card ID?"))</f>
        <v/>
      </c>
      <c r="G535" s="37" t="n"/>
      <c r="H535" s="37" t="n"/>
      <c r="I535" s="41" t="n"/>
      <c r="J535" s="45" t="str">
        <f>IF($I535="","",IFERROR(INDEX(MCC_MASTER!$B$5:$B$504,MATCH($I535,MCC_MASTER!$A$5:$A$504,0)),"⚠ MCC chưa có"))</f>
        <v/>
      </c>
      <c r="K535" s="45" t="str">
        <f>IF($I535="","",IFERROR(IF(INDEX(MCC_MASTER!$C$5:$C$504,MATCH($I535,MCC_MASTER!$A$5:$A$504,0))="","Chưa phân loại",INDEX(MCC_MASTER!$C$5:$C$504,MATCH($I535,MCC_MASTER!$A$5:$A$504,0))),"Chưa phân loại"))</f>
        <v/>
      </c>
      <c r="L535" s="40" t="n"/>
      <c r="M535" s="48" t="str">
        <f>IF(OR($B535="",$D535=""),"",IF($AC535=0,0,IF(ISNUMBER(INDEX(CASHBACK_RULES!$L$5:$L$304,$AC535)),MAX(0,MIN($L535,INDEX(CASHBACK_RULES!$L$5:$L$304,$AC535)-$AH535)),MAX(0,$L535))))</f>
        <v/>
      </c>
      <c r="N535" s="49" t="str">
        <f>IF(OR($B535="",$D535=""),"",IF($AC535&gt;0,INDEX(CASHBACK_RULES!$I$5:$I$304,$AC535),0))</f>
        <v/>
      </c>
      <c r="O535" s="48" t="str">
        <f>IF(OR($B535="",$D535=""),"",ROUND($M535*$N535,0))</f>
        <v/>
      </c>
      <c r="P535" s="48" t="str">
        <f>IF($AC535&gt;0,IF(ISNUMBER(INDEX(CASHBACK_RULES!$J$5:$J$304,$AC535)),INDEX(CASHBACK_RULES!$J$5:$J$304,$AC535),"∞"),"")</f>
        <v/>
      </c>
      <c r="Q535" s="48" t="str">
        <f>IF(OR($B535="",$D535=""),"",IF($AC535=0,0,MAX(0,MIN($O535,IF(ISNUMBER($P535),$P535-$AF535,1E+15),IF(ISNUMBER($AA535),$AA535-$AG535,1E+15)))))</f>
        <v/>
      </c>
      <c r="R535" s="48" t="str">
        <f>IF(OR($B535="",$D535=""),"",IF($AC535=0,"",IF(AND(NOT(ISNUMBER($P535)),NOT(ISNUMBER($AA535))),"∞",MAX(0,MIN(IF(ISNUMBER($P535),$P535-$AF535-$Q535,1E+15),IF(ISNUMBER($AA535),$AA535-$AG535-$Q535,1E+15))))))</f>
        <v/>
      </c>
      <c r="S535" s="47" t="str">
        <f>IF($AD535="","",YEAR($AD535)*100+MONTH($AD535))</f>
        <v/>
      </c>
      <c r="T535" s="50" t="str">
        <f>IF($AD535="","",IFERROR(IF(INDEX(CARDS!$I$5:$I$34,MATCH($D535,CARDS!$A$5:$A$34,0))="","",IF(INDEX(CARDS!$I$5:$I$34,MATCH($D535,CARDS!$A$5:$A$34,0))&gt;INDEX(CARDS!$H$5:$H$34,MATCH($D535,CARDS!$A$5:$A$34,0)),DATE(YEAR($AD535),MONTH($AD535),MIN(INDEX(CARDS!$I$5:$I$34,MATCH($D535,CARDS!$A$5:$A$34,0)),DAY(EOMONTH($AD535,0)))),DATE(YEAR($AD535),MONTH($AD535)+1,MIN(INDEX(CARDS!$I$5:$I$34,MATCH($D535,CARDS!$A$5:$A$34,0)),DAY(EOMONTH($AD535,1)))))),""))</f>
        <v/>
      </c>
      <c r="U535" s="38" t="n"/>
      <c r="V535" s="37" t="n"/>
      <c r="W535" s="38" t="n"/>
      <c r="X535" s="38" t="n"/>
      <c r="Y535" s="44" t="str">
        <f>IF($AC535&gt;0,INDEX(CASHBACK_RULES!$A$5:$A$304,$AC535),"")</f>
        <v/>
      </c>
      <c r="Z535" s="45" t="str">
        <f>IF($AC535&gt;0,INDEX(CASHBACK_RULES!$E$5:$E$304,$AC535)&amp;"","")</f>
        <v/>
      </c>
      <c r="AA535" s="48" t="str">
        <f>IF($AC535&gt;0,IF(ISNUMBER(INDEX(CASHBACK_RULES!$K$5:$K$304,$AC535)),INDEX(CASHBACK_RULES!$K$5:$K$304,$AC535),"∞"),"")</f>
        <v/>
      </c>
      <c r="AB535" s="44" t="str">
        <f>IF(OR($B535="",$D535=""),"",IF($U535="Cancelled","Đã hủy",IF($AC535=0,"Không được hoàn",IF($Q535=0,IF(OR($O535&gt;0,$M535&lt;$L535),"Đã đạt cap","Không được hoàn"),IF(OR($Q535&lt;$O535,$M535&lt;$L535),"Hoàn một phần","Được hoàn")))))</f>
        <v/>
      </c>
      <c r="AC535" s="43">
        <f>IF(OR($B535="",$D535="",$I535="",$L535=""),0,IF($U535="Cancelled",0,IF($W535&lt;&gt;"",IFERROR(IF(INDEX(CASHBACK_RULES!$B$5:$B$304,MATCH($W535,CASHBACK_RULES!$A$5:$A$304,0))=$D535,MATCH($W535,CASHBACK_RULES!$A$5:$A$304,0),0),0),IFERROR(MATCH(1,INDEX((CASHBACK_RULES!$B$5:$B$304=$D535)*(CASHBACK_RULES!$G$5:$G$304=$I535)*(((CASHBACK_RULES!$N$5:$N$304="")+(CASHBACK_RULES!$N$5:$N$304&lt;=$B535))&gt;0)*(((CASHBACK_RULES!$O$5:$O$304="")+(CASHBACK_RULES!$O$5:$O$304&gt;=$B535))&gt;0)*(((CASHBACK_RULES!$M$5:$M$304="")+(CASHBACK_RULES!$M$5:$M$304&lt;=$L535))&gt;0),0),0),0))))</f>
        <v>0</v>
      </c>
      <c r="AD535" s="51" t="str">
        <f>IF(OR($B535="",$D535=""),"",IFERROR(IF(INDEX(CARDS!$H$5:$H$34,MATCH($D535,CARDS!$A$5:$A$34,0))="","",IF(DAY($B535)&lt;=INDEX(CARDS!$H$5:$H$34,MATCH($D535,CARDS!$A$5:$A$34,0)),DATE(YEAR($B535),MONTH($B535),MIN(INDEX(CARDS!$H$5:$H$34,MATCH($D535,CARDS!$A$5:$A$34,0)),DAY(EOMONTH($B535,0)))),DATE(YEAR($B535),MONTH($B535)+1,MIN(INDEX(CARDS!$H$5:$H$34,MATCH($D535,CARDS!$A$5:$A$34,0)),DAY(EOMONTH($B535,1)))))),""))</f>
        <v/>
      </c>
      <c r="AE535" s="52" t="str">
        <f>IF($C535="","",$C535&amp;"|"&amp;COUNTIF($C$5:$C535,$C535))</f>
        <v/>
      </c>
      <c r="AF535" s="53">
        <f>IF($AC535&gt;0,SUMIFS(Q$4:Q534,$D$4:$D534,$D535,$Z$4:$Z534,$Z535,$C$4:$C534,$C535),0)</f>
        <v>0</v>
      </c>
      <c r="AG535" s="53">
        <f>IF($AC535&gt;0,SUMIFS(Q$4:Q534,$D$4:$D534,$D535,$C$4:$C534,$C535),0)</f>
        <v>0</v>
      </c>
      <c r="AH535" s="53">
        <f>IF($AC535&gt;0,SUMIFS(M$4:M534,$D$4:$D534,$D535,$Z$4:$Z534,$Z535,$C$4:$C534,$C535),0)</f>
        <v>0</v>
      </c>
      <c r="AI535" s="43">
        <f>IF(OR($C535="",$I535=""),0,IF(COUNTIFS($C$5:$C535,$C535,$I$5:$I535,$I535)=1,1,0))</f>
        <v>0</v>
      </c>
      <c r="AJ535" s="43" t="str">
        <f>IF($AI535=1,SUMIFS($AI$4:$AI534,$C$4:$C534,$C535)+1,"")</f>
        <v/>
      </c>
      <c r="AK535" s="43">
        <f>IF(OR($C535="",$K535=""),0,IF(COUNTIFS($C$5:$C535,$C535,$K$5:$K535,$K535)=1,1,0))</f>
        <v>0</v>
      </c>
      <c r="AL535" s="43" t="str">
        <f>IF($AK535=1,SUMIFS($AK$4:$AK534,$C$4:$C534,$C535)+1,"")</f>
        <v/>
      </c>
      <c r="AM535" s="43">
        <f>IF(OR($C535="",$G535=""),0,IF(COUNTIFS($C$5:$C535,$C535,$G$5:$G535,$G535)=1,1,0))</f>
        <v>0</v>
      </c>
      <c r="AN535" s="43" t="str">
        <f>IF($AM535=1,SUMIFS($AM$4:$AM534,$C$4:$C534,$C535)+1,"")</f>
        <v/>
      </c>
    </row>
    <row r="536">
      <c r="A536" s="44" t="str">
        <f>IF(OR($B536="",$D536=""),"","TX"&amp;TEXT(ROW()-4,"0000"))</f>
        <v/>
      </c>
      <c r="B536" s="42" t="n"/>
      <c r="C536" s="47" t="str">
        <f>IF($B536="","",YEAR($B536)*100+MONTH($B536))</f>
        <v/>
      </c>
      <c r="D536" s="37" t="n"/>
      <c r="E536" s="45" t="str">
        <f>IF($D536="","",IFERROR(INDEX(CARDS!$B$5:$B$34,MATCH($D536,CARDS!$A$5:$A$34,0)),"⚠ Card ID?"))</f>
        <v/>
      </c>
      <c r="F536" s="45" t="str">
        <f>IF($D536="","",IFERROR(INDEX(CARDS!$C$5:$C$34,MATCH($D536,CARDS!$A$5:$A$34,0)),"⚠ Card ID?"))</f>
        <v/>
      </c>
      <c r="G536" s="37" t="n"/>
      <c r="H536" s="37" t="n"/>
      <c r="I536" s="41" t="n"/>
      <c r="J536" s="45" t="str">
        <f>IF($I536="","",IFERROR(INDEX(MCC_MASTER!$B$5:$B$504,MATCH($I536,MCC_MASTER!$A$5:$A$504,0)),"⚠ MCC chưa có"))</f>
        <v/>
      </c>
      <c r="K536" s="45" t="str">
        <f>IF($I536="","",IFERROR(IF(INDEX(MCC_MASTER!$C$5:$C$504,MATCH($I536,MCC_MASTER!$A$5:$A$504,0))="","Chưa phân loại",INDEX(MCC_MASTER!$C$5:$C$504,MATCH($I536,MCC_MASTER!$A$5:$A$504,0))),"Chưa phân loại"))</f>
        <v/>
      </c>
      <c r="L536" s="40" t="n"/>
      <c r="M536" s="48" t="str">
        <f>IF(OR($B536="",$D536=""),"",IF($AC536=0,0,IF(ISNUMBER(INDEX(CASHBACK_RULES!$L$5:$L$304,$AC536)),MAX(0,MIN($L536,INDEX(CASHBACK_RULES!$L$5:$L$304,$AC536)-$AH536)),MAX(0,$L536))))</f>
        <v/>
      </c>
      <c r="N536" s="49" t="str">
        <f>IF(OR($B536="",$D536=""),"",IF($AC536&gt;0,INDEX(CASHBACK_RULES!$I$5:$I$304,$AC536),0))</f>
        <v/>
      </c>
      <c r="O536" s="48" t="str">
        <f>IF(OR($B536="",$D536=""),"",ROUND($M536*$N536,0))</f>
        <v/>
      </c>
      <c r="P536" s="48" t="str">
        <f>IF($AC536&gt;0,IF(ISNUMBER(INDEX(CASHBACK_RULES!$J$5:$J$304,$AC536)),INDEX(CASHBACK_RULES!$J$5:$J$304,$AC536),"∞"),"")</f>
        <v/>
      </c>
      <c r="Q536" s="48" t="str">
        <f>IF(OR($B536="",$D536=""),"",IF($AC536=0,0,MAX(0,MIN($O536,IF(ISNUMBER($P536),$P536-$AF536,1E+15),IF(ISNUMBER($AA536),$AA536-$AG536,1E+15)))))</f>
        <v/>
      </c>
      <c r="R536" s="48" t="str">
        <f>IF(OR($B536="",$D536=""),"",IF($AC536=0,"",IF(AND(NOT(ISNUMBER($P536)),NOT(ISNUMBER($AA536))),"∞",MAX(0,MIN(IF(ISNUMBER($P536),$P536-$AF536-$Q536,1E+15),IF(ISNUMBER($AA536),$AA536-$AG536-$Q536,1E+15))))))</f>
        <v/>
      </c>
      <c r="S536" s="47" t="str">
        <f>IF($AD536="","",YEAR($AD536)*100+MONTH($AD536))</f>
        <v/>
      </c>
      <c r="T536" s="50" t="str">
        <f>IF($AD536="","",IFERROR(IF(INDEX(CARDS!$I$5:$I$34,MATCH($D536,CARDS!$A$5:$A$34,0))="","",IF(INDEX(CARDS!$I$5:$I$34,MATCH($D536,CARDS!$A$5:$A$34,0))&gt;INDEX(CARDS!$H$5:$H$34,MATCH($D536,CARDS!$A$5:$A$34,0)),DATE(YEAR($AD536),MONTH($AD536),MIN(INDEX(CARDS!$I$5:$I$34,MATCH($D536,CARDS!$A$5:$A$34,0)),DAY(EOMONTH($AD536,0)))),DATE(YEAR($AD536),MONTH($AD536)+1,MIN(INDEX(CARDS!$I$5:$I$34,MATCH($D536,CARDS!$A$5:$A$34,0)),DAY(EOMONTH($AD536,1)))))),""))</f>
        <v/>
      </c>
      <c r="U536" s="38" t="n"/>
      <c r="V536" s="37" t="n"/>
      <c r="W536" s="38" t="n"/>
      <c r="X536" s="38" t="n"/>
      <c r="Y536" s="44" t="str">
        <f>IF($AC536&gt;0,INDEX(CASHBACK_RULES!$A$5:$A$304,$AC536),"")</f>
        <v/>
      </c>
      <c r="Z536" s="45" t="str">
        <f>IF($AC536&gt;0,INDEX(CASHBACK_RULES!$E$5:$E$304,$AC536)&amp;"","")</f>
        <v/>
      </c>
      <c r="AA536" s="48" t="str">
        <f>IF($AC536&gt;0,IF(ISNUMBER(INDEX(CASHBACK_RULES!$K$5:$K$304,$AC536)),INDEX(CASHBACK_RULES!$K$5:$K$304,$AC536),"∞"),"")</f>
        <v/>
      </c>
      <c r="AB536" s="44" t="str">
        <f>IF(OR($B536="",$D536=""),"",IF($U536="Cancelled","Đã hủy",IF($AC536=0,"Không được hoàn",IF($Q536=0,IF(OR($O536&gt;0,$M536&lt;$L536),"Đã đạt cap","Không được hoàn"),IF(OR($Q536&lt;$O536,$M536&lt;$L536),"Hoàn một phần","Được hoàn")))))</f>
        <v/>
      </c>
      <c r="AC536" s="43">
        <f>IF(OR($B536="",$D536="",$I536="",$L536=""),0,IF($U536="Cancelled",0,IF($W536&lt;&gt;"",IFERROR(IF(INDEX(CASHBACK_RULES!$B$5:$B$304,MATCH($W536,CASHBACK_RULES!$A$5:$A$304,0))=$D536,MATCH($W536,CASHBACK_RULES!$A$5:$A$304,0),0),0),IFERROR(MATCH(1,INDEX((CASHBACK_RULES!$B$5:$B$304=$D536)*(CASHBACK_RULES!$G$5:$G$304=$I536)*(((CASHBACK_RULES!$N$5:$N$304="")+(CASHBACK_RULES!$N$5:$N$304&lt;=$B536))&gt;0)*(((CASHBACK_RULES!$O$5:$O$304="")+(CASHBACK_RULES!$O$5:$O$304&gt;=$B536))&gt;0)*(((CASHBACK_RULES!$M$5:$M$304="")+(CASHBACK_RULES!$M$5:$M$304&lt;=$L536))&gt;0),0),0),0))))</f>
        <v>0</v>
      </c>
      <c r="AD536" s="51" t="str">
        <f>IF(OR($B536="",$D536=""),"",IFERROR(IF(INDEX(CARDS!$H$5:$H$34,MATCH($D536,CARDS!$A$5:$A$34,0))="","",IF(DAY($B536)&lt;=INDEX(CARDS!$H$5:$H$34,MATCH($D536,CARDS!$A$5:$A$34,0)),DATE(YEAR($B536),MONTH($B536),MIN(INDEX(CARDS!$H$5:$H$34,MATCH($D536,CARDS!$A$5:$A$34,0)),DAY(EOMONTH($B536,0)))),DATE(YEAR($B536),MONTH($B536)+1,MIN(INDEX(CARDS!$H$5:$H$34,MATCH($D536,CARDS!$A$5:$A$34,0)),DAY(EOMONTH($B536,1)))))),""))</f>
        <v/>
      </c>
      <c r="AE536" s="52" t="str">
        <f>IF($C536="","",$C536&amp;"|"&amp;COUNTIF($C$5:$C536,$C536))</f>
        <v/>
      </c>
      <c r="AF536" s="53">
        <f>IF($AC536&gt;0,SUMIFS(Q$4:Q535,$D$4:$D535,$D536,$Z$4:$Z535,$Z536,$C$4:$C535,$C536),0)</f>
        <v>0</v>
      </c>
      <c r="AG536" s="53">
        <f>IF($AC536&gt;0,SUMIFS(Q$4:Q535,$D$4:$D535,$D536,$C$4:$C535,$C536),0)</f>
        <v>0</v>
      </c>
      <c r="AH536" s="53">
        <f>IF($AC536&gt;0,SUMIFS(M$4:M535,$D$4:$D535,$D536,$Z$4:$Z535,$Z536,$C$4:$C535,$C536),0)</f>
        <v>0</v>
      </c>
      <c r="AI536" s="43">
        <f>IF(OR($C536="",$I536=""),0,IF(COUNTIFS($C$5:$C536,$C536,$I$5:$I536,$I536)=1,1,0))</f>
        <v>0</v>
      </c>
      <c r="AJ536" s="43" t="str">
        <f>IF($AI536=1,SUMIFS($AI$4:$AI535,$C$4:$C535,$C536)+1,"")</f>
        <v/>
      </c>
      <c r="AK536" s="43">
        <f>IF(OR($C536="",$K536=""),0,IF(COUNTIFS($C$5:$C536,$C536,$K$5:$K536,$K536)=1,1,0))</f>
        <v>0</v>
      </c>
      <c r="AL536" s="43" t="str">
        <f>IF($AK536=1,SUMIFS($AK$4:$AK535,$C$4:$C535,$C536)+1,"")</f>
        <v/>
      </c>
      <c r="AM536" s="43">
        <f>IF(OR($C536="",$G536=""),0,IF(COUNTIFS($C$5:$C536,$C536,$G$5:$G536,$G536)=1,1,0))</f>
        <v>0</v>
      </c>
      <c r="AN536" s="43" t="str">
        <f>IF($AM536=1,SUMIFS($AM$4:$AM535,$C$4:$C535,$C536)+1,"")</f>
        <v/>
      </c>
    </row>
    <row r="537">
      <c r="A537" s="44" t="str">
        <f>IF(OR($B537="",$D537=""),"","TX"&amp;TEXT(ROW()-4,"0000"))</f>
        <v/>
      </c>
      <c r="B537" s="42" t="n"/>
      <c r="C537" s="47" t="str">
        <f>IF($B537="","",YEAR($B537)*100+MONTH($B537))</f>
        <v/>
      </c>
      <c r="D537" s="37" t="n"/>
      <c r="E537" s="45" t="str">
        <f>IF($D537="","",IFERROR(INDEX(CARDS!$B$5:$B$34,MATCH($D537,CARDS!$A$5:$A$34,0)),"⚠ Card ID?"))</f>
        <v/>
      </c>
      <c r="F537" s="45" t="str">
        <f>IF($D537="","",IFERROR(INDEX(CARDS!$C$5:$C$34,MATCH($D537,CARDS!$A$5:$A$34,0)),"⚠ Card ID?"))</f>
        <v/>
      </c>
      <c r="G537" s="37" t="n"/>
      <c r="H537" s="37" t="n"/>
      <c r="I537" s="41" t="n"/>
      <c r="J537" s="45" t="str">
        <f>IF($I537="","",IFERROR(INDEX(MCC_MASTER!$B$5:$B$504,MATCH($I537,MCC_MASTER!$A$5:$A$504,0)),"⚠ MCC chưa có"))</f>
        <v/>
      </c>
      <c r="K537" s="45" t="str">
        <f>IF($I537="","",IFERROR(IF(INDEX(MCC_MASTER!$C$5:$C$504,MATCH($I537,MCC_MASTER!$A$5:$A$504,0))="","Chưa phân loại",INDEX(MCC_MASTER!$C$5:$C$504,MATCH($I537,MCC_MASTER!$A$5:$A$504,0))),"Chưa phân loại"))</f>
        <v/>
      </c>
      <c r="L537" s="40" t="n"/>
      <c r="M537" s="48" t="str">
        <f>IF(OR($B537="",$D537=""),"",IF($AC537=0,0,IF(ISNUMBER(INDEX(CASHBACK_RULES!$L$5:$L$304,$AC537)),MAX(0,MIN($L537,INDEX(CASHBACK_RULES!$L$5:$L$304,$AC537)-$AH537)),MAX(0,$L537))))</f>
        <v/>
      </c>
      <c r="N537" s="49" t="str">
        <f>IF(OR($B537="",$D537=""),"",IF($AC537&gt;0,INDEX(CASHBACK_RULES!$I$5:$I$304,$AC537),0))</f>
        <v/>
      </c>
      <c r="O537" s="48" t="str">
        <f>IF(OR($B537="",$D537=""),"",ROUND($M537*$N537,0))</f>
        <v/>
      </c>
      <c r="P537" s="48" t="str">
        <f>IF($AC537&gt;0,IF(ISNUMBER(INDEX(CASHBACK_RULES!$J$5:$J$304,$AC537)),INDEX(CASHBACK_RULES!$J$5:$J$304,$AC537),"∞"),"")</f>
        <v/>
      </c>
      <c r="Q537" s="48" t="str">
        <f>IF(OR($B537="",$D537=""),"",IF($AC537=0,0,MAX(0,MIN($O537,IF(ISNUMBER($P537),$P537-$AF537,1E+15),IF(ISNUMBER($AA537),$AA537-$AG537,1E+15)))))</f>
        <v/>
      </c>
      <c r="R537" s="48" t="str">
        <f>IF(OR($B537="",$D537=""),"",IF($AC537=0,"",IF(AND(NOT(ISNUMBER($P537)),NOT(ISNUMBER($AA537))),"∞",MAX(0,MIN(IF(ISNUMBER($P537),$P537-$AF537-$Q537,1E+15),IF(ISNUMBER($AA537),$AA537-$AG537-$Q537,1E+15))))))</f>
        <v/>
      </c>
      <c r="S537" s="47" t="str">
        <f>IF($AD537="","",YEAR($AD537)*100+MONTH($AD537))</f>
        <v/>
      </c>
      <c r="T537" s="50" t="str">
        <f>IF($AD537="","",IFERROR(IF(INDEX(CARDS!$I$5:$I$34,MATCH($D537,CARDS!$A$5:$A$34,0))="","",IF(INDEX(CARDS!$I$5:$I$34,MATCH($D537,CARDS!$A$5:$A$34,0))&gt;INDEX(CARDS!$H$5:$H$34,MATCH($D537,CARDS!$A$5:$A$34,0)),DATE(YEAR($AD537),MONTH($AD537),MIN(INDEX(CARDS!$I$5:$I$34,MATCH($D537,CARDS!$A$5:$A$34,0)),DAY(EOMONTH($AD537,0)))),DATE(YEAR($AD537),MONTH($AD537)+1,MIN(INDEX(CARDS!$I$5:$I$34,MATCH($D537,CARDS!$A$5:$A$34,0)),DAY(EOMONTH($AD537,1)))))),""))</f>
        <v/>
      </c>
      <c r="U537" s="38" t="n"/>
      <c r="V537" s="37" t="n"/>
      <c r="W537" s="38" t="n"/>
      <c r="X537" s="38" t="n"/>
      <c r="Y537" s="44" t="str">
        <f>IF($AC537&gt;0,INDEX(CASHBACK_RULES!$A$5:$A$304,$AC537),"")</f>
        <v/>
      </c>
      <c r="Z537" s="45" t="str">
        <f>IF($AC537&gt;0,INDEX(CASHBACK_RULES!$E$5:$E$304,$AC537)&amp;"","")</f>
        <v/>
      </c>
      <c r="AA537" s="48" t="str">
        <f>IF($AC537&gt;0,IF(ISNUMBER(INDEX(CASHBACK_RULES!$K$5:$K$304,$AC537)),INDEX(CASHBACK_RULES!$K$5:$K$304,$AC537),"∞"),"")</f>
        <v/>
      </c>
      <c r="AB537" s="44" t="str">
        <f>IF(OR($B537="",$D537=""),"",IF($U537="Cancelled","Đã hủy",IF($AC537=0,"Không được hoàn",IF($Q537=0,IF(OR($O537&gt;0,$M537&lt;$L537),"Đã đạt cap","Không được hoàn"),IF(OR($Q537&lt;$O537,$M537&lt;$L537),"Hoàn một phần","Được hoàn")))))</f>
        <v/>
      </c>
      <c r="AC537" s="43">
        <f>IF(OR($B537="",$D537="",$I537="",$L537=""),0,IF($U537="Cancelled",0,IF($W537&lt;&gt;"",IFERROR(IF(INDEX(CASHBACK_RULES!$B$5:$B$304,MATCH($W537,CASHBACK_RULES!$A$5:$A$304,0))=$D537,MATCH($W537,CASHBACK_RULES!$A$5:$A$304,0),0),0),IFERROR(MATCH(1,INDEX((CASHBACK_RULES!$B$5:$B$304=$D537)*(CASHBACK_RULES!$G$5:$G$304=$I537)*(((CASHBACK_RULES!$N$5:$N$304="")+(CASHBACK_RULES!$N$5:$N$304&lt;=$B537))&gt;0)*(((CASHBACK_RULES!$O$5:$O$304="")+(CASHBACK_RULES!$O$5:$O$304&gt;=$B537))&gt;0)*(((CASHBACK_RULES!$M$5:$M$304="")+(CASHBACK_RULES!$M$5:$M$304&lt;=$L537))&gt;0),0),0),0))))</f>
        <v>0</v>
      </c>
      <c r="AD537" s="51" t="str">
        <f>IF(OR($B537="",$D537=""),"",IFERROR(IF(INDEX(CARDS!$H$5:$H$34,MATCH($D537,CARDS!$A$5:$A$34,0))="","",IF(DAY($B537)&lt;=INDEX(CARDS!$H$5:$H$34,MATCH($D537,CARDS!$A$5:$A$34,0)),DATE(YEAR($B537),MONTH($B537),MIN(INDEX(CARDS!$H$5:$H$34,MATCH($D537,CARDS!$A$5:$A$34,0)),DAY(EOMONTH($B537,0)))),DATE(YEAR($B537),MONTH($B537)+1,MIN(INDEX(CARDS!$H$5:$H$34,MATCH($D537,CARDS!$A$5:$A$34,0)),DAY(EOMONTH($B537,1)))))),""))</f>
        <v/>
      </c>
      <c r="AE537" s="52" t="str">
        <f>IF($C537="","",$C537&amp;"|"&amp;COUNTIF($C$5:$C537,$C537))</f>
        <v/>
      </c>
      <c r="AF537" s="53">
        <f>IF($AC537&gt;0,SUMIFS(Q$4:Q536,$D$4:$D536,$D537,$Z$4:$Z536,$Z537,$C$4:$C536,$C537),0)</f>
        <v>0</v>
      </c>
      <c r="AG537" s="53">
        <f>IF($AC537&gt;0,SUMIFS(Q$4:Q536,$D$4:$D536,$D537,$C$4:$C536,$C537),0)</f>
        <v>0</v>
      </c>
      <c r="AH537" s="53">
        <f>IF($AC537&gt;0,SUMIFS(M$4:M536,$D$4:$D536,$D537,$Z$4:$Z536,$Z537,$C$4:$C536,$C537),0)</f>
        <v>0</v>
      </c>
      <c r="AI537" s="43">
        <f>IF(OR($C537="",$I537=""),0,IF(COUNTIFS($C$5:$C537,$C537,$I$5:$I537,$I537)=1,1,0))</f>
        <v>0</v>
      </c>
      <c r="AJ537" s="43" t="str">
        <f>IF($AI537=1,SUMIFS($AI$4:$AI536,$C$4:$C536,$C537)+1,"")</f>
        <v/>
      </c>
      <c r="AK537" s="43">
        <f>IF(OR($C537="",$K537=""),0,IF(COUNTIFS($C$5:$C537,$C537,$K$5:$K537,$K537)=1,1,0))</f>
        <v>0</v>
      </c>
      <c r="AL537" s="43" t="str">
        <f>IF($AK537=1,SUMIFS($AK$4:$AK536,$C$4:$C536,$C537)+1,"")</f>
        <v/>
      </c>
      <c r="AM537" s="43">
        <f>IF(OR($C537="",$G537=""),0,IF(COUNTIFS($C$5:$C537,$C537,$G$5:$G537,$G537)=1,1,0))</f>
        <v>0</v>
      </c>
      <c r="AN537" s="43" t="str">
        <f>IF($AM537=1,SUMIFS($AM$4:$AM536,$C$4:$C536,$C537)+1,"")</f>
        <v/>
      </c>
    </row>
    <row r="538">
      <c r="A538" s="44" t="str">
        <f>IF(OR($B538="",$D538=""),"","TX"&amp;TEXT(ROW()-4,"0000"))</f>
        <v/>
      </c>
      <c r="B538" s="42" t="n"/>
      <c r="C538" s="47" t="str">
        <f>IF($B538="","",YEAR($B538)*100+MONTH($B538))</f>
        <v/>
      </c>
      <c r="D538" s="37" t="n"/>
      <c r="E538" s="45" t="str">
        <f>IF($D538="","",IFERROR(INDEX(CARDS!$B$5:$B$34,MATCH($D538,CARDS!$A$5:$A$34,0)),"⚠ Card ID?"))</f>
        <v/>
      </c>
      <c r="F538" s="45" t="str">
        <f>IF($D538="","",IFERROR(INDEX(CARDS!$C$5:$C$34,MATCH($D538,CARDS!$A$5:$A$34,0)),"⚠ Card ID?"))</f>
        <v/>
      </c>
      <c r="G538" s="37" t="n"/>
      <c r="H538" s="37" t="n"/>
      <c r="I538" s="41" t="n"/>
      <c r="J538" s="45" t="str">
        <f>IF($I538="","",IFERROR(INDEX(MCC_MASTER!$B$5:$B$504,MATCH($I538,MCC_MASTER!$A$5:$A$504,0)),"⚠ MCC chưa có"))</f>
        <v/>
      </c>
      <c r="K538" s="45" t="str">
        <f>IF($I538="","",IFERROR(IF(INDEX(MCC_MASTER!$C$5:$C$504,MATCH($I538,MCC_MASTER!$A$5:$A$504,0))="","Chưa phân loại",INDEX(MCC_MASTER!$C$5:$C$504,MATCH($I538,MCC_MASTER!$A$5:$A$504,0))),"Chưa phân loại"))</f>
        <v/>
      </c>
      <c r="L538" s="40" t="n"/>
      <c r="M538" s="48" t="str">
        <f>IF(OR($B538="",$D538=""),"",IF($AC538=0,0,IF(ISNUMBER(INDEX(CASHBACK_RULES!$L$5:$L$304,$AC538)),MAX(0,MIN($L538,INDEX(CASHBACK_RULES!$L$5:$L$304,$AC538)-$AH538)),MAX(0,$L538))))</f>
        <v/>
      </c>
      <c r="N538" s="49" t="str">
        <f>IF(OR($B538="",$D538=""),"",IF($AC538&gt;0,INDEX(CASHBACK_RULES!$I$5:$I$304,$AC538),0))</f>
        <v/>
      </c>
      <c r="O538" s="48" t="str">
        <f>IF(OR($B538="",$D538=""),"",ROUND($M538*$N538,0))</f>
        <v/>
      </c>
      <c r="P538" s="48" t="str">
        <f>IF($AC538&gt;0,IF(ISNUMBER(INDEX(CASHBACK_RULES!$J$5:$J$304,$AC538)),INDEX(CASHBACK_RULES!$J$5:$J$304,$AC538),"∞"),"")</f>
        <v/>
      </c>
      <c r="Q538" s="48" t="str">
        <f>IF(OR($B538="",$D538=""),"",IF($AC538=0,0,MAX(0,MIN($O538,IF(ISNUMBER($P538),$P538-$AF538,1E+15),IF(ISNUMBER($AA538),$AA538-$AG538,1E+15)))))</f>
        <v/>
      </c>
      <c r="R538" s="48" t="str">
        <f>IF(OR($B538="",$D538=""),"",IF($AC538=0,"",IF(AND(NOT(ISNUMBER($P538)),NOT(ISNUMBER($AA538))),"∞",MAX(0,MIN(IF(ISNUMBER($P538),$P538-$AF538-$Q538,1E+15),IF(ISNUMBER($AA538),$AA538-$AG538-$Q538,1E+15))))))</f>
        <v/>
      </c>
      <c r="S538" s="47" t="str">
        <f>IF($AD538="","",YEAR($AD538)*100+MONTH($AD538))</f>
        <v/>
      </c>
      <c r="T538" s="50" t="str">
        <f>IF($AD538="","",IFERROR(IF(INDEX(CARDS!$I$5:$I$34,MATCH($D538,CARDS!$A$5:$A$34,0))="","",IF(INDEX(CARDS!$I$5:$I$34,MATCH($D538,CARDS!$A$5:$A$34,0))&gt;INDEX(CARDS!$H$5:$H$34,MATCH($D538,CARDS!$A$5:$A$34,0)),DATE(YEAR($AD538),MONTH($AD538),MIN(INDEX(CARDS!$I$5:$I$34,MATCH($D538,CARDS!$A$5:$A$34,0)),DAY(EOMONTH($AD538,0)))),DATE(YEAR($AD538),MONTH($AD538)+1,MIN(INDEX(CARDS!$I$5:$I$34,MATCH($D538,CARDS!$A$5:$A$34,0)),DAY(EOMONTH($AD538,1)))))),""))</f>
        <v/>
      </c>
      <c r="U538" s="38" t="n"/>
      <c r="V538" s="37" t="n"/>
      <c r="W538" s="38" t="n"/>
      <c r="X538" s="38" t="n"/>
      <c r="Y538" s="44" t="str">
        <f>IF($AC538&gt;0,INDEX(CASHBACK_RULES!$A$5:$A$304,$AC538),"")</f>
        <v/>
      </c>
      <c r="Z538" s="45" t="str">
        <f>IF($AC538&gt;0,INDEX(CASHBACK_RULES!$E$5:$E$304,$AC538)&amp;"","")</f>
        <v/>
      </c>
      <c r="AA538" s="48" t="str">
        <f>IF($AC538&gt;0,IF(ISNUMBER(INDEX(CASHBACK_RULES!$K$5:$K$304,$AC538)),INDEX(CASHBACK_RULES!$K$5:$K$304,$AC538),"∞"),"")</f>
        <v/>
      </c>
      <c r="AB538" s="44" t="str">
        <f>IF(OR($B538="",$D538=""),"",IF($U538="Cancelled","Đã hủy",IF($AC538=0,"Không được hoàn",IF($Q538=0,IF(OR($O538&gt;0,$M538&lt;$L538),"Đã đạt cap","Không được hoàn"),IF(OR($Q538&lt;$O538,$M538&lt;$L538),"Hoàn một phần","Được hoàn")))))</f>
        <v/>
      </c>
      <c r="AC538" s="43">
        <f>IF(OR($B538="",$D538="",$I538="",$L538=""),0,IF($U538="Cancelled",0,IF($W538&lt;&gt;"",IFERROR(IF(INDEX(CASHBACK_RULES!$B$5:$B$304,MATCH($W538,CASHBACK_RULES!$A$5:$A$304,0))=$D538,MATCH($W538,CASHBACK_RULES!$A$5:$A$304,0),0),0),IFERROR(MATCH(1,INDEX((CASHBACK_RULES!$B$5:$B$304=$D538)*(CASHBACK_RULES!$G$5:$G$304=$I538)*(((CASHBACK_RULES!$N$5:$N$304="")+(CASHBACK_RULES!$N$5:$N$304&lt;=$B538))&gt;0)*(((CASHBACK_RULES!$O$5:$O$304="")+(CASHBACK_RULES!$O$5:$O$304&gt;=$B538))&gt;0)*(((CASHBACK_RULES!$M$5:$M$304="")+(CASHBACK_RULES!$M$5:$M$304&lt;=$L538))&gt;0),0),0),0))))</f>
        <v>0</v>
      </c>
      <c r="AD538" s="51" t="str">
        <f>IF(OR($B538="",$D538=""),"",IFERROR(IF(INDEX(CARDS!$H$5:$H$34,MATCH($D538,CARDS!$A$5:$A$34,0))="","",IF(DAY($B538)&lt;=INDEX(CARDS!$H$5:$H$34,MATCH($D538,CARDS!$A$5:$A$34,0)),DATE(YEAR($B538),MONTH($B538),MIN(INDEX(CARDS!$H$5:$H$34,MATCH($D538,CARDS!$A$5:$A$34,0)),DAY(EOMONTH($B538,0)))),DATE(YEAR($B538),MONTH($B538)+1,MIN(INDEX(CARDS!$H$5:$H$34,MATCH($D538,CARDS!$A$5:$A$34,0)),DAY(EOMONTH($B538,1)))))),""))</f>
        <v/>
      </c>
      <c r="AE538" s="52" t="str">
        <f>IF($C538="","",$C538&amp;"|"&amp;COUNTIF($C$5:$C538,$C538))</f>
        <v/>
      </c>
      <c r="AF538" s="53">
        <f>IF($AC538&gt;0,SUMIFS(Q$4:Q537,$D$4:$D537,$D538,$Z$4:$Z537,$Z538,$C$4:$C537,$C538),0)</f>
        <v>0</v>
      </c>
      <c r="AG538" s="53">
        <f>IF($AC538&gt;0,SUMIFS(Q$4:Q537,$D$4:$D537,$D538,$C$4:$C537,$C538),0)</f>
        <v>0</v>
      </c>
      <c r="AH538" s="53">
        <f>IF($AC538&gt;0,SUMIFS(M$4:M537,$D$4:$D537,$D538,$Z$4:$Z537,$Z538,$C$4:$C537,$C538),0)</f>
        <v>0</v>
      </c>
      <c r="AI538" s="43">
        <f>IF(OR($C538="",$I538=""),0,IF(COUNTIFS($C$5:$C538,$C538,$I$5:$I538,$I538)=1,1,0))</f>
        <v>0</v>
      </c>
      <c r="AJ538" s="43" t="str">
        <f>IF($AI538=1,SUMIFS($AI$4:$AI537,$C$4:$C537,$C538)+1,"")</f>
        <v/>
      </c>
      <c r="AK538" s="43">
        <f>IF(OR($C538="",$K538=""),0,IF(COUNTIFS($C$5:$C538,$C538,$K$5:$K538,$K538)=1,1,0))</f>
        <v>0</v>
      </c>
      <c r="AL538" s="43" t="str">
        <f>IF($AK538=1,SUMIFS($AK$4:$AK537,$C$4:$C537,$C538)+1,"")</f>
        <v/>
      </c>
      <c r="AM538" s="43">
        <f>IF(OR($C538="",$G538=""),0,IF(COUNTIFS($C$5:$C538,$C538,$G$5:$G538,$G538)=1,1,0))</f>
        <v>0</v>
      </c>
      <c r="AN538" s="43" t="str">
        <f>IF($AM538=1,SUMIFS($AM$4:$AM537,$C$4:$C537,$C538)+1,"")</f>
        <v/>
      </c>
    </row>
    <row r="539">
      <c r="A539" s="44" t="str">
        <f>IF(OR($B539="",$D539=""),"","TX"&amp;TEXT(ROW()-4,"0000"))</f>
        <v/>
      </c>
      <c r="B539" s="42" t="n"/>
      <c r="C539" s="47" t="str">
        <f>IF($B539="","",YEAR($B539)*100+MONTH($B539))</f>
        <v/>
      </c>
      <c r="D539" s="37" t="n"/>
      <c r="E539" s="45" t="str">
        <f>IF($D539="","",IFERROR(INDEX(CARDS!$B$5:$B$34,MATCH($D539,CARDS!$A$5:$A$34,0)),"⚠ Card ID?"))</f>
        <v/>
      </c>
      <c r="F539" s="45" t="str">
        <f>IF($D539="","",IFERROR(INDEX(CARDS!$C$5:$C$34,MATCH($D539,CARDS!$A$5:$A$34,0)),"⚠ Card ID?"))</f>
        <v/>
      </c>
      <c r="G539" s="37" t="n"/>
      <c r="H539" s="37" t="n"/>
      <c r="I539" s="41" t="n"/>
      <c r="J539" s="45" t="str">
        <f>IF($I539="","",IFERROR(INDEX(MCC_MASTER!$B$5:$B$504,MATCH($I539,MCC_MASTER!$A$5:$A$504,0)),"⚠ MCC chưa có"))</f>
        <v/>
      </c>
      <c r="K539" s="45" t="str">
        <f>IF($I539="","",IFERROR(IF(INDEX(MCC_MASTER!$C$5:$C$504,MATCH($I539,MCC_MASTER!$A$5:$A$504,0))="","Chưa phân loại",INDEX(MCC_MASTER!$C$5:$C$504,MATCH($I539,MCC_MASTER!$A$5:$A$504,0))),"Chưa phân loại"))</f>
        <v/>
      </c>
      <c r="L539" s="40" t="n"/>
      <c r="M539" s="48" t="str">
        <f>IF(OR($B539="",$D539=""),"",IF($AC539=0,0,IF(ISNUMBER(INDEX(CASHBACK_RULES!$L$5:$L$304,$AC539)),MAX(0,MIN($L539,INDEX(CASHBACK_RULES!$L$5:$L$304,$AC539)-$AH539)),MAX(0,$L539))))</f>
        <v/>
      </c>
      <c r="N539" s="49" t="str">
        <f>IF(OR($B539="",$D539=""),"",IF($AC539&gt;0,INDEX(CASHBACK_RULES!$I$5:$I$304,$AC539),0))</f>
        <v/>
      </c>
      <c r="O539" s="48" t="str">
        <f>IF(OR($B539="",$D539=""),"",ROUND($M539*$N539,0))</f>
        <v/>
      </c>
      <c r="P539" s="48" t="str">
        <f>IF($AC539&gt;0,IF(ISNUMBER(INDEX(CASHBACK_RULES!$J$5:$J$304,$AC539)),INDEX(CASHBACK_RULES!$J$5:$J$304,$AC539),"∞"),"")</f>
        <v/>
      </c>
      <c r="Q539" s="48" t="str">
        <f>IF(OR($B539="",$D539=""),"",IF($AC539=0,0,MAX(0,MIN($O539,IF(ISNUMBER($P539),$P539-$AF539,1E+15),IF(ISNUMBER($AA539),$AA539-$AG539,1E+15)))))</f>
        <v/>
      </c>
      <c r="R539" s="48" t="str">
        <f>IF(OR($B539="",$D539=""),"",IF($AC539=0,"",IF(AND(NOT(ISNUMBER($P539)),NOT(ISNUMBER($AA539))),"∞",MAX(0,MIN(IF(ISNUMBER($P539),$P539-$AF539-$Q539,1E+15),IF(ISNUMBER($AA539),$AA539-$AG539-$Q539,1E+15))))))</f>
        <v/>
      </c>
      <c r="S539" s="47" t="str">
        <f>IF($AD539="","",YEAR($AD539)*100+MONTH($AD539))</f>
        <v/>
      </c>
      <c r="T539" s="50" t="str">
        <f>IF($AD539="","",IFERROR(IF(INDEX(CARDS!$I$5:$I$34,MATCH($D539,CARDS!$A$5:$A$34,0))="","",IF(INDEX(CARDS!$I$5:$I$34,MATCH($D539,CARDS!$A$5:$A$34,0))&gt;INDEX(CARDS!$H$5:$H$34,MATCH($D539,CARDS!$A$5:$A$34,0)),DATE(YEAR($AD539),MONTH($AD539),MIN(INDEX(CARDS!$I$5:$I$34,MATCH($D539,CARDS!$A$5:$A$34,0)),DAY(EOMONTH($AD539,0)))),DATE(YEAR($AD539),MONTH($AD539)+1,MIN(INDEX(CARDS!$I$5:$I$34,MATCH($D539,CARDS!$A$5:$A$34,0)),DAY(EOMONTH($AD539,1)))))),""))</f>
        <v/>
      </c>
      <c r="U539" s="38" t="n"/>
      <c r="V539" s="37" t="n"/>
      <c r="W539" s="38" t="n"/>
      <c r="X539" s="38" t="n"/>
      <c r="Y539" s="44" t="str">
        <f>IF($AC539&gt;0,INDEX(CASHBACK_RULES!$A$5:$A$304,$AC539),"")</f>
        <v/>
      </c>
      <c r="Z539" s="45" t="str">
        <f>IF($AC539&gt;0,INDEX(CASHBACK_RULES!$E$5:$E$304,$AC539)&amp;"","")</f>
        <v/>
      </c>
      <c r="AA539" s="48" t="str">
        <f>IF($AC539&gt;0,IF(ISNUMBER(INDEX(CASHBACK_RULES!$K$5:$K$304,$AC539)),INDEX(CASHBACK_RULES!$K$5:$K$304,$AC539),"∞"),"")</f>
        <v/>
      </c>
      <c r="AB539" s="44" t="str">
        <f>IF(OR($B539="",$D539=""),"",IF($U539="Cancelled","Đã hủy",IF($AC539=0,"Không được hoàn",IF($Q539=0,IF(OR($O539&gt;0,$M539&lt;$L539),"Đã đạt cap","Không được hoàn"),IF(OR($Q539&lt;$O539,$M539&lt;$L539),"Hoàn một phần","Được hoàn")))))</f>
        <v/>
      </c>
      <c r="AC539" s="43">
        <f>IF(OR($B539="",$D539="",$I539="",$L539=""),0,IF($U539="Cancelled",0,IF($W539&lt;&gt;"",IFERROR(IF(INDEX(CASHBACK_RULES!$B$5:$B$304,MATCH($W539,CASHBACK_RULES!$A$5:$A$304,0))=$D539,MATCH($W539,CASHBACK_RULES!$A$5:$A$304,0),0),0),IFERROR(MATCH(1,INDEX((CASHBACK_RULES!$B$5:$B$304=$D539)*(CASHBACK_RULES!$G$5:$G$304=$I539)*(((CASHBACK_RULES!$N$5:$N$304="")+(CASHBACK_RULES!$N$5:$N$304&lt;=$B539))&gt;0)*(((CASHBACK_RULES!$O$5:$O$304="")+(CASHBACK_RULES!$O$5:$O$304&gt;=$B539))&gt;0)*(((CASHBACK_RULES!$M$5:$M$304="")+(CASHBACK_RULES!$M$5:$M$304&lt;=$L539))&gt;0),0),0),0))))</f>
        <v>0</v>
      </c>
      <c r="AD539" s="51" t="str">
        <f>IF(OR($B539="",$D539=""),"",IFERROR(IF(INDEX(CARDS!$H$5:$H$34,MATCH($D539,CARDS!$A$5:$A$34,0))="","",IF(DAY($B539)&lt;=INDEX(CARDS!$H$5:$H$34,MATCH($D539,CARDS!$A$5:$A$34,0)),DATE(YEAR($B539),MONTH($B539),MIN(INDEX(CARDS!$H$5:$H$34,MATCH($D539,CARDS!$A$5:$A$34,0)),DAY(EOMONTH($B539,0)))),DATE(YEAR($B539),MONTH($B539)+1,MIN(INDEX(CARDS!$H$5:$H$34,MATCH($D539,CARDS!$A$5:$A$34,0)),DAY(EOMONTH($B539,1)))))),""))</f>
        <v/>
      </c>
      <c r="AE539" s="52" t="str">
        <f>IF($C539="","",$C539&amp;"|"&amp;COUNTIF($C$5:$C539,$C539))</f>
        <v/>
      </c>
      <c r="AF539" s="53">
        <f>IF($AC539&gt;0,SUMIFS(Q$4:Q538,$D$4:$D538,$D539,$Z$4:$Z538,$Z539,$C$4:$C538,$C539),0)</f>
        <v>0</v>
      </c>
      <c r="AG539" s="53">
        <f>IF($AC539&gt;0,SUMIFS(Q$4:Q538,$D$4:$D538,$D539,$C$4:$C538,$C539),0)</f>
        <v>0</v>
      </c>
      <c r="AH539" s="53">
        <f>IF($AC539&gt;0,SUMIFS(M$4:M538,$D$4:$D538,$D539,$Z$4:$Z538,$Z539,$C$4:$C538,$C539),0)</f>
        <v>0</v>
      </c>
      <c r="AI539" s="43">
        <f>IF(OR($C539="",$I539=""),0,IF(COUNTIFS($C$5:$C539,$C539,$I$5:$I539,$I539)=1,1,0))</f>
        <v>0</v>
      </c>
      <c r="AJ539" s="43" t="str">
        <f>IF($AI539=1,SUMIFS($AI$4:$AI538,$C$4:$C538,$C539)+1,"")</f>
        <v/>
      </c>
      <c r="AK539" s="43">
        <f>IF(OR($C539="",$K539=""),0,IF(COUNTIFS($C$5:$C539,$C539,$K$5:$K539,$K539)=1,1,0))</f>
        <v>0</v>
      </c>
      <c r="AL539" s="43" t="str">
        <f>IF($AK539=1,SUMIFS($AK$4:$AK538,$C$4:$C538,$C539)+1,"")</f>
        <v/>
      </c>
      <c r="AM539" s="43">
        <f>IF(OR($C539="",$G539=""),0,IF(COUNTIFS($C$5:$C539,$C539,$G$5:$G539,$G539)=1,1,0))</f>
        <v>0</v>
      </c>
      <c r="AN539" s="43" t="str">
        <f>IF($AM539=1,SUMIFS($AM$4:$AM538,$C$4:$C538,$C539)+1,"")</f>
        <v/>
      </c>
    </row>
    <row r="540">
      <c r="A540" s="44" t="str">
        <f>IF(OR($B540="",$D540=""),"","TX"&amp;TEXT(ROW()-4,"0000"))</f>
        <v/>
      </c>
      <c r="B540" s="42" t="n"/>
      <c r="C540" s="47" t="str">
        <f>IF($B540="","",YEAR($B540)*100+MONTH($B540))</f>
        <v/>
      </c>
      <c r="D540" s="37" t="n"/>
      <c r="E540" s="45" t="str">
        <f>IF($D540="","",IFERROR(INDEX(CARDS!$B$5:$B$34,MATCH($D540,CARDS!$A$5:$A$34,0)),"⚠ Card ID?"))</f>
        <v/>
      </c>
      <c r="F540" s="45" t="str">
        <f>IF($D540="","",IFERROR(INDEX(CARDS!$C$5:$C$34,MATCH($D540,CARDS!$A$5:$A$34,0)),"⚠ Card ID?"))</f>
        <v/>
      </c>
      <c r="G540" s="37" t="n"/>
      <c r="H540" s="37" t="n"/>
      <c r="I540" s="41" t="n"/>
      <c r="J540" s="45" t="str">
        <f>IF($I540="","",IFERROR(INDEX(MCC_MASTER!$B$5:$B$504,MATCH($I540,MCC_MASTER!$A$5:$A$504,0)),"⚠ MCC chưa có"))</f>
        <v/>
      </c>
      <c r="K540" s="45" t="str">
        <f>IF($I540="","",IFERROR(IF(INDEX(MCC_MASTER!$C$5:$C$504,MATCH($I540,MCC_MASTER!$A$5:$A$504,0))="","Chưa phân loại",INDEX(MCC_MASTER!$C$5:$C$504,MATCH($I540,MCC_MASTER!$A$5:$A$504,0))),"Chưa phân loại"))</f>
        <v/>
      </c>
      <c r="L540" s="40" t="n"/>
      <c r="M540" s="48" t="str">
        <f>IF(OR($B540="",$D540=""),"",IF($AC540=0,0,IF(ISNUMBER(INDEX(CASHBACK_RULES!$L$5:$L$304,$AC540)),MAX(0,MIN($L540,INDEX(CASHBACK_RULES!$L$5:$L$304,$AC540)-$AH540)),MAX(0,$L540))))</f>
        <v/>
      </c>
      <c r="N540" s="49" t="str">
        <f>IF(OR($B540="",$D540=""),"",IF($AC540&gt;0,INDEX(CASHBACK_RULES!$I$5:$I$304,$AC540),0))</f>
        <v/>
      </c>
      <c r="O540" s="48" t="str">
        <f>IF(OR($B540="",$D540=""),"",ROUND($M540*$N540,0))</f>
        <v/>
      </c>
      <c r="P540" s="48" t="str">
        <f>IF($AC540&gt;0,IF(ISNUMBER(INDEX(CASHBACK_RULES!$J$5:$J$304,$AC540)),INDEX(CASHBACK_RULES!$J$5:$J$304,$AC540),"∞"),"")</f>
        <v/>
      </c>
      <c r="Q540" s="48" t="str">
        <f>IF(OR($B540="",$D540=""),"",IF($AC540=0,0,MAX(0,MIN($O540,IF(ISNUMBER($P540),$P540-$AF540,1E+15),IF(ISNUMBER($AA540),$AA540-$AG540,1E+15)))))</f>
        <v/>
      </c>
      <c r="R540" s="48" t="str">
        <f>IF(OR($B540="",$D540=""),"",IF($AC540=0,"",IF(AND(NOT(ISNUMBER($P540)),NOT(ISNUMBER($AA540))),"∞",MAX(0,MIN(IF(ISNUMBER($P540),$P540-$AF540-$Q540,1E+15),IF(ISNUMBER($AA540),$AA540-$AG540-$Q540,1E+15))))))</f>
        <v/>
      </c>
      <c r="S540" s="47" t="str">
        <f>IF($AD540="","",YEAR($AD540)*100+MONTH($AD540))</f>
        <v/>
      </c>
      <c r="T540" s="50" t="str">
        <f>IF($AD540="","",IFERROR(IF(INDEX(CARDS!$I$5:$I$34,MATCH($D540,CARDS!$A$5:$A$34,0))="","",IF(INDEX(CARDS!$I$5:$I$34,MATCH($D540,CARDS!$A$5:$A$34,0))&gt;INDEX(CARDS!$H$5:$H$34,MATCH($D540,CARDS!$A$5:$A$34,0)),DATE(YEAR($AD540),MONTH($AD540),MIN(INDEX(CARDS!$I$5:$I$34,MATCH($D540,CARDS!$A$5:$A$34,0)),DAY(EOMONTH($AD540,0)))),DATE(YEAR($AD540),MONTH($AD540)+1,MIN(INDEX(CARDS!$I$5:$I$34,MATCH($D540,CARDS!$A$5:$A$34,0)),DAY(EOMONTH($AD540,1)))))),""))</f>
        <v/>
      </c>
      <c r="U540" s="38" t="n"/>
      <c r="V540" s="37" t="n"/>
      <c r="W540" s="38" t="n"/>
      <c r="X540" s="38" t="n"/>
      <c r="Y540" s="44" t="str">
        <f>IF($AC540&gt;0,INDEX(CASHBACK_RULES!$A$5:$A$304,$AC540),"")</f>
        <v/>
      </c>
      <c r="Z540" s="45" t="str">
        <f>IF($AC540&gt;0,INDEX(CASHBACK_RULES!$E$5:$E$304,$AC540)&amp;"","")</f>
        <v/>
      </c>
      <c r="AA540" s="48" t="str">
        <f>IF($AC540&gt;0,IF(ISNUMBER(INDEX(CASHBACK_RULES!$K$5:$K$304,$AC540)),INDEX(CASHBACK_RULES!$K$5:$K$304,$AC540),"∞"),"")</f>
        <v/>
      </c>
      <c r="AB540" s="44" t="str">
        <f>IF(OR($B540="",$D540=""),"",IF($U540="Cancelled","Đã hủy",IF($AC540=0,"Không được hoàn",IF($Q540=0,IF(OR($O540&gt;0,$M540&lt;$L540),"Đã đạt cap","Không được hoàn"),IF(OR($Q540&lt;$O540,$M540&lt;$L540),"Hoàn một phần","Được hoàn")))))</f>
        <v/>
      </c>
      <c r="AC540" s="43">
        <f>IF(OR($B540="",$D540="",$I540="",$L540=""),0,IF($U540="Cancelled",0,IF($W540&lt;&gt;"",IFERROR(IF(INDEX(CASHBACK_RULES!$B$5:$B$304,MATCH($W540,CASHBACK_RULES!$A$5:$A$304,0))=$D540,MATCH($W540,CASHBACK_RULES!$A$5:$A$304,0),0),0),IFERROR(MATCH(1,INDEX((CASHBACK_RULES!$B$5:$B$304=$D540)*(CASHBACK_RULES!$G$5:$G$304=$I540)*(((CASHBACK_RULES!$N$5:$N$304="")+(CASHBACK_RULES!$N$5:$N$304&lt;=$B540))&gt;0)*(((CASHBACK_RULES!$O$5:$O$304="")+(CASHBACK_RULES!$O$5:$O$304&gt;=$B540))&gt;0)*(((CASHBACK_RULES!$M$5:$M$304="")+(CASHBACK_RULES!$M$5:$M$304&lt;=$L540))&gt;0),0),0),0))))</f>
        <v>0</v>
      </c>
      <c r="AD540" s="51" t="str">
        <f>IF(OR($B540="",$D540=""),"",IFERROR(IF(INDEX(CARDS!$H$5:$H$34,MATCH($D540,CARDS!$A$5:$A$34,0))="","",IF(DAY($B540)&lt;=INDEX(CARDS!$H$5:$H$34,MATCH($D540,CARDS!$A$5:$A$34,0)),DATE(YEAR($B540),MONTH($B540),MIN(INDEX(CARDS!$H$5:$H$34,MATCH($D540,CARDS!$A$5:$A$34,0)),DAY(EOMONTH($B540,0)))),DATE(YEAR($B540),MONTH($B540)+1,MIN(INDEX(CARDS!$H$5:$H$34,MATCH($D540,CARDS!$A$5:$A$34,0)),DAY(EOMONTH($B540,1)))))),""))</f>
        <v/>
      </c>
      <c r="AE540" s="52" t="str">
        <f>IF($C540="","",$C540&amp;"|"&amp;COUNTIF($C$5:$C540,$C540))</f>
        <v/>
      </c>
      <c r="AF540" s="53">
        <f>IF($AC540&gt;0,SUMIFS(Q$4:Q539,$D$4:$D539,$D540,$Z$4:$Z539,$Z540,$C$4:$C539,$C540),0)</f>
        <v>0</v>
      </c>
      <c r="AG540" s="53">
        <f>IF($AC540&gt;0,SUMIFS(Q$4:Q539,$D$4:$D539,$D540,$C$4:$C539,$C540),0)</f>
        <v>0</v>
      </c>
      <c r="AH540" s="53">
        <f>IF($AC540&gt;0,SUMIFS(M$4:M539,$D$4:$D539,$D540,$Z$4:$Z539,$Z540,$C$4:$C539,$C540),0)</f>
        <v>0</v>
      </c>
      <c r="AI540" s="43">
        <f>IF(OR($C540="",$I540=""),0,IF(COUNTIFS($C$5:$C540,$C540,$I$5:$I540,$I540)=1,1,0))</f>
        <v>0</v>
      </c>
      <c r="AJ540" s="43" t="str">
        <f>IF($AI540=1,SUMIFS($AI$4:$AI539,$C$4:$C539,$C540)+1,"")</f>
        <v/>
      </c>
      <c r="AK540" s="43">
        <f>IF(OR($C540="",$K540=""),0,IF(COUNTIFS($C$5:$C540,$C540,$K$5:$K540,$K540)=1,1,0))</f>
        <v>0</v>
      </c>
      <c r="AL540" s="43" t="str">
        <f>IF($AK540=1,SUMIFS($AK$4:$AK539,$C$4:$C539,$C540)+1,"")</f>
        <v/>
      </c>
      <c r="AM540" s="43">
        <f>IF(OR($C540="",$G540=""),0,IF(COUNTIFS($C$5:$C540,$C540,$G$5:$G540,$G540)=1,1,0))</f>
        <v>0</v>
      </c>
      <c r="AN540" s="43" t="str">
        <f>IF($AM540=1,SUMIFS($AM$4:$AM539,$C$4:$C539,$C540)+1,"")</f>
        <v/>
      </c>
    </row>
    <row r="541">
      <c r="A541" s="44" t="str">
        <f>IF(OR($B541="",$D541=""),"","TX"&amp;TEXT(ROW()-4,"0000"))</f>
        <v/>
      </c>
      <c r="B541" s="42" t="n"/>
      <c r="C541" s="47" t="str">
        <f>IF($B541="","",YEAR($B541)*100+MONTH($B541))</f>
        <v/>
      </c>
      <c r="D541" s="37" t="n"/>
      <c r="E541" s="45" t="str">
        <f>IF($D541="","",IFERROR(INDEX(CARDS!$B$5:$B$34,MATCH($D541,CARDS!$A$5:$A$34,0)),"⚠ Card ID?"))</f>
        <v/>
      </c>
      <c r="F541" s="45" t="str">
        <f>IF($D541="","",IFERROR(INDEX(CARDS!$C$5:$C$34,MATCH($D541,CARDS!$A$5:$A$34,0)),"⚠ Card ID?"))</f>
        <v/>
      </c>
      <c r="G541" s="37" t="n"/>
      <c r="H541" s="37" t="n"/>
      <c r="I541" s="41" t="n"/>
      <c r="J541" s="45" t="str">
        <f>IF($I541="","",IFERROR(INDEX(MCC_MASTER!$B$5:$B$504,MATCH($I541,MCC_MASTER!$A$5:$A$504,0)),"⚠ MCC chưa có"))</f>
        <v/>
      </c>
      <c r="K541" s="45" t="str">
        <f>IF($I541="","",IFERROR(IF(INDEX(MCC_MASTER!$C$5:$C$504,MATCH($I541,MCC_MASTER!$A$5:$A$504,0))="","Chưa phân loại",INDEX(MCC_MASTER!$C$5:$C$504,MATCH($I541,MCC_MASTER!$A$5:$A$504,0))),"Chưa phân loại"))</f>
        <v/>
      </c>
      <c r="L541" s="40" t="n"/>
      <c r="M541" s="48" t="str">
        <f>IF(OR($B541="",$D541=""),"",IF($AC541=0,0,IF(ISNUMBER(INDEX(CASHBACK_RULES!$L$5:$L$304,$AC541)),MAX(0,MIN($L541,INDEX(CASHBACK_RULES!$L$5:$L$304,$AC541)-$AH541)),MAX(0,$L541))))</f>
        <v/>
      </c>
      <c r="N541" s="49" t="str">
        <f>IF(OR($B541="",$D541=""),"",IF($AC541&gt;0,INDEX(CASHBACK_RULES!$I$5:$I$304,$AC541),0))</f>
        <v/>
      </c>
      <c r="O541" s="48" t="str">
        <f>IF(OR($B541="",$D541=""),"",ROUND($M541*$N541,0))</f>
        <v/>
      </c>
      <c r="P541" s="48" t="str">
        <f>IF($AC541&gt;0,IF(ISNUMBER(INDEX(CASHBACK_RULES!$J$5:$J$304,$AC541)),INDEX(CASHBACK_RULES!$J$5:$J$304,$AC541),"∞"),"")</f>
        <v/>
      </c>
      <c r="Q541" s="48" t="str">
        <f>IF(OR($B541="",$D541=""),"",IF($AC541=0,0,MAX(0,MIN($O541,IF(ISNUMBER($P541),$P541-$AF541,1E+15),IF(ISNUMBER($AA541),$AA541-$AG541,1E+15)))))</f>
        <v/>
      </c>
      <c r="R541" s="48" t="str">
        <f>IF(OR($B541="",$D541=""),"",IF($AC541=0,"",IF(AND(NOT(ISNUMBER($P541)),NOT(ISNUMBER($AA541))),"∞",MAX(0,MIN(IF(ISNUMBER($P541),$P541-$AF541-$Q541,1E+15),IF(ISNUMBER($AA541),$AA541-$AG541-$Q541,1E+15))))))</f>
        <v/>
      </c>
      <c r="S541" s="47" t="str">
        <f>IF($AD541="","",YEAR($AD541)*100+MONTH($AD541))</f>
        <v/>
      </c>
      <c r="T541" s="50" t="str">
        <f>IF($AD541="","",IFERROR(IF(INDEX(CARDS!$I$5:$I$34,MATCH($D541,CARDS!$A$5:$A$34,0))="","",IF(INDEX(CARDS!$I$5:$I$34,MATCH($D541,CARDS!$A$5:$A$34,0))&gt;INDEX(CARDS!$H$5:$H$34,MATCH($D541,CARDS!$A$5:$A$34,0)),DATE(YEAR($AD541),MONTH($AD541),MIN(INDEX(CARDS!$I$5:$I$34,MATCH($D541,CARDS!$A$5:$A$34,0)),DAY(EOMONTH($AD541,0)))),DATE(YEAR($AD541),MONTH($AD541)+1,MIN(INDEX(CARDS!$I$5:$I$34,MATCH($D541,CARDS!$A$5:$A$34,0)),DAY(EOMONTH($AD541,1)))))),""))</f>
        <v/>
      </c>
      <c r="U541" s="38" t="n"/>
      <c r="V541" s="37" t="n"/>
      <c r="W541" s="38" t="n"/>
      <c r="X541" s="38" t="n"/>
      <c r="Y541" s="44" t="str">
        <f>IF($AC541&gt;0,INDEX(CASHBACK_RULES!$A$5:$A$304,$AC541),"")</f>
        <v/>
      </c>
      <c r="Z541" s="45" t="str">
        <f>IF($AC541&gt;0,INDEX(CASHBACK_RULES!$E$5:$E$304,$AC541)&amp;"","")</f>
        <v/>
      </c>
      <c r="AA541" s="48" t="str">
        <f>IF($AC541&gt;0,IF(ISNUMBER(INDEX(CASHBACK_RULES!$K$5:$K$304,$AC541)),INDEX(CASHBACK_RULES!$K$5:$K$304,$AC541),"∞"),"")</f>
        <v/>
      </c>
      <c r="AB541" s="44" t="str">
        <f>IF(OR($B541="",$D541=""),"",IF($U541="Cancelled","Đã hủy",IF($AC541=0,"Không được hoàn",IF($Q541=0,IF(OR($O541&gt;0,$M541&lt;$L541),"Đã đạt cap","Không được hoàn"),IF(OR($Q541&lt;$O541,$M541&lt;$L541),"Hoàn một phần","Được hoàn")))))</f>
        <v/>
      </c>
      <c r="AC541" s="43">
        <f>IF(OR($B541="",$D541="",$I541="",$L541=""),0,IF($U541="Cancelled",0,IF($W541&lt;&gt;"",IFERROR(IF(INDEX(CASHBACK_RULES!$B$5:$B$304,MATCH($W541,CASHBACK_RULES!$A$5:$A$304,0))=$D541,MATCH($W541,CASHBACK_RULES!$A$5:$A$304,0),0),0),IFERROR(MATCH(1,INDEX((CASHBACK_RULES!$B$5:$B$304=$D541)*(CASHBACK_RULES!$G$5:$G$304=$I541)*(((CASHBACK_RULES!$N$5:$N$304="")+(CASHBACK_RULES!$N$5:$N$304&lt;=$B541))&gt;0)*(((CASHBACK_RULES!$O$5:$O$304="")+(CASHBACK_RULES!$O$5:$O$304&gt;=$B541))&gt;0)*(((CASHBACK_RULES!$M$5:$M$304="")+(CASHBACK_RULES!$M$5:$M$304&lt;=$L541))&gt;0),0),0),0))))</f>
        <v>0</v>
      </c>
      <c r="AD541" s="51" t="str">
        <f>IF(OR($B541="",$D541=""),"",IFERROR(IF(INDEX(CARDS!$H$5:$H$34,MATCH($D541,CARDS!$A$5:$A$34,0))="","",IF(DAY($B541)&lt;=INDEX(CARDS!$H$5:$H$34,MATCH($D541,CARDS!$A$5:$A$34,0)),DATE(YEAR($B541),MONTH($B541),MIN(INDEX(CARDS!$H$5:$H$34,MATCH($D541,CARDS!$A$5:$A$34,0)),DAY(EOMONTH($B541,0)))),DATE(YEAR($B541),MONTH($B541)+1,MIN(INDEX(CARDS!$H$5:$H$34,MATCH($D541,CARDS!$A$5:$A$34,0)),DAY(EOMONTH($B541,1)))))),""))</f>
        <v/>
      </c>
      <c r="AE541" s="52" t="str">
        <f>IF($C541="","",$C541&amp;"|"&amp;COUNTIF($C$5:$C541,$C541))</f>
        <v/>
      </c>
      <c r="AF541" s="53">
        <f>IF($AC541&gt;0,SUMIFS(Q$4:Q540,$D$4:$D540,$D541,$Z$4:$Z540,$Z541,$C$4:$C540,$C541),0)</f>
        <v>0</v>
      </c>
      <c r="AG541" s="53">
        <f>IF($AC541&gt;0,SUMIFS(Q$4:Q540,$D$4:$D540,$D541,$C$4:$C540,$C541),0)</f>
        <v>0</v>
      </c>
      <c r="AH541" s="53">
        <f>IF($AC541&gt;0,SUMIFS(M$4:M540,$D$4:$D540,$D541,$Z$4:$Z540,$Z541,$C$4:$C540,$C541),0)</f>
        <v>0</v>
      </c>
      <c r="AI541" s="43">
        <f>IF(OR($C541="",$I541=""),0,IF(COUNTIFS($C$5:$C541,$C541,$I$5:$I541,$I541)=1,1,0))</f>
        <v>0</v>
      </c>
      <c r="AJ541" s="43" t="str">
        <f>IF($AI541=1,SUMIFS($AI$4:$AI540,$C$4:$C540,$C541)+1,"")</f>
        <v/>
      </c>
      <c r="AK541" s="43">
        <f>IF(OR($C541="",$K541=""),0,IF(COUNTIFS($C$5:$C541,$C541,$K$5:$K541,$K541)=1,1,0))</f>
        <v>0</v>
      </c>
      <c r="AL541" s="43" t="str">
        <f>IF($AK541=1,SUMIFS($AK$4:$AK540,$C$4:$C540,$C541)+1,"")</f>
        <v/>
      </c>
      <c r="AM541" s="43">
        <f>IF(OR($C541="",$G541=""),0,IF(COUNTIFS($C$5:$C541,$C541,$G$5:$G541,$G541)=1,1,0))</f>
        <v>0</v>
      </c>
      <c r="AN541" s="43" t="str">
        <f>IF($AM541=1,SUMIFS($AM$4:$AM540,$C$4:$C540,$C541)+1,"")</f>
        <v/>
      </c>
    </row>
    <row r="542">
      <c r="A542" s="44" t="str">
        <f>IF(OR($B542="",$D542=""),"","TX"&amp;TEXT(ROW()-4,"0000"))</f>
        <v/>
      </c>
      <c r="B542" s="42" t="n"/>
      <c r="C542" s="47" t="str">
        <f>IF($B542="","",YEAR($B542)*100+MONTH($B542))</f>
        <v/>
      </c>
      <c r="D542" s="37" t="n"/>
      <c r="E542" s="45" t="str">
        <f>IF($D542="","",IFERROR(INDEX(CARDS!$B$5:$B$34,MATCH($D542,CARDS!$A$5:$A$34,0)),"⚠ Card ID?"))</f>
        <v/>
      </c>
      <c r="F542" s="45" t="str">
        <f>IF($D542="","",IFERROR(INDEX(CARDS!$C$5:$C$34,MATCH($D542,CARDS!$A$5:$A$34,0)),"⚠ Card ID?"))</f>
        <v/>
      </c>
      <c r="G542" s="37" t="n"/>
      <c r="H542" s="37" t="n"/>
      <c r="I542" s="41" t="n"/>
      <c r="J542" s="45" t="str">
        <f>IF($I542="","",IFERROR(INDEX(MCC_MASTER!$B$5:$B$504,MATCH($I542,MCC_MASTER!$A$5:$A$504,0)),"⚠ MCC chưa có"))</f>
        <v/>
      </c>
      <c r="K542" s="45" t="str">
        <f>IF($I542="","",IFERROR(IF(INDEX(MCC_MASTER!$C$5:$C$504,MATCH($I542,MCC_MASTER!$A$5:$A$504,0))="","Chưa phân loại",INDEX(MCC_MASTER!$C$5:$C$504,MATCH($I542,MCC_MASTER!$A$5:$A$504,0))),"Chưa phân loại"))</f>
        <v/>
      </c>
      <c r="L542" s="40" t="n"/>
      <c r="M542" s="48" t="str">
        <f>IF(OR($B542="",$D542=""),"",IF($AC542=0,0,IF(ISNUMBER(INDEX(CASHBACK_RULES!$L$5:$L$304,$AC542)),MAX(0,MIN($L542,INDEX(CASHBACK_RULES!$L$5:$L$304,$AC542)-$AH542)),MAX(0,$L542))))</f>
        <v/>
      </c>
      <c r="N542" s="49" t="str">
        <f>IF(OR($B542="",$D542=""),"",IF($AC542&gt;0,INDEX(CASHBACK_RULES!$I$5:$I$304,$AC542),0))</f>
        <v/>
      </c>
      <c r="O542" s="48" t="str">
        <f>IF(OR($B542="",$D542=""),"",ROUND($M542*$N542,0))</f>
        <v/>
      </c>
      <c r="P542" s="48" t="str">
        <f>IF($AC542&gt;0,IF(ISNUMBER(INDEX(CASHBACK_RULES!$J$5:$J$304,$AC542)),INDEX(CASHBACK_RULES!$J$5:$J$304,$AC542),"∞"),"")</f>
        <v/>
      </c>
      <c r="Q542" s="48" t="str">
        <f>IF(OR($B542="",$D542=""),"",IF($AC542=0,0,MAX(0,MIN($O542,IF(ISNUMBER($P542),$P542-$AF542,1E+15),IF(ISNUMBER($AA542),$AA542-$AG542,1E+15)))))</f>
        <v/>
      </c>
      <c r="R542" s="48" t="str">
        <f>IF(OR($B542="",$D542=""),"",IF($AC542=0,"",IF(AND(NOT(ISNUMBER($P542)),NOT(ISNUMBER($AA542))),"∞",MAX(0,MIN(IF(ISNUMBER($P542),$P542-$AF542-$Q542,1E+15),IF(ISNUMBER($AA542),$AA542-$AG542-$Q542,1E+15))))))</f>
        <v/>
      </c>
      <c r="S542" s="47" t="str">
        <f>IF($AD542="","",YEAR($AD542)*100+MONTH($AD542))</f>
        <v/>
      </c>
      <c r="T542" s="50" t="str">
        <f>IF($AD542="","",IFERROR(IF(INDEX(CARDS!$I$5:$I$34,MATCH($D542,CARDS!$A$5:$A$34,0))="","",IF(INDEX(CARDS!$I$5:$I$34,MATCH($D542,CARDS!$A$5:$A$34,0))&gt;INDEX(CARDS!$H$5:$H$34,MATCH($D542,CARDS!$A$5:$A$34,0)),DATE(YEAR($AD542),MONTH($AD542),MIN(INDEX(CARDS!$I$5:$I$34,MATCH($D542,CARDS!$A$5:$A$34,0)),DAY(EOMONTH($AD542,0)))),DATE(YEAR($AD542),MONTH($AD542)+1,MIN(INDEX(CARDS!$I$5:$I$34,MATCH($D542,CARDS!$A$5:$A$34,0)),DAY(EOMONTH($AD542,1)))))),""))</f>
        <v/>
      </c>
      <c r="U542" s="38" t="n"/>
      <c r="V542" s="37" t="n"/>
      <c r="W542" s="38" t="n"/>
      <c r="X542" s="38" t="n"/>
      <c r="Y542" s="44" t="str">
        <f>IF($AC542&gt;0,INDEX(CASHBACK_RULES!$A$5:$A$304,$AC542),"")</f>
        <v/>
      </c>
      <c r="Z542" s="45" t="str">
        <f>IF($AC542&gt;0,INDEX(CASHBACK_RULES!$E$5:$E$304,$AC542)&amp;"","")</f>
        <v/>
      </c>
      <c r="AA542" s="48" t="str">
        <f>IF($AC542&gt;0,IF(ISNUMBER(INDEX(CASHBACK_RULES!$K$5:$K$304,$AC542)),INDEX(CASHBACK_RULES!$K$5:$K$304,$AC542),"∞"),"")</f>
        <v/>
      </c>
      <c r="AB542" s="44" t="str">
        <f>IF(OR($B542="",$D542=""),"",IF($U542="Cancelled","Đã hủy",IF($AC542=0,"Không được hoàn",IF($Q542=0,IF(OR($O542&gt;0,$M542&lt;$L542),"Đã đạt cap","Không được hoàn"),IF(OR($Q542&lt;$O542,$M542&lt;$L542),"Hoàn một phần","Được hoàn")))))</f>
        <v/>
      </c>
      <c r="AC542" s="43">
        <f>IF(OR($B542="",$D542="",$I542="",$L542=""),0,IF($U542="Cancelled",0,IF($W542&lt;&gt;"",IFERROR(IF(INDEX(CASHBACK_RULES!$B$5:$B$304,MATCH($W542,CASHBACK_RULES!$A$5:$A$304,0))=$D542,MATCH($W542,CASHBACK_RULES!$A$5:$A$304,0),0),0),IFERROR(MATCH(1,INDEX((CASHBACK_RULES!$B$5:$B$304=$D542)*(CASHBACK_RULES!$G$5:$G$304=$I542)*(((CASHBACK_RULES!$N$5:$N$304="")+(CASHBACK_RULES!$N$5:$N$304&lt;=$B542))&gt;0)*(((CASHBACK_RULES!$O$5:$O$304="")+(CASHBACK_RULES!$O$5:$O$304&gt;=$B542))&gt;0)*(((CASHBACK_RULES!$M$5:$M$304="")+(CASHBACK_RULES!$M$5:$M$304&lt;=$L542))&gt;0),0),0),0))))</f>
        <v>0</v>
      </c>
      <c r="AD542" s="51" t="str">
        <f>IF(OR($B542="",$D542=""),"",IFERROR(IF(INDEX(CARDS!$H$5:$H$34,MATCH($D542,CARDS!$A$5:$A$34,0))="","",IF(DAY($B542)&lt;=INDEX(CARDS!$H$5:$H$34,MATCH($D542,CARDS!$A$5:$A$34,0)),DATE(YEAR($B542),MONTH($B542),MIN(INDEX(CARDS!$H$5:$H$34,MATCH($D542,CARDS!$A$5:$A$34,0)),DAY(EOMONTH($B542,0)))),DATE(YEAR($B542),MONTH($B542)+1,MIN(INDEX(CARDS!$H$5:$H$34,MATCH($D542,CARDS!$A$5:$A$34,0)),DAY(EOMONTH($B542,1)))))),""))</f>
        <v/>
      </c>
      <c r="AE542" s="52" t="str">
        <f>IF($C542="","",$C542&amp;"|"&amp;COUNTIF($C$5:$C542,$C542))</f>
        <v/>
      </c>
      <c r="AF542" s="53">
        <f>IF($AC542&gt;0,SUMIFS(Q$4:Q541,$D$4:$D541,$D542,$Z$4:$Z541,$Z542,$C$4:$C541,$C542),0)</f>
        <v>0</v>
      </c>
      <c r="AG542" s="53">
        <f>IF($AC542&gt;0,SUMIFS(Q$4:Q541,$D$4:$D541,$D542,$C$4:$C541,$C542),0)</f>
        <v>0</v>
      </c>
      <c r="AH542" s="53">
        <f>IF($AC542&gt;0,SUMIFS(M$4:M541,$D$4:$D541,$D542,$Z$4:$Z541,$Z542,$C$4:$C541,$C542),0)</f>
        <v>0</v>
      </c>
      <c r="AI542" s="43">
        <f>IF(OR($C542="",$I542=""),0,IF(COUNTIFS($C$5:$C542,$C542,$I$5:$I542,$I542)=1,1,0))</f>
        <v>0</v>
      </c>
      <c r="AJ542" s="43" t="str">
        <f>IF($AI542=1,SUMIFS($AI$4:$AI541,$C$4:$C541,$C542)+1,"")</f>
        <v/>
      </c>
      <c r="AK542" s="43">
        <f>IF(OR($C542="",$K542=""),0,IF(COUNTIFS($C$5:$C542,$C542,$K$5:$K542,$K542)=1,1,0))</f>
        <v>0</v>
      </c>
      <c r="AL542" s="43" t="str">
        <f>IF($AK542=1,SUMIFS($AK$4:$AK541,$C$4:$C541,$C542)+1,"")</f>
        <v/>
      </c>
      <c r="AM542" s="43">
        <f>IF(OR($C542="",$G542=""),0,IF(COUNTIFS($C$5:$C542,$C542,$G$5:$G542,$G542)=1,1,0))</f>
        <v>0</v>
      </c>
      <c r="AN542" s="43" t="str">
        <f>IF($AM542=1,SUMIFS($AM$4:$AM541,$C$4:$C541,$C542)+1,"")</f>
        <v/>
      </c>
    </row>
    <row r="543">
      <c r="A543" s="44" t="str">
        <f>IF(OR($B543="",$D543=""),"","TX"&amp;TEXT(ROW()-4,"0000"))</f>
        <v/>
      </c>
      <c r="B543" s="42" t="n"/>
      <c r="C543" s="47" t="str">
        <f>IF($B543="","",YEAR($B543)*100+MONTH($B543))</f>
        <v/>
      </c>
      <c r="D543" s="37" t="n"/>
      <c r="E543" s="45" t="str">
        <f>IF($D543="","",IFERROR(INDEX(CARDS!$B$5:$B$34,MATCH($D543,CARDS!$A$5:$A$34,0)),"⚠ Card ID?"))</f>
        <v/>
      </c>
      <c r="F543" s="45" t="str">
        <f>IF($D543="","",IFERROR(INDEX(CARDS!$C$5:$C$34,MATCH($D543,CARDS!$A$5:$A$34,0)),"⚠ Card ID?"))</f>
        <v/>
      </c>
      <c r="G543" s="37" t="n"/>
      <c r="H543" s="37" t="n"/>
      <c r="I543" s="41" t="n"/>
      <c r="J543" s="45" t="str">
        <f>IF($I543="","",IFERROR(INDEX(MCC_MASTER!$B$5:$B$504,MATCH($I543,MCC_MASTER!$A$5:$A$504,0)),"⚠ MCC chưa có"))</f>
        <v/>
      </c>
      <c r="K543" s="45" t="str">
        <f>IF($I543="","",IFERROR(IF(INDEX(MCC_MASTER!$C$5:$C$504,MATCH($I543,MCC_MASTER!$A$5:$A$504,0))="","Chưa phân loại",INDEX(MCC_MASTER!$C$5:$C$504,MATCH($I543,MCC_MASTER!$A$5:$A$504,0))),"Chưa phân loại"))</f>
        <v/>
      </c>
      <c r="L543" s="40" t="n"/>
      <c r="M543" s="48" t="str">
        <f>IF(OR($B543="",$D543=""),"",IF($AC543=0,0,IF(ISNUMBER(INDEX(CASHBACK_RULES!$L$5:$L$304,$AC543)),MAX(0,MIN($L543,INDEX(CASHBACK_RULES!$L$5:$L$304,$AC543)-$AH543)),MAX(0,$L543))))</f>
        <v/>
      </c>
      <c r="N543" s="49" t="str">
        <f>IF(OR($B543="",$D543=""),"",IF($AC543&gt;0,INDEX(CASHBACK_RULES!$I$5:$I$304,$AC543),0))</f>
        <v/>
      </c>
      <c r="O543" s="48" t="str">
        <f>IF(OR($B543="",$D543=""),"",ROUND($M543*$N543,0))</f>
        <v/>
      </c>
      <c r="P543" s="48" t="str">
        <f>IF($AC543&gt;0,IF(ISNUMBER(INDEX(CASHBACK_RULES!$J$5:$J$304,$AC543)),INDEX(CASHBACK_RULES!$J$5:$J$304,$AC543),"∞"),"")</f>
        <v/>
      </c>
      <c r="Q543" s="48" t="str">
        <f>IF(OR($B543="",$D543=""),"",IF($AC543=0,0,MAX(0,MIN($O543,IF(ISNUMBER($P543),$P543-$AF543,1E+15),IF(ISNUMBER($AA543),$AA543-$AG543,1E+15)))))</f>
        <v/>
      </c>
      <c r="R543" s="48" t="str">
        <f>IF(OR($B543="",$D543=""),"",IF($AC543=0,"",IF(AND(NOT(ISNUMBER($P543)),NOT(ISNUMBER($AA543))),"∞",MAX(0,MIN(IF(ISNUMBER($P543),$P543-$AF543-$Q543,1E+15),IF(ISNUMBER($AA543),$AA543-$AG543-$Q543,1E+15))))))</f>
        <v/>
      </c>
      <c r="S543" s="47" t="str">
        <f>IF($AD543="","",YEAR($AD543)*100+MONTH($AD543))</f>
        <v/>
      </c>
      <c r="T543" s="50" t="str">
        <f>IF($AD543="","",IFERROR(IF(INDEX(CARDS!$I$5:$I$34,MATCH($D543,CARDS!$A$5:$A$34,0))="","",IF(INDEX(CARDS!$I$5:$I$34,MATCH($D543,CARDS!$A$5:$A$34,0))&gt;INDEX(CARDS!$H$5:$H$34,MATCH($D543,CARDS!$A$5:$A$34,0)),DATE(YEAR($AD543),MONTH($AD543),MIN(INDEX(CARDS!$I$5:$I$34,MATCH($D543,CARDS!$A$5:$A$34,0)),DAY(EOMONTH($AD543,0)))),DATE(YEAR($AD543),MONTH($AD543)+1,MIN(INDEX(CARDS!$I$5:$I$34,MATCH($D543,CARDS!$A$5:$A$34,0)),DAY(EOMONTH($AD543,1)))))),""))</f>
        <v/>
      </c>
      <c r="U543" s="38" t="n"/>
      <c r="V543" s="37" t="n"/>
      <c r="W543" s="38" t="n"/>
      <c r="X543" s="38" t="n"/>
      <c r="Y543" s="44" t="str">
        <f>IF($AC543&gt;0,INDEX(CASHBACK_RULES!$A$5:$A$304,$AC543),"")</f>
        <v/>
      </c>
      <c r="Z543" s="45" t="str">
        <f>IF($AC543&gt;0,INDEX(CASHBACK_RULES!$E$5:$E$304,$AC543)&amp;"","")</f>
        <v/>
      </c>
      <c r="AA543" s="48" t="str">
        <f>IF($AC543&gt;0,IF(ISNUMBER(INDEX(CASHBACK_RULES!$K$5:$K$304,$AC543)),INDEX(CASHBACK_RULES!$K$5:$K$304,$AC543),"∞"),"")</f>
        <v/>
      </c>
      <c r="AB543" s="44" t="str">
        <f>IF(OR($B543="",$D543=""),"",IF($U543="Cancelled","Đã hủy",IF($AC543=0,"Không được hoàn",IF($Q543=0,IF(OR($O543&gt;0,$M543&lt;$L543),"Đã đạt cap","Không được hoàn"),IF(OR($Q543&lt;$O543,$M543&lt;$L543),"Hoàn một phần","Được hoàn")))))</f>
        <v/>
      </c>
      <c r="AC543" s="43">
        <f>IF(OR($B543="",$D543="",$I543="",$L543=""),0,IF($U543="Cancelled",0,IF($W543&lt;&gt;"",IFERROR(IF(INDEX(CASHBACK_RULES!$B$5:$B$304,MATCH($W543,CASHBACK_RULES!$A$5:$A$304,0))=$D543,MATCH($W543,CASHBACK_RULES!$A$5:$A$304,0),0),0),IFERROR(MATCH(1,INDEX((CASHBACK_RULES!$B$5:$B$304=$D543)*(CASHBACK_RULES!$G$5:$G$304=$I543)*(((CASHBACK_RULES!$N$5:$N$304="")+(CASHBACK_RULES!$N$5:$N$304&lt;=$B543))&gt;0)*(((CASHBACK_RULES!$O$5:$O$304="")+(CASHBACK_RULES!$O$5:$O$304&gt;=$B543))&gt;0)*(((CASHBACK_RULES!$M$5:$M$304="")+(CASHBACK_RULES!$M$5:$M$304&lt;=$L543))&gt;0),0),0),0))))</f>
        <v>0</v>
      </c>
      <c r="AD543" s="51" t="str">
        <f>IF(OR($B543="",$D543=""),"",IFERROR(IF(INDEX(CARDS!$H$5:$H$34,MATCH($D543,CARDS!$A$5:$A$34,0))="","",IF(DAY($B543)&lt;=INDEX(CARDS!$H$5:$H$34,MATCH($D543,CARDS!$A$5:$A$34,0)),DATE(YEAR($B543),MONTH($B543),MIN(INDEX(CARDS!$H$5:$H$34,MATCH($D543,CARDS!$A$5:$A$34,0)),DAY(EOMONTH($B543,0)))),DATE(YEAR($B543),MONTH($B543)+1,MIN(INDEX(CARDS!$H$5:$H$34,MATCH($D543,CARDS!$A$5:$A$34,0)),DAY(EOMONTH($B543,1)))))),""))</f>
        <v/>
      </c>
      <c r="AE543" s="52" t="str">
        <f>IF($C543="","",$C543&amp;"|"&amp;COUNTIF($C$5:$C543,$C543))</f>
        <v/>
      </c>
      <c r="AF543" s="53">
        <f>IF($AC543&gt;0,SUMIFS(Q$4:Q542,$D$4:$D542,$D543,$Z$4:$Z542,$Z543,$C$4:$C542,$C543),0)</f>
        <v>0</v>
      </c>
      <c r="AG543" s="53">
        <f>IF($AC543&gt;0,SUMIFS(Q$4:Q542,$D$4:$D542,$D543,$C$4:$C542,$C543),0)</f>
        <v>0</v>
      </c>
      <c r="AH543" s="53">
        <f>IF($AC543&gt;0,SUMIFS(M$4:M542,$D$4:$D542,$D543,$Z$4:$Z542,$Z543,$C$4:$C542,$C543),0)</f>
        <v>0</v>
      </c>
      <c r="AI543" s="43">
        <f>IF(OR($C543="",$I543=""),0,IF(COUNTIFS($C$5:$C543,$C543,$I$5:$I543,$I543)=1,1,0))</f>
        <v>0</v>
      </c>
      <c r="AJ543" s="43" t="str">
        <f>IF($AI543=1,SUMIFS($AI$4:$AI542,$C$4:$C542,$C543)+1,"")</f>
        <v/>
      </c>
      <c r="AK543" s="43">
        <f>IF(OR($C543="",$K543=""),0,IF(COUNTIFS($C$5:$C543,$C543,$K$5:$K543,$K543)=1,1,0))</f>
        <v>0</v>
      </c>
      <c r="AL543" s="43" t="str">
        <f>IF($AK543=1,SUMIFS($AK$4:$AK542,$C$4:$C542,$C543)+1,"")</f>
        <v/>
      </c>
      <c r="AM543" s="43">
        <f>IF(OR($C543="",$G543=""),0,IF(COUNTIFS($C$5:$C543,$C543,$G$5:$G543,$G543)=1,1,0))</f>
        <v>0</v>
      </c>
      <c r="AN543" s="43" t="str">
        <f>IF($AM543=1,SUMIFS($AM$4:$AM542,$C$4:$C542,$C543)+1,"")</f>
        <v/>
      </c>
    </row>
    <row r="544">
      <c r="A544" s="44" t="str">
        <f>IF(OR($B544="",$D544=""),"","TX"&amp;TEXT(ROW()-4,"0000"))</f>
        <v/>
      </c>
      <c r="B544" s="42" t="n"/>
      <c r="C544" s="47" t="str">
        <f>IF($B544="","",YEAR($B544)*100+MONTH($B544))</f>
        <v/>
      </c>
      <c r="D544" s="37" t="n"/>
      <c r="E544" s="45" t="str">
        <f>IF($D544="","",IFERROR(INDEX(CARDS!$B$5:$B$34,MATCH($D544,CARDS!$A$5:$A$34,0)),"⚠ Card ID?"))</f>
        <v/>
      </c>
      <c r="F544" s="45" t="str">
        <f>IF($D544="","",IFERROR(INDEX(CARDS!$C$5:$C$34,MATCH($D544,CARDS!$A$5:$A$34,0)),"⚠ Card ID?"))</f>
        <v/>
      </c>
      <c r="G544" s="37" t="n"/>
      <c r="H544" s="37" t="n"/>
      <c r="I544" s="41" t="n"/>
      <c r="J544" s="45" t="str">
        <f>IF($I544="","",IFERROR(INDEX(MCC_MASTER!$B$5:$B$504,MATCH($I544,MCC_MASTER!$A$5:$A$504,0)),"⚠ MCC chưa có"))</f>
        <v/>
      </c>
      <c r="K544" s="45" t="str">
        <f>IF($I544="","",IFERROR(IF(INDEX(MCC_MASTER!$C$5:$C$504,MATCH($I544,MCC_MASTER!$A$5:$A$504,0))="","Chưa phân loại",INDEX(MCC_MASTER!$C$5:$C$504,MATCH($I544,MCC_MASTER!$A$5:$A$504,0))),"Chưa phân loại"))</f>
        <v/>
      </c>
      <c r="L544" s="40" t="n"/>
      <c r="M544" s="48" t="str">
        <f>IF(OR($B544="",$D544=""),"",IF($AC544=0,0,IF(ISNUMBER(INDEX(CASHBACK_RULES!$L$5:$L$304,$AC544)),MAX(0,MIN($L544,INDEX(CASHBACK_RULES!$L$5:$L$304,$AC544)-$AH544)),MAX(0,$L544))))</f>
        <v/>
      </c>
      <c r="N544" s="49" t="str">
        <f>IF(OR($B544="",$D544=""),"",IF($AC544&gt;0,INDEX(CASHBACK_RULES!$I$5:$I$304,$AC544),0))</f>
        <v/>
      </c>
      <c r="O544" s="48" t="str">
        <f>IF(OR($B544="",$D544=""),"",ROUND($M544*$N544,0))</f>
        <v/>
      </c>
      <c r="P544" s="48" t="str">
        <f>IF($AC544&gt;0,IF(ISNUMBER(INDEX(CASHBACK_RULES!$J$5:$J$304,$AC544)),INDEX(CASHBACK_RULES!$J$5:$J$304,$AC544),"∞"),"")</f>
        <v/>
      </c>
      <c r="Q544" s="48" t="str">
        <f>IF(OR($B544="",$D544=""),"",IF($AC544=0,0,MAX(0,MIN($O544,IF(ISNUMBER($P544),$P544-$AF544,1E+15),IF(ISNUMBER($AA544),$AA544-$AG544,1E+15)))))</f>
        <v/>
      </c>
      <c r="R544" s="48" t="str">
        <f>IF(OR($B544="",$D544=""),"",IF($AC544=0,"",IF(AND(NOT(ISNUMBER($P544)),NOT(ISNUMBER($AA544))),"∞",MAX(0,MIN(IF(ISNUMBER($P544),$P544-$AF544-$Q544,1E+15),IF(ISNUMBER($AA544),$AA544-$AG544-$Q544,1E+15))))))</f>
        <v/>
      </c>
      <c r="S544" s="47" t="str">
        <f>IF($AD544="","",YEAR($AD544)*100+MONTH($AD544))</f>
        <v/>
      </c>
      <c r="T544" s="50" t="str">
        <f>IF($AD544="","",IFERROR(IF(INDEX(CARDS!$I$5:$I$34,MATCH($D544,CARDS!$A$5:$A$34,0))="","",IF(INDEX(CARDS!$I$5:$I$34,MATCH($D544,CARDS!$A$5:$A$34,0))&gt;INDEX(CARDS!$H$5:$H$34,MATCH($D544,CARDS!$A$5:$A$34,0)),DATE(YEAR($AD544),MONTH($AD544),MIN(INDEX(CARDS!$I$5:$I$34,MATCH($D544,CARDS!$A$5:$A$34,0)),DAY(EOMONTH($AD544,0)))),DATE(YEAR($AD544),MONTH($AD544)+1,MIN(INDEX(CARDS!$I$5:$I$34,MATCH($D544,CARDS!$A$5:$A$34,0)),DAY(EOMONTH($AD544,1)))))),""))</f>
        <v/>
      </c>
      <c r="U544" s="38" t="n"/>
      <c r="V544" s="37" t="n"/>
      <c r="W544" s="38" t="n"/>
      <c r="X544" s="38" t="n"/>
      <c r="Y544" s="44" t="str">
        <f>IF($AC544&gt;0,INDEX(CASHBACK_RULES!$A$5:$A$304,$AC544),"")</f>
        <v/>
      </c>
      <c r="Z544" s="45" t="str">
        <f>IF($AC544&gt;0,INDEX(CASHBACK_RULES!$E$5:$E$304,$AC544)&amp;"","")</f>
        <v/>
      </c>
      <c r="AA544" s="48" t="str">
        <f>IF($AC544&gt;0,IF(ISNUMBER(INDEX(CASHBACK_RULES!$K$5:$K$304,$AC544)),INDEX(CASHBACK_RULES!$K$5:$K$304,$AC544),"∞"),"")</f>
        <v/>
      </c>
      <c r="AB544" s="44" t="str">
        <f>IF(OR($B544="",$D544=""),"",IF($U544="Cancelled","Đã hủy",IF($AC544=0,"Không được hoàn",IF($Q544=0,IF(OR($O544&gt;0,$M544&lt;$L544),"Đã đạt cap","Không được hoàn"),IF(OR($Q544&lt;$O544,$M544&lt;$L544),"Hoàn một phần","Được hoàn")))))</f>
        <v/>
      </c>
      <c r="AC544" s="43">
        <f>IF(OR($B544="",$D544="",$I544="",$L544=""),0,IF($U544="Cancelled",0,IF($W544&lt;&gt;"",IFERROR(IF(INDEX(CASHBACK_RULES!$B$5:$B$304,MATCH($W544,CASHBACK_RULES!$A$5:$A$304,0))=$D544,MATCH($W544,CASHBACK_RULES!$A$5:$A$304,0),0),0),IFERROR(MATCH(1,INDEX((CASHBACK_RULES!$B$5:$B$304=$D544)*(CASHBACK_RULES!$G$5:$G$304=$I544)*(((CASHBACK_RULES!$N$5:$N$304="")+(CASHBACK_RULES!$N$5:$N$304&lt;=$B544))&gt;0)*(((CASHBACK_RULES!$O$5:$O$304="")+(CASHBACK_RULES!$O$5:$O$304&gt;=$B544))&gt;0)*(((CASHBACK_RULES!$M$5:$M$304="")+(CASHBACK_RULES!$M$5:$M$304&lt;=$L544))&gt;0),0),0),0))))</f>
        <v>0</v>
      </c>
      <c r="AD544" s="51" t="str">
        <f>IF(OR($B544="",$D544=""),"",IFERROR(IF(INDEX(CARDS!$H$5:$H$34,MATCH($D544,CARDS!$A$5:$A$34,0))="","",IF(DAY($B544)&lt;=INDEX(CARDS!$H$5:$H$34,MATCH($D544,CARDS!$A$5:$A$34,0)),DATE(YEAR($B544),MONTH($B544),MIN(INDEX(CARDS!$H$5:$H$34,MATCH($D544,CARDS!$A$5:$A$34,0)),DAY(EOMONTH($B544,0)))),DATE(YEAR($B544),MONTH($B544)+1,MIN(INDEX(CARDS!$H$5:$H$34,MATCH($D544,CARDS!$A$5:$A$34,0)),DAY(EOMONTH($B544,1)))))),""))</f>
        <v/>
      </c>
      <c r="AE544" s="52" t="str">
        <f>IF($C544="","",$C544&amp;"|"&amp;COUNTIF($C$5:$C544,$C544))</f>
        <v/>
      </c>
      <c r="AF544" s="53">
        <f>IF($AC544&gt;0,SUMIFS(Q$4:Q543,$D$4:$D543,$D544,$Z$4:$Z543,$Z544,$C$4:$C543,$C544),0)</f>
        <v>0</v>
      </c>
      <c r="AG544" s="53">
        <f>IF($AC544&gt;0,SUMIFS(Q$4:Q543,$D$4:$D543,$D544,$C$4:$C543,$C544),0)</f>
        <v>0</v>
      </c>
      <c r="AH544" s="53">
        <f>IF($AC544&gt;0,SUMIFS(M$4:M543,$D$4:$D543,$D544,$Z$4:$Z543,$Z544,$C$4:$C543,$C544),0)</f>
        <v>0</v>
      </c>
      <c r="AI544" s="43">
        <f>IF(OR($C544="",$I544=""),0,IF(COUNTIFS($C$5:$C544,$C544,$I$5:$I544,$I544)=1,1,0))</f>
        <v>0</v>
      </c>
      <c r="AJ544" s="43" t="str">
        <f>IF($AI544=1,SUMIFS($AI$4:$AI543,$C$4:$C543,$C544)+1,"")</f>
        <v/>
      </c>
      <c r="AK544" s="43">
        <f>IF(OR($C544="",$K544=""),0,IF(COUNTIFS($C$5:$C544,$C544,$K$5:$K544,$K544)=1,1,0))</f>
        <v>0</v>
      </c>
      <c r="AL544" s="43" t="str">
        <f>IF($AK544=1,SUMIFS($AK$4:$AK543,$C$4:$C543,$C544)+1,"")</f>
        <v/>
      </c>
      <c r="AM544" s="43">
        <f>IF(OR($C544="",$G544=""),0,IF(COUNTIFS($C$5:$C544,$C544,$G$5:$G544,$G544)=1,1,0))</f>
        <v>0</v>
      </c>
      <c r="AN544" s="43" t="str">
        <f>IF($AM544=1,SUMIFS($AM$4:$AM543,$C$4:$C543,$C544)+1,"")</f>
        <v/>
      </c>
    </row>
    <row r="545">
      <c r="A545" s="44" t="str">
        <f>IF(OR($B545="",$D545=""),"","TX"&amp;TEXT(ROW()-4,"0000"))</f>
        <v/>
      </c>
      <c r="B545" s="42" t="n"/>
      <c r="C545" s="47" t="str">
        <f>IF($B545="","",YEAR($B545)*100+MONTH($B545))</f>
        <v/>
      </c>
      <c r="D545" s="37" t="n"/>
      <c r="E545" s="45" t="str">
        <f>IF($D545="","",IFERROR(INDEX(CARDS!$B$5:$B$34,MATCH($D545,CARDS!$A$5:$A$34,0)),"⚠ Card ID?"))</f>
        <v/>
      </c>
      <c r="F545" s="45" t="str">
        <f>IF($D545="","",IFERROR(INDEX(CARDS!$C$5:$C$34,MATCH($D545,CARDS!$A$5:$A$34,0)),"⚠ Card ID?"))</f>
        <v/>
      </c>
      <c r="G545" s="37" t="n"/>
      <c r="H545" s="37" t="n"/>
      <c r="I545" s="41" t="n"/>
      <c r="J545" s="45" t="str">
        <f>IF($I545="","",IFERROR(INDEX(MCC_MASTER!$B$5:$B$504,MATCH($I545,MCC_MASTER!$A$5:$A$504,0)),"⚠ MCC chưa có"))</f>
        <v/>
      </c>
      <c r="K545" s="45" t="str">
        <f>IF($I545="","",IFERROR(IF(INDEX(MCC_MASTER!$C$5:$C$504,MATCH($I545,MCC_MASTER!$A$5:$A$504,0))="","Chưa phân loại",INDEX(MCC_MASTER!$C$5:$C$504,MATCH($I545,MCC_MASTER!$A$5:$A$504,0))),"Chưa phân loại"))</f>
        <v/>
      </c>
      <c r="L545" s="40" t="n"/>
      <c r="M545" s="48" t="str">
        <f>IF(OR($B545="",$D545=""),"",IF($AC545=0,0,IF(ISNUMBER(INDEX(CASHBACK_RULES!$L$5:$L$304,$AC545)),MAX(0,MIN($L545,INDEX(CASHBACK_RULES!$L$5:$L$304,$AC545)-$AH545)),MAX(0,$L545))))</f>
        <v/>
      </c>
      <c r="N545" s="49" t="str">
        <f>IF(OR($B545="",$D545=""),"",IF($AC545&gt;0,INDEX(CASHBACK_RULES!$I$5:$I$304,$AC545),0))</f>
        <v/>
      </c>
      <c r="O545" s="48" t="str">
        <f>IF(OR($B545="",$D545=""),"",ROUND($M545*$N545,0))</f>
        <v/>
      </c>
      <c r="P545" s="48" t="str">
        <f>IF($AC545&gt;0,IF(ISNUMBER(INDEX(CASHBACK_RULES!$J$5:$J$304,$AC545)),INDEX(CASHBACK_RULES!$J$5:$J$304,$AC545),"∞"),"")</f>
        <v/>
      </c>
      <c r="Q545" s="48" t="str">
        <f>IF(OR($B545="",$D545=""),"",IF($AC545=0,0,MAX(0,MIN($O545,IF(ISNUMBER($P545),$P545-$AF545,1E+15),IF(ISNUMBER($AA545),$AA545-$AG545,1E+15)))))</f>
        <v/>
      </c>
      <c r="R545" s="48" t="str">
        <f>IF(OR($B545="",$D545=""),"",IF($AC545=0,"",IF(AND(NOT(ISNUMBER($P545)),NOT(ISNUMBER($AA545))),"∞",MAX(0,MIN(IF(ISNUMBER($P545),$P545-$AF545-$Q545,1E+15),IF(ISNUMBER($AA545),$AA545-$AG545-$Q545,1E+15))))))</f>
        <v/>
      </c>
      <c r="S545" s="47" t="str">
        <f>IF($AD545="","",YEAR($AD545)*100+MONTH($AD545))</f>
        <v/>
      </c>
      <c r="T545" s="50" t="str">
        <f>IF($AD545="","",IFERROR(IF(INDEX(CARDS!$I$5:$I$34,MATCH($D545,CARDS!$A$5:$A$34,0))="","",IF(INDEX(CARDS!$I$5:$I$34,MATCH($D545,CARDS!$A$5:$A$34,0))&gt;INDEX(CARDS!$H$5:$H$34,MATCH($D545,CARDS!$A$5:$A$34,0)),DATE(YEAR($AD545),MONTH($AD545),MIN(INDEX(CARDS!$I$5:$I$34,MATCH($D545,CARDS!$A$5:$A$34,0)),DAY(EOMONTH($AD545,0)))),DATE(YEAR($AD545),MONTH($AD545)+1,MIN(INDEX(CARDS!$I$5:$I$34,MATCH($D545,CARDS!$A$5:$A$34,0)),DAY(EOMONTH($AD545,1)))))),""))</f>
        <v/>
      </c>
      <c r="U545" s="38" t="n"/>
      <c r="V545" s="37" t="n"/>
      <c r="W545" s="38" t="n"/>
      <c r="X545" s="38" t="n"/>
      <c r="Y545" s="44" t="str">
        <f>IF($AC545&gt;0,INDEX(CASHBACK_RULES!$A$5:$A$304,$AC545),"")</f>
        <v/>
      </c>
      <c r="Z545" s="45" t="str">
        <f>IF($AC545&gt;0,INDEX(CASHBACK_RULES!$E$5:$E$304,$AC545)&amp;"","")</f>
        <v/>
      </c>
      <c r="AA545" s="48" t="str">
        <f>IF($AC545&gt;0,IF(ISNUMBER(INDEX(CASHBACK_RULES!$K$5:$K$304,$AC545)),INDEX(CASHBACK_RULES!$K$5:$K$304,$AC545),"∞"),"")</f>
        <v/>
      </c>
      <c r="AB545" s="44" t="str">
        <f>IF(OR($B545="",$D545=""),"",IF($U545="Cancelled","Đã hủy",IF($AC545=0,"Không được hoàn",IF($Q545=0,IF(OR($O545&gt;0,$M545&lt;$L545),"Đã đạt cap","Không được hoàn"),IF(OR($Q545&lt;$O545,$M545&lt;$L545),"Hoàn một phần","Được hoàn")))))</f>
        <v/>
      </c>
      <c r="AC545" s="43">
        <f>IF(OR($B545="",$D545="",$I545="",$L545=""),0,IF($U545="Cancelled",0,IF($W545&lt;&gt;"",IFERROR(IF(INDEX(CASHBACK_RULES!$B$5:$B$304,MATCH($W545,CASHBACK_RULES!$A$5:$A$304,0))=$D545,MATCH($W545,CASHBACK_RULES!$A$5:$A$304,0),0),0),IFERROR(MATCH(1,INDEX((CASHBACK_RULES!$B$5:$B$304=$D545)*(CASHBACK_RULES!$G$5:$G$304=$I545)*(((CASHBACK_RULES!$N$5:$N$304="")+(CASHBACK_RULES!$N$5:$N$304&lt;=$B545))&gt;0)*(((CASHBACK_RULES!$O$5:$O$304="")+(CASHBACK_RULES!$O$5:$O$304&gt;=$B545))&gt;0)*(((CASHBACK_RULES!$M$5:$M$304="")+(CASHBACK_RULES!$M$5:$M$304&lt;=$L545))&gt;0),0),0),0))))</f>
        <v>0</v>
      </c>
      <c r="AD545" s="51" t="str">
        <f>IF(OR($B545="",$D545=""),"",IFERROR(IF(INDEX(CARDS!$H$5:$H$34,MATCH($D545,CARDS!$A$5:$A$34,0))="","",IF(DAY($B545)&lt;=INDEX(CARDS!$H$5:$H$34,MATCH($D545,CARDS!$A$5:$A$34,0)),DATE(YEAR($B545),MONTH($B545),MIN(INDEX(CARDS!$H$5:$H$34,MATCH($D545,CARDS!$A$5:$A$34,0)),DAY(EOMONTH($B545,0)))),DATE(YEAR($B545),MONTH($B545)+1,MIN(INDEX(CARDS!$H$5:$H$34,MATCH($D545,CARDS!$A$5:$A$34,0)),DAY(EOMONTH($B545,1)))))),""))</f>
        <v/>
      </c>
      <c r="AE545" s="52" t="str">
        <f>IF($C545="","",$C545&amp;"|"&amp;COUNTIF($C$5:$C545,$C545))</f>
        <v/>
      </c>
      <c r="AF545" s="53">
        <f>IF($AC545&gt;0,SUMIFS(Q$4:Q544,$D$4:$D544,$D545,$Z$4:$Z544,$Z545,$C$4:$C544,$C545),0)</f>
        <v>0</v>
      </c>
      <c r="AG545" s="53">
        <f>IF($AC545&gt;0,SUMIFS(Q$4:Q544,$D$4:$D544,$D545,$C$4:$C544,$C545),0)</f>
        <v>0</v>
      </c>
      <c r="AH545" s="53">
        <f>IF($AC545&gt;0,SUMIFS(M$4:M544,$D$4:$D544,$D545,$Z$4:$Z544,$Z545,$C$4:$C544,$C545),0)</f>
        <v>0</v>
      </c>
      <c r="AI545" s="43">
        <f>IF(OR($C545="",$I545=""),0,IF(COUNTIFS($C$5:$C545,$C545,$I$5:$I545,$I545)=1,1,0))</f>
        <v>0</v>
      </c>
      <c r="AJ545" s="43" t="str">
        <f>IF($AI545=1,SUMIFS($AI$4:$AI544,$C$4:$C544,$C545)+1,"")</f>
        <v/>
      </c>
      <c r="AK545" s="43">
        <f>IF(OR($C545="",$K545=""),0,IF(COUNTIFS($C$5:$C545,$C545,$K$5:$K545,$K545)=1,1,0))</f>
        <v>0</v>
      </c>
      <c r="AL545" s="43" t="str">
        <f>IF($AK545=1,SUMIFS($AK$4:$AK544,$C$4:$C544,$C545)+1,"")</f>
        <v/>
      </c>
      <c r="AM545" s="43">
        <f>IF(OR($C545="",$G545=""),0,IF(COUNTIFS($C$5:$C545,$C545,$G$5:$G545,$G545)=1,1,0))</f>
        <v>0</v>
      </c>
      <c r="AN545" s="43" t="str">
        <f>IF($AM545=1,SUMIFS($AM$4:$AM544,$C$4:$C544,$C545)+1,"")</f>
        <v/>
      </c>
    </row>
    <row r="546">
      <c r="A546" s="44" t="str">
        <f>IF(OR($B546="",$D546=""),"","TX"&amp;TEXT(ROW()-4,"0000"))</f>
        <v/>
      </c>
      <c r="B546" s="42" t="n"/>
      <c r="C546" s="47" t="str">
        <f>IF($B546="","",YEAR($B546)*100+MONTH($B546))</f>
        <v/>
      </c>
      <c r="D546" s="37" t="n"/>
      <c r="E546" s="45" t="str">
        <f>IF($D546="","",IFERROR(INDEX(CARDS!$B$5:$B$34,MATCH($D546,CARDS!$A$5:$A$34,0)),"⚠ Card ID?"))</f>
        <v/>
      </c>
      <c r="F546" s="45" t="str">
        <f>IF($D546="","",IFERROR(INDEX(CARDS!$C$5:$C$34,MATCH($D546,CARDS!$A$5:$A$34,0)),"⚠ Card ID?"))</f>
        <v/>
      </c>
      <c r="G546" s="37" t="n"/>
      <c r="H546" s="37" t="n"/>
      <c r="I546" s="41" t="n"/>
      <c r="J546" s="45" t="str">
        <f>IF($I546="","",IFERROR(INDEX(MCC_MASTER!$B$5:$B$504,MATCH($I546,MCC_MASTER!$A$5:$A$504,0)),"⚠ MCC chưa có"))</f>
        <v/>
      </c>
      <c r="K546" s="45" t="str">
        <f>IF($I546="","",IFERROR(IF(INDEX(MCC_MASTER!$C$5:$C$504,MATCH($I546,MCC_MASTER!$A$5:$A$504,0))="","Chưa phân loại",INDEX(MCC_MASTER!$C$5:$C$504,MATCH($I546,MCC_MASTER!$A$5:$A$504,0))),"Chưa phân loại"))</f>
        <v/>
      </c>
      <c r="L546" s="40" t="n"/>
      <c r="M546" s="48" t="str">
        <f>IF(OR($B546="",$D546=""),"",IF($AC546=0,0,IF(ISNUMBER(INDEX(CASHBACK_RULES!$L$5:$L$304,$AC546)),MAX(0,MIN($L546,INDEX(CASHBACK_RULES!$L$5:$L$304,$AC546)-$AH546)),MAX(0,$L546))))</f>
        <v/>
      </c>
      <c r="N546" s="49" t="str">
        <f>IF(OR($B546="",$D546=""),"",IF($AC546&gt;0,INDEX(CASHBACK_RULES!$I$5:$I$304,$AC546),0))</f>
        <v/>
      </c>
      <c r="O546" s="48" t="str">
        <f>IF(OR($B546="",$D546=""),"",ROUND($M546*$N546,0))</f>
        <v/>
      </c>
      <c r="P546" s="48" t="str">
        <f>IF($AC546&gt;0,IF(ISNUMBER(INDEX(CASHBACK_RULES!$J$5:$J$304,$AC546)),INDEX(CASHBACK_RULES!$J$5:$J$304,$AC546),"∞"),"")</f>
        <v/>
      </c>
      <c r="Q546" s="48" t="str">
        <f>IF(OR($B546="",$D546=""),"",IF($AC546=0,0,MAX(0,MIN($O546,IF(ISNUMBER($P546),$P546-$AF546,1E+15),IF(ISNUMBER($AA546),$AA546-$AG546,1E+15)))))</f>
        <v/>
      </c>
      <c r="R546" s="48" t="str">
        <f>IF(OR($B546="",$D546=""),"",IF($AC546=0,"",IF(AND(NOT(ISNUMBER($P546)),NOT(ISNUMBER($AA546))),"∞",MAX(0,MIN(IF(ISNUMBER($P546),$P546-$AF546-$Q546,1E+15),IF(ISNUMBER($AA546),$AA546-$AG546-$Q546,1E+15))))))</f>
        <v/>
      </c>
      <c r="S546" s="47" t="str">
        <f>IF($AD546="","",YEAR($AD546)*100+MONTH($AD546))</f>
        <v/>
      </c>
      <c r="T546" s="50" t="str">
        <f>IF($AD546="","",IFERROR(IF(INDEX(CARDS!$I$5:$I$34,MATCH($D546,CARDS!$A$5:$A$34,0))="","",IF(INDEX(CARDS!$I$5:$I$34,MATCH($D546,CARDS!$A$5:$A$34,0))&gt;INDEX(CARDS!$H$5:$H$34,MATCH($D546,CARDS!$A$5:$A$34,0)),DATE(YEAR($AD546),MONTH($AD546),MIN(INDEX(CARDS!$I$5:$I$34,MATCH($D546,CARDS!$A$5:$A$34,0)),DAY(EOMONTH($AD546,0)))),DATE(YEAR($AD546),MONTH($AD546)+1,MIN(INDEX(CARDS!$I$5:$I$34,MATCH($D546,CARDS!$A$5:$A$34,0)),DAY(EOMONTH($AD546,1)))))),""))</f>
        <v/>
      </c>
      <c r="U546" s="38" t="n"/>
      <c r="V546" s="37" t="n"/>
      <c r="W546" s="38" t="n"/>
      <c r="X546" s="38" t="n"/>
      <c r="Y546" s="44" t="str">
        <f>IF($AC546&gt;0,INDEX(CASHBACK_RULES!$A$5:$A$304,$AC546),"")</f>
        <v/>
      </c>
      <c r="Z546" s="45" t="str">
        <f>IF($AC546&gt;0,INDEX(CASHBACK_RULES!$E$5:$E$304,$AC546)&amp;"","")</f>
        <v/>
      </c>
      <c r="AA546" s="48" t="str">
        <f>IF($AC546&gt;0,IF(ISNUMBER(INDEX(CASHBACK_RULES!$K$5:$K$304,$AC546)),INDEX(CASHBACK_RULES!$K$5:$K$304,$AC546),"∞"),"")</f>
        <v/>
      </c>
      <c r="AB546" s="44" t="str">
        <f>IF(OR($B546="",$D546=""),"",IF($U546="Cancelled","Đã hủy",IF($AC546=0,"Không được hoàn",IF($Q546=0,IF(OR($O546&gt;0,$M546&lt;$L546),"Đã đạt cap","Không được hoàn"),IF(OR($Q546&lt;$O546,$M546&lt;$L546),"Hoàn một phần","Được hoàn")))))</f>
        <v/>
      </c>
      <c r="AC546" s="43">
        <f>IF(OR($B546="",$D546="",$I546="",$L546=""),0,IF($U546="Cancelled",0,IF($W546&lt;&gt;"",IFERROR(IF(INDEX(CASHBACK_RULES!$B$5:$B$304,MATCH($W546,CASHBACK_RULES!$A$5:$A$304,0))=$D546,MATCH($W546,CASHBACK_RULES!$A$5:$A$304,0),0),0),IFERROR(MATCH(1,INDEX((CASHBACK_RULES!$B$5:$B$304=$D546)*(CASHBACK_RULES!$G$5:$G$304=$I546)*(((CASHBACK_RULES!$N$5:$N$304="")+(CASHBACK_RULES!$N$5:$N$304&lt;=$B546))&gt;0)*(((CASHBACK_RULES!$O$5:$O$304="")+(CASHBACK_RULES!$O$5:$O$304&gt;=$B546))&gt;0)*(((CASHBACK_RULES!$M$5:$M$304="")+(CASHBACK_RULES!$M$5:$M$304&lt;=$L546))&gt;0),0),0),0))))</f>
        <v>0</v>
      </c>
      <c r="AD546" s="51" t="str">
        <f>IF(OR($B546="",$D546=""),"",IFERROR(IF(INDEX(CARDS!$H$5:$H$34,MATCH($D546,CARDS!$A$5:$A$34,0))="","",IF(DAY($B546)&lt;=INDEX(CARDS!$H$5:$H$34,MATCH($D546,CARDS!$A$5:$A$34,0)),DATE(YEAR($B546),MONTH($B546),MIN(INDEX(CARDS!$H$5:$H$34,MATCH($D546,CARDS!$A$5:$A$34,0)),DAY(EOMONTH($B546,0)))),DATE(YEAR($B546),MONTH($B546)+1,MIN(INDEX(CARDS!$H$5:$H$34,MATCH($D546,CARDS!$A$5:$A$34,0)),DAY(EOMONTH($B546,1)))))),""))</f>
        <v/>
      </c>
      <c r="AE546" s="52" t="str">
        <f>IF($C546="","",$C546&amp;"|"&amp;COUNTIF($C$5:$C546,$C546))</f>
        <v/>
      </c>
      <c r="AF546" s="53">
        <f>IF($AC546&gt;0,SUMIFS(Q$4:Q545,$D$4:$D545,$D546,$Z$4:$Z545,$Z546,$C$4:$C545,$C546),0)</f>
        <v>0</v>
      </c>
      <c r="AG546" s="53">
        <f>IF($AC546&gt;0,SUMIFS(Q$4:Q545,$D$4:$D545,$D546,$C$4:$C545,$C546),0)</f>
        <v>0</v>
      </c>
      <c r="AH546" s="53">
        <f>IF($AC546&gt;0,SUMIFS(M$4:M545,$D$4:$D545,$D546,$Z$4:$Z545,$Z546,$C$4:$C545,$C546),0)</f>
        <v>0</v>
      </c>
      <c r="AI546" s="43">
        <f>IF(OR($C546="",$I546=""),0,IF(COUNTIFS($C$5:$C546,$C546,$I$5:$I546,$I546)=1,1,0))</f>
        <v>0</v>
      </c>
      <c r="AJ546" s="43" t="str">
        <f>IF($AI546=1,SUMIFS($AI$4:$AI545,$C$4:$C545,$C546)+1,"")</f>
        <v/>
      </c>
      <c r="AK546" s="43">
        <f>IF(OR($C546="",$K546=""),0,IF(COUNTIFS($C$5:$C546,$C546,$K$5:$K546,$K546)=1,1,0))</f>
        <v>0</v>
      </c>
      <c r="AL546" s="43" t="str">
        <f>IF($AK546=1,SUMIFS($AK$4:$AK545,$C$4:$C545,$C546)+1,"")</f>
        <v/>
      </c>
      <c r="AM546" s="43">
        <f>IF(OR($C546="",$G546=""),0,IF(COUNTIFS($C$5:$C546,$C546,$G$5:$G546,$G546)=1,1,0))</f>
        <v>0</v>
      </c>
      <c r="AN546" s="43" t="str">
        <f>IF($AM546=1,SUMIFS($AM$4:$AM545,$C$4:$C545,$C546)+1,"")</f>
        <v/>
      </c>
    </row>
    <row r="547">
      <c r="A547" s="44" t="str">
        <f>IF(OR($B547="",$D547=""),"","TX"&amp;TEXT(ROW()-4,"0000"))</f>
        <v/>
      </c>
      <c r="B547" s="42" t="n"/>
      <c r="C547" s="47" t="str">
        <f>IF($B547="","",YEAR($B547)*100+MONTH($B547))</f>
        <v/>
      </c>
      <c r="D547" s="37" t="n"/>
      <c r="E547" s="45" t="str">
        <f>IF($D547="","",IFERROR(INDEX(CARDS!$B$5:$B$34,MATCH($D547,CARDS!$A$5:$A$34,0)),"⚠ Card ID?"))</f>
        <v/>
      </c>
      <c r="F547" s="45" t="str">
        <f>IF($D547="","",IFERROR(INDEX(CARDS!$C$5:$C$34,MATCH($D547,CARDS!$A$5:$A$34,0)),"⚠ Card ID?"))</f>
        <v/>
      </c>
      <c r="G547" s="37" t="n"/>
      <c r="H547" s="37" t="n"/>
      <c r="I547" s="41" t="n"/>
      <c r="J547" s="45" t="str">
        <f>IF($I547="","",IFERROR(INDEX(MCC_MASTER!$B$5:$B$504,MATCH($I547,MCC_MASTER!$A$5:$A$504,0)),"⚠ MCC chưa có"))</f>
        <v/>
      </c>
      <c r="K547" s="45" t="str">
        <f>IF($I547="","",IFERROR(IF(INDEX(MCC_MASTER!$C$5:$C$504,MATCH($I547,MCC_MASTER!$A$5:$A$504,0))="","Chưa phân loại",INDEX(MCC_MASTER!$C$5:$C$504,MATCH($I547,MCC_MASTER!$A$5:$A$504,0))),"Chưa phân loại"))</f>
        <v/>
      </c>
      <c r="L547" s="40" t="n"/>
      <c r="M547" s="48" t="str">
        <f>IF(OR($B547="",$D547=""),"",IF($AC547=0,0,IF(ISNUMBER(INDEX(CASHBACK_RULES!$L$5:$L$304,$AC547)),MAX(0,MIN($L547,INDEX(CASHBACK_RULES!$L$5:$L$304,$AC547)-$AH547)),MAX(0,$L547))))</f>
        <v/>
      </c>
      <c r="N547" s="49" t="str">
        <f>IF(OR($B547="",$D547=""),"",IF($AC547&gt;0,INDEX(CASHBACK_RULES!$I$5:$I$304,$AC547),0))</f>
        <v/>
      </c>
      <c r="O547" s="48" t="str">
        <f>IF(OR($B547="",$D547=""),"",ROUND($M547*$N547,0))</f>
        <v/>
      </c>
      <c r="P547" s="48" t="str">
        <f>IF($AC547&gt;0,IF(ISNUMBER(INDEX(CASHBACK_RULES!$J$5:$J$304,$AC547)),INDEX(CASHBACK_RULES!$J$5:$J$304,$AC547),"∞"),"")</f>
        <v/>
      </c>
      <c r="Q547" s="48" t="str">
        <f>IF(OR($B547="",$D547=""),"",IF($AC547=0,0,MAX(0,MIN($O547,IF(ISNUMBER($P547),$P547-$AF547,1E+15),IF(ISNUMBER($AA547),$AA547-$AG547,1E+15)))))</f>
        <v/>
      </c>
      <c r="R547" s="48" t="str">
        <f>IF(OR($B547="",$D547=""),"",IF($AC547=0,"",IF(AND(NOT(ISNUMBER($P547)),NOT(ISNUMBER($AA547))),"∞",MAX(0,MIN(IF(ISNUMBER($P547),$P547-$AF547-$Q547,1E+15),IF(ISNUMBER($AA547),$AA547-$AG547-$Q547,1E+15))))))</f>
        <v/>
      </c>
      <c r="S547" s="47" t="str">
        <f>IF($AD547="","",YEAR($AD547)*100+MONTH($AD547))</f>
        <v/>
      </c>
      <c r="T547" s="50" t="str">
        <f>IF($AD547="","",IFERROR(IF(INDEX(CARDS!$I$5:$I$34,MATCH($D547,CARDS!$A$5:$A$34,0))="","",IF(INDEX(CARDS!$I$5:$I$34,MATCH($D547,CARDS!$A$5:$A$34,0))&gt;INDEX(CARDS!$H$5:$H$34,MATCH($D547,CARDS!$A$5:$A$34,0)),DATE(YEAR($AD547),MONTH($AD547),MIN(INDEX(CARDS!$I$5:$I$34,MATCH($D547,CARDS!$A$5:$A$34,0)),DAY(EOMONTH($AD547,0)))),DATE(YEAR($AD547),MONTH($AD547)+1,MIN(INDEX(CARDS!$I$5:$I$34,MATCH($D547,CARDS!$A$5:$A$34,0)),DAY(EOMONTH($AD547,1)))))),""))</f>
        <v/>
      </c>
      <c r="U547" s="38" t="n"/>
      <c r="V547" s="37" t="n"/>
      <c r="W547" s="38" t="n"/>
      <c r="X547" s="38" t="n"/>
      <c r="Y547" s="44" t="str">
        <f>IF($AC547&gt;0,INDEX(CASHBACK_RULES!$A$5:$A$304,$AC547),"")</f>
        <v/>
      </c>
      <c r="Z547" s="45" t="str">
        <f>IF($AC547&gt;0,INDEX(CASHBACK_RULES!$E$5:$E$304,$AC547)&amp;"","")</f>
        <v/>
      </c>
      <c r="AA547" s="48" t="str">
        <f>IF($AC547&gt;0,IF(ISNUMBER(INDEX(CASHBACK_RULES!$K$5:$K$304,$AC547)),INDEX(CASHBACK_RULES!$K$5:$K$304,$AC547),"∞"),"")</f>
        <v/>
      </c>
      <c r="AB547" s="44" t="str">
        <f>IF(OR($B547="",$D547=""),"",IF($U547="Cancelled","Đã hủy",IF($AC547=0,"Không được hoàn",IF($Q547=0,IF(OR($O547&gt;0,$M547&lt;$L547),"Đã đạt cap","Không được hoàn"),IF(OR($Q547&lt;$O547,$M547&lt;$L547),"Hoàn một phần","Được hoàn")))))</f>
        <v/>
      </c>
      <c r="AC547" s="43">
        <f>IF(OR($B547="",$D547="",$I547="",$L547=""),0,IF($U547="Cancelled",0,IF($W547&lt;&gt;"",IFERROR(IF(INDEX(CASHBACK_RULES!$B$5:$B$304,MATCH($W547,CASHBACK_RULES!$A$5:$A$304,0))=$D547,MATCH($W547,CASHBACK_RULES!$A$5:$A$304,0),0),0),IFERROR(MATCH(1,INDEX((CASHBACK_RULES!$B$5:$B$304=$D547)*(CASHBACK_RULES!$G$5:$G$304=$I547)*(((CASHBACK_RULES!$N$5:$N$304="")+(CASHBACK_RULES!$N$5:$N$304&lt;=$B547))&gt;0)*(((CASHBACK_RULES!$O$5:$O$304="")+(CASHBACK_RULES!$O$5:$O$304&gt;=$B547))&gt;0)*(((CASHBACK_RULES!$M$5:$M$304="")+(CASHBACK_RULES!$M$5:$M$304&lt;=$L547))&gt;0),0),0),0))))</f>
        <v>0</v>
      </c>
      <c r="AD547" s="51" t="str">
        <f>IF(OR($B547="",$D547=""),"",IFERROR(IF(INDEX(CARDS!$H$5:$H$34,MATCH($D547,CARDS!$A$5:$A$34,0))="","",IF(DAY($B547)&lt;=INDEX(CARDS!$H$5:$H$34,MATCH($D547,CARDS!$A$5:$A$34,0)),DATE(YEAR($B547),MONTH($B547),MIN(INDEX(CARDS!$H$5:$H$34,MATCH($D547,CARDS!$A$5:$A$34,0)),DAY(EOMONTH($B547,0)))),DATE(YEAR($B547),MONTH($B547)+1,MIN(INDEX(CARDS!$H$5:$H$34,MATCH($D547,CARDS!$A$5:$A$34,0)),DAY(EOMONTH($B547,1)))))),""))</f>
        <v/>
      </c>
      <c r="AE547" s="52" t="str">
        <f>IF($C547="","",$C547&amp;"|"&amp;COUNTIF($C$5:$C547,$C547))</f>
        <v/>
      </c>
      <c r="AF547" s="53">
        <f>IF($AC547&gt;0,SUMIFS(Q$4:Q546,$D$4:$D546,$D547,$Z$4:$Z546,$Z547,$C$4:$C546,$C547),0)</f>
        <v>0</v>
      </c>
      <c r="AG547" s="53">
        <f>IF($AC547&gt;0,SUMIFS(Q$4:Q546,$D$4:$D546,$D547,$C$4:$C546,$C547),0)</f>
        <v>0</v>
      </c>
      <c r="AH547" s="53">
        <f>IF($AC547&gt;0,SUMIFS(M$4:M546,$D$4:$D546,$D547,$Z$4:$Z546,$Z547,$C$4:$C546,$C547),0)</f>
        <v>0</v>
      </c>
      <c r="AI547" s="43">
        <f>IF(OR($C547="",$I547=""),0,IF(COUNTIFS($C$5:$C547,$C547,$I$5:$I547,$I547)=1,1,0))</f>
        <v>0</v>
      </c>
      <c r="AJ547" s="43" t="str">
        <f>IF($AI547=1,SUMIFS($AI$4:$AI546,$C$4:$C546,$C547)+1,"")</f>
        <v/>
      </c>
      <c r="AK547" s="43">
        <f>IF(OR($C547="",$K547=""),0,IF(COUNTIFS($C$5:$C547,$C547,$K$5:$K547,$K547)=1,1,0))</f>
        <v>0</v>
      </c>
      <c r="AL547" s="43" t="str">
        <f>IF($AK547=1,SUMIFS($AK$4:$AK546,$C$4:$C546,$C547)+1,"")</f>
        <v/>
      </c>
      <c r="AM547" s="43">
        <f>IF(OR($C547="",$G547=""),0,IF(COUNTIFS($C$5:$C547,$C547,$G$5:$G547,$G547)=1,1,0))</f>
        <v>0</v>
      </c>
      <c r="AN547" s="43" t="str">
        <f>IF($AM547=1,SUMIFS($AM$4:$AM546,$C$4:$C546,$C547)+1,"")</f>
        <v/>
      </c>
    </row>
    <row r="548">
      <c r="A548" s="44" t="str">
        <f>IF(OR($B548="",$D548=""),"","TX"&amp;TEXT(ROW()-4,"0000"))</f>
        <v/>
      </c>
      <c r="B548" s="42" t="n"/>
      <c r="C548" s="47" t="str">
        <f>IF($B548="","",YEAR($B548)*100+MONTH($B548))</f>
        <v/>
      </c>
      <c r="D548" s="37" t="n"/>
      <c r="E548" s="45" t="str">
        <f>IF($D548="","",IFERROR(INDEX(CARDS!$B$5:$B$34,MATCH($D548,CARDS!$A$5:$A$34,0)),"⚠ Card ID?"))</f>
        <v/>
      </c>
      <c r="F548" s="45" t="str">
        <f>IF($D548="","",IFERROR(INDEX(CARDS!$C$5:$C$34,MATCH($D548,CARDS!$A$5:$A$34,0)),"⚠ Card ID?"))</f>
        <v/>
      </c>
      <c r="G548" s="37" t="n"/>
      <c r="H548" s="37" t="n"/>
      <c r="I548" s="41" t="n"/>
      <c r="J548" s="45" t="str">
        <f>IF($I548="","",IFERROR(INDEX(MCC_MASTER!$B$5:$B$504,MATCH($I548,MCC_MASTER!$A$5:$A$504,0)),"⚠ MCC chưa có"))</f>
        <v/>
      </c>
      <c r="K548" s="45" t="str">
        <f>IF($I548="","",IFERROR(IF(INDEX(MCC_MASTER!$C$5:$C$504,MATCH($I548,MCC_MASTER!$A$5:$A$504,0))="","Chưa phân loại",INDEX(MCC_MASTER!$C$5:$C$504,MATCH($I548,MCC_MASTER!$A$5:$A$504,0))),"Chưa phân loại"))</f>
        <v/>
      </c>
      <c r="L548" s="40" t="n"/>
      <c r="M548" s="48" t="str">
        <f>IF(OR($B548="",$D548=""),"",IF($AC548=0,0,IF(ISNUMBER(INDEX(CASHBACK_RULES!$L$5:$L$304,$AC548)),MAX(0,MIN($L548,INDEX(CASHBACK_RULES!$L$5:$L$304,$AC548)-$AH548)),MAX(0,$L548))))</f>
        <v/>
      </c>
      <c r="N548" s="49" t="str">
        <f>IF(OR($B548="",$D548=""),"",IF($AC548&gt;0,INDEX(CASHBACK_RULES!$I$5:$I$304,$AC548),0))</f>
        <v/>
      </c>
      <c r="O548" s="48" t="str">
        <f>IF(OR($B548="",$D548=""),"",ROUND($M548*$N548,0))</f>
        <v/>
      </c>
      <c r="P548" s="48" t="str">
        <f>IF($AC548&gt;0,IF(ISNUMBER(INDEX(CASHBACK_RULES!$J$5:$J$304,$AC548)),INDEX(CASHBACK_RULES!$J$5:$J$304,$AC548),"∞"),"")</f>
        <v/>
      </c>
      <c r="Q548" s="48" t="str">
        <f>IF(OR($B548="",$D548=""),"",IF($AC548=0,0,MAX(0,MIN($O548,IF(ISNUMBER($P548),$P548-$AF548,1E+15),IF(ISNUMBER($AA548),$AA548-$AG548,1E+15)))))</f>
        <v/>
      </c>
      <c r="R548" s="48" t="str">
        <f>IF(OR($B548="",$D548=""),"",IF($AC548=0,"",IF(AND(NOT(ISNUMBER($P548)),NOT(ISNUMBER($AA548))),"∞",MAX(0,MIN(IF(ISNUMBER($P548),$P548-$AF548-$Q548,1E+15),IF(ISNUMBER($AA548),$AA548-$AG548-$Q548,1E+15))))))</f>
        <v/>
      </c>
      <c r="S548" s="47" t="str">
        <f>IF($AD548="","",YEAR($AD548)*100+MONTH($AD548))</f>
        <v/>
      </c>
      <c r="T548" s="50" t="str">
        <f>IF($AD548="","",IFERROR(IF(INDEX(CARDS!$I$5:$I$34,MATCH($D548,CARDS!$A$5:$A$34,0))="","",IF(INDEX(CARDS!$I$5:$I$34,MATCH($D548,CARDS!$A$5:$A$34,0))&gt;INDEX(CARDS!$H$5:$H$34,MATCH($D548,CARDS!$A$5:$A$34,0)),DATE(YEAR($AD548),MONTH($AD548),MIN(INDEX(CARDS!$I$5:$I$34,MATCH($D548,CARDS!$A$5:$A$34,0)),DAY(EOMONTH($AD548,0)))),DATE(YEAR($AD548),MONTH($AD548)+1,MIN(INDEX(CARDS!$I$5:$I$34,MATCH($D548,CARDS!$A$5:$A$34,0)),DAY(EOMONTH($AD548,1)))))),""))</f>
        <v/>
      </c>
      <c r="U548" s="38" t="n"/>
      <c r="V548" s="37" t="n"/>
      <c r="W548" s="38" t="n"/>
      <c r="X548" s="38" t="n"/>
      <c r="Y548" s="44" t="str">
        <f>IF($AC548&gt;0,INDEX(CASHBACK_RULES!$A$5:$A$304,$AC548),"")</f>
        <v/>
      </c>
      <c r="Z548" s="45" t="str">
        <f>IF($AC548&gt;0,INDEX(CASHBACK_RULES!$E$5:$E$304,$AC548)&amp;"","")</f>
        <v/>
      </c>
      <c r="AA548" s="48" t="str">
        <f>IF($AC548&gt;0,IF(ISNUMBER(INDEX(CASHBACK_RULES!$K$5:$K$304,$AC548)),INDEX(CASHBACK_RULES!$K$5:$K$304,$AC548),"∞"),"")</f>
        <v/>
      </c>
      <c r="AB548" s="44" t="str">
        <f>IF(OR($B548="",$D548=""),"",IF($U548="Cancelled","Đã hủy",IF($AC548=0,"Không được hoàn",IF($Q548=0,IF(OR($O548&gt;0,$M548&lt;$L548),"Đã đạt cap","Không được hoàn"),IF(OR($Q548&lt;$O548,$M548&lt;$L548),"Hoàn một phần","Được hoàn")))))</f>
        <v/>
      </c>
      <c r="AC548" s="43">
        <f>IF(OR($B548="",$D548="",$I548="",$L548=""),0,IF($U548="Cancelled",0,IF($W548&lt;&gt;"",IFERROR(IF(INDEX(CASHBACK_RULES!$B$5:$B$304,MATCH($W548,CASHBACK_RULES!$A$5:$A$304,0))=$D548,MATCH($W548,CASHBACK_RULES!$A$5:$A$304,0),0),0),IFERROR(MATCH(1,INDEX((CASHBACK_RULES!$B$5:$B$304=$D548)*(CASHBACK_RULES!$G$5:$G$304=$I548)*(((CASHBACK_RULES!$N$5:$N$304="")+(CASHBACK_RULES!$N$5:$N$304&lt;=$B548))&gt;0)*(((CASHBACK_RULES!$O$5:$O$304="")+(CASHBACK_RULES!$O$5:$O$304&gt;=$B548))&gt;0)*(((CASHBACK_RULES!$M$5:$M$304="")+(CASHBACK_RULES!$M$5:$M$304&lt;=$L548))&gt;0),0),0),0))))</f>
        <v>0</v>
      </c>
      <c r="AD548" s="51" t="str">
        <f>IF(OR($B548="",$D548=""),"",IFERROR(IF(INDEX(CARDS!$H$5:$H$34,MATCH($D548,CARDS!$A$5:$A$34,0))="","",IF(DAY($B548)&lt;=INDEX(CARDS!$H$5:$H$34,MATCH($D548,CARDS!$A$5:$A$34,0)),DATE(YEAR($B548),MONTH($B548),MIN(INDEX(CARDS!$H$5:$H$34,MATCH($D548,CARDS!$A$5:$A$34,0)),DAY(EOMONTH($B548,0)))),DATE(YEAR($B548),MONTH($B548)+1,MIN(INDEX(CARDS!$H$5:$H$34,MATCH($D548,CARDS!$A$5:$A$34,0)),DAY(EOMONTH($B548,1)))))),""))</f>
        <v/>
      </c>
      <c r="AE548" s="52" t="str">
        <f>IF($C548="","",$C548&amp;"|"&amp;COUNTIF($C$5:$C548,$C548))</f>
        <v/>
      </c>
      <c r="AF548" s="53">
        <f>IF($AC548&gt;0,SUMIFS(Q$4:Q547,$D$4:$D547,$D548,$Z$4:$Z547,$Z548,$C$4:$C547,$C548),0)</f>
        <v>0</v>
      </c>
      <c r="AG548" s="53">
        <f>IF($AC548&gt;0,SUMIFS(Q$4:Q547,$D$4:$D547,$D548,$C$4:$C547,$C548),0)</f>
        <v>0</v>
      </c>
      <c r="AH548" s="53">
        <f>IF($AC548&gt;0,SUMIFS(M$4:M547,$D$4:$D547,$D548,$Z$4:$Z547,$Z548,$C$4:$C547,$C548),0)</f>
        <v>0</v>
      </c>
      <c r="AI548" s="43">
        <f>IF(OR($C548="",$I548=""),0,IF(COUNTIFS($C$5:$C548,$C548,$I$5:$I548,$I548)=1,1,0))</f>
        <v>0</v>
      </c>
      <c r="AJ548" s="43" t="str">
        <f>IF($AI548=1,SUMIFS($AI$4:$AI547,$C$4:$C547,$C548)+1,"")</f>
        <v/>
      </c>
      <c r="AK548" s="43">
        <f>IF(OR($C548="",$K548=""),0,IF(COUNTIFS($C$5:$C548,$C548,$K$5:$K548,$K548)=1,1,0))</f>
        <v>0</v>
      </c>
      <c r="AL548" s="43" t="str">
        <f>IF($AK548=1,SUMIFS($AK$4:$AK547,$C$4:$C547,$C548)+1,"")</f>
        <v/>
      </c>
      <c r="AM548" s="43">
        <f>IF(OR($C548="",$G548=""),0,IF(COUNTIFS($C$5:$C548,$C548,$G$5:$G548,$G548)=1,1,0))</f>
        <v>0</v>
      </c>
      <c r="AN548" s="43" t="str">
        <f>IF($AM548=1,SUMIFS($AM$4:$AM547,$C$4:$C547,$C548)+1,"")</f>
        <v/>
      </c>
    </row>
    <row r="549">
      <c r="A549" s="44" t="str">
        <f>IF(OR($B549="",$D549=""),"","TX"&amp;TEXT(ROW()-4,"0000"))</f>
        <v/>
      </c>
      <c r="B549" s="42" t="n"/>
      <c r="C549" s="47" t="str">
        <f>IF($B549="","",YEAR($B549)*100+MONTH($B549))</f>
        <v/>
      </c>
      <c r="D549" s="37" t="n"/>
      <c r="E549" s="45" t="str">
        <f>IF($D549="","",IFERROR(INDEX(CARDS!$B$5:$B$34,MATCH($D549,CARDS!$A$5:$A$34,0)),"⚠ Card ID?"))</f>
        <v/>
      </c>
      <c r="F549" s="45" t="str">
        <f>IF($D549="","",IFERROR(INDEX(CARDS!$C$5:$C$34,MATCH($D549,CARDS!$A$5:$A$34,0)),"⚠ Card ID?"))</f>
        <v/>
      </c>
      <c r="G549" s="37" t="n"/>
      <c r="H549" s="37" t="n"/>
      <c r="I549" s="41" t="n"/>
      <c r="J549" s="45" t="str">
        <f>IF($I549="","",IFERROR(INDEX(MCC_MASTER!$B$5:$B$504,MATCH($I549,MCC_MASTER!$A$5:$A$504,0)),"⚠ MCC chưa có"))</f>
        <v/>
      </c>
      <c r="K549" s="45" t="str">
        <f>IF($I549="","",IFERROR(IF(INDEX(MCC_MASTER!$C$5:$C$504,MATCH($I549,MCC_MASTER!$A$5:$A$504,0))="","Chưa phân loại",INDEX(MCC_MASTER!$C$5:$C$504,MATCH($I549,MCC_MASTER!$A$5:$A$504,0))),"Chưa phân loại"))</f>
        <v/>
      </c>
      <c r="L549" s="40" t="n"/>
      <c r="M549" s="48" t="str">
        <f>IF(OR($B549="",$D549=""),"",IF($AC549=0,0,IF(ISNUMBER(INDEX(CASHBACK_RULES!$L$5:$L$304,$AC549)),MAX(0,MIN($L549,INDEX(CASHBACK_RULES!$L$5:$L$304,$AC549)-$AH549)),MAX(0,$L549))))</f>
        <v/>
      </c>
      <c r="N549" s="49" t="str">
        <f>IF(OR($B549="",$D549=""),"",IF($AC549&gt;0,INDEX(CASHBACK_RULES!$I$5:$I$304,$AC549),0))</f>
        <v/>
      </c>
      <c r="O549" s="48" t="str">
        <f>IF(OR($B549="",$D549=""),"",ROUND($M549*$N549,0))</f>
        <v/>
      </c>
      <c r="P549" s="48" t="str">
        <f>IF($AC549&gt;0,IF(ISNUMBER(INDEX(CASHBACK_RULES!$J$5:$J$304,$AC549)),INDEX(CASHBACK_RULES!$J$5:$J$304,$AC549),"∞"),"")</f>
        <v/>
      </c>
      <c r="Q549" s="48" t="str">
        <f>IF(OR($B549="",$D549=""),"",IF($AC549=0,0,MAX(0,MIN($O549,IF(ISNUMBER($P549),$P549-$AF549,1E+15),IF(ISNUMBER($AA549),$AA549-$AG549,1E+15)))))</f>
        <v/>
      </c>
      <c r="R549" s="48" t="str">
        <f>IF(OR($B549="",$D549=""),"",IF($AC549=0,"",IF(AND(NOT(ISNUMBER($P549)),NOT(ISNUMBER($AA549))),"∞",MAX(0,MIN(IF(ISNUMBER($P549),$P549-$AF549-$Q549,1E+15),IF(ISNUMBER($AA549),$AA549-$AG549-$Q549,1E+15))))))</f>
        <v/>
      </c>
      <c r="S549" s="47" t="str">
        <f>IF($AD549="","",YEAR($AD549)*100+MONTH($AD549))</f>
        <v/>
      </c>
      <c r="T549" s="50" t="str">
        <f>IF($AD549="","",IFERROR(IF(INDEX(CARDS!$I$5:$I$34,MATCH($D549,CARDS!$A$5:$A$34,0))="","",IF(INDEX(CARDS!$I$5:$I$34,MATCH($D549,CARDS!$A$5:$A$34,0))&gt;INDEX(CARDS!$H$5:$H$34,MATCH($D549,CARDS!$A$5:$A$34,0)),DATE(YEAR($AD549),MONTH($AD549),MIN(INDEX(CARDS!$I$5:$I$34,MATCH($D549,CARDS!$A$5:$A$34,0)),DAY(EOMONTH($AD549,0)))),DATE(YEAR($AD549),MONTH($AD549)+1,MIN(INDEX(CARDS!$I$5:$I$34,MATCH($D549,CARDS!$A$5:$A$34,0)),DAY(EOMONTH($AD549,1)))))),""))</f>
        <v/>
      </c>
      <c r="U549" s="38" t="n"/>
      <c r="V549" s="37" t="n"/>
      <c r="W549" s="38" t="n"/>
      <c r="X549" s="38" t="n"/>
      <c r="Y549" s="44" t="str">
        <f>IF($AC549&gt;0,INDEX(CASHBACK_RULES!$A$5:$A$304,$AC549),"")</f>
        <v/>
      </c>
      <c r="Z549" s="45" t="str">
        <f>IF($AC549&gt;0,INDEX(CASHBACK_RULES!$E$5:$E$304,$AC549)&amp;"","")</f>
        <v/>
      </c>
      <c r="AA549" s="48" t="str">
        <f>IF($AC549&gt;0,IF(ISNUMBER(INDEX(CASHBACK_RULES!$K$5:$K$304,$AC549)),INDEX(CASHBACK_RULES!$K$5:$K$304,$AC549),"∞"),"")</f>
        <v/>
      </c>
      <c r="AB549" s="44" t="str">
        <f>IF(OR($B549="",$D549=""),"",IF($U549="Cancelled","Đã hủy",IF($AC549=0,"Không được hoàn",IF($Q549=0,IF(OR($O549&gt;0,$M549&lt;$L549),"Đã đạt cap","Không được hoàn"),IF(OR($Q549&lt;$O549,$M549&lt;$L549),"Hoàn một phần","Được hoàn")))))</f>
        <v/>
      </c>
      <c r="AC549" s="43">
        <f>IF(OR($B549="",$D549="",$I549="",$L549=""),0,IF($U549="Cancelled",0,IF($W549&lt;&gt;"",IFERROR(IF(INDEX(CASHBACK_RULES!$B$5:$B$304,MATCH($W549,CASHBACK_RULES!$A$5:$A$304,0))=$D549,MATCH($W549,CASHBACK_RULES!$A$5:$A$304,0),0),0),IFERROR(MATCH(1,INDEX((CASHBACK_RULES!$B$5:$B$304=$D549)*(CASHBACK_RULES!$G$5:$G$304=$I549)*(((CASHBACK_RULES!$N$5:$N$304="")+(CASHBACK_RULES!$N$5:$N$304&lt;=$B549))&gt;0)*(((CASHBACK_RULES!$O$5:$O$304="")+(CASHBACK_RULES!$O$5:$O$304&gt;=$B549))&gt;0)*(((CASHBACK_RULES!$M$5:$M$304="")+(CASHBACK_RULES!$M$5:$M$304&lt;=$L549))&gt;0),0),0),0))))</f>
        <v>0</v>
      </c>
      <c r="AD549" s="51" t="str">
        <f>IF(OR($B549="",$D549=""),"",IFERROR(IF(INDEX(CARDS!$H$5:$H$34,MATCH($D549,CARDS!$A$5:$A$34,0))="","",IF(DAY($B549)&lt;=INDEX(CARDS!$H$5:$H$34,MATCH($D549,CARDS!$A$5:$A$34,0)),DATE(YEAR($B549),MONTH($B549),MIN(INDEX(CARDS!$H$5:$H$34,MATCH($D549,CARDS!$A$5:$A$34,0)),DAY(EOMONTH($B549,0)))),DATE(YEAR($B549),MONTH($B549)+1,MIN(INDEX(CARDS!$H$5:$H$34,MATCH($D549,CARDS!$A$5:$A$34,0)),DAY(EOMONTH($B549,1)))))),""))</f>
        <v/>
      </c>
      <c r="AE549" s="52" t="str">
        <f>IF($C549="","",$C549&amp;"|"&amp;COUNTIF($C$5:$C549,$C549))</f>
        <v/>
      </c>
      <c r="AF549" s="53">
        <f>IF($AC549&gt;0,SUMIFS(Q$4:Q548,$D$4:$D548,$D549,$Z$4:$Z548,$Z549,$C$4:$C548,$C549),0)</f>
        <v>0</v>
      </c>
      <c r="AG549" s="53">
        <f>IF($AC549&gt;0,SUMIFS(Q$4:Q548,$D$4:$D548,$D549,$C$4:$C548,$C549),0)</f>
        <v>0</v>
      </c>
      <c r="AH549" s="53">
        <f>IF($AC549&gt;0,SUMIFS(M$4:M548,$D$4:$D548,$D549,$Z$4:$Z548,$Z549,$C$4:$C548,$C549),0)</f>
        <v>0</v>
      </c>
      <c r="AI549" s="43">
        <f>IF(OR($C549="",$I549=""),0,IF(COUNTIFS($C$5:$C549,$C549,$I$5:$I549,$I549)=1,1,0))</f>
        <v>0</v>
      </c>
      <c r="AJ549" s="43" t="str">
        <f>IF($AI549=1,SUMIFS($AI$4:$AI548,$C$4:$C548,$C549)+1,"")</f>
        <v/>
      </c>
      <c r="AK549" s="43">
        <f>IF(OR($C549="",$K549=""),0,IF(COUNTIFS($C$5:$C549,$C549,$K$5:$K549,$K549)=1,1,0))</f>
        <v>0</v>
      </c>
      <c r="AL549" s="43" t="str">
        <f>IF($AK549=1,SUMIFS($AK$4:$AK548,$C$4:$C548,$C549)+1,"")</f>
        <v/>
      </c>
      <c r="AM549" s="43">
        <f>IF(OR($C549="",$G549=""),0,IF(COUNTIFS($C$5:$C549,$C549,$G$5:$G549,$G549)=1,1,0))</f>
        <v>0</v>
      </c>
      <c r="AN549" s="43" t="str">
        <f>IF($AM549=1,SUMIFS($AM$4:$AM548,$C$4:$C548,$C549)+1,"")</f>
        <v/>
      </c>
    </row>
    <row r="550">
      <c r="A550" s="44" t="str">
        <f>IF(OR($B550="",$D550=""),"","TX"&amp;TEXT(ROW()-4,"0000"))</f>
        <v/>
      </c>
      <c r="B550" s="42" t="n"/>
      <c r="C550" s="47" t="str">
        <f>IF($B550="","",YEAR($B550)*100+MONTH($B550))</f>
        <v/>
      </c>
      <c r="D550" s="37" t="n"/>
      <c r="E550" s="45" t="str">
        <f>IF($D550="","",IFERROR(INDEX(CARDS!$B$5:$B$34,MATCH($D550,CARDS!$A$5:$A$34,0)),"⚠ Card ID?"))</f>
        <v/>
      </c>
      <c r="F550" s="45" t="str">
        <f>IF($D550="","",IFERROR(INDEX(CARDS!$C$5:$C$34,MATCH($D550,CARDS!$A$5:$A$34,0)),"⚠ Card ID?"))</f>
        <v/>
      </c>
      <c r="G550" s="37" t="n"/>
      <c r="H550" s="37" t="n"/>
      <c r="I550" s="41" t="n"/>
      <c r="J550" s="45" t="str">
        <f>IF($I550="","",IFERROR(INDEX(MCC_MASTER!$B$5:$B$504,MATCH($I550,MCC_MASTER!$A$5:$A$504,0)),"⚠ MCC chưa có"))</f>
        <v/>
      </c>
      <c r="K550" s="45" t="str">
        <f>IF($I550="","",IFERROR(IF(INDEX(MCC_MASTER!$C$5:$C$504,MATCH($I550,MCC_MASTER!$A$5:$A$504,0))="","Chưa phân loại",INDEX(MCC_MASTER!$C$5:$C$504,MATCH($I550,MCC_MASTER!$A$5:$A$504,0))),"Chưa phân loại"))</f>
        <v/>
      </c>
      <c r="L550" s="40" t="n"/>
      <c r="M550" s="48" t="str">
        <f>IF(OR($B550="",$D550=""),"",IF($AC550=0,0,IF(ISNUMBER(INDEX(CASHBACK_RULES!$L$5:$L$304,$AC550)),MAX(0,MIN($L550,INDEX(CASHBACK_RULES!$L$5:$L$304,$AC550)-$AH550)),MAX(0,$L550))))</f>
        <v/>
      </c>
      <c r="N550" s="49" t="str">
        <f>IF(OR($B550="",$D550=""),"",IF($AC550&gt;0,INDEX(CASHBACK_RULES!$I$5:$I$304,$AC550),0))</f>
        <v/>
      </c>
      <c r="O550" s="48" t="str">
        <f>IF(OR($B550="",$D550=""),"",ROUND($M550*$N550,0))</f>
        <v/>
      </c>
      <c r="P550" s="48" t="str">
        <f>IF($AC550&gt;0,IF(ISNUMBER(INDEX(CASHBACK_RULES!$J$5:$J$304,$AC550)),INDEX(CASHBACK_RULES!$J$5:$J$304,$AC550),"∞"),"")</f>
        <v/>
      </c>
      <c r="Q550" s="48" t="str">
        <f>IF(OR($B550="",$D550=""),"",IF($AC550=0,0,MAX(0,MIN($O550,IF(ISNUMBER($P550),$P550-$AF550,1E+15),IF(ISNUMBER($AA550),$AA550-$AG550,1E+15)))))</f>
        <v/>
      </c>
      <c r="R550" s="48" t="str">
        <f>IF(OR($B550="",$D550=""),"",IF($AC550=0,"",IF(AND(NOT(ISNUMBER($P550)),NOT(ISNUMBER($AA550))),"∞",MAX(0,MIN(IF(ISNUMBER($P550),$P550-$AF550-$Q550,1E+15),IF(ISNUMBER($AA550),$AA550-$AG550-$Q550,1E+15))))))</f>
        <v/>
      </c>
      <c r="S550" s="47" t="str">
        <f>IF($AD550="","",YEAR($AD550)*100+MONTH($AD550))</f>
        <v/>
      </c>
      <c r="T550" s="50" t="str">
        <f>IF($AD550="","",IFERROR(IF(INDEX(CARDS!$I$5:$I$34,MATCH($D550,CARDS!$A$5:$A$34,0))="","",IF(INDEX(CARDS!$I$5:$I$34,MATCH($D550,CARDS!$A$5:$A$34,0))&gt;INDEX(CARDS!$H$5:$H$34,MATCH($D550,CARDS!$A$5:$A$34,0)),DATE(YEAR($AD550),MONTH($AD550),MIN(INDEX(CARDS!$I$5:$I$34,MATCH($D550,CARDS!$A$5:$A$34,0)),DAY(EOMONTH($AD550,0)))),DATE(YEAR($AD550),MONTH($AD550)+1,MIN(INDEX(CARDS!$I$5:$I$34,MATCH($D550,CARDS!$A$5:$A$34,0)),DAY(EOMONTH($AD550,1)))))),""))</f>
        <v/>
      </c>
      <c r="U550" s="38" t="n"/>
      <c r="V550" s="37" t="n"/>
      <c r="W550" s="38" t="n"/>
      <c r="X550" s="38" t="n"/>
      <c r="Y550" s="44" t="str">
        <f>IF($AC550&gt;0,INDEX(CASHBACK_RULES!$A$5:$A$304,$AC550),"")</f>
        <v/>
      </c>
      <c r="Z550" s="45" t="str">
        <f>IF($AC550&gt;0,INDEX(CASHBACK_RULES!$E$5:$E$304,$AC550)&amp;"","")</f>
        <v/>
      </c>
      <c r="AA550" s="48" t="str">
        <f>IF($AC550&gt;0,IF(ISNUMBER(INDEX(CASHBACK_RULES!$K$5:$K$304,$AC550)),INDEX(CASHBACK_RULES!$K$5:$K$304,$AC550),"∞"),"")</f>
        <v/>
      </c>
      <c r="AB550" s="44" t="str">
        <f>IF(OR($B550="",$D550=""),"",IF($U550="Cancelled","Đã hủy",IF($AC550=0,"Không được hoàn",IF($Q550=0,IF(OR($O550&gt;0,$M550&lt;$L550),"Đã đạt cap","Không được hoàn"),IF(OR($Q550&lt;$O550,$M550&lt;$L550),"Hoàn một phần","Được hoàn")))))</f>
        <v/>
      </c>
      <c r="AC550" s="43">
        <f>IF(OR($B550="",$D550="",$I550="",$L550=""),0,IF($U550="Cancelled",0,IF($W550&lt;&gt;"",IFERROR(IF(INDEX(CASHBACK_RULES!$B$5:$B$304,MATCH($W550,CASHBACK_RULES!$A$5:$A$304,0))=$D550,MATCH($W550,CASHBACK_RULES!$A$5:$A$304,0),0),0),IFERROR(MATCH(1,INDEX((CASHBACK_RULES!$B$5:$B$304=$D550)*(CASHBACK_RULES!$G$5:$G$304=$I550)*(((CASHBACK_RULES!$N$5:$N$304="")+(CASHBACK_RULES!$N$5:$N$304&lt;=$B550))&gt;0)*(((CASHBACK_RULES!$O$5:$O$304="")+(CASHBACK_RULES!$O$5:$O$304&gt;=$B550))&gt;0)*(((CASHBACK_RULES!$M$5:$M$304="")+(CASHBACK_RULES!$M$5:$M$304&lt;=$L550))&gt;0),0),0),0))))</f>
        <v>0</v>
      </c>
      <c r="AD550" s="51" t="str">
        <f>IF(OR($B550="",$D550=""),"",IFERROR(IF(INDEX(CARDS!$H$5:$H$34,MATCH($D550,CARDS!$A$5:$A$34,0))="","",IF(DAY($B550)&lt;=INDEX(CARDS!$H$5:$H$34,MATCH($D550,CARDS!$A$5:$A$34,0)),DATE(YEAR($B550),MONTH($B550),MIN(INDEX(CARDS!$H$5:$H$34,MATCH($D550,CARDS!$A$5:$A$34,0)),DAY(EOMONTH($B550,0)))),DATE(YEAR($B550),MONTH($B550)+1,MIN(INDEX(CARDS!$H$5:$H$34,MATCH($D550,CARDS!$A$5:$A$34,0)),DAY(EOMONTH($B550,1)))))),""))</f>
        <v/>
      </c>
      <c r="AE550" s="52" t="str">
        <f>IF($C550="","",$C550&amp;"|"&amp;COUNTIF($C$5:$C550,$C550))</f>
        <v/>
      </c>
      <c r="AF550" s="53">
        <f>IF($AC550&gt;0,SUMIFS(Q$4:Q549,$D$4:$D549,$D550,$Z$4:$Z549,$Z550,$C$4:$C549,$C550),0)</f>
        <v>0</v>
      </c>
      <c r="AG550" s="53">
        <f>IF($AC550&gt;0,SUMIFS(Q$4:Q549,$D$4:$D549,$D550,$C$4:$C549,$C550),0)</f>
        <v>0</v>
      </c>
      <c r="AH550" s="53">
        <f>IF($AC550&gt;0,SUMIFS(M$4:M549,$D$4:$D549,$D550,$Z$4:$Z549,$Z550,$C$4:$C549,$C550),0)</f>
        <v>0</v>
      </c>
      <c r="AI550" s="43">
        <f>IF(OR($C550="",$I550=""),0,IF(COUNTIFS($C$5:$C550,$C550,$I$5:$I550,$I550)=1,1,0))</f>
        <v>0</v>
      </c>
      <c r="AJ550" s="43" t="str">
        <f>IF($AI550=1,SUMIFS($AI$4:$AI549,$C$4:$C549,$C550)+1,"")</f>
        <v/>
      </c>
      <c r="AK550" s="43">
        <f>IF(OR($C550="",$K550=""),0,IF(COUNTIFS($C$5:$C550,$C550,$K$5:$K550,$K550)=1,1,0))</f>
        <v>0</v>
      </c>
      <c r="AL550" s="43" t="str">
        <f>IF($AK550=1,SUMIFS($AK$4:$AK549,$C$4:$C549,$C550)+1,"")</f>
        <v/>
      </c>
      <c r="AM550" s="43">
        <f>IF(OR($C550="",$G550=""),0,IF(COUNTIFS($C$5:$C550,$C550,$G$5:$G550,$G550)=1,1,0))</f>
        <v>0</v>
      </c>
      <c r="AN550" s="43" t="str">
        <f>IF($AM550=1,SUMIFS($AM$4:$AM549,$C$4:$C549,$C550)+1,"")</f>
        <v/>
      </c>
    </row>
    <row r="551">
      <c r="A551" s="44" t="str">
        <f>IF(OR($B551="",$D551=""),"","TX"&amp;TEXT(ROW()-4,"0000"))</f>
        <v/>
      </c>
      <c r="B551" s="42" t="n"/>
      <c r="C551" s="47" t="str">
        <f>IF($B551="","",YEAR($B551)*100+MONTH($B551))</f>
        <v/>
      </c>
      <c r="D551" s="37" t="n"/>
      <c r="E551" s="45" t="str">
        <f>IF($D551="","",IFERROR(INDEX(CARDS!$B$5:$B$34,MATCH($D551,CARDS!$A$5:$A$34,0)),"⚠ Card ID?"))</f>
        <v/>
      </c>
      <c r="F551" s="45" t="str">
        <f>IF($D551="","",IFERROR(INDEX(CARDS!$C$5:$C$34,MATCH($D551,CARDS!$A$5:$A$34,0)),"⚠ Card ID?"))</f>
        <v/>
      </c>
      <c r="G551" s="37" t="n"/>
      <c r="H551" s="37" t="n"/>
      <c r="I551" s="41" t="n"/>
      <c r="J551" s="45" t="str">
        <f>IF($I551="","",IFERROR(INDEX(MCC_MASTER!$B$5:$B$504,MATCH($I551,MCC_MASTER!$A$5:$A$504,0)),"⚠ MCC chưa có"))</f>
        <v/>
      </c>
      <c r="K551" s="45" t="str">
        <f>IF($I551="","",IFERROR(IF(INDEX(MCC_MASTER!$C$5:$C$504,MATCH($I551,MCC_MASTER!$A$5:$A$504,0))="","Chưa phân loại",INDEX(MCC_MASTER!$C$5:$C$504,MATCH($I551,MCC_MASTER!$A$5:$A$504,0))),"Chưa phân loại"))</f>
        <v/>
      </c>
      <c r="L551" s="40" t="n"/>
      <c r="M551" s="48" t="str">
        <f>IF(OR($B551="",$D551=""),"",IF($AC551=0,0,IF(ISNUMBER(INDEX(CASHBACK_RULES!$L$5:$L$304,$AC551)),MAX(0,MIN($L551,INDEX(CASHBACK_RULES!$L$5:$L$304,$AC551)-$AH551)),MAX(0,$L551))))</f>
        <v/>
      </c>
      <c r="N551" s="49" t="str">
        <f>IF(OR($B551="",$D551=""),"",IF($AC551&gt;0,INDEX(CASHBACK_RULES!$I$5:$I$304,$AC551),0))</f>
        <v/>
      </c>
      <c r="O551" s="48" t="str">
        <f>IF(OR($B551="",$D551=""),"",ROUND($M551*$N551,0))</f>
        <v/>
      </c>
      <c r="P551" s="48" t="str">
        <f>IF($AC551&gt;0,IF(ISNUMBER(INDEX(CASHBACK_RULES!$J$5:$J$304,$AC551)),INDEX(CASHBACK_RULES!$J$5:$J$304,$AC551),"∞"),"")</f>
        <v/>
      </c>
      <c r="Q551" s="48" t="str">
        <f>IF(OR($B551="",$D551=""),"",IF($AC551=0,0,MAX(0,MIN($O551,IF(ISNUMBER($P551),$P551-$AF551,1E+15),IF(ISNUMBER($AA551),$AA551-$AG551,1E+15)))))</f>
        <v/>
      </c>
      <c r="R551" s="48" t="str">
        <f>IF(OR($B551="",$D551=""),"",IF($AC551=0,"",IF(AND(NOT(ISNUMBER($P551)),NOT(ISNUMBER($AA551))),"∞",MAX(0,MIN(IF(ISNUMBER($P551),$P551-$AF551-$Q551,1E+15),IF(ISNUMBER($AA551),$AA551-$AG551-$Q551,1E+15))))))</f>
        <v/>
      </c>
      <c r="S551" s="47" t="str">
        <f>IF($AD551="","",YEAR($AD551)*100+MONTH($AD551))</f>
        <v/>
      </c>
      <c r="T551" s="50" t="str">
        <f>IF($AD551="","",IFERROR(IF(INDEX(CARDS!$I$5:$I$34,MATCH($D551,CARDS!$A$5:$A$34,0))="","",IF(INDEX(CARDS!$I$5:$I$34,MATCH($D551,CARDS!$A$5:$A$34,0))&gt;INDEX(CARDS!$H$5:$H$34,MATCH($D551,CARDS!$A$5:$A$34,0)),DATE(YEAR($AD551),MONTH($AD551),MIN(INDEX(CARDS!$I$5:$I$34,MATCH($D551,CARDS!$A$5:$A$34,0)),DAY(EOMONTH($AD551,0)))),DATE(YEAR($AD551),MONTH($AD551)+1,MIN(INDEX(CARDS!$I$5:$I$34,MATCH($D551,CARDS!$A$5:$A$34,0)),DAY(EOMONTH($AD551,1)))))),""))</f>
        <v/>
      </c>
      <c r="U551" s="38" t="n"/>
      <c r="V551" s="37" t="n"/>
      <c r="W551" s="38" t="n"/>
      <c r="X551" s="38" t="n"/>
      <c r="Y551" s="44" t="str">
        <f>IF($AC551&gt;0,INDEX(CASHBACK_RULES!$A$5:$A$304,$AC551),"")</f>
        <v/>
      </c>
      <c r="Z551" s="45" t="str">
        <f>IF($AC551&gt;0,INDEX(CASHBACK_RULES!$E$5:$E$304,$AC551)&amp;"","")</f>
        <v/>
      </c>
      <c r="AA551" s="48" t="str">
        <f>IF($AC551&gt;0,IF(ISNUMBER(INDEX(CASHBACK_RULES!$K$5:$K$304,$AC551)),INDEX(CASHBACK_RULES!$K$5:$K$304,$AC551),"∞"),"")</f>
        <v/>
      </c>
      <c r="AB551" s="44" t="str">
        <f>IF(OR($B551="",$D551=""),"",IF($U551="Cancelled","Đã hủy",IF($AC551=0,"Không được hoàn",IF($Q551=0,IF(OR($O551&gt;0,$M551&lt;$L551),"Đã đạt cap","Không được hoàn"),IF(OR($Q551&lt;$O551,$M551&lt;$L551),"Hoàn một phần","Được hoàn")))))</f>
        <v/>
      </c>
      <c r="AC551" s="43">
        <f>IF(OR($B551="",$D551="",$I551="",$L551=""),0,IF($U551="Cancelled",0,IF($W551&lt;&gt;"",IFERROR(IF(INDEX(CASHBACK_RULES!$B$5:$B$304,MATCH($W551,CASHBACK_RULES!$A$5:$A$304,0))=$D551,MATCH($W551,CASHBACK_RULES!$A$5:$A$304,0),0),0),IFERROR(MATCH(1,INDEX((CASHBACK_RULES!$B$5:$B$304=$D551)*(CASHBACK_RULES!$G$5:$G$304=$I551)*(((CASHBACK_RULES!$N$5:$N$304="")+(CASHBACK_RULES!$N$5:$N$304&lt;=$B551))&gt;0)*(((CASHBACK_RULES!$O$5:$O$304="")+(CASHBACK_RULES!$O$5:$O$304&gt;=$B551))&gt;0)*(((CASHBACK_RULES!$M$5:$M$304="")+(CASHBACK_RULES!$M$5:$M$304&lt;=$L551))&gt;0),0),0),0))))</f>
        <v>0</v>
      </c>
      <c r="AD551" s="51" t="str">
        <f>IF(OR($B551="",$D551=""),"",IFERROR(IF(INDEX(CARDS!$H$5:$H$34,MATCH($D551,CARDS!$A$5:$A$34,0))="","",IF(DAY($B551)&lt;=INDEX(CARDS!$H$5:$H$34,MATCH($D551,CARDS!$A$5:$A$34,0)),DATE(YEAR($B551),MONTH($B551),MIN(INDEX(CARDS!$H$5:$H$34,MATCH($D551,CARDS!$A$5:$A$34,0)),DAY(EOMONTH($B551,0)))),DATE(YEAR($B551),MONTH($B551)+1,MIN(INDEX(CARDS!$H$5:$H$34,MATCH($D551,CARDS!$A$5:$A$34,0)),DAY(EOMONTH($B551,1)))))),""))</f>
        <v/>
      </c>
      <c r="AE551" s="52" t="str">
        <f>IF($C551="","",$C551&amp;"|"&amp;COUNTIF($C$5:$C551,$C551))</f>
        <v/>
      </c>
      <c r="AF551" s="53">
        <f>IF($AC551&gt;0,SUMIFS(Q$4:Q550,$D$4:$D550,$D551,$Z$4:$Z550,$Z551,$C$4:$C550,$C551),0)</f>
        <v>0</v>
      </c>
      <c r="AG551" s="53">
        <f>IF($AC551&gt;0,SUMIFS(Q$4:Q550,$D$4:$D550,$D551,$C$4:$C550,$C551),0)</f>
        <v>0</v>
      </c>
      <c r="AH551" s="53">
        <f>IF($AC551&gt;0,SUMIFS(M$4:M550,$D$4:$D550,$D551,$Z$4:$Z550,$Z551,$C$4:$C550,$C551),0)</f>
        <v>0</v>
      </c>
      <c r="AI551" s="43">
        <f>IF(OR($C551="",$I551=""),0,IF(COUNTIFS($C$5:$C551,$C551,$I$5:$I551,$I551)=1,1,0))</f>
        <v>0</v>
      </c>
      <c r="AJ551" s="43" t="str">
        <f>IF($AI551=1,SUMIFS($AI$4:$AI550,$C$4:$C550,$C551)+1,"")</f>
        <v/>
      </c>
      <c r="AK551" s="43">
        <f>IF(OR($C551="",$K551=""),0,IF(COUNTIFS($C$5:$C551,$C551,$K$5:$K551,$K551)=1,1,0))</f>
        <v>0</v>
      </c>
      <c r="AL551" s="43" t="str">
        <f>IF($AK551=1,SUMIFS($AK$4:$AK550,$C$4:$C550,$C551)+1,"")</f>
        <v/>
      </c>
      <c r="AM551" s="43">
        <f>IF(OR($C551="",$G551=""),0,IF(COUNTIFS($C$5:$C551,$C551,$G$5:$G551,$G551)=1,1,0))</f>
        <v>0</v>
      </c>
      <c r="AN551" s="43" t="str">
        <f>IF($AM551=1,SUMIFS($AM$4:$AM550,$C$4:$C550,$C551)+1,"")</f>
        <v/>
      </c>
    </row>
    <row r="552">
      <c r="A552" s="44" t="str">
        <f>IF(OR($B552="",$D552=""),"","TX"&amp;TEXT(ROW()-4,"0000"))</f>
        <v/>
      </c>
      <c r="B552" s="42" t="n"/>
      <c r="C552" s="47" t="str">
        <f>IF($B552="","",YEAR($B552)*100+MONTH($B552))</f>
        <v/>
      </c>
      <c r="D552" s="37" t="n"/>
      <c r="E552" s="45" t="str">
        <f>IF($D552="","",IFERROR(INDEX(CARDS!$B$5:$B$34,MATCH($D552,CARDS!$A$5:$A$34,0)),"⚠ Card ID?"))</f>
        <v/>
      </c>
      <c r="F552" s="45" t="str">
        <f>IF($D552="","",IFERROR(INDEX(CARDS!$C$5:$C$34,MATCH($D552,CARDS!$A$5:$A$34,0)),"⚠ Card ID?"))</f>
        <v/>
      </c>
      <c r="G552" s="37" t="n"/>
      <c r="H552" s="37" t="n"/>
      <c r="I552" s="41" t="n"/>
      <c r="J552" s="45" t="str">
        <f>IF($I552="","",IFERROR(INDEX(MCC_MASTER!$B$5:$B$504,MATCH($I552,MCC_MASTER!$A$5:$A$504,0)),"⚠ MCC chưa có"))</f>
        <v/>
      </c>
      <c r="K552" s="45" t="str">
        <f>IF($I552="","",IFERROR(IF(INDEX(MCC_MASTER!$C$5:$C$504,MATCH($I552,MCC_MASTER!$A$5:$A$504,0))="","Chưa phân loại",INDEX(MCC_MASTER!$C$5:$C$504,MATCH($I552,MCC_MASTER!$A$5:$A$504,0))),"Chưa phân loại"))</f>
        <v/>
      </c>
      <c r="L552" s="40" t="n"/>
      <c r="M552" s="48" t="str">
        <f>IF(OR($B552="",$D552=""),"",IF($AC552=0,0,IF(ISNUMBER(INDEX(CASHBACK_RULES!$L$5:$L$304,$AC552)),MAX(0,MIN($L552,INDEX(CASHBACK_RULES!$L$5:$L$304,$AC552)-$AH552)),MAX(0,$L552))))</f>
        <v/>
      </c>
      <c r="N552" s="49" t="str">
        <f>IF(OR($B552="",$D552=""),"",IF($AC552&gt;0,INDEX(CASHBACK_RULES!$I$5:$I$304,$AC552),0))</f>
        <v/>
      </c>
      <c r="O552" s="48" t="str">
        <f>IF(OR($B552="",$D552=""),"",ROUND($M552*$N552,0))</f>
        <v/>
      </c>
      <c r="P552" s="48" t="str">
        <f>IF($AC552&gt;0,IF(ISNUMBER(INDEX(CASHBACK_RULES!$J$5:$J$304,$AC552)),INDEX(CASHBACK_RULES!$J$5:$J$304,$AC552),"∞"),"")</f>
        <v/>
      </c>
      <c r="Q552" s="48" t="str">
        <f>IF(OR($B552="",$D552=""),"",IF($AC552=0,0,MAX(0,MIN($O552,IF(ISNUMBER($P552),$P552-$AF552,1E+15),IF(ISNUMBER($AA552),$AA552-$AG552,1E+15)))))</f>
        <v/>
      </c>
      <c r="R552" s="48" t="str">
        <f>IF(OR($B552="",$D552=""),"",IF($AC552=0,"",IF(AND(NOT(ISNUMBER($P552)),NOT(ISNUMBER($AA552))),"∞",MAX(0,MIN(IF(ISNUMBER($P552),$P552-$AF552-$Q552,1E+15),IF(ISNUMBER($AA552),$AA552-$AG552-$Q552,1E+15))))))</f>
        <v/>
      </c>
      <c r="S552" s="47" t="str">
        <f>IF($AD552="","",YEAR($AD552)*100+MONTH($AD552))</f>
        <v/>
      </c>
      <c r="T552" s="50" t="str">
        <f>IF($AD552="","",IFERROR(IF(INDEX(CARDS!$I$5:$I$34,MATCH($D552,CARDS!$A$5:$A$34,0))="","",IF(INDEX(CARDS!$I$5:$I$34,MATCH($D552,CARDS!$A$5:$A$34,0))&gt;INDEX(CARDS!$H$5:$H$34,MATCH($D552,CARDS!$A$5:$A$34,0)),DATE(YEAR($AD552),MONTH($AD552),MIN(INDEX(CARDS!$I$5:$I$34,MATCH($D552,CARDS!$A$5:$A$34,0)),DAY(EOMONTH($AD552,0)))),DATE(YEAR($AD552),MONTH($AD552)+1,MIN(INDEX(CARDS!$I$5:$I$34,MATCH($D552,CARDS!$A$5:$A$34,0)),DAY(EOMONTH($AD552,1)))))),""))</f>
        <v/>
      </c>
      <c r="U552" s="38" t="n"/>
      <c r="V552" s="37" t="n"/>
      <c r="W552" s="38" t="n"/>
      <c r="X552" s="38" t="n"/>
      <c r="Y552" s="44" t="str">
        <f>IF($AC552&gt;0,INDEX(CASHBACK_RULES!$A$5:$A$304,$AC552),"")</f>
        <v/>
      </c>
      <c r="Z552" s="45" t="str">
        <f>IF($AC552&gt;0,INDEX(CASHBACK_RULES!$E$5:$E$304,$AC552)&amp;"","")</f>
        <v/>
      </c>
      <c r="AA552" s="48" t="str">
        <f>IF($AC552&gt;0,IF(ISNUMBER(INDEX(CASHBACK_RULES!$K$5:$K$304,$AC552)),INDEX(CASHBACK_RULES!$K$5:$K$304,$AC552),"∞"),"")</f>
        <v/>
      </c>
      <c r="AB552" s="44" t="str">
        <f>IF(OR($B552="",$D552=""),"",IF($U552="Cancelled","Đã hủy",IF($AC552=0,"Không được hoàn",IF($Q552=0,IF(OR($O552&gt;0,$M552&lt;$L552),"Đã đạt cap","Không được hoàn"),IF(OR($Q552&lt;$O552,$M552&lt;$L552),"Hoàn một phần","Được hoàn")))))</f>
        <v/>
      </c>
      <c r="AC552" s="43">
        <f>IF(OR($B552="",$D552="",$I552="",$L552=""),0,IF($U552="Cancelled",0,IF($W552&lt;&gt;"",IFERROR(IF(INDEX(CASHBACK_RULES!$B$5:$B$304,MATCH($W552,CASHBACK_RULES!$A$5:$A$304,0))=$D552,MATCH($W552,CASHBACK_RULES!$A$5:$A$304,0),0),0),IFERROR(MATCH(1,INDEX((CASHBACK_RULES!$B$5:$B$304=$D552)*(CASHBACK_RULES!$G$5:$G$304=$I552)*(((CASHBACK_RULES!$N$5:$N$304="")+(CASHBACK_RULES!$N$5:$N$304&lt;=$B552))&gt;0)*(((CASHBACK_RULES!$O$5:$O$304="")+(CASHBACK_RULES!$O$5:$O$304&gt;=$B552))&gt;0)*(((CASHBACK_RULES!$M$5:$M$304="")+(CASHBACK_RULES!$M$5:$M$304&lt;=$L552))&gt;0),0),0),0))))</f>
        <v>0</v>
      </c>
      <c r="AD552" s="51" t="str">
        <f>IF(OR($B552="",$D552=""),"",IFERROR(IF(INDEX(CARDS!$H$5:$H$34,MATCH($D552,CARDS!$A$5:$A$34,0))="","",IF(DAY($B552)&lt;=INDEX(CARDS!$H$5:$H$34,MATCH($D552,CARDS!$A$5:$A$34,0)),DATE(YEAR($B552),MONTH($B552),MIN(INDEX(CARDS!$H$5:$H$34,MATCH($D552,CARDS!$A$5:$A$34,0)),DAY(EOMONTH($B552,0)))),DATE(YEAR($B552),MONTH($B552)+1,MIN(INDEX(CARDS!$H$5:$H$34,MATCH($D552,CARDS!$A$5:$A$34,0)),DAY(EOMONTH($B552,1)))))),""))</f>
        <v/>
      </c>
      <c r="AE552" s="52" t="str">
        <f>IF($C552="","",$C552&amp;"|"&amp;COUNTIF($C$5:$C552,$C552))</f>
        <v/>
      </c>
      <c r="AF552" s="53">
        <f>IF($AC552&gt;0,SUMIFS(Q$4:Q551,$D$4:$D551,$D552,$Z$4:$Z551,$Z552,$C$4:$C551,$C552),0)</f>
        <v>0</v>
      </c>
      <c r="AG552" s="53">
        <f>IF($AC552&gt;0,SUMIFS(Q$4:Q551,$D$4:$D551,$D552,$C$4:$C551,$C552),0)</f>
        <v>0</v>
      </c>
      <c r="AH552" s="53">
        <f>IF($AC552&gt;0,SUMIFS(M$4:M551,$D$4:$D551,$D552,$Z$4:$Z551,$Z552,$C$4:$C551,$C552),0)</f>
        <v>0</v>
      </c>
      <c r="AI552" s="43">
        <f>IF(OR($C552="",$I552=""),0,IF(COUNTIFS($C$5:$C552,$C552,$I$5:$I552,$I552)=1,1,0))</f>
        <v>0</v>
      </c>
      <c r="AJ552" s="43" t="str">
        <f>IF($AI552=1,SUMIFS($AI$4:$AI551,$C$4:$C551,$C552)+1,"")</f>
        <v/>
      </c>
      <c r="AK552" s="43">
        <f>IF(OR($C552="",$K552=""),0,IF(COUNTIFS($C$5:$C552,$C552,$K$5:$K552,$K552)=1,1,0))</f>
        <v>0</v>
      </c>
      <c r="AL552" s="43" t="str">
        <f>IF($AK552=1,SUMIFS($AK$4:$AK551,$C$4:$C551,$C552)+1,"")</f>
        <v/>
      </c>
      <c r="AM552" s="43">
        <f>IF(OR($C552="",$G552=""),0,IF(COUNTIFS($C$5:$C552,$C552,$G$5:$G552,$G552)=1,1,0))</f>
        <v>0</v>
      </c>
      <c r="AN552" s="43" t="str">
        <f>IF($AM552=1,SUMIFS($AM$4:$AM551,$C$4:$C551,$C552)+1,"")</f>
        <v/>
      </c>
    </row>
    <row r="553">
      <c r="A553" s="44" t="str">
        <f>IF(OR($B553="",$D553=""),"","TX"&amp;TEXT(ROW()-4,"0000"))</f>
        <v/>
      </c>
      <c r="B553" s="42" t="n"/>
      <c r="C553" s="47" t="str">
        <f>IF($B553="","",YEAR($B553)*100+MONTH($B553))</f>
        <v/>
      </c>
      <c r="D553" s="37" t="n"/>
      <c r="E553" s="45" t="str">
        <f>IF($D553="","",IFERROR(INDEX(CARDS!$B$5:$B$34,MATCH($D553,CARDS!$A$5:$A$34,0)),"⚠ Card ID?"))</f>
        <v/>
      </c>
      <c r="F553" s="45" t="str">
        <f>IF($D553="","",IFERROR(INDEX(CARDS!$C$5:$C$34,MATCH($D553,CARDS!$A$5:$A$34,0)),"⚠ Card ID?"))</f>
        <v/>
      </c>
      <c r="G553" s="37" t="n"/>
      <c r="H553" s="37" t="n"/>
      <c r="I553" s="41" t="n"/>
      <c r="J553" s="45" t="str">
        <f>IF($I553="","",IFERROR(INDEX(MCC_MASTER!$B$5:$B$504,MATCH($I553,MCC_MASTER!$A$5:$A$504,0)),"⚠ MCC chưa có"))</f>
        <v/>
      </c>
      <c r="K553" s="45" t="str">
        <f>IF($I553="","",IFERROR(IF(INDEX(MCC_MASTER!$C$5:$C$504,MATCH($I553,MCC_MASTER!$A$5:$A$504,0))="","Chưa phân loại",INDEX(MCC_MASTER!$C$5:$C$504,MATCH($I553,MCC_MASTER!$A$5:$A$504,0))),"Chưa phân loại"))</f>
        <v/>
      </c>
      <c r="L553" s="40" t="n"/>
      <c r="M553" s="48" t="str">
        <f>IF(OR($B553="",$D553=""),"",IF($AC553=0,0,IF(ISNUMBER(INDEX(CASHBACK_RULES!$L$5:$L$304,$AC553)),MAX(0,MIN($L553,INDEX(CASHBACK_RULES!$L$5:$L$304,$AC553)-$AH553)),MAX(0,$L553))))</f>
        <v/>
      </c>
      <c r="N553" s="49" t="str">
        <f>IF(OR($B553="",$D553=""),"",IF($AC553&gt;0,INDEX(CASHBACK_RULES!$I$5:$I$304,$AC553),0))</f>
        <v/>
      </c>
      <c r="O553" s="48" t="str">
        <f>IF(OR($B553="",$D553=""),"",ROUND($M553*$N553,0))</f>
        <v/>
      </c>
      <c r="P553" s="48" t="str">
        <f>IF($AC553&gt;0,IF(ISNUMBER(INDEX(CASHBACK_RULES!$J$5:$J$304,$AC553)),INDEX(CASHBACK_RULES!$J$5:$J$304,$AC553),"∞"),"")</f>
        <v/>
      </c>
      <c r="Q553" s="48" t="str">
        <f>IF(OR($B553="",$D553=""),"",IF($AC553=0,0,MAX(0,MIN($O553,IF(ISNUMBER($P553),$P553-$AF553,1E+15),IF(ISNUMBER($AA553),$AA553-$AG553,1E+15)))))</f>
        <v/>
      </c>
      <c r="R553" s="48" t="str">
        <f>IF(OR($B553="",$D553=""),"",IF($AC553=0,"",IF(AND(NOT(ISNUMBER($P553)),NOT(ISNUMBER($AA553))),"∞",MAX(0,MIN(IF(ISNUMBER($P553),$P553-$AF553-$Q553,1E+15),IF(ISNUMBER($AA553),$AA553-$AG553-$Q553,1E+15))))))</f>
        <v/>
      </c>
      <c r="S553" s="47" t="str">
        <f>IF($AD553="","",YEAR($AD553)*100+MONTH($AD553))</f>
        <v/>
      </c>
      <c r="T553" s="50" t="str">
        <f>IF($AD553="","",IFERROR(IF(INDEX(CARDS!$I$5:$I$34,MATCH($D553,CARDS!$A$5:$A$34,0))="","",IF(INDEX(CARDS!$I$5:$I$34,MATCH($D553,CARDS!$A$5:$A$34,0))&gt;INDEX(CARDS!$H$5:$H$34,MATCH($D553,CARDS!$A$5:$A$34,0)),DATE(YEAR($AD553),MONTH($AD553),MIN(INDEX(CARDS!$I$5:$I$34,MATCH($D553,CARDS!$A$5:$A$34,0)),DAY(EOMONTH($AD553,0)))),DATE(YEAR($AD553),MONTH($AD553)+1,MIN(INDEX(CARDS!$I$5:$I$34,MATCH($D553,CARDS!$A$5:$A$34,0)),DAY(EOMONTH($AD553,1)))))),""))</f>
        <v/>
      </c>
      <c r="U553" s="38" t="n"/>
      <c r="V553" s="37" t="n"/>
      <c r="W553" s="38" t="n"/>
      <c r="X553" s="38" t="n"/>
      <c r="Y553" s="44" t="str">
        <f>IF($AC553&gt;0,INDEX(CASHBACK_RULES!$A$5:$A$304,$AC553),"")</f>
        <v/>
      </c>
      <c r="Z553" s="45" t="str">
        <f>IF($AC553&gt;0,INDEX(CASHBACK_RULES!$E$5:$E$304,$AC553)&amp;"","")</f>
        <v/>
      </c>
      <c r="AA553" s="48" t="str">
        <f>IF($AC553&gt;0,IF(ISNUMBER(INDEX(CASHBACK_RULES!$K$5:$K$304,$AC553)),INDEX(CASHBACK_RULES!$K$5:$K$304,$AC553),"∞"),"")</f>
        <v/>
      </c>
      <c r="AB553" s="44" t="str">
        <f>IF(OR($B553="",$D553=""),"",IF($U553="Cancelled","Đã hủy",IF($AC553=0,"Không được hoàn",IF($Q553=0,IF(OR($O553&gt;0,$M553&lt;$L553),"Đã đạt cap","Không được hoàn"),IF(OR($Q553&lt;$O553,$M553&lt;$L553),"Hoàn một phần","Được hoàn")))))</f>
        <v/>
      </c>
      <c r="AC553" s="43">
        <f>IF(OR($B553="",$D553="",$I553="",$L553=""),0,IF($U553="Cancelled",0,IF($W553&lt;&gt;"",IFERROR(IF(INDEX(CASHBACK_RULES!$B$5:$B$304,MATCH($W553,CASHBACK_RULES!$A$5:$A$304,0))=$D553,MATCH($W553,CASHBACK_RULES!$A$5:$A$304,0),0),0),IFERROR(MATCH(1,INDEX((CASHBACK_RULES!$B$5:$B$304=$D553)*(CASHBACK_RULES!$G$5:$G$304=$I553)*(((CASHBACK_RULES!$N$5:$N$304="")+(CASHBACK_RULES!$N$5:$N$304&lt;=$B553))&gt;0)*(((CASHBACK_RULES!$O$5:$O$304="")+(CASHBACK_RULES!$O$5:$O$304&gt;=$B553))&gt;0)*(((CASHBACK_RULES!$M$5:$M$304="")+(CASHBACK_RULES!$M$5:$M$304&lt;=$L553))&gt;0),0),0),0))))</f>
        <v>0</v>
      </c>
      <c r="AD553" s="51" t="str">
        <f>IF(OR($B553="",$D553=""),"",IFERROR(IF(INDEX(CARDS!$H$5:$H$34,MATCH($D553,CARDS!$A$5:$A$34,0))="","",IF(DAY($B553)&lt;=INDEX(CARDS!$H$5:$H$34,MATCH($D553,CARDS!$A$5:$A$34,0)),DATE(YEAR($B553),MONTH($B553),MIN(INDEX(CARDS!$H$5:$H$34,MATCH($D553,CARDS!$A$5:$A$34,0)),DAY(EOMONTH($B553,0)))),DATE(YEAR($B553),MONTH($B553)+1,MIN(INDEX(CARDS!$H$5:$H$34,MATCH($D553,CARDS!$A$5:$A$34,0)),DAY(EOMONTH($B553,1)))))),""))</f>
        <v/>
      </c>
      <c r="AE553" s="52" t="str">
        <f>IF($C553="","",$C553&amp;"|"&amp;COUNTIF($C$5:$C553,$C553))</f>
        <v/>
      </c>
      <c r="AF553" s="53">
        <f>IF($AC553&gt;0,SUMIFS(Q$4:Q552,$D$4:$D552,$D553,$Z$4:$Z552,$Z553,$C$4:$C552,$C553),0)</f>
        <v>0</v>
      </c>
      <c r="AG553" s="53">
        <f>IF($AC553&gt;0,SUMIFS(Q$4:Q552,$D$4:$D552,$D553,$C$4:$C552,$C553),0)</f>
        <v>0</v>
      </c>
      <c r="AH553" s="53">
        <f>IF($AC553&gt;0,SUMIFS(M$4:M552,$D$4:$D552,$D553,$Z$4:$Z552,$Z553,$C$4:$C552,$C553),0)</f>
        <v>0</v>
      </c>
      <c r="AI553" s="43">
        <f>IF(OR($C553="",$I553=""),0,IF(COUNTIFS($C$5:$C553,$C553,$I$5:$I553,$I553)=1,1,0))</f>
        <v>0</v>
      </c>
      <c r="AJ553" s="43" t="str">
        <f>IF($AI553=1,SUMIFS($AI$4:$AI552,$C$4:$C552,$C553)+1,"")</f>
        <v/>
      </c>
      <c r="AK553" s="43">
        <f>IF(OR($C553="",$K553=""),0,IF(COUNTIFS($C$5:$C553,$C553,$K$5:$K553,$K553)=1,1,0))</f>
        <v>0</v>
      </c>
      <c r="AL553" s="43" t="str">
        <f>IF($AK553=1,SUMIFS($AK$4:$AK552,$C$4:$C552,$C553)+1,"")</f>
        <v/>
      </c>
      <c r="AM553" s="43">
        <f>IF(OR($C553="",$G553=""),0,IF(COUNTIFS($C$5:$C553,$C553,$G$5:$G553,$G553)=1,1,0))</f>
        <v>0</v>
      </c>
      <c r="AN553" s="43" t="str">
        <f>IF($AM553=1,SUMIFS($AM$4:$AM552,$C$4:$C552,$C553)+1,"")</f>
        <v/>
      </c>
    </row>
    <row r="554">
      <c r="A554" s="44" t="str">
        <f>IF(OR($B554="",$D554=""),"","TX"&amp;TEXT(ROW()-4,"0000"))</f>
        <v/>
      </c>
      <c r="B554" s="42" t="n"/>
      <c r="C554" s="47" t="str">
        <f>IF($B554="","",YEAR($B554)*100+MONTH($B554))</f>
        <v/>
      </c>
      <c r="D554" s="37" t="n"/>
      <c r="E554" s="45" t="str">
        <f>IF($D554="","",IFERROR(INDEX(CARDS!$B$5:$B$34,MATCH($D554,CARDS!$A$5:$A$34,0)),"⚠ Card ID?"))</f>
        <v/>
      </c>
      <c r="F554" s="45" t="str">
        <f>IF($D554="","",IFERROR(INDEX(CARDS!$C$5:$C$34,MATCH($D554,CARDS!$A$5:$A$34,0)),"⚠ Card ID?"))</f>
        <v/>
      </c>
      <c r="G554" s="37" t="n"/>
      <c r="H554" s="37" t="n"/>
      <c r="I554" s="41" t="n"/>
      <c r="J554" s="45" t="str">
        <f>IF($I554="","",IFERROR(INDEX(MCC_MASTER!$B$5:$B$504,MATCH($I554,MCC_MASTER!$A$5:$A$504,0)),"⚠ MCC chưa có"))</f>
        <v/>
      </c>
      <c r="K554" s="45" t="str">
        <f>IF($I554="","",IFERROR(IF(INDEX(MCC_MASTER!$C$5:$C$504,MATCH($I554,MCC_MASTER!$A$5:$A$504,0))="","Chưa phân loại",INDEX(MCC_MASTER!$C$5:$C$504,MATCH($I554,MCC_MASTER!$A$5:$A$504,0))),"Chưa phân loại"))</f>
        <v/>
      </c>
      <c r="L554" s="40" t="n"/>
      <c r="M554" s="48" t="str">
        <f>IF(OR($B554="",$D554=""),"",IF($AC554=0,0,IF(ISNUMBER(INDEX(CASHBACK_RULES!$L$5:$L$304,$AC554)),MAX(0,MIN($L554,INDEX(CASHBACK_RULES!$L$5:$L$304,$AC554)-$AH554)),MAX(0,$L554))))</f>
        <v/>
      </c>
      <c r="N554" s="49" t="str">
        <f>IF(OR($B554="",$D554=""),"",IF($AC554&gt;0,INDEX(CASHBACK_RULES!$I$5:$I$304,$AC554),0))</f>
        <v/>
      </c>
      <c r="O554" s="48" t="str">
        <f>IF(OR($B554="",$D554=""),"",ROUND($M554*$N554,0))</f>
        <v/>
      </c>
      <c r="P554" s="48" t="str">
        <f>IF($AC554&gt;0,IF(ISNUMBER(INDEX(CASHBACK_RULES!$J$5:$J$304,$AC554)),INDEX(CASHBACK_RULES!$J$5:$J$304,$AC554),"∞"),"")</f>
        <v/>
      </c>
      <c r="Q554" s="48" t="str">
        <f>IF(OR($B554="",$D554=""),"",IF($AC554=0,0,MAX(0,MIN($O554,IF(ISNUMBER($P554),$P554-$AF554,1E+15),IF(ISNUMBER($AA554),$AA554-$AG554,1E+15)))))</f>
        <v/>
      </c>
      <c r="R554" s="48" t="str">
        <f>IF(OR($B554="",$D554=""),"",IF($AC554=0,"",IF(AND(NOT(ISNUMBER($P554)),NOT(ISNUMBER($AA554))),"∞",MAX(0,MIN(IF(ISNUMBER($P554),$P554-$AF554-$Q554,1E+15),IF(ISNUMBER($AA554),$AA554-$AG554-$Q554,1E+15))))))</f>
        <v/>
      </c>
      <c r="S554" s="47" t="str">
        <f>IF($AD554="","",YEAR($AD554)*100+MONTH($AD554))</f>
        <v/>
      </c>
      <c r="T554" s="50" t="str">
        <f>IF($AD554="","",IFERROR(IF(INDEX(CARDS!$I$5:$I$34,MATCH($D554,CARDS!$A$5:$A$34,0))="","",IF(INDEX(CARDS!$I$5:$I$34,MATCH($D554,CARDS!$A$5:$A$34,0))&gt;INDEX(CARDS!$H$5:$H$34,MATCH($D554,CARDS!$A$5:$A$34,0)),DATE(YEAR($AD554),MONTH($AD554),MIN(INDEX(CARDS!$I$5:$I$34,MATCH($D554,CARDS!$A$5:$A$34,0)),DAY(EOMONTH($AD554,0)))),DATE(YEAR($AD554),MONTH($AD554)+1,MIN(INDEX(CARDS!$I$5:$I$34,MATCH($D554,CARDS!$A$5:$A$34,0)),DAY(EOMONTH($AD554,1)))))),""))</f>
        <v/>
      </c>
      <c r="U554" s="38" t="n"/>
      <c r="V554" s="37" t="n"/>
      <c r="W554" s="38" t="n"/>
      <c r="X554" s="38" t="n"/>
      <c r="Y554" s="44" t="str">
        <f>IF($AC554&gt;0,INDEX(CASHBACK_RULES!$A$5:$A$304,$AC554),"")</f>
        <v/>
      </c>
      <c r="Z554" s="45" t="str">
        <f>IF($AC554&gt;0,INDEX(CASHBACK_RULES!$E$5:$E$304,$AC554)&amp;"","")</f>
        <v/>
      </c>
      <c r="AA554" s="48" t="str">
        <f>IF($AC554&gt;0,IF(ISNUMBER(INDEX(CASHBACK_RULES!$K$5:$K$304,$AC554)),INDEX(CASHBACK_RULES!$K$5:$K$304,$AC554),"∞"),"")</f>
        <v/>
      </c>
      <c r="AB554" s="44" t="str">
        <f>IF(OR($B554="",$D554=""),"",IF($U554="Cancelled","Đã hủy",IF($AC554=0,"Không được hoàn",IF($Q554=0,IF(OR($O554&gt;0,$M554&lt;$L554),"Đã đạt cap","Không được hoàn"),IF(OR($Q554&lt;$O554,$M554&lt;$L554),"Hoàn một phần","Được hoàn")))))</f>
        <v/>
      </c>
      <c r="AC554" s="43">
        <f>IF(OR($B554="",$D554="",$I554="",$L554=""),0,IF($U554="Cancelled",0,IF($W554&lt;&gt;"",IFERROR(IF(INDEX(CASHBACK_RULES!$B$5:$B$304,MATCH($W554,CASHBACK_RULES!$A$5:$A$304,0))=$D554,MATCH($W554,CASHBACK_RULES!$A$5:$A$304,0),0),0),IFERROR(MATCH(1,INDEX((CASHBACK_RULES!$B$5:$B$304=$D554)*(CASHBACK_RULES!$G$5:$G$304=$I554)*(((CASHBACK_RULES!$N$5:$N$304="")+(CASHBACK_RULES!$N$5:$N$304&lt;=$B554))&gt;0)*(((CASHBACK_RULES!$O$5:$O$304="")+(CASHBACK_RULES!$O$5:$O$304&gt;=$B554))&gt;0)*(((CASHBACK_RULES!$M$5:$M$304="")+(CASHBACK_RULES!$M$5:$M$304&lt;=$L554))&gt;0),0),0),0))))</f>
        <v>0</v>
      </c>
      <c r="AD554" s="51" t="str">
        <f>IF(OR($B554="",$D554=""),"",IFERROR(IF(INDEX(CARDS!$H$5:$H$34,MATCH($D554,CARDS!$A$5:$A$34,0))="","",IF(DAY($B554)&lt;=INDEX(CARDS!$H$5:$H$34,MATCH($D554,CARDS!$A$5:$A$34,0)),DATE(YEAR($B554),MONTH($B554),MIN(INDEX(CARDS!$H$5:$H$34,MATCH($D554,CARDS!$A$5:$A$34,0)),DAY(EOMONTH($B554,0)))),DATE(YEAR($B554),MONTH($B554)+1,MIN(INDEX(CARDS!$H$5:$H$34,MATCH($D554,CARDS!$A$5:$A$34,0)),DAY(EOMONTH($B554,1)))))),""))</f>
        <v/>
      </c>
      <c r="AE554" s="52" t="str">
        <f>IF($C554="","",$C554&amp;"|"&amp;COUNTIF($C$5:$C554,$C554))</f>
        <v/>
      </c>
      <c r="AF554" s="53">
        <f>IF($AC554&gt;0,SUMIFS(Q$4:Q553,$D$4:$D553,$D554,$Z$4:$Z553,$Z554,$C$4:$C553,$C554),0)</f>
        <v>0</v>
      </c>
      <c r="AG554" s="53">
        <f>IF($AC554&gt;0,SUMIFS(Q$4:Q553,$D$4:$D553,$D554,$C$4:$C553,$C554),0)</f>
        <v>0</v>
      </c>
      <c r="AH554" s="53">
        <f>IF($AC554&gt;0,SUMIFS(M$4:M553,$D$4:$D553,$D554,$Z$4:$Z553,$Z554,$C$4:$C553,$C554),0)</f>
        <v>0</v>
      </c>
      <c r="AI554" s="43">
        <f>IF(OR($C554="",$I554=""),0,IF(COUNTIFS($C$5:$C554,$C554,$I$5:$I554,$I554)=1,1,0))</f>
        <v>0</v>
      </c>
      <c r="AJ554" s="43" t="str">
        <f>IF($AI554=1,SUMIFS($AI$4:$AI553,$C$4:$C553,$C554)+1,"")</f>
        <v/>
      </c>
      <c r="AK554" s="43">
        <f>IF(OR($C554="",$K554=""),0,IF(COUNTIFS($C$5:$C554,$C554,$K$5:$K554,$K554)=1,1,0))</f>
        <v>0</v>
      </c>
      <c r="AL554" s="43" t="str">
        <f>IF($AK554=1,SUMIFS($AK$4:$AK553,$C$4:$C553,$C554)+1,"")</f>
        <v/>
      </c>
      <c r="AM554" s="43">
        <f>IF(OR($C554="",$G554=""),0,IF(COUNTIFS($C$5:$C554,$C554,$G$5:$G554,$G554)=1,1,0))</f>
        <v>0</v>
      </c>
      <c r="AN554" s="43" t="str">
        <f>IF($AM554=1,SUMIFS($AM$4:$AM553,$C$4:$C553,$C554)+1,"")</f>
        <v/>
      </c>
    </row>
    <row r="555">
      <c r="A555" s="44" t="str">
        <f>IF(OR($B555="",$D555=""),"","TX"&amp;TEXT(ROW()-4,"0000"))</f>
        <v/>
      </c>
      <c r="B555" s="42" t="n"/>
      <c r="C555" s="47" t="str">
        <f>IF($B555="","",YEAR($B555)*100+MONTH($B555))</f>
        <v/>
      </c>
      <c r="D555" s="37" t="n"/>
      <c r="E555" s="45" t="str">
        <f>IF($D555="","",IFERROR(INDEX(CARDS!$B$5:$B$34,MATCH($D555,CARDS!$A$5:$A$34,0)),"⚠ Card ID?"))</f>
        <v/>
      </c>
      <c r="F555" s="45" t="str">
        <f>IF($D555="","",IFERROR(INDEX(CARDS!$C$5:$C$34,MATCH($D555,CARDS!$A$5:$A$34,0)),"⚠ Card ID?"))</f>
        <v/>
      </c>
      <c r="G555" s="37" t="n"/>
      <c r="H555" s="37" t="n"/>
      <c r="I555" s="41" t="n"/>
      <c r="J555" s="45" t="str">
        <f>IF($I555="","",IFERROR(INDEX(MCC_MASTER!$B$5:$B$504,MATCH($I555,MCC_MASTER!$A$5:$A$504,0)),"⚠ MCC chưa có"))</f>
        <v/>
      </c>
      <c r="K555" s="45" t="str">
        <f>IF($I555="","",IFERROR(IF(INDEX(MCC_MASTER!$C$5:$C$504,MATCH($I555,MCC_MASTER!$A$5:$A$504,0))="","Chưa phân loại",INDEX(MCC_MASTER!$C$5:$C$504,MATCH($I555,MCC_MASTER!$A$5:$A$504,0))),"Chưa phân loại"))</f>
        <v/>
      </c>
      <c r="L555" s="40" t="n"/>
      <c r="M555" s="48" t="str">
        <f>IF(OR($B555="",$D555=""),"",IF($AC555=0,0,IF(ISNUMBER(INDEX(CASHBACK_RULES!$L$5:$L$304,$AC555)),MAX(0,MIN($L555,INDEX(CASHBACK_RULES!$L$5:$L$304,$AC555)-$AH555)),MAX(0,$L555))))</f>
        <v/>
      </c>
      <c r="N555" s="49" t="str">
        <f>IF(OR($B555="",$D555=""),"",IF($AC555&gt;0,INDEX(CASHBACK_RULES!$I$5:$I$304,$AC555),0))</f>
        <v/>
      </c>
      <c r="O555" s="48" t="str">
        <f>IF(OR($B555="",$D555=""),"",ROUND($M555*$N555,0))</f>
        <v/>
      </c>
      <c r="P555" s="48" t="str">
        <f>IF($AC555&gt;0,IF(ISNUMBER(INDEX(CASHBACK_RULES!$J$5:$J$304,$AC555)),INDEX(CASHBACK_RULES!$J$5:$J$304,$AC555),"∞"),"")</f>
        <v/>
      </c>
      <c r="Q555" s="48" t="str">
        <f>IF(OR($B555="",$D555=""),"",IF($AC555=0,0,MAX(0,MIN($O555,IF(ISNUMBER($P555),$P555-$AF555,1E+15),IF(ISNUMBER($AA555),$AA555-$AG555,1E+15)))))</f>
        <v/>
      </c>
      <c r="R555" s="48" t="str">
        <f>IF(OR($B555="",$D555=""),"",IF($AC555=0,"",IF(AND(NOT(ISNUMBER($P555)),NOT(ISNUMBER($AA555))),"∞",MAX(0,MIN(IF(ISNUMBER($P555),$P555-$AF555-$Q555,1E+15),IF(ISNUMBER($AA555),$AA555-$AG555-$Q555,1E+15))))))</f>
        <v/>
      </c>
      <c r="S555" s="47" t="str">
        <f>IF($AD555="","",YEAR($AD555)*100+MONTH($AD555))</f>
        <v/>
      </c>
      <c r="T555" s="50" t="str">
        <f>IF($AD555="","",IFERROR(IF(INDEX(CARDS!$I$5:$I$34,MATCH($D555,CARDS!$A$5:$A$34,0))="","",IF(INDEX(CARDS!$I$5:$I$34,MATCH($D555,CARDS!$A$5:$A$34,0))&gt;INDEX(CARDS!$H$5:$H$34,MATCH($D555,CARDS!$A$5:$A$34,0)),DATE(YEAR($AD555),MONTH($AD555),MIN(INDEX(CARDS!$I$5:$I$34,MATCH($D555,CARDS!$A$5:$A$34,0)),DAY(EOMONTH($AD555,0)))),DATE(YEAR($AD555),MONTH($AD555)+1,MIN(INDEX(CARDS!$I$5:$I$34,MATCH($D555,CARDS!$A$5:$A$34,0)),DAY(EOMONTH($AD555,1)))))),""))</f>
        <v/>
      </c>
      <c r="U555" s="38" t="n"/>
      <c r="V555" s="37" t="n"/>
      <c r="W555" s="38" t="n"/>
      <c r="X555" s="38" t="n"/>
      <c r="Y555" s="44" t="str">
        <f>IF($AC555&gt;0,INDEX(CASHBACK_RULES!$A$5:$A$304,$AC555),"")</f>
        <v/>
      </c>
      <c r="Z555" s="45" t="str">
        <f>IF($AC555&gt;0,INDEX(CASHBACK_RULES!$E$5:$E$304,$AC555)&amp;"","")</f>
        <v/>
      </c>
      <c r="AA555" s="48" t="str">
        <f>IF($AC555&gt;0,IF(ISNUMBER(INDEX(CASHBACK_RULES!$K$5:$K$304,$AC555)),INDEX(CASHBACK_RULES!$K$5:$K$304,$AC555),"∞"),"")</f>
        <v/>
      </c>
      <c r="AB555" s="44" t="str">
        <f>IF(OR($B555="",$D555=""),"",IF($U555="Cancelled","Đã hủy",IF($AC555=0,"Không được hoàn",IF($Q555=0,IF(OR($O555&gt;0,$M555&lt;$L555),"Đã đạt cap","Không được hoàn"),IF(OR($Q555&lt;$O555,$M555&lt;$L555),"Hoàn một phần","Được hoàn")))))</f>
        <v/>
      </c>
      <c r="AC555" s="43">
        <f>IF(OR($B555="",$D555="",$I555="",$L555=""),0,IF($U555="Cancelled",0,IF($W555&lt;&gt;"",IFERROR(IF(INDEX(CASHBACK_RULES!$B$5:$B$304,MATCH($W555,CASHBACK_RULES!$A$5:$A$304,0))=$D555,MATCH($W555,CASHBACK_RULES!$A$5:$A$304,0),0),0),IFERROR(MATCH(1,INDEX((CASHBACK_RULES!$B$5:$B$304=$D555)*(CASHBACK_RULES!$G$5:$G$304=$I555)*(((CASHBACK_RULES!$N$5:$N$304="")+(CASHBACK_RULES!$N$5:$N$304&lt;=$B555))&gt;0)*(((CASHBACK_RULES!$O$5:$O$304="")+(CASHBACK_RULES!$O$5:$O$304&gt;=$B555))&gt;0)*(((CASHBACK_RULES!$M$5:$M$304="")+(CASHBACK_RULES!$M$5:$M$304&lt;=$L555))&gt;0),0),0),0))))</f>
        <v>0</v>
      </c>
      <c r="AD555" s="51" t="str">
        <f>IF(OR($B555="",$D555=""),"",IFERROR(IF(INDEX(CARDS!$H$5:$H$34,MATCH($D555,CARDS!$A$5:$A$34,0))="","",IF(DAY($B555)&lt;=INDEX(CARDS!$H$5:$H$34,MATCH($D555,CARDS!$A$5:$A$34,0)),DATE(YEAR($B555),MONTH($B555),MIN(INDEX(CARDS!$H$5:$H$34,MATCH($D555,CARDS!$A$5:$A$34,0)),DAY(EOMONTH($B555,0)))),DATE(YEAR($B555),MONTH($B555)+1,MIN(INDEX(CARDS!$H$5:$H$34,MATCH($D555,CARDS!$A$5:$A$34,0)),DAY(EOMONTH($B555,1)))))),""))</f>
        <v/>
      </c>
      <c r="AE555" s="52" t="str">
        <f>IF($C555="","",$C555&amp;"|"&amp;COUNTIF($C$5:$C555,$C555))</f>
        <v/>
      </c>
      <c r="AF555" s="53">
        <f>IF($AC555&gt;0,SUMIFS(Q$4:Q554,$D$4:$D554,$D555,$Z$4:$Z554,$Z555,$C$4:$C554,$C555),0)</f>
        <v>0</v>
      </c>
      <c r="AG555" s="53">
        <f>IF($AC555&gt;0,SUMIFS(Q$4:Q554,$D$4:$D554,$D555,$C$4:$C554,$C555),0)</f>
        <v>0</v>
      </c>
      <c r="AH555" s="53">
        <f>IF($AC555&gt;0,SUMIFS(M$4:M554,$D$4:$D554,$D555,$Z$4:$Z554,$Z555,$C$4:$C554,$C555),0)</f>
        <v>0</v>
      </c>
      <c r="AI555" s="43">
        <f>IF(OR($C555="",$I555=""),0,IF(COUNTIFS($C$5:$C555,$C555,$I$5:$I555,$I555)=1,1,0))</f>
        <v>0</v>
      </c>
      <c r="AJ555" s="43" t="str">
        <f>IF($AI555=1,SUMIFS($AI$4:$AI554,$C$4:$C554,$C555)+1,"")</f>
        <v/>
      </c>
      <c r="AK555" s="43">
        <f>IF(OR($C555="",$K555=""),0,IF(COUNTIFS($C$5:$C555,$C555,$K$5:$K555,$K555)=1,1,0))</f>
        <v>0</v>
      </c>
      <c r="AL555" s="43" t="str">
        <f>IF($AK555=1,SUMIFS($AK$4:$AK554,$C$4:$C554,$C555)+1,"")</f>
        <v/>
      </c>
      <c r="AM555" s="43">
        <f>IF(OR($C555="",$G555=""),0,IF(COUNTIFS($C$5:$C555,$C555,$G$5:$G555,$G555)=1,1,0))</f>
        <v>0</v>
      </c>
      <c r="AN555" s="43" t="str">
        <f>IF($AM555=1,SUMIFS($AM$4:$AM554,$C$4:$C554,$C555)+1,"")</f>
        <v/>
      </c>
    </row>
    <row r="556">
      <c r="A556" s="44" t="str">
        <f>IF(OR($B556="",$D556=""),"","TX"&amp;TEXT(ROW()-4,"0000"))</f>
        <v/>
      </c>
      <c r="B556" s="42" t="n"/>
      <c r="C556" s="47" t="str">
        <f>IF($B556="","",YEAR($B556)*100+MONTH($B556))</f>
        <v/>
      </c>
      <c r="D556" s="37" t="n"/>
      <c r="E556" s="45" t="str">
        <f>IF($D556="","",IFERROR(INDEX(CARDS!$B$5:$B$34,MATCH($D556,CARDS!$A$5:$A$34,0)),"⚠ Card ID?"))</f>
        <v/>
      </c>
      <c r="F556" s="45" t="str">
        <f>IF($D556="","",IFERROR(INDEX(CARDS!$C$5:$C$34,MATCH($D556,CARDS!$A$5:$A$34,0)),"⚠ Card ID?"))</f>
        <v/>
      </c>
      <c r="G556" s="37" t="n"/>
      <c r="H556" s="37" t="n"/>
      <c r="I556" s="41" t="n"/>
      <c r="J556" s="45" t="str">
        <f>IF($I556="","",IFERROR(INDEX(MCC_MASTER!$B$5:$B$504,MATCH($I556,MCC_MASTER!$A$5:$A$504,0)),"⚠ MCC chưa có"))</f>
        <v/>
      </c>
      <c r="K556" s="45" t="str">
        <f>IF($I556="","",IFERROR(IF(INDEX(MCC_MASTER!$C$5:$C$504,MATCH($I556,MCC_MASTER!$A$5:$A$504,0))="","Chưa phân loại",INDEX(MCC_MASTER!$C$5:$C$504,MATCH($I556,MCC_MASTER!$A$5:$A$504,0))),"Chưa phân loại"))</f>
        <v/>
      </c>
      <c r="L556" s="40" t="n"/>
      <c r="M556" s="48" t="str">
        <f>IF(OR($B556="",$D556=""),"",IF($AC556=0,0,IF(ISNUMBER(INDEX(CASHBACK_RULES!$L$5:$L$304,$AC556)),MAX(0,MIN($L556,INDEX(CASHBACK_RULES!$L$5:$L$304,$AC556)-$AH556)),MAX(0,$L556))))</f>
        <v/>
      </c>
      <c r="N556" s="49" t="str">
        <f>IF(OR($B556="",$D556=""),"",IF($AC556&gt;0,INDEX(CASHBACK_RULES!$I$5:$I$304,$AC556),0))</f>
        <v/>
      </c>
      <c r="O556" s="48" t="str">
        <f>IF(OR($B556="",$D556=""),"",ROUND($M556*$N556,0))</f>
        <v/>
      </c>
      <c r="P556" s="48" t="str">
        <f>IF($AC556&gt;0,IF(ISNUMBER(INDEX(CASHBACK_RULES!$J$5:$J$304,$AC556)),INDEX(CASHBACK_RULES!$J$5:$J$304,$AC556),"∞"),"")</f>
        <v/>
      </c>
      <c r="Q556" s="48" t="str">
        <f>IF(OR($B556="",$D556=""),"",IF($AC556=0,0,MAX(0,MIN($O556,IF(ISNUMBER($P556),$P556-$AF556,1E+15),IF(ISNUMBER($AA556),$AA556-$AG556,1E+15)))))</f>
        <v/>
      </c>
      <c r="R556" s="48" t="str">
        <f>IF(OR($B556="",$D556=""),"",IF($AC556=0,"",IF(AND(NOT(ISNUMBER($P556)),NOT(ISNUMBER($AA556))),"∞",MAX(0,MIN(IF(ISNUMBER($P556),$P556-$AF556-$Q556,1E+15),IF(ISNUMBER($AA556),$AA556-$AG556-$Q556,1E+15))))))</f>
        <v/>
      </c>
      <c r="S556" s="47" t="str">
        <f>IF($AD556="","",YEAR($AD556)*100+MONTH($AD556))</f>
        <v/>
      </c>
      <c r="T556" s="50" t="str">
        <f>IF($AD556="","",IFERROR(IF(INDEX(CARDS!$I$5:$I$34,MATCH($D556,CARDS!$A$5:$A$34,0))="","",IF(INDEX(CARDS!$I$5:$I$34,MATCH($D556,CARDS!$A$5:$A$34,0))&gt;INDEX(CARDS!$H$5:$H$34,MATCH($D556,CARDS!$A$5:$A$34,0)),DATE(YEAR($AD556),MONTH($AD556),MIN(INDEX(CARDS!$I$5:$I$34,MATCH($D556,CARDS!$A$5:$A$34,0)),DAY(EOMONTH($AD556,0)))),DATE(YEAR($AD556),MONTH($AD556)+1,MIN(INDEX(CARDS!$I$5:$I$34,MATCH($D556,CARDS!$A$5:$A$34,0)),DAY(EOMONTH($AD556,1)))))),""))</f>
        <v/>
      </c>
      <c r="U556" s="38" t="n"/>
      <c r="V556" s="37" t="n"/>
      <c r="W556" s="38" t="n"/>
      <c r="X556" s="38" t="n"/>
      <c r="Y556" s="44" t="str">
        <f>IF($AC556&gt;0,INDEX(CASHBACK_RULES!$A$5:$A$304,$AC556),"")</f>
        <v/>
      </c>
      <c r="Z556" s="45" t="str">
        <f>IF($AC556&gt;0,INDEX(CASHBACK_RULES!$E$5:$E$304,$AC556)&amp;"","")</f>
        <v/>
      </c>
      <c r="AA556" s="48" t="str">
        <f>IF($AC556&gt;0,IF(ISNUMBER(INDEX(CASHBACK_RULES!$K$5:$K$304,$AC556)),INDEX(CASHBACK_RULES!$K$5:$K$304,$AC556),"∞"),"")</f>
        <v/>
      </c>
      <c r="AB556" s="44" t="str">
        <f>IF(OR($B556="",$D556=""),"",IF($U556="Cancelled","Đã hủy",IF($AC556=0,"Không được hoàn",IF($Q556=0,IF(OR($O556&gt;0,$M556&lt;$L556),"Đã đạt cap","Không được hoàn"),IF(OR($Q556&lt;$O556,$M556&lt;$L556),"Hoàn một phần","Được hoàn")))))</f>
        <v/>
      </c>
      <c r="AC556" s="43">
        <f>IF(OR($B556="",$D556="",$I556="",$L556=""),0,IF($U556="Cancelled",0,IF($W556&lt;&gt;"",IFERROR(IF(INDEX(CASHBACK_RULES!$B$5:$B$304,MATCH($W556,CASHBACK_RULES!$A$5:$A$304,0))=$D556,MATCH($W556,CASHBACK_RULES!$A$5:$A$304,0),0),0),IFERROR(MATCH(1,INDEX((CASHBACK_RULES!$B$5:$B$304=$D556)*(CASHBACK_RULES!$G$5:$G$304=$I556)*(((CASHBACK_RULES!$N$5:$N$304="")+(CASHBACK_RULES!$N$5:$N$304&lt;=$B556))&gt;0)*(((CASHBACK_RULES!$O$5:$O$304="")+(CASHBACK_RULES!$O$5:$O$304&gt;=$B556))&gt;0)*(((CASHBACK_RULES!$M$5:$M$304="")+(CASHBACK_RULES!$M$5:$M$304&lt;=$L556))&gt;0),0),0),0))))</f>
        <v>0</v>
      </c>
      <c r="AD556" s="51" t="str">
        <f>IF(OR($B556="",$D556=""),"",IFERROR(IF(INDEX(CARDS!$H$5:$H$34,MATCH($D556,CARDS!$A$5:$A$34,0))="","",IF(DAY($B556)&lt;=INDEX(CARDS!$H$5:$H$34,MATCH($D556,CARDS!$A$5:$A$34,0)),DATE(YEAR($B556),MONTH($B556),MIN(INDEX(CARDS!$H$5:$H$34,MATCH($D556,CARDS!$A$5:$A$34,0)),DAY(EOMONTH($B556,0)))),DATE(YEAR($B556),MONTH($B556)+1,MIN(INDEX(CARDS!$H$5:$H$34,MATCH($D556,CARDS!$A$5:$A$34,0)),DAY(EOMONTH($B556,1)))))),""))</f>
        <v/>
      </c>
      <c r="AE556" s="52" t="str">
        <f>IF($C556="","",$C556&amp;"|"&amp;COUNTIF($C$5:$C556,$C556))</f>
        <v/>
      </c>
      <c r="AF556" s="53">
        <f>IF($AC556&gt;0,SUMIFS(Q$4:Q555,$D$4:$D555,$D556,$Z$4:$Z555,$Z556,$C$4:$C555,$C556),0)</f>
        <v>0</v>
      </c>
      <c r="AG556" s="53">
        <f>IF($AC556&gt;0,SUMIFS(Q$4:Q555,$D$4:$D555,$D556,$C$4:$C555,$C556),0)</f>
        <v>0</v>
      </c>
      <c r="AH556" s="53">
        <f>IF($AC556&gt;0,SUMIFS(M$4:M555,$D$4:$D555,$D556,$Z$4:$Z555,$Z556,$C$4:$C555,$C556),0)</f>
        <v>0</v>
      </c>
      <c r="AI556" s="43">
        <f>IF(OR($C556="",$I556=""),0,IF(COUNTIFS($C$5:$C556,$C556,$I$5:$I556,$I556)=1,1,0))</f>
        <v>0</v>
      </c>
      <c r="AJ556" s="43" t="str">
        <f>IF($AI556=1,SUMIFS($AI$4:$AI555,$C$4:$C555,$C556)+1,"")</f>
        <v/>
      </c>
      <c r="AK556" s="43">
        <f>IF(OR($C556="",$K556=""),0,IF(COUNTIFS($C$5:$C556,$C556,$K$5:$K556,$K556)=1,1,0))</f>
        <v>0</v>
      </c>
      <c r="AL556" s="43" t="str">
        <f>IF($AK556=1,SUMIFS($AK$4:$AK555,$C$4:$C555,$C556)+1,"")</f>
        <v/>
      </c>
      <c r="AM556" s="43">
        <f>IF(OR($C556="",$G556=""),0,IF(COUNTIFS($C$5:$C556,$C556,$G$5:$G556,$G556)=1,1,0))</f>
        <v>0</v>
      </c>
      <c r="AN556" s="43" t="str">
        <f>IF($AM556=1,SUMIFS($AM$4:$AM555,$C$4:$C555,$C556)+1,"")</f>
        <v/>
      </c>
    </row>
    <row r="557">
      <c r="A557" s="44" t="str">
        <f>IF(OR($B557="",$D557=""),"","TX"&amp;TEXT(ROW()-4,"0000"))</f>
        <v/>
      </c>
      <c r="B557" s="42" t="n"/>
      <c r="C557" s="47" t="str">
        <f>IF($B557="","",YEAR($B557)*100+MONTH($B557))</f>
        <v/>
      </c>
      <c r="D557" s="37" t="n"/>
      <c r="E557" s="45" t="str">
        <f>IF($D557="","",IFERROR(INDEX(CARDS!$B$5:$B$34,MATCH($D557,CARDS!$A$5:$A$34,0)),"⚠ Card ID?"))</f>
        <v/>
      </c>
      <c r="F557" s="45" t="str">
        <f>IF($D557="","",IFERROR(INDEX(CARDS!$C$5:$C$34,MATCH($D557,CARDS!$A$5:$A$34,0)),"⚠ Card ID?"))</f>
        <v/>
      </c>
      <c r="G557" s="37" t="n"/>
      <c r="H557" s="37" t="n"/>
      <c r="I557" s="41" t="n"/>
      <c r="J557" s="45" t="str">
        <f>IF($I557="","",IFERROR(INDEX(MCC_MASTER!$B$5:$B$504,MATCH($I557,MCC_MASTER!$A$5:$A$504,0)),"⚠ MCC chưa có"))</f>
        <v/>
      </c>
      <c r="K557" s="45" t="str">
        <f>IF($I557="","",IFERROR(IF(INDEX(MCC_MASTER!$C$5:$C$504,MATCH($I557,MCC_MASTER!$A$5:$A$504,0))="","Chưa phân loại",INDEX(MCC_MASTER!$C$5:$C$504,MATCH($I557,MCC_MASTER!$A$5:$A$504,0))),"Chưa phân loại"))</f>
        <v/>
      </c>
      <c r="L557" s="40" t="n"/>
      <c r="M557" s="48" t="str">
        <f>IF(OR($B557="",$D557=""),"",IF($AC557=0,0,IF(ISNUMBER(INDEX(CASHBACK_RULES!$L$5:$L$304,$AC557)),MAX(0,MIN($L557,INDEX(CASHBACK_RULES!$L$5:$L$304,$AC557)-$AH557)),MAX(0,$L557))))</f>
        <v/>
      </c>
      <c r="N557" s="49" t="str">
        <f>IF(OR($B557="",$D557=""),"",IF($AC557&gt;0,INDEX(CASHBACK_RULES!$I$5:$I$304,$AC557),0))</f>
        <v/>
      </c>
      <c r="O557" s="48" t="str">
        <f>IF(OR($B557="",$D557=""),"",ROUND($M557*$N557,0))</f>
        <v/>
      </c>
      <c r="P557" s="48" t="str">
        <f>IF($AC557&gt;0,IF(ISNUMBER(INDEX(CASHBACK_RULES!$J$5:$J$304,$AC557)),INDEX(CASHBACK_RULES!$J$5:$J$304,$AC557),"∞"),"")</f>
        <v/>
      </c>
      <c r="Q557" s="48" t="str">
        <f>IF(OR($B557="",$D557=""),"",IF($AC557=0,0,MAX(0,MIN($O557,IF(ISNUMBER($P557),$P557-$AF557,1E+15),IF(ISNUMBER($AA557),$AA557-$AG557,1E+15)))))</f>
        <v/>
      </c>
      <c r="R557" s="48" t="str">
        <f>IF(OR($B557="",$D557=""),"",IF($AC557=0,"",IF(AND(NOT(ISNUMBER($P557)),NOT(ISNUMBER($AA557))),"∞",MAX(0,MIN(IF(ISNUMBER($P557),$P557-$AF557-$Q557,1E+15),IF(ISNUMBER($AA557),$AA557-$AG557-$Q557,1E+15))))))</f>
        <v/>
      </c>
      <c r="S557" s="47" t="str">
        <f>IF($AD557="","",YEAR($AD557)*100+MONTH($AD557))</f>
        <v/>
      </c>
      <c r="T557" s="50" t="str">
        <f>IF($AD557="","",IFERROR(IF(INDEX(CARDS!$I$5:$I$34,MATCH($D557,CARDS!$A$5:$A$34,0))="","",IF(INDEX(CARDS!$I$5:$I$34,MATCH($D557,CARDS!$A$5:$A$34,0))&gt;INDEX(CARDS!$H$5:$H$34,MATCH($D557,CARDS!$A$5:$A$34,0)),DATE(YEAR($AD557),MONTH($AD557),MIN(INDEX(CARDS!$I$5:$I$34,MATCH($D557,CARDS!$A$5:$A$34,0)),DAY(EOMONTH($AD557,0)))),DATE(YEAR($AD557),MONTH($AD557)+1,MIN(INDEX(CARDS!$I$5:$I$34,MATCH($D557,CARDS!$A$5:$A$34,0)),DAY(EOMONTH($AD557,1)))))),""))</f>
        <v/>
      </c>
      <c r="U557" s="38" t="n"/>
      <c r="V557" s="37" t="n"/>
      <c r="W557" s="38" t="n"/>
      <c r="X557" s="38" t="n"/>
      <c r="Y557" s="44" t="str">
        <f>IF($AC557&gt;0,INDEX(CASHBACK_RULES!$A$5:$A$304,$AC557),"")</f>
        <v/>
      </c>
      <c r="Z557" s="45" t="str">
        <f>IF($AC557&gt;0,INDEX(CASHBACK_RULES!$E$5:$E$304,$AC557)&amp;"","")</f>
        <v/>
      </c>
      <c r="AA557" s="48" t="str">
        <f>IF($AC557&gt;0,IF(ISNUMBER(INDEX(CASHBACK_RULES!$K$5:$K$304,$AC557)),INDEX(CASHBACK_RULES!$K$5:$K$304,$AC557),"∞"),"")</f>
        <v/>
      </c>
      <c r="AB557" s="44" t="str">
        <f>IF(OR($B557="",$D557=""),"",IF($U557="Cancelled","Đã hủy",IF($AC557=0,"Không được hoàn",IF($Q557=0,IF(OR($O557&gt;0,$M557&lt;$L557),"Đã đạt cap","Không được hoàn"),IF(OR($Q557&lt;$O557,$M557&lt;$L557),"Hoàn một phần","Được hoàn")))))</f>
        <v/>
      </c>
      <c r="AC557" s="43">
        <f>IF(OR($B557="",$D557="",$I557="",$L557=""),0,IF($U557="Cancelled",0,IF($W557&lt;&gt;"",IFERROR(IF(INDEX(CASHBACK_RULES!$B$5:$B$304,MATCH($W557,CASHBACK_RULES!$A$5:$A$304,0))=$D557,MATCH($W557,CASHBACK_RULES!$A$5:$A$304,0),0),0),IFERROR(MATCH(1,INDEX((CASHBACK_RULES!$B$5:$B$304=$D557)*(CASHBACK_RULES!$G$5:$G$304=$I557)*(((CASHBACK_RULES!$N$5:$N$304="")+(CASHBACK_RULES!$N$5:$N$304&lt;=$B557))&gt;0)*(((CASHBACK_RULES!$O$5:$O$304="")+(CASHBACK_RULES!$O$5:$O$304&gt;=$B557))&gt;0)*(((CASHBACK_RULES!$M$5:$M$304="")+(CASHBACK_RULES!$M$5:$M$304&lt;=$L557))&gt;0),0),0),0))))</f>
        <v>0</v>
      </c>
      <c r="AD557" s="51" t="str">
        <f>IF(OR($B557="",$D557=""),"",IFERROR(IF(INDEX(CARDS!$H$5:$H$34,MATCH($D557,CARDS!$A$5:$A$34,0))="","",IF(DAY($B557)&lt;=INDEX(CARDS!$H$5:$H$34,MATCH($D557,CARDS!$A$5:$A$34,0)),DATE(YEAR($B557),MONTH($B557),MIN(INDEX(CARDS!$H$5:$H$34,MATCH($D557,CARDS!$A$5:$A$34,0)),DAY(EOMONTH($B557,0)))),DATE(YEAR($B557),MONTH($B557)+1,MIN(INDEX(CARDS!$H$5:$H$34,MATCH($D557,CARDS!$A$5:$A$34,0)),DAY(EOMONTH($B557,1)))))),""))</f>
        <v/>
      </c>
      <c r="AE557" s="52" t="str">
        <f>IF($C557="","",$C557&amp;"|"&amp;COUNTIF($C$5:$C557,$C557))</f>
        <v/>
      </c>
      <c r="AF557" s="53">
        <f>IF($AC557&gt;0,SUMIFS(Q$4:Q556,$D$4:$D556,$D557,$Z$4:$Z556,$Z557,$C$4:$C556,$C557),0)</f>
        <v>0</v>
      </c>
      <c r="AG557" s="53">
        <f>IF($AC557&gt;0,SUMIFS(Q$4:Q556,$D$4:$D556,$D557,$C$4:$C556,$C557),0)</f>
        <v>0</v>
      </c>
      <c r="AH557" s="53">
        <f>IF($AC557&gt;0,SUMIFS(M$4:M556,$D$4:$D556,$D557,$Z$4:$Z556,$Z557,$C$4:$C556,$C557),0)</f>
        <v>0</v>
      </c>
      <c r="AI557" s="43">
        <f>IF(OR($C557="",$I557=""),0,IF(COUNTIFS($C$5:$C557,$C557,$I$5:$I557,$I557)=1,1,0))</f>
        <v>0</v>
      </c>
      <c r="AJ557" s="43" t="str">
        <f>IF($AI557=1,SUMIFS($AI$4:$AI556,$C$4:$C556,$C557)+1,"")</f>
        <v/>
      </c>
      <c r="AK557" s="43">
        <f>IF(OR($C557="",$K557=""),0,IF(COUNTIFS($C$5:$C557,$C557,$K$5:$K557,$K557)=1,1,0))</f>
        <v>0</v>
      </c>
      <c r="AL557" s="43" t="str">
        <f>IF($AK557=1,SUMIFS($AK$4:$AK556,$C$4:$C556,$C557)+1,"")</f>
        <v/>
      </c>
      <c r="AM557" s="43">
        <f>IF(OR($C557="",$G557=""),0,IF(COUNTIFS($C$5:$C557,$C557,$G$5:$G557,$G557)=1,1,0))</f>
        <v>0</v>
      </c>
      <c r="AN557" s="43" t="str">
        <f>IF($AM557=1,SUMIFS($AM$4:$AM556,$C$4:$C556,$C557)+1,"")</f>
        <v/>
      </c>
    </row>
    <row r="558">
      <c r="A558" s="44" t="str">
        <f>IF(OR($B558="",$D558=""),"","TX"&amp;TEXT(ROW()-4,"0000"))</f>
        <v/>
      </c>
      <c r="B558" s="42" t="n"/>
      <c r="C558" s="47" t="str">
        <f>IF($B558="","",YEAR($B558)*100+MONTH($B558))</f>
        <v/>
      </c>
      <c r="D558" s="37" t="n"/>
      <c r="E558" s="45" t="str">
        <f>IF($D558="","",IFERROR(INDEX(CARDS!$B$5:$B$34,MATCH($D558,CARDS!$A$5:$A$34,0)),"⚠ Card ID?"))</f>
        <v/>
      </c>
      <c r="F558" s="45" t="str">
        <f>IF($D558="","",IFERROR(INDEX(CARDS!$C$5:$C$34,MATCH($D558,CARDS!$A$5:$A$34,0)),"⚠ Card ID?"))</f>
        <v/>
      </c>
      <c r="G558" s="37" t="n"/>
      <c r="H558" s="37" t="n"/>
      <c r="I558" s="41" t="n"/>
      <c r="J558" s="45" t="str">
        <f>IF($I558="","",IFERROR(INDEX(MCC_MASTER!$B$5:$B$504,MATCH($I558,MCC_MASTER!$A$5:$A$504,0)),"⚠ MCC chưa có"))</f>
        <v/>
      </c>
      <c r="K558" s="45" t="str">
        <f>IF($I558="","",IFERROR(IF(INDEX(MCC_MASTER!$C$5:$C$504,MATCH($I558,MCC_MASTER!$A$5:$A$504,0))="","Chưa phân loại",INDEX(MCC_MASTER!$C$5:$C$504,MATCH($I558,MCC_MASTER!$A$5:$A$504,0))),"Chưa phân loại"))</f>
        <v/>
      </c>
      <c r="L558" s="40" t="n"/>
      <c r="M558" s="48" t="str">
        <f>IF(OR($B558="",$D558=""),"",IF($AC558=0,0,IF(ISNUMBER(INDEX(CASHBACK_RULES!$L$5:$L$304,$AC558)),MAX(0,MIN($L558,INDEX(CASHBACK_RULES!$L$5:$L$304,$AC558)-$AH558)),MAX(0,$L558))))</f>
        <v/>
      </c>
      <c r="N558" s="49" t="str">
        <f>IF(OR($B558="",$D558=""),"",IF($AC558&gt;0,INDEX(CASHBACK_RULES!$I$5:$I$304,$AC558),0))</f>
        <v/>
      </c>
      <c r="O558" s="48" t="str">
        <f>IF(OR($B558="",$D558=""),"",ROUND($M558*$N558,0))</f>
        <v/>
      </c>
      <c r="P558" s="48" t="str">
        <f>IF($AC558&gt;0,IF(ISNUMBER(INDEX(CASHBACK_RULES!$J$5:$J$304,$AC558)),INDEX(CASHBACK_RULES!$J$5:$J$304,$AC558),"∞"),"")</f>
        <v/>
      </c>
      <c r="Q558" s="48" t="str">
        <f>IF(OR($B558="",$D558=""),"",IF($AC558=0,0,MAX(0,MIN($O558,IF(ISNUMBER($P558),$P558-$AF558,1E+15),IF(ISNUMBER($AA558),$AA558-$AG558,1E+15)))))</f>
        <v/>
      </c>
      <c r="R558" s="48" t="str">
        <f>IF(OR($B558="",$D558=""),"",IF($AC558=0,"",IF(AND(NOT(ISNUMBER($P558)),NOT(ISNUMBER($AA558))),"∞",MAX(0,MIN(IF(ISNUMBER($P558),$P558-$AF558-$Q558,1E+15),IF(ISNUMBER($AA558),$AA558-$AG558-$Q558,1E+15))))))</f>
        <v/>
      </c>
      <c r="S558" s="47" t="str">
        <f>IF($AD558="","",YEAR($AD558)*100+MONTH($AD558))</f>
        <v/>
      </c>
      <c r="T558" s="50" t="str">
        <f>IF($AD558="","",IFERROR(IF(INDEX(CARDS!$I$5:$I$34,MATCH($D558,CARDS!$A$5:$A$34,0))="","",IF(INDEX(CARDS!$I$5:$I$34,MATCH($D558,CARDS!$A$5:$A$34,0))&gt;INDEX(CARDS!$H$5:$H$34,MATCH($D558,CARDS!$A$5:$A$34,0)),DATE(YEAR($AD558),MONTH($AD558),MIN(INDEX(CARDS!$I$5:$I$34,MATCH($D558,CARDS!$A$5:$A$34,0)),DAY(EOMONTH($AD558,0)))),DATE(YEAR($AD558),MONTH($AD558)+1,MIN(INDEX(CARDS!$I$5:$I$34,MATCH($D558,CARDS!$A$5:$A$34,0)),DAY(EOMONTH($AD558,1)))))),""))</f>
        <v/>
      </c>
      <c r="U558" s="38" t="n"/>
      <c r="V558" s="37" t="n"/>
      <c r="W558" s="38" t="n"/>
      <c r="X558" s="38" t="n"/>
      <c r="Y558" s="44" t="str">
        <f>IF($AC558&gt;0,INDEX(CASHBACK_RULES!$A$5:$A$304,$AC558),"")</f>
        <v/>
      </c>
      <c r="Z558" s="45" t="str">
        <f>IF($AC558&gt;0,INDEX(CASHBACK_RULES!$E$5:$E$304,$AC558)&amp;"","")</f>
        <v/>
      </c>
      <c r="AA558" s="48" t="str">
        <f>IF($AC558&gt;0,IF(ISNUMBER(INDEX(CASHBACK_RULES!$K$5:$K$304,$AC558)),INDEX(CASHBACK_RULES!$K$5:$K$304,$AC558),"∞"),"")</f>
        <v/>
      </c>
      <c r="AB558" s="44" t="str">
        <f>IF(OR($B558="",$D558=""),"",IF($U558="Cancelled","Đã hủy",IF($AC558=0,"Không được hoàn",IF($Q558=0,IF(OR($O558&gt;0,$M558&lt;$L558),"Đã đạt cap","Không được hoàn"),IF(OR($Q558&lt;$O558,$M558&lt;$L558),"Hoàn một phần","Được hoàn")))))</f>
        <v/>
      </c>
      <c r="AC558" s="43">
        <f>IF(OR($B558="",$D558="",$I558="",$L558=""),0,IF($U558="Cancelled",0,IF($W558&lt;&gt;"",IFERROR(IF(INDEX(CASHBACK_RULES!$B$5:$B$304,MATCH($W558,CASHBACK_RULES!$A$5:$A$304,0))=$D558,MATCH($W558,CASHBACK_RULES!$A$5:$A$304,0),0),0),IFERROR(MATCH(1,INDEX((CASHBACK_RULES!$B$5:$B$304=$D558)*(CASHBACK_RULES!$G$5:$G$304=$I558)*(((CASHBACK_RULES!$N$5:$N$304="")+(CASHBACK_RULES!$N$5:$N$304&lt;=$B558))&gt;0)*(((CASHBACK_RULES!$O$5:$O$304="")+(CASHBACK_RULES!$O$5:$O$304&gt;=$B558))&gt;0)*(((CASHBACK_RULES!$M$5:$M$304="")+(CASHBACK_RULES!$M$5:$M$304&lt;=$L558))&gt;0),0),0),0))))</f>
        <v>0</v>
      </c>
      <c r="AD558" s="51" t="str">
        <f>IF(OR($B558="",$D558=""),"",IFERROR(IF(INDEX(CARDS!$H$5:$H$34,MATCH($D558,CARDS!$A$5:$A$34,0))="","",IF(DAY($B558)&lt;=INDEX(CARDS!$H$5:$H$34,MATCH($D558,CARDS!$A$5:$A$34,0)),DATE(YEAR($B558),MONTH($B558),MIN(INDEX(CARDS!$H$5:$H$34,MATCH($D558,CARDS!$A$5:$A$34,0)),DAY(EOMONTH($B558,0)))),DATE(YEAR($B558),MONTH($B558)+1,MIN(INDEX(CARDS!$H$5:$H$34,MATCH($D558,CARDS!$A$5:$A$34,0)),DAY(EOMONTH($B558,1)))))),""))</f>
        <v/>
      </c>
      <c r="AE558" s="52" t="str">
        <f>IF($C558="","",$C558&amp;"|"&amp;COUNTIF($C$5:$C558,$C558))</f>
        <v/>
      </c>
      <c r="AF558" s="53">
        <f>IF($AC558&gt;0,SUMIFS(Q$4:Q557,$D$4:$D557,$D558,$Z$4:$Z557,$Z558,$C$4:$C557,$C558),0)</f>
        <v>0</v>
      </c>
      <c r="AG558" s="53">
        <f>IF($AC558&gt;0,SUMIFS(Q$4:Q557,$D$4:$D557,$D558,$C$4:$C557,$C558),0)</f>
        <v>0</v>
      </c>
      <c r="AH558" s="53">
        <f>IF($AC558&gt;0,SUMIFS(M$4:M557,$D$4:$D557,$D558,$Z$4:$Z557,$Z558,$C$4:$C557,$C558),0)</f>
        <v>0</v>
      </c>
      <c r="AI558" s="43">
        <f>IF(OR($C558="",$I558=""),0,IF(COUNTIFS($C$5:$C558,$C558,$I$5:$I558,$I558)=1,1,0))</f>
        <v>0</v>
      </c>
      <c r="AJ558" s="43" t="str">
        <f>IF($AI558=1,SUMIFS($AI$4:$AI557,$C$4:$C557,$C558)+1,"")</f>
        <v/>
      </c>
      <c r="AK558" s="43">
        <f>IF(OR($C558="",$K558=""),0,IF(COUNTIFS($C$5:$C558,$C558,$K$5:$K558,$K558)=1,1,0))</f>
        <v>0</v>
      </c>
      <c r="AL558" s="43" t="str">
        <f>IF($AK558=1,SUMIFS($AK$4:$AK557,$C$4:$C557,$C558)+1,"")</f>
        <v/>
      </c>
      <c r="AM558" s="43">
        <f>IF(OR($C558="",$G558=""),0,IF(COUNTIFS($C$5:$C558,$C558,$G$5:$G558,$G558)=1,1,0))</f>
        <v>0</v>
      </c>
      <c r="AN558" s="43" t="str">
        <f>IF($AM558=1,SUMIFS($AM$4:$AM557,$C$4:$C557,$C558)+1,"")</f>
        <v/>
      </c>
    </row>
    <row r="559">
      <c r="A559" s="44" t="str">
        <f>IF(OR($B559="",$D559=""),"","TX"&amp;TEXT(ROW()-4,"0000"))</f>
        <v/>
      </c>
      <c r="B559" s="42" t="n"/>
      <c r="C559" s="47" t="str">
        <f>IF($B559="","",YEAR($B559)*100+MONTH($B559))</f>
        <v/>
      </c>
      <c r="D559" s="37" t="n"/>
      <c r="E559" s="45" t="str">
        <f>IF($D559="","",IFERROR(INDEX(CARDS!$B$5:$B$34,MATCH($D559,CARDS!$A$5:$A$34,0)),"⚠ Card ID?"))</f>
        <v/>
      </c>
      <c r="F559" s="45" t="str">
        <f>IF($D559="","",IFERROR(INDEX(CARDS!$C$5:$C$34,MATCH($D559,CARDS!$A$5:$A$34,0)),"⚠ Card ID?"))</f>
        <v/>
      </c>
      <c r="G559" s="37" t="n"/>
      <c r="H559" s="37" t="n"/>
      <c r="I559" s="41" t="n"/>
      <c r="J559" s="45" t="str">
        <f>IF($I559="","",IFERROR(INDEX(MCC_MASTER!$B$5:$B$504,MATCH($I559,MCC_MASTER!$A$5:$A$504,0)),"⚠ MCC chưa có"))</f>
        <v/>
      </c>
      <c r="K559" s="45" t="str">
        <f>IF($I559="","",IFERROR(IF(INDEX(MCC_MASTER!$C$5:$C$504,MATCH($I559,MCC_MASTER!$A$5:$A$504,0))="","Chưa phân loại",INDEX(MCC_MASTER!$C$5:$C$504,MATCH($I559,MCC_MASTER!$A$5:$A$504,0))),"Chưa phân loại"))</f>
        <v/>
      </c>
      <c r="L559" s="40" t="n"/>
      <c r="M559" s="48" t="str">
        <f>IF(OR($B559="",$D559=""),"",IF($AC559=0,0,IF(ISNUMBER(INDEX(CASHBACK_RULES!$L$5:$L$304,$AC559)),MAX(0,MIN($L559,INDEX(CASHBACK_RULES!$L$5:$L$304,$AC559)-$AH559)),MAX(0,$L559))))</f>
        <v/>
      </c>
      <c r="N559" s="49" t="str">
        <f>IF(OR($B559="",$D559=""),"",IF($AC559&gt;0,INDEX(CASHBACK_RULES!$I$5:$I$304,$AC559),0))</f>
        <v/>
      </c>
      <c r="O559" s="48" t="str">
        <f>IF(OR($B559="",$D559=""),"",ROUND($M559*$N559,0))</f>
        <v/>
      </c>
      <c r="P559" s="48" t="str">
        <f>IF($AC559&gt;0,IF(ISNUMBER(INDEX(CASHBACK_RULES!$J$5:$J$304,$AC559)),INDEX(CASHBACK_RULES!$J$5:$J$304,$AC559),"∞"),"")</f>
        <v/>
      </c>
      <c r="Q559" s="48" t="str">
        <f>IF(OR($B559="",$D559=""),"",IF($AC559=0,0,MAX(0,MIN($O559,IF(ISNUMBER($P559),$P559-$AF559,1E+15),IF(ISNUMBER($AA559),$AA559-$AG559,1E+15)))))</f>
        <v/>
      </c>
      <c r="R559" s="48" t="str">
        <f>IF(OR($B559="",$D559=""),"",IF($AC559=0,"",IF(AND(NOT(ISNUMBER($P559)),NOT(ISNUMBER($AA559))),"∞",MAX(0,MIN(IF(ISNUMBER($P559),$P559-$AF559-$Q559,1E+15),IF(ISNUMBER($AA559),$AA559-$AG559-$Q559,1E+15))))))</f>
        <v/>
      </c>
      <c r="S559" s="47" t="str">
        <f>IF($AD559="","",YEAR($AD559)*100+MONTH($AD559))</f>
        <v/>
      </c>
      <c r="T559" s="50" t="str">
        <f>IF($AD559="","",IFERROR(IF(INDEX(CARDS!$I$5:$I$34,MATCH($D559,CARDS!$A$5:$A$34,0))="","",IF(INDEX(CARDS!$I$5:$I$34,MATCH($D559,CARDS!$A$5:$A$34,0))&gt;INDEX(CARDS!$H$5:$H$34,MATCH($D559,CARDS!$A$5:$A$34,0)),DATE(YEAR($AD559),MONTH($AD559),MIN(INDEX(CARDS!$I$5:$I$34,MATCH($D559,CARDS!$A$5:$A$34,0)),DAY(EOMONTH($AD559,0)))),DATE(YEAR($AD559),MONTH($AD559)+1,MIN(INDEX(CARDS!$I$5:$I$34,MATCH($D559,CARDS!$A$5:$A$34,0)),DAY(EOMONTH($AD559,1)))))),""))</f>
        <v/>
      </c>
      <c r="U559" s="38" t="n"/>
      <c r="V559" s="37" t="n"/>
      <c r="W559" s="38" t="n"/>
      <c r="X559" s="38" t="n"/>
      <c r="Y559" s="44" t="str">
        <f>IF($AC559&gt;0,INDEX(CASHBACK_RULES!$A$5:$A$304,$AC559),"")</f>
        <v/>
      </c>
      <c r="Z559" s="45" t="str">
        <f>IF($AC559&gt;0,INDEX(CASHBACK_RULES!$E$5:$E$304,$AC559)&amp;"","")</f>
        <v/>
      </c>
      <c r="AA559" s="48" t="str">
        <f>IF($AC559&gt;0,IF(ISNUMBER(INDEX(CASHBACK_RULES!$K$5:$K$304,$AC559)),INDEX(CASHBACK_RULES!$K$5:$K$304,$AC559),"∞"),"")</f>
        <v/>
      </c>
      <c r="AB559" s="44" t="str">
        <f>IF(OR($B559="",$D559=""),"",IF($U559="Cancelled","Đã hủy",IF($AC559=0,"Không được hoàn",IF($Q559=0,IF(OR($O559&gt;0,$M559&lt;$L559),"Đã đạt cap","Không được hoàn"),IF(OR($Q559&lt;$O559,$M559&lt;$L559),"Hoàn một phần","Được hoàn")))))</f>
        <v/>
      </c>
      <c r="AC559" s="43">
        <f>IF(OR($B559="",$D559="",$I559="",$L559=""),0,IF($U559="Cancelled",0,IF($W559&lt;&gt;"",IFERROR(IF(INDEX(CASHBACK_RULES!$B$5:$B$304,MATCH($W559,CASHBACK_RULES!$A$5:$A$304,0))=$D559,MATCH($W559,CASHBACK_RULES!$A$5:$A$304,0),0),0),IFERROR(MATCH(1,INDEX((CASHBACK_RULES!$B$5:$B$304=$D559)*(CASHBACK_RULES!$G$5:$G$304=$I559)*(((CASHBACK_RULES!$N$5:$N$304="")+(CASHBACK_RULES!$N$5:$N$304&lt;=$B559))&gt;0)*(((CASHBACK_RULES!$O$5:$O$304="")+(CASHBACK_RULES!$O$5:$O$304&gt;=$B559))&gt;0)*(((CASHBACK_RULES!$M$5:$M$304="")+(CASHBACK_RULES!$M$5:$M$304&lt;=$L559))&gt;0),0),0),0))))</f>
        <v>0</v>
      </c>
      <c r="AD559" s="51" t="str">
        <f>IF(OR($B559="",$D559=""),"",IFERROR(IF(INDEX(CARDS!$H$5:$H$34,MATCH($D559,CARDS!$A$5:$A$34,0))="","",IF(DAY($B559)&lt;=INDEX(CARDS!$H$5:$H$34,MATCH($D559,CARDS!$A$5:$A$34,0)),DATE(YEAR($B559),MONTH($B559),MIN(INDEX(CARDS!$H$5:$H$34,MATCH($D559,CARDS!$A$5:$A$34,0)),DAY(EOMONTH($B559,0)))),DATE(YEAR($B559),MONTH($B559)+1,MIN(INDEX(CARDS!$H$5:$H$34,MATCH($D559,CARDS!$A$5:$A$34,0)),DAY(EOMONTH($B559,1)))))),""))</f>
        <v/>
      </c>
      <c r="AE559" s="52" t="str">
        <f>IF($C559="","",$C559&amp;"|"&amp;COUNTIF($C$5:$C559,$C559))</f>
        <v/>
      </c>
      <c r="AF559" s="53">
        <f>IF($AC559&gt;0,SUMIFS(Q$4:Q558,$D$4:$D558,$D559,$Z$4:$Z558,$Z559,$C$4:$C558,$C559),0)</f>
        <v>0</v>
      </c>
      <c r="AG559" s="53">
        <f>IF($AC559&gt;0,SUMIFS(Q$4:Q558,$D$4:$D558,$D559,$C$4:$C558,$C559),0)</f>
        <v>0</v>
      </c>
      <c r="AH559" s="53">
        <f>IF($AC559&gt;0,SUMIFS(M$4:M558,$D$4:$D558,$D559,$Z$4:$Z558,$Z559,$C$4:$C558,$C559),0)</f>
        <v>0</v>
      </c>
      <c r="AI559" s="43">
        <f>IF(OR($C559="",$I559=""),0,IF(COUNTIFS($C$5:$C559,$C559,$I$5:$I559,$I559)=1,1,0))</f>
        <v>0</v>
      </c>
      <c r="AJ559" s="43" t="str">
        <f>IF($AI559=1,SUMIFS($AI$4:$AI558,$C$4:$C558,$C559)+1,"")</f>
        <v/>
      </c>
      <c r="AK559" s="43">
        <f>IF(OR($C559="",$K559=""),0,IF(COUNTIFS($C$5:$C559,$C559,$K$5:$K559,$K559)=1,1,0))</f>
        <v>0</v>
      </c>
      <c r="AL559" s="43" t="str">
        <f>IF($AK559=1,SUMIFS($AK$4:$AK558,$C$4:$C558,$C559)+1,"")</f>
        <v/>
      </c>
      <c r="AM559" s="43">
        <f>IF(OR($C559="",$G559=""),0,IF(COUNTIFS($C$5:$C559,$C559,$G$5:$G559,$G559)=1,1,0))</f>
        <v>0</v>
      </c>
      <c r="AN559" s="43" t="str">
        <f>IF($AM559=1,SUMIFS($AM$4:$AM558,$C$4:$C558,$C559)+1,"")</f>
        <v/>
      </c>
    </row>
    <row r="560">
      <c r="A560" s="44" t="str">
        <f>IF(OR($B560="",$D560=""),"","TX"&amp;TEXT(ROW()-4,"0000"))</f>
        <v/>
      </c>
      <c r="B560" s="42" t="n"/>
      <c r="C560" s="47" t="str">
        <f>IF($B560="","",YEAR($B560)*100+MONTH($B560))</f>
        <v/>
      </c>
      <c r="D560" s="37" t="n"/>
      <c r="E560" s="45" t="str">
        <f>IF($D560="","",IFERROR(INDEX(CARDS!$B$5:$B$34,MATCH($D560,CARDS!$A$5:$A$34,0)),"⚠ Card ID?"))</f>
        <v/>
      </c>
      <c r="F560" s="45" t="str">
        <f>IF($D560="","",IFERROR(INDEX(CARDS!$C$5:$C$34,MATCH($D560,CARDS!$A$5:$A$34,0)),"⚠ Card ID?"))</f>
        <v/>
      </c>
      <c r="G560" s="37" t="n"/>
      <c r="H560" s="37" t="n"/>
      <c r="I560" s="41" t="n"/>
      <c r="J560" s="45" t="str">
        <f>IF($I560="","",IFERROR(INDEX(MCC_MASTER!$B$5:$B$504,MATCH($I560,MCC_MASTER!$A$5:$A$504,0)),"⚠ MCC chưa có"))</f>
        <v/>
      </c>
      <c r="K560" s="45" t="str">
        <f>IF($I560="","",IFERROR(IF(INDEX(MCC_MASTER!$C$5:$C$504,MATCH($I560,MCC_MASTER!$A$5:$A$504,0))="","Chưa phân loại",INDEX(MCC_MASTER!$C$5:$C$504,MATCH($I560,MCC_MASTER!$A$5:$A$504,0))),"Chưa phân loại"))</f>
        <v/>
      </c>
      <c r="L560" s="40" t="n"/>
      <c r="M560" s="48" t="str">
        <f>IF(OR($B560="",$D560=""),"",IF($AC560=0,0,IF(ISNUMBER(INDEX(CASHBACK_RULES!$L$5:$L$304,$AC560)),MAX(0,MIN($L560,INDEX(CASHBACK_RULES!$L$5:$L$304,$AC560)-$AH560)),MAX(0,$L560))))</f>
        <v/>
      </c>
      <c r="N560" s="49" t="str">
        <f>IF(OR($B560="",$D560=""),"",IF($AC560&gt;0,INDEX(CASHBACK_RULES!$I$5:$I$304,$AC560),0))</f>
        <v/>
      </c>
      <c r="O560" s="48" t="str">
        <f>IF(OR($B560="",$D560=""),"",ROUND($M560*$N560,0))</f>
        <v/>
      </c>
      <c r="P560" s="48" t="str">
        <f>IF($AC560&gt;0,IF(ISNUMBER(INDEX(CASHBACK_RULES!$J$5:$J$304,$AC560)),INDEX(CASHBACK_RULES!$J$5:$J$304,$AC560),"∞"),"")</f>
        <v/>
      </c>
      <c r="Q560" s="48" t="str">
        <f>IF(OR($B560="",$D560=""),"",IF($AC560=0,0,MAX(0,MIN($O560,IF(ISNUMBER($P560),$P560-$AF560,1E+15),IF(ISNUMBER($AA560),$AA560-$AG560,1E+15)))))</f>
        <v/>
      </c>
      <c r="R560" s="48" t="str">
        <f>IF(OR($B560="",$D560=""),"",IF($AC560=0,"",IF(AND(NOT(ISNUMBER($P560)),NOT(ISNUMBER($AA560))),"∞",MAX(0,MIN(IF(ISNUMBER($P560),$P560-$AF560-$Q560,1E+15),IF(ISNUMBER($AA560),$AA560-$AG560-$Q560,1E+15))))))</f>
        <v/>
      </c>
      <c r="S560" s="47" t="str">
        <f>IF($AD560="","",YEAR($AD560)*100+MONTH($AD560))</f>
        <v/>
      </c>
      <c r="T560" s="50" t="str">
        <f>IF($AD560="","",IFERROR(IF(INDEX(CARDS!$I$5:$I$34,MATCH($D560,CARDS!$A$5:$A$34,0))="","",IF(INDEX(CARDS!$I$5:$I$34,MATCH($D560,CARDS!$A$5:$A$34,0))&gt;INDEX(CARDS!$H$5:$H$34,MATCH($D560,CARDS!$A$5:$A$34,0)),DATE(YEAR($AD560),MONTH($AD560),MIN(INDEX(CARDS!$I$5:$I$34,MATCH($D560,CARDS!$A$5:$A$34,0)),DAY(EOMONTH($AD560,0)))),DATE(YEAR($AD560),MONTH($AD560)+1,MIN(INDEX(CARDS!$I$5:$I$34,MATCH($D560,CARDS!$A$5:$A$34,0)),DAY(EOMONTH($AD560,1)))))),""))</f>
        <v/>
      </c>
      <c r="U560" s="38" t="n"/>
      <c r="V560" s="37" t="n"/>
      <c r="W560" s="38" t="n"/>
      <c r="X560" s="38" t="n"/>
      <c r="Y560" s="44" t="str">
        <f>IF($AC560&gt;0,INDEX(CASHBACK_RULES!$A$5:$A$304,$AC560),"")</f>
        <v/>
      </c>
      <c r="Z560" s="45" t="str">
        <f>IF($AC560&gt;0,INDEX(CASHBACK_RULES!$E$5:$E$304,$AC560)&amp;"","")</f>
        <v/>
      </c>
      <c r="AA560" s="48" t="str">
        <f>IF($AC560&gt;0,IF(ISNUMBER(INDEX(CASHBACK_RULES!$K$5:$K$304,$AC560)),INDEX(CASHBACK_RULES!$K$5:$K$304,$AC560),"∞"),"")</f>
        <v/>
      </c>
      <c r="AB560" s="44" t="str">
        <f>IF(OR($B560="",$D560=""),"",IF($U560="Cancelled","Đã hủy",IF($AC560=0,"Không được hoàn",IF($Q560=0,IF(OR($O560&gt;0,$M560&lt;$L560),"Đã đạt cap","Không được hoàn"),IF(OR($Q560&lt;$O560,$M560&lt;$L560),"Hoàn một phần","Được hoàn")))))</f>
        <v/>
      </c>
      <c r="AC560" s="43">
        <f>IF(OR($B560="",$D560="",$I560="",$L560=""),0,IF($U560="Cancelled",0,IF($W560&lt;&gt;"",IFERROR(IF(INDEX(CASHBACK_RULES!$B$5:$B$304,MATCH($W560,CASHBACK_RULES!$A$5:$A$304,0))=$D560,MATCH($W560,CASHBACK_RULES!$A$5:$A$304,0),0),0),IFERROR(MATCH(1,INDEX((CASHBACK_RULES!$B$5:$B$304=$D560)*(CASHBACK_RULES!$G$5:$G$304=$I560)*(((CASHBACK_RULES!$N$5:$N$304="")+(CASHBACK_RULES!$N$5:$N$304&lt;=$B560))&gt;0)*(((CASHBACK_RULES!$O$5:$O$304="")+(CASHBACK_RULES!$O$5:$O$304&gt;=$B560))&gt;0)*(((CASHBACK_RULES!$M$5:$M$304="")+(CASHBACK_RULES!$M$5:$M$304&lt;=$L560))&gt;0),0),0),0))))</f>
        <v>0</v>
      </c>
      <c r="AD560" s="51" t="str">
        <f>IF(OR($B560="",$D560=""),"",IFERROR(IF(INDEX(CARDS!$H$5:$H$34,MATCH($D560,CARDS!$A$5:$A$34,0))="","",IF(DAY($B560)&lt;=INDEX(CARDS!$H$5:$H$34,MATCH($D560,CARDS!$A$5:$A$34,0)),DATE(YEAR($B560),MONTH($B560),MIN(INDEX(CARDS!$H$5:$H$34,MATCH($D560,CARDS!$A$5:$A$34,0)),DAY(EOMONTH($B560,0)))),DATE(YEAR($B560),MONTH($B560)+1,MIN(INDEX(CARDS!$H$5:$H$34,MATCH($D560,CARDS!$A$5:$A$34,0)),DAY(EOMONTH($B560,1)))))),""))</f>
        <v/>
      </c>
      <c r="AE560" s="52" t="str">
        <f>IF($C560="","",$C560&amp;"|"&amp;COUNTIF($C$5:$C560,$C560))</f>
        <v/>
      </c>
      <c r="AF560" s="53">
        <f>IF($AC560&gt;0,SUMIFS(Q$4:Q559,$D$4:$D559,$D560,$Z$4:$Z559,$Z560,$C$4:$C559,$C560),0)</f>
        <v>0</v>
      </c>
      <c r="AG560" s="53">
        <f>IF($AC560&gt;0,SUMIFS(Q$4:Q559,$D$4:$D559,$D560,$C$4:$C559,$C560),0)</f>
        <v>0</v>
      </c>
      <c r="AH560" s="53">
        <f>IF($AC560&gt;0,SUMIFS(M$4:M559,$D$4:$D559,$D560,$Z$4:$Z559,$Z560,$C$4:$C559,$C560),0)</f>
        <v>0</v>
      </c>
      <c r="AI560" s="43">
        <f>IF(OR($C560="",$I560=""),0,IF(COUNTIFS($C$5:$C560,$C560,$I$5:$I560,$I560)=1,1,0))</f>
        <v>0</v>
      </c>
      <c r="AJ560" s="43" t="str">
        <f>IF($AI560=1,SUMIFS($AI$4:$AI559,$C$4:$C559,$C560)+1,"")</f>
        <v/>
      </c>
      <c r="AK560" s="43">
        <f>IF(OR($C560="",$K560=""),0,IF(COUNTIFS($C$5:$C560,$C560,$K$5:$K560,$K560)=1,1,0))</f>
        <v>0</v>
      </c>
      <c r="AL560" s="43" t="str">
        <f>IF($AK560=1,SUMIFS($AK$4:$AK559,$C$4:$C559,$C560)+1,"")</f>
        <v/>
      </c>
      <c r="AM560" s="43">
        <f>IF(OR($C560="",$G560=""),0,IF(COUNTIFS($C$5:$C560,$C560,$G$5:$G560,$G560)=1,1,0))</f>
        <v>0</v>
      </c>
      <c r="AN560" s="43" t="str">
        <f>IF($AM560=1,SUMIFS($AM$4:$AM559,$C$4:$C559,$C560)+1,"")</f>
        <v/>
      </c>
    </row>
    <row r="561">
      <c r="A561" s="44" t="str">
        <f>IF(OR($B561="",$D561=""),"","TX"&amp;TEXT(ROW()-4,"0000"))</f>
        <v/>
      </c>
      <c r="B561" s="42" t="n"/>
      <c r="C561" s="47" t="str">
        <f>IF($B561="","",YEAR($B561)*100+MONTH($B561))</f>
        <v/>
      </c>
      <c r="D561" s="37" t="n"/>
      <c r="E561" s="45" t="str">
        <f>IF($D561="","",IFERROR(INDEX(CARDS!$B$5:$B$34,MATCH($D561,CARDS!$A$5:$A$34,0)),"⚠ Card ID?"))</f>
        <v/>
      </c>
      <c r="F561" s="45" t="str">
        <f>IF($D561="","",IFERROR(INDEX(CARDS!$C$5:$C$34,MATCH($D561,CARDS!$A$5:$A$34,0)),"⚠ Card ID?"))</f>
        <v/>
      </c>
      <c r="G561" s="37" t="n"/>
      <c r="H561" s="37" t="n"/>
      <c r="I561" s="41" t="n"/>
      <c r="J561" s="45" t="str">
        <f>IF($I561="","",IFERROR(INDEX(MCC_MASTER!$B$5:$B$504,MATCH($I561,MCC_MASTER!$A$5:$A$504,0)),"⚠ MCC chưa có"))</f>
        <v/>
      </c>
      <c r="K561" s="45" t="str">
        <f>IF($I561="","",IFERROR(IF(INDEX(MCC_MASTER!$C$5:$C$504,MATCH($I561,MCC_MASTER!$A$5:$A$504,0))="","Chưa phân loại",INDEX(MCC_MASTER!$C$5:$C$504,MATCH($I561,MCC_MASTER!$A$5:$A$504,0))),"Chưa phân loại"))</f>
        <v/>
      </c>
      <c r="L561" s="40" t="n"/>
      <c r="M561" s="48" t="str">
        <f>IF(OR($B561="",$D561=""),"",IF($AC561=0,0,IF(ISNUMBER(INDEX(CASHBACK_RULES!$L$5:$L$304,$AC561)),MAX(0,MIN($L561,INDEX(CASHBACK_RULES!$L$5:$L$304,$AC561)-$AH561)),MAX(0,$L561))))</f>
        <v/>
      </c>
      <c r="N561" s="49" t="str">
        <f>IF(OR($B561="",$D561=""),"",IF($AC561&gt;0,INDEX(CASHBACK_RULES!$I$5:$I$304,$AC561),0))</f>
        <v/>
      </c>
      <c r="O561" s="48" t="str">
        <f>IF(OR($B561="",$D561=""),"",ROUND($M561*$N561,0))</f>
        <v/>
      </c>
      <c r="P561" s="48" t="str">
        <f>IF($AC561&gt;0,IF(ISNUMBER(INDEX(CASHBACK_RULES!$J$5:$J$304,$AC561)),INDEX(CASHBACK_RULES!$J$5:$J$304,$AC561),"∞"),"")</f>
        <v/>
      </c>
      <c r="Q561" s="48" t="str">
        <f>IF(OR($B561="",$D561=""),"",IF($AC561=0,0,MAX(0,MIN($O561,IF(ISNUMBER($P561),$P561-$AF561,1E+15),IF(ISNUMBER($AA561),$AA561-$AG561,1E+15)))))</f>
        <v/>
      </c>
      <c r="R561" s="48" t="str">
        <f>IF(OR($B561="",$D561=""),"",IF($AC561=0,"",IF(AND(NOT(ISNUMBER($P561)),NOT(ISNUMBER($AA561))),"∞",MAX(0,MIN(IF(ISNUMBER($P561),$P561-$AF561-$Q561,1E+15),IF(ISNUMBER($AA561),$AA561-$AG561-$Q561,1E+15))))))</f>
        <v/>
      </c>
      <c r="S561" s="47" t="str">
        <f>IF($AD561="","",YEAR($AD561)*100+MONTH($AD561))</f>
        <v/>
      </c>
      <c r="T561" s="50" t="str">
        <f>IF($AD561="","",IFERROR(IF(INDEX(CARDS!$I$5:$I$34,MATCH($D561,CARDS!$A$5:$A$34,0))="","",IF(INDEX(CARDS!$I$5:$I$34,MATCH($D561,CARDS!$A$5:$A$34,0))&gt;INDEX(CARDS!$H$5:$H$34,MATCH($D561,CARDS!$A$5:$A$34,0)),DATE(YEAR($AD561),MONTH($AD561),MIN(INDEX(CARDS!$I$5:$I$34,MATCH($D561,CARDS!$A$5:$A$34,0)),DAY(EOMONTH($AD561,0)))),DATE(YEAR($AD561),MONTH($AD561)+1,MIN(INDEX(CARDS!$I$5:$I$34,MATCH($D561,CARDS!$A$5:$A$34,0)),DAY(EOMONTH($AD561,1)))))),""))</f>
        <v/>
      </c>
      <c r="U561" s="38" t="n"/>
      <c r="V561" s="37" t="n"/>
      <c r="W561" s="38" t="n"/>
      <c r="X561" s="38" t="n"/>
      <c r="Y561" s="44" t="str">
        <f>IF($AC561&gt;0,INDEX(CASHBACK_RULES!$A$5:$A$304,$AC561),"")</f>
        <v/>
      </c>
      <c r="Z561" s="45" t="str">
        <f>IF($AC561&gt;0,INDEX(CASHBACK_RULES!$E$5:$E$304,$AC561)&amp;"","")</f>
        <v/>
      </c>
      <c r="AA561" s="48" t="str">
        <f>IF($AC561&gt;0,IF(ISNUMBER(INDEX(CASHBACK_RULES!$K$5:$K$304,$AC561)),INDEX(CASHBACK_RULES!$K$5:$K$304,$AC561),"∞"),"")</f>
        <v/>
      </c>
      <c r="AB561" s="44" t="str">
        <f>IF(OR($B561="",$D561=""),"",IF($U561="Cancelled","Đã hủy",IF($AC561=0,"Không được hoàn",IF($Q561=0,IF(OR($O561&gt;0,$M561&lt;$L561),"Đã đạt cap","Không được hoàn"),IF(OR($Q561&lt;$O561,$M561&lt;$L561),"Hoàn một phần","Được hoàn")))))</f>
        <v/>
      </c>
      <c r="AC561" s="43">
        <f>IF(OR($B561="",$D561="",$I561="",$L561=""),0,IF($U561="Cancelled",0,IF($W561&lt;&gt;"",IFERROR(IF(INDEX(CASHBACK_RULES!$B$5:$B$304,MATCH($W561,CASHBACK_RULES!$A$5:$A$304,0))=$D561,MATCH($W561,CASHBACK_RULES!$A$5:$A$304,0),0),0),IFERROR(MATCH(1,INDEX((CASHBACK_RULES!$B$5:$B$304=$D561)*(CASHBACK_RULES!$G$5:$G$304=$I561)*(((CASHBACK_RULES!$N$5:$N$304="")+(CASHBACK_RULES!$N$5:$N$304&lt;=$B561))&gt;0)*(((CASHBACK_RULES!$O$5:$O$304="")+(CASHBACK_RULES!$O$5:$O$304&gt;=$B561))&gt;0)*(((CASHBACK_RULES!$M$5:$M$304="")+(CASHBACK_RULES!$M$5:$M$304&lt;=$L561))&gt;0),0),0),0))))</f>
        <v>0</v>
      </c>
      <c r="AD561" s="51" t="str">
        <f>IF(OR($B561="",$D561=""),"",IFERROR(IF(INDEX(CARDS!$H$5:$H$34,MATCH($D561,CARDS!$A$5:$A$34,0))="","",IF(DAY($B561)&lt;=INDEX(CARDS!$H$5:$H$34,MATCH($D561,CARDS!$A$5:$A$34,0)),DATE(YEAR($B561),MONTH($B561),MIN(INDEX(CARDS!$H$5:$H$34,MATCH($D561,CARDS!$A$5:$A$34,0)),DAY(EOMONTH($B561,0)))),DATE(YEAR($B561),MONTH($B561)+1,MIN(INDEX(CARDS!$H$5:$H$34,MATCH($D561,CARDS!$A$5:$A$34,0)),DAY(EOMONTH($B561,1)))))),""))</f>
        <v/>
      </c>
      <c r="AE561" s="52" t="str">
        <f>IF($C561="","",$C561&amp;"|"&amp;COUNTIF($C$5:$C561,$C561))</f>
        <v/>
      </c>
      <c r="AF561" s="53">
        <f>IF($AC561&gt;0,SUMIFS(Q$4:Q560,$D$4:$D560,$D561,$Z$4:$Z560,$Z561,$C$4:$C560,$C561),0)</f>
        <v>0</v>
      </c>
      <c r="AG561" s="53">
        <f>IF($AC561&gt;0,SUMIFS(Q$4:Q560,$D$4:$D560,$D561,$C$4:$C560,$C561),0)</f>
        <v>0</v>
      </c>
      <c r="AH561" s="53">
        <f>IF($AC561&gt;0,SUMIFS(M$4:M560,$D$4:$D560,$D561,$Z$4:$Z560,$Z561,$C$4:$C560,$C561),0)</f>
        <v>0</v>
      </c>
      <c r="AI561" s="43">
        <f>IF(OR($C561="",$I561=""),0,IF(COUNTIFS($C$5:$C561,$C561,$I$5:$I561,$I561)=1,1,0))</f>
        <v>0</v>
      </c>
      <c r="AJ561" s="43" t="str">
        <f>IF($AI561=1,SUMIFS($AI$4:$AI560,$C$4:$C560,$C561)+1,"")</f>
        <v/>
      </c>
      <c r="AK561" s="43">
        <f>IF(OR($C561="",$K561=""),0,IF(COUNTIFS($C$5:$C561,$C561,$K$5:$K561,$K561)=1,1,0))</f>
        <v>0</v>
      </c>
      <c r="AL561" s="43" t="str">
        <f>IF($AK561=1,SUMIFS($AK$4:$AK560,$C$4:$C560,$C561)+1,"")</f>
        <v/>
      </c>
      <c r="AM561" s="43">
        <f>IF(OR($C561="",$G561=""),0,IF(COUNTIFS($C$5:$C561,$C561,$G$5:$G561,$G561)=1,1,0))</f>
        <v>0</v>
      </c>
      <c r="AN561" s="43" t="str">
        <f>IF($AM561=1,SUMIFS($AM$4:$AM560,$C$4:$C560,$C561)+1,"")</f>
        <v/>
      </c>
    </row>
    <row r="562">
      <c r="A562" s="44" t="str">
        <f>IF(OR($B562="",$D562=""),"","TX"&amp;TEXT(ROW()-4,"0000"))</f>
        <v/>
      </c>
      <c r="B562" s="42" t="n"/>
      <c r="C562" s="47" t="str">
        <f>IF($B562="","",YEAR($B562)*100+MONTH($B562))</f>
        <v/>
      </c>
      <c r="D562" s="37" t="n"/>
      <c r="E562" s="45" t="str">
        <f>IF($D562="","",IFERROR(INDEX(CARDS!$B$5:$B$34,MATCH($D562,CARDS!$A$5:$A$34,0)),"⚠ Card ID?"))</f>
        <v/>
      </c>
      <c r="F562" s="45" t="str">
        <f>IF($D562="","",IFERROR(INDEX(CARDS!$C$5:$C$34,MATCH($D562,CARDS!$A$5:$A$34,0)),"⚠ Card ID?"))</f>
        <v/>
      </c>
      <c r="G562" s="37" t="n"/>
      <c r="H562" s="37" t="n"/>
      <c r="I562" s="41" t="n"/>
      <c r="J562" s="45" t="str">
        <f>IF($I562="","",IFERROR(INDEX(MCC_MASTER!$B$5:$B$504,MATCH($I562,MCC_MASTER!$A$5:$A$504,0)),"⚠ MCC chưa có"))</f>
        <v/>
      </c>
      <c r="K562" s="45" t="str">
        <f>IF($I562="","",IFERROR(IF(INDEX(MCC_MASTER!$C$5:$C$504,MATCH($I562,MCC_MASTER!$A$5:$A$504,0))="","Chưa phân loại",INDEX(MCC_MASTER!$C$5:$C$504,MATCH($I562,MCC_MASTER!$A$5:$A$504,0))),"Chưa phân loại"))</f>
        <v/>
      </c>
      <c r="L562" s="40" t="n"/>
      <c r="M562" s="48" t="str">
        <f>IF(OR($B562="",$D562=""),"",IF($AC562=0,0,IF(ISNUMBER(INDEX(CASHBACK_RULES!$L$5:$L$304,$AC562)),MAX(0,MIN($L562,INDEX(CASHBACK_RULES!$L$5:$L$304,$AC562)-$AH562)),MAX(0,$L562))))</f>
        <v/>
      </c>
      <c r="N562" s="49" t="str">
        <f>IF(OR($B562="",$D562=""),"",IF($AC562&gt;0,INDEX(CASHBACK_RULES!$I$5:$I$304,$AC562),0))</f>
        <v/>
      </c>
      <c r="O562" s="48" t="str">
        <f>IF(OR($B562="",$D562=""),"",ROUND($M562*$N562,0))</f>
        <v/>
      </c>
      <c r="P562" s="48" t="str">
        <f>IF($AC562&gt;0,IF(ISNUMBER(INDEX(CASHBACK_RULES!$J$5:$J$304,$AC562)),INDEX(CASHBACK_RULES!$J$5:$J$304,$AC562),"∞"),"")</f>
        <v/>
      </c>
      <c r="Q562" s="48" t="str">
        <f>IF(OR($B562="",$D562=""),"",IF($AC562=0,0,MAX(0,MIN($O562,IF(ISNUMBER($P562),$P562-$AF562,1E+15),IF(ISNUMBER($AA562),$AA562-$AG562,1E+15)))))</f>
        <v/>
      </c>
      <c r="R562" s="48" t="str">
        <f>IF(OR($B562="",$D562=""),"",IF($AC562=0,"",IF(AND(NOT(ISNUMBER($P562)),NOT(ISNUMBER($AA562))),"∞",MAX(0,MIN(IF(ISNUMBER($P562),$P562-$AF562-$Q562,1E+15),IF(ISNUMBER($AA562),$AA562-$AG562-$Q562,1E+15))))))</f>
        <v/>
      </c>
      <c r="S562" s="47" t="str">
        <f>IF($AD562="","",YEAR($AD562)*100+MONTH($AD562))</f>
        <v/>
      </c>
      <c r="T562" s="50" t="str">
        <f>IF($AD562="","",IFERROR(IF(INDEX(CARDS!$I$5:$I$34,MATCH($D562,CARDS!$A$5:$A$34,0))="","",IF(INDEX(CARDS!$I$5:$I$34,MATCH($D562,CARDS!$A$5:$A$34,0))&gt;INDEX(CARDS!$H$5:$H$34,MATCH($D562,CARDS!$A$5:$A$34,0)),DATE(YEAR($AD562),MONTH($AD562),MIN(INDEX(CARDS!$I$5:$I$34,MATCH($D562,CARDS!$A$5:$A$34,0)),DAY(EOMONTH($AD562,0)))),DATE(YEAR($AD562),MONTH($AD562)+1,MIN(INDEX(CARDS!$I$5:$I$34,MATCH($D562,CARDS!$A$5:$A$34,0)),DAY(EOMONTH($AD562,1)))))),""))</f>
        <v/>
      </c>
      <c r="U562" s="38" t="n"/>
      <c r="V562" s="37" t="n"/>
      <c r="W562" s="38" t="n"/>
      <c r="X562" s="38" t="n"/>
      <c r="Y562" s="44" t="str">
        <f>IF($AC562&gt;0,INDEX(CASHBACK_RULES!$A$5:$A$304,$AC562),"")</f>
        <v/>
      </c>
      <c r="Z562" s="45" t="str">
        <f>IF($AC562&gt;0,INDEX(CASHBACK_RULES!$E$5:$E$304,$AC562)&amp;"","")</f>
        <v/>
      </c>
      <c r="AA562" s="48" t="str">
        <f>IF($AC562&gt;0,IF(ISNUMBER(INDEX(CASHBACK_RULES!$K$5:$K$304,$AC562)),INDEX(CASHBACK_RULES!$K$5:$K$304,$AC562),"∞"),"")</f>
        <v/>
      </c>
      <c r="AB562" s="44" t="str">
        <f>IF(OR($B562="",$D562=""),"",IF($U562="Cancelled","Đã hủy",IF($AC562=0,"Không được hoàn",IF($Q562=0,IF(OR($O562&gt;0,$M562&lt;$L562),"Đã đạt cap","Không được hoàn"),IF(OR($Q562&lt;$O562,$M562&lt;$L562),"Hoàn một phần","Được hoàn")))))</f>
        <v/>
      </c>
      <c r="AC562" s="43">
        <f>IF(OR($B562="",$D562="",$I562="",$L562=""),0,IF($U562="Cancelled",0,IF($W562&lt;&gt;"",IFERROR(IF(INDEX(CASHBACK_RULES!$B$5:$B$304,MATCH($W562,CASHBACK_RULES!$A$5:$A$304,0))=$D562,MATCH($W562,CASHBACK_RULES!$A$5:$A$304,0),0),0),IFERROR(MATCH(1,INDEX((CASHBACK_RULES!$B$5:$B$304=$D562)*(CASHBACK_RULES!$G$5:$G$304=$I562)*(((CASHBACK_RULES!$N$5:$N$304="")+(CASHBACK_RULES!$N$5:$N$304&lt;=$B562))&gt;0)*(((CASHBACK_RULES!$O$5:$O$304="")+(CASHBACK_RULES!$O$5:$O$304&gt;=$B562))&gt;0)*(((CASHBACK_RULES!$M$5:$M$304="")+(CASHBACK_RULES!$M$5:$M$304&lt;=$L562))&gt;0),0),0),0))))</f>
        <v>0</v>
      </c>
      <c r="AD562" s="51" t="str">
        <f>IF(OR($B562="",$D562=""),"",IFERROR(IF(INDEX(CARDS!$H$5:$H$34,MATCH($D562,CARDS!$A$5:$A$34,0))="","",IF(DAY($B562)&lt;=INDEX(CARDS!$H$5:$H$34,MATCH($D562,CARDS!$A$5:$A$34,0)),DATE(YEAR($B562),MONTH($B562),MIN(INDEX(CARDS!$H$5:$H$34,MATCH($D562,CARDS!$A$5:$A$34,0)),DAY(EOMONTH($B562,0)))),DATE(YEAR($B562),MONTH($B562)+1,MIN(INDEX(CARDS!$H$5:$H$34,MATCH($D562,CARDS!$A$5:$A$34,0)),DAY(EOMONTH($B562,1)))))),""))</f>
        <v/>
      </c>
      <c r="AE562" s="52" t="str">
        <f>IF($C562="","",$C562&amp;"|"&amp;COUNTIF($C$5:$C562,$C562))</f>
        <v/>
      </c>
      <c r="AF562" s="53">
        <f>IF($AC562&gt;0,SUMIFS(Q$4:Q561,$D$4:$D561,$D562,$Z$4:$Z561,$Z562,$C$4:$C561,$C562),0)</f>
        <v>0</v>
      </c>
      <c r="AG562" s="53">
        <f>IF($AC562&gt;0,SUMIFS(Q$4:Q561,$D$4:$D561,$D562,$C$4:$C561,$C562),0)</f>
        <v>0</v>
      </c>
      <c r="AH562" s="53">
        <f>IF($AC562&gt;0,SUMIFS(M$4:M561,$D$4:$D561,$D562,$Z$4:$Z561,$Z562,$C$4:$C561,$C562),0)</f>
        <v>0</v>
      </c>
      <c r="AI562" s="43">
        <f>IF(OR($C562="",$I562=""),0,IF(COUNTIFS($C$5:$C562,$C562,$I$5:$I562,$I562)=1,1,0))</f>
        <v>0</v>
      </c>
      <c r="AJ562" s="43" t="str">
        <f>IF($AI562=1,SUMIFS($AI$4:$AI561,$C$4:$C561,$C562)+1,"")</f>
        <v/>
      </c>
      <c r="AK562" s="43">
        <f>IF(OR($C562="",$K562=""),0,IF(COUNTIFS($C$5:$C562,$C562,$K$5:$K562,$K562)=1,1,0))</f>
        <v>0</v>
      </c>
      <c r="AL562" s="43" t="str">
        <f>IF($AK562=1,SUMIFS($AK$4:$AK561,$C$4:$C561,$C562)+1,"")</f>
        <v/>
      </c>
      <c r="AM562" s="43">
        <f>IF(OR($C562="",$G562=""),0,IF(COUNTIFS($C$5:$C562,$C562,$G$5:$G562,$G562)=1,1,0))</f>
        <v>0</v>
      </c>
      <c r="AN562" s="43" t="str">
        <f>IF($AM562=1,SUMIFS($AM$4:$AM561,$C$4:$C561,$C562)+1,"")</f>
        <v/>
      </c>
    </row>
    <row r="563">
      <c r="A563" s="44" t="str">
        <f>IF(OR($B563="",$D563=""),"","TX"&amp;TEXT(ROW()-4,"0000"))</f>
        <v/>
      </c>
      <c r="B563" s="42" t="n"/>
      <c r="C563" s="47" t="str">
        <f>IF($B563="","",YEAR($B563)*100+MONTH($B563))</f>
        <v/>
      </c>
      <c r="D563" s="37" t="n"/>
      <c r="E563" s="45" t="str">
        <f>IF($D563="","",IFERROR(INDEX(CARDS!$B$5:$B$34,MATCH($D563,CARDS!$A$5:$A$34,0)),"⚠ Card ID?"))</f>
        <v/>
      </c>
      <c r="F563" s="45" t="str">
        <f>IF($D563="","",IFERROR(INDEX(CARDS!$C$5:$C$34,MATCH($D563,CARDS!$A$5:$A$34,0)),"⚠ Card ID?"))</f>
        <v/>
      </c>
      <c r="G563" s="37" t="n"/>
      <c r="H563" s="37" t="n"/>
      <c r="I563" s="41" t="n"/>
      <c r="J563" s="45" t="str">
        <f>IF($I563="","",IFERROR(INDEX(MCC_MASTER!$B$5:$B$504,MATCH($I563,MCC_MASTER!$A$5:$A$504,0)),"⚠ MCC chưa có"))</f>
        <v/>
      </c>
      <c r="K563" s="45" t="str">
        <f>IF($I563="","",IFERROR(IF(INDEX(MCC_MASTER!$C$5:$C$504,MATCH($I563,MCC_MASTER!$A$5:$A$504,0))="","Chưa phân loại",INDEX(MCC_MASTER!$C$5:$C$504,MATCH($I563,MCC_MASTER!$A$5:$A$504,0))),"Chưa phân loại"))</f>
        <v/>
      </c>
      <c r="L563" s="40" t="n"/>
      <c r="M563" s="48" t="str">
        <f>IF(OR($B563="",$D563=""),"",IF($AC563=0,0,IF(ISNUMBER(INDEX(CASHBACK_RULES!$L$5:$L$304,$AC563)),MAX(0,MIN($L563,INDEX(CASHBACK_RULES!$L$5:$L$304,$AC563)-$AH563)),MAX(0,$L563))))</f>
        <v/>
      </c>
      <c r="N563" s="49" t="str">
        <f>IF(OR($B563="",$D563=""),"",IF($AC563&gt;0,INDEX(CASHBACK_RULES!$I$5:$I$304,$AC563),0))</f>
        <v/>
      </c>
      <c r="O563" s="48" t="str">
        <f>IF(OR($B563="",$D563=""),"",ROUND($M563*$N563,0))</f>
        <v/>
      </c>
      <c r="P563" s="48" t="str">
        <f>IF($AC563&gt;0,IF(ISNUMBER(INDEX(CASHBACK_RULES!$J$5:$J$304,$AC563)),INDEX(CASHBACK_RULES!$J$5:$J$304,$AC563),"∞"),"")</f>
        <v/>
      </c>
      <c r="Q563" s="48" t="str">
        <f>IF(OR($B563="",$D563=""),"",IF($AC563=0,0,MAX(0,MIN($O563,IF(ISNUMBER($P563),$P563-$AF563,1E+15),IF(ISNUMBER($AA563),$AA563-$AG563,1E+15)))))</f>
        <v/>
      </c>
      <c r="R563" s="48" t="str">
        <f>IF(OR($B563="",$D563=""),"",IF($AC563=0,"",IF(AND(NOT(ISNUMBER($P563)),NOT(ISNUMBER($AA563))),"∞",MAX(0,MIN(IF(ISNUMBER($P563),$P563-$AF563-$Q563,1E+15),IF(ISNUMBER($AA563),$AA563-$AG563-$Q563,1E+15))))))</f>
        <v/>
      </c>
      <c r="S563" s="47" t="str">
        <f>IF($AD563="","",YEAR($AD563)*100+MONTH($AD563))</f>
        <v/>
      </c>
      <c r="T563" s="50" t="str">
        <f>IF($AD563="","",IFERROR(IF(INDEX(CARDS!$I$5:$I$34,MATCH($D563,CARDS!$A$5:$A$34,0))="","",IF(INDEX(CARDS!$I$5:$I$34,MATCH($D563,CARDS!$A$5:$A$34,0))&gt;INDEX(CARDS!$H$5:$H$34,MATCH($D563,CARDS!$A$5:$A$34,0)),DATE(YEAR($AD563),MONTH($AD563),MIN(INDEX(CARDS!$I$5:$I$34,MATCH($D563,CARDS!$A$5:$A$34,0)),DAY(EOMONTH($AD563,0)))),DATE(YEAR($AD563),MONTH($AD563)+1,MIN(INDEX(CARDS!$I$5:$I$34,MATCH($D563,CARDS!$A$5:$A$34,0)),DAY(EOMONTH($AD563,1)))))),""))</f>
        <v/>
      </c>
      <c r="U563" s="38" t="n"/>
      <c r="V563" s="37" t="n"/>
      <c r="W563" s="38" t="n"/>
      <c r="X563" s="38" t="n"/>
      <c r="Y563" s="44" t="str">
        <f>IF($AC563&gt;0,INDEX(CASHBACK_RULES!$A$5:$A$304,$AC563),"")</f>
        <v/>
      </c>
      <c r="Z563" s="45" t="str">
        <f>IF($AC563&gt;0,INDEX(CASHBACK_RULES!$E$5:$E$304,$AC563)&amp;"","")</f>
        <v/>
      </c>
      <c r="AA563" s="48" t="str">
        <f>IF($AC563&gt;0,IF(ISNUMBER(INDEX(CASHBACK_RULES!$K$5:$K$304,$AC563)),INDEX(CASHBACK_RULES!$K$5:$K$304,$AC563),"∞"),"")</f>
        <v/>
      </c>
      <c r="AB563" s="44" t="str">
        <f>IF(OR($B563="",$D563=""),"",IF($U563="Cancelled","Đã hủy",IF($AC563=0,"Không được hoàn",IF($Q563=0,IF(OR($O563&gt;0,$M563&lt;$L563),"Đã đạt cap","Không được hoàn"),IF(OR($Q563&lt;$O563,$M563&lt;$L563),"Hoàn một phần","Được hoàn")))))</f>
        <v/>
      </c>
      <c r="AC563" s="43">
        <f>IF(OR($B563="",$D563="",$I563="",$L563=""),0,IF($U563="Cancelled",0,IF($W563&lt;&gt;"",IFERROR(IF(INDEX(CASHBACK_RULES!$B$5:$B$304,MATCH($W563,CASHBACK_RULES!$A$5:$A$304,0))=$D563,MATCH($W563,CASHBACK_RULES!$A$5:$A$304,0),0),0),IFERROR(MATCH(1,INDEX((CASHBACK_RULES!$B$5:$B$304=$D563)*(CASHBACK_RULES!$G$5:$G$304=$I563)*(((CASHBACK_RULES!$N$5:$N$304="")+(CASHBACK_RULES!$N$5:$N$304&lt;=$B563))&gt;0)*(((CASHBACK_RULES!$O$5:$O$304="")+(CASHBACK_RULES!$O$5:$O$304&gt;=$B563))&gt;0)*(((CASHBACK_RULES!$M$5:$M$304="")+(CASHBACK_RULES!$M$5:$M$304&lt;=$L563))&gt;0),0),0),0))))</f>
        <v>0</v>
      </c>
      <c r="AD563" s="51" t="str">
        <f>IF(OR($B563="",$D563=""),"",IFERROR(IF(INDEX(CARDS!$H$5:$H$34,MATCH($D563,CARDS!$A$5:$A$34,0))="","",IF(DAY($B563)&lt;=INDEX(CARDS!$H$5:$H$34,MATCH($D563,CARDS!$A$5:$A$34,0)),DATE(YEAR($B563),MONTH($B563),MIN(INDEX(CARDS!$H$5:$H$34,MATCH($D563,CARDS!$A$5:$A$34,0)),DAY(EOMONTH($B563,0)))),DATE(YEAR($B563),MONTH($B563)+1,MIN(INDEX(CARDS!$H$5:$H$34,MATCH($D563,CARDS!$A$5:$A$34,0)),DAY(EOMONTH($B563,1)))))),""))</f>
        <v/>
      </c>
      <c r="AE563" s="52" t="str">
        <f>IF($C563="","",$C563&amp;"|"&amp;COUNTIF($C$5:$C563,$C563))</f>
        <v/>
      </c>
      <c r="AF563" s="53">
        <f>IF($AC563&gt;0,SUMIFS(Q$4:Q562,$D$4:$D562,$D563,$Z$4:$Z562,$Z563,$C$4:$C562,$C563),0)</f>
        <v>0</v>
      </c>
      <c r="AG563" s="53">
        <f>IF($AC563&gt;0,SUMIFS(Q$4:Q562,$D$4:$D562,$D563,$C$4:$C562,$C563),0)</f>
        <v>0</v>
      </c>
      <c r="AH563" s="53">
        <f>IF($AC563&gt;0,SUMIFS(M$4:M562,$D$4:$D562,$D563,$Z$4:$Z562,$Z563,$C$4:$C562,$C563),0)</f>
        <v>0</v>
      </c>
      <c r="AI563" s="43">
        <f>IF(OR($C563="",$I563=""),0,IF(COUNTIFS($C$5:$C563,$C563,$I$5:$I563,$I563)=1,1,0))</f>
        <v>0</v>
      </c>
      <c r="AJ563" s="43" t="str">
        <f>IF($AI563=1,SUMIFS($AI$4:$AI562,$C$4:$C562,$C563)+1,"")</f>
        <v/>
      </c>
      <c r="AK563" s="43">
        <f>IF(OR($C563="",$K563=""),0,IF(COUNTIFS($C$5:$C563,$C563,$K$5:$K563,$K563)=1,1,0))</f>
        <v>0</v>
      </c>
      <c r="AL563" s="43" t="str">
        <f>IF($AK563=1,SUMIFS($AK$4:$AK562,$C$4:$C562,$C563)+1,"")</f>
        <v/>
      </c>
      <c r="AM563" s="43">
        <f>IF(OR($C563="",$G563=""),0,IF(COUNTIFS($C$5:$C563,$C563,$G$5:$G563,$G563)=1,1,0))</f>
        <v>0</v>
      </c>
      <c r="AN563" s="43" t="str">
        <f>IF($AM563=1,SUMIFS($AM$4:$AM562,$C$4:$C562,$C563)+1,"")</f>
        <v/>
      </c>
    </row>
    <row r="564">
      <c r="A564" s="44" t="str">
        <f>IF(OR($B564="",$D564=""),"","TX"&amp;TEXT(ROW()-4,"0000"))</f>
        <v/>
      </c>
      <c r="B564" s="42" t="n"/>
      <c r="C564" s="47" t="str">
        <f>IF($B564="","",YEAR($B564)*100+MONTH($B564))</f>
        <v/>
      </c>
      <c r="D564" s="37" t="n"/>
      <c r="E564" s="45" t="str">
        <f>IF($D564="","",IFERROR(INDEX(CARDS!$B$5:$B$34,MATCH($D564,CARDS!$A$5:$A$34,0)),"⚠ Card ID?"))</f>
        <v/>
      </c>
      <c r="F564" s="45" t="str">
        <f>IF($D564="","",IFERROR(INDEX(CARDS!$C$5:$C$34,MATCH($D564,CARDS!$A$5:$A$34,0)),"⚠ Card ID?"))</f>
        <v/>
      </c>
      <c r="G564" s="37" t="n"/>
      <c r="H564" s="37" t="n"/>
      <c r="I564" s="41" t="n"/>
      <c r="J564" s="45" t="str">
        <f>IF($I564="","",IFERROR(INDEX(MCC_MASTER!$B$5:$B$504,MATCH($I564,MCC_MASTER!$A$5:$A$504,0)),"⚠ MCC chưa có"))</f>
        <v/>
      </c>
      <c r="K564" s="45" t="str">
        <f>IF($I564="","",IFERROR(IF(INDEX(MCC_MASTER!$C$5:$C$504,MATCH($I564,MCC_MASTER!$A$5:$A$504,0))="","Chưa phân loại",INDEX(MCC_MASTER!$C$5:$C$504,MATCH($I564,MCC_MASTER!$A$5:$A$504,0))),"Chưa phân loại"))</f>
        <v/>
      </c>
      <c r="L564" s="40" t="n"/>
      <c r="M564" s="48" t="str">
        <f>IF(OR($B564="",$D564=""),"",IF($AC564=0,0,IF(ISNUMBER(INDEX(CASHBACK_RULES!$L$5:$L$304,$AC564)),MAX(0,MIN($L564,INDEX(CASHBACK_RULES!$L$5:$L$304,$AC564)-$AH564)),MAX(0,$L564))))</f>
        <v/>
      </c>
      <c r="N564" s="49" t="str">
        <f>IF(OR($B564="",$D564=""),"",IF($AC564&gt;0,INDEX(CASHBACK_RULES!$I$5:$I$304,$AC564),0))</f>
        <v/>
      </c>
      <c r="O564" s="48" t="str">
        <f>IF(OR($B564="",$D564=""),"",ROUND($M564*$N564,0))</f>
        <v/>
      </c>
      <c r="P564" s="48" t="str">
        <f>IF($AC564&gt;0,IF(ISNUMBER(INDEX(CASHBACK_RULES!$J$5:$J$304,$AC564)),INDEX(CASHBACK_RULES!$J$5:$J$304,$AC564),"∞"),"")</f>
        <v/>
      </c>
      <c r="Q564" s="48" t="str">
        <f>IF(OR($B564="",$D564=""),"",IF($AC564=0,0,MAX(0,MIN($O564,IF(ISNUMBER($P564),$P564-$AF564,1E+15),IF(ISNUMBER($AA564),$AA564-$AG564,1E+15)))))</f>
        <v/>
      </c>
      <c r="R564" s="48" t="str">
        <f>IF(OR($B564="",$D564=""),"",IF($AC564=0,"",IF(AND(NOT(ISNUMBER($P564)),NOT(ISNUMBER($AA564))),"∞",MAX(0,MIN(IF(ISNUMBER($P564),$P564-$AF564-$Q564,1E+15),IF(ISNUMBER($AA564),$AA564-$AG564-$Q564,1E+15))))))</f>
        <v/>
      </c>
      <c r="S564" s="47" t="str">
        <f>IF($AD564="","",YEAR($AD564)*100+MONTH($AD564))</f>
        <v/>
      </c>
      <c r="T564" s="50" t="str">
        <f>IF($AD564="","",IFERROR(IF(INDEX(CARDS!$I$5:$I$34,MATCH($D564,CARDS!$A$5:$A$34,0))="","",IF(INDEX(CARDS!$I$5:$I$34,MATCH($D564,CARDS!$A$5:$A$34,0))&gt;INDEX(CARDS!$H$5:$H$34,MATCH($D564,CARDS!$A$5:$A$34,0)),DATE(YEAR($AD564),MONTH($AD564),MIN(INDEX(CARDS!$I$5:$I$34,MATCH($D564,CARDS!$A$5:$A$34,0)),DAY(EOMONTH($AD564,0)))),DATE(YEAR($AD564),MONTH($AD564)+1,MIN(INDEX(CARDS!$I$5:$I$34,MATCH($D564,CARDS!$A$5:$A$34,0)),DAY(EOMONTH($AD564,1)))))),""))</f>
        <v/>
      </c>
      <c r="U564" s="38" t="n"/>
      <c r="V564" s="37" t="n"/>
      <c r="W564" s="38" t="n"/>
      <c r="X564" s="38" t="n"/>
      <c r="Y564" s="44" t="str">
        <f>IF($AC564&gt;0,INDEX(CASHBACK_RULES!$A$5:$A$304,$AC564),"")</f>
        <v/>
      </c>
      <c r="Z564" s="45" t="str">
        <f>IF($AC564&gt;0,INDEX(CASHBACK_RULES!$E$5:$E$304,$AC564)&amp;"","")</f>
        <v/>
      </c>
      <c r="AA564" s="48" t="str">
        <f>IF($AC564&gt;0,IF(ISNUMBER(INDEX(CASHBACK_RULES!$K$5:$K$304,$AC564)),INDEX(CASHBACK_RULES!$K$5:$K$304,$AC564),"∞"),"")</f>
        <v/>
      </c>
      <c r="AB564" s="44" t="str">
        <f>IF(OR($B564="",$D564=""),"",IF($U564="Cancelled","Đã hủy",IF($AC564=0,"Không được hoàn",IF($Q564=0,IF(OR($O564&gt;0,$M564&lt;$L564),"Đã đạt cap","Không được hoàn"),IF(OR($Q564&lt;$O564,$M564&lt;$L564),"Hoàn một phần","Được hoàn")))))</f>
        <v/>
      </c>
      <c r="AC564" s="43">
        <f>IF(OR($B564="",$D564="",$I564="",$L564=""),0,IF($U564="Cancelled",0,IF($W564&lt;&gt;"",IFERROR(IF(INDEX(CASHBACK_RULES!$B$5:$B$304,MATCH($W564,CASHBACK_RULES!$A$5:$A$304,0))=$D564,MATCH($W564,CASHBACK_RULES!$A$5:$A$304,0),0),0),IFERROR(MATCH(1,INDEX((CASHBACK_RULES!$B$5:$B$304=$D564)*(CASHBACK_RULES!$G$5:$G$304=$I564)*(((CASHBACK_RULES!$N$5:$N$304="")+(CASHBACK_RULES!$N$5:$N$304&lt;=$B564))&gt;0)*(((CASHBACK_RULES!$O$5:$O$304="")+(CASHBACK_RULES!$O$5:$O$304&gt;=$B564))&gt;0)*(((CASHBACK_RULES!$M$5:$M$304="")+(CASHBACK_RULES!$M$5:$M$304&lt;=$L564))&gt;0),0),0),0))))</f>
        <v>0</v>
      </c>
      <c r="AD564" s="51" t="str">
        <f>IF(OR($B564="",$D564=""),"",IFERROR(IF(INDEX(CARDS!$H$5:$H$34,MATCH($D564,CARDS!$A$5:$A$34,0))="","",IF(DAY($B564)&lt;=INDEX(CARDS!$H$5:$H$34,MATCH($D564,CARDS!$A$5:$A$34,0)),DATE(YEAR($B564),MONTH($B564),MIN(INDEX(CARDS!$H$5:$H$34,MATCH($D564,CARDS!$A$5:$A$34,0)),DAY(EOMONTH($B564,0)))),DATE(YEAR($B564),MONTH($B564)+1,MIN(INDEX(CARDS!$H$5:$H$34,MATCH($D564,CARDS!$A$5:$A$34,0)),DAY(EOMONTH($B564,1)))))),""))</f>
        <v/>
      </c>
      <c r="AE564" s="52" t="str">
        <f>IF($C564="","",$C564&amp;"|"&amp;COUNTIF($C$5:$C564,$C564))</f>
        <v/>
      </c>
      <c r="AF564" s="53">
        <f>IF($AC564&gt;0,SUMIFS(Q$4:Q563,$D$4:$D563,$D564,$Z$4:$Z563,$Z564,$C$4:$C563,$C564),0)</f>
        <v>0</v>
      </c>
      <c r="AG564" s="53">
        <f>IF($AC564&gt;0,SUMIFS(Q$4:Q563,$D$4:$D563,$D564,$C$4:$C563,$C564),0)</f>
        <v>0</v>
      </c>
      <c r="AH564" s="53">
        <f>IF($AC564&gt;0,SUMIFS(M$4:M563,$D$4:$D563,$D564,$Z$4:$Z563,$Z564,$C$4:$C563,$C564),0)</f>
        <v>0</v>
      </c>
      <c r="AI564" s="43">
        <f>IF(OR($C564="",$I564=""),0,IF(COUNTIFS($C$5:$C564,$C564,$I$5:$I564,$I564)=1,1,0))</f>
        <v>0</v>
      </c>
      <c r="AJ564" s="43" t="str">
        <f>IF($AI564=1,SUMIFS($AI$4:$AI563,$C$4:$C563,$C564)+1,"")</f>
        <v/>
      </c>
      <c r="AK564" s="43">
        <f>IF(OR($C564="",$K564=""),0,IF(COUNTIFS($C$5:$C564,$C564,$K$5:$K564,$K564)=1,1,0))</f>
        <v>0</v>
      </c>
      <c r="AL564" s="43" t="str">
        <f>IF($AK564=1,SUMIFS($AK$4:$AK563,$C$4:$C563,$C564)+1,"")</f>
        <v/>
      </c>
      <c r="AM564" s="43">
        <f>IF(OR($C564="",$G564=""),0,IF(COUNTIFS($C$5:$C564,$C564,$G$5:$G564,$G564)=1,1,0))</f>
        <v>0</v>
      </c>
      <c r="AN564" s="43" t="str">
        <f>IF($AM564=1,SUMIFS($AM$4:$AM563,$C$4:$C563,$C564)+1,"")</f>
        <v/>
      </c>
    </row>
    <row r="565">
      <c r="A565" s="44" t="str">
        <f>IF(OR($B565="",$D565=""),"","TX"&amp;TEXT(ROW()-4,"0000"))</f>
        <v/>
      </c>
      <c r="B565" s="42" t="n"/>
      <c r="C565" s="47" t="str">
        <f>IF($B565="","",YEAR($B565)*100+MONTH($B565))</f>
        <v/>
      </c>
      <c r="D565" s="37" t="n"/>
      <c r="E565" s="45" t="str">
        <f>IF($D565="","",IFERROR(INDEX(CARDS!$B$5:$B$34,MATCH($D565,CARDS!$A$5:$A$34,0)),"⚠ Card ID?"))</f>
        <v/>
      </c>
      <c r="F565" s="45" t="str">
        <f>IF($D565="","",IFERROR(INDEX(CARDS!$C$5:$C$34,MATCH($D565,CARDS!$A$5:$A$34,0)),"⚠ Card ID?"))</f>
        <v/>
      </c>
      <c r="G565" s="37" t="n"/>
      <c r="H565" s="37" t="n"/>
      <c r="I565" s="41" t="n"/>
      <c r="J565" s="45" t="str">
        <f>IF($I565="","",IFERROR(INDEX(MCC_MASTER!$B$5:$B$504,MATCH($I565,MCC_MASTER!$A$5:$A$504,0)),"⚠ MCC chưa có"))</f>
        <v/>
      </c>
      <c r="K565" s="45" t="str">
        <f>IF($I565="","",IFERROR(IF(INDEX(MCC_MASTER!$C$5:$C$504,MATCH($I565,MCC_MASTER!$A$5:$A$504,0))="","Chưa phân loại",INDEX(MCC_MASTER!$C$5:$C$504,MATCH($I565,MCC_MASTER!$A$5:$A$504,0))),"Chưa phân loại"))</f>
        <v/>
      </c>
      <c r="L565" s="40" t="n"/>
      <c r="M565" s="48" t="str">
        <f>IF(OR($B565="",$D565=""),"",IF($AC565=0,0,IF(ISNUMBER(INDEX(CASHBACK_RULES!$L$5:$L$304,$AC565)),MAX(0,MIN($L565,INDEX(CASHBACK_RULES!$L$5:$L$304,$AC565)-$AH565)),MAX(0,$L565))))</f>
        <v/>
      </c>
      <c r="N565" s="49" t="str">
        <f>IF(OR($B565="",$D565=""),"",IF($AC565&gt;0,INDEX(CASHBACK_RULES!$I$5:$I$304,$AC565),0))</f>
        <v/>
      </c>
      <c r="O565" s="48" t="str">
        <f>IF(OR($B565="",$D565=""),"",ROUND($M565*$N565,0))</f>
        <v/>
      </c>
      <c r="P565" s="48" t="str">
        <f>IF($AC565&gt;0,IF(ISNUMBER(INDEX(CASHBACK_RULES!$J$5:$J$304,$AC565)),INDEX(CASHBACK_RULES!$J$5:$J$304,$AC565),"∞"),"")</f>
        <v/>
      </c>
      <c r="Q565" s="48" t="str">
        <f>IF(OR($B565="",$D565=""),"",IF($AC565=0,0,MAX(0,MIN($O565,IF(ISNUMBER($P565),$P565-$AF565,1E+15),IF(ISNUMBER($AA565),$AA565-$AG565,1E+15)))))</f>
        <v/>
      </c>
      <c r="R565" s="48" t="str">
        <f>IF(OR($B565="",$D565=""),"",IF($AC565=0,"",IF(AND(NOT(ISNUMBER($P565)),NOT(ISNUMBER($AA565))),"∞",MAX(0,MIN(IF(ISNUMBER($P565),$P565-$AF565-$Q565,1E+15),IF(ISNUMBER($AA565),$AA565-$AG565-$Q565,1E+15))))))</f>
        <v/>
      </c>
      <c r="S565" s="47" t="str">
        <f>IF($AD565="","",YEAR($AD565)*100+MONTH($AD565))</f>
        <v/>
      </c>
      <c r="T565" s="50" t="str">
        <f>IF($AD565="","",IFERROR(IF(INDEX(CARDS!$I$5:$I$34,MATCH($D565,CARDS!$A$5:$A$34,0))="","",IF(INDEX(CARDS!$I$5:$I$34,MATCH($D565,CARDS!$A$5:$A$34,0))&gt;INDEX(CARDS!$H$5:$H$34,MATCH($D565,CARDS!$A$5:$A$34,0)),DATE(YEAR($AD565),MONTH($AD565),MIN(INDEX(CARDS!$I$5:$I$34,MATCH($D565,CARDS!$A$5:$A$34,0)),DAY(EOMONTH($AD565,0)))),DATE(YEAR($AD565),MONTH($AD565)+1,MIN(INDEX(CARDS!$I$5:$I$34,MATCH($D565,CARDS!$A$5:$A$34,0)),DAY(EOMONTH($AD565,1)))))),""))</f>
        <v/>
      </c>
      <c r="U565" s="38" t="n"/>
      <c r="V565" s="37" t="n"/>
      <c r="W565" s="38" t="n"/>
      <c r="X565" s="38" t="n"/>
      <c r="Y565" s="44" t="str">
        <f>IF($AC565&gt;0,INDEX(CASHBACK_RULES!$A$5:$A$304,$AC565),"")</f>
        <v/>
      </c>
      <c r="Z565" s="45" t="str">
        <f>IF($AC565&gt;0,INDEX(CASHBACK_RULES!$E$5:$E$304,$AC565)&amp;"","")</f>
        <v/>
      </c>
      <c r="AA565" s="48" t="str">
        <f>IF($AC565&gt;0,IF(ISNUMBER(INDEX(CASHBACK_RULES!$K$5:$K$304,$AC565)),INDEX(CASHBACK_RULES!$K$5:$K$304,$AC565),"∞"),"")</f>
        <v/>
      </c>
      <c r="AB565" s="44" t="str">
        <f>IF(OR($B565="",$D565=""),"",IF($U565="Cancelled","Đã hủy",IF($AC565=0,"Không được hoàn",IF($Q565=0,IF(OR($O565&gt;0,$M565&lt;$L565),"Đã đạt cap","Không được hoàn"),IF(OR($Q565&lt;$O565,$M565&lt;$L565),"Hoàn một phần","Được hoàn")))))</f>
        <v/>
      </c>
      <c r="AC565" s="43">
        <f>IF(OR($B565="",$D565="",$I565="",$L565=""),0,IF($U565="Cancelled",0,IF($W565&lt;&gt;"",IFERROR(IF(INDEX(CASHBACK_RULES!$B$5:$B$304,MATCH($W565,CASHBACK_RULES!$A$5:$A$304,0))=$D565,MATCH($W565,CASHBACK_RULES!$A$5:$A$304,0),0),0),IFERROR(MATCH(1,INDEX((CASHBACK_RULES!$B$5:$B$304=$D565)*(CASHBACK_RULES!$G$5:$G$304=$I565)*(((CASHBACK_RULES!$N$5:$N$304="")+(CASHBACK_RULES!$N$5:$N$304&lt;=$B565))&gt;0)*(((CASHBACK_RULES!$O$5:$O$304="")+(CASHBACK_RULES!$O$5:$O$304&gt;=$B565))&gt;0)*(((CASHBACK_RULES!$M$5:$M$304="")+(CASHBACK_RULES!$M$5:$M$304&lt;=$L565))&gt;0),0),0),0))))</f>
        <v>0</v>
      </c>
      <c r="AD565" s="51" t="str">
        <f>IF(OR($B565="",$D565=""),"",IFERROR(IF(INDEX(CARDS!$H$5:$H$34,MATCH($D565,CARDS!$A$5:$A$34,0))="","",IF(DAY($B565)&lt;=INDEX(CARDS!$H$5:$H$34,MATCH($D565,CARDS!$A$5:$A$34,0)),DATE(YEAR($B565),MONTH($B565),MIN(INDEX(CARDS!$H$5:$H$34,MATCH($D565,CARDS!$A$5:$A$34,0)),DAY(EOMONTH($B565,0)))),DATE(YEAR($B565),MONTH($B565)+1,MIN(INDEX(CARDS!$H$5:$H$34,MATCH($D565,CARDS!$A$5:$A$34,0)),DAY(EOMONTH($B565,1)))))),""))</f>
        <v/>
      </c>
      <c r="AE565" s="52" t="str">
        <f>IF($C565="","",$C565&amp;"|"&amp;COUNTIF($C$5:$C565,$C565))</f>
        <v/>
      </c>
      <c r="AF565" s="53">
        <f>IF($AC565&gt;0,SUMIFS(Q$4:Q564,$D$4:$D564,$D565,$Z$4:$Z564,$Z565,$C$4:$C564,$C565),0)</f>
        <v>0</v>
      </c>
      <c r="AG565" s="53">
        <f>IF($AC565&gt;0,SUMIFS(Q$4:Q564,$D$4:$D564,$D565,$C$4:$C564,$C565),0)</f>
        <v>0</v>
      </c>
      <c r="AH565" s="53">
        <f>IF($AC565&gt;0,SUMIFS(M$4:M564,$D$4:$D564,$D565,$Z$4:$Z564,$Z565,$C$4:$C564,$C565),0)</f>
        <v>0</v>
      </c>
      <c r="AI565" s="43">
        <f>IF(OR($C565="",$I565=""),0,IF(COUNTIFS($C$5:$C565,$C565,$I$5:$I565,$I565)=1,1,0))</f>
        <v>0</v>
      </c>
      <c r="AJ565" s="43" t="str">
        <f>IF($AI565=1,SUMIFS($AI$4:$AI564,$C$4:$C564,$C565)+1,"")</f>
        <v/>
      </c>
      <c r="AK565" s="43">
        <f>IF(OR($C565="",$K565=""),0,IF(COUNTIFS($C$5:$C565,$C565,$K$5:$K565,$K565)=1,1,0))</f>
        <v>0</v>
      </c>
      <c r="AL565" s="43" t="str">
        <f>IF($AK565=1,SUMIFS($AK$4:$AK564,$C$4:$C564,$C565)+1,"")</f>
        <v/>
      </c>
      <c r="AM565" s="43">
        <f>IF(OR($C565="",$G565=""),0,IF(COUNTIFS($C$5:$C565,$C565,$G$5:$G565,$G565)=1,1,0))</f>
        <v>0</v>
      </c>
      <c r="AN565" s="43" t="str">
        <f>IF($AM565=1,SUMIFS($AM$4:$AM564,$C$4:$C564,$C565)+1,"")</f>
        <v/>
      </c>
    </row>
    <row r="566">
      <c r="A566" s="44" t="str">
        <f>IF(OR($B566="",$D566=""),"","TX"&amp;TEXT(ROW()-4,"0000"))</f>
        <v/>
      </c>
      <c r="B566" s="42" t="n"/>
      <c r="C566" s="47" t="str">
        <f>IF($B566="","",YEAR($B566)*100+MONTH($B566))</f>
        <v/>
      </c>
      <c r="D566" s="37" t="n"/>
      <c r="E566" s="45" t="str">
        <f>IF($D566="","",IFERROR(INDEX(CARDS!$B$5:$B$34,MATCH($D566,CARDS!$A$5:$A$34,0)),"⚠ Card ID?"))</f>
        <v/>
      </c>
      <c r="F566" s="45" t="str">
        <f>IF($D566="","",IFERROR(INDEX(CARDS!$C$5:$C$34,MATCH($D566,CARDS!$A$5:$A$34,0)),"⚠ Card ID?"))</f>
        <v/>
      </c>
      <c r="G566" s="37" t="n"/>
      <c r="H566" s="37" t="n"/>
      <c r="I566" s="41" t="n"/>
      <c r="J566" s="45" t="str">
        <f>IF($I566="","",IFERROR(INDEX(MCC_MASTER!$B$5:$B$504,MATCH($I566,MCC_MASTER!$A$5:$A$504,0)),"⚠ MCC chưa có"))</f>
        <v/>
      </c>
      <c r="K566" s="45" t="str">
        <f>IF($I566="","",IFERROR(IF(INDEX(MCC_MASTER!$C$5:$C$504,MATCH($I566,MCC_MASTER!$A$5:$A$504,0))="","Chưa phân loại",INDEX(MCC_MASTER!$C$5:$C$504,MATCH($I566,MCC_MASTER!$A$5:$A$504,0))),"Chưa phân loại"))</f>
        <v/>
      </c>
      <c r="L566" s="40" t="n"/>
      <c r="M566" s="48" t="str">
        <f>IF(OR($B566="",$D566=""),"",IF($AC566=0,0,IF(ISNUMBER(INDEX(CASHBACK_RULES!$L$5:$L$304,$AC566)),MAX(0,MIN($L566,INDEX(CASHBACK_RULES!$L$5:$L$304,$AC566)-$AH566)),MAX(0,$L566))))</f>
        <v/>
      </c>
      <c r="N566" s="49" t="str">
        <f>IF(OR($B566="",$D566=""),"",IF($AC566&gt;0,INDEX(CASHBACK_RULES!$I$5:$I$304,$AC566),0))</f>
        <v/>
      </c>
      <c r="O566" s="48" t="str">
        <f>IF(OR($B566="",$D566=""),"",ROUND($M566*$N566,0))</f>
        <v/>
      </c>
      <c r="P566" s="48" t="str">
        <f>IF($AC566&gt;0,IF(ISNUMBER(INDEX(CASHBACK_RULES!$J$5:$J$304,$AC566)),INDEX(CASHBACK_RULES!$J$5:$J$304,$AC566),"∞"),"")</f>
        <v/>
      </c>
      <c r="Q566" s="48" t="str">
        <f>IF(OR($B566="",$D566=""),"",IF($AC566=0,0,MAX(0,MIN($O566,IF(ISNUMBER($P566),$P566-$AF566,1E+15),IF(ISNUMBER($AA566),$AA566-$AG566,1E+15)))))</f>
        <v/>
      </c>
      <c r="R566" s="48" t="str">
        <f>IF(OR($B566="",$D566=""),"",IF($AC566=0,"",IF(AND(NOT(ISNUMBER($P566)),NOT(ISNUMBER($AA566))),"∞",MAX(0,MIN(IF(ISNUMBER($P566),$P566-$AF566-$Q566,1E+15),IF(ISNUMBER($AA566),$AA566-$AG566-$Q566,1E+15))))))</f>
        <v/>
      </c>
      <c r="S566" s="47" t="str">
        <f>IF($AD566="","",YEAR($AD566)*100+MONTH($AD566))</f>
        <v/>
      </c>
      <c r="T566" s="50" t="str">
        <f>IF($AD566="","",IFERROR(IF(INDEX(CARDS!$I$5:$I$34,MATCH($D566,CARDS!$A$5:$A$34,0))="","",IF(INDEX(CARDS!$I$5:$I$34,MATCH($D566,CARDS!$A$5:$A$34,0))&gt;INDEX(CARDS!$H$5:$H$34,MATCH($D566,CARDS!$A$5:$A$34,0)),DATE(YEAR($AD566),MONTH($AD566),MIN(INDEX(CARDS!$I$5:$I$34,MATCH($D566,CARDS!$A$5:$A$34,0)),DAY(EOMONTH($AD566,0)))),DATE(YEAR($AD566),MONTH($AD566)+1,MIN(INDEX(CARDS!$I$5:$I$34,MATCH($D566,CARDS!$A$5:$A$34,0)),DAY(EOMONTH($AD566,1)))))),""))</f>
        <v/>
      </c>
      <c r="U566" s="38" t="n"/>
      <c r="V566" s="37" t="n"/>
      <c r="W566" s="38" t="n"/>
      <c r="X566" s="38" t="n"/>
      <c r="Y566" s="44" t="str">
        <f>IF($AC566&gt;0,INDEX(CASHBACK_RULES!$A$5:$A$304,$AC566),"")</f>
        <v/>
      </c>
      <c r="Z566" s="45" t="str">
        <f>IF($AC566&gt;0,INDEX(CASHBACK_RULES!$E$5:$E$304,$AC566)&amp;"","")</f>
        <v/>
      </c>
      <c r="AA566" s="48" t="str">
        <f>IF($AC566&gt;0,IF(ISNUMBER(INDEX(CASHBACK_RULES!$K$5:$K$304,$AC566)),INDEX(CASHBACK_RULES!$K$5:$K$304,$AC566),"∞"),"")</f>
        <v/>
      </c>
      <c r="AB566" s="44" t="str">
        <f>IF(OR($B566="",$D566=""),"",IF($U566="Cancelled","Đã hủy",IF($AC566=0,"Không được hoàn",IF($Q566=0,IF(OR($O566&gt;0,$M566&lt;$L566),"Đã đạt cap","Không được hoàn"),IF(OR($Q566&lt;$O566,$M566&lt;$L566),"Hoàn một phần","Được hoàn")))))</f>
        <v/>
      </c>
      <c r="AC566" s="43">
        <f>IF(OR($B566="",$D566="",$I566="",$L566=""),0,IF($U566="Cancelled",0,IF($W566&lt;&gt;"",IFERROR(IF(INDEX(CASHBACK_RULES!$B$5:$B$304,MATCH($W566,CASHBACK_RULES!$A$5:$A$304,0))=$D566,MATCH($W566,CASHBACK_RULES!$A$5:$A$304,0),0),0),IFERROR(MATCH(1,INDEX((CASHBACK_RULES!$B$5:$B$304=$D566)*(CASHBACK_RULES!$G$5:$G$304=$I566)*(((CASHBACK_RULES!$N$5:$N$304="")+(CASHBACK_RULES!$N$5:$N$304&lt;=$B566))&gt;0)*(((CASHBACK_RULES!$O$5:$O$304="")+(CASHBACK_RULES!$O$5:$O$304&gt;=$B566))&gt;0)*(((CASHBACK_RULES!$M$5:$M$304="")+(CASHBACK_RULES!$M$5:$M$304&lt;=$L566))&gt;0),0),0),0))))</f>
        <v>0</v>
      </c>
      <c r="AD566" s="51" t="str">
        <f>IF(OR($B566="",$D566=""),"",IFERROR(IF(INDEX(CARDS!$H$5:$H$34,MATCH($D566,CARDS!$A$5:$A$34,0))="","",IF(DAY($B566)&lt;=INDEX(CARDS!$H$5:$H$34,MATCH($D566,CARDS!$A$5:$A$34,0)),DATE(YEAR($B566),MONTH($B566),MIN(INDEX(CARDS!$H$5:$H$34,MATCH($D566,CARDS!$A$5:$A$34,0)),DAY(EOMONTH($B566,0)))),DATE(YEAR($B566),MONTH($B566)+1,MIN(INDEX(CARDS!$H$5:$H$34,MATCH($D566,CARDS!$A$5:$A$34,0)),DAY(EOMONTH($B566,1)))))),""))</f>
        <v/>
      </c>
      <c r="AE566" s="52" t="str">
        <f>IF($C566="","",$C566&amp;"|"&amp;COUNTIF($C$5:$C566,$C566))</f>
        <v/>
      </c>
      <c r="AF566" s="53">
        <f>IF($AC566&gt;0,SUMIFS(Q$4:Q565,$D$4:$D565,$D566,$Z$4:$Z565,$Z566,$C$4:$C565,$C566),0)</f>
        <v>0</v>
      </c>
      <c r="AG566" s="53">
        <f>IF($AC566&gt;0,SUMIFS(Q$4:Q565,$D$4:$D565,$D566,$C$4:$C565,$C566),0)</f>
        <v>0</v>
      </c>
      <c r="AH566" s="53">
        <f>IF($AC566&gt;0,SUMIFS(M$4:M565,$D$4:$D565,$D566,$Z$4:$Z565,$Z566,$C$4:$C565,$C566),0)</f>
        <v>0</v>
      </c>
      <c r="AI566" s="43">
        <f>IF(OR($C566="",$I566=""),0,IF(COUNTIFS($C$5:$C566,$C566,$I$5:$I566,$I566)=1,1,0))</f>
        <v>0</v>
      </c>
      <c r="AJ566" s="43" t="str">
        <f>IF($AI566=1,SUMIFS($AI$4:$AI565,$C$4:$C565,$C566)+1,"")</f>
        <v/>
      </c>
      <c r="AK566" s="43">
        <f>IF(OR($C566="",$K566=""),0,IF(COUNTIFS($C$5:$C566,$C566,$K$5:$K566,$K566)=1,1,0))</f>
        <v>0</v>
      </c>
      <c r="AL566" s="43" t="str">
        <f>IF($AK566=1,SUMIFS($AK$4:$AK565,$C$4:$C565,$C566)+1,"")</f>
        <v/>
      </c>
      <c r="AM566" s="43">
        <f>IF(OR($C566="",$G566=""),0,IF(COUNTIFS($C$5:$C566,$C566,$G$5:$G566,$G566)=1,1,0))</f>
        <v>0</v>
      </c>
      <c r="AN566" s="43" t="str">
        <f>IF($AM566=1,SUMIFS($AM$4:$AM565,$C$4:$C565,$C566)+1,"")</f>
        <v/>
      </c>
    </row>
    <row r="567">
      <c r="A567" s="44" t="str">
        <f>IF(OR($B567="",$D567=""),"","TX"&amp;TEXT(ROW()-4,"0000"))</f>
        <v/>
      </c>
      <c r="B567" s="42" t="n"/>
      <c r="C567" s="47" t="str">
        <f>IF($B567="","",YEAR($B567)*100+MONTH($B567))</f>
        <v/>
      </c>
      <c r="D567" s="37" t="n"/>
      <c r="E567" s="45" t="str">
        <f>IF($D567="","",IFERROR(INDEX(CARDS!$B$5:$B$34,MATCH($D567,CARDS!$A$5:$A$34,0)),"⚠ Card ID?"))</f>
        <v/>
      </c>
      <c r="F567" s="45" t="str">
        <f>IF($D567="","",IFERROR(INDEX(CARDS!$C$5:$C$34,MATCH($D567,CARDS!$A$5:$A$34,0)),"⚠ Card ID?"))</f>
        <v/>
      </c>
      <c r="G567" s="37" t="n"/>
      <c r="H567" s="37" t="n"/>
      <c r="I567" s="41" t="n"/>
      <c r="J567" s="45" t="str">
        <f>IF($I567="","",IFERROR(INDEX(MCC_MASTER!$B$5:$B$504,MATCH($I567,MCC_MASTER!$A$5:$A$504,0)),"⚠ MCC chưa có"))</f>
        <v/>
      </c>
      <c r="K567" s="45" t="str">
        <f>IF($I567="","",IFERROR(IF(INDEX(MCC_MASTER!$C$5:$C$504,MATCH($I567,MCC_MASTER!$A$5:$A$504,0))="","Chưa phân loại",INDEX(MCC_MASTER!$C$5:$C$504,MATCH($I567,MCC_MASTER!$A$5:$A$504,0))),"Chưa phân loại"))</f>
        <v/>
      </c>
      <c r="L567" s="40" t="n"/>
      <c r="M567" s="48" t="str">
        <f>IF(OR($B567="",$D567=""),"",IF($AC567=0,0,IF(ISNUMBER(INDEX(CASHBACK_RULES!$L$5:$L$304,$AC567)),MAX(0,MIN($L567,INDEX(CASHBACK_RULES!$L$5:$L$304,$AC567)-$AH567)),MAX(0,$L567))))</f>
        <v/>
      </c>
      <c r="N567" s="49" t="str">
        <f>IF(OR($B567="",$D567=""),"",IF($AC567&gt;0,INDEX(CASHBACK_RULES!$I$5:$I$304,$AC567),0))</f>
        <v/>
      </c>
      <c r="O567" s="48" t="str">
        <f>IF(OR($B567="",$D567=""),"",ROUND($M567*$N567,0))</f>
        <v/>
      </c>
      <c r="P567" s="48" t="str">
        <f>IF($AC567&gt;0,IF(ISNUMBER(INDEX(CASHBACK_RULES!$J$5:$J$304,$AC567)),INDEX(CASHBACK_RULES!$J$5:$J$304,$AC567),"∞"),"")</f>
        <v/>
      </c>
      <c r="Q567" s="48" t="str">
        <f>IF(OR($B567="",$D567=""),"",IF($AC567=0,0,MAX(0,MIN($O567,IF(ISNUMBER($P567),$P567-$AF567,1E+15),IF(ISNUMBER($AA567),$AA567-$AG567,1E+15)))))</f>
        <v/>
      </c>
      <c r="R567" s="48" t="str">
        <f>IF(OR($B567="",$D567=""),"",IF($AC567=0,"",IF(AND(NOT(ISNUMBER($P567)),NOT(ISNUMBER($AA567))),"∞",MAX(0,MIN(IF(ISNUMBER($P567),$P567-$AF567-$Q567,1E+15),IF(ISNUMBER($AA567),$AA567-$AG567-$Q567,1E+15))))))</f>
        <v/>
      </c>
      <c r="S567" s="47" t="str">
        <f>IF($AD567="","",YEAR($AD567)*100+MONTH($AD567))</f>
        <v/>
      </c>
      <c r="T567" s="50" t="str">
        <f>IF($AD567="","",IFERROR(IF(INDEX(CARDS!$I$5:$I$34,MATCH($D567,CARDS!$A$5:$A$34,0))="","",IF(INDEX(CARDS!$I$5:$I$34,MATCH($D567,CARDS!$A$5:$A$34,0))&gt;INDEX(CARDS!$H$5:$H$34,MATCH($D567,CARDS!$A$5:$A$34,0)),DATE(YEAR($AD567),MONTH($AD567),MIN(INDEX(CARDS!$I$5:$I$34,MATCH($D567,CARDS!$A$5:$A$34,0)),DAY(EOMONTH($AD567,0)))),DATE(YEAR($AD567),MONTH($AD567)+1,MIN(INDEX(CARDS!$I$5:$I$34,MATCH($D567,CARDS!$A$5:$A$34,0)),DAY(EOMONTH($AD567,1)))))),""))</f>
        <v/>
      </c>
      <c r="U567" s="38" t="n"/>
      <c r="V567" s="37" t="n"/>
      <c r="W567" s="38" t="n"/>
      <c r="X567" s="38" t="n"/>
      <c r="Y567" s="44" t="str">
        <f>IF($AC567&gt;0,INDEX(CASHBACK_RULES!$A$5:$A$304,$AC567),"")</f>
        <v/>
      </c>
      <c r="Z567" s="45" t="str">
        <f>IF($AC567&gt;0,INDEX(CASHBACK_RULES!$E$5:$E$304,$AC567)&amp;"","")</f>
        <v/>
      </c>
      <c r="AA567" s="48" t="str">
        <f>IF($AC567&gt;0,IF(ISNUMBER(INDEX(CASHBACK_RULES!$K$5:$K$304,$AC567)),INDEX(CASHBACK_RULES!$K$5:$K$304,$AC567),"∞"),"")</f>
        <v/>
      </c>
      <c r="AB567" s="44" t="str">
        <f>IF(OR($B567="",$D567=""),"",IF($U567="Cancelled","Đã hủy",IF($AC567=0,"Không được hoàn",IF($Q567=0,IF(OR($O567&gt;0,$M567&lt;$L567),"Đã đạt cap","Không được hoàn"),IF(OR($Q567&lt;$O567,$M567&lt;$L567),"Hoàn một phần","Được hoàn")))))</f>
        <v/>
      </c>
      <c r="AC567" s="43">
        <f>IF(OR($B567="",$D567="",$I567="",$L567=""),0,IF($U567="Cancelled",0,IF($W567&lt;&gt;"",IFERROR(IF(INDEX(CASHBACK_RULES!$B$5:$B$304,MATCH($W567,CASHBACK_RULES!$A$5:$A$304,0))=$D567,MATCH($W567,CASHBACK_RULES!$A$5:$A$304,0),0),0),IFERROR(MATCH(1,INDEX((CASHBACK_RULES!$B$5:$B$304=$D567)*(CASHBACK_RULES!$G$5:$G$304=$I567)*(((CASHBACK_RULES!$N$5:$N$304="")+(CASHBACK_RULES!$N$5:$N$304&lt;=$B567))&gt;0)*(((CASHBACK_RULES!$O$5:$O$304="")+(CASHBACK_RULES!$O$5:$O$304&gt;=$B567))&gt;0)*(((CASHBACK_RULES!$M$5:$M$304="")+(CASHBACK_RULES!$M$5:$M$304&lt;=$L567))&gt;0),0),0),0))))</f>
        <v>0</v>
      </c>
      <c r="AD567" s="51" t="str">
        <f>IF(OR($B567="",$D567=""),"",IFERROR(IF(INDEX(CARDS!$H$5:$H$34,MATCH($D567,CARDS!$A$5:$A$34,0))="","",IF(DAY($B567)&lt;=INDEX(CARDS!$H$5:$H$34,MATCH($D567,CARDS!$A$5:$A$34,0)),DATE(YEAR($B567),MONTH($B567),MIN(INDEX(CARDS!$H$5:$H$34,MATCH($D567,CARDS!$A$5:$A$34,0)),DAY(EOMONTH($B567,0)))),DATE(YEAR($B567),MONTH($B567)+1,MIN(INDEX(CARDS!$H$5:$H$34,MATCH($D567,CARDS!$A$5:$A$34,0)),DAY(EOMONTH($B567,1)))))),""))</f>
        <v/>
      </c>
      <c r="AE567" s="52" t="str">
        <f>IF($C567="","",$C567&amp;"|"&amp;COUNTIF($C$5:$C567,$C567))</f>
        <v/>
      </c>
      <c r="AF567" s="53">
        <f>IF($AC567&gt;0,SUMIFS(Q$4:Q566,$D$4:$D566,$D567,$Z$4:$Z566,$Z567,$C$4:$C566,$C567),0)</f>
        <v>0</v>
      </c>
      <c r="AG567" s="53">
        <f>IF($AC567&gt;0,SUMIFS(Q$4:Q566,$D$4:$D566,$D567,$C$4:$C566,$C567),0)</f>
        <v>0</v>
      </c>
      <c r="AH567" s="53">
        <f>IF($AC567&gt;0,SUMIFS(M$4:M566,$D$4:$D566,$D567,$Z$4:$Z566,$Z567,$C$4:$C566,$C567),0)</f>
        <v>0</v>
      </c>
      <c r="AI567" s="43">
        <f>IF(OR($C567="",$I567=""),0,IF(COUNTIFS($C$5:$C567,$C567,$I$5:$I567,$I567)=1,1,0))</f>
        <v>0</v>
      </c>
      <c r="AJ567" s="43" t="str">
        <f>IF($AI567=1,SUMIFS($AI$4:$AI566,$C$4:$C566,$C567)+1,"")</f>
        <v/>
      </c>
      <c r="AK567" s="43">
        <f>IF(OR($C567="",$K567=""),0,IF(COUNTIFS($C$5:$C567,$C567,$K$5:$K567,$K567)=1,1,0))</f>
        <v>0</v>
      </c>
      <c r="AL567" s="43" t="str">
        <f>IF($AK567=1,SUMIFS($AK$4:$AK566,$C$4:$C566,$C567)+1,"")</f>
        <v/>
      </c>
      <c r="AM567" s="43">
        <f>IF(OR($C567="",$G567=""),0,IF(COUNTIFS($C$5:$C567,$C567,$G$5:$G567,$G567)=1,1,0))</f>
        <v>0</v>
      </c>
      <c r="AN567" s="43" t="str">
        <f>IF($AM567=1,SUMIFS($AM$4:$AM566,$C$4:$C566,$C567)+1,"")</f>
        <v/>
      </c>
    </row>
    <row r="568">
      <c r="A568" s="44" t="str">
        <f>IF(OR($B568="",$D568=""),"","TX"&amp;TEXT(ROW()-4,"0000"))</f>
        <v/>
      </c>
      <c r="B568" s="42" t="n"/>
      <c r="C568" s="47" t="str">
        <f>IF($B568="","",YEAR($B568)*100+MONTH($B568))</f>
        <v/>
      </c>
      <c r="D568" s="37" t="n"/>
      <c r="E568" s="45" t="str">
        <f>IF($D568="","",IFERROR(INDEX(CARDS!$B$5:$B$34,MATCH($D568,CARDS!$A$5:$A$34,0)),"⚠ Card ID?"))</f>
        <v/>
      </c>
      <c r="F568" s="45" t="str">
        <f>IF($D568="","",IFERROR(INDEX(CARDS!$C$5:$C$34,MATCH($D568,CARDS!$A$5:$A$34,0)),"⚠ Card ID?"))</f>
        <v/>
      </c>
      <c r="G568" s="37" t="n"/>
      <c r="H568" s="37" t="n"/>
      <c r="I568" s="41" t="n"/>
      <c r="J568" s="45" t="str">
        <f>IF($I568="","",IFERROR(INDEX(MCC_MASTER!$B$5:$B$504,MATCH($I568,MCC_MASTER!$A$5:$A$504,0)),"⚠ MCC chưa có"))</f>
        <v/>
      </c>
      <c r="K568" s="45" t="str">
        <f>IF($I568="","",IFERROR(IF(INDEX(MCC_MASTER!$C$5:$C$504,MATCH($I568,MCC_MASTER!$A$5:$A$504,0))="","Chưa phân loại",INDEX(MCC_MASTER!$C$5:$C$504,MATCH($I568,MCC_MASTER!$A$5:$A$504,0))),"Chưa phân loại"))</f>
        <v/>
      </c>
      <c r="L568" s="40" t="n"/>
      <c r="M568" s="48" t="str">
        <f>IF(OR($B568="",$D568=""),"",IF($AC568=0,0,IF(ISNUMBER(INDEX(CASHBACK_RULES!$L$5:$L$304,$AC568)),MAX(0,MIN($L568,INDEX(CASHBACK_RULES!$L$5:$L$304,$AC568)-$AH568)),MAX(0,$L568))))</f>
        <v/>
      </c>
      <c r="N568" s="49" t="str">
        <f>IF(OR($B568="",$D568=""),"",IF($AC568&gt;0,INDEX(CASHBACK_RULES!$I$5:$I$304,$AC568),0))</f>
        <v/>
      </c>
      <c r="O568" s="48" t="str">
        <f>IF(OR($B568="",$D568=""),"",ROUND($M568*$N568,0))</f>
        <v/>
      </c>
      <c r="P568" s="48" t="str">
        <f>IF($AC568&gt;0,IF(ISNUMBER(INDEX(CASHBACK_RULES!$J$5:$J$304,$AC568)),INDEX(CASHBACK_RULES!$J$5:$J$304,$AC568),"∞"),"")</f>
        <v/>
      </c>
      <c r="Q568" s="48" t="str">
        <f>IF(OR($B568="",$D568=""),"",IF($AC568=0,0,MAX(0,MIN($O568,IF(ISNUMBER($P568),$P568-$AF568,1E+15),IF(ISNUMBER($AA568),$AA568-$AG568,1E+15)))))</f>
        <v/>
      </c>
      <c r="R568" s="48" t="str">
        <f>IF(OR($B568="",$D568=""),"",IF($AC568=0,"",IF(AND(NOT(ISNUMBER($P568)),NOT(ISNUMBER($AA568))),"∞",MAX(0,MIN(IF(ISNUMBER($P568),$P568-$AF568-$Q568,1E+15),IF(ISNUMBER($AA568),$AA568-$AG568-$Q568,1E+15))))))</f>
        <v/>
      </c>
      <c r="S568" s="47" t="str">
        <f>IF($AD568="","",YEAR($AD568)*100+MONTH($AD568))</f>
        <v/>
      </c>
      <c r="T568" s="50" t="str">
        <f>IF($AD568="","",IFERROR(IF(INDEX(CARDS!$I$5:$I$34,MATCH($D568,CARDS!$A$5:$A$34,0))="","",IF(INDEX(CARDS!$I$5:$I$34,MATCH($D568,CARDS!$A$5:$A$34,0))&gt;INDEX(CARDS!$H$5:$H$34,MATCH($D568,CARDS!$A$5:$A$34,0)),DATE(YEAR($AD568),MONTH($AD568),MIN(INDEX(CARDS!$I$5:$I$34,MATCH($D568,CARDS!$A$5:$A$34,0)),DAY(EOMONTH($AD568,0)))),DATE(YEAR($AD568),MONTH($AD568)+1,MIN(INDEX(CARDS!$I$5:$I$34,MATCH($D568,CARDS!$A$5:$A$34,0)),DAY(EOMONTH($AD568,1)))))),""))</f>
        <v/>
      </c>
      <c r="U568" s="38" t="n"/>
      <c r="V568" s="37" t="n"/>
      <c r="W568" s="38" t="n"/>
      <c r="X568" s="38" t="n"/>
      <c r="Y568" s="44" t="str">
        <f>IF($AC568&gt;0,INDEX(CASHBACK_RULES!$A$5:$A$304,$AC568),"")</f>
        <v/>
      </c>
      <c r="Z568" s="45" t="str">
        <f>IF($AC568&gt;0,INDEX(CASHBACK_RULES!$E$5:$E$304,$AC568)&amp;"","")</f>
        <v/>
      </c>
      <c r="AA568" s="48" t="str">
        <f>IF($AC568&gt;0,IF(ISNUMBER(INDEX(CASHBACK_RULES!$K$5:$K$304,$AC568)),INDEX(CASHBACK_RULES!$K$5:$K$304,$AC568),"∞"),"")</f>
        <v/>
      </c>
      <c r="AB568" s="44" t="str">
        <f>IF(OR($B568="",$D568=""),"",IF($U568="Cancelled","Đã hủy",IF($AC568=0,"Không được hoàn",IF($Q568=0,IF(OR($O568&gt;0,$M568&lt;$L568),"Đã đạt cap","Không được hoàn"),IF(OR($Q568&lt;$O568,$M568&lt;$L568),"Hoàn một phần","Được hoàn")))))</f>
        <v/>
      </c>
      <c r="AC568" s="43">
        <f>IF(OR($B568="",$D568="",$I568="",$L568=""),0,IF($U568="Cancelled",0,IF($W568&lt;&gt;"",IFERROR(IF(INDEX(CASHBACK_RULES!$B$5:$B$304,MATCH($W568,CASHBACK_RULES!$A$5:$A$304,0))=$D568,MATCH($W568,CASHBACK_RULES!$A$5:$A$304,0),0),0),IFERROR(MATCH(1,INDEX((CASHBACK_RULES!$B$5:$B$304=$D568)*(CASHBACK_RULES!$G$5:$G$304=$I568)*(((CASHBACK_RULES!$N$5:$N$304="")+(CASHBACK_RULES!$N$5:$N$304&lt;=$B568))&gt;0)*(((CASHBACK_RULES!$O$5:$O$304="")+(CASHBACK_RULES!$O$5:$O$304&gt;=$B568))&gt;0)*(((CASHBACK_RULES!$M$5:$M$304="")+(CASHBACK_RULES!$M$5:$M$304&lt;=$L568))&gt;0),0),0),0))))</f>
        <v>0</v>
      </c>
      <c r="AD568" s="51" t="str">
        <f>IF(OR($B568="",$D568=""),"",IFERROR(IF(INDEX(CARDS!$H$5:$H$34,MATCH($D568,CARDS!$A$5:$A$34,0))="","",IF(DAY($B568)&lt;=INDEX(CARDS!$H$5:$H$34,MATCH($D568,CARDS!$A$5:$A$34,0)),DATE(YEAR($B568),MONTH($B568),MIN(INDEX(CARDS!$H$5:$H$34,MATCH($D568,CARDS!$A$5:$A$34,0)),DAY(EOMONTH($B568,0)))),DATE(YEAR($B568),MONTH($B568)+1,MIN(INDEX(CARDS!$H$5:$H$34,MATCH($D568,CARDS!$A$5:$A$34,0)),DAY(EOMONTH($B568,1)))))),""))</f>
        <v/>
      </c>
      <c r="AE568" s="52" t="str">
        <f>IF($C568="","",$C568&amp;"|"&amp;COUNTIF($C$5:$C568,$C568))</f>
        <v/>
      </c>
      <c r="AF568" s="53">
        <f>IF($AC568&gt;0,SUMIFS(Q$4:Q567,$D$4:$D567,$D568,$Z$4:$Z567,$Z568,$C$4:$C567,$C568),0)</f>
        <v>0</v>
      </c>
      <c r="AG568" s="53">
        <f>IF($AC568&gt;0,SUMIFS(Q$4:Q567,$D$4:$D567,$D568,$C$4:$C567,$C568),0)</f>
        <v>0</v>
      </c>
      <c r="AH568" s="53">
        <f>IF($AC568&gt;0,SUMIFS(M$4:M567,$D$4:$D567,$D568,$Z$4:$Z567,$Z568,$C$4:$C567,$C568),0)</f>
        <v>0</v>
      </c>
      <c r="AI568" s="43">
        <f>IF(OR($C568="",$I568=""),0,IF(COUNTIFS($C$5:$C568,$C568,$I$5:$I568,$I568)=1,1,0))</f>
        <v>0</v>
      </c>
      <c r="AJ568" s="43" t="str">
        <f>IF($AI568=1,SUMIFS($AI$4:$AI567,$C$4:$C567,$C568)+1,"")</f>
        <v/>
      </c>
      <c r="AK568" s="43">
        <f>IF(OR($C568="",$K568=""),0,IF(COUNTIFS($C$5:$C568,$C568,$K$5:$K568,$K568)=1,1,0))</f>
        <v>0</v>
      </c>
      <c r="AL568" s="43" t="str">
        <f>IF($AK568=1,SUMIFS($AK$4:$AK567,$C$4:$C567,$C568)+1,"")</f>
        <v/>
      </c>
      <c r="AM568" s="43">
        <f>IF(OR($C568="",$G568=""),0,IF(COUNTIFS($C$5:$C568,$C568,$G$5:$G568,$G568)=1,1,0))</f>
        <v>0</v>
      </c>
      <c r="AN568" s="43" t="str">
        <f>IF($AM568=1,SUMIFS($AM$4:$AM567,$C$4:$C567,$C568)+1,"")</f>
        <v/>
      </c>
    </row>
    <row r="569">
      <c r="A569" s="44" t="str">
        <f>IF(OR($B569="",$D569=""),"","TX"&amp;TEXT(ROW()-4,"0000"))</f>
        <v/>
      </c>
      <c r="B569" s="42" t="n"/>
      <c r="C569" s="47" t="str">
        <f>IF($B569="","",YEAR($B569)*100+MONTH($B569))</f>
        <v/>
      </c>
      <c r="D569" s="37" t="n"/>
      <c r="E569" s="45" t="str">
        <f>IF($D569="","",IFERROR(INDEX(CARDS!$B$5:$B$34,MATCH($D569,CARDS!$A$5:$A$34,0)),"⚠ Card ID?"))</f>
        <v/>
      </c>
      <c r="F569" s="45" t="str">
        <f>IF($D569="","",IFERROR(INDEX(CARDS!$C$5:$C$34,MATCH($D569,CARDS!$A$5:$A$34,0)),"⚠ Card ID?"))</f>
        <v/>
      </c>
      <c r="G569" s="37" t="n"/>
      <c r="H569" s="37" t="n"/>
      <c r="I569" s="41" t="n"/>
      <c r="J569" s="45" t="str">
        <f>IF($I569="","",IFERROR(INDEX(MCC_MASTER!$B$5:$B$504,MATCH($I569,MCC_MASTER!$A$5:$A$504,0)),"⚠ MCC chưa có"))</f>
        <v/>
      </c>
      <c r="K569" s="45" t="str">
        <f>IF($I569="","",IFERROR(IF(INDEX(MCC_MASTER!$C$5:$C$504,MATCH($I569,MCC_MASTER!$A$5:$A$504,0))="","Chưa phân loại",INDEX(MCC_MASTER!$C$5:$C$504,MATCH($I569,MCC_MASTER!$A$5:$A$504,0))),"Chưa phân loại"))</f>
        <v/>
      </c>
      <c r="L569" s="40" t="n"/>
      <c r="M569" s="48" t="str">
        <f>IF(OR($B569="",$D569=""),"",IF($AC569=0,0,IF(ISNUMBER(INDEX(CASHBACK_RULES!$L$5:$L$304,$AC569)),MAX(0,MIN($L569,INDEX(CASHBACK_RULES!$L$5:$L$304,$AC569)-$AH569)),MAX(0,$L569))))</f>
        <v/>
      </c>
      <c r="N569" s="49" t="str">
        <f>IF(OR($B569="",$D569=""),"",IF($AC569&gt;0,INDEX(CASHBACK_RULES!$I$5:$I$304,$AC569),0))</f>
        <v/>
      </c>
      <c r="O569" s="48" t="str">
        <f>IF(OR($B569="",$D569=""),"",ROUND($M569*$N569,0))</f>
        <v/>
      </c>
      <c r="P569" s="48" t="str">
        <f>IF($AC569&gt;0,IF(ISNUMBER(INDEX(CASHBACK_RULES!$J$5:$J$304,$AC569)),INDEX(CASHBACK_RULES!$J$5:$J$304,$AC569),"∞"),"")</f>
        <v/>
      </c>
      <c r="Q569" s="48" t="str">
        <f>IF(OR($B569="",$D569=""),"",IF($AC569=0,0,MAX(0,MIN($O569,IF(ISNUMBER($P569),$P569-$AF569,1E+15),IF(ISNUMBER($AA569),$AA569-$AG569,1E+15)))))</f>
        <v/>
      </c>
      <c r="R569" s="48" t="str">
        <f>IF(OR($B569="",$D569=""),"",IF($AC569=0,"",IF(AND(NOT(ISNUMBER($P569)),NOT(ISNUMBER($AA569))),"∞",MAX(0,MIN(IF(ISNUMBER($P569),$P569-$AF569-$Q569,1E+15),IF(ISNUMBER($AA569),$AA569-$AG569-$Q569,1E+15))))))</f>
        <v/>
      </c>
      <c r="S569" s="47" t="str">
        <f>IF($AD569="","",YEAR($AD569)*100+MONTH($AD569))</f>
        <v/>
      </c>
      <c r="T569" s="50" t="str">
        <f>IF($AD569="","",IFERROR(IF(INDEX(CARDS!$I$5:$I$34,MATCH($D569,CARDS!$A$5:$A$34,0))="","",IF(INDEX(CARDS!$I$5:$I$34,MATCH($D569,CARDS!$A$5:$A$34,0))&gt;INDEX(CARDS!$H$5:$H$34,MATCH($D569,CARDS!$A$5:$A$34,0)),DATE(YEAR($AD569),MONTH($AD569),MIN(INDEX(CARDS!$I$5:$I$34,MATCH($D569,CARDS!$A$5:$A$34,0)),DAY(EOMONTH($AD569,0)))),DATE(YEAR($AD569),MONTH($AD569)+1,MIN(INDEX(CARDS!$I$5:$I$34,MATCH($D569,CARDS!$A$5:$A$34,0)),DAY(EOMONTH($AD569,1)))))),""))</f>
        <v/>
      </c>
      <c r="U569" s="38" t="n"/>
      <c r="V569" s="37" t="n"/>
      <c r="W569" s="38" t="n"/>
      <c r="X569" s="38" t="n"/>
      <c r="Y569" s="44" t="str">
        <f>IF($AC569&gt;0,INDEX(CASHBACK_RULES!$A$5:$A$304,$AC569),"")</f>
        <v/>
      </c>
      <c r="Z569" s="45" t="str">
        <f>IF($AC569&gt;0,INDEX(CASHBACK_RULES!$E$5:$E$304,$AC569)&amp;"","")</f>
        <v/>
      </c>
      <c r="AA569" s="48" t="str">
        <f>IF($AC569&gt;0,IF(ISNUMBER(INDEX(CASHBACK_RULES!$K$5:$K$304,$AC569)),INDEX(CASHBACK_RULES!$K$5:$K$304,$AC569),"∞"),"")</f>
        <v/>
      </c>
      <c r="AB569" s="44" t="str">
        <f>IF(OR($B569="",$D569=""),"",IF($U569="Cancelled","Đã hủy",IF($AC569=0,"Không được hoàn",IF($Q569=0,IF(OR($O569&gt;0,$M569&lt;$L569),"Đã đạt cap","Không được hoàn"),IF(OR($Q569&lt;$O569,$M569&lt;$L569),"Hoàn một phần","Được hoàn")))))</f>
        <v/>
      </c>
      <c r="AC569" s="43">
        <f>IF(OR($B569="",$D569="",$I569="",$L569=""),0,IF($U569="Cancelled",0,IF($W569&lt;&gt;"",IFERROR(IF(INDEX(CASHBACK_RULES!$B$5:$B$304,MATCH($W569,CASHBACK_RULES!$A$5:$A$304,0))=$D569,MATCH($W569,CASHBACK_RULES!$A$5:$A$304,0),0),0),IFERROR(MATCH(1,INDEX((CASHBACK_RULES!$B$5:$B$304=$D569)*(CASHBACK_RULES!$G$5:$G$304=$I569)*(((CASHBACK_RULES!$N$5:$N$304="")+(CASHBACK_RULES!$N$5:$N$304&lt;=$B569))&gt;0)*(((CASHBACK_RULES!$O$5:$O$304="")+(CASHBACK_RULES!$O$5:$O$304&gt;=$B569))&gt;0)*(((CASHBACK_RULES!$M$5:$M$304="")+(CASHBACK_RULES!$M$5:$M$304&lt;=$L569))&gt;0),0),0),0))))</f>
        <v>0</v>
      </c>
      <c r="AD569" s="51" t="str">
        <f>IF(OR($B569="",$D569=""),"",IFERROR(IF(INDEX(CARDS!$H$5:$H$34,MATCH($D569,CARDS!$A$5:$A$34,0))="","",IF(DAY($B569)&lt;=INDEX(CARDS!$H$5:$H$34,MATCH($D569,CARDS!$A$5:$A$34,0)),DATE(YEAR($B569),MONTH($B569),MIN(INDEX(CARDS!$H$5:$H$34,MATCH($D569,CARDS!$A$5:$A$34,0)),DAY(EOMONTH($B569,0)))),DATE(YEAR($B569),MONTH($B569)+1,MIN(INDEX(CARDS!$H$5:$H$34,MATCH($D569,CARDS!$A$5:$A$34,0)),DAY(EOMONTH($B569,1)))))),""))</f>
        <v/>
      </c>
      <c r="AE569" s="52" t="str">
        <f>IF($C569="","",$C569&amp;"|"&amp;COUNTIF($C$5:$C569,$C569))</f>
        <v/>
      </c>
      <c r="AF569" s="53">
        <f>IF($AC569&gt;0,SUMIFS(Q$4:Q568,$D$4:$D568,$D569,$Z$4:$Z568,$Z569,$C$4:$C568,$C569),0)</f>
        <v>0</v>
      </c>
      <c r="AG569" s="53">
        <f>IF($AC569&gt;0,SUMIFS(Q$4:Q568,$D$4:$D568,$D569,$C$4:$C568,$C569),0)</f>
        <v>0</v>
      </c>
      <c r="AH569" s="53">
        <f>IF($AC569&gt;0,SUMIFS(M$4:M568,$D$4:$D568,$D569,$Z$4:$Z568,$Z569,$C$4:$C568,$C569),0)</f>
        <v>0</v>
      </c>
      <c r="AI569" s="43">
        <f>IF(OR($C569="",$I569=""),0,IF(COUNTIFS($C$5:$C569,$C569,$I$5:$I569,$I569)=1,1,0))</f>
        <v>0</v>
      </c>
      <c r="AJ569" s="43" t="str">
        <f>IF($AI569=1,SUMIFS($AI$4:$AI568,$C$4:$C568,$C569)+1,"")</f>
        <v/>
      </c>
      <c r="AK569" s="43">
        <f>IF(OR($C569="",$K569=""),0,IF(COUNTIFS($C$5:$C569,$C569,$K$5:$K569,$K569)=1,1,0))</f>
        <v>0</v>
      </c>
      <c r="AL569" s="43" t="str">
        <f>IF($AK569=1,SUMIFS($AK$4:$AK568,$C$4:$C568,$C569)+1,"")</f>
        <v/>
      </c>
      <c r="AM569" s="43">
        <f>IF(OR($C569="",$G569=""),0,IF(COUNTIFS($C$5:$C569,$C569,$G$5:$G569,$G569)=1,1,0))</f>
        <v>0</v>
      </c>
      <c r="AN569" s="43" t="str">
        <f>IF($AM569=1,SUMIFS($AM$4:$AM568,$C$4:$C568,$C569)+1,"")</f>
        <v/>
      </c>
    </row>
    <row r="570">
      <c r="A570" s="44" t="str">
        <f>IF(OR($B570="",$D570=""),"","TX"&amp;TEXT(ROW()-4,"0000"))</f>
        <v/>
      </c>
      <c r="B570" s="42" t="n"/>
      <c r="C570" s="47" t="str">
        <f>IF($B570="","",YEAR($B570)*100+MONTH($B570))</f>
        <v/>
      </c>
      <c r="D570" s="37" t="n"/>
      <c r="E570" s="45" t="str">
        <f>IF($D570="","",IFERROR(INDEX(CARDS!$B$5:$B$34,MATCH($D570,CARDS!$A$5:$A$34,0)),"⚠ Card ID?"))</f>
        <v/>
      </c>
      <c r="F570" s="45" t="str">
        <f>IF($D570="","",IFERROR(INDEX(CARDS!$C$5:$C$34,MATCH($D570,CARDS!$A$5:$A$34,0)),"⚠ Card ID?"))</f>
        <v/>
      </c>
      <c r="G570" s="37" t="n"/>
      <c r="H570" s="37" t="n"/>
      <c r="I570" s="41" t="n"/>
      <c r="J570" s="45" t="str">
        <f>IF($I570="","",IFERROR(INDEX(MCC_MASTER!$B$5:$B$504,MATCH($I570,MCC_MASTER!$A$5:$A$504,0)),"⚠ MCC chưa có"))</f>
        <v/>
      </c>
      <c r="K570" s="45" t="str">
        <f>IF($I570="","",IFERROR(IF(INDEX(MCC_MASTER!$C$5:$C$504,MATCH($I570,MCC_MASTER!$A$5:$A$504,0))="","Chưa phân loại",INDEX(MCC_MASTER!$C$5:$C$504,MATCH($I570,MCC_MASTER!$A$5:$A$504,0))),"Chưa phân loại"))</f>
        <v/>
      </c>
      <c r="L570" s="40" t="n"/>
      <c r="M570" s="48" t="str">
        <f>IF(OR($B570="",$D570=""),"",IF($AC570=0,0,IF(ISNUMBER(INDEX(CASHBACK_RULES!$L$5:$L$304,$AC570)),MAX(0,MIN($L570,INDEX(CASHBACK_RULES!$L$5:$L$304,$AC570)-$AH570)),MAX(0,$L570))))</f>
        <v/>
      </c>
      <c r="N570" s="49" t="str">
        <f>IF(OR($B570="",$D570=""),"",IF($AC570&gt;0,INDEX(CASHBACK_RULES!$I$5:$I$304,$AC570),0))</f>
        <v/>
      </c>
      <c r="O570" s="48" t="str">
        <f>IF(OR($B570="",$D570=""),"",ROUND($M570*$N570,0))</f>
        <v/>
      </c>
      <c r="P570" s="48" t="str">
        <f>IF($AC570&gt;0,IF(ISNUMBER(INDEX(CASHBACK_RULES!$J$5:$J$304,$AC570)),INDEX(CASHBACK_RULES!$J$5:$J$304,$AC570),"∞"),"")</f>
        <v/>
      </c>
      <c r="Q570" s="48" t="str">
        <f>IF(OR($B570="",$D570=""),"",IF($AC570=0,0,MAX(0,MIN($O570,IF(ISNUMBER($P570),$P570-$AF570,1E+15),IF(ISNUMBER($AA570),$AA570-$AG570,1E+15)))))</f>
        <v/>
      </c>
      <c r="R570" s="48" t="str">
        <f>IF(OR($B570="",$D570=""),"",IF($AC570=0,"",IF(AND(NOT(ISNUMBER($P570)),NOT(ISNUMBER($AA570))),"∞",MAX(0,MIN(IF(ISNUMBER($P570),$P570-$AF570-$Q570,1E+15),IF(ISNUMBER($AA570),$AA570-$AG570-$Q570,1E+15))))))</f>
        <v/>
      </c>
      <c r="S570" s="47" t="str">
        <f>IF($AD570="","",YEAR($AD570)*100+MONTH($AD570))</f>
        <v/>
      </c>
      <c r="T570" s="50" t="str">
        <f>IF($AD570="","",IFERROR(IF(INDEX(CARDS!$I$5:$I$34,MATCH($D570,CARDS!$A$5:$A$34,0))="","",IF(INDEX(CARDS!$I$5:$I$34,MATCH($D570,CARDS!$A$5:$A$34,0))&gt;INDEX(CARDS!$H$5:$H$34,MATCH($D570,CARDS!$A$5:$A$34,0)),DATE(YEAR($AD570),MONTH($AD570),MIN(INDEX(CARDS!$I$5:$I$34,MATCH($D570,CARDS!$A$5:$A$34,0)),DAY(EOMONTH($AD570,0)))),DATE(YEAR($AD570),MONTH($AD570)+1,MIN(INDEX(CARDS!$I$5:$I$34,MATCH($D570,CARDS!$A$5:$A$34,0)),DAY(EOMONTH($AD570,1)))))),""))</f>
        <v/>
      </c>
      <c r="U570" s="38" t="n"/>
      <c r="V570" s="37" t="n"/>
      <c r="W570" s="38" t="n"/>
      <c r="X570" s="38" t="n"/>
      <c r="Y570" s="44" t="str">
        <f>IF($AC570&gt;0,INDEX(CASHBACK_RULES!$A$5:$A$304,$AC570),"")</f>
        <v/>
      </c>
      <c r="Z570" s="45" t="str">
        <f>IF($AC570&gt;0,INDEX(CASHBACK_RULES!$E$5:$E$304,$AC570)&amp;"","")</f>
        <v/>
      </c>
      <c r="AA570" s="48" t="str">
        <f>IF($AC570&gt;0,IF(ISNUMBER(INDEX(CASHBACK_RULES!$K$5:$K$304,$AC570)),INDEX(CASHBACK_RULES!$K$5:$K$304,$AC570),"∞"),"")</f>
        <v/>
      </c>
      <c r="AB570" s="44" t="str">
        <f>IF(OR($B570="",$D570=""),"",IF($U570="Cancelled","Đã hủy",IF($AC570=0,"Không được hoàn",IF($Q570=0,IF(OR($O570&gt;0,$M570&lt;$L570),"Đã đạt cap","Không được hoàn"),IF(OR($Q570&lt;$O570,$M570&lt;$L570),"Hoàn một phần","Được hoàn")))))</f>
        <v/>
      </c>
      <c r="AC570" s="43">
        <f>IF(OR($B570="",$D570="",$I570="",$L570=""),0,IF($U570="Cancelled",0,IF($W570&lt;&gt;"",IFERROR(IF(INDEX(CASHBACK_RULES!$B$5:$B$304,MATCH($W570,CASHBACK_RULES!$A$5:$A$304,0))=$D570,MATCH($W570,CASHBACK_RULES!$A$5:$A$304,0),0),0),IFERROR(MATCH(1,INDEX((CASHBACK_RULES!$B$5:$B$304=$D570)*(CASHBACK_RULES!$G$5:$G$304=$I570)*(((CASHBACK_RULES!$N$5:$N$304="")+(CASHBACK_RULES!$N$5:$N$304&lt;=$B570))&gt;0)*(((CASHBACK_RULES!$O$5:$O$304="")+(CASHBACK_RULES!$O$5:$O$304&gt;=$B570))&gt;0)*(((CASHBACK_RULES!$M$5:$M$304="")+(CASHBACK_RULES!$M$5:$M$304&lt;=$L570))&gt;0),0),0),0))))</f>
        <v>0</v>
      </c>
      <c r="AD570" s="51" t="str">
        <f>IF(OR($B570="",$D570=""),"",IFERROR(IF(INDEX(CARDS!$H$5:$H$34,MATCH($D570,CARDS!$A$5:$A$34,0))="","",IF(DAY($B570)&lt;=INDEX(CARDS!$H$5:$H$34,MATCH($D570,CARDS!$A$5:$A$34,0)),DATE(YEAR($B570),MONTH($B570),MIN(INDEX(CARDS!$H$5:$H$34,MATCH($D570,CARDS!$A$5:$A$34,0)),DAY(EOMONTH($B570,0)))),DATE(YEAR($B570),MONTH($B570)+1,MIN(INDEX(CARDS!$H$5:$H$34,MATCH($D570,CARDS!$A$5:$A$34,0)),DAY(EOMONTH($B570,1)))))),""))</f>
        <v/>
      </c>
      <c r="AE570" s="52" t="str">
        <f>IF($C570="","",$C570&amp;"|"&amp;COUNTIF($C$5:$C570,$C570))</f>
        <v/>
      </c>
      <c r="AF570" s="53">
        <f>IF($AC570&gt;0,SUMIFS(Q$4:Q569,$D$4:$D569,$D570,$Z$4:$Z569,$Z570,$C$4:$C569,$C570),0)</f>
        <v>0</v>
      </c>
      <c r="AG570" s="53">
        <f>IF($AC570&gt;0,SUMIFS(Q$4:Q569,$D$4:$D569,$D570,$C$4:$C569,$C570),0)</f>
        <v>0</v>
      </c>
      <c r="AH570" s="53">
        <f>IF($AC570&gt;0,SUMIFS(M$4:M569,$D$4:$D569,$D570,$Z$4:$Z569,$Z570,$C$4:$C569,$C570),0)</f>
        <v>0</v>
      </c>
      <c r="AI570" s="43">
        <f>IF(OR($C570="",$I570=""),0,IF(COUNTIFS($C$5:$C570,$C570,$I$5:$I570,$I570)=1,1,0))</f>
        <v>0</v>
      </c>
      <c r="AJ570" s="43" t="str">
        <f>IF($AI570=1,SUMIFS($AI$4:$AI569,$C$4:$C569,$C570)+1,"")</f>
        <v/>
      </c>
      <c r="AK570" s="43">
        <f>IF(OR($C570="",$K570=""),0,IF(COUNTIFS($C$5:$C570,$C570,$K$5:$K570,$K570)=1,1,0))</f>
        <v>0</v>
      </c>
      <c r="AL570" s="43" t="str">
        <f>IF($AK570=1,SUMIFS($AK$4:$AK569,$C$4:$C569,$C570)+1,"")</f>
        <v/>
      </c>
      <c r="AM570" s="43">
        <f>IF(OR($C570="",$G570=""),0,IF(COUNTIFS($C$5:$C570,$C570,$G$5:$G570,$G570)=1,1,0))</f>
        <v>0</v>
      </c>
      <c r="AN570" s="43" t="str">
        <f>IF($AM570=1,SUMIFS($AM$4:$AM569,$C$4:$C569,$C570)+1,"")</f>
        <v/>
      </c>
    </row>
    <row r="571">
      <c r="A571" s="44" t="str">
        <f>IF(OR($B571="",$D571=""),"","TX"&amp;TEXT(ROW()-4,"0000"))</f>
        <v/>
      </c>
      <c r="B571" s="42" t="n"/>
      <c r="C571" s="47" t="str">
        <f>IF($B571="","",YEAR($B571)*100+MONTH($B571))</f>
        <v/>
      </c>
      <c r="D571" s="37" t="n"/>
      <c r="E571" s="45" t="str">
        <f>IF($D571="","",IFERROR(INDEX(CARDS!$B$5:$B$34,MATCH($D571,CARDS!$A$5:$A$34,0)),"⚠ Card ID?"))</f>
        <v/>
      </c>
      <c r="F571" s="45" t="str">
        <f>IF($D571="","",IFERROR(INDEX(CARDS!$C$5:$C$34,MATCH($D571,CARDS!$A$5:$A$34,0)),"⚠ Card ID?"))</f>
        <v/>
      </c>
      <c r="G571" s="37" t="n"/>
      <c r="H571" s="37" t="n"/>
      <c r="I571" s="41" t="n"/>
      <c r="J571" s="45" t="str">
        <f>IF($I571="","",IFERROR(INDEX(MCC_MASTER!$B$5:$B$504,MATCH($I571,MCC_MASTER!$A$5:$A$504,0)),"⚠ MCC chưa có"))</f>
        <v/>
      </c>
      <c r="K571" s="45" t="str">
        <f>IF($I571="","",IFERROR(IF(INDEX(MCC_MASTER!$C$5:$C$504,MATCH($I571,MCC_MASTER!$A$5:$A$504,0))="","Chưa phân loại",INDEX(MCC_MASTER!$C$5:$C$504,MATCH($I571,MCC_MASTER!$A$5:$A$504,0))),"Chưa phân loại"))</f>
        <v/>
      </c>
      <c r="L571" s="40" t="n"/>
      <c r="M571" s="48" t="str">
        <f>IF(OR($B571="",$D571=""),"",IF($AC571=0,0,IF(ISNUMBER(INDEX(CASHBACK_RULES!$L$5:$L$304,$AC571)),MAX(0,MIN($L571,INDEX(CASHBACK_RULES!$L$5:$L$304,$AC571)-$AH571)),MAX(0,$L571))))</f>
        <v/>
      </c>
      <c r="N571" s="49" t="str">
        <f>IF(OR($B571="",$D571=""),"",IF($AC571&gt;0,INDEX(CASHBACK_RULES!$I$5:$I$304,$AC571),0))</f>
        <v/>
      </c>
      <c r="O571" s="48" t="str">
        <f>IF(OR($B571="",$D571=""),"",ROUND($M571*$N571,0))</f>
        <v/>
      </c>
      <c r="P571" s="48" t="str">
        <f>IF($AC571&gt;0,IF(ISNUMBER(INDEX(CASHBACK_RULES!$J$5:$J$304,$AC571)),INDEX(CASHBACK_RULES!$J$5:$J$304,$AC571),"∞"),"")</f>
        <v/>
      </c>
      <c r="Q571" s="48" t="str">
        <f>IF(OR($B571="",$D571=""),"",IF($AC571=0,0,MAX(0,MIN($O571,IF(ISNUMBER($P571),$P571-$AF571,1E+15),IF(ISNUMBER($AA571),$AA571-$AG571,1E+15)))))</f>
        <v/>
      </c>
      <c r="R571" s="48" t="str">
        <f>IF(OR($B571="",$D571=""),"",IF($AC571=0,"",IF(AND(NOT(ISNUMBER($P571)),NOT(ISNUMBER($AA571))),"∞",MAX(0,MIN(IF(ISNUMBER($P571),$P571-$AF571-$Q571,1E+15),IF(ISNUMBER($AA571),$AA571-$AG571-$Q571,1E+15))))))</f>
        <v/>
      </c>
      <c r="S571" s="47" t="str">
        <f>IF($AD571="","",YEAR($AD571)*100+MONTH($AD571))</f>
        <v/>
      </c>
      <c r="T571" s="50" t="str">
        <f>IF($AD571="","",IFERROR(IF(INDEX(CARDS!$I$5:$I$34,MATCH($D571,CARDS!$A$5:$A$34,0))="","",IF(INDEX(CARDS!$I$5:$I$34,MATCH($D571,CARDS!$A$5:$A$34,0))&gt;INDEX(CARDS!$H$5:$H$34,MATCH($D571,CARDS!$A$5:$A$34,0)),DATE(YEAR($AD571),MONTH($AD571),MIN(INDEX(CARDS!$I$5:$I$34,MATCH($D571,CARDS!$A$5:$A$34,0)),DAY(EOMONTH($AD571,0)))),DATE(YEAR($AD571),MONTH($AD571)+1,MIN(INDEX(CARDS!$I$5:$I$34,MATCH($D571,CARDS!$A$5:$A$34,0)),DAY(EOMONTH($AD571,1)))))),""))</f>
        <v/>
      </c>
      <c r="U571" s="38" t="n"/>
      <c r="V571" s="37" t="n"/>
      <c r="W571" s="38" t="n"/>
      <c r="X571" s="38" t="n"/>
      <c r="Y571" s="44" t="str">
        <f>IF($AC571&gt;0,INDEX(CASHBACK_RULES!$A$5:$A$304,$AC571),"")</f>
        <v/>
      </c>
      <c r="Z571" s="45" t="str">
        <f>IF($AC571&gt;0,INDEX(CASHBACK_RULES!$E$5:$E$304,$AC571)&amp;"","")</f>
        <v/>
      </c>
      <c r="AA571" s="48" t="str">
        <f>IF($AC571&gt;0,IF(ISNUMBER(INDEX(CASHBACK_RULES!$K$5:$K$304,$AC571)),INDEX(CASHBACK_RULES!$K$5:$K$304,$AC571),"∞"),"")</f>
        <v/>
      </c>
      <c r="AB571" s="44" t="str">
        <f>IF(OR($B571="",$D571=""),"",IF($U571="Cancelled","Đã hủy",IF($AC571=0,"Không được hoàn",IF($Q571=0,IF(OR($O571&gt;0,$M571&lt;$L571),"Đã đạt cap","Không được hoàn"),IF(OR($Q571&lt;$O571,$M571&lt;$L571),"Hoàn một phần","Được hoàn")))))</f>
        <v/>
      </c>
      <c r="AC571" s="43">
        <f>IF(OR($B571="",$D571="",$I571="",$L571=""),0,IF($U571="Cancelled",0,IF($W571&lt;&gt;"",IFERROR(IF(INDEX(CASHBACK_RULES!$B$5:$B$304,MATCH($W571,CASHBACK_RULES!$A$5:$A$304,0))=$D571,MATCH($W571,CASHBACK_RULES!$A$5:$A$304,0),0),0),IFERROR(MATCH(1,INDEX((CASHBACK_RULES!$B$5:$B$304=$D571)*(CASHBACK_RULES!$G$5:$G$304=$I571)*(((CASHBACK_RULES!$N$5:$N$304="")+(CASHBACK_RULES!$N$5:$N$304&lt;=$B571))&gt;0)*(((CASHBACK_RULES!$O$5:$O$304="")+(CASHBACK_RULES!$O$5:$O$304&gt;=$B571))&gt;0)*(((CASHBACK_RULES!$M$5:$M$304="")+(CASHBACK_RULES!$M$5:$M$304&lt;=$L571))&gt;0),0),0),0))))</f>
        <v>0</v>
      </c>
      <c r="AD571" s="51" t="str">
        <f>IF(OR($B571="",$D571=""),"",IFERROR(IF(INDEX(CARDS!$H$5:$H$34,MATCH($D571,CARDS!$A$5:$A$34,0))="","",IF(DAY($B571)&lt;=INDEX(CARDS!$H$5:$H$34,MATCH($D571,CARDS!$A$5:$A$34,0)),DATE(YEAR($B571),MONTH($B571),MIN(INDEX(CARDS!$H$5:$H$34,MATCH($D571,CARDS!$A$5:$A$34,0)),DAY(EOMONTH($B571,0)))),DATE(YEAR($B571),MONTH($B571)+1,MIN(INDEX(CARDS!$H$5:$H$34,MATCH($D571,CARDS!$A$5:$A$34,0)),DAY(EOMONTH($B571,1)))))),""))</f>
        <v/>
      </c>
      <c r="AE571" s="52" t="str">
        <f>IF($C571="","",$C571&amp;"|"&amp;COUNTIF($C$5:$C571,$C571))</f>
        <v/>
      </c>
      <c r="AF571" s="53">
        <f>IF($AC571&gt;0,SUMIFS(Q$4:Q570,$D$4:$D570,$D571,$Z$4:$Z570,$Z571,$C$4:$C570,$C571),0)</f>
        <v>0</v>
      </c>
      <c r="AG571" s="53">
        <f>IF($AC571&gt;0,SUMIFS(Q$4:Q570,$D$4:$D570,$D571,$C$4:$C570,$C571),0)</f>
        <v>0</v>
      </c>
      <c r="AH571" s="53">
        <f>IF($AC571&gt;0,SUMIFS(M$4:M570,$D$4:$D570,$D571,$Z$4:$Z570,$Z571,$C$4:$C570,$C571),0)</f>
        <v>0</v>
      </c>
      <c r="AI571" s="43">
        <f>IF(OR($C571="",$I571=""),0,IF(COUNTIFS($C$5:$C571,$C571,$I$5:$I571,$I571)=1,1,0))</f>
        <v>0</v>
      </c>
      <c r="AJ571" s="43" t="str">
        <f>IF($AI571=1,SUMIFS($AI$4:$AI570,$C$4:$C570,$C571)+1,"")</f>
        <v/>
      </c>
      <c r="AK571" s="43">
        <f>IF(OR($C571="",$K571=""),0,IF(COUNTIFS($C$5:$C571,$C571,$K$5:$K571,$K571)=1,1,0))</f>
        <v>0</v>
      </c>
      <c r="AL571" s="43" t="str">
        <f>IF($AK571=1,SUMIFS($AK$4:$AK570,$C$4:$C570,$C571)+1,"")</f>
        <v/>
      </c>
      <c r="AM571" s="43">
        <f>IF(OR($C571="",$G571=""),0,IF(COUNTIFS($C$5:$C571,$C571,$G$5:$G571,$G571)=1,1,0))</f>
        <v>0</v>
      </c>
      <c r="AN571" s="43" t="str">
        <f>IF($AM571=1,SUMIFS($AM$4:$AM570,$C$4:$C570,$C571)+1,"")</f>
        <v/>
      </c>
    </row>
    <row r="572">
      <c r="A572" s="44" t="str">
        <f>IF(OR($B572="",$D572=""),"","TX"&amp;TEXT(ROW()-4,"0000"))</f>
        <v/>
      </c>
      <c r="B572" s="42" t="n"/>
      <c r="C572" s="47" t="str">
        <f>IF($B572="","",YEAR($B572)*100+MONTH($B572))</f>
        <v/>
      </c>
      <c r="D572" s="37" t="n"/>
      <c r="E572" s="45" t="str">
        <f>IF($D572="","",IFERROR(INDEX(CARDS!$B$5:$B$34,MATCH($D572,CARDS!$A$5:$A$34,0)),"⚠ Card ID?"))</f>
        <v/>
      </c>
      <c r="F572" s="45" t="str">
        <f>IF($D572="","",IFERROR(INDEX(CARDS!$C$5:$C$34,MATCH($D572,CARDS!$A$5:$A$34,0)),"⚠ Card ID?"))</f>
        <v/>
      </c>
      <c r="G572" s="37" t="n"/>
      <c r="H572" s="37" t="n"/>
      <c r="I572" s="41" t="n"/>
      <c r="J572" s="45" t="str">
        <f>IF($I572="","",IFERROR(INDEX(MCC_MASTER!$B$5:$B$504,MATCH($I572,MCC_MASTER!$A$5:$A$504,0)),"⚠ MCC chưa có"))</f>
        <v/>
      </c>
      <c r="K572" s="45" t="str">
        <f>IF($I572="","",IFERROR(IF(INDEX(MCC_MASTER!$C$5:$C$504,MATCH($I572,MCC_MASTER!$A$5:$A$504,0))="","Chưa phân loại",INDEX(MCC_MASTER!$C$5:$C$504,MATCH($I572,MCC_MASTER!$A$5:$A$504,0))),"Chưa phân loại"))</f>
        <v/>
      </c>
      <c r="L572" s="40" t="n"/>
      <c r="M572" s="48" t="str">
        <f>IF(OR($B572="",$D572=""),"",IF($AC572=0,0,IF(ISNUMBER(INDEX(CASHBACK_RULES!$L$5:$L$304,$AC572)),MAX(0,MIN($L572,INDEX(CASHBACK_RULES!$L$5:$L$304,$AC572)-$AH572)),MAX(0,$L572))))</f>
        <v/>
      </c>
      <c r="N572" s="49" t="str">
        <f>IF(OR($B572="",$D572=""),"",IF($AC572&gt;0,INDEX(CASHBACK_RULES!$I$5:$I$304,$AC572),0))</f>
        <v/>
      </c>
      <c r="O572" s="48" t="str">
        <f>IF(OR($B572="",$D572=""),"",ROUND($M572*$N572,0))</f>
        <v/>
      </c>
      <c r="P572" s="48" t="str">
        <f>IF($AC572&gt;0,IF(ISNUMBER(INDEX(CASHBACK_RULES!$J$5:$J$304,$AC572)),INDEX(CASHBACK_RULES!$J$5:$J$304,$AC572),"∞"),"")</f>
        <v/>
      </c>
      <c r="Q572" s="48" t="str">
        <f>IF(OR($B572="",$D572=""),"",IF($AC572=0,0,MAX(0,MIN($O572,IF(ISNUMBER($P572),$P572-$AF572,1E+15),IF(ISNUMBER($AA572),$AA572-$AG572,1E+15)))))</f>
        <v/>
      </c>
      <c r="R572" s="48" t="str">
        <f>IF(OR($B572="",$D572=""),"",IF($AC572=0,"",IF(AND(NOT(ISNUMBER($P572)),NOT(ISNUMBER($AA572))),"∞",MAX(0,MIN(IF(ISNUMBER($P572),$P572-$AF572-$Q572,1E+15),IF(ISNUMBER($AA572),$AA572-$AG572-$Q572,1E+15))))))</f>
        <v/>
      </c>
      <c r="S572" s="47" t="str">
        <f>IF($AD572="","",YEAR($AD572)*100+MONTH($AD572))</f>
        <v/>
      </c>
      <c r="T572" s="50" t="str">
        <f>IF($AD572="","",IFERROR(IF(INDEX(CARDS!$I$5:$I$34,MATCH($D572,CARDS!$A$5:$A$34,0))="","",IF(INDEX(CARDS!$I$5:$I$34,MATCH($D572,CARDS!$A$5:$A$34,0))&gt;INDEX(CARDS!$H$5:$H$34,MATCH($D572,CARDS!$A$5:$A$34,0)),DATE(YEAR($AD572),MONTH($AD572),MIN(INDEX(CARDS!$I$5:$I$34,MATCH($D572,CARDS!$A$5:$A$34,0)),DAY(EOMONTH($AD572,0)))),DATE(YEAR($AD572),MONTH($AD572)+1,MIN(INDEX(CARDS!$I$5:$I$34,MATCH($D572,CARDS!$A$5:$A$34,0)),DAY(EOMONTH($AD572,1)))))),""))</f>
        <v/>
      </c>
      <c r="U572" s="38" t="n"/>
      <c r="V572" s="37" t="n"/>
      <c r="W572" s="38" t="n"/>
      <c r="X572" s="38" t="n"/>
      <c r="Y572" s="44" t="str">
        <f>IF($AC572&gt;0,INDEX(CASHBACK_RULES!$A$5:$A$304,$AC572),"")</f>
        <v/>
      </c>
      <c r="Z572" s="45" t="str">
        <f>IF($AC572&gt;0,INDEX(CASHBACK_RULES!$E$5:$E$304,$AC572)&amp;"","")</f>
        <v/>
      </c>
      <c r="AA572" s="48" t="str">
        <f>IF($AC572&gt;0,IF(ISNUMBER(INDEX(CASHBACK_RULES!$K$5:$K$304,$AC572)),INDEX(CASHBACK_RULES!$K$5:$K$304,$AC572),"∞"),"")</f>
        <v/>
      </c>
      <c r="AB572" s="44" t="str">
        <f>IF(OR($B572="",$D572=""),"",IF($U572="Cancelled","Đã hủy",IF($AC572=0,"Không được hoàn",IF($Q572=0,IF(OR($O572&gt;0,$M572&lt;$L572),"Đã đạt cap","Không được hoàn"),IF(OR($Q572&lt;$O572,$M572&lt;$L572),"Hoàn một phần","Được hoàn")))))</f>
        <v/>
      </c>
      <c r="AC572" s="43">
        <f>IF(OR($B572="",$D572="",$I572="",$L572=""),0,IF($U572="Cancelled",0,IF($W572&lt;&gt;"",IFERROR(IF(INDEX(CASHBACK_RULES!$B$5:$B$304,MATCH($W572,CASHBACK_RULES!$A$5:$A$304,0))=$D572,MATCH($W572,CASHBACK_RULES!$A$5:$A$304,0),0),0),IFERROR(MATCH(1,INDEX((CASHBACK_RULES!$B$5:$B$304=$D572)*(CASHBACK_RULES!$G$5:$G$304=$I572)*(((CASHBACK_RULES!$N$5:$N$304="")+(CASHBACK_RULES!$N$5:$N$304&lt;=$B572))&gt;0)*(((CASHBACK_RULES!$O$5:$O$304="")+(CASHBACK_RULES!$O$5:$O$304&gt;=$B572))&gt;0)*(((CASHBACK_RULES!$M$5:$M$304="")+(CASHBACK_RULES!$M$5:$M$304&lt;=$L572))&gt;0),0),0),0))))</f>
        <v>0</v>
      </c>
      <c r="AD572" s="51" t="str">
        <f>IF(OR($B572="",$D572=""),"",IFERROR(IF(INDEX(CARDS!$H$5:$H$34,MATCH($D572,CARDS!$A$5:$A$34,0))="","",IF(DAY($B572)&lt;=INDEX(CARDS!$H$5:$H$34,MATCH($D572,CARDS!$A$5:$A$34,0)),DATE(YEAR($B572),MONTH($B572),MIN(INDEX(CARDS!$H$5:$H$34,MATCH($D572,CARDS!$A$5:$A$34,0)),DAY(EOMONTH($B572,0)))),DATE(YEAR($B572),MONTH($B572)+1,MIN(INDEX(CARDS!$H$5:$H$34,MATCH($D572,CARDS!$A$5:$A$34,0)),DAY(EOMONTH($B572,1)))))),""))</f>
        <v/>
      </c>
      <c r="AE572" s="52" t="str">
        <f>IF($C572="","",$C572&amp;"|"&amp;COUNTIF($C$5:$C572,$C572))</f>
        <v/>
      </c>
      <c r="AF572" s="53">
        <f>IF($AC572&gt;0,SUMIFS(Q$4:Q571,$D$4:$D571,$D572,$Z$4:$Z571,$Z572,$C$4:$C571,$C572),0)</f>
        <v>0</v>
      </c>
      <c r="AG572" s="53">
        <f>IF($AC572&gt;0,SUMIFS(Q$4:Q571,$D$4:$D571,$D572,$C$4:$C571,$C572),0)</f>
        <v>0</v>
      </c>
      <c r="AH572" s="53">
        <f>IF($AC572&gt;0,SUMIFS(M$4:M571,$D$4:$D571,$D572,$Z$4:$Z571,$Z572,$C$4:$C571,$C572),0)</f>
        <v>0</v>
      </c>
      <c r="AI572" s="43">
        <f>IF(OR($C572="",$I572=""),0,IF(COUNTIFS($C$5:$C572,$C572,$I$5:$I572,$I572)=1,1,0))</f>
        <v>0</v>
      </c>
      <c r="AJ572" s="43" t="str">
        <f>IF($AI572=1,SUMIFS($AI$4:$AI571,$C$4:$C571,$C572)+1,"")</f>
        <v/>
      </c>
      <c r="AK572" s="43">
        <f>IF(OR($C572="",$K572=""),0,IF(COUNTIFS($C$5:$C572,$C572,$K$5:$K572,$K572)=1,1,0))</f>
        <v>0</v>
      </c>
      <c r="AL572" s="43" t="str">
        <f>IF($AK572=1,SUMIFS($AK$4:$AK571,$C$4:$C571,$C572)+1,"")</f>
        <v/>
      </c>
      <c r="AM572" s="43">
        <f>IF(OR($C572="",$G572=""),0,IF(COUNTIFS($C$5:$C572,$C572,$G$5:$G572,$G572)=1,1,0))</f>
        <v>0</v>
      </c>
      <c r="AN572" s="43" t="str">
        <f>IF($AM572=1,SUMIFS($AM$4:$AM571,$C$4:$C571,$C572)+1,"")</f>
        <v/>
      </c>
    </row>
    <row r="573">
      <c r="A573" s="44" t="str">
        <f>IF(OR($B573="",$D573=""),"","TX"&amp;TEXT(ROW()-4,"0000"))</f>
        <v/>
      </c>
      <c r="B573" s="42" t="n"/>
      <c r="C573" s="47" t="str">
        <f>IF($B573="","",YEAR($B573)*100+MONTH($B573))</f>
        <v/>
      </c>
      <c r="D573" s="37" t="n"/>
      <c r="E573" s="45" t="str">
        <f>IF($D573="","",IFERROR(INDEX(CARDS!$B$5:$B$34,MATCH($D573,CARDS!$A$5:$A$34,0)),"⚠ Card ID?"))</f>
        <v/>
      </c>
      <c r="F573" s="45" t="str">
        <f>IF($D573="","",IFERROR(INDEX(CARDS!$C$5:$C$34,MATCH($D573,CARDS!$A$5:$A$34,0)),"⚠ Card ID?"))</f>
        <v/>
      </c>
      <c r="G573" s="37" t="n"/>
      <c r="H573" s="37" t="n"/>
      <c r="I573" s="41" t="n"/>
      <c r="J573" s="45" t="str">
        <f>IF($I573="","",IFERROR(INDEX(MCC_MASTER!$B$5:$B$504,MATCH($I573,MCC_MASTER!$A$5:$A$504,0)),"⚠ MCC chưa có"))</f>
        <v/>
      </c>
      <c r="K573" s="45" t="str">
        <f>IF($I573="","",IFERROR(IF(INDEX(MCC_MASTER!$C$5:$C$504,MATCH($I573,MCC_MASTER!$A$5:$A$504,0))="","Chưa phân loại",INDEX(MCC_MASTER!$C$5:$C$504,MATCH($I573,MCC_MASTER!$A$5:$A$504,0))),"Chưa phân loại"))</f>
        <v/>
      </c>
      <c r="L573" s="40" t="n"/>
      <c r="M573" s="48" t="str">
        <f>IF(OR($B573="",$D573=""),"",IF($AC573=0,0,IF(ISNUMBER(INDEX(CASHBACK_RULES!$L$5:$L$304,$AC573)),MAX(0,MIN($L573,INDEX(CASHBACK_RULES!$L$5:$L$304,$AC573)-$AH573)),MAX(0,$L573))))</f>
        <v/>
      </c>
      <c r="N573" s="49" t="str">
        <f>IF(OR($B573="",$D573=""),"",IF($AC573&gt;0,INDEX(CASHBACK_RULES!$I$5:$I$304,$AC573),0))</f>
        <v/>
      </c>
      <c r="O573" s="48" t="str">
        <f>IF(OR($B573="",$D573=""),"",ROUND($M573*$N573,0))</f>
        <v/>
      </c>
      <c r="P573" s="48" t="str">
        <f>IF($AC573&gt;0,IF(ISNUMBER(INDEX(CASHBACK_RULES!$J$5:$J$304,$AC573)),INDEX(CASHBACK_RULES!$J$5:$J$304,$AC573),"∞"),"")</f>
        <v/>
      </c>
      <c r="Q573" s="48" t="str">
        <f>IF(OR($B573="",$D573=""),"",IF($AC573=0,0,MAX(0,MIN($O573,IF(ISNUMBER($P573),$P573-$AF573,1E+15),IF(ISNUMBER($AA573),$AA573-$AG573,1E+15)))))</f>
        <v/>
      </c>
      <c r="R573" s="48" t="str">
        <f>IF(OR($B573="",$D573=""),"",IF($AC573=0,"",IF(AND(NOT(ISNUMBER($P573)),NOT(ISNUMBER($AA573))),"∞",MAX(0,MIN(IF(ISNUMBER($P573),$P573-$AF573-$Q573,1E+15),IF(ISNUMBER($AA573),$AA573-$AG573-$Q573,1E+15))))))</f>
        <v/>
      </c>
      <c r="S573" s="47" t="str">
        <f>IF($AD573="","",YEAR($AD573)*100+MONTH($AD573))</f>
        <v/>
      </c>
      <c r="T573" s="50" t="str">
        <f>IF($AD573="","",IFERROR(IF(INDEX(CARDS!$I$5:$I$34,MATCH($D573,CARDS!$A$5:$A$34,0))="","",IF(INDEX(CARDS!$I$5:$I$34,MATCH($D573,CARDS!$A$5:$A$34,0))&gt;INDEX(CARDS!$H$5:$H$34,MATCH($D573,CARDS!$A$5:$A$34,0)),DATE(YEAR($AD573),MONTH($AD573),MIN(INDEX(CARDS!$I$5:$I$34,MATCH($D573,CARDS!$A$5:$A$34,0)),DAY(EOMONTH($AD573,0)))),DATE(YEAR($AD573),MONTH($AD573)+1,MIN(INDEX(CARDS!$I$5:$I$34,MATCH($D573,CARDS!$A$5:$A$34,0)),DAY(EOMONTH($AD573,1)))))),""))</f>
        <v/>
      </c>
      <c r="U573" s="38" t="n"/>
      <c r="V573" s="37" t="n"/>
      <c r="W573" s="38" t="n"/>
      <c r="X573" s="38" t="n"/>
      <c r="Y573" s="44" t="str">
        <f>IF($AC573&gt;0,INDEX(CASHBACK_RULES!$A$5:$A$304,$AC573),"")</f>
        <v/>
      </c>
      <c r="Z573" s="45" t="str">
        <f>IF($AC573&gt;0,INDEX(CASHBACK_RULES!$E$5:$E$304,$AC573)&amp;"","")</f>
        <v/>
      </c>
      <c r="AA573" s="48" t="str">
        <f>IF($AC573&gt;0,IF(ISNUMBER(INDEX(CASHBACK_RULES!$K$5:$K$304,$AC573)),INDEX(CASHBACK_RULES!$K$5:$K$304,$AC573),"∞"),"")</f>
        <v/>
      </c>
      <c r="AB573" s="44" t="str">
        <f>IF(OR($B573="",$D573=""),"",IF($U573="Cancelled","Đã hủy",IF($AC573=0,"Không được hoàn",IF($Q573=0,IF(OR($O573&gt;0,$M573&lt;$L573),"Đã đạt cap","Không được hoàn"),IF(OR($Q573&lt;$O573,$M573&lt;$L573),"Hoàn một phần","Được hoàn")))))</f>
        <v/>
      </c>
      <c r="AC573" s="43">
        <f>IF(OR($B573="",$D573="",$I573="",$L573=""),0,IF($U573="Cancelled",0,IF($W573&lt;&gt;"",IFERROR(IF(INDEX(CASHBACK_RULES!$B$5:$B$304,MATCH($W573,CASHBACK_RULES!$A$5:$A$304,0))=$D573,MATCH($W573,CASHBACK_RULES!$A$5:$A$304,0),0),0),IFERROR(MATCH(1,INDEX((CASHBACK_RULES!$B$5:$B$304=$D573)*(CASHBACK_RULES!$G$5:$G$304=$I573)*(((CASHBACK_RULES!$N$5:$N$304="")+(CASHBACK_RULES!$N$5:$N$304&lt;=$B573))&gt;0)*(((CASHBACK_RULES!$O$5:$O$304="")+(CASHBACK_RULES!$O$5:$O$304&gt;=$B573))&gt;0)*(((CASHBACK_RULES!$M$5:$M$304="")+(CASHBACK_RULES!$M$5:$M$304&lt;=$L573))&gt;0),0),0),0))))</f>
        <v>0</v>
      </c>
      <c r="AD573" s="51" t="str">
        <f>IF(OR($B573="",$D573=""),"",IFERROR(IF(INDEX(CARDS!$H$5:$H$34,MATCH($D573,CARDS!$A$5:$A$34,0))="","",IF(DAY($B573)&lt;=INDEX(CARDS!$H$5:$H$34,MATCH($D573,CARDS!$A$5:$A$34,0)),DATE(YEAR($B573),MONTH($B573),MIN(INDEX(CARDS!$H$5:$H$34,MATCH($D573,CARDS!$A$5:$A$34,0)),DAY(EOMONTH($B573,0)))),DATE(YEAR($B573),MONTH($B573)+1,MIN(INDEX(CARDS!$H$5:$H$34,MATCH($D573,CARDS!$A$5:$A$34,0)),DAY(EOMONTH($B573,1)))))),""))</f>
        <v/>
      </c>
      <c r="AE573" s="52" t="str">
        <f>IF($C573="","",$C573&amp;"|"&amp;COUNTIF($C$5:$C573,$C573))</f>
        <v/>
      </c>
      <c r="AF573" s="53">
        <f>IF($AC573&gt;0,SUMIFS(Q$4:Q572,$D$4:$D572,$D573,$Z$4:$Z572,$Z573,$C$4:$C572,$C573),0)</f>
        <v>0</v>
      </c>
      <c r="AG573" s="53">
        <f>IF($AC573&gt;0,SUMIFS(Q$4:Q572,$D$4:$D572,$D573,$C$4:$C572,$C573),0)</f>
        <v>0</v>
      </c>
      <c r="AH573" s="53">
        <f>IF($AC573&gt;0,SUMIFS(M$4:M572,$D$4:$D572,$D573,$Z$4:$Z572,$Z573,$C$4:$C572,$C573),0)</f>
        <v>0</v>
      </c>
      <c r="AI573" s="43">
        <f>IF(OR($C573="",$I573=""),0,IF(COUNTIFS($C$5:$C573,$C573,$I$5:$I573,$I573)=1,1,0))</f>
        <v>0</v>
      </c>
      <c r="AJ573" s="43" t="str">
        <f>IF($AI573=1,SUMIFS($AI$4:$AI572,$C$4:$C572,$C573)+1,"")</f>
        <v/>
      </c>
      <c r="AK573" s="43">
        <f>IF(OR($C573="",$K573=""),0,IF(COUNTIFS($C$5:$C573,$C573,$K$5:$K573,$K573)=1,1,0))</f>
        <v>0</v>
      </c>
      <c r="AL573" s="43" t="str">
        <f>IF($AK573=1,SUMIFS($AK$4:$AK572,$C$4:$C572,$C573)+1,"")</f>
        <v/>
      </c>
      <c r="AM573" s="43">
        <f>IF(OR($C573="",$G573=""),0,IF(COUNTIFS($C$5:$C573,$C573,$G$5:$G573,$G573)=1,1,0))</f>
        <v>0</v>
      </c>
      <c r="AN573" s="43" t="str">
        <f>IF($AM573=1,SUMIFS($AM$4:$AM572,$C$4:$C572,$C573)+1,"")</f>
        <v/>
      </c>
    </row>
    <row r="574">
      <c r="A574" s="44" t="str">
        <f>IF(OR($B574="",$D574=""),"","TX"&amp;TEXT(ROW()-4,"0000"))</f>
        <v/>
      </c>
      <c r="B574" s="42" t="n"/>
      <c r="C574" s="47" t="str">
        <f>IF($B574="","",YEAR($B574)*100+MONTH($B574))</f>
        <v/>
      </c>
      <c r="D574" s="37" t="n"/>
      <c r="E574" s="45" t="str">
        <f>IF($D574="","",IFERROR(INDEX(CARDS!$B$5:$B$34,MATCH($D574,CARDS!$A$5:$A$34,0)),"⚠ Card ID?"))</f>
        <v/>
      </c>
      <c r="F574" s="45" t="str">
        <f>IF($D574="","",IFERROR(INDEX(CARDS!$C$5:$C$34,MATCH($D574,CARDS!$A$5:$A$34,0)),"⚠ Card ID?"))</f>
        <v/>
      </c>
      <c r="G574" s="37" t="n"/>
      <c r="H574" s="37" t="n"/>
      <c r="I574" s="41" t="n"/>
      <c r="J574" s="45" t="str">
        <f>IF($I574="","",IFERROR(INDEX(MCC_MASTER!$B$5:$B$504,MATCH($I574,MCC_MASTER!$A$5:$A$504,0)),"⚠ MCC chưa có"))</f>
        <v/>
      </c>
      <c r="K574" s="45" t="str">
        <f>IF($I574="","",IFERROR(IF(INDEX(MCC_MASTER!$C$5:$C$504,MATCH($I574,MCC_MASTER!$A$5:$A$504,0))="","Chưa phân loại",INDEX(MCC_MASTER!$C$5:$C$504,MATCH($I574,MCC_MASTER!$A$5:$A$504,0))),"Chưa phân loại"))</f>
        <v/>
      </c>
      <c r="L574" s="40" t="n"/>
      <c r="M574" s="48" t="str">
        <f>IF(OR($B574="",$D574=""),"",IF($AC574=0,0,IF(ISNUMBER(INDEX(CASHBACK_RULES!$L$5:$L$304,$AC574)),MAX(0,MIN($L574,INDEX(CASHBACK_RULES!$L$5:$L$304,$AC574)-$AH574)),MAX(0,$L574))))</f>
        <v/>
      </c>
      <c r="N574" s="49" t="str">
        <f>IF(OR($B574="",$D574=""),"",IF($AC574&gt;0,INDEX(CASHBACK_RULES!$I$5:$I$304,$AC574),0))</f>
        <v/>
      </c>
      <c r="O574" s="48" t="str">
        <f>IF(OR($B574="",$D574=""),"",ROUND($M574*$N574,0))</f>
        <v/>
      </c>
      <c r="P574" s="48" t="str">
        <f>IF($AC574&gt;0,IF(ISNUMBER(INDEX(CASHBACK_RULES!$J$5:$J$304,$AC574)),INDEX(CASHBACK_RULES!$J$5:$J$304,$AC574),"∞"),"")</f>
        <v/>
      </c>
      <c r="Q574" s="48" t="str">
        <f>IF(OR($B574="",$D574=""),"",IF($AC574=0,0,MAX(0,MIN($O574,IF(ISNUMBER($P574),$P574-$AF574,1E+15),IF(ISNUMBER($AA574),$AA574-$AG574,1E+15)))))</f>
        <v/>
      </c>
      <c r="R574" s="48" t="str">
        <f>IF(OR($B574="",$D574=""),"",IF($AC574=0,"",IF(AND(NOT(ISNUMBER($P574)),NOT(ISNUMBER($AA574))),"∞",MAX(0,MIN(IF(ISNUMBER($P574),$P574-$AF574-$Q574,1E+15),IF(ISNUMBER($AA574),$AA574-$AG574-$Q574,1E+15))))))</f>
        <v/>
      </c>
      <c r="S574" s="47" t="str">
        <f>IF($AD574="","",YEAR($AD574)*100+MONTH($AD574))</f>
        <v/>
      </c>
      <c r="T574" s="50" t="str">
        <f>IF($AD574="","",IFERROR(IF(INDEX(CARDS!$I$5:$I$34,MATCH($D574,CARDS!$A$5:$A$34,0))="","",IF(INDEX(CARDS!$I$5:$I$34,MATCH($D574,CARDS!$A$5:$A$34,0))&gt;INDEX(CARDS!$H$5:$H$34,MATCH($D574,CARDS!$A$5:$A$34,0)),DATE(YEAR($AD574),MONTH($AD574),MIN(INDEX(CARDS!$I$5:$I$34,MATCH($D574,CARDS!$A$5:$A$34,0)),DAY(EOMONTH($AD574,0)))),DATE(YEAR($AD574),MONTH($AD574)+1,MIN(INDEX(CARDS!$I$5:$I$34,MATCH($D574,CARDS!$A$5:$A$34,0)),DAY(EOMONTH($AD574,1)))))),""))</f>
        <v/>
      </c>
      <c r="U574" s="38" t="n"/>
      <c r="V574" s="37" t="n"/>
      <c r="W574" s="38" t="n"/>
      <c r="X574" s="38" t="n"/>
      <c r="Y574" s="44" t="str">
        <f>IF($AC574&gt;0,INDEX(CASHBACK_RULES!$A$5:$A$304,$AC574),"")</f>
        <v/>
      </c>
      <c r="Z574" s="45" t="str">
        <f>IF($AC574&gt;0,INDEX(CASHBACK_RULES!$E$5:$E$304,$AC574)&amp;"","")</f>
        <v/>
      </c>
      <c r="AA574" s="48" t="str">
        <f>IF($AC574&gt;0,IF(ISNUMBER(INDEX(CASHBACK_RULES!$K$5:$K$304,$AC574)),INDEX(CASHBACK_RULES!$K$5:$K$304,$AC574),"∞"),"")</f>
        <v/>
      </c>
      <c r="AB574" s="44" t="str">
        <f>IF(OR($B574="",$D574=""),"",IF($U574="Cancelled","Đã hủy",IF($AC574=0,"Không được hoàn",IF($Q574=0,IF(OR($O574&gt;0,$M574&lt;$L574),"Đã đạt cap","Không được hoàn"),IF(OR($Q574&lt;$O574,$M574&lt;$L574),"Hoàn một phần","Được hoàn")))))</f>
        <v/>
      </c>
      <c r="AC574" s="43">
        <f>IF(OR($B574="",$D574="",$I574="",$L574=""),0,IF($U574="Cancelled",0,IF($W574&lt;&gt;"",IFERROR(IF(INDEX(CASHBACK_RULES!$B$5:$B$304,MATCH($W574,CASHBACK_RULES!$A$5:$A$304,0))=$D574,MATCH($W574,CASHBACK_RULES!$A$5:$A$304,0),0),0),IFERROR(MATCH(1,INDEX((CASHBACK_RULES!$B$5:$B$304=$D574)*(CASHBACK_RULES!$G$5:$G$304=$I574)*(((CASHBACK_RULES!$N$5:$N$304="")+(CASHBACK_RULES!$N$5:$N$304&lt;=$B574))&gt;0)*(((CASHBACK_RULES!$O$5:$O$304="")+(CASHBACK_RULES!$O$5:$O$304&gt;=$B574))&gt;0)*(((CASHBACK_RULES!$M$5:$M$304="")+(CASHBACK_RULES!$M$5:$M$304&lt;=$L574))&gt;0),0),0),0))))</f>
        <v>0</v>
      </c>
      <c r="AD574" s="51" t="str">
        <f>IF(OR($B574="",$D574=""),"",IFERROR(IF(INDEX(CARDS!$H$5:$H$34,MATCH($D574,CARDS!$A$5:$A$34,0))="","",IF(DAY($B574)&lt;=INDEX(CARDS!$H$5:$H$34,MATCH($D574,CARDS!$A$5:$A$34,0)),DATE(YEAR($B574),MONTH($B574),MIN(INDEX(CARDS!$H$5:$H$34,MATCH($D574,CARDS!$A$5:$A$34,0)),DAY(EOMONTH($B574,0)))),DATE(YEAR($B574),MONTH($B574)+1,MIN(INDEX(CARDS!$H$5:$H$34,MATCH($D574,CARDS!$A$5:$A$34,0)),DAY(EOMONTH($B574,1)))))),""))</f>
        <v/>
      </c>
      <c r="AE574" s="52" t="str">
        <f>IF($C574="","",$C574&amp;"|"&amp;COUNTIF($C$5:$C574,$C574))</f>
        <v/>
      </c>
      <c r="AF574" s="53">
        <f>IF($AC574&gt;0,SUMIFS(Q$4:Q573,$D$4:$D573,$D574,$Z$4:$Z573,$Z574,$C$4:$C573,$C574),0)</f>
        <v>0</v>
      </c>
      <c r="AG574" s="53">
        <f>IF($AC574&gt;0,SUMIFS(Q$4:Q573,$D$4:$D573,$D574,$C$4:$C573,$C574),0)</f>
        <v>0</v>
      </c>
      <c r="AH574" s="53">
        <f>IF($AC574&gt;0,SUMIFS(M$4:M573,$D$4:$D573,$D574,$Z$4:$Z573,$Z574,$C$4:$C573,$C574),0)</f>
        <v>0</v>
      </c>
      <c r="AI574" s="43">
        <f>IF(OR($C574="",$I574=""),0,IF(COUNTIFS($C$5:$C574,$C574,$I$5:$I574,$I574)=1,1,0))</f>
        <v>0</v>
      </c>
      <c r="AJ574" s="43" t="str">
        <f>IF($AI574=1,SUMIFS($AI$4:$AI573,$C$4:$C573,$C574)+1,"")</f>
        <v/>
      </c>
      <c r="AK574" s="43">
        <f>IF(OR($C574="",$K574=""),0,IF(COUNTIFS($C$5:$C574,$C574,$K$5:$K574,$K574)=1,1,0))</f>
        <v>0</v>
      </c>
      <c r="AL574" s="43" t="str">
        <f>IF($AK574=1,SUMIFS($AK$4:$AK573,$C$4:$C573,$C574)+1,"")</f>
        <v/>
      </c>
      <c r="AM574" s="43">
        <f>IF(OR($C574="",$G574=""),0,IF(COUNTIFS($C$5:$C574,$C574,$G$5:$G574,$G574)=1,1,0))</f>
        <v>0</v>
      </c>
      <c r="AN574" s="43" t="str">
        <f>IF($AM574=1,SUMIFS($AM$4:$AM573,$C$4:$C573,$C574)+1,"")</f>
        <v/>
      </c>
    </row>
    <row r="575">
      <c r="A575" s="44" t="str">
        <f>IF(OR($B575="",$D575=""),"","TX"&amp;TEXT(ROW()-4,"0000"))</f>
        <v/>
      </c>
      <c r="B575" s="42" t="n"/>
      <c r="C575" s="47" t="str">
        <f>IF($B575="","",YEAR($B575)*100+MONTH($B575))</f>
        <v/>
      </c>
      <c r="D575" s="37" t="n"/>
      <c r="E575" s="45" t="str">
        <f>IF($D575="","",IFERROR(INDEX(CARDS!$B$5:$B$34,MATCH($D575,CARDS!$A$5:$A$34,0)),"⚠ Card ID?"))</f>
        <v/>
      </c>
      <c r="F575" s="45" t="str">
        <f>IF($D575="","",IFERROR(INDEX(CARDS!$C$5:$C$34,MATCH($D575,CARDS!$A$5:$A$34,0)),"⚠ Card ID?"))</f>
        <v/>
      </c>
      <c r="G575" s="37" t="n"/>
      <c r="H575" s="37" t="n"/>
      <c r="I575" s="41" t="n"/>
      <c r="J575" s="45" t="str">
        <f>IF($I575="","",IFERROR(INDEX(MCC_MASTER!$B$5:$B$504,MATCH($I575,MCC_MASTER!$A$5:$A$504,0)),"⚠ MCC chưa có"))</f>
        <v/>
      </c>
      <c r="K575" s="45" t="str">
        <f>IF($I575="","",IFERROR(IF(INDEX(MCC_MASTER!$C$5:$C$504,MATCH($I575,MCC_MASTER!$A$5:$A$504,0))="","Chưa phân loại",INDEX(MCC_MASTER!$C$5:$C$504,MATCH($I575,MCC_MASTER!$A$5:$A$504,0))),"Chưa phân loại"))</f>
        <v/>
      </c>
      <c r="L575" s="40" t="n"/>
      <c r="M575" s="48" t="str">
        <f>IF(OR($B575="",$D575=""),"",IF($AC575=0,0,IF(ISNUMBER(INDEX(CASHBACK_RULES!$L$5:$L$304,$AC575)),MAX(0,MIN($L575,INDEX(CASHBACK_RULES!$L$5:$L$304,$AC575)-$AH575)),MAX(0,$L575))))</f>
        <v/>
      </c>
      <c r="N575" s="49" t="str">
        <f>IF(OR($B575="",$D575=""),"",IF($AC575&gt;0,INDEX(CASHBACK_RULES!$I$5:$I$304,$AC575),0))</f>
        <v/>
      </c>
      <c r="O575" s="48" t="str">
        <f>IF(OR($B575="",$D575=""),"",ROUND($M575*$N575,0))</f>
        <v/>
      </c>
      <c r="P575" s="48" t="str">
        <f>IF($AC575&gt;0,IF(ISNUMBER(INDEX(CASHBACK_RULES!$J$5:$J$304,$AC575)),INDEX(CASHBACK_RULES!$J$5:$J$304,$AC575),"∞"),"")</f>
        <v/>
      </c>
      <c r="Q575" s="48" t="str">
        <f>IF(OR($B575="",$D575=""),"",IF($AC575=0,0,MAX(0,MIN($O575,IF(ISNUMBER($P575),$P575-$AF575,1E+15),IF(ISNUMBER($AA575),$AA575-$AG575,1E+15)))))</f>
        <v/>
      </c>
      <c r="R575" s="48" t="str">
        <f>IF(OR($B575="",$D575=""),"",IF($AC575=0,"",IF(AND(NOT(ISNUMBER($P575)),NOT(ISNUMBER($AA575))),"∞",MAX(0,MIN(IF(ISNUMBER($P575),$P575-$AF575-$Q575,1E+15),IF(ISNUMBER($AA575),$AA575-$AG575-$Q575,1E+15))))))</f>
        <v/>
      </c>
      <c r="S575" s="47" t="str">
        <f>IF($AD575="","",YEAR($AD575)*100+MONTH($AD575))</f>
        <v/>
      </c>
      <c r="T575" s="50" t="str">
        <f>IF($AD575="","",IFERROR(IF(INDEX(CARDS!$I$5:$I$34,MATCH($D575,CARDS!$A$5:$A$34,0))="","",IF(INDEX(CARDS!$I$5:$I$34,MATCH($D575,CARDS!$A$5:$A$34,0))&gt;INDEX(CARDS!$H$5:$H$34,MATCH($D575,CARDS!$A$5:$A$34,0)),DATE(YEAR($AD575),MONTH($AD575),MIN(INDEX(CARDS!$I$5:$I$34,MATCH($D575,CARDS!$A$5:$A$34,0)),DAY(EOMONTH($AD575,0)))),DATE(YEAR($AD575),MONTH($AD575)+1,MIN(INDEX(CARDS!$I$5:$I$34,MATCH($D575,CARDS!$A$5:$A$34,0)),DAY(EOMONTH($AD575,1)))))),""))</f>
        <v/>
      </c>
      <c r="U575" s="38" t="n"/>
      <c r="V575" s="37" t="n"/>
      <c r="W575" s="38" t="n"/>
      <c r="X575" s="38" t="n"/>
      <c r="Y575" s="44" t="str">
        <f>IF($AC575&gt;0,INDEX(CASHBACK_RULES!$A$5:$A$304,$AC575),"")</f>
        <v/>
      </c>
      <c r="Z575" s="45" t="str">
        <f>IF($AC575&gt;0,INDEX(CASHBACK_RULES!$E$5:$E$304,$AC575)&amp;"","")</f>
        <v/>
      </c>
      <c r="AA575" s="48" t="str">
        <f>IF($AC575&gt;0,IF(ISNUMBER(INDEX(CASHBACK_RULES!$K$5:$K$304,$AC575)),INDEX(CASHBACK_RULES!$K$5:$K$304,$AC575),"∞"),"")</f>
        <v/>
      </c>
      <c r="AB575" s="44" t="str">
        <f>IF(OR($B575="",$D575=""),"",IF($U575="Cancelled","Đã hủy",IF($AC575=0,"Không được hoàn",IF($Q575=0,IF(OR($O575&gt;0,$M575&lt;$L575),"Đã đạt cap","Không được hoàn"),IF(OR($Q575&lt;$O575,$M575&lt;$L575),"Hoàn một phần","Được hoàn")))))</f>
        <v/>
      </c>
      <c r="AC575" s="43">
        <f>IF(OR($B575="",$D575="",$I575="",$L575=""),0,IF($U575="Cancelled",0,IF($W575&lt;&gt;"",IFERROR(IF(INDEX(CASHBACK_RULES!$B$5:$B$304,MATCH($W575,CASHBACK_RULES!$A$5:$A$304,0))=$D575,MATCH($W575,CASHBACK_RULES!$A$5:$A$304,0),0),0),IFERROR(MATCH(1,INDEX((CASHBACK_RULES!$B$5:$B$304=$D575)*(CASHBACK_RULES!$G$5:$G$304=$I575)*(((CASHBACK_RULES!$N$5:$N$304="")+(CASHBACK_RULES!$N$5:$N$304&lt;=$B575))&gt;0)*(((CASHBACK_RULES!$O$5:$O$304="")+(CASHBACK_RULES!$O$5:$O$304&gt;=$B575))&gt;0)*(((CASHBACK_RULES!$M$5:$M$304="")+(CASHBACK_RULES!$M$5:$M$304&lt;=$L575))&gt;0),0),0),0))))</f>
        <v>0</v>
      </c>
      <c r="AD575" s="51" t="str">
        <f>IF(OR($B575="",$D575=""),"",IFERROR(IF(INDEX(CARDS!$H$5:$H$34,MATCH($D575,CARDS!$A$5:$A$34,0))="","",IF(DAY($B575)&lt;=INDEX(CARDS!$H$5:$H$34,MATCH($D575,CARDS!$A$5:$A$34,0)),DATE(YEAR($B575),MONTH($B575),MIN(INDEX(CARDS!$H$5:$H$34,MATCH($D575,CARDS!$A$5:$A$34,0)),DAY(EOMONTH($B575,0)))),DATE(YEAR($B575),MONTH($B575)+1,MIN(INDEX(CARDS!$H$5:$H$34,MATCH($D575,CARDS!$A$5:$A$34,0)),DAY(EOMONTH($B575,1)))))),""))</f>
        <v/>
      </c>
      <c r="AE575" s="52" t="str">
        <f>IF($C575="","",$C575&amp;"|"&amp;COUNTIF($C$5:$C575,$C575))</f>
        <v/>
      </c>
      <c r="AF575" s="53">
        <f>IF($AC575&gt;0,SUMIFS(Q$4:Q574,$D$4:$D574,$D575,$Z$4:$Z574,$Z575,$C$4:$C574,$C575),0)</f>
        <v>0</v>
      </c>
      <c r="AG575" s="53">
        <f>IF($AC575&gt;0,SUMIFS(Q$4:Q574,$D$4:$D574,$D575,$C$4:$C574,$C575),0)</f>
        <v>0</v>
      </c>
      <c r="AH575" s="53">
        <f>IF($AC575&gt;0,SUMIFS(M$4:M574,$D$4:$D574,$D575,$Z$4:$Z574,$Z575,$C$4:$C574,$C575),0)</f>
        <v>0</v>
      </c>
      <c r="AI575" s="43">
        <f>IF(OR($C575="",$I575=""),0,IF(COUNTIFS($C$5:$C575,$C575,$I$5:$I575,$I575)=1,1,0))</f>
        <v>0</v>
      </c>
      <c r="AJ575" s="43" t="str">
        <f>IF($AI575=1,SUMIFS($AI$4:$AI574,$C$4:$C574,$C575)+1,"")</f>
        <v/>
      </c>
      <c r="AK575" s="43">
        <f>IF(OR($C575="",$K575=""),0,IF(COUNTIFS($C$5:$C575,$C575,$K$5:$K575,$K575)=1,1,0))</f>
        <v>0</v>
      </c>
      <c r="AL575" s="43" t="str">
        <f>IF($AK575=1,SUMIFS($AK$4:$AK574,$C$4:$C574,$C575)+1,"")</f>
        <v/>
      </c>
      <c r="AM575" s="43">
        <f>IF(OR($C575="",$G575=""),0,IF(COUNTIFS($C$5:$C575,$C575,$G$5:$G575,$G575)=1,1,0))</f>
        <v>0</v>
      </c>
      <c r="AN575" s="43" t="str">
        <f>IF($AM575=1,SUMIFS($AM$4:$AM574,$C$4:$C574,$C575)+1,"")</f>
        <v/>
      </c>
    </row>
    <row r="576">
      <c r="A576" s="44" t="str">
        <f>IF(OR($B576="",$D576=""),"","TX"&amp;TEXT(ROW()-4,"0000"))</f>
        <v/>
      </c>
      <c r="B576" s="42" t="n"/>
      <c r="C576" s="47" t="str">
        <f>IF($B576="","",YEAR($B576)*100+MONTH($B576))</f>
        <v/>
      </c>
      <c r="D576" s="37" t="n"/>
      <c r="E576" s="45" t="str">
        <f>IF($D576="","",IFERROR(INDEX(CARDS!$B$5:$B$34,MATCH($D576,CARDS!$A$5:$A$34,0)),"⚠ Card ID?"))</f>
        <v/>
      </c>
      <c r="F576" s="45" t="str">
        <f>IF($D576="","",IFERROR(INDEX(CARDS!$C$5:$C$34,MATCH($D576,CARDS!$A$5:$A$34,0)),"⚠ Card ID?"))</f>
        <v/>
      </c>
      <c r="G576" s="37" t="n"/>
      <c r="H576" s="37" t="n"/>
      <c r="I576" s="41" t="n"/>
      <c r="J576" s="45" t="str">
        <f>IF($I576="","",IFERROR(INDEX(MCC_MASTER!$B$5:$B$504,MATCH($I576,MCC_MASTER!$A$5:$A$504,0)),"⚠ MCC chưa có"))</f>
        <v/>
      </c>
      <c r="K576" s="45" t="str">
        <f>IF($I576="","",IFERROR(IF(INDEX(MCC_MASTER!$C$5:$C$504,MATCH($I576,MCC_MASTER!$A$5:$A$504,0))="","Chưa phân loại",INDEX(MCC_MASTER!$C$5:$C$504,MATCH($I576,MCC_MASTER!$A$5:$A$504,0))),"Chưa phân loại"))</f>
        <v/>
      </c>
      <c r="L576" s="40" t="n"/>
      <c r="M576" s="48" t="str">
        <f>IF(OR($B576="",$D576=""),"",IF($AC576=0,0,IF(ISNUMBER(INDEX(CASHBACK_RULES!$L$5:$L$304,$AC576)),MAX(0,MIN($L576,INDEX(CASHBACK_RULES!$L$5:$L$304,$AC576)-$AH576)),MAX(0,$L576))))</f>
        <v/>
      </c>
      <c r="N576" s="49" t="str">
        <f>IF(OR($B576="",$D576=""),"",IF($AC576&gt;0,INDEX(CASHBACK_RULES!$I$5:$I$304,$AC576),0))</f>
        <v/>
      </c>
      <c r="O576" s="48" t="str">
        <f>IF(OR($B576="",$D576=""),"",ROUND($M576*$N576,0))</f>
        <v/>
      </c>
      <c r="P576" s="48" t="str">
        <f>IF($AC576&gt;0,IF(ISNUMBER(INDEX(CASHBACK_RULES!$J$5:$J$304,$AC576)),INDEX(CASHBACK_RULES!$J$5:$J$304,$AC576),"∞"),"")</f>
        <v/>
      </c>
      <c r="Q576" s="48" t="str">
        <f>IF(OR($B576="",$D576=""),"",IF($AC576=0,0,MAX(0,MIN($O576,IF(ISNUMBER($P576),$P576-$AF576,1E+15),IF(ISNUMBER($AA576),$AA576-$AG576,1E+15)))))</f>
        <v/>
      </c>
      <c r="R576" s="48" t="str">
        <f>IF(OR($B576="",$D576=""),"",IF($AC576=0,"",IF(AND(NOT(ISNUMBER($P576)),NOT(ISNUMBER($AA576))),"∞",MAX(0,MIN(IF(ISNUMBER($P576),$P576-$AF576-$Q576,1E+15),IF(ISNUMBER($AA576),$AA576-$AG576-$Q576,1E+15))))))</f>
        <v/>
      </c>
      <c r="S576" s="47" t="str">
        <f>IF($AD576="","",YEAR($AD576)*100+MONTH($AD576))</f>
        <v/>
      </c>
      <c r="T576" s="50" t="str">
        <f>IF($AD576="","",IFERROR(IF(INDEX(CARDS!$I$5:$I$34,MATCH($D576,CARDS!$A$5:$A$34,0))="","",IF(INDEX(CARDS!$I$5:$I$34,MATCH($D576,CARDS!$A$5:$A$34,0))&gt;INDEX(CARDS!$H$5:$H$34,MATCH($D576,CARDS!$A$5:$A$34,0)),DATE(YEAR($AD576),MONTH($AD576),MIN(INDEX(CARDS!$I$5:$I$34,MATCH($D576,CARDS!$A$5:$A$34,0)),DAY(EOMONTH($AD576,0)))),DATE(YEAR($AD576),MONTH($AD576)+1,MIN(INDEX(CARDS!$I$5:$I$34,MATCH($D576,CARDS!$A$5:$A$34,0)),DAY(EOMONTH($AD576,1)))))),""))</f>
        <v/>
      </c>
      <c r="U576" s="38" t="n"/>
      <c r="V576" s="37" t="n"/>
      <c r="W576" s="38" t="n"/>
      <c r="X576" s="38" t="n"/>
      <c r="Y576" s="44" t="str">
        <f>IF($AC576&gt;0,INDEX(CASHBACK_RULES!$A$5:$A$304,$AC576),"")</f>
        <v/>
      </c>
      <c r="Z576" s="45" t="str">
        <f>IF($AC576&gt;0,INDEX(CASHBACK_RULES!$E$5:$E$304,$AC576)&amp;"","")</f>
        <v/>
      </c>
      <c r="AA576" s="48" t="str">
        <f>IF($AC576&gt;0,IF(ISNUMBER(INDEX(CASHBACK_RULES!$K$5:$K$304,$AC576)),INDEX(CASHBACK_RULES!$K$5:$K$304,$AC576),"∞"),"")</f>
        <v/>
      </c>
      <c r="AB576" s="44" t="str">
        <f>IF(OR($B576="",$D576=""),"",IF($U576="Cancelled","Đã hủy",IF($AC576=0,"Không được hoàn",IF($Q576=0,IF(OR($O576&gt;0,$M576&lt;$L576),"Đã đạt cap","Không được hoàn"),IF(OR($Q576&lt;$O576,$M576&lt;$L576),"Hoàn một phần","Được hoàn")))))</f>
        <v/>
      </c>
      <c r="AC576" s="43">
        <f>IF(OR($B576="",$D576="",$I576="",$L576=""),0,IF($U576="Cancelled",0,IF($W576&lt;&gt;"",IFERROR(IF(INDEX(CASHBACK_RULES!$B$5:$B$304,MATCH($W576,CASHBACK_RULES!$A$5:$A$304,0))=$D576,MATCH($W576,CASHBACK_RULES!$A$5:$A$304,0),0),0),IFERROR(MATCH(1,INDEX((CASHBACK_RULES!$B$5:$B$304=$D576)*(CASHBACK_RULES!$G$5:$G$304=$I576)*(((CASHBACK_RULES!$N$5:$N$304="")+(CASHBACK_RULES!$N$5:$N$304&lt;=$B576))&gt;0)*(((CASHBACK_RULES!$O$5:$O$304="")+(CASHBACK_RULES!$O$5:$O$304&gt;=$B576))&gt;0)*(((CASHBACK_RULES!$M$5:$M$304="")+(CASHBACK_RULES!$M$5:$M$304&lt;=$L576))&gt;0),0),0),0))))</f>
        <v>0</v>
      </c>
      <c r="AD576" s="51" t="str">
        <f>IF(OR($B576="",$D576=""),"",IFERROR(IF(INDEX(CARDS!$H$5:$H$34,MATCH($D576,CARDS!$A$5:$A$34,0))="","",IF(DAY($B576)&lt;=INDEX(CARDS!$H$5:$H$34,MATCH($D576,CARDS!$A$5:$A$34,0)),DATE(YEAR($B576),MONTH($B576),MIN(INDEX(CARDS!$H$5:$H$34,MATCH($D576,CARDS!$A$5:$A$34,0)),DAY(EOMONTH($B576,0)))),DATE(YEAR($B576),MONTH($B576)+1,MIN(INDEX(CARDS!$H$5:$H$34,MATCH($D576,CARDS!$A$5:$A$34,0)),DAY(EOMONTH($B576,1)))))),""))</f>
        <v/>
      </c>
      <c r="AE576" s="52" t="str">
        <f>IF($C576="","",$C576&amp;"|"&amp;COUNTIF($C$5:$C576,$C576))</f>
        <v/>
      </c>
      <c r="AF576" s="53">
        <f>IF($AC576&gt;0,SUMIFS(Q$4:Q575,$D$4:$D575,$D576,$Z$4:$Z575,$Z576,$C$4:$C575,$C576),0)</f>
        <v>0</v>
      </c>
      <c r="AG576" s="53">
        <f>IF($AC576&gt;0,SUMIFS(Q$4:Q575,$D$4:$D575,$D576,$C$4:$C575,$C576),0)</f>
        <v>0</v>
      </c>
      <c r="AH576" s="53">
        <f>IF($AC576&gt;0,SUMIFS(M$4:M575,$D$4:$D575,$D576,$Z$4:$Z575,$Z576,$C$4:$C575,$C576),0)</f>
        <v>0</v>
      </c>
      <c r="AI576" s="43">
        <f>IF(OR($C576="",$I576=""),0,IF(COUNTIFS($C$5:$C576,$C576,$I$5:$I576,$I576)=1,1,0))</f>
        <v>0</v>
      </c>
      <c r="AJ576" s="43" t="str">
        <f>IF($AI576=1,SUMIFS($AI$4:$AI575,$C$4:$C575,$C576)+1,"")</f>
        <v/>
      </c>
      <c r="AK576" s="43">
        <f>IF(OR($C576="",$K576=""),0,IF(COUNTIFS($C$5:$C576,$C576,$K$5:$K576,$K576)=1,1,0))</f>
        <v>0</v>
      </c>
      <c r="AL576" s="43" t="str">
        <f>IF($AK576=1,SUMIFS($AK$4:$AK575,$C$4:$C575,$C576)+1,"")</f>
        <v/>
      </c>
      <c r="AM576" s="43">
        <f>IF(OR($C576="",$G576=""),0,IF(COUNTIFS($C$5:$C576,$C576,$G$5:$G576,$G576)=1,1,0))</f>
        <v>0</v>
      </c>
      <c r="AN576" s="43" t="str">
        <f>IF($AM576=1,SUMIFS($AM$4:$AM575,$C$4:$C575,$C576)+1,"")</f>
        <v/>
      </c>
    </row>
    <row r="577">
      <c r="A577" s="44" t="str">
        <f>IF(OR($B577="",$D577=""),"","TX"&amp;TEXT(ROW()-4,"0000"))</f>
        <v/>
      </c>
      <c r="B577" s="42" t="n"/>
      <c r="C577" s="47" t="str">
        <f>IF($B577="","",YEAR($B577)*100+MONTH($B577))</f>
        <v/>
      </c>
      <c r="D577" s="37" t="n"/>
      <c r="E577" s="45" t="str">
        <f>IF($D577="","",IFERROR(INDEX(CARDS!$B$5:$B$34,MATCH($D577,CARDS!$A$5:$A$34,0)),"⚠ Card ID?"))</f>
        <v/>
      </c>
      <c r="F577" s="45" t="str">
        <f>IF($D577="","",IFERROR(INDEX(CARDS!$C$5:$C$34,MATCH($D577,CARDS!$A$5:$A$34,0)),"⚠ Card ID?"))</f>
        <v/>
      </c>
      <c r="G577" s="37" t="n"/>
      <c r="H577" s="37" t="n"/>
      <c r="I577" s="41" t="n"/>
      <c r="J577" s="45" t="str">
        <f>IF($I577="","",IFERROR(INDEX(MCC_MASTER!$B$5:$B$504,MATCH($I577,MCC_MASTER!$A$5:$A$504,0)),"⚠ MCC chưa có"))</f>
        <v/>
      </c>
      <c r="K577" s="45" t="str">
        <f>IF($I577="","",IFERROR(IF(INDEX(MCC_MASTER!$C$5:$C$504,MATCH($I577,MCC_MASTER!$A$5:$A$504,0))="","Chưa phân loại",INDEX(MCC_MASTER!$C$5:$C$504,MATCH($I577,MCC_MASTER!$A$5:$A$504,0))),"Chưa phân loại"))</f>
        <v/>
      </c>
      <c r="L577" s="40" t="n"/>
      <c r="M577" s="48" t="str">
        <f>IF(OR($B577="",$D577=""),"",IF($AC577=0,0,IF(ISNUMBER(INDEX(CASHBACK_RULES!$L$5:$L$304,$AC577)),MAX(0,MIN($L577,INDEX(CASHBACK_RULES!$L$5:$L$304,$AC577)-$AH577)),MAX(0,$L577))))</f>
        <v/>
      </c>
      <c r="N577" s="49" t="str">
        <f>IF(OR($B577="",$D577=""),"",IF($AC577&gt;0,INDEX(CASHBACK_RULES!$I$5:$I$304,$AC577),0))</f>
        <v/>
      </c>
      <c r="O577" s="48" t="str">
        <f>IF(OR($B577="",$D577=""),"",ROUND($M577*$N577,0))</f>
        <v/>
      </c>
      <c r="P577" s="48" t="str">
        <f>IF($AC577&gt;0,IF(ISNUMBER(INDEX(CASHBACK_RULES!$J$5:$J$304,$AC577)),INDEX(CASHBACK_RULES!$J$5:$J$304,$AC577),"∞"),"")</f>
        <v/>
      </c>
      <c r="Q577" s="48" t="str">
        <f>IF(OR($B577="",$D577=""),"",IF($AC577=0,0,MAX(0,MIN($O577,IF(ISNUMBER($P577),$P577-$AF577,1E+15),IF(ISNUMBER($AA577),$AA577-$AG577,1E+15)))))</f>
        <v/>
      </c>
      <c r="R577" s="48" t="str">
        <f>IF(OR($B577="",$D577=""),"",IF($AC577=0,"",IF(AND(NOT(ISNUMBER($P577)),NOT(ISNUMBER($AA577))),"∞",MAX(0,MIN(IF(ISNUMBER($P577),$P577-$AF577-$Q577,1E+15),IF(ISNUMBER($AA577),$AA577-$AG577-$Q577,1E+15))))))</f>
        <v/>
      </c>
      <c r="S577" s="47" t="str">
        <f>IF($AD577="","",YEAR($AD577)*100+MONTH($AD577))</f>
        <v/>
      </c>
      <c r="T577" s="50" t="str">
        <f>IF($AD577="","",IFERROR(IF(INDEX(CARDS!$I$5:$I$34,MATCH($D577,CARDS!$A$5:$A$34,0))="","",IF(INDEX(CARDS!$I$5:$I$34,MATCH($D577,CARDS!$A$5:$A$34,0))&gt;INDEX(CARDS!$H$5:$H$34,MATCH($D577,CARDS!$A$5:$A$34,0)),DATE(YEAR($AD577),MONTH($AD577),MIN(INDEX(CARDS!$I$5:$I$34,MATCH($D577,CARDS!$A$5:$A$34,0)),DAY(EOMONTH($AD577,0)))),DATE(YEAR($AD577),MONTH($AD577)+1,MIN(INDEX(CARDS!$I$5:$I$34,MATCH($D577,CARDS!$A$5:$A$34,0)),DAY(EOMONTH($AD577,1)))))),""))</f>
        <v/>
      </c>
      <c r="U577" s="38" t="n"/>
      <c r="V577" s="37" t="n"/>
      <c r="W577" s="38" t="n"/>
      <c r="X577" s="38" t="n"/>
      <c r="Y577" s="44" t="str">
        <f>IF($AC577&gt;0,INDEX(CASHBACK_RULES!$A$5:$A$304,$AC577),"")</f>
        <v/>
      </c>
      <c r="Z577" s="45" t="str">
        <f>IF($AC577&gt;0,INDEX(CASHBACK_RULES!$E$5:$E$304,$AC577)&amp;"","")</f>
        <v/>
      </c>
      <c r="AA577" s="48" t="str">
        <f>IF($AC577&gt;0,IF(ISNUMBER(INDEX(CASHBACK_RULES!$K$5:$K$304,$AC577)),INDEX(CASHBACK_RULES!$K$5:$K$304,$AC577),"∞"),"")</f>
        <v/>
      </c>
      <c r="AB577" s="44" t="str">
        <f>IF(OR($B577="",$D577=""),"",IF($U577="Cancelled","Đã hủy",IF($AC577=0,"Không được hoàn",IF($Q577=0,IF(OR($O577&gt;0,$M577&lt;$L577),"Đã đạt cap","Không được hoàn"),IF(OR($Q577&lt;$O577,$M577&lt;$L577),"Hoàn một phần","Được hoàn")))))</f>
        <v/>
      </c>
      <c r="AC577" s="43">
        <f>IF(OR($B577="",$D577="",$I577="",$L577=""),0,IF($U577="Cancelled",0,IF($W577&lt;&gt;"",IFERROR(IF(INDEX(CASHBACK_RULES!$B$5:$B$304,MATCH($W577,CASHBACK_RULES!$A$5:$A$304,0))=$D577,MATCH($W577,CASHBACK_RULES!$A$5:$A$304,0),0),0),IFERROR(MATCH(1,INDEX((CASHBACK_RULES!$B$5:$B$304=$D577)*(CASHBACK_RULES!$G$5:$G$304=$I577)*(((CASHBACK_RULES!$N$5:$N$304="")+(CASHBACK_RULES!$N$5:$N$304&lt;=$B577))&gt;0)*(((CASHBACK_RULES!$O$5:$O$304="")+(CASHBACK_RULES!$O$5:$O$304&gt;=$B577))&gt;0)*(((CASHBACK_RULES!$M$5:$M$304="")+(CASHBACK_RULES!$M$5:$M$304&lt;=$L577))&gt;0),0),0),0))))</f>
        <v>0</v>
      </c>
      <c r="AD577" s="51" t="str">
        <f>IF(OR($B577="",$D577=""),"",IFERROR(IF(INDEX(CARDS!$H$5:$H$34,MATCH($D577,CARDS!$A$5:$A$34,0))="","",IF(DAY($B577)&lt;=INDEX(CARDS!$H$5:$H$34,MATCH($D577,CARDS!$A$5:$A$34,0)),DATE(YEAR($B577),MONTH($B577),MIN(INDEX(CARDS!$H$5:$H$34,MATCH($D577,CARDS!$A$5:$A$34,0)),DAY(EOMONTH($B577,0)))),DATE(YEAR($B577),MONTH($B577)+1,MIN(INDEX(CARDS!$H$5:$H$34,MATCH($D577,CARDS!$A$5:$A$34,0)),DAY(EOMONTH($B577,1)))))),""))</f>
        <v/>
      </c>
      <c r="AE577" s="52" t="str">
        <f>IF($C577="","",$C577&amp;"|"&amp;COUNTIF($C$5:$C577,$C577))</f>
        <v/>
      </c>
      <c r="AF577" s="53">
        <f>IF($AC577&gt;0,SUMIFS(Q$4:Q576,$D$4:$D576,$D577,$Z$4:$Z576,$Z577,$C$4:$C576,$C577),0)</f>
        <v>0</v>
      </c>
      <c r="AG577" s="53">
        <f>IF($AC577&gt;0,SUMIFS(Q$4:Q576,$D$4:$D576,$D577,$C$4:$C576,$C577),0)</f>
        <v>0</v>
      </c>
      <c r="AH577" s="53">
        <f>IF($AC577&gt;0,SUMIFS(M$4:M576,$D$4:$D576,$D577,$Z$4:$Z576,$Z577,$C$4:$C576,$C577),0)</f>
        <v>0</v>
      </c>
      <c r="AI577" s="43">
        <f>IF(OR($C577="",$I577=""),0,IF(COUNTIFS($C$5:$C577,$C577,$I$5:$I577,$I577)=1,1,0))</f>
        <v>0</v>
      </c>
      <c r="AJ577" s="43" t="str">
        <f>IF($AI577=1,SUMIFS($AI$4:$AI576,$C$4:$C576,$C577)+1,"")</f>
        <v/>
      </c>
      <c r="AK577" s="43">
        <f>IF(OR($C577="",$K577=""),0,IF(COUNTIFS($C$5:$C577,$C577,$K$5:$K577,$K577)=1,1,0))</f>
        <v>0</v>
      </c>
      <c r="AL577" s="43" t="str">
        <f>IF($AK577=1,SUMIFS($AK$4:$AK576,$C$4:$C576,$C577)+1,"")</f>
        <v/>
      </c>
      <c r="AM577" s="43">
        <f>IF(OR($C577="",$G577=""),0,IF(COUNTIFS($C$5:$C577,$C577,$G$5:$G577,$G577)=1,1,0))</f>
        <v>0</v>
      </c>
      <c r="AN577" s="43" t="str">
        <f>IF($AM577=1,SUMIFS($AM$4:$AM576,$C$4:$C576,$C577)+1,"")</f>
        <v/>
      </c>
    </row>
    <row r="578">
      <c r="A578" s="44" t="str">
        <f>IF(OR($B578="",$D578=""),"","TX"&amp;TEXT(ROW()-4,"0000"))</f>
        <v/>
      </c>
      <c r="B578" s="42" t="n"/>
      <c r="C578" s="47" t="str">
        <f>IF($B578="","",YEAR($B578)*100+MONTH($B578))</f>
        <v/>
      </c>
      <c r="D578" s="37" t="n"/>
      <c r="E578" s="45" t="str">
        <f>IF($D578="","",IFERROR(INDEX(CARDS!$B$5:$B$34,MATCH($D578,CARDS!$A$5:$A$34,0)),"⚠ Card ID?"))</f>
        <v/>
      </c>
      <c r="F578" s="45" t="str">
        <f>IF($D578="","",IFERROR(INDEX(CARDS!$C$5:$C$34,MATCH($D578,CARDS!$A$5:$A$34,0)),"⚠ Card ID?"))</f>
        <v/>
      </c>
      <c r="G578" s="37" t="n"/>
      <c r="H578" s="37" t="n"/>
      <c r="I578" s="41" t="n"/>
      <c r="J578" s="45" t="str">
        <f>IF($I578="","",IFERROR(INDEX(MCC_MASTER!$B$5:$B$504,MATCH($I578,MCC_MASTER!$A$5:$A$504,0)),"⚠ MCC chưa có"))</f>
        <v/>
      </c>
      <c r="K578" s="45" t="str">
        <f>IF($I578="","",IFERROR(IF(INDEX(MCC_MASTER!$C$5:$C$504,MATCH($I578,MCC_MASTER!$A$5:$A$504,0))="","Chưa phân loại",INDEX(MCC_MASTER!$C$5:$C$504,MATCH($I578,MCC_MASTER!$A$5:$A$504,0))),"Chưa phân loại"))</f>
        <v/>
      </c>
      <c r="L578" s="40" t="n"/>
      <c r="M578" s="48" t="str">
        <f>IF(OR($B578="",$D578=""),"",IF($AC578=0,0,IF(ISNUMBER(INDEX(CASHBACK_RULES!$L$5:$L$304,$AC578)),MAX(0,MIN($L578,INDEX(CASHBACK_RULES!$L$5:$L$304,$AC578)-$AH578)),MAX(0,$L578))))</f>
        <v/>
      </c>
      <c r="N578" s="49" t="str">
        <f>IF(OR($B578="",$D578=""),"",IF($AC578&gt;0,INDEX(CASHBACK_RULES!$I$5:$I$304,$AC578),0))</f>
        <v/>
      </c>
      <c r="O578" s="48" t="str">
        <f>IF(OR($B578="",$D578=""),"",ROUND($M578*$N578,0))</f>
        <v/>
      </c>
      <c r="P578" s="48" t="str">
        <f>IF($AC578&gt;0,IF(ISNUMBER(INDEX(CASHBACK_RULES!$J$5:$J$304,$AC578)),INDEX(CASHBACK_RULES!$J$5:$J$304,$AC578),"∞"),"")</f>
        <v/>
      </c>
      <c r="Q578" s="48" t="str">
        <f>IF(OR($B578="",$D578=""),"",IF($AC578=0,0,MAX(0,MIN($O578,IF(ISNUMBER($P578),$P578-$AF578,1E+15),IF(ISNUMBER($AA578),$AA578-$AG578,1E+15)))))</f>
        <v/>
      </c>
      <c r="R578" s="48" t="str">
        <f>IF(OR($B578="",$D578=""),"",IF($AC578=0,"",IF(AND(NOT(ISNUMBER($P578)),NOT(ISNUMBER($AA578))),"∞",MAX(0,MIN(IF(ISNUMBER($P578),$P578-$AF578-$Q578,1E+15),IF(ISNUMBER($AA578),$AA578-$AG578-$Q578,1E+15))))))</f>
        <v/>
      </c>
      <c r="S578" s="47" t="str">
        <f>IF($AD578="","",YEAR($AD578)*100+MONTH($AD578))</f>
        <v/>
      </c>
      <c r="T578" s="50" t="str">
        <f>IF($AD578="","",IFERROR(IF(INDEX(CARDS!$I$5:$I$34,MATCH($D578,CARDS!$A$5:$A$34,0))="","",IF(INDEX(CARDS!$I$5:$I$34,MATCH($D578,CARDS!$A$5:$A$34,0))&gt;INDEX(CARDS!$H$5:$H$34,MATCH($D578,CARDS!$A$5:$A$34,0)),DATE(YEAR($AD578),MONTH($AD578),MIN(INDEX(CARDS!$I$5:$I$34,MATCH($D578,CARDS!$A$5:$A$34,0)),DAY(EOMONTH($AD578,0)))),DATE(YEAR($AD578),MONTH($AD578)+1,MIN(INDEX(CARDS!$I$5:$I$34,MATCH($D578,CARDS!$A$5:$A$34,0)),DAY(EOMONTH($AD578,1)))))),""))</f>
        <v/>
      </c>
      <c r="U578" s="38" t="n"/>
      <c r="V578" s="37" t="n"/>
      <c r="W578" s="38" t="n"/>
      <c r="X578" s="38" t="n"/>
      <c r="Y578" s="44" t="str">
        <f>IF($AC578&gt;0,INDEX(CASHBACK_RULES!$A$5:$A$304,$AC578),"")</f>
        <v/>
      </c>
      <c r="Z578" s="45" t="str">
        <f>IF($AC578&gt;0,INDEX(CASHBACK_RULES!$E$5:$E$304,$AC578)&amp;"","")</f>
        <v/>
      </c>
      <c r="AA578" s="48" t="str">
        <f>IF($AC578&gt;0,IF(ISNUMBER(INDEX(CASHBACK_RULES!$K$5:$K$304,$AC578)),INDEX(CASHBACK_RULES!$K$5:$K$304,$AC578),"∞"),"")</f>
        <v/>
      </c>
      <c r="AB578" s="44" t="str">
        <f>IF(OR($B578="",$D578=""),"",IF($U578="Cancelled","Đã hủy",IF($AC578=0,"Không được hoàn",IF($Q578=0,IF(OR($O578&gt;0,$M578&lt;$L578),"Đã đạt cap","Không được hoàn"),IF(OR($Q578&lt;$O578,$M578&lt;$L578),"Hoàn một phần","Được hoàn")))))</f>
        <v/>
      </c>
      <c r="AC578" s="43">
        <f>IF(OR($B578="",$D578="",$I578="",$L578=""),0,IF($U578="Cancelled",0,IF($W578&lt;&gt;"",IFERROR(IF(INDEX(CASHBACK_RULES!$B$5:$B$304,MATCH($W578,CASHBACK_RULES!$A$5:$A$304,0))=$D578,MATCH($W578,CASHBACK_RULES!$A$5:$A$304,0),0),0),IFERROR(MATCH(1,INDEX((CASHBACK_RULES!$B$5:$B$304=$D578)*(CASHBACK_RULES!$G$5:$G$304=$I578)*(((CASHBACK_RULES!$N$5:$N$304="")+(CASHBACK_RULES!$N$5:$N$304&lt;=$B578))&gt;0)*(((CASHBACK_RULES!$O$5:$O$304="")+(CASHBACK_RULES!$O$5:$O$304&gt;=$B578))&gt;0)*(((CASHBACK_RULES!$M$5:$M$304="")+(CASHBACK_RULES!$M$5:$M$304&lt;=$L578))&gt;0),0),0),0))))</f>
        <v>0</v>
      </c>
      <c r="AD578" s="51" t="str">
        <f>IF(OR($B578="",$D578=""),"",IFERROR(IF(INDEX(CARDS!$H$5:$H$34,MATCH($D578,CARDS!$A$5:$A$34,0))="","",IF(DAY($B578)&lt;=INDEX(CARDS!$H$5:$H$34,MATCH($D578,CARDS!$A$5:$A$34,0)),DATE(YEAR($B578),MONTH($B578),MIN(INDEX(CARDS!$H$5:$H$34,MATCH($D578,CARDS!$A$5:$A$34,0)),DAY(EOMONTH($B578,0)))),DATE(YEAR($B578),MONTH($B578)+1,MIN(INDEX(CARDS!$H$5:$H$34,MATCH($D578,CARDS!$A$5:$A$34,0)),DAY(EOMONTH($B578,1)))))),""))</f>
        <v/>
      </c>
      <c r="AE578" s="52" t="str">
        <f>IF($C578="","",$C578&amp;"|"&amp;COUNTIF($C$5:$C578,$C578))</f>
        <v/>
      </c>
      <c r="AF578" s="53">
        <f>IF($AC578&gt;0,SUMIFS(Q$4:Q577,$D$4:$D577,$D578,$Z$4:$Z577,$Z578,$C$4:$C577,$C578),0)</f>
        <v>0</v>
      </c>
      <c r="AG578" s="53">
        <f>IF($AC578&gt;0,SUMIFS(Q$4:Q577,$D$4:$D577,$D578,$C$4:$C577,$C578),0)</f>
        <v>0</v>
      </c>
      <c r="AH578" s="53">
        <f>IF($AC578&gt;0,SUMIFS(M$4:M577,$D$4:$D577,$D578,$Z$4:$Z577,$Z578,$C$4:$C577,$C578),0)</f>
        <v>0</v>
      </c>
      <c r="AI578" s="43">
        <f>IF(OR($C578="",$I578=""),0,IF(COUNTIFS($C$5:$C578,$C578,$I$5:$I578,$I578)=1,1,0))</f>
        <v>0</v>
      </c>
      <c r="AJ578" s="43" t="str">
        <f>IF($AI578=1,SUMIFS($AI$4:$AI577,$C$4:$C577,$C578)+1,"")</f>
        <v/>
      </c>
      <c r="AK578" s="43">
        <f>IF(OR($C578="",$K578=""),0,IF(COUNTIFS($C$5:$C578,$C578,$K$5:$K578,$K578)=1,1,0))</f>
        <v>0</v>
      </c>
      <c r="AL578" s="43" t="str">
        <f>IF($AK578=1,SUMIFS($AK$4:$AK577,$C$4:$C577,$C578)+1,"")</f>
        <v/>
      </c>
      <c r="AM578" s="43">
        <f>IF(OR($C578="",$G578=""),0,IF(COUNTIFS($C$5:$C578,$C578,$G$5:$G578,$G578)=1,1,0))</f>
        <v>0</v>
      </c>
      <c r="AN578" s="43" t="str">
        <f>IF($AM578=1,SUMIFS($AM$4:$AM577,$C$4:$C577,$C578)+1,"")</f>
        <v/>
      </c>
    </row>
    <row r="579">
      <c r="A579" s="44" t="str">
        <f>IF(OR($B579="",$D579=""),"","TX"&amp;TEXT(ROW()-4,"0000"))</f>
        <v/>
      </c>
      <c r="B579" s="42" t="n"/>
      <c r="C579" s="47" t="str">
        <f>IF($B579="","",YEAR($B579)*100+MONTH($B579))</f>
        <v/>
      </c>
      <c r="D579" s="37" t="n"/>
      <c r="E579" s="45" t="str">
        <f>IF($D579="","",IFERROR(INDEX(CARDS!$B$5:$B$34,MATCH($D579,CARDS!$A$5:$A$34,0)),"⚠ Card ID?"))</f>
        <v/>
      </c>
      <c r="F579" s="45" t="str">
        <f>IF($D579="","",IFERROR(INDEX(CARDS!$C$5:$C$34,MATCH($D579,CARDS!$A$5:$A$34,0)),"⚠ Card ID?"))</f>
        <v/>
      </c>
      <c r="G579" s="37" t="n"/>
      <c r="H579" s="37" t="n"/>
      <c r="I579" s="41" t="n"/>
      <c r="J579" s="45" t="str">
        <f>IF($I579="","",IFERROR(INDEX(MCC_MASTER!$B$5:$B$504,MATCH($I579,MCC_MASTER!$A$5:$A$504,0)),"⚠ MCC chưa có"))</f>
        <v/>
      </c>
      <c r="K579" s="45" t="str">
        <f>IF($I579="","",IFERROR(IF(INDEX(MCC_MASTER!$C$5:$C$504,MATCH($I579,MCC_MASTER!$A$5:$A$504,0))="","Chưa phân loại",INDEX(MCC_MASTER!$C$5:$C$504,MATCH($I579,MCC_MASTER!$A$5:$A$504,0))),"Chưa phân loại"))</f>
        <v/>
      </c>
      <c r="L579" s="40" t="n"/>
      <c r="M579" s="48" t="str">
        <f>IF(OR($B579="",$D579=""),"",IF($AC579=0,0,IF(ISNUMBER(INDEX(CASHBACK_RULES!$L$5:$L$304,$AC579)),MAX(0,MIN($L579,INDEX(CASHBACK_RULES!$L$5:$L$304,$AC579)-$AH579)),MAX(0,$L579))))</f>
        <v/>
      </c>
      <c r="N579" s="49" t="str">
        <f>IF(OR($B579="",$D579=""),"",IF($AC579&gt;0,INDEX(CASHBACK_RULES!$I$5:$I$304,$AC579),0))</f>
        <v/>
      </c>
      <c r="O579" s="48" t="str">
        <f>IF(OR($B579="",$D579=""),"",ROUND($M579*$N579,0))</f>
        <v/>
      </c>
      <c r="P579" s="48" t="str">
        <f>IF($AC579&gt;0,IF(ISNUMBER(INDEX(CASHBACK_RULES!$J$5:$J$304,$AC579)),INDEX(CASHBACK_RULES!$J$5:$J$304,$AC579),"∞"),"")</f>
        <v/>
      </c>
      <c r="Q579" s="48" t="str">
        <f>IF(OR($B579="",$D579=""),"",IF($AC579=0,0,MAX(0,MIN($O579,IF(ISNUMBER($P579),$P579-$AF579,1E+15),IF(ISNUMBER($AA579),$AA579-$AG579,1E+15)))))</f>
        <v/>
      </c>
      <c r="R579" s="48" t="str">
        <f>IF(OR($B579="",$D579=""),"",IF($AC579=0,"",IF(AND(NOT(ISNUMBER($P579)),NOT(ISNUMBER($AA579))),"∞",MAX(0,MIN(IF(ISNUMBER($P579),$P579-$AF579-$Q579,1E+15),IF(ISNUMBER($AA579),$AA579-$AG579-$Q579,1E+15))))))</f>
        <v/>
      </c>
      <c r="S579" s="47" t="str">
        <f>IF($AD579="","",YEAR($AD579)*100+MONTH($AD579))</f>
        <v/>
      </c>
      <c r="T579" s="50" t="str">
        <f>IF($AD579="","",IFERROR(IF(INDEX(CARDS!$I$5:$I$34,MATCH($D579,CARDS!$A$5:$A$34,0))="","",IF(INDEX(CARDS!$I$5:$I$34,MATCH($D579,CARDS!$A$5:$A$34,0))&gt;INDEX(CARDS!$H$5:$H$34,MATCH($D579,CARDS!$A$5:$A$34,0)),DATE(YEAR($AD579),MONTH($AD579),MIN(INDEX(CARDS!$I$5:$I$34,MATCH($D579,CARDS!$A$5:$A$34,0)),DAY(EOMONTH($AD579,0)))),DATE(YEAR($AD579),MONTH($AD579)+1,MIN(INDEX(CARDS!$I$5:$I$34,MATCH($D579,CARDS!$A$5:$A$34,0)),DAY(EOMONTH($AD579,1)))))),""))</f>
        <v/>
      </c>
      <c r="U579" s="38" t="n"/>
      <c r="V579" s="37" t="n"/>
      <c r="W579" s="38" t="n"/>
      <c r="X579" s="38" t="n"/>
      <c r="Y579" s="44" t="str">
        <f>IF($AC579&gt;0,INDEX(CASHBACK_RULES!$A$5:$A$304,$AC579),"")</f>
        <v/>
      </c>
      <c r="Z579" s="45" t="str">
        <f>IF($AC579&gt;0,INDEX(CASHBACK_RULES!$E$5:$E$304,$AC579)&amp;"","")</f>
        <v/>
      </c>
      <c r="AA579" s="48" t="str">
        <f>IF($AC579&gt;0,IF(ISNUMBER(INDEX(CASHBACK_RULES!$K$5:$K$304,$AC579)),INDEX(CASHBACK_RULES!$K$5:$K$304,$AC579),"∞"),"")</f>
        <v/>
      </c>
      <c r="AB579" s="44" t="str">
        <f>IF(OR($B579="",$D579=""),"",IF($U579="Cancelled","Đã hủy",IF($AC579=0,"Không được hoàn",IF($Q579=0,IF(OR($O579&gt;0,$M579&lt;$L579),"Đã đạt cap","Không được hoàn"),IF(OR($Q579&lt;$O579,$M579&lt;$L579),"Hoàn một phần","Được hoàn")))))</f>
        <v/>
      </c>
      <c r="AC579" s="43">
        <f>IF(OR($B579="",$D579="",$I579="",$L579=""),0,IF($U579="Cancelled",0,IF($W579&lt;&gt;"",IFERROR(IF(INDEX(CASHBACK_RULES!$B$5:$B$304,MATCH($W579,CASHBACK_RULES!$A$5:$A$304,0))=$D579,MATCH($W579,CASHBACK_RULES!$A$5:$A$304,0),0),0),IFERROR(MATCH(1,INDEX((CASHBACK_RULES!$B$5:$B$304=$D579)*(CASHBACK_RULES!$G$5:$G$304=$I579)*(((CASHBACK_RULES!$N$5:$N$304="")+(CASHBACK_RULES!$N$5:$N$304&lt;=$B579))&gt;0)*(((CASHBACK_RULES!$O$5:$O$304="")+(CASHBACK_RULES!$O$5:$O$304&gt;=$B579))&gt;0)*(((CASHBACK_RULES!$M$5:$M$304="")+(CASHBACK_RULES!$M$5:$M$304&lt;=$L579))&gt;0),0),0),0))))</f>
        <v>0</v>
      </c>
      <c r="AD579" s="51" t="str">
        <f>IF(OR($B579="",$D579=""),"",IFERROR(IF(INDEX(CARDS!$H$5:$H$34,MATCH($D579,CARDS!$A$5:$A$34,0))="","",IF(DAY($B579)&lt;=INDEX(CARDS!$H$5:$H$34,MATCH($D579,CARDS!$A$5:$A$34,0)),DATE(YEAR($B579),MONTH($B579),MIN(INDEX(CARDS!$H$5:$H$34,MATCH($D579,CARDS!$A$5:$A$34,0)),DAY(EOMONTH($B579,0)))),DATE(YEAR($B579),MONTH($B579)+1,MIN(INDEX(CARDS!$H$5:$H$34,MATCH($D579,CARDS!$A$5:$A$34,0)),DAY(EOMONTH($B579,1)))))),""))</f>
        <v/>
      </c>
      <c r="AE579" s="52" t="str">
        <f>IF($C579="","",$C579&amp;"|"&amp;COUNTIF($C$5:$C579,$C579))</f>
        <v/>
      </c>
      <c r="AF579" s="53">
        <f>IF($AC579&gt;0,SUMIFS(Q$4:Q578,$D$4:$D578,$D579,$Z$4:$Z578,$Z579,$C$4:$C578,$C579),0)</f>
        <v>0</v>
      </c>
      <c r="AG579" s="53">
        <f>IF($AC579&gt;0,SUMIFS(Q$4:Q578,$D$4:$D578,$D579,$C$4:$C578,$C579),0)</f>
        <v>0</v>
      </c>
      <c r="AH579" s="53">
        <f>IF($AC579&gt;0,SUMIFS(M$4:M578,$D$4:$D578,$D579,$Z$4:$Z578,$Z579,$C$4:$C578,$C579),0)</f>
        <v>0</v>
      </c>
      <c r="AI579" s="43">
        <f>IF(OR($C579="",$I579=""),0,IF(COUNTIFS($C$5:$C579,$C579,$I$5:$I579,$I579)=1,1,0))</f>
        <v>0</v>
      </c>
      <c r="AJ579" s="43" t="str">
        <f>IF($AI579=1,SUMIFS($AI$4:$AI578,$C$4:$C578,$C579)+1,"")</f>
        <v/>
      </c>
      <c r="AK579" s="43">
        <f>IF(OR($C579="",$K579=""),0,IF(COUNTIFS($C$5:$C579,$C579,$K$5:$K579,$K579)=1,1,0))</f>
        <v>0</v>
      </c>
      <c r="AL579" s="43" t="str">
        <f>IF($AK579=1,SUMIFS($AK$4:$AK578,$C$4:$C578,$C579)+1,"")</f>
        <v/>
      </c>
      <c r="AM579" s="43">
        <f>IF(OR($C579="",$G579=""),0,IF(COUNTIFS($C$5:$C579,$C579,$G$5:$G579,$G579)=1,1,0))</f>
        <v>0</v>
      </c>
      <c r="AN579" s="43" t="str">
        <f>IF($AM579=1,SUMIFS($AM$4:$AM578,$C$4:$C578,$C579)+1,"")</f>
        <v/>
      </c>
    </row>
    <row r="580">
      <c r="A580" s="44" t="str">
        <f>IF(OR($B580="",$D580=""),"","TX"&amp;TEXT(ROW()-4,"0000"))</f>
        <v/>
      </c>
      <c r="B580" s="42" t="n"/>
      <c r="C580" s="47" t="str">
        <f>IF($B580="","",YEAR($B580)*100+MONTH($B580))</f>
        <v/>
      </c>
      <c r="D580" s="37" t="n"/>
      <c r="E580" s="45" t="str">
        <f>IF($D580="","",IFERROR(INDEX(CARDS!$B$5:$B$34,MATCH($D580,CARDS!$A$5:$A$34,0)),"⚠ Card ID?"))</f>
        <v/>
      </c>
      <c r="F580" s="45" t="str">
        <f>IF($D580="","",IFERROR(INDEX(CARDS!$C$5:$C$34,MATCH($D580,CARDS!$A$5:$A$34,0)),"⚠ Card ID?"))</f>
        <v/>
      </c>
      <c r="G580" s="37" t="n"/>
      <c r="H580" s="37" t="n"/>
      <c r="I580" s="41" t="n"/>
      <c r="J580" s="45" t="str">
        <f>IF($I580="","",IFERROR(INDEX(MCC_MASTER!$B$5:$B$504,MATCH($I580,MCC_MASTER!$A$5:$A$504,0)),"⚠ MCC chưa có"))</f>
        <v/>
      </c>
      <c r="K580" s="45" t="str">
        <f>IF($I580="","",IFERROR(IF(INDEX(MCC_MASTER!$C$5:$C$504,MATCH($I580,MCC_MASTER!$A$5:$A$504,0))="","Chưa phân loại",INDEX(MCC_MASTER!$C$5:$C$504,MATCH($I580,MCC_MASTER!$A$5:$A$504,0))),"Chưa phân loại"))</f>
        <v/>
      </c>
      <c r="L580" s="40" t="n"/>
      <c r="M580" s="48" t="str">
        <f>IF(OR($B580="",$D580=""),"",IF($AC580=0,0,IF(ISNUMBER(INDEX(CASHBACK_RULES!$L$5:$L$304,$AC580)),MAX(0,MIN($L580,INDEX(CASHBACK_RULES!$L$5:$L$304,$AC580)-$AH580)),MAX(0,$L580))))</f>
        <v/>
      </c>
      <c r="N580" s="49" t="str">
        <f>IF(OR($B580="",$D580=""),"",IF($AC580&gt;0,INDEX(CASHBACK_RULES!$I$5:$I$304,$AC580),0))</f>
        <v/>
      </c>
      <c r="O580" s="48" t="str">
        <f>IF(OR($B580="",$D580=""),"",ROUND($M580*$N580,0))</f>
        <v/>
      </c>
      <c r="P580" s="48" t="str">
        <f>IF($AC580&gt;0,IF(ISNUMBER(INDEX(CASHBACK_RULES!$J$5:$J$304,$AC580)),INDEX(CASHBACK_RULES!$J$5:$J$304,$AC580),"∞"),"")</f>
        <v/>
      </c>
      <c r="Q580" s="48" t="str">
        <f>IF(OR($B580="",$D580=""),"",IF($AC580=0,0,MAX(0,MIN($O580,IF(ISNUMBER($P580),$P580-$AF580,1E+15),IF(ISNUMBER($AA580),$AA580-$AG580,1E+15)))))</f>
        <v/>
      </c>
      <c r="R580" s="48" t="str">
        <f>IF(OR($B580="",$D580=""),"",IF($AC580=0,"",IF(AND(NOT(ISNUMBER($P580)),NOT(ISNUMBER($AA580))),"∞",MAX(0,MIN(IF(ISNUMBER($P580),$P580-$AF580-$Q580,1E+15),IF(ISNUMBER($AA580),$AA580-$AG580-$Q580,1E+15))))))</f>
        <v/>
      </c>
      <c r="S580" s="47" t="str">
        <f>IF($AD580="","",YEAR($AD580)*100+MONTH($AD580))</f>
        <v/>
      </c>
      <c r="T580" s="50" t="str">
        <f>IF($AD580="","",IFERROR(IF(INDEX(CARDS!$I$5:$I$34,MATCH($D580,CARDS!$A$5:$A$34,0))="","",IF(INDEX(CARDS!$I$5:$I$34,MATCH($D580,CARDS!$A$5:$A$34,0))&gt;INDEX(CARDS!$H$5:$H$34,MATCH($D580,CARDS!$A$5:$A$34,0)),DATE(YEAR($AD580),MONTH($AD580),MIN(INDEX(CARDS!$I$5:$I$34,MATCH($D580,CARDS!$A$5:$A$34,0)),DAY(EOMONTH($AD580,0)))),DATE(YEAR($AD580),MONTH($AD580)+1,MIN(INDEX(CARDS!$I$5:$I$34,MATCH($D580,CARDS!$A$5:$A$34,0)),DAY(EOMONTH($AD580,1)))))),""))</f>
        <v/>
      </c>
      <c r="U580" s="38" t="n"/>
      <c r="V580" s="37" t="n"/>
      <c r="W580" s="38" t="n"/>
      <c r="X580" s="38" t="n"/>
      <c r="Y580" s="44" t="str">
        <f>IF($AC580&gt;0,INDEX(CASHBACK_RULES!$A$5:$A$304,$AC580),"")</f>
        <v/>
      </c>
      <c r="Z580" s="45" t="str">
        <f>IF($AC580&gt;0,INDEX(CASHBACK_RULES!$E$5:$E$304,$AC580)&amp;"","")</f>
        <v/>
      </c>
      <c r="AA580" s="48" t="str">
        <f>IF($AC580&gt;0,IF(ISNUMBER(INDEX(CASHBACK_RULES!$K$5:$K$304,$AC580)),INDEX(CASHBACK_RULES!$K$5:$K$304,$AC580),"∞"),"")</f>
        <v/>
      </c>
      <c r="AB580" s="44" t="str">
        <f>IF(OR($B580="",$D580=""),"",IF($U580="Cancelled","Đã hủy",IF($AC580=0,"Không được hoàn",IF($Q580=0,IF(OR($O580&gt;0,$M580&lt;$L580),"Đã đạt cap","Không được hoàn"),IF(OR($Q580&lt;$O580,$M580&lt;$L580),"Hoàn một phần","Được hoàn")))))</f>
        <v/>
      </c>
      <c r="AC580" s="43">
        <f>IF(OR($B580="",$D580="",$I580="",$L580=""),0,IF($U580="Cancelled",0,IF($W580&lt;&gt;"",IFERROR(IF(INDEX(CASHBACK_RULES!$B$5:$B$304,MATCH($W580,CASHBACK_RULES!$A$5:$A$304,0))=$D580,MATCH($W580,CASHBACK_RULES!$A$5:$A$304,0),0),0),IFERROR(MATCH(1,INDEX((CASHBACK_RULES!$B$5:$B$304=$D580)*(CASHBACK_RULES!$G$5:$G$304=$I580)*(((CASHBACK_RULES!$N$5:$N$304="")+(CASHBACK_RULES!$N$5:$N$304&lt;=$B580))&gt;0)*(((CASHBACK_RULES!$O$5:$O$304="")+(CASHBACK_RULES!$O$5:$O$304&gt;=$B580))&gt;0)*(((CASHBACK_RULES!$M$5:$M$304="")+(CASHBACK_RULES!$M$5:$M$304&lt;=$L580))&gt;0),0),0),0))))</f>
        <v>0</v>
      </c>
      <c r="AD580" s="51" t="str">
        <f>IF(OR($B580="",$D580=""),"",IFERROR(IF(INDEX(CARDS!$H$5:$H$34,MATCH($D580,CARDS!$A$5:$A$34,0))="","",IF(DAY($B580)&lt;=INDEX(CARDS!$H$5:$H$34,MATCH($D580,CARDS!$A$5:$A$34,0)),DATE(YEAR($B580),MONTH($B580),MIN(INDEX(CARDS!$H$5:$H$34,MATCH($D580,CARDS!$A$5:$A$34,0)),DAY(EOMONTH($B580,0)))),DATE(YEAR($B580),MONTH($B580)+1,MIN(INDEX(CARDS!$H$5:$H$34,MATCH($D580,CARDS!$A$5:$A$34,0)),DAY(EOMONTH($B580,1)))))),""))</f>
        <v/>
      </c>
      <c r="AE580" s="52" t="str">
        <f>IF($C580="","",$C580&amp;"|"&amp;COUNTIF($C$5:$C580,$C580))</f>
        <v/>
      </c>
      <c r="AF580" s="53">
        <f>IF($AC580&gt;0,SUMIFS(Q$4:Q579,$D$4:$D579,$D580,$Z$4:$Z579,$Z580,$C$4:$C579,$C580),0)</f>
        <v>0</v>
      </c>
      <c r="AG580" s="53">
        <f>IF($AC580&gt;0,SUMIFS(Q$4:Q579,$D$4:$D579,$D580,$C$4:$C579,$C580),0)</f>
        <v>0</v>
      </c>
      <c r="AH580" s="53">
        <f>IF($AC580&gt;0,SUMIFS(M$4:M579,$D$4:$D579,$D580,$Z$4:$Z579,$Z580,$C$4:$C579,$C580),0)</f>
        <v>0</v>
      </c>
      <c r="AI580" s="43">
        <f>IF(OR($C580="",$I580=""),0,IF(COUNTIFS($C$5:$C580,$C580,$I$5:$I580,$I580)=1,1,0))</f>
        <v>0</v>
      </c>
      <c r="AJ580" s="43" t="str">
        <f>IF($AI580=1,SUMIFS($AI$4:$AI579,$C$4:$C579,$C580)+1,"")</f>
        <v/>
      </c>
      <c r="AK580" s="43">
        <f>IF(OR($C580="",$K580=""),0,IF(COUNTIFS($C$5:$C580,$C580,$K$5:$K580,$K580)=1,1,0))</f>
        <v>0</v>
      </c>
      <c r="AL580" s="43" t="str">
        <f>IF($AK580=1,SUMIFS($AK$4:$AK579,$C$4:$C579,$C580)+1,"")</f>
        <v/>
      </c>
      <c r="AM580" s="43">
        <f>IF(OR($C580="",$G580=""),0,IF(COUNTIFS($C$5:$C580,$C580,$G$5:$G580,$G580)=1,1,0))</f>
        <v>0</v>
      </c>
      <c r="AN580" s="43" t="str">
        <f>IF($AM580=1,SUMIFS($AM$4:$AM579,$C$4:$C579,$C580)+1,"")</f>
        <v/>
      </c>
    </row>
    <row r="581">
      <c r="A581" s="44" t="str">
        <f>IF(OR($B581="",$D581=""),"","TX"&amp;TEXT(ROW()-4,"0000"))</f>
        <v/>
      </c>
      <c r="B581" s="42" t="n"/>
      <c r="C581" s="47" t="str">
        <f>IF($B581="","",YEAR($B581)*100+MONTH($B581))</f>
        <v/>
      </c>
      <c r="D581" s="37" t="n"/>
      <c r="E581" s="45" t="str">
        <f>IF($D581="","",IFERROR(INDEX(CARDS!$B$5:$B$34,MATCH($D581,CARDS!$A$5:$A$34,0)),"⚠ Card ID?"))</f>
        <v/>
      </c>
      <c r="F581" s="45" t="str">
        <f>IF($D581="","",IFERROR(INDEX(CARDS!$C$5:$C$34,MATCH($D581,CARDS!$A$5:$A$34,0)),"⚠ Card ID?"))</f>
        <v/>
      </c>
      <c r="G581" s="37" t="n"/>
      <c r="H581" s="37" t="n"/>
      <c r="I581" s="41" t="n"/>
      <c r="J581" s="45" t="str">
        <f>IF($I581="","",IFERROR(INDEX(MCC_MASTER!$B$5:$B$504,MATCH($I581,MCC_MASTER!$A$5:$A$504,0)),"⚠ MCC chưa có"))</f>
        <v/>
      </c>
      <c r="K581" s="45" t="str">
        <f>IF($I581="","",IFERROR(IF(INDEX(MCC_MASTER!$C$5:$C$504,MATCH($I581,MCC_MASTER!$A$5:$A$504,0))="","Chưa phân loại",INDEX(MCC_MASTER!$C$5:$C$504,MATCH($I581,MCC_MASTER!$A$5:$A$504,0))),"Chưa phân loại"))</f>
        <v/>
      </c>
      <c r="L581" s="40" t="n"/>
      <c r="M581" s="48" t="str">
        <f>IF(OR($B581="",$D581=""),"",IF($AC581=0,0,IF(ISNUMBER(INDEX(CASHBACK_RULES!$L$5:$L$304,$AC581)),MAX(0,MIN($L581,INDEX(CASHBACK_RULES!$L$5:$L$304,$AC581)-$AH581)),MAX(0,$L581))))</f>
        <v/>
      </c>
      <c r="N581" s="49" t="str">
        <f>IF(OR($B581="",$D581=""),"",IF($AC581&gt;0,INDEX(CASHBACK_RULES!$I$5:$I$304,$AC581),0))</f>
        <v/>
      </c>
      <c r="O581" s="48" t="str">
        <f>IF(OR($B581="",$D581=""),"",ROUND($M581*$N581,0))</f>
        <v/>
      </c>
      <c r="P581" s="48" t="str">
        <f>IF($AC581&gt;0,IF(ISNUMBER(INDEX(CASHBACK_RULES!$J$5:$J$304,$AC581)),INDEX(CASHBACK_RULES!$J$5:$J$304,$AC581),"∞"),"")</f>
        <v/>
      </c>
      <c r="Q581" s="48" t="str">
        <f>IF(OR($B581="",$D581=""),"",IF($AC581=0,0,MAX(0,MIN($O581,IF(ISNUMBER($P581),$P581-$AF581,1E+15),IF(ISNUMBER($AA581),$AA581-$AG581,1E+15)))))</f>
        <v/>
      </c>
      <c r="R581" s="48" t="str">
        <f>IF(OR($B581="",$D581=""),"",IF($AC581=0,"",IF(AND(NOT(ISNUMBER($P581)),NOT(ISNUMBER($AA581))),"∞",MAX(0,MIN(IF(ISNUMBER($P581),$P581-$AF581-$Q581,1E+15),IF(ISNUMBER($AA581),$AA581-$AG581-$Q581,1E+15))))))</f>
        <v/>
      </c>
      <c r="S581" s="47" t="str">
        <f>IF($AD581="","",YEAR($AD581)*100+MONTH($AD581))</f>
        <v/>
      </c>
      <c r="T581" s="50" t="str">
        <f>IF($AD581="","",IFERROR(IF(INDEX(CARDS!$I$5:$I$34,MATCH($D581,CARDS!$A$5:$A$34,0))="","",IF(INDEX(CARDS!$I$5:$I$34,MATCH($D581,CARDS!$A$5:$A$34,0))&gt;INDEX(CARDS!$H$5:$H$34,MATCH($D581,CARDS!$A$5:$A$34,0)),DATE(YEAR($AD581),MONTH($AD581),MIN(INDEX(CARDS!$I$5:$I$34,MATCH($D581,CARDS!$A$5:$A$34,0)),DAY(EOMONTH($AD581,0)))),DATE(YEAR($AD581),MONTH($AD581)+1,MIN(INDEX(CARDS!$I$5:$I$34,MATCH($D581,CARDS!$A$5:$A$34,0)),DAY(EOMONTH($AD581,1)))))),""))</f>
        <v/>
      </c>
      <c r="U581" s="38" t="n"/>
      <c r="V581" s="37" t="n"/>
      <c r="W581" s="38" t="n"/>
      <c r="X581" s="38" t="n"/>
      <c r="Y581" s="44" t="str">
        <f>IF($AC581&gt;0,INDEX(CASHBACK_RULES!$A$5:$A$304,$AC581),"")</f>
        <v/>
      </c>
      <c r="Z581" s="45" t="str">
        <f>IF($AC581&gt;0,INDEX(CASHBACK_RULES!$E$5:$E$304,$AC581)&amp;"","")</f>
        <v/>
      </c>
      <c r="AA581" s="48" t="str">
        <f>IF($AC581&gt;0,IF(ISNUMBER(INDEX(CASHBACK_RULES!$K$5:$K$304,$AC581)),INDEX(CASHBACK_RULES!$K$5:$K$304,$AC581),"∞"),"")</f>
        <v/>
      </c>
      <c r="AB581" s="44" t="str">
        <f>IF(OR($B581="",$D581=""),"",IF($U581="Cancelled","Đã hủy",IF($AC581=0,"Không được hoàn",IF($Q581=0,IF(OR($O581&gt;0,$M581&lt;$L581),"Đã đạt cap","Không được hoàn"),IF(OR($Q581&lt;$O581,$M581&lt;$L581),"Hoàn một phần","Được hoàn")))))</f>
        <v/>
      </c>
      <c r="AC581" s="43">
        <f>IF(OR($B581="",$D581="",$I581="",$L581=""),0,IF($U581="Cancelled",0,IF($W581&lt;&gt;"",IFERROR(IF(INDEX(CASHBACK_RULES!$B$5:$B$304,MATCH($W581,CASHBACK_RULES!$A$5:$A$304,0))=$D581,MATCH($W581,CASHBACK_RULES!$A$5:$A$304,0),0),0),IFERROR(MATCH(1,INDEX((CASHBACK_RULES!$B$5:$B$304=$D581)*(CASHBACK_RULES!$G$5:$G$304=$I581)*(((CASHBACK_RULES!$N$5:$N$304="")+(CASHBACK_RULES!$N$5:$N$304&lt;=$B581))&gt;0)*(((CASHBACK_RULES!$O$5:$O$304="")+(CASHBACK_RULES!$O$5:$O$304&gt;=$B581))&gt;0)*(((CASHBACK_RULES!$M$5:$M$304="")+(CASHBACK_RULES!$M$5:$M$304&lt;=$L581))&gt;0),0),0),0))))</f>
        <v>0</v>
      </c>
      <c r="AD581" s="51" t="str">
        <f>IF(OR($B581="",$D581=""),"",IFERROR(IF(INDEX(CARDS!$H$5:$H$34,MATCH($D581,CARDS!$A$5:$A$34,0))="","",IF(DAY($B581)&lt;=INDEX(CARDS!$H$5:$H$34,MATCH($D581,CARDS!$A$5:$A$34,0)),DATE(YEAR($B581),MONTH($B581),MIN(INDEX(CARDS!$H$5:$H$34,MATCH($D581,CARDS!$A$5:$A$34,0)),DAY(EOMONTH($B581,0)))),DATE(YEAR($B581),MONTH($B581)+1,MIN(INDEX(CARDS!$H$5:$H$34,MATCH($D581,CARDS!$A$5:$A$34,0)),DAY(EOMONTH($B581,1)))))),""))</f>
        <v/>
      </c>
      <c r="AE581" s="52" t="str">
        <f>IF($C581="","",$C581&amp;"|"&amp;COUNTIF($C$5:$C581,$C581))</f>
        <v/>
      </c>
      <c r="AF581" s="53">
        <f>IF($AC581&gt;0,SUMIFS(Q$4:Q580,$D$4:$D580,$D581,$Z$4:$Z580,$Z581,$C$4:$C580,$C581),0)</f>
        <v>0</v>
      </c>
      <c r="AG581" s="53">
        <f>IF($AC581&gt;0,SUMIFS(Q$4:Q580,$D$4:$D580,$D581,$C$4:$C580,$C581),0)</f>
        <v>0</v>
      </c>
      <c r="AH581" s="53">
        <f>IF($AC581&gt;0,SUMIFS(M$4:M580,$D$4:$D580,$D581,$Z$4:$Z580,$Z581,$C$4:$C580,$C581),0)</f>
        <v>0</v>
      </c>
      <c r="AI581" s="43">
        <f>IF(OR($C581="",$I581=""),0,IF(COUNTIFS($C$5:$C581,$C581,$I$5:$I581,$I581)=1,1,0))</f>
        <v>0</v>
      </c>
      <c r="AJ581" s="43" t="str">
        <f>IF($AI581=1,SUMIFS($AI$4:$AI580,$C$4:$C580,$C581)+1,"")</f>
        <v/>
      </c>
      <c r="AK581" s="43">
        <f>IF(OR($C581="",$K581=""),0,IF(COUNTIFS($C$5:$C581,$C581,$K$5:$K581,$K581)=1,1,0))</f>
        <v>0</v>
      </c>
      <c r="AL581" s="43" t="str">
        <f>IF($AK581=1,SUMIFS($AK$4:$AK580,$C$4:$C580,$C581)+1,"")</f>
        <v/>
      </c>
      <c r="AM581" s="43">
        <f>IF(OR($C581="",$G581=""),0,IF(COUNTIFS($C$5:$C581,$C581,$G$5:$G581,$G581)=1,1,0))</f>
        <v>0</v>
      </c>
      <c r="AN581" s="43" t="str">
        <f>IF($AM581=1,SUMIFS($AM$4:$AM580,$C$4:$C580,$C581)+1,"")</f>
        <v/>
      </c>
    </row>
    <row r="582">
      <c r="A582" s="44" t="str">
        <f>IF(OR($B582="",$D582=""),"","TX"&amp;TEXT(ROW()-4,"0000"))</f>
        <v/>
      </c>
      <c r="B582" s="42" t="n"/>
      <c r="C582" s="47" t="str">
        <f>IF($B582="","",YEAR($B582)*100+MONTH($B582))</f>
        <v/>
      </c>
      <c r="D582" s="37" t="n"/>
      <c r="E582" s="45" t="str">
        <f>IF($D582="","",IFERROR(INDEX(CARDS!$B$5:$B$34,MATCH($D582,CARDS!$A$5:$A$34,0)),"⚠ Card ID?"))</f>
        <v/>
      </c>
      <c r="F582" s="45" t="str">
        <f>IF($D582="","",IFERROR(INDEX(CARDS!$C$5:$C$34,MATCH($D582,CARDS!$A$5:$A$34,0)),"⚠ Card ID?"))</f>
        <v/>
      </c>
      <c r="G582" s="37" t="n"/>
      <c r="H582" s="37" t="n"/>
      <c r="I582" s="41" t="n"/>
      <c r="J582" s="45" t="str">
        <f>IF($I582="","",IFERROR(INDEX(MCC_MASTER!$B$5:$B$504,MATCH($I582,MCC_MASTER!$A$5:$A$504,0)),"⚠ MCC chưa có"))</f>
        <v/>
      </c>
      <c r="K582" s="45" t="str">
        <f>IF($I582="","",IFERROR(IF(INDEX(MCC_MASTER!$C$5:$C$504,MATCH($I582,MCC_MASTER!$A$5:$A$504,0))="","Chưa phân loại",INDEX(MCC_MASTER!$C$5:$C$504,MATCH($I582,MCC_MASTER!$A$5:$A$504,0))),"Chưa phân loại"))</f>
        <v/>
      </c>
      <c r="L582" s="40" t="n"/>
      <c r="M582" s="48" t="str">
        <f>IF(OR($B582="",$D582=""),"",IF($AC582=0,0,IF(ISNUMBER(INDEX(CASHBACK_RULES!$L$5:$L$304,$AC582)),MAX(0,MIN($L582,INDEX(CASHBACK_RULES!$L$5:$L$304,$AC582)-$AH582)),MAX(0,$L582))))</f>
        <v/>
      </c>
      <c r="N582" s="49" t="str">
        <f>IF(OR($B582="",$D582=""),"",IF($AC582&gt;0,INDEX(CASHBACK_RULES!$I$5:$I$304,$AC582),0))</f>
        <v/>
      </c>
      <c r="O582" s="48" t="str">
        <f>IF(OR($B582="",$D582=""),"",ROUND($M582*$N582,0))</f>
        <v/>
      </c>
      <c r="P582" s="48" t="str">
        <f>IF($AC582&gt;0,IF(ISNUMBER(INDEX(CASHBACK_RULES!$J$5:$J$304,$AC582)),INDEX(CASHBACK_RULES!$J$5:$J$304,$AC582),"∞"),"")</f>
        <v/>
      </c>
      <c r="Q582" s="48" t="str">
        <f>IF(OR($B582="",$D582=""),"",IF($AC582=0,0,MAX(0,MIN($O582,IF(ISNUMBER($P582),$P582-$AF582,1E+15),IF(ISNUMBER($AA582),$AA582-$AG582,1E+15)))))</f>
        <v/>
      </c>
      <c r="R582" s="48" t="str">
        <f>IF(OR($B582="",$D582=""),"",IF($AC582=0,"",IF(AND(NOT(ISNUMBER($P582)),NOT(ISNUMBER($AA582))),"∞",MAX(0,MIN(IF(ISNUMBER($P582),$P582-$AF582-$Q582,1E+15),IF(ISNUMBER($AA582),$AA582-$AG582-$Q582,1E+15))))))</f>
        <v/>
      </c>
      <c r="S582" s="47" t="str">
        <f>IF($AD582="","",YEAR($AD582)*100+MONTH($AD582))</f>
        <v/>
      </c>
      <c r="T582" s="50" t="str">
        <f>IF($AD582="","",IFERROR(IF(INDEX(CARDS!$I$5:$I$34,MATCH($D582,CARDS!$A$5:$A$34,0))="","",IF(INDEX(CARDS!$I$5:$I$34,MATCH($D582,CARDS!$A$5:$A$34,0))&gt;INDEX(CARDS!$H$5:$H$34,MATCH($D582,CARDS!$A$5:$A$34,0)),DATE(YEAR($AD582),MONTH($AD582),MIN(INDEX(CARDS!$I$5:$I$34,MATCH($D582,CARDS!$A$5:$A$34,0)),DAY(EOMONTH($AD582,0)))),DATE(YEAR($AD582),MONTH($AD582)+1,MIN(INDEX(CARDS!$I$5:$I$34,MATCH($D582,CARDS!$A$5:$A$34,0)),DAY(EOMONTH($AD582,1)))))),""))</f>
        <v/>
      </c>
      <c r="U582" s="38" t="n"/>
      <c r="V582" s="37" t="n"/>
      <c r="W582" s="38" t="n"/>
      <c r="X582" s="38" t="n"/>
      <c r="Y582" s="44" t="str">
        <f>IF($AC582&gt;0,INDEX(CASHBACK_RULES!$A$5:$A$304,$AC582),"")</f>
        <v/>
      </c>
      <c r="Z582" s="45" t="str">
        <f>IF($AC582&gt;0,INDEX(CASHBACK_RULES!$E$5:$E$304,$AC582)&amp;"","")</f>
        <v/>
      </c>
      <c r="AA582" s="48" t="str">
        <f>IF($AC582&gt;0,IF(ISNUMBER(INDEX(CASHBACK_RULES!$K$5:$K$304,$AC582)),INDEX(CASHBACK_RULES!$K$5:$K$304,$AC582),"∞"),"")</f>
        <v/>
      </c>
      <c r="AB582" s="44" t="str">
        <f>IF(OR($B582="",$D582=""),"",IF($U582="Cancelled","Đã hủy",IF($AC582=0,"Không được hoàn",IF($Q582=0,IF(OR($O582&gt;0,$M582&lt;$L582),"Đã đạt cap","Không được hoàn"),IF(OR($Q582&lt;$O582,$M582&lt;$L582),"Hoàn một phần","Được hoàn")))))</f>
        <v/>
      </c>
      <c r="AC582" s="43">
        <f>IF(OR($B582="",$D582="",$I582="",$L582=""),0,IF($U582="Cancelled",0,IF($W582&lt;&gt;"",IFERROR(IF(INDEX(CASHBACK_RULES!$B$5:$B$304,MATCH($W582,CASHBACK_RULES!$A$5:$A$304,0))=$D582,MATCH($W582,CASHBACK_RULES!$A$5:$A$304,0),0),0),IFERROR(MATCH(1,INDEX((CASHBACK_RULES!$B$5:$B$304=$D582)*(CASHBACK_RULES!$G$5:$G$304=$I582)*(((CASHBACK_RULES!$N$5:$N$304="")+(CASHBACK_RULES!$N$5:$N$304&lt;=$B582))&gt;0)*(((CASHBACK_RULES!$O$5:$O$304="")+(CASHBACK_RULES!$O$5:$O$304&gt;=$B582))&gt;0)*(((CASHBACK_RULES!$M$5:$M$304="")+(CASHBACK_RULES!$M$5:$M$304&lt;=$L582))&gt;0),0),0),0))))</f>
        <v>0</v>
      </c>
      <c r="AD582" s="51" t="str">
        <f>IF(OR($B582="",$D582=""),"",IFERROR(IF(INDEX(CARDS!$H$5:$H$34,MATCH($D582,CARDS!$A$5:$A$34,0))="","",IF(DAY($B582)&lt;=INDEX(CARDS!$H$5:$H$34,MATCH($D582,CARDS!$A$5:$A$34,0)),DATE(YEAR($B582),MONTH($B582),MIN(INDEX(CARDS!$H$5:$H$34,MATCH($D582,CARDS!$A$5:$A$34,0)),DAY(EOMONTH($B582,0)))),DATE(YEAR($B582),MONTH($B582)+1,MIN(INDEX(CARDS!$H$5:$H$34,MATCH($D582,CARDS!$A$5:$A$34,0)),DAY(EOMONTH($B582,1)))))),""))</f>
        <v/>
      </c>
      <c r="AE582" s="52" t="str">
        <f>IF($C582="","",$C582&amp;"|"&amp;COUNTIF($C$5:$C582,$C582))</f>
        <v/>
      </c>
      <c r="AF582" s="53">
        <f>IF($AC582&gt;0,SUMIFS(Q$4:Q581,$D$4:$D581,$D582,$Z$4:$Z581,$Z582,$C$4:$C581,$C582),0)</f>
        <v>0</v>
      </c>
      <c r="AG582" s="53">
        <f>IF($AC582&gt;0,SUMIFS(Q$4:Q581,$D$4:$D581,$D582,$C$4:$C581,$C582),0)</f>
        <v>0</v>
      </c>
      <c r="AH582" s="53">
        <f>IF($AC582&gt;0,SUMIFS(M$4:M581,$D$4:$D581,$D582,$Z$4:$Z581,$Z582,$C$4:$C581,$C582),0)</f>
        <v>0</v>
      </c>
      <c r="AI582" s="43">
        <f>IF(OR($C582="",$I582=""),0,IF(COUNTIFS($C$5:$C582,$C582,$I$5:$I582,$I582)=1,1,0))</f>
        <v>0</v>
      </c>
      <c r="AJ582" s="43" t="str">
        <f>IF($AI582=1,SUMIFS($AI$4:$AI581,$C$4:$C581,$C582)+1,"")</f>
        <v/>
      </c>
      <c r="AK582" s="43">
        <f>IF(OR($C582="",$K582=""),0,IF(COUNTIFS($C$5:$C582,$C582,$K$5:$K582,$K582)=1,1,0))</f>
        <v>0</v>
      </c>
      <c r="AL582" s="43" t="str">
        <f>IF($AK582=1,SUMIFS($AK$4:$AK581,$C$4:$C581,$C582)+1,"")</f>
        <v/>
      </c>
      <c r="AM582" s="43">
        <f>IF(OR($C582="",$G582=""),0,IF(COUNTIFS($C$5:$C582,$C582,$G$5:$G582,$G582)=1,1,0))</f>
        <v>0</v>
      </c>
      <c r="AN582" s="43" t="str">
        <f>IF($AM582=1,SUMIFS($AM$4:$AM581,$C$4:$C581,$C582)+1,"")</f>
        <v/>
      </c>
    </row>
    <row r="583">
      <c r="A583" s="44" t="str">
        <f>IF(OR($B583="",$D583=""),"","TX"&amp;TEXT(ROW()-4,"0000"))</f>
        <v/>
      </c>
      <c r="B583" s="42" t="n"/>
      <c r="C583" s="47" t="str">
        <f>IF($B583="","",YEAR($B583)*100+MONTH($B583))</f>
        <v/>
      </c>
      <c r="D583" s="37" t="n"/>
      <c r="E583" s="45" t="str">
        <f>IF($D583="","",IFERROR(INDEX(CARDS!$B$5:$B$34,MATCH($D583,CARDS!$A$5:$A$34,0)),"⚠ Card ID?"))</f>
        <v/>
      </c>
      <c r="F583" s="45" t="str">
        <f>IF($D583="","",IFERROR(INDEX(CARDS!$C$5:$C$34,MATCH($D583,CARDS!$A$5:$A$34,0)),"⚠ Card ID?"))</f>
        <v/>
      </c>
      <c r="G583" s="37" t="n"/>
      <c r="H583" s="37" t="n"/>
      <c r="I583" s="41" t="n"/>
      <c r="J583" s="45" t="str">
        <f>IF($I583="","",IFERROR(INDEX(MCC_MASTER!$B$5:$B$504,MATCH($I583,MCC_MASTER!$A$5:$A$504,0)),"⚠ MCC chưa có"))</f>
        <v/>
      </c>
      <c r="K583" s="45" t="str">
        <f>IF($I583="","",IFERROR(IF(INDEX(MCC_MASTER!$C$5:$C$504,MATCH($I583,MCC_MASTER!$A$5:$A$504,0))="","Chưa phân loại",INDEX(MCC_MASTER!$C$5:$C$504,MATCH($I583,MCC_MASTER!$A$5:$A$504,0))),"Chưa phân loại"))</f>
        <v/>
      </c>
      <c r="L583" s="40" t="n"/>
      <c r="M583" s="48" t="str">
        <f>IF(OR($B583="",$D583=""),"",IF($AC583=0,0,IF(ISNUMBER(INDEX(CASHBACK_RULES!$L$5:$L$304,$AC583)),MAX(0,MIN($L583,INDEX(CASHBACK_RULES!$L$5:$L$304,$AC583)-$AH583)),MAX(0,$L583))))</f>
        <v/>
      </c>
      <c r="N583" s="49" t="str">
        <f>IF(OR($B583="",$D583=""),"",IF($AC583&gt;0,INDEX(CASHBACK_RULES!$I$5:$I$304,$AC583),0))</f>
        <v/>
      </c>
      <c r="O583" s="48" t="str">
        <f>IF(OR($B583="",$D583=""),"",ROUND($M583*$N583,0))</f>
        <v/>
      </c>
      <c r="P583" s="48" t="str">
        <f>IF($AC583&gt;0,IF(ISNUMBER(INDEX(CASHBACK_RULES!$J$5:$J$304,$AC583)),INDEX(CASHBACK_RULES!$J$5:$J$304,$AC583),"∞"),"")</f>
        <v/>
      </c>
      <c r="Q583" s="48" t="str">
        <f>IF(OR($B583="",$D583=""),"",IF($AC583=0,0,MAX(0,MIN($O583,IF(ISNUMBER($P583),$P583-$AF583,1E+15),IF(ISNUMBER($AA583),$AA583-$AG583,1E+15)))))</f>
        <v/>
      </c>
      <c r="R583" s="48" t="str">
        <f>IF(OR($B583="",$D583=""),"",IF($AC583=0,"",IF(AND(NOT(ISNUMBER($P583)),NOT(ISNUMBER($AA583))),"∞",MAX(0,MIN(IF(ISNUMBER($P583),$P583-$AF583-$Q583,1E+15),IF(ISNUMBER($AA583),$AA583-$AG583-$Q583,1E+15))))))</f>
        <v/>
      </c>
      <c r="S583" s="47" t="str">
        <f>IF($AD583="","",YEAR($AD583)*100+MONTH($AD583))</f>
        <v/>
      </c>
      <c r="T583" s="50" t="str">
        <f>IF($AD583="","",IFERROR(IF(INDEX(CARDS!$I$5:$I$34,MATCH($D583,CARDS!$A$5:$A$34,0))="","",IF(INDEX(CARDS!$I$5:$I$34,MATCH($D583,CARDS!$A$5:$A$34,0))&gt;INDEX(CARDS!$H$5:$H$34,MATCH($D583,CARDS!$A$5:$A$34,0)),DATE(YEAR($AD583),MONTH($AD583),MIN(INDEX(CARDS!$I$5:$I$34,MATCH($D583,CARDS!$A$5:$A$34,0)),DAY(EOMONTH($AD583,0)))),DATE(YEAR($AD583),MONTH($AD583)+1,MIN(INDEX(CARDS!$I$5:$I$34,MATCH($D583,CARDS!$A$5:$A$34,0)),DAY(EOMONTH($AD583,1)))))),""))</f>
        <v/>
      </c>
      <c r="U583" s="38" t="n"/>
      <c r="V583" s="37" t="n"/>
      <c r="W583" s="38" t="n"/>
      <c r="X583" s="38" t="n"/>
      <c r="Y583" s="44" t="str">
        <f>IF($AC583&gt;0,INDEX(CASHBACK_RULES!$A$5:$A$304,$AC583),"")</f>
        <v/>
      </c>
      <c r="Z583" s="45" t="str">
        <f>IF($AC583&gt;0,INDEX(CASHBACK_RULES!$E$5:$E$304,$AC583)&amp;"","")</f>
        <v/>
      </c>
      <c r="AA583" s="48" t="str">
        <f>IF($AC583&gt;0,IF(ISNUMBER(INDEX(CASHBACK_RULES!$K$5:$K$304,$AC583)),INDEX(CASHBACK_RULES!$K$5:$K$304,$AC583),"∞"),"")</f>
        <v/>
      </c>
      <c r="AB583" s="44" t="str">
        <f>IF(OR($B583="",$D583=""),"",IF($U583="Cancelled","Đã hủy",IF($AC583=0,"Không được hoàn",IF($Q583=0,IF(OR($O583&gt;0,$M583&lt;$L583),"Đã đạt cap","Không được hoàn"),IF(OR($Q583&lt;$O583,$M583&lt;$L583),"Hoàn một phần","Được hoàn")))))</f>
        <v/>
      </c>
      <c r="AC583" s="43">
        <f>IF(OR($B583="",$D583="",$I583="",$L583=""),0,IF($U583="Cancelled",0,IF($W583&lt;&gt;"",IFERROR(IF(INDEX(CASHBACK_RULES!$B$5:$B$304,MATCH($W583,CASHBACK_RULES!$A$5:$A$304,0))=$D583,MATCH($W583,CASHBACK_RULES!$A$5:$A$304,0),0),0),IFERROR(MATCH(1,INDEX((CASHBACK_RULES!$B$5:$B$304=$D583)*(CASHBACK_RULES!$G$5:$G$304=$I583)*(((CASHBACK_RULES!$N$5:$N$304="")+(CASHBACK_RULES!$N$5:$N$304&lt;=$B583))&gt;0)*(((CASHBACK_RULES!$O$5:$O$304="")+(CASHBACK_RULES!$O$5:$O$304&gt;=$B583))&gt;0)*(((CASHBACK_RULES!$M$5:$M$304="")+(CASHBACK_RULES!$M$5:$M$304&lt;=$L583))&gt;0),0),0),0))))</f>
        <v>0</v>
      </c>
      <c r="AD583" s="51" t="str">
        <f>IF(OR($B583="",$D583=""),"",IFERROR(IF(INDEX(CARDS!$H$5:$H$34,MATCH($D583,CARDS!$A$5:$A$34,0))="","",IF(DAY($B583)&lt;=INDEX(CARDS!$H$5:$H$34,MATCH($D583,CARDS!$A$5:$A$34,0)),DATE(YEAR($B583),MONTH($B583),MIN(INDEX(CARDS!$H$5:$H$34,MATCH($D583,CARDS!$A$5:$A$34,0)),DAY(EOMONTH($B583,0)))),DATE(YEAR($B583),MONTH($B583)+1,MIN(INDEX(CARDS!$H$5:$H$34,MATCH($D583,CARDS!$A$5:$A$34,0)),DAY(EOMONTH($B583,1)))))),""))</f>
        <v/>
      </c>
      <c r="AE583" s="52" t="str">
        <f>IF($C583="","",$C583&amp;"|"&amp;COUNTIF($C$5:$C583,$C583))</f>
        <v/>
      </c>
      <c r="AF583" s="53">
        <f>IF($AC583&gt;0,SUMIFS(Q$4:Q582,$D$4:$D582,$D583,$Z$4:$Z582,$Z583,$C$4:$C582,$C583),0)</f>
        <v>0</v>
      </c>
      <c r="AG583" s="53">
        <f>IF($AC583&gt;0,SUMIFS(Q$4:Q582,$D$4:$D582,$D583,$C$4:$C582,$C583),0)</f>
        <v>0</v>
      </c>
      <c r="AH583" s="53">
        <f>IF($AC583&gt;0,SUMIFS(M$4:M582,$D$4:$D582,$D583,$Z$4:$Z582,$Z583,$C$4:$C582,$C583),0)</f>
        <v>0</v>
      </c>
      <c r="AI583" s="43">
        <f>IF(OR($C583="",$I583=""),0,IF(COUNTIFS($C$5:$C583,$C583,$I$5:$I583,$I583)=1,1,0))</f>
        <v>0</v>
      </c>
      <c r="AJ583" s="43" t="str">
        <f>IF($AI583=1,SUMIFS($AI$4:$AI582,$C$4:$C582,$C583)+1,"")</f>
        <v/>
      </c>
      <c r="AK583" s="43">
        <f>IF(OR($C583="",$K583=""),0,IF(COUNTIFS($C$5:$C583,$C583,$K$5:$K583,$K583)=1,1,0))</f>
        <v>0</v>
      </c>
      <c r="AL583" s="43" t="str">
        <f>IF($AK583=1,SUMIFS($AK$4:$AK582,$C$4:$C582,$C583)+1,"")</f>
        <v/>
      </c>
      <c r="AM583" s="43">
        <f>IF(OR($C583="",$G583=""),0,IF(COUNTIFS($C$5:$C583,$C583,$G$5:$G583,$G583)=1,1,0))</f>
        <v>0</v>
      </c>
      <c r="AN583" s="43" t="str">
        <f>IF($AM583=1,SUMIFS($AM$4:$AM582,$C$4:$C582,$C583)+1,"")</f>
        <v/>
      </c>
    </row>
    <row r="584">
      <c r="A584" s="44" t="str">
        <f>IF(OR($B584="",$D584=""),"","TX"&amp;TEXT(ROW()-4,"0000"))</f>
        <v/>
      </c>
      <c r="B584" s="42" t="n"/>
      <c r="C584" s="47" t="str">
        <f>IF($B584="","",YEAR($B584)*100+MONTH($B584))</f>
        <v/>
      </c>
      <c r="D584" s="37" t="n"/>
      <c r="E584" s="45" t="str">
        <f>IF($D584="","",IFERROR(INDEX(CARDS!$B$5:$B$34,MATCH($D584,CARDS!$A$5:$A$34,0)),"⚠ Card ID?"))</f>
        <v/>
      </c>
      <c r="F584" s="45" t="str">
        <f>IF($D584="","",IFERROR(INDEX(CARDS!$C$5:$C$34,MATCH($D584,CARDS!$A$5:$A$34,0)),"⚠ Card ID?"))</f>
        <v/>
      </c>
      <c r="G584" s="37" t="n"/>
      <c r="H584" s="37" t="n"/>
      <c r="I584" s="41" t="n"/>
      <c r="J584" s="45" t="str">
        <f>IF($I584="","",IFERROR(INDEX(MCC_MASTER!$B$5:$B$504,MATCH($I584,MCC_MASTER!$A$5:$A$504,0)),"⚠ MCC chưa có"))</f>
        <v/>
      </c>
      <c r="K584" s="45" t="str">
        <f>IF($I584="","",IFERROR(IF(INDEX(MCC_MASTER!$C$5:$C$504,MATCH($I584,MCC_MASTER!$A$5:$A$504,0))="","Chưa phân loại",INDEX(MCC_MASTER!$C$5:$C$504,MATCH($I584,MCC_MASTER!$A$5:$A$504,0))),"Chưa phân loại"))</f>
        <v/>
      </c>
      <c r="L584" s="40" t="n"/>
      <c r="M584" s="48" t="str">
        <f>IF(OR($B584="",$D584=""),"",IF($AC584=0,0,IF(ISNUMBER(INDEX(CASHBACK_RULES!$L$5:$L$304,$AC584)),MAX(0,MIN($L584,INDEX(CASHBACK_RULES!$L$5:$L$304,$AC584)-$AH584)),MAX(0,$L584))))</f>
        <v/>
      </c>
      <c r="N584" s="49" t="str">
        <f>IF(OR($B584="",$D584=""),"",IF($AC584&gt;0,INDEX(CASHBACK_RULES!$I$5:$I$304,$AC584),0))</f>
        <v/>
      </c>
      <c r="O584" s="48" t="str">
        <f>IF(OR($B584="",$D584=""),"",ROUND($M584*$N584,0))</f>
        <v/>
      </c>
      <c r="P584" s="48" t="str">
        <f>IF($AC584&gt;0,IF(ISNUMBER(INDEX(CASHBACK_RULES!$J$5:$J$304,$AC584)),INDEX(CASHBACK_RULES!$J$5:$J$304,$AC584),"∞"),"")</f>
        <v/>
      </c>
      <c r="Q584" s="48" t="str">
        <f>IF(OR($B584="",$D584=""),"",IF($AC584=0,0,MAX(0,MIN($O584,IF(ISNUMBER($P584),$P584-$AF584,1E+15),IF(ISNUMBER($AA584),$AA584-$AG584,1E+15)))))</f>
        <v/>
      </c>
      <c r="R584" s="48" t="str">
        <f>IF(OR($B584="",$D584=""),"",IF($AC584=0,"",IF(AND(NOT(ISNUMBER($P584)),NOT(ISNUMBER($AA584))),"∞",MAX(0,MIN(IF(ISNUMBER($P584),$P584-$AF584-$Q584,1E+15),IF(ISNUMBER($AA584),$AA584-$AG584-$Q584,1E+15))))))</f>
        <v/>
      </c>
      <c r="S584" s="47" t="str">
        <f>IF($AD584="","",YEAR($AD584)*100+MONTH($AD584))</f>
        <v/>
      </c>
      <c r="T584" s="50" t="str">
        <f>IF($AD584="","",IFERROR(IF(INDEX(CARDS!$I$5:$I$34,MATCH($D584,CARDS!$A$5:$A$34,0))="","",IF(INDEX(CARDS!$I$5:$I$34,MATCH($D584,CARDS!$A$5:$A$34,0))&gt;INDEX(CARDS!$H$5:$H$34,MATCH($D584,CARDS!$A$5:$A$34,0)),DATE(YEAR($AD584),MONTH($AD584),MIN(INDEX(CARDS!$I$5:$I$34,MATCH($D584,CARDS!$A$5:$A$34,0)),DAY(EOMONTH($AD584,0)))),DATE(YEAR($AD584),MONTH($AD584)+1,MIN(INDEX(CARDS!$I$5:$I$34,MATCH($D584,CARDS!$A$5:$A$34,0)),DAY(EOMONTH($AD584,1)))))),""))</f>
        <v/>
      </c>
      <c r="U584" s="38" t="n"/>
      <c r="V584" s="37" t="n"/>
      <c r="W584" s="38" t="n"/>
      <c r="X584" s="38" t="n"/>
      <c r="Y584" s="44" t="str">
        <f>IF($AC584&gt;0,INDEX(CASHBACK_RULES!$A$5:$A$304,$AC584),"")</f>
        <v/>
      </c>
      <c r="Z584" s="45" t="str">
        <f>IF($AC584&gt;0,INDEX(CASHBACK_RULES!$E$5:$E$304,$AC584)&amp;"","")</f>
        <v/>
      </c>
      <c r="AA584" s="48" t="str">
        <f>IF($AC584&gt;0,IF(ISNUMBER(INDEX(CASHBACK_RULES!$K$5:$K$304,$AC584)),INDEX(CASHBACK_RULES!$K$5:$K$304,$AC584),"∞"),"")</f>
        <v/>
      </c>
      <c r="AB584" s="44" t="str">
        <f>IF(OR($B584="",$D584=""),"",IF($U584="Cancelled","Đã hủy",IF($AC584=0,"Không được hoàn",IF($Q584=0,IF(OR($O584&gt;0,$M584&lt;$L584),"Đã đạt cap","Không được hoàn"),IF(OR($Q584&lt;$O584,$M584&lt;$L584),"Hoàn một phần","Được hoàn")))))</f>
        <v/>
      </c>
      <c r="AC584" s="43">
        <f>IF(OR($B584="",$D584="",$I584="",$L584=""),0,IF($U584="Cancelled",0,IF($W584&lt;&gt;"",IFERROR(IF(INDEX(CASHBACK_RULES!$B$5:$B$304,MATCH($W584,CASHBACK_RULES!$A$5:$A$304,0))=$D584,MATCH($W584,CASHBACK_RULES!$A$5:$A$304,0),0),0),IFERROR(MATCH(1,INDEX((CASHBACK_RULES!$B$5:$B$304=$D584)*(CASHBACK_RULES!$G$5:$G$304=$I584)*(((CASHBACK_RULES!$N$5:$N$304="")+(CASHBACK_RULES!$N$5:$N$304&lt;=$B584))&gt;0)*(((CASHBACK_RULES!$O$5:$O$304="")+(CASHBACK_RULES!$O$5:$O$304&gt;=$B584))&gt;0)*(((CASHBACK_RULES!$M$5:$M$304="")+(CASHBACK_RULES!$M$5:$M$304&lt;=$L584))&gt;0),0),0),0))))</f>
        <v>0</v>
      </c>
      <c r="AD584" s="51" t="str">
        <f>IF(OR($B584="",$D584=""),"",IFERROR(IF(INDEX(CARDS!$H$5:$H$34,MATCH($D584,CARDS!$A$5:$A$34,0))="","",IF(DAY($B584)&lt;=INDEX(CARDS!$H$5:$H$34,MATCH($D584,CARDS!$A$5:$A$34,0)),DATE(YEAR($B584),MONTH($B584),MIN(INDEX(CARDS!$H$5:$H$34,MATCH($D584,CARDS!$A$5:$A$34,0)),DAY(EOMONTH($B584,0)))),DATE(YEAR($B584),MONTH($B584)+1,MIN(INDEX(CARDS!$H$5:$H$34,MATCH($D584,CARDS!$A$5:$A$34,0)),DAY(EOMONTH($B584,1)))))),""))</f>
        <v/>
      </c>
      <c r="AE584" s="52" t="str">
        <f>IF($C584="","",$C584&amp;"|"&amp;COUNTIF($C$5:$C584,$C584))</f>
        <v/>
      </c>
      <c r="AF584" s="53">
        <f>IF($AC584&gt;0,SUMIFS(Q$4:Q583,$D$4:$D583,$D584,$Z$4:$Z583,$Z584,$C$4:$C583,$C584),0)</f>
        <v>0</v>
      </c>
      <c r="AG584" s="53">
        <f>IF($AC584&gt;0,SUMIFS(Q$4:Q583,$D$4:$D583,$D584,$C$4:$C583,$C584),0)</f>
        <v>0</v>
      </c>
      <c r="AH584" s="53">
        <f>IF($AC584&gt;0,SUMIFS(M$4:M583,$D$4:$D583,$D584,$Z$4:$Z583,$Z584,$C$4:$C583,$C584),0)</f>
        <v>0</v>
      </c>
      <c r="AI584" s="43">
        <f>IF(OR($C584="",$I584=""),0,IF(COUNTIFS($C$5:$C584,$C584,$I$5:$I584,$I584)=1,1,0))</f>
        <v>0</v>
      </c>
      <c r="AJ584" s="43" t="str">
        <f>IF($AI584=1,SUMIFS($AI$4:$AI583,$C$4:$C583,$C584)+1,"")</f>
        <v/>
      </c>
      <c r="AK584" s="43">
        <f>IF(OR($C584="",$K584=""),0,IF(COUNTIFS($C$5:$C584,$C584,$K$5:$K584,$K584)=1,1,0))</f>
        <v>0</v>
      </c>
      <c r="AL584" s="43" t="str">
        <f>IF($AK584=1,SUMIFS($AK$4:$AK583,$C$4:$C583,$C584)+1,"")</f>
        <v/>
      </c>
      <c r="AM584" s="43">
        <f>IF(OR($C584="",$G584=""),0,IF(COUNTIFS($C$5:$C584,$C584,$G$5:$G584,$G584)=1,1,0))</f>
        <v>0</v>
      </c>
      <c r="AN584" s="43" t="str">
        <f>IF($AM584=1,SUMIFS($AM$4:$AM583,$C$4:$C583,$C584)+1,"")</f>
        <v/>
      </c>
    </row>
    <row r="585">
      <c r="A585" s="44" t="str">
        <f>IF(OR($B585="",$D585=""),"","TX"&amp;TEXT(ROW()-4,"0000"))</f>
        <v/>
      </c>
      <c r="B585" s="42" t="n"/>
      <c r="C585" s="47" t="str">
        <f>IF($B585="","",YEAR($B585)*100+MONTH($B585))</f>
        <v/>
      </c>
      <c r="D585" s="37" t="n"/>
      <c r="E585" s="45" t="str">
        <f>IF($D585="","",IFERROR(INDEX(CARDS!$B$5:$B$34,MATCH($D585,CARDS!$A$5:$A$34,0)),"⚠ Card ID?"))</f>
        <v/>
      </c>
      <c r="F585" s="45" t="str">
        <f>IF($D585="","",IFERROR(INDEX(CARDS!$C$5:$C$34,MATCH($D585,CARDS!$A$5:$A$34,0)),"⚠ Card ID?"))</f>
        <v/>
      </c>
      <c r="G585" s="37" t="n"/>
      <c r="H585" s="37" t="n"/>
      <c r="I585" s="41" t="n"/>
      <c r="J585" s="45" t="str">
        <f>IF($I585="","",IFERROR(INDEX(MCC_MASTER!$B$5:$B$504,MATCH($I585,MCC_MASTER!$A$5:$A$504,0)),"⚠ MCC chưa có"))</f>
        <v/>
      </c>
      <c r="K585" s="45" t="str">
        <f>IF($I585="","",IFERROR(IF(INDEX(MCC_MASTER!$C$5:$C$504,MATCH($I585,MCC_MASTER!$A$5:$A$504,0))="","Chưa phân loại",INDEX(MCC_MASTER!$C$5:$C$504,MATCH($I585,MCC_MASTER!$A$5:$A$504,0))),"Chưa phân loại"))</f>
        <v/>
      </c>
      <c r="L585" s="40" t="n"/>
      <c r="M585" s="48" t="str">
        <f>IF(OR($B585="",$D585=""),"",IF($AC585=0,0,IF(ISNUMBER(INDEX(CASHBACK_RULES!$L$5:$L$304,$AC585)),MAX(0,MIN($L585,INDEX(CASHBACK_RULES!$L$5:$L$304,$AC585)-$AH585)),MAX(0,$L585))))</f>
        <v/>
      </c>
      <c r="N585" s="49" t="str">
        <f>IF(OR($B585="",$D585=""),"",IF($AC585&gt;0,INDEX(CASHBACK_RULES!$I$5:$I$304,$AC585),0))</f>
        <v/>
      </c>
      <c r="O585" s="48" t="str">
        <f>IF(OR($B585="",$D585=""),"",ROUND($M585*$N585,0))</f>
        <v/>
      </c>
      <c r="P585" s="48" t="str">
        <f>IF($AC585&gt;0,IF(ISNUMBER(INDEX(CASHBACK_RULES!$J$5:$J$304,$AC585)),INDEX(CASHBACK_RULES!$J$5:$J$304,$AC585),"∞"),"")</f>
        <v/>
      </c>
      <c r="Q585" s="48" t="str">
        <f>IF(OR($B585="",$D585=""),"",IF($AC585=0,0,MAX(0,MIN($O585,IF(ISNUMBER($P585),$P585-$AF585,1E+15),IF(ISNUMBER($AA585),$AA585-$AG585,1E+15)))))</f>
        <v/>
      </c>
      <c r="R585" s="48" t="str">
        <f>IF(OR($B585="",$D585=""),"",IF($AC585=0,"",IF(AND(NOT(ISNUMBER($P585)),NOT(ISNUMBER($AA585))),"∞",MAX(0,MIN(IF(ISNUMBER($P585),$P585-$AF585-$Q585,1E+15),IF(ISNUMBER($AA585),$AA585-$AG585-$Q585,1E+15))))))</f>
        <v/>
      </c>
      <c r="S585" s="47" t="str">
        <f>IF($AD585="","",YEAR($AD585)*100+MONTH($AD585))</f>
        <v/>
      </c>
      <c r="T585" s="50" t="str">
        <f>IF($AD585="","",IFERROR(IF(INDEX(CARDS!$I$5:$I$34,MATCH($D585,CARDS!$A$5:$A$34,0))="","",IF(INDEX(CARDS!$I$5:$I$34,MATCH($D585,CARDS!$A$5:$A$34,0))&gt;INDEX(CARDS!$H$5:$H$34,MATCH($D585,CARDS!$A$5:$A$34,0)),DATE(YEAR($AD585),MONTH($AD585),MIN(INDEX(CARDS!$I$5:$I$34,MATCH($D585,CARDS!$A$5:$A$34,0)),DAY(EOMONTH($AD585,0)))),DATE(YEAR($AD585),MONTH($AD585)+1,MIN(INDEX(CARDS!$I$5:$I$34,MATCH($D585,CARDS!$A$5:$A$34,0)),DAY(EOMONTH($AD585,1)))))),""))</f>
        <v/>
      </c>
      <c r="U585" s="38" t="n"/>
      <c r="V585" s="37" t="n"/>
      <c r="W585" s="38" t="n"/>
      <c r="X585" s="38" t="n"/>
      <c r="Y585" s="44" t="str">
        <f>IF($AC585&gt;0,INDEX(CASHBACK_RULES!$A$5:$A$304,$AC585),"")</f>
        <v/>
      </c>
      <c r="Z585" s="45" t="str">
        <f>IF($AC585&gt;0,INDEX(CASHBACK_RULES!$E$5:$E$304,$AC585)&amp;"","")</f>
        <v/>
      </c>
      <c r="AA585" s="48" t="str">
        <f>IF($AC585&gt;0,IF(ISNUMBER(INDEX(CASHBACK_RULES!$K$5:$K$304,$AC585)),INDEX(CASHBACK_RULES!$K$5:$K$304,$AC585),"∞"),"")</f>
        <v/>
      </c>
      <c r="AB585" s="44" t="str">
        <f>IF(OR($B585="",$D585=""),"",IF($U585="Cancelled","Đã hủy",IF($AC585=0,"Không được hoàn",IF($Q585=0,IF(OR($O585&gt;0,$M585&lt;$L585),"Đã đạt cap","Không được hoàn"),IF(OR($Q585&lt;$O585,$M585&lt;$L585),"Hoàn một phần","Được hoàn")))))</f>
        <v/>
      </c>
      <c r="AC585" s="43">
        <f>IF(OR($B585="",$D585="",$I585="",$L585=""),0,IF($U585="Cancelled",0,IF($W585&lt;&gt;"",IFERROR(IF(INDEX(CASHBACK_RULES!$B$5:$B$304,MATCH($W585,CASHBACK_RULES!$A$5:$A$304,0))=$D585,MATCH($W585,CASHBACK_RULES!$A$5:$A$304,0),0),0),IFERROR(MATCH(1,INDEX((CASHBACK_RULES!$B$5:$B$304=$D585)*(CASHBACK_RULES!$G$5:$G$304=$I585)*(((CASHBACK_RULES!$N$5:$N$304="")+(CASHBACK_RULES!$N$5:$N$304&lt;=$B585))&gt;0)*(((CASHBACK_RULES!$O$5:$O$304="")+(CASHBACK_RULES!$O$5:$O$304&gt;=$B585))&gt;0)*(((CASHBACK_RULES!$M$5:$M$304="")+(CASHBACK_RULES!$M$5:$M$304&lt;=$L585))&gt;0),0),0),0))))</f>
        <v>0</v>
      </c>
      <c r="AD585" s="51" t="str">
        <f>IF(OR($B585="",$D585=""),"",IFERROR(IF(INDEX(CARDS!$H$5:$H$34,MATCH($D585,CARDS!$A$5:$A$34,0))="","",IF(DAY($B585)&lt;=INDEX(CARDS!$H$5:$H$34,MATCH($D585,CARDS!$A$5:$A$34,0)),DATE(YEAR($B585),MONTH($B585),MIN(INDEX(CARDS!$H$5:$H$34,MATCH($D585,CARDS!$A$5:$A$34,0)),DAY(EOMONTH($B585,0)))),DATE(YEAR($B585),MONTH($B585)+1,MIN(INDEX(CARDS!$H$5:$H$34,MATCH($D585,CARDS!$A$5:$A$34,0)),DAY(EOMONTH($B585,1)))))),""))</f>
        <v/>
      </c>
      <c r="AE585" s="52" t="str">
        <f>IF($C585="","",$C585&amp;"|"&amp;COUNTIF($C$5:$C585,$C585))</f>
        <v/>
      </c>
      <c r="AF585" s="53">
        <f>IF($AC585&gt;0,SUMIFS(Q$4:Q584,$D$4:$D584,$D585,$Z$4:$Z584,$Z585,$C$4:$C584,$C585),0)</f>
        <v>0</v>
      </c>
      <c r="AG585" s="53">
        <f>IF($AC585&gt;0,SUMIFS(Q$4:Q584,$D$4:$D584,$D585,$C$4:$C584,$C585),0)</f>
        <v>0</v>
      </c>
      <c r="AH585" s="53">
        <f>IF($AC585&gt;0,SUMIFS(M$4:M584,$D$4:$D584,$D585,$Z$4:$Z584,$Z585,$C$4:$C584,$C585),0)</f>
        <v>0</v>
      </c>
      <c r="AI585" s="43">
        <f>IF(OR($C585="",$I585=""),0,IF(COUNTIFS($C$5:$C585,$C585,$I$5:$I585,$I585)=1,1,0))</f>
        <v>0</v>
      </c>
      <c r="AJ585" s="43" t="str">
        <f>IF($AI585=1,SUMIFS($AI$4:$AI584,$C$4:$C584,$C585)+1,"")</f>
        <v/>
      </c>
      <c r="AK585" s="43">
        <f>IF(OR($C585="",$K585=""),0,IF(COUNTIFS($C$5:$C585,$C585,$K$5:$K585,$K585)=1,1,0))</f>
        <v>0</v>
      </c>
      <c r="AL585" s="43" t="str">
        <f>IF($AK585=1,SUMIFS($AK$4:$AK584,$C$4:$C584,$C585)+1,"")</f>
        <v/>
      </c>
      <c r="AM585" s="43">
        <f>IF(OR($C585="",$G585=""),0,IF(COUNTIFS($C$5:$C585,$C585,$G$5:$G585,$G585)=1,1,0))</f>
        <v>0</v>
      </c>
      <c r="AN585" s="43" t="str">
        <f>IF($AM585=1,SUMIFS($AM$4:$AM584,$C$4:$C584,$C585)+1,"")</f>
        <v/>
      </c>
    </row>
    <row r="586">
      <c r="A586" s="44" t="str">
        <f>IF(OR($B586="",$D586=""),"","TX"&amp;TEXT(ROW()-4,"0000"))</f>
        <v/>
      </c>
      <c r="B586" s="42" t="n"/>
      <c r="C586" s="47" t="str">
        <f>IF($B586="","",YEAR($B586)*100+MONTH($B586))</f>
        <v/>
      </c>
      <c r="D586" s="37" t="n"/>
      <c r="E586" s="45" t="str">
        <f>IF($D586="","",IFERROR(INDEX(CARDS!$B$5:$B$34,MATCH($D586,CARDS!$A$5:$A$34,0)),"⚠ Card ID?"))</f>
        <v/>
      </c>
      <c r="F586" s="45" t="str">
        <f>IF($D586="","",IFERROR(INDEX(CARDS!$C$5:$C$34,MATCH($D586,CARDS!$A$5:$A$34,0)),"⚠ Card ID?"))</f>
        <v/>
      </c>
      <c r="G586" s="37" t="n"/>
      <c r="H586" s="37" t="n"/>
      <c r="I586" s="41" t="n"/>
      <c r="J586" s="45" t="str">
        <f>IF($I586="","",IFERROR(INDEX(MCC_MASTER!$B$5:$B$504,MATCH($I586,MCC_MASTER!$A$5:$A$504,0)),"⚠ MCC chưa có"))</f>
        <v/>
      </c>
      <c r="K586" s="45" t="str">
        <f>IF($I586="","",IFERROR(IF(INDEX(MCC_MASTER!$C$5:$C$504,MATCH($I586,MCC_MASTER!$A$5:$A$504,0))="","Chưa phân loại",INDEX(MCC_MASTER!$C$5:$C$504,MATCH($I586,MCC_MASTER!$A$5:$A$504,0))),"Chưa phân loại"))</f>
        <v/>
      </c>
      <c r="L586" s="40" t="n"/>
      <c r="M586" s="48" t="str">
        <f>IF(OR($B586="",$D586=""),"",IF($AC586=0,0,IF(ISNUMBER(INDEX(CASHBACK_RULES!$L$5:$L$304,$AC586)),MAX(0,MIN($L586,INDEX(CASHBACK_RULES!$L$5:$L$304,$AC586)-$AH586)),MAX(0,$L586))))</f>
        <v/>
      </c>
      <c r="N586" s="49" t="str">
        <f>IF(OR($B586="",$D586=""),"",IF($AC586&gt;0,INDEX(CASHBACK_RULES!$I$5:$I$304,$AC586),0))</f>
        <v/>
      </c>
      <c r="O586" s="48" t="str">
        <f>IF(OR($B586="",$D586=""),"",ROUND($M586*$N586,0))</f>
        <v/>
      </c>
      <c r="P586" s="48" t="str">
        <f>IF($AC586&gt;0,IF(ISNUMBER(INDEX(CASHBACK_RULES!$J$5:$J$304,$AC586)),INDEX(CASHBACK_RULES!$J$5:$J$304,$AC586),"∞"),"")</f>
        <v/>
      </c>
      <c r="Q586" s="48" t="str">
        <f>IF(OR($B586="",$D586=""),"",IF($AC586=0,0,MAX(0,MIN($O586,IF(ISNUMBER($P586),$P586-$AF586,1E+15),IF(ISNUMBER($AA586),$AA586-$AG586,1E+15)))))</f>
        <v/>
      </c>
      <c r="R586" s="48" t="str">
        <f>IF(OR($B586="",$D586=""),"",IF($AC586=0,"",IF(AND(NOT(ISNUMBER($P586)),NOT(ISNUMBER($AA586))),"∞",MAX(0,MIN(IF(ISNUMBER($P586),$P586-$AF586-$Q586,1E+15),IF(ISNUMBER($AA586),$AA586-$AG586-$Q586,1E+15))))))</f>
        <v/>
      </c>
      <c r="S586" s="47" t="str">
        <f>IF($AD586="","",YEAR($AD586)*100+MONTH($AD586))</f>
        <v/>
      </c>
      <c r="T586" s="50" t="str">
        <f>IF($AD586="","",IFERROR(IF(INDEX(CARDS!$I$5:$I$34,MATCH($D586,CARDS!$A$5:$A$34,0))="","",IF(INDEX(CARDS!$I$5:$I$34,MATCH($D586,CARDS!$A$5:$A$34,0))&gt;INDEX(CARDS!$H$5:$H$34,MATCH($D586,CARDS!$A$5:$A$34,0)),DATE(YEAR($AD586),MONTH($AD586),MIN(INDEX(CARDS!$I$5:$I$34,MATCH($D586,CARDS!$A$5:$A$34,0)),DAY(EOMONTH($AD586,0)))),DATE(YEAR($AD586),MONTH($AD586)+1,MIN(INDEX(CARDS!$I$5:$I$34,MATCH($D586,CARDS!$A$5:$A$34,0)),DAY(EOMONTH($AD586,1)))))),""))</f>
        <v/>
      </c>
      <c r="U586" s="38" t="n"/>
      <c r="V586" s="37" t="n"/>
      <c r="W586" s="38" t="n"/>
      <c r="X586" s="38" t="n"/>
      <c r="Y586" s="44" t="str">
        <f>IF($AC586&gt;0,INDEX(CASHBACK_RULES!$A$5:$A$304,$AC586),"")</f>
        <v/>
      </c>
      <c r="Z586" s="45" t="str">
        <f>IF($AC586&gt;0,INDEX(CASHBACK_RULES!$E$5:$E$304,$AC586)&amp;"","")</f>
        <v/>
      </c>
      <c r="AA586" s="48" t="str">
        <f>IF($AC586&gt;0,IF(ISNUMBER(INDEX(CASHBACK_RULES!$K$5:$K$304,$AC586)),INDEX(CASHBACK_RULES!$K$5:$K$304,$AC586),"∞"),"")</f>
        <v/>
      </c>
      <c r="AB586" s="44" t="str">
        <f>IF(OR($B586="",$D586=""),"",IF($U586="Cancelled","Đã hủy",IF($AC586=0,"Không được hoàn",IF($Q586=0,IF(OR($O586&gt;0,$M586&lt;$L586),"Đã đạt cap","Không được hoàn"),IF(OR($Q586&lt;$O586,$M586&lt;$L586),"Hoàn một phần","Được hoàn")))))</f>
        <v/>
      </c>
      <c r="AC586" s="43">
        <f>IF(OR($B586="",$D586="",$I586="",$L586=""),0,IF($U586="Cancelled",0,IF($W586&lt;&gt;"",IFERROR(IF(INDEX(CASHBACK_RULES!$B$5:$B$304,MATCH($W586,CASHBACK_RULES!$A$5:$A$304,0))=$D586,MATCH($W586,CASHBACK_RULES!$A$5:$A$304,0),0),0),IFERROR(MATCH(1,INDEX((CASHBACK_RULES!$B$5:$B$304=$D586)*(CASHBACK_RULES!$G$5:$G$304=$I586)*(((CASHBACK_RULES!$N$5:$N$304="")+(CASHBACK_RULES!$N$5:$N$304&lt;=$B586))&gt;0)*(((CASHBACK_RULES!$O$5:$O$304="")+(CASHBACK_RULES!$O$5:$O$304&gt;=$B586))&gt;0)*(((CASHBACK_RULES!$M$5:$M$304="")+(CASHBACK_RULES!$M$5:$M$304&lt;=$L586))&gt;0),0),0),0))))</f>
        <v>0</v>
      </c>
      <c r="AD586" s="51" t="str">
        <f>IF(OR($B586="",$D586=""),"",IFERROR(IF(INDEX(CARDS!$H$5:$H$34,MATCH($D586,CARDS!$A$5:$A$34,0))="","",IF(DAY($B586)&lt;=INDEX(CARDS!$H$5:$H$34,MATCH($D586,CARDS!$A$5:$A$34,0)),DATE(YEAR($B586),MONTH($B586),MIN(INDEX(CARDS!$H$5:$H$34,MATCH($D586,CARDS!$A$5:$A$34,0)),DAY(EOMONTH($B586,0)))),DATE(YEAR($B586),MONTH($B586)+1,MIN(INDEX(CARDS!$H$5:$H$34,MATCH($D586,CARDS!$A$5:$A$34,0)),DAY(EOMONTH($B586,1)))))),""))</f>
        <v/>
      </c>
      <c r="AE586" s="52" t="str">
        <f>IF($C586="","",$C586&amp;"|"&amp;COUNTIF($C$5:$C586,$C586))</f>
        <v/>
      </c>
      <c r="AF586" s="53">
        <f>IF($AC586&gt;0,SUMIFS(Q$4:Q585,$D$4:$D585,$D586,$Z$4:$Z585,$Z586,$C$4:$C585,$C586),0)</f>
        <v>0</v>
      </c>
      <c r="AG586" s="53">
        <f>IF($AC586&gt;0,SUMIFS(Q$4:Q585,$D$4:$D585,$D586,$C$4:$C585,$C586),0)</f>
        <v>0</v>
      </c>
      <c r="AH586" s="53">
        <f>IF($AC586&gt;0,SUMIFS(M$4:M585,$D$4:$D585,$D586,$Z$4:$Z585,$Z586,$C$4:$C585,$C586),0)</f>
        <v>0</v>
      </c>
      <c r="AI586" s="43">
        <f>IF(OR($C586="",$I586=""),0,IF(COUNTIFS($C$5:$C586,$C586,$I$5:$I586,$I586)=1,1,0))</f>
        <v>0</v>
      </c>
      <c r="AJ586" s="43" t="str">
        <f>IF($AI586=1,SUMIFS($AI$4:$AI585,$C$4:$C585,$C586)+1,"")</f>
        <v/>
      </c>
      <c r="AK586" s="43">
        <f>IF(OR($C586="",$K586=""),0,IF(COUNTIFS($C$5:$C586,$C586,$K$5:$K586,$K586)=1,1,0))</f>
        <v>0</v>
      </c>
      <c r="AL586" s="43" t="str">
        <f>IF($AK586=1,SUMIFS($AK$4:$AK585,$C$4:$C585,$C586)+1,"")</f>
        <v/>
      </c>
      <c r="AM586" s="43">
        <f>IF(OR($C586="",$G586=""),0,IF(COUNTIFS($C$5:$C586,$C586,$G$5:$G586,$G586)=1,1,0))</f>
        <v>0</v>
      </c>
      <c r="AN586" s="43" t="str">
        <f>IF($AM586=1,SUMIFS($AM$4:$AM585,$C$4:$C585,$C586)+1,"")</f>
        <v/>
      </c>
    </row>
    <row r="587">
      <c r="A587" s="44" t="str">
        <f>IF(OR($B587="",$D587=""),"","TX"&amp;TEXT(ROW()-4,"0000"))</f>
        <v/>
      </c>
      <c r="B587" s="42" t="n"/>
      <c r="C587" s="47" t="str">
        <f>IF($B587="","",YEAR($B587)*100+MONTH($B587))</f>
        <v/>
      </c>
      <c r="D587" s="37" t="n"/>
      <c r="E587" s="45" t="str">
        <f>IF($D587="","",IFERROR(INDEX(CARDS!$B$5:$B$34,MATCH($D587,CARDS!$A$5:$A$34,0)),"⚠ Card ID?"))</f>
        <v/>
      </c>
      <c r="F587" s="45" t="str">
        <f>IF($D587="","",IFERROR(INDEX(CARDS!$C$5:$C$34,MATCH($D587,CARDS!$A$5:$A$34,0)),"⚠ Card ID?"))</f>
        <v/>
      </c>
      <c r="G587" s="37" t="n"/>
      <c r="H587" s="37" t="n"/>
      <c r="I587" s="41" t="n"/>
      <c r="J587" s="45" t="str">
        <f>IF($I587="","",IFERROR(INDEX(MCC_MASTER!$B$5:$B$504,MATCH($I587,MCC_MASTER!$A$5:$A$504,0)),"⚠ MCC chưa có"))</f>
        <v/>
      </c>
      <c r="K587" s="45" t="str">
        <f>IF($I587="","",IFERROR(IF(INDEX(MCC_MASTER!$C$5:$C$504,MATCH($I587,MCC_MASTER!$A$5:$A$504,0))="","Chưa phân loại",INDEX(MCC_MASTER!$C$5:$C$504,MATCH($I587,MCC_MASTER!$A$5:$A$504,0))),"Chưa phân loại"))</f>
        <v/>
      </c>
      <c r="L587" s="40" t="n"/>
      <c r="M587" s="48" t="str">
        <f>IF(OR($B587="",$D587=""),"",IF($AC587=0,0,IF(ISNUMBER(INDEX(CASHBACK_RULES!$L$5:$L$304,$AC587)),MAX(0,MIN($L587,INDEX(CASHBACK_RULES!$L$5:$L$304,$AC587)-$AH587)),MAX(0,$L587))))</f>
        <v/>
      </c>
      <c r="N587" s="49" t="str">
        <f>IF(OR($B587="",$D587=""),"",IF($AC587&gt;0,INDEX(CASHBACK_RULES!$I$5:$I$304,$AC587),0))</f>
        <v/>
      </c>
      <c r="O587" s="48" t="str">
        <f>IF(OR($B587="",$D587=""),"",ROUND($M587*$N587,0))</f>
        <v/>
      </c>
      <c r="P587" s="48" t="str">
        <f>IF($AC587&gt;0,IF(ISNUMBER(INDEX(CASHBACK_RULES!$J$5:$J$304,$AC587)),INDEX(CASHBACK_RULES!$J$5:$J$304,$AC587),"∞"),"")</f>
        <v/>
      </c>
      <c r="Q587" s="48" t="str">
        <f>IF(OR($B587="",$D587=""),"",IF($AC587=0,0,MAX(0,MIN($O587,IF(ISNUMBER($P587),$P587-$AF587,1E+15),IF(ISNUMBER($AA587),$AA587-$AG587,1E+15)))))</f>
        <v/>
      </c>
      <c r="R587" s="48" t="str">
        <f>IF(OR($B587="",$D587=""),"",IF($AC587=0,"",IF(AND(NOT(ISNUMBER($P587)),NOT(ISNUMBER($AA587))),"∞",MAX(0,MIN(IF(ISNUMBER($P587),$P587-$AF587-$Q587,1E+15),IF(ISNUMBER($AA587),$AA587-$AG587-$Q587,1E+15))))))</f>
        <v/>
      </c>
      <c r="S587" s="47" t="str">
        <f>IF($AD587="","",YEAR($AD587)*100+MONTH($AD587))</f>
        <v/>
      </c>
      <c r="T587" s="50" t="str">
        <f>IF($AD587="","",IFERROR(IF(INDEX(CARDS!$I$5:$I$34,MATCH($D587,CARDS!$A$5:$A$34,0))="","",IF(INDEX(CARDS!$I$5:$I$34,MATCH($D587,CARDS!$A$5:$A$34,0))&gt;INDEX(CARDS!$H$5:$H$34,MATCH($D587,CARDS!$A$5:$A$34,0)),DATE(YEAR($AD587),MONTH($AD587),MIN(INDEX(CARDS!$I$5:$I$34,MATCH($D587,CARDS!$A$5:$A$34,0)),DAY(EOMONTH($AD587,0)))),DATE(YEAR($AD587),MONTH($AD587)+1,MIN(INDEX(CARDS!$I$5:$I$34,MATCH($D587,CARDS!$A$5:$A$34,0)),DAY(EOMONTH($AD587,1)))))),""))</f>
        <v/>
      </c>
      <c r="U587" s="38" t="n"/>
      <c r="V587" s="37" t="n"/>
      <c r="W587" s="38" t="n"/>
      <c r="X587" s="38" t="n"/>
      <c r="Y587" s="44" t="str">
        <f>IF($AC587&gt;0,INDEX(CASHBACK_RULES!$A$5:$A$304,$AC587),"")</f>
        <v/>
      </c>
      <c r="Z587" s="45" t="str">
        <f>IF($AC587&gt;0,INDEX(CASHBACK_RULES!$E$5:$E$304,$AC587)&amp;"","")</f>
        <v/>
      </c>
      <c r="AA587" s="48" t="str">
        <f>IF($AC587&gt;0,IF(ISNUMBER(INDEX(CASHBACK_RULES!$K$5:$K$304,$AC587)),INDEX(CASHBACK_RULES!$K$5:$K$304,$AC587),"∞"),"")</f>
        <v/>
      </c>
      <c r="AB587" s="44" t="str">
        <f>IF(OR($B587="",$D587=""),"",IF($U587="Cancelled","Đã hủy",IF($AC587=0,"Không được hoàn",IF($Q587=0,IF(OR($O587&gt;0,$M587&lt;$L587),"Đã đạt cap","Không được hoàn"),IF(OR($Q587&lt;$O587,$M587&lt;$L587),"Hoàn một phần","Được hoàn")))))</f>
        <v/>
      </c>
      <c r="AC587" s="43">
        <f>IF(OR($B587="",$D587="",$I587="",$L587=""),0,IF($U587="Cancelled",0,IF($W587&lt;&gt;"",IFERROR(IF(INDEX(CASHBACK_RULES!$B$5:$B$304,MATCH($W587,CASHBACK_RULES!$A$5:$A$304,0))=$D587,MATCH($W587,CASHBACK_RULES!$A$5:$A$304,0),0),0),IFERROR(MATCH(1,INDEX((CASHBACK_RULES!$B$5:$B$304=$D587)*(CASHBACK_RULES!$G$5:$G$304=$I587)*(((CASHBACK_RULES!$N$5:$N$304="")+(CASHBACK_RULES!$N$5:$N$304&lt;=$B587))&gt;0)*(((CASHBACK_RULES!$O$5:$O$304="")+(CASHBACK_RULES!$O$5:$O$304&gt;=$B587))&gt;0)*(((CASHBACK_RULES!$M$5:$M$304="")+(CASHBACK_RULES!$M$5:$M$304&lt;=$L587))&gt;0),0),0),0))))</f>
        <v>0</v>
      </c>
      <c r="AD587" s="51" t="str">
        <f>IF(OR($B587="",$D587=""),"",IFERROR(IF(INDEX(CARDS!$H$5:$H$34,MATCH($D587,CARDS!$A$5:$A$34,0))="","",IF(DAY($B587)&lt;=INDEX(CARDS!$H$5:$H$34,MATCH($D587,CARDS!$A$5:$A$34,0)),DATE(YEAR($B587),MONTH($B587),MIN(INDEX(CARDS!$H$5:$H$34,MATCH($D587,CARDS!$A$5:$A$34,0)),DAY(EOMONTH($B587,0)))),DATE(YEAR($B587),MONTH($B587)+1,MIN(INDEX(CARDS!$H$5:$H$34,MATCH($D587,CARDS!$A$5:$A$34,0)),DAY(EOMONTH($B587,1)))))),""))</f>
        <v/>
      </c>
      <c r="AE587" s="52" t="str">
        <f>IF($C587="","",$C587&amp;"|"&amp;COUNTIF($C$5:$C587,$C587))</f>
        <v/>
      </c>
      <c r="AF587" s="53">
        <f>IF($AC587&gt;0,SUMIFS(Q$4:Q586,$D$4:$D586,$D587,$Z$4:$Z586,$Z587,$C$4:$C586,$C587),0)</f>
        <v>0</v>
      </c>
      <c r="AG587" s="53">
        <f>IF($AC587&gt;0,SUMIFS(Q$4:Q586,$D$4:$D586,$D587,$C$4:$C586,$C587),0)</f>
        <v>0</v>
      </c>
      <c r="AH587" s="53">
        <f>IF($AC587&gt;0,SUMIFS(M$4:M586,$D$4:$D586,$D587,$Z$4:$Z586,$Z587,$C$4:$C586,$C587),0)</f>
        <v>0</v>
      </c>
      <c r="AI587" s="43">
        <f>IF(OR($C587="",$I587=""),0,IF(COUNTIFS($C$5:$C587,$C587,$I$5:$I587,$I587)=1,1,0))</f>
        <v>0</v>
      </c>
      <c r="AJ587" s="43" t="str">
        <f>IF($AI587=1,SUMIFS($AI$4:$AI586,$C$4:$C586,$C587)+1,"")</f>
        <v/>
      </c>
      <c r="AK587" s="43">
        <f>IF(OR($C587="",$K587=""),0,IF(COUNTIFS($C$5:$C587,$C587,$K$5:$K587,$K587)=1,1,0))</f>
        <v>0</v>
      </c>
      <c r="AL587" s="43" t="str">
        <f>IF($AK587=1,SUMIFS($AK$4:$AK586,$C$4:$C586,$C587)+1,"")</f>
        <v/>
      </c>
      <c r="AM587" s="43">
        <f>IF(OR($C587="",$G587=""),0,IF(COUNTIFS($C$5:$C587,$C587,$G$5:$G587,$G587)=1,1,0))</f>
        <v>0</v>
      </c>
      <c r="AN587" s="43" t="str">
        <f>IF($AM587=1,SUMIFS($AM$4:$AM586,$C$4:$C586,$C587)+1,"")</f>
        <v/>
      </c>
    </row>
    <row r="588">
      <c r="A588" s="44" t="str">
        <f>IF(OR($B588="",$D588=""),"","TX"&amp;TEXT(ROW()-4,"0000"))</f>
        <v/>
      </c>
      <c r="B588" s="42" t="n"/>
      <c r="C588" s="47" t="str">
        <f>IF($B588="","",YEAR($B588)*100+MONTH($B588))</f>
        <v/>
      </c>
      <c r="D588" s="37" t="n"/>
      <c r="E588" s="45" t="str">
        <f>IF($D588="","",IFERROR(INDEX(CARDS!$B$5:$B$34,MATCH($D588,CARDS!$A$5:$A$34,0)),"⚠ Card ID?"))</f>
        <v/>
      </c>
      <c r="F588" s="45" t="str">
        <f>IF($D588="","",IFERROR(INDEX(CARDS!$C$5:$C$34,MATCH($D588,CARDS!$A$5:$A$34,0)),"⚠ Card ID?"))</f>
        <v/>
      </c>
      <c r="G588" s="37" t="n"/>
      <c r="H588" s="37" t="n"/>
      <c r="I588" s="41" t="n"/>
      <c r="J588" s="45" t="str">
        <f>IF($I588="","",IFERROR(INDEX(MCC_MASTER!$B$5:$B$504,MATCH($I588,MCC_MASTER!$A$5:$A$504,0)),"⚠ MCC chưa có"))</f>
        <v/>
      </c>
      <c r="K588" s="45" t="str">
        <f>IF($I588="","",IFERROR(IF(INDEX(MCC_MASTER!$C$5:$C$504,MATCH($I588,MCC_MASTER!$A$5:$A$504,0))="","Chưa phân loại",INDEX(MCC_MASTER!$C$5:$C$504,MATCH($I588,MCC_MASTER!$A$5:$A$504,0))),"Chưa phân loại"))</f>
        <v/>
      </c>
      <c r="L588" s="40" t="n"/>
      <c r="M588" s="48" t="str">
        <f>IF(OR($B588="",$D588=""),"",IF($AC588=0,0,IF(ISNUMBER(INDEX(CASHBACK_RULES!$L$5:$L$304,$AC588)),MAX(0,MIN($L588,INDEX(CASHBACK_RULES!$L$5:$L$304,$AC588)-$AH588)),MAX(0,$L588))))</f>
        <v/>
      </c>
      <c r="N588" s="49" t="str">
        <f>IF(OR($B588="",$D588=""),"",IF($AC588&gt;0,INDEX(CASHBACK_RULES!$I$5:$I$304,$AC588),0))</f>
        <v/>
      </c>
      <c r="O588" s="48" t="str">
        <f>IF(OR($B588="",$D588=""),"",ROUND($M588*$N588,0))</f>
        <v/>
      </c>
      <c r="P588" s="48" t="str">
        <f>IF($AC588&gt;0,IF(ISNUMBER(INDEX(CASHBACK_RULES!$J$5:$J$304,$AC588)),INDEX(CASHBACK_RULES!$J$5:$J$304,$AC588),"∞"),"")</f>
        <v/>
      </c>
      <c r="Q588" s="48" t="str">
        <f>IF(OR($B588="",$D588=""),"",IF($AC588=0,0,MAX(0,MIN($O588,IF(ISNUMBER($P588),$P588-$AF588,1E+15),IF(ISNUMBER($AA588),$AA588-$AG588,1E+15)))))</f>
        <v/>
      </c>
      <c r="R588" s="48" t="str">
        <f>IF(OR($B588="",$D588=""),"",IF($AC588=0,"",IF(AND(NOT(ISNUMBER($P588)),NOT(ISNUMBER($AA588))),"∞",MAX(0,MIN(IF(ISNUMBER($P588),$P588-$AF588-$Q588,1E+15),IF(ISNUMBER($AA588),$AA588-$AG588-$Q588,1E+15))))))</f>
        <v/>
      </c>
      <c r="S588" s="47" t="str">
        <f>IF($AD588="","",YEAR($AD588)*100+MONTH($AD588))</f>
        <v/>
      </c>
      <c r="T588" s="50" t="str">
        <f>IF($AD588="","",IFERROR(IF(INDEX(CARDS!$I$5:$I$34,MATCH($D588,CARDS!$A$5:$A$34,0))="","",IF(INDEX(CARDS!$I$5:$I$34,MATCH($D588,CARDS!$A$5:$A$34,0))&gt;INDEX(CARDS!$H$5:$H$34,MATCH($D588,CARDS!$A$5:$A$34,0)),DATE(YEAR($AD588),MONTH($AD588),MIN(INDEX(CARDS!$I$5:$I$34,MATCH($D588,CARDS!$A$5:$A$34,0)),DAY(EOMONTH($AD588,0)))),DATE(YEAR($AD588),MONTH($AD588)+1,MIN(INDEX(CARDS!$I$5:$I$34,MATCH($D588,CARDS!$A$5:$A$34,0)),DAY(EOMONTH($AD588,1)))))),""))</f>
        <v/>
      </c>
      <c r="U588" s="38" t="n"/>
      <c r="V588" s="37" t="n"/>
      <c r="W588" s="38" t="n"/>
      <c r="X588" s="38" t="n"/>
      <c r="Y588" s="44" t="str">
        <f>IF($AC588&gt;0,INDEX(CASHBACK_RULES!$A$5:$A$304,$AC588),"")</f>
        <v/>
      </c>
      <c r="Z588" s="45" t="str">
        <f>IF($AC588&gt;0,INDEX(CASHBACK_RULES!$E$5:$E$304,$AC588)&amp;"","")</f>
        <v/>
      </c>
      <c r="AA588" s="48" t="str">
        <f>IF($AC588&gt;0,IF(ISNUMBER(INDEX(CASHBACK_RULES!$K$5:$K$304,$AC588)),INDEX(CASHBACK_RULES!$K$5:$K$304,$AC588),"∞"),"")</f>
        <v/>
      </c>
      <c r="AB588" s="44" t="str">
        <f>IF(OR($B588="",$D588=""),"",IF($U588="Cancelled","Đã hủy",IF($AC588=0,"Không được hoàn",IF($Q588=0,IF(OR($O588&gt;0,$M588&lt;$L588),"Đã đạt cap","Không được hoàn"),IF(OR($Q588&lt;$O588,$M588&lt;$L588),"Hoàn một phần","Được hoàn")))))</f>
        <v/>
      </c>
      <c r="AC588" s="43">
        <f>IF(OR($B588="",$D588="",$I588="",$L588=""),0,IF($U588="Cancelled",0,IF($W588&lt;&gt;"",IFERROR(IF(INDEX(CASHBACK_RULES!$B$5:$B$304,MATCH($W588,CASHBACK_RULES!$A$5:$A$304,0))=$D588,MATCH($W588,CASHBACK_RULES!$A$5:$A$304,0),0),0),IFERROR(MATCH(1,INDEX((CASHBACK_RULES!$B$5:$B$304=$D588)*(CASHBACK_RULES!$G$5:$G$304=$I588)*(((CASHBACK_RULES!$N$5:$N$304="")+(CASHBACK_RULES!$N$5:$N$304&lt;=$B588))&gt;0)*(((CASHBACK_RULES!$O$5:$O$304="")+(CASHBACK_RULES!$O$5:$O$304&gt;=$B588))&gt;0)*(((CASHBACK_RULES!$M$5:$M$304="")+(CASHBACK_RULES!$M$5:$M$304&lt;=$L588))&gt;0),0),0),0))))</f>
        <v>0</v>
      </c>
      <c r="AD588" s="51" t="str">
        <f>IF(OR($B588="",$D588=""),"",IFERROR(IF(INDEX(CARDS!$H$5:$H$34,MATCH($D588,CARDS!$A$5:$A$34,0))="","",IF(DAY($B588)&lt;=INDEX(CARDS!$H$5:$H$34,MATCH($D588,CARDS!$A$5:$A$34,0)),DATE(YEAR($B588),MONTH($B588),MIN(INDEX(CARDS!$H$5:$H$34,MATCH($D588,CARDS!$A$5:$A$34,0)),DAY(EOMONTH($B588,0)))),DATE(YEAR($B588),MONTH($B588)+1,MIN(INDEX(CARDS!$H$5:$H$34,MATCH($D588,CARDS!$A$5:$A$34,0)),DAY(EOMONTH($B588,1)))))),""))</f>
        <v/>
      </c>
      <c r="AE588" s="52" t="str">
        <f>IF($C588="","",$C588&amp;"|"&amp;COUNTIF($C$5:$C588,$C588))</f>
        <v/>
      </c>
      <c r="AF588" s="53">
        <f>IF($AC588&gt;0,SUMIFS(Q$4:Q587,$D$4:$D587,$D588,$Z$4:$Z587,$Z588,$C$4:$C587,$C588),0)</f>
        <v>0</v>
      </c>
      <c r="AG588" s="53">
        <f>IF($AC588&gt;0,SUMIFS(Q$4:Q587,$D$4:$D587,$D588,$C$4:$C587,$C588),0)</f>
        <v>0</v>
      </c>
      <c r="AH588" s="53">
        <f>IF($AC588&gt;0,SUMIFS(M$4:M587,$D$4:$D587,$D588,$Z$4:$Z587,$Z588,$C$4:$C587,$C588),0)</f>
        <v>0</v>
      </c>
      <c r="AI588" s="43">
        <f>IF(OR($C588="",$I588=""),0,IF(COUNTIFS($C$5:$C588,$C588,$I$5:$I588,$I588)=1,1,0))</f>
        <v>0</v>
      </c>
      <c r="AJ588" s="43" t="str">
        <f>IF($AI588=1,SUMIFS($AI$4:$AI587,$C$4:$C587,$C588)+1,"")</f>
        <v/>
      </c>
      <c r="AK588" s="43">
        <f>IF(OR($C588="",$K588=""),0,IF(COUNTIFS($C$5:$C588,$C588,$K$5:$K588,$K588)=1,1,0))</f>
        <v>0</v>
      </c>
      <c r="AL588" s="43" t="str">
        <f>IF($AK588=1,SUMIFS($AK$4:$AK587,$C$4:$C587,$C588)+1,"")</f>
        <v/>
      </c>
      <c r="AM588" s="43">
        <f>IF(OR($C588="",$G588=""),0,IF(COUNTIFS($C$5:$C588,$C588,$G$5:$G588,$G588)=1,1,0))</f>
        <v>0</v>
      </c>
      <c r="AN588" s="43" t="str">
        <f>IF($AM588=1,SUMIFS($AM$4:$AM587,$C$4:$C587,$C588)+1,"")</f>
        <v/>
      </c>
    </row>
    <row r="589">
      <c r="A589" s="44" t="str">
        <f>IF(OR($B589="",$D589=""),"","TX"&amp;TEXT(ROW()-4,"0000"))</f>
        <v/>
      </c>
      <c r="B589" s="42" t="n"/>
      <c r="C589" s="47" t="str">
        <f>IF($B589="","",YEAR($B589)*100+MONTH($B589))</f>
        <v/>
      </c>
      <c r="D589" s="37" t="n"/>
      <c r="E589" s="45" t="str">
        <f>IF($D589="","",IFERROR(INDEX(CARDS!$B$5:$B$34,MATCH($D589,CARDS!$A$5:$A$34,0)),"⚠ Card ID?"))</f>
        <v/>
      </c>
      <c r="F589" s="45" t="str">
        <f>IF($D589="","",IFERROR(INDEX(CARDS!$C$5:$C$34,MATCH($D589,CARDS!$A$5:$A$34,0)),"⚠ Card ID?"))</f>
        <v/>
      </c>
      <c r="G589" s="37" t="n"/>
      <c r="H589" s="37" t="n"/>
      <c r="I589" s="41" t="n"/>
      <c r="J589" s="45" t="str">
        <f>IF($I589="","",IFERROR(INDEX(MCC_MASTER!$B$5:$B$504,MATCH($I589,MCC_MASTER!$A$5:$A$504,0)),"⚠ MCC chưa có"))</f>
        <v/>
      </c>
      <c r="K589" s="45" t="str">
        <f>IF($I589="","",IFERROR(IF(INDEX(MCC_MASTER!$C$5:$C$504,MATCH($I589,MCC_MASTER!$A$5:$A$504,0))="","Chưa phân loại",INDEX(MCC_MASTER!$C$5:$C$504,MATCH($I589,MCC_MASTER!$A$5:$A$504,0))),"Chưa phân loại"))</f>
        <v/>
      </c>
      <c r="L589" s="40" t="n"/>
      <c r="M589" s="48" t="str">
        <f>IF(OR($B589="",$D589=""),"",IF($AC589=0,0,IF(ISNUMBER(INDEX(CASHBACK_RULES!$L$5:$L$304,$AC589)),MAX(0,MIN($L589,INDEX(CASHBACK_RULES!$L$5:$L$304,$AC589)-$AH589)),MAX(0,$L589))))</f>
        <v/>
      </c>
      <c r="N589" s="49" t="str">
        <f>IF(OR($B589="",$D589=""),"",IF($AC589&gt;0,INDEX(CASHBACK_RULES!$I$5:$I$304,$AC589),0))</f>
        <v/>
      </c>
      <c r="O589" s="48" t="str">
        <f>IF(OR($B589="",$D589=""),"",ROUND($M589*$N589,0))</f>
        <v/>
      </c>
      <c r="P589" s="48" t="str">
        <f>IF($AC589&gt;0,IF(ISNUMBER(INDEX(CASHBACK_RULES!$J$5:$J$304,$AC589)),INDEX(CASHBACK_RULES!$J$5:$J$304,$AC589),"∞"),"")</f>
        <v/>
      </c>
      <c r="Q589" s="48" t="str">
        <f>IF(OR($B589="",$D589=""),"",IF($AC589=0,0,MAX(0,MIN($O589,IF(ISNUMBER($P589),$P589-$AF589,1E+15),IF(ISNUMBER($AA589),$AA589-$AG589,1E+15)))))</f>
        <v/>
      </c>
      <c r="R589" s="48" t="str">
        <f>IF(OR($B589="",$D589=""),"",IF($AC589=0,"",IF(AND(NOT(ISNUMBER($P589)),NOT(ISNUMBER($AA589))),"∞",MAX(0,MIN(IF(ISNUMBER($P589),$P589-$AF589-$Q589,1E+15),IF(ISNUMBER($AA589),$AA589-$AG589-$Q589,1E+15))))))</f>
        <v/>
      </c>
      <c r="S589" s="47" t="str">
        <f>IF($AD589="","",YEAR($AD589)*100+MONTH($AD589))</f>
        <v/>
      </c>
      <c r="T589" s="50" t="str">
        <f>IF($AD589="","",IFERROR(IF(INDEX(CARDS!$I$5:$I$34,MATCH($D589,CARDS!$A$5:$A$34,0))="","",IF(INDEX(CARDS!$I$5:$I$34,MATCH($D589,CARDS!$A$5:$A$34,0))&gt;INDEX(CARDS!$H$5:$H$34,MATCH($D589,CARDS!$A$5:$A$34,0)),DATE(YEAR($AD589),MONTH($AD589),MIN(INDEX(CARDS!$I$5:$I$34,MATCH($D589,CARDS!$A$5:$A$34,0)),DAY(EOMONTH($AD589,0)))),DATE(YEAR($AD589),MONTH($AD589)+1,MIN(INDEX(CARDS!$I$5:$I$34,MATCH($D589,CARDS!$A$5:$A$34,0)),DAY(EOMONTH($AD589,1)))))),""))</f>
        <v/>
      </c>
      <c r="U589" s="38" t="n"/>
      <c r="V589" s="37" t="n"/>
      <c r="W589" s="38" t="n"/>
      <c r="X589" s="38" t="n"/>
      <c r="Y589" s="44" t="str">
        <f>IF($AC589&gt;0,INDEX(CASHBACK_RULES!$A$5:$A$304,$AC589),"")</f>
        <v/>
      </c>
      <c r="Z589" s="45" t="str">
        <f>IF($AC589&gt;0,INDEX(CASHBACK_RULES!$E$5:$E$304,$AC589)&amp;"","")</f>
        <v/>
      </c>
      <c r="AA589" s="48" t="str">
        <f>IF($AC589&gt;0,IF(ISNUMBER(INDEX(CASHBACK_RULES!$K$5:$K$304,$AC589)),INDEX(CASHBACK_RULES!$K$5:$K$304,$AC589),"∞"),"")</f>
        <v/>
      </c>
      <c r="AB589" s="44" t="str">
        <f>IF(OR($B589="",$D589=""),"",IF($U589="Cancelled","Đã hủy",IF($AC589=0,"Không được hoàn",IF($Q589=0,IF(OR($O589&gt;0,$M589&lt;$L589),"Đã đạt cap","Không được hoàn"),IF(OR($Q589&lt;$O589,$M589&lt;$L589),"Hoàn một phần","Được hoàn")))))</f>
        <v/>
      </c>
      <c r="AC589" s="43">
        <f>IF(OR($B589="",$D589="",$I589="",$L589=""),0,IF($U589="Cancelled",0,IF($W589&lt;&gt;"",IFERROR(IF(INDEX(CASHBACK_RULES!$B$5:$B$304,MATCH($W589,CASHBACK_RULES!$A$5:$A$304,0))=$D589,MATCH($W589,CASHBACK_RULES!$A$5:$A$304,0),0),0),IFERROR(MATCH(1,INDEX((CASHBACK_RULES!$B$5:$B$304=$D589)*(CASHBACK_RULES!$G$5:$G$304=$I589)*(((CASHBACK_RULES!$N$5:$N$304="")+(CASHBACK_RULES!$N$5:$N$304&lt;=$B589))&gt;0)*(((CASHBACK_RULES!$O$5:$O$304="")+(CASHBACK_RULES!$O$5:$O$304&gt;=$B589))&gt;0)*(((CASHBACK_RULES!$M$5:$M$304="")+(CASHBACK_RULES!$M$5:$M$304&lt;=$L589))&gt;0),0),0),0))))</f>
        <v>0</v>
      </c>
      <c r="AD589" s="51" t="str">
        <f>IF(OR($B589="",$D589=""),"",IFERROR(IF(INDEX(CARDS!$H$5:$H$34,MATCH($D589,CARDS!$A$5:$A$34,0))="","",IF(DAY($B589)&lt;=INDEX(CARDS!$H$5:$H$34,MATCH($D589,CARDS!$A$5:$A$34,0)),DATE(YEAR($B589),MONTH($B589),MIN(INDEX(CARDS!$H$5:$H$34,MATCH($D589,CARDS!$A$5:$A$34,0)),DAY(EOMONTH($B589,0)))),DATE(YEAR($B589),MONTH($B589)+1,MIN(INDEX(CARDS!$H$5:$H$34,MATCH($D589,CARDS!$A$5:$A$34,0)),DAY(EOMONTH($B589,1)))))),""))</f>
        <v/>
      </c>
      <c r="AE589" s="52" t="str">
        <f>IF($C589="","",$C589&amp;"|"&amp;COUNTIF($C$5:$C589,$C589))</f>
        <v/>
      </c>
      <c r="AF589" s="53">
        <f>IF($AC589&gt;0,SUMIFS(Q$4:Q588,$D$4:$D588,$D589,$Z$4:$Z588,$Z589,$C$4:$C588,$C589),0)</f>
        <v>0</v>
      </c>
      <c r="AG589" s="53">
        <f>IF($AC589&gt;0,SUMIFS(Q$4:Q588,$D$4:$D588,$D589,$C$4:$C588,$C589),0)</f>
        <v>0</v>
      </c>
      <c r="AH589" s="53">
        <f>IF($AC589&gt;0,SUMIFS(M$4:M588,$D$4:$D588,$D589,$Z$4:$Z588,$Z589,$C$4:$C588,$C589),0)</f>
        <v>0</v>
      </c>
      <c r="AI589" s="43">
        <f>IF(OR($C589="",$I589=""),0,IF(COUNTIFS($C$5:$C589,$C589,$I$5:$I589,$I589)=1,1,0))</f>
        <v>0</v>
      </c>
      <c r="AJ589" s="43" t="str">
        <f>IF($AI589=1,SUMIFS($AI$4:$AI588,$C$4:$C588,$C589)+1,"")</f>
        <v/>
      </c>
      <c r="AK589" s="43">
        <f>IF(OR($C589="",$K589=""),0,IF(COUNTIFS($C$5:$C589,$C589,$K$5:$K589,$K589)=1,1,0))</f>
        <v>0</v>
      </c>
      <c r="AL589" s="43" t="str">
        <f>IF($AK589=1,SUMIFS($AK$4:$AK588,$C$4:$C588,$C589)+1,"")</f>
        <v/>
      </c>
      <c r="AM589" s="43">
        <f>IF(OR($C589="",$G589=""),0,IF(COUNTIFS($C$5:$C589,$C589,$G$5:$G589,$G589)=1,1,0))</f>
        <v>0</v>
      </c>
      <c r="AN589" s="43" t="str">
        <f>IF($AM589=1,SUMIFS($AM$4:$AM588,$C$4:$C588,$C589)+1,"")</f>
        <v/>
      </c>
    </row>
    <row r="590">
      <c r="A590" s="44" t="str">
        <f>IF(OR($B590="",$D590=""),"","TX"&amp;TEXT(ROW()-4,"0000"))</f>
        <v/>
      </c>
      <c r="B590" s="42" t="n"/>
      <c r="C590" s="47" t="str">
        <f>IF($B590="","",YEAR($B590)*100+MONTH($B590))</f>
        <v/>
      </c>
      <c r="D590" s="37" t="n"/>
      <c r="E590" s="45" t="str">
        <f>IF($D590="","",IFERROR(INDEX(CARDS!$B$5:$B$34,MATCH($D590,CARDS!$A$5:$A$34,0)),"⚠ Card ID?"))</f>
        <v/>
      </c>
      <c r="F590" s="45" t="str">
        <f>IF($D590="","",IFERROR(INDEX(CARDS!$C$5:$C$34,MATCH($D590,CARDS!$A$5:$A$34,0)),"⚠ Card ID?"))</f>
        <v/>
      </c>
      <c r="G590" s="37" t="n"/>
      <c r="H590" s="37" t="n"/>
      <c r="I590" s="41" t="n"/>
      <c r="J590" s="45" t="str">
        <f>IF($I590="","",IFERROR(INDEX(MCC_MASTER!$B$5:$B$504,MATCH($I590,MCC_MASTER!$A$5:$A$504,0)),"⚠ MCC chưa có"))</f>
        <v/>
      </c>
      <c r="K590" s="45" t="str">
        <f>IF($I590="","",IFERROR(IF(INDEX(MCC_MASTER!$C$5:$C$504,MATCH($I590,MCC_MASTER!$A$5:$A$504,0))="","Chưa phân loại",INDEX(MCC_MASTER!$C$5:$C$504,MATCH($I590,MCC_MASTER!$A$5:$A$504,0))),"Chưa phân loại"))</f>
        <v/>
      </c>
      <c r="L590" s="40" t="n"/>
      <c r="M590" s="48" t="str">
        <f>IF(OR($B590="",$D590=""),"",IF($AC590=0,0,IF(ISNUMBER(INDEX(CASHBACK_RULES!$L$5:$L$304,$AC590)),MAX(0,MIN($L590,INDEX(CASHBACK_RULES!$L$5:$L$304,$AC590)-$AH590)),MAX(0,$L590))))</f>
        <v/>
      </c>
      <c r="N590" s="49" t="str">
        <f>IF(OR($B590="",$D590=""),"",IF($AC590&gt;0,INDEX(CASHBACK_RULES!$I$5:$I$304,$AC590),0))</f>
        <v/>
      </c>
      <c r="O590" s="48" t="str">
        <f>IF(OR($B590="",$D590=""),"",ROUND($M590*$N590,0))</f>
        <v/>
      </c>
      <c r="P590" s="48" t="str">
        <f>IF($AC590&gt;0,IF(ISNUMBER(INDEX(CASHBACK_RULES!$J$5:$J$304,$AC590)),INDEX(CASHBACK_RULES!$J$5:$J$304,$AC590),"∞"),"")</f>
        <v/>
      </c>
      <c r="Q590" s="48" t="str">
        <f>IF(OR($B590="",$D590=""),"",IF($AC590=0,0,MAX(0,MIN($O590,IF(ISNUMBER($P590),$P590-$AF590,1E+15),IF(ISNUMBER($AA590),$AA590-$AG590,1E+15)))))</f>
        <v/>
      </c>
      <c r="R590" s="48" t="str">
        <f>IF(OR($B590="",$D590=""),"",IF($AC590=0,"",IF(AND(NOT(ISNUMBER($P590)),NOT(ISNUMBER($AA590))),"∞",MAX(0,MIN(IF(ISNUMBER($P590),$P590-$AF590-$Q590,1E+15),IF(ISNUMBER($AA590),$AA590-$AG590-$Q590,1E+15))))))</f>
        <v/>
      </c>
      <c r="S590" s="47" t="str">
        <f>IF($AD590="","",YEAR($AD590)*100+MONTH($AD590))</f>
        <v/>
      </c>
      <c r="T590" s="50" t="str">
        <f>IF($AD590="","",IFERROR(IF(INDEX(CARDS!$I$5:$I$34,MATCH($D590,CARDS!$A$5:$A$34,0))="","",IF(INDEX(CARDS!$I$5:$I$34,MATCH($D590,CARDS!$A$5:$A$34,0))&gt;INDEX(CARDS!$H$5:$H$34,MATCH($D590,CARDS!$A$5:$A$34,0)),DATE(YEAR($AD590),MONTH($AD590),MIN(INDEX(CARDS!$I$5:$I$34,MATCH($D590,CARDS!$A$5:$A$34,0)),DAY(EOMONTH($AD590,0)))),DATE(YEAR($AD590),MONTH($AD590)+1,MIN(INDEX(CARDS!$I$5:$I$34,MATCH($D590,CARDS!$A$5:$A$34,0)),DAY(EOMONTH($AD590,1)))))),""))</f>
        <v/>
      </c>
      <c r="U590" s="38" t="n"/>
      <c r="V590" s="37" t="n"/>
      <c r="W590" s="38" t="n"/>
      <c r="X590" s="38" t="n"/>
      <c r="Y590" s="44" t="str">
        <f>IF($AC590&gt;0,INDEX(CASHBACK_RULES!$A$5:$A$304,$AC590),"")</f>
        <v/>
      </c>
      <c r="Z590" s="45" t="str">
        <f>IF($AC590&gt;0,INDEX(CASHBACK_RULES!$E$5:$E$304,$AC590)&amp;"","")</f>
        <v/>
      </c>
      <c r="AA590" s="48" t="str">
        <f>IF($AC590&gt;0,IF(ISNUMBER(INDEX(CASHBACK_RULES!$K$5:$K$304,$AC590)),INDEX(CASHBACK_RULES!$K$5:$K$304,$AC590),"∞"),"")</f>
        <v/>
      </c>
      <c r="AB590" s="44" t="str">
        <f>IF(OR($B590="",$D590=""),"",IF($U590="Cancelled","Đã hủy",IF($AC590=0,"Không được hoàn",IF($Q590=0,IF(OR($O590&gt;0,$M590&lt;$L590),"Đã đạt cap","Không được hoàn"),IF(OR($Q590&lt;$O590,$M590&lt;$L590),"Hoàn một phần","Được hoàn")))))</f>
        <v/>
      </c>
      <c r="AC590" s="43">
        <f>IF(OR($B590="",$D590="",$I590="",$L590=""),0,IF($U590="Cancelled",0,IF($W590&lt;&gt;"",IFERROR(IF(INDEX(CASHBACK_RULES!$B$5:$B$304,MATCH($W590,CASHBACK_RULES!$A$5:$A$304,0))=$D590,MATCH($W590,CASHBACK_RULES!$A$5:$A$304,0),0),0),IFERROR(MATCH(1,INDEX((CASHBACK_RULES!$B$5:$B$304=$D590)*(CASHBACK_RULES!$G$5:$G$304=$I590)*(((CASHBACK_RULES!$N$5:$N$304="")+(CASHBACK_RULES!$N$5:$N$304&lt;=$B590))&gt;0)*(((CASHBACK_RULES!$O$5:$O$304="")+(CASHBACK_RULES!$O$5:$O$304&gt;=$B590))&gt;0)*(((CASHBACK_RULES!$M$5:$M$304="")+(CASHBACK_RULES!$M$5:$M$304&lt;=$L590))&gt;0),0),0),0))))</f>
        <v>0</v>
      </c>
      <c r="AD590" s="51" t="str">
        <f>IF(OR($B590="",$D590=""),"",IFERROR(IF(INDEX(CARDS!$H$5:$H$34,MATCH($D590,CARDS!$A$5:$A$34,0))="","",IF(DAY($B590)&lt;=INDEX(CARDS!$H$5:$H$34,MATCH($D590,CARDS!$A$5:$A$34,0)),DATE(YEAR($B590),MONTH($B590),MIN(INDEX(CARDS!$H$5:$H$34,MATCH($D590,CARDS!$A$5:$A$34,0)),DAY(EOMONTH($B590,0)))),DATE(YEAR($B590),MONTH($B590)+1,MIN(INDEX(CARDS!$H$5:$H$34,MATCH($D590,CARDS!$A$5:$A$34,0)),DAY(EOMONTH($B590,1)))))),""))</f>
        <v/>
      </c>
      <c r="AE590" s="52" t="str">
        <f>IF($C590="","",$C590&amp;"|"&amp;COUNTIF($C$5:$C590,$C590))</f>
        <v/>
      </c>
      <c r="AF590" s="53">
        <f>IF($AC590&gt;0,SUMIFS(Q$4:Q589,$D$4:$D589,$D590,$Z$4:$Z589,$Z590,$C$4:$C589,$C590),0)</f>
        <v>0</v>
      </c>
      <c r="AG590" s="53">
        <f>IF($AC590&gt;0,SUMIFS(Q$4:Q589,$D$4:$D589,$D590,$C$4:$C589,$C590),0)</f>
        <v>0</v>
      </c>
      <c r="AH590" s="53">
        <f>IF($AC590&gt;0,SUMIFS(M$4:M589,$D$4:$D589,$D590,$Z$4:$Z589,$Z590,$C$4:$C589,$C590),0)</f>
        <v>0</v>
      </c>
      <c r="AI590" s="43">
        <f>IF(OR($C590="",$I590=""),0,IF(COUNTIFS($C$5:$C590,$C590,$I$5:$I590,$I590)=1,1,0))</f>
        <v>0</v>
      </c>
      <c r="AJ590" s="43" t="str">
        <f>IF($AI590=1,SUMIFS($AI$4:$AI589,$C$4:$C589,$C590)+1,"")</f>
        <v/>
      </c>
      <c r="AK590" s="43">
        <f>IF(OR($C590="",$K590=""),0,IF(COUNTIFS($C$5:$C590,$C590,$K$5:$K590,$K590)=1,1,0))</f>
        <v>0</v>
      </c>
      <c r="AL590" s="43" t="str">
        <f>IF($AK590=1,SUMIFS($AK$4:$AK589,$C$4:$C589,$C590)+1,"")</f>
        <v/>
      </c>
      <c r="AM590" s="43">
        <f>IF(OR($C590="",$G590=""),0,IF(COUNTIFS($C$5:$C590,$C590,$G$5:$G590,$G590)=1,1,0))</f>
        <v>0</v>
      </c>
      <c r="AN590" s="43" t="str">
        <f>IF($AM590=1,SUMIFS($AM$4:$AM589,$C$4:$C589,$C590)+1,"")</f>
        <v/>
      </c>
    </row>
    <row r="591">
      <c r="A591" s="44" t="str">
        <f>IF(OR($B591="",$D591=""),"","TX"&amp;TEXT(ROW()-4,"0000"))</f>
        <v/>
      </c>
      <c r="B591" s="42" t="n"/>
      <c r="C591" s="47" t="str">
        <f>IF($B591="","",YEAR($B591)*100+MONTH($B591))</f>
        <v/>
      </c>
      <c r="D591" s="37" t="n"/>
      <c r="E591" s="45" t="str">
        <f>IF($D591="","",IFERROR(INDEX(CARDS!$B$5:$B$34,MATCH($D591,CARDS!$A$5:$A$34,0)),"⚠ Card ID?"))</f>
        <v/>
      </c>
      <c r="F591" s="45" t="str">
        <f>IF($D591="","",IFERROR(INDEX(CARDS!$C$5:$C$34,MATCH($D591,CARDS!$A$5:$A$34,0)),"⚠ Card ID?"))</f>
        <v/>
      </c>
      <c r="G591" s="37" t="n"/>
      <c r="H591" s="37" t="n"/>
      <c r="I591" s="41" t="n"/>
      <c r="J591" s="45" t="str">
        <f>IF($I591="","",IFERROR(INDEX(MCC_MASTER!$B$5:$B$504,MATCH($I591,MCC_MASTER!$A$5:$A$504,0)),"⚠ MCC chưa có"))</f>
        <v/>
      </c>
      <c r="K591" s="45" t="str">
        <f>IF($I591="","",IFERROR(IF(INDEX(MCC_MASTER!$C$5:$C$504,MATCH($I591,MCC_MASTER!$A$5:$A$504,0))="","Chưa phân loại",INDEX(MCC_MASTER!$C$5:$C$504,MATCH($I591,MCC_MASTER!$A$5:$A$504,0))),"Chưa phân loại"))</f>
        <v/>
      </c>
      <c r="L591" s="40" t="n"/>
      <c r="M591" s="48" t="str">
        <f>IF(OR($B591="",$D591=""),"",IF($AC591=0,0,IF(ISNUMBER(INDEX(CASHBACK_RULES!$L$5:$L$304,$AC591)),MAX(0,MIN($L591,INDEX(CASHBACK_RULES!$L$5:$L$304,$AC591)-$AH591)),MAX(0,$L591))))</f>
        <v/>
      </c>
      <c r="N591" s="49" t="str">
        <f>IF(OR($B591="",$D591=""),"",IF($AC591&gt;0,INDEX(CASHBACK_RULES!$I$5:$I$304,$AC591),0))</f>
        <v/>
      </c>
      <c r="O591" s="48" t="str">
        <f>IF(OR($B591="",$D591=""),"",ROUND($M591*$N591,0))</f>
        <v/>
      </c>
      <c r="P591" s="48" t="str">
        <f>IF($AC591&gt;0,IF(ISNUMBER(INDEX(CASHBACK_RULES!$J$5:$J$304,$AC591)),INDEX(CASHBACK_RULES!$J$5:$J$304,$AC591),"∞"),"")</f>
        <v/>
      </c>
      <c r="Q591" s="48" t="str">
        <f>IF(OR($B591="",$D591=""),"",IF($AC591=0,0,MAX(0,MIN($O591,IF(ISNUMBER($P591),$P591-$AF591,1E+15),IF(ISNUMBER($AA591),$AA591-$AG591,1E+15)))))</f>
        <v/>
      </c>
      <c r="R591" s="48" t="str">
        <f>IF(OR($B591="",$D591=""),"",IF($AC591=0,"",IF(AND(NOT(ISNUMBER($P591)),NOT(ISNUMBER($AA591))),"∞",MAX(0,MIN(IF(ISNUMBER($P591),$P591-$AF591-$Q591,1E+15),IF(ISNUMBER($AA591),$AA591-$AG591-$Q591,1E+15))))))</f>
        <v/>
      </c>
      <c r="S591" s="47" t="str">
        <f>IF($AD591="","",YEAR($AD591)*100+MONTH($AD591))</f>
        <v/>
      </c>
      <c r="T591" s="50" t="str">
        <f>IF($AD591="","",IFERROR(IF(INDEX(CARDS!$I$5:$I$34,MATCH($D591,CARDS!$A$5:$A$34,0))="","",IF(INDEX(CARDS!$I$5:$I$34,MATCH($D591,CARDS!$A$5:$A$34,0))&gt;INDEX(CARDS!$H$5:$H$34,MATCH($D591,CARDS!$A$5:$A$34,0)),DATE(YEAR($AD591),MONTH($AD591),MIN(INDEX(CARDS!$I$5:$I$34,MATCH($D591,CARDS!$A$5:$A$34,0)),DAY(EOMONTH($AD591,0)))),DATE(YEAR($AD591),MONTH($AD591)+1,MIN(INDEX(CARDS!$I$5:$I$34,MATCH($D591,CARDS!$A$5:$A$34,0)),DAY(EOMONTH($AD591,1)))))),""))</f>
        <v/>
      </c>
      <c r="U591" s="38" t="n"/>
      <c r="V591" s="37" t="n"/>
      <c r="W591" s="38" t="n"/>
      <c r="X591" s="38" t="n"/>
      <c r="Y591" s="44" t="str">
        <f>IF($AC591&gt;0,INDEX(CASHBACK_RULES!$A$5:$A$304,$AC591),"")</f>
        <v/>
      </c>
      <c r="Z591" s="45" t="str">
        <f>IF($AC591&gt;0,INDEX(CASHBACK_RULES!$E$5:$E$304,$AC591)&amp;"","")</f>
        <v/>
      </c>
      <c r="AA591" s="48" t="str">
        <f>IF($AC591&gt;0,IF(ISNUMBER(INDEX(CASHBACK_RULES!$K$5:$K$304,$AC591)),INDEX(CASHBACK_RULES!$K$5:$K$304,$AC591),"∞"),"")</f>
        <v/>
      </c>
      <c r="AB591" s="44" t="str">
        <f>IF(OR($B591="",$D591=""),"",IF($U591="Cancelled","Đã hủy",IF($AC591=0,"Không được hoàn",IF($Q591=0,IF(OR($O591&gt;0,$M591&lt;$L591),"Đã đạt cap","Không được hoàn"),IF(OR($Q591&lt;$O591,$M591&lt;$L591),"Hoàn một phần","Được hoàn")))))</f>
        <v/>
      </c>
      <c r="AC591" s="43">
        <f>IF(OR($B591="",$D591="",$I591="",$L591=""),0,IF($U591="Cancelled",0,IF($W591&lt;&gt;"",IFERROR(IF(INDEX(CASHBACK_RULES!$B$5:$B$304,MATCH($W591,CASHBACK_RULES!$A$5:$A$304,0))=$D591,MATCH($W591,CASHBACK_RULES!$A$5:$A$304,0),0),0),IFERROR(MATCH(1,INDEX((CASHBACK_RULES!$B$5:$B$304=$D591)*(CASHBACK_RULES!$G$5:$G$304=$I591)*(((CASHBACK_RULES!$N$5:$N$304="")+(CASHBACK_RULES!$N$5:$N$304&lt;=$B591))&gt;0)*(((CASHBACK_RULES!$O$5:$O$304="")+(CASHBACK_RULES!$O$5:$O$304&gt;=$B591))&gt;0)*(((CASHBACK_RULES!$M$5:$M$304="")+(CASHBACK_RULES!$M$5:$M$304&lt;=$L591))&gt;0),0),0),0))))</f>
        <v>0</v>
      </c>
      <c r="AD591" s="51" t="str">
        <f>IF(OR($B591="",$D591=""),"",IFERROR(IF(INDEX(CARDS!$H$5:$H$34,MATCH($D591,CARDS!$A$5:$A$34,0))="","",IF(DAY($B591)&lt;=INDEX(CARDS!$H$5:$H$34,MATCH($D591,CARDS!$A$5:$A$34,0)),DATE(YEAR($B591),MONTH($B591),MIN(INDEX(CARDS!$H$5:$H$34,MATCH($D591,CARDS!$A$5:$A$34,0)),DAY(EOMONTH($B591,0)))),DATE(YEAR($B591),MONTH($B591)+1,MIN(INDEX(CARDS!$H$5:$H$34,MATCH($D591,CARDS!$A$5:$A$34,0)),DAY(EOMONTH($B591,1)))))),""))</f>
        <v/>
      </c>
      <c r="AE591" s="52" t="str">
        <f>IF($C591="","",$C591&amp;"|"&amp;COUNTIF($C$5:$C591,$C591))</f>
        <v/>
      </c>
      <c r="AF591" s="53">
        <f>IF($AC591&gt;0,SUMIFS(Q$4:Q590,$D$4:$D590,$D591,$Z$4:$Z590,$Z591,$C$4:$C590,$C591),0)</f>
        <v>0</v>
      </c>
      <c r="AG591" s="53">
        <f>IF($AC591&gt;0,SUMIFS(Q$4:Q590,$D$4:$D590,$D591,$C$4:$C590,$C591),0)</f>
        <v>0</v>
      </c>
      <c r="AH591" s="53">
        <f>IF($AC591&gt;0,SUMIFS(M$4:M590,$D$4:$D590,$D591,$Z$4:$Z590,$Z591,$C$4:$C590,$C591),0)</f>
        <v>0</v>
      </c>
      <c r="AI591" s="43">
        <f>IF(OR($C591="",$I591=""),0,IF(COUNTIFS($C$5:$C591,$C591,$I$5:$I591,$I591)=1,1,0))</f>
        <v>0</v>
      </c>
      <c r="AJ591" s="43" t="str">
        <f>IF($AI591=1,SUMIFS($AI$4:$AI590,$C$4:$C590,$C591)+1,"")</f>
        <v/>
      </c>
      <c r="AK591" s="43">
        <f>IF(OR($C591="",$K591=""),0,IF(COUNTIFS($C$5:$C591,$C591,$K$5:$K591,$K591)=1,1,0))</f>
        <v>0</v>
      </c>
      <c r="AL591" s="43" t="str">
        <f>IF($AK591=1,SUMIFS($AK$4:$AK590,$C$4:$C590,$C591)+1,"")</f>
        <v/>
      </c>
      <c r="AM591" s="43">
        <f>IF(OR($C591="",$G591=""),0,IF(COUNTIFS($C$5:$C591,$C591,$G$5:$G591,$G591)=1,1,0))</f>
        <v>0</v>
      </c>
      <c r="AN591" s="43" t="str">
        <f>IF($AM591=1,SUMIFS($AM$4:$AM590,$C$4:$C590,$C591)+1,"")</f>
        <v/>
      </c>
    </row>
    <row r="592">
      <c r="A592" s="44" t="str">
        <f>IF(OR($B592="",$D592=""),"","TX"&amp;TEXT(ROW()-4,"0000"))</f>
        <v/>
      </c>
      <c r="B592" s="42" t="n"/>
      <c r="C592" s="47" t="str">
        <f>IF($B592="","",YEAR($B592)*100+MONTH($B592))</f>
        <v/>
      </c>
      <c r="D592" s="37" t="n"/>
      <c r="E592" s="45" t="str">
        <f>IF($D592="","",IFERROR(INDEX(CARDS!$B$5:$B$34,MATCH($D592,CARDS!$A$5:$A$34,0)),"⚠ Card ID?"))</f>
        <v/>
      </c>
      <c r="F592" s="45" t="str">
        <f>IF($D592="","",IFERROR(INDEX(CARDS!$C$5:$C$34,MATCH($D592,CARDS!$A$5:$A$34,0)),"⚠ Card ID?"))</f>
        <v/>
      </c>
      <c r="G592" s="37" t="n"/>
      <c r="H592" s="37" t="n"/>
      <c r="I592" s="41" t="n"/>
      <c r="J592" s="45" t="str">
        <f>IF($I592="","",IFERROR(INDEX(MCC_MASTER!$B$5:$B$504,MATCH($I592,MCC_MASTER!$A$5:$A$504,0)),"⚠ MCC chưa có"))</f>
        <v/>
      </c>
      <c r="K592" s="45" t="str">
        <f>IF($I592="","",IFERROR(IF(INDEX(MCC_MASTER!$C$5:$C$504,MATCH($I592,MCC_MASTER!$A$5:$A$504,0))="","Chưa phân loại",INDEX(MCC_MASTER!$C$5:$C$504,MATCH($I592,MCC_MASTER!$A$5:$A$504,0))),"Chưa phân loại"))</f>
        <v/>
      </c>
      <c r="L592" s="40" t="n"/>
      <c r="M592" s="48" t="str">
        <f>IF(OR($B592="",$D592=""),"",IF($AC592=0,0,IF(ISNUMBER(INDEX(CASHBACK_RULES!$L$5:$L$304,$AC592)),MAX(0,MIN($L592,INDEX(CASHBACK_RULES!$L$5:$L$304,$AC592)-$AH592)),MAX(0,$L592))))</f>
        <v/>
      </c>
      <c r="N592" s="49" t="str">
        <f>IF(OR($B592="",$D592=""),"",IF($AC592&gt;0,INDEX(CASHBACK_RULES!$I$5:$I$304,$AC592),0))</f>
        <v/>
      </c>
      <c r="O592" s="48" t="str">
        <f>IF(OR($B592="",$D592=""),"",ROUND($M592*$N592,0))</f>
        <v/>
      </c>
      <c r="P592" s="48" t="str">
        <f>IF($AC592&gt;0,IF(ISNUMBER(INDEX(CASHBACK_RULES!$J$5:$J$304,$AC592)),INDEX(CASHBACK_RULES!$J$5:$J$304,$AC592),"∞"),"")</f>
        <v/>
      </c>
      <c r="Q592" s="48" t="str">
        <f>IF(OR($B592="",$D592=""),"",IF($AC592=0,0,MAX(0,MIN($O592,IF(ISNUMBER($P592),$P592-$AF592,1E+15),IF(ISNUMBER($AA592),$AA592-$AG592,1E+15)))))</f>
        <v/>
      </c>
      <c r="R592" s="48" t="str">
        <f>IF(OR($B592="",$D592=""),"",IF($AC592=0,"",IF(AND(NOT(ISNUMBER($P592)),NOT(ISNUMBER($AA592))),"∞",MAX(0,MIN(IF(ISNUMBER($P592),$P592-$AF592-$Q592,1E+15),IF(ISNUMBER($AA592),$AA592-$AG592-$Q592,1E+15))))))</f>
        <v/>
      </c>
      <c r="S592" s="47" t="str">
        <f>IF($AD592="","",YEAR($AD592)*100+MONTH($AD592))</f>
        <v/>
      </c>
      <c r="T592" s="50" t="str">
        <f>IF($AD592="","",IFERROR(IF(INDEX(CARDS!$I$5:$I$34,MATCH($D592,CARDS!$A$5:$A$34,0))="","",IF(INDEX(CARDS!$I$5:$I$34,MATCH($D592,CARDS!$A$5:$A$34,0))&gt;INDEX(CARDS!$H$5:$H$34,MATCH($D592,CARDS!$A$5:$A$34,0)),DATE(YEAR($AD592),MONTH($AD592),MIN(INDEX(CARDS!$I$5:$I$34,MATCH($D592,CARDS!$A$5:$A$34,0)),DAY(EOMONTH($AD592,0)))),DATE(YEAR($AD592),MONTH($AD592)+1,MIN(INDEX(CARDS!$I$5:$I$34,MATCH($D592,CARDS!$A$5:$A$34,0)),DAY(EOMONTH($AD592,1)))))),""))</f>
        <v/>
      </c>
      <c r="U592" s="38" t="n"/>
      <c r="V592" s="37" t="n"/>
      <c r="W592" s="38" t="n"/>
      <c r="X592" s="38" t="n"/>
      <c r="Y592" s="44" t="str">
        <f>IF($AC592&gt;0,INDEX(CASHBACK_RULES!$A$5:$A$304,$AC592),"")</f>
        <v/>
      </c>
      <c r="Z592" s="45" t="str">
        <f>IF($AC592&gt;0,INDEX(CASHBACK_RULES!$E$5:$E$304,$AC592)&amp;"","")</f>
        <v/>
      </c>
      <c r="AA592" s="48" t="str">
        <f>IF($AC592&gt;0,IF(ISNUMBER(INDEX(CASHBACK_RULES!$K$5:$K$304,$AC592)),INDEX(CASHBACK_RULES!$K$5:$K$304,$AC592),"∞"),"")</f>
        <v/>
      </c>
      <c r="AB592" s="44" t="str">
        <f>IF(OR($B592="",$D592=""),"",IF($U592="Cancelled","Đã hủy",IF($AC592=0,"Không được hoàn",IF($Q592=0,IF(OR($O592&gt;0,$M592&lt;$L592),"Đã đạt cap","Không được hoàn"),IF(OR($Q592&lt;$O592,$M592&lt;$L592),"Hoàn một phần","Được hoàn")))))</f>
        <v/>
      </c>
      <c r="AC592" s="43">
        <f>IF(OR($B592="",$D592="",$I592="",$L592=""),0,IF($U592="Cancelled",0,IF($W592&lt;&gt;"",IFERROR(IF(INDEX(CASHBACK_RULES!$B$5:$B$304,MATCH($W592,CASHBACK_RULES!$A$5:$A$304,0))=$D592,MATCH($W592,CASHBACK_RULES!$A$5:$A$304,0),0),0),IFERROR(MATCH(1,INDEX((CASHBACK_RULES!$B$5:$B$304=$D592)*(CASHBACK_RULES!$G$5:$G$304=$I592)*(((CASHBACK_RULES!$N$5:$N$304="")+(CASHBACK_RULES!$N$5:$N$304&lt;=$B592))&gt;0)*(((CASHBACK_RULES!$O$5:$O$304="")+(CASHBACK_RULES!$O$5:$O$304&gt;=$B592))&gt;0)*(((CASHBACK_RULES!$M$5:$M$304="")+(CASHBACK_RULES!$M$5:$M$304&lt;=$L592))&gt;0),0),0),0))))</f>
        <v>0</v>
      </c>
      <c r="AD592" s="51" t="str">
        <f>IF(OR($B592="",$D592=""),"",IFERROR(IF(INDEX(CARDS!$H$5:$H$34,MATCH($D592,CARDS!$A$5:$A$34,0))="","",IF(DAY($B592)&lt;=INDEX(CARDS!$H$5:$H$34,MATCH($D592,CARDS!$A$5:$A$34,0)),DATE(YEAR($B592),MONTH($B592),MIN(INDEX(CARDS!$H$5:$H$34,MATCH($D592,CARDS!$A$5:$A$34,0)),DAY(EOMONTH($B592,0)))),DATE(YEAR($B592),MONTH($B592)+1,MIN(INDEX(CARDS!$H$5:$H$34,MATCH($D592,CARDS!$A$5:$A$34,0)),DAY(EOMONTH($B592,1)))))),""))</f>
        <v/>
      </c>
      <c r="AE592" s="52" t="str">
        <f>IF($C592="","",$C592&amp;"|"&amp;COUNTIF($C$5:$C592,$C592))</f>
        <v/>
      </c>
      <c r="AF592" s="53">
        <f>IF($AC592&gt;0,SUMIFS(Q$4:Q591,$D$4:$D591,$D592,$Z$4:$Z591,$Z592,$C$4:$C591,$C592),0)</f>
        <v>0</v>
      </c>
      <c r="AG592" s="53">
        <f>IF($AC592&gt;0,SUMIFS(Q$4:Q591,$D$4:$D591,$D592,$C$4:$C591,$C592),0)</f>
        <v>0</v>
      </c>
      <c r="AH592" s="53">
        <f>IF($AC592&gt;0,SUMIFS(M$4:M591,$D$4:$D591,$D592,$Z$4:$Z591,$Z592,$C$4:$C591,$C592),0)</f>
        <v>0</v>
      </c>
      <c r="AI592" s="43">
        <f>IF(OR($C592="",$I592=""),0,IF(COUNTIFS($C$5:$C592,$C592,$I$5:$I592,$I592)=1,1,0))</f>
        <v>0</v>
      </c>
      <c r="AJ592" s="43" t="str">
        <f>IF($AI592=1,SUMIFS($AI$4:$AI591,$C$4:$C591,$C592)+1,"")</f>
        <v/>
      </c>
      <c r="AK592" s="43">
        <f>IF(OR($C592="",$K592=""),0,IF(COUNTIFS($C$5:$C592,$C592,$K$5:$K592,$K592)=1,1,0))</f>
        <v>0</v>
      </c>
      <c r="AL592" s="43" t="str">
        <f>IF($AK592=1,SUMIFS($AK$4:$AK591,$C$4:$C591,$C592)+1,"")</f>
        <v/>
      </c>
      <c r="AM592" s="43">
        <f>IF(OR($C592="",$G592=""),0,IF(COUNTIFS($C$5:$C592,$C592,$G$5:$G592,$G592)=1,1,0))</f>
        <v>0</v>
      </c>
      <c r="AN592" s="43" t="str">
        <f>IF($AM592=1,SUMIFS($AM$4:$AM591,$C$4:$C591,$C592)+1,"")</f>
        <v/>
      </c>
    </row>
    <row r="593">
      <c r="A593" s="44" t="str">
        <f>IF(OR($B593="",$D593=""),"","TX"&amp;TEXT(ROW()-4,"0000"))</f>
        <v/>
      </c>
      <c r="B593" s="42" t="n"/>
      <c r="C593" s="47" t="str">
        <f>IF($B593="","",YEAR($B593)*100+MONTH($B593))</f>
        <v/>
      </c>
      <c r="D593" s="37" t="n"/>
      <c r="E593" s="45" t="str">
        <f>IF($D593="","",IFERROR(INDEX(CARDS!$B$5:$B$34,MATCH($D593,CARDS!$A$5:$A$34,0)),"⚠ Card ID?"))</f>
        <v/>
      </c>
      <c r="F593" s="45" t="str">
        <f>IF($D593="","",IFERROR(INDEX(CARDS!$C$5:$C$34,MATCH($D593,CARDS!$A$5:$A$34,0)),"⚠ Card ID?"))</f>
        <v/>
      </c>
      <c r="G593" s="37" t="n"/>
      <c r="H593" s="37" t="n"/>
      <c r="I593" s="41" t="n"/>
      <c r="J593" s="45" t="str">
        <f>IF($I593="","",IFERROR(INDEX(MCC_MASTER!$B$5:$B$504,MATCH($I593,MCC_MASTER!$A$5:$A$504,0)),"⚠ MCC chưa có"))</f>
        <v/>
      </c>
      <c r="K593" s="45" t="str">
        <f>IF($I593="","",IFERROR(IF(INDEX(MCC_MASTER!$C$5:$C$504,MATCH($I593,MCC_MASTER!$A$5:$A$504,0))="","Chưa phân loại",INDEX(MCC_MASTER!$C$5:$C$504,MATCH($I593,MCC_MASTER!$A$5:$A$504,0))),"Chưa phân loại"))</f>
        <v/>
      </c>
      <c r="L593" s="40" t="n"/>
      <c r="M593" s="48" t="str">
        <f>IF(OR($B593="",$D593=""),"",IF($AC593=0,0,IF(ISNUMBER(INDEX(CASHBACK_RULES!$L$5:$L$304,$AC593)),MAX(0,MIN($L593,INDEX(CASHBACK_RULES!$L$5:$L$304,$AC593)-$AH593)),MAX(0,$L593))))</f>
        <v/>
      </c>
      <c r="N593" s="49" t="str">
        <f>IF(OR($B593="",$D593=""),"",IF($AC593&gt;0,INDEX(CASHBACK_RULES!$I$5:$I$304,$AC593),0))</f>
        <v/>
      </c>
      <c r="O593" s="48" t="str">
        <f>IF(OR($B593="",$D593=""),"",ROUND($M593*$N593,0))</f>
        <v/>
      </c>
      <c r="P593" s="48" t="str">
        <f>IF($AC593&gt;0,IF(ISNUMBER(INDEX(CASHBACK_RULES!$J$5:$J$304,$AC593)),INDEX(CASHBACK_RULES!$J$5:$J$304,$AC593),"∞"),"")</f>
        <v/>
      </c>
      <c r="Q593" s="48" t="str">
        <f>IF(OR($B593="",$D593=""),"",IF($AC593=0,0,MAX(0,MIN($O593,IF(ISNUMBER($P593),$P593-$AF593,1E+15),IF(ISNUMBER($AA593),$AA593-$AG593,1E+15)))))</f>
        <v/>
      </c>
      <c r="R593" s="48" t="str">
        <f>IF(OR($B593="",$D593=""),"",IF($AC593=0,"",IF(AND(NOT(ISNUMBER($P593)),NOT(ISNUMBER($AA593))),"∞",MAX(0,MIN(IF(ISNUMBER($P593),$P593-$AF593-$Q593,1E+15),IF(ISNUMBER($AA593),$AA593-$AG593-$Q593,1E+15))))))</f>
        <v/>
      </c>
      <c r="S593" s="47" t="str">
        <f>IF($AD593="","",YEAR($AD593)*100+MONTH($AD593))</f>
        <v/>
      </c>
      <c r="T593" s="50" t="str">
        <f>IF($AD593="","",IFERROR(IF(INDEX(CARDS!$I$5:$I$34,MATCH($D593,CARDS!$A$5:$A$34,0))="","",IF(INDEX(CARDS!$I$5:$I$34,MATCH($D593,CARDS!$A$5:$A$34,0))&gt;INDEX(CARDS!$H$5:$H$34,MATCH($D593,CARDS!$A$5:$A$34,0)),DATE(YEAR($AD593),MONTH($AD593),MIN(INDEX(CARDS!$I$5:$I$34,MATCH($D593,CARDS!$A$5:$A$34,0)),DAY(EOMONTH($AD593,0)))),DATE(YEAR($AD593),MONTH($AD593)+1,MIN(INDEX(CARDS!$I$5:$I$34,MATCH($D593,CARDS!$A$5:$A$34,0)),DAY(EOMONTH($AD593,1)))))),""))</f>
        <v/>
      </c>
      <c r="U593" s="38" t="n"/>
      <c r="V593" s="37" t="n"/>
      <c r="W593" s="38" t="n"/>
      <c r="X593" s="38" t="n"/>
      <c r="Y593" s="44" t="str">
        <f>IF($AC593&gt;0,INDEX(CASHBACK_RULES!$A$5:$A$304,$AC593),"")</f>
        <v/>
      </c>
      <c r="Z593" s="45" t="str">
        <f>IF($AC593&gt;0,INDEX(CASHBACK_RULES!$E$5:$E$304,$AC593)&amp;"","")</f>
        <v/>
      </c>
      <c r="AA593" s="48" t="str">
        <f>IF($AC593&gt;0,IF(ISNUMBER(INDEX(CASHBACK_RULES!$K$5:$K$304,$AC593)),INDEX(CASHBACK_RULES!$K$5:$K$304,$AC593),"∞"),"")</f>
        <v/>
      </c>
      <c r="AB593" s="44" t="str">
        <f>IF(OR($B593="",$D593=""),"",IF($U593="Cancelled","Đã hủy",IF($AC593=0,"Không được hoàn",IF($Q593=0,IF(OR($O593&gt;0,$M593&lt;$L593),"Đã đạt cap","Không được hoàn"),IF(OR($Q593&lt;$O593,$M593&lt;$L593),"Hoàn một phần","Được hoàn")))))</f>
        <v/>
      </c>
      <c r="AC593" s="43">
        <f>IF(OR($B593="",$D593="",$I593="",$L593=""),0,IF($U593="Cancelled",0,IF($W593&lt;&gt;"",IFERROR(IF(INDEX(CASHBACK_RULES!$B$5:$B$304,MATCH($W593,CASHBACK_RULES!$A$5:$A$304,0))=$D593,MATCH($W593,CASHBACK_RULES!$A$5:$A$304,0),0),0),IFERROR(MATCH(1,INDEX((CASHBACK_RULES!$B$5:$B$304=$D593)*(CASHBACK_RULES!$G$5:$G$304=$I593)*(((CASHBACK_RULES!$N$5:$N$304="")+(CASHBACK_RULES!$N$5:$N$304&lt;=$B593))&gt;0)*(((CASHBACK_RULES!$O$5:$O$304="")+(CASHBACK_RULES!$O$5:$O$304&gt;=$B593))&gt;0)*(((CASHBACK_RULES!$M$5:$M$304="")+(CASHBACK_RULES!$M$5:$M$304&lt;=$L593))&gt;0),0),0),0))))</f>
        <v>0</v>
      </c>
      <c r="AD593" s="51" t="str">
        <f>IF(OR($B593="",$D593=""),"",IFERROR(IF(INDEX(CARDS!$H$5:$H$34,MATCH($D593,CARDS!$A$5:$A$34,0))="","",IF(DAY($B593)&lt;=INDEX(CARDS!$H$5:$H$34,MATCH($D593,CARDS!$A$5:$A$34,0)),DATE(YEAR($B593),MONTH($B593),MIN(INDEX(CARDS!$H$5:$H$34,MATCH($D593,CARDS!$A$5:$A$34,0)),DAY(EOMONTH($B593,0)))),DATE(YEAR($B593),MONTH($B593)+1,MIN(INDEX(CARDS!$H$5:$H$34,MATCH($D593,CARDS!$A$5:$A$34,0)),DAY(EOMONTH($B593,1)))))),""))</f>
        <v/>
      </c>
      <c r="AE593" s="52" t="str">
        <f>IF($C593="","",$C593&amp;"|"&amp;COUNTIF($C$5:$C593,$C593))</f>
        <v/>
      </c>
      <c r="AF593" s="53">
        <f>IF($AC593&gt;0,SUMIFS(Q$4:Q592,$D$4:$D592,$D593,$Z$4:$Z592,$Z593,$C$4:$C592,$C593),0)</f>
        <v>0</v>
      </c>
      <c r="AG593" s="53">
        <f>IF($AC593&gt;0,SUMIFS(Q$4:Q592,$D$4:$D592,$D593,$C$4:$C592,$C593),0)</f>
        <v>0</v>
      </c>
      <c r="AH593" s="53">
        <f>IF($AC593&gt;0,SUMIFS(M$4:M592,$D$4:$D592,$D593,$Z$4:$Z592,$Z593,$C$4:$C592,$C593),0)</f>
        <v>0</v>
      </c>
      <c r="AI593" s="43">
        <f>IF(OR($C593="",$I593=""),0,IF(COUNTIFS($C$5:$C593,$C593,$I$5:$I593,$I593)=1,1,0))</f>
        <v>0</v>
      </c>
      <c r="AJ593" s="43" t="str">
        <f>IF($AI593=1,SUMIFS($AI$4:$AI592,$C$4:$C592,$C593)+1,"")</f>
        <v/>
      </c>
      <c r="AK593" s="43">
        <f>IF(OR($C593="",$K593=""),0,IF(COUNTIFS($C$5:$C593,$C593,$K$5:$K593,$K593)=1,1,0))</f>
        <v>0</v>
      </c>
      <c r="AL593" s="43" t="str">
        <f>IF($AK593=1,SUMIFS($AK$4:$AK592,$C$4:$C592,$C593)+1,"")</f>
        <v/>
      </c>
      <c r="AM593" s="43">
        <f>IF(OR($C593="",$G593=""),0,IF(COUNTIFS($C$5:$C593,$C593,$G$5:$G593,$G593)=1,1,0))</f>
        <v>0</v>
      </c>
      <c r="AN593" s="43" t="str">
        <f>IF($AM593=1,SUMIFS($AM$4:$AM592,$C$4:$C592,$C593)+1,"")</f>
        <v/>
      </c>
    </row>
    <row r="594">
      <c r="A594" s="44" t="str">
        <f>IF(OR($B594="",$D594=""),"","TX"&amp;TEXT(ROW()-4,"0000"))</f>
        <v/>
      </c>
      <c r="B594" s="42" t="n"/>
      <c r="C594" s="47" t="str">
        <f>IF($B594="","",YEAR($B594)*100+MONTH($B594))</f>
        <v/>
      </c>
      <c r="D594" s="37" t="n"/>
      <c r="E594" s="45" t="str">
        <f>IF($D594="","",IFERROR(INDEX(CARDS!$B$5:$B$34,MATCH($D594,CARDS!$A$5:$A$34,0)),"⚠ Card ID?"))</f>
        <v/>
      </c>
      <c r="F594" s="45" t="str">
        <f>IF($D594="","",IFERROR(INDEX(CARDS!$C$5:$C$34,MATCH($D594,CARDS!$A$5:$A$34,0)),"⚠ Card ID?"))</f>
        <v/>
      </c>
      <c r="G594" s="37" t="n"/>
      <c r="H594" s="37" t="n"/>
      <c r="I594" s="41" t="n"/>
      <c r="J594" s="45" t="str">
        <f>IF($I594="","",IFERROR(INDEX(MCC_MASTER!$B$5:$B$504,MATCH($I594,MCC_MASTER!$A$5:$A$504,0)),"⚠ MCC chưa có"))</f>
        <v/>
      </c>
      <c r="K594" s="45" t="str">
        <f>IF($I594="","",IFERROR(IF(INDEX(MCC_MASTER!$C$5:$C$504,MATCH($I594,MCC_MASTER!$A$5:$A$504,0))="","Chưa phân loại",INDEX(MCC_MASTER!$C$5:$C$504,MATCH($I594,MCC_MASTER!$A$5:$A$504,0))),"Chưa phân loại"))</f>
        <v/>
      </c>
      <c r="L594" s="40" t="n"/>
      <c r="M594" s="48" t="str">
        <f>IF(OR($B594="",$D594=""),"",IF($AC594=0,0,IF(ISNUMBER(INDEX(CASHBACK_RULES!$L$5:$L$304,$AC594)),MAX(0,MIN($L594,INDEX(CASHBACK_RULES!$L$5:$L$304,$AC594)-$AH594)),MAX(0,$L594))))</f>
        <v/>
      </c>
      <c r="N594" s="49" t="str">
        <f>IF(OR($B594="",$D594=""),"",IF($AC594&gt;0,INDEX(CASHBACK_RULES!$I$5:$I$304,$AC594),0))</f>
        <v/>
      </c>
      <c r="O594" s="48" t="str">
        <f>IF(OR($B594="",$D594=""),"",ROUND($M594*$N594,0))</f>
        <v/>
      </c>
      <c r="P594" s="48" t="str">
        <f>IF($AC594&gt;0,IF(ISNUMBER(INDEX(CASHBACK_RULES!$J$5:$J$304,$AC594)),INDEX(CASHBACK_RULES!$J$5:$J$304,$AC594),"∞"),"")</f>
        <v/>
      </c>
      <c r="Q594" s="48" t="str">
        <f>IF(OR($B594="",$D594=""),"",IF($AC594=0,0,MAX(0,MIN($O594,IF(ISNUMBER($P594),$P594-$AF594,1E+15),IF(ISNUMBER($AA594),$AA594-$AG594,1E+15)))))</f>
        <v/>
      </c>
      <c r="R594" s="48" t="str">
        <f>IF(OR($B594="",$D594=""),"",IF($AC594=0,"",IF(AND(NOT(ISNUMBER($P594)),NOT(ISNUMBER($AA594))),"∞",MAX(0,MIN(IF(ISNUMBER($P594),$P594-$AF594-$Q594,1E+15),IF(ISNUMBER($AA594),$AA594-$AG594-$Q594,1E+15))))))</f>
        <v/>
      </c>
      <c r="S594" s="47" t="str">
        <f>IF($AD594="","",YEAR($AD594)*100+MONTH($AD594))</f>
        <v/>
      </c>
      <c r="T594" s="50" t="str">
        <f>IF($AD594="","",IFERROR(IF(INDEX(CARDS!$I$5:$I$34,MATCH($D594,CARDS!$A$5:$A$34,0))="","",IF(INDEX(CARDS!$I$5:$I$34,MATCH($D594,CARDS!$A$5:$A$34,0))&gt;INDEX(CARDS!$H$5:$H$34,MATCH($D594,CARDS!$A$5:$A$34,0)),DATE(YEAR($AD594),MONTH($AD594),MIN(INDEX(CARDS!$I$5:$I$34,MATCH($D594,CARDS!$A$5:$A$34,0)),DAY(EOMONTH($AD594,0)))),DATE(YEAR($AD594),MONTH($AD594)+1,MIN(INDEX(CARDS!$I$5:$I$34,MATCH($D594,CARDS!$A$5:$A$34,0)),DAY(EOMONTH($AD594,1)))))),""))</f>
        <v/>
      </c>
      <c r="U594" s="38" t="n"/>
      <c r="V594" s="37" t="n"/>
      <c r="W594" s="38" t="n"/>
      <c r="X594" s="38" t="n"/>
      <c r="Y594" s="44" t="str">
        <f>IF($AC594&gt;0,INDEX(CASHBACK_RULES!$A$5:$A$304,$AC594),"")</f>
        <v/>
      </c>
      <c r="Z594" s="45" t="str">
        <f>IF($AC594&gt;0,INDEX(CASHBACK_RULES!$E$5:$E$304,$AC594)&amp;"","")</f>
        <v/>
      </c>
      <c r="AA594" s="48" t="str">
        <f>IF($AC594&gt;0,IF(ISNUMBER(INDEX(CASHBACK_RULES!$K$5:$K$304,$AC594)),INDEX(CASHBACK_RULES!$K$5:$K$304,$AC594),"∞"),"")</f>
        <v/>
      </c>
      <c r="AB594" s="44" t="str">
        <f>IF(OR($B594="",$D594=""),"",IF($U594="Cancelled","Đã hủy",IF($AC594=0,"Không được hoàn",IF($Q594=0,IF(OR($O594&gt;0,$M594&lt;$L594),"Đã đạt cap","Không được hoàn"),IF(OR($Q594&lt;$O594,$M594&lt;$L594),"Hoàn một phần","Được hoàn")))))</f>
        <v/>
      </c>
      <c r="AC594" s="43">
        <f>IF(OR($B594="",$D594="",$I594="",$L594=""),0,IF($U594="Cancelled",0,IF($W594&lt;&gt;"",IFERROR(IF(INDEX(CASHBACK_RULES!$B$5:$B$304,MATCH($W594,CASHBACK_RULES!$A$5:$A$304,0))=$D594,MATCH($W594,CASHBACK_RULES!$A$5:$A$304,0),0),0),IFERROR(MATCH(1,INDEX((CASHBACK_RULES!$B$5:$B$304=$D594)*(CASHBACK_RULES!$G$5:$G$304=$I594)*(((CASHBACK_RULES!$N$5:$N$304="")+(CASHBACK_RULES!$N$5:$N$304&lt;=$B594))&gt;0)*(((CASHBACK_RULES!$O$5:$O$304="")+(CASHBACK_RULES!$O$5:$O$304&gt;=$B594))&gt;0)*(((CASHBACK_RULES!$M$5:$M$304="")+(CASHBACK_RULES!$M$5:$M$304&lt;=$L594))&gt;0),0),0),0))))</f>
        <v>0</v>
      </c>
      <c r="AD594" s="51" t="str">
        <f>IF(OR($B594="",$D594=""),"",IFERROR(IF(INDEX(CARDS!$H$5:$H$34,MATCH($D594,CARDS!$A$5:$A$34,0))="","",IF(DAY($B594)&lt;=INDEX(CARDS!$H$5:$H$34,MATCH($D594,CARDS!$A$5:$A$34,0)),DATE(YEAR($B594),MONTH($B594),MIN(INDEX(CARDS!$H$5:$H$34,MATCH($D594,CARDS!$A$5:$A$34,0)),DAY(EOMONTH($B594,0)))),DATE(YEAR($B594),MONTH($B594)+1,MIN(INDEX(CARDS!$H$5:$H$34,MATCH($D594,CARDS!$A$5:$A$34,0)),DAY(EOMONTH($B594,1)))))),""))</f>
        <v/>
      </c>
      <c r="AE594" s="52" t="str">
        <f>IF($C594="","",$C594&amp;"|"&amp;COUNTIF($C$5:$C594,$C594))</f>
        <v/>
      </c>
      <c r="AF594" s="53">
        <f>IF($AC594&gt;0,SUMIFS(Q$4:Q593,$D$4:$D593,$D594,$Z$4:$Z593,$Z594,$C$4:$C593,$C594),0)</f>
        <v>0</v>
      </c>
      <c r="AG594" s="53">
        <f>IF($AC594&gt;0,SUMIFS(Q$4:Q593,$D$4:$D593,$D594,$C$4:$C593,$C594),0)</f>
        <v>0</v>
      </c>
      <c r="AH594" s="53">
        <f>IF($AC594&gt;0,SUMIFS(M$4:M593,$D$4:$D593,$D594,$Z$4:$Z593,$Z594,$C$4:$C593,$C594),0)</f>
        <v>0</v>
      </c>
      <c r="AI594" s="43">
        <f>IF(OR($C594="",$I594=""),0,IF(COUNTIFS($C$5:$C594,$C594,$I$5:$I594,$I594)=1,1,0))</f>
        <v>0</v>
      </c>
      <c r="AJ594" s="43" t="str">
        <f>IF($AI594=1,SUMIFS($AI$4:$AI593,$C$4:$C593,$C594)+1,"")</f>
        <v/>
      </c>
      <c r="AK594" s="43">
        <f>IF(OR($C594="",$K594=""),0,IF(COUNTIFS($C$5:$C594,$C594,$K$5:$K594,$K594)=1,1,0))</f>
        <v>0</v>
      </c>
      <c r="AL594" s="43" t="str">
        <f>IF($AK594=1,SUMIFS($AK$4:$AK593,$C$4:$C593,$C594)+1,"")</f>
        <v/>
      </c>
      <c r="AM594" s="43">
        <f>IF(OR($C594="",$G594=""),0,IF(COUNTIFS($C$5:$C594,$C594,$G$5:$G594,$G594)=1,1,0))</f>
        <v>0</v>
      </c>
      <c r="AN594" s="43" t="str">
        <f>IF($AM594=1,SUMIFS($AM$4:$AM593,$C$4:$C593,$C594)+1,"")</f>
        <v/>
      </c>
    </row>
    <row r="595">
      <c r="A595" s="44" t="str">
        <f>IF(OR($B595="",$D595=""),"","TX"&amp;TEXT(ROW()-4,"0000"))</f>
        <v/>
      </c>
      <c r="B595" s="42" t="n"/>
      <c r="C595" s="47" t="str">
        <f>IF($B595="","",YEAR($B595)*100+MONTH($B595))</f>
        <v/>
      </c>
      <c r="D595" s="37" t="n"/>
      <c r="E595" s="45" t="str">
        <f>IF($D595="","",IFERROR(INDEX(CARDS!$B$5:$B$34,MATCH($D595,CARDS!$A$5:$A$34,0)),"⚠ Card ID?"))</f>
        <v/>
      </c>
      <c r="F595" s="45" t="str">
        <f>IF($D595="","",IFERROR(INDEX(CARDS!$C$5:$C$34,MATCH($D595,CARDS!$A$5:$A$34,0)),"⚠ Card ID?"))</f>
        <v/>
      </c>
      <c r="G595" s="37" t="n"/>
      <c r="H595" s="37" t="n"/>
      <c r="I595" s="41" t="n"/>
      <c r="J595" s="45" t="str">
        <f>IF($I595="","",IFERROR(INDEX(MCC_MASTER!$B$5:$B$504,MATCH($I595,MCC_MASTER!$A$5:$A$504,0)),"⚠ MCC chưa có"))</f>
        <v/>
      </c>
      <c r="K595" s="45" t="str">
        <f>IF($I595="","",IFERROR(IF(INDEX(MCC_MASTER!$C$5:$C$504,MATCH($I595,MCC_MASTER!$A$5:$A$504,0))="","Chưa phân loại",INDEX(MCC_MASTER!$C$5:$C$504,MATCH($I595,MCC_MASTER!$A$5:$A$504,0))),"Chưa phân loại"))</f>
        <v/>
      </c>
      <c r="L595" s="40" t="n"/>
      <c r="M595" s="48" t="str">
        <f>IF(OR($B595="",$D595=""),"",IF($AC595=0,0,IF(ISNUMBER(INDEX(CASHBACK_RULES!$L$5:$L$304,$AC595)),MAX(0,MIN($L595,INDEX(CASHBACK_RULES!$L$5:$L$304,$AC595)-$AH595)),MAX(0,$L595))))</f>
        <v/>
      </c>
      <c r="N595" s="49" t="str">
        <f>IF(OR($B595="",$D595=""),"",IF($AC595&gt;0,INDEX(CASHBACK_RULES!$I$5:$I$304,$AC595),0))</f>
        <v/>
      </c>
      <c r="O595" s="48" t="str">
        <f>IF(OR($B595="",$D595=""),"",ROUND($M595*$N595,0))</f>
        <v/>
      </c>
      <c r="P595" s="48" t="str">
        <f>IF($AC595&gt;0,IF(ISNUMBER(INDEX(CASHBACK_RULES!$J$5:$J$304,$AC595)),INDEX(CASHBACK_RULES!$J$5:$J$304,$AC595),"∞"),"")</f>
        <v/>
      </c>
      <c r="Q595" s="48" t="str">
        <f>IF(OR($B595="",$D595=""),"",IF($AC595=0,0,MAX(0,MIN($O595,IF(ISNUMBER($P595),$P595-$AF595,1E+15),IF(ISNUMBER($AA595),$AA595-$AG595,1E+15)))))</f>
        <v/>
      </c>
      <c r="R595" s="48" t="str">
        <f>IF(OR($B595="",$D595=""),"",IF($AC595=0,"",IF(AND(NOT(ISNUMBER($P595)),NOT(ISNUMBER($AA595))),"∞",MAX(0,MIN(IF(ISNUMBER($P595),$P595-$AF595-$Q595,1E+15),IF(ISNUMBER($AA595),$AA595-$AG595-$Q595,1E+15))))))</f>
        <v/>
      </c>
      <c r="S595" s="47" t="str">
        <f>IF($AD595="","",YEAR($AD595)*100+MONTH($AD595))</f>
        <v/>
      </c>
      <c r="T595" s="50" t="str">
        <f>IF($AD595="","",IFERROR(IF(INDEX(CARDS!$I$5:$I$34,MATCH($D595,CARDS!$A$5:$A$34,0))="","",IF(INDEX(CARDS!$I$5:$I$34,MATCH($D595,CARDS!$A$5:$A$34,0))&gt;INDEX(CARDS!$H$5:$H$34,MATCH($D595,CARDS!$A$5:$A$34,0)),DATE(YEAR($AD595),MONTH($AD595),MIN(INDEX(CARDS!$I$5:$I$34,MATCH($D595,CARDS!$A$5:$A$34,0)),DAY(EOMONTH($AD595,0)))),DATE(YEAR($AD595),MONTH($AD595)+1,MIN(INDEX(CARDS!$I$5:$I$34,MATCH($D595,CARDS!$A$5:$A$34,0)),DAY(EOMONTH($AD595,1)))))),""))</f>
        <v/>
      </c>
      <c r="U595" s="38" t="n"/>
      <c r="V595" s="37" t="n"/>
      <c r="W595" s="38" t="n"/>
      <c r="X595" s="38" t="n"/>
      <c r="Y595" s="44" t="str">
        <f>IF($AC595&gt;0,INDEX(CASHBACK_RULES!$A$5:$A$304,$AC595),"")</f>
        <v/>
      </c>
      <c r="Z595" s="45" t="str">
        <f>IF($AC595&gt;0,INDEX(CASHBACK_RULES!$E$5:$E$304,$AC595)&amp;"","")</f>
        <v/>
      </c>
      <c r="AA595" s="48" t="str">
        <f>IF($AC595&gt;0,IF(ISNUMBER(INDEX(CASHBACK_RULES!$K$5:$K$304,$AC595)),INDEX(CASHBACK_RULES!$K$5:$K$304,$AC595),"∞"),"")</f>
        <v/>
      </c>
      <c r="AB595" s="44" t="str">
        <f>IF(OR($B595="",$D595=""),"",IF($U595="Cancelled","Đã hủy",IF($AC595=0,"Không được hoàn",IF($Q595=0,IF(OR($O595&gt;0,$M595&lt;$L595),"Đã đạt cap","Không được hoàn"),IF(OR($Q595&lt;$O595,$M595&lt;$L595),"Hoàn một phần","Được hoàn")))))</f>
        <v/>
      </c>
      <c r="AC595" s="43">
        <f>IF(OR($B595="",$D595="",$I595="",$L595=""),0,IF($U595="Cancelled",0,IF($W595&lt;&gt;"",IFERROR(IF(INDEX(CASHBACK_RULES!$B$5:$B$304,MATCH($W595,CASHBACK_RULES!$A$5:$A$304,0))=$D595,MATCH($W595,CASHBACK_RULES!$A$5:$A$304,0),0),0),IFERROR(MATCH(1,INDEX((CASHBACK_RULES!$B$5:$B$304=$D595)*(CASHBACK_RULES!$G$5:$G$304=$I595)*(((CASHBACK_RULES!$N$5:$N$304="")+(CASHBACK_RULES!$N$5:$N$304&lt;=$B595))&gt;0)*(((CASHBACK_RULES!$O$5:$O$304="")+(CASHBACK_RULES!$O$5:$O$304&gt;=$B595))&gt;0)*(((CASHBACK_RULES!$M$5:$M$304="")+(CASHBACK_RULES!$M$5:$M$304&lt;=$L595))&gt;0),0),0),0))))</f>
        <v>0</v>
      </c>
      <c r="AD595" s="51" t="str">
        <f>IF(OR($B595="",$D595=""),"",IFERROR(IF(INDEX(CARDS!$H$5:$H$34,MATCH($D595,CARDS!$A$5:$A$34,0))="","",IF(DAY($B595)&lt;=INDEX(CARDS!$H$5:$H$34,MATCH($D595,CARDS!$A$5:$A$34,0)),DATE(YEAR($B595),MONTH($B595),MIN(INDEX(CARDS!$H$5:$H$34,MATCH($D595,CARDS!$A$5:$A$34,0)),DAY(EOMONTH($B595,0)))),DATE(YEAR($B595),MONTH($B595)+1,MIN(INDEX(CARDS!$H$5:$H$34,MATCH($D595,CARDS!$A$5:$A$34,0)),DAY(EOMONTH($B595,1)))))),""))</f>
        <v/>
      </c>
      <c r="AE595" s="52" t="str">
        <f>IF($C595="","",$C595&amp;"|"&amp;COUNTIF($C$5:$C595,$C595))</f>
        <v/>
      </c>
      <c r="AF595" s="53">
        <f>IF($AC595&gt;0,SUMIFS(Q$4:Q594,$D$4:$D594,$D595,$Z$4:$Z594,$Z595,$C$4:$C594,$C595),0)</f>
        <v>0</v>
      </c>
      <c r="AG595" s="53">
        <f>IF($AC595&gt;0,SUMIFS(Q$4:Q594,$D$4:$D594,$D595,$C$4:$C594,$C595),0)</f>
        <v>0</v>
      </c>
      <c r="AH595" s="53">
        <f>IF($AC595&gt;0,SUMIFS(M$4:M594,$D$4:$D594,$D595,$Z$4:$Z594,$Z595,$C$4:$C594,$C595),0)</f>
        <v>0</v>
      </c>
      <c r="AI595" s="43">
        <f>IF(OR($C595="",$I595=""),0,IF(COUNTIFS($C$5:$C595,$C595,$I$5:$I595,$I595)=1,1,0))</f>
        <v>0</v>
      </c>
      <c r="AJ595" s="43" t="str">
        <f>IF($AI595=1,SUMIFS($AI$4:$AI594,$C$4:$C594,$C595)+1,"")</f>
        <v/>
      </c>
      <c r="AK595" s="43">
        <f>IF(OR($C595="",$K595=""),0,IF(COUNTIFS($C$5:$C595,$C595,$K$5:$K595,$K595)=1,1,0))</f>
        <v>0</v>
      </c>
      <c r="AL595" s="43" t="str">
        <f>IF($AK595=1,SUMIFS($AK$4:$AK594,$C$4:$C594,$C595)+1,"")</f>
        <v/>
      </c>
      <c r="AM595" s="43">
        <f>IF(OR($C595="",$G595=""),0,IF(COUNTIFS($C$5:$C595,$C595,$G$5:$G595,$G595)=1,1,0))</f>
        <v>0</v>
      </c>
      <c r="AN595" s="43" t="str">
        <f>IF($AM595=1,SUMIFS($AM$4:$AM594,$C$4:$C594,$C595)+1,"")</f>
        <v/>
      </c>
    </row>
    <row r="596">
      <c r="A596" s="44" t="str">
        <f>IF(OR($B596="",$D596=""),"","TX"&amp;TEXT(ROW()-4,"0000"))</f>
        <v/>
      </c>
      <c r="B596" s="42" t="n"/>
      <c r="C596" s="47" t="str">
        <f>IF($B596="","",YEAR($B596)*100+MONTH($B596))</f>
        <v/>
      </c>
      <c r="D596" s="37" t="n"/>
      <c r="E596" s="45" t="str">
        <f>IF($D596="","",IFERROR(INDEX(CARDS!$B$5:$B$34,MATCH($D596,CARDS!$A$5:$A$34,0)),"⚠ Card ID?"))</f>
        <v/>
      </c>
      <c r="F596" s="45" t="str">
        <f>IF($D596="","",IFERROR(INDEX(CARDS!$C$5:$C$34,MATCH($D596,CARDS!$A$5:$A$34,0)),"⚠ Card ID?"))</f>
        <v/>
      </c>
      <c r="G596" s="37" t="n"/>
      <c r="H596" s="37" t="n"/>
      <c r="I596" s="41" t="n"/>
      <c r="J596" s="45" t="str">
        <f>IF($I596="","",IFERROR(INDEX(MCC_MASTER!$B$5:$B$504,MATCH($I596,MCC_MASTER!$A$5:$A$504,0)),"⚠ MCC chưa có"))</f>
        <v/>
      </c>
      <c r="K596" s="45" t="str">
        <f>IF($I596="","",IFERROR(IF(INDEX(MCC_MASTER!$C$5:$C$504,MATCH($I596,MCC_MASTER!$A$5:$A$504,0))="","Chưa phân loại",INDEX(MCC_MASTER!$C$5:$C$504,MATCH($I596,MCC_MASTER!$A$5:$A$504,0))),"Chưa phân loại"))</f>
        <v/>
      </c>
      <c r="L596" s="40" t="n"/>
      <c r="M596" s="48" t="str">
        <f>IF(OR($B596="",$D596=""),"",IF($AC596=0,0,IF(ISNUMBER(INDEX(CASHBACK_RULES!$L$5:$L$304,$AC596)),MAX(0,MIN($L596,INDEX(CASHBACK_RULES!$L$5:$L$304,$AC596)-$AH596)),MAX(0,$L596))))</f>
        <v/>
      </c>
      <c r="N596" s="49" t="str">
        <f>IF(OR($B596="",$D596=""),"",IF($AC596&gt;0,INDEX(CASHBACK_RULES!$I$5:$I$304,$AC596),0))</f>
        <v/>
      </c>
      <c r="O596" s="48" t="str">
        <f>IF(OR($B596="",$D596=""),"",ROUND($M596*$N596,0))</f>
        <v/>
      </c>
      <c r="P596" s="48" t="str">
        <f>IF($AC596&gt;0,IF(ISNUMBER(INDEX(CASHBACK_RULES!$J$5:$J$304,$AC596)),INDEX(CASHBACK_RULES!$J$5:$J$304,$AC596),"∞"),"")</f>
        <v/>
      </c>
      <c r="Q596" s="48" t="str">
        <f>IF(OR($B596="",$D596=""),"",IF($AC596=0,0,MAX(0,MIN($O596,IF(ISNUMBER($P596),$P596-$AF596,1E+15),IF(ISNUMBER($AA596),$AA596-$AG596,1E+15)))))</f>
        <v/>
      </c>
      <c r="R596" s="48" t="str">
        <f>IF(OR($B596="",$D596=""),"",IF($AC596=0,"",IF(AND(NOT(ISNUMBER($P596)),NOT(ISNUMBER($AA596))),"∞",MAX(0,MIN(IF(ISNUMBER($P596),$P596-$AF596-$Q596,1E+15),IF(ISNUMBER($AA596),$AA596-$AG596-$Q596,1E+15))))))</f>
        <v/>
      </c>
      <c r="S596" s="47" t="str">
        <f>IF($AD596="","",YEAR($AD596)*100+MONTH($AD596))</f>
        <v/>
      </c>
      <c r="T596" s="50" t="str">
        <f>IF($AD596="","",IFERROR(IF(INDEX(CARDS!$I$5:$I$34,MATCH($D596,CARDS!$A$5:$A$34,0))="","",IF(INDEX(CARDS!$I$5:$I$34,MATCH($D596,CARDS!$A$5:$A$34,0))&gt;INDEX(CARDS!$H$5:$H$34,MATCH($D596,CARDS!$A$5:$A$34,0)),DATE(YEAR($AD596),MONTH($AD596),MIN(INDEX(CARDS!$I$5:$I$34,MATCH($D596,CARDS!$A$5:$A$34,0)),DAY(EOMONTH($AD596,0)))),DATE(YEAR($AD596),MONTH($AD596)+1,MIN(INDEX(CARDS!$I$5:$I$34,MATCH($D596,CARDS!$A$5:$A$34,0)),DAY(EOMONTH($AD596,1)))))),""))</f>
        <v/>
      </c>
      <c r="U596" s="38" t="n"/>
      <c r="V596" s="37" t="n"/>
      <c r="W596" s="38" t="n"/>
      <c r="X596" s="38" t="n"/>
      <c r="Y596" s="44" t="str">
        <f>IF($AC596&gt;0,INDEX(CASHBACK_RULES!$A$5:$A$304,$AC596),"")</f>
        <v/>
      </c>
      <c r="Z596" s="45" t="str">
        <f>IF($AC596&gt;0,INDEX(CASHBACK_RULES!$E$5:$E$304,$AC596)&amp;"","")</f>
        <v/>
      </c>
      <c r="AA596" s="48" t="str">
        <f>IF($AC596&gt;0,IF(ISNUMBER(INDEX(CASHBACK_RULES!$K$5:$K$304,$AC596)),INDEX(CASHBACK_RULES!$K$5:$K$304,$AC596),"∞"),"")</f>
        <v/>
      </c>
      <c r="AB596" s="44" t="str">
        <f>IF(OR($B596="",$D596=""),"",IF($U596="Cancelled","Đã hủy",IF($AC596=0,"Không được hoàn",IF($Q596=0,IF(OR($O596&gt;0,$M596&lt;$L596),"Đã đạt cap","Không được hoàn"),IF(OR($Q596&lt;$O596,$M596&lt;$L596),"Hoàn một phần","Được hoàn")))))</f>
        <v/>
      </c>
      <c r="AC596" s="43">
        <f>IF(OR($B596="",$D596="",$I596="",$L596=""),0,IF($U596="Cancelled",0,IF($W596&lt;&gt;"",IFERROR(IF(INDEX(CASHBACK_RULES!$B$5:$B$304,MATCH($W596,CASHBACK_RULES!$A$5:$A$304,0))=$D596,MATCH($W596,CASHBACK_RULES!$A$5:$A$304,0),0),0),IFERROR(MATCH(1,INDEX((CASHBACK_RULES!$B$5:$B$304=$D596)*(CASHBACK_RULES!$G$5:$G$304=$I596)*(((CASHBACK_RULES!$N$5:$N$304="")+(CASHBACK_RULES!$N$5:$N$304&lt;=$B596))&gt;0)*(((CASHBACK_RULES!$O$5:$O$304="")+(CASHBACK_RULES!$O$5:$O$304&gt;=$B596))&gt;0)*(((CASHBACK_RULES!$M$5:$M$304="")+(CASHBACK_RULES!$M$5:$M$304&lt;=$L596))&gt;0),0),0),0))))</f>
        <v>0</v>
      </c>
      <c r="AD596" s="51" t="str">
        <f>IF(OR($B596="",$D596=""),"",IFERROR(IF(INDEX(CARDS!$H$5:$H$34,MATCH($D596,CARDS!$A$5:$A$34,0))="","",IF(DAY($B596)&lt;=INDEX(CARDS!$H$5:$H$34,MATCH($D596,CARDS!$A$5:$A$34,0)),DATE(YEAR($B596),MONTH($B596),MIN(INDEX(CARDS!$H$5:$H$34,MATCH($D596,CARDS!$A$5:$A$34,0)),DAY(EOMONTH($B596,0)))),DATE(YEAR($B596),MONTH($B596)+1,MIN(INDEX(CARDS!$H$5:$H$34,MATCH($D596,CARDS!$A$5:$A$34,0)),DAY(EOMONTH($B596,1)))))),""))</f>
        <v/>
      </c>
      <c r="AE596" s="52" t="str">
        <f>IF($C596="","",$C596&amp;"|"&amp;COUNTIF($C$5:$C596,$C596))</f>
        <v/>
      </c>
      <c r="AF596" s="53">
        <f>IF($AC596&gt;0,SUMIFS(Q$4:Q595,$D$4:$D595,$D596,$Z$4:$Z595,$Z596,$C$4:$C595,$C596),0)</f>
        <v>0</v>
      </c>
      <c r="AG596" s="53">
        <f>IF($AC596&gt;0,SUMIFS(Q$4:Q595,$D$4:$D595,$D596,$C$4:$C595,$C596),0)</f>
        <v>0</v>
      </c>
      <c r="AH596" s="53">
        <f>IF($AC596&gt;0,SUMIFS(M$4:M595,$D$4:$D595,$D596,$Z$4:$Z595,$Z596,$C$4:$C595,$C596),0)</f>
        <v>0</v>
      </c>
      <c r="AI596" s="43">
        <f>IF(OR($C596="",$I596=""),0,IF(COUNTIFS($C$5:$C596,$C596,$I$5:$I596,$I596)=1,1,0))</f>
        <v>0</v>
      </c>
      <c r="AJ596" s="43" t="str">
        <f>IF($AI596=1,SUMIFS($AI$4:$AI595,$C$4:$C595,$C596)+1,"")</f>
        <v/>
      </c>
      <c r="AK596" s="43">
        <f>IF(OR($C596="",$K596=""),0,IF(COUNTIFS($C$5:$C596,$C596,$K$5:$K596,$K596)=1,1,0))</f>
        <v>0</v>
      </c>
      <c r="AL596" s="43" t="str">
        <f>IF($AK596=1,SUMIFS($AK$4:$AK595,$C$4:$C595,$C596)+1,"")</f>
        <v/>
      </c>
      <c r="AM596" s="43">
        <f>IF(OR($C596="",$G596=""),0,IF(COUNTIFS($C$5:$C596,$C596,$G$5:$G596,$G596)=1,1,0))</f>
        <v>0</v>
      </c>
      <c r="AN596" s="43" t="str">
        <f>IF($AM596=1,SUMIFS($AM$4:$AM595,$C$4:$C595,$C596)+1,"")</f>
        <v/>
      </c>
    </row>
    <row r="597">
      <c r="A597" s="44" t="str">
        <f>IF(OR($B597="",$D597=""),"","TX"&amp;TEXT(ROW()-4,"0000"))</f>
        <v/>
      </c>
      <c r="B597" s="42" t="n"/>
      <c r="C597" s="47" t="str">
        <f>IF($B597="","",YEAR($B597)*100+MONTH($B597))</f>
        <v/>
      </c>
      <c r="D597" s="37" t="n"/>
      <c r="E597" s="45" t="str">
        <f>IF($D597="","",IFERROR(INDEX(CARDS!$B$5:$B$34,MATCH($D597,CARDS!$A$5:$A$34,0)),"⚠ Card ID?"))</f>
        <v/>
      </c>
      <c r="F597" s="45" t="str">
        <f>IF($D597="","",IFERROR(INDEX(CARDS!$C$5:$C$34,MATCH($D597,CARDS!$A$5:$A$34,0)),"⚠ Card ID?"))</f>
        <v/>
      </c>
      <c r="G597" s="37" t="n"/>
      <c r="H597" s="37" t="n"/>
      <c r="I597" s="41" t="n"/>
      <c r="J597" s="45" t="str">
        <f>IF($I597="","",IFERROR(INDEX(MCC_MASTER!$B$5:$B$504,MATCH($I597,MCC_MASTER!$A$5:$A$504,0)),"⚠ MCC chưa có"))</f>
        <v/>
      </c>
      <c r="K597" s="45" t="str">
        <f>IF($I597="","",IFERROR(IF(INDEX(MCC_MASTER!$C$5:$C$504,MATCH($I597,MCC_MASTER!$A$5:$A$504,0))="","Chưa phân loại",INDEX(MCC_MASTER!$C$5:$C$504,MATCH($I597,MCC_MASTER!$A$5:$A$504,0))),"Chưa phân loại"))</f>
        <v/>
      </c>
      <c r="L597" s="40" t="n"/>
      <c r="M597" s="48" t="str">
        <f>IF(OR($B597="",$D597=""),"",IF($AC597=0,0,IF(ISNUMBER(INDEX(CASHBACK_RULES!$L$5:$L$304,$AC597)),MAX(0,MIN($L597,INDEX(CASHBACK_RULES!$L$5:$L$304,$AC597)-$AH597)),MAX(0,$L597))))</f>
        <v/>
      </c>
      <c r="N597" s="49" t="str">
        <f>IF(OR($B597="",$D597=""),"",IF($AC597&gt;0,INDEX(CASHBACK_RULES!$I$5:$I$304,$AC597),0))</f>
        <v/>
      </c>
      <c r="O597" s="48" t="str">
        <f>IF(OR($B597="",$D597=""),"",ROUND($M597*$N597,0))</f>
        <v/>
      </c>
      <c r="P597" s="48" t="str">
        <f>IF($AC597&gt;0,IF(ISNUMBER(INDEX(CASHBACK_RULES!$J$5:$J$304,$AC597)),INDEX(CASHBACK_RULES!$J$5:$J$304,$AC597),"∞"),"")</f>
        <v/>
      </c>
      <c r="Q597" s="48" t="str">
        <f>IF(OR($B597="",$D597=""),"",IF($AC597=0,0,MAX(0,MIN($O597,IF(ISNUMBER($P597),$P597-$AF597,1E+15),IF(ISNUMBER($AA597),$AA597-$AG597,1E+15)))))</f>
        <v/>
      </c>
      <c r="R597" s="48" t="str">
        <f>IF(OR($B597="",$D597=""),"",IF($AC597=0,"",IF(AND(NOT(ISNUMBER($P597)),NOT(ISNUMBER($AA597))),"∞",MAX(0,MIN(IF(ISNUMBER($P597),$P597-$AF597-$Q597,1E+15),IF(ISNUMBER($AA597),$AA597-$AG597-$Q597,1E+15))))))</f>
        <v/>
      </c>
      <c r="S597" s="47" t="str">
        <f>IF($AD597="","",YEAR($AD597)*100+MONTH($AD597))</f>
        <v/>
      </c>
      <c r="T597" s="50" t="str">
        <f>IF($AD597="","",IFERROR(IF(INDEX(CARDS!$I$5:$I$34,MATCH($D597,CARDS!$A$5:$A$34,0))="","",IF(INDEX(CARDS!$I$5:$I$34,MATCH($D597,CARDS!$A$5:$A$34,0))&gt;INDEX(CARDS!$H$5:$H$34,MATCH($D597,CARDS!$A$5:$A$34,0)),DATE(YEAR($AD597),MONTH($AD597),MIN(INDEX(CARDS!$I$5:$I$34,MATCH($D597,CARDS!$A$5:$A$34,0)),DAY(EOMONTH($AD597,0)))),DATE(YEAR($AD597),MONTH($AD597)+1,MIN(INDEX(CARDS!$I$5:$I$34,MATCH($D597,CARDS!$A$5:$A$34,0)),DAY(EOMONTH($AD597,1)))))),""))</f>
        <v/>
      </c>
      <c r="U597" s="38" t="n"/>
      <c r="V597" s="37" t="n"/>
      <c r="W597" s="38" t="n"/>
      <c r="X597" s="38" t="n"/>
      <c r="Y597" s="44" t="str">
        <f>IF($AC597&gt;0,INDEX(CASHBACK_RULES!$A$5:$A$304,$AC597),"")</f>
        <v/>
      </c>
      <c r="Z597" s="45" t="str">
        <f>IF($AC597&gt;0,INDEX(CASHBACK_RULES!$E$5:$E$304,$AC597)&amp;"","")</f>
        <v/>
      </c>
      <c r="AA597" s="48" t="str">
        <f>IF($AC597&gt;0,IF(ISNUMBER(INDEX(CASHBACK_RULES!$K$5:$K$304,$AC597)),INDEX(CASHBACK_RULES!$K$5:$K$304,$AC597),"∞"),"")</f>
        <v/>
      </c>
      <c r="AB597" s="44" t="str">
        <f>IF(OR($B597="",$D597=""),"",IF($U597="Cancelled","Đã hủy",IF($AC597=0,"Không được hoàn",IF($Q597=0,IF(OR($O597&gt;0,$M597&lt;$L597),"Đã đạt cap","Không được hoàn"),IF(OR($Q597&lt;$O597,$M597&lt;$L597),"Hoàn một phần","Được hoàn")))))</f>
        <v/>
      </c>
      <c r="AC597" s="43">
        <f>IF(OR($B597="",$D597="",$I597="",$L597=""),0,IF($U597="Cancelled",0,IF($W597&lt;&gt;"",IFERROR(IF(INDEX(CASHBACK_RULES!$B$5:$B$304,MATCH($W597,CASHBACK_RULES!$A$5:$A$304,0))=$D597,MATCH($W597,CASHBACK_RULES!$A$5:$A$304,0),0),0),IFERROR(MATCH(1,INDEX((CASHBACK_RULES!$B$5:$B$304=$D597)*(CASHBACK_RULES!$G$5:$G$304=$I597)*(((CASHBACK_RULES!$N$5:$N$304="")+(CASHBACK_RULES!$N$5:$N$304&lt;=$B597))&gt;0)*(((CASHBACK_RULES!$O$5:$O$304="")+(CASHBACK_RULES!$O$5:$O$304&gt;=$B597))&gt;0)*(((CASHBACK_RULES!$M$5:$M$304="")+(CASHBACK_RULES!$M$5:$M$304&lt;=$L597))&gt;0),0),0),0))))</f>
        <v>0</v>
      </c>
      <c r="AD597" s="51" t="str">
        <f>IF(OR($B597="",$D597=""),"",IFERROR(IF(INDEX(CARDS!$H$5:$H$34,MATCH($D597,CARDS!$A$5:$A$34,0))="","",IF(DAY($B597)&lt;=INDEX(CARDS!$H$5:$H$34,MATCH($D597,CARDS!$A$5:$A$34,0)),DATE(YEAR($B597),MONTH($B597),MIN(INDEX(CARDS!$H$5:$H$34,MATCH($D597,CARDS!$A$5:$A$34,0)),DAY(EOMONTH($B597,0)))),DATE(YEAR($B597),MONTH($B597)+1,MIN(INDEX(CARDS!$H$5:$H$34,MATCH($D597,CARDS!$A$5:$A$34,0)),DAY(EOMONTH($B597,1)))))),""))</f>
        <v/>
      </c>
      <c r="AE597" s="52" t="str">
        <f>IF($C597="","",$C597&amp;"|"&amp;COUNTIF($C$5:$C597,$C597))</f>
        <v/>
      </c>
      <c r="AF597" s="53">
        <f>IF($AC597&gt;0,SUMIFS(Q$4:Q596,$D$4:$D596,$D597,$Z$4:$Z596,$Z597,$C$4:$C596,$C597),0)</f>
        <v>0</v>
      </c>
      <c r="AG597" s="53">
        <f>IF($AC597&gt;0,SUMIFS(Q$4:Q596,$D$4:$D596,$D597,$C$4:$C596,$C597),0)</f>
        <v>0</v>
      </c>
      <c r="AH597" s="53">
        <f>IF($AC597&gt;0,SUMIFS(M$4:M596,$D$4:$D596,$D597,$Z$4:$Z596,$Z597,$C$4:$C596,$C597),0)</f>
        <v>0</v>
      </c>
      <c r="AI597" s="43">
        <f>IF(OR($C597="",$I597=""),0,IF(COUNTIFS($C$5:$C597,$C597,$I$5:$I597,$I597)=1,1,0))</f>
        <v>0</v>
      </c>
      <c r="AJ597" s="43" t="str">
        <f>IF($AI597=1,SUMIFS($AI$4:$AI596,$C$4:$C596,$C597)+1,"")</f>
        <v/>
      </c>
      <c r="AK597" s="43">
        <f>IF(OR($C597="",$K597=""),0,IF(COUNTIFS($C$5:$C597,$C597,$K$5:$K597,$K597)=1,1,0))</f>
        <v>0</v>
      </c>
      <c r="AL597" s="43" t="str">
        <f>IF($AK597=1,SUMIFS($AK$4:$AK596,$C$4:$C596,$C597)+1,"")</f>
        <v/>
      </c>
      <c r="AM597" s="43">
        <f>IF(OR($C597="",$G597=""),0,IF(COUNTIFS($C$5:$C597,$C597,$G$5:$G597,$G597)=1,1,0))</f>
        <v>0</v>
      </c>
      <c r="AN597" s="43" t="str">
        <f>IF($AM597=1,SUMIFS($AM$4:$AM596,$C$4:$C596,$C597)+1,"")</f>
        <v/>
      </c>
    </row>
    <row r="598">
      <c r="A598" s="44" t="str">
        <f>IF(OR($B598="",$D598=""),"","TX"&amp;TEXT(ROW()-4,"0000"))</f>
        <v/>
      </c>
      <c r="B598" s="42" t="n"/>
      <c r="C598" s="47" t="str">
        <f>IF($B598="","",YEAR($B598)*100+MONTH($B598))</f>
        <v/>
      </c>
      <c r="D598" s="37" t="n"/>
      <c r="E598" s="45" t="str">
        <f>IF($D598="","",IFERROR(INDEX(CARDS!$B$5:$B$34,MATCH($D598,CARDS!$A$5:$A$34,0)),"⚠ Card ID?"))</f>
        <v/>
      </c>
      <c r="F598" s="45" t="str">
        <f>IF($D598="","",IFERROR(INDEX(CARDS!$C$5:$C$34,MATCH($D598,CARDS!$A$5:$A$34,0)),"⚠ Card ID?"))</f>
        <v/>
      </c>
      <c r="G598" s="37" t="n"/>
      <c r="H598" s="37" t="n"/>
      <c r="I598" s="41" t="n"/>
      <c r="J598" s="45" t="str">
        <f>IF($I598="","",IFERROR(INDEX(MCC_MASTER!$B$5:$B$504,MATCH($I598,MCC_MASTER!$A$5:$A$504,0)),"⚠ MCC chưa có"))</f>
        <v/>
      </c>
      <c r="K598" s="45" t="str">
        <f>IF($I598="","",IFERROR(IF(INDEX(MCC_MASTER!$C$5:$C$504,MATCH($I598,MCC_MASTER!$A$5:$A$504,0))="","Chưa phân loại",INDEX(MCC_MASTER!$C$5:$C$504,MATCH($I598,MCC_MASTER!$A$5:$A$504,0))),"Chưa phân loại"))</f>
        <v/>
      </c>
      <c r="L598" s="40" t="n"/>
      <c r="M598" s="48" t="str">
        <f>IF(OR($B598="",$D598=""),"",IF($AC598=0,0,IF(ISNUMBER(INDEX(CASHBACK_RULES!$L$5:$L$304,$AC598)),MAX(0,MIN($L598,INDEX(CASHBACK_RULES!$L$5:$L$304,$AC598)-$AH598)),MAX(0,$L598))))</f>
        <v/>
      </c>
      <c r="N598" s="49" t="str">
        <f>IF(OR($B598="",$D598=""),"",IF($AC598&gt;0,INDEX(CASHBACK_RULES!$I$5:$I$304,$AC598),0))</f>
        <v/>
      </c>
      <c r="O598" s="48" t="str">
        <f>IF(OR($B598="",$D598=""),"",ROUND($M598*$N598,0))</f>
        <v/>
      </c>
      <c r="P598" s="48" t="str">
        <f>IF($AC598&gt;0,IF(ISNUMBER(INDEX(CASHBACK_RULES!$J$5:$J$304,$AC598)),INDEX(CASHBACK_RULES!$J$5:$J$304,$AC598),"∞"),"")</f>
        <v/>
      </c>
      <c r="Q598" s="48" t="str">
        <f>IF(OR($B598="",$D598=""),"",IF($AC598=0,0,MAX(0,MIN($O598,IF(ISNUMBER($P598),$P598-$AF598,1E+15),IF(ISNUMBER($AA598),$AA598-$AG598,1E+15)))))</f>
        <v/>
      </c>
      <c r="R598" s="48" t="str">
        <f>IF(OR($B598="",$D598=""),"",IF($AC598=0,"",IF(AND(NOT(ISNUMBER($P598)),NOT(ISNUMBER($AA598))),"∞",MAX(0,MIN(IF(ISNUMBER($P598),$P598-$AF598-$Q598,1E+15),IF(ISNUMBER($AA598),$AA598-$AG598-$Q598,1E+15))))))</f>
        <v/>
      </c>
      <c r="S598" s="47" t="str">
        <f>IF($AD598="","",YEAR($AD598)*100+MONTH($AD598))</f>
        <v/>
      </c>
      <c r="T598" s="50" t="str">
        <f>IF($AD598="","",IFERROR(IF(INDEX(CARDS!$I$5:$I$34,MATCH($D598,CARDS!$A$5:$A$34,0))="","",IF(INDEX(CARDS!$I$5:$I$34,MATCH($D598,CARDS!$A$5:$A$34,0))&gt;INDEX(CARDS!$H$5:$H$34,MATCH($D598,CARDS!$A$5:$A$34,0)),DATE(YEAR($AD598),MONTH($AD598),MIN(INDEX(CARDS!$I$5:$I$34,MATCH($D598,CARDS!$A$5:$A$34,0)),DAY(EOMONTH($AD598,0)))),DATE(YEAR($AD598),MONTH($AD598)+1,MIN(INDEX(CARDS!$I$5:$I$34,MATCH($D598,CARDS!$A$5:$A$34,0)),DAY(EOMONTH($AD598,1)))))),""))</f>
        <v/>
      </c>
      <c r="U598" s="38" t="n"/>
      <c r="V598" s="37" t="n"/>
      <c r="W598" s="38" t="n"/>
      <c r="X598" s="38" t="n"/>
      <c r="Y598" s="44" t="str">
        <f>IF($AC598&gt;0,INDEX(CASHBACK_RULES!$A$5:$A$304,$AC598),"")</f>
        <v/>
      </c>
      <c r="Z598" s="45" t="str">
        <f>IF($AC598&gt;0,INDEX(CASHBACK_RULES!$E$5:$E$304,$AC598)&amp;"","")</f>
        <v/>
      </c>
      <c r="AA598" s="48" t="str">
        <f>IF($AC598&gt;0,IF(ISNUMBER(INDEX(CASHBACK_RULES!$K$5:$K$304,$AC598)),INDEX(CASHBACK_RULES!$K$5:$K$304,$AC598),"∞"),"")</f>
        <v/>
      </c>
      <c r="AB598" s="44" t="str">
        <f>IF(OR($B598="",$D598=""),"",IF($U598="Cancelled","Đã hủy",IF($AC598=0,"Không được hoàn",IF($Q598=0,IF(OR($O598&gt;0,$M598&lt;$L598),"Đã đạt cap","Không được hoàn"),IF(OR($Q598&lt;$O598,$M598&lt;$L598),"Hoàn một phần","Được hoàn")))))</f>
        <v/>
      </c>
      <c r="AC598" s="43">
        <f>IF(OR($B598="",$D598="",$I598="",$L598=""),0,IF($U598="Cancelled",0,IF($W598&lt;&gt;"",IFERROR(IF(INDEX(CASHBACK_RULES!$B$5:$B$304,MATCH($W598,CASHBACK_RULES!$A$5:$A$304,0))=$D598,MATCH($W598,CASHBACK_RULES!$A$5:$A$304,0),0),0),IFERROR(MATCH(1,INDEX((CASHBACK_RULES!$B$5:$B$304=$D598)*(CASHBACK_RULES!$G$5:$G$304=$I598)*(((CASHBACK_RULES!$N$5:$N$304="")+(CASHBACK_RULES!$N$5:$N$304&lt;=$B598))&gt;0)*(((CASHBACK_RULES!$O$5:$O$304="")+(CASHBACK_RULES!$O$5:$O$304&gt;=$B598))&gt;0)*(((CASHBACK_RULES!$M$5:$M$304="")+(CASHBACK_RULES!$M$5:$M$304&lt;=$L598))&gt;0),0),0),0))))</f>
        <v>0</v>
      </c>
      <c r="AD598" s="51" t="str">
        <f>IF(OR($B598="",$D598=""),"",IFERROR(IF(INDEX(CARDS!$H$5:$H$34,MATCH($D598,CARDS!$A$5:$A$34,0))="","",IF(DAY($B598)&lt;=INDEX(CARDS!$H$5:$H$34,MATCH($D598,CARDS!$A$5:$A$34,0)),DATE(YEAR($B598),MONTH($B598),MIN(INDEX(CARDS!$H$5:$H$34,MATCH($D598,CARDS!$A$5:$A$34,0)),DAY(EOMONTH($B598,0)))),DATE(YEAR($B598),MONTH($B598)+1,MIN(INDEX(CARDS!$H$5:$H$34,MATCH($D598,CARDS!$A$5:$A$34,0)),DAY(EOMONTH($B598,1)))))),""))</f>
        <v/>
      </c>
      <c r="AE598" s="52" t="str">
        <f>IF($C598="","",$C598&amp;"|"&amp;COUNTIF($C$5:$C598,$C598))</f>
        <v/>
      </c>
      <c r="AF598" s="53">
        <f>IF($AC598&gt;0,SUMIFS(Q$4:Q597,$D$4:$D597,$D598,$Z$4:$Z597,$Z598,$C$4:$C597,$C598),0)</f>
        <v>0</v>
      </c>
      <c r="AG598" s="53">
        <f>IF($AC598&gt;0,SUMIFS(Q$4:Q597,$D$4:$D597,$D598,$C$4:$C597,$C598),0)</f>
        <v>0</v>
      </c>
      <c r="AH598" s="53">
        <f>IF($AC598&gt;0,SUMIFS(M$4:M597,$D$4:$D597,$D598,$Z$4:$Z597,$Z598,$C$4:$C597,$C598),0)</f>
        <v>0</v>
      </c>
      <c r="AI598" s="43">
        <f>IF(OR($C598="",$I598=""),0,IF(COUNTIFS($C$5:$C598,$C598,$I$5:$I598,$I598)=1,1,0))</f>
        <v>0</v>
      </c>
      <c r="AJ598" s="43" t="str">
        <f>IF($AI598=1,SUMIFS($AI$4:$AI597,$C$4:$C597,$C598)+1,"")</f>
        <v/>
      </c>
      <c r="AK598" s="43">
        <f>IF(OR($C598="",$K598=""),0,IF(COUNTIFS($C$5:$C598,$C598,$K$5:$K598,$K598)=1,1,0))</f>
        <v>0</v>
      </c>
      <c r="AL598" s="43" t="str">
        <f>IF($AK598=1,SUMIFS($AK$4:$AK597,$C$4:$C597,$C598)+1,"")</f>
        <v/>
      </c>
      <c r="AM598" s="43">
        <f>IF(OR($C598="",$G598=""),0,IF(COUNTIFS($C$5:$C598,$C598,$G$5:$G598,$G598)=1,1,0))</f>
        <v>0</v>
      </c>
      <c r="AN598" s="43" t="str">
        <f>IF($AM598=1,SUMIFS($AM$4:$AM597,$C$4:$C597,$C598)+1,"")</f>
        <v/>
      </c>
    </row>
    <row r="599">
      <c r="A599" s="44" t="str">
        <f>IF(OR($B599="",$D599=""),"","TX"&amp;TEXT(ROW()-4,"0000"))</f>
        <v/>
      </c>
      <c r="B599" s="42" t="n"/>
      <c r="C599" s="47" t="str">
        <f>IF($B599="","",YEAR($B599)*100+MONTH($B599))</f>
        <v/>
      </c>
      <c r="D599" s="37" t="n"/>
      <c r="E599" s="45" t="str">
        <f>IF($D599="","",IFERROR(INDEX(CARDS!$B$5:$B$34,MATCH($D599,CARDS!$A$5:$A$34,0)),"⚠ Card ID?"))</f>
        <v/>
      </c>
      <c r="F599" s="45" t="str">
        <f>IF($D599="","",IFERROR(INDEX(CARDS!$C$5:$C$34,MATCH($D599,CARDS!$A$5:$A$34,0)),"⚠ Card ID?"))</f>
        <v/>
      </c>
      <c r="G599" s="37" t="n"/>
      <c r="H599" s="37" t="n"/>
      <c r="I599" s="41" t="n"/>
      <c r="J599" s="45" t="str">
        <f>IF($I599="","",IFERROR(INDEX(MCC_MASTER!$B$5:$B$504,MATCH($I599,MCC_MASTER!$A$5:$A$504,0)),"⚠ MCC chưa có"))</f>
        <v/>
      </c>
      <c r="K599" s="45" t="str">
        <f>IF($I599="","",IFERROR(IF(INDEX(MCC_MASTER!$C$5:$C$504,MATCH($I599,MCC_MASTER!$A$5:$A$504,0))="","Chưa phân loại",INDEX(MCC_MASTER!$C$5:$C$504,MATCH($I599,MCC_MASTER!$A$5:$A$504,0))),"Chưa phân loại"))</f>
        <v/>
      </c>
      <c r="L599" s="40" t="n"/>
      <c r="M599" s="48" t="str">
        <f>IF(OR($B599="",$D599=""),"",IF($AC599=0,0,IF(ISNUMBER(INDEX(CASHBACK_RULES!$L$5:$L$304,$AC599)),MAX(0,MIN($L599,INDEX(CASHBACK_RULES!$L$5:$L$304,$AC599)-$AH599)),MAX(0,$L599))))</f>
        <v/>
      </c>
      <c r="N599" s="49" t="str">
        <f>IF(OR($B599="",$D599=""),"",IF($AC599&gt;0,INDEX(CASHBACK_RULES!$I$5:$I$304,$AC599),0))</f>
        <v/>
      </c>
      <c r="O599" s="48" t="str">
        <f>IF(OR($B599="",$D599=""),"",ROUND($M599*$N599,0))</f>
        <v/>
      </c>
      <c r="P599" s="48" t="str">
        <f>IF($AC599&gt;0,IF(ISNUMBER(INDEX(CASHBACK_RULES!$J$5:$J$304,$AC599)),INDEX(CASHBACK_RULES!$J$5:$J$304,$AC599),"∞"),"")</f>
        <v/>
      </c>
      <c r="Q599" s="48" t="str">
        <f>IF(OR($B599="",$D599=""),"",IF($AC599=0,0,MAX(0,MIN($O599,IF(ISNUMBER($P599),$P599-$AF599,1E+15),IF(ISNUMBER($AA599),$AA599-$AG599,1E+15)))))</f>
        <v/>
      </c>
      <c r="R599" s="48" t="str">
        <f>IF(OR($B599="",$D599=""),"",IF($AC599=0,"",IF(AND(NOT(ISNUMBER($P599)),NOT(ISNUMBER($AA599))),"∞",MAX(0,MIN(IF(ISNUMBER($P599),$P599-$AF599-$Q599,1E+15),IF(ISNUMBER($AA599),$AA599-$AG599-$Q599,1E+15))))))</f>
        <v/>
      </c>
      <c r="S599" s="47" t="str">
        <f>IF($AD599="","",YEAR($AD599)*100+MONTH($AD599))</f>
        <v/>
      </c>
      <c r="T599" s="50" t="str">
        <f>IF($AD599="","",IFERROR(IF(INDEX(CARDS!$I$5:$I$34,MATCH($D599,CARDS!$A$5:$A$34,0))="","",IF(INDEX(CARDS!$I$5:$I$34,MATCH($D599,CARDS!$A$5:$A$34,0))&gt;INDEX(CARDS!$H$5:$H$34,MATCH($D599,CARDS!$A$5:$A$34,0)),DATE(YEAR($AD599),MONTH($AD599),MIN(INDEX(CARDS!$I$5:$I$34,MATCH($D599,CARDS!$A$5:$A$34,0)),DAY(EOMONTH($AD599,0)))),DATE(YEAR($AD599),MONTH($AD599)+1,MIN(INDEX(CARDS!$I$5:$I$34,MATCH($D599,CARDS!$A$5:$A$34,0)),DAY(EOMONTH($AD599,1)))))),""))</f>
        <v/>
      </c>
      <c r="U599" s="38" t="n"/>
      <c r="V599" s="37" t="n"/>
      <c r="W599" s="38" t="n"/>
      <c r="X599" s="38" t="n"/>
      <c r="Y599" s="44" t="str">
        <f>IF($AC599&gt;0,INDEX(CASHBACK_RULES!$A$5:$A$304,$AC599),"")</f>
        <v/>
      </c>
      <c r="Z599" s="45" t="str">
        <f>IF($AC599&gt;0,INDEX(CASHBACK_RULES!$E$5:$E$304,$AC599)&amp;"","")</f>
        <v/>
      </c>
      <c r="AA599" s="48" t="str">
        <f>IF($AC599&gt;0,IF(ISNUMBER(INDEX(CASHBACK_RULES!$K$5:$K$304,$AC599)),INDEX(CASHBACK_RULES!$K$5:$K$304,$AC599),"∞"),"")</f>
        <v/>
      </c>
      <c r="AB599" s="44" t="str">
        <f>IF(OR($B599="",$D599=""),"",IF($U599="Cancelled","Đã hủy",IF($AC599=0,"Không được hoàn",IF($Q599=0,IF(OR($O599&gt;0,$M599&lt;$L599),"Đã đạt cap","Không được hoàn"),IF(OR($Q599&lt;$O599,$M599&lt;$L599),"Hoàn một phần","Được hoàn")))))</f>
        <v/>
      </c>
      <c r="AC599" s="43">
        <f>IF(OR($B599="",$D599="",$I599="",$L599=""),0,IF($U599="Cancelled",0,IF($W599&lt;&gt;"",IFERROR(IF(INDEX(CASHBACK_RULES!$B$5:$B$304,MATCH($W599,CASHBACK_RULES!$A$5:$A$304,0))=$D599,MATCH($W599,CASHBACK_RULES!$A$5:$A$304,0),0),0),IFERROR(MATCH(1,INDEX((CASHBACK_RULES!$B$5:$B$304=$D599)*(CASHBACK_RULES!$G$5:$G$304=$I599)*(((CASHBACK_RULES!$N$5:$N$304="")+(CASHBACK_RULES!$N$5:$N$304&lt;=$B599))&gt;0)*(((CASHBACK_RULES!$O$5:$O$304="")+(CASHBACK_RULES!$O$5:$O$304&gt;=$B599))&gt;0)*(((CASHBACK_RULES!$M$5:$M$304="")+(CASHBACK_RULES!$M$5:$M$304&lt;=$L599))&gt;0),0),0),0))))</f>
        <v>0</v>
      </c>
      <c r="AD599" s="51" t="str">
        <f>IF(OR($B599="",$D599=""),"",IFERROR(IF(INDEX(CARDS!$H$5:$H$34,MATCH($D599,CARDS!$A$5:$A$34,0))="","",IF(DAY($B599)&lt;=INDEX(CARDS!$H$5:$H$34,MATCH($D599,CARDS!$A$5:$A$34,0)),DATE(YEAR($B599),MONTH($B599),MIN(INDEX(CARDS!$H$5:$H$34,MATCH($D599,CARDS!$A$5:$A$34,0)),DAY(EOMONTH($B599,0)))),DATE(YEAR($B599),MONTH($B599)+1,MIN(INDEX(CARDS!$H$5:$H$34,MATCH($D599,CARDS!$A$5:$A$34,0)),DAY(EOMONTH($B599,1)))))),""))</f>
        <v/>
      </c>
      <c r="AE599" s="52" t="str">
        <f>IF($C599="","",$C599&amp;"|"&amp;COUNTIF($C$5:$C599,$C599))</f>
        <v/>
      </c>
      <c r="AF599" s="53">
        <f>IF($AC599&gt;0,SUMIFS(Q$4:Q598,$D$4:$D598,$D599,$Z$4:$Z598,$Z599,$C$4:$C598,$C599),0)</f>
        <v>0</v>
      </c>
      <c r="AG599" s="53">
        <f>IF($AC599&gt;0,SUMIFS(Q$4:Q598,$D$4:$D598,$D599,$C$4:$C598,$C599),0)</f>
        <v>0</v>
      </c>
      <c r="AH599" s="53">
        <f>IF($AC599&gt;0,SUMIFS(M$4:M598,$D$4:$D598,$D599,$Z$4:$Z598,$Z599,$C$4:$C598,$C599),0)</f>
        <v>0</v>
      </c>
      <c r="AI599" s="43">
        <f>IF(OR($C599="",$I599=""),0,IF(COUNTIFS($C$5:$C599,$C599,$I$5:$I599,$I599)=1,1,0))</f>
        <v>0</v>
      </c>
      <c r="AJ599" s="43" t="str">
        <f>IF($AI599=1,SUMIFS($AI$4:$AI598,$C$4:$C598,$C599)+1,"")</f>
        <v/>
      </c>
      <c r="AK599" s="43">
        <f>IF(OR($C599="",$K599=""),0,IF(COUNTIFS($C$5:$C599,$C599,$K$5:$K599,$K599)=1,1,0))</f>
        <v>0</v>
      </c>
      <c r="AL599" s="43" t="str">
        <f>IF($AK599=1,SUMIFS($AK$4:$AK598,$C$4:$C598,$C599)+1,"")</f>
        <v/>
      </c>
      <c r="AM599" s="43">
        <f>IF(OR($C599="",$G599=""),0,IF(COUNTIFS($C$5:$C599,$C599,$G$5:$G599,$G599)=1,1,0))</f>
        <v>0</v>
      </c>
      <c r="AN599" s="43" t="str">
        <f>IF($AM599=1,SUMIFS($AM$4:$AM598,$C$4:$C598,$C599)+1,"")</f>
        <v/>
      </c>
    </row>
    <row r="600">
      <c r="A600" s="44" t="str">
        <f>IF(OR($B600="",$D600=""),"","TX"&amp;TEXT(ROW()-4,"0000"))</f>
        <v/>
      </c>
      <c r="B600" s="42" t="n"/>
      <c r="C600" s="47" t="str">
        <f>IF($B600="","",YEAR($B600)*100+MONTH($B600))</f>
        <v/>
      </c>
      <c r="D600" s="37" t="n"/>
      <c r="E600" s="45" t="str">
        <f>IF($D600="","",IFERROR(INDEX(CARDS!$B$5:$B$34,MATCH($D600,CARDS!$A$5:$A$34,0)),"⚠ Card ID?"))</f>
        <v/>
      </c>
      <c r="F600" s="45" t="str">
        <f>IF($D600="","",IFERROR(INDEX(CARDS!$C$5:$C$34,MATCH($D600,CARDS!$A$5:$A$34,0)),"⚠ Card ID?"))</f>
        <v/>
      </c>
      <c r="G600" s="37" t="n"/>
      <c r="H600" s="37" t="n"/>
      <c r="I600" s="41" t="n"/>
      <c r="J600" s="45" t="str">
        <f>IF($I600="","",IFERROR(INDEX(MCC_MASTER!$B$5:$B$504,MATCH($I600,MCC_MASTER!$A$5:$A$504,0)),"⚠ MCC chưa có"))</f>
        <v/>
      </c>
      <c r="K600" s="45" t="str">
        <f>IF($I600="","",IFERROR(IF(INDEX(MCC_MASTER!$C$5:$C$504,MATCH($I600,MCC_MASTER!$A$5:$A$504,0))="","Chưa phân loại",INDEX(MCC_MASTER!$C$5:$C$504,MATCH($I600,MCC_MASTER!$A$5:$A$504,0))),"Chưa phân loại"))</f>
        <v/>
      </c>
      <c r="L600" s="40" t="n"/>
      <c r="M600" s="48" t="str">
        <f>IF(OR($B600="",$D600=""),"",IF($AC600=0,0,IF(ISNUMBER(INDEX(CASHBACK_RULES!$L$5:$L$304,$AC600)),MAX(0,MIN($L600,INDEX(CASHBACK_RULES!$L$5:$L$304,$AC600)-$AH600)),MAX(0,$L600))))</f>
        <v/>
      </c>
      <c r="N600" s="49" t="str">
        <f>IF(OR($B600="",$D600=""),"",IF($AC600&gt;0,INDEX(CASHBACK_RULES!$I$5:$I$304,$AC600),0))</f>
        <v/>
      </c>
      <c r="O600" s="48" t="str">
        <f>IF(OR($B600="",$D600=""),"",ROUND($M600*$N600,0))</f>
        <v/>
      </c>
      <c r="P600" s="48" t="str">
        <f>IF($AC600&gt;0,IF(ISNUMBER(INDEX(CASHBACK_RULES!$J$5:$J$304,$AC600)),INDEX(CASHBACK_RULES!$J$5:$J$304,$AC600),"∞"),"")</f>
        <v/>
      </c>
      <c r="Q600" s="48" t="str">
        <f>IF(OR($B600="",$D600=""),"",IF($AC600=0,0,MAX(0,MIN($O600,IF(ISNUMBER($P600),$P600-$AF600,1E+15),IF(ISNUMBER($AA600),$AA600-$AG600,1E+15)))))</f>
        <v/>
      </c>
      <c r="R600" s="48" t="str">
        <f>IF(OR($B600="",$D600=""),"",IF($AC600=0,"",IF(AND(NOT(ISNUMBER($P600)),NOT(ISNUMBER($AA600))),"∞",MAX(0,MIN(IF(ISNUMBER($P600),$P600-$AF600-$Q600,1E+15),IF(ISNUMBER($AA600),$AA600-$AG600-$Q600,1E+15))))))</f>
        <v/>
      </c>
      <c r="S600" s="47" t="str">
        <f>IF($AD600="","",YEAR($AD600)*100+MONTH($AD600))</f>
        <v/>
      </c>
      <c r="T600" s="50" t="str">
        <f>IF($AD600="","",IFERROR(IF(INDEX(CARDS!$I$5:$I$34,MATCH($D600,CARDS!$A$5:$A$34,0))="","",IF(INDEX(CARDS!$I$5:$I$34,MATCH($D600,CARDS!$A$5:$A$34,0))&gt;INDEX(CARDS!$H$5:$H$34,MATCH($D600,CARDS!$A$5:$A$34,0)),DATE(YEAR($AD600),MONTH($AD600),MIN(INDEX(CARDS!$I$5:$I$34,MATCH($D600,CARDS!$A$5:$A$34,0)),DAY(EOMONTH($AD600,0)))),DATE(YEAR($AD600),MONTH($AD600)+1,MIN(INDEX(CARDS!$I$5:$I$34,MATCH($D600,CARDS!$A$5:$A$34,0)),DAY(EOMONTH($AD600,1)))))),""))</f>
        <v/>
      </c>
      <c r="U600" s="38" t="n"/>
      <c r="V600" s="37" t="n"/>
      <c r="W600" s="38" t="n"/>
      <c r="X600" s="38" t="n"/>
      <c r="Y600" s="44" t="str">
        <f>IF($AC600&gt;0,INDEX(CASHBACK_RULES!$A$5:$A$304,$AC600),"")</f>
        <v/>
      </c>
      <c r="Z600" s="45" t="str">
        <f>IF($AC600&gt;0,INDEX(CASHBACK_RULES!$E$5:$E$304,$AC600)&amp;"","")</f>
        <v/>
      </c>
      <c r="AA600" s="48" t="str">
        <f>IF($AC600&gt;0,IF(ISNUMBER(INDEX(CASHBACK_RULES!$K$5:$K$304,$AC600)),INDEX(CASHBACK_RULES!$K$5:$K$304,$AC600),"∞"),"")</f>
        <v/>
      </c>
      <c r="AB600" s="44" t="str">
        <f>IF(OR($B600="",$D600=""),"",IF($U600="Cancelled","Đã hủy",IF($AC600=0,"Không được hoàn",IF($Q600=0,IF(OR($O600&gt;0,$M600&lt;$L600),"Đã đạt cap","Không được hoàn"),IF(OR($Q600&lt;$O600,$M600&lt;$L600),"Hoàn một phần","Được hoàn")))))</f>
        <v/>
      </c>
      <c r="AC600" s="43">
        <f>IF(OR($B600="",$D600="",$I600="",$L600=""),0,IF($U600="Cancelled",0,IF($W600&lt;&gt;"",IFERROR(IF(INDEX(CASHBACK_RULES!$B$5:$B$304,MATCH($W600,CASHBACK_RULES!$A$5:$A$304,0))=$D600,MATCH($W600,CASHBACK_RULES!$A$5:$A$304,0),0),0),IFERROR(MATCH(1,INDEX((CASHBACK_RULES!$B$5:$B$304=$D600)*(CASHBACK_RULES!$G$5:$G$304=$I600)*(((CASHBACK_RULES!$N$5:$N$304="")+(CASHBACK_RULES!$N$5:$N$304&lt;=$B600))&gt;0)*(((CASHBACK_RULES!$O$5:$O$304="")+(CASHBACK_RULES!$O$5:$O$304&gt;=$B600))&gt;0)*(((CASHBACK_RULES!$M$5:$M$304="")+(CASHBACK_RULES!$M$5:$M$304&lt;=$L600))&gt;0),0),0),0))))</f>
        <v>0</v>
      </c>
      <c r="AD600" s="51" t="str">
        <f>IF(OR($B600="",$D600=""),"",IFERROR(IF(INDEX(CARDS!$H$5:$H$34,MATCH($D600,CARDS!$A$5:$A$34,0))="","",IF(DAY($B600)&lt;=INDEX(CARDS!$H$5:$H$34,MATCH($D600,CARDS!$A$5:$A$34,0)),DATE(YEAR($B600),MONTH($B600),MIN(INDEX(CARDS!$H$5:$H$34,MATCH($D600,CARDS!$A$5:$A$34,0)),DAY(EOMONTH($B600,0)))),DATE(YEAR($B600),MONTH($B600)+1,MIN(INDEX(CARDS!$H$5:$H$34,MATCH($D600,CARDS!$A$5:$A$34,0)),DAY(EOMONTH($B600,1)))))),""))</f>
        <v/>
      </c>
      <c r="AE600" s="52" t="str">
        <f>IF($C600="","",$C600&amp;"|"&amp;COUNTIF($C$5:$C600,$C600))</f>
        <v/>
      </c>
      <c r="AF600" s="53">
        <f>IF($AC600&gt;0,SUMIFS(Q$4:Q599,$D$4:$D599,$D600,$Z$4:$Z599,$Z600,$C$4:$C599,$C600),0)</f>
        <v>0</v>
      </c>
      <c r="AG600" s="53">
        <f>IF($AC600&gt;0,SUMIFS(Q$4:Q599,$D$4:$D599,$D600,$C$4:$C599,$C600),0)</f>
        <v>0</v>
      </c>
      <c r="AH600" s="53">
        <f>IF($AC600&gt;0,SUMIFS(M$4:M599,$D$4:$D599,$D600,$Z$4:$Z599,$Z600,$C$4:$C599,$C600),0)</f>
        <v>0</v>
      </c>
      <c r="AI600" s="43">
        <f>IF(OR($C600="",$I600=""),0,IF(COUNTIFS($C$5:$C600,$C600,$I$5:$I600,$I600)=1,1,0))</f>
        <v>0</v>
      </c>
      <c r="AJ600" s="43" t="str">
        <f>IF($AI600=1,SUMIFS($AI$4:$AI599,$C$4:$C599,$C600)+1,"")</f>
        <v/>
      </c>
      <c r="AK600" s="43">
        <f>IF(OR($C600="",$K600=""),0,IF(COUNTIFS($C$5:$C600,$C600,$K$5:$K600,$K600)=1,1,0))</f>
        <v>0</v>
      </c>
      <c r="AL600" s="43" t="str">
        <f>IF($AK600=1,SUMIFS($AK$4:$AK599,$C$4:$C599,$C600)+1,"")</f>
        <v/>
      </c>
      <c r="AM600" s="43">
        <f>IF(OR($C600="",$G600=""),0,IF(COUNTIFS($C$5:$C600,$C600,$G$5:$G600,$G600)=1,1,0))</f>
        <v>0</v>
      </c>
      <c r="AN600" s="43" t="str">
        <f>IF($AM600=1,SUMIFS($AM$4:$AM599,$C$4:$C599,$C600)+1,"")</f>
        <v/>
      </c>
    </row>
    <row r="601">
      <c r="A601" s="44" t="str">
        <f>IF(OR($B601="",$D601=""),"","TX"&amp;TEXT(ROW()-4,"0000"))</f>
        <v/>
      </c>
      <c r="B601" s="42" t="n"/>
      <c r="C601" s="47" t="str">
        <f>IF($B601="","",YEAR($B601)*100+MONTH($B601))</f>
        <v/>
      </c>
      <c r="D601" s="37" t="n"/>
      <c r="E601" s="45" t="str">
        <f>IF($D601="","",IFERROR(INDEX(CARDS!$B$5:$B$34,MATCH($D601,CARDS!$A$5:$A$34,0)),"⚠ Card ID?"))</f>
        <v/>
      </c>
      <c r="F601" s="45" t="str">
        <f>IF($D601="","",IFERROR(INDEX(CARDS!$C$5:$C$34,MATCH($D601,CARDS!$A$5:$A$34,0)),"⚠ Card ID?"))</f>
        <v/>
      </c>
      <c r="G601" s="37" t="n"/>
      <c r="H601" s="37" t="n"/>
      <c r="I601" s="41" t="n"/>
      <c r="J601" s="45" t="str">
        <f>IF($I601="","",IFERROR(INDEX(MCC_MASTER!$B$5:$B$504,MATCH($I601,MCC_MASTER!$A$5:$A$504,0)),"⚠ MCC chưa có"))</f>
        <v/>
      </c>
      <c r="K601" s="45" t="str">
        <f>IF($I601="","",IFERROR(IF(INDEX(MCC_MASTER!$C$5:$C$504,MATCH($I601,MCC_MASTER!$A$5:$A$504,0))="","Chưa phân loại",INDEX(MCC_MASTER!$C$5:$C$504,MATCH($I601,MCC_MASTER!$A$5:$A$504,0))),"Chưa phân loại"))</f>
        <v/>
      </c>
      <c r="L601" s="40" t="n"/>
      <c r="M601" s="48" t="str">
        <f>IF(OR($B601="",$D601=""),"",IF($AC601=0,0,IF(ISNUMBER(INDEX(CASHBACK_RULES!$L$5:$L$304,$AC601)),MAX(0,MIN($L601,INDEX(CASHBACK_RULES!$L$5:$L$304,$AC601)-$AH601)),MAX(0,$L601))))</f>
        <v/>
      </c>
      <c r="N601" s="49" t="str">
        <f>IF(OR($B601="",$D601=""),"",IF($AC601&gt;0,INDEX(CASHBACK_RULES!$I$5:$I$304,$AC601),0))</f>
        <v/>
      </c>
      <c r="O601" s="48" t="str">
        <f>IF(OR($B601="",$D601=""),"",ROUND($M601*$N601,0))</f>
        <v/>
      </c>
      <c r="P601" s="48" t="str">
        <f>IF($AC601&gt;0,IF(ISNUMBER(INDEX(CASHBACK_RULES!$J$5:$J$304,$AC601)),INDEX(CASHBACK_RULES!$J$5:$J$304,$AC601),"∞"),"")</f>
        <v/>
      </c>
      <c r="Q601" s="48" t="str">
        <f>IF(OR($B601="",$D601=""),"",IF($AC601=0,0,MAX(0,MIN($O601,IF(ISNUMBER($P601),$P601-$AF601,1E+15),IF(ISNUMBER($AA601),$AA601-$AG601,1E+15)))))</f>
        <v/>
      </c>
      <c r="R601" s="48" t="str">
        <f>IF(OR($B601="",$D601=""),"",IF($AC601=0,"",IF(AND(NOT(ISNUMBER($P601)),NOT(ISNUMBER($AA601))),"∞",MAX(0,MIN(IF(ISNUMBER($P601),$P601-$AF601-$Q601,1E+15),IF(ISNUMBER($AA601),$AA601-$AG601-$Q601,1E+15))))))</f>
        <v/>
      </c>
      <c r="S601" s="47" t="str">
        <f>IF($AD601="","",YEAR($AD601)*100+MONTH($AD601))</f>
        <v/>
      </c>
      <c r="T601" s="50" t="str">
        <f>IF($AD601="","",IFERROR(IF(INDEX(CARDS!$I$5:$I$34,MATCH($D601,CARDS!$A$5:$A$34,0))="","",IF(INDEX(CARDS!$I$5:$I$34,MATCH($D601,CARDS!$A$5:$A$34,0))&gt;INDEX(CARDS!$H$5:$H$34,MATCH($D601,CARDS!$A$5:$A$34,0)),DATE(YEAR($AD601),MONTH($AD601),MIN(INDEX(CARDS!$I$5:$I$34,MATCH($D601,CARDS!$A$5:$A$34,0)),DAY(EOMONTH($AD601,0)))),DATE(YEAR($AD601),MONTH($AD601)+1,MIN(INDEX(CARDS!$I$5:$I$34,MATCH($D601,CARDS!$A$5:$A$34,0)),DAY(EOMONTH($AD601,1)))))),""))</f>
        <v/>
      </c>
      <c r="U601" s="38" t="n"/>
      <c r="V601" s="37" t="n"/>
      <c r="W601" s="38" t="n"/>
      <c r="X601" s="38" t="n"/>
      <c r="Y601" s="44" t="str">
        <f>IF($AC601&gt;0,INDEX(CASHBACK_RULES!$A$5:$A$304,$AC601),"")</f>
        <v/>
      </c>
      <c r="Z601" s="45" t="str">
        <f>IF($AC601&gt;0,INDEX(CASHBACK_RULES!$E$5:$E$304,$AC601)&amp;"","")</f>
        <v/>
      </c>
      <c r="AA601" s="48" t="str">
        <f>IF($AC601&gt;0,IF(ISNUMBER(INDEX(CASHBACK_RULES!$K$5:$K$304,$AC601)),INDEX(CASHBACK_RULES!$K$5:$K$304,$AC601),"∞"),"")</f>
        <v/>
      </c>
      <c r="AB601" s="44" t="str">
        <f>IF(OR($B601="",$D601=""),"",IF($U601="Cancelled","Đã hủy",IF($AC601=0,"Không được hoàn",IF($Q601=0,IF(OR($O601&gt;0,$M601&lt;$L601),"Đã đạt cap","Không được hoàn"),IF(OR($Q601&lt;$O601,$M601&lt;$L601),"Hoàn một phần","Được hoàn")))))</f>
        <v/>
      </c>
      <c r="AC601" s="43">
        <f>IF(OR($B601="",$D601="",$I601="",$L601=""),0,IF($U601="Cancelled",0,IF($W601&lt;&gt;"",IFERROR(IF(INDEX(CASHBACK_RULES!$B$5:$B$304,MATCH($W601,CASHBACK_RULES!$A$5:$A$304,0))=$D601,MATCH($W601,CASHBACK_RULES!$A$5:$A$304,0),0),0),IFERROR(MATCH(1,INDEX((CASHBACK_RULES!$B$5:$B$304=$D601)*(CASHBACK_RULES!$G$5:$G$304=$I601)*(((CASHBACK_RULES!$N$5:$N$304="")+(CASHBACK_RULES!$N$5:$N$304&lt;=$B601))&gt;0)*(((CASHBACK_RULES!$O$5:$O$304="")+(CASHBACK_RULES!$O$5:$O$304&gt;=$B601))&gt;0)*(((CASHBACK_RULES!$M$5:$M$304="")+(CASHBACK_RULES!$M$5:$M$304&lt;=$L601))&gt;0),0),0),0))))</f>
        <v>0</v>
      </c>
      <c r="AD601" s="51" t="str">
        <f>IF(OR($B601="",$D601=""),"",IFERROR(IF(INDEX(CARDS!$H$5:$H$34,MATCH($D601,CARDS!$A$5:$A$34,0))="","",IF(DAY($B601)&lt;=INDEX(CARDS!$H$5:$H$34,MATCH($D601,CARDS!$A$5:$A$34,0)),DATE(YEAR($B601),MONTH($B601),MIN(INDEX(CARDS!$H$5:$H$34,MATCH($D601,CARDS!$A$5:$A$34,0)),DAY(EOMONTH($B601,0)))),DATE(YEAR($B601),MONTH($B601)+1,MIN(INDEX(CARDS!$H$5:$H$34,MATCH($D601,CARDS!$A$5:$A$34,0)),DAY(EOMONTH($B601,1)))))),""))</f>
        <v/>
      </c>
      <c r="AE601" s="52" t="str">
        <f>IF($C601="","",$C601&amp;"|"&amp;COUNTIF($C$5:$C601,$C601))</f>
        <v/>
      </c>
      <c r="AF601" s="53">
        <f>IF($AC601&gt;0,SUMIFS(Q$4:Q600,$D$4:$D600,$D601,$Z$4:$Z600,$Z601,$C$4:$C600,$C601),0)</f>
        <v>0</v>
      </c>
      <c r="AG601" s="53">
        <f>IF($AC601&gt;0,SUMIFS(Q$4:Q600,$D$4:$D600,$D601,$C$4:$C600,$C601),0)</f>
        <v>0</v>
      </c>
      <c r="AH601" s="53">
        <f>IF($AC601&gt;0,SUMIFS(M$4:M600,$D$4:$D600,$D601,$Z$4:$Z600,$Z601,$C$4:$C600,$C601),0)</f>
        <v>0</v>
      </c>
      <c r="AI601" s="43">
        <f>IF(OR($C601="",$I601=""),0,IF(COUNTIFS($C$5:$C601,$C601,$I$5:$I601,$I601)=1,1,0))</f>
        <v>0</v>
      </c>
      <c r="AJ601" s="43" t="str">
        <f>IF($AI601=1,SUMIFS($AI$4:$AI600,$C$4:$C600,$C601)+1,"")</f>
        <v/>
      </c>
      <c r="AK601" s="43">
        <f>IF(OR($C601="",$K601=""),0,IF(COUNTIFS($C$5:$C601,$C601,$K$5:$K601,$K601)=1,1,0))</f>
        <v>0</v>
      </c>
      <c r="AL601" s="43" t="str">
        <f>IF($AK601=1,SUMIFS($AK$4:$AK600,$C$4:$C600,$C601)+1,"")</f>
        <v/>
      </c>
      <c r="AM601" s="43">
        <f>IF(OR($C601="",$G601=""),0,IF(COUNTIFS($C$5:$C601,$C601,$G$5:$G601,$G601)=1,1,0))</f>
        <v>0</v>
      </c>
      <c r="AN601" s="43" t="str">
        <f>IF($AM601=1,SUMIFS($AM$4:$AM600,$C$4:$C600,$C601)+1,"")</f>
        <v/>
      </c>
    </row>
    <row r="602">
      <c r="A602" s="44" t="str">
        <f>IF(OR($B602="",$D602=""),"","TX"&amp;TEXT(ROW()-4,"0000"))</f>
        <v/>
      </c>
      <c r="B602" s="42" t="n"/>
      <c r="C602" s="47" t="str">
        <f>IF($B602="","",YEAR($B602)*100+MONTH($B602))</f>
        <v/>
      </c>
      <c r="D602" s="37" t="n"/>
      <c r="E602" s="45" t="str">
        <f>IF($D602="","",IFERROR(INDEX(CARDS!$B$5:$B$34,MATCH($D602,CARDS!$A$5:$A$34,0)),"⚠ Card ID?"))</f>
        <v/>
      </c>
      <c r="F602" s="45" t="str">
        <f>IF($D602="","",IFERROR(INDEX(CARDS!$C$5:$C$34,MATCH($D602,CARDS!$A$5:$A$34,0)),"⚠ Card ID?"))</f>
        <v/>
      </c>
      <c r="G602" s="37" t="n"/>
      <c r="H602" s="37" t="n"/>
      <c r="I602" s="41" t="n"/>
      <c r="J602" s="45" t="str">
        <f>IF($I602="","",IFERROR(INDEX(MCC_MASTER!$B$5:$B$504,MATCH($I602,MCC_MASTER!$A$5:$A$504,0)),"⚠ MCC chưa có"))</f>
        <v/>
      </c>
      <c r="K602" s="45" t="str">
        <f>IF($I602="","",IFERROR(IF(INDEX(MCC_MASTER!$C$5:$C$504,MATCH($I602,MCC_MASTER!$A$5:$A$504,0))="","Chưa phân loại",INDEX(MCC_MASTER!$C$5:$C$504,MATCH($I602,MCC_MASTER!$A$5:$A$504,0))),"Chưa phân loại"))</f>
        <v/>
      </c>
      <c r="L602" s="40" t="n"/>
      <c r="M602" s="48" t="str">
        <f>IF(OR($B602="",$D602=""),"",IF($AC602=0,0,IF(ISNUMBER(INDEX(CASHBACK_RULES!$L$5:$L$304,$AC602)),MAX(0,MIN($L602,INDEX(CASHBACK_RULES!$L$5:$L$304,$AC602)-$AH602)),MAX(0,$L602))))</f>
        <v/>
      </c>
      <c r="N602" s="49" t="str">
        <f>IF(OR($B602="",$D602=""),"",IF($AC602&gt;0,INDEX(CASHBACK_RULES!$I$5:$I$304,$AC602),0))</f>
        <v/>
      </c>
      <c r="O602" s="48" t="str">
        <f>IF(OR($B602="",$D602=""),"",ROUND($M602*$N602,0))</f>
        <v/>
      </c>
      <c r="P602" s="48" t="str">
        <f>IF($AC602&gt;0,IF(ISNUMBER(INDEX(CASHBACK_RULES!$J$5:$J$304,$AC602)),INDEX(CASHBACK_RULES!$J$5:$J$304,$AC602),"∞"),"")</f>
        <v/>
      </c>
      <c r="Q602" s="48" t="str">
        <f>IF(OR($B602="",$D602=""),"",IF($AC602=0,0,MAX(0,MIN($O602,IF(ISNUMBER($P602),$P602-$AF602,1E+15),IF(ISNUMBER($AA602),$AA602-$AG602,1E+15)))))</f>
        <v/>
      </c>
      <c r="R602" s="48" t="str">
        <f>IF(OR($B602="",$D602=""),"",IF($AC602=0,"",IF(AND(NOT(ISNUMBER($P602)),NOT(ISNUMBER($AA602))),"∞",MAX(0,MIN(IF(ISNUMBER($P602),$P602-$AF602-$Q602,1E+15),IF(ISNUMBER($AA602),$AA602-$AG602-$Q602,1E+15))))))</f>
        <v/>
      </c>
      <c r="S602" s="47" t="str">
        <f>IF($AD602="","",YEAR($AD602)*100+MONTH($AD602))</f>
        <v/>
      </c>
      <c r="T602" s="50" t="str">
        <f>IF($AD602="","",IFERROR(IF(INDEX(CARDS!$I$5:$I$34,MATCH($D602,CARDS!$A$5:$A$34,0))="","",IF(INDEX(CARDS!$I$5:$I$34,MATCH($D602,CARDS!$A$5:$A$34,0))&gt;INDEX(CARDS!$H$5:$H$34,MATCH($D602,CARDS!$A$5:$A$34,0)),DATE(YEAR($AD602),MONTH($AD602),MIN(INDEX(CARDS!$I$5:$I$34,MATCH($D602,CARDS!$A$5:$A$34,0)),DAY(EOMONTH($AD602,0)))),DATE(YEAR($AD602),MONTH($AD602)+1,MIN(INDEX(CARDS!$I$5:$I$34,MATCH($D602,CARDS!$A$5:$A$34,0)),DAY(EOMONTH($AD602,1)))))),""))</f>
        <v/>
      </c>
      <c r="U602" s="38" t="n"/>
      <c r="V602" s="37" t="n"/>
      <c r="W602" s="38" t="n"/>
      <c r="X602" s="38" t="n"/>
      <c r="Y602" s="44" t="str">
        <f>IF($AC602&gt;0,INDEX(CASHBACK_RULES!$A$5:$A$304,$AC602),"")</f>
        <v/>
      </c>
      <c r="Z602" s="45" t="str">
        <f>IF($AC602&gt;0,INDEX(CASHBACK_RULES!$E$5:$E$304,$AC602)&amp;"","")</f>
        <v/>
      </c>
      <c r="AA602" s="48" t="str">
        <f>IF($AC602&gt;0,IF(ISNUMBER(INDEX(CASHBACK_RULES!$K$5:$K$304,$AC602)),INDEX(CASHBACK_RULES!$K$5:$K$304,$AC602),"∞"),"")</f>
        <v/>
      </c>
      <c r="AB602" s="44" t="str">
        <f>IF(OR($B602="",$D602=""),"",IF($U602="Cancelled","Đã hủy",IF($AC602=0,"Không được hoàn",IF($Q602=0,IF(OR($O602&gt;0,$M602&lt;$L602),"Đã đạt cap","Không được hoàn"),IF(OR($Q602&lt;$O602,$M602&lt;$L602),"Hoàn một phần","Được hoàn")))))</f>
        <v/>
      </c>
      <c r="AC602" s="43">
        <f>IF(OR($B602="",$D602="",$I602="",$L602=""),0,IF($U602="Cancelled",0,IF($W602&lt;&gt;"",IFERROR(IF(INDEX(CASHBACK_RULES!$B$5:$B$304,MATCH($W602,CASHBACK_RULES!$A$5:$A$304,0))=$D602,MATCH($W602,CASHBACK_RULES!$A$5:$A$304,0),0),0),IFERROR(MATCH(1,INDEX((CASHBACK_RULES!$B$5:$B$304=$D602)*(CASHBACK_RULES!$G$5:$G$304=$I602)*(((CASHBACK_RULES!$N$5:$N$304="")+(CASHBACK_RULES!$N$5:$N$304&lt;=$B602))&gt;0)*(((CASHBACK_RULES!$O$5:$O$304="")+(CASHBACK_RULES!$O$5:$O$304&gt;=$B602))&gt;0)*(((CASHBACK_RULES!$M$5:$M$304="")+(CASHBACK_RULES!$M$5:$M$304&lt;=$L602))&gt;0),0),0),0))))</f>
        <v>0</v>
      </c>
      <c r="AD602" s="51" t="str">
        <f>IF(OR($B602="",$D602=""),"",IFERROR(IF(INDEX(CARDS!$H$5:$H$34,MATCH($D602,CARDS!$A$5:$A$34,0))="","",IF(DAY($B602)&lt;=INDEX(CARDS!$H$5:$H$34,MATCH($D602,CARDS!$A$5:$A$34,0)),DATE(YEAR($B602),MONTH($B602),MIN(INDEX(CARDS!$H$5:$H$34,MATCH($D602,CARDS!$A$5:$A$34,0)),DAY(EOMONTH($B602,0)))),DATE(YEAR($B602),MONTH($B602)+1,MIN(INDEX(CARDS!$H$5:$H$34,MATCH($D602,CARDS!$A$5:$A$34,0)),DAY(EOMONTH($B602,1)))))),""))</f>
        <v/>
      </c>
      <c r="AE602" s="52" t="str">
        <f>IF($C602="","",$C602&amp;"|"&amp;COUNTIF($C$5:$C602,$C602))</f>
        <v/>
      </c>
      <c r="AF602" s="53">
        <f>IF($AC602&gt;0,SUMIFS(Q$4:Q601,$D$4:$D601,$D602,$Z$4:$Z601,$Z602,$C$4:$C601,$C602),0)</f>
        <v>0</v>
      </c>
      <c r="AG602" s="53">
        <f>IF($AC602&gt;0,SUMIFS(Q$4:Q601,$D$4:$D601,$D602,$C$4:$C601,$C602),0)</f>
        <v>0</v>
      </c>
      <c r="AH602" s="53">
        <f>IF($AC602&gt;0,SUMIFS(M$4:M601,$D$4:$D601,$D602,$Z$4:$Z601,$Z602,$C$4:$C601,$C602),0)</f>
        <v>0</v>
      </c>
      <c r="AI602" s="43">
        <f>IF(OR($C602="",$I602=""),0,IF(COUNTIFS($C$5:$C602,$C602,$I$5:$I602,$I602)=1,1,0))</f>
        <v>0</v>
      </c>
      <c r="AJ602" s="43" t="str">
        <f>IF($AI602=1,SUMIFS($AI$4:$AI601,$C$4:$C601,$C602)+1,"")</f>
        <v/>
      </c>
      <c r="AK602" s="43">
        <f>IF(OR($C602="",$K602=""),0,IF(COUNTIFS($C$5:$C602,$C602,$K$5:$K602,$K602)=1,1,0))</f>
        <v>0</v>
      </c>
      <c r="AL602" s="43" t="str">
        <f>IF($AK602=1,SUMIFS($AK$4:$AK601,$C$4:$C601,$C602)+1,"")</f>
        <v/>
      </c>
      <c r="AM602" s="43">
        <f>IF(OR($C602="",$G602=""),0,IF(COUNTIFS($C$5:$C602,$C602,$G$5:$G602,$G602)=1,1,0))</f>
        <v>0</v>
      </c>
      <c r="AN602" s="43" t="str">
        <f>IF($AM602=1,SUMIFS($AM$4:$AM601,$C$4:$C601,$C602)+1,"")</f>
        <v/>
      </c>
    </row>
    <row r="603">
      <c r="A603" s="44" t="str">
        <f>IF(OR($B603="",$D603=""),"","TX"&amp;TEXT(ROW()-4,"0000"))</f>
        <v/>
      </c>
      <c r="B603" s="42" t="n"/>
      <c r="C603" s="47" t="str">
        <f>IF($B603="","",YEAR($B603)*100+MONTH($B603))</f>
        <v/>
      </c>
      <c r="D603" s="37" t="n"/>
      <c r="E603" s="45" t="str">
        <f>IF($D603="","",IFERROR(INDEX(CARDS!$B$5:$B$34,MATCH($D603,CARDS!$A$5:$A$34,0)),"⚠ Card ID?"))</f>
        <v/>
      </c>
      <c r="F603" s="45" t="str">
        <f>IF($D603="","",IFERROR(INDEX(CARDS!$C$5:$C$34,MATCH($D603,CARDS!$A$5:$A$34,0)),"⚠ Card ID?"))</f>
        <v/>
      </c>
      <c r="G603" s="37" t="n"/>
      <c r="H603" s="37" t="n"/>
      <c r="I603" s="41" t="n"/>
      <c r="J603" s="45" t="str">
        <f>IF($I603="","",IFERROR(INDEX(MCC_MASTER!$B$5:$B$504,MATCH($I603,MCC_MASTER!$A$5:$A$504,0)),"⚠ MCC chưa có"))</f>
        <v/>
      </c>
      <c r="K603" s="45" t="str">
        <f>IF($I603="","",IFERROR(IF(INDEX(MCC_MASTER!$C$5:$C$504,MATCH($I603,MCC_MASTER!$A$5:$A$504,0))="","Chưa phân loại",INDEX(MCC_MASTER!$C$5:$C$504,MATCH($I603,MCC_MASTER!$A$5:$A$504,0))),"Chưa phân loại"))</f>
        <v/>
      </c>
      <c r="L603" s="40" t="n"/>
      <c r="M603" s="48" t="str">
        <f>IF(OR($B603="",$D603=""),"",IF($AC603=0,0,IF(ISNUMBER(INDEX(CASHBACK_RULES!$L$5:$L$304,$AC603)),MAX(0,MIN($L603,INDEX(CASHBACK_RULES!$L$5:$L$304,$AC603)-$AH603)),MAX(0,$L603))))</f>
        <v/>
      </c>
      <c r="N603" s="49" t="str">
        <f>IF(OR($B603="",$D603=""),"",IF($AC603&gt;0,INDEX(CASHBACK_RULES!$I$5:$I$304,$AC603),0))</f>
        <v/>
      </c>
      <c r="O603" s="48" t="str">
        <f>IF(OR($B603="",$D603=""),"",ROUND($M603*$N603,0))</f>
        <v/>
      </c>
      <c r="P603" s="48" t="str">
        <f>IF($AC603&gt;0,IF(ISNUMBER(INDEX(CASHBACK_RULES!$J$5:$J$304,$AC603)),INDEX(CASHBACK_RULES!$J$5:$J$304,$AC603),"∞"),"")</f>
        <v/>
      </c>
      <c r="Q603" s="48" t="str">
        <f>IF(OR($B603="",$D603=""),"",IF($AC603=0,0,MAX(0,MIN($O603,IF(ISNUMBER($P603),$P603-$AF603,1E+15),IF(ISNUMBER($AA603),$AA603-$AG603,1E+15)))))</f>
        <v/>
      </c>
      <c r="R603" s="48" t="str">
        <f>IF(OR($B603="",$D603=""),"",IF($AC603=0,"",IF(AND(NOT(ISNUMBER($P603)),NOT(ISNUMBER($AA603))),"∞",MAX(0,MIN(IF(ISNUMBER($P603),$P603-$AF603-$Q603,1E+15),IF(ISNUMBER($AA603),$AA603-$AG603-$Q603,1E+15))))))</f>
        <v/>
      </c>
      <c r="S603" s="47" t="str">
        <f>IF($AD603="","",YEAR($AD603)*100+MONTH($AD603))</f>
        <v/>
      </c>
      <c r="T603" s="50" t="str">
        <f>IF($AD603="","",IFERROR(IF(INDEX(CARDS!$I$5:$I$34,MATCH($D603,CARDS!$A$5:$A$34,0))="","",IF(INDEX(CARDS!$I$5:$I$34,MATCH($D603,CARDS!$A$5:$A$34,0))&gt;INDEX(CARDS!$H$5:$H$34,MATCH($D603,CARDS!$A$5:$A$34,0)),DATE(YEAR($AD603),MONTH($AD603),MIN(INDEX(CARDS!$I$5:$I$34,MATCH($D603,CARDS!$A$5:$A$34,0)),DAY(EOMONTH($AD603,0)))),DATE(YEAR($AD603),MONTH($AD603)+1,MIN(INDEX(CARDS!$I$5:$I$34,MATCH($D603,CARDS!$A$5:$A$34,0)),DAY(EOMONTH($AD603,1)))))),""))</f>
        <v/>
      </c>
      <c r="U603" s="38" t="n"/>
      <c r="V603" s="37" t="n"/>
      <c r="W603" s="38" t="n"/>
      <c r="X603" s="38" t="n"/>
      <c r="Y603" s="44" t="str">
        <f>IF($AC603&gt;0,INDEX(CASHBACK_RULES!$A$5:$A$304,$AC603),"")</f>
        <v/>
      </c>
      <c r="Z603" s="45" t="str">
        <f>IF($AC603&gt;0,INDEX(CASHBACK_RULES!$E$5:$E$304,$AC603)&amp;"","")</f>
        <v/>
      </c>
      <c r="AA603" s="48" t="str">
        <f>IF($AC603&gt;0,IF(ISNUMBER(INDEX(CASHBACK_RULES!$K$5:$K$304,$AC603)),INDEX(CASHBACK_RULES!$K$5:$K$304,$AC603),"∞"),"")</f>
        <v/>
      </c>
      <c r="AB603" s="44" t="str">
        <f>IF(OR($B603="",$D603=""),"",IF($U603="Cancelled","Đã hủy",IF($AC603=0,"Không được hoàn",IF($Q603=0,IF(OR($O603&gt;0,$M603&lt;$L603),"Đã đạt cap","Không được hoàn"),IF(OR($Q603&lt;$O603,$M603&lt;$L603),"Hoàn một phần","Được hoàn")))))</f>
        <v/>
      </c>
      <c r="AC603" s="43">
        <f>IF(OR($B603="",$D603="",$I603="",$L603=""),0,IF($U603="Cancelled",0,IF($W603&lt;&gt;"",IFERROR(IF(INDEX(CASHBACK_RULES!$B$5:$B$304,MATCH($W603,CASHBACK_RULES!$A$5:$A$304,0))=$D603,MATCH($W603,CASHBACK_RULES!$A$5:$A$304,0),0),0),IFERROR(MATCH(1,INDEX((CASHBACK_RULES!$B$5:$B$304=$D603)*(CASHBACK_RULES!$G$5:$G$304=$I603)*(((CASHBACK_RULES!$N$5:$N$304="")+(CASHBACK_RULES!$N$5:$N$304&lt;=$B603))&gt;0)*(((CASHBACK_RULES!$O$5:$O$304="")+(CASHBACK_RULES!$O$5:$O$304&gt;=$B603))&gt;0)*(((CASHBACK_RULES!$M$5:$M$304="")+(CASHBACK_RULES!$M$5:$M$304&lt;=$L603))&gt;0),0),0),0))))</f>
        <v>0</v>
      </c>
      <c r="AD603" s="51" t="str">
        <f>IF(OR($B603="",$D603=""),"",IFERROR(IF(INDEX(CARDS!$H$5:$H$34,MATCH($D603,CARDS!$A$5:$A$34,0))="","",IF(DAY($B603)&lt;=INDEX(CARDS!$H$5:$H$34,MATCH($D603,CARDS!$A$5:$A$34,0)),DATE(YEAR($B603),MONTH($B603),MIN(INDEX(CARDS!$H$5:$H$34,MATCH($D603,CARDS!$A$5:$A$34,0)),DAY(EOMONTH($B603,0)))),DATE(YEAR($B603),MONTH($B603)+1,MIN(INDEX(CARDS!$H$5:$H$34,MATCH($D603,CARDS!$A$5:$A$34,0)),DAY(EOMONTH($B603,1)))))),""))</f>
        <v/>
      </c>
      <c r="AE603" s="52" t="str">
        <f>IF($C603="","",$C603&amp;"|"&amp;COUNTIF($C$5:$C603,$C603))</f>
        <v/>
      </c>
      <c r="AF603" s="53">
        <f>IF($AC603&gt;0,SUMIFS(Q$4:Q602,$D$4:$D602,$D603,$Z$4:$Z602,$Z603,$C$4:$C602,$C603),0)</f>
        <v>0</v>
      </c>
      <c r="AG603" s="53">
        <f>IF($AC603&gt;0,SUMIFS(Q$4:Q602,$D$4:$D602,$D603,$C$4:$C602,$C603),0)</f>
        <v>0</v>
      </c>
      <c r="AH603" s="53">
        <f>IF($AC603&gt;0,SUMIFS(M$4:M602,$D$4:$D602,$D603,$Z$4:$Z602,$Z603,$C$4:$C602,$C603),0)</f>
        <v>0</v>
      </c>
      <c r="AI603" s="43">
        <f>IF(OR($C603="",$I603=""),0,IF(COUNTIFS($C$5:$C603,$C603,$I$5:$I603,$I603)=1,1,0))</f>
        <v>0</v>
      </c>
      <c r="AJ603" s="43" t="str">
        <f>IF($AI603=1,SUMIFS($AI$4:$AI602,$C$4:$C602,$C603)+1,"")</f>
        <v/>
      </c>
      <c r="AK603" s="43">
        <f>IF(OR($C603="",$K603=""),0,IF(COUNTIFS($C$5:$C603,$C603,$K$5:$K603,$K603)=1,1,0))</f>
        <v>0</v>
      </c>
      <c r="AL603" s="43" t="str">
        <f>IF($AK603=1,SUMIFS($AK$4:$AK602,$C$4:$C602,$C603)+1,"")</f>
        <v/>
      </c>
      <c r="AM603" s="43">
        <f>IF(OR($C603="",$G603=""),0,IF(COUNTIFS($C$5:$C603,$C603,$G$5:$G603,$G603)=1,1,0))</f>
        <v>0</v>
      </c>
      <c r="AN603" s="43" t="str">
        <f>IF($AM603=1,SUMIFS($AM$4:$AM602,$C$4:$C602,$C603)+1,"")</f>
        <v/>
      </c>
    </row>
    <row r="604">
      <c r="A604" s="44" t="str">
        <f>IF(OR($B604="",$D604=""),"","TX"&amp;TEXT(ROW()-4,"0000"))</f>
        <v/>
      </c>
      <c r="B604" s="42" t="n"/>
      <c r="C604" s="47" t="str">
        <f>IF($B604="","",YEAR($B604)*100+MONTH($B604))</f>
        <v/>
      </c>
      <c r="D604" s="37" t="n"/>
      <c r="E604" s="45" t="str">
        <f>IF($D604="","",IFERROR(INDEX(CARDS!$B$5:$B$34,MATCH($D604,CARDS!$A$5:$A$34,0)),"⚠ Card ID?"))</f>
        <v/>
      </c>
      <c r="F604" s="45" t="str">
        <f>IF($D604="","",IFERROR(INDEX(CARDS!$C$5:$C$34,MATCH($D604,CARDS!$A$5:$A$34,0)),"⚠ Card ID?"))</f>
        <v/>
      </c>
      <c r="G604" s="37" t="n"/>
      <c r="H604" s="37" t="n"/>
      <c r="I604" s="41" t="n"/>
      <c r="J604" s="45" t="str">
        <f>IF($I604="","",IFERROR(INDEX(MCC_MASTER!$B$5:$B$504,MATCH($I604,MCC_MASTER!$A$5:$A$504,0)),"⚠ MCC chưa có"))</f>
        <v/>
      </c>
      <c r="K604" s="45" t="str">
        <f>IF($I604="","",IFERROR(IF(INDEX(MCC_MASTER!$C$5:$C$504,MATCH($I604,MCC_MASTER!$A$5:$A$504,0))="","Chưa phân loại",INDEX(MCC_MASTER!$C$5:$C$504,MATCH($I604,MCC_MASTER!$A$5:$A$504,0))),"Chưa phân loại"))</f>
        <v/>
      </c>
      <c r="L604" s="40" t="n"/>
      <c r="M604" s="48" t="str">
        <f>IF(OR($B604="",$D604=""),"",IF($AC604=0,0,IF(ISNUMBER(INDEX(CASHBACK_RULES!$L$5:$L$304,$AC604)),MAX(0,MIN($L604,INDEX(CASHBACK_RULES!$L$5:$L$304,$AC604)-$AH604)),MAX(0,$L604))))</f>
        <v/>
      </c>
      <c r="N604" s="49" t="str">
        <f>IF(OR($B604="",$D604=""),"",IF($AC604&gt;0,INDEX(CASHBACK_RULES!$I$5:$I$304,$AC604),0))</f>
        <v/>
      </c>
      <c r="O604" s="48" t="str">
        <f>IF(OR($B604="",$D604=""),"",ROUND($M604*$N604,0))</f>
        <v/>
      </c>
      <c r="P604" s="48" t="str">
        <f>IF($AC604&gt;0,IF(ISNUMBER(INDEX(CASHBACK_RULES!$J$5:$J$304,$AC604)),INDEX(CASHBACK_RULES!$J$5:$J$304,$AC604),"∞"),"")</f>
        <v/>
      </c>
      <c r="Q604" s="48" t="str">
        <f>IF(OR($B604="",$D604=""),"",IF($AC604=0,0,MAX(0,MIN($O604,IF(ISNUMBER($P604),$P604-$AF604,1E+15),IF(ISNUMBER($AA604),$AA604-$AG604,1E+15)))))</f>
        <v/>
      </c>
      <c r="R604" s="48" t="str">
        <f>IF(OR($B604="",$D604=""),"",IF($AC604=0,"",IF(AND(NOT(ISNUMBER($P604)),NOT(ISNUMBER($AA604))),"∞",MAX(0,MIN(IF(ISNUMBER($P604),$P604-$AF604-$Q604,1E+15),IF(ISNUMBER($AA604),$AA604-$AG604-$Q604,1E+15))))))</f>
        <v/>
      </c>
      <c r="S604" s="47" t="str">
        <f>IF($AD604="","",YEAR($AD604)*100+MONTH($AD604))</f>
        <v/>
      </c>
      <c r="T604" s="50" t="str">
        <f>IF($AD604="","",IFERROR(IF(INDEX(CARDS!$I$5:$I$34,MATCH($D604,CARDS!$A$5:$A$34,0))="","",IF(INDEX(CARDS!$I$5:$I$34,MATCH($D604,CARDS!$A$5:$A$34,0))&gt;INDEX(CARDS!$H$5:$H$34,MATCH($D604,CARDS!$A$5:$A$34,0)),DATE(YEAR($AD604),MONTH($AD604),MIN(INDEX(CARDS!$I$5:$I$34,MATCH($D604,CARDS!$A$5:$A$34,0)),DAY(EOMONTH($AD604,0)))),DATE(YEAR($AD604),MONTH($AD604)+1,MIN(INDEX(CARDS!$I$5:$I$34,MATCH($D604,CARDS!$A$5:$A$34,0)),DAY(EOMONTH($AD604,1)))))),""))</f>
        <v/>
      </c>
      <c r="U604" s="38" t="n"/>
      <c r="V604" s="37" t="n"/>
      <c r="W604" s="38" t="n"/>
      <c r="X604" s="38" t="n"/>
      <c r="Y604" s="44" t="str">
        <f>IF($AC604&gt;0,INDEX(CASHBACK_RULES!$A$5:$A$304,$AC604),"")</f>
        <v/>
      </c>
      <c r="Z604" s="45" t="str">
        <f>IF($AC604&gt;0,INDEX(CASHBACK_RULES!$E$5:$E$304,$AC604)&amp;"","")</f>
        <v/>
      </c>
      <c r="AA604" s="48" t="str">
        <f>IF($AC604&gt;0,IF(ISNUMBER(INDEX(CASHBACK_RULES!$K$5:$K$304,$AC604)),INDEX(CASHBACK_RULES!$K$5:$K$304,$AC604),"∞"),"")</f>
        <v/>
      </c>
      <c r="AB604" s="44" t="str">
        <f>IF(OR($B604="",$D604=""),"",IF($U604="Cancelled","Đã hủy",IF($AC604=0,"Không được hoàn",IF($Q604=0,IF(OR($O604&gt;0,$M604&lt;$L604),"Đã đạt cap","Không được hoàn"),IF(OR($Q604&lt;$O604,$M604&lt;$L604),"Hoàn một phần","Được hoàn")))))</f>
        <v/>
      </c>
      <c r="AC604" s="43">
        <f>IF(OR($B604="",$D604="",$I604="",$L604=""),0,IF($U604="Cancelled",0,IF($W604&lt;&gt;"",IFERROR(IF(INDEX(CASHBACK_RULES!$B$5:$B$304,MATCH($W604,CASHBACK_RULES!$A$5:$A$304,0))=$D604,MATCH($W604,CASHBACK_RULES!$A$5:$A$304,0),0),0),IFERROR(MATCH(1,INDEX((CASHBACK_RULES!$B$5:$B$304=$D604)*(CASHBACK_RULES!$G$5:$G$304=$I604)*(((CASHBACK_RULES!$N$5:$N$304="")+(CASHBACK_RULES!$N$5:$N$304&lt;=$B604))&gt;0)*(((CASHBACK_RULES!$O$5:$O$304="")+(CASHBACK_RULES!$O$5:$O$304&gt;=$B604))&gt;0)*(((CASHBACK_RULES!$M$5:$M$304="")+(CASHBACK_RULES!$M$5:$M$304&lt;=$L604))&gt;0),0),0),0))))</f>
        <v>0</v>
      </c>
      <c r="AD604" s="51" t="str">
        <f>IF(OR($B604="",$D604=""),"",IFERROR(IF(INDEX(CARDS!$H$5:$H$34,MATCH($D604,CARDS!$A$5:$A$34,0))="","",IF(DAY($B604)&lt;=INDEX(CARDS!$H$5:$H$34,MATCH($D604,CARDS!$A$5:$A$34,0)),DATE(YEAR($B604),MONTH($B604),MIN(INDEX(CARDS!$H$5:$H$34,MATCH($D604,CARDS!$A$5:$A$34,0)),DAY(EOMONTH($B604,0)))),DATE(YEAR($B604),MONTH($B604)+1,MIN(INDEX(CARDS!$H$5:$H$34,MATCH($D604,CARDS!$A$5:$A$34,0)),DAY(EOMONTH($B604,1)))))),""))</f>
        <v/>
      </c>
      <c r="AE604" s="52" t="str">
        <f>IF($C604="","",$C604&amp;"|"&amp;COUNTIF($C$5:$C604,$C604))</f>
        <v/>
      </c>
      <c r="AF604" s="53">
        <f>IF($AC604&gt;0,SUMIFS(Q$4:Q603,$D$4:$D603,$D604,$Z$4:$Z603,$Z604,$C$4:$C603,$C604),0)</f>
        <v>0</v>
      </c>
      <c r="AG604" s="53">
        <f>IF($AC604&gt;0,SUMIFS(Q$4:Q603,$D$4:$D603,$D604,$C$4:$C603,$C604),0)</f>
        <v>0</v>
      </c>
      <c r="AH604" s="53">
        <f>IF($AC604&gt;0,SUMIFS(M$4:M603,$D$4:$D603,$D604,$Z$4:$Z603,$Z604,$C$4:$C603,$C604),0)</f>
        <v>0</v>
      </c>
      <c r="AI604" s="43">
        <f>IF(OR($C604="",$I604=""),0,IF(COUNTIFS($C$5:$C604,$C604,$I$5:$I604,$I604)=1,1,0))</f>
        <v>0</v>
      </c>
      <c r="AJ604" s="43" t="str">
        <f>IF($AI604=1,SUMIFS($AI$4:$AI603,$C$4:$C603,$C604)+1,"")</f>
        <v/>
      </c>
      <c r="AK604" s="43">
        <f>IF(OR($C604="",$K604=""),0,IF(COUNTIFS($C$5:$C604,$C604,$K$5:$K604,$K604)=1,1,0))</f>
        <v>0</v>
      </c>
      <c r="AL604" s="43" t="str">
        <f>IF($AK604=1,SUMIFS($AK$4:$AK603,$C$4:$C603,$C604)+1,"")</f>
        <v/>
      </c>
      <c r="AM604" s="43">
        <f>IF(OR($C604="",$G604=""),0,IF(COUNTIFS($C$5:$C604,$C604,$G$5:$G604,$G604)=1,1,0))</f>
        <v>0</v>
      </c>
      <c r="AN604" s="43" t="str">
        <f>IF($AM604=1,SUMIFS($AM$4:$AM603,$C$4:$C603,$C604)+1,"")</f>
        <v/>
      </c>
    </row>
    <row r="605">
      <c r="A605" s="44" t="str">
        <f>IF(OR($B605="",$D605=""),"","TX"&amp;TEXT(ROW()-4,"0000"))</f>
        <v/>
      </c>
      <c r="B605" s="42" t="n"/>
      <c r="C605" s="47" t="str">
        <f>IF($B605="","",YEAR($B605)*100+MONTH($B605))</f>
        <v/>
      </c>
      <c r="D605" s="37" t="n"/>
      <c r="E605" s="45" t="str">
        <f>IF($D605="","",IFERROR(INDEX(CARDS!$B$5:$B$34,MATCH($D605,CARDS!$A$5:$A$34,0)),"⚠ Card ID?"))</f>
        <v/>
      </c>
      <c r="F605" s="45" t="str">
        <f>IF($D605="","",IFERROR(INDEX(CARDS!$C$5:$C$34,MATCH($D605,CARDS!$A$5:$A$34,0)),"⚠ Card ID?"))</f>
        <v/>
      </c>
      <c r="G605" s="37" t="n"/>
      <c r="H605" s="37" t="n"/>
      <c r="I605" s="41" t="n"/>
      <c r="J605" s="45" t="str">
        <f>IF($I605="","",IFERROR(INDEX(MCC_MASTER!$B$5:$B$504,MATCH($I605,MCC_MASTER!$A$5:$A$504,0)),"⚠ MCC chưa có"))</f>
        <v/>
      </c>
      <c r="K605" s="45" t="str">
        <f>IF($I605="","",IFERROR(IF(INDEX(MCC_MASTER!$C$5:$C$504,MATCH($I605,MCC_MASTER!$A$5:$A$504,0))="","Chưa phân loại",INDEX(MCC_MASTER!$C$5:$C$504,MATCH($I605,MCC_MASTER!$A$5:$A$504,0))),"Chưa phân loại"))</f>
        <v/>
      </c>
      <c r="L605" s="40" t="n"/>
      <c r="M605" s="48" t="str">
        <f>IF(OR($B605="",$D605=""),"",IF($AC605=0,0,IF(ISNUMBER(INDEX(CASHBACK_RULES!$L$5:$L$304,$AC605)),MAX(0,MIN($L605,INDEX(CASHBACK_RULES!$L$5:$L$304,$AC605)-$AH605)),MAX(0,$L605))))</f>
        <v/>
      </c>
      <c r="N605" s="49" t="str">
        <f>IF(OR($B605="",$D605=""),"",IF($AC605&gt;0,INDEX(CASHBACK_RULES!$I$5:$I$304,$AC605),0))</f>
        <v/>
      </c>
      <c r="O605" s="48" t="str">
        <f>IF(OR($B605="",$D605=""),"",ROUND($M605*$N605,0))</f>
        <v/>
      </c>
      <c r="P605" s="48" t="str">
        <f>IF($AC605&gt;0,IF(ISNUMBER(INDEX(CASHBACK_RULES!$J$5:$J$304,$AC605)),INDEX(CASHBACK_RULES!$J$5:$J$304,$AC605),"∞"),"")</f>
        <v/>
      </c>
      <c r="Q605" s="48" t="str">
        <f>IF(OR($B605="",$D605=""),"",IF($AC605=0,0,MAX(0,MIN($O605,IF(ISNUMBER($P605),$P605-$AF605,1E+15),IF(ISNUMBER($AA605),$AA605-$AG605,1E+15)))))</f>
        <v/>
      </c>
      <c r="R605" s="48" t="str">
        <f>IF(OR($B605="",$D605=""),"",IF($AC605=0,"",IF(AND(NOT(ISNUMBER($P605)),NOT(ISNUMBER($AA605))),"∞",MAX(0,MIN(IF(ISNUMBER($P605),$P605-$AF605-$Q605,1E+15),IF(ISNUMBER($AA605),$AA605-$AG605-$Q605,1E+15))))))</f>
        <v/>
      </c>
      <c r="S605" s="47" t="str">
        <f>IF($AD605="","",YEAR($AD605)*100+MONTH($AD605))</f>
        <v/>
      </c>
      <c r="T605" s="50" t="str">
        <f>IF($AD605="","",IFERROR(IF(INDEX(CARDS!$I$5:$I$34,MATCH($D605,CARDS!$A$5:$A$34,0))="","",IF(INDEX(CARDS!$I$5:$I$34,MATCH($D605,CARDS!$A$5:$A$34,0))&gt;INDEX(CARDS!$H$5:$H$34,MATCH($D605,CARDS!$A$5:$A$34,0)),DATE(YEAR($AD605),MONTH($AD605),MIN(INDEX(CARDS!$I$5:$I$34,MATCH($D605,CARDS!$A$5:$A$34,0)),DAY(EOMONTH($AD605,0)))),DATE(YEAR($AD605),MONTH($AD605)+1,MIN(INDEX(CARDS!$I$5:$I$34,MATCH($D605,CARDS!$A$5:$A$34,0)),DAY(EOMONTH($AD605,1)))))),""))</f>
        <v/>
      </c>
      <c r="U605" s="38" t="n"/>
      <c r="V605" s="37" t="n"/>
      <c r="W605" s="38" t="n"/>
      <c r="X605" s="38" t="n"/>
      <c r="Y605" s="44" t="str">
        <f>IF($AC605&gt;0,INDEX(CASHBACK_RULES!$A$5:$A$304,$AC605),"")</f>
        <v/>
      </c>
      <c r="Z605" s="45" t="str">
        <f>IF($AC605&gt;0,INDEX(CASHBACK_RULES!$E$5:$E$304,$AC605)&amp;"","")</f>
        <v/>
      </c>
      <c r="AA605" s="48" t="str">
        <f>IF($AC605&gt;0,IF(ISNUMBER(INDEX(CASHBACK_RULES!$K$5:$K$304,$AC605)),INDEX(CASHBACK_RULES!$K$5:$K$304,$AC605),"∞"),"")</f>
        <v/>
      </c>
      <c r="AB605" s="44" t="str">
        <f>IF(OR($B605="",$D605=""),"",IF($U605="Cancelled","Đã hủy",IF($AC605=0,"Không được hoàn",IF($Q605=0,IF(OR($O605&gt;0,$M605&lt;$L605),"Đã đạt cap","Không được hoàn"),IF(OR($Q605&lt;$O605,$M605&lt;$L605),"Hoàn một phần","Được hoàn")))))</f>
        <v/>
      </c>
      <c r="AC605" s="43">
        <f>IF(OR($B605="",$D605="",$I605="",$L605=""),0,IF($U605="Cancelled",0,IF($W605&lt;&gt;"",IFERROR(IF(INDEX(CASHBACK_RULES!$B$5:$B$304,MATCH($W605,CASHBACK_RULES!$A$5:$A$304,0))=$D605,MATCH($W605,CASHBACK_RULES!$A$5:$A$304,0),0),0),IFERROR(MATCH(1,INDEX((CASHBACK_RULES!$B$5:$B$304=$D605)*(CASHBACK_RULES!$G$5:$G$304=$I605)*(((CASHBACK_RULES!$N$5:$N$304="")+(CASHBACK_RULES!$N$5:$N$304&lt;=$B605))&gt;0)*(((CASHBACK_RULES!$O$5:$O$304="")+(CASHBACK_RULES!$O$5:$O$304&gt;=$B605))&gt;0)*(((CASHBACK_RULES!$M$5:$M$304="")+(CASHBACK_RULES!$M$5:$M$304&lt;=$L605))&gt;0),0),0),0))))</f>
        <v>0</v>
      </c>
      <c r="AD605" s="51" t="str">
        <f>IF(OR($B605="",$D605=""),"",IFERROR(IF(INDEX(CARDS!$H$5:$H$34,MATCH($D605,CARDS!$A$5:$A$34,0))="","",IF(DAY($B605)&lt;=INDEX(CARDS!$H$5:$H$34,MATCH($D605,CARDS!$A$5:$A$34,0)),DATE(YEAR($B605),MONTH($B605),MIN(INDEX(CARDS!$H$5:$H$34,MATCH($D605,CARDS!$A$5:$A$34,0)),DAY(EOMONTH($B605,0)))),DATE(YEAR($B605),MONTH($B605)+1,MIN(INDEX(CARDS!$H$5:$H$34,MATCH($D605,CARDS!$A$5:$A$34,0)),DAY(EOMONTH($B605,1)))))),""))</f>
        <v/>
      </c>
      <c r="AE605" s="52" t="str">
        <f>IF($C605="","",$C605&amp;"|"&amp;COUNTIF($C$5:$C605,$C605))</f>
        <v/>
      </c>
      <c r="AF605" s="53">
        <f>IF($AC605&gt;0,SUMIFS(Q$4:Q604,$D$4:$D604,$D605,$Z$4:$Z604,$Z605,$C$4:$C604,$C605),0)</f>
        <v>0</v>
      </c>
      <c r="AG605" s="53">
        <f>IF($AC605&gt;0,SUMIFS(Q$4:Q604,$D$4:$D604,$D605,$C$4:$C604,$C605),0)</f>
        <v>0</v>
      </c>
      <c r="AH605" s="53">
        <f>IF($AC605&gt;0,SUMIFS(M$4:M604,$D$4:$D604,$D605,$Z$4:$Z604,$Z605,$C$4:$C604,$C605),0)</f>
        <v>0</v>
      </c>
      <c r="AI605" s="43">
        <f>IF(OR($C605="",$I605=""),0,IF(COUNTIFS($C$5:$C605,$C605,$I$5:$I605,$I605)=1,1,0))</f>
        <v>0</v>
      </c>
      <c r="AJ605" s="43" t="str">
        <f>IF($AI605=1,SUMIFS($AI$4:$AI604,$C$4:$C604,$C605)+1,"")</f>
        <v/>
      </c>
      <c r="AK605" s="43">
        <f>IF(OR($C605="",$K605=""),0,IF(COUNTIFS($C$5:$C605,$C605,$K$5:$K605,$K605)=1,1,0))</f>
        <v>0</v>
      </c>
      <c r="AL605" s="43" t="str">
        <f>IF($AK605=1,SUMIFS($AK$4:$AK604,$C$4:$C604,$C605)+1,"")</f>
        <v/>
      </c>
      <c r="AM605" s="43">
        <f>IF(OR($C605="",$G605=""),0,IF(COUNTIFS($C$5:$C605,$C605,$G$5:$G605,$G605)=1,1,0))</f>
        <v>0</v>
      </c>
      <c r="AN605" s="43" t="str">
        <f>IF($AM605=1,SUMIFS($AM$4:$AM604,$C$4:$C604,$C605)+1,"")</f>
        <v/>
      </c>
    </row>
    <row r="606">
      <c r="A606" s="44" t="str">
        <f>IF(OR($B606="",$D606=""),"","TX"&amp;TEXT(ROW()-4,"0000"))</f>
        <v/>
      </c>
      <c r="B606" s="42" t="n"/>
      <c r="C606" s="47" t="str">
        <f>IF($B606="","",YEAR($B606)*100+MONTH($B606))</f>
        <v/>
      </c>
      <c r="D606" s="37" t="n"/>
      <c r="E606" s="45" t="str">
        <f>IF($D606="","",IFERROR(INDEX(CARDS!$B$5:$B$34,MATCH($D606,CARDS!$A$5:$A$34,0)),"⚠ Card ID?"))</f>
        <v/>
      </c>
      <c r="F606" s="45" t="str">
        <f>IF($D606="","",IFERROR(INDEX(CARDS!$C$5:$C$34,MATCH($D606,CARDS!$A$5:$A$34,0)),"⚠ Card ID?"))</f>
        <v/>
      </c>
      <c r="G606" s="37" t="n"/>
      <c r="H606" s="37" t="n"/>
      <c r="I606" s="41" t="n"/>
      <c r="J606" s="45" t="str">
        <f>IF($I606="","",IFERROR(INDEX(MCC_MASTER!$B$5:$B$504,MATCH($I606,MCC_MASTER!$A$5:$A$504,0)),"⚠ MCC chưa có"))</f>
        <v/>
      </c>
      <c r="K606" s="45" t="str">
        <f>IF($I606="","",IFERROR(IF(INDEX(MCC_MASTER!$C$5:$C$504,MATCH($I606,MCC_MASTER!$A$5:$A$504,0))="","Chưa phân loại",INDEX(MCC_MASTER!$C$5:$C$504,MATCH($I606,MCC_MASTER!$A$5:$A$504,0))),"Chưa phân loại"))</f>
        <v/>
      </c>
      <c r="L606" s="40" t="n"/>
      <c r="M606" s="48" t="str">
        <f>IF(OR($B606="",$D606=""),"",IF($AC606=0,0,IF(ISNUMBER(INDEX(CASHBACK_RULES!$L$5:$L$304,$AC606)),MAX(0,MIN($L606,INDEX(CASHBACK_RULES!$L$5:$L$304,$AC606)-$AH606)),MAX(0,$L606))))</f>
        <v/>
      </c>
      <c r="N606" s="49" t="str">
        <f>IF(OR($B606="",$D606=""),"",IF($AC606&gt;0,INDEX(CASHBACK_RULES!$I$5:$I$304,$AC606),0))</f>
        <v/>
      </c>
      <c r="O606" s="48" t="str">
        <f>IF(OR($B606="",$D606=""),"",ROUND($M606*$N606,0))</f>
        <v/>
      </c>
      <c r="P606" s="48" t="str">
        <f>IF($AC606&gt;0,IF(ISNUMBER(INDEX(CASHBACK_RULES!$J$5:$J$304,$AC606)),INDEX(CASHBACK_RULES!$J$5:$J$304,$AC606),"∞"),"")</f>
        <v/>
      </c>
      <c r="Q606" s="48" t="str">
        <f>IF(OR($B606="",$D606=""),"",IF($AC606=0,0,MAX(0,MIN($O606,IF(ISNUMBER($P606),$P606-$AF606,1E+15),IF(ISNUMBER($AA606),$AA606-$AG606,1E+15)))))</f>
        <v/>
      </c>
      <c r="R606" s="48" t="str">
        <f>IF(OR($B606="",$D606=""),"",IF($AC606=0,"",IF(AND(NOT(ISNUMBER($P606)),NOT(ISNUMBER($AA606))),"∞",MAX(0,MIN(IF(ISNUMBER($P606),$P606-$AF606-$Q606,1E+15),IF(ISNUMBER($AA606),$AA606-$AG606-$Q606,1E+15))))))</f>
        <v/>
      </c>
      <c r="S606" s="47" t="str">
        <f>IF($AD606="","",YEAR($AD606)*100+MONTH($AD606))</f>
        <v/>
      </c>
      <c r="T606" s="50" t="str">
        <f>IF($AD606="","",IFERROR(IF(INDEX(CARDS!$I$5:$I$34,MATCH($D606,CARDS!$A$5:$A$34,0))="","",IF(INDEX(CARDS!$I$5:$I$34,MATCH($D606,CARDS!$A$5:$A$34,0))&gt;INDEX(CARDS!$H$5:$H$34,MATCH($D606,CARDS!$A$5:$A$34,0)),DATE(YEAR($AD606),MONTH($AD606),MIN(INDEX(CARDS!$I$5:$I$34,MATCH($D606,CARDS!$A$5:$A$34,0)),DAY(EOMONTH($AD606,0)))),DATE(YEAR($AD606),MONTH($AD606)+1,MIN(INDEX(CARDS!$I$5:$I$34,MATCH($D606,CARDS!$A$5:$A$34,0)),DAY(EOMONTH($AD606,1)))))),""))</f>
        <v/>
      </c>
      <c r="U606" s="38" t="n"/>
      <c r="V606" s="37" t="n"/>
      <c r="W606" s="38" t="n"/>
      <c r="X606" s="38" t="n"/>
      <c r="Y606" s="44" t="str">
        <f>IF($AC606&gt;0,INDEX(CASHBACK_RULES!$A$5:$A$304,$AC606),"")</f>
        <v/>
      </c>
      <c r="Z606" s="45" t="str">
        <f>IF($AC606&gt;0,INDEX(CASHBACK_RULES!$E$5:$E$304,$AC606)&amp;"","")</f>
        <v/>
      </c>
      <c r="AA606" s="48" t="str">
        <f>IF($AC606&gt;0,IF(ISNUMBER(INDEX(CASHBACK_RULES!$K$5:$K$304,$AC606)),INDEX(CASHBACK_RULES!$K$5:$K$304,$AC606),"∞"),"")</f>
        <v/>
      </c>
      <c r="AB606" s="44" t="str">
        <f>IF(OR($B606="",$D606=""),"",IF($U606="Cancelled","Đã hủy",IF($AC606=0,"Không được hoàn",IF($Q606=0,IF(OR($O606&gt;0,$M606&lt;$L606),"Đã đạt cap","Không được hoàn"),IF(OR($Q606&lt;$O606,$M606&lt;$L606),"Hoàn một phần","Được hoàn")))))</f>
        <v/>
      </c>
      <c r="AC606" s="43">
        <f>IF(OR($B606="",$D606="",$I606="",$L606=""),0,IF($U606="Cancelled",0,IF($W606&lt;&gt;"",IFERROR(IF(INDEX(CASHBACK_RULES!$B$5:$B$304,MATCH($W606,CASHBACK_RULES!$A$5:$A$304,0))=$D606,MATCH($W606,CASHBACK_RULES!$A$5:$A$304,0),0),0),IFERROR(MATCH(1,INDEX((CASHBACK_RULES!$B$5:$B$304=$D606)*(CASHBACK_RULES!$G$5:$G$304=$I606)*(((CASHBACK_RULES!$N$5:$N$304="")+(CASHBACK_RULES!$N$5:$N$304&lt;=$B606))&gt;0)*(((CASHBACK_RULES!$O$5:$O$304="")+(CASHBACK_RULES!$O$5:$O$304&gt;=$B606))&gt;0)*(((CASHBACK_RULES!$M$5:$M$304="")+(CASHBACK_RULES!$M$5:$M$304&lt;=$L606))&gt;0),0),0),0))))</f>
        <v>0</v>
      </c>
      <c r="AD606" s="51" t="str">
        <f>IF(OR($B606="",$D606=""),"",IFERROR(IF(INDEX(CARDS!$H$5:$H$34,MATCH($D606,CARDS!$A$5:$A$34,0))="","",IF(DAY($B606)&lt;=INDEX(CARDS!$H$5:$H$34,MATCH($D606,CARDS!$A$5:$A$34,0)),DATE(YEAR($B606),MONTH($B606),MIN(INDEX(CARDS!$H$5:$H$34,MATCH($D606,CARDS!$A$5:$A$34,0)),DAY(EOMONTH($B606,0)))),DATE(YEAR($B606),MONTH($B606)+1,MIN(INDEX(CARDS!$H$5:$H$34,MATCH($D606,CARDS!$A$5:$A$34,0)),DAY(EOMONTH($B606,1)))))),""))</f>
        <v/>
      </c>
      <c r="AE606" s="52" t="str">
        <f>IF($C606="","",$C606&amp;"|"&amp;COUNTIF($C$5:$C606,$C606))</f>
        <v/>
      </c>
      <c r="AF606" s="53">
        <f>IF($AC606&gt;0,SUMIFS(Q$4:Q605,$D$4:$D605,$D606,$Z$4:$Z605,$Z606,$C$4:$C605,$C606),0)</f>
        <v>0</v>
      </c>
      <c r="AG606" s="53">
        <f>IF($AC606&gt;0,SUMIFS(Q$4:Q605,$D$4:$D605,$D606,$C$4:$C605,$C606),0)</f>
        <v>0</v>
      </c>
      <c r="AH606" s="53">
        <f>IF($AC606&gt;0,SUMIFS(M$4:M605,$D$4:$D605,$D606,$Z$4:$Z605,$Z606,$C$4:$C605,$C606),0)</f>
        <v>0</v>
      </c>
      <c r="AI606" s="43">
        <f>IF(OR($C606="",$I606=""),0,IF(COUNTIFS($C$5:$C606,$C606,$I$5:$I606,$I606)=1,1,0))</f>
        <v>0</v>
      </c>
      <c r="AJ606" s="43" t="str">
        <f>IF($AI606=1,SUMIFS($AI$4:$AI605,$C$4:$C605,$C606)+1,"")</f>
        <v/>
      </c>
      <c r="AK606" s="43">
        <f>IF(OR($C606="",$K606=""),0,IF(COUNTIFS($C$5:$C606,$C606,$K$5:$K606,$K606)=1,1,0))</f>
        <v>0</v>
      </c>
      <c r="AL606" s="43" t="str">
        <f>IF($AK606=1,SUMIFS($AK$4:$AK605,$C$4:$C605,$C606)+1,"")</f>
        <v/>
      </c>
      <c r="AM606" s="43">
        <f>IF(OR($C606="",$G606=""),0,IF(COUNTIFS($C$5:$C606,$C606,$G$5:$G606,$G606)=1,1,0))</f>
        <v>0</v>
      </c>
      <c r="AN606" s="43" t="str">
        <f>IF($AM606=1,SUMIFS($AM$4:$AM605,$C$4:$C605,$C606)+1,"")</f>
        <v/>
      </c>
    </row>
    <row r="607">
      <c r="A607" s="44" t="str">
        <f>IF(OR($B607="",$D607=""),"","TX"&amp;TEXT(ROW()-4,"0000"))</f>
        <v/>
      </c>
      <c r="B607" s="42" t="n"/>
      <c r="C607" s="47" t="str">
        <f>IF($B607="","",YEAR($B607)*100+MONTH($B607))</f>
        <v/>
      </c>
      <c r="D607" s="37" t="n"/>
      <c r="E607" s="45" t="str">
        <f>IF($D607="","",IFERROR(INDEX(CARDS!$B$5:$B$34,MATCH($D607,CARDS!$A$5:$A$34,0)),"⚠ Card ID?"))</f>
        <v/>
      </c>
      <c r="F607" s="45" t="str">
        <f>IF($D607="","",IFERROR(INDEX(CARDS!$C$5:$C$34,MATCH($D607,CARDS!$A$5:$A$34,0)),"⚠ Card ID?"))</f>
        <v/>
      </c>
      <c r="G607" s="37" t="n"/>
      <c r="H607" s="37" t="n"/>
      <c r="I607" s="41" t="n"/>
      <c r="J607" s="45" t="str">
        <f>IF($I607="","",IFERROR(INDEX(MCC_MASTER!$B$5:$B$504,MATCH($I607,MCC_MASTER!$A$5:$A$504,0)),"⚠ MCC chưa có"))</f>
        <v/>
      </c>
      <c r="K607" s="45" t="str">
        <f>IF($I607="","",IFERROR(IF(INDEX(MCC_MASTER!$C$5:$C$504,MATCH($I607,MCC_MASTER!$A$5:$A$504,0))="","Chưa phân loại",INDEX(MCC_MASTER!$C$5:$C$504,MATCH($I607,MCC_MASTER!$A$5:$A$504,0))),"Chưa phân loại"))</f>
        <v/>
      </c>
      <c r="L607" s="40" t="n"/>
      <c r="M607" s="48" t="str">
        <f>IF(OR($B607="",$D607=""),"",IF($AC607=0,0,IF(ISNUMBER(INDEX(CASHBACK_RULES!$L$5:$L$304,$AC607)),MAX(0,MIN($L607,INDEX(CASHBACK_RULES!$L$5:$L$304,$AC607)-$AH607)),MAX(0,$L607))))</f>
        <v/>
      </c>
      <c r="N607" s="49" t="str">
        <f>IF(OR($B607="",$D607=""),"",IF($AC607&gt;0,INDEX(CASHBACK_RULES!$I$5:$I$304,$AC607),0))</f>
        <v/>
      </c>
      <c r="O607" s="48" t="str">
        <f>IF(OR($B607="",$D607=""),"",ROUND($M607*$N607,0))</f>
        <v/>
      </c>
      <c r="P607" s="48" t="str">
        <f>IF($AC607&gt;0,IF(ISNUMBER(INDEX(CASHBACK_RULES!$J$5:$J$304,$AC607)),INDEX(CASHBACK_RULES!$J$5:$J$304,$AC607),"∞"),"")</f>
        <v/>
      </c>
      <c r="Q607" s="48" t="str">
        <f>IF(OR($B607="",$D607=""),"",IF($AC607=0,0,MAX(0,MIN($O607,IF(ISNUMBER($P607),$P607-$AF607,1E+15),IF(ISNUMBER($AA607),$AA607-$AG607,1E+15)))))</f>
        <v/>
      </c>
      <c r="R607" s="48" t="str">
        <f>IF(OR($B607="",$D607=""),"",IF($AC607=0,"",IF(AND(NOT(ISNUMBER($P607)),NOT(ISNUMBER($AA607))),"∞",MAX(0,MIN(IF(ISNUMBER($P607),$P607-$AF607-$Q607,1E+15),IF(ISNUMBER($AA607),$AA607-$AG607-$Q607,1E+15))))))</f>
        <v/>
      </c>
      <c r="S607" s="47" t="str">
        <f>IF($AD607="","",YEAR($AD607)*100+MONTH($AD607))</f>
        <v/>
      </c>
      <c r="T607" s="50" t="str">
        <f>IF($AD607="","",IFERROR(IF(INDEX(CARDS!$I$5:$I$34,MATCH($D607,CARDS!$A$5:$A$34,0))="","",IF(INDEX(CARDS!$I$5:$I$34,MATCH($D607,CARDS!$A$5:$A$34,0))&gt;INDEX(CARDS!$H$5:$H$34,MATCH($D607,CARDS!$A$5:$A$34,0)),DATE(YEAR($AD607),MONTH($AD607),MIN(INDEX(CARDS!$I$5:$I$34,MATCH($D607,CARDS!$A$5:$A$34,0)),DAY(EOMONTH($AD607,0)))),DATE(YEAR($AD607),MONTH($AD607)+1,MIN(INDEX(CARDS!$I$5:$I$34,MATCH($D607,CARDS!$A$5:$A$34,0)),DAY(EOMONTH($AD607,1)))))),""))</f>
        <v/>
      </c>
      <c r="U607" s="38" t="n"/>
      <c r="V607" s="37" t="n"/>
      <c r="W607" s="38" t="n"/>
      <c r="X607" s="38" t="n"/>
      <c r="Y607" s="44" t="str">
        <f>IF($AC607&gt;0,INDEX(CASHBACK_RULES!$A$5:$A$304,$AC607),"")</f>
        <v/>
      </c>
      <c r="Z607" s="45" t="str">
        <f>IF($AC607&gt;0,INDEX(CASHBACK_RULES!$E$5:$E$304,$AC607)&amp;"","")</f>
        <v/>
      </c>
      <c r="AA607" s="48" t="str">
        <f>IF($AC607&gt;0,IF(ISNUMBER(INDEX(CASHBACK_RULES!$K$5:$K$304,$AC607)),INDEX(CASHBACK_RULES!$K$5:$K$304,$AC607),"∞"),"")</f>
        <v/>
      </c>
      <c r="AB607" s="44" t="str">
        <f>IF(OR($B607="",$D607=""),"",IF($U607="Cancelled","Đã hủy",IF($AC607=0,"Không được hoàn",IF($Q607=0,IF(OR($O607&gt;0,$M607&lt;$L607),"Đã đạt cap","Không được hoàn"),IF(OR($Q607&lt;$O607,$M607&lt;$L607),"Hoàn một phần","Được hoàn")))))</f>
        <v/>
      </c>
      <c r="AC607" s="43">
        <f>IF(OR($B607="",$D607="",$I607="",$L607=""),0,IF($U607="Cancelled",0,IF($W607&lt;&gt;"",IFERROR(IF(INDEX(CASHBACK_RULES!$B$5:$B$304,MATCH($W607,CASHBACK_RULES!$A$5:$A$304,0))=$D607,MATCH($W607,CASHBACK_RULES!$A$5:$A$304,0),0),0),IFERROR(MATCH(1,INDEX((CASHBACK_RULES!$B$5:$B$304=$D607)*(CASHBACK_RULES!$G$5:$G$304=$I607)*(((CASHBACK_RULES!$N$5:$N$304="")+(CASHBACK_RULES!$N$5:$N$304&lt;=$B607))&gt;0)*(((CASHBACK_RULES!$O$5:$O$304="")+(CASHBACK_RULES!$O$5:$O$304&gt;=$B607))&gt;0)*(((CASHBACK_RULES!$M$5:$M$304="")+(CASHBACK_RULES!$M$5:$M$304&lt;=$L607))&gt;0),0),0),0))))</f>
        <v>0</v>
      </c>
      <c r="AD607" s="51" t="str">
        <f>IF(OR($B607="",$D607=""),"",IFERROR(IF(INDEX(CARDS!$H$5:$H$34,MATCH($D607,CARDS!$A$5:$A$34,0))="","",IF(DAY($B607)&lt;=INDEX(CARDS!$H$5:$H$34,MATCH($D607,CARDS!$A$5:$A$34,0)),DATE(YEAR($B607),MONTH($B607),MIN(INDEX(CARDS!$H$5:$H$34,MATCH($D607,CARDS!$A$5:$A$34,0)),DAY(EOMONTH($B607,0)))),DATE(YEAR($B607),MONTH($B607)+1,MIN(INDEX(CARDS!$H$5:$H$34,MATCH($D607,CARDS!$A$5:$A$34,0)),DAY(EOMONTH($B607,1)))))),""))</f>
        <v/>
      </c>
      <c r="AE607" s="52" t="str">
        <f>IF($C607="","",$C607&amp;"|"&amp;COUNTIF($C$5:$C607,$C607))</f>
        <v/>
      </c>
      <c r="AF607" s="53">
        <f>IF($AC607&gt;0,SUMIFS(Q$4:Q606,$D$4:$D606,$D607,$Z$4:$Z606,$Z607,$C$4:$C606,$C607),0)</f>
        <v>0</v>
      </c>
      <c r="AG607" s="53">
        <f>IF($AC607&gt;0,SUMIFS(Q$4:Q606,$D$4:$D606,$D607,$C$4:$C606,$C607),0)</f>
        <v>0</v>
      </c>
      <c r="AH607" s="53">
        <f>IF($AC607&gt;0,SUMIFS(M$4:M606,$D$4:$D606,$D607,$Z$4:$Z606,$Z607,$C$4:$C606,$C607),0)</f>
        <v>0</v>
      </c>
      <c r="AI607" s="43">
        <f>IF(OR($C607="",$I607=""),0,IF(COUNTIFS($C$5:$C607,$C607,$I$5:$I607,$I607)=1,1,0))</f>
        <v>0</v>
      </c>
      <c r="AJ607" s="43" t="str">
        <f>IF($AI607=1,SUMIFS($AI$4:$AI606,$C$4:$C606,$C607)+1,"")</f>
        <v/>
      </c>
      <c r="AK607" s="43">
        <f>IF(OR($C607="",$K607=""),0,IF(COUNTIFS($C$5:$C607,$C607,$K$5:$K607,$K607)=1,1,0))</f>
        <v>0</v>
      </c>
      <c r="AL607" s="43" t="str">
        <f>IF($AK607=1,SUMIFS($AK$4:$AK606,$C$4:$C606,$C607)+1,"")</f>
        <v/>
      </c>
      <c r="AM607" s="43">
        <f>IF(OR($C607="",$G607=""),0,IF(COUNTIFS($C$5:$C607,$C607,$G$5:$G607,$G607)=1,1,0))</f>
        <v>0</v>
      </c>
      <c r="AN607" s="43" t="str">
        <f>IF($AM607=1,SUMIFS($AM$4:$AM606,$C$4:$C606,$C607)+1,"")</f>
        <v/>
      </c>
    </row>
    <row r="608">
      <c r="A608" s="44" t="str">
        <f>IF(OR($B608="",$D608=""),"","TX"&amp;TEXT(ROW()-4,"0000"))</f>
        <v/>
      </c>
      <c r="B608" s="42" t="n"/>
      <c r="C608" s="47" t="str">
        <f>IF($B608="","",YEAR($B608)*100+MONTH($B608))</f>
        <v/>
      </c>
      <c r="D608" s="37" t="n"/>
      <c r="E608" s="45" t="str">
        <f>IF($D608="","",IFERROR(INDEX(CARDS!$B$5:$B$34,MATCH($D608,CARDS!$A$5:$A$34,0)),"⚠ Card ID?"))</f>
        <v/>
      </c>
      <c r="F608" s="45" t="str">
        <f>IF($D608="","",IFERROR(INDEX(CARDS!$C$5:$C$34,MATCH($D608,CARDS!$A$5:$A$34,0)),"⚠ Card ID?"))</f>
        <v/>
      </c>
      <c r="G608" s="37" t="n"/>
      <c r="H608" s="37" t="n"/>
      <c r="I608" s="41" t="n"/>
      <c r="J608" s="45" t="str">
        <f>IF($I608="","",IFERROR(INDEX(MCC_MASTER!$B$5:$B$504,MATCH($I608,MCC_MASTER!$A$5:$A$504,0)),"⚠ MCC chưa có"))</f>
        <v/>
      </c>
      <c r="K608" s="45" t="str">
        <f>IF($I608="","",IFERROR(IF(INDEX(MCC_MASTER!$C$5:$C$504,MATCH($I608,MCC_MASTER!$A$5:$A$504,0))="","Chưa phân loại",INDEX(MCC_MASTER!$C$5:$C$504,MATCH($I608,MCC_MASTER!$A$5:$A$504,0))),"Chưa phân loại"))</f>
        <v/>
      </c>
      <c r="L608" s="40" t="n"/>
      <c r="M608" s="48" t="str">
        <f>IF(OR($B608="",$D608=""),"",IF($AC608=0,0,IF(ISNUMBER(INDEX(CASHBACK_RULES!$L$5:$L$304,$AC608)),MAX(0,MIN($L608,INDEX(CASHBACK_RULES!$L$5:$L$304,$AC608)-$AH608)),MAX(0,$L608))))</f>
        <v/>
      </c>
      <c r="N608" s="49" t="str">
        <f>IF(OR($B608="",$D608=""),"",IF($AC608&gt;0,INDEX(CASHBACK_RULES!$I$5:$I$304,$AC608),0))</f>
        <v/>
      </c>
      <c r="O608" s="48" t="str">
        <f>IF(OR($B608="",$D608=""),"",ROUND($M608*$N608,0))</f>
        <v/>
      </c>
      <c r="P608" s="48" t="str">
        <f>IF($AC608&gt;0,IF(ISNUMBER(INDEX(CASHBACK_RULES!$J$5:$J$304,$AC608)),INDEX(CASHBACK_RULES!$J$5:$J$304,$AC608),"∞"),"")</f>
        <v/>
      </c>
      <c r="Q608" s="48" t="str">
        <f>IF(OR($B608="",$D608=""),"",IF($AC608=0,0,MAX(0,MIN($O608,IF(ISNUMBER($P608),$P608-$AF608,1E+15),IF(ISNUMBER($AA608),$AA608-$AG608,1E+15)))))</f>
        <v/>
      </c>
      <c r="R608" s="48" t="str">
        <f>IF(OR($B608="",$D608=""),"",IF($AC608=0,"",IF(AND(NOT(ISNUMBER($P608)),NOT(ISNUMBER($AA608))),"∞",MAX(0,MIN(IF(ISNUMBER($P608),$P608-$AF608-$Q608,1E+15),IF(ISNUMBER($AA608),$AA608-$AG608-$Q608,1E+15))))))</f>
        <v/>
      </c>
      <c r="S608" s="47" t="str">
        <f>IF($AD608="","",YEAR($AD608)*100+MONTH($AD608))</f>
        <v/>
      </c>
      <c r="T608" s="50" t="str">
        <f>IF($AD608="","",IFERROR(IF(INDEX(CARDS!$I$5:$I$34,MATCH($D608,CARDS!$A$5:$A$34,0))="","",IF(INDEX(CARDS!$I$5:$I$34,MATCH($D608,CARDS!$A$5:$A$34,0))&gt;INDEX(CARDS!$H$5:$H$34,MATCH($D608,CARDS!$A$5:$A$34,0)),DATE(YEAR($AD608),MONTH($AD608),MIN(INDEX(CARDS!$I$5:$I$34,MATCH($D608,CARDS!$A$5:$A$34,0)),DAY(EOMONTH($AD608,0)))),DATE(YEAR($AD608),MONTH($AD608)+1,MIN(INDEX(CARDS!$I$5:$I$34,MATCH($D608,CARDS!$A$5:$A$34,0)),DAY(EOMONTH($AD608,1)))))),""))</f>
        <v/>
      </c>
      <c r="U608" s="38" t="n"/>
      <c r="V608" s="37" t="n"/>
      <c r="W608" s="38" t="n"/>
      <c r="X608" s="38" t="n"/>
      <c r="Y608" s="44" t="str">
        <f>IF($AC608&gt;0,INDEX(CASHBACK_RULES!$A$5:$A$304,$AC608),"")</f>
        <v/>
      </c>
      <c r="Z608" s="45" t="str">
        <f>IF($AC608&gt;0,INDEX(CASHBACK_RULES!$E$5:$E$304,$AC608)&amp;"","")</f>
        <v/>
      </c>
      <c r="AA608" s="48" t="str">
        <f>IF($AC608&gt;0,IF(ISNUMBER(INDEX(CASHBACK_RULES!$K$5:$K$304,$AC608)),INDEX(CASHBACK_RULES!$K$5:$K$304,$AC608),"∞"),"")</f>
        <v/>
      </c>
      <c r="AB608" s="44" t="str">
        <f>IF(OR($B608="",$D608=""),"",IF($U608="Cancelled","Đã hủy",IF($AC608=0,"Không được hoàn",IF($Q608=0,IF(OR($O608&gt;0,$M608&lt;$L608),"Đã đạt cap","Không được hoàn"),IF(OR($Q608&lt;$O608,$M608&lt;$L608),"Hoàn một phần","Được hoàn")))))</f>
        <v/>
      </c>
      <c r="AC608" s="43">
        <f>IF(OR($B608="",$D608="",$I608="",$L608=""),0,IF($U608="Cancelled",0,IF($W608&lt;&gt;"",IFERROR(IF(INDEX(CASHBACK_RULES!$B$5:$B$304,MATCH($W608,CASHBACK_RULES!$A$5:$A$304,0))=$D608,MATCH($W608,CASHBACK_RULES!$A$5:$A$304,0),0),0),IFERROR(MATCH(1,INDEX((CASHBACK_RULES!$B$5:$B$304=$D608)*(CASHBACK_RULES!$G$5:$G$304=$I608)*(((CASHBACK_RULES!$N$5:$N$304="")+(CASHBACK_RULES!$N$5:$N$304&lt;=$B608))&gt;0)*(((CASHBACK_RULES!$O$5:$O$304="")+(CASHBACK_RULES!$O$5:$O$304&gt;=$B608))&gt;0)*(((CASHBACK_RULES!$M$5:$M$304="")+(CASHBACK_RULES!$M$5:$M$304&lt;=$L608))&gt;0),0),0),0))))</f>
        <v>0</v>
      </c>
      <c r="AD608" s="51" t="str">
        <f>IF(OR($B608="",$D608=""),"",IFERROR(IF(INDEX(CARDS!$H$5:$H$34,MATCH($D608,CARDS!$A$5:$A$34,0))="","",IF(DAY($B608)&lt;=INDEX(CARDS!$H$5:$H$34,MATCH($D608,CARDS!$A$5:$A$34,0)),DATE(YEAR($B608),MONTH($B608),MIN(INDEX(CARDS!$H$5:$H$34,MATCH($D608,CARDS!$A$5:$A$34,0)),DAY(EOMONTH($B608,0)))),DATE(YEAR($B608),MONTH($B608)+1,MIN(INDEX(CARDS!$H$5:$H$34,MATCH($D608,CARDS!$A$5:$A$34,0)),DAY(EOMONTH($B608,1)))))),""))</f>
        <v/>
      </c>
      <c r="AE608" s="52" t="str">
        <f>IF($C608="","",$C608&amp;"|"&amp;COUNTIF($C$5:$C608,$C608))</f>
        <v/>
      </c>
      <c r="AF608" s="53">
        <f>IF($AC608&gt;0,SUMIFS(Q$4:Q607,$D$4:$D607,$D608,$Z$4:$Z607,$Z608,$C$4:$C607,$C608),0)</f>
        <v>0</v>
      </c>
      <c r="AG608" s="53">
        <f>IF($AC608&gt;0,SUMIFS(Q$4:Q607,$D$4:$D607,$D608,$C$4:$C607,$C608),0)</f>
        <v>0</v>
      </c>
      <c r="AH608" s="53">
        <f>IF($AC608&gt;0,SUMIFS(M$4:M607,$D$4:$D607,$D608,$Z$4:$Z607,$Z608,$C$4:$C607,$C608),0)</f>
        <v>0</v>
      </c>
      <c r="AI608" s="43">
        <f>IF(OR($C608="",$I608=""),0,IF(COUNTIFS($C$5:$C608,$C608,$I$5:$I608,$I608)=1,1,0))</f>
        <v>0</v>
      </c>
      <c r="AJ608" s="43" t="str">
        <f>IF($AI608=1,SUMIFS($AI$4:$AI607,$C$4:$C607,$C608)+1,"")</f>
        <v/>
      </c>
      <c r="AK608" s="43">
        <f>IF(OR($C608="",$K608=""),0,IF(COUNTIFS($C$5:$C608,$C608,$K$5:$K608,$K608)=1,1,0))</f>
        <v>0</v>
      </c>
      <c r="AL608" s="43" t="str">
        <f>IF($AK608=1,SUMIFS($AK$4:$AK607,$C$4:$C607,$C608)+1,"")</f>
        <v/>
      </c>
      <c r="AM608" s="43">
        <f>IF(OR($C608="",$G608=""),0,IF(COUNTIFS($C$5:$C608,$C608,$G$5:$G608,$G608)=1,1,0))</f>
        <v>0</v>
      </c>
      <c r="AN608" s="43" t="str">
        <f>IF($AM608=1,SUMIFS($AM$4:$AM607,$C$4:$C607,$C608)+1,"")</f>
        <v/>
      </c>
    </row>
    <row r="609">
      <c r="A609" s="44" t="str">
        <f>IF(OR($B609="",$D609=""),"","TX"&amp;TEXT(ROW()-4,"0000"))</f>
        <v/>
      </c>
      <c r="B609" s="42" t="n"/>
      <c r="C609" s="47" t="str">
        <f>IF($B609="","",YEAR($B609)*100+MONTH($B609))</f>
        <v/>
      </c>
      <c r="D609" s="37" t="n"/>
      <c r="E609" s="45" t="str">
        <f>IF($D609="","",IFERROR(INDEX(CARDS!$B$5:$B$34,MATCH($D609,CARDS!$A$5:$A$34,0)),"⚠ Card ID?"))</f>
        <v/>
      </c>
      <c r="F609" s="45" t="str">
        <f>IF($D609="","",IFERROR(INDEX(CARDS!$C$5:$C$34,MATCH($D609,CARDS!$A$5:$A$34,0)),"⚠ Card ID?"))</f>
        <v/>
      </c>
      <c r="G609" s="37" t="n"/>
      <c r="H609" s="37" t="n"/>
      <c r="I609" s="41" t="n"/>
      <c r="J609" s="45" t="str">
        <f>IF($I609="","",IFERROR(INDEX(MCC_MASTER!$B$5:$B$504,MATCH($I609,MCC_MASTER!$A$5:$A$504,0)),"⚠ MCC chưa có"))</f>
        <v/>
      </c>
      <c r="K609" s="45" t="str">
        <f>IF($I609="","",IFERROR(IF(INDEX(MCC_MASTER!$C$5:$C$504,MATCH($I609,MCC_MASTER!$A$5:$A$504,0))="","Chưa phân loại",INDEX(MCC_MASTER!$C$5:$C$504,MATCH($I609,MCC_MASTER!$A$5:$A$504,0))),"Chưa phân loại"))</f>
        <v/>
      </c>
      <c r="L609" s="40" t="n"/>
      <c r="M609" s="48" t="str">
        <f>IF(OR($B609="",$D609=""),"",IF($AC609=0,0,IF(ISNUMBER(INDEX(CASHBACK_RULES!$L$5:$L$304,$AC609)),MAX(0,MIN($L609,INDEX(CASHBACK_RULES!$L$5:$L$304,$AC609)-$AH609)),MAX(0,$L609))))</f>
        <v/>
      </c>
      <c r="N609" s="49" t="str">
        <f>IF(OR($B609="",$D609=""),"",IF($AC609&gt;0,INDEX(CASHBACK_RULES!$I$5:$I$304,$AC609),0))</f>
        <v/>
      </c>
      <c r="O609" s="48" t="str">
        <f>IF(OR($B609="",$D609=""),"",ROUND($M609*$N609,0))</f>
        <v/>
      </c>
      <c r="P609" s="48" t="str">
        <f>IF($AC609&gt;0,IF(ISNUMBER(INDEX(CASHBACK_RULES!$J$5:$J$304,$AC609)),INDEX(CASHBACK_RULES!$J$5:$J$304,$AC609),"∞"),"")</f>
        <v/>
      </c>
      <c r="Q609" s="48" t="str">
        <f>IF(OR($B609="",$D609=""),"",IF($AC609=0,0,MAX(0,MIN($O609,IF(ISNUMBER($P609),$P609-$AF609,1E+15),IF(ISNUMBER($AA609),$AA609-$AG609,1E+15)))))</f>
        <v/>
      </c>
      <c r="R609" s="48" t="str">
        <f>IF(OR($B609="",$D609=""),"",IF($AC609=0,"",IF(AND(NOT(ISNUMBER($P609)),NOT(ISNUMBER($AA609))),"∞",MAX(0,MIN(IF(ISNUMBER($P609),$P609-$AF609-$Q609,1E+15),IF(ISNUMBER($AA609),$AA609-$AG609-$Q609,1E+15))))))</f>
        <v/>
      </c>
      <c r="S609" s="47" t="str">
        <f>IF($AD609="","",YEAR($AD609)*100+MONTH($AD609))</f>
        <v/>
      </c>
      <c r="T609" s="50" t="str">
        <f>IF($AD609="","",IFERROR(IF(INDEX(CARDS!$I$5:$I$34,MATCH($D609,CARDS!$A$5:$A$34,0))="","",IF(INDEX(CARDS!$I$5:$I$34,MATCH($D609,CARDS!$A$5:$A$34,0))&gt;INDEX(CARDS!$H$5:$H$34,MATCH($D609,CARDS!$A$5:$A$34,0)),DATE(YEAR($AD609),MONTH($AD609),MIN(INDEX(CARDS!$I$5:$I$34,MATCH($D609,CARDS!$A$5:$A$34,0)),DAY(EOMONTH($AD609,0)))),DATE(YEAR($AD609),MONTH($AD609)+1,MIN(INDEX(CARDS!$I$5:$I$34,MATCH($D609,CARDS!$A$5:$A$34,0)),DAY(EOMONTH($AD609,1)))))),""))</f>
        <v/>
      </c>
      <c r="U609" s="38" t="n"/>
      <c r="V609" s="37" t="n"/>
      <c r="W609" s="38" t="n"/>
      <c r="X609" s="38" t="n"/>
      <c r="Y609" s="44" t="str">
        <f>IF($AC609&gt;0,INDEX(CASHBACK_RULES!$A$5:$A$304,$AC609),"")</f>
        <v/>
      </c>
      <c r="Z609" s="45" t="str">
        <f>IF($AC609&gt;0,INDEX(CASHBACK_RULES!$E$5:$E$304,$AC609)&amp;"","")</f>
        <v/>
      </c>
      <c r="AA609" s="48" t="str">
        <f>IF($AC609&gt;0,IF(ISNUMBER(INDEX(CASHBACK_RULES!$K$5:$K$304,$AC609)),INDEX(CASHBACK_RULES!$K$5:$K$304,$AC609),"∞"),"")</f>
        <v/>
      </c>
      <c r="AB609" s="44" t="str">
        <f>IF(OR($B609="",$D609=""),"",IF($U609="Cancelled","Đã hủy",IF($AC609=0,"Không được hoàn",IF($Q609=0,IF(OR($O609&gt;0,$M609&lt;$L609),"Đã đạt cap","Không được hoàn"),IF(OR($Q609&lt;$O609,$M609&lt;$L609),"Hoàn một phần","Được hoàn")))))</f>
        <v/>
      </c>
      <c r="AC609" s="43">
        <f>IF(OR($B609="",$D609="",$I609="",$L609=""),0,IF($U609="Cancelled",0,IF($W609&lt;&gt;"",IFERROR(IF(INDEX(CASHBACK_RULES!$B$5:$B$304,MATCH($W609,CASHBACK_RULES!$A$5:$A$304,0))=$D609,MATCH($W609,CASHBACK_RULES!$A$5:$A$304,0),0),0),IFERROR(MATCH(1,INDEX((CASHBACK_RULES!$B$5:$B$304=$D609)*(CASHBACK_RULES!$G$5:$G$304=$I609)*(((CASHBACK_RULES!$N$5:$N$304="")+(CASHBACK_RULES!$N$5:$N$304&lt;=$B609))&gt;0)*(((CASHBACK_RULES!$O$5:$O$304="")+(CASHBACK_RULES!$O$5:$O$304&gt;=$B609))&gt;0)*(((CASHBACK_RULES!$M$5:$M$304="")+(CASHBACK_RULES!$M$5:$M$304&lt;=$L609))&gt;0),0),0),0))))</f>
        <v>0</v>
      </c>
      <c r="AD609" s="51" t="str">
        <f>IF(OR($B609="",$D609=""),"",IFERROR(IF(INDEX(CARDS!$H$5:$H$34,MATCH($D609,CARDS!$A$5:$A$34,0))="","",IF(DAY($B609)&lt;=INDEX(CARDS!$H$5:$H$34,MATCH($D609,CARDS!$A$5:$A$34,0)),DATE(YEAR($B609),MONTH($B609),MIN(INDEX(CARDS!$H$5:$H$34,MATCH($D609,CARDS!$A$5:$A$34,0)),DAY(EOMONTH($B609,0)))),DATE(YEAR($B609),MONTH($B609)+1,MIN(INDEX(CARDS!$H$5:$H$34,MATCH($D609,CARDS!$A$5:$A$34,0)),DAY(EOMONTH($B609,1)))))),""))</f>
        <v/>
      </c>
      <c r="AE609" s="52" t="str">
        <f>IF($C609="","",$C609&amp;"|"&amp;COUNTIF($C$5:$C609,$C609))</f>
        <v/>
      </c>
      <c r="AF609" s="53">
        <f>IF($AC609&gt;0,SUMIFS(Q$4:Q608,$D$4:$D608,$D609,$Z$4:$Z608,$Z609,$C$4:$C608,$C609),0)</f>
        <v>0</v>
      </c>
      <c r="AG609" s="53">
        <f>IF($AC609&gt;0,SUMIFS(Q$4:Q608,$D$4:$D608,$D609,$C$4:$C608,$C609),0)</f>
        <v>0</v>
      </c>
      <c r="AH609" s="53">
        <f>IF($AC609&gt;0,SUMIFS(M$4:M608,$D$4:$D608,$D609,$Z$4:$Z608,$Z609,$C$4:$C608,$C609),0)</f>
        <v>0</v>
      </c>
      <c r="AI609" s="43">
        <f>IF(OR($C609="",$I609=""),0,IF(COUNTIFS($C$5:$C609,$C609,$I$5:$I609,$I609)=1,1,0))</f>
        <v>0</v>
      </c>
      <c r="AJ609" s="43" t="str">
        <f>IF($AI609=1,SUMIFS($AI$4:$AI608,$C$4:$C608,$C609)+1,"")</f>
        <v/>
      </c>
      <c r="AK609" s="43">
        <f>IF(OR($C609="",$K609=""),0,IF(COUNTIFS($C$5:$C609,$C609,$K$5:$K609,$K609)=1,1,0))</f>
        <v>0</v>
      </c>
      <c r="AL609" s="43" t="str">
        <f>IF($AK609=1,SUMIFS($AK$4:$AK608,$C$4:$C608,$C609)+1,"")</f>
        <v/>
      </c>
      <c r="AM609" s="43">
        <f>IF(OR($C609="",$G609=""),0,IF(COUNTIFS($C$5:$C609,$C609,$G$5:$G609,$G609)=1,1,0))</f>
        <v>0</v>
      </c>
      <c r="AN609" s="43" t="str">
        <f>IF($AM609=1,SUMIFS($AM$4:$AM608,$C$4:$C608,$C609)+1,"")</f>
        <v/>
      </c>
    </row>
    <row r="610">
      <c r="A610" s="44" t="str">
        <f>IF(OR($B610="",$D610=""),"","TX"&amp;TEXT(ROW()-4,"0000"))</f>
        <v/>
      </c>
      <c r="B610" s="42" t="n"/>
      <c r="C610" s="47" t="str">
        <f>IF($B610="","",YEAR($B610)*100+MONTH($B610))</f>
        <v/>
      </c>
      <c r="D610" s="37" t="n"/>
      <c r="E610" s="45" t="str">
        <f>IF($D610="","",IFERROR(INDEX(CARDS!$B$5:$B$34,MATCH($D610,CARDS!$A$5:$A$34,0)),"⚠ Card ID?"))</f>
        <v/>
      </c>
      <c r="F610" s="45" t="str">
        <f>IF($D610="","",IFERROR(INDEX(CARDS!$C$5:$C$34,MATCH($D610,CARDS!$A$5:$A$34,0)),"⚠ Card ID?"))</f>
        <v/>
      </c>
      <c r="G610" s="37" t="n"/>
      <c r="H610" s="37" t="n"/>
      <c r="I610" s="41" t="n"/>
      <c r="J610" s="45" t="str">
        <f>IF($I610="","",IFERROR(INDEX(MCC_MASTER!$B$5:$B$504,MATCH($I610,MCC_MASTER!$A$5:$A$504,0)),"⚠ MCC chưa có"))</f>
        <v/>
      </c>
      <c r="K610" s="45" t="str">
        <f>IF($I610="","",IFERROR(IF(INDEX(MCC_MASTER!$C$5:$C$504,MATCH($I610,MCC_MASTER!$A$5:$A$504,0))="","Chưa phân loại",INDEX(MCC_MASTER!$C$5:$C$504,MATCH($I610,MCC_MASTER!$A$5:$A$504,0))),"Chưa phân loại"))</f>
        <v/>
      </c>
      <c r="L610" s="40" t="n"/>
      <c r="M610" s="48" t="str">
        <f>IF(OR($B610="",$D610=""),"",IF($AC610=0,0,IF(ISNUMBER(INDEX(CASHBACK_RULES!$L$5:$L$304,$AC610)),MAX(0,MIN($L610,INDEX(CASHBACK_RULES!$L$5:$L$304,$AC610)-$AH610)),MAX(0,$L610))))</f>
        <v/>
      </c>
      <c r="N610" s="49" t="str">
        <f>IF(OR($B610="",$D610=""),"",IF($AC610&gt;0,INDEX(CASHBACK_RULES!$I$5:$I$304,$AC610),0))</f>
        <v/>
      </c>
      <c r="O610" s="48" t="str">
        <f>IF(OR($B610="",$D610=""),"",ROUND($M610*$N610,0))</f>
        <v/>
      </c>
      <c r="P610" s="48" t="str">
        <f>IF($AC610&gt;0,IF(ISNUMBER(INDEX(CASHBACK_RULES!$J$5:$J$304,$AC610)),INDEX(CASHBACK_RULES!$J$5:$J$304,$AC610),"∞"),"")</f>
        <v/>
      </c>
      <c r="Q610" s="48" t="str">
        <f>IF(OR($B610="",$D610=""),"",IF($AC610=0,0,MAX(0,MIN($O610,IF(ISNUMBER($P610),$P610-$AF610,1E+15),IF(ISNUMBER($AA610),$AA610-$AG610,1E+15)))))</f>
        <v/>
      </c>
      <c r="R610" s="48" t="str">
        <f>IF(OR($B610="",$D610=""),"",IF($AC610=0,"",IF(AND(NOT(ISNUMBER($P610)),NOT(ISNUMBER($AA610))),"∞",MAX(0,MIN(IF(ISNUMBER($P610),$P610-$AF610-$Q610,1E+15),IF(ISNUMBER($AA610),$AA610-$AG610-$Q610,1E+15))))))</f>
        <v/>
      </c>
      <c r="S610" s="47" t="str">
        <f>IF($AD610="","",YEAR($AD610)*100+MONTH($AD610))</f>
        <v/>
      </c>
      <c r="T610" s="50" t="str">
        <f>IF($AD610="","",IFERROR(IF(INDEX(CARDS!$I$5:$I$34,MATCH($D610,CARDS!$A$5:$A$34,0))="","",IF(INDEX(CARDS!$I$5:$I$34,MATCH($D610,CARDS!$A$5:$A$34,0))&gt;INDEX(CARDS!$H$5:$H$34,MATCH($D610,CARDS!$A$5:$A$34,0)),DATE(YEAR($AD610),MONTH($AD610),MIN(INDEX(CARDS!$I$5:$I$34,MATCH($D610,CARDS!$A$5:$A$34,0)),DAY(EOMONTH($AD610,0)))),DATE(YEAR($AD610),MONTH($AD610)+1,MIN(INDEX(CARDS!$I$5:$I$34,MATCH($D610,CARDS!$A$5:$A$34,0)),DAY(EOMONTH($AD610,1)))))),""))</f>
        <v/>
      </c>
      <c r="U610" s="38" t="n"/>
      <c r="V610" s="37" t="n"/>
      <c r="W610" s="38" t="n"/>
      <c r="X610" s="38" t="n"/>
      <c r="Y610" s="44" t="str">
        <f>IF($AC610&gt;0,INDEX(CASHBACK_RULES!$A$5:$A$304,$AC610),"")</f>
        <v/>
      </c>
      <c r="Z610" s="45" t="str">
        <f>IF($AC610&gt;0,INDEX(CASHBACK_RULES!$E$5:$E$304,$AC610)&amp;"","")</f>
        <v/>
      </c>
      <c r="AA610" s="48" t="str">
        <f>IF($AC610&gt;0,IF(ISNUMBER(INDEX(CASHBACK_RULES!$K$5:$K$304,$AC610)),INDEX(CASHBACK_RULES!$K$5:$K$304,$AC610),"∞"),"")</f>
        <v/>
      </c>
      <c r="AB610" s="44" t="str">
        <f>IF(OR($B610="",$D610=""),"",IF($U610="Cancelled","Đã hủy",IF($AC610=0,"Không được hoàn",IF($Q610=0,IF(OR($O610&gt;0,$M610&lt;$L610),"Đã đạt cap","Không được hoàn"),IF(OR($Q610&lt;$O610,$M610&lt;$L610),"Hoàn một phần","Được hoàn")))))</f>
        <v/>
      </c>
      <c r="AC610" s="43">
        <f>IF(OR($B610="",$D610="",$I610="",$L610=""),0,IF($U610="Cancelled",0,IF($W610&lt;&gt;"",IFERROR(IF(INDEX(CASHBACK_RULES!$B$5:$B$304,MATCH($W610,CASHBACK_RULES!$A$5:$A$304,0))=$D610,MATCH($W610,CASHBACK_RULES!$A$5:$A$304,0),0),0),IFERROR(MATCH(1,INDEX((CASHBACK_RULES!$B$5:$B$304=$D610)*(CASHBACK_RULES!$G$5:$G$304=$I610)*(((CASHBACK_RULES!$N$5:$N$304="")+(CASHBACK_RULES!$N$5:$N$304&lt;=$B610))&gt;0)*(((CASHBACK_RULES!$O$5:$O$304="")+(CASHBACK_RULES!$O$5:$O$304&gt;=$B610))&gt;0)*(((CASHBACK_RULES!$M$5:$M$304="")+(CASHBACK_RULES!$M$5:$M$304&lt;=$L610))&gt;0),0),0),0))))</f>
        <v>0</v>
      </c>
      <c r="AD610" s="51" t="str">
        <f>IF(OR($B610="",$D610=""),"",IFERROR(IF(INDEX(CARDS!$H$5:$H$34,MATCH($D610,CARDS!$A$5:$A$34,0))="","",IF(DAY($B610)&lt;=INDEX(CARDS!$H$5:$H$34,MATCH($D610,CARDS!$A$5:$A$34,0)),DATE(YEAR($B610),MONTH($B610),MIN(INDEX(CARDS!$H$5:$H$34,MATCH($D610,CARDS!$A$5:$A$34,0)),DAY(EOMONTH($B610,0)))),DATE(YEAR($B610),MONTH($B610)+1,MIN(INDEX(CARDS!$H$5:$H$34,MATCH($D610,CARDS!$A$5:$A$34,0)),DAY(EOMONTH($B610,1)))))),""))</f>
        <v/>
      </c>
      <c r="AE610" s="52" t="str">
        <f>IF($C610="","",$C610&amp;"|"&amp;COUNTIF($C$5:$C610,$C610))</f>
        <v/>
      </c>
      <c r="AF610" s="53">
        <f>IF($AC610&gt;0,SUMIFS(Q$4:Q609,$D$4:$D609,$D610,$Z$4:$Z609,$Z610,$C$4:$C609,$C610),0)</f>
        <v>0</v>
      </c>
      <c r="AG610" s="53">
        <f>IF($AC610&gt;0,SUMIFS(Q$4:Q609,$D$4:$D609,$D610,$C$4:$C609,$C610),0)</f>
        <v>0</v>
      </c>
      <c r="AH610" s="53">
        <f>IF($AC610&gt;0,SUMIFS(M$4:M609,$D$4:$D609,$D610,$Z$4:$Z609,$Z610,$C$4:$C609,$C610),0)</f>
        <v>0</v>
      </c>
      <c r="AI610" s="43">
        <f>IF(OR($C610="",$I610=""),0,IF(COUNTIFS($C$5:$C610,$C610,$I$5:$I610,$I610)=1,1,0))</f>
        <v>0</v>
      </c>
      <c r="AJ610" s="43" t="str">
        <f>IF($AI610=1,SUMIFS($AI$4:$AI609,$C$4:$C609,$C610)+1,"")</f>
        <v/>
      </c>
      <c r="AK610" s="43">
        <f>IF(OR($C610="",$K610=""),0,IF(COUNTIFS($C$5:$C610,$C610,$K$5:$K610,$K610)=1,1,0))</f>
        <v>0</v>
      </c>
      <c r="AL610" s="43" t="str">
        <f>IF($AK610=1,SUMIFS($AK$4:$AK609,$C$4:$C609,$C610)+1,"")</f>
        <v/>
      </c>
      <c r="AM610" s="43">
        <f>IF(OR($C610="",$G610=""),0,IF(COUNTIFS($C$5:$C610,$C610,$G$5:$G610,$G610)=1,1,0))</f>
        <v>0</v>
      </c>
      <c r="AN610" s="43" t="str">
        <f>IF($AM610=1,SUMIFS($AM$4:$AM609,$C$4:$C609,$C610)+1,"")</f>
        <v/>
      </c>
    </row>
    <row r="611">
      <c r="A611" s="44" t="str">
        <f>IF(OR($B611="",$D611=""),"","TX"&amp;TEXT(ROW()-4,"0000"))</f>
        <v/>
      </c>
      <c r="B611" s="42" t="n"/>
      <c r="C611" s="47" t="str">
        <f>IF($B611="","",YEAR($B611)*100+MONTH($B611))</f>
        <v/>
      </c>
      <c r="D611" s="37" t="n"/>
      <c r="E611" s="45" t="str">
        <f>IF($D611="","",IFERROR(INDEX(CARDS!$B$5:$B$34,MATCH($D611,CARDS!$A$5:$A$34,0)),"⚠ Card ID?"))</f>
        <v/>
      </c>
      <c r="F611" s="45" t="str">
        <f>IF($D611="","",IFERROR(INDEX(CARDS!$C$5:$C$34,MATCH($D611,CARDS!$A$5:$A$34,0)),"⚠ Card ID?"))</f>
        <v/>
      </c>
      <c r="G611" s="37" t="n"/>
      <c r="H611" s="37" t="n"/>
      <c r="I611" s="41" t="n"/>
      <c r="J611" s="45" t="str">
        <f>IF($I611="","",IFERROR(INDEX(MCC_MASTER!$B$5:$B$504,MATCH($I611,MCC_MASTER!$A$5:$A$504,0)),"⚠ MCC chưa có"))</f>
        <v/>
      </c>
      <c r="K611" s="45" t="str">
        <f>IF($I611="","",IFERROR(IF(INDEX(MCC_MASTER!$C$5:$C$504,MATCH($I611,MCC_MASTER!$A$5:$A$504,0))="","Chưa phân loại",INDEX(MCC_MASTER!$C$5:$C$504,MATCH($I611,MCC_MASTER!$A$5:$A$504,0))),"Chưa phân loại"))</f>
        <v/>
      </c>
      <c r="L611" s="40" t="n"/>
      <c r="M611" s="48" t="str">
        <f>IF(OR($B611="",$D611=""),"",IF($AC611=0,0,IF(ISNUMBER(INDEX(CASHBACK_RULES!$L$5:$L$304,$AC611)),MAX(0,MIN($L611,INDEX(CASHBACK_RULES!$L$5:$L$304,$AC611)-$AH611)),MAX(0,$L611))))</f>
        <v/>
      </c>
      <c r="N611" s="49" t="str">
        <f>IF(OR($B611="",$D611=""),"",IF($AC611&gt;0,INDEX(CASHBACK_RULES!$I$5:$I$304,$AC611),0))</f>
        <v/>
      </c>
      <c r="O611" s="48" t="str">
        <f>IF(OR($B611="",$D611=""),"",ROUND($M611*$N611,0))</f>
        <v/>
      </c>
      <c r="P611" s="48" t="str">
        <f>IF($AC611&gt;0,IF(ISNUMBER(INDEX(CASHBACK_RULES!$J$5:$J$304,$AC611)),INDEX(CASHBACK_RULES!$J$5:$J$304,$AC611),"∞"),"")</f>
        <v/>
      </c>
      <c r="Q611" s="48" t="str">
        <f>IF(OR($B611="",$D611=""),"",IF($AC611=0,0,MAX(0,MIN($O611,IF(ISNUMBER($P611),$P611-$AF611,1E+15),IF(ISNUMBER($AA611),$AA611-$AG611,1E+15)))))</f>
        <v/>
      </c>
      <c r="R611" s="48" t="str">
        <f>IF(OR($B611="",$D611=""),"",IF($AC611=0,"",IF(AND(NOT(ISNUMBER($P611)),NOT(ISNUMBER($AA611))),"∞",MAX(0,MIN(IF(ISNUMBER($P611),$P611-$AF611-$Q611,1E+15),IF(ISNUMBER($AA611),$AA611-$AG611-$Q611,1E+15))))))</f>
        <v/>
      </c>
      <c r="S611" s="47" t="str">
        <f>IF($AD611="","",YEAR($AD611)*100+MONTH($AD611))</f>
        <v/>
      </c>
      <c r="T611" s="50" t="str">
        <f>IF($AD611="","",IFERROR(IF(INDEX(CARDS!$I$5:$I$34,MATCH($D611,CARDS!$A$5:$A$34,0))="","",IF(INDEX(CARDS!$I$5:$I$34,MATCH($D611,CARDS!$A$5:$A$34,0))&gt;INDEX(CARDS!$H$5:$H$34,MATCH($D611,CARDS!$A$5:$A$34,0)),DATE(YEAR($AD611),MONTH($AD611),MIN(INDEX(CARDS!$I$5:$I$34,MATCH($D611,CARDS!$A$5:$A$34,0)),DAY(EOMONTH($AD611,0)))),DATE(YEAR($AD611),MONTH($AD611)+1,MIN(INDEX(CARDS!$I$5:$I$34,MATCH($D611,CARDS!$A$5:$A$34,0)),DAY(EOMONTH($AD611,1)))))),""))</f>
        <v/>
      </c>
      <c r="U611" s="38" t="n"/>
      <c r="V611" s="37" t="n"/>
      <c r="W611" s="38" t="n"/>
      <c r="X611" s="38" t="n"/>
      <c r="Y611" s="44" t="str">
        <f>IF($AC611&gt;0,INDEX(CASHBACK_RULES!$A$5:$A$304,$AC611),"")</f>
        <v/>
      </c>
      <c r="Z611" s="45" t="str">
        <f>IF($AC611&gt;0,INDEX(CASHBACK_RULES!$E$5:$E$304,$AC611)&amp;"","")</f>
        <v/>
      </c>
      <c r="AA611" s="48" t="str">
        <f>IF($AC611&gt;0,IF(ISNUMBER(INDEX(CASHBACK_RULES!$K$5:$K$304,$AC611)),INDEX(CASHBACK_RULES!$K$5:$K$304,$AC611),"∞"),"")</f>
        <v/>
      </c>
      <c r="AB611" s="44" t="str">
        <f>IF(OR($B611="",$D611=""),"",IF($U611="Cancelled","Đã hủy",IF($AC611=0,"Không được hoàn",IF($Q611=0,IF(OR($O611&gt;0,$M611&lt;$L611),"Đã đạt cap","Không được hoàn"),IF(OR($Q611&lt;$O611,$M611&lt;$L611),"Hoàn một phần","Được hoàn")))))</f>
        <v/>
      </c>
      <c r="AC611" s="43">
        <f>IF(OR($B611="",$D611="",$I611="",$L611=""),0,IF($U611="Cancelled",0,IF($W611&lt;&gt;"",IFERROR(IF(INDEX(CASHBACK_RULES!$B$5:$B$304,MATCH($W611,CASHBACK_RULES!$A$5:$A$304,0))=$D611,MATCH($W611,CASHBACK_RULES!$A$5:$A$304,0),0),0),IFERROR(MATCH(1,INDEX((CASHBACK_RULES!$B$5:$B$304=$D611)*(CASHBACK_RULES!$G$5:$G$304=$I611)*(((CASHBACK_RULES!$N$5:$N$304="")+(CASHBACK_RULES!$N$5:$N$304&lt;=$B611))&gt;0)*(((CASHBACK_RULES!$O$5:$O$304="")+(CASHBACK_RULES!$O$5:$O$304&gt;=$B611))&gt;0)*(((CASHBACK_RULES!$M$5:$M$304="")+(CASHBACK_RULES!$M$5:$M$304&lt;=$L611))&gt;0),0),0),0))))</f>
        <v>0</v>
      </c>
      <c r="AD611" s="51" t="str">
        <f>IF(OR($B611="",$D611=""),"",IFERROR(IF(INDEX(CARDS!$H$5:$H$34,MATCH($D611,CARDS!$A$5:$A$34,0))="","",IF(DAY($B611)&lt;=INDEX(CARDS!$H$5:$H$34,MATCH($D611,CARDS!$A$5:$A$34,0)),DATE(YEAR($B611),MONTH($B611),MIN(INDEX(CARDS!$H$5:$H$34,MATCH($D611,CARDS!$A$5:$A$34,0)),DAY(EOMONTH($B611,0)))),DATE(YEAR($B611),MONTH($B611)+1,MIN(INDEX(CARDS!$H$5:$H$34,MATCH($D611,CARDS!$A$5:$A$34,0)),DAY(EOMONTH($B611,1)))))),""))</f>
        <v/>
      </c>
      <c r="AE611" s="52" t="str">
        <f>IF($C611="","",$C611&amp;"|"&amp;COUNTIF($C$5:$C611,$C611))</f>
        <v/>
      </c>
      <c r="AF611" s="53">
        <f>IF($AC611&gt;0,SUMIFS(Q$4:Q610,$D$4:$D610,$D611,$Z$4:$Z610,$Z611,$C$4:$C610,$C611),0)</f>
        <v>0</v>
      </c>
      <c r="AG611" s="53">
        <f>IF($AC611&gt;0,SUMIFS(Q$4:Q610,$D$4:$D610,$D611,$C$4:$C610,$C611),0)</f>
        <v>0</v>
      </c>
      <c r="AH611" s="53">
        <f>IF($AC611&gt;0,SUMIFS(M$4:M610,$D$4:$D610,$D611,$Z$4:$Z610,$Z611,$C$4:$C610,$C611),0)</f>
        <v>0</v>
      </c>
      <c r="AI611" s="43">
        <f>IF(OR($C611="",$I611=""),0,IF(COUNTIFS($C$5:$C611,$C611,$I$5:$I611,$I611)=1,1,0))</f>
        <v>0</v>
      </c>
      <c r="AJ611" s="43" t="str">
        <f>IF($AI611=1,SUMIFS($AI$4:$AI610,$C$4:$C610,$C611)+1,"")</f>
        <v/>
      </c>
      <c r="AK611" s="43">
        <f>IF(OR($C611="",$K611=""),0,IF(COUNTIFS($C$5:$C611,$C611,$K$5:$K611,$K611)=1,1,0))</f>
        <v>0</v>
      </c>
      <c r="AL611" s="43" t="str">
        <f>IF($AK611=1,SUMIFS($AK$4:$AK610,$C$4:$C610,$C611)+1,"")</f>
        <v/>
      </c>
      <c r="AM611" s="43">
        <f>IF(OR($C611="",$G611=""),0,IF(COUNTIFS($C$5:$C611,$C611,$G$5:$G611,$G611)=1,1,0))</f>
        <v>0</v>
      </c>
      <c r="AN611" s="43" t="str">
        <f>IF($AM611=1,SUMIFS($AM$4:$AM610,$C$4:$C610,$C611)+1,"")</f>
        <v/>
      </c>
    </row>
    <row r="612">
      <c r="A612" s="44" t="str">
        <f>IF(OR($B612="",$D612=""),"","TX"&amp;TEXT(ROW()-4,"0000"))</f>
        <v/>
      </c>
      <c r="B612" s="42" t="n"/>
      <c r="C612" s="47" t="str">
        <f>IF($B612="","",YEAR($B612)*100+MONTH($B612))</f>
        <v/>
      </c>
      <c r="D612" s="37" t="n"/>
      <c r="E612" s="45" t="str">
        <f>IF($D612="","",IFERROR(INDEX(CARDS!$B$5:$B$34,MATCH($D612,CARDS!$A$5:$A$34,0)),"⚠ Card ID?"))</f>
        <v/>
      </c>
      <c r="F612" s="45" t="str">
        <f>IF($D612="","",IFERROR(INDEX(CARDS!$C$5:$C$34,MATCH($D612,CARDS!$A$5:$A$34,0)),"⚠ Card ID?"))</f>
        <v/>
      </c>
      <c r="G612" s="37" t="n"/>
      <c r="H612" s="37" t="n"/>
      <c r="I612" s="41" t="n"/>
      <c r="J612" s="45" t="str">
        <f>IF($I612="","",IFERROR(INDEX(MCC_MASTER!$B$5:$B$504,MATCH($I612,MCC_MASTER!$A$5:$A$504,0)),"⚠ MCC chưa có"))</f>
        <v/>
      </c>
      <c r="K612" s="45" t="str">
        <f>IF($I612="","",IFERROR(IF(INDEX(MCC_MASTER!$C$5:$C$504,MATCH($I612,MCC_MASTER!$A$5:$A$504,0))="","Chưa phân loại",INDEX(MCC_MASTER!$C$5:$C$504,MATCH($I612,MCC_MASTER!$A$5:$A$504,0))),"Chưa phân loại"))</f>
        <v/>
      </c>
      <c r="L612" s="40" t="n"/>
      <c r="M612" s="48" t="str">
        <f>IF(OR($B612="",$D612=""),"",IF($AC612=0,0,IF(ISNUMBER(INDEX(CASHBACK_RULES!$L$5:$L$304,$AC612)),MAX(0,MIN($L612,INDEX(CASHBACK_RULES!$L$5:$L$304,$AC612)-$AH612)),MAX(0,$L612))))</f>
        <v/>
      </c>
      <c r="N612" s="49" t="str">
        <f>IF(OR($B612="",$D612=""),"",IF($AC612&gt;0,INDEX(CASHBACK_RULES!$I$5:$I$304,$AC612),0))</f>
        <v/>
      </c>
      <c r="O612" s="48" t="str">
        <f>IF(OR($B612="",$D612=""),"",ROUND($M612*$N612,0))</f>
        <v/>
      </c>
      <c r="P612" s="48" t="str">
        <f>IF($AC612&gt;0,IF(ISNUMBER(INDEX(CASHBACK_RULES!$J$5:$J$304,$AC612)),INDEX(CASHBACK_RULES!$J$5:$J$304,$AC612),"∞"),"")</f>
        <v/>
      </c>
      <c r="Q612" s="48" t="str">
        <f>IF(OR($B612="",$D612=""),"",IF($AC612=0,0,MAX(0,MIN($O612,IF(ISNUMBER($P612),$P612-$AF612,1E+15),IF(ISNUMBER($AA612),$AA612-$AG612,1E+15)))))</f>
        <v/>
      </c>
      <c r="R612" s="48" t="str">
        <f>IF(OR($B612="",$D612=""),"",IF($AC612=0,"",IF(AND(NOT(ISNUMBER($P612)),NOT(ISNUMBER($AA612))),"∞",MAX(0,MIN(IF(ISNUMBER($P612),$P612-$AF612-$Q612,1E+15),IF(ISNUMBER($AA612),$AA612-$AG612-$Q612,1E+15))))))</f>
        <v/>
      </c>
      <c r="S612" s="47" t="str">
        <f>IF($AD612="","",YEAR($AD612)*100+MONTH($AD612))</f>
        <v/>
      </c>
      <c r="T612" s="50" t="str">
        <f>IF($AD612="","",IFERROR(IF(INDEX(CARDS!$I$5:$I$34,MATCH($D612,CARDS!$A$5:$A$34,0))="","",IF(INDEX(CARDS!$I$5:$I$34,MATCH($D612,CARDS!$A$5:$A$34,0))&gt;INDEX(CARDS!$H$5:$H$34,MATCH($D612,CARDS!$A$5:$A$34,0)),DATE(YEAR($AD612),MONTH($AD612),MIN(INDEX(CARDS!$I$5:$I$34,MATCH($D612,CARDS!$A$5:$A$34,0)),DAY(EOMONTH($AD612,0)))),DATE(YEAR($AD612),MONTH($AD612)+1,MIN(INDEX(CARDS!$I$5:$I$34,MATCH($D612,CARDS!$A$5:$A$34,0)),DAY(EOMONTH($AD612,1)))))),""))</f>
        <v/>
      </c>
      <c r="U612" s="38" t="n"/>
      <c r="V612" s="37" t="n"/>
      <c r="W612" s="38" t="n"/>
      <c r="X612" s="38" t="n"/>
      <c r="Y612" s="44" t="str">
        <f>IF($AC612&gt;0,INDEX(CASHBACK_RULES!$A$5:$A$304,$AC612),"")</f>
        <v/>
      </c>
      <c r="Z612" s="45" t="str">
        <f>IF($AC612&gt;0,INDEX(CASHBACK_RULES!$E$5:$E$304,$AC612)&amp;"","")</f>
        <v/>
      </c>
      <c r="AA612" s="48" t="str">
        <f>IF($AC612&gt;0,IF(ISNUMBER(INDEX(CASHBACK_RULES!$K$5:$K$304,$AC612)),INDEX(CASHBACK_RULES!$K$5:$K$304,$AC612),"∞"),"")</f>
        <v/>
      </c>
      <c r="AB612" s="44" t="str">
        <f>IF(OR($B612="",$D612=""),"",IF($U612="Cancelled","Đã hủy",IF($AC612=0,"Không được hoàn",IF($Q612=0,IF(OR($O612&gt;0,$M612&lt;$L612),"Đã đạt cap","Không được hoàn"),IF(OR($Q612&lt;$O612,$M612&lt;$L612),"Hoàn một phần","Được hoàn")))))</f>
        <v/>
      </c>
      <c r="AC612" s="43">
        <f>IF(OR($B612="",$D612="",$I612="",$L612=""),0,IF($U612="Cancelled",0,IF($W612&lt;&gt;"",IFERROR(IF(INDEX(CASHBACK_RULES!$B$5:$B$304,MATCH($W612,CASHBACK_RULES!$A$5:$A$304,0))=$D612,MATCH($W612,CASHBACK_RULES!$A$5:$A$304,0),0),0),IFERROR(MATCH(1,INDEX((CASHBACK_RULES!$B$5:$B$304=$D612)*(CASHBACK_RULES!$G$5:$G$304=$I612)*(((CASHBACK_RULES!$N$5:$N$304="")+(CASHBACK_RULES!$N$5:$N$304&lt;=$B612))&gt;0)*(((CASHBACK_RULES!$O$5:$O$304="")+(CASHBACK_RULES!$O$5:$O$304&gt;=$B612))&gt;0)*(((CASHBACK_RULES!$M$5:$M$304="")+(CASHBACK_RULES!$M$5:$M$304&lt;=$L612))&gt;0),0),0),0))))</f>
        <v>0</v>
      </c>
      <c r="AD612" s="51" t="str">
        <f>IF(OR($B612="",$D612=""),"",IFERROR(IF(INDEX(CARDS!$H$5:$H$34,MATCH($D612,CARDS!$A$5:$A$34,0))="","",IF(DAY($B612)&lt;=INDEX(CARDS!$H$5:$H$34,MATCH($D612,CARDS!$A$5:$A$34,0)),DATE(YEAR($B612),MONTH($B612),MIN(INDEX(CARDS!$H$5:$H$34,MATCH($D612,CARDS!$A$5:$A$34,0)),DAY(EOMONTH($B612,0)))),DATE(YEAR($B612),MONTH($B612)+1,MIN(INDEX(CARDS!$H$5:$H$34,MATCH($D612,CARDS!$A$5:$A$34,0)),DAY(EOMONTH($B612,1)))))),""))</f>
        <v/>
      </c>
      <c r="AE612" s="52" t="str">
        <f>IF($C612="","",$C612&amp;"|"&amp;COUNTIF($C$5:$C612,$C612))</f>
        <v/>
      </c>
      <c r="AF612" s="53">
        <f>IF($AC612&gt;0,SUMIFS(Q$4:Q611,$D$4:$D611,$D612,$Z$4:$Z611,$Z612,$C$4:$C611,$C612),0)</f>
        <v>0</v>
      </c>
      <c r="AG612" s="53">
        <f>IF($AC612&gt;0,SUMIFS(Q$4:Q611,$D$4:$D611,$D612,$C$4:$C611,$C612),0)</f>
        <v>0</v>
      </c>
      <c r="AH612" s="53">
        <f>IF($AC612&gt;0,SUMIFS(M$4:M611,$D$4:$D611,$D612,$Z$4:$Z611,$Z612,$C$4:$C611,$C612),0)</f>
        <v>0</v>
      </c>
      <c r="AI612" s="43">
        <f>IF(OR($C612="",$I612=""),0,IF(COUNTIFS($C$5:$C612,$C612,$I$5:$I612,$I612)=1,1,0))</f>
        <v>0</v>
      </c>
      <c r="AJ612" s="43" t="str">
        <f>IF($AI612=1,SUMIFS($AI$4:$AI611,$C$4:$C611,$C612)+1,"")</f>
        <v/>
      </c>
      <c r="AK612" s="43">
        <f>IF(OR($C612="",$K612=""),0,IF(COUNTIFS($C$5:$C612,$C612,$K$5:$K612,$K612)=1,1,0))</f>
        <v>0</v>
      </c>
      <c r="AL612" s="43" t="str">
        <f>IF($AK612=1,SUMIFS($AK$4:$AK611,$C$4:$C611,$C612)+1,"")</f>
        <v/>
      </c>
      <c r="AM612" s="43">
        <f>IF(OR($C612="",$G612=""),0,IF(COUNTIFS($C$5:$C612,$C612,$G$5:$G612,$G612)=1,1,0))</f>
        <v>0</v>
      </c>
      <c r="AN612" s="43" t="str">
        <f>IF($AM612=1,SUMIFS($AM$4:$AM611,$C$4:$C611,$C612)+1,"")</f>
        <v/>
      </c>
    </row>
    <row r="613">
      <c r="A613" s="44" t="str">
        <f>IF(OR($B613="",$D613=""),"","TX"&amp;TEXT(ROW()-4,"0000"))</f>
        <v/>
      </c>
      <c r="B613" s="42" t="n"/>
      <c r="C613" s="47" t="str">
        <f>IF($B613="","",YEAR($B613)*100+MONTH($B613))</f>
        <v/>
      </c>
      <c r="D613" s="37" t="n"/>
      <c r="E613" s="45" t="str">
        <f>IF($D613="","",IFERROR(INDEX(CARDS!$B$5:$B$34,MATCH($D613,CARDS!$A$5:$A$34,0)),"⚠ Card ID?"))</f>
        <v/>
      </c>
      <c r="F613" s="45" t="str">
        <f>IF($D613="","",IFERROR(INDEX(CARDS!$C$5:$C$34,MATCH($D613,CARDS!$A$5:$A$34,0)),"⚠ Card ID?"))</f>
        <v/>
      </c>
      <c r="G613" s="37" t="n"/>
      <c r="H613" s="37" t="n"/>
      <c r="I613" s="41" t="n"/>
      <c r="J613" s="45" t="str">
        <f>IF($I613="","",IFERROR(INDEX(MCC_MASTER!$B$5:$B$504,MATCH($I613,MCC_MASTER!$A$5:$A$504,0)),"⚠ MCC chưa có"))</f>
        <v/>
      </c>
      <c r="K613" s="45" t="str">
        <f>IF($I613="","",IFERROR(IF(INDEX(MCC_MASTER!$C$5:$C$504,MATCH($I613,MCC_MASTER!$A$5:$A$504,0))="","Chưa phân loại",INDEX(MCC_MASTER!$C$5:$C$504,MATCH($I613,MCC_MASTER!$A$5:$A$504,0))),"Chưa phân loại"))</f>
        <v/>
      </c>
      <c r="L613" s="40" t="n"/>
      <c r="M613" s="48" t="str">
        <f>IF(OR($B613="",$D613=""),"",IF($AC613=0,0,IF(ISNUMBER(INDEX(CASHBACK_RULES!$L$5:$L$304,$AC613)),MAX(0,MIN($L613,INDEX(CASHBACK_RULES!$L$5:$L$304,$AC613)-$AH613)),MAX(0,$L613))))</f>
        <v/>
      </c>
      <c r="N613" s="49" t="str">
        <f>IF(OR($B613="",$D613=""),"",IF($AC613&gt;0,INDEX(CASHBACK_RULES!$I$5:$I$304,$AC613),0))</f>
        <v/>
      </c>
      <c r="O613" s="48" t="str">
        <f>IF(OR($B613="",$D613=""),"",ROUND($M613*$N613,0))</f>
        <v/>
      </c>
      <c r="P613" s="48" t="str">
        <f>IF($AC613&gt;0,IF(ISNUMBER(INDEX(CASHBACK_RULES!$J$5:$J$304,$AC613)),INDEX(CASHBACK_RULES!$J$5:$J$304,$AC613),"∞"),"")</f>
        <v/>
      </c>
      <c r="Q613" s="48" t="str">
        <f>IF(OR($B613="",$D613=""),"",IF($AC613=0,0,MAX(0,MIN($O613,IF(ISNUMBER($P613),$P613-$AF613,1E+15),IF(ISNUMBER($AA613),$AA613-$AG613,1E+15)))))</f>
        <v/>
      </c>
      <c r="R613" s="48" t="str">
        <f>IF(OR($B613="",$D613=""),"",IF($AC613=0,"",IF(AND(NOT(ISNUMBER($P613)),NOT(ISNUMBER($AA613))),"∞",MAX(0,MIN(IF(ISNUMBER($P613),$P613-$AF613-$Q613,1E+15),IF(ISNUMBER($AA613),$AA613-$AG613-$Q613,1E+15))))))</f>
        <v/>
      </c>
      <c r="S613" s="47" t="str">
        <f>IF($AD613="","",YEAR($AD613)*100+MONTH($AD613))</f>
        <v/>
      </c>
      <c r="T613" s="50" t="str">
        <f>IF($AD613="","",IFERROR(IF(INDEX(CARDS!$I$5:$I$34,MATCH($D613,CARDS!$A$5:$A$34,0))="","",IF(INDEX(CARDS!$I$5:$I$34,MATCH($D613,CARDS!$A$5:$A$34,0))&gt;INDEX(CARDS!$H$5:$H$34,MATCH($D613,CARDS!$A$5:$A$34,0)),DATE(YEAR($AD613),MONTH($AD613),MIN(INDEX(CARDS!$I$5:$I$34,MATCH($D613,CARDS!$A$5:$A$34,0)),DAY(EOMONTH($AD613,0)))),DATE(YEAR($AD613),MONTH($AD613)+1,MIN(INDEX(CARDS!$I$5:$I$34,MATCH($D613,CARDS!$A$5:$A$34,0)),DAY(EOMONTH($AD613,1)))))),""))</f>
        <v/>
      </c>
      <c r="U613" s="38" t="n"/>
      <c r="V613" s="37" t="n"/>
      <c r="W613" s="38" t="n"/>
      <c r="X613" s="38" t="n"/>
      <c r="Y613" s="44" t="str">
        <f>IF($AC613&gt;0,INDEX(CASHBACK_RULES!$A$5:$A$304,$AC613),"")</f>
        <v/>
      </c>
      <c r="Z613" s="45" t="str">
        <f>IF($AC613&gt;0,INDEX(CASHBACK_RULES!$E$5:$E$304,$AC613)&amp;"","")</f>
        <v/>
      </c>
      <c r="AA613" s="48" t="str">
        <f>IF($AC613&gt;0,IF(ISNUMBER(INDEX(CASHBACK_RULES!$K$5:$K$304,$AC613)),INDEX(CASHBACK_RULES!$K$5:$K$304,$AC613),"∞"),"")</f>
        <v/>
      </c>
      <c r="AB613" s="44" t="str">
        <f>IF(OR($B613="",$D613=""),"",IF($U613="Cancelled","Đã hủy",IF($AC613=0,"Không được hoàn",IF($Q613=0,IF(OR($O613&gt;0,$M613&lt;$L613),"Đã đạt cap","Không được hoàn"),IF(OR($Q613&lt;$O613,$M613&lt;$L613),"Hoàn một phần","Được hoàn")))))</f>
        <v/>
      </c>
      <c r="AC613" s="43">
        <f>IF(OR($B613="",$D613="",$I613="",$L613=""),0,IF($U613="Cancelled",0,IF($W613&lt;&gt;"",IFERROR(IF(INDEX(CASHBACK_RULES!$B$5:$B$304,MATCH($W613,CASHBACK_RULES!$A$5:$A$304,0))=$D613,MATCH($W613,CASHBACK_RULES!$A$5:$A$304,0),0),0),IFERROR(MATCH(1,INDEX((CASHBACK_RULES!$B$5:$B$304=$D613)*(CASHBACK_RULES!$G$5:$G$304=$I613)*(((CASHBACK_RULES!$N$5:$N$304="")+(CASHBACK_RULES!$N$5:$N$304&lt;=$B613))&gt;0)*(((CASHBACK_RULES!$O$5:$O$304="")+(CASHBACK_RULES!$O$5:$O$304&gt;=$B613))&gt;0)*(((CASHBACK_RULES!$M$5:$M$304="")+(CASHBACK_RULES!$M$5:$M$304&lt;=$L613))&gt;0),0),0),0))))</f>
        <v>0</v>
      </c>
      <c r="AD613" s="51" t="str">
        <f>IF(OR($B613="",$D613=""),"",IFERROR(IF(INDEX(CARDS!$H$5:$H$34,MATCH($D613,CARDS!$A$5:$A$34,0))="","",IF(DAY($B613)&lt;=INDEX(CARDS!$H$5:$H$34,MATCH($D613,CARDS!$A$5:$A$34,0)),DATE(YEAR($B613),MONTH($B613),MIN(INDEX(CARDS!$H$5:$H$34,MATCH($D613,CARDS!$A$5:$A$34,0)),DAY(EOMONTH($B613,0)))),DATE(YEAR($B613),MONTH($B613)+1,MIN(INDEX(CARDS!$H$5:$H$34,MATCH($D613,CARDS!$A$5:$A$34,0)),DAY(EOMONTH($B613,1)))))),""))</f>
        <v/>
      </c>
      <c r="AE613" s="52" t="str">
        <f>IF($C613="","",$C613&amp;"|"&amp;COUNTIF($C$5:$C613,$C613))</f>
        <v/>
      </c>
      <c r="AF613" s="53">
        <f>IF($AC613&gt;0,SUMIFS(Q$4:Q612,$D$4:$D612,$D613,$Z$4:$Z612,$Z613,$C$4:$C612,$C613),0)</f>
        <v>0</v>
      </c>
      <c r="AG613" s="53">
        <f>IF($AC613&gt;0,SUMIFS(Q$4:Q612,$D$4:$D612,$D613,$C$4:$C612,$C613),0)</f>
        <v>0</v>
      </c>
      <c r="AH613" s="53">
        <f>IF($AC613&gt;0,SUMIFS(M$4:M612,$D$4:$D612,$D613,$Z$4:$Z612,$Z613,$C$4:$C612,$C613),0)</f>
        <v>0</v>
      </c>
      <c r="AI613" s="43">
        <f>IF(OR($C613="",$I613=""),0,IF(COUNTIFS($C$5:$C613,$C613,$I$5:$I613,$I613)=1,1,0))</f>
        <v>0</v>
      </c>
      <c r="AJ613" s="43" t="str">
        <f>IF($AI613=1,SUMIFS($AI$4:$AI612,$C$4:$C612,$C613)+1,"")</f>
        <v/>
      </c>
      <c r="AK613" s="43">
        <f>IF(OR($C613="",$K613=""),0,IF(COUNTIFS($C$5:$C613,$C613,$K$5:$K613,$K613)=1,1,0))</f>
        <v>0</v>
      </c>
      <c r="AL613" s="43" t="str">
        <f>IF($AK613=1,SUMIFS($AK$4:$AK612,$C$4:$C612,$C613)+1,"")</f>
        <v/>
      </c>
      <c r="AM613" s="43">
        <f>IF(OR($C613="",$G613=""),0,IF(COUNTIFS($C$5:$C613,$C613,$G$5:$G613,$G613)=1,1,0))</f>
        <v>0</v>
      </c>
      <c r="AN613" s="43" t="str">
        <f>IF($AM613=1,SUMIFS($AM$4:$AM612,$C$4:$C612,$C613)+1,"")</f>
        <v/>
      </c>
    </row>
    <row r="614">
      <c r="A614" s="44" t="str">
        <f>IF(OR($B614="",$D614=""),"","TX"&amp;TEXT(ROW()-4,"0000"))</f>
        <v/>
      </c>
      <c r="B614" s="42" t="n"/>
      <c r="C614" s="47" t="str">
        <f>IF($B614="","",YEAR($B614)*100+MONTH($B614))</f>
        <v/>
      </c>
      <c r="D614" s="37" t="n"/>
      <c r="E614" s="45" t="str">
        <f>IF($D614="","",IFERROR(INDEX(CARDS!$B$5:$B$34,MATCH($D614,CARDS!$A$5:$A$34,0)),"⚠ Card ID?"))</f>
        <v/>
      </c>
      <c r="F614" s="45" t="str">
        <f>IF($D614="","",IFERROR(INDEX(CARDS!$C$5:$C$34,MATCH($D614,CARDS!$A$5:$A$34,0)),"⚠ Card ID?"))</f>
        <v/>
      </c>
      <c r="G614" s="37" t="n"/>
      <c r="H614" s="37" t="n"/>
      <c r="I614" s="41" t="n"/>
      <c r="J614" s="45" t="str">
        <f>IF($I614="","",IFERROR(INDEX(MCC_MASTER!$B$5:$B$504,MATCH($I614,MCC_MASTER!$A$5:$A$504,0)),"⚠ MCC chưa có"))</f>
        <v/>
      </c>
      <c r="K614" s="45" t="str">
        <f>IF($I614="","",IFERROR(IF(INDEX(MCC_MASTER!$C$5:$C$504,MATCH($I614,MCC_MASTER!$A$5:$A$504,0))="","Chưa phân loại",INDEX(MCC_MASTER!$C$5:$C$504,MATCH($I614,MCC_MASTER!$A$5:$A$504,0))),"Chưa phân loại"))</f>
        <v/>
      </c>
      <c r="L614" s="40" t="n"/>
      <c r="M614" s="48" t="str">
        <f>IF(OR($B614="",$D614=""),"",IF($AC614=0,0,IF(ISNUMBER(INDEX(CASHBACK_RULES!$L$5:$L$304,$AC614)),MAX(0,MIN($L614,INDEX(CASHBACK_RULES!$L$5:$L$304,$AC614)-$AH614)),MAX(0,$L614))))</f>
        <v/>
      </c>
      <c r="N614" s="49" t="str">
        <f>IF(OR($B614="",$D614=""),"",IF($AC614&gt;0,INDEX(CASHBACK_RULES!$I$5:$I$304,$AC614),0))</f>
        <v/>
      </c>
      <c r="O614" s="48" t="str">
        <f>IF(OR($B614="",$D614=""),"",ROUND($M614*$N614,0))</f>
        <v/>
      </c>
      <c r="P614" s="48" t="str">
        <f>IF($AC614&gt;0,IF(ISNUMBER(INDEX(CASHBACK_RULES!$J$5:$J$304,$AC614)),INDEX(CASHBACK_RULES!$J$5:$J$304,$AC614),"∞"),"")</f>
        <v/>
      </c>
      <c r="Q614" s="48" t="str">
        <f>IF(OR($B614="",$D614=""),"",IF($AC614=0,0,MAX(0,MIN($O614,IF(ISNUMBER($P614),$P614-$AF614,1E+15),IF(ISNUMBER($AA614),$AA614-$AG614,1E+15)))))</f>
        <v/>
      </c>
      <c r="R614" s="48" t="str">
        <f>IF(OR($B614="",$D614=""),"",IF($AC614=0,"",IF(AND(NOT(ISNUMBER($P614)),NOT(ISNUMBER($AA614))),"∞",MAX(0,MIN(IF(ISNUMBER($P614),$P614-$AF614-$Q614,1E+15),IF(ISNUMBER($AA614),$AA614-$AG614-$Q614,1E+15))))))</f>
        <v/>
      </c>
      <c r="S614" s="47" t="str">
        <f>IF($AD614="","",YEAR($AD614)*100+MONTH($AD614))</f>
        <v/>
      </c>
      <c r="T614" s="50" t="str">
        <f>IF($AD614="","",IFERROR(IF(INDEX(CARDS!$I$5:$I$34,MATCH($D614,CARDS!$A$5:$A$34,0))="","",IF(INDEX(CARDS!$I$5:$I$34,MATCH($D614,CARDS!$A$5:$A$34,0))&gt;INDEX(CARDS!$H$5:$H$34,MATCH($D614,CARDS!$A$5:$A$34,0)),DATE(YEAR($AD614),MONTH($AD614),MIN(INDEX(CARDS!$I$5:$I$34,MATCH($D614,CARDS!$A$5:$A$34,0)),DAY(EOMONTH($AD614,0)))),DATE(YEAR($AD614),MONTH($AD614)+1,MIN(INDEX(CARDS!$I$5:$I$34,MATCH($D614,CARDS!$A$5:$A$34,0)),DAY(EOMONTH($AD614,1)))))),""))</f>
        <v/>
      </c>
      <c r="U614" s="38" t="n"/>
      <c r="V614" s="37" t="n"/>
      <c r="W614" s="38" t="n"/>
      <c r="X614" s="38" t="n"/>
      <c r="Y614" s="44" t="str">
        <f>IF($AC614&gt;0,INDEX(CASHBACK_RULES!$A$5:$A$304,$AC614),"")</f>
        <v/>
      </c>
      <c r="Z614" s="45" t="str">
        <f>IF($AC614&gt;0,INDEX(CASHBACK_RULES!$E$5:$E$304,$AC614)&amp;"","")</f>
        <v/>
      </c>
      <c r="AA614" s="48" t="str">
        <f>IF($AC614&gt;0,IF(ISNUMBER(INDEX(CASHBACK_RULES!$K$5:$K$304,$AC614)),INDEX(CASHBACK_RULES!$K$5:$K$304,$AC614),"∞"),"")</f>
        <v/>
      </c>
      <c r="AB614" s="44" t="str">
        <f>IF(OR($B614="",$D614=""),"",IF($U614="Cancelled","Đã hủy",IF($AC614=0,"Không được hoàn",IF($Q614=0,IF(OR($O614&gt;0,$M614&lt;$L614),"Đã đạt cap","Không được hoàn"),IF(OR($Q614&lt;$O614,$M614&lt;$L614),"Hoàn một phần","Được hoàn")))))</f>
        <v/>
      </c>
      <c r="AC614" s="43">
        <f>IF(OR($B614="",$D614="",$I614="",$L614=""),0,IF($U614="Cancelled",0,IF($W614&lt;&gt;"",IFERROR(IF(INDEX(CASHBACK_RULES!$B$5:$B$304,MATCH($W614,CASHBACK_RULES!$A$5:$A$304,0))=$D614,MATCH($W614,CASHBACK_RULES!$A$5:$A$304,0),0),0),IFERROR(MATCH(1,INDEX((CASHBACK_RULES!$B$5:$B$304=$D614)*(CASHBACK_RULES!$G$5:$G$304=$I614)*(((CASHBACK_RULES!$N$5:$N$304="")+(CASHBACK_RULES!$N$5:$N$304&lt;=$B614))&gt;0)*(((CASHBACK_RULES!$O$5:$O$304="")+(CASHBACK_RULES!$O$5:$O$304&gt;=$B614))&gt;0)*(((CASHBACK_RULES!$M$5:$M$304="")+(CASHBACK_RULES!$M$5:$M$304&lt;=$L614))&gt;0),0),0),0))))</f>
        <v>0</v>
      </c>
      <c r="AD614" s="51" t="str">
        <f>IF(OR($B614="",$D614=""),"",IFERROR(IF(INDEX(CARDS!$H$5:$H$34,MATCH($D614,CARDS!$A$5:$A$34,0))="","",IF(DAY($B614)&lt;=INDEX(CARDS!$H$5:$H$34,MATCH($D614,CARDS!$A$5:$A$34,0)),DATE(YEAR($B614),MONTH($B614),MIN(INDEX(CARDS!$H$5:$H$34,MATCH($D614,CARDS!$A$5:$A$34,0)),DAY(EOMONTH($B614,0)))),DATE(YEAR($B614),MONTH($B614)+1,MIN(INDEX(CARDS!$H$5:$H$34,MATCH($D614,CARDS!$A$5:$A$34,0)),DAY(EOMONTH($B614,1)))))),""))</f>
        <v/>
      </c>
      <c r="AE614" s="52" t="str">
        <f>IF($C614="","",$C614&amp;"|"&amp;COUNTIF($C$5:$C614,$C614))</f>
        <v/>
      </c>
      <c r="AF614" s="53">
        <f>IF($AC614&gt;0,SUMIFS(Q$4:Q613,$D$4:$D613,$D614,$Z$4:$Z613,$Z614,$C$4:$C613,$C614),0)</f>
        <v>0</v>
      </c>
      <c r="AG614" s="53">
        <f>IF($AC614&gt;0,SUMIFS(Q$4:Q613,$D$4:$D613,$D614,$C$4:$C613,$C614),0)</f>
        <v>0</v>
      </c>
      <c r="AH614" s="53">
        <f>IF($AC614&gt;0,SUMIFS(M$4:M613,$D$4:$D613,$D614,$Z$4:$Z613,$Z614,$C$4:$C613,$C614),0)</f>
        <v>0</v>
      </c>
      <c r="AI614" s="43">
        <f>IF(OR($C614="",$I614=""),0,IF(COUNTIFS($C$5:$C614,$C614,$I$5:$I614,$I614)=1,1,0))</f>
        <v>0</v>
      </c>
      <c r="AJ614" s="43" t="str">
        <f>IF($AI614=1,SUMIFS($AI$4:$AI613,$C$4:$C613,$C614)+1,"")</f>
        <v/>
      </c>
      <c r="AK614" s="43">
        <f>IF(OR($C614="",$K614=""),0,IF(COUNTIFS($C$5:$C614,$C614,$K$5:$K614,$K614)=1,1,0))</f>
        <v>0</v>
      </c>
      <c r="AL614" s="43" t="str">
        <f>IF($AK614=1,SUMIFS($AK$4:$AK613,$C$4:$C613,$C614)+1,"")</f>
        <v/>
      </c>
      <c r="AM614" s="43">
        <f>IF(OR($C614="",$G614=""),0,IF(COUNTIFS($C$5:$C614,$C614,$G$5:$G614,$G614)=1,1,0))</f>
        <v>0</v>
      </c>
      <c r="AN614" s="43" t="str">
        <f>IF($AM614=1,SUMIFS($AM$4:$AM613,$C$4:$C613,$C614)+1,"")</f>
        <v/>
      </c>
    </row>
    <row r="615">
      <c r="A615" s="44" t="str">
        <f>IF(OR($B615="",$D615=""),"","TX"&amp;TEXT(ROW()-4,"0000"))</f>
        <v/>
      </c>
      <c r="B615" s="42" t="n"/>
      <c r="C615" s="47" t="str">
        <f>IF($B615="","",YEAR($B615)*100+MONTH($B615))</f>
        <v/>
      </c>
      <c r="D615" s="37" t="n"/>
      <c r="E615" s="45" t="str">
        <f>IF($D615="","",IFERROR(INDEX(CARDS!$B$5:$B$34,MATCH($D615,CARDS!$A$5:$A$34,0)),"⚠ Card ID?"))</f>
        <v/>
      </c>
      <c r="F615" s="45" t="str">
        <f>IF($D615="","",IFERROR(INDEX(CARDS!$C$5:$C$34,MATCH($D615,CARDS!$A$5:$A$34,0)),"⚠ Card ID?"))</f>
        <v/>
      </c>
      <c r="G615" s="37" t="n"/>
      <c r="H615" s="37" t="n"/>
      <c r="I615" s="41" t="n"/>
      <c r="J615" s="45" t="str">
        <f>IF($I615="","",IFERROR(INDEX(MCC_MASTER!$B$5:$B$504,MATCH($I615,MCC_MASTER!$A$5:$A$504,0)),"⚠ MCC chưa có"))</f>
        <v/>
      </c>
      <c r="K615" s="45" t="str">
        <f>IF($I615="","",IFERROR(IF(INDEX(MCC_MASTER!$C$5:$C$504,MATCH($I615,MCC_MASTER!$A$5:$A$504,0))="","Chưa phân loại",INDEX(MCC_MASTER!$C$5:$C$504,MATCH($I615,MCC_MASTER!$A$5:$A$504,0))),"Chưa phân loại"))</f>
        <v/>
      </c>
      <c r="L615" s="40" t="n"/>
      <c r="M615" s="48" t="str">
        <f>IF(OR($B615="",$D615=""),"",IF($AC615=0,0,IF(ISNUMBER(INDEX(CASHBACK_RULES!$L$5:$L$304,$AC615)),MAX(0,MIN($L615,INDEX(CASHBACK_RULES!$L$5:$L$304,$AC615)-$AH615)),MAX(0,$L615))))</f>
        <v/>
      </c>
      <c r="N615" s="49" t="str">
        <f>IF(OR($B615="",$D615=""),"",IF($AC615&gt;0,INDEX(CASHBACK_RULES!$I$5:$I$304,$AC615),0))</f>
        <v/>
      </c>
      <c r="O615" s="48" t="str">
        <f>IF(OR($B615="",$D615=""),"",ROUND($M615*$N615,0))</f>
        <v/>
      </c>
      <c r="P615" s="48" t="str">
        <f>IF($AC615&gt;0,IF(ISNUMBER(INDEX(CASHBACK_RULES!$J$5:$J$304,$AC615)),INDEX(CASHBACK_RULES!$J$5:$J$304,$AC615),"∞"),"")</f>
        <v/>
      </c>
      <c r="Q615" s="48" t="str">
        <f>IF(OR($B615="",$D615=""),"",IF($AC615=0,0,MAX(0,MIN($O615,IF(ISNUMBER($P615),$P615-$AF615,1E+15),IF(ISNUMBER($AA615),$AA615-$AG615,1E+15)))))</f>
        <v/>
      </c>
      <c r="R615" s="48" t="str">
        <f>IF(OR($B615="",$D615=""),"",IF($AC615=0,"",IF(AND(NOT(ISNUMBER($P615)),NOT(ISNUMBER($AA615))),"∞",MAX(0,MIN(IF(ISNUMBER($P615),$P615-$AF615-$Q615,1E+15),IF(ISNUMBER($AA615),$AA615-$AG615-$Q615,1E+15))))))</f>
        <v/>
      </c>
      <c r="S615" s="47" t="str">
        <f>IF($AD615="","",YEAR($AD615)*100+MONTH($AD615))</f>
        <v/>
      </c>
      <c r="T615" s="50" t="str">
        <f>IF($AD615="","",IFERROR(IF(INDEX(CARDS!$I$5:$I$34,MATCH($D615,CARDS!$A$5:$A$34,0))="","",IF(INDEX(CARDS!$I$5:$I$34,MATCH($D615,CARDS!$A$5:$A$34,0))&gt;INDEX(CARDS!$H$5:$H$34,MATCH($D615,CARDS!$A$5:$A$34,0)),DATE(YEAR($AD615),MONTH($AD615),MIN(INDEX(CARDS!$I$5:$I$34,MATCH($D615,CARDS!$A$5:$A$34,0)),DAY(EOMONTH($AD615,0)))),DATE(YEAR($AD615),MONTH($AD615)+1,MIN(INDEX(CARDS!$I$5:$I$34,MATCH($D615,CARDS!$A$5:$A$34,0)),DAY(EOMONTH($AD615,1)))))),""))</f>
        <v/>
      </c>
      <c r="U615" s="38" t="n"/>
      <c r="V615" s="37" t="n"/>
      <c r="W615" s="38" t="n"/>
      <c r="X615" s="38" t="n"/>
      <c r="Y615" s="44" t="str">
        <f>IF($AC615&gt;0,INDEX(CASHBACK_RULES!$A$5:$A$304,$AC615),"")</f>
        <v/>
      </c>
      <c r="Z615" s="45" t="str">
        <f>IF($AC615&gt;0,INDEX(CASHBACK_RULES!$E$5:$E$304,$AC615)&amp;"","")</f>
        <v/>
      </c>
      <c r="AA615" s="48" t="str">
        <f>IF($AC615&gt;0,IF(ISNUMBER(INDEX(CASHBACK_RULES!$K$5:$K$304,$AC615)),INDEX(CASHBACK_RULES!$K$5:$K$304,$AC615),"∞"),"")</f>
        <v/>
      </c>
      <c r="AB615" s="44" t="str">
        <f>IF(OR($B615="",$D615=""),"",IF($U615="Cancelled","Đã hủy",IF($AC615=0,"Không được hoàn",IF($Q615=0,IF(OR($O615&gt;0,$M615&lt;$L615),"Đã đạt cap","Không được hoàn"),IF(OR($Q615&lt;$O615,$M615&lt;$L615),"Hoàn một phần","Được hoàn")))))</f>
        <v/>
      </c>
      <c r="AC615" s="43">
        <f>IF(OR($B615="",$D615="",$I615="",$L615=""),0,IF($U615="Cancelled",0,IF($W615&lt;&gt;"",IFERROR(IF(INDEX(CASHBACK_RULES!$B$5:$B$304,MATCH($W615,CASHBACK_RULES!$A$5:$A$304,0))=$D615,MATCH($W615,CASHBACK_RULES!$A$5:$A$304,0),0),0),IFERROR(MATCH(1,INDEX((CASHBACK_RULES!$B$5:$B$304=$D615)*(CASHBACK_RULES!$G$5:$G$304=$I615)*(((CASHBACK_RULES!$N$5:$N$304="")+(CASHBACK_RULES!$N$5:$N$304&lt;=$B615))&gt;0)*(((CASHBACK_RULES!$O$5:$O$304="")+(CASHBACK_RULES!$O$5:$O$304&gt;=$B615))&gt;0)*(((CASHBACK_RULES!$M$5:$M$304="")+(CASHBACK_RULES!$M$5:$M$304&lt;=$L615))&gt;0),0),0),0))))</f>
        <v>0</v>
      </c>
      <c r="AD615" s="51" t="str">
        <f>IF(OR($B615="",$D615=""),"",IFERROR(IF(INDEX(CARDS!$H$5:$H$34,MATCH($D615,CARDS!$A$5:$A$34,0))="","",IF(DAY($B615)&lt;=INDEX(CARDS!$H$5:$H$34,MATCH($D615,CARDS!$A$5:$A$34,0)),DATE(YEAR($B615),MONTH($B615),MIN(INDEX(CARDS!$H$5:$H$34,MATCH($D615,CARDS!$A$5:$A$34,0)),DAY(EOMONTH($B615,0)))),DATE(YEAR($B615),MONTH($B615)+1,MIN(INDEX(CARDS!$H$5:$H$34,MATCH($D615,CARDS!$A$5:$A$34,0)),DAY(EOMONTH($B615,1)))))),""))</f>
        <v/>
      </c>
      <c r="AE615" s="52" t="str">
        <f>IF($C615="","",$C615&amp;"|"&amp;COUNTIF($C$5:$C615,$C615))</f>
        <v/>
      </c>
      <c r="AF615" s="53">
        <f>IF($AC615&gt;0,SUMIFS(Q$4:Q614,$D$4:$D614,$D615,$Z$4:$Z614,$Z615,$C$4:$C614,$C615),0)</f>
        <v>0</v>
      </c>
      <c r="AG615" s="53">
        <f>IF($AC615&gt;0,SUMIFS(Q$4:Q614,$D$4:$D614,$D615,$C$4:$C614,$C615),0)</f>
        <v>0</v>
      </c>
      <c r="AH615" s="53">
        <f>IF($AC615&gt;0,SUMIFS(M$4:M614,$D$4:$D614,$D615,$Z$4:$Z614,$Z615,$C$4:$C614,$C615),0)</f>
        <v>0</v>
      </c>
      <c r="AI615" s="43">
        <f>IF(OR($C615="",$I615=""),0,IF(COUNTIFS($C$5:$C615,$C615,$I$5:$I615,$I615)=1,1,0))</f>
        <v>0</v>
      </c>
      <c r="AJ615" s="43" t="str">
        <f>IF($AI615=1,SUMIFS($AI$4:$AI614,$C$4:$C614,$C615)+1,"")</f>
        <v/>
      </c>
      <c r="AK615" s="43">
        <f>IF(OR($C615="",$K615=""),0,IF(COUNTIFS($C$5:$C615,$C615,$K$5:$K615,$K615)=1,1,0))</f>
        <v>0</v>
      </c>
      <c r="AL615" s="43" t="str">
        <f>IF($AK615=1,SUMIFS($AK$4:$AK614,$C$4:$C614,$C615)+1,"")</f>
        <v/>
      </c>
      <c r="AM615" s="43">
        <f>IF(OR($C615="",$G615=""),0,IF(COUNTIFS($C$5:$C615,$C615,$G$5:$G615,$G615)=1,1,0))</f>
        <v>0</v>
      </c>
      <c r="AN615" s="43" t="str">
        <f>IF($AM615=1,SUMIFS($AM$4:$AM614,$C$4:$C614,$C615)+1,"")</f>
        <v/>
      </c>
    </row>
    <row r="616">
      <c r="A616" s="44" t="str">
        <f>IF(OR($B616="",$D616=""),"","TX"&amp;TEXT(ROW()-4,"0000"))</f>
        <v/>
      </c>
      <c r="B616" s="42" t="n"/>
      <c r="C616" s="47" t="str">
        <f>IF($B616="","",YEAR($B616)*100+MONTH($B616))</f>
        <v/>
      </c>
      <c r="D616" s="37" t="n"/>
      <c r="E616" s="45" t="str">
        <f>IF($D616="","",IFERROR(INDEX(CARDS!$B$5:$B$34,MATCH($D616,CARDS!$A$5:$A$34,0)),"⚠ Card ID?"))</f>
        <v/>
      </c>
      <c r="F616" s="45" t="str">
        <f>IF($D616="","",IFERROR(INDEX(CARDS!$C$5:$C$34,MATCH($D616,CARDS!$A$5:$A$34,0)),"⚠ Card ID?"))</f>
        <v/>
      </c>
      <c r="G616" s="37" t="n"/>
      <c r="H616" s="37" t="n"/>
      <c r="I616" s="41" t="n"/>
      <c r="J616" s="45" t="str">
        <f>IF($I616="","",IFERROR(INDEX(MCC_MASTER!$B$5:$B$504,MATCH($I616,MCC_MASTER!$A$5:$A$504,0)),"⚠ MCC chưa có"))</f>
        <v/>
      </c>
      <c r="K616" s="45" t="str">
        <f>IF($I616="","",IFERROR(IF(INDEX(MCC_MASTER!$C$5:$C$504,MATCH($I616,MCC_MASTER!$A$5:$A$504,0))="","Chưa phân loại",INDEX(MCC_MASTER!$C$5:$C$504,MATCH($I616,MCC_MASTER!$A$5:$A$504,0))),"Chưa phân loại"))</f>
        <v/>
      </c>
      <c r="L616" s="40" t="n"/>
      <c r="M616" s="48" t="str">
        <f>IF(OR($B616="",$D616=""),"",IF($AC616=0,0,IF(ISNUMBER(INDEX(CASHBACK_RULES!$L$5:$L$304,$AC616)),MAX(0,MIN($L616,INDEX(CASHBACK_RULES!$L$5:$L$304,$AC616)-$AH616)),MAX(0,$L616))))</f>
        <v/>
      </c>
      <c r="N616" s="49" t="str">
        <f>IF(OR($B616="",$D616=""),"",IF($AC616&gt;0,INDEX(CASHBACK_RULES!$I$5:$I$304,$AC616),0))</f>
        <v/>
      </c>
      <c r="O616" s="48" t="str">
        <f>IF(OR($B616="",$D616=""),"",ROUND($M616*$N616,0))</f>
        <v/>
      </c>
      <c r="P616" s="48" t="str">
        <f>IF($AC616&gt;0,IF(ISNUMBER(INDEX(CASHBACK_RULES!$J$5:$J$304,$AC616)),INDEX(CASHBACK_RULES!$J$5:$J$304,$AC616),"∞"),"")</f>
        <v/>
      </c>
      <c r="Q616" s="48" t="str">
        <f>IF(OR($B616="",$D616=""),"",IF($AC616=0,0,MAX(0,MIN($O616,IF(ISNUMBER($P616),$P616-$AF616,1E+15),IF(ISNUMBER($AA616),$AA616-$AG616,1E+15)))))</f>
        <v/>
      </c>
      <c r="R616" s="48" t="str">
        <f>IF(OR($B616="",$D616=""),"",IF($AC616=0,"",IF(AND(NOT(ISNUMBER($P616)),NOT(ISNUMBER($AA616))),"∞",MAX(0,MIN(IF(ISNUMBER($P616),$P616-$AF616-$Q616,1E+15),IF(ISNUMBER($AA616),$AA616-$AG616-$Q616,1E+15))))))</f>
        <v/>
      </c>
      <c r="S616" s="47" t="str">
        <f>IF($AD616="","",YEAR($AD616)*100+MONTH($AD616))</f>
        <v/>
      </c>
      <c r="T616" s="50" t="str">
        <f>IF($AD616="","",IFERROR(IF(INDEX(CARDS!$I$5:$I$34,MATCH($D616,CARDS!$A$5:$A$34,0))="","",IF(INDEX(CARDS!$I$5:$I$34,MATCH($D616,CARDS!$A$5:$A$34,0))&gt;INDEX(CARDS!$H$5:$H$34,MATCH($D616,CARDS!$A$5:$A$34,0)),DATE(YEAR($AD616),MONTH($AD616),MIN(INDEX(CARDS!$I$5:$I$34,MATCH($D616,CARDS!$A$5:$A$34,0)),DAY(EOMONTH($AD616,0)))),DATE(YEAR($AD616),MONTH($AD616)+1,MIN(INDEX(CARDS!$I$5:$I$34,MATCH($D616,CARDS!$A$5:$A$34,0)),DAY(EOMONTH($AD616,1)))))),""))</f>
        <v/>
      </c>
      <c r="U616" s="38" t="n"/>
      <c r="V616" s="37" t="n"/>
      <c r="W616" s="38" t="n"/>
      <c r="X616" s="38" t="n"/>
      <c r="Y616" s="44" t="str">
        <f>IF($AC616&gt;0,INDEX(CASHBACK_RULES!$A$5:$A$304,$AC616),"")</f>
        <v/>
      </c>
      <c r="Z616" s="45" t="str">
        <f>IF($AC616&gt;0,INDEX(CASHBACK_RULES!$E$5:$E$304,$AC616)&amp;"","")</f>
        <v/>
      </c>
      <c r="AA616" s="48" t="str">
        <f>IF($AC616&gt;0,IF(ISNUMBER(INDEX(CASHBACK_RULES!$K$5:$K$304,$AC616)),INDEX(CASHBACK_RULES!$K$5:$K$304,$AC616),"∞"),"")</f>
        <v/>
      </c>
      <c r="AB616" s="44" t="str">
        <f>IF(OR($B616="",$D616=""),"",IF($U616="Cancelled","Đã hủy",IF($AC616=0,"Không được hoàn",IF($Q616=0,IF(OR($O616&gt;0,$M616&lt;$L616),"Đã đạt cap","Không được hoàn"),IF(OR($Q616&lt;$O616,$M616&lt;$L616),"Hoàn một phần","Được hoàn")))))</f>
        <v/>
      </c>
      <c r="AC616" s="43">
        <f>IF(OR($B616="",$D616="",$I616="",$L616=""),0,IF($U616="Cancelled",0,IF($W616&lt;&gt;"",IFERROR(IF(INDEX(CASHBACK_RULES!$B$5:$B$304,MATCH($W616,CASHBACK_RULES!$A$5:$A$304,0))=$D616,MATCH($W616,CASHBACK_RULES!$A$5:$A$304,0),0),0),IFERROR(MATCH(1,INDEX((CASHBACK_RULES!$B$5:$B$304=$D616)*(CASHBACK_RULES!$G$5:$G$304=$I616)*(((CASHBACK_RULES!$N$5:$N$304="")+(CASHBACK_RULES!$N$5:$N$304&lt;=$B616))&gt;0)*(((CASHBACK_RULES!$O$5:$O$304="")+(CASHBACK_RULES!$O$5:$O$304&gt;=$B616))&gt;0)*(((CASHBACK_RULES!$M$5:$M$304="")+(CASHBACK_RULES!$M$5:$M$304&lt;=$L616))&gt;0),0),0),0))))</f>
        <v>0</v>
      </c>
      <c r="AD616" s="51" t="str">
        <f>IF(OR($B616="",$D616=""),"",IFERROR(IF(INDEX(CARDS!$H$5:$H$34,MATCH($D616,CARDS!$A$5:$A$34,0))="","",IF(DAY($B616)&lt;=INDEX(CARDS!$H$5:$H$34,MATCH($D616,CARDS!$A$5:$A$34,0)),DATE(YEAR($B616),MONTH($B616),MIN(INDEX(CARDS!$H$5:$H$34,MATCH($D616,CARDS!$A$5:$A$34,0)),DAY(EOMONTH($B616,0)))),DATE(YEAR($B616),MONTH($B616)+1,MIN(INDEX(CARDS!$H$5:$H$34,MATCH($D616,CARDS!$A$5:$A$34,0)),DAY(EOMONTH($B616,1)))))),""))</f>
        <v/>
      </c>
      <c r="AE616" s="52" t="str">
        <f>IF($C616="","",$C616&amp;"|"&amp;COUNTIF($C$5:$C616,$C616))</f>
        <v/>
      </c>
      <c r="AF616" s="53">
        <f>IF($AC616&gt;0,SUMIFS(Q$4:Q615,$D$4:$D615,$D616,$Z$4:$Z615,$Z616,$C$4:$C615,$C616),0)</f>
        <v>0</v>
      </c>
      <c r="AG616" s="53">
        <f>IF($AC616&gt;0,SUMIFS(Q$4:Q615,$D$4:$D615,$D616,$C$4:$C615,$C616),0)</f>
        <v>0</v>
      </c>
      <c r="AH616" s="53">
        <f>IF($AC616&gt;0,SUMIFS(M$4:M615,$D$4:$D615,$D616,$Z$4:$Z615,$Z616,$C$4:$C615,$C616),0)</f>
        <v>0</v>
      </c>
      <c r="AI616" s="43">
        <f>IF(OR($C616="",$I616=""),0,IF(COUNTIFS($C$5:$C616,$C616,$I$5:$I616,$I616)=1,1,0))</f>
        <v>0</v>
      </c>
      <c r="AJ616" s="43" t="str">
        <f>IF($AI616=1,SUMIFS($AI$4:$AI615,$C$4:$C615,$C616)+1,"")</f>
        <v/>
      </c>
      <c r="AK616" s="43">
        <f>IF(OR($C616="",$K616=""),0,IF(COUNTIFS($C$5:$C616,$C616,$K$5:$K616,$K616)=1,1,0))</f>
        <v>0</v>
      </c>
      <c r="AL616" s="43" t="str">
        <f>IF($AK616=1,SUMIFS($AK$4:$AK615,$C$4:$C615,$C616)+1,"")</f>
        <v/>
      </c>
      <c r="AM616" s="43">
        <f>IF(OR($C616="",$G616=""),0,IF(COUNTIFS($C$5:$C616,$C616,$G$5:$G616,$G616)=1,1,0))</f>
        <v>0</v>
      </c>
      <c r="AN616" s="43" t="str">
        <f>IF($AM616=1,SUMIFS($AM$4:$AM615,$C$4:$C615,$C616)+1,"")</f>
        <v/>
      </c>
    </row>
    <row r="617">
      <c r="A617" s="44" t="str">
        <f>IF(OR($B617="",$D617=""),"","TX"&amp;TEXT(ROW()-4,"0000"))</f>
        <v/>
      </c>
      <c r="B617" s="42" t="n"/>
      <c r="C617" s="47" t="str">
        <f>IF($B617="","",YEAR($B617)*100+MONTH($B617))</f>
        <v/>
      </c>
      <c r="D617" s="37" t="n"/>
      <c r="E617" s="45" t="str">
        <f>IF($D617="","",IFERROR(INDEX(CARDS!$B$5:$B$34,MATCH($D617,CARDS!$A$5:$A$34,0)),"⚠ Card ID?"))</f>
        <v/>
      </c>
      <c r="F617" s="45" t="str">
        <f>IF($D617="","",IFERROR(INDEX(CARDS!$C$5:$C$34,MATCH($D617,CARDS!$A$5:$A$34,0)),"⚠ Card ID?"))</f>
        <v/>
      </c>
      <c r="G617" s="37" t="n"/>
      <c r="H617" s="37" t="n"/>
      <c r="I617" s="41" t="n"/>
      <c r="J617" s="45" t="str">
        <f>IF($I617="","",IFERROR(INDEX(MCC_MASTER!$B$5:$B$504,MATCH($I617,MCC_MASTER!$A$5:$A$504,0)),"⚠ MCC chưa có"))</f>
        <v/>
      </c>
      <c r="K617" s="45" t="str">
        <f>IF($I617="","",IFERROR(IF(INDEX(MCC_MASTER!$C$5:$C$504,MATCH($I617,MCC_MASTER!$A$5:$A$504,0))="","Chưa phân loại",INDEX(MCC_MASTER!$C$5:$C$504,MATCH($I617,MCC_MASTER!$A$5:$A$504,0))),"Chưa phân loại"))</f>
        <v/>
      </c>
      <c r="L617" s="40" t="n"/>
      <c r="M617" s="48" t="str">
        <f>IF(OR($B617="",$D617=""),"",IF($AC617=0,0,IF(ISNUMBER(INDEX(CASHBACK_RULES!$L$5:$L$304,$AC617)),MAX(0,MIN($L617,INDEX(CASHBACK_RULES!$L$5:$L$304,$AC617)-$AH617)),MAX(0,$L617))))</f>
        <v/>
      </c>
      <c r="N617" s="49" t="str">
        <f>IF(OR($B617="",$D617=""),"",IF($AC617&gt;0,INDEX(CASHBACK_RULES!$I$5:$I$304,$AC617),0))</f>
        <v/>
      </c>
      <c r="O617" s="48" t="str">
        <f>IF(OR($B617="",$D617=""),"",ROUND($M617*$N617,0))</f>
        <v/>
      </c>
      <c r="P617" s="48" t="str">
        <f>IF($AC617&gt;0,IF(ISNUMBER(INDEX(CASHBACK_RULES!$J$5:$J$304,$AC617)),INDEX(CASHBACK_RULES!$J$5:$J$304,$AC617),"∞"),"")</f>
        <v/>
      </c>
      <c r="Q617" s="48" t="str">
        <f>IF(OR($B617="",$D617=""),"",IF($AC617=0,0,MAX(0,MIN($O617,IF(ISNUMBER($P617),$P617-$AF617,1E+15),IF(ISNUMBER($AA617),$AA617-$AG617,1E+15)))))</f>
        <v/>
      </c>
      <c r="R617" s="48" t="str">
        <f>IF(OR($B617="",$D617=""),"",IF($AC617=0,"",IF(AND(NOT(ISNUMBER($P617)),NOT(ISNUMBER($AA617))),"∞",MAX(0,MIN(IF(ISNUMBER($P617),$P617-$AF617-$Q617,1E+15),IF(ISNUMBER($AA617),$AA617-$AG617-$Q617,1E+15))))))</f>
        <v/>
      </c>
      <c r="S617" s="47" t="str">
        <f>IF($AD617="","",YEAR($AD617)*100+MONTH($AD617))</f>
        <v/>
      </c>
      <c r="T617" s="50" t="str">
        <f>IF($AD617="","",IFERROR(IF(INDEX(CARDS!$I$5:$I$34,MATCH($D617,CARDS!$A$5:$A$34,0))="","",IF(INDEX(CARDS!$I$5:$I$34,MATCH($D617,CARDS!$A$5:$A$34,0))&gt;INDEX(CARDS!$H$5:$H$34,MATCH($D617,CARDS!$A$5:$A$34,0)),DATE(YEAR($AD617),MONTH($AD617),MIN(INDEX(CARDS!$I$5:$I$34,MATCH($D617,CARDS!$A$5:$A$34,0)),DAY(EOMONTH($AD617,0)))),DATE(YEAR($AD617),MONTH($AD617)+1,MIN(INDEX(CARDS!$I$5:$I$34,MATCH($D617,CARDS!$A$5:$A$34,0)),DAY(EOMONTH($AD617,1)))))),""))</f>
        <v/>
      </c>
      <c r="U617" s="38" t="n"/>
      <c r="V617" s="37" t="n"/>
      <c r="W617" s="38" t="n"/>
      <c r="X617" s="38" t="n"/>
      <c r="Y617" s="44" t="str">
        <f>IF($AC617&gt;0,INDEX(CASHBACK_RULES!$A$5:$A$304,$AC617),"")</f>
        <v/>
      </c>
      <c r="Z617" s="45" t="str">
        <f>IF($AC617&gt;0,INDEX(CASHBACK_RULES!$E$5:$E$304,$AC617)&amp;"","")</f>
        <v/>
      </c>
      <c r="AA617" s="48" t="str">
        <f>IF($AC617&gt;0,IF(ISNUMBER(INDEX(CASHBACK_RULES!$K$5:$K$304,$AC617)),INDEX(CASHBACK_RULES!$K$5:$K$304,$AC617),"∞"),"")</f>
        <v/>
      </c>
      <c r="AB617" s="44" t="str">
        <f>IF(OR($B617="",$D617=""),"",IF($U617="Cancelled","Đã hủy",IF($AC617=0,"Không được hoàn",IF($Q617=0,IF(OR($O617&gt;0,$M617&lt;$L617),"Đã đạt cap","Không được hoàn"),IF(OR($Q617&lt;$O617,$M617&lt;$L617),"Hoàn một phần","Được hoàn")))))</f>
        <v/>
      </c>
      <c r="AC617" s="43">
        <f>IF(OR($B617="",$D617="",$I617="",$L617=""),0,IF($U617="Cancelled",0,IF($W617&lt;&gt;"",IFERROR(IF(INDEX(CASHBACK_RULES!$B$5:$B$304,MATCH($W617,CASHBACK_RULES!$A$5:$A$304,0))=$D617,MATCH($W617,CASHBACK_RULES!$A$5:$A$304,0),0),0),IFERROR(MATCH(1,INDEX((CASHBACK_RULES!$B$5:$B$304=$D617)*(CASHBACK_RULES!$G$5:$G$304=$I617)*(((CASHBACK_RULES!$N$5:$N$304="")+(CASHBACK_RULES!$N$5:$N$304&lt;=$B617))&gt;0)*(((CASHBACK_RULES!$O$5:$O$304="")+(CASHBACK_RULES!$O$5:$O$304&gt;=$B617))&gt;0)*(((CASHBACK_RULES!$M$5:$M$304="")+(CASHBACK_RULES!$M$5:$M$304&lt;=$L617))&gt;0),0),0),0))))</f>
        <v>0</v>
      </c>
      <c r="AD617" s="51" t="str">
        <f>IF(OR($B617="",$D617=""),"",IFERROR(IF(INDEX(CARDS!$H$5:$H$34,MATCH($D617,CARDS!$A$5:$A$34,0))="","",IF(DAY($B617)&lt;=INDEX(CARDS!$H$5:$H$34,MATCH($D617,CARDS!$A$5:$A$34,0)),DATE(YEAR($B617),MONTH($B617),MIN(INDEX(CARDS!$H$5:$H$34,MATCH($D617,CARDS!$A$5:$A$34,0)),DAY(EOMONTH($B617,0)))),DATE(YEAR($B617),MONTH($B617)+1,MIN(INDEX(CARDS!$H$5:$H$34,MATCH($D617,CARDS!$A$5:$A$34,0)),DAY(EOMONTH($B617,1)))))),""))</f>
        <v/>
      </c>
      <c r="AE617" s="52" t="str">
        <f>IF($C617="","",$C617&amp;"|"&amp;COUNTIF($C$5:$C617,$C617))</f>
        <v/>
      </c>
      <c r="AF617" s="53">
        <f>IF($AC617&gt;0,SUMIFS(Q$4:Q616,$D$4:$D616,$D617,$Z$4:$Z616,$Z617,$C$4:$C616,$C617),0)</f>
        <v>0</v>
      </c>
      <c r="AG617" s="53">
        <f>IF($AC617&gt;0,SUMIFS(Q$4:Q616,$D$4:$D616,$D617,$C$4:$C616,$C617),0)</f>
        <v>0</v>
      </c>
      <c r="AH617" s="53">
        <f>IF($AC617&gt;0,SUMIFS(M$4:M616,$D$4:$D616,$D617,$Z$4:$Z616,$Z617,$C$4:$C616,$C617),0)</f>
        <v>0</v>
      </c>
      <c r="AI617" s="43">
        <f>IF(OR($C617="",$I617=""),0,IF(COUNTIFS($C$5:$C617,$C617,$I$5:$I617,$I617)=1,1,0))</f>
        <v>0</v>
      </c>
      <c r="AJ617" s="43" t="str">
        <f>IF($AI617=1,SUMIFS($AI$4:$AI616,$C$4:$C616,$C617)+1,"")</f>
        <v/>
      </c>
      <c r="AK617" s="43">
        <f>IF(OR($C617="",$K617=""),0,IF(COUNTIFS($C$5:$C617,$C617,$K$5:$K617,$K617)=1,1,0))</f>
        <v>0</v>
      </c>
      <c r="AL617" s="43" t="str">
        <f>IF($AK617=1,SUMIFS($AK$4:$AK616,$C$4:$C616,$C617)+1,"")</f>
        <v/>
      </c>
      <c r="AM617" s="43">
        <f>IF(OR($C617="",$G617=""),0,IF(COUNTIFS($C$5:$C617,$C617,$G$5:$G617,$G617)=1,1,0))</f>
        <v>0</v>
      </c>
      <c r="AN617" s="43" t="str">
        <f>IF($AM617=1,SUMIFS($AM$4:$AM616,$C$4:$C616,$C617)+1,"")</f>
        <v/>
      </c>
    </row>
    <row r="618">
      <c r="A618" s="44" t="str">
        <f>IF(OR($B618="",$D618=""),"","TX"&amp;TEXT(ROW()-4,"0000"))</f>
        <v/>
      </c>
      <c r="B618" s="42" t="n"/>
      <c r="C618" s="47" t="str">
        <f>IF($B618="","",YEAR($B618)*100+MONTH($B618))</f>
        <v/>
      </c>
      <c r="D618" s="37" t="n"/>
      <c r="E618" s="45" t="str">
        <f>IF($D618="","",IFERROR(INDEX(CARDS!$B$5:$B$34,MATCH($D618,CARDS!$A$5:$A$34,0)),"⚠ Card ID?"))</f>
        <v/>
      </c>
      <c r="F618" s="45" t="str">
        <f>IF($D618="","",IFERROR(INDEX(CARDS!$C$5:$C$34,MATCH($D618,CARDS!$A$5:$A$34,0)),"⚠ Card ID?"))</f>
        <v/>
      </c>
      <c r="G618" s="37" t="n"/>
      <c r="H618" s="37" t="n"/>
      <c r="I618" s="41" t="n"/>
      <c r="J618" s="45" t="str">
        <f>IF($I618="","",IFERROR(INDEX(MCC_MASTER!$B$5:$B$504,MATCH($I618,MCC_MASTER!$A$5:$A$504,0)),"⚠ MCC chưa có"))</f>
        <v/>
      </c>
      <c r="K618" s="45" t="str">
        <f>IF($I618="","",IFERROR(IF(INDEX(MCC_MASTER!$C$5:$C$504,MATCH($I618,MCC_MASTER!$A$5:$A$504,0))="","Chưa phân loại",INDEX(MCC_MASTER!$C$5:$C$504,MATCH($I618,MCC_MASTER!$A$5:$A$504,0))),"Chưa phân loại"))</f>
        <v/>
      </c>
      <c r="L618" s="40" t="n"/>
      <c r="M618" s="48" t="str">
        <f>IF(OR($B618="",$D618=""),"",IF($AC618=0,0,IF(ISNUMBER(INDEX(CASHBACK_RULES!$L$5:$L$304,$AC618)),MAX(0,MIN($L618,INDEX(CASHBACK_RULES!$L$5:$L$304,$AC618)-$AH618)),MAX(0,$L618))))</f>
        <v/>
      </c>
      <c r="N618" s="49" t="str">
        <f>IF(OR($B618="",$D618=""),"",IF($AC618&gt;0,INDEX(CASHBACK_RULES!$I$5:$I$304,$AC618),0))</f>
        <v/>
      </c>
      <c r="O618" s="48" t="str">
        <f>IF(OR($B618="",$D618=""),"",ROUND($M618*$N618,0))</f>
        <v/>
      </c>
      <c r="P618" s="48" t="str">
        <f>IF($AC618&gt;0,IF(ISNUMBER(INDEX(CASHBACK_RULES!$J$5:$J$304,$AC618)),INDEX(CASHBACK_RULES!$J$5:$J$304,$AC618),"∞"),"")</f>
        <v/>
      </c>
      <c r="Q618" s="48" t="str">
        <f>IF(OR($B618="",$D618=""),"",IF($AC618=0,0,MAX(0,MIN($O618,IF(ISNUMBER($P618),$P618-$AF618,1E+15),IF(ISNUMBER($AA618),$AA618-$AG618,1E+15)))))</f>
        <v/>
      </c>
      <c r="R618" s="48" t="str">
        <f>IF(OR($B618="",$D618=""),"",IF($AC618=0,"",IF(AND(NOT(ISNUMBER($P618)),NOT(ISNUMBER($AA618))),"∞",MAX(0,MIN(IF(ISNUMBER($P618),$P618-$AF618-$Q618,1E+15),IF(ISNUMBER($AA618),$AA618-$AG618-$Q618,1E+15))))))</f>
        <v/>
      </c>
      <c r="S618" s="47" t="str">
        <f>IF($AD618="","",YEAR($AD618)*100+MONTH($AD618))</f>
        <v/>
      </c>
      <c r="T618" s="50" t="str">
        <f>IF($AD618="","",IFERROR(IF(INDEX(CARDS!$I$5:$I$34,MATCH($D618,CARDS!$A$5:$A$34,0))="","",IF(INDEX(CARDS!$I$5:$I$34,MATCH($D618,CARDS!$A$5:$A$34,0))&gt;INDEX(CARDS!$H$5:$H$34,MATCH($D618,CARDS!$A$5:$A$34,0)),DATE(YEAR($AD618),MONTH($AD618),MIN(INDEX(CARDS!$I$5:$I$34,MATCH($D618,CARDS!$A$5:$A$34,0)),DAY(EOMONTH($AD618,0)))),DATE(YEAR($AD618),MONTH($AD618)+1,MIN(INDEX(CARDS!$I$5:$I$34,MATCH($D618,CARDS!$A$5:$A$34,0)),DAY(EOMONTH($AD618,1)))))),""))</f>
        <v/>
      </c>
      <c r="U618" s="38" t="n"/>
      <c r="V618" s="37" t="n"/>
      <c r="W618" s="38" t="n"/>
      <c r="X618" s="38" t="n"/>
      <c r="Y618" s="44" t="str">
        <f>IF($AC618&gt;0,INDEX(CASHBACK_RULES!$A$5:$A$304,$AC618),"")</f>
        <v/>
      </c>
      <c r="Z618" s="45" t="str">
        <f>IF($AC618&gt;0,INDEX(CASHBACK_RULES!$E$5:$E$304,$AC618)&amp;"","")</f>
        <v/>
      </c>
      <c r="AA618" s="48" t="str">
        <f>IF($AC618&gt;0,IF(ISNUMBER(INDEX(CASHBACK_RULES!$K$5:$K$304,$AC618)),INDEX(CASHBACK_RULES!$K$5:$K$304,$AC618),"∞"),"")</f>
        <v/>
      </c>
      <c r="AB618" s="44" t="str">
        <f>IF(OR($B618="",$D618=""),"",IF($U618="Cancelled","Đã hủy",IF($AC618=0,"Không được hoàn",IF($Q618=0,IF(OR($O618&gt;0,$M618&lt;$L618),"Đã đạt cap","Không được hoàn"),IF(OR($Q618&lt;$O618,$M618&lt;$L618),"Hoàn một phần","Được hoàn")))))</f>
        <v/>
      </c>
      <c r="AC618" s="43">
        <f>IF(OR($B618="",$D618="",$I618="",$L618=""),0,IF($U618="Cancelled",0,IF($W618&lt;&gt;"",IFERROR(IF(INDEX(CASHBACK_RULES!$B$5:$B$304,MATCH($W618,CASHBACK_RULES!$A$5:$A$304,0))=$D618,MATCH($W618,CASHBACK_RULES!$A$5:$A$304,0),0),0),IFERROR(MATCH(1,INDEX((CASHBACK_RULES!$B$5:$B$304=$D618)*(CASHBACK_RULES!$G$5:$G$304=$I618)*(((CASHBACK_RULES!$N$5:$N$304="")+(CASHBACK_RULES!$N$5:$N$304&lt;=$B618))&gt;0)*(((CASHBACK_RULES!$O$5:$O$304="")+(CASHBACK_RULES!$O$5:$O$304&gt;=$B618))&gt;0)*(((CASHBACK_RULES!$M$5:$M$304="")+(CASHBACK_RULES!$M$5:$M$304&lt;=$L618))&gt;0),0),0),0))))</f>
        <v>0</v>
      </c>
      <c r="AD618" s="51" t="str">
        <f>IF(OR($B618="",$D618=""),"",IFERROR(IF(INDEX(CARDS!$H$5:$H$34,MATCH($D618,CARDS!$A$5:$A$34,0))="","",IF(DAY($B618)&lt;=INDEX(CARDS!$H$5:$H$34,MATCH($D618,CARDS!$A$5:$A$34,0)),DATE(YEAR($B618),MONTH($B618),MIN(INDEX(CARDS!$H$5:$H$34,MATCH($D618,CARDS!$A$5:$A$34,0)),DAY(EOMONTH($B618,0)))),DATE(YEAR($B618),MONTH($B618)+1,MIN(INDEX(CARDS!$H$5:$H$34,MATCH($D618,CARDS!$A$5:$A$34,0)),DAY(EOMONTH($B618,1)))))),""))</f>
        <v/>
      </c>
      <c r="AE618" s="52" t="str">
        <f>IF($C618="","",$C618&amp;"|"&amp;COUNTIF($C$5:$C618,$C618))</f>
        <v/>
      </c>
      <c r="AF618" s="53">
        <f>IF($AC618&gt;0,SUMIFS(Q$4:Q617,$D$4:$D617,$D618,$Z$4:$Z617,$Z618,$C$4:$C617,$C618),0)</f>
        <v>0</v>
      </c>
      <c r="AG618" s="53">
        <f>IF($AC618&gt;0,SUMIFS(Q$4:Q617,$D$4:$D617,$D618,$C$4:$C617,$C618),0)</f>
        <v>0</v>
      </c>
      <c r="AH618" s="53">
        <f>IF($AC618&gt;0,SUMIFS(M$4:M617,$D$4:$D617,$D618,$Z$4:$Z617,$Z618,$C$4:$C617,$C618),0)</f>
        <v>0</v>
      </c>
      <c r="AI618" s="43">
        <f>IF(OR($C618="",$I618=""),0,IF(COUNTIFS($C$5:$C618,$C618,$I$5:$I618,$I618)=1,1,0))</f>
        <v>0</v>
      </c>
      <c r="AJ618" s="43" t="str">
        <f>IF($AI618=1,SUMIFS($AI$4:$AI617,$C$4:$C617,$C618)+1,"")</f>
        <v/>
      </c>
      <c r="AK618" s="43">
        <f>IF(OR($C618="",$K618=""),0,IF(COUNTIFS($C$5:$C618,$C618,$K$5:$K618,$K618)=1,1,0))</f>
        <v>0</v>
      </c>
      <c r="AL618" s="43" t="str">
        <f>IF($AK618=1,SUMIFS($AK$4:$AK617,$C$4:$C617,$C618)+1,"")</f>
        <v/>
      </c>
      <c r="AM618" s="43">
        <f>IF(OR($C618="",$G618=""),0,IF(COUNTIFS($C$5:$C618,$C618,$G$5:$G618,$G618)=1,1,0))</f>
        <v>0</v>
      </c>
      <c r="AN618" s="43" t="str">
        <f>IF($AM618=1,SUMIFS($AM$4:$AM617,$C$4:$C617,$C618)+1,"")</f>
        <v/>
      </c>
    </row>
    <row r="619">
      <c r="A619" s="44" t="str">
        <f>IF(OR($B619="",$D619=""),"","TX"&amp;TEXT(ROW()-4,"0000"))</f>
        <v/>
      </c>
      <c r="B619" s="42" t="n"/>
      <c r="C619" s="47" t="str">
        <f>IF($B619="","",YEAR($B619)*100+MONTH($B619))</f>
        <v/>
      </c>
      <c r="D619" s="37" t="n"/>
      <c r="E619" s="45" t="str">
        <f>IF($D619="","",IFERROR(INDEX(CARDS!$B$5:$B$34,MATCH($D619,CARDS!$A$5:$A$34,0)),"⚠ Card ID?"))</f>
        <v/>
      </c>
      <c r="F619" s="45" t="str">
        <f>IF($D619="","",IFERROR(INDEX(CARDS!$C$5:$C$34,MATCH($D619,CARDS!$A$5:$A$34,0)),"⚠ Card ID?"))</f>
        <v/>
      </c>
      <c r="G619" s="37" t="n"/>
      <c r="H619" s="37" t="n"/>
      <c r="I619" s="41" t="n"/>
      <c r="J619" s="45" t="str">
        <f>IF($I619="","",IFERROR(INDEX(MCC_MASTER!$B$5:$B$504,MATCH($I619,MCC_MASTER!$A$5:$A$504,0)),"⚠ MCC chưa có"))</f>
        <v/>
      </c>
      <c r="K619" s="45" t="str">
        <f>IF($I619="","",IFERROR(IF(INDEX(MCC_MASTER!$C$5:$C$504,MATCH($I619,MCC_MASTER!$A$5:$A$504,0))="","Chưa phân loại",INDEX(MCC_MASTER!$C$5:$C$504,MATCH($I619,MCC_MASTER!$A$5:$A$504,0))),"Chưa phân loại"))</f>
        <v/>
      </c>
      <c r="L619" s="40" t="n"/>
      <c r="M619" s="48" t="str">
        <f>IF(OR($B619="",$D619=""),"",IF($AC619=0,0,IF(ISNUMBER(INDEX(CASHBACK_RULES!$L$5:$L$304,$AC619)),MAX(0,MIN($L619,INDEX(CASHBACK_RULES!$L$5:$L$304,$AC619)-$AH619)),MAX(0,$L619))))</f>
        <v/>
      </c>
      <c r="N619" s="49" t="str">
        <f>IF(OR($B619="",$D619=""),"",IF($AC619&gt;0,INDEX(CASHBACK_RULES!$I$5:$I$304,$AC619),0))</f>
        <v/>
      </c>
      <c r="O619" s="48" t="str">
        <f>IF(OR($B619="",$D619=""),"",ROUND($M619*$N619,0))</f>
        <v/>
      </c>
      <c r="P619" s="48" t="str">
        <f>IF($AC619&gt;0,IF(ISNUMBER(INDEX(CASHBACK_RULES!$J$5:$J$304,$AC619)),INDEX(CASHBACK_RULES!$J$5:$J$304,$AC619),"∞"),"")</f>
        <v/>
      </c>
      <c r="Q619" s="48" t="str">
        <f>IF(OR($B619="",$D619=""),"",IF($AC619=0,0,MAX(0,MIN($O619,IF(ISNUMBER($P619),$P619-$AF619,1E+15),IF(ISNUMBER($AA619),$AA619-$AG619,1E+15)))))</f>
        <v/>
      </c>
      <c r="R619" s="48" t="str">
        <f>IF(OR($B619="",$D619=""),"",IF($AC619=0,"",IF(AND(NOT(ISNUMBER($P619)),NOT(ISNUMBER($AA619))),"∞",MAX(0,MIN(IF(ISNUMBER($P619),$P619-$AF619-$Q619,1E+15),IF(ISNUMBER($AA619),$AA619-$AG619-$Q619,1E+15))))))</f>
        <v/>
      </c>
      <c r="S619" s="47" t="str">
        <f>IF($AD619="","",YEAR($AD619)*100+MONTH($AD619))</f>
        <v/>
      </c>
      <c r="T619" s="50" t="str">
        <f>IF($AD619="","",IFERROR(IF(INDEX(CARDS!$I$5:$I$34,MATCH($D619,CARDS!$A$5:$A$34,0))="","",IF(INDEX(CARDS!$I$5:$I$34,MATCH($D619,CARDS!$A$5:$A$34,0))&gt;INDEX(CARDS!$H$5:$H$34,MATCH($D619,CARDS!$A$5:$A$34,0)),DATE(YEAR($AD619),MONTH($AD619),MIN(INDEX(CARDS!$I$5:$I$34,MATCH($D619,CARDS!$A$5:$A$34,0)),DAY(EOMONTH($AD619,0)))),DATE(YEAR($AD619),MONTH($AD619)+1,MIN(INDEX(CARDS!$I$5:$I$34,MATCH($D619,CARDS!$A$5:$A$34,0)),DAY(EOMONTH($AD619,1)))))),""))</f>
        <v/>
      </c>
      <c r="U619" s="38" t="n"/>
      <c r="V619" s="37" t="n"/>
      <c r="W619" s="38" t="n"/>
      <c r="X619" s="38" t="n"/>
      <c r="Y619" s="44" t="str">
        <f>IF($AC619&gt;0,INDEX(CASHBACK_RULES!$A$5:$A$304,$AC619),"")</f>
        <v/>
      </c>
      <c r="Z619" s="45" t="str">
        <f>IF($AC619&gt;0,INDEX(CASHBACK_RULES!$E$5:$E$304,$AC619)&amp;"","")</f>
        <v/>
      </c>
      <c r="AA619" s="48" t="str">
        <f>IF($AC619&gt;0,IF(ISNUMBER(INDEX(CASHBACK_RULES!$K$5:$K$304,$AC619)),INDEX(CASHBACK_RULES!$K$5:$K$304,$AC619),"∞"),"")</f>
        <v/>
      </c>
      <c r="AB619" s="44" t="str">
        <f>IF(OR($B619="",$D619=""),"",IF($U619="Cancelled","Đã hủy",IF($AC619=0,"Không được hoàn",IF($Q619=0,IF(OR($O619&gt;0,$M619&lt;$L619),"Đã đạt cap","Không được hoàn"),IF(OR($Q619&lt;$O619,$M619&lt;$L619),"Hoàn một phần","Được hoàn")))))</f>
        <v/>
      </c>
      <c r="AC619" s="43">
        <f>IF(OR($B619="",$D619="",$I619="",$L619=""),0,IF($U619="Cancelled",0,IF($W619&lt;&gt;"",IFERROR(IF(INDEX(CASHBACK_RULES!$B$5:$B$304,MATCH($W619,CASHBACK_RULES!$A$5:$A$304,0))=$D619,MATCH($W619,CASHBACK_RULES!$A$5:$A$304,0),0),0),IFERROR(MATCH(1,INDEX((CASHBACK_RULES!$B$5:$B$304=$D619)*(CASHBACK_RULES!$G$5:$G$304=$I619)*(((CASHBACK_RULES!$N$5:$N$304="")+(CASHBACK_RULES!$N$5:$N$304&lt;=$B619))&gt;0)*(((CASHBACK_RULES!$O$5:$O$304="")+(CASHBACK_RULES!$O$5:$O$304&gt;=$B619))&gt;0)*(((CASHBACK_RULES!$M$5:$M$304="")+(CASHBACK_RULES!$M$5:$M$304&lt;=$L619))&gt;0),0),0),0))))</f>
        <v>0</v>
      </c>
      <c r="AD619" s="51" t="str">
        <f>IF(OR($B619="",$D619=""),"",IFERROR(IF(INDEX(CARDS!$H$5:$H$34,MATCH($D619,CARDS!$A$5:$A$34,0))="","",IF(DAY($B619)&lt;=INDEX(CARDS!$H$5:$H$34,MATCH($D619,CARDS!$A$5:$A$34,0)),DATE(YEAR($B619),MONTH($B619),MIN(INDEX(CARDS!$H$5:$H$34,MATCH($D619,CARDS!$A$5:$A$34,0)),DAY(EOMONTH($B619,0)))),DATE(YEAR($B619),MONTH($B619)+1,MIN(INDEX(CARDS!$H$5:$H$34,MATCH($D619,CARDS!$A$5:$A$34,0)),DAY(EOMONTH($B619,1)))))),""))</f>
        <v/>
      </c>
      <c r="AE619" s="52" t="str">
        <f>IF($C619="","",$C619&amp;"|"&amp;COUNTIF($C$5:$C619,$C619))</f>
        <v/>
      </c>
      <c r="AF619" s="53">
        <f>IF($AC619&gt;0,SUMIFS(Q$4:Q618,$D$4:$D618,$D619,$Z$4:$Z618,$Z619,$C$4:$C618,$C619),0)</f>
        <v>0</v>
      </c>
      <c r="AG619" s="53">
        <f>IF($AC619&gt;0,SUMIFS(Q$4:Q618,$D$4:$D618,$D619,$C$4:$C618,$C619),0)</f>
        <v>0</v>
      </c>
      <c r="AH619" s="53">
        <f>IF($AC619&gt;0,SUMIFS(M$4:M618,$D$4:$D618,$D619,$Z$4:$Z618,$Z619,$C$4:$C618,$C619),0)</f>
        <v>0</v>
      </c>
      <c r="AI619" s="43">
        <f>IF(OR($C619="",$I619=""),0,IF(COUNTIFS($C$5:$C619,$C619,$I$5:$I619,$I619)=1,1,0))</f>
        <v>0</v>
      </c>
      <c r="AJ619" s="43" t="str">
        <f>IF($AI619=1,SUMIFS($AI$4:$AI618,$C$4:$C618,$C619)+1,"")</f>
        <v/>
      </c>
      <c r="AK619" s="43">
        <f>IF(OR($C619="",$K619=""),0,IF(COUNTIFS($C$5:$C619,$C619,$K$5:$K619,$K619)=1,1,0))</f>
        <v>0</v>
      </c>
      <c r="AL619" s="43" t="str">
        <f>IF($AK619=1,SUMIFS($AK$4:$AK618,$C$4:$C618,$C619)+1,"")</f>
        <v/>
      </c>
      <c r="AM619" s="43">
        <f>IF(OR($C619="",$G619=""),0,IF(COUNTIFS($C$5:$C619,$C619,$G$5:$G619,$G619)=1,1,0))</f>
        <v>0</v>
      </c>
      <c r="AN619" s="43" t="str">
        <f>IF($AM619=1,SUMIFS($AM$4:$AM618,$C$4:$C618,$C619)+1,"")</f>
        <v/>
      </c>
    </row>
    <row r="620">
      <c r="A620" s="44" t="str">
        <f>IF(OR($B620="",$D620=""),"","TX"&amp;TEXT(ROW()-4,"0000"))</f>
        <v/>
      </c>
      <c r="B620" s="42" t="n"/>
      <c r="C620" s="47" t="str">
        <f>IF($B620="","",YEAR($B620)*100+MONTH($B620))</f>
        <v/>
      </c>
      <c r="D620" s="37" t="n"/>
      <c r="E620" s="45" t="str">
        <f>IF($D620="","",IFERROR(INDEX(CARDS!$B$5:$B$34,MATCH($D620,CARDS!$A$5:$A$34,0)),"⚠ Card ID?"))</f>
        <v/>
      </c>
      <c r="F620" s="45" t="str">
        <f>IF($D620="","",IFERROR(INDEX(CARDS!$C$5:$C$34,MATCH($D620,CARDS!$A$5:$A$34,0)),"⚠ Card ID?"))</f>
        <v/>
      </c>
      <c r="G620" s="37" t="n"/>
      <c r="H620" s="37" t="n"/>
      <c r="I620" s="41" t="n"/>
      <c r="J620" s="45" t="str">
        <f>IF($I620="","",IFERROR(INDEX(MCC_MASTER!$B$5:$B$504,MATCH($I620,MCC_MASTER!$A$5:$A$504,0)),"⚠ MCC chưa có"))</f>
        <v/>
      </c>
      <c r="K620" s="45" t="str">
        <f>IF($I620="","",IFERROR(IF(INDEX(MCC_MASTER!$C$5:$C$504,MATCH($I620,MCC_MASTER!$A$5:$A$504,0))="","Chưa phân loại",INDEX(MCC_MASTER!$C$5:$C$504,MATCH($I620,MCC_MASTER!$A$5:$A$504,0))),"Chưa phân loại"))</f>
        <v/>
      </c>
      <c r="L620" s="40" t="n"/>
      <c r="M620" s="48" t="str">
        <f>IF(OR($B620="",$D620=""),"",IF($AC620=0,0,IF(ISNUMBER(INDEX(CASHBACK_RULES!$L$5:$L$304,$AC620)),MAX(0,MIN($L620,INDEX(CASHBACK_RULES!$L$5:$L$304,$AC620)-$AH620)),MAX(0,$L620))))</f>
        <v/>
      </c>
      <c r="N620" s="49" t="str">
        <f>IF(OR($B620="",$D620=""),"",IF($AC620&gt;0,INDEX(CASHBACK_RULES!$I$5:$I$304,$AC620),0))</f>
        <v/>
      </c>
      <c r="O620" s="48" t="str">
        <f>IF(OR($B620="",$D620=""),"",ROUND($M620*$N620,0))</f>
        <v/>
      </c>
      <c r="P620" s="48" t="str">
        <f>IF($AC620&gt;0,IF(ISNUMBER(INDEX(CASHBACK_RULES!$J$5:$J$304,$AC620)),INDEX(CASHBACK_RULES!$J$5:$J$304,$AC620),"∞"),"")</f>
        <v/>
      </c>
      <c r="Q620" s="48" t="str">
        <f>IF(OR($B620="",$D620=""),"",IF($AC620=0,0,MAX(0,MIN($O620,IF(ISNUMBER($P620),$P620-$AF620,1E+15),IF(ISNUMBER($AA620),$AA620-$AG620,1E+15)))))</f>
        <v/>
      </c>
      <c r="R620" s="48" t="str">
        <f>IF(OR($B620="",$D620=""),"",IF($AC620=0,"",IF(AND(NOT(ISNUMBER($P620)),NOT(ISNUMBER($AA620))),"∞",MAX(0,MIN(IF(ISNUMBER($P620),$P620-$AF620-$Q620,1E+15),IF(ISNUMBER($AA620),$AA620-$AG620-$Q620,1E+15))))))</f>
        <v/>
      </c>
      <c r="S620" s="47" t="str">
        <f>IF($AD620="","",YEAR($AD620)*100+MONTH($AD620))</f>
        <v/>
      </c>
      <c r="T620" s="50" t="str">
        <f>IF($AD620="","",IFERROR(IF(INDEX(CARDS!$I$5:$I$34,MATCH($D620,CARDS!$A$5:$A$34,0))="","",IF(INDEX(CARDS!$I$5:$I$34,MATCH($D620,CARDS!$A$5:$A$34,0))&gt;INDEX(CARDS!$H$5:$H$34,MATCH($D620,CARDS!$A$5:$A$34,0)),DATE(YEAR($AD620),MONTH($AD620),MIN(INDEX(CARDS!$I$5:$I$34,MATCH($D620,CARDS!$A$5:$A$34,0)),DAY(EOMONTH($AD620,0)))),DATE(YEAR($AD620),MONTH($AD620)+1,MIN(INDEX(CARDS!$I$5:$I$34,MATCH($D620,CARDS!$A$5:$A$34,0)),DAY(EOMONTH($AD620,1)))))),""))</f>
        <v/>
      </c>
      <c r="U620" s="38" t="n"/>
      <c r="V620" s="37" t="n"/>
      <c r="W620" s="38" t="n"/>
      <c r="X620" s="38" t="n"/>
      <c r="Y620" s="44" t="str">
        <f>IF($AC620&gt;0,INDEX(CASHBACK_RULES!$A$5:$A$304,$AC620),"")</f>
        <v/>
      </c>
      <c r="Z620" s="45" t="str">
        <f>IF($AC620&gt;0,INDEX(CASHBACK_RULES!$E$5:$E$304,$AC620)&amp;"","")</f>
        <v/>
      </c>
      <c r="AA620" s="48" t="str">
        <f>IF($AC620&gt;0,IF(ISNUMBER(INDEX(CASHBACK_RULES!$K$5:$K$304,$AC620)),INDEX(CASHBACK_RULES!$K$5:$K$304,$AC620),"∞"),"")</f>
        <v/>
      </c>
      <c r="AB620" s="44" t="str">
        <f>IF(OR($B620="",$D620=""),"",IF($U620="Cancelled","Đã hủy",IF($AC620=0,"Không được hoàn",IF($Q620=0,IF(OR($O620&gt;0,$M620&lt;$L620),"Đã đạt cap","Không được hoàn"),IF(OR($Q620&lt;$O620,$M620&lt;$L620),"Hoàn một phần","Được hoàn")))))</f>
        <v/>
      </c>
      <c r="AC620" s="43">
        <f>IF(OR($B620="",$D620="",$I620="",$L620=""),0,IF($U620="Cancelled",0,IF($W620&lt;&gt;"",IFERROR(IF(INDEX(CASHBACK_RULES!$B$5:$B$304,MATCH($W620,CASHBACK_RULES!$A$5:$A$304,0))=$D620,MATCH($W620,CASHBACK_RULES!$A$5:$A$304,0),0),0),IFERROR(MATCH(1,INDEX((CASHBACK_RULES!$B$5:$B$304=$D620)*(CASHBACK_RULES!$G$5:$G$304=$I620)*(((CASHBACK_RULES!$N$5:$N$304="")+(CASHBACK_RULES!$N$5:$N$304&lt;=$B620))&gt;0)*(((CASHBACK_RULES!$O$5:$O$304="")+(CASHBACK_RULES!$O$5:$O$304&gt;=$B620))&gt;0)*(((CASHBACK_RULES!$M$5:$M$304="")+(CASHBACK_RULES!$M$5:$M$304&lt;=$L620))&gt;0),0),0),0))))</f>
        <v>0</v>
      </c>
      <c r="AD620" s="51" t="str">
        <f>IF(OR($B620="",$D620=""),"",IFERROR(IF(INDEX(CARDS!$H$5:$H$34,MATCH($D620,CARDS!$A$5:$A$34,0))="","",IF(DAY($B620)&lt;=INDEX(CARDS!$H$5:$H$34,MATCH($D620,CARDS!$A$5:$A$34,0)),DATE(YEAR($B620),MONTH($B620),MIN(INDEX(CARDS!$H$5:$H$34,MATCH($D620,CARDS!$A$5:$A$34,0)),DAY(EOMONTH($B620,0)))),DATE(YEAR($B620),MONTH($B620)+1,MIN(INDEX(CARDS!$H$5:$H$34,MATCH($D620,CARDS!$A$5:$A$34,0)),DAY(EOMONTH($B620,1)))))),""))</f>
        <v/>
      </c>
      <c r="AE620" s="52" t="str">
        <f>IF($C620="","",$C620&amp;"|"&amp;COUNTIF($C$5:$C620,$C620))</f>
        <v/>
      </c>
      <c r="AF620" s="53">
        <f>IF($AC620&gt;0,SUMIFS(Q$4:Q619,$D$4:$D619,$D620,$Z$4:$Z619,$Z620,$C$4:$C619,$C620),0)</f>
        <v>0</v>
      </c>
      <c r="AG620" s="53">
        <f>IF($AC620&gt;0,SUMIFS(Q$4:Q619,$D$4:$D619,$D620,$C$4:$C619,$C620),0)</f>
        <v>0</v>
      </c>
      <c r="AH620" s="53">
        <f>IF($AC620&gt;0,SUMIFS(M$4:M619,$D$4:$D619,$D620,$Z$4:$Z619,$Z620,$C$4:$C619,$C620),0)</f>
        <v>0</v>
      </c>
      <c r="AI620" s="43">
        <f>IF(OR($C620="",$I620=""),0,IF(COUNTIFS($C$5:$C620,$C620,$I$5:$I620,$I620)=1,1,0))</f>
        <v>0</v>
      </c>
      <c r="AJ620" s="43" t="str">
        <f>IF($AI620=1,SUMIFS($AI$4:$AI619,$C$4:$C619,$C620)+1,"")</f>
        <v/>
      </c>
      <c r="AK620" s="43">
        <f>IF(OR($C620="",$K620=""),0,IF(COUNTIFS($C$5:$C620,$C620,$K$5:$K620,$K620)=1,1,0))</f>
        <v>0</v>
      </c>
      <c r="AL620" s="43" t="str">
        <f>IF($AK620=1,SUMIFS($AK$4:$AK619,$C$4:$C619,$C620)+1,"")</f>
        <v/>
      </c>
      <c r="AM620" s="43">
        <f>IF(OR($C620="",$G620=""),0,IF(COUNTIFS($C$5:$C620,$C620,$G$5:$G620,$G620)=1,1,0))</f>
        <v>0</v>
      </c>
      <c r="AN620" s="43" t="str">
        <f>IF($AM620=1,SUMIFS($AM$4:$AM619,$C$4:$C619,$C620)+1,"")</f>
        <v/>
      </c>
    </row>
    <row r="621">
      <c r="A621" s="44" t="str">
        <f>IF(OR($B621="",$D621=""),"","TX"&amp;TEXT(ROW()-4,"0000"))</f>
        <v/>
      </c>
      <c r="B621" s="42" t="n"/>
      <c r="C621" s="47" t="str">
        <f>IF($B621="","",YEAR($B621)*100+MONTH($B621))</f>
        <v/>
      </c>
      <c r="D621" s="37" t="n"/>
      <c r="E621" s="45" t="str">
        <f>IF($D621="","",IFERROR(INDEX(CARDS!$B$5:$B$34,MATCH($D621,CARDS!$A$5:$A$34,0)),"⚠ Card ID?"))</f>
        <v/>
      </c>
      <c r="F621" s="45" t="str">
        <f>IF($D621="","",IFERROR(INDEX(CARDS!$C$5:$C$34,MATCH($D621,CARDS!$A$5:$A$34,0)),"⚠ Card ID?"))</f>
        <v/>
      </c>
      <c r="G621" s="37" t="n"/>
      <c r="H621" s="37" t="n"/>
      <c r="I621" s="41" t="n"/>
      <c r="J621" s="45" t="str">
        <f>IF($I621="","",IFERROR(INDEX(MCC_MASTER!$B$5:$B$504,MATCH($I621,MCC_MASTER!$A$5:$A$504,0)),"⚠ MCC chưa có"))</f>
        <v/>
      </c>
      <c r="K621" s="45" t="str">
        <f>IF($I621="","",IFERROR(IF(INDEX(MCC_MASTER!$C$5:$C$504,MATCH($I621,MCC_MASTER!$A$5:$A$504,0))="","Chưa phân loại",INDEX(MCC_MASTER!$C$5:$C$504,MATCH($I621,MCC_MASTER!$A$5:$A$504,0))),"Chưa phân loại"))</f>
        <v/>
      </c>
      <c r="L621" s="40" t="n"/>
      <c r="M621" s="48" t="str">
        <f>IF(OR($B621="",$D621=""),"",IF($AC621=0,0,IF(ISNUMBER(INDEX(CASHBACK_RULES!$L$5:$L$304,$AC621)),MAX(0,MIN($L621,INDEX(CASHBACK_RULES!$L$5:$L$304,$AC621)-$AH621)),MAX(0,$L621))))</f>
        <v/>
      </c>
      <c r="N621" s="49" t="str">
        <f>IF(OR($B621="",$D621=""),"",IF($AC621&gt;0,INDEX(CASHBACK_RULES!$I$5:$I$304,$AC621),0))</f>
        <v/>
      </c>
      <c r="O621" s="48" t="str">
        <f>IF(OR($B621="",$D621=""),"",ROUND($M621*$N621,0))</f>
        <v/>
      </c>
      <c r="P621" s="48" t="str">
        <f>IF($AC621&gt;0,IF(ISNUMBER(INDEX(CASHBACK_RULES!$J$5:$J$304,$AC621)),INDEX(CASHBACK_RULES!$J$5:$J$304,$AC621),"∞"),"")</f>
        <v/>
      </c>
      <c r="Q621" s="48" t="str">
        <f>IF(OR($B621="",$D621=""),"",IF($AC621=0,0,MAX(0,MIN($O621,IF(ISNUMBER($P621),$P621-$AF621,1E+15),IF(ISNUMBER($AA621),$AA621-$AG621,1E+15)))))</f>
        <v/>
      </c>
      <c r="R621" s="48" t="str">
        <f>IF(OR($B621="",$D621=""),"",IF($AC621=0,"",IF(AND(NOT(ISNUMBER($P621)),NOT(ISNUMBER($AA621))),"∞",MAX(0,MIN(IF(ISNUMBER($P621),$P621-$AF621-$Q621,1E+15),IF(ISNUMBER($AA621),$AA621-$AG621-$Q621,1E+15))))))</f>
        <v/>
      </c>
      <c r="S621" s="47" t="str">
        <f>IF($AD621="","",YEAR($AD621)*100+MONTH($AD621))</f>
        <v/>
      </c>
      <c r="T621" s="50" t="str">
        <f>IF($AD621="","",IFERROR(IF(INDEX(CARDS!$I$5:$I$34,MATCH($D621,CARDS!$A$5:$A$34,0))="","",IF(INDEX(CARDS!$I$5:$I$34,MATCH($D621,CARDS!$A$5:$A$34,0))&gt;INDEX(CARDS!$H$5:$H$34,MATCH($D621,CARDS!$A$5:$A$34,0)),DATE(YEAR($AD621),MONTH($AD621),MIN(INDEX(CARDS!$I$5:$I$34,MATCH($D621,CARDS!$A$5:$A$34,0)),DAY(EOMONTH($AD621,0)))),DATE(YEAR($AD621),MONTH($AD621)+1,MIN(INDEX(CARDS!$I$5:$I$34,MATCH($D621,CARDS!$A$5:$A$34,0)),DAY(EOMONTH($AD621,1)))))),""))</f>
        <v/>
      </c>
      <c r="U621" s="38" t="n"/>
      <c r="V621" s="37" t="n"/>
      <c r="W621" s="38" t="n"/>
      <c r="X621" s="38" t="n"/>
      <c r="Y621" s="44" t="str">
        <f>IF($AC621&gt;0,INDEX(CASHBACK_RULES!$A$5:$A$304,$AC621),"")</f>
        <v/>
      </c>
      <c r="Z621" s="45" t="str">
        <f>IF($AC621&gt;0,INDEX(CASHBACK_RULES!$E$5:$E$304,$AC621)&amp;"","")</f>
        <v/>
      </c>
      <c r="AA621" s="48" t="str">
        <f>IF($AC621&gt;0,IF(ISNUMBER(INDEX(CASHBACK_RULES!$K$5:$K$304,$AC621)),INDEX(CASHBACK_RULES!$K$5:$K$304,$AC621),"∞"),"")</f>
        <v/>
      </c>
      <c r="AB621" s="44" t="str">
        <f>IF(OR($B621="",$D621=""),"",IF($U621="Cancelled","Đã hủy",IF($AC621=0,"Không được hoàn",IF($Q621=0,IF(OR($O621&gt;0,$M621&lt;$L621),"Đã đạt cap","Không được hoàn"),IF(OR($Q621&lt;$O621,$M621&lt;$L621),"Hoàn một phần","Được hoàn")))))</f>
        <v/>
      </c>
      <c r="AC621" s="43">
        <f>IF(OR($B621="",$D621="",$I621="",$L621=""),0,IF($U621="Cancelled",0,IF($W621&lt;&gt;"",IFERROR(IF(INDEX(CASHBACK_RULES!$B$5:$B$304,MATCH($W621,CASHBACK_RULES!$A$5:$A$304,0))=$D621,MATCH($W621,CASHBACK_RULES!$A$5:$A$304,0),0),0),IFERROR(MATCH(1,INDEX((CASHBACK_RULES!$B$5:$B$304=$D621)*(CASHBACK_RULES!$G$5:$G$304=$I621)*(((CASHBACK_RULES!$N$5:$N$304="")+(CASHBACK_RULES!$N$5:$N$304&lt;=$B621))&gt;0)*(((CASHBACK_RULES!$O$5:$O$304="")+(CASHBACK_RULES!$O$5:$O$304&gt;=$B621))&gt;0)*(((CASHBACK_RULES!$M$5:$M$304="")+(CASHBACK_RULES!$M$5:$M$304&lt;=$L621))&gt;0),0),0),0))))</f>
        <v>0</v>
      </c>
      <c r="AD621" s="51" t="str">
        <f>IF(OR($B621="",$D621=""),"",IFERROR(IF(INDEX(CARDS!$H$5:$H$34,MATCH($D621,CARDS!$A$5:$A$34,0))="","",IF(DAY($B621)&lt;=INDEX(CARDS!$H$5:$H$34,MATCH($D621,CARDS!$A$5:$A$34,0)),DATE(YEAR($B621),MONTH($B621),MIN(INDEX(CARDS!$H$5:$H$34,MATCH($D621,CARDS!$A$5:$A$34,0)),DAY(EOMONTH($B621,0)))),DATE(YEAR($B621),MONTH($B621)+1,MIN(INDEX(CARDS!$H$5:$H$34,MATCH($D621,CARDS!$A$5:$A$34,0)),DAY(EOMONTH($B621,1)))))),""))</f>
        <v/>
      </c>
      <c r="AE621" s="52" t="str">
        <f>IF($C621="","",$C621&amp;"|"&amp;COUNTIF($C$5:$C621,$C621))</f>
        <v/>
      </c>
      <c r="AF621" s="53">
        <f>IF($AC621&gt;0,SUMIFS(Q$4:Q620,$D$4:$D620,$D621,$Z$4:$Z620,$Z621,$C$4:$C620,$C621),0)</f>
        <v>0</v>
      </c>
      <c r="AG621" s="53">
        <f>IF($AC621&gt;0,SUMIFS(Q$4:Q620,$D$4:$D620,$D621,$C$4:$C620,$C621),0)</f>
        <v>0</v>
      </c>
      <c r="AH621" s="53">
        <f>IF($AC621&gt;0,SUMIFS(M$4:M620,$D$4:$D620,$D621,$Z$4:$Z620,$Z621,$C$4:$C620,$C621),0)</f>
        <v>0</v>
      </c>
      <c r="AI621" s="43">
        <f>IF(OR($C621="",$I621=""),0,IF(COUNTIFS($C$5:$C621,$C621,$I$5:$I621,$I621)=1,1,0))</f>
        <v>0</v>
      </c>
      <c r="AJ621" s="43" t="str">
        <f>IF($AI621=1,SUMIFS($AI$4:$AI620,$C$4:$C620,$C621)+1,"")</f>
        <v/>
      </c>
      <c r="AK621" s="43">
        <f>IF(OR($C621="",$K621=""),0,IF(COUNTIFS($C$5:$C621,$C621,$K$5:$K621,$K621)=1,1,0))</f>
        <v>0</v>
      </c>
      <c r="AL621" s="43" t="str">
        <f>IF($AK621=1,SUMIFS($AK$4:$AK620,$C$4:$C620,$C621)+1,"")</f>
        <v/>
      </c>
      <c r="AM621" s="43">
        <f>IF(OR($C621="",$G621=""),0,IF(COUNTIFS($C$5:$C621,$C621,$G$5:$G621,$G621)=1,1,0))</f>
        <v>0</v>
      </c>
      <c r="AN621" s="43" t="str">
        <f>IF($AM621=1,SUMIFS($AM$4:$AM620,$C$4:$C620,$C621)+1,"")</f>
        <v/>
      </c>
    </row>
    <row r="622">
      <c r="A622" s="44" t="str">
        <f>IF(OR($B622="",$D622=""),"","TX"&amp;TEXT(ROW()-4,"0000"))</f>
        <v/>
      </c>
      <c r="B622" s="42" t="n"/>
      <c r="C622" s="47" t="str">
        <f>IF($B622="","",YEAR($B622)*100+MONTH($B622))</f>
        <v/>
      </c>
      <c r="D622" s="37" t="n"/>
      <c r="E622" s="45" t="str">
        <f>IF($D622="","",IFERROR(INDEX(CARDS!$B$5:$B$34,MATCH($D622,CARDS!$A$5:$A$34,0)),"⚠ Card ID?"))</f>
        <v/>
      </c>
      <c r="F622" s="45" t="str">
        <f>IF($D622="","",IFERROR(INDEX(CARDS!$C$5:$C$34,MATCH($D622,CARDS!$A$5:$A$34,0)),"⚠ Card ID?"))</f>
        <v/>
      </c>
      <c r="G622" s="37" t="n"/>
      <c r="H622" s="37" t="n"/>
      <c r="I622" s="41" t="n"/>
      <c r="J622" s="45" t="str">
        <f>IF($I622="","",IFERROR(INDEX(MCC_MASTER!$B$5:$B$504,MATCH($I622,MCC_MASTER!$A$5:$A$504,0)),"⚠ MCC chưa có"))</f>
        <v/>
      </c>
      <c r="K622" s="45" t="str">
        <f>IF($I622="","",IFERROR(IF(INDEX(MCC_MASTER!$C$5:$C$504,MATCH($I622,MCC_MASTER!$A$5:$A$504,0))="","Chưa phân loại",INDEX(MCC_MASTER!$C$5:$C$504,MATCH($I622,MCC_MASTER!$A$5:$A$504,0))),"Chưa phân loại"))</f>
        <v/>
      </c>
      <c r="L622" s="40" t="n"/>
      <c r="M622" s="48" t="str">
        <f>IF(OR($B622="",$D622=""),"",IF($AC622=0,0,IF(ISNUMBER(INDEX(CASHBACK_RULES!$L$5:$L$304,$AC622)),MAX(0,MIN($L622,INDEX(CASHBACK_RULES!$L$5:$L$304,$AC622)-$AH622)),MAX(0,$L622))))</f>
        <v/>
      </c>
      <c r="N622" s="49" t="str">
        <f>IF(OR($B622="",$D622=""),"",IF($AC622&gt;0,INDEX(CASHBACK_RULES!$I$5:$I$304,$AC622),0))</f>
        <v/>
      </c>
      <c r="O622" s="48" t="str">
        <f>IF(OR($B622="",$D622=""),"",ROUND($M622*$N622,0))</f>
        <v/>
      </c>
      <c r="P622" s="48" t="str">
        <f>IF($AC622&gt;0,IF(ISNUMBER(INDEX(CASHBACK_RULES!$J$5:$J$304,$AC622)),INDEX(CASHBACK_RULES!$J$5:$J$304,$AC622),"∞"),"")</f>
        <v/>
      </c>
      <c r="Q622" s="48" t="str">
        <f>IF(OR($B622="",$D622=""),"",IF($AC622=0,0,MAX(0,MIN($O622,IF(ISNUMBER($P622),$P622-$AF622,1E+15),IF(ISNUMBER($AA622),$AA622-$AG622,1E+15)))))</f>
        <v/>
      </c>
      <c r="R622" s="48" t="str">
        <f>IF(OR($B622="",$D622=""),"",IF($AC622=0,"",IF(AND(NOT(ISNUMBER($P622)),NOT(ISNUMBER($AA622))),"∞",MAX(0,MIN(IF(ISNUMBER($P622),$P622-$AF622-$Q622,1E+15),IF(ISNUMBER($AA622),$AA622-$AG622-$Q622,1E+15))))))</f>
        <v/>
      </c>
      <c r="S622" s="47" t="str">
        <f>IF($AD622="","",YEAR($AD622)*100+MONTH($AD622))</f>
        <v/>
      </c>
      <c r="T622" s="50" t="str">
        <f>IF($AD622="","",IFERROR(IF(INDEX(CARDS!$I$5:$I$34,MATCH($D622,CARDS!$A$5:$A$34,0))="","",IF(INDEX(CARDS!$I$5:$I$34,MATCH($D622,CARDS!$A$5:$A$34,0))&gt;INDEX(CARDS!$H$5:$H$34,MATCH($D622,CARDS!$A$5:$A$34,0)),DATE(YEAR($AD622),MONTH($AD622),MIN(INDEX(CARDS!$I$5:$I$34,MATCH($D622,CARDS!$A$5:$A$34,0)),DAY(EOMONTH($AD622,0)))),DATE(YEAR($AD622),MONTH($AD622)+1,MIN(INDEX(CARDS!$I$5:$I$34,MATCH($D622,CARDS!$A$5:$A$34,0)),DAY(EOMONTH($AD622,1)))))),""))</f>
        <v/>
      </c>
      <c r="U622" s="38" t="n"/>
      <c r="V622" s="37" t="n"/>
      <c r="W622" s="38" t="n"/>
      <c r="X622" s="38" t="n"/>
      <c r="Y622" s="44" t="str">
        <f>IF($AC622&gt;0,INDEX(CASHBACK_RULES!$A$5:$A$304,$AC622),"")</f>
        <v/>
      </c>
      <c r="Z622" s="45" t="str">
        <f>IF($AC622&gt;0,INDEX(CASHBACK_RULES!$E$5:$E$304,$AC622)&amp;"","")</f>
        <v/>
      </c>
      <c r="AA622" s="48" t="str">
        <f>IF($AC622&gt;0,IF(ISNUMBER(INDEX(CASHBACK_RULES!$K$5:$K$304,$AC622)),INDEX(CASHBACK_RULES!$K$5:$K$304,$AC622),"∞"),"")</f>
        <v/>
      </c>
      <c r="AB622" s="44" t="str">
        <f>IF(OR($B622="",$D622=""),"",IF($U622="Cancelled","Đã hủy",IF($AC622=0,"Không được hoàn",IF($Q622=0,IF(OR($O622&gt;0,$M622&lt;$L622),"Đã đạt cap","Không được hoàn"),IF(OR($Q622&lt;$O622,$M622&lt;$L622),"Hoàn một phần","Được hoàn")))))</f>
        <v/>
      </c>
      <c r="AC622" s="43">
        <f>IF(OR($B622="",$D622="",$I622="",$L622=""),0,IF($U622="Cancelled",0,IF($W622&lt;&gt;"",IFERROR(IF(INDEX(CASHBACK_RULES!$B$5:$B$304,MATCH($W622,CASHBACK_RULES!$A$5:$A$304,0))=$D622,MATCH($W622,CASHBACK_RULES!$A$5:$A$304,0),0),0),IFERROR(MATCH(1,INDEX((CASHBACK_RULES!$B$5:$B$304=$D622)*(CASHBACK_RULES!$G$5:$G$304=$I622)*(((CASHBACK_RULES!$N$5:$N$304="")+(CASHBACK_RULES!$N$5:$N$304&lt;=$B622))&gt;0)*(((CASHBACK_RULES!$O$5:$O$304="")+(CASHBACK_RULES!$O$5:$O$304&gt;=$B622))&gt;0)*(((CASHBACK_RULES!$M$5:$M$304="")+(CASHBACK_RULES!$M$5:$M$304&lt;=$L622))&gt;0),0),0),0))))</f>
        <v>0</v>
      </c>
      <c r="AD622" s="51" t="str">
        <f>IF(OR($B622="",$D622=""),"",IFERROR(IF(INDEX(CARDS!$H$5:$H$34,MATCH($D622,CARDS!$A$5:$A$34,0))="","",IF(DAY($B622)&lt;=INDEX(CARDS!$H$5:$H$34,MATCH($D622,CARDS!$A$5:$A$34,0)),DATE(YEAR($B622),MONTH($B622),MIN(INDEX(CARDS!$H$5:$H$34,MATCH($D622,CARDS!$A$5:$A$34,0)),DAY(EOMONTH($B622,0)))),DATE(YEAR($B622),MONTH($B622)+1,MIN(INDEX(CARDS!$H$5:$H$34,MATCH($D622,CARDS!$A$5:$A$34,0)),DAY(EOMONTH($B622,1)))))),""))</f>
        <v/>
      </c>
      <c r="AE622" s="52" t="str">
        <f>IF($C622="","",$C622&amp;"|"&amp;COUNTIF($C$5:$C622,$C622))</f>
        <v/>
      </c>
      <c r="AF622" s="53">
        <f>IF($AC622&gt;0,SUMIFS(Q$4:Q621,$D$4:$D621,$D622,$Z$4:$Z621,$Z622,$C$4:$C621,$C622),0)</f>
        <v>0</v>
      </c>
      <c r="AG622" s="53">
        <f>IF($AC622&gt;0,SUMIFS(Q$4:Q621,$D$4:$D621,$D622,$C$4:$C621,$C622),0)</f>
        <v>0</v>
      </c>
      <c r="AH622" s="53">
        <f>IF($AC622&gt;0,SUMIFS(M$4:M621,$D$4:$D621,$D622,$Z$4:$Z621,$Z622,$C$4:$C621,$C622),0)</f>
        <v>0</v>
      </c>
      <c r="AI622" s="43">
        <f>IF(OR($C622="",$I622=""),0,IF(COUNTIFS($C$5:$C622,$C622,$I$5:$I622,$I622)=1,1,0))</f>
        <v>0</v>
      </c>
      <c r="AJ622" s="43" t="str">
        <f>IF($AI622=1,SUMIFS($AI$4:$AI621,$C$4:$C621,$C622)+1,"")</f>
        <v/>
      </c>
      <c r="AK622" s="43">
        <f>IF(OR($C622="",$K622=""),0,IF(COUNTIFS($C$5:$C622,$C622,$K$5:$K622,$K622)=1,1,0))</f>
        <v>0</v>
      </c>
      <c r="AL622" s="43" t="str">
        <f>IF($AK622=1,SUMIFS($AK$4:$AK621,$C$4:$C621,$C622)+1,"")</f>
        <v/>
      </c>
      <c r="AM622" s="43">
        <f>IF(OR($C622="",$G622=""),0,IF(COUNTIFS($C$5:$C622,$C622,$G$5:$G622,$G622)=1,1,0))</f>
        <v>0</v>
      </c>
      <c r="AN622" s="43" t="str">
        <f>IF($AM622=1,SUMIFS($AM$4:$AM621,$C$4:$C621,$C622)+1,"")</f>
        <v/>
      </c>
    </row>
    <row r="623">
      <c r="A623" s="44" t="str">
        <f>IF(OR($B623="",$D623=""),"","TX"&amp;TEXT(ROW()-4,"0000"))</f>
        <v/>
      </c>
      <c r="B623" s="42" t="n"/>
      <c r="C623" s="47" t="str">
        <f>IF($B623="","",YEAR($B623)*100+MONTH($B623))</f>
        <v/>
      </c>
      <c r="D623" s="37" t="n"/>
      <c r="E623" s="45" t="str">
        <f>IF($D623="","",IFERROR(INDEX(CARDS!$B$5:$B$34,MATCH($D623,CARDS!$A$5:$A$34,0)),"⚠ Card ID?"))</f>
        <v/>
      </c>
      <c r="F623" s="45" t="str">
        <f>IF($D623="","",IFERROR(INDEX(CARDS!$C$5:$C$34,MATCH($D623,CARDS!$A$5:$A$34,0)),"⚠ Card ID?"))</f>
        <v/>
      </c>
      <c r="G623" s="37" t="n"/>
      <c r="H623" s="37" t="n"/>
      <c r="I623" s="41" t="n"/>
      <c r="J623" s="45" t="str">
        <f>IF($I623="","",IFERROR(INDEX(MCC_MASTER!$B$5:$B$504,MATCH($I623,MCC_MASTER!$A$5:$A$504,0)),"⚠ MCC chưa có"))</f>
        <v/>
      </c>
      <c r="K623" s="45" t="str">
        <f>IF($I623="","",IFERROR(IF(INDEX(MCC_MASTER!$C$5:$C$504,MATCH($I623,MCC_MASTER!$A$5:$A$504,0))="","Chưa phân loại",INDEX(MCC_MASTER!$C$5:$C$504,MATCH($I623,MCC_MASTER!$A$5:$A$504,0))),"Chưa phân loại"))</f>
        <v/>
      </c>
      <c r="L623" s="40" t="n"/>
      <c r="M623" s="48" t="str">
        <f>IF(OR($B623="",$D623=""),"",IF($AC623=0,0,IF(ISNUMBER(INDEX(CASHBACK_RULES!$L$5:$L$304,$AC623)),MAX(0,MIN($L623,INDEX(CASHBACK_RULES!$L$5:$L$304,$AC623)-$AH623)),MAX(0,$L623))))</f>
        <v/>
      </c>
      <c r="N623" s="49" t="str">
        <f>IF(OR($B623="",$D623=""),"",IF($AC623&gt;0,INDEX(CASHBACK_RULES!$I$5:$I$304,$AC623),0))</f>
        <v/>
      </c>
      <c r="O623" s="48" t="str">
        <f>IF(OR($B623="",$D623=""),"",ROUND($M623*$N623,0))</f>
        <v/>
      </c>
      <c r="P623" s="48" t="str">
        <f>IF($AC623&gt;0,IF(ISNUMBER(INDEX(CASHBACK_RULES!$J$5:$J$304,$AC623)),INDEX(CASHBACK_RULES!$J$5:$J$304,$AC623),"∞"),"")</f>
        <v/>
      </c>
      <c r="Q623" s="48" t="str">
        <f>IF(OR($B623="",$D623=""),"",IF($AC623=0,0,MAX(0,MIN($O623,IF(ISNUMBER($P623),$P623-$AF623,1E+15),IF(ISNUMBER($AA623),$AA623-$AG623,1E+15)))))</f>
        <v/>
      </c>
      <c r="R623" s="48" t="str">
        <f>IF(OR($B623="",$D623=""),"",IF($AC623=0,"",IF(AND(NOT(ISNUMBER($P623)),NOT(ISNUMBER($AA623))),"∞",MAX(0,MIN(IF(ISNUMBER($P623),$P623-$AF623-$Q623,1E+15),IF(ISNUMBER($AA623),$AA623-$AG623-$Q623,1E+15))))))</f>
        <v/>
      </c>
      <c r="S623" s="47" t="str">
        <f>IF($AD623="","",YEAR($AD623)*100+MONTH($AD623))</f>
        <v/>
      </c>
      <c r="T623" s="50" t="str">
        <f>IF($AD623="","",IFERROR(IF(INDEX(CARDS!$I$5:$I$34,MATCH($D623,CARDS!$A$5:$A$34,0))="","",IF(INDEX(CARDS!$I$5:$I$34,MATCH($D623,CARDS!$A$5:$A$34,0))&gt;INDEX(CARDS!$H$5:$H$34,MATCH($D623,CARDS!$A$5:$A$34,0)),DATE(YEAR($AD623),MONTH($AD623),MIN(INDEX(CARDS!$I$5:$I$34,MATCH($D623,CARDS!$A$5:$A$34,0)),DAY(EOMONTH($AD623,0)))),DATE(YEAR($AD623),MONTH($AD623)+1,MIN(INDEX(CARDS!$I$5:$I$34,MATCH($D623,CARDS!$A$5:$A$34,0)),DAY(EOMONTH($AD623,1)))))),""))</f>
        <v/>
      </c>
      <c r="U623" s="38" t="n"/>
      <c r="V623" s="37" t="n"/>
      <c r="W623" s="38" t="n"/>
      <c r="X623" s="38" t="n"/>
      <c r="Y623" s="44" t="str">
        <f>IF($AC623&gt;0,INDEX(CASHBACK_RULES!$A$5:$A$304,$AC623),"")</f>
        <v/>
      </c>
      <c r="Z623" s="45" t="str">
        <f>IF($AC623&gt;0,INDEX(CASHBACK_RULES!$E$5:$E$304,$AC623)&amp;"","")</f>
        <v/>
      </c>
      <c r="AA623" s="48" t="str">
        <f>IF($AC623&gt;0,IF(ISNUMBER(INDEX(CASHBACK_RULES!$K$5:$K$304,$AC623)),INDEX(CASHBACK_RULES!$K$5:$K$304,$AC623),"∞"),"")</f>
        <v/>
      </c>
      <c r="AB623" s="44" t="str">
        <f>IF(OR($B623="",$D623=""),"",IF($U623="Cancelled","Đã hủy",IF($AC623=0,"Không được hoàn",IF($Q623=0,IF(OR($O623&gt;0,$M623&lt;$L623),"Đã đạt cap","Không được hoàn"),IF(OR($Q623&lt;$O623,$M623&lt;$L623),"Hoàn một phần","Được hoàn")))))</f>
        <v/>
      </c>
      <c r="AC623" s="43">
        <f>IF(OR($B623="",$D623="",$I623="",$L623=""),0,IF($U623="Cancelled",0,IF($W623&lt;&gt;"",IFERROR(IF(INDEX(CASHBACK_RULES!$B$5:$B$304,MATCH($W623,CASHBACK_RULES!$A$5:$A$304,0))=$D623,MATCH($W623,CASHBACK_RULES!$A$5:$A$304,0),0),0),IFERROR(MATCH(1,INDEX((CASHBACK_RULES!$B$5:$B$304=$D623)*(CASHBACK_RULES!$G$5:$G$304=$I623)*(((CASHBACK_RULES!$N$5:$N$304="")+(CASHBACK_RULES!$N$5:$N$304&lt;=$B623))&gt;0)*(((CASHBACK_RULES!$O$5:$O$304="")+(CASHBACK_RULES!$O$5:$O$304&gt;=$B623))&gt;0)*(((CASHBACK_RULES!$M$5:$M$304="")+(CASHBACK_RULES!$M$5:$M$304&lt;=$L623))&gt;0),0),0),0))))</f>
        <v>0</v>
      </c>
      <c r="AD623" s="51" t="str">
        <f>IF(OR($B623="",$D623=""),"",IFERROR(IF(INDEX(CARDS!$H$5:$H$34,MATCH($D623,CARDS!$A$5:$A$34,0))="","",IF(DAY($B623)&lt;=INDEX(CARDS!$H$5:$H$34,MATCH($D623,CARDS!$A$5:$A$34,0)),DATE(YEAR($B623),MONTH($B623),MIN(INDEX(CARDS!$H$5:$H$34,MATCH($D623,CARDS!$A$5:$A$34,0)),DAY(EOMONTH($B623,0)))),DATE(YEAR($B623),MONTH($B623)+1,MIN(INDEX(CARDS!$H$5:$H$34,MATCH($D623,CARDS!$A$5:$A$34,0)),DAY(EOMONTH($B623,1)))))),""))</f>
        <v/>
      </c>
      <c r="AE623" s="52" t="str">
        <f>IF($C623="","",$C623&amp;"|"&amp;COUNTIF($C$5:$C623,$C623))</f>
        <v/>
      </c>
      <c r="AF623" s="53">
        <f>IF($AC623&gt;0,SUMIFS(Q$4:Q622,$D$4:$D622,$D623,$Z$4:$Z622,$Z623,$C$4:$C622,$C623),0)</f>
        <v>0</v>
      </c>
      <c r="AG623" s="53">
        <f>IF($AC623&gt;0,SUMIFS(Q$4:Q622,$D$4:$D622,$D623,$C$4:$C622,$C623),0)</f>
        <v>0</v>
      </c>
      <c r="AH623" s="53">
        <f>IF($AC623&gt;0,SUMIFS(M$4:M622,$D$4:$D622,$D623,$Z$4:$Z622,$Z623,$C$4:$C622,$C623),0)</f>
        <v>0</v>
      </c>
      <c r="AI623" s="43">
        <f>IF(OR($C623="",$I623=""),0,IF(COUNTIFS($C$5:$C623,$C623,$I$5:$I623,$I623)=1,1,0))</f>
        <v>0</v>
      </c>
      <c r="AJ623" s="43" t="str">
        <f>IF($AI623=1,SUMIFS($AI$4:$AI622,$C$4:$C622,$C623)+1,"")</f>
        <v/>
      </c>
      <c r="AK623" s="43">
        <f>IF(OR($C623="",$K623=""),0,IF(COUNTIFS($C$5:$C623,$C623,$K$5:$K623,$K623)=1,1,0))</f>
        <v>0</v>
      </c>
      <c r="AL623" s="43" t="str">
        <f>IF($AK623=1,SUMIFS($AK$4:$AK622,$C$4:$C622,$C623)+1,"")</f>
        <v/>
      </c>
      <c r="AM623" s="43">
        <f>IF(OR($C623="",$G623=""),0,IF(COUNTIFS($C$5:$C623,$C623,$G$5:$G623,$G623)=1,1,0))</f>
        <v>0</v>
      </c>
      <c r="AN623" s="43" t="str">
        <f>IF($AM623=1,SUMIFS($AM$4:$AM622,$C$4:$C622,$C623)+1,"")</f>
        <v/>
      </c>
    </row>
    <row r="624">
      <c r="A624" s="44" t="str">
        <f>IF(OR($B624="",$D624=""),"","TX"&amp;TEXT(ROW()-4,"0000"))</f>
        <v/>
      </c>
      <c r="B624" s="42" t="n"/>
      <c r="C624" s="47" t="str">
        <f>IF($B624="","",YEAR($B624)*100+MONTH($B624))</f>
        <v/>
      </c>
      <c r="D624" s="37" t="n"/>
      <c r="E624" s="45" t="str">
        <f>IF($D624="","",IFERROR(INDEX(CARDS!$B$5:$B$34,MATCH($D624,CARDS!$A$5:$A$34,0)),"⚠ Card ID?"))</f>
        <v/>
      </c>
      <c r="F624" s="45" t="str">
        <f>IF($D624="","",IFERROR(INDEX(CARDS!$C$5:$C$34,MATCH($D624,CARDS!$A$5:$A$34,0)),"⚠ Card ID?"))</f>
        <v/>
      </c>
      <c r="G624" s="37" t="n"/>
      <c r="H624" s="37" t="n"/>
      <c r="I624" s="41" t="n"/>
      <c r="J624" s="45" t="str">
        <f>IF($I624="","",IFERROR(INDEX(MCC_MASTER!$B$5:$B$504,MATCH($I624,MCC_MASTER!$A$5:$A$504,0)),"⚠ MCC chưa có"))</f>
        <v/>
      </c>
      <c r="K624" s="45" t="str">
        <f>IF($I624="","",IFERROR(IF(INDEX(MCC_MASTER!$C$5:$C$504,MATCH($I624,MCC_MASTER!$A$5:$A$504,0))="","Chưa phân loại",INDEX(MCC_MASTER!$C$5:$C$504,MATCH($I624,MCC_MASTER!$A$5:$A$504,0))),"Chưa phân loại"))</f>
        <v/>
      </c>
      <c r="L624" s="40" t="n"/>
      <c r="M624" s="48" t="str">
        <f>IF(OR($B624="",$D624=""),"",IF($AC624=0,0,IF(ISNUMBER(INDEX(CASHBACK_RULES!$L$5:$L$304,$AC624)),MAX(0,MIN($L624,INDEX(CASHBACK_RULES!$L$5:$L$304,$AC624)-$AH624)),MAX(0,$L624))))</f>
        <v/>
      </c>
      <c r="N624" s="49" t="str">
        <f>IF(OR($B624="",$D624=""),"",IF($AC624&gt;0,INDEX(CASHBACK_RULES!$I$5:$I$304,$AC624),0))</f>
        <v/>
      </c>
      <c r="O624" s="48" t="str">
        <f>IF(OR($B624="",$D624=""),"",ROUND($M624*$N624,0))</f>
        <v/>
      </c>
      <c r="P624" s="48" t="str">
        <f>IF($AC624&gt;0,IF(ISNUMBER(INDEX(CASHBACK_RULES!$J$5:$J$304,$AC624)),INDEX(CASHBACK_RULES!$J$5:$J$304,$AC624),"∞"),"")</f>
        <v/>
      </c>
      <c r="Q624" s="48" t="str">
        <f>IF(OR($B624="",$D624=""),"",IF($AC624=0,0,MAX(0,MIN($O624,IF(ISNUMBER($P624),$P624-$AF624,1E+15),IF(ISNUMBER($AA624),$AA624-$AG624,1E+15)))))</f>
        <v/>
      </c>
      <c r="R624" s="48" t="str">
        <f>IF(OR($B624="",$D624=""),"",IF($AC624=0,"",IF(AND(NOT(ISNUMBER($P624)),NOT(ISNUMBER($AA624))),"∞",MAX(0,MIN(IF(ISNUMBER($P624),$P624-$AF624-$Q624,1E+15),IF(ISNUMBER($AA624),$AA624-$AG624-$Q624,1E+15))))))</f>
        <v/>
      </c>
      <c r="S624" s="47" t="str">
        <f>IF($AD624="","",YEAR($AD624)*100+MONTH($AD624))</f>
        <v/>
      </c>
      <c r="T624" s="50" t="str">
        <f>IF($AD624="","",IFERROR(IF(INDEX(CARDS!$I$5:$I$34,MATCH($D624,CARDS!$A$5:$A$34,0))="","",IF(INDEX(CARDS!$I$5:$I$34,MATCH($D624,CARDS!$A$5:$A$34,0))&gt;INDEX(CARDS!$H$5:$H$34,MATCH($D624,CARDS!$A$5:$A$34,0)),DATE(YEAR($AD624),MONTH($AD624),MIN(INDEX(CARDS!$I$5:$I$34,MATCH($D624,CARDS!$A$5:$A$34,0)),DAY(EOMONTH($AD624,0)))),DATE(YEAR($AD624),MONTH($AD624)+1,MIN(INDEX(CARDS!$I$5:$I$34,MATCH($D624,CARDS!$A$5:$A$34,0)),DAY(EOMONTH($AD624,1)))))),""))</f>
        <v/>
      </c>
      <c r="U624" s="38" t="n"/>
      <c r="V624" s="37" t="n"/>
      <c r="W624" s="38" t="n"/>
      <c r="X624" s="38" t="n"/>
      <c r="Y624" s="44" t="str">
        <f>IF($AC624&gt;0,INDEX(CASHBACK_RULES!$A$5:$A$304,$AC624),"")</f>
        <v/>
      </c>
      <c r="Z624" s="45" t="str">
        <f>IF($AC624&gt;0,INDEX(CASHBACK_RULES!$E$5:$E$304,$AC624)&amp;"","")</f>
        <v/>
      </c>
      <c r="AA624" s="48" t="str">
        <f>IF($AC624&gt;0,IF(ISNUMBER(INDEX(CASHBACK_RULES!$K$5:$K$304,$AC624)),INDEX(CASHBACK_RULES!$K$5:$K$304,$AC624),"∞"),"")</f>
        <v/>
      </c>
      <c r="AB624" s="44" t="str">
        <f>IF(OR($B624="",$D624=""),"",IF($U624="Cancelled","Đã hủy",IF($AC624=0,"Không được hoàn",IF($Q624=0,IF(OR($O624&gt;0,$M624&lt;$L624),"Đã đạt cap","Không được hoàn"),IF(OR($Q624&lt;$O624,$M624&lt;$L624),"Hoàn một phần","Được hoàn")))))</f>
        <v/>
      </c>
      <c r="AC624" s="43">
        <f>IF(OR($B624="",$D624="",$I624="",$L624=""),0,IF($U624="Cancelled",0,IF($W624&lt;&gt;"",IFERROR(IF(INDEX(CASHBACK_RULES!$B$5:$B$304,MATCH($W624,CASHBACK_RULES!$A$5:$A$304,0))=$D624,MATCH($W624,CASHBACK_RULES!$A$5:$A$304,0),0),0),IFERROR(MATCH(1,INDEX((CASHBACK_RULES!$B$5:$B$304=$D624)*(CASHBACK_RULES!$G$5:$G$304=$I624)*(((CASHBACK_RULES!$N$5:$N$304="")+(CASHBACK_RULES!$N$5:$N$304&lt;=$B624))&gt;0)*(((CASHBACK_RULES!$O$5:$O$304="")+(CASHBACK_RULES!$O$5:$O$304&gt;=$B624))&gt;0)*(((CASHBACK_RULES!$M$5:$M$304="")+(CASHBACK_RULES!$M$5:$M$304&lt;=$L624))&gt;0),0),0),0))))</f>
        <v>0</v>
      </c>
      <c r="AD624" s="51" t="str">
        <f>IF(OR($B624="",$D624=""),"",IFERROR(IF(INDEX(CARDS!$H$5:$H$34,MATCH($D624,CARDS!$A$5:$A$34,0))="","",IF(DAY($B624)&lt;=INDEX(CARDS!$H$5:$H$34,MATCH($D624,CARDS!$A$5:$A$34,0)),DATE(YEAR($B624),MONTH($B624),MIN(INDEX(CARDS!$H$5:$H$34,MATCH($D624,CARDS!$A$5:$A$34,0)),DAY(EOMONTH($B624,0)))),DATE(YEAR($B624),MONTH($B624)+1,MIN(INDEX(CARDS!$H$5:$H$34,MATCH($D624,CARDS!$A$5:$A$34,0)),DAY(EOMONTH($B624,1)))))),""))</f>
        <v/>
      </c>
      <c r="AE624" s="52" t="str">
        <f>IF($C624="","",$C624&amp;"|"&amp;COUNTIF($C$5:$C624,$C624))</f>
        <v/>
      </c>
      <c r="AF624" s="53">
        <f>IF($AC624&gt;0,SUMIFS(Q$4:Q623,$D$4:$D623,$D624,$Z$4:$Z623,$Z624,$C$4:$C623,$C624),0)</f>
        <v>0</v>
      </c>
      <c r="AG624" s="53">
        <f>IF($AC624&gt;0,SUMIFS(Q$4:Q623,$D$4:$D623,$D624,$C$4:$C623,$C624),0)</f>
        <v>0</v>
      </c>
      <c r="AH624" s="53">
        <f>IF($AC624&gt;0,SUMIFS(M$4:M623,$D$4:$D623,$D624,$Z$4:$Z623,$Z624,$C$4:$C623,$C624),0)</f>
        <v>0</v>
      </c>
      <c r="AI624" s="43">
        <f>IF(OR($C624="",$I624=""),0,IF(COUNTIFS($C$5:$C624,$C624,$I$5:$I624,$I624)=1,1,0))</f>
        <v>0</v>
      </c>
      <c r="AJ624" s="43" t="str">
        <f>IF($AI624=1,SUMIFS($AI$4:$AI623,$C$4:$C623,$C624)+1,"")</f>
        <v/>
      </c>
      <c r="AK624" s="43">
        <f>IF(OR($C624="",$K624=""),0,IF(COUNTIFS($C$5:$C624,$C624,$K$5:$K624,$K624)=1,1,0))</f>
        <v>0</v>
      </c>
      <c r="AL624" s="43" t="str">
        <f>IF($AK624=1,SUMIFS($AK$4:$AK623,$C$4:$C623,$C624)+1,"")</f>
        <v/>
      </c>
      <c r="AM624" s="43">
        <f>IF(OR($C624="",$G624=""),0,IF(COUNTIFS($C$5:$C624,$C624,$G$5:$G624,$G624)=1,1,0))</f>
        <v>0</v>
      </c>
      <c r="AN624" s="43" t="str">
        <f>IF($AM624=1,SUMIFS($AM$4:$AM623,$C$4:$C623,$C624)+1,"")</f>
        <v/>
      </c>
    </row>
    <row r="625">
      <c r="A625" s="44" t="str">
        <f>IF(OR($B625="",$D625=""),"","TX"&amp;TEXT(ROW()-4,"0000"))</f>
        <v/>
      </c>
      <c r="B625" s="42" t="n"/>
      <c r="C625" s="47" t="str">
        <f>IF($B625="","",YEAR($B625)*100+MONTH($B625))</f>
        <v/>
      </c>
      <c r="D625" s="37" t="n"/>
      <c r="E625" s="45" t="str">
        <f>IF($D625="","",IFERROR(INDEX(CARDS!$B$5:$B$34,MATCH($D625,CARDS!$A$5:$A$34,0)),"⚠ Card ID?"))</f>
        <v/>
      </c>
      <c r="F625" s="45" t="str">
        <f>IF($D625="","",IFERROR(INDEX(CARDS!$C$5:$C$34,MATCH($D625,CARDS!$A$5:$A$34,0)),"⚠ Card ID?"))</f>
        <v/>
      </c>
      <c r="G625" s="37" t="n"/>
      <c r="H625" s="37" t="n"/>
      <c r="I625" s="41" t="n"/>
      <c r="J625" s="45" t="str">
        <f>IF($I625="","",IFERROR(INDEX(MCC_MASTER!$B$5:$B$504,MATCH($I625,MCC_MASTER!$A$5:$A$504,0)),"⚠ MCC chưa có"))</f>
        <v/>
      </c>
      <c r="K625" s="45" t="str">
        <f>IF($I625="","",IFERROR(IF(INDEX(MCC_MASTER!$C$5:$C$504,MATCH($I625,MCC_MASTER!$A$5:$A$504,0))="","Chưa phân loại",INDEX(MCC_MASTER!$C$5:$C$504,MATCH($I625,MCC_MASTER!$A$5:$A$504,0))),"Chưa phân loại"))</f>
        <v/>
      </c>
      <c r="L625" s="40" t="n"/>
      <c r="M625" s="48" t="str">
        <f>IF(OR($B625="",$D625=""),"",IF($AC625=0,0,IF(ISNUMBER(INDEX(CASHBACK_RULES!$L$5:$L$304,$AC625)),MAX(0,MIN($L625,INDEX(CASHBACK_RULES!$L$5:$L$304,$AC625)-$AH625)),MAX(0,$L625))))</f>
        <v/>
      </c>
      <c r="N625" s="49" t="str">
        <f>IF(OR($B625="",$D625=""),"",IF($AC625&gt;0,INDEX(CASHBACK_RULES!$I$5:$I$304,$AC625),0))</f>
        <v/>
      </c>
      <c r="O625" s="48" t="str">
        <f>IF(OR($B625="",$D625=""),"",ROUND($M625*$N625,0))</f>
        <v/>
      </c>
      <c r="P625" s="48" t="str">
        <f>IF($AC625&gt;0,IF(ISNUMBER(INDEX(CASHBACK_RULES!$J$5:$J$304,$AC625)),INDEX(CASHBACK_RULES!$J$5:$J$304,$AC625),"∞"),"")</f>
        <v/>
      </c>
      <c r="Q625" s="48" t="str">
        <f>IF(OR($B625="",$D625=""),"",IF($AC625=0,0,MAX(0,MIN($O625,IF(ISNUMBER($P625),$P625-$AF625,1E+15),IF(ISNUMBER($AA625),$AA625-$AG625,1E+15)))))</f>
        <v/>
      </c>
      <c r="R625" s="48" t="str">
        <f>IF(OR($B625="",$D625=""),"",IF($AC625=0,"",IF(AND(NOT(ISNUMBER($P625)),NOT(ISNUMBER($AA625))),"∞",MAX(0,MIN(IF(ISNUMBER($P625),$P625-$AF625-$Q625,1E+15),IF(ISNUMBER($AA625),$AA625-$AG625-$Q625,1E+15))))))</f>
        <v/>
      </c>
      <c r="S625" s="47" t="str">
        <f>IF($AD625="","",YEAR($AD625)*100+MONTH($AD625))</f>
        <v/>
      </c>
      <c r="T625" s="50" t="str">
        <f>IF($AD625="","",IFERROR(IF(INDEX(CARDS!$I$5:$I$34,MATCH($D625,CARDS!$A$5:$A$34,0))="","",IF(INDEX(CARDS!$I$5:$I$34,MATCH($D625,CARDS!$A$5:$A$34,0))&gt;INDEX(CARDS!$H$5:$H$34,MATCH($D625,CARDS!$A$5:$A$34,0)),DATE(YEAR($AD625),MONTH($AD625),MIN(INDEX(CARDS!$I$5:$I$34,MATCH($D625,CARDS!$A$5:$A$34,0)),DAY(EOMONTH($AD625,0)))),DATE(YEAR($AD625),MONTH($AD625)+1,MIN(INDEX(CARDS!$I$5:$I$34,MATCH($D625,CARDS!$A$5:$A$34,0)),DAY(EOMONTH($AD625,1)))))),""))</f>
        <v/>
      </c>
      <c r="U625" s="38" t="n"/>
      <c r="V625" s="37" t="n"/>
      <c r="W625" s="38" t="n"/>
      <c r="X625" s="38" t="n"/>
      <c r="Y625" s="44" t="str">
        <f>IF($AC625&gt;0,INDEX(CASHBACK_RULES!$A$5:$A$304,$AC625),"")</f>
        <v/>
      </c>
      <c r="Z625" s="45" t="str">
        <f>IF($AC625&gt;0,INDEX(CASHBACK_RULES!$E$5:$E$304,$AC625)&amp;"","")</f>
        <v/>
      </c>
      <c r="AA625" s="48" t="str">
        <f>IF($AC625&gt;0,IF(ISNUMBER(INDEX(CASHBACK_RULES!$K$5:$K$304,$AC625)),INDEX(CASHBACK_RULES!$K$5:$K$304,$AC625),"∞"),"")</f>
        <v/>
      </c>
      <c r="AB625" s="44" t="str">
        <f>IF(OR($B625="",$D625=""),"",IF($U625="Cancelled","Đã hủy",IF($AC625=0,"Không được hoàn",IF($Q625=0,IF(OR($O625&gt;0,$M625&lt;$L625),"Đã đạt cap","Không được hoàn"),IF(OR($Q625&lt;$O625,$M625&lt;$L625),"Hoàn một phần","Được hoàn")))))</f>
        <v/>
      </c>
      <c r="AC625" s="43">
        <f>IF(OR($B625="",$D625="",$I625="",$L625=""),0,IF($U625="Cancelled",0,IF($W625&lt;&gt;"",IFERROR(IF(INDEX(CASHBACK_RULES!$B$5:$B$304,MATCH($W625,CASHBACK_RULES!$A$5:$A$304,0))=$D625,MATCH($W625,CASHBACK_RULES!$A$5:$A$304,0),0),0),IFERROR(MATCH(1,INDEX((CASHBACK_RULES!$B$5:$B$304=$D625)*(CASHBACK_RULES!$G$5:$G$304=$I625)*(((CASHBACK_RULES!$N$5:$N$304="")+(CASHBACK_RULES!$N$5:$N$304&lt;=$B625))&gt;0)*(((CASHBACK_RULES!$O$5:$O$304="")+(CASHBACK_RULES!$O$5:$O$304&gt;=$B625))&gt;0)*(((CASHBACK_RULES!$M$5:$M$304="")+(CASHBACK_RULES!$M$5:$M$304&lt;=$L625))&gt;0),0),0),0))))</f>
        <v>0</v>
      </c>
      <c r="AD625" s="51" t="str">
        <f>IF(OR($B625="",$D625=""),"",IFERROR(IF(INDEX(CARDS!$H$5:$H$34,MATCH($D625,CARDS!$A$5:$A$34,0))="","",IF(DAY($B625)&lt;=INDEX(CARDS!$H$5:$H$34,MATCH($D625,CARDS!$A$5:$A$34,0)),DATE(YEAR($B625),MONTH($B625),MIN(INDEX(CARDS!$H$5:$H$34,MATCH($D625,CARDS!$A$5:$A$34,0)),DAY(EOMONTH($B625,0)))),DATE(YEAR($B625),MONTH($B625)+1,MIN(INDEX(CARDS!$H$5:$H$34,MATCH($D625,CARDS!$A$5:$A$34,0)),DAY(EOMONTH($B625,1)))))),""))</f>
        <v/>
      </c>
      <c r="AE625" s="52" t="str">
        <f>IF($C625="","",$C625&amp;"|"&amp;COUNTIF($C$5:$C625,$C625))</f>
        <v/>
      </c>
      <c r="AF625" s="53">
        <f>IF($AC625&gt;0,SUMIFS(Q$4:Q624,$D$4:$D624,$D625,$Z$4:$Z624,$Z625,$C$4:$C624,$C625),0)</f>
        <v>0</v>
      </c>
      <c r="AG625" s="53">
        <f>IF($AC625&gt;0,SUMIFS(Q$4:Q624,$D$4:$D624,$D625,$C$4:$C624,$C625),0)</f>
        <v>0</v>
      </c>
      <c r="AH625" s="53">
        <f>IF($AC625&gt;0,SUMIFS(M$4:M624,$D$4:$D624,$D625,$Z$4:$Z624,$Z625,$C$4:$C624,$C625),0)</f>
        <v>0</v>
      </c>
      <c r="AI625" s="43">
        <f>IF(OR($C625="",$I625=""),0,IF(COUNTIFS($C$5:$C625,$C625,$I$5:$I625,$I625)=1,1,0))</f>
        <v>0</v>
      </c>
      <c r="AJ625" s="43" t="str">
        <f>IF($AI625=1,SUMIFS($AI$4:$AI624,$C$4:$C624,$C625)+1,"")</f>
        <v/>
      </c>
      <c r="AK625" s="43">
        <f>IF(OR($C625="",$K625=""),0,IF(COUNTIFS($C$5:$C625,$C625,$K$5:$K625,$K625)=1,1,0))</f>
        <v>0</v>
      </c>
      <c r="AL625" s="43" t="str">
        <f>IF($AK625=1,SUMIFS($AK$4:$AK624,$C$4:$C624,$C625)+1,"")</f>
        <v/>
      </c>
      <c r="AM625" s="43">
        <f>IF(OR($C625="",$G625=""),0,IF(COUNTIFS($C$5:$C625,$C625,$G$5:$G625,$G625)=1,1,0))</f>
        <v>0</v>
      </c>
      <c r="AN625" s="43" t="str">
        <f>IF($AM625=1,SUMIFS($AM$4:$AM624,$C$4:$C624,$C625)+1,"")</f>
        <v/>
      </c>
    </row>
    <row r="626">
      <c r="A626" s="44" t="str">
        <f>IF(OR($B626="",$D626=""),"","TX"&amp;TEXT(ROW()-4,"0000"))</f>
        <v/>
      </c>
      <c r="B626" s="42" t="n"/>
      <c r="C626" s="47" t="str">
        <f>IF($B626="","",YEAR($B626)*100+MONTH($B626))</f>
        <v/>
      </c>
      <c r="D626" s="37" t="n"/>
      <c r="E626" s="45" t="str">
        <f>IF($D626="","",IFERROR(INDEX(CARDS!$B$5:$B$34,MATCH($D626,CARDS!$A$5:$A$34,0)),"⚠ Card ID?"))</f>
        <v/>
      </c>
      <c r="F626" s="45" t="str">
        <f>IF($D626="","",IFERROR(INDEX(CARDS!$C$5:$C$34,MATCH($D626,CARDS!$A$5:$A$34,0)),"⚠ Card ID?"))</f>
        <v/>
      </c>
      <c r="G626" s="37" t="n"/>
      <c r="H626" s="37" t="n"/>
      <c r="I626" s="41" t="n"/>
      <c r="J626" s="45" t="str">
        <f>IF($I626="","",IFERROR(INDEX(MCC_MASTER!$B$5:$B$504,MATCH($I626,MCC_MASTER!$A$5:$A$504,0)),"⚠ MCC chưa có"))</f>
        <v/>
      </c>
      <c r="K626" s="45" t="str">
        <f>IF($I626="","",IFERROR(IF(INDEX(MCC_MASTER!$C$5:$C$504,MATCH($I626,MCC_MASTER!$A$5:$A$504,0))="","Chưa phân loại",INDEX(MCC_MASTER!$C$5:$C$504,MATCH($I626,MCC_MASTER!$A$5:$A$504,0))),"Chưa phân loại"))</f>
        <v/>
      </c>
      <c r="L626" s="40" t="n"/>
      <c r="M626" s="48" t="str">
        <f>IF(OR($B626="",$D626=""),"",IF($AC626=0,0,IF(ISNUMBER(INDEX(CASHBACK_RULES!$L$5:$L$304,$AC626)),MAX(0,MIN($L626,INDEX(CASHBACK_RULES!$L$5:$L$304,$AC626)-$AH626)),MAX(0,$L626))))</f>
        <v/>
      </c>
      <c r="N626" s="49" t="str">
        <f>IF(OR($B626="",$D626=""),"",IF($AC626&gt;0,INDEX(CASHBACK_RULES!$I$5:$I$304,$AC626),0))</f>
        <v/>
      </c>
      <c r="O626" s="48" t="str">
        <f>IF(OR($B626="",$D626=""),"",ROUND($M626*$N626,0))</f>
        <v/>
      </c>
      <c r="P626" s="48" t="str">
        <f>IF($AC626&gt;0,IF(ISNUMBER(INDEX(CASHBACK_RULES!$J$5:$J$304,$AC626)),INDEX(CASHBACK_RULES!$J$5:$J$304,$AC626),"∞"),"")</f>
        <v/>
      </c>
      <c r="Q626" s="48" t="str">
        <f>IF(OR($B626="",$D626=""),"",IF($AC626=0,0,MAX(0,MIN($O626,IF(ISNUMBER($P626),$P626-$AF626,1E+15),IF(ISNUMBER($AA626),$AA626-$AG626,1E+15)))))</f>
        <v/>
      </c>
      <c r="R626" s="48" t="str">
        <f>IF(OR($B626="",$D626=""),"",IF($AC626=0,"",IF(AND(NOT(ISNUMBER($P626)),NOT(ISNUMBER($AA626))),"∞",MAX(0,MIN(IF(ISNUMBER($P626),$P626-$AF626-$Q626,1E+15),IF(ISNUMBER($AA626),$AA626-$AG626-$Q626,1E+15))))))</f>
        <v/>
      </c>
      <c r="S626" s="47" t="str">
        <f>IF($AD626="","",YEAR($AD626)*100+MONTH($AD626))</f>
        <v/>
      </c>
      <c r="T626" s="50" t="str">
        <f>IF($AD626="","",IFERROR(IF(INDEX(CARDS!$I$5:$I$34,MATCH($D626,CARDS!$A$5:$A$34,0))="","",IF(INDEX(CARDS!$I$5:$I$34,MATCH($D626,CARDS!$A$5:$A$34,0))&gt;INDEX(CARDS!$H$5:$H$34,MATCH($D626,CARDS!$A$5:$A$34,0)),DATE(YEAR($AD626),MONTH($AD626),MIN(INDEX(CARDS!$I$5:$I$34,MATCH($D626,CARDS!$A$5:$A$34,0)),DAY(EOMONTH($AD626,0)))),DATE(YEAR($AD626),MONTH($AD626)+1,MIN(INDEX(CARDS!$I$5:$I$34,MATCH($D626,CARDS!$A$5:$A$34,0)),DAY(EOMONTH($AD626,1)))))),""))</f>
        <v/>
      </c>
      <c r="U626" s="38" t="n"/>
      <c r="V626" s="37" t="n"/>
      <c r="W626" s="38" t="n"/>
      <c r="X626" s="38" t="n"/>
      <c r="Y626" s="44" t="str">
        <f>IF($AC626&gt;0,INDEX(CASHBACK_RULES!$A$5:$A$304,$AC626),"")</f>
        <v/>
      </c>
      <c r="Z626" s="45" t="str">
        <f>IF($AC626&gt;0,INDEX(CASHBACK_RULES!$E$5:$E$304,$AC626)&amp;"","")</f>
        <v/>
      </c>
      <c r="AA626" s="48" t="str">
        <f>IF($AC626&gt;0,IF(ISNUMBER(INDEX(CASHBACK_RULES!$K$5:$K$304,$AC626)),INDEX(CASHBACK_RULES!$K$5:$K$304,$AC626),"∞"),"")</f>
        <v/>
      </c>
      <c r="AB626" s="44" t="str">
        <f>IF(OR($B626="",$D626=""),"",IF($U626="Cancelled","Đã hủy",IF($AC626=0,"Không được hoàn",IF($Q626=0,IF(OR($O626&gt;0,$M626&lt;$L626),"Đã đạt cap","Không được hoàn"),IF(OR($Q626&lt;$O626,$M626&lt;$L626),"Hoàn một phần","Được hoàn")))))</f>
        <v/>
      </c>
      <c r="AC626" s="43">
        <f>IF(OR($B626="",$D626="",$I626="",$L626=""),0,IF($U626="Cancelled",0,IF($W626&lt;&gt;"",IFERROR(IF(INDEX(CASHBACK_RULES!$B$5:$B$304,MATCH($W626,CASHBACK_RULES!$A$5:$A$304,0))=$D626,MATCH($W626,CASHBACK_RULES!$A$5:$A$304,0),0),0),IFERROR(MATCH(1,INDEX((CASHBACK_RULES!$B$5:$B$304=$D626)*(CASHBACK_RULES!$G$5:$G$304=$I626)*(((CASHBACK_RULES!$N$5:$N$304="")+(CASHBACK_RULES!$N$5:$N$304&lt;=$B626))&gt;0)*(((CASHBACK_RULES!$O$5:$O$304="")+(CASHBACK_RULES!$O$5:$O$304&gt;=$B626))&gt;0)*(((CASHBACK_RULES!$M$5:$M$304="")+(CASHBACK_RULES!$M$5:$M$304&lt;=$L626))&gt;0),0),0),0))))</f>
        <v>0</v>
      </c>
      <c r="AD626" s="51" t="str">
        <f>IF(OR($B626="",$D626=""),"",IFERROR(IF(INDEX(CARDS!$H$5:$H$34,MATCH($D626,CARDS!$A$5:$A$34,0))="","",IF(DAY($B626)&lt;=INDEX(CARDS!$H$5:$H$34,MATCH($D626,CARDS!$A$5:$A$34,0)),DATE(YEAR($B626),MONTH($B626),MIN(INDEX(CARDS!$H$5:$H$34,MATCH($D626,CARDS!$A$5:$A$34,0)),DAY(EOMONTH($B626,0)))),DATE(YEAR($B626),MONTH($B626)+1,MIN(INDEX(CARDS!$H$5:$H$34,MATCH($D626,CARDS!$A$5:$A$34,0)),DAY(EOMONTH($B626,1)))))),""))</f>
        <v/>
      </c>
      <c r="AE626" s="52" t="str">
        <f>IF($C626="","",$C626&amp;"|"&amp;COUNTIF($C$5:$C626,$C626))</f>
        <v/>
      </c>
      <c r="AF626" s="53">
        <f>IF($AC626&gt;0,SUMIFS(Q$4:Q625,$D$4:$D625,$D626,$Z$4:$Z625,$Z626,$C$4:$C625,$C626),0)</f>
        <v>0</v>
      </c>
      <c r="AG626" s="53">
        <f>IF($AC626&gt;0,SUMIFS(Q$4:Q625,$D$4:$D625,$D626,$C$4:$C625,$C626),0)</f>
        <v>0</v>
      </c>
      <c r="AH626" s="53">
        <f>IF($AC626&gt;0,SUMIFS(M$4:M625,$D$4:$D625,$D626,$Z$4:$Z625,$Z626,$C$4:$C625,$C626),0)</f>
        <v>0</v>
      </c>
      <c r="AI626" s="43">
        <f>IF(OR($C626="",$I626=""),0,IF(COUNTIFS($C$5:$C626,$C626,$I$5:$I626,$I626)=1,1,0))</f>
        <v>0</v>
      </c>
      <c r="AJ626" s="43" t="str">
        <f>IF($AI626=1,SUMIFS($AI$4:$AI625,$C$4:$C625,$C626)+1,"")</f>
        <v/>
      </c>
      <c r="AK626" s="43">
        <f>IF(OR($C626="",$K626=""),0,IF(COUNTIFS($C$5:$C626,$C626,$K$5:$K626,$K626)=1,1,0))</f>
        <v>0</v>
      </c>
      <c r="AL626" s="43" t="str">
        <f>IF($AK626=1,SUMIFS($AK$4:$AK625,$C$4:$C625,$C626)+1,"")</f>
        <v/>
      </c>
      <c r="AM626" s="43">
        <f>IF(OR($C626="",$G626=""),0,IF(COUNTIFS($C$5:$C626,$C626,$G$5:$G626,$G626)=1,1,0))</f>
        <v>0</v>
      </c>
      <c r="AN626" s="43" t="str">
        <f>IF($AM626=1,SUMIFS($AM$4:$AM625,$C$4:$C625,$C626)+1,"")</f>
        <v/>
      </c>
    </row>
    <row r="627">
      <c r="A627" s="44" t="str">
        <f>IF(OR($B627="",$D627=""),"","TX"&amp;TEXT(ROW()-4,"0000"))</f>
        <v/>
      </c>
      <c r="B627" s="42" t="n"/>
      <c r="C627" s="47" t="str">
        <f>IF($B627="","",YEAR($B627)*100+MONTH($B627))</f>
        <v/>
      </c>
      <c r="D627" s="37" t="n"/>
      <c r="E627" s="45" t="str">
        <f>IF($D627="","",IFERROR(INDEX(CARDS!$B$5:$B$34,MATCH($D627,CARDS!$A$5:$A$34,0)),"⚠ Card ID?"))</f>
        <v/>
      </c>
      <c r="F627" s="45" t="str">
        <f>IF($D627="","",IFERROR(INDEX(CARDS!$C$5:$C$34,MATCH($D627,CARDS!$A$5:$A$34,0)),"⚠ Card ID?"))</f>
        <v/>
      </c>
      <c r="G627" s="37" t="n"/>
      <c r="H627" s="37" t="n"/>
      <c r="I627" s="41" t="n"/>
      <c r="J627" s="45" t="str">
        <f>IF($I627="","",IFERROR(INDEX(MCC_MASTER!$B$5:$B$504,MATCH($I627,MCC_MASTER!$A$5:$A$504,0)),"⚠ MCC chưa có"))</f>
        <v/>
      </c>
      <c r="K627" s="45" t="str">
        <f>IF($I627="","",IFERROR(IF(INDEX(MCC_MASTER!$C$5:$C$504,MATCH($I627,MCC_MASTER!$A$5:$A$504,0))="","Chưa phân loại",INDEX(MCC_MASTER!$C$5:$C$504,MATCH($I627,MCC_MASTER!$A$5:$A$504,0))),"Chưa phân loại"))</f>
        <v/>
      </c>
      <c r="L627" s="40" t="n"/>
      <c r="M627" s="48" t="str">
        <f>IF(OR($B627="",$D627=""),"",IF($AC627=0,0,IF(ISNUMBER(INDEX(CASHBACK_RULES!$L$5:$L$304,$AC627)),MAX(0,MIN($L627,INDEX(CASHBACK_RULES!$L$5:$L$304,$AC627)-$AH627)),MAX(0,$L627))))</f>
        <v/>
      </c>
      <c r="N627" s="49" t="str">
        <f>IF(OR($B627="",$D627=""),"",IF($AC627&gt;0,INDEX(CASHBACK_RULES!$I$5:$I$304,$AC627),0))</f>
        <v/>
      </c>
      <c r="O627" s="48" t="str">
        <f>IF(OR($B627="",$D627=""),"",ROUND($M627*$N627,0))</f>
        <v/>
      </c>
      <c r="P627" s="48" t="str">
        <f>IF($AC627&gt;0,IF(ISNUMBER(INDEX(CASHBACK_RULES!$J$5:$J$304,$AC627)),INDEX(CASHBACK_RULES!$J$5:$J$304,$AC627),"∞"),"")</f>
        <v/>
      </c>
      <c r="Q627" s="48" t="str">
        <f>IF(OR($B627="",$D627=""),"",IF($AC627=0,0,MAX(0,MIN($O627,IF(ISNUMBER($P627),$P627-$AF627,1E+15),IF(ISNUMBER($AA627),$AA627-$AG627,1E+15)))))</f>
        <v/>
      </c>
      <c r="R627" s="48" t="str">
        <f>IF(OR($B627="",$D627=""),"",IF($AC627=0,"",IF(AND(NOT(ISNUMBER($P627)),NOT(ISNUMBER($AA627))),"∞",MAX(0,MIN(IF(ISNUMBER($P627),$P627-$AF627-$Q627,1E+15),IF(ISNUMBER($AA627),$AA627-$AG627-$Q627,1E+15))))))</f>
        <v/>
      </c>
      <c r="S627" s="47" t="str">
        <f>IF($AD627="","",YEAR($AD627)*100+MONTH($AD627))</f>
        <v/>
      </c>
      <c r="T627" s="50" t="str">
        <f>IF($AD627="","",IFERROR(IF(INDEX(CARDS!$I$5:$I$34,MATCH($D627,CARDS!$A$5:$A$34,0))="","",IF(INDEX(CARDS!$I$5:$I$34,MATCH($D627,CARDS!$A$5:$A$34,0))&gt;INDEX(CARDS!$H$5:$H$34,MATCH($D627,CARDS!$A$5:$A$34,0)),DATE(YEAR($AD627),MONTH($AD627),MIN(INDEX(CARDS!$I$5:$I$34,MATCH($D627,CARDS!$A$5:$A$34,0)),DAY(EOMONTH($AD627,0)))),DATE(YEAR($AD627),MONTH($AD627)+1,MIN(INDEX(CARDS!$I$5:$I$34,MATCH($D627,CARDS!$A$5:$A$34,0)),DAY(EOMONTH($AD627,1)))))),""))</f>
        <v/>
      </c>
      <c r="U627" s="38" t="n"/>
      <c r="V627" s="37" t="n"/>
      <c r="W627" s="38" t="n"/>
      <c r="X627" s="38" t="n"/>
      <c r="Y627" s="44" t="str">
        <f>IF($AC627&gt;0,INDEX(CASHBACK_RULES!$A$5:$A$304,$AC627),"")</f>
        <v/>
      </c>
      <c r="Z627" s="45" t="str">
        <f>IF($AC627&gt;0,INDEX(CASHBACK_RULES!$E$5:$E$304,$AC627)&amp;"","")</f>
        <v/>
      </c>
      <c r="AA627" s="48" t="str">
        <f>IF($AC627&gt;0,IF(ISNUMBER(INDEX(CASHBACK_RULES!$K$5:$K$304,$AC627)),INDEX(CASHBACK_RULES!$K$5:$K$304,$AC627),"∞"),"")</f>
        <v/>
      </c>
      <c r="AB627" s="44" t="str">
        <f>IF(OR($B627="",$D627=""),"",IF($U627="Cancelled","Đã hủy",IF($AC627=0,"Không được hoàn",IF($Q627=0,IF(OR($O627&gt;0,$M627&lt;$L627),"Đã đạt cap","Không được hoàn"),IF(OR($Q627&lt;$O627,$M627&lt;$L627),"Hoàn một phần","Được hoàn")))))</f>
        <v/>
      </c>
      <c r="AC627" s="43">
        <f>IF(OR($B627="",$D627="",$I627="",$L627=""),0,IF($U627="Cancelled",0,IF($W627&lt;&gt;"",IFERROR(IF(INDEX(CASHBACK_RULES!$B$5:$B$304,MATCH($W627,CASHBACK_RULES!$A$5:$A$304,0))=$D627,MATCH($W627,CASHBACK_RULES!$A$5:$A$304,0),0),0),IFERROR(MATCH(1,INDEX((CASHBACK_RULES!$B$5:$B$304=$D627)*(CASHBACK_RULES!$G$5:$G$304=$I627)*(((CASHBACK_RULES!$N$5:$N$304="")+(CASHBACK_RULES!$N$5:$N$304&lt;=$B627))&gt;0)*(((CASHBACK_RULES!$O$5:$O$304="")+(CASHBACK_RULES!$O$5:$O$304&gt;=$B627))&gt;0)*(((CASHBACK_RULES!$M$5:$M$304="")+(CASHBACK_RULES!$M$5:$M$304&lt;=$L627))&gt;0),0),0),0))))</f>
        <v>0</v>
      </c>
      <c r="AD627" s="51" t="str">
        <f>IF(OR($B627="",$D627=""),"",IFERROR(IF(INDEX(CARDS!$H$5:$H$34,MATCH($D627,CARDS!$A$5:$A$34,0))="","",IF(DAY($B627)&lt;=INDEX(CARDS!$H$5:$H$34,MATCH($D627,CARDS!$A$5:$A$34,0)),DATE(YEAR($B627),MONTH($B627),MIN(INDEX(CARDS!$H$5:$H$34,MATCH($D627,CARDS!$A$5:$A$34,0)),DAY(EOMONTH($B627,0)))),DATE(YEAR($B627),MONTH($B627)+1,MIN(INDEX(CARDS!$H$5:$H$34,MATCH($D627,CARDS!$A$5:$A$34,0)),DAY(EOMONTH($B627,1)))))),""))</f>
        <v/>
      </c>
      <c r="AE627" s="52" t="str">
        <f>IF($C627="","",$C627&amp;"|"&amp;COUNTIF($C$5:$C627,$C627))</f>
        <v/>
      </c>
      <c r="AF627" s="53">
        <f>IF($AC627&gt;0,SUMIFS(Q$4:Q626,$D$4:$D626,$D627,$Z$4:$Z626,$Z627,$C$4:$C626,$C627),0)</f>
        <v>0</v>
      </c>
      <c r="AG627" s="53">
        <f>IF($AC627&gt;0,SUMIFS(Q$4:Q626,$D$4:$D626,$D627,$C$4:$C626,$C627),0)</f>
        <v>0</v>
      </c>
      <c r="AH627" s="53">
        <f>IF($AC627&gt;0,SUMIFS(M$4:M626,$D$4:$D626,$D627,$Z$4:$Z626,$Z627,$C$4:$C626,$C627),0)</f>
        <v>0</v>
      </c>
      <c r="AI627" s="43">
        <f>IF(OR($C627="",$I627=""),0,IF(COUNTIFS($C$5:$C627,$C627,$I$5:$I627,$I627)=1,1,0))</f>
        <v>0</v>
      </c>
      <c r="AJ627" s="43" t="str">
        <f>IF($AI627=1,SUMIFS($AI$4:$AI626,$C$4:$C626,$C627)+1,"")</f>
        <v/>
      </c>
      <c r="AK627" s="43">
        <f>IF(OR($C627="",$K627=""),0,IF(COUNTIFS($C$5:$C627,$C627,$K$5:$K627,$K627)=1,1,0))</f>
        <v>0</v>
      </c>
      <c r="AL627" s="43" t="str">
        <f>IF($AK627=1,SUMIFS($AK$4:$AK626,$C$4:$C626,$C627)+1,"")</f>
        <v/>
      </c>
      <c r="AM627" s="43">
        <f>IF(OR($C627="",$G627=""),0,IF(COUNTIFS($C$5:$C627,$C627,$G$5:$G627,$G627)=1,1,0))</f>
        <v>0</v>
      </c>
      <c r="AN627" s="43" t="str">
        <f>IF($AM627=1,SUMIFS($AM$4:$AM626,$C$4:$C626,$C627)+1,"")</f>
        <v/>
      </c>
    </row>
    <row r="628">
      <c r="A628" s="44" t="str">
        <f>IF(OR($B628="",$D628=""),"","TX"&amp;TEXT(ROW()-4,"0000"))</f>
        <v/>
      </c>
      <c r="B628" s="42" t="n"/>
      <c r="C628" s="47" t="str">
        <f>IF($B628="","",YEAR($B628)*100+MONTH($B628))</f>
        <v/>
      </c>
      <c r="D628" s="37" t="n"/>
      <c r="E628" s="45" t="str">
        <f>IF($D628="","",IFERROR(INDEX(CARDS!$B$5:$B$34,MATCH($D628,CARDS!$A$5:$A$34,0)),"⚠ Card ID?"))</f>
        <v/>
      </c>
      <c r="F628" s="45" t="str">
        <f>IF($D628="","",IFERROR(INDEX(CARDS!$C$5:$C$34,MATCH($D628,CARDS!$A$5:$A$34,0)),"⚠ Card ID?"))</f>
        <v/>
      </c>
      <c r="G628" s="37" t="n"/>
      <c r="H628" s="37" t="n"/>
      <c r="I628" s="41" t="n"/>
      <c r="J628" s="45" t="str">
        <f>IF($I628="","",IFERROR(INDEX(MCC_MASTER!$B$5:$B$504,MATCH($I628,MCC_MASTER!$A$5:$A$504,0)),"⚠ MCC chưa có"))</f>
        <v/>
      </c>
      <c r="K628" s="45" t="str">
        <f>IF($I628="","",IFERROR(IF(INDEX(MCC_MASTER!$C$5:$C$504,MATCH($I628,MCC_MASTER!$A$5:$A$504,0))="","Chưa phân loại",INDEX(MCC_MASTER!$C$5:$C$504,MATCH($I628,MCC_MASTER!$A$5:$A$504,0))),"Chưa phân loại"))</f>
        <v/>
      </c>
      <c r="L628" s="40" t="n"/>
      <c r="M628" s="48" t="str">
        <f>IF(OR($B628="",$D628=""),"",IF($AC628=0,0,IF(ISNUMBER(INDEX(CASHBACK_RULES!$L$5:$L$304,$AC628)),MAX(0,MIN($L628,INDEX(CASHBACK_RULES!$L$5:$L$304,$AC628)-$AH628)),MAX(0,$L628))))</f>
        <v/>
      </c>
      <c r="N628" s="49" t="str">
        <f>IF(OR($B628="",$D628=""),"",IF($AC628&gt;0,INDEX(CASHBACK_RULES!$I$5:$I$304,$AC628),0))</f>
        <v/>
      </c>
      <c r="O628" s="48" t="str">
        <f>IF(OR($B628="",$D628=""),"",ROUND($M628*$N628,0))</f>
        <v/>
      </c>
      <c r="P628" s="48" t="str">
        <f>IF($AC628&gt;0,IF(ISNUMBER(INDEX(CASHBACK_RULES!$J$5:$J$304,$AC628)),INDEX(CASHBACK_RULES!$J$5:$J$304,$AC628),"∞"),"")</f>
        <v/>
      </c>
      <c r="Q628" s="48" t="str">
        <f>IF(OR($B628="",$D628=""),"",IF($AC628=0,0,MAX(0,MIN($O628,IF(ISNUMBER($P628),$P628-$AF628,1E+15),IF(ISNUMBER($AA628),$AA628-$AG628,1E+15)))))</f>
        <v/>
      </c>
      <c r="R628" s="48" t="str">
        <f>IF(OR($B628="",$D628=""),"",IF($AC628=0,"",IF(AND(NOT(ISNUMBER($P628)),NOT(ISNUMBER($AA628))),"∞",MAX(0,MIN(IF(ISNUMBER($P628),$P628-$AF628-$Q628,1E+15),IF(ISNUMBER($AA628),$AA628-$AG628-$Q628,1E+15))))))</f>
        <v/>
      </c>
      <c r="S628" s="47" t="str">
        <f>IF($AD628="","",YEAR($AD628)*100+MONTH($AD628))</f>
        <v/>
      </c>
      <c r="T628" s="50" t="str">
        <f>IF($AD628="","",IFERROR(IF(INDEX(CARDS!$I$5:$I$34,MATCH($D628,CARDS!$A$5:$A$34,0))="","",IF(INDEX(CARDS!$I$5:$I$34,MATCH($D628,CARDS!$A$5:$A$34,0))&gt;INDEX(CARDS!$H$5:$H$34,MATCH($D628,CARDS!$A$5:$A$34,0)),DATE(YEAR($AD628),MONTH($AD628),MIN(INDEX(CARDS!$I$5:$I$34,MATCH($D628,CARDS!$A$5:$A$34,0)),DAY(EOMONTH($AD628,0)))),DATE(YEAR($AD628),MONTH($AD628)+1,MIN(INDEX(CARDS!$I$5:$I$34,MATCH($D628,CARDS!$A$5:$A$34,0)),DAY(EOMONTH($AD628,1)))))),""))</f>
        <v/>
      </c>
      <c r="U628" s="38" t="n"/>
      <c r="V628" s="37" t="n"/>
      <c r="W628" s="38" t="n"/>
      <c r="X628" s="38" t="n"/>
      <c r="Y628" s="44" t="str">
        <f>IF($AC628&gt;0,INDEX(CASHBACK_RULES!$A$5:$A$304,$AC628),"")</f>
        <v/>
      </c>
      <c r="Z628" s="45" t="str">
        <f>IF($AC628&gt;0,INDEX(CASHBACK_RULES!$E$5:$E$304,$AC628)&amp;"","")</f>
        <v/>
      </c>
      <c r="AA628" s="48" t="str">
        <f>IF($AC628&gt;0,IF(ISNUMBER(INDEX(CASHBACK_RULES!$K$5:$K$304,$AC628)),INDEX(CASHBACK_RULES!$K$5:$K$304,$AC628),"∞"),"")</f>
        <v/>
      </c>
      <c r="AB628" s="44" t="str">
        <f>IF(OR($B628="",$D628=""),"",IF($U628="Cancelled","Đã hủy",IF($AC628=0,"Không được hoàn",IF($Q628=0,IF(OR($O628&gt;0,$M628&lt;$L628),"Đã đạt cap","Không được hoàn"),IF(OR($Q628&lt;$O628,$M628&lt;$L628),"Hoàn một phần","Được hoàn")))))</f>
        <v/>
      </c>
      <c r="AC628" s="43">
        <f>IF(OR($B628="",$D628="",$I628="",$L628=""),0,IF($U628="Cancelled",0,IF($W628&lt;&gt;"",IFERROR(IF(INDEX(CASHBACK_RULES!$B$5:$B$304,MATCH($W628,CASHBACK_RULES!$A$5:$A$304,0))=$D628,MATCH($W628,CASHBACK_RULES!$A$5:$A$304,0),0),0),IFERROR(MATCH(1,INDEX((CASHBACK_RULES!$B$5:$B$304=$D628)*(CASHBACK_RULES!$G$5:$G$304=$I628)*(((CASHBACK_RULES!$N$5:$N$304="")+(CASHBACK_RULES!$N$5:$N$304&lt;=$B628))&gt;0)*(((CASHBACK_RULES!$O$5:$O$304="")+(CASHBACK_RULES!$O$5:$O$304&gt;=$B628))&gt;0)*(((CASHBACK_RULES!$M$5:$M$304="")+(CASHBACK_RULES!$M$5:$M$304&lt;=$L628))&gt;0),0),0),0))))</f>
        <v>0</v>
      </c>
      <c r="AD628" s="51" t="str">
        <f>IF(OR($B628="",$D628=""),"",IFERROR(IF(INDEX(CARDS!$H$5:$H$34,MATCH($D628,CARDS!$A$5:$A$34,0))="","",IF(DAY($B628)&lt;=INDEX(CARDS!$H$5:$H$34,MATCH($D628,CARDS!$A$5:$A$34,0)),DATE(YEAR($B628),MONTH($B628),MIN(INDEX(CARDS!$H$5:$H$34,MATCH($D628,CARDS!$A$5:$A$34,0)),DAY(EOMONTH($B628,0)))),DATE(YEAR($B628),MONTH($B628)+1,MIN(INDEX(CARDS!$H$5:$H$34,MATCH($D628,CARDS!$A$5:$A$34,0)),DAY(EOMONTH($B628,1)))))),""))</f>
        <v/>
      </c>
      <c r="AE628" s="52" t="str">
        <f>IF($C628="","",$C628&amp;"|"&amp;COUNTIF($C$5:$C628,$C628))</f>
        <v/>
      </c>
      <c r="AF628" s="53">
        <f>IF($AC628&gt;0,SUMIFS(Q$4:Q627,$D$4:$D627,$D628,$Z$4:$Z627,$Z628,$C$4:$C627,$C628),0)</f>
        <v>0</v>
      </c>
      <c r="AG628" s="53">
        <f>IF($AC628&gt;0,SUMIFS(Q$4:Q627,$D$4:$D627,$D628,$C$4:$C627,$C628),0)</f>
        <v>0</v>
      </c>
      <c r="AH628" s="53">
        <f>IF($AC628&gt;0,SUMIFS(M$4:M627,$D$4:$D627,$D628,$Z$4:$Z627,$Z628,$C$4:$C627,$C628),0)</f>
        <v>0</v>
      </c>
      <c r="AI628" s="43">
        <f>IF(OR($C628="",$I628=""),0,IF(COUNTIFS($C$5:$C628,$C628,$I$5:$I628,$I628)=1,1,0))</f>
        <v>0</v>
      </c>
      <c r="AJ628" s="43" t="str">
        <f>IF($AI628=1,SUMIFS($AI$4:$AI627,$C$4:$C627,$C628)+1,"")</f>
        <v/>
      </c>
      <c r="AK628" s="43">
        <f>IF(OR($C628="",$K628=""),0,IF(COUNTIFS($C$5:$C628,$C628,$K$5:$K628,$K628)=1,1,0))</f>
        <v>0</v>
      </c>
      <c r="AL628" s="43" t="str">
        <f>IF($AK628=1,SUMIFS($AK$4:$AK627,$C$4:$C627,$C628)+1,"")</f>
        <v/>
      </c>
      <c r="AM628" s="43">
        <f>IF(OR($C628="",$G628=""),0,IF(COUNTIFS($C$5:$C628,$C628,$G$5:$G628,$G628)=1,1,0))</f>
        <v>0</v>
      </c>
      <c r="AN628" s="43" t="str">
        <f>IF($AM628=1,SUMIFS($AM$4:$AM627,$C$4:$C627,$C628)+1,"")</f>
        <v/>
      </c>
    </row>
    <row r="629">
      <c r="A629" s="44" t="str">
        <f>IF(OR($B629="",$D629=""),"","TX"&amp;TEXT(ROW()-4,"0000"))</f>
        <v/>
      </c>
      <c r="B629" s="42" t="n"/>
      <c r="C629" s="47" t="str">
        <f>IF($B629="","",YEAR($B629)*100+MONTH($B629))</f>
        <v/>
      </c>
      <c r="D629" s="37" t="n"/>
      <c r="E629" s="45" t="str">
        <f>IF($D629="","",IFERROR(INDEX(CARDS!$B$5:$B$34,MATCH($D629,CARDS!$A$5:$A$34,0)),"⚠ Card ID?"))</f>
        <v/>
      </c>
      <c r="F629" s="45" t="str">
        <f>IF($D629="","",IFERROR(INDEX(CARDS!$C$5:$C$34,MATCH($D629,CARDS!$A$5:$A$34,0)),"⚠ Card ID?"))</f>
        <v/>
      </c>
      <c r="G629" s="37" t="n"/>
      <c r="H629" s="37" t="n"/>
      <c r="I629" s="41" t="n"/>
      <c r="J629" s="45" t="str">
        <f>IF($I629="","",IFERROR(INDEX(MCC_MASTER!$B$5:$B$504,MATCH($I629,MCC_MASTER!$A$5:$A$504,0)),"⚠ MCC chưa có"))</f>
        <v/>
      </c>
      <c r="K629" s="45" t="str">
        <f>IF($I629="","",IFERROR(IF(INDEX(MCC_MASTER!$C$5:$C$504,MATCH($I629,MCC_MASTER!$A$5:$A$504,0))="","Chưa phân loại",INDEX(MCC_MASTER!$C$5:$C$504,MATCH($I629,MCC_MASTER!$A$5:$A$504,0))),"Chưa phân loại"))</f>
        <v/>
      </c>
      <c r="L629" s="40" t="n"/>
      <c r="M629" s="48" t="str">
        <f>IF(OR($B629="",$D629=""),"",IF($AC629=0,0,IF(ISNUMBER(INDEX(CASHBACK_RULES!$L$5:$L$304,$AC629)),MAX(0,MIN($L629,INDEX(CASHBACK_RULES!$L$5:$L$304,$AC629)-$AH629)),MAX(0,$L629))))</f>
        <v/>
      </c>
      <c r="N629" s="49" t="str">
        <f>IF(OR($B629="",$D629=""),"",IF($AC629&gt;0,INDEX(CASHBACK_RULES!$I$5:$I$304,$AC629),0))</f>
        <v/>
      </c>
      <c r="O629" s="48" t="str">
        <f>IF(OR($B629="",$D629=""),"",ROUND($M629*$N629,0))</f>
        <v/>
      </c>
      <c r="P629" s="48" t="str">
        <f>IF($AC629&gt;0,IF(ISNUMBER(INDEX(CASHBACK_RULES!$J$5:$J$304,$AC629)),INDEX(CASHBACK_RULES!$J$5:$J$304,$AC629),"∞"),"")</f>
        <v/>
      </c>
      <c r="Q629" s="48" t="str">
        <f>IF(OR($B629="",$D629=""),"",IF($AC629=0,0,MAX(0,MIN($O629,IF(ISNUMBER($P629),$P629-$AF629,1E+15),IF(ISNUMBER($AA629),$AA629-$AG629,1E+15)))))</f>
        <v/>
      </c>
      <c r="R629" s="48" t="str">
        <f>IF(OR($B629="",$D629=""),"",IF($AC629=0,"",IF(AND(NOT(ISNUMBER($P629)),NOT(ISNUMBER($AA629))),"∞",MAX(0,MIN(IF(ISNUMBER($P629),$P629-$AF629-$Q629,1E+15),IF(ISNUMBER($AA629),$AA629-$AG629-$Q629,1E+15))))))</f>
        <v/>
      </c>
      <c r="S629" s="47" t="str">
        <f>IF($AD629="","",YEAR($AD629)*100+MONTH($AD629))</f>
        <v/>
      </c>
      <c r="T629" s="50" t="str">
        <f>IF($AD629="","",IFERROR(IF(INDEX(CARDS!$I$5:$I$34,MATCH($D629,CARDS!$A$5:$A$34,0))="","",IF(INDEX(CARDS!$I$5:$I$34,MATCH($D629,CARDS!$A$5:$A$34,0))&gt;INDEX(CARDS!$H$5:$H$34,MATCH($D629,CARDS!$A$5:$A$34,0)),DATE(YEAR($AD629),MONTH($AD629),MIN(INDEX(CARDS!$I$5:$I$34,MATCH($D629,CARDS!$A$5:$A$34,0)),DAY(EOMONTH($AD629,0)))),DATE(YEAR($AD629),MONTH($AD629)+1,MIN(INDEX(CARDS!$I$5:$I$34,MATCH($D629,CARDS!$A$5:$A$34,0)),DAY(EOMONTH($AD629,1)))))),""))</f>
        <v/>
      </c>
      <c r="U629" s="38" t="n"/>
      <c r="V629" s="37" t="n"/>
      <c r="W629" s="38" t="n"/>
      <c r="X629" s="38" t="n"/>
      <c r="Y629" s="44" t="str">
        <f>IF($AC629&gt;0,INDEX(CASHBACK_RULES!$A$5:$A$304,$AC629),"")</f>
        <v/>
      </c>
      <c r="Z629" s="45" t="str">
        <f>IF($AC629&gt;0,INDEX(CASHBACK_RULES!$E$5:$E$304,$AC629)&amp;"","")</f>
        <v/>
      </c>
      <c r="AA629" s="48" t="str">
        <f>IF($AC629&gt;0,IF(ISNUMBER(INDEX(CASHBACK_RULES!$K$5:$K$304,$AC629)),INDEX(CASHBACK_RULES!$K$5:$K$304,$AC629),"∞"),"")</f>
        <v/>
      </c>
      <c r="AB629" s="44" t="str">
        <f>IF(OR($B629="",$D629=""),"",IF($U629="Cancelled","Đã hủy",IF($AC629=0,"Không được hoàn",IF($Q629=0,IF(OR($O629&gt;0,$M629&lt;$L629),"Đã đạt cap","Không được hoàn"),IF(OR($Q629&lt;$O629,$M629&lt;$L629),"Hoàn một phần","Được hoàn")))))</f>
        <v/>
      </c>
      <c r="AC629" s="43">
        <f>IF(OR($B629="",$D629="",$I629="",$L629=""),0,IF($U629="Cancelled",0,IF($W629&lt;&gt;"",IFERROR(IF(INDEX(CASHBACK_RULES!$B$5:$B$304,MATCH($W629,CASHBACK_RULES!$A$5:$A$304,0))=$D629,MATCH($W629,CASHBACK_RULES!$A$5:$A$304,0),0),0),IFERROR(MATCH(1,INDEX((CASHBACK_RULES!$B$5:$B$304=$D629)*(CASHBACK_RULES!$G$5:$G$304=$I629)*(((CASHBACK_RULES!$N$5:$N$304="")+(CASHBACK_RULES!$N$5:$N$304&lt;=$B629))&gt;0)*(((CASHBACK_RULES!$O$5:$O$304="")+(CASHBACK_RULES!$O$5:$O$304&gt;=$B629))&gt;0)*(((CASHBACK_RULES!$M$5:$M$304="")+(CASHBACK_RULES!$M$5:$M$304&lt;=$L629))&gt;0),0),0),0))))</f>
        <v>0</v>
      </c>
      <c r="AD629" s="51" t="str">
        <f>IF(OR($B629="",$D629=""),"",IFERROR(IF(INDEX(CARDS!$H$5:$H$34,MATCH($D629,CARDS!$A$5:$A$34,0))="","",IF(DAY($B629)&lt;=INDEX(CARDS!$H$5:$H$34,MATCH($D629,CARDS!$A$5:$A$34,0)),DATE(YEAR($B629),MONTH($B629),MIN(INDEX(CARDS!$H$5:$H$34,MATCH($D629,CARDS!$A$5:$A$34,0)),DAY(EOMONTH($B629,0)))),DATE(YEAR($B629),MONTH($B629)+1,MIN(INDEX(CARDS!$H$5:$H$34,MATCH($D629,CARDS!$A$5:$A$34,0)),DAY(EOMONTH($B629,1)))))),""))</f>
        <v/>
      </c>
      <c r="AE629" s="52" t="str">
        <f>IF($C629="","",$C629&amp;"|"&amp;COUNTIF($C$5:$C629,$C629))</f>
        <v/>
      </c>
      <c r="AF629" s="53">
        <f>IF($AC629&gt;0,SUMIFS(Q$4:Q628,$D$4:$D628,$D629,$Z$4:$Z628,$Z629,$C$4:$C628,$C629),0)</f>
        <v>0</v>
      </c>
      <c r="AG629" s="53">
        <f>IF($AC629&gt;0,SUMIFS(Q$4:Q628,$D$4:$D628,$D629,$C$4:$C628,$C629),0)</f>
        <v>0</v>
      </c>
      <c r="AH629" s="53">
        <f>IF($AC629&gt;0,SUMIFS(M$4:M628,$D$4:$D628,$D629,$Z$4:$Z628,$Z629,$C$4:$C628,$C629),0)</f>
        <v>0</v>
      </c>
      <c r="AI629" s="43">
        <f>IF(OR($C629="",$I629=""),0,IF(COUNTIFS($C$5:$C629,$C629,$I$5:$I629,$I629)=1,1,0))</f>
        <v>0</v>
      </c>
      <c r="AJ629" s="43" t="str">
        <f>IF($AI629=1,SUMIFS($AI$4:$AI628,$C$4:$C628,$C629)+1,"")</f>
        <v/>
      </c>
      <c r="AK629" s="43">
        <f>IF(OR($C629="",$K629=""),0,IF(COUNTIFS($C$5:$C629,$C629,$K$5:$K629,$K629)=1,1,0))</f>
        <v>0</v>
      </c>
      <c r="AL629" s="43" t="str">
        <f>IF($AK629=1,SUMIFS($AK$4:$AK628,$C$4:$C628,$C629)+1,"")</f>
        <v/>
      </c>
      <c r="AM629" s="43">
        <f>IF(OR($C629="",$G629=""),0,IF(COUNTIFS($C$5:$C629,$C629,$G$5:$G629,$G629)=1,1,0))</f>
        <v>0</v>
      </c>
      <c r="AN629" s="43" t="str">
        <f>IF($AM629=1,SUMIFS($AM$4:$AM628,$C$4:$C628,$C629)+1,"")</f>
        <v/>
      </c>
    </row>
    <row r="630">
      <c r="A630" s="44" t="str">
        <f>IF(OR($B630="",$D630=""),"","TX"&amp;TEXT(ROW()-4,"0000"))</f>
        <v/>
      </c>
      <c r="B630" s="42" t="n"/>
      <c r="C630" s="47" t="str">
        <f>IF($B630="","",YEAR($B630)*100+MONTH($B630))</f>
        <v/>
      </c>
      <c r="D630" s="37" t="n"/>
      <c r="E630" s="45" t="str">
        <f>IF($D630="","",IFERROR(INDEX(CARDS!$B$5:$B$34,MATCH($D630,CARDS!$A$5:$A$34,0)),"⚠ Card ID?"))</f>
        <v/>
      </c>
      <c r="F630" s="45" t="str">
        <f>IF($D630="","",IFERROR(INDEX(CARDS!$C$5:$C$34,MATCH($D630,CARDS!$A$5:$A$34,0)),"⚠ Card ID?"))</f>
        <v/>
      </c>
      <c r="G630" s="37" t="n"/>
      <c r="H630" s="37" t="n"/>
      <c r="I630" s="41" t="n"/>
      <c r="J630" s="45" t="str">
        <f>IF($I630="","",IFERROR(INDEX(MCC_MASTER!$B$5:$B$504,MATCH($I630,MCC_MASTER!$A$5:$A$504,0)),"⚠ MCC chưa có"))</f>
        <v/>
      </c>
      <c r="K630" s="45" t="str">
        <f>IF($I630="","",IFERROR(IF(INDEX(MCC_MASTER!$C$5:$C$504,MATCH($I630,MCC_MASTER!$A$5:$A$504,0))="","Chưa phân loại",INDEX(MCC_MASTER!$C$5:$C$504,MATCH($I630,MCC_MASTER!$A$5:$A$504,0))),"Chưa phân loại"))</f>
        <v/>
      </c>
      <c r="L630" s="40" t="n"/>
      <c r="M630" s="48" t="str">
        <f>IF(OR($B630="",$D630=""),"",IF($AC630=0,0,IF(ISNUMBER(INDEX(CASHBACK_RULES!$L$5:$L$304,$AC630)),MAX(0,MIN($L630,INDEX(CASHBACK_RULES!$L$5:$L$304,$AC630)-$AH630)),MAX(0,$L630))))</f>
        <v/>
      </c>
      <c r="N630" s="49" t="str">
        <f>IF(OR($B630="",$D630=""),"",IF($AC630&gt;0,INDEX(CASHBACK_RULES!$I$5:$I$304,$AC630),0))</f>
        <v/>
      </c>
      <c r="O630" s="48" t="str">
        <f>IF(OR($B630="",$D630=""),"",ROUND($M630*$N630,0))</f>
        <v/>
      </c>
      <c r="P630" s="48" t="str">
        <f>IF($AC630&gt;0,IF(ISNUMBER(INDEX(CASHBACK_RULES!$J$5:$J$304,$AC630)),INDEX(CASHBACK_RULES!$J$5:$J$304,$AC630),"∞"),"")</f>
        <v/>
      </c>
      <c r="Q630" s="48" t="str">
        <f>IF(OR($B630="",$D630=""),"",IF($AC630=0,0,MAX(0,MIN($O630,IF(ISNUMBER($P630),$P630-$AF630,1E+15),IF(ISNUMBER($AA630),$AA630-$AG630,1E+15)))))</f>
        <v/>
      </c>
      <c r="R630" s="48" t="str">
        <f>IF(OR($B630="",$D630=""),"",IF($AC630=0,"",IF(AND(NOT(ISNUMBER($P630)),NOT(ISNUMBER($AA630))),"∞",MAX(0,MIN(IF(ISNUMBER($P630),$P630-$AF630-$Q630,1E+15),IF(ISNUMBER($AA630),$AA630-$AG630-$Q630,1E+15))))))</f>
        <v/>
      </c>
      <c r="S630" s="47" t="str">
        <f>IF($AD630="","",YEAR($AD630)*100+MONTH($AD630))</f>
        <v/>
      </c>
      <c r="T630" s="50" t="str">
        <f>IF($AD630="","",IFERROR(IF(INDEX(CARDS!$I$5:$I$34,MATCH($D630,CARDS!$A$5:$A$34,0))="","",IF(INDEX(CARDS!$I$5:$I$34,MATCH($D630,CARDS!$A$5:$A$34,0))&gt;INDEX(CARDS!$H$5:$H$34,MATCH($D630,CARDS!$A$5:$A$34,0)),DATE(YEAR($AD630),MONTH($AD630),MIN(INDEX(CARDS!$I$5:$I$34,MATCH($D630,CARDS!$A$5:$A$34,0)),DAY(EOMONTH($AD630,0)))),DATE(YEAR($AD630),MONTH($AD630)+1,MIN(INDEX(CARDS!$I$5:$I$34,MATCH($D630,CARDS!$A$5:$A$34,0)),DAY(EOMONTH($AD630,1)))))),""))</f>
        <v/>
      </c>
      <c r="U630" s="38" t="n"/>
      <c r="V630" s="37" t="n"/>
      <c r="W630" s="38" t="n"/>
      <c r="X630" s="38" t="n"/>
      <c r="Y630" s="44" t="str">
        <f>IF($AC630&gt;0,INDEX(CASHBACK_RULES!$A$5:$A$304,$AC630),"")</f>
        <v/>
      </c>
      <c r="Z630" s="45" t="str">
        <f>IF($AC630&gt;0,INDEX(CASHBACK_RULES!$E$5:$E$304,$AC630)&amp;"","")</f>
        <v/>
      </c>
      <c r="AA630" s="48" t="str">
        <f>IF($AC630&gt;0,IF(ISNUMBER(INDEX(CASHBACK_RULES!$K$5:$K$304,$AC630)),INDEX(CASHBACK_RULES!$K$5:$K$304,$AC630),"∞"),"")</f>
        <v/>
      </c>
      <c r="AB630" s="44" t="str">
        <f>IF(OR($B630="",$D630=""),"",IF($U630="Cancelled","Đã hủy",IF($AC630=0,"Không được hoàn",IF($Q630=0,IF(OR($O630&gt;0,$M630&lt;$L630),"Đã đạt cap","Không được hoàn"),IF(OR($Q630&lt;$O630,$M630&lt;$L630),"Hoàn một phần","Được hoàn")))))</f>
        <v/>
      </c>
      <c r="AC630" s="43">
        <f>IF(OR($B630="",$D630="",$I630="",$L630=""),0,IF($U630="Cancelled",0,IF($W630&lt;&gt;"",IFERROR(IF(INDEX(CASHBACK_RULES!$B$5:$B$304,MATCH($W630,CASHBACK_RULES!$A$5:$A$304,0))=$D630,MATCH($W630,CASHBACK_RULES!$A$5:$A$304,0),0),0),IFERROR(MATCH(1,INDEX((CASHBACK_RULES!$B$5:$B$304=$D630)*(CASHBACK_RULES!$G$5:$G$304=$I630)*(((CASHBACK_RULES!$N$5:$N$304="")+(CASHBACK_RULES!$N$5:$N$304&lt;=$B630))&gt;0)*(((CASHBACK_RULES!$O$5:$O$304="")+(CASHBACK_RULES!$O$5:$O$304&gt;=$B630))&gt;0)*(((CASHBACK_RULES!$M$5:$M$304="")+(CASHBACK_RULES!$M$5:$M$304&lt;=$L630))&gt;0),0),0),0))))</f>
        <v>0</v>
      </c>
      <c r="AD630" s="51" t="str">
        <f>IF(OR($B630="",$D630=""),"",IFERROR(IF(INDEX(CARDS!$H$5:$H$34,MATCH($D630,CARDS!$A$5:$A$34,0))="","",IF(DAY($B630)&lt;=INDEX(CARDS!$H$5:$H$34,MATCH($D630,CARDS!$A$5:$A$34,0)),DATE(YEAR($B630),MONTH($B630),MIN(INDEX(CARDS!$H$5:$H$34,MATCH($D630,CARDS!$A$5:$A$34,0)),DAY(EOMONTH($B630,0)))),DATE(YEAR($B630),MONTH($B630)+1,MIN(INDEX(CARDS!$H$5:$H$34,MATCH($D630,CARDS!$A$5:$A$34,0)),DAY(EOMONTH($B630,1)))))),""))</f>
        <v/>
      </c>
      <c r="AE630" s="52" t="str">
        <f>IF($C630="","",$C630&amp;"|"&amp;COUNTIF($C$5:$C630,$C630))</f>
        <v/>
      </c>
      <c r="AF630" s="53">
        <f>IF($AC630&gt;0,SUMIFS(Q$4:Q629,$D$4:$D629,$D630,$Z$4:$Z629,$Z630,$C$4:$C629,$C630),0)</f>
        <v>0</v>
      </c>
      <c r="AG630" s="53">
        <f>IF($AC630&gt;0,SUMIFS(Q$4:Q629,$D$4:$D629,$D630,$C$4:$C629,$C630),0)</f>
        <v>0</v>
      </c>
      <c r="AH630" s="53">
        <f>IF($AC630&gt;0,SUMIFS(M$4:M629,$D$4:$D629,$D630,$Z$4:$Z629,$Z630,$C$4:$C629,$C630),0)</f>
        <v>0</v>
      </c>
      <c r="AI630" s="43">
        <f>IF(OR($C630="",$I630=""),0,IF(COUNTIFS($C$5:$C630,$C630,$I$5:$I630,$I630)=1,1,0))</f>
        <v>0</v>
      </c>
      <c r="AJ630" s="43" t="str">
        <f>IF($AI630=1,SUMIFS($AI$4:$AI629,$C$4:$C629,$C630)+1,"")</f>
        <v/>
      </c>
      <c r="AK630" s="43">
        <f>IF(OR($C630="",$K630=""),0,IF(COUNTIFS($C$5:$C630,$C630,$K$5:$K630,$K630)=1,1,0))</f>
        <v>0</v>
      </c>
      <c r="AL630" s="43" t="str">
        <f>IF($AK630=1,SUMIFS($AK$4:$AK629,$C$4:$C629,$C630)+1,"")</f>
        <v/>
      </c>
      <c r="AM630" s="43">
        <f>IF(OR($C630="",$G630=""),0,IF(COUNTIFS($C$5:$C630,$C630,$G$5:$G630,$G630)=1,1,0))</f>
        <v>0</v>
      </c>
      <c r="AN630" s="43" t="str">
        <f>IF($AM630=1,SUMIFS($AM$4:$AM629,$C$4:$C629,$C630)+1,"")</f>
        <v/>
      </c>
    </row>
    <row r="631">
      <c r="A631" s="44" t="str">
        <f>IF(OR($B631="",$D631=""),"","TX"&amp;TEXT(ROW()-4,"0000"))</f>
        <v/>
      </c>
      <c r="B631" s="42" t="n"/>
      <c r="C631" s="47" t="str">
        <f>IF($B631="","",YEAR($B631)*100+MONTH($B631))</f>
        <v/>
      </c>
      <c r="D631" s="37" t="n"/>
      <c r="E631" s="45" t="str">
        <f>IF($D631="","",IFERROR(INDEX(CARDS!$B$5:$B$34,MATCH($D631,CARDS!$A$5:$A$34,0)),"⚠ Card ID?"))</f>
        <v/>
      </c>
      <c r="F631" s="45" t="str">
        <f>IF($D631="","",IFERROR(INDEX(CARDS!$C$5:$C$34,MATCH($D631,CARDS!$A$5:$A$34,0)),"⚠ Card ID?"))</f>
        <v/>
      </c>
      <c r="G631" s="37" t="n"/>
      <c r="H631" s="37" t="n"/>
      <c r="I631" s="41" t="n"/>
      <c r="J631" s="45" t="str">
        <f>IF($I631="","",IFERROR(INDEX(MCC_MASTER!$B$5:$B$504,MATCH($I631,MCC_MASTER!$A$5:$A$504,0)),"⚠ MCC chưa có"))</f>
        <v/>
      </c>
      <c r="K631" s="45" t="str">
        <f>IF($I631="","",IFERROR(IF(INDEX(MCC_MASTER!$C$5:$C$504,MATCH($I631,MCC_MASTER!$A$5:$A$504,0))="","Chưa phân loại",INDEX(MCC_MASTER!$C$5:$C$504,MATCH($I631,MCC_MASTER!$A$5:$A$504,0))),"Chưa phân loại"))</f>
        <v/>
      </c>
      <c r="L631" s="40" t="n"/>
      <c r="M631" s="48" t="str">
        <f>IF(OR($B631="",$D631=""),"",IF($AC631=0,0,IF(ISNUMBER(INDEX(CASHBACK_RULES!$L$5:$L$304,$AC631)),MAX(0,MIN($L631,INDEX(CASHBACK_RULES!$L$5:$L$304,$AC631)-$AH631)),MAX(0,$L631))))</f>
        <v/>
      </c>
      <c r="N631" s="49" t="str">
        <f>IF(OR($B631="",$D631=""),"",IF($AC631&gt;0,INDEX(CASHBACK_RULES!$I$5:$I$304,$AC631),0))</f>
        <v/>
      </c>
      <c r="O631" s="48" t="str">
        <f>IF(OR($B631="",$D631=""),"",ROUND($M631*$N631,0))</f>
        <v/>
      </c>
      <c r="P631" s="48" t="str">
        <f>IF($AC631&gt;0,IF(ISNUMBER(INDEX(CASHBACK_RULES!$J$5:$J$304,$AC631)),INDEX(CASHBACK_RULES!$J$5:$J$304,$AC631),"∞"),"")</f>
        <v/>
      </c>
      <c r="Q631" s="48" t="str">
        <f>IF(OR($B631="",$D631=""),"",IF($AC631=0,0,MAX(0,MIN($O631,IF(ISNUMBER($P631),$P631-$AF631,1E+15),IF(ISNUMBER($AA631),$AA631-$AG631,1E+15)))))</f>
        <v/>
      </c>
      <c r="R631" s="48" t="str">
        <f>IF(OR($B631="",$D631=""),"",IF($AC631=0,"",IF(AND(NOT(ISNUMBER($P631)),NOT(ISNUMBER($AA631))),"∞",MAX(0,MIN(IF(ISNUMBER($P631),$P631-$AF631-$Q631,1E+15),IF(ISNUMBER($AA631),$AA631-$AG631-$Q631,1E+15))))))</f>
        <v/>
      </c>
      <c r="S631" s="47" t="str">
        <f>IF($AD631="","",YEAR($AD631)*100+MONTH($AD631))</f>
        <v/>
      </c>
      <c r="T631" s="50" t="str">
        <f>IF($AD631="","",IFERROR(IF(INDEX(CARDS!$I$5:$I$34,MATCH($D631,CARDS!$A$5:$A$34,0))="","",IF(INDEX(CARDS!$I$5:$I$34,MATCH($D631,CARDS!$A$5:$A$34,0))&gt;INDEX(CARDS!$H$5:$H$34,MATCH($D631,CARDS!$A$5:$A$34,0)),DATE(YEAR($AD631),MONTH($AD631),MIN(INDEX(CARDS!$I$5:$I$34,MATCH($D631,CARDS!$A$5:$A$34,0)),DAY(EOMONTH($AD631,0)))),DATE(YEAR($AD631),MONTH($AD631)+1,MIN(INDEX(CARDS!$I$5:$I$34,MATCH($D631,CARDS!$A$5:$A$34,0)),DAY(EOMONTH($AD631,1)))))),""))</f>
        <v/>
      </c>
      <c r="U631" s="38" t="n"/>
      <c r="V631" s="37" t="n"/>
      <c r="W631" s="38" t="n"/>
      <c r="X631" s="38" t="n"/>
      <c r="Y631" s="44" t="str">
        <f>IF($AC631&gt;0,INDEX(CASHBACK_RULES!$A$5:$A$304,$AC631),"")</f>
        <v/>
      </c>
      <c r="Z631" s="45" t="str">
        <f>IF($AC631&gt;0,INDEX(CASHBACK_RULES!$E$5:$E$304,$AC631)&amp;"","")</f>
        <v/>
      </c>
      <c r="AA631" s="48" t="str">
        <f>IF($AC631&gt;0,IF(ISNUMBER(INDEX(CASHBACK_RULES!$K$5:$K$304,$AC631)),INDEX(CASHBACK_RULES!$K$5:$K$304,$AC631),"∞"),"")</f>
        <v/>
      </c>
      <c r="AB631" s="44" t="str">
        <f>IF(OR($B631="",$D631=""),"",IF($U631="Cancelled","Đã hủy",IF($AC631=0,"Không được hoàn",IF($Q631=0,IF(OR($O631&gt;0,$M631&lt;$L631),"Đã đạt cap","Không được hoàn"),IF(OR($Q631&lt;$O631,$M631&lt;$L631),"Hoàn một phần","Được hoàn")))))</f>
        <v/>
      </c>
      <c r="AC631" s="43">
        <f>IF(OR($B631="",$D631="",$I631="",$L631=""),0,IF($U631="Cancelled",0,IF($W631&lt;&gt;"",IFERROR(IF(INDEX(CASHBACK_RULES!$B$5:$B$304,MATCH($W631,CASHBACK_RULES!$A$5:$A$304,0))=$D631,MATCH($W631,CASHBACK_RULES!$A$5:$A$304,0),0),0),IFERROR(MATCH(1,INDEX((CASHBACK_RULES!$B$5:$B$304=$D631)*(CASHBACK_RULES!$G$5:$G$304=$I631)*(((CASHBACK_RULES!$N$5:$N$304="")+(CASHBACK_RULES!$N$5:$N$304&lt;=$B631))&gt;0)*(((CASHBACK_RULES!$O$5:$O$304="")+(CASHBACK_RULES!$O$5:$O$304&gt;=$B631))&gt;0)*(((CASHBACK_RULES!$M$5:$M$304="")+(CASHBACK_RULES!$M$5:$M$304&lt;=$L631))&gt;0),0),0),0))))</f>
        <v>0</v>
      </c>
      <c r="AD631" s="51" t="str">
        <f>IF(OR($B631="",$D631=""),"",IFERROR(IF(INDEX(CARDS!$H$5:$H$34,MATCH($D631,CARDS!$A$5:$A$34,0))="","",IF(DAY($B631)&lt;=INDEX(CARDS!$H$5:$H$34,MATCH($D631,CARDS!$A$5:$A$34,0)),DATE(YEAR($B631),MONTH($B631),MIN(INDEX(CARDS!$H$5:$H$34,MATCH($D631,CARDS!$A$5:$A$34,0)),DAY(EOMONTH($B631,0)))),DATE(YEAR($B631),MONTH($B631)+1,MIN(INDEX(CARDS!$H$5:$H$34,MATCH($D631,CARDS!$A$5:$A$34,0)),DAY(EOMONTH($B631,1)))))),""))</f>
        <v/>
      </c>
      <c r="AE631" s="52" t="str">
        <f>IF($C631="","",$C631&amp;"|"&amp;COUNTIF($C$5:$C631,$C631))</f>
        <v/>
      </c>
      <c r="AF631" s="53">
        <f>IF($AC631&gt;0,SUMIFS(Q$4:Q630,$D$4:$D630,$D631,$Z$4:$Z630,$Z631,$C$4:$C630,$C631),0)</f>
        <v>0</v>
      </c>
      <c r="AG631" s="53">
        <f>IF($AC631&gt;0,SUMIFS(Q$4:Q630,$D$4:$D630,$D631,$C$4:$C630,$C631),0)</f>
        <v>0</v>
      </c>
      <c r="AH631" s="53">
        <f>IF($AC631&gt;0,SUMIFS(M$4:M630,$D$4:$D630,$D631,$Z$4:$Z630,$Z631,$C$4:$C630,$C631),0)</f>
        <v>0</v>
      </c>
      <c r="AI631" s="43">
        <f>IF(OR($C631="",$I631=""),0,IF(COUNTIFS($C$5:$C631,$C631,$I$5:$I631,$I631)=1,1,0))</f>
        <v>0</v>
      </c>
      <c r="AJ631" s="43" t="str">
        <f>IF($AI631=1,SUMIFS($AI$4:$AI630,$C$4:$C630,$C631)+1,"")</f>
        <v/>
      </c>
      <c r="AK631" s="43">
        <f>IF(OR($C631="",$K631=""),0,IF(COUNTIFS($C$5:$C631,$C631,$K$5:$K631,$K631)=1,1,0))</f>
        <v>0</v>
      </c>
      <c r="AL631" s="43" t="str">
        <f>IF($AK631=1,SUMIFS($AK$4:$AK630,$C$4:$C630,$C631)+1,"")</f>
        <v/>
      </c>
      <c r="AM631" s="43">
        <f>IF(OR($C631="",$G631=""),0,IF(COUNTIFS($C$5:$C631,$C631,$G$5:$G631,$G631)=1,1,0))</f>
        <v>0</v>
      </c>
      <c r="AN631" s="43" t="str">
        <f>IF($AM631=1,SUMIFS($AM$4:$AM630,$C$4:$C630,$C631)+1,"")</f>
        <v/>
      </c>
    </row>
    <row r="632">
      <c r="A632" s="44" t="str">
        <f>IF(OR($B632="",$D632=""),"","TX"&amp;TEXT(ROW()-4,"0000"))</f>
        <v/>
      </c>
      <c r="B632" s="42" t="n"/>
      <c r="C632" s="47" t="str">
        <f>IF($B632="","",YEAR($B632)*100+MONTH($B632))</f>
        <v/>
      </c>
      <c r="D632" s="37" t="n"/>
      <c r="E632" s="45" t="str">
        <f>IF($D632="","",IFERROR(INDEX(CARDS!$B$5:$B$34,MATCH($D632,CARDS!$A$5:$A$34,0)),"⚠ Card ID?"))</f>
        <v/>
      </c>
      <c r="F632" s="45" t="str">
        <f>IF($D632="","",IFERROR(INDEX(CARDS!$C$5:$C$34,MATCH($D632,CARDS!$A$5:$A$34,0)),"⚠ Card ID?"))</f>
        <v/>
      </c>
      <c r="G632" s="37" t="n"/>
      <c r="H632" s="37" t="n"/>
      <c r="I632" s="41" t="n"/>
      <c r="J632" s="45" t="str">
        <f>IF($I632="","",IFERROR(INDEX(MCC_MASTER!$B$5:$B$504,MATCH($I632,MCC_MASTER!$A$5:$A$504,0)),"⚠ MCC chưa có"))</f>
        <v/>
      </c>
      <c r="K632" s="45" t="str">
        <f>IF($I632="","",IFERROR(IF(INDEX(MCC_MASTER!$C$5:$C$504,MATCH($I632,MCC_MASTER!$A$5:$A$504,0))="","Chưa phân loại",INDEX(MCC_MASTER!$C$5:$C$504,MATCH($I632,MCC_MASTER!$A$5:$A$504,0))),"Chưa phân loại"))</f>
        <v/>
      </c>
      <c r="L632" s="40" t="n"/>
      <c r="M632" s="48" t="str">
        <f>IF(OR($B632="",$D632=""),"",IF($AC632=0,0,IF(ISNUMBER(INDEX(CASHBACK_RULES!$L$5:$L$304,$AC632)),MAX(0,MIN($L632,INDEX(CASHBACK_RULES!$L$5:$L$304,$AC632)-$AH632)),MAX(0,$L632))))</f>
        <v/>
      </c>
      <c r="N632" s="49" t="str">
        <f>IF(OR($B632="",$D632=""),"",IF($AC632&gt;0,INDEX(CASHBACK_RULES!$I$5:$I$304,$AC632),0))</f>
        <v/>
      </c>
      <c r="O632" s="48" t="str">
        <f>IF(OR($B632="",$D632=""),"",ROUND($M632*$N632,0))</f>
        <v/>
      </c>
      <c r="P632" s="48" t="str">
        <f>IF($AC632&gt;0,IF(ISNUMBER(INDEX(CASHBACK_RULES!$J$5:$J$304,$AC632)),INDEX(CASHBACK_RULES!$J$5:$J$304,$AC632),"∞"),"")</f>
        <v/>
      </c>
      <c r="Q632" s="48" t="str">
        <f>IF(OR($B632="",$D632=""),"",IF($AC632=0,0,MAX(0,MIN($O632,IF(ISNUMBER($P632),$P632-$AF632,1E+15),IF(ISNUMBER($AA632),$AA632-$AG632,1E+15)))))</f>
        <v/>
      </c>
      <c r="R632" s="48" t="str">
        <f>IF(OR($B632="",$D632=""),"",IF($AC632=0,"",IF(AND(NOT(ISNUMBER($P632)),NOT(ISNUMBER($AA632))),"∞",MAX(0,MIN(IF(ISNUMBER($P632),$P632-$AF632-$Q632,1E+15),IF(ISNUMBER($AA632),$AA632-$AG632-$Q632,1E+15))))))</f>
        <v/>
      </c>
      <c r="S632" s="47" t="str">
        <f>IF($AD632="","",YEAR($AD632)*100+MONTH($AD632))</f>
        <v/>
      </c>
      <c r="T632" s="50" t="str">
        <f>IF($AD632="","",IFERROR(IF(INDEX(CARDS!$I$5:$I$34,MATCH($D632,CARDS!$A$5:$A$34,0))="","",IF(INDEX(CARDS!$I$5:$I$34,MATCH($D632,CARDS!$A$5:$A$34,0))&gt;INDEX(CARDS!$H$5:$H$34,MATCH($D632,CARDS!$A$5:$A$34,0)),DATE(YEAR($AD632),MONTH($AD632),MIN(INDEX(CARDS!$I$5:$I$34,MATCH($D632,CARDS!$A$5:$A$34,0)),DAY(EOMONTH($AD632,0)))),DATE(YEAR($AD632),MONTH($AD632)+1,MIN(INDEX(CARDS!$I$5:$I$34,MATCH($D632,CARDS!$A$5:$A$34,0)),DAY(EOMONTH($AD632,1)))))),""))</f>
        <v/>
      </c>
      <c r="U632" s="38" t="n"/>
      <c r="V632" s="37" t="n"/>
      <c r="W632" s="38" t="n"/>
      <c r="X632" s="38" t="n"/>
      <c r="Y632" s="44" t="str">
        <f>IF($AC632&gt;0,INDEX(CASHBACK_RULES!$A$5:$A$304,$AC632),"")</f>
        <v/>
      </c>
      <c r="Z632" s="45" t="str">
        <f>IF($AC632&gt;0,INDEX(CASHBACK_RULES!$E$5:$E$304,$AC632)&amp;"","")</f>
        <v/>
      </c>
      <c r="AA632" s="48" t="str">
        <f>IF($AC632&gt;0,IF(ISNUMBER(INDEX(CASHBACK_RULES!$K$5:$K$304,$AC632)),INDEX(CASHBACK_RULES!$K$5:$K$304,$AC632),"∞"),"")</f>
        <v/>
      </c>
      <c r="AB632" s="44" t="str">
        <f>IF(OR($B632="",$D632=""),"",IF($U632="Cancelled","Đã hủy",IF($AC632=0,"Không được hoàn",IF($Q632=0,IF(OR($O632&gt;0,$M632&lt;$L632),"Đã đạt cap","Không được hoàn"),IF(OR($Q632&lt;$O632,$M632&lt;$L632),"Hoàn một phần","Được hoàn")))))</f>
        <v/>
      </c>
      <c r="AC632" s="43">
        <f>IF(OR($B632="",$D632="",$I632="",$L632=""),0,IF($U632="Cancelled",0,IF($W632&lt;&gt;"",IFERROR(IF(INDEX(CASHBACK_RULES!$B$5:$B$304,MATCH($W632,CASHBACK_RULES!$A$5:$A$304,0))=$D632,MATCH($W632,CASHBACK_RULES!$A$5:$A$304,0),0),0),IFERROR(MATCH(1,INDEX((CASHBACK_RULES!$B$5:$B$304=$D632)*(CASHBACK_RULES!$G$5:$G$304=$I632)*(((CASHBACK_RULES!$N$5:$N$304="")+(CASHBACK_RULES!$N$5:$N$304&lt;=$B632))&gt;0)*(((CASHBACK_RULES!$O$5:$O$304="")+(CASHBACK_RULES!$O$5:$O$304&gt;=$B632))&gt;0)*(((CASHBACK_RULES!$M$5:$M$304="")+(CASHBACK_RULES!$M$5:$M$304&lt;=$L632))&gt;0),0),0),0))))</f>
        <v>0</v>
      </c>
      <c r="AD632" s="51" t="str">
        <f>IF(OR($B632="",$D632=""),"",IFERROR(IF(INDEX(CARDS!$H$5:$H$34,MATCH($D632,CARDS!$A$5:$A$34,0))="","",IF(DAY($B632)&lt;=INDEX(CARDS!$H$5:$H$34,MATCH($D632,CARDS!$A$5:$A$34,0)),DATE(YEAR($B632),MONTH($B632),MIN(INDEX(CARDS!$H$5:$H$34,MATCH($D632,CARDS!$A$5:$A$34,0)),DAY(EOMONTH($B632,0)))),DATE(YEAR($B632),MONTH($B632)+1,MIN(INDEX(CARDS!$H$5:$H$34,MATCH($D632,CARDS!$A$5:$A$34,0)),DAY(EOMONTH($B632,1)))))),""))</f>
        <v/>
      </c>
      <c r="AE632" s="52" t="str">
        <f>IF($C632="","",$C632&amp;"|"&amp;COUNTIF($C$5:$C632,$C632))</f>
        <v/>
      </c>
      <c r="AF632" s="53">
        <f>IF($AC632&gt;0,SUMIFS(Q$4:Q631,$D$4:$D631,$D632,$Z$4:$Z631,$Z632,$C$4:$C631,$C632),0)</f>
        <v>0</v>
      </c>
      <c r="AG632" s="53">
        <f>IF($AC632&gt;0,SUMIFS(Q$4:Q631,$D$4:$D631,$D632,$C$4:$C631,$C632),0)</f>
        <v>0</v>
      </c>
      <c r="AH632" s="53">
        <f>IF($AC632&gt;0,SUMIFS(M$4:M631,$D$4:$D631,$D632,$Z$4:$Z631,$Z632,$C$4:$C631,$C632),0)</f>
        <v>0</v>
      </c>
      <c r="AI632" s="43">
        <f>IF(OR($C632="",$I632=""),0,IF(COUNTIFS($C$5:$C632,$C632,$I$5:$I632,$I632)=1,1,0))</f>
        <v>0</v>
      </c>
      <c r="AJ632" s="43" t="str">
        <f>IF($AI632=1,SUMIFS($AI$4:$AI631,$C$4:$C631,$C632)+1,"")</f>
        <v/>
      </c>
      <c r="AK632" s="43">
        <f>IF(OR($C632="",$K632=""),0,IF(COUNTIFS($C$5:$C632,$C632,$K$5:$K632,$K632)=1,1,0))</f>
        <v>0</v>
      </c>
      <c r="AL632" s="43" t="str">
        <f>IF($AK632=1,SUMIFS($AK$4:$AK631,$C$4:$C631,$C632)+1,"")</f>
        <v/>
      </c>
      <c r="AM632" s="43">
        <f>IF(OR($C632="",$G632=""),0,IF(COUNTIFS($C$5:$C632,$C632,$G$5:$G632,$G632)=1,1,0))</f>
        <v>0</v>
      </c>
      <c r="AN632" s="43" t="str">
        <f>IF($AM632=1,SUMIFS($AM$4:$AM631,$C$4:$C631,$C632)+1,"")</f>
        <v/>
      </c>
    </row>
    <row r="633">
      <c r="A633" s="44" t="str">
        <f>IF(OR($B633="",$D633=""),"","TX"&amp;TEXT(ROW()-4,"0000"))</f>
        <v/>
      </c>
      <c r="B633" s="42" t="n"/>
      <c r="C633" s="47" t="str">
        <f>IF($B633="","",YEAR($B633)*100+MONTH($B633))</f>
        <v/>
      </c>
      <c r="D633" s="37" t="n"/>
      <c r="E633" s="45" t="str">
        <f>IF($D633="","",IFERROR(INDEX(CARDS!$B$5:$B$34,MATCH($D633,CARDS!$A$5:$A$34,0)),"⚠ Card ID?"))</f>
        <v/>
      </c>
      <c r="F633" s="45" t="str">
        <f>IF($D633="","",IFERROR(INDEX(CARDS!$C$5:$C$34,MATCH($D633,CARDS!$A$5:$A$34,0)),"⚠ Card ID?"))</f>
        <v/>
      </c>
      <c r="G633" s="37" t="n"/>
      <c r="H633" s="37" t="n"/>
      <c r="I633" s="41" t="n"/>
      <c r="J633" s="45" t="str">
        <f>IF($I633="","",IFERROR(INDEX(MCC_MASTER!$B$5:$B$504,MATCH($I633,MCC_MASTER!$A$5:$A$504,0)),"⚠ MCC chưa có"))</f>
        <v/>
      </c>
      <c r="K633" s="45" t="str">
        <f>IF($I633="","",IFERROR(IF(INDEX(MCC_MASTER!$C$5:$C$504,MATCH($I633,MCC_MASTER!$A$5:$A$504,0))="","Chưa phân loại",INDEX(MCC_MASTER!$C$5:$C$504,MATCH($I633,MCC_MASTER!$A$5:$A$504,0))),"Chưa phân loại"))</f>
        <v/>
      </c>
      <c r="L633" s="40" t="n"/>
      <c r="M633" s="48" t="str">
        <f>IF(OR($B633="",$D633=""),"",IF($AC633=0,0,IF(ISNUMBER(INDEX(CASHBACK_RULES!$L$5:$L$304,$AC633)),MAX(0,MIN($L633,INDEX(CASHBACK_RULES!$L$5:$L$304,$AC633)-$AH633)),MAX(0,$L633))))</f>
        <v/>
      </c>
      <c r="N633" s="49" t="str">
        <f>IF(OR($B633="",$D633=""),"",IF($AC633&gt;0,INDEX(CASHBACK_RULES!$I$5:$I$304,$AC633),0))</f>
        <v/>
      </c>
      <c r="O633" s="48" t="str">
        <f>IF(OR($B633="",$D633=""),"",ROUND($M633*$N633,0))</f>
        <v/>
      </c>
      <c r="P633" s="48" t="str">
        <f>IF($AC633&gt;0,IF(ISNUMBER(INDEX(CASHBACK_RULES!$J$5:$J$304,$AC633)),INDEX(CASHBACK_RULES!$J$5:$J$304,$AC633),"∞"),"")</f>
        <v/>
      </c>
      <c r="Q633" s="48" t="str">
        <f>IF(OR($B633="",$D633=""),"",IF($AC633=0,0,MAX(0,MIN($O633,IF(ISNUMBER($P633),$P633-$AF633,1E+15),IF(ISNUMBER($AA633),$AA633-$AG633,1E+15)))))</f>
        <v/>
      </c>
      <c r="R633" s="48" t="str">
        <f>IF(OR($B633="",$D633=""),"",IF($AC633=0,"",IF(AND(NOT(ISNUMBER($P633)),NOT(ISNUMBER($AA633))),"∞",MAX(0,MIN(IF(ISNUMBER($P633),$P633-$AF633-$Q633,1E+15),IF(ISNUMBER($AA633),$AA633-$AG633-$Q633,1E+15))))))</f>
        <v/>
      </c>
      <c r="S633" s="47" t="str">
        <f>IF($AD633="","",YEAR($AD633)*100+MONTH($AD633))</f>
        <v/>
      </c>
      <c r="T633" s="50" t="str">
        <f>IF($AD633="","",IFERROR(IF(INDEX(CARDS!$I$5:$I$34,MATCH($D633,CARDS!$A$5:$A$34,0))="","",IF(INDEX(CARDS!$I$5:$I$34,MATCH($D633,CARDS!$A$5:$A$34,0))&gt;INDEX(CARDS!$H$5:$H$34,MATCH($D633,CARDS!$A$5:$A$34,0)),DATE(YEAR($AD633),MONTH($AD633),MIN(INDEX(CARDS!$I$5:$I$34,MATCH($D633,CARDS!$A$5:$A$34,0)),DAY(EOMONTH($AD633,0)))),DATE(YEAR($AD633),MONTH($AD633)+1,MIN(INDEX(CARDS!$I$5:$I$34,MATCH($D633,CARDS!$A$5:$A$34,0)),DAY(EOMONTH($AD633,1)))))),""))</f>
        <v/>
      </c>
      <c r="U633" s="38" t="n"/>
      <c r="V633" s="37" t="n"/>
      <c r="W633" s="38" t="n"/>
      <c r="X633" s="38" t="n"/>
      <c r="Y633" s="44" t="str">
        <f>IF($AC633&gt;0,INDEX(CASHBACK_RULES!$A$5:$A$304,$AC633),"")</f>
        <v/>
      </c>
      <c r="Z633" s="45" t="str">
        <f>IF($AC633&gt;0,INDEX(CASHBACK_RULES!$E$5:$E$304,$AC633)&amp;"","")</f>
        <v/>
      </c>
      <c r="AA633" s="48" t="str">
        <f>IF($AC633&gt;0,IF(ISNUMBER(INDEX(CASHBACK_RULES!$K$5:$K$304,$AC633)),INDEX(CASHBACK_RULES!$K$5:$K$304,$AC633),"∞"),"")</f>
        <v/>
      </c>
      <c r="AB633" s="44" t="str">
        <f>IF(OR($B633="",$D633=""),"",IF($U633="Cancelled","Đã hủy",IF($AC633=0,"Không được hoàn",IF($Q633=0,IF(OR($O633&gt;0,$M633&lt;$L633),"Đã đạt cap","Không được hoàn"),IF(OR($Q633&lt;$O633,$M633&lt;$L633),"Hoàn một phần","Được hoàn")))))</f>
        <v/>
      </c>
      <c r="AC633" s="43">
        <f>IF(OR($B633="",$D633="",$I633="",$L633=""),0,IF($U633="Cancelled",0,IF($W633&lt;&gt;"",IFERROR(IF(INDEX(CASHBACK_RULES!$B$5:$B$304,MATCH($W633,CASHBACK_RULES!$A$5:$A$304,0))=$D633,MATCH($W633,CASHBACK_RULES!$A$5:$A$304,0),0),0),IFERROR(MATCH(1,INDEX((CASHBACK_RULES!$B$5:$B$304=$D633)*(CASHBACK_RULES!$G$5:$G$304=$I633)*(((CASHBACK_RULES!$N$5:$N$304="")+(CASHBACK_RULES!$N$5:$N$304&lt;=$B633))&gt;0)*(((CASHBACK_RULES!$O$5:$O$304="")+(CASHBACK_RULES!$O$5:$O$304&gt;=$B633))&gt;0)*(((CASHBACK_RULES!$M$5:$M$304="")+(CASHBACK_RULES!$M$5:$M$304&lt;=$L633))&gt;0),0),0),0))))</f>
        <v>0</v>
      </c>
      <c r="AD633" s="51" t="str">
        <f>IF(OR($B633="",$D633=""),"",IFERROR(IF(INDEX(CARDS!$H$5:$H$34,MATCH($D633,CARDS!$A$5:$A$34,0))="","",IF(DAY($B633)&lt;=INDEX(CARDS!$H$5:$H$34,MATCH($D633,CARDS!$A$5:$A$34,0)),DATE(YEAR($B633),MONTH($B633),MIN(INDEX(CARDS!$H$5:$H$34,MATCH($D633,CARDS!$A$5:$A$34,0)),DAY(EOMONTH($B633,0)))),DATE(YEAR($B633),MONTH($B633)+1,MIN(INDEX(CARDS!$H$5:$H$34,MATCH($D633,CARDS!$A$5:$A$34,0)),DAY(EOMONTH($B633,1)))))),""))</f>
        <v/>
      </c>
      <c r="AE633" s="52" t="str">
        <f>IF($C633="","",$C633&amp;"|"&amp;COUNTIF($C$5:$C633,$C633))</f>
        <v/>
      </c>
      <c r="AF633" s="53">
        <f>IF($AC633&gt;0,SUMIFS(Q$4:Q632,$D$4:$D632,$D633,$Z$4:$Z632,$Z633,$C$4:$C632,$C633),0)</f>
        <v>0</v>
      </c>
      <c r="AG633" s="53">
        <f>IF($AC633&gt;0,SUMIFS(Q$4:Q632,$D$4:$D632,$D633,$C$4:$C632,$C633),0)</f>
        <v>0</v>
      </c>
      <c r="AH633" s="53">
        <f>IF($AC633&gt;0,SUMIFS(M$4:M632,$D$4:$D632,$D633,$Z$4:$Z632,$Z633,$C$4:$C632,$C633),0)</f>
        <v>0</v>
      </c>
      <c r="AI633" s="43">
        <f>IF(OR($C633="",$I633=""),0,IF(COUNTIFS($C$5:$C633,$C633,$I$5:$I633,$I633)=1,1,0))</f>
        <v>0</v>
      </c>
      <c r="AJ633" s="43" t="str">
        <f>IF($AI633=1,SUMIFS($AI$4:$AI632,$C$4:$C632,$C633)+1,"")</f>
        <v/>
      </c>
      <c r="AK633" s="43">
        <f>IF(OR($C633="",$K633=""),0,IF(COUNTIFS($C$5:$C633,$C633,$K$5:$K633,$K633)=1,1,0))</f>
        <v>0</v>
      </c>
      <c r="AL633" s="43" t="str">
        <f>IF($AK633=1,SUMIFS($AK$4:$AK632,$C$4:$C632,$C633)+1,"")</f>
        <v/>
      </c>
      <c r="AM633" s="43">
        <f>IF(OR($C633="",$G633=""),0,IF(COUNTIFS($C$5:$C633,$C633,$G$5:$G633,$G633)=1,1,0))</f>
        <v>0</v>
      </c>
      <c r="AN633" s="43" t="str">
        <f>IF($AM633=1,SUMIFS($AM$4:$AM632,$C$4:$C632,$C633)+1,"")</f>
        <v/>
      </c>
    </row>
    <row r="634">
      <c r="A634" s="44" t="str">
        <f>IF(OR($B634="",$D634=""),"","TX"&amp;TEXT(ROW()-4,"0000"))</f>
        <v/>
      </c>
      <c r="B634" s="42" t="n"/>
      <c r="C634" s="47" t="str">
        <f>IF($B634="","",YEAR($B634)*100+MONTH($B634))</f>
        <v/>
      </c>
      <c r="D634" s="37" t="n"/>
      <c r="E634" s="45" t="str">
        <f>IF($D634="","",IFERROR(INDEX(CARDS!$B$5:$B$34,MATCH($D634,CARDS!$A$5:$A$34,0)),"⚠ Card ID?"))</f>
        <v/>
      </c>
      <c r="F634" s="45" t="str">
        <f>IF($D634="","",IFERROR(INDEX(CARDS!$C$5:$C$34,MATCH($D634,CARDS!$A$5:$A$34,0)),"⚠ Card ID?"))</f>
        <v/>
      </c>
      <c r="G634" s="37" t="n"/>
      <c r="H634" s="37" t="n"/>
      <c r="I634" s="41" t="n"/>
      <c r="J634" s="45" t="str">
        <f>IF($I634="","",IFERROR(INDEX(MCC_MASTER!$B$5:$B$504,MATCH($I634,MCC_MASTER!$A$5:$A$504,0)),"⚠ MCC chưa có"))</f>
        <v/>
      </c>
      <c r="K634" s="45" t="str">
        <f>IF($I634="","",IFERROR(IF(INDEX(MCC_MASTER!$C$5:$C$504,MATCH($I634,MCC_MASTER!$A$5:$A$504,0))="","Chưa phân loại",INDEX(MCC_MASTER!$C$5:$C$504,MATCH($I634,MCC_MASTER!$A$5:$A$504,0))),"Chưa phân loại"))</f>
        <v/>
      </c>
      <c r="L634" s="40" t="n"/>
      <c r="M634" s="48" t="str">
        <f>IF(OR($B634="",$D634=""),"",IF($AC634=0,0,IF(ISNUMBER(INDEX(CASHBACK_RULES!$L$5:$L$304,$AC634)),MAX(0,MIN($L634,INDEX(CASHBACK_RULES!$L$5:$L$304,$AC634)-$AH634)),MAX(0,$L634))))</f>
        <v/>
      </c>
      <c r="N634" s="49" t="str">
        <f>IF(OR($B634="",$D634=""),"",IF($AC634&gt;0,INDEX(CASHBACK_RULES!$I$5:$I$304,$AC634),0))</f>
        <v/>
      </c>
      <c r="O634" s="48" t="str">
        <f>IF(OR($B634="",$D634=""),"",ROUND($M634*$N634,0))</f>
        <v/>
      </c>
      <c r="P634" s="48" t="str">
        <f>IF($AC634&gt;0,IF(ISNUMBER(INDEX(CASHBACK_RULES!$J$5:$J$304,$AC634)),INDEX(CASHBACK_RULES!$J$5:$J$304,$AC634),"∞"),"")</f>
        <v/>
      </c>
      <c r="Q634" s="48" t="str">
        <f>IF(OR($B634="",$D634=""),"",IF($AC634=0,0,MAX(0,MIN($O634,IF(ISNUMBER($P634),$P634-$AF634,1E+15),IF(ISNUMBER($AA634),$AA634-$AG634,1E+15)))))</f>
        <v/>
      </c>
      <c r="R634" s="48" t="str">
        <f>IF(OR($B634="",$D634=""),"",IF($AC634=0,"",IF(AND(NOT(ISNUMBER($P634)),NOT(ISNUMBER($AA634))),"∞",MAX(0,MIN(IF(ISNUMBER($P634),$P634-$AF634-$Q634,1E+15),IF(ISNUMBER($AA634),$AA634-$AG634-$Q634,1E+15))))))</f>
        <v/>
      </c>
      <c r="S634" s="47" t="str">
        <f>IF($AD634="","",YEAR($AD634)*100+MONTH($AD634))</f>
        <v/>
      </c>
      <c r="T634" s="50" t="str">
        <f>IF($AD634="","",IFERROR(IF(INDEX(CARDS!$I$5:$I$34,MATCH($D634,CARDS!$A$5:$A$34,0))="","",IF(INDEX(CARDS!$I$5:$I$34,MATCH($D634,CARDS!$A$5:$A$34,0))&gt;INDEX(CARDS!$H$5:$H$34,MATCH($D634,CARDS!$A$5:$A$34,0)),DATE(YEAR($AD634),MONTH($AD634),MIN(INDEX(CARDS!$I$5:$I$34,MATCH($D634,CARDS!$A$5:$A$34,0)),DAY(EOMONTH($AD634,0)))),DATE(YEAR($AD634),MONTH($AD634)+1,MIN(INDEX(CARDS!$I$5:$I$34,MATCH($D634,CARDS!$A$5:$A$34,0)),DAY(EOMONTH($AD634,1)))))),""))</f>
        <v/>
      </c>
      <c r="U634" s="38" t="n"/>
      <c r="V634" s="37" t="n"/>
      <c r="W634" s="38" t="n"/>
      <c r="X634" s="38" t="n"/>
      <c r="Y634" s="44" t="str">
        <f>IF($AC634&gt;0,INDEX(CASHBACK_RULES!$A$5:$A$304,$AC634),"")</f>
        <v/>
      </c>
      <c r="Z634" s="45" t="str">
        <f>IF($AC634&gt;0,INDEX(CASHBACK_RULES!$E$5:$E$304,$AC634)&amp;"","")</f>
        <v/>
      </c>
      <c r="AA634" s="48" t="str">
        <f>IF($AC634&gt;0,IF(ISNUMBER(INDEX(CASHBACK_RULES!$K$5:$K$304,$AC634)),INDEX(CASHBACK_RULES!$K$5:$K$304,$AC634),"∞"),"")</f>
        <v/>
      </c>
      <c r="AB634" s="44" t="str">
        <f>IF(OR($B634="",$D634=""),"",IF($U634="Cancelled","Đã hủy",IF($AC634=0,"Không được hoàn",IF($Q634=0,IF(OR($O634&gt;0,$M634&lt;$L634),"Đã đạt cap","Không được hoàn"),IF(OR($Q634&lt;$O634,$M634&lt;$L634),"Hoàn một phần","Được hoàn")))))</f>
        <v/>
      </c>
      <c r="AC634" s="43">
        <f>IF(OR($B634="",$D634="",$I634="",$L634=""),0,IF($U634="Cancelled",0,IF($W634&lt;&gt;"",IFERROR(IF(INDEX(CASHBACK_RULES!$B$5:$B$304,MATCH($W634,CASHBACK_RULES!$A$5:$A$304,0))=$D634,MATCH($W634,CASHBACK_RULES!$A$5:$A$304,0),0),0),IFERROR(MATCH(1,INDEX((CASHBACK_RULES!$B$5:$B$304=$D634)*(CASHBACK_RULES!$G$5:$G$304=$I634)*(((CASHBACK_RULES!$N$5:$N$304="")+(CASHBACK_RULES!$N$5:$N$304&lt;=$B634))&gt;0)*(((CASHBACK_RULES!$O$5:$O$304="")+(CASHBACK_RULES!$O$5:$O$304&gt;=$B634))&gt;0)*(((CASHBACK_RULES!$M$5:$M$304="")+(CASHBACK_RULES!$M$5:$M$304&lt;=$L634))&gt;0),0),0),0))))</f>
        <v>0</v>
      </c>
      <c r="AD634" s="51" t="str">
        <f>IF(OR($B634="",$D634=""),"",IFERROR(IF(INDEX(CARDS!$H$5:$H$34,MATCH($D634,CARDS!$A$5:$A$34,0))="","",IF(DAY($B634)&lt;=INDEX(CARDS!$H$5:$H$34,MATCH($D634,CARDS!$A$5:$A$34,0)),DATE(YEAR($B634),MONTH($B634),MIN(INDEX(CARDS!$H$5:$H$34,MATCH($D634,CARDS!$A$5:$A$34,0)),DAY(EOMONTH($B634,0)))),DATE(YEAR($B634),MONTH($B634)+1,MIN(INDEX(CARDS!$H$5:$H$34,MATCH($D634,CARDS!$A$5:$A$34,0)),DAY(EOMONTH($B634,1)))))),""))</f>
        <v/>
      </c>
      <c r="AE634" s="52" t="str">
        <f>IF($C634="","",$C634&amp;"|"&amp;COUNTIF($C$5:$C634,$C634))</f>
        <v/>
      </c>
      <c r="AF634" s="53">
        <f>IF($AC634&gt;0,SUMIFS(Q$4:Q633,$D$4:$D633,$D634,$Z$4:$Z633,$Z634,$C$4:$C633,$C634),0)</f>
        <v>0</v>
      </c>
      <c r="AG634" s="53">
        <f>IF($AC634&gt;0,SUMIFS(Q$4:Q633,$D$4:$D633,$D634,$C$4:$C633,$C634),0)</f>
        <v>0</v>
      </c>
      <c r="AH634" s="53">
        <f>IF($AC634&gt;0,SUMIFS(M$4:M633,$D$4:$D633,$D634,$Z$4:$Z633,$Z634,$C$4:$C633,$C634),0)</f>
        <v>0</v>
      </c>
      <c r="AI634" s="43">
        <f>IF(OR($C634="",$I634=""),0,IF(COUNTIFS($C$5:$C634,$C634,$I$5:$I634,$I634)=1,1,0))</f>
        <v>0</v>
      </c>
      <c r="AJ634" s="43" t="str">
        <f>IF($AI634=1,SUMIFS($AI$4:$AI633,$C$4:$C633,$C634)+1,"")</f>
        <v/>
      </c>
      <c r="AK634" s="43">
        <f>IF(OR($C634="",$K634=""),0,IF(COUNTIFS($C$5:$C634,$C634,$K$5:$K634,$K634)=1,1,0))</f>
        <v>0</v>
      </c>
      <c r="AL634" s="43" t="str">
        <f>IF($AK634=1,SUMIFS($AK$4:$AK633,$C$4:$C633,$C634)+1,"")</f>
        <v/>
      </c>
      <c r="AM634" s="43">
        <f>IF(OR($C634="",$G634=""),0,IF(COUNTIFS($C$5:$C634,$C634,$G$5:$G634,$G634)=1,1,0))</f>
        <v>0</v>
      </c>
      <c r="AN634" s="43" t="str">
        <f>IF($AM634=1,SUMIFS($AM$4:$AM633,$C$4:$C633,$C634)+1,"")</f>
        <v/>
      </c>
    </row>
    <row r="635">
      <c r="A635" s="44" t="str">
        <f>IF(OR($B635="",$D635=""),"","TX"&amp;TEXT(ROW()-4,"0000"))</f>
        <v/>
      </c>
      <c r="B635" s="42" t="n"/>
      <c r="C635" s="47" t="str">
        <f>IF($B635="","",YEAR($B635)*100+MONTH($B635))</f>
        <v/>
      </c>
      <c r="D635" s="37" t="n"/>
      <c r="E635" s="45" t="str">
        <f>IF($D635="","",IFERROR(INDEX(CARDS!$B$5:$B$34,MATCH($D635,CARDS!$A$5:$A$34,0)),"⚠ Card ID?"))</f>
        <v/>
      </c>
      <c r="F635" s="45" t="str">
        <f>IF($D635="","",IFERROR(INDEX(CARDS!$C$5:$C$34,MATCH($D635,CARDS!$A$5:$A$34,0)),"⚠ Card ID?"))</f>
        <v/>
      </c>
      <c r="G635" s="37" t="n"/>
      <c r="H635" s="37" t="n"/>
      <c r="I635" s="41" t="n"/>
      <c r="J635" s="45" t="str">
        <f>IF($I635="","",IFERROR(INDEX(MCC_MASTER!$B$5:$B$504,MATCH($I635,MCC_MASTER!$A$5:$A$504,0)),"⚠ MCC chưa có"))</f>
        <v/>
      </c>
      <c r="K635" s="45" t="str">
        <f>IF($I635="","",IFERROR(IF(INDEX(MCC_MASTER!$C$5:$C$504,MATCH($I635,MCC_MASTER!$A$5:$A$504,0))="","Chưa phân loại",INDEX(MCC_MASTER!$C$5:$C$504,MATCH($I635,MCC_MASTER!$A$5:$A$504,0))),"Chưa phân loại"))</f>
        <v/>
      </c>
      <c r="L635" s="40" t="n"/>
      <c r="M635" s="48" t="str">
        <f>IF(OR($B635="",$D635=""),"",IF($AC635=0,0,IF(ISNUMBER(INDEX(CASHBACK_RULES!$L$5:$L$304,$AC635)),MAX(0,MIN($L635,INDEX(CASHBACK_RULES!$L$5:$L$304,$AC635)-$AH635)),MAX(0,$L635))))</f>
        <v/>
      </c>
      <c r="N635" s="49" t="str">
        <f>IF(OR($B635="",$D635=""),"",IF($AC635&gt;0,INDEX(CASHBACK_RULES!$I$5:$I$304,$AC635),0))</f>
        <v/>
      </c>
      <c r="O635" s="48" t="str">
        <f>IF(OR($B635="",$D635=""),"",ROUND($M635*$N635,0))</f>
        <v/>
      </c>
      <c r="P635" s="48" t="str">
        <f>IF($AC635&gt;0,IF(ISNUMBER(INDEX(CASHBACK_RULES!$J$5:$J$304,$AC635)),INDEX(CASHBACK_RULES!$J$5:$J$304,$AC635),"∞"),"")</f>
        <v/>
      </c>
      <c r="Q635" s="48" t="str">
        <f>IF(OR($B635="",$D635=""),"",IF($AC635=0,0,MAX(0,MIN($O635,IF(ISNUMBER($P635),$P635-$AF635,1E+15),IF(ISNUMBER($AA635),$AA635-$AG635,1E+15)))))</f>
        <v/>
      </c>
      <c r="R635" s="48" t="str">
        <f>IF(OR($B635="",$D635=""),"",IF($AC635=0,"",IF(AND(NOT(ISNUMBER($P635)),NOT(ISNUMBER($AA635))),"∞",MAX(0,MIN(IF(ISNUMBER($P635),$P635-$AF635-$Q635,1E+15),IF(ISNUMBER($AA635),$AA635-$AG635-$Q635,1E+15))))))</f>
        <v/>
      </c>
      <c r="S635" s="47" t="str">
        <f>IF($AD635="","",YEAR($AD635)*100+MONTH($AD635))</f>
        <v/>
      </c>
      <c r="T635" s="50" t="str">
        <f>IF($AD635="","",IFERROR(IF(INDEX(CARDS!$I$5:$I$34,MATCH($D635,CARDS!$A$5:$A$34,0))="","",IF(INDEX(CARDS!$I$5:$I$34,MATCH($D635,CARDS!$A$5:$A$34,0))&gt;INDEX(CARDS!$H$5:$H$34,MATCH($D635,CARDS!$A$5:$A$34,0)),DATE(YEAR($AD635),MONTH($AD635),MIN(INDEX(CARDS!$I$5:$I$34,MATCH($D635,CARDS!$A$5:$A$34,0)),DAY(EOMONTH($AD635,0)))),DATE(YEAR($AD635),MONTH($AD635)+1,MIN(INDEX(CARDS!$I$5:$I$34,MATCH($D635,CARDS!$A$5:$A$34,0)),DAY(EOMONTH($AD635,1)))))),""))</f>
        <v/>
      </c>
      <c r="U635" s="38" t="n"/>
      <c r="V635" s="37" t="n"/>
      <c r="W635" s="38" t="n"/>
      <c r="X635" s="38" t="n"/>
      <c r="Y635" s="44" t="str">
        <f>IF($AC635&gt;0,INDEX(CASHBACK_RULES!$A$5:$A$304,$AC635),"")</f>
        <v/>
      </c>
      <c r="Z635" s="45" t="str">
        <f>IF($AC635&gt;0,INDEX(CASHBACK_RULES!$E$5:$E$304,$AC635)&amp;"","")</f>
        <v/>
      </c>
      <c r="AA635" s="48" t="str">
        <f>IF($AC635&gt;0,IF(ISNUMBER(INDEX(CASHBACK_RULES!$K$5:$K$304,$AC635)),INDEX(CASHBACK_RULES!$K$5:$K$304,$AC635),"∞"),"")</f>
        <v/>
      </c>
      <c r="AB635" s="44" t="str">
        <f>IF(OR($B635="",$D635=""),"",IF($U635="Cancelled","Đã hủy",IF($AC635=0,"Không được hoàn",IF($Q635=0,IF(OR($O635&gt;0,$M635&lt;$L635),"Đã đạt cap","Không được hoàn"),IF(OR($Q635&lt;$O635,$M635&lt;$L635),"Hoàn một phần","Được hoàn")))))</f>
        <v/>
      </c>
      <c r="AC635" s="43">
        <f>IF(OR($B635="",$D635="",$I635="",$L635=""),0,IF($U635="Cancelled",0,IF($W635&lt;&gt;"",IFERROR(IF(INDEX(CASHBACK_RULES!$B$5:$B$304,MATCH($W635,CASHBACK_RULES!$A$5:$A$304,0))=$D635,MATCH($W635,CASHBACK_RULES!$A$5:$A$304,0),0),0),IFERROR(MATCH(1,INDEX((CASHBACK_RULES!$B$5:$B$304=$D635)*(CASHBACK_RULES!$G$5:$G$304=$I635)*(((CASHBACK_RULES!$N$5:$N$304="")+(CASHBACK_RULES!$N$5:$N$304&lt;=$B635))&gt;0)*(((CASHBACK_RULES!$O$5:$O$304="")+(CASHBACK_RULES!$O$5:$O$304&gt;=$B635))&gt;0)*(((CASHBACK_RULES!$M$5:$M$304="")+(CASHBACK_RULES!$M$5:$M$304&lt;=$L635))&gt;0),0),0),0))))</f>
        <v>0</v>
      </c>
      <c r="AD635" s="51" t="str">
        <f>IF(OR($B635="",$D635=""),"",IFERROR(IF(INDEX(CARDS!$H$5:$H$34,MATCH($D635,CARDS!$A$5:$A$34,0))="","",IF(DAY($B635)&lt;=INDEX(CARDS!$H$5:$H$34,MATCH($D635,CARDS!$A$5:$A$34,0)),DATE(YEAR($B635),MONTH($B635),MIN(INDEX(CARDS!$H$5:$H$34,MATCH($D635,CARDS!$A$5:$A$34,0)),DAY(EOMONTH($B635,0)))),DATE(YEAR($B635),MONTH($B635)+1,MIN(INDEX(CARDS!$H$5:$H$34,MATCH($D635,CARDS!$A$5:$A$34,0)),DAY(EOMONTH($B635,1)))))),""))</f>
        <v/>
      </c>
      <c r="AE635" s="52" t="str">
        <f>IF($C635="","",$C635&amp;"|"&amp;COUNTIF($C$5:$C635,$C635))</f>
        <v/>
      </c>
      <c r="AF635" s="53">
        <f>IF($AC635&gt;0,SUMIFS(Q$4:Q634,$D$4:$D634,$D635,$Z$4:$Z634,$Z635,$C$4:$C634,$C635),0)</f>
        <v>0</v>
      </c>
      <c r="AG635" s="53">
        <f>IF($AC635&gt;0,SUMIFS(Q$4:Q634,$D$4:$D634,$D635,$C$4:$C634,$C635),0)</f>
        <v>0</v>
      </c>
      <c r="AH635" s="53">
        <f>IF($AC635&gt;0,SUMIFS(M$4:M634,$D$4:$D634,$D635,$Z$4:$Z634,$Z635,$C$4:$C634,$C635),0)</f>
        <v>0</v>
      </c>
      <c r="AI635" s="43">
        <f>IF(OR($C635="",$I635=""),0,IF(COUNTIFS($C$5:$C635,$C635,$I$5:$I635,$I635)=1,1,0))</f>
        <v>0</v>
      </c>
      <c r="AJ635" s="43" t="str">
        <f>IF($AI635=1,SUMIFS($AI$4:$AI634,$C$4:$C634,$C635)+1,"")</f>
        <v/>
      </c>
      <c r="AK635" s="43">
        <f>IF(OR($C635="",$K635=""),0,IF(COUNTIFS($C$5:$C635,$C635,$K$5:$K635,$K635)=1,1,0))</f>
        <v>0</v>
      </c>
      <c r="AL635" s="43" t="str">
        <f>IF($AK635=1,SUMIFS($AK$4:$AK634,$C$4:$C634,$C635)+1,"")</f>
        <v/>
      </c>
      <c r="AM635" s="43">
        <f>IF(OR($C635="",$G635=""),0,IF(COUNTIFS($C$5:$C635,$C635,$G$5:$G635,$G635)=1,1,0))</f>
        <v>0</v>
      </c>
      <c r="AN635" s="43" t="str">
        <f>IF($AM635=1,SUMIFS($AM$4:$AM634,$C$4:$C634,$C635)+1,"")</f>
        <v/>
      </c>
    </row>
    <row r="636">
      <c r="A636" s="44" t="str">
        <f>IF(OR($B636="",$D636=""),"","TX"&amp;TEXT(ROW()-4,"0000"))</f>
        <v/>
      </c>
      <c r="B636" s="42" t="n"/>
      <c r="C636" s="47" t="str">
        <f>IF($B636="","",YEAR($B636)*100+MONTH($B636))</f>
        <v/>
      </c>
      <c r="D636" s="37" t="n"/>
      <c r="E636" s="45" t="str">
        <f>IF($D636="","",IFERROR(INDEX(CARDS!$B$5:$B$34,MATCH($D636,CARDS!$A$5:$A$34,0)),"⚠ Card ID?"))</f>
        <v/>
      </c>
      <c r="F636" s="45" t="str">
        <f>IF($D636="","",IFERROR(INDEX(CARDS!$C$5:$C$34,MATCH($D636,CARDS!$A$5:$A$34,0)),"⚠ Card ID?"))</f>
        <v/>
      </c>
      <c r="G636" s="37" t="n"/>
      <c r="H636" s="37" t="n"/>
      <c r="I636" s="41" t="n"/>
      <c r="J636" s="45" t="str">
        <f>IF($I636="","",IFERROR(INDEX(MCC_MASTER!$B$5:$B$504,MATCH($I636,MCC_MASTER!$A$5:$A$504,0)),"⚠ MCC chưa có"))</f>
        <v/>
      </c>
      <c r="K636" s="45" t="str">
        <f>IF($I636="","",IFERROR(IF(INDEX(MCC_MASTER!$C$5:$C$504,MATCH($I636,MCC_MASTER!$A$5:$A$504,0))="","Chưa phân loại",INDEX(MCC_MASTER!$C$5:$C$504,MATCH($I636,MCC_MASTER!$A$5:$A$504,0))),"Chưa phân loại"))</f>
        <v/>
      </c>
      <c r="L636" s="40" t="n"/>
      <c r="M636" s="48" t="str">
        <f>IF(OR($B636="",$D636=""),"",IF($AC636=0,0,IF(ISNUMBER(INDEX(CASHBACK_RULES!$L$5:$L$304,$AC636)),MAX(0,MIN($L636,INDEX(CASHBACK_RULES!$L$5:$L$304,$AC636)-$AH636)),MAX(0,$L636))))</f>
        <v/>
      </c>
      <c r="N636" s="49" t="str">
        <f>IF(OR($B636="",$D636=""),"",IF($AC636&gt;0,INDEX(CASHBACK_RULES!$I$5:$I$304,$AC636),0))</f>
        <v/>
      </c>
      <c r="O636" s="48" t="str">
        <f>IF(OR($B636="",$D636=""),"",ROUND($M636*$N636,0))</f>
        <v/>
      </c>
      <c r="P636" s="48" t="str">
        <f>IF($AC636&gt;0,IF(ISNUMBER(INDEX(CASHBACK_RULES!$J$5:$J$304,$AC636)),INDEX(CASHBACK_RULES!$J$5:$J$304,$AC636),"∞"),"")</f>
        <v/>
      </c>
      <c r="Q636" s="48" t="str">
        <f>IF(OR($B636="",$D636=""),"",IF($AC636=0,0,MAX(0,MIN($O636,IF(ISNUMBER($P636),$P636-$AF636,1E+15),IF(ISNUMBER($AA636),$AA636-$AG636,1E+15)))))</f>
        <v/>
      </c>
      <c r="R636" s="48" t="str">
        <f>IF(OR($B636="",$D636=""),"",IF($AC636=0,"",IF(AND(NOT(ISNUMBER($P636)),NOT(ISNUMBER($AA636))),"∞",MAX(0,MIN(IF(ISNUMBER($P636),$P636-$AF636-$Q636,1E+15),IF(ISNUMBER($AA636),$AA636-$AG636-$Q636,1E+15))))))</f>
        <v/>
      </c>
      <c r="S636" s="47" t="str">
        <f>IF($AD636="","",YEAR($AD636)*100+MONTH($AD636))</f>
        <v/>
      </c>
      <c r="T636" s="50" t="str">
        <f>IF($AD636="","",IFERROR(IF(INDEX(CARDS!$I$5:$I$34,MATCH($D636,CARDS!$A$5:$A$34,0))="","",IF(INDEX(CARDS!$I$5:$I$34,MATCH($D636,CARDS!$A$5:$A$34,0))&gt;INDEX(CARDS!$H$5:$H$34,MATCH($D636,CARDS!$A$5:$A$34,0)),DATE(YEAR($AD636),MONTH($AD636),MIN(INDEX(CARDS!$I$5:$I$34,MATCH($D636,CARDS!$A$5:$A$34,0)),DAY(EOMONTH($AD636,0)))),DATE(YEAR($AD636),MONTH($AD636)+1,MIN(INDEX(CARDS!$I$5:$I$34,MATCH($D636,CARDS!$A$5:$A$34,0)),DAY(EOMONTH($AD636,1)))))),""))</f>
        <v/>
      </c>
      <c r="U636" s="38" t="n"/>
      <c r="V636" s="37" t="n"/>
      <c r="W636" s="38" t="n"/>
      <c r="X636" s="38" t="n"/>
      <c r="Y636" s="44" t="str">
        <f>IF($AC636&gt;0,INDEX(CASHBACK_RULES!$A$5:$A$304,$AC636),"")</f>
        <v/>
      </c>
      <c r="Z636" s="45" t="str">
        <f>IF($AC636&gt;0,INDEX(CASHBACK_RULES!$E$5:$E$304,$AC636)&amp;"","")</f>
        <v/>
      </c>
      <c r="AA636" s="48" t="str">
        <f>IF($AC636&gt;0,IF(ISNUMBER(INDEX(CASHBACK_RULES!$K$5:$K$304,$AC636)),INDEX(CASHBACK_RULES!$K$5:$K$304,$AC636),"∞"),"")</f>
        <v/>
      </c>
      <c r="AB636" s="44" t="str">
        <f>IF(OR($B636="",$D636=""),"",IF($U636="Cancelled","Đã hủy",IF($AC636=0,"Không được hoàn",IF($Q636=0,IF(OR($O636&gt;0,$M636&lt;$L636),"Đã đạt cap","Không được hoàn"),IF(OR($Q636&lt;$O636,$M636&lt;$L636),"Hoàn một phần","Được hoàn")))))</f>
        <v/>
      </c>
      <c r="AC636" s="43">
        <f>IF(OR($B636="",$D636="",$I636="",$L636=""),0,IF($U636="Cancelled",0,IF($W636&lt;&gt;"",IFERROR(IF(INDEX(CASHBACK_RULES!$B$5:$B$304,MATCH($W636,CASHBACK_RULES!$A$5:$A$304,0))=$D636,MATCH($W636,CASHBACK_RULES!$A$5:$A$304,0),0),0),IFERROR(MATCH(1,INDEX((CASHBACK_RULES!$B$5:$B$304=$D636)*(CASHBACK_RULES!$G$5:$G$304=$I636)*(((CASHBACK_RULES!$N$5:$N$304="")+(CASHBACK_RULES!$N$5:$N$304&lt;=$B636))&gt;0)*(((CASHBACK_RULES!$O$5:$O$304="")+(CASHBACK_RULES!$O$5:$O$304&gt;=$B636))&gt;0)*(((CASHBACK_RULES!$M$5:$M$304="")+(CASHBACK_RULES!$M$5:$M$304&lt;=$L636))&gt;0),0),0),0))))</f>
        <v>0</v>
      </c>
      <c r="AD636" s="51" t="str">
        <f>IF(OR($B636="",$D636=""),"",IFERROR(IF(INDEX(CARDS!$H$5:$H$34,MATCH($D636,CARDS!$A$5:$A$34,0))="","",IF(DAY($B636)&lt;=INDEX(CARDS!$H$5:$H$34,MATCH($D636,CARDS!$A$5:$A$34,0)),DATE(YEAR($B636),MONTH($B636),MIN(INDEX(CARDS!$H$5:$H$34,MATCH($D636,CARDS!$A$5:$A$34,0)),DAY(EOMONTH($B636,0)))),DATE(YEAR($B636),MONTH($B636)+1,MIN(INDEX(CARDS!$H$5:$H$34,MATCH($D636,CARDS!$A$5:$A$34,0)),DAY(EOMONTH($B636,1)))))),""))</f>
        <v/>
      </c>
      <c r="AE636" s="52" t="str">
        <f>IF($C636="","",$C636&amp;"|"&amp;COUNTIF($C$5:$C636,$C636))</f>
        <v/>
      </c>
      <c r="AF636" s="53">
        <f>IF($AC636&gt;0,SUMIFS(Q$4:Q635,$D$4:$D635,$D636,$Z$4:$Z635,$Z636,$C$4:$C635,$C636),0)</f>
        <v>0</v>
      </c>
      <c r="AG636" s="53">
        <f>IF($AC636&gt;0,SUMIFS(Q$4:Q635,$D$4:$D635,$D636,$C$4:$C635,$C636),0)</f>
        <v>0</v>
      </c>
      <c r="AH636" s="53">
        <f>IF($AC636&gt;0,SUMIFS(M$4:M635,$D$4:$D635,$D636,$Z$4:$Z635,$Z636,$C$4:$C635,$C636),0)</f>
        <v>0</v>
      </c>
      <c r="AI636" s="43">
        <f>IF(OR($C636="",$I636=""),0,IF(COUNTIFS($C$5:$C636,$C636,$I$5:$I636,$I636)=1,1,0))</f>
        <v>0</v>
      </c>
      <c r="AJ636" s="43" t="str">
        <f>IF($AI636=1,SUMIFS($AI$4:$AI635,$C$4:$C635,$C636)+1,"")</f>
        <v/>
      </c>
      <c r="AK636" s="43">
        <f>IF(OR($C636="",$K636=""),0,IF(COUNTIFS($C$5:$C636,$C636,$K$5:$K636,$K636)=1,1,0))</f>
        <v>0</v>
      </c>
      <c r="AL636" s="43" t="str">
        <f>IF($AK636=1,SUMIFS($AK$4:$AK635,$C$4:$C635,$C636)+1,"")</f>
        <v/>
      </c>
      <c r="AM636" s="43">
        <f>IF(OR($C636="",$G636=""),0,IF(COUNTIFS($C$5:$C636,$C636,$G$5:$G636,$G636)=1,1,0))</f>
        <v>0</v>
      </c>
      <c r="AN636" s="43" t="str">
        <f>IF($AM636=1,SUMIFS($AM$4:$AM635,$C$4:$C635,$C636)+1,"")</f>
        <v/>
      </c>
    </row>
    <row r="637">
      <c r="A637" s="44" t="str">
        <f>IF(OR($B637="",$D637=""),"","TX"&amp;TEXT(ROW()-4,"0000"))</f>
        <v/>
      </c>
      <c r="B637" s="42" t="n"/>
      <c r="C637" s="47" t="str">
        <f>IF($B637="","",YEAR($B637)*100+MONTH($B637))</f>
        <v/>
      </c>
      <c r="D637" s="37" t="n"/>
      <c r="E637" s="45" t="str">
        <f>IF($D637="","",IFERROR(INDEX(CARDS!$B$5:$B$34,MATCH($D637,CARDS!$A$5:$A$34,0)),"⚠ Card ID?"))</f>
        <v/>
      </c>
      <c r="F637" s="45" t="str">
        <f>IF($D637="","",IFERROR(INDEX(CARDS!$C$5:$C$34,MATCH($D637,CARDS!$A$5:$A$34,0)),"⚠ Card ID?"))</f>
        <v/>
      </c>
      <c r="G637" s="37" t="n"/>
      <c r="H637" s="37" t="n"/>
      <c r="I637" s="41" t="n"/>
      <c r="J637" s="45" t="str">
        <f>IF($I637="","",IFERROR(INDEX(MCC_MASTER!$B$5:$B$504,MATCH($I637,MCC_MASTER!$A$5:$A$504,0)),"⚠ MCC chưa có"))</f>
        <v/>
      </c>
      <c r="K637" s="45" t="str">
        <f>IF($I637="","",IFERROR(IF(INDEX(MCC_MASTER!$C$5:$C$504,MATCH($I637,MCC_MASTER!$A$5:$A$504,0))="","Chưa phân loại",INDEX(MCC_MASTER!$C$5:$C$504,MATCH($I637,MCC_MASTER!$A$5:$A$504,0))),"Chưa phân loại"))</f>
        <v/>
      </c>
      <c r="L637" s="40" t="n"/>
      <c r="M637" s="48" t="str">
        <f>IF(OR($B637="",$D637=""),"",IF($AC637=0,0,IF(ISNUMBER(INDEX(CASHBACK_RULES!$L$5:$L$304,$AC637)),MAX(0,MIN($L637,INDEX(CASHBACK_RULES!$L$5:$L$304,$AC637)-$AH637)),MAX(0,$L637))))</f>
        <v/>
      </c>
      <c r="N637" s="49" t="str">
        <f>IF(OR($B637="",$D637=""),"",IF($AC637&gt;0,INDEX(CASHBACK_RULES!$I$5:$I$304,$AC637),0))</f>
        <v/>
      </c>
      <c r="O637" s="48" t="str">
        <f>IF(OR($B637="",$D637=""),"",ROUND($M637*$N637,0))</f>
        <v/>
      </c>
      <c r="P637" s="48" t="str">
        <f>IF($AC637&gt;0,IF(ISNUMBER(INDEX(CASHBACK_RULES!$J$5:$J$304,$AC637)),INDEX(CASHBACK_RULES!$J$5:$J$304,$AC637),"∞"),"")</f>
        <v/>
      </c>
      <c r="Q637" s="48" t="str">
        <f>IF(OR($B637="",$D637=""),"",IF($AC637=0,0,MAX(0,MIN($O637,IF(ISNUMBER($P637),$P637-$AF637,1E+15),IF(ISNUMBER($AA637),$AA637-$AG637,1E+15)))))</f>
        <v/>
      </c>
      <c r="R637" s="48" t="str">
        <f>IF(OR($B637="",$D637=""),"",IF($AC637=0,"",IF(AND(NOT(ISNUMBER($P637)),NOT(ISNUMBER($AA637))),"∞",MAX(0,MIN(IF(ISNUMBER($P637),$P637-$AF637-$Q637,1E+15),IF(ISNUMBER($AA637),$AA637-$AG637-$Q637,1E+15))))))</f>
        <v/>
      </c>
      <c r="S637" s="47" t="str">
        <f>IF($AD637="","",YEAR($AD637)*100+MONTH($AD637))</f>
        <v/>
      </c>
      <c r="T637" s="50" t="str">
        <f>IF($AD637="","",IFERROR(IF(INDEX(CARDS!$I$5:$I$34,MATCH($D637,CARDS!$A$5:$A$34,0))="","",IF(INDEX(CARDS!$I$5:$I$34,MATCH($D637,CARDS!$A$5:$A$34,0))&gt;INDEX(CARDS!$H$5:$H$34,MATCH($D637,CARDS!$A$5:$A$34,0)),DATE(YEAR($AD637),MONTH($AD637),MIN(INDEX(CARDS!$I$5:$I$34,MATCH($D637,CARDS!$A$5:$A$34,0)),DAY(EOMONTH($AD637,0)))),DATE(YEAR($AD637),MONTH($AD637)+1,MIN(INDEX(CARDS!$I$5:$I$34,MATCH($D637,CARDS!$A$5:$A$34,0)),DAY(EOMONTH($AD637,1)))))),""))</f>
        <v/>
      </c>
      <c r="U637" s="38" t="n"/>
      <c r="V637" s="37" t="n"/>
      <c r="W637" s="38" t="n"/>
      <c r="X637" s="38" t="n"/>
      <c r="Y637" s="44" t="str">
        <f>IF($AC637&gt;0,INDEX(CASHBACK_RULES!$A$5:$A$304,$AC637),"")</f>
        <v/>
      </c>
      <c r="Z637" s="45" t="str">
        <f>IF($AC637&gt;0,INDEX(CASHBACK_RULES!$E$5:$E$304,$AC637)&amp;"","")</f>
        <v/>
      </c>
      <c r="AA637" s="48" t="str">
        <f>IF($AC637&gt;0,IF(ISNUMBER(INDEX(CASHBACK_RULES!$K$5:$K$304,$AC637)),INDEX(CASHBACK_RULES!$K$5:$K$304,$AC637),"∞"),"")</f>
        <v/>
      </c>
      <c r="AB637" s="44" t="str">
        <f>IF(OR($B637="",$D637=""),"",IF($U637="Cancelled","Đã hủy",IF($AC637=0,"Không được hoàn",IF($Q637=0,IF(OR($O637&gt;0,$M637&lt;$L637),"Đã đạt cap","Không được hoàn"),IF(OR($Q637&lt;$O637,$M637&lt;$L637),"Hoàn một phần","Được hoàn")))))</f>
        <v/>
      </c>
      <c r="AC637" s="43">
        <f>IF(OR($B637="",$D637="",$I637="",$L637=""),0,IF($U637="Cancelled",0,IF($W637&lt;&gt;"",IFERROR(IF(INDEX(CASHBACK_RULES!$B$5:$B$304,MATCH($W637,CASHBACK_RULES!$A$5:$A$304,0))=$D637,MATCH($W637,CASHBACK_RULES!$A$5:$A$304,0),0),0),IFERROR(MATCH(1,INDEX((CASHBACK_RULES!$B$5:$B$304=$D637)*(CASHBACK_RULES!$G$5:$G$304=$I637)*(((CASHBACK_RULES!$N$5:$N$304="")+(CASHBACK_RULES!$N$5:$N$304&lt;=$B637))&gt;0)*(((CASHBACK_RULES!$O$5:$O$304="")+(CASHBACK_RULES!$O$5:$O$304&gt;=$B637))&gt;0)*(((CASHBACK_RULES!$M$5:$M$304="")+(CASHBACK_RULES!$M$5:$M$304&lt;=$L637))&gt;0),0),0),0))))</f>
        <v>0</v>
      </c>
      <c r="AD637" s="51" t="str">
        <f>IF(OR($B637="",$D637=""),"",IFERROR(IF(INDEX(CARDS!$H$5:$H$34,MATCH($D637,CARDS!$A$5:$A$34,0))="","",IF(DAY($B637)&lt;=INDEX(CARDS!$H$5:$H$34,MATCH($D637,CARDS!$A$5:$A$34,0)),DATE(YEAR($B637),MONTH($B637),MIN(INDEX(CARDS!$H$5:$H$34,MATCH($D637,CARDS!$A$5:$A$34,0)),DAY(EOMONTH($B637,0)))),DATE(YEAR($B637),MONTH($B637)+1,MIN(INDEX(CARDS!$H$5:$H$34,MATCH($D637,CARDS!$A$5:$A$34,0)),DAY(EOMONTH($B637,1)))))),""))</f>
        <v/>
      </c>
      <c r="AE637" s="52" t="str">
        <f>IF($C637="","",$C637&amp;"|"&amp;COUNTIF($C$5:$C637,$C637))</f>
        <v/>
      </c>
      <c r="AF637" s="53">
        <f>IF($AC637&gt;0,SUMIFS(Q$4:Q636,$D$4:$D636,$D637,$Z$4:$Z636,$Z637,$C$4:$C636,$C637),0)</f>
        <v>0</v>
      </c>
      <c r="AG637" s="53">
        <f>IF($AC637&gt;0,SUMIFS(Q$4:Q636,$D$4:$D636,$D637,$C$4:$C636,$C637),0)</f>
        <v>0</v>
      </c>
      <c r="AH637" s="53">
        <f>IF($AC637&gt;0,SUMIFS(M$4:M636,$D$4:$D636,$D637,$Z$4:$Z636,$Z637,$C$4:$C636,$C637),0)</f>
        <v>0</v>
      </c>
      <c r="AI637" s="43">
        <f>IF(OR($C637="",$I637=""),0,IF(COUNTIFS($C$5:$C637,$C637,$I$5:$I637,$I637)=1,1,0))</f>
        <v>0</v>
      </c>
      <c r="AJ637" s="43" t="str">
        <f>IF($AI637=1,SUMIFS($AI$4:$AI636,$C$4:$C636,$C637)+1,"")</f>
        <v/>
      </c>
      <c r="AK637" s="43">
        <f>IF(OR($C637="",$K637=""),0,IF(COUNTIFS($C$5:$C637,$C637,$K$5:$K637,$K637)=1,1,0))</f>
        <v>0</v>
      </c>
      <c r="AL637" s="43" t="str">
        <f>IF($AK637=1,SUMIFS($AK$4:$AK636,$C$4:$C636,$C637)+1,"")</f>
        <v/>
      </c>
      <c r="AM637" s="43">
        <f>IF(OR($C637="",$G637=""),0,IF(COUNTIFS($C$5:$C637,$C637,$G$5:$G637,$G637)=1,1,0))</f>
        <v>0</v>
      </c>
      <c r="AN637" s="43" t="str">
        <f>IF($AM637=1,SUMIFS($AM$4:$AM636,$C$4:$C636,$C637)+1,"")</f>
        <v/>
      </c>
    </row>
    <row r="638">
      <c r="A638" s="44" t="str">
        <f>IF(OR($B638="",$D638=""),"","TX"&amp;TEXT(ROW()-4,"0000"))</f>
        <v/>
      </c>
      <c r="B638" s="42" t="n"/>
      <c r="C638" s="47" t="str">
        <f>IF($B638="","",YEAR($B638)*100+MONTH($B638))</f>
        <v/>
      </c>
      <c r="D638" s="37" t="n"/>
      <c r="E638" s="45" t="str">
        <f>IF($D638="","",IFERROR(INDEX(CARDS!$B$5:$B$34,MATCH($D638,CARDS!$A$5:$A$34,0)),"⚠ Card ID?"))</f>
        <v/>
      </c>
      <c r="F638" s="45" t="str">
        <f>IF($D638="","",IFERROR(INDEX(CARDS!$C$5:$C$34,MATCH($D638,CARDS!$A$5:$A$34,0)),"⚠ Card ID?"))</f>
        <v/>
      </c>
      <c r="G638" s="37" t="n"/>
      <c r="H638" s="37" t="n"/>
      <c r="I638" s="41" t="n"/>
      <c r="J638" s="45" t="str">
        <f>IF($I638="","",IFERROR(INDEX(MCC_MASTER!$B$5:$B$504,MATCH($I638,MCC_MASTER!$A$5:$A$504,0)),"⚠ MCC chưa có"))</f>
        <v/>
      </c>
      <c r="K638" s="45" t="str">
        <f>IF($I638="","",IFERROR(IF(INDEX(MCC_MASTER!$C$5:$C$504,MATCH($I638,MCC_MASTER!$A$5:$A$504,0))="","Chưa phân loại",INDEX(MCC_MASTER!$C$5:$C$504,MATCH($I638,MCC_MASTER!$A$5:$A$504,0))),"Chưa phân loại"))</f>
        <v/>
      </c>
      <c r="L638" s="40" t="n"/>
      <c r="M638" s="48" t="str">
        <f>IF(OR($B638="",$D638=""),"",IF($AC638=0,0,IF(ISNUMBER(INDEX(CASHBACK_RULES!$L$5:$L$304,$AC638)),MAX(0,MIN($L638,INDEX(CASHBACK_RULES!$L$5:$L$304,$AC638)-$AH638)),MAX(0,$L638))))</f>
        <v/>
      </c>
      <c r="N638" s="49" t="str">
        <f>IF(OR($B638="",$D638=""),"",IF($AC638&gt;0,INDEX(CASHBACK_RULES!$I$5:$I$304,$AC638),0))</f>
        <v/>
      </c>
      <c r="O638" s="48" t="str">
        <f>IF(OR($B638="",$D638=""),"",ROUND($M638*$N638,0))</f>
        <v/>
      </c>
      <c r="P638" s="48" t="str">
        <f>IF($AC638&gt;0,IF(ISNUMBER(INDEX(CASHBACK_RULES!$J$5:$J$304,$AC638)),INDEX(CASHBACK_RULES!$J$5:$J$304,$AC638),"∞"),"")</f>
        <v/>
      </c>
      <c r="Q638" s="48" t="str">
        <f>IF(OR($B638="",$D638=""),"",IF($AC638=0,0,MAX(0,MIN($O638,IF(ISNUMBER($P638),$P638-$AF638,1E+15),IF(ISNUMBER($AA638),$AA638-$AG638,1E+15)))))</f>
        <v/>
      </c>
      <c r="R638" s="48" t="str">
        <f>IF(OR($B638="",$D638=""),"",IF($AC638=0,"",IF(AND(NOT(ISNUMBER($P638)),NOT(ISNUMBER($AA638))),"∞",MAX(0,MIN(IF(ISNUMBER($P638),$P638-$AF638-$Q638,1E+15),IF(ISNUMBER($AA638),$AA638-$AG638-$Q638,1E+15))))))</f>
        <v/>
      </c>
      <c r="S638" s="47" t="str">
        <f>IF($AD638="","",YEAR($AD638)*100+MONTH($AD638))</f>
        <v/>
      </c>
      <c r="T638" s="50" t="str">
        <f>IF($AD638="","",IFERROR(IF(INDEX(CARDS!$I$5:$I$34,MATCH($D638,CARDS!$A$5:$A$34,0))="","",IF(INDEX(CARDS!$I$5:$I$34,MATCH($D638,CARDS!$A$5:$A$34,0))&gt;INDEX(CARDS!$H$5:$H$34,MATCH($D638,CARDS!$A$5:$A$34,0)),DATE(YEAR($AD638),MONTH($AD638),MIN(INDEX(CARDS!$I$5:$I$34,MATCH($D638,CARDS!$A$5:$A$34,0)),DAY(EOMONTH($AD638,0)))),DATE(YEAR($AD638),MONTH($AD638)+1,MIN(INDEX(CARDS!$I$5:$I$34,MATCH($D638,CARDS!$A$5:$A$34,0)),DAY(EOMONTH($AD638,1)))))),""))</f>
        <v/>
      </c>
      <c r="U638" s="38" t="n"/>
      <c r="V638" s="37" t="n"/>
      <c r="W638" s="38" t="n"/>
      <c r="X638" s="38" t="n"/>
      <c r="Y638" s="44" t="str">
        <f>IF($AC638&gt;0,INDEX(CASHBACK_RULES!$A$5:$A$304,$AC638),"")</f>
        <v/>
      </c>
      <c r="Z638" s="45" t="str">
        <f>IF($AC638&gt;0,INDEX(CASHBACK_RULES!$E$5:$E$304,$AC638)&amp;"","")</f>
        <v/>
      </c>
      <c r="AA638" s="48" t="str">
        <f>IF($AC638&gt;0,IF(ISNUMBER(INDEX(CASHBACK_RULES!$K$5:$K$304,$AC638)),INDEX(CASHBACK_RULES!$K$5:$K$304,$AC638),"∞"),"")</f>
        <v/>
      </c>
      <c r="AB638" s="44" t="str">
        <f>IF(OR($B638="",$D638=""),"",IF($U638="Cancelled","Đã hủy",IF($AC638=0,"Không được hoàn",IF($Q638=0,IF(OR($O638&gt;0,$M638&lt;$L638),"Đã đạt cap","Không được hoàn"),IF(OR($Q638&lt;$O638,$M638&lt;$L638),"Hoàn một phần","Được hoàn")))))</f>
        <v/>
      </c>
      <c r="AC638" s="43">
        <f>IF(OR($B638="",$D638="",$I638="",$L638=""),0,IF($U638="Cancelled",0,IF($W638&lt;&gt;"",IFERROR(IF(INDEX(CASHBACK_RULES!$B$5:$B$304,MATCH($W638,CASHBACK_RULES!$A$5:$A$304,0))=$D638,MATCH($W638,CASHBACK_RULES!$A$5:$A$304,0),0),0),IFERROR(MATCH(1,INDEX((CASHBACK_RULES!$B$5:$B$304=$D638)*(CASHBACK_RULES!$G$5:$G$304=$I638)*(((CASHBACK_RULES!$N$5:$N$304="")+(CASHBACK_RULES!$N$5:$N$304&lt;=$B638))&gt;0)*(((CASHBACK_RULES!$O$5:$O$304="")+(CASHBACK_RULES!$O$5:$O$304&gt;=$B638))&gt;0)*(((CASHBACK_RULES!$M$5:$M$304="")+(CASHBACK_RULES!$M$5:$M$304&lt;=$L638))&gt;0),0),0),0))))</f>
        <v>0</v>
      </c>
      <c r="AD638" s="51" t="str">
        <f>IF(OR($B638="",$D638=""),"",IFERROR(IF(INDEX(CARDS!$H$5:$H$34,MATCH($D638,CARDS!$A$5:$A$34,0))="","",IF(DAY($B638)&lt;=INDEX(CARDS!$H$5:$H$34,MATCH($D638,CARDS!$A$5:$A$34,0)),DATE(YEAR($B638),MONTH($B638),MIN(INDEX(CARDS!$H$5:$H$34,MATCH($D638,CARDS!$A$5:$A$34,0)),DAY(EOMONTH($B638,0)))),DATE(YEAR($B638),MONTH($B638)+1,MIN(INDEX(CARDS!$H$5:$H$34,MATCH($D638,CARDS!$A$5:$A$34,0)),DAY(EOMONTH($B638,1)))))),""))</f>
        <v/>
      </c>
      <c r="AE638" s="52" t="str">
        <f>IF($C638="","",$C638&amp;"|"&amp;COUNTIF($C$5:$C638,$C638))</f>
        <v/>
      </c>
      <c r="AF638" s="53">
        <f>IF($AC638&gt;0,SUMIFS(Q$4:Q637,$D$4:$D637,$D638,$Z$4:$Z637,$Z638,$C$4:$C637,$C638),0)</f>
        <v>0</v>
      </c>
      <c r="AG638" s="53">
        <f>IF($AC638&gt;0,SUMIFS(Q$4:Q637,$D$4:$D637,$D638,$C$4:$C637,$C638),0)</f>
        <v>0</v>
      </c>
      <c r="AH638" s="53">
        <f>IF($AC638&gt;0,SUMIFS(M$4:M637,$D$4:$D637,$D638,$Z$4:$Z637,$Z638,$C$4:$C637,$C638),0)</f>
        <v>0</v>
      </c>
      <c r="AI638" s="43">
        <f>IF(OR($C638="",$I638=""),0,IF(COUNTIFS($C$5:$C638,$C638,$I$5:$I638,$I638)=1,1,0))</f>
        <v>0</v>
      </c>
      <c r="AJ638" s="43" t="str">
        <f>IF($AI638=1,SUMIFS($AI$4:$AI637,$C$4:$C637,$C638)+1,"")</f>
        <v/>
      </c>
      <c r="AK638" s="43">
        <f>IF(OR($C638="",$K638=""),0,IF(COUNTIFS($C$5:$C638,$C638,$K$5:$K638,$K638)=1,1,0))</f>
        <v>0</v>
      </c>
      <c r="AL638" s="43" t="str">
        <f>IF($AK638=1,SUMIFS($AK$4:$AK637,$C$4:$C637,$C638)+1,"")</f>
        <v/>
      </c>
      <c r="AM638" s="43">
        <f>IF(OR($C638="",$G638=""),0,IF(COUNTIFS($C$5:$C638,$C638,$G$5:$G638,$G638)=1,1,0))</f>
        <v>0</v>
      </c>
      <c r="AN638" s="43" t="str">
        <f>IF($AM638=1,SUMIFS($AM$4:$AM637,$C$4:$C637,$C638)+1,"")</f>
        <v/>
      </c>
    </row>
    <row r="639">
      <c r="A639" s="44" t="str">
        <f>IF(OR($B639="",$D639=""),"","TX"&amp;TEXT(ROW()-4,"0000"))</f>
        <v/>
      </c>
      <c r="B639" s="42" t="n"/>
      <c r="C639" s="47" t="str">
        <f>IF($B639="","",YEAR($B639)*100+MONTH($B639))</f>
        <v/>
      </c>
      <c r="D639" s="37" t="n"/>
      <c r="E639" s="45" t="str">
        <f>IF($D639="","",IFERROR(INDEX(CARDS!$B$5:$B$34,MATCH($D639,CARDS!$A$5:$A$34,0)),"⚠ Card ID?"))</f>
        <v/>
      </c>
      <c r="F639" s="45" t="str">
        <f>IF($D639="","",IFERROR(INDEX(CARDS!$C$5:$C$34,MATCH($D639,CARDS!$A$5:$A$34,0)),"⚠ Card ID?"))</f>
        <v/>
      </c>
      <c r="G639" s="37" t="n"/>
      <c r="H639" s="37" t="n"/>
      <c r="I639" s="41" t="n"/>
      <c r="J639" s="45" t="str">
        <f>IF($I639="","",IFERROR(INDEX(MCC_MASTER!$B$5:$B$504,MATCH($I639,MCC_MASTER!$A$5:$A$504,0)),"⚠ MCC chưa có"))</f>
        <v/>
      </c>
      <c r="K639" s="45" t="str">
        <f>IF($I639="","",IFERROR(IF(INDEX(MCC_MASTER!$C$5:$C$504,MATCH($I639,MCC_MASTER!$A$5:$A$504,0))="","Chưa phân loại",INDEX(MCC_MASTER!$C$5:$C$504,MATCH($I639,MCC_MASTER!$A$5:$A$504,0))),"Chưa phân loại"))</f>
        <v/>
      </c>
      <c r="L639" s="40" t="n"/>
      <c r="M639" s="48" t="str">
        <f>IF(OR($B639="",$D639=""),"",IF($AC639=0,0,IF(ISNUMBER(INDEX(CASHBACK_RULES!$L$5:$L$304,$AC639)),MAX(0,MIN($L639,INDEX(CASHBACK_RULES!$L$5:$L$304,$AC639)-$AH639)),MAX(0,$L639))))</f>
        <v/>
      </c>
      <c r="N639" s="49" t="str">
        <f>IF(OR($B639="",$D639=""),"",IF($AC639&gt;0,INDEX(CASHBACK_RULES!$I$5:$I$304,$AC639),0))</f>
        <v/>
      </c>
      <c r="O639" s="48" t="str">
        <f>IF(OR($B639="",$D639=""),"",ROUND($M639*$N639,0))</f>
        <v/>
      </c>
      <c r="P639" s="48" t="str">
        <f>IF($AC639&gt;0,IF(ISNUMBER(INDEX(CASHBACK_RULES!$J$5:$J$304,$AC639)),INDEX(CASHBACK_RULES!$J$5:$J$304,$AC639),"∞"),"")</f>
        <v/>
      </c>
      <c r="Q639" s="48" t="str">
        <f>IF(OR($B639="",$D639=""),"",IF($AC639=0,0,MAX(0,MIN($O639,IF(ISNUMBER($P639),$P639-$AF639,1E+15),IF(ISNUMBER($AA639),$AA639-$AG639,1E+15)))))</f>
        <v/>
      </c>
      <c r="R639" s="48" t="str">
        <f>IF(OR($B639="",$D639=""),"",IF($AC639=0,"",IF(AND(NOT(ISNUMBER($P639)),NOT(ISNUMBER($AA639))),"∞",MAX(0,MIN(IF(ISNUMBER($P639),$P639-$AF639-$Q639,1E+15),IF(ISNUMBER($AA639),$AA639-$AG639-$Q639,1E+15))))))</f>
        <v/>
      </c>
      <c r="S639" s="47" t="str">
        <f>IF($AD639="","",YEAR($AD639)*100+MONTH($AD639))</f>
        <v/>
      </c>
      <c r="T639" s="50" t="str">
        <f>IF($AD639="","",IFERROR(IF(INDEX(CARDS!$I$5:$I$34,MATCH($D639,CARDS!$A$5:$A$34,0))="","",IF(INDEX(CARDS!$I$5:$I$34,MATCH($D639,CARDS!$A$5:$A$34,0))&gt;INDEX(CARDS!$H$5:$H$34,MATCH($D639,CARDS!$A$5:$A$34,0)),DATE(YEAR($AD639),MONTH($AD639),MIN(INDEX(CARDS!$I$5:$I$34,MATCH($D639,CARDS!$A$5:$A$34,0)),DAY(EOMONTH($AD639,0)))),DATE(YEAR($AD639),MONTH($AD639)+1,MIN(INDEX(CARDS!$I$5:$I$34,MATCH($D639,CARDS!$A$5:$A$34,0)),DAY(EOMONTH($AD639,1)))))),""))</f>
        <v/>
      </c>
      <c r="U639" s="38" t="n"/>
      <c r="V639" s="37" t="n"/>
      <c r="W639" s="38" t="n"/>
      <c r="X639" s="38" t="n"/>
      <c r="Y639" s="44" t="str">
        <f>IF($AC639&gt;0,INDEX(CASHBACK_RULES!$A$5:$A$304,$AC639),"")</f>
        <v/>
      </c>
      <c r="Z639" s="45" t="str">
        <f>IF($AC639&gt;0,INDEX(CASHBACK_RULES!$E$5:$E$304,$AC639)&amp;"","")</f>
        <v/>
      </c>
      <c r="AA639" s="48" t="str">
        <f>IF($AC639&gt;0,IF(ISNUMBER(INDEX(CASHBACK_RULES!$K$5:$K$304,$AC639)),INDEX(CASHBACK_RULES!$K$5:$K$304,$AC639),"∞"),"")</f>
        <v/>
      </c>
      <c r="AB639" s="44" t="str">
        <f>IF(OR($B639="",$D639=""),"",IF($U639="Cancelled","Đã hủy",IF($AC639=0,"Không được hoàn",IF($Q639=0,IF(OR($O639&gt;0,$M639&lt;$L639),"Đã đạt cap","Không được hoàn"),IF(OR($Q639&lt;$O639,$M639&lt;$L639),"Hoàn một phần","Được hoàn")))))</f>
        <v/>
      </c>
      <c r="AC639" s="43">
        <f>IF(OR($B639="",$D639="",$I639="",$L639=""),0,IF($U639="Cancelled",0,IF($W639&lt;&gt;"",IFERROR(IF(INDEX(CASHBACK_RULES!$B$5:$B$304,MATCH($W639,CASHBACK_RULES!$A$5:$A$304,0))=$D639,MATCH($W639,CASHBACK_RULES!$A$5:$A$304,0),0),0),IFERROR(MATCH(1,INDEX((CASHBACK_RULES!$B$5:$B$304=$D639)*(CASHBACK_RULES!$G$5:$G$304=$I639)*(((CASHBACK_RULES!$N$5:$N$304="")+(CASHBACK_RULES!$N$5:$N$304&lt;=$B639))&gt;0)*(((CASHBACK_RULES!$O$5:$O$304="")+(CASHBACK_RULES!$O$5:$O$304&gt;=$B639))&gt;0)*(((CASHBACK_RULES!$M$5:$M$304="")+(CASHBACK_RULES!$M$5:$M$304&lt;=$L639))&gt;0),0),0),0))))</f>
        <v>0</v>
      </c>
      <c r="AD639" s="51" t="str">
        <f>IF(OR($B639="",$D639=""),"",IFERROR(IF(INDEX(CARDS!$H$5:$H$34,MATCH($D639,CARDS!$A$5:$A$34,0))="","",IF(DAY($B639)&lt;=INDEX(CARDS!$H$5:$H$34,MATCH($D639,CARDS!$A$5:$A$34,0)),DATE(YEAR($B639),MONTH($B639),MIN(INDEX(CARDS!$H$5:$H$34,MATCH($D639,CARDS!$A$5:$A$34,0)),DAY(EOMONTH($B639,0)))),DATE(YEAR($B639),MONTH($B639)+1,MIN(INDEX(CARDS!$H$5:$H$34,MATCH($D639,CARDS!$A$5:$A$34,0)),DAY(EOMONTH($B639,1)))))),""))</f>
        <v/>
      </c>
      <c r="AE639" s="52" t="str">
        <f>IF($C639="","",$C639&amp;"|"&amp;COUNTIF($C$5:$C639,$C639))</f>
        <v/>
      </c>
      <c r="AF639" s="53">
        <f>IF($AC639&gt;0,SUMIFS(Q$4:Q638,$D$4:$D638,$D639,$Z$4:$Z638,$Z639,$C$4:$C638,$C639),0)</f>
        <v>0</v>
      </c>
      <c r="AG639" s="53">
        <f>IF($AC639&gt;0,SUMIFS(Q$4:Q638,$D$4:$D638,$D639,$C$4:$C638,$C639),0)</f>
        <v>0</v>
      </c>
      <c r="AH639" s="53">
        <f>IF($AC639&gt;0,SUMIFS(M$4:M638,$D$4:$D638,$D639,$Z$4:$Z638,$Z639,$C$4:$C638,$C639),0)</f>
        <v>0</v>
      </c>
      <c r="AI639" s="43">
        <f>IF(OR($C639="",$I639=""),0,IF(COUNTIFS($C$5:$C639,$C639,$I$5:$I639,$I639)=1,1,0))</f>
        <v>0</v>
      </c>
      <c r="AJ639" s="43" t="str">
        <f>IF($AI639=1,SUMIFS($AI$4:$AI638,$C$4:$C638,$C639)+1,"")</f>
        <v/>
      </c>
      <c r="AK639" s="43">
        <f>IF(OR($C639="",$K639=""),0,IF(COUNTIFS($C$5:$C639,$C639,$K$5:$K639,$K639)=1,1,0))</f>
        <v>0</v>
      </c>
      <c r="AL639" s="43" t="str">
        <f>IF($AK639=1,SUMIFS($AK$4:$AK638,$C$4:$C638,$C639)+1,"")</f>
        <v/>
      </c>
      <c r="AM639" s="43">
        <f>IF(OR($C639="",$G639=""),0,IF(COUNTIFS($C$5:$C639,$C639,$G$5:$G639,$G639)=1,1,0))</f>
        <v>0</v>
      </c>
      <c r="AN639" s="43" t="str">
        <f>IF($AM639=1,SUMIFS($AM$4:$AM638,$C$4:$C638,$C639)+1,"")</f>
        <v/>
      </c>
    </row>
    <row r="640">
      <c r="A640" s="44" t="str">
        <f>IF(OR($B640="",$D640=""),"","TX"&amp;TEXT(ROW()-4,"0000"))</f>
        <v/>
      </c>
      <c r="B640" s="42" t="n"/>
      <c r="C640" s="47" t="str">
        <f>IF($B640="","",YEAR($B640)*100+MONTH($B640))</f>
        <v/>
      </c>
      <c r="D640" s="37" t="n"/>
      <c r="E640" s="45" t="str">
        <f>IF($D640="","",IFERROR(INDEX(CARDS!$B$5:$B$34,MATCH($D640,CARDS!$A$5:$A$34,0)),"⚠ Card ID?"))</f>
        <v/>
      </c>
      <c r="F640" s="45" t="str">
        <f>IF($D640="","",IFERROR(INDEX(CARDS!$C$5:$C$34,MATCH($D640,CARDS!$A$5:$A$34,0)),"⚠ Card ID?"))</f>
        <v/>
      </c>
      <c r="G640" s="37" t="n"/>
      <c r="H640" s="37" t="n"/>
      <c r="I640" s="41" t="n"/>
      <c r="J640" s="45" t="str">
        <f>IF($I640="","",IFERROR(INDEX(MCC_MASTER!$B$5:$B$504,MATCH($I640,MCC_MASTER!$A$5:$A$504,0)),"⚠ MCC chưa có"))</f>
        <v/>
      </c>
      <c r="K640" s="45" t="str">
        <f>IF($I640="","",IFERROR(IF(INDEX(MCC_MASTER!$C$5:$C$504,MATCH($I640,MCC_MASTER!$A$5:$A$504,0))="","Chưa phân loại",INDEX(MCC_MASTER!$C$5:$C$504,MATCH($I640,MCC_MASTER!$A$5:$A$504,0))),"Chưa phân loại"))</f>
        <v/>
      </c>
      <c r="L640" s="40" t="n"/>
      <c r="M640" s="48" t="str">
        <f>IF(OR($B640="",$D640=""),"",IF($AC640=0,0,IF(ISNUMBER(INDEX(CASHBACK_RULES!$L$5:$L$304,$AC640)),MAX(0,MIN($L640,INDEX(CASHBACK_RULES!$L$5:$L$304,$AC640)-$AH640)),MAX(0,$L640))))</f>
        <v/>
      </c>
      <c r="N640" s="49" t="str">
        <f>IF(OR($B640="",$D640=""),"",IF($AC640&gt;0,INDEX(CASHBACK_RULES!$I$5:$I$304,$AC640),0))</f>
        <v/>
      </c>
      <c r="O640" s="48" t="str">
        <f>IF(OR($B640="",$D640=""),"",ROUND($M640*$N640,0))</f>
        <v/>
      </c>
      <c r="P640" s="48" t="str">
        <f>IF($AC640&gt;0,IF(ISNUMBER(INDEX(CASHBACK_RULES!$J$5:$J$304,$AC640)),INDEX(CASHBACK_RULES!$J$5:$J$304,$AC640),"∞"),"")</f>
        <v/>
      </c>
      <c r="Q640" s="48" t="str">
        <f>IF(OR($B640="",$D640=""),"",IF($AC640=0,0,MAX(0,MIN($O640,IF(ISNUMBER($P640),$P640-$AF640,1E+15),IF(ISNUMBER($AA640),$AA640-$AG640,1E+15)))))</f>
        <v/>
      </c>
      <c r="R640" s="48" t="str">
        <f>IF(OR($B640="",$D640=""),"",IF($AC640=0,"",IF(AND(NOT(ISNUMBER($P640)),NOT(ISNUMBER($AA640))),"∞",MAX(0,MIN(IF(ISNUMBER($P640),$P640-$AF640-$Q640,1E+15),IF(ISNUMBER($AA640),$AA640-$AG640-$Q640,1E+15))))))</f>
        <v/>
      </c>
      <c r="S640" s="47" t="str">
        <f>IF($AD640="","",YEAR($AD640)*100+MONTH($AD640))</f>
        <v/>
      </c>
      <c r="T640" s="50" t="str">
        <f>IF($AD640="","",IFERROR(IF(INDEX(CARDS!$I$5:$I$34,MATCH($D640,CARDS!$A$5:$A$34,0))="","",IF(INDEX(CARDS!$I$5:$I$34,MATCH($D640,CARDS!$A$5:$A$34,0))&gt;INDEX(CARDS!$H$5:$H$34,MATCH($D640,CARDS!$A$5:$A$34,0)),DATE(YEAR($AD640),MONTH($AD640),MIN(INDEX(CARDS!$I$5:$I$34,MATCH($D640,CARDS!$A$5:$A$34,0)),DAY(EOMONTH($AD640,0)))),DATE(YEAR($AD640),MONTH($AD640)+1,MIN(INDEX(CARDS!$I$5:$I$34,MATCH($D640,CARDS!$A$5:$A$34,0)),DAY(EOMONTH($AD640,1)))))),""))</f>
        <v/>
      </c>
      <c r="U640" s="38" t="n"/>
      <c r="V640" s="37" t="n"/>
      <c r="W640" s="38" t="n"/>
      <c r="X640" s="38" t="n"/>
      <c r="Y640" s="44" t="str">
        <f>IF($AC640&gt;0,INDEX(CASHBACK_RULES!$A$5:$A$304,$AC640),"")</f>
        <v/>
      </c>
      <c r="Z640" s="45" t="str">
        <f>IF($AC640&gt;0,INDEX(CASHBACK_RULES!$E$5:$E$304,$AC640)&amp;"","")</f>
        <v/>
      </c>
      <c r="AA640" s="48" t="str">
        <f>IF($AC640&gt;0,IF(ISNUMBER(INDEX(CASHBACK_RULES!$K$5:$K$304,$AC640)),INDEX(CASHBACK_RULES!$K$5:$K$304,$AC640),"∞"),"")</f>
        <v/>
      </c>
      <c r="AB640" s="44" t="str">
        <f>IF(OR($B640="",$D640=""),"",IF($U640="Cancelled","Đã hủy",IF($AC640=0,"Không được hoàn",IF($Q640=0,IF(OR($O640&gt;0,$M640&lt;$L640),"Đã đạt cap","Không được hoàn"),IF(OR($Q640&lt;$O640,$M640&lt;$L640),"Hoàn một phần","Được hoàn")))))</f>
        <v/>
      </c>
      <c r="AC640" s="43">
        <f>IF(OR($B640="",$D640="",$I640="",$L640=""),0,IF($U640="Cancelled",0,IF($W640&lt;&gt;"",IFERROR(IF(INDEX(CASHBACK_RULES!$B$5:$B$304,MATCH($W640,CASHBACK_RULES!$A$5:$A$304,0))=$D640,MATCH($W640,CASHBACK_RULES!$A$5:$A$304,0),0),0),IFERROR(MATCH(1,INDEX((CASHBACK_RULES!$B$5:$B$304=$D640)*(CASHBACK_RULES!$G$5:$G$304=$I640)*(((CASHBACK_RULES!$N$5:$N$304="")+(CASHBACK_RULES!$N$5:$N$304&lt;=$B640))&gt;0)*(((CASHBACK_RULES!$O$5:$O$304="")+(CASHBACK_RULES!$O$5:$O$304&gt;=$B640))&gt;0)*(((CASHBACK_RULES!$M$5:$M$304="")+(CASHBACK_RULES!$M$5:$M$304&lt;=$L640))&gt;0),0),0),0))))</f>
        <v>0</v>
      </c>
      <c r="AD640" s="51" t="str">
        <f>IF(OR($B640="",$D640=""),"",IFERROR(IF(INDEX(CARDS!$H$5:$H$34,MATCH($D640,CARDS!$A$5:$A$34,0))="","",IF(DAY($B640)&lt;=INDEX(CARDS!$H$5:$H$34,MATCH($D640,CARDS!$A$5:$A$34,0)),DATE(YEAR($B640),MONTH($B640),MIN(INDEX(CARDS!$H$5:$H$34,MATCH($D640,CARDS!$A$5:$A$34,0)),DAY(EOMONTH($B640,0)))),DATE(YEAR($B640),MONTH($B640)+1,MIN(INDEX(CARDS!$H$5:$H$34,MATCH($D640,CARDS!$A$5:$A$34,0)),DAY(EOMONTH($B640,1)))))),""))</f>
        <v/>
      </c>
      <c r="AE640" s="52" t="str">
        <f>IF($C640="","",$C640&amp;"|"&amp;COUNTIF($C$5:$C640,$C640))</f>
        <v/>
      </c>
      <c r="AF640" s="53">
        <f>IF($AC640&gt;0,SUMIFS(Q$4:Q639,$D$4:$D639,$D640,$Z$4:$Z639,$Z640,$C$4:$C639,$C640),0)</f>
        <v>0</v>
      </c>
      <c r="AG640" s="53">
        <f>IF($AC640&gt;0,SUMIFS(Q$4:Q639,$D$4:$D639,$D640,$C$4:$C639,$C640),0)</f>
        <v>0</v>
      </c>
      <c r="AH640" s="53">
        <f>IF($AC640&gt;0,SUMIFS(M$4:M639,$D$4:$D639,$D640,$Z$4:$Z639,$Z640,$C$4:$C639,$C640),0)</f>
        <v>0</v>
      </c>
      <c r="AI640" s="43">
        <f>IF(OR($C640="",$I640=""),0,IF(COUNTIFS($C$5:$C640,$C640,$I$5:$I640,$I640)=1,1,0))</f>
        <v>0</v>
      </c>
      <c r="AJ640" s="43" t="str">
        <f>IF($AI640=1,SUMIFS($AI$4:$AI639,$C$4:$C639,$C640)+1,"")</f>
        <v/>
      </c>
      <c r="AK640" s="43">
        <f>IF(OR($C640="",$K640=""),0,IF(COUNTIFS($C$5:$C640,$C640,$K$5:$K640,$K640)=1,1,0))</f>
        <v>0</v>
      </c>
      <c r="AL640" s="43" t="str">
        <f>IF($AK640=1,SUMIFS($AK$4:$AK639,$C$4:$C639,$C640)+1,"")</f>
        <v/>
      </c>
      <c r="AM640" s="43">
        <f>IF(OR($C640="",$G640=""),0,IF(COUNTIFS($C$5:$C640,$C640,$G$5:$G640,$G640)=1,1,0))</f>
        <v>0</v>
      </c>
      <c r="AN640" s="43" t="str">
        <f>IF($AM640=1,SUMIFS($AM$4:$AM639,$C$4:$C639,$C640)+1,"")</f>
        <v/>
      </c>
    </row>
    <row r="641">
      <c r="A641" s="44" t="str">
        <f>IF(OR($B641="",$D641=""),"","TX"&amp;TEXT(ROW()-4,"0000"))</f>
        <v/>
      </c>
      <c r="B641" s="42" t="n"/>
      <c r="C641" s="47" t="str">
        <f>IF($B641="","",YEAR($B641)*100+MONTH($B641))</f>
        <v/>
      </c>
      <c r="D641" s="37" t="n"/>
      <c r="E641" s="45" t="str">
        <f>IF($D641="","",IFERROR(INDEX(CARDS!$B$5:$B$34,MATCH($D641,CARDS!$A$5:$A$34,0)),"⚠ Card ID?"))</f>
        <v/>
      </c>
      <c r="F641" s="45" t="str">
        <f>IF($D641="","",IFERROR(INDEX(CARDS!$C$5:$C$34,MATCH($D641,CARDS!$A$5:$A$34,0)),"⚠ Card ID?"))</f>
        <v/>
      </c>
      <c r="G641" s="37" t="n"/>
      <c r="H641" s="37" t="n"/>
      <c r="I641" s="41" t="n"/>
      <c r="J641" s="45" t="str">
        <f>IF($I641="","",IFERROR(INDEX(MCC_MASTER!$B$5:$B$504,MATCH($I641,MCC_MASTER!$A$5:$A$504,0)),"⚠ MCC chưa có"))</f>
        <v/>
      </c>
      <c r="K641" s="45" t="str">
        <f>IF($I641="","",IFERROR(IF(INDEX(MCC_MASTER!$C$5:$C$504,MATCH($I641,MCC_MASTER!$A$5:$A$504,0))="","Chưa phân loại",INDEX(MCC_MASTER!$C$5:$C$504,MATCH($I641,MCC_MASTER!$A$5:$A$504,0))),"Chưa phân loại"))</f>
        <v/>
      </c>
      <c r="L641" s="40" t="n"/>
      <c r="M641" s="48" t="str">
        <f>IF(OR($B641="",$D641=""),"",IF($AC641=0,0,IF(ISNUMBER(INDEX(CASHBACK_RULES!$L$5:$L$304,$AC641)),MAX(0,MIN($L641,INDEX(CASHBACK_RULES!$L$5:$L$304,$AC641)-$AH641)),MAX(0,$L641))))</f>
        <v/>
      </c>
      <c r="N641" s="49" t="str">
        <f>IF(OR($B641="",$D641=""),"",IF($AC641&gt;0,INDEX(CASHBACK_RULES!$I$5:$I$304,$AC641),0))</f>
        <v/>
      </c>
      <c r="O641" s="48" t="str">
        <f>IF(OR($B641="",$D641=""),"",ROUND($M641*$N641,0))</f>
        <v/>
      </c>
      <c r="P641" s="48" t="str">
        <f>IF($AC641&gt;0,IF(ISNUMBER(INDEX(CASHBACK_RULES!$J$5:$J$304,$AC641)),INDEX(CASHBACK_RULES!$J$5:$J$304,$AC641),"∞"),"")</f>
        <v/>
      </c>
      <c r="Q641" s="48" t="str">
        <f>IF(OR($B641="",$D641=""),"",IF($AC641=0,0,MAX(0,MIN($O641,IF(ISNUMBER($P641),$P641-$AF641,1E+15),IF(ISNUMBER($AA641),$AA641-$AG641,1E+15)))))</f>
        <v/>
      </c>
      <c r="R641" s="48" t="str">
        <f>IF(OR($B641="",$D641=""),"",IF($AC641=0,"",IF(AND(NOT(ISNUMBER($P641)),NOT(ISNUMBER($AA641))),"∞",MAX(0,MIN(IF(ISNUMBER($P641),$P641-$AF641-$Q641,1E+15),IF(ISNUMBER($AA641),$AA641-$AG641-$Q641,1E+15))))))</f>
        <v/>
      </c>
      <c r="S641" s="47" t="str">
        <f>IF($AD641="","",YEAR($AD641)*100+MONTH($AD641))</f>
        <v/>
      </c>
      <c r="T641" s="50" t="str">
        <f>IF($AD641="","",IFERROR(IF(INDEX(CARDS!$I$5:$I$34,MATCH($D641,CARDS!$A$5:$A$34,0))="","",IF(INDEX(CARDS!$I$5:$I$34,MATCH($D641,CARDS!$A$5:$A$34,0))&gt;INDEX(CARDS!$H$5:$H$34,MATCH($D641,CARDS!$A$5:$A$34,0)),DATE(YEAR($AD641),MONTH($AD641),MIN(INDEX(CARDS!$I$5:$I$34,MATCH($D641,CARDS!$A$5:$A$34,0)),DAY(EOMONTH($AD641,0)))),DATE(YEAR($AD641),MONTH($AD641)+1,MIN(INDEX(CARDS!$I$5:$I$34,MATCH($D641,CARDS!$A$5:$A$34,0)),DAY(EOMONTH($AD641,1)))))),""))</f>
        <v/>
      </c>
      <c r="U641" s="38" t="n"/>
      <c r="V641" s="37" t="n"/>
      <c r="W641" s="38" t="n"/>
      <c r="X641" s="38" t="n"/>
      <c r="Y641" s="44" t="str">
        <f>IF($AC641&gt;0,INDEX(CASHBACK_RULES!$A$5:$A$304,$AC641),"")</f>
        <v/>
      </c>
      <c r="Z641" s="45" t="str">
        <f>IF($AC641&gt;0,INDEX(CASHBACK_RULES!$E$5:$E$304,$AC641)&amp;"","")</f>
        <v/>
      </c>
      <c r="AA641" s="48" t="str">
        <f>IF($AC641&gt;0,IF(ISNUMBER(INDEX(CASHBACK_RULES!$K$5:$K$304,$AC641)),INDEX(CASHBACK_RULES!$K$5:$K$304,$AC641),"∞"),"")</f>
        <v/>
      </c>
      <c r="AB641" s="44" t="str">
        <f>IF(OR($B641="",$D641=""),"",IF($U641="Cancelled","Đã hủy",IF($AC641=0,"Không được hoàn",IF($Q641=0,IF(OR($O641&gt;0,$M641&lt;$L641),"Đã đạt cap","Không được hoàn"),IF(OR($Q641&lt;$O641,$M641&lt;$L641),"Hoàn một phần","Được hoàn")))))</f>
        <v/>
      </c>
      <c r="AC641" s="43">
        <f>IF(OR($B641="",$D641="",$I641="",$L641=""),0,IF($U641="Cancelled",0,IF($W641&lt;&gt;"",IFERROR(IF(INDEX(CASHBACK_RULES!$B$5:$B$304,MATCH($W641,CASHBACK_RULES!$A$5:$A$304,0))=$D641,MATCH($W641,CASHBACK_RULES!$A$5:$A$304,0),0),0),IFERROR(MATCH(1,INDEX((CASHBACK_RULES!$B$5:$B$304=$D641)*(CASHBACK_RULES!$G$5:$G$304=$I641)*(((CASHBACK_RULES!$N$5:$N$304="")+(CASHBACK_RULES!$N$5:$N$304&lt;=$B641))&gt;0)*(((CASHBACK_RULES!$O$5:$O$304="")+(CASHBACK_RULES!$O$5:$O$304&gt;=$B641))&gt;0)*(((CASHBACK_RULES!$M$5:$M$304="")+(CASHBACK_RULES!$M$5:$M$304&lt;=$L641))&gt;0),0),0),0))))</f>
        <v>0</v>
      </c>
      <c r="AD641" s="51" t="str">
        <f>IF(OR($B641="",$D641=""),"",IFERROR(IF(INDEX(CARDS!$H$5:$H$34,MATCH($D641,CARDS!$A$5:$A$34,0))="","",IF(DAY($B641)&lt;=INDEX(CARDS!$H$5:$H$34,MATCH($D641,CARDS!$A$5:$A$34,0)),DATE(YEAR($B641),MONTH($B641),MIN(INDEX(CARDS!$H$5:$H$34,MATCH($D641,CARDS!$A$5:$A$34,0)),DAY(EOMONTH($B641,0)))),DATE(YEAR($B641),MONTH($B641)+1,MIN(INDEX(CARDS!$H$5:$H$34,MATCH($D641,CARDS!$A$5:$A$34,0)),DAY(EOMONTH($B641,1)))))),""))</f>
        <v/>
      </c>
      <c r="AE641" s="52" t="str">
        <f>IF($C641="","",$C641&amp;"|"&amp;COUNTIF($C$5:$C641,$C641))</f>
        <v/>
      </c>
      <c r="AF641" s="53">
        <f>IF($AC641&gt;0,SUMIFS(Q$4:Q640,$D$4:$D640,$D641,$Z$4:$Z640,$Z641,$C$4:$C640,$C641),0)</f>
        <v>0</v>
      </c>
      <c r="AG641" s="53">
        <f>IF($AC641&gt;0,SUMIFS(Q$4:Q640,$D$4:$D640,$D641,$C$4:$C640,$C641),0)</f>
        <v>0</v>
      </c>
      <c r="AH641" s="53">
        <f>IF($AC641&gt;0,SUMIFS(M$4:M640,$D$4:$D640,$D641,$Z$4:$Z640,$Z641,$C$4:$C640,$C641),0)</f>
        <v>0</v>
      </c>
      <c r="AI641" s="43">
        <f>IF(OR($C641="",$I641=""),0,IF(COUNTIFS($C$5:$C641,$C641,$I$5:$I641,$I641)=1,1,0))</f>
        <v>0</v>
      </c>
      <c r="AJ641" s="43" t="str">
        <f>IF($AI641=1,SUMIFS($AI$4:$AI640,$C$4:$C640,$C641)+1,"")</f>
        <v/>
      </c>
      <c r="AK641" s="43">
        <f>IF(OR($C641="",$K641=""),0,IF(COUNTIFS($C$5:$C641,$C641,$K$5:$K641,$K641)=1,1,0))</f>
        <v>0</v>
      </c>
      <c r="AL641" s="43" t="str">
        <f>IF($AK641=1,SUMIFS($AK$4:$AK640,$C$4:$C640,$C641)+1,"")</f>
        <v/>
      </c>
      <c r="AM641" s="43">
        <f>IF(OR($C641="",$G641=""),0,IF(COUNTIFS($C$5:$C641,$C641,$G$5:$G641,$G641)=1,1,0))</f>
        <v>0</v>
      </c>
      <c r="AN641" s="43" t="str">
        <f>IF($AM641=1,SUMIFS($AM$4:$AM640,$C$4:$C640,$C641)+1,"")</f>
        <v/>
      </c>
    </row>
    <row r="642">
      <c r="A642" s="44" t="str">
        <f>IF(OR($B642="",$D642=""),"","TX"&amp;TEXT(ROW()-4,"0000"))</f>
        <v/>
      </c>
      <c r="B642" s="42" t="n"/>
      <c r="C642" s="47" t="str">
        <f>IF($B642="","",YEAR($B642)*100+MONTH($B642))</f>
        <v/>
      </c>
      <c r="D642" s="37" t="n"/>
      <c r="E642" s="45" t="str">
        <f>IF($D642="","",IFERROR(INDEX(CARDS!$B$5:$B$34,MATCH($D642,CARDS!$A$5:$A$34,0)),"⚠ Card ID?"))</f>
        <v/>
      </c>
      <c r="F642" s="45" t="str">
        <f>IF($D642="","",IFERROR(INDEX(CARDS!$C$5:$C$34,MATCH($D642,CARDS!$A$5:$A$34,0)),"⚠ Card ID?"))</f>
        <v/>
      </c>
      <c r="G642" s="37" t="n"/>
      <c r="H642" s="37" t="n"/>
      <c r="I642" s="41" t="n"/>
      <c r="J642" s="45" t="str">
        <f>IF($I642="","",IFERROR(INDEX(MCC_MASTER!$B$5:$B$504,MATCH($I642,MCC_MASTER!$A$5:$A$504,0)),"⚠ MCC chưa có"))</f>
        <v/>
      </c>
      <c r="K642" s="45" t="str">
        <f>IF($I642="","",IFERROR(IF(INDEX(MCC_MASTER!$C$5:$C$504,MATCH($I642,MCC_MASTER!$A$5:$A$504,0))="","Chưa phân loại",INDEX(MCC_MASTER!$C$5:$C$504,MATCH($I642,MCC_MASTER!$A$5:$A$504,0))),"Chưa phân loại"))</f>
        <v/>
      </c>
      <c r="L642" s="40" t="n"/>
      <c r="M642" s="48" t="str">
        <f>IF(OR($B642="",$D642=""),"",IF($AC642=0,0,IF(ISNUMBER(INDEX(CASHBACK_RULES!$L$5:$L$304,$AC642)),MAX(0,MIN($L642,INDEX(CASHBACK_RULES!$L$5:$L$304,$AC642)-$AH642)),MAX(0,$L642))))</f>
        <v/>
      </c>
      <c r="N642" s="49" t="str">
        <f>IF(OR($B642="",$D642=""),"",IF($AC642&gt;0,INDEX(CASHBACK_RULES!$I$5:$I$304,$AC642),0))</f>
        <v/>
      </c>
      <c r="O642" s="48" t="str">
        <f>IF(OR($B642="",$D642=""),"",ROUND($M642*$N642,0))</f>
        <v/>
      </c>
      <c r="P642" s="48" t="str">
        <f>IF($AC642&gt;0,IF(ISNUMBER(INDEX(CASHBACK_RULES!$J$5:$J$304,$AC642)),INDEX(CASHBACK_RULES!$J$5:$J$304,$AC642),"∞"),"")</f>
        <v/>
      </c>
      <c r="Q642" s="48" t="str">
        <f>IF(OR($B642="",$D642=""),"",IF($AC642=0,0,MAX(0,MIN($O642,IF(ISNUMBER($P642),$P642-$AF642,1E+15),IF(ISNUMBER($AA642),$AA642-$AG642,1E+15)))))</f>
        <v/>
      </c>
      <c r="R642" s="48" t="str">
        <f>IF(OR($B642="",$D642=""),"",IF($AC642=0,"",IF(AND(NOT(ISNUMBER($P642)),NOT(ISNUMBER($AA642))),"∞",MAX(0,MIN(IF(ISNUMBER($P642),$P642-$AF642-$Q642,1E+15),IF(ISNUMBER($AA642),$AA642-$AG642-$Q642,1E+15))))))</f>
        <v/>
      </c>
      <c r="S642" s="47" t="str">
        <f>IF($AD642="","",YEAR($AD642)*100+MONTH($AD642))</f>
        <v/>
      </c>
      <c r="T642" s="50" t="str">
        <f>IF($AD642="","",IFERROR(IF(INDEX(CARDS!$I$5:$I$34,MATCH($D642,CARDS!$A$5:$A$34,0))="","",IF(INDEX(CARDS!$I$5:$I$34,MATCH($D642,CARDS!$A$5:$A$34,0))&gt;INDEX(CARDS!$H$5:$H$34,MATCH($D642,CARDS!$A$5:$A$34,0)),DATE(YEAR($AD642),MONTH($AD642),MIN(INDEX(CARDS!$I$5:$I$34,MATCH($D642,CARDS!$A$5:$A$34,0)),DAY(EOMONTH($AD642,0)))),DATE(YEAR($AD642),MONTH($AD642)+1,MIN(INDEX(CARDS!$I$5:$I$34,MATCH($D642,CARDS!$A$5:$A$34,0)),DAY(EOMONTH($AD642,1)))))),""))</f>
        <v/>
      </c>
      <c r="U642" s="38" t="n"/>
      <c r="V642" s="37" t="n"/>
      <c r="W642" s="38" t="n"/>
      <c r="X642" s="38" t="n"/>
      <c r="Y642" s="44" t="str">
        <f>IF($AC642&gt;0,INDEX(CASHBACK_RULES!$A$5:$A$304,$AC642),"")</f>
        <v/>
      </c>
      <c r="Z642" s="45" t="str">
        <f>IF($AC642&gt;0,INDEX(CASHBACK_RULES!$E$5:$E$304,$AC642)&amp;"","")</f>
        <v/>
      </c>
      <c r="AA642" s="48" t="str">
        <f>IF($AC642&gt;0,IF(ISNUMBER(INDEX(CASHBACK_RULES!$K$5:$K$304,$AC642)),INDEX(CASHBACK_RULES!$K$5:$K$304,$AC642),"∞"),"")</f>
        <v/>
      </c>
      <c r="AB642" s="44" t="str">
        <f>IF(OR($B642="",$D642=""),"",IF($U642="Cancelled","Đã hủy",IF($AC642=0,"Không được hoàn",IF($Q642=0,IF(OR($O642&gt;0,$M642&lt;$L642),"Đã đạt cap","Không được hoàn"),IF(OR($Q642&lt;$O642,$M642&lt;$L642),"Hoàn một phần","Được hoàn")))))</f>
        <v/>
      </c>
      <c r="AC642" s="43">
        <f>IF(OR($B642="",$D642="",$I642="",$L642=""),0,IF($U642="Cancelled",0,IF($W642&lt;&gt;"",IFERROR(IF(INDEX(CASHBACK_RULES!$B$5:$B$304,MATCH($W642,CASHBACK_RULES!$A$5:$A$304,0))=$D642,MATCH($W642,CASHBACK_RULES!$A$5:$A$304,0),0),0),IFERROR(MATCH(1,INDEX((CASHBACK_RULES!$B$5:$B$304=$D642)*(CASHBACK_RULES!$G$5:$G$304=$I642)*(((CASHBACK_RULES!$N$5:$N$304="")+(CASHBACK_RULES!$N$5:$N$304&lt;=$B642))&gt;0)*(((CASHBACK_RULES!$O$5:$O$304="")+(CASHBACK_RULES!$O$5:$O$304&gt;=$B642))&gt;0)*(((CASHBACK_RULES!$M$5:$M$304="")+(CASHBACK_RULES!$M$5:$M$304&lt;=$L642))&gt;0),0),0),0))))</f>
        <v>0</v>
      </c>
      <c r="AD642" s="51" t="str">
        <f>IF(OR($B642="",$D642=""),"",IFERROR(IF(INDEX(CARDS!$H$5:$H$34,MATCH($D642,CARDS!$A$5:$A$34,0))="","",IF(DAY($B642)&lt;=INDEX(CARDS!$H$5:$H$34,MATCH($D642,CARDS!$A$5:$A$34,0)),DATE(YEAR($B642),MONTH($B642),MIN(INDEX(CARDS!$H$5:$H$34,MATCH($D642,CARDS!$A$5:$A$34,0)),DAY(EOMONTH($B642,0)))),DATE(YEAR($B642),MONTH($B642)+1,MIN(INDEX(CARDS!$H$5:$H$34,MATCH($D642,CARDS!$A$5:$A$34,0)),DAY(EOMONTH($B642,1)))))),""))</f>
        <v/>
      </c>
      <c r="AE642" s="52" t="str">
        <f>IF($C642="","",$C642&amp;"|"&amp;COUNTIF($C$5:$C642,$C642))</f>
        <v/>
      </c>
      <c r="AF642" s="53">
        <f>IF($AC642&gt;0,SUMIFS(Q$4:Q641,$D$4:$D641,$D642,$Z$4:$Z641,$Z642,$C$4:$C641,$C642),0)</f>
        <v>0</v>
      </c>
      <c r="AG642" s="53">
        <f>IF($AC642&gt;0,SUMIFS(Q$4:Q641,$D$4:$D641,$D642,$C$4:$C641,$C642),0)</f>
        <v>0</v>
      </c>
      <c r="AH642" s="53">
        <f>IF($AC642&gt;0,SUMIFS(M$4:M641,$D$4:$D641,$D642,$Z$4:$Z641,$Z642,$C$4:$C641,$C642),0)</f>
        <v>0</v>
      </c>
      <c r="AI642" s="43">
        <f>IF(OR($C642="",$I642=""),0,IF(COUNTIFS($C$5:$C642,$C642,$I$5:$I642,$I642)=1,1,0))</f>
        <v>0</v>
      </c>
      <c r="AJ642" s="43" t="str">
        <f>IF($AI642=1,SUMIFS($AI$4:$AI641,$C$4:$C641,$C642)+1,"")</f>
        <v/>
      </c>
      <c r="AK642" s="43">
        <f>IF(OR($C642="",$K642=""),0,IF(COUNTIFS($C$5:$C642,$C642,$K$5:$K642,$K642)=1,1,0))</f>
        <v>0</v>
      </c>
      <c r="AL642" s="43" t="str">
        <f>IF($AK642=1,SUMIFS($AK$4:$AK641,$C$4:$C641,$C642)+1,"")</f>
        <v/>
      </c>
      <c r="AM642" s="43">
        <f>IF(OR($C642="",$G642=""),0,IF(COUNTIFS($C$5:$C642,$C642,$G$5:$G642,$G642)=1,1,0))</f>
        <v>0</v>
      </c>
      <c r="AN642" s="43" t="str">
        <f>IF($AM642=1,SUMIFS($AM$4:$AM641,$C$4:$C641,$C642)+1,"")</f>
        <v/>
      </c>
    </row>
    <row r="643">
      <c r="A643" s="44" t="str">
        <f>IF(OR($B643="",$D643=""),"","TX"&amp;TEXT(ROW()-4,"0000"))</f>
        <v/>
      </c>
      <c r="B643" s="42" t="n"/>
      <c r="C643" s="47" t="str">
        <f>IF($B643="","",YEAR($B643)*100+MONTH($B643))</f>
        <v/>
      </c>
      <c r="D643" s="37" t="n"/>
      <c r="E643" s="45" t="str">
        <f>IF($D643="","",IFERROR(INDEX(CARDS!$B$5:$B$34,MATCH($D643,CARDS!$A$5:$A$34,0)),"⚠ Card ID?"))</f>
        <v/>
      </c>
      <c r="F643" s="45" t="str">
        <f>IF($D643="","",IFERROR(INDEX(CARDS!$C$5:$C$34,MATCH($D643,CARDS!$A$5:$A$34,0)),"⚠ Card ID?"))</f>
        <v/>
      </c>
      <c r="G643" s="37" t="n"/>
      <c r="H643" s="37" t="n"/>
      <c r="I643" s="41" t="n"/>
      <c r="J643" s="45" t="str">
        <f>IF($I643="","",IFERROR(INDEX(MCC_MASTER!$B$5:$B$504,MATCH($I643,MCC_MASTER!$A$5:$A$504,0)),"⚠ MCC chưa có"))</f>
        <v/>
      </c>
      <c r="K643" s="45" t="str">
        <f>IF($I643="","",IFERROR(IF(INDEX(MCC_MASTER!$C$5:$C$504,MATCH($I643,MCC_MASTER!$A$5:$A$504,0))="","Chưa phân loại",INDEX(MCC_MASTER!$C$5:$C$504,MATCH($I643,MCC_MASTER!$A$5:$A$504,0))),"Chưa phân loại"))</f>
        <v/>
      </c>
      <c r="L643" s="40" t="n"/>
      <c r="M643" s="48" t="str">
        <f>IF(OR($B643="",$D643=""),"",IF($AC643=0,0,IF(ISNUMBER(INDEX(CASHBACK_RULES!$L$5:$L$304,$AC643)),MAX(0,MIN($L643,INDEX(CASHBACK_RULES!$L$5:$L$304,$AC643)-$AH643)),MAX(0,$L643))))</f>
        <v/>
      </c>
      <c r="N643" s="49" t="str">
        <f>IF(OR($B643="",$D643=""),"",IF($AC643&gt;0,INDEX(CASHBACK_RULES!$I$5:$I$304,$AC643),0))</f>
        <v/>
      </c>
      <c r="O643" s="48" t="str">
        <f>IF(OR($B643="",$D643=""),"",ROUND($M643*$N643,0))</f>
        <v/>
      </c>
      <c r="P643" s="48" t="str">
        <f>IF($AC643&gt;0,IF(ISNUMBER(INDEX(CASHBACK_RULES!$J$5:$J$304,$AC643)),INDEX(CASHBACK_RULES!$J$5:$J$304,$AC643),"∞"),"")</f>
        <v/>
      </c>
      <c r="Q643" s="48" t="str">
        <f>IF(OR($B643="",$D643=""),"",IF($AC643=0,0,MAX(0,MIN($O643,IF(ISNUMBER($P643),$P643-$AF643,1E+15),IF(ISNUMBER($AA643),$AA643-$AG643,1E+15)))))</f>
        <v/>
      </c>
      <c r="R643" s="48" t="str">
        <f>IF(OR($B643="",$D643=""),"",IF($AC643=0,"",IF(AND(NOT(ISNUMBER($P643)),NOT(ISNUMBER($AA643))),"∞",MAX(0,MIN(IF(ISNUMBER($P643),$P643-$AF643-$Q643,1E+15),IF(ISNUMBER($AA643),$AA643-$AG643-$Q643,1E+15))))))</f>
        <v/>
      </c>
      <c r="S643" s="47" t="str">
        <f>IF($AD643="","",YEAR($AD643)*100+MONTH($AD643))</f>
        <v/>
      </c>
      <c r="T643" s="50" t="str">
        <f>IF($AD643="","",IFERROR(IF(INDEX(CARDS!$I$5:$I$34,MATCH($D643,CARDS!$A$5:$A$34,0))="","",IF(INDEX(CARDS!$I$5:$I$34,MATCH($D643,CARDS!$A$5:$A$34,0))&gt;INDEX(CARDS!$H$5:$H$34,MATCH($D643,CARDS!$A$5:$A$34,0)),DATE(YEAR($AD643),MONTH($AD643),MIN(INDEX(CARDS!$I$5:$I$34,MATCH($D643,CARDS!$A$5:$A$34,0)),DAY(EOMONTH($AD643,0)))),DATE(YEAR($AD643),MONTH($AD643)+1,MIN(INDEX(CARDS!$I$5:$I$34,MATCH($D643,CARDS!$A$5:$A$34,0)),DAY(EOMONTH($AD643,1)))))),""))</f>
        <v/>
      </c>
      <c r="U643" s="38" t="n"/>
      <c r="V643" s="37" t="n"/>
      <c r="W643" s="38" t="n"/>
      <c r="X643" s="38" t="n"/>
      <c r="Y643" s="44" t="str">
        <f>IF($AC643&gt;0,INDEX(CASHBACK_RULES!$A$5:$A$304,$AC643),"")</f>
        <v/>
      </c>
      <c r="Z643" s="45" t="str">
        <f>IF($AC643&gt;0,INDEX(CASHBACK_RULES!$E$5:$E$304,$AC643)&amp;"","")</f>
        <v/>
      </c>
      <c r="AA643" s="48" t="str">
        <f>IF($AC643&gt;0,IF(ISNUMBER(INDEX(CASHBACK_RULES!$K$5:$K$304,$AC643)),INDEX(CASHBACK_RULES!$K$5:$K$304,$AC643),"∞"),"")</f>
        <v/>
      </c>
      <c r="AB643" s="44" t="str">
        <f>IF(OR($B643="",$D643=""),"",IF($U643="Cancelled","Đã hủy",IF($AC643=0,"Không được hoàn",IF($Q643=0,IF(OR($O643&gt;0,$M643&lt;$L643),"Đã đạt cap","Không được hoàn"),IF(OR($Q643&lt;$O643,$M643&lt;$L643),"Hoàn một phần","Được hoàn")))))</f>
        <v/>
      </c>
      <c r="AC643" s="43">
        <f>IF(OR($B643="",$D643="",$I643="",$L643=""),0,IF($U643="Cancelled",0,IF($W643&lt;&gt;"",IFERROR(IF(INDEX(CASHBACK_RULES!$B$5:$B$304,MATCH($W643,CASHBACK_RULES!$A$5:$A$304,0))=$D643,MATCH($W643,CASHBACK_RULES!$A$5:$A$304,0),0),0),IFERROR(MATCH(1,INDEX((CASHBACK_RULES!$B$5:$B$304=$D643)*(CASHBACK_RULES!$G$5:$G$304=$I643)*(((CASHBACK_RULES!$N$5:$N$304="")+(CASHBACK_RULES!$N$5:$N$304&lt;=$B643))&gt;0)*(((CASHBACK_RULES!$O$5:$O$304="")+(CASHBACK_RULES!$O$5:$O$304&gt;=$B643))&gt;0)*(((CASHBACK_RULES!$M$5:$M$304="")+(CASHBACK_RULES!$M$5:$M$304&lt;=$L643))&gt;0),0),0),0))))</f>
        <v>0</v>
      </c>
      <c r="AD643" s="51" t="str">
        <f>IF(OR($B643="",$D643=""),"",IFERROR(IF(INDEX(CARDS!$H$5:$H$34,MATCH($D643,CARDS!$A$5:$A$34,0))="","",IF(DAY($B643)&lt;=INDEX(CARDS!$H$5:$H$34,MATCH($D643,CARDS!$A$5:$A$34,0)),DATE(YEAR($B643),MONTH($B643),MIN(INDEX(CARDS!$H$5:$H$34,MATCH($D643,CARDS!$A$5:$A$34,0)),DAY(EOMONTH($B643,0)))),DATE(YEAR($B643),MONTH($B643)+1,MIN(INDEX(CARDS!$H$5:$H$34,MATCH($D643,CARDS!$A$5:$A$34,0)),DAY(EOMONTH($B643,1)))))),""))</f>
        <v/>
      </c>
      <c r="AE643" s="52" t="str">
        <f>IF($C643="","",$C643&amp;"|"&amp;COUNTIF($C$5:$C643,$C643))</f>
        <v/>
      </c>
      <c r="AF643" s="53">
        <f>IF($AC643&gt;0,SUMIFS(Q$4:Q642,$D$4:$D642,$D643,$Z$4:$Z642,$Z643,$C$4:$C642,$C643),0)</f>
        <v>0</v>
      </c>
      <c r="AG643" s="53">
        <f>IF($AC643&gt;0,SUMIFS(Q$4:Q642,$D$4:$D642,$D643,$C$4:$C642,$C643),0)</f>
        <v>0</v>
      </c>
      <c r="AH643" s="53">
        <f>IF($AC643&gt;0,SUMIFS(M$4:M642,$D$4:$D642,$D643,$Z$4:$Z642,$Z643,$C$4:$C642,$C643),0)</f>
        <v>0</v>
      </c>
      <c r="AI643" s="43">
        <f>IF(OR($C643="",$I643=""),0,IF(COUNTIFS($C$5:$C643,$C643,$I$5:$I643,$I643)=1,1,0))</f>
        <v>0</v>
      </c>
      <c r="AJ643" s="43" t="str">
        <f>IF($AI643=1,SUMIFS($AI$4:$AI642,$C$4:$C642,$C643)+1,"")</f>
        <v/>
      </c>
      <c r="AK643" s="43">
        <f>IF(OR($C643="",$K643=""),0,IF(COUNTIFS($C$5:$C643,$C643,$K$5:$K643,$K643)=1,1,0))</f>
        <v>0</v>
      </c>
      <c r="AL643" s="43" t="str">
        <f>IF($AK643=1,SUMIFS($AK$4:$AK642,$C$4:$C642,$C643)+1,"")</f>
        <v/>
      </c>
      <c r="AM643" s="43">
        <f>IF(OR($C643="",$G643=""),0,IF(COUNTIFS($C$5:$C643,$C643,$G$5:$G643,$G643)=1,1,0))</f>
        <v>0</v>
      </c>
      <c r="AN643" s="43" t="str">
        <f>IF($AM643=1,SUMIFS($AM$4:$AM642,$C$4:$C642,$C643)+1,"")</f>
        <v/>
      </c>
    </row>
    <row r="644">
      <c r="A644" s="44" t="str">
        <f>IF(OR($B644="",$D644=""),"","TX"&amp;TEXT(ROW()-4,"0000"))</f>
        <v/>
      </c>
      <c r="B644" s="42" t="n"/>
      <c r="C644" s="47" t="str">
        <f>IF($B644="","",YEAR($B644)*100+MONTH($B644))</f>
        <v/>
      </c>
      <c r="D644" s="37" t="n"/>
      <c r="E644" s="45" t="str">
        <f>IF($D644="","",IFERROR(INDEX(CARDS!$B$5:$B$34,MATCH($D644,CARDS!$A$5:$A$34,0)),"⚠ Card ID?"))</f>
        <v/>
      </c>
      <c r="F644" s="45" t="str">
        <f>IF($D644="","",IFERROR(INDEX(CARDS!$C$5:$C$34,MATCH($D644,CARDS!$A$5:$A$34,0)),"⚠ Card ID?"))</f>
        <v/>
      </c>
      <c r="G644" s="37" t="n"/>
      <c r="H644" s="37" t="n"/>
      <c r="I644" s="41" t="n"/>
      <c r="J644" s="45" t="str">
        <f>IF($I644="","",IFERROR(INDEX(MCC_MASTER!$B$5:$B$504,MATCH($I644,MCC_MASTER!$A$5:$A$504,0)),"⚠ MCC chưa có"))</f>
        <v/>
      </c>
      <c r="K644" s="45" t="str">
        <f>IF($I644="","",IFERROR(IF(INDEX(MCC_MASTER!$C$5:$C$504,MATCH($I644,MCC_MASTER!$A$5:$A$504,0))="","Chưa phân loại",INDEX(MCC_MASTER!$C$5:$C$504,MATCH($I644,MCC_MASTER!$A$5:$A$504,0))),"Chưa phân loại"))</f>
        <v/>
      </c>
      <c r="L644" s="40" t="n"/>
      <c r="M644" s="48" t="str">
        <f>IF(OR($B644="",$D644=""),"",IF($AC644=0,0,IF(ISNUMBER(INDEX(CASHBACK_RULES!$L$5:$L$304,$AC644)),MAX(0,MIN($L644,INDEX(CASHBACK_RULES!$L$5:$L$304,$AC644)-$AH644)),MAX(0,$L644))))</f>
        <v/>
      </c>
      <c r="N644" s="49" t="str">
        <f>IF(OR($B644="",$D644=""),"",IF($AC644&gt;0,INDEX(CASHBACK_RULES!$I$5:$I$304,$AC644),0))</f>
        <v/>
      </c>
      <c r="O644" s="48" t="str">
        <f>IF(OR($B644="",$D644=""),"",ROUND($M644*$N644,0))</f>
        <v/>
      </c>
      <c r="P644" s="48" t="str">
        <f>IF($AC644&gt;0,IF(ISNUMBER(INDEX(CASHBACK_RULES!$J$5:$J$304,$AC644)),INDEX(CASHBACK_RULES!$J$5:$J$304,$AC644),"∞"),"")</f>
        <v/>
      </c>
      <c r="Q644" s="48" t="str">
        <f>IF(OR($B644="",$D644=""),"",IF($AC644=0,0,MAX(0,MIN($O644,IF(ISNUMBER($P644),$P644-$AF644,1E+15),IF(ISNUMBER($AA644),$AA644-$AG644,1E+15)))))</f>
        <v/>
      </c>
      <c r="R644" s="48" t="str">
        <f>IF(OR($B644="",$D644=""),"",IF($AC644=0,"",IF(AND(NOT(ISNUMBER($P644)),NOT(ISNUMBER($AA644))),"∞",MAX(0,MIN(IF(ISNUMBER($P644),$P644-$AF644-$Q644,1E+15),IF(ISNUMBER($AA644),$AA644-$AG644-$Q644,1E+15))))))</f>
        <v/>
      </c>
      <c r="S644" s="47" t="str">
        <f>IF($AD644="","",YEAR($AD644)*100+MONTH($AD644))</f>
        <v/>
      </c>
      <c r="T644" s="50" t="str">
        <f>IF($AD644="","",IFERROR(IF(INDEX(CARDS!$I$5:$I$34,MATCH($D644,CARDS!$A$5:$A$34,0))="","",IF(INDEX(CARDS!$I$5:$I$34,MATCH($D644,CARDS!$A$5:$A$34,0))&gt;INDEX(CARDS!$H$5:$H$34,MATCH($D644,CARDS!$A$5:$A$34,0)),DATE(YEAR($AD644),MONTH($AD644),MIN(INDEX(CARDS!$I$5:$I$34,MATCH($D644,CARDS!$A$5:$A$34,0)),DAY(EOMONTH($AD644,0)))),DATE(YEAR($AD644),MONTH($AD644)+1,MIN(INDEX(CARDS!$I$5:$I$34,MATCH($D644,CARDS!$A$5:$A$34,0)),DAY(EOMONTH($AD644,1)))))),""))</f>
        <v/>
      </c>
      <c r="U644" s="38" t="n"/>
      <c r="V644" s="37" t="n"/>
      <c r="W644" s="38" t="n"/>
      <c r="X644" s="38" t="n"/>
      <c r="Y644" s="44" t="str">
        <f>IF($AC644&gt;0,INDEX(CASHBACK_RULES!$A$5:$A$304,$AC644),"")</f>
        <v/>
      </c>
      <c r="Z644" s="45" t="str">
        <f>IF($AC644&gt;0,INDEX(CASHBACK_RULES!$E$5:$E$304,$AC644)&amp;"","")</f>
        <v/>
      </c>
      <c r="AA644" s="48" t="str">
        <f>IF($AC644&gt;0,IF(ISNUMBER(INDEX(CASHBACK_RULES!$K$5:$K$304,$AC644)),INDEX(CASHBACK_RULES!$K$5:$K$304,$AC644),"∞"),"")</f>
        <v/>
      </c>
      <c r="AB644" s="44" t="str">
        <f>IF(OR($B644="",$D644=""),"",IF($U644="Cancelled","Đã hủy",IF($AC644=0,"Không được hoàn",IF($Q644=0,IF(OR($O644&gt;0,$M644&lt;$L644),"Đã đạt cap","Không được hoàn"),IF(OR($Q644&lt;$O644,$M644&lt;$L644),"Hoàn một phần","Được hoàn")))))</f>
        <v/>
      </c>
      <c r="AC644" s="43">
        <f>IF(OR($B644="",$D644="",$I644="",$L644=""),0,IF($U644="Cancelled",0,IF($W644&lt;&gt;"",IFERROR(IF(INDEX(CASHBACK_RULES!$B$5:$B$304,MATCH($W644,CASHBACK_RULES!$A$5:$A$304,0))=$D644,MATCH($W644,CASHBACK_RULES!$A$5:$A$304,0),0),0),IFERROR(MATCH(1,INDEX((CASHBACK_RULES!$B$5:$B$304=$D644)*(CASHBACK_RULES!$G$5:$G$304=$I644)*(((CASHBACK_RULES!$N$5:$N$304="")+(CASHBACK_RULES!$N$5:$N$304&lt;=$B644))&gt;0)*(((CASHBACK_RULES!$O$5:$O$304="")+(CASHBACK_RULES!$O$5:$O$304&gt;=$B644))&gt;0)*(((CASHBACK_RULES!$M$5:$M$304="")+(CASHBACK_RULES!$M$5:$M$304&lt;=$L644))&gt;0),0),0),0))))</f>
        <v>0</v>
      </c>
      <c r="AD644" s="51" t="str">
        <f>IF(OR($B644="",$D644=""),"",IFERROR(IF(INDEX(CARDS!$H$5:$H$34,MATCH($D644,CARDS!$A$5:$A$34,0))="","",IF(DAY($B644)&lt;=INDEX(CARDS!$H$5:$H$34,MATCH($D644,CARDS!$A$5:$A$34,0)),DATE(YEAR($B644),MONTH($B644),MIN(INDEX(CARDS!$H$5:$H$34,MATCH($D644,CARDS!$A$5:$A$34,0)),DAY(EOMONTH($B644,0)))),DATE(YEAR($B644),MONTH($B644)+1,MIN(INDEX(CARDS!$H$5:$H$34,MATCH($D644,CARDS!$A$5:$A$34,0)),DAY(EOMONTH($B644,1)))))),""))</f>
        <v/>
      </c>
      <c r="AE644" s="52" t="str">
        <f>IF($C644="","",$C644&amp;"|"&amp;COUNTIF($C$5:$C644,$C644))</f>
        <v/>
      </c>
      <c r="AF644" s="53">
        <f>IF($AC644&gt;0,SUMIFS(Q$4:Q643,$D$4:$D643,$D644,$Z$4:$Z643,$Z644,$C$4:$C643,$C644),0)</f>
        <v>0</v>
      </c>
      <c r="AG644" s="53">
        <f>IF($AC644&gt;0,SUMIFS(Q$4:Q643,$D$4:$D643,$D644,$C$4:$C643,$C644),0)</f>
        <v>0</v>
      </c>
      <c r="AH644" s="53">
        <f>IF($AC644&gt;0,SUMIFS(M$4:M643,$D$4:$D643,$D644,$Z$4:$Z643,$Z644,$C$4:$C643,$C644),0)</f>
        <v>0</v>
      </c>
      <c r="AI644" s="43">
        <f>IF(OR($C644="",$I644=""),0,IF(COUNTIFS($C$5:$C644,$C644,$I$5:$I644,$I644)=1,1,0))</f>
        <v>0</v>
      </c>
      <c r="AJ644" s="43" t="str">
        <f>IF($AI644=1,SUMIFS($AI$4:$AI643,$C$4:$C643,$C644)+1,"")</f>
        <v/>
      </c>
      <c r="AK644" s="43">
        <f>IF(OR($C644="",$K644=""),0,IF(COUNTIFS($C$5:$C644,$C644,$K$5:$K644,$K644)=1,1,0))</f>
        <v>0</v>
      </c>
      <c r="AL644" s="43" t="str">
        <f>IF($AK644=1,SUMIFS($AK$4:$AK643,$C$4:$C643,$C644)+1,"")</f>
        <v/>
      </c>
      <c r="AM644" s="43">
        <f>IF(OR($C644="",$G644=""),0,IF(COUNTIFS($C$5:$C644,$C644,$G$5:$G644,$G644)=1,1,0))</f>
        <v>0</v>
      </c>
      <c r="AN644" s="43" t="str">
        <f>IF($AM644=1,SUMIFS($AM$4:$AM643,$C$4:$C643,$C644)+1,"")</f>
        <v/>
      </c>
    </row>
    <row r="645">
      <c r="A645" s="44" t="str">
        <f>IF(OR($B645="",$D645=""),"","TX"&amp;TEXT(ROW()-4,"0000"))</f>
        <v/>
      </c>
      <c r="B645" s="42" t="n"/>
      <c r="C645" s="47" t="str">
        <f>IF($B645="","",YEAR($B645)*100+MONTH($B645))</f>
        <v/>
      </c>
      <c r="D645" s="37" t="n"/>
      <c r="E645" s="45" t="str">
        <f>IF($D645="","",IFERROR(INDEX(CARDS!$B$5:$B$34,MATCH($D645,CARDS!$A$5:$A$34,0)),"⚠ Card ID?"))</f>
        <v/>
      </c>
      <c r="F645" s="45" t="str">
        <f>IF($D645="","",IFERROR(INDEX(CARDS!$C$5:$C$34,MATCH($D645,CARDS!$A$5:$A$34,0)),"⚠ Card ID?"))</f>
        <v/>
      </c>
      <c r="G645" s="37" t="n"/>
      <c r="H645" s="37" t="n"/>
      <c r="I645" s="41" t="n"/>
      <c r="J645" s="45" t="str">
        <f>IF($I645="","",IFERROR(INDEX(MCC_MASTER!$B$5:$B$504,MATCH($I645,MCC_MASTER!$A$5:$A$504,0)),"⚠ MCC chưa có"))</f>
        <v/>
      </c>
      <c r="K645" s="45" t="str">
        <f>IF($I645="","",IFERROR(IF(INDEX(MCC_MASTER!$C$5:$C$504,MATCH($I645,MCC_MASTER!$A$5:$A$504,0))="","Chưa phân loại",INDEX(MCC_MASTER!$C$5:$C$504,MATCH($I645,MCC_MASTER!$A$5:$A$504,0))),"Chưa phân loại"))</f>
        <v/>
      </c>
      <c r="L645" s="40" t="n"/>
      <c r="M645" s="48" t="str">
        <f>IF(OR($B645="",$D645=""),"",IF($AC645=0,0,IF(ISNUMBER(INDEX(CASHBACK_RULES!$L$5:$L$304,$AC645)),MAX(0,MIN($L645,INDEX(CASHBACK_RULES!$L$5:$L$304,$AC645)-$AH645)),MAX(0,$L645))))</f>
        <v/>
      </c>
      <c r="N645" s="49" t="str">
        <f>IF(OR($B645="",$D645=""),"",IF($AC645&gt;0,INDEX(CASHBACK_RULES!$I$5:$I$304,$AC645),0))</f>
        <v/>
      </c>
      <c r="O645" s="48" t="str">
        <f>IF(OR($B645="",$D645=""),"",ROUND($M645*$N645,0))</f>
        <v/>
      </c>
      <c r="P645" s="48" t="str">
        <f>IF($AC645&gt;0,IF(ISNUMBER(INDEX(CASHBACK_RULES!$J$5:$J$304,$AC645)),INDEX(CASHBACK_RULES!$J$5:$J$304,$AC645),"∞"),"")</f>
        <v/>
      </c>
      <c r="Q645" s="48" t="str">
        <f>IF(OR($B645="",$D645=""),"",IF($AC645=0,0,MAX(0,MIN($O645,IF(ISNUMBER($P645),$P645-$AF645,1E+15),IF(ISNUMBER($AA645),$AA645-$AG645,1E+15)))))</f>
        <v/>
      </c>
      <c r="R645" s="48" t="str">
        <f>IF(OR($B645="",$D645=""),"",IF($AC645=0,"",IF(AND(NOT(ISNUMBER($P645)),NOT(ISNUMBER($AA645))),"∞",MAX(0,MIN(IF(ISNUMBER($P645),$P645-$AF645-$Q645,1E+15),IF(ISNUMBER($AA645),$AA645-$AG645-$Q645,1E+15))))))</f>
        <v/>
      </c>
      <c r="S645" s="47" t="str">
        <f>IF($AD645="","",YEAR($AD645)*100+MONTH($AD645))</f>
        <v/>
      </c>
      <c r="T645" s="50" t="str">
        <f>IF($AD645="","",IFERROR(IF(INDEX(CARDS!$I$5:$I$34,MATCH($D645,CARDS!$A$5:$A$34,0))="","",IF(INDEX(CARDS!$I$5:$I$34,MATCH($D645,CARDS!$A$5:$A$34,0))&gt;INDEX(CARDS!$H$5:$H$34,MATCH($D645,CARDS!$A$5:$A$34,0)),DATE(YEAR($AD645),MONTH($AD645),MIN(INDEX(CARDS!$I$5:$I$34,MATCH($D645,CARDS!$A$5:$A$34,0)),DAY(EOMONTH($AD645,0)))),DATE(YEAR($AD645),MONTH($AD645)+1,MIN(INDEX(CARDS!$I$5:$I$34,MATCH($D645,CARDS!$A$5:$A$34,0)),DAY(EOMONTH($AD645,1)))))),""))</f>
        <v/>
      </c>
      <c r="U645" s="38" t="n"/>
      <c r="V645" s="37" t="n"/>
      <c r="W645" s="38" t="n"/>
      <c r="X645" s="38" t="n"/>
      <c r="Y645" s="44" t="str">
        <f>IF($AC645&gt;0,INDEX(CASHBACK_RULES!$A$5:$A$304,$AC645),"")</f>
        <v/>
      </c>
      <c r="Z645" s="45" t="str">
        <f>IF($AC645&gt;0,INDEX(CASHBACK_RULES!$E$5:$E$304,$AC645)&amp;"","")</f>
        <v/>
      </c>
      <c r="AA645" s="48" t="str">
        <f>IF($AC645&gt;0,IF(ISNUMBER(INDEX(CASHBACK_RULES!$K$5:$K$304,$AC645)),INDEX(CASHBACK_RULES!$K$5:$K$304,$AC645),"∞"),"")</f>
        <v/>
      </c>
      <c r="AB645" s="44" t="str">
        <f>IF(OR($B645="",$D645=""),"",IF($U645="Cancelled","Đã hủy",IF($AC645=0,"Không được hoàn",IF($Q645=0,IF(OR($O645&gt;0,$M645&lt;$L645),"Đã đạt cap","Không được hoàn"),IF(OR($Q645&lt;$O645,$M645&lt;$L645),"Hoàn một phần","Được hoàn")))))</f>
        <v/>
      </c>
      <c r="AC645" s="43">
        <f>IF(OR($B645="",$D645="",$I645="",$L645=""),0,IF($U645="Cancelled",0,IF($W645&lt;&gt;"",IFERROR(IF(INDEX(CASHBACK_RULES!$B$5:$B$304,MATCH($W645,CASHBACK_RULES!$A$5:$A$304,0))=$D645,MATCH($W645,CASHBACK_RULES!$A$5:$A$304,0),0),0),IFERROR(MATCH(1,INDEX((CASHBACK_RULES!$B$5:$B$304=$D645)*(CASHBACK_RULES!$G$5:$G$304=$I645)*(((CASHBACK_RULES!$N$5:$N$304="")+(CASHBACK_RULES!$N$5:$N$304&lt;=$B645))&gt;0)*(((CASHBACK_RULES!$O$5:$O$304="")+(CASHBACK_RULES!$O$5:$O$304&gt;=$B645))&gt;0)*(((CASHBACK_RULES!$M$5:$M$304="")+(CASHBACK_RULES!$M$5:$M$304&lt;=$L645))&gt;0),0),0),0))))</f>
        <v>0</v>
      </c>
      <c r="AD645" s="51" t="str">
        <f>IF(OR($B645="",$D645=""),"",IFERROR(IF(INDEX(CARDS!$H$5:$H$34,MATCH($D645,CARDS!$A$5:$A$34,0))="","",IF(DAY($B645)&lt;=INDEX(CARDS!$H$5:$H$34,MATCH($D645,CARDS!$A$5:$A$34,0)),DATE(YEAR($B645),MONTH($B645),MIN(INDEX(CARDS!$H$5:$H$34,MATCH($D645,CARDS!$A$5:$A$34,0)),DAY(EOMONTH($B645,0)))),DATE(YEAR($B645),MONTH($B645)+1,MIN(INDEX(CARDS!$H$5:$H$34,MATCH($D645,CARDS!$A$5:$A$34,0)),DAY(EOMONTH($B645,1)))))),""))</f>
        <v/>
      </c>
      <c r="AE645" s="52" t="str">
        <f>IF($C645="","",$C645&amp;"|"&amp;COUNTIF($C$5:$C645,$C645))</f>
        <v/>
      </c>
      <c r="AF645" s="53">
        <f>IF($AC645&gt;0,SUMIFS(Q$4:Q644,$D$4:$D644,$D645,$Z$4:$Z644,$Z645,$C$4:$C644,$C645),0)</f>
        <v>0</v>
      </c>
      <c r="AG645" s="53">
        <f>IF($AC645&gt;0,SUMIFS(Q$4:Q644,$D$4:$D644,$D645,$C$4:$C644,$C645),0)</f>
        <v>0</v>
      </c>
      <c r="AH645" s="53">
        <f>IF($AC645&gt;0,SUMIFS(M$4:M644,$D$4:$D644,$D645,$Z$4:$Z644,$Z645,$C$4:$C644,$C645),0)</f>
        <v>0</v>
      </c>
      <c r="AI645" s="43">
        <f>IF(OR($C645="",$I645=""),0,IF(COUNTIFS($C$5:$C645,$C645,$I$5:$I645,$I645)=1,1,0))</f>
        <v>0</v>
      </c>
      <c r="AJ645" s="43" t="str">
        <f>IF($AI645=1,SUMIFS($AI$4:$AI644,$C$4:$C644,$C645)+1,"")</f>
        <v/>
      </c>
      <c r="AK645" s="43">
        <f>IF(OR($C645="",$K645=""),0,IF(COUNTIFS($C$5:$C645,$C645,$K$5:$K645,$K645)=1,1,0))</f>
        <v>0</v>
      </c>
      <c r="AL645" s="43" t="str">
        <f>IF($AK645=1,SUMIFS($AK$4:$AK644,$C$4:$C644,$C645)+1,"")</f>
        <v/>
      </c>
      <c r="AM645" s="43">
        <f>IF(OR($C645="",$G645=""),0,IF(COUNTIFS($C$5:$C645,$C645,$G$5:$G645,$G645)=1,1,0))</f>
        <v>0</v>
      </c>
      <c r="AN645" s="43" t="str">
        <f>IF($AM645=1,SUMIFS($AM$4:$AM644,$C$4:$C644,$C645)+1,"")</f>
        <v/>
      </c>
    </row>
    <row r="646">
      <c r="A646" s="44" t="str">
        <f>IF(OR($B646="",$D646=""),"","TX"&amp;TEXT(ROW()-4,"0000"))</f>
        <v/>
      </c>
      <c r="B646" s="42" t="n"/>
      <c r="C646" s="47" t="str">
        <f>IF($B646="","",YEAR($B646)*100+MONTH($B646))</f>
        <v/>
      </c>
      <c r="D646" s="37" t="n"/>
      <c r="E646" s="45" t="str">
        <f>IF($D646="","",IFERROR(INDEX(CARDS!$B$5:$B$34,MATCH($D646,CARDS!$A$5:$A$34,0)),"⚠ Card ID?"))</f>
        <v/>
      </c>
      <c r="F646" s="45" t="str">
        <f>IF($D646="","",IFERROR(INDEX(CARDS!$C$5:$C$34,MATCH($D646,CARDS!$A$5:$A$34,0)),"⚠ Card ID?"))</f>
        <v/>
      </c>
      <c r="G646" s="37" t="n"/>
      <c r="H646" s="37" t="n"/>
      <c r="I646" s="41" t="n"/>
      <c r="J646" s="45" t="str">
        <f>IF($I646="","",IFERROR(INDEX(MCC_MASTER!$B$5:$B$504,MATCH($I646,MCC_MASTER!$A$5:$A$504,0)),"⚠ MCC chưa có"))</f>
        <v/>
      </c>
      <c r="K646" s="45" t="str">
        <f>IF($I646="","",IFERROR(IF(INDEX(MCC_MASTER!$C$5:$C$504,MATCH($I646,MCC_MASTER!$A$5:$A$504,0))="","Chưa phân loại",INDEX(MCC_MASTER!$C$5:$C$504,MATCH($I646,MCC_MASTER!$A$5:$A$504,0))),"Chưa phân loại"))</f>
        <v/>
      </c>
      <c r="L646" s="40" t="n"/>
      <c r="M646" s="48" t="str">
        <f>IF(OR($B646="",$D646=""),"",IF($AC646=0,0,IF(ISNUMBER(INDEX(CASHBACK_RULES!$L$5:$L$304,$AC646)),MAX(0,MIN($L646,INDEX(CASHBACK_RULES!$L$5:$L$304,$AC646)-$AH646)),MAX(0,$L646))))</f>
        <v/>
      </c>
      <c r="N646" s="49" t="str">
        <f>IF(OR($B646="",$D646=""),"",IF($AC646&gt;0,INDEX(CASHBACK_RULES!$I$5:$I$304,$AC646),0))</f>
        <v/>
      </c>
      <c r="O646" s="48" t="str">
        <f>IF(OR($B646="",$D646=""),"",ROUND($M646*$N646,0))</f>
        <v/>
      </c>
      <c r="P646" s="48" t="str">
        <f>IF($AC646&gt;0,IF(ISNUMBER(INDEX(CASHBACK_RULES!$J$5:$J$304,$AC646)),INDEX(CASHBACK_RULES!$J$5:$J$304,$AC646),"∞"),"")</f>
        <v/>
      </c>
      <c r="Q646" s="48" t="str">
        <f>IF(OR($B646="",$D646=""),"",IF($AC646=0,0,MAX(0,MIN($O646,IF(ISNUMBER($P646),$P646-$AF646,1E+15),IF(ISNUMBER($AA646),$AA646-$AG646,1E+15)))))</f>
        <v/>
      </c>
      <c r="R646" s="48" t="str">
        <f>IF(OR($B646="",$D646=""),"",IF($AC646=0,"",IF(AND(NOT(ISNUMBER($P646)),NOT(ISNUMBER($AA646))),"∞",MAX(0,MIN(IF(ISNUMBER($P646),$P646-$AF646-$Q646,1E+15),IF(ISNUMBER($AA646),$AA646-$AG646-$Q646,1E+15))))))</f>
        <v/>
      </c>
      <c r="S646" s="47" t="str">
        <f>IF($AD646="","",YEAR($AD646)*100+MONTH($AD646))</f>
        <v/>
      </c>
      <c r="T646" s="50" t="str">
        <f>IF($AD646="","",IFERROR(IF(INDEX(CARDS!$I$5:$I$34,MATCH($D646,CARDS!$A$5:$A$34,0))="","",IF(INDEX(CARDS!$I$5:$I$34,MATCH($D646,CARDS!$A$5:$A$34,0))&gt;INDEX(CARDS!$H$5:$H$34,MATCH($D646,CARDS!$A$5:$A$34,0)),DATE(YEAR($AD646),MONTH($AD646),MIN(INDEX(CARDS!$I$5:$I$34,MATCH($D646,CARDS!$A$5:$A$34,0)),DAY(EOMONTH($AD646,0)))),DATE(YEAR($AD646),MONTH($AD646)+1,MIN(INDEX(CARDS!$I$5:$I$34,MATCH($D646,CARDS!$A$5:$A$34,0)),DAY(EOMONTH($AD646,1)))))),""))</f>
        <v/>
      </c>
      <c r="U646" s="38" t="n"/>
      <c r="V646" s="37" t="n"/>
      <c r="W646" s="38" t="n"/>
      <c r="X646" s="38" t="n"/>
      <c r="Y646" s="44" t="str">
        <f>IF($AC646&gt;0,INDEX(CASHBACK_RULES!$A$5:$A$304,$AC646),"")</f>
        <v/>
      </c>
      <c r="Z646" s="45" t="str">
        <f>IF($AC646&gt;0,INDEX(CASHBACK_RULES!$E$5:$E$304,$AC646)&amp;"","")</f>
        <v/>
      </c>
      <c r="AA646" s="48" t="str">
        <f>IF($AC646&gt;0,IF(ISNUMBER(INDEX(CASHBACK_RULES!$K$5:$K$304,$AC646)),INDEX(CASHBACK_RULES!$K$5:$K$304,$AC646),"∞"),"")</f>
        <v/>
      </c>
      <c r="AB646" s="44" t="str">
        <f>IF(OR($B646="",$D646=""),"",IF($U646="Cancelled","Đã hủy",IF($AC646=0,"Không được hoàn",IF($Q646=0,IF(OR($O646&gt;0,$M646&lt;$L646),"Đã đạt cap","Không được hoàn"),IF(OR($Q646&lt;$O646,$M646&lt;$L646),"Hoàn một phần","Được hoàn")))))</f>
        <v/>
      </c>
      <c r="AC646" s="43">
        <f>IF(OR($B646="",$D646="",$I646="",$L646=""),0,IF($U646="Cancelled",0,IF($W646&lt;&gt;"",IFERROR(IF(INDEX(CASHBACK_RULES!$B$5:$B$304,MATCH($W646,CASHBACK_RULES!$A$5:$A$304,0))=$D646,MATCH($W646,CASHBACK_RULES!$A$5:$A$304,0),0),0),IFERROR(MATCH(1,INDEX((CASHBACK_RULES!$B$5:$B$304=$D646)*(CASHBACK_RULES!$G$5:$G$304=$I646)*(((CASHBACK_RULES!$N$5:$N$304="")+(CASHBACK_RULES!$N$5:$N$304&lt;=$B646))&gt;0)*(((CASHBACK_RULES!$O$5:$O$304="")+(CASHBACK_RULES!$O$5:$O$304&gt;=$B646))&gt;0)*(((CASHBACK_RULES!$M$5:$M$304="")+(CASHBACK_RULES!$M$5:$M$304&lt;=$L646))&gt;0),0),0),0))))</f>
        <v>0</v>
      </c>
      <c r="AD646" s="51" t="str">
        <f>IF(OR($B646="",$D646=""),"",IFERROR(IF(INDEX(CARDS!$H$5:$H$34,MATCH($D646,CARDS!$A$5:$A$34,0))="","",IF(DAY($B646)&lt;=INDEX(CARDS!$H$5:$H$34,MATCH($D646,CARDS!$A$5:$A$34,0)),DATE(YEAR($B646),MONTH($B646),MIN(INDEX(CARDS!$H$5:$H$34,MATCH($D646,CARDS!$A$5:$A$34,0)),DAY(EOMONTH($B646,0)))),DATE(YEAR($B646),MONTH($B646)+1,MIN(INDEX(CARDS!$H$5:$H$34,MATCH($D646,CARDS!$A$5:$A$34,0)),DAY(EOMONTH($B646,1)))))),""))</f>
        <v/>
      </c>
      <c r="AE646" s="52" t="str">
        <f>IF($C646="","",$C646&amp;"|"&amp;COUNTIF($C$5:$C646,$C646))</f>
        <v/>
      </c>
      <c r="AF646" s="53">
        <f>IF($AC646&gt;0,SUMIFS(Q$4:Q645,$D$4:$D645,$D646,$Z$4:$Z645,$Z646,$C$4:$C645,$C646),0)</f>
        <v>0</v>
      </c>
      <c r="AG646" s="53">
        <f>IF($AC646&gt;0,SUMIFS(Q$4:Q645,$D$4:$D645,$D646,$C$4:$C645,$C646),0)</f>
        <v>0</v>
      </c>
      <c r="AH646" s="53">
        <f>IF($AC646&gt;0,SUMIFS(M$4:M645,$D$4:$D645,$D646,$Z$4:$Z645,$Z646,$C$4:$C645,$C646),0)</f>
        <v>0</v>
      </c>
      <c r="AI646" s="43">
        <f>IF(OR($C646="",$I646=""),0,IF(COUNTIFS($C$5:$C646,$C646,$I$5:$I646,$I646)=1,1,0))</f>
        <v>0</v>
      </c>
      <c r="AJ646" s="43" t="str">
        <f>IF($AI646=1,SUMIFS($AI$4:$AI645,$C$4:$C645,$C646)+1,"")</f>
        <v/>
      </c>
      <c r="AK646" s="43">
        <f>IF(OR($C646="",$K646=""),0,IF(COUNTIFS($C$5:$C646,$C646,$K$5:$K646,$K646)=1,1,0))</f>
        <v>0</v>
      </c>
      <c r="AL646" s="43" t="str">
        <f>IF($AK646=1,SUMIFS($AK$4:$AK645,$C$4:$C645,$C646)+1,"")</f>
        <v/>
      </c>
      <c r="AM646" s="43">
        <f>IF(OR($C646="",$G646=""),0,IF(COUNTIFS($C$5:$C646,$C646,$G$5:$G646,$G646)=1,1,0))</f>
        <v>0</v>
      </c>
      <c r="AN646" s="43" t="str">
        <f>IF($AM646=1,SUMIFS($AM$4:$AM645,$C$4:$C645,$C646)+1,"")</f>
        <v/>
      </c>
    </row>
    <row r="647">
      <c r="A647" s="44" t="str">
        <f>IF(OR($B647="",$D647=""),"","TX"&amp;TEXT(ROW()-4,"0000"))</f>
        <v/>
      </c>
      <c r="B647" s="42" t="n"/>
      <c r="C647" s="47" t="str">
        <f>IF($B647="","",YEAR($B647)*100+MONTH($B647))</f>
        <v/>
      </c>
      <c r="D647" s="37" t="n"/>
      <c r="E647" s="45" t="str">
        <f>IF($D647="","",IFERROR(INDEX(CARDS!$B$5:$B$34,MATCH($D647,CARDS!$A$5:$A$34,0)),"⚠ Card ID?"))</f>
        <v/>
      </c>
      <c r="F647" s="45" t="str">
        <f>IF($D647="","",IFERROR(INDEX(CARDS!$C$5:$C$34,MATCH($D647,CARDS!$A$5:$A$34,0)),"⚠ Card ID?"))</f>
        <v/>
      </c>
      <c r="G647" s="37" t="n"/>
      <c r="H647" s="37" t="n"/>
      <c r="I647" s="41" t="n"/>
      <c r="J647" s="45" t="str">
        <f>IF($I647="","",IFERROR(INDEX(MCC_MASTER!$B$5:$B$504,MATCH($I647,MCC_MASTER!$A$5:$A$504,0)),"⚠ MCC chưa có"))</f>
        <v/>
      </c>
      <c r="K647" s="45" t="str">
        <f>IF($I647="","",IFERROR(IF(INDEX(MCC_MASTER!$C$5:$C$504,MATCH($I647,MCC_MASTER!$A$5:$A$504,0))="","Chưa phân loại",INDEX(MCC_MASTER!$C$5:$C$504,MATCH($I647,MCC_MASTER!$A$5:$A$504,0))),"Chưa phân loại"))</f>
        <v/>
      </c>
      <c r="L647" s="40" t="n"/>
      <c r="M647" s="48" t="str">
        <f>IF(OR($B647="",$D647=""),"",IF($AC647=0,0,IF(ISNUMBER(INDEX(CASHBACK_RULES!$L$5:$L$304,$AC647)),MAX(0,MIN($L647,INDEX(CASHBACK_RULES!$L$5:$L$304,$AC647)-$AH647)),MAX(0,$L647))))</f>
        <v/>
      </c>
      <c r="N647" s="49" t="str">
        <f>IF(OR($B647="",$D647=""),"",IF($AC647&gt;0,INDEX(CASHBACK_RULES!$I$5:$I$304,$AC647),0))</f>
        <v/>
      </c>
      <c r="O647" s="48" t="str">
        <f>IF(OR($B647="",$D647=""),"",ROUND($M647*$N647,0))</f>
        <v/>
      </c>
      <c r="P647" s="48" t="str">
        <f>IF($AC647&gt;0,IF(ISNUMBER(INDEX(CASHBACK_RULES!$J$5:$J$304,$AC647)),INDEX(CASHBACK_RULES!$J$5:$J$304,$AC647),"∞"),"")</f>
        <v/>
      </c>
      <c r="Q647" s="48" t="str">
        <f>IF(OR($B647="",$D647=""),"",IF($AC647=0,0,MAX(0,MIN($O647,IF(ISNUMBER($P647),$P647-$AF647,1E+15),IF(ISNUMBER($AA647),$AA647-$AG647,1E+15)))))</f>
        <v/>
      </c>
      <c r="R647" s="48" t="str">
        <f>IF(OR($B647="",$D647=""),"",IF($AC647=0,"",IF(AND(NOT(ISNUMBER($P647)),NOT(ISNUMBER($AA647))),"∞",MAX(0,MIN(IF(ISNUMBER($P647),$P647-$AF647-$Q647,1E+15),IF(ISNUMBER($AA647),$AA647-$AG647-$Q647,1E+15))))))</f>
        <v/>
      </c>
      <c r="S647" s="47" t="str">
        <f>IF($AD647="","",YEAR($AD647)*100+MONTH($AD647))</f>
        <v/>
      </c>
      <c r="T647" s="50" t="str">
        <f>IF($AD647="","",IFERROR(IF(INDEX(CARDS!$I$5:$I$34,MATCH($D647,CARDS!$A$5:$A$34,0))="","",IF(INDEX(CARDS!$I$5:$I$34,MATCH($D647,CARDS!$A$5:$A$34,0))&gt;INDEX(CARDS!$H$5:$H$34,MATCH($D647,CARDS!$A$5:$A$34,0)),DATE(YEAR($AD647),MONTH($AD647),MIN(INDEX(CARDS!$I$5:$I$34,MATCH($D647,CARDS!$A$5:$A$34,0)),DAY(EOMONTH($AD647,0)))),DATE(YEAR($AD647),MONTH($AD647)+1,MIN(INDEX(CARDS!$I$5:$I$34,MATCH($D647,CARDS!$A$5:$A$34,0)),DAY(EOMONTH($AD647,1)))))),""))</f>
        <v/>
      </c>
      <c r="U647" s="38" t="n"/>
      <c r="V647" s="37" t="n"/>
      <c r="W647" s="38" t="n"/>
      <c r="X647" s="38" t="n"/>
      <c r="Y647" s="44" t="str">
        <f>IF($AC647&gt;0,INDEX(CASHBACK_RULES!$A$5:$A$304,$AC647),"")</f>
        <v/>
      </c>
      <c r="Z647" s="45" t="str">
        <f>IF($AC647&gt;0,INDEX(CASHBACK_RULES!$E$5:$E$304,$AC647)&amp;"","")</f>
        <v/>
      </c>
      <c r="AA647" s="48" t="str">
        <f>IF($AC647&gt;0,IF(ISNUMBER(INDEX(CASHBACK_RULES!$K$5:$K$304,$AC647)),INDEX(CASHBACK_RULES!$K$5:$K$304,$AC647),"∞"),"")</f>
        <v/>
      </c>
      <c r="AB647" s="44" t="str">
        <f>IF(OR($B647="",$D647=""),"",IF($U647="Cancelled","Đã hủy",IF($AC647=0,"Không được hoàn",IF($Q647=0,IF(OR($O647&gt;0,$M647&lt;$L647),"Đã đạt cap","Không được hoàn"),IF(OR($Q647&lt;$O647,$M647&lt;$L647),"Hoàn một phần","Được hoàn")))))</f>
        <v/>
      </c>
      <c r="AC647" s="43">
        <f>IF(OR($B647="",$D647="",$I647="",$L647=""),0,IF($U647="Cancelled",0,IF($W647&lt;&gt;"",IFERROR(IF(INDEX(CASHBACK_RULES!$B$5:$B$304,MATCH($W647,CASHBACK_RULES!$A$5:$A$304,0))=$D647,MATCH($W647,CASHBACK_RULES!$A$5:$A$304,0),0),0),IFERROR(MATCH(1,INDEX((CASHBACK_RULES!$B$5:$B$304=$D647)*(CASHBACK_RULES!$G$5:$G$304=$I647)*(((CASHBACK_RULES!$N$5:$N$304="")+(CASHBACK_RULES!$N$5:$N$304&lt;=$B647))&gt;0)*(((CASHBACK_RULES!$O$5:$O$304="")+(CASHBACK_RULES!$O$5:$O$304&gt;=$B647))&gt;0)*(((CASHBACK_RULES!$M$5:$M$304="")+(CASHBACK_RULES!$M$5:$M$304&lt;=$L647))&gt;0),0),0),0))))</f>
        <v>0</v>
      </c>
      <c r="AD647" s="51" t="str">
        <f>IF(OR($B647="",$D647=""),"",IFERROR(IF(INDEX(CARDS!$H$5:$H$34,MATCH($D647,CARDS!$A$5:$A$34,0))="","",IF(DAY($B647)&lt;=INDEX(CARDS!$H$5:$H$34,MATCH($D647,CARDS!$A$5:$A$34,0)),DATE(YEAR($B647),MONTH($B647),MIN(INDEX(CARDS!$H$5:$H$34,MATCH($D647,CARDS!$A$5:$A$34,0)),DAY(EOMONTH($B647,0)))),DATE(YEAR($B647),MONTH($B647)+1,MIN(INDEX(CARDS!$H$5:$H$34,MATCH($D647,CARDS!$A$5:$A$34,0)),DAY(EOMONTH($B647,1)))))),""))</f>
        <v/>
      </c>
      <c r="AE647" s="52" t="str">
        <f>IF($C647="","",$C647&amp;"|"&amp;COUNTIF($C$5:$C647,$C647))</f>
        <v/>
      </c>
      <c r="AF647" s="53">
        <f>IF($AC647&gt;0,SUMIFS(Q$4:Q646,$D$4:$D646,$D647,$Z$4:$Z646,$Z647,$C$4:$C646,$C647),0)</f>
        <v>0</v>
      </c>
      <c r="AG647" s="53">
        <f>IF($AC647&gt;0,SUMIFS(Q$4:Q646,$D$4:$D646,$D647,$C$4:$C646,$C647),0)</f>
        <v>0</v>
      </c>
      <c r="AH647" s="53">
        <f>IF($AC647&gt;0,SUMIFS(M$4:M646,$D$4:$D646,$D647,$Z$4:$Z646,$Z647,$C$4:$C646,$C647),0)</f>
        <v>0</v>
      </c>
      <c r="AI647" s="43">
        <f>IF(OR($C647="",$I647=""),0,IF(COUNTIFS($C$5:$C647,$C647,$I$5:$I647,$I647)=1,1,0))</f>
        <v>0</v>
      </c>
      <c r="AJ647" s="43" t="str">
        <f>IF($AI647=1,SUMIFS($AI$4:$AI646,$C$4:$C646,$C647)+1,"")</f>
        <v/>
      </c>
      <c r="AK647" s="43">
        <f>IF(OR($C647="",$K647=""),0,IF(COUNTIFS($C$5:$C647,$C647,$K$5:$K647,$K647)=1,1,0))</f>
        <v>0</v>
      </c>
      <c r="AL647" s="43" t="str">
        <f>IF($AK647=1,SUMIFS($AK$4:$AK646,$C$4:$C646,$C647)+1,"")</f>
        <v/>
      </c>
      <c r="AM647" s="43">
        <f>IF(OR($C647="",$G647=""),0,IF(COUNTIFS($C$5:$C647,$C647,$G$5:$G647,$G647)=1,1,0))</f>
        <v>0</v>
      </c>
      <c r="AN647" s="43" t="str">
        <f>IF($AM647=1,SUMIFS($AM$4:$AM646,$C$4:$C646,$C647)+1,"")</f>
        <v/>
      </c>
    </row>
    <row r="648">
      <c r="A648" s="44" t="str">
        <f>IF(OR($B648="",$D648=""),"","TX"&amp;TEXT(ROW()-4,"0000"))</f>
        <v/>
      </c>
      <c r="B648" s="42" t="n"/>
      <c r="C648" s="47" t="str">
        <f>IF($B648="","",YEAR($B648)*100+MONTH($B648))</f>
        <v/>
      </c>
      <c r="D648" s="37" t="n"/>
      <c r="E648" s="45" t="str">
        <f>IF($D648="","",IFERROR(INDEX(CARDS!$B$5:$B$34,MATCH($D648,CARDS!$A$5:$A$34,0)),"⚠ Card ID?"))</f>
        <v/>
      </c>
      <c r="F648" s="45" t="str">
        <f>IF($D648="","",IFERROR(INDEX(CARDS!$C$5:$C$34,MATCH($D648,CARDS!$A$5:$A$34,0)),"⚠ Card ID?"))</f>
        <v/>
      </c>
      <c r="G648" s="37" t="n"/>
      <c r="H648" s="37" t="n"/>
      <c r="I648" s="41" t="n"/>
      <c r="J648" s="45" t="str">
        <f>IF($I648="","",IFERROR(INDEX(MCC_MASTER!$B$5:$B$504,MATCH($I648,MCC_MASTER!$A$5:$A$504,0)),"⚠ MCC chưa có"))</f>
        <v/>
      </c>
      <c r="K648" s="45" t="str">
        <f>IF($I648="","",IFERROR(IF(INDEX(MCC_MASTER!$C$5:$C$504,MATCH($I648,MCC_MASTER!$A$5:$A$504,0))="","Chưa phân loại",INDEX(MCC_MASTER!$C$5:$C$504,MATCH($I648,MCC_MASTER!$A$5:$A$504,0))),"Chưa phân loại"))</f>
        <v/>
      </c>
      <c r="L648" s="40" t="n"/>
      <c r="M648" s="48" t="str">
        <f>IF(OR($B648="",$D648=""),"",IF($AC648=0,0,IF(ISNUMBER(INDEX(CASHBACK_RULES!$L$5:$L$304,$AC648)),MAX(0,MIN($L648,INDEX(CASHBACK_RULES!$L$5:$L$304,$AC648)-$AH648)),MAX(0,$L648))))</f>
        <v/>
      </c>
      <c r="N648" s="49" t="str">
        <f>IF(OR($B648="",$D648=""),"",IF($AC648&gt;0,INDEX(CASHBACK_RULES!$I$5:$I$304,$AC648),0))</f>
        <v/>
      </c>
      <c r="O648" s="48" t="str">
        <f>IF(OR($B648="",$D648=""),"",ROUND($M648*$N648,0))</f>
        <v/>
      </c>
      <c r="P648" s="48" t="str">
        <f>IF($AC648&gt;0,IF(ISNUMBER(INDEX(CASHBACK_RULES!$J$5:$J$304,$AC648)),INDEX(CASHBACK_RULES!$J$5:$J$304,$AC648),"∞"),"")</f>
        <v/>
      </c>
      <c r="Q648" s="48" t="str">
        <f>IF(OR($B648="",$D648=""),"",IF($AC648=0,0,MAX(0,MIN($O648,IF(ISNUMBER($P648),$P648-$AF648,1E+15),IF(ISNUMBER($AA648),$AA648-$AG648,1E+15)))))</f>
        <v/>
      </c>
      <c r="R648" s="48" t="str">
        <f>IF(OR($B648="",$D648=""),"",IF($AC648=0,"",IF(AND(NOT(ISNUMBER($P648)),NOT(ISNUMBER($AA648))),"∞",MAX(0,MIN(IF(ISNUMBER($P648),$P648-$AF648-$Q648,1E+15),IF(ISNUMBER($AA648),$AA648-$AG648-$Q648,1E+15))))))</f>
        <v/>
      </c>
      <c r="S648" s="47" t="str">
        <f>IF($AD648="","",YEAR($AD648)*100+MONTH($AD648))</f>
        <v/>
      </c>
      <c r="T648" s="50" t="str">
        <f>IF($AD648="","",IFERROR(IF(INDEX(CARDS!$I$5:$I$34,MATCH($D648,CARDS!$A$5:$A$34,0))="","",IF(INDEX(CARDS!$I$5:$I$34,MATCH($D648,CARDS!$A$5:$A$34,0))&gt;INDEX(CARDS!$H$5:$H$34,MATCH($D648,CARDS!$A$5:$A$34,0)),DATE(YEAR($AD648),MONTH($AD648),MIN(INDEX(CARDS!$I$5:$I$34,MATCH($D648,CARDS!$A$5:$A$34,0)),DAY(EOMONTH($AD648,0)))),DATE(YEAR($AD648),MONTH($AD648)+1,MIN(INDEX(CARDS!$I$5:$I$34,MATCH($D648,CARDS!$A$5:$A$34,0)),DAY(EOMONTH($AD648,1)))))),""))</f>
        <v/>
      </c>
      <c r="U648" s="38" t="n"/>
      <c r="V648" s="37" t="n"/>
      <c r="W648" s="38" t="n"/>
      <c r="X648" s="38" t="n"/>
      <c r="Y648" s="44" t="str">
        <f>IF($AC648&gt;0,INDEX(CASHBACK_RULES!$A$5:$A$304,$AC648),"")</f>
        <v/>
      </c>
      <c r="Z648" s="45" t="str">
        <f>IF($AC648&gt;0,INDEX(CASHBACK_RULES!$E$5:$E$304,$AC648)&amp;"","")</f>
        <v/>
      </c>
      <c r="AA648" s="48" t="str">
        <f>IF($AC648&gt;0,IF(ISNUMBER(INDEX(CASHBACK_RULES!$K$5:$K$304,$AC648)),INDEX(CASHBACK_RULES!$K$5:$K$304,$AC648),"∞"),"")</f>
        <v/>
      </c>
      <c r="AB648" s="44" t="str">
        <f>IF(OR($B648="",$D648=""),"",IF($U648="Cancelled","Đã hủy",IF($AC648=0,"Không được hoàn",IF($Q648=0,IF(OR($O648&gt;0,$M648&lt;$L648),"Đã đạt cap","Không được hoàn"),IF(OR($Q648&lt;$O648,$M648&lt;$L648),"Hoàn một phần","Được hoàn")))))</f>
        <v/>
      </c>
      <c r="AC648" s="43">
        <f>IF(OR($B648="",$D648="",$I648="",$L648=""),0,IF($U648="Cancelled",0,IF($W648&lt;&gt;"",IFERROR(IF(INDEX(CASHBACK_RULES!$B$5:$B$304,MATCH($W648,CASHBACK_RULES!$A$5:$A$304,0))=$D648,MATCH($W648,CASHBACK_RULES!$A$5:$A$304,0),0),0),IFERROR(MATCH(1,INDEX((CASHBACK_RULES!$B$5:$B$304=$D648)*(CASHBACK_RULES!$G$5:$G$304=$I648)*(((CASHBACK_RULES!$N$5:$N$304="")+(CASHBACK_RULES!$N$5:$N$304&lt;=$B648))&gt;0)*(((CASHBACK_RULES!$O$5:$O$304="")+(CASHBACK_RULES!$O$5:$O$304&gt;=$B648))&gt;0)*(((CASHBACK_RULES!$M$5:$M$304="")+(CASHBACK_RULES!$M$5:$M$304&lt;=$L648))&gt;0),0),0),0))))</f>
        <v>0</v>
      </c>
      <c r="AD648" s="51" t="str">
        <f>IF(OR($B648="",$D648=""),"",IFERROR(IF(INDEX(CARDS!$H$5:$H$34,MATCH($D648,CARDS!$A$5:$A$34,0))="","",IF(DAY($B648)&lt;=INDEX(CARDS!$H$5:$H$34,MATCH($D648,CARDS!$A$5:$A$34,0)),DATE(YEAR($B648),MONTH($B648),MIN(INDEX(CARDS!$H$5:$H$34,MATCH($D648,CARDS!$A$5:$A$34,0)),DAY(EOMONTH($B648,0)))),DATE(YEAR($B648),MONTH($B648)+1,MIN(INDEX(CARDS!$H$5:$H$34,MATCH($D648,CARDS!$A$5:$A$34,0)),DAY(EOMONTH($B648,1)))))),""))</f>
        <v/>
      </c>
      <c r="AE648" s="52" t="str">
        <f>IF($C648="","",$C648&amp;"|"&amp;COUNTIF($C$5:$C648,$C648))</f>
        <v/>
      </c>
      <c r="AF648" s="53">
        <f>IF($AC648&gt;0,SUMIFS(Q$4:Q647,$D$4:$D647,$D648,$Z$4:$Z647,$Z648,$C$4:$C647,$C648),0)</f>
        <v>0</v>
      </c>
      <c r="AG648" s="53">
        <f>IF($AC648&gt;0,SUMIFS(Q$4:Q647,$D$4:$D647,$D648,$C$4:$C647,$C648),0)</f>
        <v>0</v>
      </c>
      <c r="AH648" s="53">
        <f>IF($AC648&gt;0,SUMIFS(M$4:M647,$D$4:$D647,$D648,$Z$4:$Z647,$Z648,$C$4:$C647,$C648),0)</f>
        <v>0</v>
      </c>
      <c r="AI648" s="43">
        <f>IF(OR($C648="",$I648=""),0,IF(COUNTIFS($C$5:$C648,$C648,$I$5:$I648,$I648)=1,1,0))</f>
        <v>0</v>
      </c>
      <c r="AJ648" s="43" t="str">
        <f>IF($AI648=1,SUMIFS($AI$4:$AI647,$C$4:$C647,$C648)+1,"")</f>
        <v/>
      </c>
      <c r="AK648" s="43">
        <f>IF(OR($C648="",$K648=""),0,IF(COUNTIFS($C$5:$C648,$C648,$K$5:$K648,$K648)=1,1,0))</f>
        <v>0</v>
      </c>
      <c r="AL648" s="43" t="str">
        <f>IF($AK648=1,SUMIFS($AK$4:$AK647,$C$4:$C647,$C648)+1,"")</f>
        <v/>
      </c>
      <c r="AM648" s="43">
        <f>IF(OR($C648="",$G648=""),0,IF(COUNTIFS($C$5:$C648,$C648,$G$5:$G648,$G648)=1,1,0))</f>
        <v>0</v>
      </c>
      <c r="AN648" s="43" t="str">
        <f>IF($AM648=1,SUMIFS($AM$4:$AM647,$C$4:$C647,$C648)+1,"")</f>
        <v/>
      </c>
    </row>
    <row r="649">
      <c r="A649" s="44" t="str">
        <f>IF(OR($B649="",$D649=""),"","TX"&amp;TEXT(ROW()-4,"0000"))</f>
        <v/>
      </c>
      <c r="B649" s="42" t="n"/>
      <c r="C649" s="47" t="str">
        <f>IF($B649="","",YEAR($B649)*100+MONTH($B649))</f>
        <v/>
      </c>
      <c r="D649" s="37" t="n"/>
      <c r="E649" s="45" t="str">
        <f>IF($D649="","",IFERROR(INDEX(CARDS!$B$5:$B$34,MATCH($D649,CARDS!$A$5:$A$34,0)),"⚠ Card ID?"))</f>
        <v/>
      </c>
      <c r="F649" s="45" t="str">
        <f>IF($D649="","",IFERROR(INDEX(CARDS!$C$5:$C$34,MATCH($D649,CARDS!$A$5:$A$34,0)),"⚠ Card ID?"))</f>
        <v/>
      </c>
      <c r="G649" s="37" t="n"/>
      <c r="H649" s="37" t="n"/>
      <c r="I649" s="41" t="n"/>
      <c r="J649" s="45" t="str">
        <f>IF($I649="","",IFERROR(INDEX(MCC_MASTER!$B$5:$B$504,MATCH($I649,MCC_MASTER!$A$5:$A$504,0)),"⚠ MCC chưa có"))</f>
        <v/>
      </c>
      <c r="K649" s="45" t="str">
        <f>IF($I649="","",IFERROR(IF(INDEX(MCC_MASTER!$C$5:$C$504,MATCH($I649,MCC_MASTER!$A$5:$A$504,0))="","Chưa phân loại",INDEX(MCC_MASTER!$C$5:$C$504,MATCH($I649,MCC_MASTER!$A$5:$A$504,0))),"Chưa phân loại"))</f>
        <v/>
      </c>
      <c r="L649" s="40" t="n"/>
      <c r="M649" s="48" t="str">
        <f>IF(OR($B649="",$D649=""),"",IF($AC649=0,0,IF(ISNUMBER(INDEX(CASHBACK_RULES!$L$5:$L$304,$AC649)),MAX(0,MIN($L649,INDEX(CASHBACK_RULES!$L$5:$L$304,$AC649)-$AH649)),MAX(0,$L649))))</f>
        <v/>
      </c>
      <c r="N649" s="49" t="str">
        <f>IF(OR($B649="",$D649=""),"",IF($AC649&gt;0,INDEX(CASHBACK_RULES!$I$5:$I$304,$AC649),0))</f>
        <v/>
      </c>
      <c r="O649" s="48" t="str">
        <f>IF(OR($B649="",$D649=""),"",ROUND($M649*$N649,0))</f>
        <v/>
      </c>
      <c r="P649" s="48" t="str">
        <f>IF($AC649&gt;0,IF(ISNUMBER(INDEX(CASHBACK_RULES!$J$5:$J$304,$AC649)),INDEX(CASHBACK_RULES!$J$5:$J$304,$AC649),"∞"),"")</f>
        <v/>
      </c>
      <c r="Q649" s="48" t="str">
        <f>IF(OR($B649="",$D649=""),"",IF($AC649=0,0,MAX(0,MIN($O649,IF(ISNUMBER($P649),$P649-$AF649,1E+15),IF(ISNUMBER($AA649),$AA649-$AG649,1E+15)))))</f>
        <v/>
      </c>
      <c r="R649" s="48" t="str">
        <f>IF(OR($B649="",$D649=""),"",IF($AC649=0,"",IF(AND(NOT(ISNUMBER($P649)),NOT(ISNUMBER($AA649))),"∞",MAX(0,MIN(IF(ISNUMBER($P649),$P649-$AF649-$Q649,1E+15),IF(ISNUMBER($AA649),$AA649-$AG649-$Q649,1E+15))))))</f>
        <v/>
      </c>
      <c r="S649" s="47" t="str">
        <f>IF($AD649="","",YEAR($AD649)*100+MONTH($AD649))</f>
        <v/>
      </c>
      <c r="T649" s="50" t="str">
        <f>IF($AD649="","",IFERROR(IF(INDEX(CARDS!$I$5:$I$34,MATCH($D649,CARDS!$A$5:$A$34,0))="","",IF(INDEX(CARDS!$I$5:$I$34,MATCH($D649,CARDS!$A$5:$A$34,0))&gt;INDEX(CARDS!$H$5:$H$34,MATCH($D649,CARDS!$A$5:$A$34,0)),DATE(YEAR($AD649),MONTH($AD649),MIN(INDEX(CARDS!$I$5:$I$34,MATCH($D649,CARDS!$A$5:$A$34,0)),DAY(EOMONTH($AD649,0)))),DATE(YEAR($AD649),MONTH($AD649)+1,MIN(INDEX(CARDS!$I$5:$I$34,MATCH($D649,CARDS!$A$5:$A$34,0)),DAY(EOMONTH($AD649,1)))))),""))</f>
        <v/>
      </c>
      <c r="U649" s="38" t="n"/>
      <c r="V649" s="37" t="n"/>
      <c r="W649" s="38" t="n"/>
      <c r="X649" s="38" t="n"/>
      <c r="Y649" s="44" t="str">
        <f>IF($AC649&gt;0,INDEX(CASHBACK_RULES!$A$5:$A$304,$AC649),"")</f>
        <v/>
      </c>
      <c r="Z649" s="45" t="str">
        <f>IF($AC649&gt;0,INDEX(CASHBACK_RULES!$E$5:$E$304,$AC649)&amp;"","")</f>
        <v/>
      </c>
      <c r="AA649" s="48" t="str">
        <f>IF($AC649&gt;0,IF(ISNUMBER(INDEX(CASHBACK_RULES!$K$5:$K$304,$AC649)),INDEX(CASHBACK_RULES!$K$5:$K$304,$AC649),"∞"),"")</f>
        <v/>
      </c>
      <c r="AB649" s="44" t="str">
        <f>IF(OR($B649="",$D649=""),"",IF($U649="Cancelled","Đã hủy",IF($AC649=0,"Không được hoàn",IF($Q649=0,IF(OR($O649&gt;0,$M649&lt;$L649),"Đã đạt cap","Không được hoàn"),IF(OR($Q649&lt;$O649,$M649&lt;$L649),"Hoàn một phần","Được hoàn")))))</f>
        <v/>
      </c>
      <c r="AC649" s="43">
        <f>IF(OR($B649="",$D649="",$I649="",$L649=""),0,IF($U649="Cancelled",0,IF($W649&lt;&gt;"",IFERROR(IF(INDEX(CASHBACK_RULES!$B$5:$B$304,MATCH($W649,CASHBACK_RULES!$A$5:$A$304,0))=$D649,MATCH($W649,CASHBACK_RULES!$A$5:$A$304,0),0),0),IFERROR(MATCH(1,INDEX((CASHBACK_RULES!$B$5:$B$304=$D649)*(CASHBACK_RULES!$G$5:$G$304=$I649)*(((CASHBACK_RULES!$N$5:$N$304="")+(CASHBACK_RULES!$N$5:$N$304&lt;=$B649))&gt;0)*(((CASHBACK_RULES!$O$5:$O$304="")+(CASHBACK_RULES!$O$5:$O$304&gt;=$B649))&gt;0)*(((CASHBACK_RULES!$M$5:$M$304="")+(CASHBACK_RULES!$M$5:$M$304&lt;=$L649))&gt;0),0),0),0))))</f>
        <v>0</v>
      </c>
      <c r="AD649" s="51" t="str">
        <f>IF(OR($B649="",$D649=""),"",IFERROR(IF(INDEX(CARDS!$H$5:$H$34,MATCH($D649,CARDS!$A$5:$A$34,0))="","",IF(DAY($B649)&lt;=INDEX(CARDS!$H$5:$H$34,MATCH($D649,CARDS!$A$5:$A$34,0)),DATE(YEAR($B649),MONTH($B649),MIN(INDEX(CARDS!$H$5:$H$34,MATCH($D649,CARDS!$A$5:$A$34,0)),DAY(EOMONTH($B649,0)))),DATE(YEAR($B649),MONTH($B649)+1,MIN(INDEX(CARDS!$H$5:$H$34,MATCH($D649,CARDS!$A$5:$A$34,0)),DAY(EOMONTH($B649,1)))))),""))</f>
        <v/>
      </c>
      <c r="AE649" s="52" t="str">
        <f>IF($C649="","",$C649&amp;"|"&amp;COUNTIF($C$5:$C649,$C649))</f>
        <v/>
      </c>
      <c r="AF649" s="53">
        <f>IF($AC649&gt;0,SUMIFS(Q$4:Q648,$D$4:$D648,$D649,$Z$4:$Z648,$Z649,$C$4:$C648,$C649),0)</f>
        <v>0</v>
      </c>
      <c r="AG649" s="53">
        <f>IF($AC649&gt;0,SUMIFS(Q$4:Q648,$D$4:$D648,$D649,$C$4:$C648,$C649),0)</f>
        <v>0</v>
      </c>
      <c r="AH649" s="53">
        <f>IF($AC649&gt;0,SUMIFS(M$4:M648,$D$4:$D648,$D649,$Z$4:$Z648,$Z649,$C$4:$C648,$C649),0)</f>
        <v>0</v>
      </c>
      <c r="AI649" s="43">
        <f>IF(OR($C649="",$I649=""),0,IF(COUNTIFS($C$5:$C649,$C649,$I$5:$I649,$I649)=1,1,0))</f>
        <v>0</v>
      </c>
      <c r="AJ649" s="43" t="str">
        <f>IF($AI649=1,SUMIFS($AI$4:$AI648,$C$4:$C648,$C649)+1,"")</f>
        <v/>
      </c>
      <c r="AK649" s="43">
        <f>IF(OR($C649="",$K649=""),0,IF(COUNTIFS($C$5:$C649,$C649,$K$5:$K649,$K649)=1,1,0))</f>
        <v>0</v>
      </c>
      <c r="AL649" s="43" t="str">
        <f>IF($AK649=1,SUMIFS($AK$4:$AK648,$C$4:$C648,$C649)+1,"")</f>
        <v/>
      </c>
      <c r="AM649" s="43">
        <f>IF(OR($C649="",$G649=""),0,IF(COUNTIFS($C$5:$C649,$C649,$G$5:$G649,$G649)=1,1,0))</f>
        <v>0</v>
      </c>
      <c r="AN649" s="43" t="str">
        <f>IF($AM649=1,SUMIFS($AM$4:$AM648,$C$4:$C648,$C649)+1,"")</f>
        <v/>
      </c>
    </row>
    <row r="650">
      <c r="A650" s="44" t="str">
        <f>IF(OR($B650="",$D650=""),"","TX"&amp;TEXT(ROW()-4,"0000"))</f>
        <v/>
      </c>
      <c r="B650" s="42" t="n"/>
      <c r="C650" s="47" t="str">
        <f>IF($B650="","",YEAR($B650)*100+MONTH($B650))</f>
        <v/>
      </c>
      <c r="D650" s="37" t="n"/>
      <c r="E650" s="45" t="str">
        <f>IF($D650="","",IFERROR(INDEX(CARDS!$B$5:$B$34,MATCH($D650,CARDS!$A$5:$A$34,0)),"⚠ Card ID?"))</f>
        <v/>
      </c>
      <c r="F650" s="45" t="str">
        <f>IF($D650="","",IFERROR(INDEX(CARDS!$C$5:$C$34,MATCH($D650,CARDS!$A$5:$A$34,0)),"⚠ Card ID?"))</f>
        <v/>
      </c>
      <c r="G650" s="37" t="n"/>
      <c r="H650" s="37" t="n"/>
      <c r="I650" s="41" t="n"/>
      <c r="J650" s="45" t="str">
        <f>IF($I650="","",IFERROR(INDEX(MCC_MASTER!$B$5:$B$504,MATCH($I650,MCC_MASTER!$A$5:$A$504,0)),"⚠ MCC chưa có"))</f>
        <v/>
      </c>
      <c r="K650" s="45" t="str">
        <f>IF($I650="","",IFERROR(IF(INDEX(MCC_MASTER!$C$5:$C$504,MATCH($I650,MCC_MASTER!$A$5:$A$504,0))="","Chưa phân loại",INDEX(MCC_MASTER!$C$5:$C$504,MATCH($I650,MCC_MASTER!$A$5:$A$504,0))),"Chưa phân loại"))</f>
        <v/>
      </c>
      <c r="L650" s="40" t="n"/>
      <c r="M650" s="48" t="str">
        <f>IF(OR($B650="",$D650=""),"",IF($AC650=0,0,IF(ISNUMBER(INDEX(CASHBACK_RULES!$L$5:$L$304,$AC650)),MAX(0,MIN($L650,INDEX(CASHBACK_RULES!$L$5:$L$304,$AC650)-$AH650)),MAX(0,$L650))))</f>
        <v/>
      </c>
      <c r="N650" s="49" t="str">
        <f>IF(OR($B650="",$D650=""),"",IF($AC650&gt;0,INDEX(CASHBACK_RULES!$I$5:$I$304,$AC650),0))</f>
        <v/>
      </c>
      <c r="O650" s="48" t="str">
        <f>IF(OR($B650="",$D650=""),"",ROUND($M650*$N650,0))</f>
        <v/>
      </c>
      <c r="P650" s="48" t="str">
        <f>IF($AC650&gt;0,IF(ISNUMBER(INDEX(CASHBACK_RULES!$J$5:$J$304,$AC650)),INDEX(CASHBACK_RULES!$J$5:$J$304,$AC650),"∞"),"")</f>
        <v/>
      </c>
      <c r="Q650" s="48" t="str">
        <f>IF(OR($B650="",$D650=""),"",IF($AC650=0,0,MAX(0,MIN($O650,IF(ISNUMBER($P650),$P650-$AF650,1E+15),IF(ISNUMBER($AA650),$AA650-$AG650,1E+15)))))</f>
        <v/>
      </c>
      <c r="R650" s="48" t="str">
        <f>IF(OR($B650="",$D650=""),"",IF($AC650=0,"",IF(AND(NOT(ISNUMBER($P650)),NOT(ISNUMBER($AA650))),"∞",MAX(0,MIN(IF(ISNUMBER($P650),$P650-$AF650-$Q650,1E+15),IF(ISNUMBER($AA650),$AA650-$AG650-$Q650,1E+15))))))</f>
        <v/>
      </c>
      <c r="S650" s="47" t="str">
        <f>IF($AD650="","",YEAR($AD650)*100+MONTH($AD650))</f>
        <v/>
      </c>
      <c r="T650" s="50" t="str">
        <f>IF($AD650="","",IFERROR(IF(INDEX(CARDS!$I$5:$I$34,MATCH($D650,CARDS!$A$5:$A$34,0))="","",IF(INDEX(CARDS!$I$5:$I$34,MATCH($D650,CARDS!$A$5:$A$34,0))&gt;INDEX(CARDS!$H$5:$H$34,MATCH($D650,CARDS!$A$5:$A$34,0)),DATE(YEAR($AD650),MONTH($AD650),MIN(INDEX(CARDS!$I$5:$I$34,MATCH($D650,CARDS!$A$5:$A$34,0)),DAY(EOMONTH($AD650,0)))),DATE(YEAR($AD650),MONTH($AD650)+1,MIN(INDEX(CARDS!$I$5:$I$34,MATCH($D650,CARDS!$A$5:$A$34,0)),DAY(EOMONTH($AD650,1)))))),""))</f>
        <v/>
      </c>
      <c r="U650" s="38" t="n"/>
      <c r="V650" s="37" t="n"/>
      <c r="W650" s="38" t="n"/>
      <c r="X650" s="38" t="n"/>
      <c r="Y650" s="44" t="str">
        <f>IF($AC650&gt;0,INDEX(CASHBACK_RULES!$A$5:$A$304,$AC650),"")</f>
        <v/>
      </c>
      <c r="Z650" s="45" t="str">
        <f>IF($AC650&gt;0,INDEX(CASHBACK_RULES!$E$5:$E$304,$AC650)&amp;"","")</f>
        <v/>
      </c>
      <c r="AA650" s="48" t="str">
        <f>IF($AC650&gt;0,IF(ISNUMBER(INDEX(CASHBACK_RULES!$K$5:$K$304,$AC650)),INDEX(CASHBACK_RULES!$K$5:$K$304,$AC650),"∞"),"")</f>
        <v/>
      </c>
      <c r="AB650" s="44" t="str">
        <f>IF(OR($B650="",$D650=""),"",IF($U650="Cancelled","Đã hủy",IF($AC650=0,"Không được hoàn",IF($Q650=0,IF(OR($O650&gt;0,$M650&lt;$L650),"Đã đạt cap","Không được hoàn"),IF(OR($Q650&lt;$O650,$M650&lt;$L650),"Hoàn một phần","Được hoàn")))))</f>
        <v/>
      </c>
      <c r="AC650" s="43">
        <f>IF(OR($B650="",$D650="",$I650="",$L650=""),0,IF($U650="Cancelled",0,IF($W650&lt;&gt;"",IFERROR(IF(INDEX(CASHBACK_RULES!$B$5:$B$304,MATCH($W650,CASHBACK_RULES!$A$5:$A$304,0))=$D650,MATCH($W650,CASHBACK_RULES!$A$5:$A$304,0),0),0),IFERROR(MATCH(1,INDEX((CASHBACK_RULES!$B$5:$B$304=$D650)*(CASHBACK_RULES!$G$5:$G$304=$I650)*(((CASHBACK_RULES!$N$5:$N$304="")+(CASHBACK_RULES!$N$5:$N$304&lt;=$B650))&gt;0)*(((CASHBACK_RULES!$O$5:$O$304="")+(CASHBACK_RULES!$O$5:$O$304&gt;=$B650))&gt;0)*(((CASHBACK_RULES!$M$5:$M$304="")+(CASHBACK_RULES!$M$5:$M$304&lt;=$L650))&gt;0),0),0),0))))</f>
        <v>0</v>
      </c>
      <c r="AD650" s="51" t="str">
        <f>IF(OR($B650="",$D650=""),"",IFERROR(IF(INDEX(CARDS!$H$5:$H$34,MATCH($D650,CARDS!$A$5:$A$34,0))="","",IF(DAY($B650)&lt;=INDEX(CARDS!$H$5:$H$34,MATCH($D650,CARDS!$A$5:$A$34,0)),DATE(YEAR($B650),MONTH($B650),MIN(INDEX(CARDS!$H$5:$H$34,MATCH($D650,CARDS!$A$5:$A$34,0)),DAY(EOMONTH($B650,0)))),DATE(YEAR($B650),MONTH($B650)+1,MIN(INDEX(CARDS!$H$5:$H$34,MATCH($D650,CARDS!$A$5:$A$34,0)),DAY(EOMONTH($B650,1)))))),""))</f>
        <v/>
      </c>
      <c r="AE650" s="52" t="str">
        <f>IF($C650="","",$C650&amp;"|"&amp;COUNTIF($C$5:$C650,$C650))</f>
        <v/>
      </c>
      <c r="AF650" s="53">
        <f>IF($AC650&gt;0,SUMIFS(Q$4:Q649,$D$4:$D649,$D650,$Z$4:$Z649,$Z650,$C$4:$C649,$C650),0)</f>
        <v>0</v>
      </c>
      <c r="AG650" s="53">
        <f>IF($AC650&gt;0,SUMIFS(Q$4:Q649,$D$4:$D649,$D650,$C$4:$C649,$C650),0)</f>
        <v>0</v>
      </c>
      <c r="AH650" s="53">
        <f>IF($AC650&gt;0,SUMIFS(M$4:M649,$D$4:$D649,$D650,$Z$4:$Z649,$Z650,$C$4:$C649,$C650),0)</f>
        <v>0</v>
      </c>
      <c r="AI650" s="43">
        <f>IF(OR($C650="",$I650=""),0,IF(COUNTIFS($C$5:$C650,$C650,$I$5:$I650,$I650)=1,1,0))</f>
        <v>0</v>
      </c>
      <c r="AJ650" s="43" t="str">
        <f>IF($AI650=1,SUMIFS($AI$4:$AI649,$C$4:$C649,$C650)+1,"")</f>
        <v/>
      </c>
      <c r="AK650" s="43">
        <f>IF(OR($C650="",$K650=""),0,IF(COUNTIFS($C$5:$C650,$C650,$K$5:$K650,$K650)=1,1,0))</f>
        <v>0</v>
      </c>
      <c r="AL650" s="43" t="str">
        <f>IF($AK650=1,SUMIFS($AK$4:$AK649,$C$4:$C649,$C650)+1,"")</f>
        <v/>
      </c>
      <c r="AM650" s="43">
        <f>IF(OR($C650="",$G650=""),0,IF(COUNTIFS($C$5:$C650,$C650,$G$5:$G650,$G650)=1,1,0))</f>
        <v>0</v>
      </c>
      <c r="AN650" s="43" t="str">
        <f>IF($AM650=1,SUMIFS($AM$4:$AM649,$C$4:$C649,$C650)+1,"")</f>
        <v/>
      </c>
    </row>
    <row r="651">
      <c r="A651" s="44" t="str">
        <f>IF(OR($B651="",$D651=""),"","TX"&amp;TEXT(ROW()-4,"0000"))</f>
        <v/>
      </c>
      <c r="B651" s="42" t="n"/>
      <c r="C651" s="47" t="str">
        <f>IF($B651="","",YEAR($B651)*100+MONTH($B651))</f>
        <v/>
      </c>
      <c r="D651" s="37" t="n"/>
      <c r="E651" s="45" t="str">
        <f>IF($D651="","",IFERROR(INDEX(CARDS!$B$5:$B$34,MATCH($D651,CARDS!$A$5:$A$34,0)),"⚠ Card ID?"))</f>
        <v/>
      </c>
      <c r="F651" s="45" t="str">
        <f>IF($D651="","",IFERROR(INDEX(CARDS!$C$5:$C$34,MATCH($D651,CARDS!$A$5:$A$34,0)),"⚠ Card ID?"))</f>
        <v/>
      </c>
      <c r="G651" s="37" t="n"/>
      <c r="H651" s="37" t="n"/>
      <c r="I651" s="41" t="n"/>
      <c r="J651" s="45" t="str">
        <f>IF($I651="","",IFERROR(INDEX(MCC_MASTER!$B$5:$B$504,MATCH($I651,MCC_MASTER!$A$5:$A$504,0)),"⚠ MCC chưa có"))</f>
        <v/>
      </c>
      <c r="K651" s="45" t="str">
        <f>IF($I651="","",IFERROR(IF(INDEX(MCC_MASTER!$C$5:$C$504,MATCH($I651,MCC_MASTER!$A$5:$A$504,0))="","Chưa phân loại",INDEX(MCC_MASTER!$C$5:$C$504,MATCH($I651,MCC_MASTER!$A$5:$A$504,0))),"Chưa phân loại"))</f>
        <v/>
      </c>
      <c r="L651" s="40" t="n"/>
      <c r="M651" s="48" t="str">
        <f>IF(OR($B651="",$D651=""),"",IF($AC651=0,0,IF(ISNUMBER(INDEX(CASHBACK_RULES!$L$5:$L$304,$AC651)),MAX(0,MIN($L651,INDEX(CASHBACK_RULES!$L$5:$L$304,$AC651)-$AH651)),MAX(0,$L651))))</f>
        <v/>
      </c>
      <c r="N651" s="49" t="str">
        <f>IF(OR($B651="",$D651=""),"",IF($AC651&gt;0,INDEX(CASHBACK_RULES!$I$5:$I$304,$AC651),0))</f>
        <v/>
      </c>
      <c r="O651" s="48" t="str">
        <f>IF(OR($B651="",$D651=""),"",ROUND($M651*$N651,0))</f>
        <v/>
      </c>
      <c r="P651" s="48" t="str">
        <f>IF($AC651&gt;0,IF(ISNUMBER(INDEX(CASHBACK_RULES!$J$5:$J$304,$AC651)),INDEX(CASHBACK_RULES!$J$5:$J$304,$AC651),"∞"),"")</f>
        <v/>
      </c>
      <c r="Q651" s="48" t="str">
        <f>IF(OR($B651="",$D651=""),"",IF($AC651=0,0,MAX(0,MIN($O651,IF(ISNUMBER($P651),$P651-$AF651,1E+15),IF(ISNUMBER($AA651),$AA651-$AG651,1E+15)))))</f>
        <v/>
      </c>
      <c r="R651" s="48" t="str">
        <f>IF(OR($B651="",$D651=""),"",IF($AC651=0,"",IF(AND(NOT(ISNUMBER($P651)),NOT(ISNUMBER($AA651))),"∞",MAX(0,MIN(IF(ISNUMBER($P651),$P651-$AF651-$Q651,1E+15),IF(ISNUMBER($AA651),$AA651-$AG651-$Q651,1E+15))))))</f>
        <v/>
      </c>
      <c r="S651" s="47" t="str">
        <f>IF($AD651="","",YEAR($AD651)*100+MONTH($AD651))</f>
        <v/>
      </c>
      <c r="T651" s="50" t="str">
        <f>IF($AD651="","",IFERROR(IF(INDEX(CARDS!$I$5:$I$34,MATCH($D651,CARDS!$A$5:$A$34,0))="","",IF(INDEX(CARDS!$I$5:$I$34,MATCH($D651,CARDS!$A$5:$A$34,0))&gt;INDEX(CARDS!$H$5:$H$34,MATCH($D651,CARDS!$A$5:$A$34,0)),DATE(YEAR($AD651),MONTH($AD651),MIN(INDEX(CARDS!$I$5:$I$34,MATCH($D651,CARDS!$A$5:$A$34,0)),DAY(EOMONTH($AD651,0)))),DATE(YEAR($AD651),MONTH($AD651)+1,MIN(INDEX(CARDS!$I$5:$I$34,MATCH($D651,CARDS!$A$5:$A$34,0)),DAY(EOMONTH($AD651,1)))))),""))</f>
        <v/>
      </c>
      <c r="U651" s="38" t="n"/>
      <c r="V651" s="37" t="n"/>
      <c r="W651" s="38" t="n"/>
      <c r="X651" s="38" t="n"/>
      <c r="Y651" s="44" t="str">
        <f>IF($AC651&gt;0,INDEX(CASHBACK_RULES!$A$5:$A$304,$AC651),"")</f>
        <v/>
      </c>
      <c r="Z651" s="45" t="str">
        <f>IF($AC651&gt;0,INDEX(CASHBACK_RULES!$E$5:$E$304,$AC651)&amp;"","")</f>
        <v/>
      </c>
      <c r="AA651" s="48" t="str">
        <f>IF($AC651&gt;0,IF(ISNUMBER(INDEX(CASHBACK_RULES!$K$5:$K$304,$AC651)),INDEX(CASHBACK_RULES!$K$5:$K$304,$AC651),"∞"),"")</f>
        <v/>
      </c>
      <c r="AB651" s="44" t="str">
        <f>IF(OR($B651="",$D651=""),"",IF($U651="Cancelled","Đã hủy",IF($AC651=0,"Không được hoàn",IF($Q651=0,IF(OR($O651&gt;0,$M651&lt;$L651),"Đã đạt cap","Không được hoàn"),IF(OR($Q651&lt;$O651,$M651&lt;$L651),"Hoàn một phần","Được hoàn")))))</f>
        <v/>
      </c>
      <c r="AC651" s="43">
        <f>IF(OR($B651="",$D651="",$I651="",$L651=""),0,IF($U651="Cancelled",0,IF($W651&lt;&gt;"",IFERROR(IF(INDEX(CASHBACK_RULES!$B$5:$B$304,MATCH($W651,CASHBACK_RULES!$A$5:$A$304,0))=$D651,MATCH($W651,CASHBACK_RULES!$A$5:$A$304,0),0),0),IFERROR(MATCH(1,INDEX((CASHBACK_RULES!$B$5:$B$304=$D651)*(CASHBACK_RULES!$G$5:$G$304=$I651)*(((CASHBACK_RULES!$N$5:$N$304="")+(CASHBACK_RULES!$N$5:$N$304&lt;=$B651))&gt;0)*(((CASHBACK_RULES!$O$5:$O$304="")+(CASHBACK_RULES!$O$5:$O$304&gt;=$B651))&gt;0)*(((CASHBACK_RULES!$M$5:$M$304="")+(CASHBACK_RULES!$M$5:$M$304&lt;=$L651))&gt;0),0),0),0))))</f>
        <v>0</v>
      </c>
      <c r="AD651" s="51" t="str">
        <f>IF(OR($B651="",$D651=""),"",IFERROR(IF(INDEX(CARDS!$H$5:$H$34,MATCH($D651,CARDS!$A$5:$A$34,0))="","",IF(DAY($B651)&lt;=INDEX(CARDS!$H$5:$H$34,MATCH($D651,CARDS!$A$5:$A$34,0)),DATE(YEAR($B651),MONTH($B651),MIN(INDEX(CARDS!$H$5:$H$34,MATCH($D651,CARDS!$A$5:$A$34,0)),DAY(EOMONTH($B651,0)))),DATE(YEAR($B651),MONTH($B651)+1,MIN(INDEX(CARDS!$H$5:$H$34,MATCH($D651,CARDS!$A$5:$A$34,0)),DAY(EOMONTH($B651,1)))))),""))</f>
        <v/>
      </c>
      <c r="AE651" s="52" t="str">
        <f>IF($C651="","",$C651&amp;"|"&amp;COUNTIF($C$5:$C651,$C651))</f>
        <v/>
      </c>
      <c r="AF651" s="53">
        <f>IF($AC651&gt;0,SUMIFS(Q$4:Q650,$D$4:$D650,$D651,$Z$4:$Z650,$Z651,$C$4:$C650,$C651),0)</f>
        <v>0</v>
      </c>
      <c r="AG651" s="53">
        <f>IF($AC651&gt;0,SUMIFS(Q$4:Q650,$D$4:$D650,$D651,$C$4:$C650,$C651),0)</f>
        <v>0</v>
      </c>
      <c r="AH651" s="53">
        <f>IF($AC651&gt;0,SUMIFS(M$4:M650,$D$4:$D650,$D651,$Z$4:$Z650,$Z651,$C$4:$C650,$C651),0)</f>
        <v>0</v>
      </c>
      <c r="AI651" s="43">
        <f>IF(OR($C651="",$I651=""),0,IF(COUNTIFS($C$5:$C651,$C651,$I$5:$I651,$I651)=1,1,0))</f>
        <v>0</v>
      </c>
      <c r="AJ651" s="43" t="str">
        <f>IF($AI651=1,SUMIFS($AI$4:$AI650,$C$4:$C650,$C651)+1,"")</f>
        <v/>
      </c>
      <c r="AK651" s="43">
        <f>IF(OR($C651="",$K651=""),0,IF(COUNTIFS($C$5:$C651,$C651,$K$5:$K651,$K651)=1,1,0))</f>
        <v>0</v>
      </c>
      <c r="AL651" s="43" t="str">
        <f>IF($AK651=1,SUMIFS($AK$4:$AK650,$C$4:$C650,$C651)+1,"")</f>
        <v/>
      </c>
      <c r="AM651" s="43">
        <f>IF(OR($C651="",$G651=""),0,IF(COUNTIFS($C$5:$C651,$C651,$G$5:$G651,$G651)=1,1,0))</f>
        <v>0</v>
      </c>
      <c r="AN651" s="43" t="str">
        <f>IF($AM651=1,SUMIFS($AM$4:$AM650,$C$4:$C650,$C651)+1,"")</f>
        <v/>
      </c>
    </row>
    <row r="652">
      <c r="A652" s="44" t="str">
        <f>IF(OR($B652="",$D652=""),"","TX"&amp;TEXT(ROW()-4,"0000"))</f>
        <v/>
      </c>
      <c r="B652" s="42" t="n"/>
      <c r="C652" s="47" t="str">
        <f>IF($B652="","",YEAR($B652)*100+MONTH($B652))</f>
        <v/>
      </c>
      <c r="D652" s="37" t="n"/>
      <c r="E652" s="45" t="str">
        <f>IF($D652="","",IFERROR(INDEX(CARDS!$B$5:$B$34,MATCH($D652,CARDS!$A$5:$A$34,0)),"⚠ Card ID?"))</f>
        <v/>
      </c>
      <c r="F652" s="45" t="str">
        <f>IF($D652="","",IFERROR(INDEX(CARDS!$C$5:$C$34,MATCH($D652,CARDS!$A$5:$A$34,0)),"⚠ Card ID?"))</f>
        <v/>
      </c>
      <c r="G652" s="37" t="n"/>
      <c r="H652" s="37" t="n"/>
      <c r="I652" s="41" t="n"/>
      <c r="J652" s="45" t="str">
        <f>IF($I652="","",IFERROR(INDEX(MCC_MASTER!$B$5:$B$504,MATCH($I652,MCC_MASTER!$A$5:$A$504,0)),"⚠ MCC chưa có"))</f>
        <v/>
      </c>
      <c r="K652" s="45" t="str">
        <f>IF($I652="","",IFERROR(IF(INDEX(MCC_MASTER!$C$5:$C$504,MATCH($I652,MCC_MASTER!$A$5:$A$504,0))="","Chưa phân loại",INDEX(MCC_MASTER!$C$5:$C$504,MATCH($I652,MCC_MASTER!$A$5:$A$504,0))),"Chưa phân loại"))</f>
        <v/>
      </c>
      <c r="L652" s="40" t="n"/>
      <c r="M652" s="48" t="str">
        <f>IF(OR($B652="",$D652=""),"",IF($AC652=0,0,IF(ISNUMBER(INDEX(CASHBACK_RULES!$L$5:$L$304,$AC652)),MAX(0,MIN($L652,INDEX(CASHBACK_RULES!$L$5:$L$304,$AC652)-$AH652)),MAX(0,$L652))))</f>
        <v/>
      </c>
      <c r="N652" s="49" t="str">
        <f>IF(OR($B652="",$D652=""),"",IF($AC652&gt;0,INDEX(CASHBACK_RULES!$I$5:$I$304,$AC652),0))</f>
        <v/>
      </c>
      <c r="O652" s="48" t="str">
        <f>IF(OR($B652="",$D652=""),"",ROUND($M652*$N652,0))</f>
        <v/>
      </c>
      <c r="P652" s="48" t="str">
        <f>IF($AC652&gt;0,IF(ISNUMBER(INDEX(CASHBACK_RULES!$J$5:$J$304,$AC652)),INDEX(CASHBACK_RULES!$J$5:$J$304,$AC652),"∞"),"")</f>
        <v/>
      </c>
      <c r="Q652" s="48" t="str">
        <f>IF(OR($B652="",$D652=""),"",IF($AC652=0,0,MAX(0,MIN($O652,IF(ISNUMBER($P652),$P652-$AF652,1E+15),IF(ISNUMBER($AA652),$AA652-$AG652,1E+15)))))</f>
        <v/>
      </c>
      <c r="R652" s="48" t="str">
        <f>IF(OR($B652="",$D652=""),"",IF($AC652=0,"",IF(AND(NOT(ISNUMBER($P652)),NOT(ISNUMBER($AA652))),"∞",MAX(0,MIN(IF(ISNUMBER($P652),$P652-$AF652-$Q652,1E+15),IF(ISNUMBER($AA652),$AA652-$AG652-$Q652,1E+15))))))</f>
        <v/>
      </c>
      <c r="S652" s="47" t="str">
        <f>IF($AD652="","",YEAR($AD652)*100+MONTH($AD652))</f>
        <v/>
      </c>
      <c r="T652" s="50" t="str">
        <f>IF($AD652="","",IFERROR(IF(INDEX(CARDS!$I$5:$I$34,MATCH($D652,CARDS!$A$5:$A$34,0))="","",IF(INDEX(CARDS!$I$5:$I$34,MATCH($D652,CARDS!$A$5:$A$34,0))&gt;INDEX(CARDS!$H$5:$H$34,MATCH($D652,CARDS!$A$5:$A$34,0)),DATE(YEAR($AD652),MONTH($AD652),MIN(INDEX(CARDS!$I$5:$I$34,MATCH($D652,CARDS!$A$5:$A$34,0)),DAY(EOMONTH($AD652,0)))),DATE(YEAR($AD652),MONTH($AD652)+1,MIN(INDEX(CARDS!$I$5:$I$34,MATCH($D652,CARDS!$A$5:$A$34,0)),DAY(EOMONTH($AD652,1)))))),""))</f>
        <v/>
      </c>
      <c r="U652" s="38" t="n"/>
      <c r="V652" s="37" t="n"/>
      <c r="W652" s="38" t="n"/>
      <c r="X652" s="38" t="n"/>
      <c r="Y652" s="44" t="str">
        <f>IF($AC652&gt;0,INDEX(CASHBACK_RULES!$A$5:$A$304,$AC652),"")</f>
        <v/>
      </c>
      <c r="Z652" s="45" t="str">
        <f>IF($AC652&gt;0,INDEX(CASHBACK_RULES!$E$5:$E$304,$AC652)&amp;"","")</f>
        <v/>
      </c>
      <c r="AA652" s="48" t="str">
        <f>IF($AC652&gt;0,IF(ISNUMBER(INDEX(CASHBACK_RULES!$K$5:$K$304,$AC652)),INDEX(CASHBACK_RULES!$K$5:$K$304,$AC652),"∞"),"")</f>
        <v/>
      </c>
      <c r="AB652" s="44" t="str">
        <f>IF(OR($B652="",$D652=""),"",IF($U652="Cancelled","Đã hủy",IF($AC652=0,"Không được hoàn",IF($Q652=0,IF(OR($O652&gt;0,$M652&lt;$L652),"Đã đạt cap","Không được hoàn"),IF(OR($Q652&lt;$O652,$M652&lt;$L652),"Hoàn một phần","Được hoàn")))))</f>
        <v/>
      </c>
      <c r="AC652" s="43">
        <f>IF(OR($B652="",$D652="",$I652="",$L652=""),0,IF($U652="Cancelled",0,IF($W652&lt;&gt;"",IFERROR(IF(INDEX(CASHBACK_RULES!$B$5:$B$304,MATCH($W652,CASHBACK_RULES!$A$5:$A$304,0))=$D652,MATCH($W652,CASHBACK_RULES!$A$5:$A$304,0),0),0),IFERROR(MATCH(1,INDEX((CASHBACK_RULES!$B$5:$B$304=$D652)*(CASHBACK_RULES!$G$5:$G$304=$I652)*(((CASHBACK_RULES!$N$5:$N$304="")+(CASHBACK_RULES!$N$5:$N$304&lt;=$B652))&gt;0)*(((CASHBACK_RULES!$O$5:$O$304="")+(CASHBACK_RULES!$O$5:$O$304&gt;=$B652))&gt;0)*(((CASHBACK_RULES!$M$5:$M$304="")+(CASHBACK_RULES!$M$5:$M$304&lt;=$L652))&gt;0),0),0),0))))</f>
        <v>0</v>
      </c>
      <c r="AD652" s="51" t="str">
        <f>IF(OR($B652="",$D652=""),"",IFERROR(IF(INDEX(CARDS!$H$5:$H$34,MATCH($D652,CARDS!$A$5:$A$34,0))="","",IF(DAY($B652)&lt;=INDEX(CARDS!$H$5:$H$34,MATCH($D652,CARDS!$A$5:$A$34,0)),DATE(YEAR($B652),MONTH($B652),MIN(INDEX(CARDS!$H$5:$H$34,MATCH($D652,CARDS!$A$5:$A$34,0)),DAY(EOMONTH($B652,0)))),DATE(YEAR($B652),MONTH($B652)+1,MIN(INDEX(CARDS!$H$5:$H$34,MATCH($D652,CARDS!$A$5:$A$34,0)),DAY(EOMONTH($B652,1)))))),""))</f>
        <v/>
      </c>
      <c r="AE652" s="52" t="str">
        <f>IF($C652="","",$C652&amp;"|"&amp;COUNTIF($C$5:$C652,$C652))</f>
        <v/>
      </c>
      <c r="AF652" s="53">
        <f>IF($AC652&gt;0,SUMIFS(Q$4:Q651,$D$4:$D651,$D652,$Z$4:$Z651,$Z652,$C$4:$C651,$C652),0)</f>
        <v>0</v>
      </c>
      <c r="AG652" s="53">
        <f>IF($AC652&gt;0,SUMIFS(Q$4:Q651,$D$4:$D651,$D652,$C$4:$C651,$C652),0)</f>
        <v>0</v>
      </c>
      <c r="AH652" s="53">
        <f>IF($AC652&gt;0,SUMIFS(M$4:M651,$D$4:$D651,$D652,$Z$4:$Z651,$Z652,$C$4:$C651,$C652),0)</f>
        <v>0</v>
      </c>
      <c r="AI652" s="43">
        <f>IF(OR($C652="",$I652=""),0,IF(COUNTIFS($C$5:$C652,$C652,$I$5:$I652,$I652)=1,1,0))</f>
        <v>0</v>
      </c>
      <c r="AJ652" s="43" t="str">
        <f>IF($AI652=1,SUMIFS($AI$4:$AI651,$C$4:$C651,$C652)+1,"")</f>
        <v/>
      </c>
      <c r="AK652" s="43">
        <f>IF(OR($C652="",$K652=""),0,IF(COUNTIFS($C$5:$C652,$C652,$K$5:$K652,$K652)=1,1,0))</f>
        <v>0</v>
      </c>
      <c r="AL652" s="43" t="str">
        <f>IF($AK652=1,SUMIFS($AK$4:$AK651,$C$4:$C651,$C652)+1,"")</f>
        <v/>
      </c>
      <c r="AM652" s="43">
        <f>IF(OR($C652="",$G652=""),0,IF(COUNTIFS($C$5:$C652,$C652,$G$5:$G652,$G652)=1,1,0))</f>
        <v>0</v>
      </c>
      <c r="AN652" s="43" t="str">
        <f>IF($AM652=1,SUMIFS($AM$4:$AM651,$C$4:$C651,$C652)+1,"")</f>
        <v/>
      </c>
    </row>
    <row r="653">
      <c r="A653" s="44" t="str">
        <f>IF(OR($B653="",$D653=""),"","TX"&amp;TEXT(ROW()-4,"0000"))</f>
        <v/>
      </c>
      <c r="B653" s="42" t="n"/>
      <c r="C653" s="47" t="str">
        <f>IF($B653="","",YEAR($B653)*100+MONTH($B653))</f>
        <v/>
      </c>
      <c r="D653" s="37" t="n"/>
      <c r="E653" s="45" t="str">
        <f>IF($D653="","",IFERROR(INDEX(CARDS!$B$5:$B$34,MATCH($D653,CARDS!$A$5:$A$34,0)),"⚠ Card ID?"))</f>
        <v/>
      </c>
      <c r="F653" s="45" t="str">
        <f>IF($D653="","",IFERROR(INDEX(CARDS!$C$5:$C$34,MATCH($D653,CARDS!$A$5:$A$34,0)),"⚠ Card ID?"))</f>
        <v/>
      </c>
      <c r="G653" s="37" t="n"/>
      <c r="H653" s="37" t="n"/>
      <c r="I653" s="41" t="n"/>
      <c r="J653" s="45" t="str">
        <f>IF($I653="","",IFERROR(INDEX(MCC_MASTER!$B$5:$B$504,MATCH($I653,MCC_MASTER!$A$5:$A$504,0)),"⚠ MCC chưa có"))</f>
        <v/>
      </c>
      <c r="K653" s="45" t="str">
        <f>IF($I653="","",IFERROR(IF(INDEX(MCC_MASTER!$C$5:$C$504,MATCH($I653,MCC_MASTER!$A$5:$A$504,0))="","Chưa phân loại",INDEX(MCC_MASTER!$C$5:$C$504,MATCH($I653,MCC_MASTER!$A$5:$A$504,0))),"Chưa phân loại"))</f>
        <v/>
      </c>
      <c r="L653" s="40" t="n"/>
      <c r="M653" s="48" t="str">
        <f>IF(OR($B653="",$D653=""),"",IF($AC653=0,0,IF(ISNUMBER(INDEX(CASHBACK_RULES!$L$5:$L$304,$AC653)),MAX(0,MIN($L653,INDEX(CASHBACK_RULES!$L$5:$L$304,$AC653)-$AH653)),MAX(0,$L653))))</f>
        <v/>
      </c>
      <c r="N653" s="49" t="str">
        <f>IF(OR($B653="",$D653=""),"",IF($AC653&gt;0,INDEX(CASHBACK_RULES!$I$5:$I$304,$AC653),0))</f>
        <v/>
      </c>
      <c r="O653" s="48" t="str">
        <f>IF(OR($B653="",$D653=""),"",ROUND($M653*$N653,0))</f>
        <v/>
      </c>
      <c r="P653" s="48" t="str">
        <f>IF($AC653&gt;0,IF(ISNUMBER(INDEX(CASHBACK_RULES!$J$5:$J$304,$AC653)),INDEX(CASHBACK_RULES!$J$5:$J$304,$AC653),"∞"),"")</f>
        <v/>
      </c>
      <c r="Q653" s="48" t="str">
        <f>IF(OR($B653="",$D653=""),"",IF($AC653=0,0,MAX(0,MIN($O653,IF(ISNUMBER($P653),$P653-$AF653,1E+15),IF(ISNUMBER($AA653),$AA653-$AG653,1E+15)))))</f>
        <v/>
      </c>
      <c r="R653" s="48" t="str">
        <f>IF(OR($B653="",$D653=""),"",IF($AC653=0,"",IF(AND(NOT(ISNUMBER($P653)),NOT(ISNUMBER($AA653))),"∞",MAX(0,MIN(IF(ISNUMBER($P653),$P653-$AF653-$Q653,1E+15),IF(ISNUMBER($AA653),$AA653-$AG653-$Q653,1E+15))))))</f>
        <v/>
      </c>
      <c r="S653" s="47" t="str">
        <f>IF($AD653="","",YEAR($AD653)*100+MONTH($AD653))</f>
        <v/>
      </c>
      <c r="T653" s="50" t="str">
        <f>IF($AD653="","",IFERROR(IF(INDEX(CARDS!$I$5:$I$34,MATCH($D653,CARDS!$A$5:$A$34,0))="","",IF(INDEX(CARDS!$I$5:$I$34,MATCH($D653,CARDS!$A$5:$A$34,0))&gt;INDEX(CARDS!$H$5:$H$34,MATCH($D653,CARDS!$A$5:$A$34,0)),DATE(YEAR($AD653),MONTH($AD653),MIN(INDEX(CARDS!$I$5:$I$34,MATCH($D653,CARDS!$A$5:$A$34,0)),DAY(EOMONTH($AD653,0)))),DATE(YEAR($AD653),MONTH($AD653)+1,MIN(INDEX(CARDS!$I$5:$I$34,MATCH($D653,CARDS!$A$5:$A$34,0)),DAY(EOMONTH($AD653,1)))))),""))</f>
        <v/>
      </c>
      <c r="U653" s="38" t="n"/>
      <c r="V653" s="37" t="n"/>
      <c r="W653" s="38" t="n"/>
      <c r="X653" s="38" t="n"/>
      <c r="Y653" s="44" t="str">
        <f>IF($AC653&gt;0,INDEX(CASHBACK_RULES!$A$5:$A$304,$AC653),"")</f>
        <v/>
      </c>
      <c r="Z653" s="45" t="str">
        <f>IF($AC653&gt;0,INDEX(CASHBACK_RULES!$E$5:$E$304,$AC653)&amp;"","")</f>
        <v/>
      </c>
      <c r="AA653" s="48" t="str">
        <f>IF($AC653&gt;0,IF(ISNUMBER(INDEX(CASHBACK_RULES!$K$5:$K$304,$AC653)),INDEX(CASHBACK_RULES!$K$5:$K$304,$AC653),"∞"),"")</f>
        <v/>
      </c>
      <c r="AB653" s="44" t="str">
        <f>IF(OR($B653="",$D653=""),"",IF($U653="Cancelled","Đã hủy",IF($AC653=0,"Không được hoàn",IF($Q653=0,IF(OR($O653&gt;0,$M653&lt;$L653),"Đã đạt cap","Không được hoàn"),IF(OR($Q653&lt;$O653,$M653&lt;$L653),"Hoàn một phần","Được hoàn")))))</f>
        <v/>
      </c>
      <c r="AC653" s="43">
        <f>IF(OR($B653="",$D653="",$I653="",$L653=""),0,IF($U653="Cancelled",0,IF($W653&lt;&gt;"",IFERROR(IF(INDEX(CASHBACK_RULES!$B$5:$B$304,MATCH($W653,CASHBACK_RULES!$A$5:$A$304,0))=$D653,MATCH($W653,CASHBACK_RULES!$A$5:$A$304,0),0),0),IFERROR(MATCH(1,INDEX((CASHBACK_RULES!$B$5:$B$304=$D653)*(CASHBACK_RULES!$G$5:$G$304=$I653)*(((CASHBACK_RULES!$N$5:$N$304="")+(CASHBACK_RULES!$N$5:$N$304&lt;=$B653))&gt;0)*(((CASHBACK_RULES!$O$5:$O$304="")+(CASHBACK_RULES!$O$5:$O$304&gt;=$B653))&gt;0)*(((CASHBACK_RULES!$M$5:$M$304="")+(CASHBACK_RULES!$M$5:$M$304&lt;=$L653))&gt;0),0),0),0))))</f>
        <v>0</v>
      </c>
      <c r="AD653" s="51" t="str">
        <f>IF(OR($B653="",$D653=""),"",IFERROR(IF(INDEX(CARDS!$H$5:$H$34,MATCH($D653,CARDS!$A$5:$A$34,0))="","",IF(DAY($B653)&lt;=INDEX(CARDS!$H$5:$H$34,MATCH($D653,CARDS!$A$5:$A$34,0)),DATE(YEAR($B653),MONTH($B653),MIN(INDEX(CARDS!$H$5:$H$34,MATCH($D653,CARDS!$A$5:$A$34,0)),DAY(EOMONTH($B653,0)))),DATE(YEAR($B653),MONTH($B653)+1,MIN(INDEX(CARDS!$H$5:$H$34,MATCH($D653,CARDS!$A$5:$A$34,0)),DAY(EOMONTH($B653,1)))))),""))</f>
        <v/>
      </c>
      <c r="AE653" s="52" t="str">
        <f>IF($C653="","",$C653&amp;"|"&amp;COUNTIF($C$5:$C653,$C653))</f>
        <v/>
      </c>
      <c r="AF653" s="53">
        <f>IF($AC653&gt;0,SUMIFS(Q$4:Q652,$D$4:$D652,$D653,$Z$4:$Z652,$Z653,$C$4:$C652,$C653),0)</f>
        <v>0</v>
      </c>
      <c r="AG653" s="53">
        <f>IF($AC653&gt;0,SUMIFS(Q$4:Q652,$D$4:$D652,$D653,$C$4:$C652,$C653),0)</f>
        <v>0</v>
      </c>
      <c r="AH653" s="53">
        <f>IF($AC653&gt;0,SUMIFS(M$4:M652,$D$4:$D652,$D653,$Z$4:$Z652,$Z653,$C$4:$C652,$C653),0)</f>
        <v>0</v>
      </c>
      <c r="AI653" s="43">
        <f>IF(OR($C653="",$I653=""),0,IF(COUNTIFS($C$5:$C653,$C653,$I$5:$I653,$I653)=1,1,0))</f>
        <v>0</v>
      </c>
      <c r="AJ653" s="43" t="str">
        <f>IF($AI653=1,SUMIFS($AI$4:$AI652,$C$4:$C652,$C653)+1,"")</f>
        <v/>
      </c>
      <c r="AK653" s="43">
        <f>IF(OR($C653="",$K653=""),0,IF(COUNTIFS($C$5:$C653,$C653,$K$5:$K653,$K653)=1,1,0))</f>
        <v>0</v>
      </c>
      <c r="AL653" s="43" t="str">
        <f>IF($AK653=1,SUMIFS($AK$4:$AK652,$C$4:$C652,$C653)+1,"")</f>
        <v/>
      </c>
      <c r="AM653" s="43">
        <f>IF(OR($C653="",$G653=""),0,IF(COUNTIFS($C$5:$C653,$C653,$G$5:$G653,$G653)=1,1,0))</f>
        <v>0</v>
      </c>
      <c r="AN653" s="43" t="str">
        <f>IF($AM653=1,SUMIFS($AM$4:$AM652,$C$4:$C652,$C653)+1,"")</f>
        <v/>
      </c>
    </row>
    <row r="654">
      <c r="A654" s="44" t="str">
        <f>IF(OR($B654="",$D654=""),"","TX"&amp;TEXT(ROW()-4,"0000"))</f>
        <v/>
      </c>
      <c r="B654" s="42" t="n"/>
      <c r="C654" s="47" t="str">
        <f>IF($B654="","",YEAR($B654)*100+MONTH($B654))</f>
        <v/>
      </c>
      <c r="D654" s="37" t="n"/>
      <c r="E654" s="45" t="str">
        <f>IF($D654="","",IFERROR(INDEX(CARDS!$B$5:$B$34,MATCH($D654,CARDS!$A$5:$A$34,0)),"⚠ Card ID?"))</f>
        <v/>
      </c>
      <c r="F654" s="45" t="str">
        <f>IF($D654="","",IFERROR(INDEX(CARDS!$C$5:$C$34,MATCH($D654,CARDS!$A$5:$A$34,0)),"⚠ Card ID?"))</f>
        <v/>
      </c>
      <c r="G654" s="37" t="n"/>
      <c r="H654" s="37" t="n"/>
      <c r="I654" s="41" t="n"/>
      <c r="J654" s="45" t="str">
        <f>IF($I654="","",IFERROR(INDEX(MCC_MASTER!$B$5:$B$504,MATCH($I654,MCC_MASTER!$A$5:$A$504,0)),"⚠ MCC chưa có"))</f>
        <v/>
      </c>
      <c r="K654" s="45" t="str">
        <f>IF($I654="","",IFERROR(IF(INDEX(MCC_MASTER!$C$5:$C$504,MATCH($I654,MCC_MASTER!$A$5:$A$504,0))="","Chưa phân loại",INDEX(MCC_MASTER!$C$5:$C$504,MATCH($I654,MCC_MASTER!$A$5:$A$504,0))),"Chưa phân loại"))</f>
        <v/>
      </c>
      <c r="L654" s="40" t="n"/>
      <c r="M654" s="48" t="str">
        <f>IF(OR($B654="",$D654=""),"",IF($AC654=0,0,IF(ISNUMBER(INDEX(CASHBACK_RULES!$L$5:$L$304,$AC654)),MAX(0,MIN($L654,INDEX(CASHBACK_RULES!$L$5:$L$304,$AC654)-$AH654)),MAX(0,$L654))))</f>
        <v/>
      </c>
      <c r="N654" s="49" t="str">
        <f>IF(OR($B654="",$D654=""),"",IF($AC654&gt;0,INDEX(CASHBACK_RULES!$I$5:$I$304,$AC654),0))</f>
        <v/>
      </c>
      <c r="O654" s="48" t="str">
        <f>IF(OR($B654="",$D654=""),"",ROUND($M654*$N654,0))</f>
        <v/>
      </c>
      <c r="P654" s="48" t="str">
        <f>IF($AC654&gt;0,IF(ISNUMBER(INDEX(CASHBACK_RULES!$J$5:$J$304,$AC654)),INDEX(CASHBACK_RULES!$J$5:$J$304,$AC654),"∞"),"")</f>
        <v/>
      </c>
      <c r="Q654" s="48" t="str">
        <f>IF(OR($B654="",$D654=""),"",IF($AC654=0,0,MAX(0,MIN($O654,IF(ISNUMBER($P654),$P654-$AF654,1E+15),IF(ISNUMBER($AA654),$AA654-$AG654,1E+15)))))</f>
        <v/>
      </c>
      <c r="R654" s="48" t="str">
        <f>IF(OR($B654="",$D654=""),"",IF($AC654=0,"",IF(AND(NOT(ISNUMBER($P654)),NOT(ISNUMBER($AA654))),"∞",MAX(0,MIN(IF(ISNUMBER($P654),$P654-$AF654-$Q654,1E+15),IF(ISNUMBER($AA654),$AA654-$AG654-$Q654,1E+15))))))</f>
        <v/>
      </c>
      <c r="S654" s="47" t="str">
        <f>IF($AD654="","",YEAR($AD654)*100+MONTH($AD654))</f>
        <v/>
      </c>
      <c r="T654" s="50" t="str">
        <f>IF($AD654="","",IFERROR(IF(INDEX(CARDS!$I$5:$I$34,MATCH($D654,CARDS!$A$5:$A$34,0))="","",IF(INDEX(CARDS!$I$5:$I$34,MATCH($D654,CARDS!$A$5:$A$34,0))&gt;INDEX(CARDS!$H$5:$H$34,MATCH($D654,CARDS!$A$5:$A$34,0)),DATE(YEAR($AD654),MONTH($AD654),MIN(INDEX(CARDS!$I$5:$I$34,MATCH($D654,CARDS!$A$5:$A$34,0)),DAY(EOMONTH($AD654,0)))),DATE(YEAR($AD654),MONTH($AD654)+1,MIN(INDEX(CARDS!$I$5:$I$34,MATCH($D654,CARDS!$A$5:$A$34,0)),DAY(EOMONTH($AD654,1)))))),""))</f>
        <v/>
      </c>
      <c r="U654" s="38" t="n"/>
      <c r="V654" s="37" t="n"/>
      <c r="W654" s="38" t="n"/>
      <c r="X654" s="38" t="n"/>
      <c r="Y654" s="44" t="str">
        <f>IF($AC654&gt;0,INDEX(CASHBACK_RULES!$A$5:$A$304,$AC654),"")</f>
        <v/>
      </c>
      <c r="Z654" s="45" t="str">
        <f>IF($AC654&gt;0,INDEX(CASHBACK_RULES!$E$5:$E$304,$AC654)&amp;"","")</f>
        <v/>
      </c>
      <c r="AA654" s="48" t="str">
        <f>IF($AC654&gt;0,IF(ISNUMBER(INDEX(CASHBACK_RULES!$K$5:$K$304,$AC654)),INDEX(CASHBACK_RULES!$K$5:$K$304,$AC654),"∞"),"")</f>
        <v/>
      </c>
      <c r="AB654" s="44" t="str">
        <f>IF(OR($B654="",$D654=""),"",IF($U654="Cancelled","Đã hủy",IF($AC654=0,"Không được hoàn",IF($Q654=0,IF(OR($O654&gt;0,$M654&lt;$L654),"Đã đạt cap","Không được hoàn"),IF(OR($Q654&lt;$O654,$M654&lt;$L654),"Hoàn một phần","Được hoàn")))))</f>
        <v/>
      </c>
      <c r="AC654" s="43">
        <f>IF(OR($B654="",$D654="",$I654="",$L654=""),0,IF($U654="Cancelled",0,IF($W654&lt;&gt;"",IFERROR(IF(INDEX(CASHBACK_RULES!$B$5:$B$304,MATCH($W654,CASHBACK_RULES!$A$5:$A$304,0))=$D654,MATCH($W654,CASHBACK_RULES!$A$5:$A$304,0),0),0),IFERROR(MATCH(1,INDEX((CASHBACK_RULES!$B$5:$B$304=$D654)*(CASHBACK_RULES!$G$5:$G$304=$I654)*(((CASHBACK_RULES!$N$5:$N$304="")+(CASHBACK_RULES!$N$5:$N$304&lt;=$B654))&gt;0)*(((CASHBACK_RULES!$O$5:$O$304="")+(CASHBACK_RULES!$O$5:$O$304&gt;=$B654))&gt;0)*(((CASHBACK_RULES!$M$5:$M$304="")+(CASHBACK_RULES!$M$5:$M$304&lt;=$L654))&gt;0),0),0),0))))</f>
        <v>0</v>
      </c>
      <c r="AD654" s="51" t="str">
        <f>IF(OR($B654="",$D654=""),"",IFERROR(IF(INDEX(CARDS!$H$5:$H$34,MATCH($D654,CARDS!$A$5:$A$34,0))="","",IF(DAY($B654)&lt;=INDEX(CARDS!$H$5:$H$34,MATCH($D654,CARDS!$A$5:$A$34,0)),DATE(YEAR($B654),MONTH($B654),MIN(INDEX(CARDS!$H$5:$H$34,MATCH($D654,CARDS!$A$5:$A$34,0)),DAY(EOMONTH($B654,0)))),DATE(YEAR($B654),MONTH($B654)+1,MIN(INDEX(CARDS!$H$5:$H$34,MATCH($D654,CARDS!$A$5:$A$34,0)),DAY(EOMONTH($B654,1)))))),""))</f>
        <v/>
      </c>
      <c r="AE654" s="52" t="str">
        <f>IF($C654="","",$C654&amp;"|"&amp;COUNTIF($C$5:$C654,$C654))</f>
        <v/>
      </c>
      <c r="AF654" s="53">
        <f>IF($AC654&gt;0,SUMIFS(Q$4:Q653,$D$4:$D653,$D654,$Z$4:$Z653,$Z654,$C$4:$C653,$C654),0)</f>
        <v>0</v>
      </c>
      <c r="AG654" s="53">
        <f>IF($AC654&gt;0,SUMIFS(Q$4:Q653,$D$4:$D653,$D654,$C$4:$C653,$C654),0)</f>
        <v>0</v>
      </c>
      <c r="AH654" s="53">
        <f>IF($AC654&gt;0,SUMIFS(M$4:M653,$D$4:$D653,$D654,$Z$4:$Z653,$Z654,$C$4:$C653,$C654),0)</f>
        <v>0</v>
      </c>
      <c r="AI654" s="43">
        <f>IF(OR($C654="",$I654=""),0,IF(COUNTIFS($C$5:$C654,$C654,$I$5:$I654,$I654)=1,1,0))</f>
        <v>0</v>
      </c>
      <c r="AJ654" s="43" t="str">
        <f>IF($AI654=1,SUMIFS($AI$4:$AI653,$C$4:$C653,$C654)+1,"")</f>
        <v/>
      </c>
      <c r="AK654" s="43">
        <f>IF(OR($C654="",$K654=""),0,IF(COUNTIFS($C$5:$C654,$C654,$K$5:$K654,$K654)=1,1,0))</f>
        <v>0</v>
      </c>
      <c r="AL654" s="43" t="str">
        <f>IF($AK654=1,SUMIFS($AK$4:$AK653,$C$4:$C653,$C654)+1,"")</f>
        <v/>
      </c>
      <c r="AM654" s="43">
        <f>IF(OR($C654="",$G654=""),0,IF(COUNTIFS($C$5:$C654,$C654,$G$5:$G654,$G654)=1,1,0))</f>
        <v>0</v>
      </c>
      <c r="AN654" s="43" t="str">
        <f>IF($AM654=1,SUMIFS($AM$4:$AM653,$C$4:$C653,$C654)+1,"")</f>
        <v/>
      </c>
    </row>
    <row r="655">
      <c r="A655" s="44" t="str">
        <f>IF(OR($B655="",$D655=""),"","TX"&amp;TEXT(ROW()-4,"0000"))</f>
        <v/>
      </c>
      <c r="B655" s="42" t="n"/>
      <c r="C655" s="47" t="str">
        <f>IF($B655="","",YEAR($B655)*100+MONTH($B655))</f>
        <v/>
      </c>
      <c r="D655" s="37" t="n"/>
      <c r="E655" s="45" t="str">
        <f>IF($D655="","",IFERROR(INDEX(CARDS!$B$5:$B$34,MATCH($D655,CARDS!$A$5:$A$34,0)),"⚠ Card ID?"))</f>
        <v/>
      </c>
      <c r="F655" s="45" t="str">
        <f>IF($D655="","",IFERROR(INDEX(CARDS!$C$5:$C$34,MATCH($D655,CARDS!$A$5:$A$34,0)),"⚠ Card ID?"))</f>
        <v/>
      </c>
      <c r="G655" s="37" t="n"/>
      <c r="H655" s="37" t="n"/>
      <c r="I655" s="41" t="n"/>
      <c r="J655" s="45" t="str">
        <f>IF($I655="","",IFERROR(INDEX(MCC_MASTER!$B$5:$B$504,MATCH($I655,MCC_MASTER!$A$5:$A$504,0)),"⚠ MCC chưa có"))</f>
        <v/>
      </c>
      <c r="K655" s="45" t="str">
        <f>IF($I655="","",IFERROR(IF(INDEX(MCC_MASTER!$C$5:$C$504,MATCH($I655,MCC_MASTER!$A$5:$A$504,0))="","Chưa phân loại",INDEX(MCC_MASTER!$C$5:$C$504,MATCH($I655,MCC_MASTER!$A$5:$A$504,0))),"Chưa phân loại"))</f>
        <v/>
      </c>
      <c r="L655" s="40" t="n"/>
      <c r="M655" s="48" t="str">
        <f>IF(OR($B655="",$D655=""),"",IF($AC655=0,0,IF(ISNUMBER(INDEX(CASHBACK_RULES!$L$5:$L$304,$AC655)),MAX(0,MIN($L655,INDEX(CASHBACK_RULES!$L$5:$L$304,$AC655)-$AH655)),MAX(0,$L655))))</f>
        <v/>
      </c>
      <c r="N655" s="49" t="str">
        <f>IF(OR($B655="",$D655=""),"",IF($AC655&gt;0,INDEX(CASHBACK_RULES!$I$5:$I$304,$AC655),0))</f>
        <v/>
      </c>
      <c r="O655" s="48" t="str">
        <f>IF(OR($B655="",$D655=""),"",ROUND($M655*$N655,0))</f>
        <v/>
      </c>
      <c r="P655" s="48" t="str">
        <f>IF($AC655&gt;0,IF(ISNUMBER(INDEX(CASHBACK_RULES!$J$5:$J$304,$AC655)),INDEX(CASHBACK_RULES!$J$5:$J$304,$AC655),"∞"),"")</f>
        <v/>
      </c>
      <c r="Q655" s="48" t="str">
        <f>IF(OR($B655="",$D655=""),"",IF($AC655=0,0,MAX(0,MIN($O655,IF(ISNUMBER($P655),$P655-$AF655,1E+15),IF(ISNUMBER($AA655),$AA655-$AG655,1E+15)))))</f>
        <v/>
      </c>
      <c r="R655" s="48" t="str">
        <f>IF(OR($B655="",$D655=""),"",IF($AC655=0,"",IF(AND(NOT(ISNUMBER($P655)),NOT(ISNUMBER($AA655))),"∞",MAX(0,MIN(IF(ISNUMBER($P655),$P655-$AF655-$Q655,1E+15),IF(ISNUMBER($AA655),$AA655-$AG655-$Q655,1E+15))))))</f>
        <v/>
      </c>
      <c r="S655" s="47" t="str">
        <f>IF($AD655="","",YEAR($AD655)*100+MONTH($AD655))</f>
        <v/>
      </c>
      <c r="T655" s="50" t="str">
        <f>IF($AD655="","",IFERROR(IF(INDEX(CARDS!$I$5:$I$34,MATCH($D655,CARDS!$A$5:$A$34,0))="","",IF(INDEX(CARDS!$I$5:$I$34,MATCH($D655,CARDS!$A$5:$A$34,0))&gt;INDEX(CARDS!$H$5:$H$34,MATCH($D655,CARDS!$A$5:$A$34,0)),DATE(YEAR($AD655),MONTH($AD655),MIN(INDEX(CARDS!$I$5:$I$34,MATCH($D655,CARDS!$A$5:$A$34,0)),DAY(EOMONTH($AD655,0)))),DATE(YEAR($AD655),MONTH($AD655)+1,MIN(INDEX(CARDS!$I$5:$I$34,MATCH($D655,CARDS!$A$5:$A$34,0)),DAY(EOMONTH($AD655,1)))))),""))</f>
        <v/>
      </c>
      <c r="U655" s="38" t="n"/>
      <c r="V655" s="37" t="n"/>
      <c r="W655" s="38" t="n"/>
      <c r="X655" s="38" t="n"/>
      <c r="Y655" s="44" t="str">
        <f>IF($AC655&gt;0,INDEX(CASHBACK_RULES!$A$5:$A$304,$AC655),"")</f>
        <v/>
      </c>
      <c r="Z655" s="45" t="str">
        <f>IF($AC655&gt;0,INDEX(CASHBACK_RULES!$E$5:$E$304,$AC655)&amp;"","")</f>
        <v/>
      </c>
      <c r="AA655" s="48" t="str">
        <f>IF($AC655&gt;0,IF(ISNUMBER(INDEX(CASHBACK_RULES!$K$5:$K$304,$AC655)),INDEX(CASHBACK_RULES!$K$5:$K$304,$AC655),"∞"),"")</f>
        <v/>
      </c>
      <c r="AB655" s="44" t="str">
        <f>IF(OR($B655="",$D655=""),"",IF($U655="Cancelled","Đã hủy",IF($AC655=0,"Không được hoàn",IF($Q655=0,IF(OR($O655&gt;0,$M655&lt;$L655),"Đã đạt cap","Không được hoàn"),IF(OR($Q655&lt;$O655,$M655&lt;$L655),"Hoàn một phần","Được hoàn")))))</f>
        <v/>
      </c>
      <c r="AC655" s="43">
        <f>IF(OR($B655="",$D655="",$I655="",$L655=""),0,IF($U655="Cancelled",0,IF($W655&lt;&gt;"",IFERROR(IF(INDEX(CASHBACK_RULES!$B$5:$B$304,MATCH($W655,CASHBACK_RULES!$A$5:$A$304,0))=$D655,MATCH($W655,CASHBACK_RULES!$A$5:$A$304,0),0),0),IFERROR(MATCH(1,INDEX((CASHBACK_RULES!$B$5:$B$304=$D655)*(CASHBACK_RULES!$G$5:$G$304=$I655)*(((CASHBACK_RULES!$N$5:$N$304="")+(CASHBACK_RULES!$N$5:$N$304&lt;=$B655))&gt;0)*(((CASHBACK_RULES!$O$5:$O$304="")+(CASHBACK_RULES!$O$5:$O$304&gt;=$B655))&gt;0)*(((CASHBACK_RULES!$M$5:$M$304="")+(CASHBACK_RULES!$M$5:$M$304&lt;=$L655))&gt;0),0),0),0))))</f>
        <v>0</v>
      </c>
      <c r="AD655" s="51" t="str">
        <f>IF(OR($B655="",$D655=""),"",IFERROR(IF(INDEX(CARDS!$H$5:$H$34,MATCH($D655,CARDS!$A$5:$A$34,0))="","",IF(DAY($B655)&lt;=INDEX(CARDS!$H$5:$H$34,MATCH($D655,CARDS!$A$5:$A$34,0)),DATE(YEAR($B655),MONTH($B655),MIN(INDEX(CARDS!$H$5:$H$34,MATCH($D655,CARDS!$A$5:$A$34,0)),DAY(EOMONTH($B655,0)))),DATE(YEAR($B655),MONTH($B655)+1,MIN(INDEX(CARDS!$H$5:$H$34,MATCH($D655,CARDS!$A$5:$A$34,0)),DAY(EOMONTH($B655,1)))))),""))</f>
        <v/>
      </c>
      <c r="AE655" s="52" t="str">
        <f>IF($C655="","",$C655&amp;"|"&amp;COUNTIF($C$5:$C655,$C655))</f>
        <v/>
      </c>
      <c r="AF655" s="53">
        <f>IF($AC655&gt;0,SUMIFS(Q$4:Q654,$D$4:$D654,$D655,$Z$4:$Z654,$Z655,$C$4:$C654,$C655),0)</f>
        <v>0</v>
      </c>
      <c r="AG655" s="53">
        <f>IF($AC655&gt;0,SUMIFS(Q$4:Q654,$D$4:$D654,$D655,$C$4:$C654,$C655),0)</f>
        <v>0</v>
      </c>
      <c r="AH655" s="53">
        <f>IF($AC655&gt;0,SUMIFS(M$4:M654,$D$4:$D654,$D655,$Z$4:$Z654,$Z655,$C$4:$C654,$C655),0)</f>
        <v>0</v>
      </c>
      <c r="AI655" s="43">
        <f>IF(OR($C655="",$I655=""),0,IF(COUNTIFS($C$5:$C655,$C655,$I$5:$I655,$I655)=1,1,0))</f>
        <v>0</v>
      </c>
      <c r="AJ655" s="43" t="str">
        <f>IF($AI655=1,SUMIFS($AI$4:$AI654,$C$4:$C654,$C655)+1,"")</f>
        <v/>
      </c>
      <c r="AK655" s="43">
        <f>IF(OR($C655="",$K655=""),0,IF(COUNTIFS($C$5:$C655,$C655,$K$5:$K655,$K655)=1,1,0))</f>
        <v>0</v>
      </c>
      <c r="AL655" s="43" t="str">
        <f>IF($AK655=1,SUMIFS($AK$4:$AK654,$C$4:$C654,$C655)+1,"")</f>
        <v/>
      </c>
      <c r="AM655" s="43">
        <f>IF(OR($C655="",$G655=""),0,IF(COUNTIFS($C$5:$C655,$C655,$G$5:$G655,$G655)=1,1,0))</f>
        <v>0</v>
      </c>
      <c r="AN655" s="43" t="str">
        <f>IF($AM655=1,SUMIFS($AM$4:$AM654,$C$4:$C654,$C655)+1,"")</f>
        <v/>
      </c>
    </row>
    <row r="656">
      <c r="A656" s="44" t="str">
        <f>IF(OR($B656="",$D656=""),"","TX"&amp;TEXT(ROW()-4,"0000"))</f>
        <v/>
      </c>
      <c r="B656" s="42" t="n"/>
      <c r="C656" s="47" t="str">
        <f>IF($B656="","",YEAR($B656)*100+MONTH($B656))</f>
        <v/>
      </c>
      <c r="D656" s="37" t="n"/>
      <c r="E656" s="45" t="str">
        <f>IF($D656="","",IFERROR(INDEX(CARDS!$B$5:$B$34,MATCH($D656,CARDS!$A$5:$A$34,0)),"⚠ Card ID?"))</f>
        <v/>
      </c>
      <c r="F656" s="45" t="str">
        <f>IF($D656="","",IFERROR(INDEX(CARDS!$C$5:$C$34,MATCH($D656,CARDS!$A$5:$A$34,0)),"⚠ Card ID?"))</f>
        <v/>
      </c>
      <c r="G656" s="37" t="n"/>
      <c r="H656" s="37" t="n"/>
      <c r="I656" s="41" t="n"/>
      <c r="J656" s="45" t="str">
        <f>IF($I656="","",IFERROR(INDEX(MCC_MASTER!$B$5:$B$504,MATCH($I656,MCC_MASTER!$A$5:$A$504,0)),"⚠ MCC chưa có"))</f>
        <v/>
      </c>
      <c r="K656" s="45" t="str">
        <f>IF($I656="","",IFERROR(IF(INDEX(MCC_MASTER!$C$5:$C$504,MATCH($I656,MCC_MASTER!$A$5:$A$504,0))="","Chưa phân loại",INDEX(MCC_MASTER!$C$5:$C$504,MATCH($I656,MCC_MASTER!$A$5:$A$504,0))),"Chưa phân loại"))</f>
        <v/>
      </c>
      <c r="L656" s="40" t="n"/>
      <c r="M656" s="48" t="str">
        <f>IF(OR($B656="",$D656=""),"",IF($AC656=0,0,IF(ISNUMBER(INDEX(CASHBACK_RULES!$L$5:$L$304,$AC656)),MAX(0,MIN($L656,INDEX(CASHBACK_RULES!$L$5:$L$304,$AC656)-$AH656)),MAX(0,$L656))))</f>
        <v/>
      </c>
      <c r="N656" s="49" t="str">
        <f>IF(OR($B656="",$D656=""),"",IF($AC656&gt;0,INDEX(CASHBACK_RULES!$I$5:$I$304,$AC656),0))</f>
        <v/>
      </c>
      <c r="O656" s="48" t="str">
        <f>IF(OR($B656="",$D656=""),"",ROUND($M656*$N656,0))</f>
        <v/>
      </c>
      <c r="P656" s="48" t="str">
        <f>IF($AC656&gt;0,IF(ISNUMBER(INDEX(CASHBACK_RULES!$J$5:$J$304,$AC656)),INDEX(CASHBACK_RULES!$J$5:$J$304,$AC656),"∞"),"")</f>
        <v/>
      </c>
      <c r="Q656" s="48" t="str">
        <f>IF(OR($B656="",$D656=""),"",IF($AC656=0,0,MAX(0,MIN($O656,IF(ISNUMBER($P656),$P656-$AF656,1E+15),IF(ISNUMBER($AA656),$AA656-$AG656,1E+15)))))</f>
        <v/>
      </c>
      <c r="R656" s="48" t="str">
        <f>IF(OR($B656="",$D656=""),"",IF($AC656=0,"",IF(AND(NOT(ISNUMBER($P656)),NOT(ISNUMBER($AA656))),"∞",MAX(0,MIN(IF(ISNUMBER($P656),$P656-$AF656-$Q656,1E+15),IF(ISNUMBER($AA656),$AA656-$AG656-$Q656,1E+15))))))</f>
        <v/>
      </c>
      <c r="S656" s="47" t="str">
        <f>IF($AD656="","",YEAR($AD656)*100+MONTH($AD656))</f>
        <v/>
      </c>
      <c r="T656" s="50" t="str">
        <f>IF($AD656="","",IFERROR(IF(INDEX(CARDS!$I$5:$I$34,MATCH($D656,CARDS!$A$5:$A$34,0))="","",IF(INDEX(CARDS!$I$5:$I$34,MATCH($D656,CARDS!$A$5:$A$34,0))&gt;INDEX(CARDS!$H$5:$H$34,MATCH($D656,CARDS!$A$5:$A$34,0)),DATE(YEAR($AD656),MONTH($AD656),MIN(INDEX(CARDS!$I$5:$I$34,MATCH($D656,CARDS!$A$5:$A$34,0)),DAY(EOMONTH($AD656,0)))),DATE(YEAR($AD656),MONTH($AD656)+1,MIN(INDEX(CARDS!$I$5:$I$34,MATCH($D656,CARDS!$A$5:$A$34,0)),DAY(EOMONTH($AD656,1)))))),""))</f>
        <v/>
      </c>
      <c r="U656" s="38" t="n"/>
      <c r="V656" s="37" t="n"/>
      <c r="W656" s="38" t="n"/>
      <c r="X656" s="38" t="n"/>
      <c r="Y656" s="44" t="str">
        <f>IF($AC656&gt;0,INDEX(CASHBACK_RULES!$A$5:$A$304,$AC656),"")</f>
        <v/>
      </c>
      <c r="Z656" s="45" t="str">
        <f>IF($AC656&gt;0,INDEX(CASHBACK_RULES!$E$5:$E$304,$AC656)&amp;"","")</f>
        <v/>
      </c>
      <c r="AA656" s="48" t="str">
        <f>IF($AC656&gt;0,IF(ISNUMBER(INDEX(CASHBACK_RULES!$K$5:$K$304,$AC656)),INDEX(CASHBACK_RULES!$K$5:$K$304,$AC656),"∞"),"")</f>
        <v/>
      </c>
      <c r="AB656" s="44" t="str">
        <f>IF(OR($B656="",$D656=""),"",IF($U656="Cancelled","Đã hủy",IF($AC656=0,"Không được hoàn",IF($Q656=0,IF(OR($O656&gt;0,$M656&lt;$L656),"Đã đạt cap","Không được hoàn"),IF(OR($Q656&lt;$O656,$M656&lt;$L656),"Hoàn một phần","Được hoàn")))))</f>
        <v/>
      </c>
      <c r="AC656" s="43">
        <f>IF(OR($B656="",$D656="",$I656="",$L656=""),0,IF($U656="Cancelled",0,IF($W656&lt;&gt;"",IFERROR(IF(INDEX(CASHBACK_RULES!$B$5:$B$304,MATCH($W656,CASHBACK_RULES!$A$5:$A$304,0))=$D656,MATCH($W656,CASHBACK_RULES!$A$5:$A$304,0),0),0),IFERROR(MATCH(1,INDEX((CASHBACK_RULES!$B$5:$B$304=$D656)*(CASHBACK_RULES!$G$5:$G$304=$I656)*(((CASHBACK_RULES!$N$5:$N$304="")+(CASHBACK_RULES!$N$5:$N$304&lt;=$B656))&gt;0)*(((CASHBACK_RULES!$O$5:$O$304="")+(CASHBACK_RULES!$O$5:$O$304&gt;=$B656))&gt;0)*(((CASHBACK_RULES!$M$5:$M$304="")+(CASHBACK_RULES!$M$5:$M$304&lt;=$L656))&gt;0),0),0),0))))</f>
        <v>0</v>
      </c>
      <c r="AD656" s="51" t="str">
        <f>IF(OR($B656="",$D656=""),"",IFERROR(IF(INDEX(CARDS!$H$5:$H$34,MATCH($D656,CARDS!$A$5:$A$34,0))="","",IF(DAY($B656)&lt;=INDEX(CARDS!$H$5:$H$34,MATCH($D656,CARDS!$A$5:$A$34,0)),DATE(YEAR($B656),MONTH($B656),MIN(INDEX(CARDS!$H$5:$H$34,MATCH($D656,CARDS!$A$5:$A$34,0)),DAY(EOMONTH($B656,0)))),DATE(YEAR($B656),MONTH($B656)+1,MIN(INDEX(CARDS!$H$5:$H$34,MATCH($D656,CARDS!$A$5:$A$34,0)),DAY(EOMONTH($B656,1)))))),""))</f>
        <v/>
      </c>
      <c r="AE656" s="52" t="str">
        <f>IF($C656="","",$C656&amp;"|"&amp;COUNTIF($C$5:$C656,$C656))</f>
        <v/>
      </c>
      <c r="AF656" s="53">
        <f>IF($AC656&gt;0,SUMIFS(Q$4:Q655,$D$4:$D655,$D656,$Z$4:$Z655,$Z656,$C$4:$C655,$C656),0)</f>
        <v>0</v>
      </c>
      <c r="AG656" s="53">
        <f>IF($AC656&gt;0,SUMIFS(Q$4:Q655,$D$4:$D655,$D656,$C$4:$C655,$C656),0)</f>
        <v>0</v>
      </c>
      <c r="AH656" s="53">
        <f>IF($AC656&gt;0,SUMIFS(M$4:M655,$D$4:$D655,$D656,$Z$4:$Z655,$Z656,$C$4:$C655,$C656),0)</f>
        <v>0</v>
      </c>
      <c r="AI656" s="43">
        <f>IF(OR($C656="",$I656=""),0,IF(COUNTIFS($C$5:$C656,$C656,$I$5:$I656,$I656)=1,1,0))</f>
        <v>0</v>
      </c>
      <c r="AJ656" s="43" t="str">
        <f>IF($AI656=1,SUMIFS($AI$4:$AI655,$C$4:$C655,$C656)+1,"")</f>
        <v/>
      </c>
      <c r="AK656" s="43">
        <f>IF(OR($C656="",$K656=""),0,IF(COUNTIFS($C$5:$C656,$C656,$K$5:$K656,$K656)=1,1,0))</f>
        <v>0</v>
      </c>
      <c r="AL656" s="43" t="str">
        <f>IF($AK656=1,SUMIFS($AK$4:$AK655,$C$4:$C655,$C656)+1,"")</f>
        <v/>
      </c>
      <c r="AM656" s="43">
        <f>IF(OR($C656="",$G656=""),0,IF(COUNTIFS($C$5:$C656,$C656,$G$5:$G656,$G656)=1,1,0))</f>
        <v>0</v>
      </c>
      <c r="AN656" s="43" t="str">
        <f>IF($AM656=1,SUMIFS($AM$4:$AM655,$C$4:$C655,$C656)+1,"")</f>
        <v/>
      </c>
    </row>
    <row r="657">
      <c r="A657" s="44" t="str">
        <f>IF(OR($B657="",$D657=""),"","TX"&amp;TEXT(ROW()-4,"0000"))</f>
        <v/>
      </c>
      <c r="B657" s="42" t="n"/>
      <c r="C657" s="47" t="str">
        <f>IF($B657="","",YEAR($B657)*100+MONTH($B657))</f>
        <v/>
      </c>
      <c r="D657" s="37" t="n"/>
      <c r="E657" s="45" t="str">
        <f>IF($D657="","",IFERROR(INDEX(CARDS!$B$5:$B$34,MATCH($D657,CARDS!$A$5:$A$34,0)),"⚠ Card ID?"))</f>
        <v/>
      </c>
      <c r="F657" s="45" t="str">
        <f>IF($D657="","",IFERROR(INDEX(CARDS!$C$5:$C$34,MATCH($D657,CARDS!$A$5:$A$34,0)),"⚠ Card ID?"))</f>
        <v/>
      </c>
      <c r="G657" s="37" t="n"/>
      <c r="H657" s="37" t="n"/>
      <c r="I657" s="41" t="n"/>
      <c r="J657" s="45" t="str">
        <f>IF($I657="","",IFERROR(INDEX(MCC_MASTER!$B$5:$B$504,MATCH($I657,MCC_MASTER!$A$5:$A$504,0)),"⚠ MCC chưa có"))</f>
        <v/>
      </c>
      <c r="K657" s="45" t="str">
        <f>IF($I657="","",IFERROR(IF(INDEX(MCC_MASTER!$C$5:$C$504,MATCH($I657,MCC_MASTER!$A$5:$A$504,0))="","Chưa phân loại",INDEX(MCC_MASTER!$C$5:$C$504,MATCH($I657,MCC_MASTER!$A$5:$A$504,0))),"Chưa phân loại"))</f>
        <v/>
      </c>
      <c r="L657" s="40" t="n"/>
      <c r="M657" s="48" t="str">
        <f>IF(OR($B657="",$D657=""),"",IF($AC657=0,0,IF(ISNUMBER(INDEX(CASHBACK_RULES!$L$5:$L$304,$AC657)),MAX(0,MIN($L657,INDEX(CASHBACK_RULES!$L$5:$L$304,$AC657)-$AH657)),MAX(0,$L657))))</f>
        <v/>
      </c>
      <c r="N657" s="49" t="str">
        <f>IF(OR($B657="",$D657=""),"",IF($AC657&gt;0,INDEX(CASHBACK_RULES!$I$5:$I$304,$AC657),0))</f>
        <v/>
      </c>
      <c r="O657" s="48" t="str">
        <f>IF(OR($B657="",$D657=""),"",ROUND($M657*$N657,0))</f>
        <v/>
      </c>
      <c r="P657" s="48" t="str">
        <f>IF($AC657&gt;0,IF(ISNUMBER(INDEX(CASHBACK_RULES!$J$5:$J$304,$AC657)),INDEX(CASHBACK_RULES!$J$5:$J$304,$AC657),"∞"),"")</f>
        <v/>
      </c>
      <c r="Q657" s="48" t="str">
        <f>IF(OR($B657="",$D657=""),"",IF($AC657=0,0,MAX(0,MIN($O657,IF(ISNUMBER($P657),$P657-$AF657,1E+15),IF(ISNUMBER($AA657),$AA657-$AG657,1E+15)))))</f>
        <v/>
      </c>
      <c r="R657" s="48" t="str">
        <f>IF(OR($B657="",$D657=""),"",IF($AC657=0,"",IF(AND(NOT(ISNUMBER($P657)),NOT(ISNUMBER($AA657))),"∞",MAX(0,MIN(IF(ISNUMBER($P657),$P657-$AF657-$Q657,1E+15),IF(ISNUMBER($AA657),$AA657-$AG657-$Q657,1E+15))))))</f>
        <v/>
      </c>
      <c r="S657" s="47" t="str">
        <f>IF($AD657="","",YEAR($AD657)*100+MONTH($AD657))</f>
        <v/>
      </c>
      <c r="T657" s="50" t="str">
        <f>IF($AD657="","",IFERROR(IF(INDEX(CARDS!$I$5:$I$34,MATCH($D657,CARDS!$A$5:$A$34,0))="","",IF(INDEX(CARDS!$I$5:$I$34,MATCH($D657,CARDS!$A$5:$A$34,0))&gt;INDEX(CARDS!$H$5:$H$34,MATCH($D657,CARDS!$A$5:$A$34,0)),DATE(YEAR($AD657),MONTH($AD657),MIN(INDEX(CARDS!$I$5:$I$34,MATCH($D657,CARDS!$A$5:$A$34,0)),DAY(EOMONTH($AD657,0)))),DATE(YEAR($AD657),MONTH($AD657)+1,MIN(INDEX(CARDS!$I$5:$I$34,MATCH($D657,CARDS!$A$5:$A$34,0)),DAY(EOMONTH($AD657,1)))))),""))</f>
        <v/>
      </c>
      <c r="U657" s="38" t="n"/>
      <c r="V657" s="37" t="n"/>
      <c r="W657" s="38" t="n"/>
      <c r="X657" s="38" t="n"/>
      <c r="Y657" s="44" t="str">
        <f>IF($AC657&gt;0,INDEX(CASHBACK_RULES!$A$5:$A$304,$AC657),"")</f>
        <v/>
      </c>
      <c r="Z657" s="45" t="str">
        <f>IF($AC657&gt;0,INDEX(CASHBACK_RULES!$E$5:$E$304,$AC657)&amp;"","")</f>
        <v/>
      </c>
      <c r="AA657" s="48" t="str">
        <f>IF($AC657&gt;0,IF(ISNUMBER(INDEX(CASHBACK_RULES!$K$5:$K$304,$AC657)),INDEX(CASHBACK_RULES!$K$5:$K$304,$AC657),"∞"),"")</f>
        <v/>
      </c>
      <c r="AB657" s="44" t="str">
        <f>IF(OR($B657="",$D657=""),"",IF($U657="Cancelled","Đã hủy",IF($AC657=0,"Không được hoàn",IF($Q657=0,IF(OR($O657&gt;0,$M657&lt;$L657),"Đã đạt cap","Không được hoàn"),IF(OR($Q657&lt;$O657,$M657&lt;$L657),"Hoàn một phần","Được hoàn")))))</f>
        <v/>
      </c>
      <c r="AC657" s="43">
        <f>IF(OR($B657="",$D657="",$I657="",$L657=""),0,IF($U657="Cancelled",0,IF($W657&lt;&gt;"",IFERROR(IF(INDEX(CASHBACK_RULES!$B$5:$B$304,MATCH($W657,CASHBACK_RULES!$A$5:$A$304,0))=$D657,MATCH($W657,CASHBACK_RULES!$A$5:$A$304,0),0),0),IFERROR(MATCH(1,INDEX((CASHBACK_RULES!$B$5:$B$304=$D657)*(CASHBACK_RULES!$G$5:$G$304=$I657)*(((CASHBACK_RULES!$N$5:$N$304="")+(CASHBACK_RULES!$N$5:$N$304&lt;=$B657))&gt;0)*(((CASHBACK_RULES!$O$5:$O$304="")+(CASHBACK_RULES!$O$5:$O$304&gt;=$B657))&gt;0)*(((CASHBACK_RULES!$M$5:$M$304="")+(CASHBACK_RULES!$M$5:$M$304&lt;=$L657))&gt;0),0),0),0))))</f>
        <v>0</v>
      </c>
      <c r="AD657" s="51" t="str">
        <f>IF(OR($B657="",$D657=""),"",IFERROR(IF(INDEX(CARDS!$H$5:$H$34,MATCH($D657,CARDS!$A$5:$A$34,0))="","",IF(DAY($B657)&lt;=INDEX(CARDS!$H$5:$H$34,MATCH($D657,CARDS!$A$5:$A$34,0)),DATE(YEAR($B657),MONTH($B657),MIN(INDEX(CARDS!$H$5:$H$34,MATCH($D657,CARDS!$A$5:$A$34,0)),DAY(EOMONTH($B657,0)))),DATE(YEAR($B657),MONTH($B657)+1,MIN(INDEX(CARDS!$H$5:$H$34,MATCH($D657,CARDS!$A$5:$A$34,0)),DAY(EOMONTH($B657,1)))))),""))</f>
        <v/>
      </c>
      <c r="AE657" s="52" t="str">
        <f>IF($C657="","",$C657&amp;"|"&amp;COUNTIF($C$5:$C657,$C657))</f>
        <v/>
      </c>
      <c r="AF657" s="53">
        <f>IF($AC657&gt;0,SUMIFS(Q$4:Q656,$D$4:$D656,$D657,$Z$4:$Z656,$Z657,$C$4:$C656,$C657),0)</f>
        <v>0</v>
      </c>
      <c r="AG657" s="53">
        <f>IF($AC657&gt;0,SUMIFS(Q$4:Q656,$D$4:$D656,$D657,$C$4:$C656,$C657),0)</f>
        <v>0</v>
      </c>
      <c r="AH657" s="53">
        <f>IF($AC657&gt;0,SUMIFS(M$4:M656,$D$4:$D656,$D657,$Z$4:$Z656,$Z657,$C$4:$C656,$C657),0)</f>
        <v>0</v>
      </c>
      <c r="AI657" s="43">
        <f>IF(OR($C657="",$I657=""),0,IF(COUNTIFS($C$5:$C657,$C657,$I$5:$I657,$I657)=1,1,0))</f>
        <v>0</v>
      </c>
      <c r="AJ657" s="43" t="str">
        <f>IF($AI657=1,SUMIFS($AI$4:$AI656,$C$4:$C656,$C657)+1,"")</f>
        <v/>
      </c>
      <c r="AK657" s="43">
        <f>IF(OR($C657="",$K657=""),0,IF(COUNTIFS($C$5:$C657,$C657,$K$5:$K657,$K657)=1,1,0))</f>
        <v>0</v>
      </c>
      <c r="AL657" s="43" t="str">
        <f>IF($AK657=1,SUMIFS($AK$4:$AK656,$C$4:$C656,$C657)+1,"")</f>
        <v/>
      </c>
      <c r="AM657" s="43">
        <f>IF(OR($C657="",$G657=""),0,IF(COUNTIFS($C$5:$C657,$C657,$G$5:$G657,$G657)=1,1,0))</f>
        <v>0</v>
      </c>
      <c r="AN657" s="43" t="str">
        <f>IF($AM657=1,SUMIFS($AM$4:$AM656,$C$4:$C656,$C657)+1,"")</f>
        <v/>
      </c>
    </row>
    <row r="658">
      <c r="A658" s="44" t="str">
        <f>IF(OR($B658="",$D658=""),"","TX"&amp;TEXT(ROW()-4,"0000"))</f>
        <v/>
      </c>
      <c r="B658" s="42" t="n"/>
      <c r="C658" s="47" t="str">
        <f>IF($B658="","",YEAR($B658)*100+MONTH($B658))</f>
        <v/>
      </c>
      <c r="D658" s="37" t="n"/>
      <c r="E658" s="45" t="str">
        <f>IF($D658="","",IFERROR(INDEX(CARDS!$B$5:$B$34,MATCH($D658,CARDS!$A$5:$A$34,0)),"⚠ Card ID?"))</f>
        <v/>
      </c>
      <c r="F658" s="45" t="str">
        <f>IF($D658="","",IFERROR(INDEX(CARDS!$C$5:$C$34,MATCH($D658,CARDS!$A$5:$A$34,0)),"⚠ Card ID?"))</f>
        <v/>
      </c>
      <c r="G658" s="37" t="n"/>
      <c r="H658" s="37" t="n"/>
      <c r="I658" s="41" t="n"/>
      <c r="J658" s="45" t="str">
        <f>IF($I658="","",IFERROR(INDEX(MCC_MASTER!$B$5:$B$504,MATCH($I658,MCC_MASTER!$A$5:$A$504,0)),"⚠ MCC chưa có"))</f>
        <v/>
      </c>
      <c r="K658" s="45" t="str">
        <f>IF($I658="","",IFERROR(IF(INDEX(MCC_MASTER!$C$5:$C$504,MATCH($I658,MCC_MASTER!$A$5:$A$504,0))="","Chưa phân loại",INDEX(MCC_MASTER!$C$5:$C$504,MATCH($I658,MCC_MASTER!$A$5:$A$504,0))),"Chưa phân loại"))</f>
        <v/>
      </c>
      <c r="L658" s="40" t="n"/>
      <c r="M658" s="48" t="str">
        <f>IF(OR($B658="",$D658=""),"",IF($AC658=0,0,IF(ISNUMBER(INDEX(CASHBACK_RULES!$L$5:$L$304,$AC658)),MAX(0,MIN($L658,INDEX(CASHBACK_RULES!$L$5:$L$304,$AC658)-$AH658)),MAX(0,$L658))))</f>
        <v/>
      </c>
      <c r="N658" s="49" t="str">
        <f>IF(OR($B658="",$D658=""),"",IF($AC658&gt;0,INDEX(CASHBACK_RULES!$I$5:$I$304,$AC658),0))</f>
        <v/>
      </c>
      <c r="O658" s="48" t="str">
        <f>IF(OR($B658="",$D658=""),"",ROUND($M658*$N658,0))</f>
        <v/>
      </c>
      <c r="P658" s="48" t="str">
        <f>IF($AC658&gt;0,IF(ISNUMBER(INDEX(CASHBACK_RULES!$J$5:$J$304,$AC658)),INDEX(CASHBACK_RULES!$J$5:$J$304,$AC658),"∞"),"")</f>
        <v/>
      </c>
      <c r="Q658" s="48" t="str">
        <f>IF(OR($B658="",$D658=""),"",IF($AC658=0,0,MAX(0,MIN($O658,IF(ISNUMBER($P658),$P658-$AF658,1E+15),IF(ISNUMBER($AA658),$AA658-$AG658,1E+15)))))</f>
        <v/>
      </c>
      <c r="R658" s="48" t="str">
        <f>IF(OR($B658="",$D658=""),"",IF($AC658=0,"",IF(AND(NOT(ISNUMBER($P658)),NOT(ISNUMBER($AA658))),"∞",MAX(0,MIN(IF(ISNUMBER($P658),$P658-$AF658-$Q658,1E+15),IF(ISNUMBER($AA658),$AA658-$AG658-$Q658,1E+15))))))</f>
        <v/>
      </c>
      <c r="S658" s="47" t="str">
        <f>IF($AD658="","",YEAR($AD658)*100+MONTH($AD658))</f>
        <v/>
      </c>
      <c r="T658" s="50" t="str">
        <f>IF($AD658="","",IFERROR(IF(INDEX(CARDS!$I$5:$I$34,MATCH($D658,CARDS!$A$5:$A$34,0))="","",IF(INDEX(CARDS!$I$5:$I$34,MATCH($D658,CARDS!$A$5:$A$34,0))&gt;INDEX(CARDS!$H$5:$H$34,MATCH($D658,CARDS!$A$5:$A$34,0)),DATE(YEAR($AD658),MONTH($AD658),MIN(INDEX(CARDS!$I$5:$I$34,MATCH($D658,CARDS!$A$5:$A$34,0)),DAY(EOMONTH($AD658,0)))),DATE(YEAR($AD658),MONTH($AD658)+1,MIN(INDEX(CARDS!$I$5:$I$34,MATCH($D658,CARDS!$A$5:$A$34,0)),DAY(EOMONTH($AD658,1)))))),""))</f>
        <v/>
      </c>
      <c r="U658" s="38" t="n"/>
      <c r="V658" s="37" t="n"/>
      <c r="W658" s="38" t="n"/>
      <c r="X658" s="38" t="n"/>
      <c r="Y658" s="44" t="str">
        <f>IF($AC658&gt;0,INDEX(CASHBACK_RULES!$A$5:$A$304,$AC658),"")</f>
        <v/>
      </c>
      <c r="Z658" s="45" t="str">
        <f>IF($AC658&gt;0,INDEX(CASHBACK_RULES!$E$5:$E$304,$AC658)&amp;"","")</f>
        <v/>
      </c>
      <c r="AA658" s="48" t="str">
        <f>IF($AC658&gt;0,IF(ISNUMBER(INDEX(CASHBACK_RULES!$K$5:$K$304,$AC658)),INDEX(CASHBACK_RULES!$K$5:$K$304,$AC658),"∞"),"")</f>
        <v/>
      </c>
      <c r="AB658" s="44" t="str">
        <f>IF(OR($B658="",$D658=""),"",IF($U658="Cancelled","Đã hủy",IF($AC658=0,"Không được hoàn",IF($Q658=0,IF(OR($O658&gt;0,$M658&lt;$L658),"Đã đạt cap","Không được hoàn"),IF(OR($Q658&lt;$O658,$M658&lt;$L658),"Hoàn một phần","Được hoàn")))))</f>
        <v/>
      </c>
      <c r="AC658" s="43">
        <f>IF(OR($B658="",$D658="",$I658="",$L658=""),0,IF($U658="Cancelled",0,IF($W658&lt;&gt;"",IFERROR(IF(INDEX(CASHBACK_RULES!$B$5:$B$304,MATCH($W658,CASHBACK_RULES!$A$5:$A$304,0))=$D658,MATCH($W658,CASHBACK_RULES!$A$5:$A$304,0),0),0),IFERROR(MATCH(1,INDEX((CASHBACK_RULES!$B$5:$B$304=$D658)*(CASHBACK_RULES!$G$5:$G$304=$I658)*(((CASHBACK_RULES!$N$5:$N$304="")+(CASHBACK_RULES!$N$5:$N$304&lt;=$B658))&gt;0)*(((CASHBACK_RULES!$O$5:$O$304="")+(CASHBACK_RULES!$O$5:$O$304&gt;=$B658))&gt;0)*(((CASHBACK_RULES!$M$5:$M$304="")+(CASHBACK_RULES!$M$5:$M$304&lt;=$L658))&gt;0),0),0),0))))</f>
        <v>0</v>
      </c>
      <c r="AD658" s="51" t="str">
        <f>IF(OR($B658="",$D658=""),"",IFERROR(IF(INDEX(CARDS!$H$5:$H$34,MATCH($D658,CARDS!$A$5:$A$34,0))="","",IF(DAY($B658)&lt;=INDEX(CARDS!$H$5:$H$34,MATCH($D658,CARDS!$A$5:$A$34,0)),DATE(YEAR($B658),MONTH($B658),MIN(INDEX(CARDS!$H$5:$H$34,MATCH($D658,CARDS!$A$5:$A$34,0)),DAY(EOMONTH($B658,0)))),DATE(YEAR($B658),MONTH($B658)+1,MIN(INDEX(CARDS!$H$5:$H$34,MATCH($D658,CARDS!$A$5:$A$34,0)),DAY(EOMONTH($B658,1)))))),""))</f>
        <v/>
      </c>
      <c r="AE658" s="52" t="str">
        <f>IF($C658="","",$C658&amp;"|"&amp;COUNTIF($C$5:$C658,$C658))</f>
        <v/>
      </c>
      <c r="AF658" s="53">
        <f>IF($AC658&gt;0,SUMIFS(Q$4:Q657,$D$4:$D657,$D658,$Z$4:$Z657,$Z658,$C$4:$C657,$C658),0)</f>
        <v>0</v>
      </c>
      <c r="AG658" s="53">
        <f>IF($AC658&gt;0,SUMIFS(Q$4:Q657,$D$4:$D657,$D658,$C$4:$C657,$C658),0)</f>
        <v>0</v>
      </c>
      <c r="AH658" s="53">
        <f>IF($AC658&gt;0,SUMIFS(M$4:M657,$D$4:$D657,$D658,$Z$4:$Z657,$Z658,$C$4:$C657,$C658),0)</f>
        <v>0</v>
      </c>
      <c r="AI658" s="43">
        <f>IF(OR($C658="",$I658=""),0,IF(COUNTIFS($C$5:$C658,$C658,$I$5:$I658,$I658)=1,1,0))</f>
        <v>0</v>
      </c>
      <c r="AJ658" s="43" t="str">
        <f>IF($AI658=1,SUMIFS($AI$4:$AI657,$C$4:$C657,$C658)+1,"")</f>
        <v/>
      </c>
      <c r="AK658" s="43">
        <f>IF(OR($C658="",$K658=""),0,IF(COUNTIFS($C$5:$C658,$C658,$K$5:$K658,$K658)=1,1,0))</f>
        <v>0</v>
      </c>
      <c r="AL658" s="43" t="str">
        <f>IF($AK658=1,SUMIFS($AK$4:$AK657,$C$4:$C657,$C658)+1,"")</f>
        <v/>
      </c>
      <c r="AM658" s="43">
        <f>IF(OR($C658="",$G658=""),0,IF(COUNTIFS($C$5:$C658,$C658,$G$5:$G658,$G658)=1,1,0))</f>
        <v>0</v>
      </c>
      <c r="AN658" s="43" t="str">
        <f>IF($AM658=1,SUMIFS($AM$4:$AM657,$C$4:$C657,$C658)+1,"")</f>
        <v/>
      </c>
    </row>
    <row r="659">
      <c r="A659" s="44" t="str">
        <f>IF(OR($B659="",$D659=""),"","TX"&amp;TEXT(ROW()-4,"0000"))</f>
        <v/>
      </c>
      <c r="B659" s="42" t="n"/>
      <c r="C659" s="47" t="str">
        <f>IF($B659="","",YEAR($B659)*100+MONTH($B659))</f>
        <v/>
      </c>
      <c r="D659" s="37" t="n"/>
      <c r="E659" s="45" t="str">
        <f>IF($D659="","",IFERROR(INDEX(CARDS!$B$5:$B$34,MATCH($D659,CARDS!$A$5:$A$34,0)),"⚠ Card ID?"))</f>
        <v/>
      </c>
      <c r="F659" s="45" t="str">
        <f>IF($D659="","",IFERROR(INDEX(CARDS!$C$5:$C$34,MATCH($D659,CARDS!$A$5:$A$34,0)),"⚠ Card ID?"))</f>
        <v/>
      </c>
      <c r="G659" s="37" t="n"/>
      <c r="H659" s="37" t="n"/>
      <c r="I659" s="41" t="n"/>
      <c r="J659" s="45" t="str">
        <f>IF($I659="","",IFERROR(INDEX(MCC_MASTER!$B$5:$B$504,MATCH($I659,MCC_MASTER!$A$5:$A$504,0)),"⚠ MCC chưa có"))</f>
        <v/>
      </c>
      <c r="K659" s="45" t="str">
        <f>IF($I659="","",IFERROR(IF(INDEX(MCC_MASTER!$C$5:$C$504,MATCH($I659,MCC_MASTER!$A$5:$A$504,0))="","Chưa phân loại",INDEX(MCC_MASTER!$C$5:$C$504,MATCH($I659,MCC_MASTER!$A$5:$A$504,0))),"Chưa phân loại"))</f>
        <v/>
      </c>
      <c r="L659" s="40" t="n"/>
      <c r="M659" s="48" t="str">
        <f>IF(OR($B659="",$D659=""),"",IF($AC659=0,0,IF(ISNUMBER(INDEX(CASHBACK_RULES!$L$5:$L$304,$AC659)),MAX(0,MIN($L659,INDEX(CASHBACK_RULES!$L$5:$L$304,$AC659)-$AH659)),MAX(0,$L659))))</f>
        <v/>
      </c>
      <c r="N659" s="49" t="str">
        <f>IF(OR($B659="",$D659=""),"",IF($AC659&gt;0,INDEX(CASHBACK_RULES!$I$5:$I$304,$AC659),0))</f>
        <v/>
      </c>
      <c r="O659" s="48" t="str">
        <f>IF(OR($B659="",$D659=""),"",ROUND($M659*$N659,0))</f>
        <v/>
      </c>
      <c r="P659" s="48" t="str">
        <f>IF($AC659&gt;0,IF(ISNUMBER(INDEX(CASHBACK_RULES!$J$5:$J$304,$AC659)),INDEX(CASHBACK_RULES!$J$5:$J$304,$AC659),"∞"),"")</f>
        <v/>
      </c>
      <c r="Q659" s="48" t="str">
        <f>IF(OR($B659="",$D659=""),"",IF($AC659=0,0,MAX(0,MIN($O659,IF(ISNUMBER($P659),$P659-$AF659,1E+15),IF(ISNUMBER($AA659),$AA659-$AG659,1E+15)))))</f>
        <v/>
      </c>
      <c r="R659" s="48" t="str">
        <f>IF(OR($B659="",$D659=""),"",IF($AC659=0,"",IF(AND(NOT(ISNUMBER($P659)),NOT(ISNUMBER($AA659))),"∞",MAX(0,MIN(IF(ISNUMBER($P659),$P659-$AF659-$Q659,1E+15),IF(ISNUMBER($AA659),$AA659-$AG659-$Q659,1E+15))))))</f>
        <v/>
      </c>
      <c r="S659" s="47" t="str">
        <f>IF($AD659="","",YEAR($AD659)*100+MONTH($AD659))</f>
        <v/>
      </c>
      <c r="T659" s="50" t="str">
        <f>IF($AD659="","",IFERROR(IF(INDEX(CARDS!$I$5:$I$34,MATCH($D659,CARDS!$A$5:$A$34,0))="","",IF(INDEX(CARDS!$I$5:$I$34,MATCH($D659,CARDS!$A$5:$A$34,0))&gt;INDEX(CARDS!$H$5:$H$34,MATCH($D659,CARDS!$A$5:$A$34,0)),DATE(YEAR($AD659),MONTH($AD659),MIN(INDEX(CARDS!$I$5:$I$34,MATCH($D659,CARDS!$A$5:$A$34,0)),DAY(EOMONTH($AD659,0)))),DATE(YEAR($AD659),MONTH($AD659)+1,MIN(INDEX(CARDS!$I$5:$I$34,MATCH($D659,CARDS!$A$5:$A$34,0)),DAY(EOMONTH($AD659,1)))))),""))</f>
        <v/>
      </c>
      <c r="U659" s="38" t="n"/>
      <c r="V659" s="37" t="n"/>
      <c r="W659" s="38" t="n"/>
      <c r="X659" s="38" t="n"/>
      <c r="Y659" s="44" t="str">
        <f>IF($AC659&gt;0,INDEX(CASHBACK_RULES!$A$5:$A$304,$AC659),"")</f>
        <v/>
      </c>
      <c r="Z659" s="45" t="str">
        <f>IF($AC659&gt;0,INDEX(CASHBACK_RULES!$E$5:$E$304,$AC659)&amp;"","")</f>
        <v/>
      </c>
      <c r="AA659" s="48" t="str">
        <f>IF($AC659&gt;0,IF(ISNUMBER(INDEX(CASHBACK_RULES!$K$5:$K$304,$AC659)),INDEX(CASHBACK_RULES!$K$5:$K$304,$AC659),"∞"),"")</f>
        <v/>
      </c>
      <c r="AB659" s="44" t="str">
        <f>IF(OR($B659="",$D659=""),"",IF($U659="Cancelled","Đã hủy",IF($AC659=0,"Không được hoàn",IF($Q659=0,IF(OR($O659&gt;0,$M659&lt;$L659),"Đã đạt cap","Không được hoàn"),IF(OR($Q659&lt;$O659,$M659&lt;$L659),"Hoàn một phần","Được hoàn")))))</f>
        <v/>
      </c>
      <c r="AC659" s="43">
        <f>IF(OR($B659="",$D659="",$I659="",$L659=""),0,IF($U659="Cancelled",0,IF($W659&lt;&gt;"",IFERROR(IF(INDEX(CASHBACK_RULES!$B$5:$B$304,MATCH($W659,CASHBACK_RULES!$A$5:$A$304,0))=$D659,MATCH($W659,CASHBACK_RULES!$A$5:$A$304,0),0),0),IFERROR(MATCH(1,INDEX((CASHBACK_RULES!$B$5:$B$304=$D659)*(CASHBACK_RULES!$G$5:$G$304=$I659)*(((CASHBACK_RULES!$N$5:$N$304="")+(CASHBACK_RULES!$N$5:$N$304&lt;=$B659))&gt;0)*(((CASHBACK_RULES!$O$5:$O$304="")+(CASHBACK_RULES!$O$5:$O$304&gt;=$B659))&gt;0)*(((CASHBACK_RULES!$M$5:$M$304="")+(CASHBACK_RULES!$M$5:$M$304&lt;=$L659))&gt;0),0),0),0))))</f>
        <v>0</v>
      </c>
      <c r="AD659" s="51" t="str">
        <f>IF(OR($B659="",$D659=""),"",IFERROR(IF(INDEX(CARDS!$H$5:$H$34,MATCH($D659,CARDS!$A$5:$A$34,0))="","",IF(DAY($B659)&lt;=INDEX(CARDS!$H$5:$H$34,MATCH($D659,CARDS!$A$5:$A$34,0)),DATE(YEAR($B659),MONTH($B659),MIN(INDEX(CARDS!$H$5:$H$34,MATCH($D659,CARDS!$A$5:$A$34,0)),DAY(EOMONTH($B659,0)))),DATE(YEAR($B659),MONTH($B659)+1,MIN(INDEX(CARDS!$H$5:$H$34,MATCH($D659,CARDS!$A$5:$A$34,0)),DAY(EOMONTH($B659,1)))))),""))</f>
        <v/>
      </c>
      <c r="AE659" s="52" t="str">
        <f>IF($C659="","",$C659&amp;"|"&amp;COUNTIF($C$5:$C659,$C659))</f>
        <v/>
      </c>
      <c r="AF659" s="53">
        <f>IF($AC659&gt;0,SUMIFS(Q$4:Q658,$D$4:$D658,$D659,$Z$4:$Z658,$Z659,$C$4:$C658,$C659),0)</f>
        <v>0</v>
      </c>
      <c r="AG659" s="53">
        <f>IF($AC659&gt;0,SUMIFS(Q$4:Q658,$D$4:$D658,$D659,$C$4:$C658,$C659),0)</f>
        <v>0</v>
      </c>
      <c r="AH659" s="53">
        <f>IF($AC659&gt;0,SUMIFS(M$4:M658,$D$4:$D658,$D659,$Z$4:$Z658,$Z659,$C$4:$C658,$C659),0)</f>
        <v>0</v>
      </c>
      <c r="AI659" s="43">
        <f>IF(OR($C659="",$I659=""),0,IF(COUNTIFS($C$5:$C659,$C659,$I$5:$I659,$I659)=1,1,0))</f>
        <v>0</v>
      </c>
      <c r="AJ659" s="43" t="str">
        <f>IF($AI659=1,SUMIFS($AI$4:$AI658,$C$4:$C658,$C659)+1,"")</f>
        <v/>
      </c>
      <c r="AK659" s="43">
        <f>IF(OR($C659="",$K659=""),0,IF(COUNTIFS($C$5:$C659,$C659,$K$5:$K659,$K659)=1,1,0))</f>
        <v>0</v>
      </c>
      <c r="AL659" s="43" t="str">
        <f>IF($AK659=1,SUMIFS($AK$4:$AK658,$C$4:$C658,$C659)+1,"")</f>
        <v/>
      </c>
      <c r="AM659" s="43">
        <f>IF(OR($C659="",$G659=""),0,IF(COUNTIFS($C$5:$C659,$C659,$G$5:$G659,$G659)=1,1,0))</f>
        <v>0</v>
      </c>
      <c r="AN659" s="43" t="str">
        <f>IF($AM659=1,SUMIFS($AM$4:$AM658,$C$4:$C658,$C659)+1,"")</f>
        <v/>
      </c>
    </row>
    <row r="660">
      <c r="A660" s="44" t="str">
        <f>IF(OR($B660="",$D660=""),"","TX"&amp;TEXT(ROW()-4,"0000"))</f>
        <v/>
      </c>
      <c r="B660" s="42" t="n"/>
      <c r="C660" s="47" t="str">
        <f>IF($B660="","",YEAR($B660)*100+MONTH($B660))</f>
        <v/>
      </c>
      <c r="D660" s="37" t="n"/>
      <c r="E660" s="45" t="str">
        <f>IF($D660="","",IFERROR(INDEX(CARDS!$B$5:$B$34,MATCH($D660,CARDS!$A$5:$A$34,0)),"⚠ Card ID?"))</f>
        <v/>
      </c>
      <c r="F660" s="45" t="str">
        <f>IF($D660="","",IFERROR(INDEX(CARDS!$C$5:$C$34,MATCH($D660,CARDS!$A$5:$A$34,0)),"⚠ Card ID?"))</f>
        <v/>
      </c>
      <c r="G660" s="37" t="n"/>
      <c r="H660" s="37" t="n"/>
      <c r="I660" s="41" t="n"/>
      <c r="J660" s="45" t="str">
        <f>IF($I660="","",IFERROR(INDEX(MCC_MASTER!$B$5:$B$504,MATCH($I660,MCC_MASTER!$A$5:$A$504,0)),"⚠ MCC chưa có"))</f>
        <v/>
      </c>
      <c r="K660" s="45" t="str">
        <f>IF($I660="","",IFERROR(IF(INDEX(MCC_MASTER!$C$5:$C$504,MATCH($I660,MCC_MASTER!$A$5:$A$504,0))="","Chưa phân loại",INDEX(MCC_MASTER!$C$5:$C$504,MATCH($I660,MCC_MASTER!$A$5:$A$504,0))),"Chưa phân loại"))</f>
        <v/>
      </c>
      <c r="L660" s="40" t="n"/>
      <c r="M660" s="48" t="str">
        <f>IF(OR($B660="",$D660=""),"",IF($AC660=0,0,IF(ISNUMBER(INDEX(CASHBACK_RULES!$L$5:$L$304,$AC660)),MAX(0,MIN($L660,INDEX(CASHBACK_RULES!$L$5:$L$304,$AC660)-$AH660)),MAX(0,$L660))))</f>
        <v/>
      </c>
      <c r="N660" s="49" t="str">
        <f>IF(OR($B660="",$D660=""),"",IF($AC660&gt;0,INDEX(CASHBACK_RULES!$I$5:$I$304,$AC660),0))</f>
        <v/>
      </c>
      <c r="O660" s="48" t="str">
        <f>IF(OR($B660="",$D660=""),"",ROUND($M660*$N660,0))</f>
        <v/>
      </c>
      <c r="P660" s="48" t="str">
        <f>IF($AC660&gt;0,IF(ISNUMBER(INDEX(CASHBACK_RULES!$J$5:$J$304,$AC660)),INDEX(CASHBACK_RULES!$J$5:$J$304,$AC660),"∞"),"")</f>
        <v/>
      </c>
      <c r="Q660" s="48" t="str">
        <f>IF(OR($B660="",$D660=""),"",IF($AC660=0,0,MAX(0,MIN($O660,IF(ISNUMBER($P660),$P660-$AF660,1E+15),IF(ISNUMBER($AA660),$AA660-$AG660,1E+15)))))</f>
        <v/>
      </c>
      <c r="R660" s="48" t="str">
        <f>IF(OR($B660="",$D660=""),"",IF($AC660=0,"",IF(AND(NOT(ISNUMBER($P660)),NOT(ISNUMBER($AA660))),"∞",MAX(0,MIN(IF(ISNUMBER($P660),$P660-$AF660-$Q660,1E+15),IF(ISNUMBER($AA660),$AA660-$AG660-$Q660,1E+15))))))</f>
        <v/>
      </c>
      <c r="S660" s="47" t="str">
        <f>IF($AD660="","",YEAR($AD660)*100+MONTH($AD660))</f>
        <v/>
      </c>
      <c r="T660" s="50" t="str">
        <f>IF($AD660="","",IFERROR(IF(INDEX(CARDS!$I$5:$I$34,MATCH($D660,CARDS!$A$5:$A$34,0))="","",IF(INDEX(CARDS!$I$5:$I$34,MATCH($D660,CARDS!$A$5:$A$34,0))&gt;INDEX(CARDS!$H$5:$H$34,MATCH($D660,CARDS!$A$5:$A$34,0)),DATE(YEAR($AD660),MONTH($AD660),MIN(INDEX(CARDS!$I$5:$I$34,MATCH($D660,CARDS!$A$5:$A$34,0)),DAY(EOMONTH($AD660,0)))),DATE(YEAR($AD660),MONTH($AD660)+1,MIN(INDEX(CARDS!$I$5:$I$34,MATCH($D660,CARDS!$A$5:$A$34,0)),DAY(EOMONTH($AD660,1)))))),""))</f>
        <v/>
      </c>
      <c r="U660" s="38" t="n"/>
      <c r="V660" s="37" t="n"/>
      <c r="W660" s="38" t="n"/>
      <c r="X660" s="38" t="n"/>
      <c r="Y660" s="44" t="str">
        <f>IF($AC660&gt;0,INDEX(CASHBACK_RULES!$A$5:$A$304,$AC660),"")</f>
        <v/>
      </c>
      <c r="Z660" s="45" t="str">
        <f>IF($AC660&gt;0,INDEX(CASHBACK_RULES!$E$5:$E$304,$AC660)&amp;"","")</f>
        <v/>
      </c>
      <c r="AA660" s="48" t="str">
        <f>IF($AC660&gt;0,IF(ISNUMBER(INDEX(CASHBACK_RULES!$K$5:$K$304,$AC660)),INDEX(CASHBACK_RULES!$K$5:$K$304,$AC660),"∞"),"")</f>
        <v/>
      </c>
      <c r="AB660" s="44" t="str">
        <f>IF(OR($B660="",$D660=""),"",IF($U660="Cancelled","Đã hủy",IF($AC660=0,"Không được hoàn",IF($Q660=0,IF(OR($O660&gt;0,$M660&lt;$L660),"Đã đạt cap","Không được hoàn"),IF(OR($Q660&lt;$O660,$M660&lt;$L660),"Hoàn một phần","Được hoàn")))))</f>
        <v/>
      </c>
      <c r="AC660" s="43">
        <f>IF(OR($B660="",$D660="",$I660="",$L660=""),0,IF($U660="Cancelled",0,IF($W660&lt;&gt;"",IFERROR(IF(INDEX(CASHBACK_RULES!$B$5:$B$304,MATCH($W660,CASHBACK_RULES!$A$5:$A$304,0))=$D660,MATCH($W660,CASHBACK_RULES!$A$5:$A$304,0),0),0),IFERROR(MATCH(1,INDEX((CASHBACK_RULES!$B$5:$B$304=$D660)*(CASHBACK_RULES!$G$5:$G$304=$I660)*(((CASHBACK_RULES!$N$5:$N$304="")+(CASHBACK_RULES!$N$5:$N$304&lt;=$B660))&gt;0)*(((CASHBACK_RULES!$O$5:$O$304="")+(CASHBACK_RULES!$O$5:$O$304&gt;=$B660))&gt;0)*(((CASHBACK_RULES!$M$5:$M$304="")+(CASHBACK_RULES!$M$5:$M$304&lt;=$L660))&gt;0),0),0),0))))</f>
        <v>0</v>
      </c>
      <c r="AD660" s="51" t="str">
        <f>IF(OR($B660="",$D660=""),"",IFERROR(IF(INDEX(CARDS!$H$5:$H$34,MATCH($D660,CARDS!$A$5:$A$34,0))="","",IF(DAY($B660)&lt;=INDEX(CARDS!$H$5:$H$34,MATCH($D660,CARDS!$A$5:$A$34,0)),DATE(YEAR($B660),MONTH($B660),MIN(INDEX(CARDS!$H$5:$H$34,MATCH($D660,CARDS!$A$5:$A$34,0)),DAY(EOMONTH($B660,0)))),DATE(YEAR($B660),MONTH($B660)+1,MIN(INDEX(CARDS!$H$5:$H$34,MATCH($D660,CARDS!$A$5:$A$34,0)),DAY(EOMONTH($B660,1)))))),""))</f>
        <v/>
      </c>
      <c r="AE660" s="52" t="str">
        <f>IF($C660="","",$C660&amp;"|"&amp;COUNTIF($C$5:$C660,$C660))</f>
        <v/>
      </c>
      <c r="AF660" s="53">
        <f>IF($AC660&gt;0,SUMIFS(Q$4:Q659,$D$4:$D659,$D660,$Z$4:$Z659,$Z660,$C$4:$C659,$C660),0)</f>
        <v>0</v>
      </c>
      <c r="AG660" s="53">
        <f>IF($AC660&gt;0,SUMIFS(Q$4:Q659,$D$4:$D659,$D660,$C$4:$C659,$C660),0)</f>
        <v>0</v>
      </c>
      <c r="AH660" s="53">
        <f>IF($AC660&gt;0,SUMIFS(M$4:M659,$D$4:$D659,$D660,$Z$4:$Z659,$Z660,$C$4:$C659,$C660),0)</f>
        <v>0</v>
      </c>
      <c r="AI660" s="43">
        <f>IF(OR($C660="",$I660=""),0,IF(COUNTIFS($C$5:$C660,$C660,$I$5:$I660,$I660)=1,1,0))</f>
        <v>0</v>
      </c>
      <c r="AJ660" s="43" t="str">
        <f>IF($AI660=1,SUMIFS($AI$4:$AI659,$C$4:$C659,$C660)+1,"")</f>
        <v/>
      </c>
      <c r="AK660" s="43">
        <f>IF(OR($C660="",$K660=""),0,IF(COUNTIFS($C$5:$C660,$C660,$K$5:$K660,$K660)=1,1,0))</f>
        <v>0</v>
      </c>
      <c r="AL660" s="43" t="str">
        <f>IF($AK660=1,SUMIFS($AK$4:$AK659,$C$4:$C659,$C660)+1,"")</f>
        <v/>
      </c>
      <c r="AM660" s="43">
        <f>IF(OR($C660="",$G660=""),0,IF(COUNTIFS($C$5:$C660,$C660,$G$5:$G660,$G660)=1,1,0))</f>
        <v>0</v>
      </c>
      <c r="AN660" s="43" t="str">
        <f>IF($AM660=1,SUMIFS($AM$4:$AM659,$C$4:$C659,$C660)+1,"")</f>
        <v/>
      </c>
    </row>
    <row r="661">
      <c r="A661" s="44" t="str">
        <f>IF(OR($B661="",$D661=""),"","TX"&amp;TEXT(ROW()-4,"0000"))</f>
        <v/>
      </c>
      <c r="B661" s="42" t="n"/>
      <c r="C661" s="47" t="str">
        <f>IF($B661="","",YEAR($B661)*100+MONTH($B661))</f>
        <v/>
      </c>
      <c r="D661" s="37" t="n"/>
      <c r="E661" s="45" t="str">
        <f>IF($D661="","",IFERROR(INDEX(CARDS!$B$5:$B$34,MATCH($D661,CARDS!$A$5:$A$34,0)),"⚠ Card ID?"))</f>
        <v/>
      </c>
      <c r="F661" s="45" t="str">
        <f>IF($D661="","",IFERROR(INDEX(CARDS!$C$5:$C$34,MATCH($D661,CARDS!$A$5:$A$34,0)),"⚠ Card ID?"))</f>
        <v/>
      </c>
      <c r="G661" s="37" t="n"/>
      <c r="H661" s="37" t="n"/>
      <c r="I661" s="41" t="n"/>
      <c r="J661" s="45" t="str">
        <f>IF($I661="","",IFERROR(INDEX(MCC_MASTER!$B$5:$B$504,MATCH($I661,MCC_MASTER!$A$5:$A$504,0)),"⚠ MCC chưa có"))</f>
        <v/>
      </c>
      <c r="K661" s="45" t="str">
        <f>IF($I661="","",IFERROR(IF(INDEX(MCC_MASTER!$C$5:$C$504,MATCH($I661,MCC_MASTER!$A$5:$A$504,0))="","Chưa phân loại",INDEX(MCC_MASTER!$C$5:$C$504,MATCH($I661,MCC_MASTER!$A$5:$A$504,0))),"Chưa phân loại"))</f>
        <v/>
      </c>
      <c r="L661" s="40" t="n"/>
      <c r="M661" s="48" t="str">
        <f>IF(OR($B661="",$D661=""),"",IF($AC661=0,0,IF(ISNUMBER(INDEX(CASHBACK_RULES!$L$5:$L$304,$AC661)),MAX(0,MIN($L661,INDEX(CASHBACK_RULES!$L$5:$L$304,$AC661)-$AH661)),MAX(0,$L661))))</f>
        <v/>
      </c>
      <c r="N661" s="49" t="str">
        <f>IF(OR($B661="",$D661=""),"",IF($AC661&gt;0,INDEX(CASHBACK_RULES!$I$5:$I$304,$AC661),0))</f>
        <v/>
      </c>
      <c r="O661" s="48" t="str">
        <f>IF(OR($B661="",$D661=""),"",ROUND($M661*$N661,0))</f>
        <v/>
      </c>
      <c r="P661" s="48" t="str">
        <f>IF($AC661&gt;0,IF(ISNUMBER(INDEX(CASHBACK_RULES!$J$5:$J$304,$AC661)),INDEX(CASHBACK_RULES!$J$5:$J$304,$AC661),"∞"),"")</f>
        <v/>
      </c>
      <c r="Q661" s="48" t="str">
        <f>IF(OR($B661="",$D661=""),"",IF($AC661=0,0,MAX(0,MIN($O661,IF(ISNUMBER($P661),$P661-$AF661,1E+15),IF(ISNUMBER($AA661),$AA661-$AG661,1E+15)))))</f>
        <v/>
      </c>
      <c r="R661" s="48" t="str">
        <f>IF(OR($B661="",$D661=""),"",IF($AC661=0,"",IF(AND(NOT(ISNUMBER($P661)),NOT(ISNUMBER($AA661))),"∞",MAX(0,MIN(IF(ISNUMBER($P661),$P661-$AF661-$Q661,1E+15),IF(ISNUMBER($AA661),$AA661-$AG661-$Q661,1E+15))))))</f>
        <v/>
      </c>
      <c r="S661" s="47" t="str">
        <f>IF($AD661="","",YEAR($AD661)*100+MONTH($AD661))</f>
        <v/>
      </c>
      <c r="T661" s="50" t="str">
        <f>IF($AD661="","",IFERROR(IF(INDEX(CARDS!$I$5:$I$34,MATCH($D661,CARDS!$A$5:$A$34,0))="","",IF(INDEX(CARDS!$I$5:$I$34,MATCH($D661,CARDS!$A$5:$A$34,0))&gt;INDEX(CARDS!$H$5:$H$34,MATCH($D661,CARDS!$A$5:$A$34,0)),DATE(YEAR($AD661),MONTH($AD661),MIN(INDEX(CARDS!$I$5:$I$34,MATCH($D661,CARDS!$A$5:$A$34,0)),DAY(EOMONTH($AD661,0)))),DATE(YEAR($AD661),MONTH($AD661)+1,MIN(INDEX(CARDS!$I$5:$I$34,MATCH($D661,CARDS!$A$5:$A$34,0)),DAY(EOMONTH($AD661,1)))))),""))</f>
        <v/>
      </c>
      <c r="U661" s="38" t="n"/>
      <c r="V661" s="37" t="n"/>
      <c r="W661" s="38" t="n"/>
      <c r="X661" s="38" t="n"/>
      <c r="Y661" s="44" t="str">
        <f>IF($AC661&gt;0,INDEX(CASHBACK_RULES!$A$5:$A$304,$AC661),"")</f>
        <v/>
      </c>
      <c r="Z661" s="45" t="str">
        <f>IF($AC661&gt;0,INDEX(CASHBACK_RULES!$E$5:$E$304,$AC661)&amp;"","")</f>
        <v/>
      </c>
      <c r="AA661" s="48" t="str">
        <f>IF($AC661&gt;0,IF(ISNUMBER(INDEX(CASHBACK_RULES!$K$5:$K$304,$AC661)),INDEX(CASHBACK_RULES!$K$5:$K$304,$AC661),"∞"),"")</f>
        <v/>
      </c>
      <c r="AB661" s="44" t="str">
        <f>IF(OR($B661="",$D661=""),"",IF($U661="Cancelled","Đã hủy",IF($AC661=0,"Không được hoàn",IF($Q661=0,IF(OR($O661&gt;0,$M661&lt;$L661),"Đã đạt cap","Không được hoàn"),IF(OR($Q661&lt;$O661,$M661&lt;$L661),"Hoàn một phần","Được hoàn")))))</f>
        <v/>
      </c>
      <c r="AC661" s="43">
        <f>IF(OR($B661="",$D661="",$I661="",$L661=""),0,IF($U661="Cancelled",0,IF($W661&lt;&gt;"",IFERROR(IF(INDEX(CASHBACK_RULES!$B$5:$B$304,MATCH($W661,CASHBACK_RULES!$A$5:$A$304,0))=$D661,MATCH($W661,CASHBACK_RULES!$A$5:$A$304,0),0),0),IFERROR(MATCH(1,INDEX((CASHBACK_RULES!$B$5:$B$304=$D661)*(CASHBACK_RULES!$G$5:$G$304=$I661)*(((CASHBACK_RULES!$N$5:$N$304="")+(CASHBACK_RULES!$N$5:$N$304&lt;=$B661))&gt;0)*(((CASHBACK_RULES!$O$5:$O$304="")+(CASHBACK_RULES!$O$5:$O$304&gt;=$B661))&gt;0)*(((CASHBACK_RULES!$M$5:$M$304="")+(CASHBACK_RULES!$M$5:$M$304&lt;=$L661))&gt;0),0),0),0))))</f>
        <v>0</v>
      </c>
      <c r="AD661" s="51" t="str">
        <f>IF(OR($B661="",$D661=""),"",IFERROR(IF(INDEX(CARDS!$H$5:$H$34,MATCH($D661,CARDS!$A$5:$A$34,0))="","",IF(DAY($B661)&lt;=INDEX(CARDS!$H$5:$H$34,MATCH($D661,CARDS!$A$5:$A$34,0)),DATE(YEAR($B661),MONTH($B661),MIN(INDEX(CARDS!$H$5:$H$34,MATCH($D661,CARDS!$A$5:$A$34,0)),DAY(EOMONTH($B661,0)))),DATE(YEAR($B661),MONTH($B661)+1,MIN(INDEX(CARDS!$H$5:$H$34,MATCH($D661,CARDS!$A$5:$A$34,0)),DAY(EOMONTH($B661,1)))))),""))</f>
        <v/>
      </c>
      <c r="AE661" s="52" t="str">
        <f>IF($C661="","",$C661&amp;"|"&amp;COUNTIF($C$5:$C661,$C661))</f>
        <v/>
      </c>
      <c r="AF661" s="53">
        <f>IF($AC661&gt;0,SUMIFS(Q$4:Q660,$D$4:$D660,$D661,$Z$4:$Z660,$Z661,$C$4:$C660,$C661),0)</f>
        <v>0</v>
      </c>
      <c r="AG661" s="53">
        <f>IF($AC661&gt;0,SUMIFS(Q$4:Q660,$D$4:$D660,$D661,$C$4:$C660,$C661),0)</f>
        <v>0</v>
      </c>
      <c r="AH661" s="53">
        <f>IF($AC661&gt;0,SUMIFS(M$4:M660,$D$4:$D660,$D661,$Z$4:$Z660,$Z661,$C$4:$C660,$C661),0)</f>
        <v>0</v>
      </c>
      <c r="AI661" s="43">
        <f>IF(OR($C661="",$I661=""),0,IF(COUNTIFS($C$5:$C661,$C661,$I$5:$I661,$I661)=1,1,0))</f>
        <v>0</v>
      </c>
      <c r="AJ661" s="43" t="str">
        <f>IF($AI661=1,SUMIFS($AI$4:$AI660,$C$4:$C660,$C661)+1,"")</f>
        <v/>
      </c>
      <c r="AK661" s="43">
        <f>IF(OR($C661="",$K661=""),0,IF(COUNTIFS($C$5:$C661,$C661,$K$5:$K661,$K661)=1,1,0))</f>
        <v>0</v>
      </c>
      <c r="AL661" s="43" t="str">
        <f>IF($AK661=1,SUMIFS($AK$4:$AK660,$C$4:$C660,$C661)+1,"")</f>
        <v/>
      </c>
      <c r="AM661" s="43">
        <f>IF(OR($C661="",$G661=""),0,IF(COUNTIFS($C$5:$C661,$C661,$G$5:$G661,$G661)=1,1,0))</f>
        <v>0</v>
      </c>
      <c r="AN661" s="43" t="str">
        <f>IF($AM661=1,SUMIFS($AM$4:$AM660,$C$4:$C660,$C661)+1,"")</f>
        <v/>
      </c>
    </row>
    <row r="662">
      <c r="A662" s="44" t="str">
        <f>IF(OR($B662="",$D662=""),"","TX"&amp;TEXT(ROW()-4,"0000"))</f>
        <v/>
      </c>
      <c r="B662" s="42" t="n"/>
      <c r="C662" s="47" t="str">
        <f>IF($B662="","",YEAR($B662)*100+MONTH($B662))</f>
        <v/>
      </c>
      <c r="D662" s="37" t="n"/>
      <c r="E662" s="45" t="str">
        <f>IF($D662="","",IFERROR(INDEX(CARDS!$B$5:$B$34,MATCH($D662,CARDS!$A$5:$A$34,0)),"⚠ Card ID?"))</f>
        <v/>
      </c>
      <c r="F662" s="45" t="str">
        <f>IF($D662="","",IFERROR(INDEX(CARDS!$C$5:$C$34,MATCH($D662,CARDS!$A$5:$A$34,0)),"⚠ Card ID?"))</f>
        <v/>
      </c>
      <c r="G662" s="37" t="n"/>
      <c r="H662" s="37" t="n"/>
      <c r="I662" s="41" t="n"/>
      <c r="J662" s="45" t="str">
        <f>IF($I662="","",IFERROR(INDEX(MCC_MASTER!$B$5:$B$504,MATCH($I662,MCC_MASTER!$A$5:$A$504,0)),"⚠ MCC chưa có"))</f>
        <v/>
      </c>
      <c r="K662" s="45" t="str">
        <f>IF($I662="","",IFERROR(IF(INDEX(MCC_MASTER!$C$5:$C$504,MATCH($I662,MCC_MASTER!$A$5:$A$504,0))="","Chưa phân loại",INDEX(MCC_MASTER!$C$5:$C$504,MATCH($I662,MCC_MASTER!$A$5:$A$504,0))),"Chưa phân loại"))</f>
        <v/>
      </c>
      <c r="L662" s="40" t="n"/>
      <c r="M662" s="48" t="str">
        <f>IF(OR($B662="",$D662=""),"",IF($AC662=0,0,IF(ISNUMBER(INDEX(CASHBACK_RULES!$L$5:$L$304,$AC662)),MAX(0,MIN($L662,INDEX(CASHBACK_RULES!$L$5:$L$304,$AC662)-$AH662)),MAX(0,$L662))))</f>
        <v/>
      </c>
      <c r="N662" s="49" t="str">
        <f>IF(OR($B662="",$D662=""),"",IF($AC662&gt;0,INDEX(CASHBACK_RULES!$I$5:$I$304,$AC662),0))</f>
        <v/>
      </c>
      <c r="O662" s="48" t="str">
        <f>IF(OR($B662="",$D662=""),"",ROUND($M662*$N662,0))</f>
        <v/>
      </c>
      <c r="P662" s="48" t="str">
        <f>IF($AC662&gt;0,IF(ISNUMBER(INDEX(CASHBACK_RULES!$J$5:$J$304,$AC662)),INDEX(CASHBACK_RULES!$J$5:$J$304,$AC662),"∞"),"")</f>
        <v/>
      </c>
      <c r="Q662" s="48" t="str">
        <f>IF(OR($B662="",$D662=""),"",IF($AC662=0,0,MAX(0,MIN($O662,IF(ISNUMBER($P662),$P662-$AF662,1E+15),IF(ISNUMBER($AA662),$AA662-$AG662,1E+15)))))</f>
        <v/>
      </c>
      <c r="R662" s="48" t="str">
        <f>IF(OR($B662="",$D662=""),"",IF($AC662=0,"",IF(AND(NOT(ISNUMBER($P662)),NOT(ISNUMBER($AA662))),"∞",MAX(0,MIN(IF(ISNUMBER($P662),$P662-$AF662-$Q662,1E+15),IF(ISNUMBER($AA662),$AA662-$AG662-$Q662,1E+15))))))</f>
        <v/>
      </c>
      <c r="S662" s="47" t="str">
        <f>IF($AD662="","",YEAR($AD662)*100+MONTH($AD662))</f>
        <v/>
      </c>
      <c r="T662" s="50" t="str">
        <f>IF($AD662="","",IFERROR(IF(INDEX(CARDS!$I$5:$I$34,MATCH($D662,CARDS!$A$5:$A$34,0))="","",IF(INDEX(CARDS!$I$5:$I$34,MATCH($D662,CARDS!$A$5:$A$34,0))&gt;INDEX(CARDS!$H$5:$H$34,MATCH($D662,CARDS!$A$5:$A$34,0)),DATE(YEAR($AD662),MONTH($AD662),MIN(INDEX(CARDS!$I$5:$I$34,MATCH($D662,CARDS!$A$5:$A$34,0)),DAY(EOMONTH($AD662,0)))),DATE(YEAR($AD662),MONTH($AD662)+1,MIN(INDEX(CARDS!$I$5:$I$34,MATCH($D662,CARDS!$A$5:$A$34,0)),DAY(EOMONTH($AD662,1)))))),""))</f>
        <v/>
      </c>
      <c r="U662" s="38" t="n"/>
      <c r="V662" s="37" t="n"/>
      <c r="W662" s="38" t="n"/>
      <c r="X662" s="38" t="n"/>
      <c r="Y662" s="44" t="str">
        <f>IF($AC662&gt;0,INDEX(CASHBACK_RULES!$A$5:$A$304,$AC662),"")</f>
        <v/>
      </c>
      <c r="Z662" s="45" t="str">
        <f>IF($AC662&gt;0,INDEX(CASHBACK_RULES!$E$5:$E$304,$AC662)&amp;"","")</f>
        <v/>
      </c>
      <c r="AA662" s="48" t="str">
        <f>IF($AC662&gt;0,IF(ISNUMBER(INDEX(CASHBACK_RULES!$K$5:$K$304,$AC662)),INDEX(CASHBACK_RULES!$K$5:$K$304,$AC662),"∞"),"")</f>
        <v/>
      </c>
      <c r="AB662" s="44" t="str">
        <f>IF(OR($B662="",$D662=""),"",IF($U662="Cancelled","Đã hủy",IF($AC662=0,"Không được hoàn",IF($Q662=0,IF(OR($O662&gt;0,$M662&lt;$L662),"Đã đạt cap","Không được hoàn"),IF(OR($Q662&lt;$O662,$M662&lt;$L662),"Hoàn một phần","Được hoàn")))))</f>
        <v/>
      </c>
      <c r="AC662" s="43">
        <f>IF(OR($B662="",$D662="",$I662="",$L662=""),0,IF($U662="Cancelled",0,IF($W662&lt;&gt;"",IFERROR(IF(INDEX(CASHBACK_RULES!$B$5:$B$304,MATCH($W662,CASHBACK_RULES!$A$5:$A$304,0))=$D662,MATCH($W662,CASHBACK_RULES!$A$5:$A$304,0),0),0),IFERROR(MATCH(1,INDEX((CASHBACK_RULES!$B$5:$B$304=$D662)*(CASHBACK_RULES!$G$5:$G$304=$I662)*(((CASHBACK_RULES!$N$5:$N$304="")+(CASHBACK_RULES!$N$5:$N$304&lt;=$B662))&gt;0)*(((CASHBACK_RULES!$O$5:$O$304="")+(CASHBACK_RULES!$O$5:$O$304&gt;=$B662))&gt;0)*(((CASHBACK_RULES!$M$5:$M$304="")+(CASHBACK_RULES!$M$5:$M$304&lt;=$L662))&gt;0),0),0),0))))</f>
        <v>0</v>
      </c>
      <c r="AD662" s="51" t="str">
        <f>IF(OR($B662="",$D662=""),"",IFERROR(IF(INDEX(CARDS!$H$5:$H$34,MATCH($D662,CARDS!$A$5:$A$34,0))="","",IF(DAY($B662)&lt;=INDEX(CARDS!$H$5:$H$34,MATCH($D662,CARDS!$A$5:$A$34,0)),DATE(YEAR($B662),MONTH($B662),MIN(INDEX(CARDS!$H$5:$H$34,MATCH($D662,CARDS!$A$5:$A$34,0)),DAY(EOMONTH($B662,0)))),DATE(YEAR($B662),MONTH($B662)+1,MIN(INDEX(CARDS!$H$5:$H$34,MATCH($D662,CARDS!$A$5:$A$34,0)),DAY(EOMONTH($B662,1)))))),""))</f>
        <v/>
      </c>
      <c r="AE662" s="52" t="str">
        <f>IF($C662="","",$C662&amp;"|"&amp;COUNTIF($C$5:$C662,$C662))</f>
        <v/>
      </c>
      <c r="AF662" s="53">
        <f>IF($AC662&gt;0,SUMIFS(Q$4:Q661,$D$4:$D661,$D662,$Z$4:$Z661,$Z662,$C$4:$C661,$C662),0)</f>
        <v>0</v>
      </c>
      <c r="AG662" s="53">
        <f>IF($AC662&gt;0,SUMIFS(Q$4:Q661,$D$4:$D661,$D662,$C$4:$C661,$C662),0)</f>
        <v>0</v>
      </c>
      <c r="AH662" s="53">
        <f>IF($AC662&gt;0,SUMIFS(M$4:M661,$D$4:$D661,$D662,$Z$4:$Z661,$Z662,$C$4:$C661,$C662),0)</f>
        <v>0</v>
      </c>
      <c r="AI662" s="43">
        <f>IF(OR($C662="",$I662=""),0,IF(COUNTIFS($C$5:$C662,$C662,$I$5:$I662,$I662)=1,1,0))</f>
        <v>0</v>
      </c>
      <c r="AJ662" s="43" t="str">
        <f>IF($AI662=1,SUMIFS($AI$4:$AI661,$C$4:$C661,$C662)+1,"")</f>
        <v/>
      </c>
      <c r="AK662" s="43">
        <f>IF(OR($C662="",$K662=""),0,IF(COUNTIFS($C$5:$C662,$C662,$K$5:$K662,$K662)=1,1,0))</f>
        <v>0</v>
      </c>
      <c r="AL662" s="43" t="str">
        <f>IF($AK662=1,SUMIFS($AK$4:$AK661,$C$4:$C661,$C662)+1,"")</f>
        <v/>
      </c>
      <c r="AM662" s="43">
        <f>IF(OR($C662="",$G662=""),0,IF(COUNTIFS($C$5:$C662,$C662,$G$5:$G662,$G662)=1,1,0))</f>
        <v>0</v>
      </c>
      <c r="AN662" s="43" t="str">
        <f>IF($AM662=1,SUMIFS($AM$4:$AM661,$C$4:$C661,$C662)+1,"")</f>
        <v/>
      </c>
    </row>
    <row r="663">
      <c r="A663" s="44" t="str">
        <f>IF(OR($B663="",$D663=""),"","TX"&amp;TEXT(ROW()-4,"0000"))</f>
        <v/>
      </c>
      <c r="B663" s="42" t="n"/>
      <c r="C663" s="47" t="str">
        <f>IF($B663="","",YEAR($B663)*100+MONTH($B663))</f>
        <v/>
      </c>
      <c r="D663" s="37" t="n"/>
      <c r="E663" s="45" t="str">
        <f>IF($D663="","",IFERROR(INDEX(CARDS!$B$5:$B$34,MATCH($D663,CARDS!$A$5:$A$34,0)),"⚠ Card ID?"))</f>
        <v/>
      </c>
      <c r="F663" s="45" t="str">
        <f>IF($D663="","",IFERROR(INDEX(CARDS!$C$5:$C$34,MATCH($D663,CARDS!$A$5:$A$34,0)),"⚠ Card ID?"))</f>
        <v/>
      </c>
      <c r="G663" s="37" t="n"/>
      <c r="H663" s="37" t="n"/>
      <c r="I663" s="41" t="n"/>
      <c r="J663" s="45" t="str">
        <f>IF($I663="","",IFERROR(INDEX(MCC_MASTER!$B$5:$B$504,MATCH($I663,MCC_MASTER!$A$5:$A$504,0)),"⚠ MCC chưa có"))</f>
        <v/>
      </c>
      <c r="K663" s="45" t="str">
        <f>IF($I663="","",IFERROR(IF(INDEX(MCC_MASTER!$C$5:$C$504,MATCH($I663,MCC_MASTER!$A$5:$A$504,0))="","Chưa phân loại",INDEX(MCC_MASTER!$C$5:$C$504,MATCH($I663,MCC_MASTER!$A$5:$A$504,0))),"Chưa phân loại"))</f>
        <v/>
      </c>
      <c r="L663" s="40" t="n"/>
      <c r="M663" s="48" t="str">
        <f>IF(OR($B663="",$D663=""),"",IF($AC663=0,0,IF(ISNUMBER(INDEX(CASHBACK_RULES!$L$5:$L$304,$AC663)),MAX(0,MIN($L663,INDEX(CASHBACK_RULES!$L$5:$L$304,$AC663)-$AH663)),MAX(0,$L663))))</f>
        <v/>
      </c>
      <c r="N663" s="49" t="str">
        <f>IF(OR($B663="",$D663=""),"",IF($AC663&gt;0,INDEX(CASHBACK_RULES!$I$5:$I$304,$AC663),0))</f>
        <v/>
      </c>
      <c r="O663" s="48" t="str">
        <f>IF(OR($B663="",$D663=""),"",ROUND($M663*$N663,0))</f>
        <v/>
      </c>
      <c r="P663" s="48" t="str">
        <f>IF($AC663&gt;0,IF(ISNUMBER(INDEX(CASHBACK_RULES!$J$5:$J$304,$AC663)),INDEX(CASHBACK_RULES!$J$5:$J$304,$AC663),"∞"),"")</f>
        <v/>
      </c>
      <c r="Q663" s="48" t="str">
        <f>IF(OR($B663="",$D663=""),"",IF($AC663=0,0,MAX(0,MIN($O663,IF(ISNUMBER($P663),$P663-$AF663,1E+15),IF(ISNUMBER($AA663),$AA663-$AG663,1E+15)))))</f>
        <v/>
      </c>
      <c r="R663" s="48" t="str">
        <f>IF(OR($B663="",$D663=""),"",IF($AC663=0,"",IF(AND(NOT(ISNUMBER($P663)),NOT(ISNUMBER($AA663))),"∞",MAX(0,MIN(IF(ISNUMBER($P663),$P663-$AF663-$Q663,1E+15),IF(ISNUMBER($AA663),$AA663-$AG663-$Q663,1E+15))))))</f>
        <v/>
      </c>
      <c r="S663" s="47" t="str">
        <f>IF($AD663="","",YEAR($AD663)*100+MONTH($AD663))</f>
        <v/>
      </c>
      <c r="T663" s="50" t="str">
        <f>IF($AD663="","",IFERROR(IF(INDEX(CARDS!$I$5:$I$34,MATCH($D663,CARDS!$A$5:$A$34,0))="","",IF(INDEX(CARDS!$I$5:$I$34,MATCH($D663,CARDS!$A$5:$A$34,0))&gt;INDEX(CARDS!$H$5:$H$34,MATCH($D663,CARDS!$A$5:$A$34,0)),DATE(YEAR($AD663),MONTH($AD663),MIN(INDEX(CARDS!$I$5:$I$34,MATCH($D663,CARDS!$A$5:$A$34,0)),DAY(EOMONTH($AD663,0)))),DATE(YEAR($AD663),MONTH($AD663)+1,MIN(INDEX(CARDS!$I$5:$I$34,MATCH($D663,CARDS!$A$5:$A$34,0)),DAY(EOMONTH($AD663,1)))))),""))</f>
        <v/>
      </c>
      <c r="U663" s="38" t="n"/>
      <c r="V663" s="37" t="n"/>
      <c r="W663" s="38" t="n"/>
      <c r="X663" s="38" t="n"/>
      <c r="Y663" s="44" t="str">
        <f>IF($AC663&gt;0,INDEX(CASHBACK_RULES!$A$5:$A$304,$AC663),"")</f>
        <v/>
      </c>
      <c r="Z663" s="45" t="str">
        <f>IF($AC663&gt;0,INDEX(CASHBACK_RULES!$E$5:$E$304,$AC663)&amp;"","")</f>
        <v/>
      </c>
      <c r="AA663" s="48" t="str">
        <f>IF($AC663&gt;0,IF(ISNUMBER(INDEX(CASHBACK_RULES!$K$5:$K$304,$AC663)),INDEX(CASHBACK_RULES!$K$5:$K$304,$AC663),"∞"),"")</f>
        <v/>
      </c>
      <c r="AB663" s="44" t="str">
        <f>IF(OR($B663="",$D663=""),"",IF($U663="Cancelled","Đã hủy",IF($AC663=0,"Không được hoàn",IF($Q663=0,IF(OR($O663&gt;0,$M663&lt;$L663),"Đã đạt cap","Không được hoàn"),IF(OR($Q663&lt;$O663,$M663&lt;$L663),"Hoàn một phần","Được hoàn")))))</f>
        <v/>
      </c>
      <c r="AC663" s="43">
        <f>IF(OR($B663="",$D663="",$I663="",$L663=""),0,IF($U663="Cancelled",0,IF($W663&lt;&gt;"",IFERROR(IF(INDEX(CASHBACK_RULES!$B$5:$B$304,MATCH($W663,CASHBACK_RULES!$A$5:$A$304,0))=$D663,MATCH($W663,CASHBACK_RULES!$A$5:$A$304,0),0),0),IFERROR(MATCH(1,INDEX((CASHBACK_RULES!$B$5:$B$304=$D663)*(CASHBACK_RULES!$G$5:$G$304=$I663)*(((CASHBACK_RULES!$N$5:$N$304="")+(CASHBACK_RULES!$N$5:$N$304&lt;=$B663))&gt;0)*(((CASHBACK_RULES!$O$5:$O$304="")+(CASHBACK_RULES!$O$5:$O$304&gt;=$B663))&gt;0)*(((CASHBACK_RULES!$M$5:$M$304="")+(CASHBACK_RULES!$M$5:$M$304&lt;=$L663))&gt;0),0),0),0))))</f>
        <v>0</v>
      </c>
      <c r="AD663" s="51" t="str">
        <f>IF(OR($B663="",$D663=""),"",IFERROR(IF(INDEX(CARDS!$H$5:$H$34,MATCH($D663,CARDS!$A$5:$A$34,0))="","",IF(DAY($B663)&lt;=INDEX(CARDS!$H$5:$H$34,MATCH($D663,CARDS!$A$5:$A$34,0)),DATE(YEAR($B663),MONTH($B663),MIN(INDEX(CARDS!$H$5:$H$34,MATCH($D663,CARDS!$A$5:$A$34,0)),DAY(EOMONTH($B663,0)))),DATE(YEAR($B663),MONTH($B663)+1,MIN(INDEX(CARDS!$H$5:$H$34,MATCH($D663,CARDS!$A$5:$A$34,0)),DAY(EOMONTH($B663,1)))))),""))</f>
        <v/>
      </c>
      <c r="AE663" s="52" t="str">
        <f>IF($C663="","",$C663&amp;"|"&amp;COUNTIF($C$5:$C663,$C663))</f>
        <v/>
      </c>
      <c r="AF663" s="53">
        <f>IF($AC663&gt;0,SUMIFS(Q$4:Q662,$D$4:$D662,$D663,$Z$4:$Z662,$Z663,$C$4:$C662,$C663),0)</f>
        <v>0</v>
      </c>
      <c r="AG663" s="53">
        <f>IF($AC663&gt;0,SUMIFS(Q$4:Q662,$D$4:$D662,$D663,$C$4:$C662,$C663),0)</f>
        <v>0</v>
      </c>
      <c r="AH663" s="53">
        <f>IF($AC663&gt;0,SUMIFS(M$4:M662,$D$4:$D662,$D663,$Z$4:$Z662,$Z663,$C$4:$C662,$C663),0)</f>
        <v>0</v>
      </c>
      <c r="AI663" s="43">
        <f>IF(OR($C663="",$I663=""),0,IF(COUNTIFS($C$5:$C663,$C663,$I$5:$I663,$I663)=1,1,0))</f>
        <v>0</v>
      </c>
      <c r="AJ663" s="43" t="str">
        <f>IF($AI663=1,SUMIFS($AI$4:$AI662,$C$4:$C662,$C663)+1,"")</f>
        <v/>
      </c>
      <c r="AK663" s="43">
        <f>IF(OR($C663="",$K663=""),0,IF(COUNTIFS($C$5:$C663,$C663,$K$5:$K663,$K663)=1,1,0))</f>
        <v>0</v>
      </c>
      <c r="AL663" s="43" t="str">
        <f>IF($AK663=1,SUMIFS($AK$4:$AK662,$C$4:$C662,$C663)+1,"")</f>
        <v/>
      </c>
      <c r="AM663" s="43">
        <f>IF(OR($C663="",$G663=""),0,IF(COUNTIFS($C$5:$C663,$C663,$G$5:$G663,$G663)=1,1,0))</f>
        <v>0</v>
      </c>
      <c r="AN663" s="43" t="str">
        <f>IF($AM663=1,SUMIFS($AM$4:$AM662,$C$4:$C662,$C663)+1,"")</f>
        <v/>
      </c>
    </row>
    <row r="664">
      <c r="A664" s="44" t="str">
        <f>IF(OR($B664="",$D664=""),"","TX"&amp;TEXT(ROW()-4,"0000"))</f>
        <v/>
      </c>
      <c r="B664" s="42" t="n"/>
      <c r="C664" s="47" t="str">
        <f>IF($B664="","",YEAR($B664)*100+MONTH($B664))</f>
        <v/>
      </c>
      <c r="D664" s="37" t="n"/>
      <c r="E664" s="45" t="str">
        <f>IF($D664="","",IFERROR(INDEX(CARDS!$B$5:$B$34,MATCH($D664,CARDS!$A$5:$A$34,0)),"⚠ Card ID?"))</f>
        <v/>
      </c>
      <c r="F664" s="45" t="str">
        <f>IF($D664="","",IFERROR(INDEX(CARDS!$C$5:$C$34,MATCH($D664,CARDS!$A$5:$A$34,0)),"⚠ Card ID?"))</f>
        <v/>
      </c>
      <c r="G664" s="37" t="n"/>
      <c r="H664" s="37" t="n"/>
      <c r="I664" s="41" t="n"/>
      <c r="J664" s="45" t="str">
        <f>IF($I664="","",IFERROR(INDEX(MCC_MASTER!$B$5:$B$504,MATCH($I664,MCC_MASTER!$A$5:$A$504,0)),"⚠ MCC chưa có"))</f>
        <v/>
      </c>
      <c r="K664" s="45" t="str">
        <f>IF($I664="","",IFERROR(IF(INDEX(MCC_MASTER!$C$5:$C$504,MATCH($I664,MCC_MASTER!$A$5:$A$504,0))="","Chưa phân loại",INDEX(MCC_MASTER!$C$5:$C$504,MATCH($I664,MCC_MASTER!$A$5:$A$504,0))),"Chưa phân loại"))</f>
        <v/>
      </c>
      <c r="L664" s="40" t="n"/>
      <c r="M664" s="48" t="str">
        <f>IF(OR($B664="",$D664=""),"",IF($AC664=0,0,IF(ISNUMBER(INDEX(CASHBACK_RULES!$L$5:$L$304,$AC664)),MAX(0,MIN($L664,INDEX(CASHBACK_RULES!$L$5:$L$304,$AC664)-$AH664)),MAX(0,$L664))))</f>
        <v/>
      </c>
      <c r="N664" s="49" t="str">
        <f>IF(OR($B664="",$D664=""),"",IF($AC664&gt;0,INDEX(CASHBACK_RULES!$I$5:$I$304,$AC664),0))</f>
        <v/>
      </c>
      <c r="O664" s="48" t="str">
        <f>IF(OR($B664="",$D664=""),"",ROUND($M664*$N664,0))</f>
        <v/>
      </c>
      <c r="P664" s="48" t="str">
        <f>IF($AC664&gt;0,IF(ISNUMBER(INDEX(CASHBACK_RULES!$J$5:$J$304,$AC664)),INDEX(CASHBACK_RULES!$J$5:$J$304,$AC664),"∞"),"")</f>
        <v/>
      </c>
      <c r="Q664" s="48" t="str">
        <f>IF(OR($B664="",$D664=""),"",IF($AC664=0,0,MAX(0,MIN($O664,IF(ISNUMBER($P664),$P664-$AF664,1E+15),IF(ISNUMBER($AA664),$AA664-$AG664,1E+15)))))</f>
        <v/>
      </c>
      <c r="R664" s="48" t="str">
        <f>IF(OR($B664="",$D664=""),"",IF($AC664=0,"",IF(AND(NOT(ISNUMBER($P664)),NOT(ISNUMBER($AA664))),"∞",MAX(0,MIN(IF(ISNUMBER($P664),$P664-$AF664-$Q664,1E+15),IF(ISNUMBER($AA664),$AA664-$AG664-$Q664,1E+15))))))</f>
        <v/>
      </c>
      <c r="S664" s="47" t="str">
        <f>IF($AD664="","",YEAR($AD664)*100+MONTH($AD664))</f>
        <v/>
      </c>
      <c r="T664" s="50" t="str">
        <f>IF($AD664="","",IFERROR(IF(INDEX(CARDS!$I$5:$I$34,MATCH($D664,CARDS!$A$5:$A$34,0))="","",IF(INDEX(CARDS!$I$5:$I$34,MATCH($D664,CARDS!$A$5:$A$34,0))&gt;INDEX(CARDS!$H$5:$H$34,MATCH($D664,CARDS!$A$5:$A$34,0)),DATE(YEAR($AD664),MONTH($AD664),MIN(INDEX(CARDS!$I$5:$I$34,MATCH($D664,CARDS!$A$5:$A$34,0)),DAY(EOMONTH($AD664,0)))),DATE(YEAR($AD664),MONTH($AD664)+1,MIN(INDEX(CARDS!$I$5:$I$34,MATCH($D664,CARDS!$A$5:$A$34,0)),DAY(EOMONTH($AD664,1)))))),""))</f>
        <v/>
      </c>
      <c r="U664" s="38" t="n"/>
      <c r="V664" s="37" t="n"/>
      <c r="W664" s="38" t="n"/>
      <c r="X664" s="38" t="n"/>
      <c r="Y664" s="44" t="str">
        <f>IF($AC664&gt;0,INDEX(CASHBACK_RULES!$A$5:$A$304,$AC664),"")</f>
        <v/>
      </c>
      <c r="Z664" s="45" t="str">
        <f>IF($AC664&gt;0,INDEX(CASHBACK_RULES!$E$5:$E$304,$AC664)&amp;"","")</f>
        <v/>
      </c>
      <c r="AA664" s="48" t="str">
        <f>IF($AC664&gt;0,IF(ISNUMBER(INDEX(CASHBACK_RULES!$K$5:$K$304,$AC664)),INDEX(CASHBACK_RULES!$K$5:$K$304,$AC664),"∞"),"")</f>
        <v/>
      </c>
      <c r="AB664" s="44" t="str">
        <f>IF(OR($B664="",$D664=""),"",IF($U664="Cancelled","Đã hủy",IF($AC664=0,"Không được hoàn",IF($Q664=0,IF(OR($O664&gt;0,$M664&lt;$L664),"Đã đạt cap","Không được hoàn"),IF(OR($Q664&lt;$O664,$M664&lt;$L664),"Hoàn một phần","Được hoàn")))))</f>
        <v/>
      </c>
      <c r="AC664" s="43">
        <f>IF(OR($B664="",$D664="",$I664="",$L664=""),0,IF($U664="Cancelled",0,IF($W664&lt;&gt;"",IFERROR(IF(INDEX(CASHBACK_RULES!$B$5:$B$304,MATCH($W664,CASHBACK_RULES!$A$5:$A$304,0))=$D664,MATCH($W664,CASHBACK_RULES!$A$5:$A$304,0),0),0),IFERROR(MATCH(1,INDEX((CASHBACK_RULES!$B$5:$B$304=$D664)*(CASHBACK_RULES!$G$5:$G$304=$I664)*(((CASHBACK_RULES!$N$5:$N$304="")+(CASHBACK_RULES!$N$5:$N$304&lt;=$B664))&gt;0)*(((CASHBACK_RULES!$O$5:$O$304="")+(CASHBACK_RULES!$O$5:$O$304&gt;=$B664))&gt;0)*(((CASHBACK_RULES!$M$5:$M$304="")+(CASHBACK_RULES!$M$5:$M$304&lt;=$L664))&gt;0),0),0),0))))</f>
        <v>0</v>
      </c>
      <c r="AD664" s="51" t="str">
        <f>IF(OR($B664="",$D664=""),"",IFERROR(IF(INDEX(CARDS!$H$5:$H$34,MATCH($D664,CARDS!$A$5:$A$34,0))="","",IF(DAY($B664)&lt;=INDEX(CARDS!$H$5:$H$34,MATCH($D664,CARDS!$A$5:$A$34,0)),DATE(YEAR($B664),MONTH($B664),MIN(INDEX(CARDS!$H$5:$H$34,MATCH($D664,CARDS!$A$5:$A$34,0)),DAY(EOMONTH($B664,0)))),DATE(YEAR($B664),MONTH($B664)+1,MIN(INDEX(CARDS!$H$5:$H$34,MATCH($D664,CARDS!$A$5:$A$34,0)),DAY(EOMONTH($B664,1)))))),""))</f>
        <v/>
      </c>
      <c r="AE664" s="52" t="str">
        <f>IF($C664="","",$C664&amp;"|"&amp;COUNTIF($C$5:$C664,$C664))</f>
        <v/>
      </c>
      <c r="AF664" s="53">
        <f>IF($AC664&gt;0,SUMIFS(Q$4:Q663,$D$4:$D663,$D664,$Z$4:$Z663,$Z664,$C$4:$C663,$C664),0)</f>
        <v>0</v>
      </c>
      <c r="AG664" s="53">
        <f>IF($AC664&gt;0,SUMIFS(Q$4:Q663,$D$4:$D663,$D664,$C$4:$C663,$C664),0)</f>
        <v>0</v>
      </c>
      <c r="AH664" s="53">
        <f>IF($AC664&gt;0,SUMIFS(M$4:M663,$D$4:$D663,$D664,$Z$4:$Z663,$Z664,$C$4:$C663,$C664),0)</f>
        <v>0</v>
      </c>
      <c r="AI664" s="43">
        <f>IF(OR($C664="",$I664=""),0,IF(COUNTIFS($C$5:$C664,$C664,$I$5:$I664,$I664)=1,1,0))</f>
        <v>0</v>
      </c>
      <c r="AJ664" s="43" t="str">
        <f>IF($AI664=1,SUMIFS($AI$4:$AI663,$C$4:$C663,$C664)+1,"")</f>
        <v/>
      </c>
      <c r="AK664" s="43">
        <f>IF(OR($C664="",$K664=""),0,IF(COUNTIFS($C$5:$C664,$C664,$K$5:$K664,$K664)=1,1,0))</f>
        <v>0</v>
      </c>
      <c r="AL664" s="43" t="str">
        <f>IF($AK664=1,SUMIFS($AK$4:$AK663,$C$4:$C663,$C664)+1,"")</f>
        <v/>
      </c>
      <c r="AM664" s="43">
        <f>IF(OR($C664="",$G664=""),0,IF(COUNTIFS($C$5:$C664,$C664,$G$5:$G664,$G664)=1,1,0))</f>
        <v>0</v>
      </c>
      <c r="AN664" s="43" t="str">
        <f>IF($AM664=1,SUMIFS($AM$4:$AM663,$C$4:$C663,$C664)+1,"")</f>
        <v/>
      </c>
    </row>
    <row r="665">
      <c r="A665" s="44" t="str">
        <f>IF(OR($B665="",$D665=""),"","TX"&amp;TEXT(ROW()-4,"0000"))</f>
        <v/>
      </c>
      <c r="B665" s="42" t="n"/>
      <c r="C665" s="47" t="str">
        <f>IF($B665="","",YEAR($B665)*100+MONTH($B665))</f>
        <v/>
      </c>
      <c r="D665" s="37" t="n"/>
      <c r="E665" s="45" t="str">
        <f>IF($D665="","",IFERROR(INDEX(CARDS!$B$5:$B$34,MATCH($D665,CARDS!$A$5:$A$34,0)),"⚠ Card ID?"))</f>
        <v/>
      </c>
      <c r="F665" s="45" t="str">
        <f>IF($D665="","",IFERROR(INDEX(CARDS!$C$5:$C$34,MATCH($D665,CARDS!$A$5:$A$34,0)),"⚠ Card ID?"))</f>
        <v/>
      </c>
      <c r="G665" s="37" t="n"/>
      <c r="H665" s="37" t="n"/>
      <c r="I665" s="41" t="n"/>
      <c r="J665" s="45" t="str">
        <f>IF($I665="","",IFERROR(INDEX(MCC_MASTER!$B$5:$B$504,MATCH($I665,MCC_MASTER!$A$5:$A$504,0)),"⚠ MCC chưa có"))</f>
        <v/>
      </c>
      <c r="K665" s="45" t="str">
        <f>IF($I665="","",IFERROR(IF(INDEX(MCC_MASTER!$C$5:$C$504,MATCH($I665,MCC_MASTER!$A$5:$A$504,0))="","Chưa phân loại",INDEX(MCC_MASTER!$C$5:$C$504,MATCH($I665,MCC_MASTER!$A$5:$A$504,0))),"Chưa phân loại"))</f>
        <v/>
      </c>
      <c r="L665" s="40" t="n"/>
      <c r="M665" s="48" t="str">
        <f>IF(OR($B665="",$D665=""),"",IF($AC665=0,0,IF(ISNUMBER(INDEX(CASHBACK_RULES!$L$5:$L$304,$AC665)),MAX(0,MIN($L665,INDEX(CASHBACK_RULES!$L$5:$L$304,$AC665)-$AH665)),MAX(0,$L665))))</f>
        <v/>
      </c>
      <c r="N665" s="49" t="str">
        <f>IF(OR($B665="",$D665=""),"",IF($AC665&gt;0,INDEX(CASHBACK_RULES!$I$5:$I$304,$AC665),0))</f>
        <v/>
      </c>
      <c r="O665" s="48" t="str">
        <f>IF(OR($B665="",$D665=""),"",ROUND($M665*$N665,0))</f>
        <v/>
      </c>
      <c r="P665" s="48" t="str">
        <f>IF($AC665&gt;0,IF(ISNUMBER(INDEX(CASHBACK_RULES!$J$5:$J$304,$AC665)),INDEX(CASHBACK_RULES!$J$5:$J$304,$AC665),"∞"),"")</f>
        <v/>
      </c>
      <c r="Q665" s="48" t="str">
        <f>IF(OR($B665="",$D665=""),"",IF($AC665=0,0,MAX(0,MIN($O665,IF(ISNUMBER($P665),$P665-$AF665,1E+15),IF(ISNUMBER($AA665),$AA665-$AG665,1E+15)))))</f>
        <v/>
      </c>
      <c r="R665" s="48" t="str">
        <f>IF(OR($B665="",$D665=""),"",IF($AC665=0,"",IF(AND(NOT(ISNUMBER($P665)),NOT(ISNUMBER($AA665))),"∞",MAX(0,MIN(IF(ISNUMBER($P665),$P665-$AF665-$Q665,1E+15),IF(ISNUMBER($AA665),$AA665-$AG665-$Q665,1E+15))))))</f>
        <v/>
      </c>
      <c r="S665" s="47" t="str">
        <f>IF($AD665="","",YEAR($AD665)*100+MONTH($AD665))</f>
        <v/>
      </c>
      <c r="T665" s="50" t="str">
        <f>IF($AD665="","",IFERROR(IF(INDEX(CARDS!$I$5:$I$34,MATCH($D665,CARDS!$A$5:$A$34,0))="","",IF(INDEX(CARDS!$I$5:$I$34,MATCH($D665,CARDS!$A$5:$A$34,0))&gt;INDEX(CARDS!$H$5:$H$34,MATCH($D665,CARDS!$A$5:$A$34,0)),DATE(YEAR($AD665),MONTH($AD665),MIN(INDEX(CARDS!$I$5:$I$34,MATCH($D665,CARDS!$A$5:$A$34,0)),DAY(EOMONTH($AD665,0)))),DATE(YEAR($AD665),MONTH($AD665)+1,MIN(INDEX(CARDS!$I$5:$I$34,MATCH($D665,CARDS!$A$5:$A$34,0)),DAY(EOMONTH($AD665,1)))))),""))</f>
        <v/>
      </c>
      <c r="U665" s="38" t="n"/>
      <c r="V665" s="37" t="n"/>
      <c r="W665" s="38" t="n"/>
      <c r="X665" s="38" t="n"/>
      <c r="Y665" s="44" t="str">
        <f>IF($AC665&gt;0,INDEX(CASHBACK_RULES!$A$5:$A$304,$AC665),"")</f>
        <v/>
      </c>
      <c r="Z665" s="45" t="str">
        <f>IF($AC665&gt;0,INDEX(CASHBACK_RULES!$E$5:$E$304,$AC665)&amp;"","")</f>
        <v/>
      </c>
      <c r="AA665" s="48" t="str">
        <f>IF($AC665&gt;0,IF(ISNUMBER(INDEX(CASHBACK_RULES!$K$5:$K$304,$AC665)),INDEX(CASHBACK_RULES!$K$5:$K$304,$AC665),"∞"),"")</f>
        <v/>
      </c>
      <c r="AB665" s="44" t="str">
        <f>IF(OR($B665="",$D665=""),"",IF($U665="Cancelled","Đã hủy",IF($AC665=0,"Không được hoàn",IF($Q665=0,IF(OR($O665&gt;0,$M665&lt;$L665),"Đã đạt cap","Không được hoàn"),IF(OR($Q665&lt;$O665,$M665&lt;$L665),"Hoàn một phần","Được hoàn")))))</f>
        <v/>
      </c>
      <c r="AC665" s="43">
        <f>IF(OR($B665="",$D665="",$I665="",$L665=""),0,IF($U665="Cancelled",0,IF($W665&lt;&gt;"",IFERROR(IF(INDEX(CASHBACK_RULES!$B$5:$B$304,MATCH($W665,CASHBACK_RULES!$A$5:$A$304,0))=$D665,MATCH($W665,CASHBACK_RULES!$A$5:$A$304,0),0),0),IFERROR(MATCH(1,INDEX((CASHBACK_RULES!$B$5:$B$304=$D665)*(CASHBACK_RULES!$G$5:$G$304=$I665)*(((CASHBACK_RULES!$N$5:$N$304="")+(CASHBACK_RULES!$N$5:$N$304&lt;=$B665))&gt;0)*(((CASHBACK_RULES!$O$5:$O$304="")+(CASHBACK_RULES!$O$5:$O$304&gt;=$B665))&gt;0)*(((CASHBACK_RULES!$M$5:$M$304="")+(CASHBACK_RULES!$M$5:$M$304&lt;=$L665))&gt;0),0),0),0))))</f>
        <v>0</v>
      </c>
      <c r="AD665" s="51" t="str">
        <f>IF(OR($B665="",$D665=""),"",IFERROR(IF(INDEX(CARDS!$H$5:$H$34,MATCH($D665,CARDS!$A$5:$A$34,0))="","",IF(DAY($B665)&lt;=INDEX(CARDS!$H$5:$H$34,MATCH($D665,CARDS!$A$5:$A$34,0)),DATE(YEAR($B665),MONTH($B665),MIN(INDEX(CARDS!$H$5:$H$34,MATCH($D665,CARDS!$A$5:$A$34,0)),DAY(EOMONTH($B665,0)))),DATE(YEAR($B665),MONTH($B665)+1,MIN(INDEX(CARDS!$H$5:$H$34,MATCH($D665,CARDS!$A$5:$A$34,0)),DAY(EOMONTH($B665,1)))))),""))</f>
        <v/>
      </c>
      <c r="AE665" s="52" t="str">
        <f>IF($C665="","",$C665&amp;"|"&amp;COUNTIF($C$5:$C665,$C665))</f>
        <v/>
      </c>
      <c r="AF665" s="53">
        <f>IF($AC665&gt;0,SUMIFS(Q$4:Q664,$D$4:$D664,$D665,$Z$4:$Z664,$Z665,$C$4:$C664,$C665),0)</f>
        <v>0</v>
      </c>
      <c r="AG665" s="53">
        <f>IF($AC665&gt;0,SUMIFS(Q$4:Q664,$D$4:$D664,$D665,$C$4:$C664,$C665),0)</f>
        <v>0</v>
      </c>
      <c r="AH665" s="53">
        <f>IF($AC665&gt;0,SUMIFS(M$4:M664,$D$4:$D664,$D665,$Z$4:$Z664,$Z665,$C$4:$C664,$C665),0)</f>
        <v>0</v>
      </c>
      <c r="AI665" s="43">
        <f>IF(OR($C665="",$I665=""),0,IF(COUNTIFS($C$5:$C665,$C665,$I$5:$I665,$I665)=1,1,0))</f>
        <v>0</v>
      </c>
      <c r="AJ665" s="43" t="str">
        <f>IF($AI665=1,SUMIFS($AI$4:$AI664,$C$4:$C664,$C665)+1,"")</f>
        <v/>
      </c>
      <c r="AK665" s="43">
        <f>IF(OR($C665="",$K665=""),0,IF(COUNTIFS($C$5:$C665,$C665,$K$5:$K665,$K665)=1,1,0))</f>
        <v>0</v>
      </c>
      <c r="AL665" s="43" t="str">
        <f>IF($AK665=1,SUMIFS($AK$4:$AK664,$C$4:$C664,$C665)+1,"")</f>
        <v/>
      </c>
      <c r="AM665" s="43">
        <f>IF(OR($C665="",$G665=""),0,IF(COUNTIFS($C$5:$C665,$C665,$G$5:$G665,$G665)=1,1,0))</f>
        <v>0</v>
      </c>
      <c r="AN665" s="43" t="str">
        <f>IF($AM665=1,SUMIFS($AM$4:$AM664,$C$4:$C664,$C665)+1,"")</f>
        <v/>
      </c>
    </row>
    <row r="666">
      <c r="A666" s="44" t="str">
        <f>IF(OR($B666="",$D666=""),"","TX"&amp;TEXT(ROW()-4,"0000"))</f>
        <v/>
      </c>
      <c r="B666" s="42" t="n"/>
      <c r="C666" s="47" t="str">
        <f>IF($B666="","",YEAR($B666)*100+MONTH($B666))</f>
        <v/>
      </c>
      <c r="D666" s="37" t="n"/>
      <c r="E666" s="45" t="str">
        <f>IF($D666="","",IFERROR(INDEX(CARDS!$B$5:$B$34,MATCH($D666,CARDS!$A$5:$A$34,0)),"⚠ Card ID?"))</f>
        <v/>
      </c>
      <c r="F666" s="45" t="str">
        <f>IF($D666="","",IFERROR(INDEX(CARDS!$C$5:$C$34,MATCH($D666,CARDS!$A$5:$A$34,0)),"⚠ Card ID?"))</f>
        <v/>
      </c>
      <c r="G666" s="37" t="n"/>
      <c r="H666" s="37" t="n"/>
      <c r="I666" s="41" t="n"/>
      <c r="J666" s="45" t="str">
        <f>IF($I666="","",IFERROR(INDEX(MCC_MASTER!$B$5:$B$504,MATCH($I666,MCC_MASTER!$A$5:$A$504,0)),"⚠ MCC chưa có"))</f>
        <v/>
      </c>
      <c r="K666" s="45" t="str">
        <f>IF($I666="","",IFERROR(IF(INDEX(MCC_MASTER!$C$5:$C$504,MATCH($I666,MCC_MASTER!$A$5:$A$504,0))="","Chưa phân loại",INDEX(MCC_MASTER!$C$5:$C$504,MATCH($I666,MCC_MASTER!$A$5:$A$504,0))),"Chưa phân loại"))</f>
        <v/>
      </c>
      <c r="L666" s="40" t="n"/>
      <c r="M666" s="48" t="str">
        <f>IF(OR($B666="",$D666=""),"",IF($AC666=0,0,IF(ISNUMBER(INDEX(CASHBACK_RULES!$L$5:$L$304,$AC666)),MAX(0,MIN($L666,INDEX(CASHBACK_RULES!$L$5:$L$304,$AC666)-$AH666)),MAX(0,$L666))))</f>
        <v/>
      </c>
      <c r="N666" s="49" t="str">
        <f>IF(OR($B666="",$D666=""),"",IF($AC666&gt;0,INDEX(CASHBACK_RULES!$I$5:$I$304,$AC666),0))</f>
        <v/>
      </c>
      <c r="O666" s="48" t="str">
        <f>IF(OR($B666="",$D666=""),"",ROUND($M666*$N666,0))</f>
        <v/>
      </c>
      <c r="P666" s="48" t="str">
        <f>IF($AC666&gt;0,IF(ISNUMBER(INDEX(CASHBACK_RULES!$J$5:$J$304,$AC666)),INDEX(CASHBACK_RULES!$J$5:$J$304,$AC666),"∞"),"")</f>
        <v/>
      </c>
      <c r="Q666" s="48" t="str">
        <f>IF(OR($B666="",$D666=""),"",IF($AC666=0,0,MAX(0,MIN($O666,IF(ISNUMBER($P666),$P666-$AF666,1E+15),IF(ISNUMBER($AA666),$AA666-$AG666,1E+15)))))</f>
        <v/>
      </c>
      <c r="R666" s="48" t="str">
        <f>IF(OR($B666="",$D666=""),"",IF($AC666=0,"",IF(AND(NOT(ISNUMBER($P666)),NOT(ISNUMBER($AA666))),"∞",MAX(0,MIN(IF(ISNUMBER($P666),$P666-$AF666-$Q666,1E+15),IF(ISNUMBER($AA666),$AA666-$AG666-$Q666,1E+15))))))</f>
        <v/>
      </c>
      <c r="S666" s="47" t="str">
        <f>IF($AD666="","",YEAR($AD666)*100+MONTH($AD666))</f>
        <v/>
      </c>
      <c r="T666" s="50" t="str">
        <f>IF($AD666="","",IFERROR(IF(INDEX(CARDS!$I$5:$I$34,MATCH($D666,CARDS!$A$5:$A$34,0))="","",IF(INDEX(CARDS!$I$5:$I$34,MATCH($D666,CARDS!$A$5:$A$34,0))&gt;INDEX(CARDS!$H$5:$H$34,MATCH($D666,CARDS!$A$5:$A$34,0)),DATE(YEAR($AD666),MONTH($AD666),MIN(INDEX(CARDS!$I$5:$I$34,MATCH($D666,CARDS!$A$5:$A$34,0)),DAY(EOMONTH($AD666,0)))),DATE(YEAR($AD666),MONTH($AD666)+1,MIN(INDEX(CARDS!$I$5:$I$34,MATCH($D666,CARDS!$A$5:$A$34,0)),DAY(EOMONTH($AD666,1)))))),""))</f>
        <v/>
      </c>
      <c r="U666" s="38" t="n"/>
      <c r="V666" s="37" t="n"/>
      <c r="W666" s="38" t="n"/>
      <c r="X666" s="38" t="n"/>
      <c r="Y666" s="44" t="str">
        <f>IF($AC666&gt;0,INDEX(CASHBACK_RULES!$A$5:$A$304,$AC666),"")</f>
        <v/>
      </c>
      <c r="Z666" s="45" t="str">
        <f>IF($AC666&gt;0,INDEX(CASHBACK_RULES!$E$5:$E$304,$AC666)&amp;"","")</f>
        <v/>
      </c>
      <c r="AA666" s="48" t="str">
        <f>IF($AC666&gt;0,IF(ISNUMBER(INDEX(CASHBACK_RULES!$K$5:$K$304,$AC666)),INDEX(CASHBACK_RULES!$K$5:$K$304,$AC666),"∞"),"")</f>
        <v/>
      </c>
      <c r="AB666" s="44" t="str">
        <f>IF(OR($B666="",$D666=""),"",IF($U666="Cancelled","Đã hủy",IF($AC666=0,"Không được hoàn",IF($Q666=0,IF(OR($O666&gt;0,$M666&lt;$L666),"Đã đạt cap","Không được hoàn"),IF(OR($Q666&lt;$O666,$M666&lt;$L666),"Hoàn một phần","Được hoàn")))))</f>
        <v/>
      </c>
      <c r="AC666" s="43">
        <f>IF(OR($B666="",$D666="",$I666="",$L666=""),0,IF($U666="Cancelled",0,IF($W666&lt;&gt;"",IFERROR(IF(INDEX(CASHBACK_RULES!$B$5:$B$304,MATCH($W666,CASHBACK_RULES!$A$5:$A$304,0))=$D666,MATCH($W666,CASHBACK_RULES!$A$5:$A$304,0),0),0),IFERROR(MATCH(1,INDEX((CASHBACK_RULES!$B$5:$B$304=$D666)*(CASHBACK_RULES!$G$5:$G$304=$I666)*(((CASHBACK_RULES!$N$5:$N$304="")+(CASHBACK_RULES!$N$5:$N$304&lt;=$B666))&gt;0)*(((CASHBACK_RULES!$O$5:$O$304="")+(CASHBACK_RULES!$O$5:$O$304&gt;=$B666))&gt;0)*(((CASHBACK_RULES!$M$5:$M$304="")+(CASHBACK_RULES!$M$5:$M$304&lt;=$L666))&gt;0),0),0),0))))</f>
        <v>0</v>
      </c>
      <c r="AD666" s="51" t="str">
        <f>IF(OR($B666="",$D666=""),"",IFERROR(IF(INDEX(CARDS!$H$5:$H$34,MATCH($D666,CARDS!$A$5:$A$34,0))="","",IF(DAY($B666)&lt;=INDEX(CARDS!$H$5:$H$34,MATCH($D666,CARDS!$A$5:$A$34,0)),DATE(YEAR($B666),MONTH($B666),MIN(INDEX(CARDS!$H$5:$H$34,MATCH($D666,CARDS!$A$5:$A$34,0)),DAY(EOMONTH($B666,0)))),DATE(YEAR($B666),MONTH($B666)+1,MIN(INDEX(CARDS!$H$5:$H$34,MATCH($D666,CARDS!$A$5:$A$34,0)),DAY(EOMONTH($B666,1)))))),""))</f>
        <v/>
      </c>
      <c r="AE666" s="52" t="str">
        <f>IF($C666="","",$C666&amp;"|"&amp;COUNTIF($C$5:$C666,$C666))</f>
        <v/>
      </c>
      <c r="AF666" s="53">
        <f>IF($AC666&gt;0,SUMIFS(Q$4:Q665,$D$4:$D665,$D666,$Z$4:$Z665,$Z666,$C$4:$C665,$C666),0)</f>
        <v>0</v>
      </c>
      <c r="AG666" s="53">
        <f>IF($AC666&gt;0,SUMIFS(Q$4:Q665,$D$4:$D665,$D666,$C$4:$C665,$C666),0)</f>
        <v>0</v>
      </c>
      <c r="AH666" s="53">
        <f>IF($AC666&gt;0,SUMIFS(M$4:M665,$D$4:$D665,$D666,$Z$4:$Z665,$Z666,$C$4:$C665,$C666),0)</f>
        <v>0</v>
      </c>
      <c r="AI666" s="43">
        <f>IF(OR($C666="",$I666=""),0,IF(COUNTIFS($C$5:$C666,$C666,$I$5:$I666,$I666)=1,1,0))</f>
        <v>0</v>
      </c>
      <c r="AJ666" s="43" t="str">
        <f>IF($AI666=1,SUMIFS($AI$4:$AI665,$C$4:$C665,$C666)+1,"")</f>
        <v/>
      </c>
      <c r="AK666" s="43">
        <f>IF(OR($C666="",$K666=""),0,IF(COUNTIFS($C$5:$C666,$C666,$K$5:$K666,$K666)=1,1,0))</f>
        <v>0</v>
      </c>
      <c r="AL666" s="43" t="str">
        <f>IF($AK666=1,SUMIFS($AK$4:$AK665,$C$4:$C665,$C666)+1,"")</f>
        <v/>
      </c>
      <c r="AM666" s="43">
        <f>IF(OR($C666="",$G666=""),0,IF(COUNTIFS($C$5:$C666,$C666,$G$5:$G666,$G666)=1,1,0))</f>
        <v>0</v>
      </c>
      <c r="AN666" s="43" t="str">
        <f>IF($AM666=1,SUMIFS($AM$4:$AM665,$C$4:$C665,$C666)+1,"")</f>
        <v/>
      </c>
    </row>
    <row r="667">
      <c r="A667" s="44" t="str">
        <f>IF(OR($B667="",$D667=""),"","TX"&amp;TEXT(ROW()-4,"0000"))</f>
        <v/>
      </c>
      <c r="B667" s="42" t="n"/>
      <c r="C667" s="47" t="str">
        <f>IF($B667="","",YEAR($B667)*100+MONTH($B667))</f>
        <v/>
      </c>
      <c r="D667" s="37" t="n"/>
      <c r="E667" s="45" t="str">
        <f>IF($D667="","",IFERROR(INDEX(CARDS!$B$5:$B$34,MATCH($D667,CARDS!$A$5:$A$34,0)),"⚠ Card ID?"))</f>
        <v/>
      </c>
      <c r="F667" s="45" t="str">
        <f>IF($D667="","",IFERROR(INDEX(CARDS!$C$5:$C$34,MATCH($D667,CARDS!$A$5:$A$34,0)),"⚠ Card ID?"))</f>
        <v/>
      </c>
      <c r="G667" s="37" t="n"/>
      <c r="H667" s="37" t="n"/>
      <c r="I667" s="41" t="n"/>
      <c r="J667" s="45" t="str">
        <f>IF($I667="","",IFERROR(INDEX(MCC_MASTER!$B$5:$B$504,MATCH($I667,MCC_MASTER!$A$5:$A$504,0)),"⚠ MCC chưa có"))</f>
        <v/>
      </c>
      <c r="K667" s="45" t="str">
        <f>IF($I667="","",IFERROR(IF(INDEX(MCC_MASTER!$C$5:$C$504,MATCH($I667,MCC_MASTER!$A$5:$A$504,0))="","Chưa phân loại",INDEX(MCC_MASTER!$C$5:$C$504,MATCH($I667,MCC_MASTER!$A$5:$A$504,0))),"Chưa phân loại"))</f>
        <v/>
      </c>
      <c r="L667" s="40" t="n"/>
      <c r="M667" s="48" t="str">
        <f>IF(OR($B667="",$D667=""),"",IF($AC667=0,0,IF(ISNUMBER(INDEX(CASHBACK_RULES!$L$5:$L$304,$AC667)),MAX(0,MIN($L667,INDEX(CASHBACK_RULES!$L$5:$L$304,$AC667)-$AH667)),MAX(0,$L667))))</f>
        <v/>
      </c>
      <c r="N667" s="49" t="str">
        <f>IF(OR($B667="",$D667=""),"",IF($AC667&gt;0,INDEX(CASHBACK_RULES!$I$5:$I$304,$AC667),0))</f>
        <v/>
      </c>
      <c r="O667" s="48" t="str">
        <f>IF(OR($B667="",$D667=""),"",ROUND($M667*$N667,0))</f>
        <v/>
      </c>
      <c r="P667" s="48" t="str">
        <f>IF($AC667&gt;0,IF(ISNUMBER(INDEX(CASHBACK_RULES!$J$5:$J$304,$AC667)),INDEX(CASHBACK_RULES!$J$5:$J$304,$AC667),"∞"),"")</f>
        <v/>
      </c>
      <c r="Q667" s="48" t="str">
        <f>IF(OR($B667="",$D667=""),"",IF($AC667=0,0,MAX(0,MIN($O667,IF(ISNUMBER($P667),$P667-$AF667,1E+15),IF(ISNUMBER($AA667),$AA667-$AG667,1E+15)))))</f>
        <v/>
      </c>
      <c r="R667" s="48" t="str">
        <f>IF(OR($B667="",$D667=""),"",IF($AC667=0,"",IF(AND(NOT(ISNUMBER($P667)),NOT(ISNUMBER($AA667))),"∞",MAX(0,MIN(IF(ISNUMBER($P667),$P667-$AF667-$Q667,1E+15),IF(ISNUMBER($AA667),$AA667-$AG667-$Q667,1E+15))))))</f>
        <v/>
      </c>
      <c r="S667" s="47" t="str">
        <f>IF($AD667="","",YEAR($AD667)*100+MONTH($AD667))</f>
        <v/>
      </c>
      <c r="T667" s="50" t="str">
        <f>IF($AD667="","",IFERROR(IF(INDEX(CARDS!$I$5:$I$34,MATCH($D667,CARDS!$A$5:$A$34,0))="","",IF(INDEX(CARDS!$I$5:$I$34,MATCH($D667,CARDS!$A$5:$A$34,0))&gt;INDEX(CARDS!$H$5:$H$34,MATCH($D667,CARDS!$A$5:$A$34,0)),DATE(YEAR($AD667),MONTH($AD667),MIN(INDEX(CARDS!$I$5:$I$34,MATCH($D667,CARDS!$A$5:$A$34,0)),DAY(EOMONTH($AD667,0)))),DATE(YEAR($AD667),MONTH($AD667)+1,MIN(INDEX(CARDS!$I$5:$I$34,MATCH($D667,CARDS!$A$5:$A$34,0)),DAY(EOMONTH($AD667,1)))))),""))</f>
        <v/>
      </c>
      <c r="U667" s="38" t="n"/>
      <c r="V667" s="37" t="n"/>
      <c r="W667" s="38" t="n"/>
      <c r="X667" s="38" t="n"/>
      <c r="Y667" s="44" t="str">
        <f>IF($AC667&gt;0,INDEX(CASHBACK_RULES!$A$5:$A$304,$AC667),"")</f>
        <v/>
      </c>
      <c r="Z667" s="45" t="str">
        <f>IF($AC667&gt;0,INDEX(CASHBACK_RULES!$E$5:$E$304,$AC667)&amp;"","")</f>
        <v/>
      </c>
      <c r="AA667" s="48" t="str">
        <f>IF($AC667&gt;0,IF(ISNUMBER(INDEX(CASHBACK_RULES!$K$5:$K$304,$AC667)),INDEX(CASHBACK_RULES!$K$5:$K$304,$AC667),"∞"),"")</f>
        <v/>
      </c>
      <c r="AB667" s="44" t="str">
        <f>IF(OR($B667="",$D667=""),"",IF($U667="Cancelled","Đã hủy",IF($AC667=0,"Không được hoàn",IF($Q667=0,IF(OR($O667&gt;0,$M667&lt;$L667),"Đã đạt cap","Không được hoàn"),IF(OR($Q667&lt;$O667,$M667&lt;$L667),"Hoàn một phần","Được hoàn")))))</f>
        <v/>
      </c>
      <c r="AC667" s="43">
        <f>IF(OR($B667="",$D667="",$I667="",$L667=""),0,IF($U667="Cancelled",0,IF($W667&lt;&gt;"",IFERROR(IF(INDEX(CASHBACK_RULES!$B$5:$B$304,MATCH($W667,CASHBACK_RULES!$A$5:$A$304,0))=$D667,MATCH($W667,CASHBACK_RULES!$A$5:$A$304,0),0),0),IFERROR(MATCH(1,INDEX((CASHBACK_RULES!$B$5:$B$304=$D667)*(CASHBACK_RULES!$G$5:$G$304=$I667)*(((CASHBACK_RULES!$N$5:$N$304="")+(CASHBACK_RULES!$N$5:$N$304&lt;=$B667))&gt;0)*(((CASHBACK_RULES!$O$5:$O$304="")+(CASHBACK_RULES!$O$5:$O$304&gt;=$B667))&gt;0)*(((CASHBACK_RULES!$M$5:$M$304="")+(CASHBACK_RULES!$M$5:$M$304&lt;=$L667))&gt;0),0),0),0))))</f>
        <v>0</v>
      </c>
      <c r="AD667" s="51" t="str">
        <f>IF(OR($B667="",$D667=""),"",IFERROR(IF(INDEX(CARDS!$H$5:$H$34,MATCH($D667,CARDS!$A$5:$A$34,0))="","",IF(DAY($B667)&lt;=INDEX(CARDS!$H$5:$H$34,MATCH($D667,CARDS!$A$5:$A$34,0)),DATE(YEAR($B667),MONTH($B667),MIN(INDEX(CARDS!$H$5:$H$34,MATCH($D667,CARDS!$A$5:$A$34,0)),DAY(EOMONTH($B667,0)))),DATE(YEAR($B667),MONTH($B667)+1,MIN(INDEX(CARDS!$H$5:$H$34,MATCH($D667,CARDS!$A$5:$A$34,0)),DAY(EOMONTH($B667,1)))))),""))</f>
        <v/>
      </c>
      <c r="AE667" s="52" t="str">
        <f>IF($C667="","",$C667&amp;"|"&amp;COUNTIF($C$5:$C667,$C667))</f>
        <v/>
      </c>
      <c r="AF667" s="53">
        <f>IF($AC667&gt;0,SUMIFS(Q$4:Q666,$D$4:$D666,$D667,$Z$4:$Z666,$Z667,$C$4:$C666,$C667),0)</f>
        <v>0</v>
      </c>
      <c r="AG667" s="53">
        <f>IF($AC667&gt;0,SUMIFS(Q$4:Q666,$D$4:$D666,$D667,$C$4:$C666,$C667),0)</f>
        <v>0</v>
      </c>
      <c r="AH667" s="53">
        <f>IF($AC667&gt;0,SUMIFS(M$4:M666,$D$4:$D666,$D667,$Z$4:$Z666,$Z667,$C$4:$C666,$C667),0)</f>
        <v>0</v>
      </c>
      <c r="AI667" s="43">
        <f>IF(OR($C667="",$I667=""),0,IF(COUNTIFS($C$5:$C667,$C667,$I$5:$I667,$I667)=1,1,0))</f>
        <v>0</v>
      </c>
      <c r="AJ667" s="43" t="str">
        <f>IF($AI667=1,SUMIFS($AI$4:$AI666,$C$4:$C666,$C667)+1,"")</f>
        <v/>
      </c>
      <c r="AK667" s="43">
        <f>IF(OR($C667="",$K667=""),0,IF(COUNTIFS($C$5:$C667,$C667,$K$5:$K667,$K667)=1,1,0))</f>
        <v>0</v>
      </c>
      <c r="AL667" s="43" t="str">
        <f>IF($AK667=1,SUMIFS($AK$4:$AK666,$C$4:$C666,$C667)+1,"")</f>
        <v/>
      </c>
      <c r="AM667" s="43">
        <f>IF(OR($C667="",$G667=""),0,IF(COUNTIFS($C$5:$C667,$C667,$G$5:$G667,$G667)=1,1,0))</f>
        <v>0</v>
      </c>
      <c r="AN667" s="43" t="str">
        <f>IF($AM667=1,SUMIFS($AM$4:$AM666,$C$4:$C666,$C667)+1,"")</f>
        <v/>
      </c>
    </row>
    <row r="668">
      <c r="A668" s="44" t="str">
        <f>IF(OR($B668="",$D668=""),"","TX"&amp;TEXT(ROW()-4,"0000"))</f>
        <v/>
      </c>
      <c r="B668" s="42" t="n"/>
      <c r="C668" s="47" t="str">
        <f>IF($B668="","",YEAR($B668)*100+MONTH($B668))</f>
        <v/>
      </c>
      <c r="D668" s="37" t="n"/>
      <c r="E668" s="45" t="str">
        <f>IF($D668="","",IFERROR(INDEX(CARDS!$B$5:$B$34,MATCH($D668,CARDS!$A$5:$A$34,0)),"⚠ Card ID?"))</f>
        <v/>
      </c>
      <c r="F668" s="45" t="str">
        <f>IF($D668="","",IFERROR(INDEX(CARDS!$C$5:$C$34,MATCH($D668,CARDS!$A$5:$A$34,0)),"⚠ Card ID?"))</f>
        <v/>
      </c>
      <c r="G668" s="37" t="n"/>
      <c r="H668" s="37" t="n"/>
      <c r="I668" s="41" t="n"/>
      <c r="J668" s="45" t="str">
        <f>IF($I668="","",IFERROR(INDEX(MCC_MASTER!$B$5:$B$504,MATCH($I668,MCC_MASTER!$A$5:$A$504,0)),"⚠ MCC chưa có"))</f>
        <v/>
      </c>
      <c r="K668" s="45" t="str">
        <f>IF($I668="","",IFERROR(IF(INDEX(MCC_MASTER!$C$5:$C$504,MATCH($I668,MCC_MASTER!$A$5:$A$504,0))="","Chưa phân loại",INDEX(MCC_MASTER!$C$5:$C$504,MATCH($I668,MCC_MASTER!$A$5:$A$504,0))),"Chưa phân loại"))</f>
        <v/>
      </c>
      <c r="L668" s="40" t="n"/>
      <c r="M668" s="48" t="str">
        <f>IF(OR($B668="",$D668=""),"",IF($AC668=0,0,IF(ISNUMBER(INDEX(CASHBACK_RULES!$L$5:$L$304,$AC668)),MAX(0,MIN($L668,INDEX(CASHBACK_RULES!$L$5:$L$304,$AC668)-$AH668)),MAX(0,$L668))))</f>
        <v/>
      </c>
      <c r="N668" s="49" t="str">
        <f>IF(OR($B668="",$D668=""),"",IF($AC668&gt;0,INDEX(CASHBACK_RULES!$I$5:$I$304,$AC668),0))</f>
        <v/>
      </c>
      <c r="O668" s="48" t="str">
        <f>IF(OR($B668="",$D668=""),"",ROUND($M668*$N668,0))</f>
        <v/>
      </c>
      <c r="P668" s="48" t="str">
        <f>IF($AC668&gt;0,IF(ISNUMBER(INDEX(CASHBACK_RULES!$J$5:$J$304,$AC668)),INDEX(CASHBACK_RULES!$J$5:$J$304,$AC668),"∞"),"")</f>
        <v/>
      </c>
      <c r="Q668" s="48" t="str">
        <f>IF(OR($B668="",$D668=""),"",IF($AC668=0,0,MAX(0,MIN($O668,IF(ISNUMBER($P668),$P668-$AF668,1E+15),IF(ISNUMBER($AA668),$AA668-$AG668,1E+15)))))</f>
        <v/>
      </c>
      <c r="R668" s="48" t="str">
        <f>IF(OR($B668="",$D668=""),"",IF($AC668=0,"",IF(AND(NOT(ISNUMBER($P668)),NOT(ISNUMBER($AA668))),"∞",MAX(0,MIN(IF(ISNUMBER($P668),$P668-$AF668-$Q668,1E+15),IF(ISNUMBER($AA668),$AA668-$AG668-$Q668,1E+15))))))</f>
        <v/>
      </c>
      <c r="S668" s="47" t="str">
        <f>IF($AD668="","",YEAR($AD668)*100+MONTH($AD668))</f>
        <v/>
      </c>
      <c r="T668" s="50" t="str">
        <f>IF($AD668="","",IFERROR(IF(INDEX(CARDS!$I$5:$I$34,MATCH($D668,CARDS!$A$5:$A$34,0))="","",IF(INDEX(CARDS!$I$5:$I$34,MATCH($D668,CARDS!$A$5:$A$34,0))&gt;INDEX(CARDS!$H$5:$H$34,MATCH($D668,CARDS!$A$5:$A$34,0)),DATE(YEAR($AD668),MONTH($AD668),MIN(INDEX(CARDS!$I$5:$I$34,MATCH($D668,CARDS!$A$5:$A$34,0)),DAY(EOMONTH($AD668,0)))),DATE(YEAR($AD668),MONTH($AD668)+1,MIN(INDEX(CARDS!$I$5:$I$34,MATCH($D668,CARDS!$A$5:$A$34,0)),DAY(EOMONTH($AD668,1)))))),""))</f>
        <v/>
      </c>
      <c r="U668" s="38" t="n"/>
      <c r="V668" s="37" t="n"/>
      <c r="W668" s="38" t="n"/>
      <c r="X668" s="38" t="n"/>
      <c r="Y668" s="44" t="str">
        <f>IF($AC668&gt;0,INDEX(CASHBACK_RULES!$A$5:$A$304,$AC668),"")</f>
        <v/>
      </c>
      <c r="Z668" s="45" t="str">
        <f>IF($AC668&gt;0,INDEX(CASHBACK_RULES!$E$5:$E$304,$AC668)&amp;"","")</f>
        <v/>
      </c>
      <c r="AA668" s="48" t="str">
        <f>IF($AC668&gt;0,IF(ISNUMBER(INDEX(CASHBACK_RULES!$K$5:$K$304,$AC668)),INDEX(CASHBACK_RULES!$K$5:$K$304,$AC668),"∞"),"")</f>
        <v/>
      </c>
      <c r="AB668" s="44" t="str">
        <f>IF(OR($B668="",$D668=""),"",IF($U668="Cancelled","Đã hủy",IF($AC668=0,"Không được hoàn",IF($Q668=0,IF(OR($O668&gt;0,$M668&lt;$L668),"Đã đạt cap","Không được hoàn"),IF(OR($Q668&lt;$O668,$M668&lt;$L668),"Hoàn một phần","Được hoàn")))))</f>
        <v/>
      </c>
      <c r="AC668" s="43">
        <f>IF(OR($B668="",$D668="",$I668="",$L668=""),0,IF($U668="Cancelled",0,IF($W668&lt;&gt;"",IFERROR(IF(INDEX(CASHBACK_RULES!$B$5:$B$304,MATCH($W668,CASHBACK_RULES!$A$5:$A$304,0))=$D668,MATCH($W668,CASHBACK_RULES!$A$5:$A$304,0),0),0),IFERROR(MATCH(1,INDEX((CASHBACK_RULES!$B$5:$B$304=$D668)*(CASHBACK_RULES!$G$5:$G$304=$I668)*(((CASHBACK_RULES!$N$5:$N$304="")+(CASHBACK_RULES!$N$5:$N$304&lt;=$B668))&gt;0)*(((CASHBACK_RULES!$O$5:$O$304="")+(CASHBACK_RULES!$O$5:$O$304&gt;=$B668))&gt;0)*(((CASHBACK_RULES!$M$5:$M$304="")+(CASHBACK_RULES!$M$5:$M$304&lt;=$L668))&gt;0),0),0),0))))</f>
        <v>0</v>
      </c>
      <c r="AD668" s="51" t="str">
        <f>IF(OR($B668="",$D668=""),"",IFERROR(IF(INDEX(CARDS!$H$5:$H$34,MATCH($D668,CARDS!$A$5:$A$34,0))="","",IF(DAY($B668)&lt;=INDEX(CARDS!$H$5:$H$34,MATCH($D668,CARDS!$A$5:$A$34,0)),DATE(YEAR($B668),MONTH($B668),MIN(INDEX(CARDS!$H$5:$H$34,MATCH($D668,CARDS!$A$5:$A$34,0)),DAY(EOMONTH($B668,0)))),DATE(YEAR($B668),MONTH($B668)+1,MIN(INDEX(CARDS!$H$5:$H$34,MATCH($D668,CARDS!$A$5:$A$34,0)),DAY(EOMONTH($B668,1)))))),""))</f>
        <v/>
      </c>
      <c r="AE668" s="52" t="str">
        <f>IF($C668="","",$C668&amp;"|"&amp;COUNTIF($C$5:$C668,$C668))</f>
        <v/>
      </c>
      <c r="AF668" s="53">
        <f>IF($AC668&gt;0,SUMIFS(Q$4:Q667,$D$4:$D667,$D668,$Z$4:$Z667,$Z668,$C$4:$C667,$C668),0)</f>
        <v>0</v>
      </c>
      <c r="AG668" s="53">
        <f>IF($AC668&gt;0,SUMIFS(Q$4:Q667,$D$4:$D667,$D668,$C$4:$C667,$C668),0)</f>
        <v>0</v>
      </c>
      <c r="AH668" s="53">
        <f>IF($AC668&gt;0,SUMIFS(M$4:M667,$D$4:$D667,$D668,$Z$4:$Z667,$Z668,$C$4:$C667,$C668),0)</f>
        <v>0</v>
      </c>
      <c r="AI668" s="43">
        <f>IF(OR($C668="",$I668=""),0,IF(COUNTIFS($C$5:$C668,$C668,$I$5:$I668,$I668)=1,1,0))</f>
        <v>0</v>
      </c>
      <c r="AJ668" s="43" t="str">
        <f>IF($AI668=1,SUMIFS($AI$4:$AI667,$C$4:$C667,$C668)+1,"")</f>
        <v/>
      </c>
      <c r="AK668" s="43">
        <f>IF(OR($C668="",$K668=""),0,IF(COUNTIFS($C$5:$C668,$C668,$K$5:$K668,$K668)=1,1,0))</f>
        <v>0</v>
      </c>
      <c r="AL668" s="43" t="str">
        <f>IF($AK668=1,SUMIFS($AK$4:$AK667,$C$4:$C667,$C668)+1,"")</f>
        <v/>
      </c>
      <c r="AM668" s="43">
        <f>IF(OR($C668="",$G668=""),0,IF(COUNTIFS($C$5:$C668,$C668,$G$5:$G668,$G668)=1,1,0))</f>
        <v>0</v>
      </c>
      <c r="AN668" s="43" t="str">
        <f>IF($AM668=1,SUMIFS($AM$4:$AM667,$C$4:$C667,$C668)+1,"")</f>
        <v/>
      </c>
    </row>
    <row r="669">
      <c r="A669" s="44" t="str">
        <f>IF(OR($B669="",$D669=""),"","TX"&amp;TEXT(ROW()-4,"0000"))</f>
        <v/>
      </c>
      <c r="B669" s="42" t="n"/>
      <c r="C669" s="47" t="str">
        <f>IF($B669="","",YEAR($B669)*100+MONTH($B669))</f>
        <v/>
      </c>
      <c r="D669" s="37" t="n"/>
      <c r="E669" s="45" t="str">
        <f>IF($D669="","",IFERROR(INDEX(CARDS!$B$5:$B$34,MATCH($D669,CARDS!$A$5:$A$34,0)),"⚠ Card ID?"))</f>
        <v/>
      </c>
      <c r="F669" s="45" t="str">
        <f>IF($D669="","",IFERROR(INDEX(CARDS!$C$5:$C$34,MATCH($D669,CARDS!$A$5:$A$34,0)),"⚠ Card ID?"))</f>
        <v/>
      </c>
      <c r="G669" s="37" t="n"/>
      <c r="H669" s="37" t="n"/>
      <c r="I669" s="41" t="n"/>
      <c r="J669" s="45" t="str">
        <f>IF($I669="","",IFERROR(INDEX(MCC_MASTER!$B$5:$B$504,MATCH($I669,MCC_MASTER!$A$5:$A$504,0)),"⚠ MCC chưa có"))</f>
        <v/>
      </c>
      <c r="K669" s="45" t="str">
        <f>IF($I669="","",IFERROR(IF(INDEX(MCC_MASTER!$C$5:$C$504,MATCH($I669,MCC_MASTER!$A$5:$A$504,0))="","Chưa phân loại",INDEX(MCC_MASTER!$C$5:$C$504,MATCH($I669,MCC_MASTER!$A$5:$A$504,0))),"Chưa phân loại"))</f>
        <v/>
      </c>
      <c r="L669" s="40" t="n"/>
      <c r="M669" s="48" t="str">
        <f>IF(OR($B669="",$D669=""),"",IF($AC669=0,0,IF(ISNUMBER(INDEX(CASHBACK_RULES!$L$5:$L$304,$AC669)),MAX(0,MIN($L669,INDEX(CASHBACK_RULES!$L$5:$L$304,$AC669)-$AH669)),MAX(0,$L669))))</f>
        <v/>
      </c>
      <c r="N669" s="49" t="str">
        <f>IF(OR($B669="",$D669=""),"",IF($AC669&gt;0,INDEX(CASHBACK_RULES!$I$5:$I$304,$AC669),0))</f>
        <v/>
      </c>
      <c r="O669" s="48" t="str">
        <f>IF(OR($B669="",$D669=""),"",ROUND($M669*$N669,0))</f>
        <v/>
      </c>
      <c r="P669" s="48" t="str">
        <f>IF($AC669&gt;0,IF(ISNUMBER(INDEX(CASHBACK_RULES!$J$5:$J$304,$AC669)),INDEX(CASHBACK_RULES!$J$5:$J$304,$AC669),"∞"),"")</f>
        <v/>
      </c>
      <c r="Q669" s="48" t="str">
        <f>IF(OR($B669="",$D669=""),"",IF($AC669=0,0,MAX(0,MIN($O669,IF(ISNUMBER($P669),$P669-$AF669,1E+15),IF(ISNUMBER($AA669),$AA669-$AG669,1E+15)))))</f>
        <v/>
      </c>
      <c r="R669" s="48" t="str">
        <f>IF(OR($B669="",$D669=""),"",IF($AC669=0,"",IF(AND(NOT(ISNUMBER($P669)),NOT(ISNUMBER($AA669))),"∞",MAX(0,MIN(IF(ISNUMBER($P669),$P669-$AF669-$Q669,1E+15),IF(ISNUMBER($AA669),$AA669-$AG669-$Q669,1E+15))))))</f>
        <v/>
      </c>
      <c r="S669" s="47" t="str">
        <f>IF($AD669="","",YEAR($AD669)*100+MONTH($AD669))</f>
        <v/>
      </c>
      <c r="T669" s="50" t="str">
        <f>IF($AD669="","",IFERROR(IF(INDEX(CARDS!$I$5:$I$34,MATCH($D669,CARDS!$A$5:$A$34,0))="","",IF(INDEX(CARDS!$I$5:$I$34,MATCH($D669,CARDS!$A$5:$A$34,0))&gt;INDEX(CARDS!$H$5:$H$34,MATCH($D669,CARDS!$A$5:$A$34,0)),DATE(YEAR($AD669),MONTH($AD669),MIN(INDEX(CARDS!$I$5:$I$34,MATCH($D669,CARDS!$A$5:$A$34,0)),DAY(EOMONTH($AD669,0)))),DATE(YEAR($AD669),MONTH($AD669)+1,MIN(INDEX(CARDS!$I$5:$I$34,MATCH($D669,CARDS!$A$5:$A$34,0)),DAY(EOMONTH($AD669,1)))))),""))</f>
        <v/>
      </c>
      <c r="U669" s="38" t="n"/>
      <c r="V669" s="37" t="n"/>
      <c r="W669" s="38" t="n"/>
      <c r="X669" s="38" t="n"/>
      <c r="Y669" s="44" t="str">
        <f>IF($AC669&gt;0,INDEX(CASHBACK_RULES!$A$5:$A$304,$AC669),"")</f>
        <v/>
      </c>
      <c r="Z669" s="45" t="str">
        <f>IF($AC669&gt;0,INDEX(CASHBACK_RULES!$E$5:$E$304,$AC669)&amp;"","")</f>
        <v/>
      </c>
      <c r="AA669" s="48" t="str">
        <f>IF($AC669&gt;0,IF(ISNUMBER(INDEX(CASHBACK_RULES!$K$5:$K$304,$AC669)),INDEX(CASHBACK_RULES!$K$5:$K$304,$AC669),"∞"),"")</f>
        <v/>
      </c>
      <c r="AB669" s="44" t="str">
        <f>IF(OR($B669="",$D669=""),"",IF($U669="Cancelled","Đã hủy",IF($AC669=0,"Không được hoàn",IF($Q669=0,IF(OR($O669&gt;0,$M669&lt;$L669),"Đã đạt cap","Không được hoàn"),IF(OR($Q669&lt;$O669,$M669&lt;$L669),"Hoàn một phần","Được hoàn")))))</f>
        <v/>
      </c>
      <c r="AC669" s="43">
        <f>IF(OR($B669="",$D669="",$I669="",$L669=""),0,IF($U669="Cancelled",0,IF($W669&lt;&gt;"",IFERROR(IF(INDEX(CASHBACK_RULES!$B$5:$B$304,MATCH($W669,CASHBACK_RULES!$A$5:$A$304,0))=$D669,MATCH($W669,CASHBACK_RULES!$A$5:$A$304,0),0),0),IFERROR(MATCH(1,INDEX((CASHBACK_RULES!$B$5:$B$304=$D669)*(CASHBACK_RULES!$G$5:$G$304=$I669)*(((CASHBACK_RULES!$N$5:$N$304="")+(CASHBACK_RULES!$N$5:$N$304&lt;=$B669))&gt;0)*(((CASHBACK_RULES!$O$5:$O$304="")+(CASHBACK_RULES!$O$5:$O$304&gt;=$B669))&gt;0)*(((CASHBACK_RULES!$M$5:$M$304="")+(CASHBACK_RULES!$M$5:$M$304&lt;=$L669))&gt;0),0),0),0))))</f>
        <v>0</v>
      </c>
      <c r="AD669" s="51" t="str">
        <f>IF(OR($B669="",$D669=""),"",IFERROR(IF(INDEX(CARDS!$H$5:$H$34,MATCH($D669,CARDS!$A$5:$A$34,0))="","",IF(DAY($B669)&lt;=INDEX(CARDS!$H$5:$H$34,MATCH($D669,CARDS!$A$5:$A$34,0)),DATE(YEAR($B669),MONTH($B669),MIN(INDEX(CARDS!$H$5:$H$34,MATCH($D669,CARDS!$A$5:$A$34,0)),DAY(EOMONTH($B669,0)))),DATE(YEAR($B669),MONTH($B669)+1,MIN(INDEX(CARDS!$H$5:$H$34,MATCH($D669,CARDS!$A$5:$A$34,0)),DAY(EOMONTH($B669,1)))))),""))</f>
        <v/>
      </c>
      <c r="AE669" s="52" t="str">
        <f>IF($C669="","",$C669&amp;"|"&amp;COUNTIF($C$5:$C669,$C669))</f>
        <v/>
      </c>
      <c r="AF669" s="53">
        <f>IF($AC669&gt;0,SUMIFS(Q$4:Q668,$D$4:$D668,$D669,$Z$4:$Z668,$Z669,$C$4:$C668,$C669),0)</f>
        <v>0</v>
      </c>
      <c r="AG669" s="53">
        <f>IF($AC669&gt;0,SUMIFS(Q$4:Q668,$D$4:$D668,$D669,$C$4:$C668,$C669),0)</f>
        <v>0</v>
      </c>
      <c r="AH669" s="53">
        <f>IF($AC669&gt;0,SUMIFS(M$4:M668,$D$4:$D668,$D669,$Z$4:$Z668,$Z669,$C$4:$C668,$C669),0)</f>
        <v>0</v>
      </c>
      <c r="AI669" s="43">
        <f>IF(OR($C669="",$I669=""),0,IF(COUNTIFS($C$5:$C669,$C669,$I$5:$I669,$I669)=1,1,0))</f>
        <v>0</v>
      </c>
      <c r="AJ669" s="43" t="str">
        <f>IF($AI669=1,SUMIFS($AI$4:$AI668,$C$4:$C668,$C669)+1,"")</f>
        <v/>
      </c>
      <c r="AK669" s="43">
        <f>IF(OR($C669="",$K669=""),0,IF(COUNTIFS($C$5:$C669,$C669,$K$5:$K669,$K669)=1,1,0))</f>
        <v>0</v>
      </c>
      <c r="AL669" s="43" t="str">
        <f>IF($AK669=1,SUMIFS($AK$4:$AK668,$C$4:$C668,$C669)+1,"")</f>
        <v/>
      </c>
      <c r="AM669" s="43">
        <f>IF(OR($C669="",$G669=""),0,IF(COUNTIFS($C$5:$C669,$C669,$G$5:$G669,$G669)=1,1,0))</f>
        <v>0</v>
      </c>
      <c r="AN669" s="43" t="str">
        <f>IF($AM669=1,SUMIFS($AM$4:$AM668,$C$4:$C668,$C669)+1,"")</f>
        <v/>
      </c>
    </row>
    <row r="670">
      <c r="A670" s="44" t="str">
        <f>IF(OR($B670="",$D670=""),"","TX"&amp;TEXT(ROW()-4,"0000"))</f>
        <v/>
      </c>
      <c r="B670" s="42" t="n"/>
      <c r="C670" s="47" t="str">
        <f>IF($B670="","",YEAR($B670)*100+MONTH($B670))</f>
        <v/>
      </c>
      <c r="D670" s="37" t="n"/>
      <c r="E670" s="45" t="str">
        <f>IF($D670="","",IFERROR(INDEX(CARDS!$B$5:$B$34,MATCH($D670,CARDS!$A$5:$A$34,0)),"⚠ Card ID?"))</f>
        <v/>
      </c>
      <c r="F670" s="45" t="str">
        <f>IF($D670="","",IFERROR(INDEX(CARDS!$C$5:$C$34,MATCH($D670,CARDS!$A$5:$A$34,0)),"⚠ Card ID?"))</f>
        <v/>
      </c>
      <c r="G670" s="37" t="n"/>
      <c r="H670" s="37" t="n"/>
      <c r="I670" s="41" t="n"/>
      <c r="J670" s="45" t="str">
        <f>IF($I670="","",IFERROR(INDEX(MCC_MASTER!$B$5:$B$504,MATCH($I670,MCC_MASTER!$A$5:$A$504,0)),"⚠ MCC chưa có"))</f>
        <v/>
      </c>
      <c r="K670" s="45" t="str">
        <f>IF($I670="","",IFERROR(IF(INDEX(MCC_MASTER!$C$5:$C$504,MATCH($I670,MCC_MASTER!$A$5:$A$504,0))="","Chưa phân loại",INDEX(MCC_MASTER!$C$5:$C$504,MATCH($I670,MCC_MASTER!$A$5:$A$504,0))),"Chưa phân loại"))</f>
        <v/>
      </c>
      <c r="L670" s="40" t="n"/>
      <c r="M670" s="48" t="str">
        <f>IF(OR($B670="",$D670=""),"",IF($AC670=0,0,IF(ISNUMBER(INDEX(CASHBACK_RULES!$L$5:$L$304,$AC670)),MAX(0,MIN($L670,INDEX(CASHBACK_RULES!$L$5:$L$304,$AC670)-$AH670)),MAX(0,$L670))))</f>
        <v/>
      </c>
      <c r="N670" s="49" t="str">
        <f>IF(OR($B670="",$D670=""),"",IF($AC670&gt;0,INDEX(CASHBACK_RULES!$I$5:$I$304,$AC670),0))</f>
        <v/>
      </c>
      <c r="O670" s="48" t="str">
        <f>IF(OR($B670="",$D670=""),"",ROUND($M670*$N670,0))</f>
        <v/>
      </c>
      <c r="P670" s="48" t="str">
        <f>IF($AC670&gt;0,IF(ISNUMBER(INDEX(CASHBACK_RULES!$J$5:$J$304,$AC670)),INDEX(CASHBACK_RULES!$J$5:$J$304,$AC670),"∞"),"")</f>
        <v/>
      </c>
      <c r="Q670" s="48" t="str">
        <f>IF(OR($B670="",$D670=""),"",IF($AC670=0,0,MAX(0,MIN($O670,IF(ISNUMBER($P670),$P670-$AF670,1E+15),IF(ISNUMBER($AA670),$AA670-$AG670,1E+15)))))</f>
        <v/>
      </c>
      <c r="R670" s="48" t="str">
        <f>IF(OR($B670="",$D670=""),"",IF($AC670=0,"",IF(AND(NOT(ISNUMBER($P670)),NOT(ISNUMBER($AA670))),"∞",MAX(0,MIN(IF(ISNUMBER($P670),$P670-$AF670-$Q670,1E+15),IF(ISNUMBER($AA670),$AA670-$AG670-$Q670,1E+15))))))</f>
        <v/>
      </c>
      <c r="S670" s="47" t="str">
        <f>IF($AD670="","",YEAR($AD670)*100+MONTH($AD670))</f>
        <v/>
      </c>
      <c r="T670" s="50" t="str">
        <f>IF($AD670="","",IFERROR(IF(INDEX(CARDS!$I$5:$I$34,MATCH($D670,CARDS!$A$5:$A$34,0))="","",IF(INDEX(CARDS!$I$5:$I$34,MATCH($D670,CARDS!$A$5:$A$34,0))&gt;INDEX(CARDS!$H$5:$H$34,MATCH($D670,CARDS!$A$5:$A$34,0)),DATE(YEAR($AD670),MONTH($AD670),MIN(INDEX(CARDS!$I$5:$I$34,MATCH($D670,CARDS!$A$5:$A$34,0)),DAY(EOMONTH($AD670,0)))),DATE(YEAR($AD670),MONTH($AD670)+1,MIN(INDEX(CARDS!$I$5:$I$34,MATCH($D670,CARDS!$A$5:$A$34,0)),DAY(EOMONTH($AD670,1)))))),""))</f>
        <v/>
      </c>
      <c r="U670" s="38" t="n"/>
      <c r="V670" s="37" t="n"/>
      <c r="W670" s="38" t="n"/>
      <c r="X670" s="38" t="n"/>
      <c r="Y670" s="44" t="str">
        <f>IF($AC670&gt;0,INDEX(CASHBACK_RULES!$A$5:$A$304,$AC670),"")</f>
        <v/>
      </c>
      <c r="Z670" s="45" t="str">
        <f>IF($AC670&gt;0,INDEX(CASHBACK_RULES!$E$5:$E$304,$AC670)&amp;"","")</f>
        <v/>
      </c>
      <c r="AA670" s="48" t="str">
        <f>IF($AC670&gt;0,IF(ISNUMBER(INDEX(CASHBACK_RULES!$K$5:$K$304,$AC670)),INDEX(CASHBACK_RULES!$K$5:$K$304,$AC670),"∞"),"")</f>
        <v/>
      </c>
      <c r="AB670" s="44" t="str">
        <f>IF(OR($B670="",$D670=""),"",IF($U670="Cancelled","Đã hủy",IF($AC670=0,"Không được hoàn",IF($Q670=0,IF(OR($O670&gt;0,$M670&lt;$L670),"Đã đạt cap","Không được hoàn"),IF(OR($Q670&lt;$O670,$M670&lt;$L670),"Hoàn một phần","Được hoàn")))))</f>
        <v/>
      </c>
      <c r="AC670" s="43">
        <f>IF(OR($B670="",$D670="",$I670="",$L670=""),0,IF($U670="Cancelled",0,IF($W670&lt;&gt;"",IFERROR(IF(INDEX(CASHBACK_RULES!$B$5:$B$304,MATCH($W670,CASHBACK_RULES!$A$5:$A$304,0))=$D670,MATCH($W670,CASHBACK_RULES!$A$5:$A$304,0),0),0),IFERROR(MATCH(1,INDEX((CASHBACK_RULES!$B$5:$B$304=$D670)*(CASHBACK_RULES!$G$5:$G$304=$I670)*(((CASHBACK_RULES!$N$5:$N$304="")+(CASHBACK_RULES!$N$5:$N$304&lt;=$B670))&gt;0)*(((CASHBACK_RULES!$O$5:$O$304="")+(CASHBACK_RULES!$O$5:$O$304&gt;=$B670))&gt;0)*(((CASHBACK_RULES!$M$5:$M$304="")+(CASHBACK_RULES!$M$5:$M$304&lt;=$L670))&gt;0),0),0),0))))</f>
        <v>0</v>
      </c>
      <c r="AD670" s="51" t="str">
        <f>IF(OR($B670="",$D670=""),"",IFERROR(IF(INDEX(CARDS!$H$5:$H$34,MATCH($D670,CARDS!$A$5:$A$34,0))="","",IF(DAY($B670)&lt;=INDEX(CARDS!$H$5:$H$34,MATCH($D670,CARDS!$A$5:$A$34,0)),DATE(YEAR($B670),MONTH($B670),MIN(INDEX(CARDS!$H$5:$H$34,MATCH($D670,CARDS!$A$5:$A$34,0)),DAY(EOMONTH($B670,0)))),DATE(YEAR($B670),MONTH($B670)+1,MIN(INDEX(CARDS!$H$5:$H$34,MATCH($D670,CARDS!$A$5:$A$34,0)),DAY(EOMONTH($B670,1)))))),""))</f>
        <v/>
      </c>
      <c r="AE670" s="52" t="str">
        <f>IF($C670="","",$C670&amp;"|"&amp;COUNTIF($C$5:$C670,$C670))</f>
        <v/>
      </c>
      <c r="AF670" s="53">
        <f>IF($AC670&gt;0,SUMIFS(Q$4:Q669,$D$4:$D669,$D670,$Z$4:$Z669,$Z670,$C$4:$C669,$C670),0)</f>
        <v>0</v>
      </c>
      <c r="AG670" s="53">
        <f>IF($AC670&gt;0,SUMIFS(Q$4:Q669,$D$4:$D669,$D670,$C$4:$C669,$C670),0)</f>
        <v>0</v>
      </c>
      <c r="AH670" s="53">
        <f>IF($AC670&gt;0,SUMIFS(M$4:M669,$D$4:$D669,$D670,$Z$4:$Z669,$Z670,$C$4:$C669,$C670),0)</f>
        <v>0</v>
      </c>
      <c r="AI670" s="43">
        <f>IF(OR($C670="",$I670=""),0,IF(COUNTIFS($C$5:$C670,$C670,$I$5:$I670,$I670)=1,1,0))</f>
        <v>0</v>
      </c>
      <c r="AJ670" s="43" t="str">
        <f>IF($AI670=1,SUMIFS($AI$4:$AI669,$C$4:$C669,$C670)+1,"")</f>
        <v/>
      </c>
      <c r="AK670" s="43">
        <f>IF(OR($C670="",$K670=""),0,IF(COUNTIFS($C$5:$C670,$C670,$K$5:$K670,$K670)=1,1,0))</f>
        <v>0</v>
      </c>
      <c r="AL670" s="43" t="str">
        <f>IF($AK670=1,SUMIFS($AK$4:$AK669,$C$4:$C669,$C670)+1,"")</f>
        <v/>
      </c>
      <c r="AM670" s="43">
        <f>IF(OR($C670="",$G670=""),0,IF(COUNTIFS($C$5:$C670,$C670,$G$5:$G670,$G670)=1,1,0))</f>
        <v>0</v>
      </c>
      <c r="AN670" s="43" t="str">
        <f>IF($AM670=1,SUMIFS($AM$4:$AM669,$C$4:$C669,$C670)+1,"")</f>
        <v/>
      </c>
    </row>
    <row r="671">
      <c r="A671" s="44" t="str">
        <f>IF(OR($B671="",$D671=""),"","TX"&amp;TEXT(ROW()-4,"0000"))</f>
        <v/>
      </c>
      <c r="B671" s="42" t="n"/>
      <c r="C671" s="47" t="str">
        <f>IF($B671="","",YEAR($B671)*100+MONTH($B671))</f>
        <v/>
      </c>
      <c r="D671" s="37" t="n"/>
      <c r="E671" s="45" t="str">
        <f>IF($D671="","",IFERROR(INDEX(CARDS!$B$5:$B$34,MATCH($D671,CARDS!$A$5:$A$34,0)),"⚠ Card ID?"))</f>
        <v/>
      </c>
      <c r="F671" s="45" t="str">
        <f>IF($D671="","",IFERROR(INDEX(CARDS!$C$5:$C$34,MATCH($D671,CARDS!$A$5:$A$34,0)),"⚠ Card ID?"))</f>
        <v/>
      </c>
      <c r="G671" s="37" t="n"/>
      <c r="H671" s="37" t="n"/>
      <c r="I671" s="41" t="n"/>
      <c r="J671" s="45" t="str">
        <f>IF($I671="","",IFERROR(INDEX(MCC_MASTER!$B$5:$B$504,MATCH($I671,MCC_MASTER!$A$5:$A$504,0)),"⚠ MCC chưa có"))</f>
        <v/>
      </c>
      <c r="K671" s="45" t="str">
        <f>IF($I671="","",IFERROR(IF(INDEX(MCC_MASTER!$C$5:$C$504,MATCH($I671,MCC_MASTER!$A$5:$A$504,0))="","Chưa phân loại",INDEX(MCC_MASTER!$C$5:$C$504,MATCH($I671,MCC_MASTER!$A$5:$A$504,0))),"Chưa phân loại"))</f>
        <v/>
      </c>
      <c r="L671" s="40" t="n"/>
      <c r="M671" s="48" t="str">
        <f>IF(OR($B671="",$D671=""),"",IF($AC671=0,0,IF(ISNUMBER(INDEX(CASHBACK_RULES!$L$5:$L$304,$AC671)),MAX(0,MIN($L671,INDEX(CASHBACK_RULES!$L$5:$L$304,$AC671)-$AH671)),MAX(0,$L671))))</f>
        <v/>
      </c>
      <c r="N671" s="49" t="str">
        <f>IF(OR($B671="",$D671=""),"",IF($AC671&gt;0,INDEX(CASHBACK_RULES!$I$5:$I$304,$AC671),0))</f>
        <v/>
      </c>
      <c r="O671" s="48" t="str">
        <f>IF(OR($B671="",$D671=""),"",ROUND($M671*$N671,0))</f>
        <v/>
      </c>
      <c r="P671" s="48" t="str">
        <f>IF($AC671&gt;0,IF(ISNUMBER(INDEX(CASHBACK_RULES!$J$5:$J$304,$AC671)),INDEX(CASHBACK_RULES!$J$5:$J$304,$AC671),"∞"),"")</f>
        <v/>
      </c>
      <c r="Q671" s="48" t="str">
        <f>IF(OR($B671="",$D671=""),"",IF($AC671=0,0,MAX(0,MIN($O671,IF(ISNUMBER($P671),$P671-$AF671,1E+15),IF(ISNUMBER($AA671),$AA671-$AG671,1E+15)))))</f>
        <v/>
      </c>
      <c r="R671" s="48" t="str">
        <f>IF(OR($B671="",$D671=""),"",IF($AC671=0,"",IF(AND(NOT(ISNUMBER($P671)),NOT(ISNUMBER($AA671))),"∞",MAX(0,MIN(IF(ISNUMBER($P671),$P671-$AF671-$Q671,1E+15),IF(ISNUMBER($AA671),$AA671-$AG671-$Q671,1E+15))))))</f>
        <v/>
      </c>
      <c r="S671" s="47" t="str">
        <f>IF($AD671="","",YEAR($AD671)*100+MONTH($AD671))</f>
        <v/>
      </c>
      <c r="T671" s="50" t="str">
        <f>IF($AD671="","",IFERROR(IF(INDEX(CARDS!$I$5:$I$34,MATCH($D671,CARDS!$A$5:$A$34,0))="","",IF(INDEX(CARDS!$I$5:$I$34,MATCH($D671,CARDS!$A$5:$A$34,0))&gt;INDEX(CARDS!$H$5:$H$34,MATCH($D671,CARDS!$A$5:$A$34,0)),DATE(YEAR($AD671),MONTH($AD671),MIN(INDEX(CARDS!$I$5:$I$34,MATCH($D671,CARDS!$A$5:$A$34,0)),DAY(EOMONTH($AD671,0)))),DATE(YEAR($AD671),MONTH($AD671)+1,MIN(INDEX(CARDS!$I$5:$I$34,MATCH($D671,CARDS!$A$5:$A$34,0)),DAY(EOMONTH($AD671,1)))))),""))</f>
        <v/>
      </c>
      <c r="U671" s="38" t="n"/>
      <c r="V671" s="37" t="n"/>
      <c r="W671" s="38" t="n"/>
      <c r="X671" s="38" t="n"/>
      <c r="Y671" s="44" t="str">
        <f>IF($AC671&gt;0,INDEX(CASHBACK_RULES!$A$5:$A$304,$AC671),"")</f>
        <v/>
      </c>
      <c r="Z671" s="45" t="str">
        <f>IF($AC671&gt;0,INDEX(CASHBACK_RULES!$E$5:$E$304,$AC671)&amp;"","")</f>
        <v/>
      </c>
      <c r="AA671" s="48" t="str">
        <f>IF($AC671&gt;0,IF(ISNUMBER(INDEX(CASHBACK_RULES!$K$5:$K$304,$AC671)),INDEX(CASHBACK_RULES!$K$5:$K$304,$AC671),"∞"),"")</f>
        <v/>
      </c>
      <c r="AB671" s="44" t="str">
        <f>IF(OR($B671="",$D671=""),"",IF($U671="Cancelled","Đã hủy",IF($AC671=0,"Không được hoàn",IF($Q671=0,IF(OR($O671&gt;0,$M671&lt;$L671),"Đã đạt cap","Không được hoàn"),IF(OR($Q671&lt;$O671,$M671&lt;$L671),"Hoàn một phần","Được hoàn")))))</f>
        <v/>
      </c>
      <c r="AC671" s="43">
        <f>IF(OR($B671="",$D671="",$I671="",$L671=""),0,IF($U671="Cancelled",0,IF($W671&lt;&gt;"",IFERROR(IF(INDEX(CASHBACK_RULES!$B$5:$B$304,MATCH($W671,CASHBACK_RULES!$A$5:$A$304,0))=$D671,MATCH($W671,CASHBACK_RULES!$A$5:$A$304,0),0),0),IFERROR(MATCH(1,INDEX((CASHBACK_RULES!$B$5:$B$304=$D671)*(CASHBACK_RULES!$G$5:$G$304=$I671)*(((CASHBACK_RULES!$N$5:$N$304="")+(CASHBACK_RULES!$N$5:$N$304&lt;=$B671))&gt;0)*(((CASHBACK_RULES!$O$5:$O$304="")+(CASHBACK_RULES!$O$5:$O$304&gt;=$B671))&gt;0)*(((CASHBACK_RULES!$M$5:$M$304="")+(CASHBACK_RULES!$M$5:$M$304&lt;=$L671))&gt;0),0),0),0))))</f>
        <v>0</v>
      </c>
      <c r="AD671" s="51" t="str">
        <f>IF(OR($B671="",$D671=""),"",IFERROR(IF(INDEX(CARDS!$H$5:$H$34,MATCH($D671,CARDS!$A$5:$A$34,0))="","",IF(DAY($B671)&lt;=INDEX(CARDS!$H$5:$H$34,MATCH($D671,CARDS!$A$5:$A$34,0)),DATE(YEAR($B671),MONTH($B671),MIN(INDEX(CARDS!$H$5:$H$34,MATCH($D671,CARDS!$A$5:$A$34,0)),DAY(EOMONTH($B671,0)))),DATE(YEAR($B671),MONTH($B671)+1,MIN(INDEX(CARDS!$H$5:$H$34,MATCH($D671,CARDS!$A$5:$A$34,0)),DAY(EOMONTH($B671,1)))))),""))</f>
        <v/>
      </c>
      <c r="AE671" s="52" t="str">
        <f>IF($C671="","",$C671&amp;"|"&amp;COUNTIF($C$5:$C671,$C671))</f>
        <v/>
      </c>
      <c r="AF671" s="53">
        <f>IF($AC671&gt;0,SUMIFS(Q$4:Q670,$D$4:$D670,$D671,$Z$4:$Z670,$Z671,$C$4:$C670,$C671),0)</f>
        <v>0</v>
      </c>
      <c r="AG671" s="53">
        <f>IF($AC671&gt;0,SUMIFS(Q$4:Q670,$D$4:$D670,$D671,$C$4:$C670,$C671),0)</f>
        <v>0</v>
      </c>
      <c r="AH671" s="53">
        <f>IF($AC671&gt;0,SUMIFS(M$4:M670,$D$4:$D670,$D671,$Z$4:$Z670,$Z671,$C$4:$C670,$C671),0)</f>
        <v>0</v>
      </c>
      <c r="AI671" s="43">
        <f>IF(OR($C671="",$I671=""),0,IF(COUNTIFS($C$5:$C671,$C671,$I$5:$I671,$I671)=1,1,0))</f>
        <v>0</v>
      </c>
      <c r="AJ671" s="43" t="str">
        <f>IF($AI671=1,SUMIFS($AI$4:$AI670,$C$4:$C670,$C671)+1,"")</f>
        <v/>
      </c>
      <c r="AK671" s="43">
        <f>IF(OR($C671="",$K671=""),0,IF(COUNTIFS($C$5:$C671,$C671,$K$5:$K671,$K671)=1,1,0))</f>
        <v>0</v>
      </c>
      <c r="AL671" s="43" t="str">
        <f>IF($AK671=1,SUMIFS($AK$4:$AK670,$C$4:$C670,$C671)+1,"")</f>
        <v/>
      </c>
      <c r="AM671" s="43">
        <f>IF(OR($C671="",$G671=""),0,IF(COUNTIFS($C$5:$C671,$C671,$G$5:$G671,$G671)=1,1,0))</f>
        <v>0</v>
      </c>
      <c r="AN671" s="43" t="str">
        <f>IF($AM671=1,SUMIFS($AM$4:$AM670,$C$4:$C670,$C671)+1,"")</f>
        <v/>
      </c>
    </row>
    <row r="672">
      <c r="A672" s="44" t="str">
        <f>IF(OR($B672="",$D672=""),"","TX"&amp;TEXT(ROW()-4,"0000"))</f>
        <v/>
      </c>
      <c r="B672" s="42" t="n"/>
      <c r="C672" s="47" t="str">
        <f>IF($B672="","",YEAR($B672)*100+MONTH($B672))</f>
        <v/>
      </c>
      <c r="D672" s="37" t="n"/>
      <c r="E672" s="45" t="str">
        <f>IF($D672="","",IFERROR(INDEX(CARDS!$B$5:$B$34,MATCH($D672,CARDS!$A$5:$A$34,0)),"⚠ Card ID?"))</f>
        <v/>
      </c>
      <c r="F672" s="45" t="str">
        <f>IF($D672="","",IFERROR(INDEX(CARDS!$C$5:$C$34,MATCH($D672,CARDS!$A$5:$A$34,0)),"⚠ Card ID?"))</f>
        <v/>
      </c>
      <c r="G672" s="37" t="n"/>
      <c r="H672" s="37" t="n"/>
      <c r="I672" s="41" t="n"/>
      <c r="J672" s="45" t="str">
        <f>IF($I672="","",IFERROR(INDEX(MCC_MASTER!$B$5:$B$504,MATCH($I672,MCC_MASTER!$A$5:$A$504,0)),"⚠ MCC chưa có"))</f>
        <v/>
      </c>
      <c r="K672" s="45" t="str">
        <f>IF($I672="","",IFERROR(IF(INDEX(MCC_MASTER!$C$5:$C$504,MATCH($I672,MCC_MASTER!$A$5:$A$504,0))="","Chưa phân loại",INDEX(MCC_MASTER!$C$5:$C$504,MATCH($I672,MCC_MASTER!$A$5:$A$504,0))),"Chưa phân loại"))</f>
        <v/>
      </c>
      <c r="L672" s="40" t="n"/>
      <c r="M672" s="48" t="str">
        <f>IF(OR($B672="",$D672=""),"",IF($AC672=0,0,IF(ISNUMBER(INDEX(CASHBACK_RULES!$L$5:$L$304,$AC672)),MAX(0,MIN($L672,INDEX(CASHBACK_RULES!$L$5:$L$304,$AC672)-$AH672)),MAX(0,$L672))))</f>
        <v/>
      </c>
      <c r="N672" s="49" t="str">
        <f>IF(OR($B672="",$D672=""),"",IF($AC672&gt;0,INDEX(CASHBACK_RULES!$I$5:$I$304,$AC672),0))</f>
        <v/>
      </c>
      <c r="O672" s="48" t="str">
        <f>IF(OR($B672="",$D672=""),"",ROUND($M672*$N672,0))</f>
        <v/>
      </c>
      <c r="P672" s="48" t="str">
        <f>IF($AC672&gt;0,IF(ISNUMBER(INDEX(CASHBACK_RULES!$J$5:$J$304,$AC672)),INDEX(CASHBACK_RULES!$J$5:$J$304,$AC672),"∞"),"")</f>
        <v/>
      </c>
      <c r="Q672" s="48" t="str">
        <f>IF(OR($B672="",$D672=""),"",IF($AC672=0,0,MAX(0,MIN($O672,IF(ISNUMBER($P672),$P672-$AF672,1E+15),IF(ISNUMBER($AA672),$AA672-$AG672,1E+15)))))</f>
        <v/>
      </c>
      <c r="R672" s="48" t="str">
        <f>IF(OR($B672="",$D672=""),"",IF($AC672=0,"",IF(AND(NOT(ISNUMBER($P672)),NOT(ISNUMBER($AA672))),"∞",MAX(0,MIN(IF(ISNUMBER($P672),$P672-$AF672-$Q672,1E+15),IF(ISNUMBER($AA672),$AA672-$AG672-$Q672,1E+15))))))</f>
        <v/>
      </c>
      <c r="S672" s="47" t="str">
        <f>IF($AD672="","",YEAR($AD672)*100+MONTH($AD672))</f>
        <v/>
      </c>
      <c r="T672" s="50" t="str">
        <f>IF($AD672="","",IFERROR(IF(INDEX(CARDS!$I$5:$I$34,MATCH($D672,CARDS!$A$5:$A$34,0))="","",IF(INDEX(CARDS!$I$5:$I$34,MATCH($D672,CARDS!$A$5:$A$34,0))&gt;INDEX(CARDS!$H$5:$H$34,MATCH($D672,CARDS!$A$5:$A$34,0)),DATE(YEAR($AD672),MONTH($AD672),MIN(INDEX(CARDS!$I$5:$I$34,MATCH($D672,CARDS!$A$5:$A$34,0)),DAY(EOMONTH($AD672,0)))),DATE(YEAR($AD672),MONTH($AD672)+1,MIN(INDEX(CARDS!$I$5:$I$34,MATCH($D672,CARDS!$A$5:$A$34,0)),DAY(EOMONTH($AD672,1)))))),""))</f>
        <v/>
      </c>
      <c r="U672" s="38" t="n"/>
      <c r="V672" s="37" t="n"/>
      <c r="W672" s="38" t="n"/>
      <c r="X672" s="38" t="n"/>
      <c r="Y672" s="44" t="str">
        <f>IF($AC672&gt;0,INDEX(CASHBACK_RULES!$A$5:$A$304,$AC672),"")</f>
        <v/>
      </c>
      <c r="Z672" s="45" t="str">
        <f>IF($AC672&gt;0,INDEX(CASHBACK_RULES!$E$5:$E$304,$AC672)&amp;"","")</f>
        <v/>
      </c>
      <c r="AA672" s="48" t="str">
        <f>IF($AC672&gt;0,IF(ISNUMBER(INDEX(CASHBACK_RULES!$K$5:$K$304,$AC672)),INDEX(CASHBACK_RULES!$K$5:$K$304,$AC672),"∞"),"")</f>
        <v/>
      </c>
      <c r="AB672" s="44" t="str">
        <f>IF(OR($B672="",$D672=""),"",IF($U672="Cancelled","Đã hủy",IF($AC672=0,"Không được hoàn",IF($Q672=0,IF(OR($O672&gt;0,$M672&lt;$L672),"Đã đạt cap","Không được hoàn"),IF(OR($Q672&lt;$O672,$M672&lt;$L672),"Hoàn một phần","Được hoàn")))))</f>
        <v/>
      </c>
      <c r="AC672" s="43">
        <f>IF(OR($B672="",$D672="",$I672="",$L672=""),0,IF($U672="Cancelled",0,IF($W672&lt;&gt;"",IFERROR(IF(INDEX(CASHBACK_RULES!$B$5:$B$304,MATCH($W672,CASHBACK_RULES!$A$5:$A$304,0))=$D672,MATCH($W672,CASHBACK_RULES!$A$5:$A$304,0),0),0),IFERROR(MATCH(1,INDEX((CASHBACK_RULES!$B$5:$B$304=$D672)*(CASHBACK_RULES!$G$5:$G$304=$I672)*(((CASHBACK_RULES!$N$5:$N$304="")+(CASHBACK_RULES!$N$5:$N$304&lt;=$B672))&gt;0)*(((CASHBACK_RULES!$O$5:$O$304="")+(CASHBACK_RULES!$O$5:$O$304&gt;=$B672))&gt;0)*(((CASHBACK_RULES!$M$5:$M$304="")+(CASHBACK_RULES!$M$5:$M$304&lt;=$L672))&gt;0),0),0),0))))</f>
        <v>0</v>
      </c>
      <c r="AD672" s="51" t="str">
        <f>IF(OR($B672="",$D672=""),"",IFERROR(IF(INDEX(CARDS!$H$5:$H$34,MATCH($D672,CARDS!$A$5:$A$34,0))="","",IF(DAY($B672)&lt;=INDEX(CARDS!$H$5:$H$34,MATCH($D672,CARDS!$A$5:$A$34,0)),DATE(YEAR($B672),MONTH($B672),MIN(INDEX(CARDS!$H$5:$H$34,MATCH($D672,CARDS!$A$5:$A$34,0)),DAY(EOMONTH($B672,0)))),DATE(YEAR($B672),MONTH($B672)+1,MIN(INDEX(CARDS!$H$5:$H$34,MATCH($D672,CARDS!$A$5:$A$34,0)),DAY(EOMONTH($B672,1)))))),""))</f>
        <v/>
      </c>
      <c r="AE672" s="52" t="str">
        <f>IF($C672="","",$C672&amp;"|"&amp;COUNTIF($C$5:$C672,$C672))</f>
        <v/>
      </c>
      <c r="AF672" s="53">
        <f>IF($AC672&gt;0,SUMIFS(Q$4:Q671,$D$4:$D671,$D672,$Z$4:$Z671,$Z672,$C$4:$C671,$C672),0)</f>
        <v>0</v>
      </c>
      <c r="AG672" s="53">
        <f>IF($AC672&gt;0,SUMIFS(Q$4:Q671,$D$4:$D671,$D672,$C$4:$C671,$C672),0)</f>
        <v>0</v>
      </c>
      <c r="AH672" s="53">
        <f>IF($AC672&gt;0,SUMIFS(M$4:M671,$D$4:$D671,$D672,$Z$4:$Z671,$Z672,$C$4:$C671,$C672),0)</f>
        <v>0</v>
      </c>
      <c r="AI672" s="43">
        <f>IF(OR($C672="",$I672=""),0,IF(COUNTIFS($C$5:$C672,$C672,$I$5:$I672,$I672)=1,1,0))</f>
        <v>0</v>
      </c>
      <c r="AJ672" s="43" t="str">
        <f>IF($AI672=1,SUMIFS($AI$4:$AI671,$C$4:$C671,$C672)+1,"")</f>
        <v/>
      </c>
      <c r="AK672" s="43">
        <f>IF(OR($C672="",$K672=""),0,IF(COUNTIFS($C$5:$C672,$C672,$K$5:$K672,$K672)=1,1,0))</f>
        <v>0</v>
      </c>
      <c r="AL672" s="43" t="str">
        <f>IF($AK672=1,SUMIFS($AK$4:$AK671,$C$4:$C671,$C672)+1,"")</f>
        <v/>
      </c>
      <c r="AM672" s="43">
        <f>IF(OR($C672="",$G672=""),0,IF(COUNTIFS($C$5:$C672,$C672,$G$5:$G672,$G672)=1,1,0))</f>
        <v>0</v>
      </c>
      <c r="AN672" s="43" t="str">
        <f>IF($AM672=1,SUMIFS($AM$4:$AM671,$C$4:$C671,$C672)+1,"")</f>
        <v/>
      </c>
    </row>
    <row r="673">
      <c r="A673" s="44" t="str">
        <f>IF(OR($B673="",$D673=""),"","TX"&amp;TEXT(ROW()-4,"0000"))</f>
        <v/>
      </c>
      <c r="B673" s="42" t="n"/>
      <c r="C673" s="47" t="str">
        <f>IF($B673="","",YEAR($B673)*100+MONTH($B673))</f>
        <v/>
      </c>
      <c r="D673" s="37" t="n"/>
      <c r="E673" s="45" t="str">
        <f>IF($D673="","",IFERROR(INDEX(CARDS!$B$5:$B$34,MATCH($D673,CARDS!$A$5:$A$34,0)),"⚠ Card ID?"))</f>
        <v/>
      </c>
      <c r="F673" s="45" t="str">
        <f>IF($D673="","",IFERROR(INDEX(CARDS!$C$5:$C$34,MATCH($D673,CARDS!$A$5:$A$34,0)),"⚠ Card ID?"))</f>
        <v/>
      </c>
      <c r="G673" s="37" t="n"/>
      <c r="H673" s="37" t="n"/>
      <c r="I673" s="41" t="n"/>
      <c r="J673" s="45" t="str">
        <f>IF($I673="","",IFERROR(INDEX(MCC_MASTER!$B$5:$B$504,MATCH($I673,MCC_MASTER!$A$5:$A$504,0)),"⚠ MCC chưa có"))</f>
        <v/>
      </c>
      <c r="K673" s="45" t="str">
        <f>IF($I673="","",IFERROR(IF(INDEX(MCC_MASTER!$C$5:$C$504,MATCH($I673,MCC_MASTER!$A$5:$A$504,0))="","Chưa phân loại",INDEX(MCC_MASTER!$C$5:$C$504,MATCH($I673,MCC_MASTER!$A$5:$A$504,0))),"Chưa phân loại"))</f>
        <v/>
      </c>
      <c r="L673" s="40" t="n"/>
      <c r="M673" s="48" t="str">
        <f>IF(OR($B673="",$D673=""),"",IF($AC673=0,0,IF(ISNUMBER(INDEX(CASHBACK_RULES!$L$5:$L$304,$AC673)),MAX(0,MIN($L673,INDEX(CASHBACK_RULES!$L$5:$L$304,$AC673)-$AH673)),MAX(0,$L673))))</f>
        <v/>
      </c>
      <c r="N673" s="49" t="str">
        <f>IF(OR($B673="",$D673=""),"",IF($AC673&gt;0,INDEX(CASHBACK_RULES!$I$5:$I$304,$AC673),0))</f>
        <v/>
      </c>
      <c r="O673" s="48" t="str">
        <f>IF(OR($B673="",$D673=""),"",ROUND($M673*$N673,0))</f>
        <v/>
      </c>
      <c r="P673" s="48" t="str">
        <f>IF($AC673&gt;0,IF(ISNUMBER(INDEX(CASHBACK_RULES!$J$5:$J$304,$AC673)),INDEX(CASHBACK_RULES!$J$5:$J$304,$AC673),"∞"),"")</f>
        <v/>
      </c>
      <c r="Q673" s="48" t="str">
        <f>IF(OR($B673="",$D673=""),"",IF($AC673=0,0,MAX(0,MIN($O673,IF(ISNUMBER($P673),$P673-$AF673,1E+15),IF(ISNUMBER($AA673),$AA673-$AG673,1E+15)))))</f>
        <v/>
      </c>
      <c r="R673" s="48" t="str">
        <f>IF(OR($B673="",$D673=""),"",IF($AC673=0,"",IF(AND(NOT(ISNUMBER($P673)),NOT(ISNUMBER($AA673))),"∞",MAX(0,MIN(IF(ISNUMBER($P673),$P673-$AF673-$Q673,1E+15),IF(ISNUMBER($AA673),$AA673-$AG673-$Q673,1E+15))))))</f>
        <v/>
      </c>
      <c r="S673" s="47" t="str">
        <f>IF($AD673="","",YEAR($AD673)*100+MONTH($AD673))</f>
        <v/>
      </c>
      <c r="T673" s="50" t="str">
        <f>IF($AD673="","",IFERROR(IF(INDEX(CARDS!$I$5:$I$34,MATCH($D673,CARDS!$A$5:$A$34,0))="","",IF(INDEX(CARDS!$I$5:$I$34,MATCH($D673,CARDS!$A$5:$A$34,0))&gt;INDEX(CARDS!$H$5:$H$34,MATCH($D673,CARDS!$A$5:$A$34,0)),DATE(YEAR($AD673),MONTH($AD673),MIN(INDEX(CARDS!$I$5:$I$34,MATCH($D673,CARDS!$A$5:$A$34,0)),DAY(EOMONTH($AD673,0)))),DATE(YEAR($AD673),MONTH($AD673)+1,MIN(INDEX(CARDS!$I$5:$I$34,MATCH($D673,CARDS!$A$5:$A$34,0)),DAY(EOMONTH($AD673,1)))))),""))</f>
        <v/>
      </c>
      <c r="U673" s="38" t="n"/>
      <c r="V673" s="37" t="n"/>
      <c r="W673" s="38" t="n"/>
      <c r="X673" s="38" t="n"/>
      <c r="Y673" s="44" t="str">
        <f>IF($AC673&gt;0,INDEX(CASHBACK_RULES!$A$5:$A$304,$AC673),"")</f>
        <v/>
      </c>
      <c r="Z673" s="45" t="str">
        <f>IF($AC673&gt;0,INDEX(CASHBACK_RULES!$E$5:$E$304,$AC673)&amp;"","")</f>
        <v/>
      </c>
      <c r="AA673" s="48" t="str">
        <f>IF($AC673&gt;0,IF(ISNUMBER(INDEX(CASHBACK_RULES!$K$5:$K$304,$AC673)),INDEX(CASHBACK_RULES!$K$5:$K$304,$AC673),"∞"),"")</f>
        <v/>
      </c>
      <c r="AB673" s="44" t="str">
        <f>IF(OR($B673="",$D673=""),"",IF($U673="Cancelled","Đã hủy",IF($AC673=0,"Không được hoàn",IF($Q673=0,IF(OR($O673&gt;0,$M673&lt;$L673),"Đã đạt cap","Không được hoàn"),IF(OR($Q673&lt;$O673,$M673&lt;$L673),"Hoàn một phần","Được hoàn")))))</f>
        <v/>
      </c>
      <c r="AC673" s="43">
        <f>IF(OR($B673="",$D673="",$I673="",$L673=""),0,IF($U673="Cancelled",0,IF($W673&lt;&gt;"",IFERROR(IF(INDEX(CASHBACK_RULES!$B$5:$B$304,MATCH($W673,CASHBACK_RULES!$A$5:$A$304,0))=$D673,MATCH($W673,CASHBACK_RULES!$A$5:$A$304,0),0),0),IFERROR(MATCH(1,INDEX((CASHBACK_RULES!$B$5:$B$304=$D673)*(CASHBACK_RULES!$G$5:$G$304=$I673)*(((CASHBACK_RULES!$N$5:$N$304="")+(CASHBACK_RULES!$N$5:$N$304&lt;=$B673))&gt;0)*(((CASHBACK_RULES!$O$5:$O$304="")+(CASHBACK_RULES!$O$5:$O$304&gt;=$B673))&gt;0)*(((CASHBACK_RULES!$M$5:$M$304="")+(CASHBACK_RULES!$M$5:$M$304&lt;=$L673))&gt;0),0),0),0))))</f>
        <v>0</v>
      </c>
      <c r="AD673" s="51" t="str">
        <f>IF(OR($B673="",$D673=""),"",IFERROR(IF(INDEX(CARDS!$H$5:$H$34,MATCH($D673,CARDS!$A$5:$A$34,0))="","",IF(DAY($B673)&lt;=INDEX(CARDS!$H$5:$H$34,MATCH($D673,CARDS!$A$5:$A$34,0)),DATE(YEAR($B673),MONTH($B673),MIN(INDEX(CARDS!$H$5:$H$34,MATCH($D673,CARDS!$A$5:$A$34,0)),DAY(EOMONTH($B673,0)))),DATE(YEAR($B673),MONTH($B673)+1,MIN(INDEX(CARDS!$H$5:$H$34,MATCH($D673,CARDS!$A$5:$A$34,0)),DAY(EOMONTH($B673,1)))))),""))</f>
        <v/>
      </c>
      <c r="AE673" s="52" t="str">
        <f>IF($C673="","",$C673&amp;"|"&amp;COUNTIF($C$5:$C673,$C673))</f>
        <v/>
      </c>
      <c r="AF673" s="53">
        <f>IF($AC673&gt;0,SUMIFS(Q$4:Q672,$D$4:$D672,$D673,$Z$4:$Z672,$Z673,$C$4:$C672,$C673),0)</f>
        <v>0</v>
      </c>
      <c r="AG673" s="53">
        <f>IF($AC673&gt;0,SUMIFS(Q$4:Q672,$D$4:$D672,$D673,$C$4:$C672,$C673),0)</f>
        <v>0</v>
      </c>
      <c r="AH673" s="53">
        <f>IF($AC673&gt;0,SUMIFS(M$4:M672,$D$4:$D672,$D673,$Z$4:$Z672,$Z673,$C$4:$C672,$C673),0)</f>
        <v>0</v>
      </c>
      <c r="AI673" s="43">
        <f>IF(OR($C673="",$I673=""),0,IF(COUNTIFS($C$5:$C673,$C673,$I$5:$I673,$I673)=1,1,0))</f>
        <v>0</v>
      </c>
      <c r="AJ673" s="43" t="str">
        <f>IF($AI673=1,SUMIFS($AI$4:$AI672,$C$4:$C672,$C673)+1,"")</f>
        <v/>
      </c>
      <c r="AK673" s="43">
        <f>IF(OR($C673="",$K673=""),0,IF(COUNTIFS($C$5:$C673,$C673,$K$5:$K673,$K673)=1,1,0))</f>
        <v>0</v>
      </c>
      <c r="AL673" s="43" t="str">
        <f>IF($AK673=1,SUMIFS($AK$4:$AK672,$C$4:$C672,$C673)+1,"")</f>
        <v/>
      </c>
      <c r="AM673" s="43">
        <f>IF(OR($C673="",$G673=""),0,IF(COUNTIFS($C$5:$C673,$C673,$G$5:$G673,$G673)=1,1,0))</f>
        <v>0</v>
      </c>
      <c r="AN673" s="43" t="str">
        <f>IF($AM673=1,SUMIFS($AM$4:$AM672,$C$4:$C672,$C673)+1,"")</f>
        <v/>
      </c>
    </row>
    <row r="674">
      <c r="A674" s="44" t="str">
        <f>IF(OR($B674="",$D674=""),"","TX"&amp;TEXT(ROW()-4,"0000"))</f>
        <v/>
      </c>
      <c r="B674" s="42" t="n"/>
      <c r="C674" s="47" t="str">
        <f>IF($B674="","",YEAR($B674)*100+MONTH($B674))</f>
        <v/>
      </c>
      <c r="D674" s="37" t="n"/>
      <c r="E674" s="45" t="str">
        <f>IF($D674="","",IFERROR(INDEX(CARDS!$B$5:$B$34,MATCH($D674,CARDS!$A$5:$A$34,0)),"⚠ Card ID?"))</f>
        <v/>
      </c>
      <c r="F674" s="45" t="str">
        <f>IF($D674="","",IFERROR(INDEX(CARDS!$C$5:$C$34,MATCH($D674,CARDS!$A$5:$A$34,0)),"⚠ Card ID?"))</f>
        <v/>
      </c>
      <c r="G674" s="37" t="n"/>
      <c r="H674" s="37" t="n"/>
      <c r="I674" s="41" t="n"/>
      <c r="J674" s="45" t="str">
        <f>IF($I674="","",IFERROR(INDEX(MCC_MASTER!$B$5:$B$504,MATCH($I674,MCC_MASTER!$A$5:$A$504,0)),"⚠ MCC chưa có"))</f>
        <v/>
      </c>
      <c r="K674" s="45" t="str">
        <f>IF($I674="","",IFERROR(IF(INDEX(MCC_MASTER!$C$5:$C$504,MATCH($I674,MCC_MASTER!$A$5:$A$504,0))="","Chưa phân loại",INDEX(MCC_MASTER!$C$5:$C$504,MATCH($I674,MCC_MASTER!$A$5:$A$504,0))),"Chưa phân loại"))</f>
        <v/>
      </c>
      <c r="L674" s="40" t="n"/>
      <c r="M674" s="48" t="str">
        <f>IF(OR($B674="",$D674=""),"",IF($AC674=0,0,IF(ISNUMBER(INDEX(CASHBACK_RULES!$L$5:$L$304,$AC674)),MAX(0,MIN($L674,INDEX(CASHBACK_RULES!$L$5:$L$304,$AC674)-$AH674)),MAX(0,$L674))))</f>
        <v/>
      </c>
      <c r="N674" s="49" t="str">
        <f>IF(OR($B674="",$D674=""),"",IF($AC674&gt;0,INDEX(CASHBACK_RULES!$I$5:$I$304,$AC674),0))</f>
        <v/>
      </c>
      <c r="O674" s="48" t="str">
        <f>IF(OR($B674="",$D674=""),"",ROUND($M674*$N674,0))</f>
        <v/>
      </c>
      <c r="P674" s="48" t="str">
        <f>IF($AC674&gt;0,IF(ISNUMBER(INDEX(CASHBACK_RULES!$J$5:$J$304,$AC674)),INDEX(CASHBACK_RULES!$J$5:$J$304,$AC674),"∞"),"")</f>
        <v/>
      </c>
      <c r="Q674" s="48" t="str">
        <f>IF(OR($B674="",$D674=""),"",IF($AC674=0,0,MAX(0,MIN($O674,IF(ISNUMBER($P674),$P674-$AF674,1E+15),IF(ISNUMBER($AA674),$AA674-$AG674,1E+15)))))</f>
        <v/>
      </c>
      <c r="R674" s="48" t="str">
        <f>IF(OR($B674="",$D674=""),"",IF($AC674=0,"",IF(AND(NOT(ISNUMBER($P674)),NOT(ISNUMBER($AA674))),"∞",MAX(0,MIN(IF(ISNUMBER($P674),$P674-$AF674-$Q674,1E+15),IF(ISNUMBER($AA674),$AA674-$AG674-$Q674,1E+15))))))</f>
        <v/>
      </c>
      <c r="S674" s="47" t="str">
        <f>IF($AD674="","",YEAR($AD674)*100+MONTH($AD674))</f>
        <v/>
      </c>
      <c r="T674" s="50" t="str">
        <f>IF($AD674="","",IFERROR(IF(INDEX(CARDS!$I$5:$I$34,MATCH($D674,CARDS!$A$5:$A$34,0))="","",IF(INDEX(CARDS!$I$5:$I$34,MATCH($D674,CARDS!$A$5:$A$34,0))&gt;INDEX(CARDS!$H$5:$H$34,MATCH($D674,CARDS!$A$5:$A$34,0)),DATE(YEAR($AD674),MONTH($AD674),MIN(INDEX(CARDS!$I$5:$I$34,MATCH($D674,CARDS!$A$5:$A$34,0)),DAY(EOMONTH($AD674,0)))),DATE(YEAR($AD674),MONTH($AD674)+1,MIN(INDEX(CARDS!$I$5:$I$34,MATCH($D674,CARDS!$A$5:$A$34,0)),DAY(EOMONTH($AD674,1)))))),""))</f>
        <v/>
      </c>
      <c r="U674" s="38" t="n"/>
      <c r="V674" s="37" t="n"/>
      <c r="W674" s="38" t="n"/>
      <c r="X674" s="38" t="n"/>
      <c r="Y674" s="44" t="str">
        <f>IF($AC674&gt;0,INDEX(CASHBACK_RULES!$A$5:$A$304,$AC674),"")</f>
        <v/>
      </c>
      <c r="Z674" s="45" t="str">
        <f>IF($AC674&gt;0,INDEX(CASHBACK_RULES!$E$5:$E$304,$AC674)&amp;"","")</f>
        <v/>
      </c>
      <c r="AA674" s="48" t="str">
        <f>IF($AC674&gt;0,IF(ISNUMBER(INDEX(CASHBACK_RULES!$K$5:$K$304,$AC674)),INDEX(CASHBACK_RULES!$K$5:$K$304,$AC674),"∞"),"")</f>
        <v/>
      </c>
      <c r="AB674" s="44" t="str">
        <f>IF(OR($B674="",$D674=""),"",IF($U674="Cancelled","Đã hủy",IF($AC674=0,"Không được hoàn",IF($Q674=0,IF(OR($O674&gt;0,$M674&lt;$L674),"Đã đạt cap","Không được hoàn"),IF(OR($Q674&lt;$O674,$M674&lt;$L674),"Hoàn một phần","Được hoàn")))))</f>
        <v/>
      </c>
      <c r="AC674" s="43">
        <f>IF(OR($B674="",$D674="",$I674="",$L674=""),0,IF($U674="Cancelled",0,IF($W674&lt;&gt;"",IFERROR(IF(INDEX(CASHBACK_RULES!$B$5:$B$304,MATCH($W674,CASHBACK_RULES!$A$5:$A$304,0))=$D674,MATCH($W674,CASHBACK_RULES!$A$5:$A$304,0),0),0),IFERROR(MATCH(1,INDEX((CASHBACK_RULES!$B$5:$B$304=$D674)*(CASHBACK_RULES!$G$5:$G$304=$I674)*(((CASHBACK_RULES!$N$5:$N$304="")+(CASHBACK_RULES!$N$5:$N$304&lt;=$B674))&gt;0)*(((CASHBACK_RULES!$O$5:$O$304="")+(CASHBACK_RULES!$O$5:$O$304&gt;=$B674))&gt;0)*(((CASHBACK_RULES!$M$5:$M$304="")+(CASHBACK_RULES!$M$5:$M$304&lt;=$L674))&gt;0),0),0),0))))</f>
        <v>0</v>
      </c>
      <c r="AD674" s="51" t="str">
        <f>IF(OR($B674="",$D674=""),"",IFERROR(IF(INDEX(CARDS!$H$5:$H$34,MATCH($D674,CARDS!$A$5:$A$34,0))="","",IF(DAY($B674)&lt;=INDEX(CARDS!$H$5:$H$34,MATCH($D674,CARDS!$A$5:$A$34,0)),DATE(YEAR($B674),MONTH($B674),MIN(INDEX(CARDS!$H$5:$H$34,MATCH($D674,CARDS!$A$5:$A$34,0)),DAY(EOMONTH($B674,0)))),DATE(YEAR($B674),MONTH($B674)+1,MIN(INDEX(CARDS!$H$5:$H$34,MATCH($D674,CARDS!$A$5:$A$34,0)),DAY(EOMONTH($B674,1)))))),""))</f>
        <v/>
      </c>
      <c r="AE674" s="52" t="str">
        <f>IF($C674="","",$C674&amp;"|"&amp;COUNTIF($C$5:$C674,$C674))</f>
        <v/>
      </c>
      <c r="AF674" s="53">
        <f>IF($AC674&gt;0,SUMIFS(Q$4:Q673,$D$4:$D673,$D674,$Z$4:$Z673,$Z674,$C$4:$C673,$C674),0)</f>
        <v>0</v>
      </c>
      <c r="AG674" s="53">
        <f>IF($AC674&gt;0,SUMIFS(Q$4:Q673,$D$4:$D673,$D674,$C$4:$C673,$C674),0)</f>
        <v>0</v>
      </c>
      <c r="AH674" s="53">
        <f>IF($AC674&gt;0,SUMIFS(M$4:M673,$D$4:$D673,$D674,$Z$4:$Z673,$Z674,$C$4:$C673,$C674),0)</f>
        <v>0</v>
      </c>
      <c r="AI674" s="43">
        <f>IF(OR($C674="",$I674=""),0,IF(COUNTIFS($C$5:$C674,$C674,$I$5:$I674,$I674)=1,1,0))</f>
        <v>0</v>
      </c>
      <c r="AJ674" s="43" t="str">
        <f>IF($AI674=1,SUMIFS($AI$4:$AI673,$C$4:$C673,$C674)+1,"")</f>
        <v/>
      </c>
      <c r="AK674" s="43">
        <f>IF(OR($C674="",$K674=""),0,IF(COUNTIFS($C$5:$C674,$C674,$K$5:$K674,$K674)=1,1,0))</f>
        <v>0</v>
      </c>
      <c r="AL674" s="43" t="str">
        <f>IF($AK674=1,SUMIFS($AK$4:$AK673,$C$4:$C673,$C674)+1,"")</f>
        <v/>
      </c>
      <c r="AM674" s="43">
        <f>IF(OR($C674="",$G674=""),0,IF(COUNTIFS($C$5:$C674,$C674,$G$5:$G674,$G674)=1,1,0))</f>
        <v>0</v>
      </c>
      <c r="AN674" s="43" t="str">
        <f>IF($AM674=1,SUMIFS($AM$4:$AM673,$C$4:$C673,$C674)+1,"")</f>
        <v/>
      </c>
    </row>
    <row r="675">
      <c r="A675" s="44" t="str">
        <f>IF(OR($B675="",$D675=""),"","TX"&amp;TEXT(ROW()-4,"0000"))</f>
        <v/>
      </c>
      <c r="B675" s="42" t="n"/>
      <c r="C675" s="47" t="str">
        <f>IF($B675="","",YEAR($B675)*100+MONTH($B675))</f>
        <v/>
      </c>
      <c r="D675" s="37" t="n"/>
      <c r="E675" s="45" t="str">
        <f>IF($D675="","",IFERROR(INDEX(CARDS!$B$5:$B$34,MATCH($D675,CARDS!$A$5:$A$34,0)),"⚠ Card ID?"))</f>
        <v/>
      </c>
      <c r="F675" s="45" t="str">
        <f>IF($D675="","",IFERROR(INDEX(CARDS!$C$5:$C$34,MATCH($D675,CARDS!$A$5:$A$34,0)),"⚠ Card ID?"))</f>
        <v/>
      </c>
      <c r="G675" s="37" t="n"/>
      <c r="H675" s="37" t="n"/>
      <c r="I675" s="41" t="n"/>
      <c r="J675" s="45" t="str">
        <f>IF($I675="","",IFERROR(INDEX(MCC_MASTER!$B$5:$B$504,MATCH($I675,MCC_MASTER!$A$5:$A$504,0)),"⚠ MCC chưa có"))</f>
        <v/>
      </c>
      <c r="K675" s="45" t="str">
        <f>IF($I675="","",IFERROR(IF(INDEX(MCC_MASTER!$C$5:$C$504,MATCH($I675,MCC_MASTER!$A$5:$A$504,0))="","Chưa phân loại",INDEX(MCC_MASTER!$C$5:$C$504,MATCH($I675,MCC_MASTER!$A$5:$A$504,0))),"Chưa phân loại"))</f>
        <v/>
      </c>
      <c r="L675" s="40" t="n"/>
      <c r="M675" s="48" t="str">
        <f>IF(OR($B675="",$D675=""),"",IF($AC675=0,0,IF(ISNUMBER(INDEX(CASHBACK_RULES!$L$5:$L$304,$AC675)),MAX(0,MIN($L675,INDEX(CASHBACK_RULES!$L$5:$L$304,$AC675)-$AH675)),MAX(0,$L675))))</f>
        <v/>
      </c>
      <c r="N675" s="49" t="str">
        <f>IF(OR($B675="",$D675=""),"",IF($AC675&gt;0,INDEX(CASHBACK_RULES!$I$5:$I$304,$AC675),0))</f>
        <v/>
      </c>
      <c r="O675" s="48" t="str">
        <f>IF(OR($B675="",$D675=""),"",ROUND($M675*$N675,0))</f>
        <v/>
      </c>
      <c r="P675" s="48" t="str">
        <f>IF($AC675&gt;0,IF(ISNUMBER(INDEX(CASHBACK_RULES!$J$5:$J$304,$AC675)),INDEX(CASHBACK_RULES!$J$5:$J$304,$AC675),"∞"),"")</f>
        <v/>
      </c>
      <c r="Q675" s="48" t="str">
        <f>IF(OR($B675="",$D675=""),"",IF($AC675=0,0,MAX(0,MIN($O675,IF(ISNUMBER($P675),$P675-$AF675,1E+15),IF(ISNUMBER($AA675),$AA675-$AG675,1E+15)))))</f>
        <v/>
      </c>
      <c r="R675" s="48" t="str">
        <f>IF(OR($B675="",$D675=""),"",IF($AC675=0,"",IF(AND(NOT(ISNUMBER($P675)),NOT(ISNUMBER($AA675))),"∞",MAX(0,MIN(IF(ISNUMBER($P675),$P675-$AF675-$Q675,1E+15),IF(ISNUMBER($AA675),$AA675-$AG675-$Q675,1E+15))))))</f>
        <v/>
      </c>
      <c r="S675" s="47" t="str">
        <f>IF($AD675="","",YEAR($AD675)*100+MONTH($AD675))</f>
        <v/>
      </c>
      <c r="T675" s="50" t="str">
        <f>IF($AD675="","",IFERROR(IF(INDEX(CARDS!$I$5:$I$34,MATCH($D675,CARDS!$A$5:$A$34,0))="","",IF(INDEX(CARDS!$I$5:$I$34,MATCH($D675,CARDS!$A$5:$A$34,0))&gt;INDEX(CARDS!$H$5:$H$34,MATCH($D675,CARDS!$A$5:$A$34,0)),DATE(YEAR($AD675),MONTH($AD675),MIN(INDEX(CARDS!$I$5:$I$34,MATCH($D675,CARDS!$A$5:$A$34,0)),DAY(EOMONTH($AD675,0)))),DATE(YEAR($AD675),MONTH($AD675)+1,MIN(INDEX(CARDS!$I$5:$I$34,MATCH($D675,CARDS!$A$5:$A$34,0)),DAY(EOMONTH($AD675,1)))))),""))</f>
        <v/>
      </c>
      <c r="U675" s="38" t="n"/>
      <c r="V675" s="37" t="n"/>
      <c r="W675" s="38" t="n"/>
      <c r="X675" s="38" t="n"/>
      <c r="Y675" s="44" t="str">
        <f>IF($AC675&gt;0,INDEX(CASHBACK_RULES!$A$5:$A$304,$AC675),"")</f>
        <v/>
      </c>
      <c r="Z675" s="45" t="str">
        <f>IF($AC675&gt;0,INDEX(CASHBACK_RULES!$E$5:$E$304,$AC675)&amp;"","")</f>
        <v/>
      </c>
      <c r="AA675" s="48" t="str">
        <f>IF($AC675&gt;0,IF(ISNUMBER(INDEX(CASHBACK_RULES!$K$5:$K$304,$AC675)),INDEX(CASHBACK_RULES!$K$5:$K$304,$AC675),"∞"),"")</f>
        <v/>
      </c>
      <c r="AB675" s="44" t="str">
        <f>IF(OR($B675="",$D675=""),"",IF($U675="Cancelled","Đã hủy",IF($AC675=0,"Không được hoàn",IF($Q675=0,IF(OR($O675&gt;0,$M675&lt;$L675),"Đã đạt cap","Không được hoàn"),IF(OR($Q675&lt;$O675,$M675&lt;$L675),"Hoàn một phần","Được hoàn")))))</f>
        <v/>
      </c>
      <c r="AC675" s="43">
        <f>IF(OR($B675="",$D675="",$I675="",$L675=""),0,IF($U675="Cancelled",0,IF($W675&lt;&gt;"",IFERROR(IF(INDEX(CASHBACK_RULES!$B$5:$B$304,MATCH($W675,CASHBACK_RULES!$A$5:$A$304,0))=$D675,MATCH($W675,CASHBACK_RULES!$A$5:$A$304,0),0),0),IFERROR(MATCH(1,INDEX((CASHBACK_RULES!$B$5:$B$304=$D675)*(CASHBACK_RULES!$G$5:$G$304=$I675)*(((CASHBACK_RULES!$N$5:$N$304="")+(CASHBACK_RULES!$N$5:$N$304&lt;=$B675))&gt;0)*(((CASHBACK_RULES!$O$5:$O$304="")+(CASHBACK_RULES!$O$5:$O$304&gt;=$B675))&gt;0)*(((CASHBACK_RULES!$M$5:$M$304="")+(CASHBACK_RULES!$M$5:$M$304&lt;=$L675))&gt;0),0),0),0))))</f>
        <v>0</v>
      </c>
      <c r="AD675" s="51" t="str">
        <f>IF(OR($B675="",$D675=""),"",IFERROR(IF(INDEX(CARDS!$H$5:$H$34,MATCH($D675,CARDS!$A$5:$A$34,0))="","",IF(DAY($B675)&lt;=INDEX(CARDS!$H$5:$H$34,MATCH($D675,CARDS!$A$5:$A$34,0)),DATE(YEAR($B675),MONTH($B675),MIN(INDEX(CARDS!$H$5:$H$34,MATCH($D675,CARDS!$A$5:$A$34,0)),DAY(EOMONTH($B675,0)))),DATE(YEAR($B675),MONTH($B675)+1,MIN(INDEX(CARDS!$H$5:$H$34,MATCH($D675,CARDS!$A$5:$A$34,0)),DAY(EOMONTH($B675,1)))))),""))</f>
        <v/>
      </c>
      <c r="AE675" s="52" t="str">
        <f>IF($C675="","",$C675&amp;"|"&amp;COUNTIF($C$5:$C675,$C675))</f>
        <v/>
      </c>
      <c r="AF675" s="53">
        <f>IF($AC675&gt;0,SUMIFS(Q$4:Q674,$D$4:$D674,$D675,$Z$4:$Z674,$Z675,$C$4:$C674,$C675),0)</f>
        <v>0</v>
      </c>
      <c r="AG675" s="53">
        <f>IF($AC675&gt;0,SUMIFS(Q$4:Q674,$D$4:$D674,$D675,$C$4:$C674,$C675),0)</f>
        <v>0</v>
      </c>
      <c r="AH675" s="53">
        <f>IF($AC675&gt;0,SUMIFS(M$4:M674,$D$4:$D674,$D675,$Z$4:$Z674,$Z675,$C$4:$C674,$C675),0)</f>
        <v>0</v>
      </c>
      <c r="AI675" s="43">
        <f>IF(OR($C675="",$I675=""),0,IF(COUNTIFS($C$5:$C675,$C675,$I$5:$I675,$I675)=1,1,0))</f>
        <v>0</v>
      </c>
      <c r="AJ675" s="43" t="str">
        <f>IF($AI675=1,SUMIFS($AI$4:$AI674,$C$4:$C674,$C675)+1,"")</f>
        <v/>
      </c>
      <c r="AK675" s="43">
        <f>IF(OR($C675="",$K675=""),0,IF(COUNTIFS($C$5:$C675,$C675,$K$5:$K675,$K675)=1,1,0))</f>
        <v>0</v>
      </c>
      <c r="AL675" s="43" t="str">
        <f>IF($AK675=1,SUMIFS($AK$4:$AK674,$C$4:$C674,$C675)+1,"")</f>
        <v/>
      </c>
      <c r="AM675" s="43">
        <f>IF(OR($C675="",$G675=""),0,IF(COUNTIFS($C$5:$C675,$C675,$G$5:$G675,$G675)=1,1,0))</f>
        <v>0</v>
      </c>
      <c r="AN675" s="43" t="str">
        <f>IF($AM675=1,SUMIFS($AM$4:$AM674,$C$4:$C674,$C675)+1,"")</f>
        <v/>
      </c>
    </row>
    <row r="676">
      <c r="A676" s="44" t="str">
        <f>IF(OR($B676="",$D676=""),"","TX"&amp;TEXT(ROW()-4,"0000"))</f>
        <v/>
      </c>
      <c r="B676" s="42" t="n"/>
      <c r="C676" s="47" t="str">
        <f>IF($B676="","",YEAR($B676)*100+MONTH($B676))</f>
        <v/>
      </c>
      <c r="D676" s="37" t="n"/>
      <c r="E676" s="45" t="str">
        <f>IF($D676="","",IFERROR(INDEX(CARDS!$B$5:$B$34,MATCH($D676,CARDS!$A$5:$A$34,0)),"⚠ Card ID?"))</f>
        <v/>
      </c>
      <c r="F676" s="45" t="str">
        <f>IF($D676="","",IFERROR(INDEX(CARDS!$C$5:$C$34,MATCH($D676,CARDS!$A$5:$A$34,0)),"⚠ Card ID?"))</f>
        <v/>
      </c>
      <c r="G676" s="37" t="n"/>
      <c r="H676" s="37" t="n"/>
      <c r="I676" s="41" t="n"/>
      <c r="J676" s="45" t="str">
        <f>IF($I676="","",IFERROR(INDEX(MCC_MASTER!$B$5:$B$504,MATCH($I676,MCC_MASTER!$A$5:$A$504,0)),"⚠ MCC chưa có"))</f>
        <v/>
      </c>
      <c r="K676" s="45" t="str">
        <f>IF($I676="","",IFERROR(IF(INDEX(MCC_MASTER!$C$5:$C$504,MATCH($I676,MCC_MASTER!$A$5:$A$504,0))="","Chưa phân loại",INDEX(MCC_MASTER!$C$5:$C$504,MATCH($I676,MCC_MASTER!$A$5:$A$504,0))),"Chưa phân loại"))</f>
        <v/>
      </c>
      <c r="L676" s="40" t="n"/>
      <c r="M676" s="48" t="str">
        <f>IF(OR($B676="",$D676=""),"",IF($AC676=0,0,IF(ISNUMBER(INDEX(CASHBACK_RULES!$L$5:$L$304,$AC676)),MAX(0,MIN($L676,INDEX(CASHBACK_RULES!$L$5:$L$304,$AC676)-$AH676)),MAX(0,$L676))))</f>
        <v/>
      </c>
      <c r="N676" s="49" t="str">
        <f>IF(OR($B676="",$D676=""),"",IF($AC676&gt;0,INDEX(CASHBACK_RULES!$I$5:$I$304,$AC676),0))</f>
        <v/>
      </c>
      <c r="O676" s="48" t="str">
        <f>IF(OR($B676="",$D676=""),"",ROUND($M676*$N676,0))</f>
        <v/>
      </c>
      <c r="P676" s="48" t="str">
        <f>IF($AC676&gt;0,IF(ISNUMBER(INDEX(CASHBACK_RULES!$J$5:$J$304,$AC676)),INDEX(CASHBACK_RULES!$J$5:$J$304,$AC676),"∞"),"")</f>
        <v/>
      </c>
      <c r="Q676" s="48" t="str">
        <f>IF(OR($B676="",$D676=""),"",IF($AC676=0,0,MAX(0,MIN($O676,IF(ISNUMBER($P676),$P676-$AF676,1E+15),IF(ISNUMBER($AA676),$AA676-$AG676,1E+15)))))</f>
        <v/>
      </c>
      <c r="R676" s="48" t="str">
        <f>IF(OR($B676="",$D676=""),"",IF($AC676=0,"",IF(AND(NOT(ISNUMBER($P676)),NOT(ISNUMBER($AA676))),"∞",MAX(0,MIN(IF(ISNUMBER($P676),$P676-$AF676-$Q676,1E+15),IF(ISNUMBER($AA676),$AA676-$AG676-$Q676,1E+15))))))</f>
        <v/>
      </c>
      <c r="S676" s="47" t="str">
        <f>IF($AD676="","",YEAR($AD676)*100+MONTH($AD676))</f>
        <v/>
      </c>
      <c r="T676" s="50" t="str">
        <f>IF($AD676="","",IFERROR(IF(INDEX(CARDS!$I$5:$I$34,MATCH($D676,CARDS!$A$5:$A$34,0))="","",IF(INDEX(CARDS!$I$5:$I$34,MATCH($D676,CARDS!$A$5:$A$34,0))&gt;INDEX(CARDS!$H$5:$H$34,MATCH($D676,CARDS!$A$5:$A$34,0)),DATE(YEAR($AD676),MONTH($AD676),MIN(INDEX(CARDS!$I$5:$I$34,MATCH($D676,CARDS!$A$5:$A$34,0)),DAY(EOMONTH($AD676,0)))),DATE(YEAR($AD676),MONTH($AD676)+1,MIN(INDEX(CARDS!$I$5:$I$34,MATCH($D676,CARDS!$A$5:$A$34,0)),DAY(EOMONTH($AD676,1)))))),""))</f>
        <v/>
      </c>
      <c r="U676" s="38" t="n"/>
      <c r="V676" s="37" t="n"/>
      <c r="W676" s="38" t="n"/>
      <c r="X676" s="38" t="n"/>
      <c r="Y676" s="44" t="str">
        <f>IF($AC676&gt;0,INDEX(CASHBACK_RULES!$A$5:$A$304,$AC676),"")</f>
        <v/>
      </c>
      <c r="Z676" s="45" t="str">
        <f>IF($AC676&gt;0,INDEX(CASHBACK_RULES!$E$5:$E$304,$AC676)&amp;"","")</f>
        <v/>
      </c>
      <c r="AA676" s="48" t="str">
        <f>IF($AC676&gt;0,IF(ISNUMBER(INDEX(CASHBACK_RULES!$K$5:$K$304,$AC676)),INDEX(CASHBACK_RULES!$K$5:$K$304,$AC676),"∞"),"")</f>
        <v/>
      </c>
      <c r="AB676" s="44" t="str">
        <f>IF(OR($B676="",$D676=""),"",IF($U676="Cancelled","Đã hủy",IF($AC676=0,"Không được hoàn",IF($Q676=0,IF(OR($O676&gt;0,$M676&lt;$L676),"Đã đạt cap","Không được hoàn"),IF(OR($Q676&lt;$O676,$M676&lt;$L676),"Hoàn một phần","Được hoàn")))))</f>
        <v/>
      </c>
      <c r="AC676" s="43">
        <f>IF(OR($B676="",$D676="",$I676="",$L676=""),0,IF($U676="Cancelled",0,IF($W676&lt;&gt;"",IFERROR(IF(INDEX(CASHBACK_RULES!$B$5:$B$304,MATCH($W676,CASHBACK_RULES!$A$5:$A$304,0))=$D676,MATCH($W676,CASHBACK_RULES!$A$5:$A$304,0),0),0),IFERROR(MATCH(1,INDEX((CASHBACK_RULES!$B$5:$B$304=$D676)*(CASHBACK_RULES!$G$5:$G$304=$I676)*(((CASHBACK_RULES!$N$5:$N$304="")+(CASHBACK_RULES!$N$5:$N$304&lt;=$B676))&gt;0)*(((CASHBACK_RULES!$O$5:$O$304="")+(CASHBACK_RULES!$O$5:$O$304&gt;=$B676))&gt;0)*(((CASHBACK_RULES!$M$5:$M$304="")+(CASHBACK_RULES!$M$5:$M$304&lt;=$L676))&gt;0),0),0),0))))</f>
        <v>0</v>
      </c>
      <c r="AD676" s="51" t="str">
        <f>IF(OR($B676="",$D676=""),"",IFERROR(IF(INDEX(CARDS!$H$5:$H$34,MATCH($D676,CARDS!$A$5:$A$34,0))="","",IF(DAY($B676)&lt;=INDEX(CARDS!$H$5:$H$34,MATCH($D676,CARDS!$A$5:$A$34,0)),DATE(YEAR($B676),MONTH($B676),MIN(INDEX(CARDS!$H$5:$H$34,MATCH($D676,CARDS!$A$5:$A$34,0)),DAY(EOMONTH($B676,0)))),DATE(YEAR($B676),MONTH($B676)+1,MIN(INDEX(CARDS!$H$5:$H$34,MATCH($D676,CARDS!$A$5:$A$34,0)),DAY(EOMONTH($B676,1)))))),""))</f>
        <v/>
      </c>
      <c r="AE676" s="52" t="str">
        <f>IF($C676="","",$C676&amp;"|"&amp;COUNTIF($C$5:$C676,$C676))</f>
        <v/>
      </c>
      <c r="AF676" s="53">
        <f>IF($AC676&gt;0,SUMIFS(Q$4:Q675,$D$4:$D675,$D676,$Z$4:$Z675,$Z676,$C$4:$C675,$C676),0)</f>
        <v>0</v>
      </c>
      <c r="AG676" s="53">
        <f>IF($AC676&gt;0,SUMIFS(Q$4:Q675,$D$4:$D675,$D676,$C$4:$C675,$C676),0)</f>
        <v>0</v>
      </c>
      <c r="AH676" s="53">
        <f>IF($AC676&gt;0,SUMIFS(M$4:M675,$D$4:$D675,$D676,$Z$4:$Z675,$Z676,$C$4:$C675,$C676),0)</f>
        <v>0</v>
      </c>
      <c r="AI676" s="43">
        <f>IF(OR($C676="",$I676=""),0,IF(COUNTIFS($C$5:$C676,$C676,$I$5:$I676,$I676)=1,1,0))</f>
        <v>0</v>
      </c>
      <c r="AJ676" s="43" t="str">
        <f>IF($AI676=1,SUMIFS($AI$4:$AI675,$C$4:$C675,$C676)+1,"")</f>
        <v/>
      </c>
      <c r="AK676" s="43">
        <f>IF(OR($C676="",$K676=""),0,IF(COUNTIFS($C$5:$C676,$C676,$K$5:$K676,$K676)=1,1,0))</f>
        <v>0</v>
      </c>
      <c r="AL676" s="43" t="str">
        <f>IF($AK676=1,SUMIFS($AK$4:$AK675,$C$4:$C675,$C676)+1,"")</f>
        <v/>
      </c>
      <c r="AM676" s="43">
        <f>IF(OR($C676="",$G676=""),0,IF(COUNTIFS($C$5:$C676,$C676,$G$5:$G676,$G676)=1,1,0))</f>
        <v>0</v>
      </c>
      <c r="AN676" s="43" t="str">
        <f>IF($AM676=1,SUMIFS($AM$4:$AM675,$C$4:$C675,$C676)+1,"")</f>
        <v/>
      </c>
    </row>
    <row r="677">
      <c r="A677" s="44" t="str">
        <f>IF(OR($B677="",$D677=""),"","TX"&amp;TEXT(ROW()-4,"0000"))</f>
        <v/>
      </c>
      <c r="B677" s="42" t="n"/>
      <c r="C677" s="47" t="str">
        <f>IF($B677="","",YEAR($B677)*100+MONTH($B677))</f>
        <v/>
      </c>
      <c r="D677" s="37" t="n"/>
      <c r="E677" s="45" t="str">
        <f>IF($D677="","",IFERROR(INDEX(CARDS!$B$5:$B$34,MATCH($D677,CARDS!$A$5:$A$34,0)),"⚠ Card ID?"))</f>
        <v/>
      </c>
      <c r="F677" s="45" t="str">
        <f>IF($D677="","",IFERROR(INDEX(CARDS!$C$5:$C$34,MATCH($D677,CARDS!$A$5:$A$34,0)),"⚠ Card ID?"))</f>
        <v/>
      </c>
      <c r="G677" s="37" t="n"/>
      <c r="H677" s="37" t="n"/>
      <c r="I677" s="41" t="n"/>
      <c r="J677" s="45" t="str">
        <f>IF($I677="","",IFERROR(INDEX(MCC_MASTER!$B$5:$B$504,MATCH($I677,MCC_MASTER!$A$5:$A$504,0)),"⚠ MCC chưa có"))</f>
        <v/>
      </c>
      <c r="K677" s="45" t="str">
        <f>IF($I677="","",IFERROR(IF(INDEX(MCC_MASTER!$C$5:$C$504,MATCH($I677,MCC_MASTER!$A$5:$A$504,0))="","Chưa phân loại",INDEX(MCC_MASTER!$C$5:$C$504,MATCH($I677,MCC_MASTER!$A$5:$A$504,0))),"Chưa phân loại"))</f>
        <v/>
      </c>
      <c r="L677" s="40" t="n"/>
      <c r="M677" s="48" t="str">
        <f>IF(OR($B677="",$D677=""),"",IF($AC677=0,0,IF(ISNUMBER(INDEX(CASHBACK_RULES!$L$5:$L$304,$AC677)),MAX(0,MIN($L677,INDEX(CASHBACK_RULES!$L$5:$L$304,$AC677)-$AH677)),MAX(0,$L677))))</f>
        <v/>
      </c>
      <c r="N677" s="49" t="str">
        <f>IF(OR($B677="",$D677=""),"",IF($AC677&gt;0,INDEX(CASHBACK_RULES!$I$5:$I$304,$AC677),0))</f>
        <v/>
      </c>
      <c r="O677" s="48" t="str">
        <f>IF(OR($B677="",$D677=""),"",ROUND($M677*$N677,0))</f>
        <v/>
      </c>
      <c r="P677" s="48" t="str">
        <f>IF($AC677&gt;0,IF(ISNUMBER(INDEX(CASHBACK_RULES!$J$5:$J$304,$AC677)),INDEX(CASHBACK_RULES!$J$5:$J$304,$AC677),"∞"),"")</f>
        <v/>
      </c>
      <c r="Q677" s="48" t="str">
        <f>IF(OR($B677="",$D677=""),"",IF($AC677=0,0,MAX(0,MIN($O677,IF(ISNUMBER($P677),$P677-$AF677,1E+15),IF(ISNUMBER($AA677),$AA677-$AG677,1E+15)))))</f>
        <v/>
      </c>
      <c r="R677" s="48" t="str">
        <f>IF(OR($B677="",$D677=""),"",IF($AC677=0,"",IF(AND(NOT(ISNUMBER($P677)),NOT(ISNUMBER($AA677))),"∞",MAX(0,MIN(IF(ISNUMBER($P677),$P677-$AF677-$Q677,1E+15),IF(ISNUMBER($AA677),$AA677-$AG677-$Q677,1E+15))))))</f>
        <v/>
      </c>
      <c r="S677" s="47" t="str">
        <f>IF($AD677="","",YEAR($AD677)*100+MONTH($AD677))</f>
        <v/>
      </c>
      <c r="T677" s="50" t="str">
        <f>IF($AD677="","",IFERROR(IF(INDEX(CARDS!$I$5:$I$34,MATCH($D677,CARDS!$A$5:$A$34,0))="","",IF(INDEX(CARDS!$I$5:$I$34,MATCH($D677,CARDS!$A$5:$A$34,0))&gt;INDEX(CARDS!$H$5:$H$34,MATCH($D677,CARDS!$A$5:$A$34,0)),DATE(YEAR($AD677),MONTH($AD677),MIN(INDEX(CARDS!$I$5:$I$34,MATCH($D677,CARDS!$A$5:$A$34,0)),DAY(EOMONTH($AD677,0)))),DATE(YEAR($AD677),MONTH($AD677)+1,MIN(INDEX(CARDS!$I$5:$I$34,MATCH($D677,CARDS!$A$5:$A$34,0)),DAY(EOMONTH($AD677,1)))))),""))</f>
        <v/>
      </c>
      <c r="U677" s="38" t="n"/>
      <c r="V677" s="37" t="n"/>
      <c r="W677" s="38" t="n"/>
      <c r="X677" s="38" t="n"/>
      <c r="Y677" s="44" t="str">
        <f>IF($AC677&gt;0,INDEX(CASHBACK_RULES!$A$5:$A$304,$AC677),"")</f>
        <v/>
      </c>
      <c r="Z677" s="45" t="str">
        <f>IF($AC677&gt;0,INDEX(CASHBACK_RULES!$E$5:$E$304,$AC677)&amp;"","")</f>
        <v/>
      </c>
      <c r="AA677" s="48" t="str">
        <f>IF($AC677&gt;0,IF(ISNUMBER(INDEX(CASHBACK_RULES!$K$5:$K$304,$AC677)),INDEX(CASHBACK_RULES!$K$5:$K$304,$AC677),"∞"),"")</f>
        <v/>
      </c>
      <c r="AB677" s="44" t="str">
        <f>IF(OR($B677="",$D677=""),"",IF($U677="Cancelled","Đã hủy",IF($AC677=0,"Không được hoàn",IF($Q677=0,IF(OR($O677&gt;0,$M677&lt;$L677),"Đã đạt cap","Không được hoàn"),IF(OR($Q677&lt;$O677,$M677&lt;$L677),"Hoàn một phần","Được hoàn")))))</f>
        <v/>
      </c>
      <c r="AC677" s="43">
        <f>IF(OR($B677="",$D677="",$I677="",$L677=""),0,IF($U677="Cancelled",0,IF($W677&lt;&gt;"",IFERROR(IF(INDEX(CASHBACK_RULES!$B$5:$B$304,MATCH($W677,CASHBACK_RULES!$A$5:$A$304,0))=$D677,MATCH($W677,CASHBACK_RULES!$A$5:$A$304,0),0),0),IFERROR(MATCH(1,INDEX((CASHBACK_RULES!$B$5:$B$304=$D677)*(CASHBACK_RULES!$G$5:$G$304=$I677)*(((CASHBACK_RULES!$N$5:$N$304="")+(CASHBACK_RULES!$N$5:$N$304&lt;=$B677))&gt;0)*(((CASHBACK_RULES!$O$5:$O$304="")+(CASHBACK_RULES!$O$5:$O$304&gt;=$B677))&gt;0)*(((CASHBACK_RULES!$M$5:$M$304="")+(CASHBACK_RULES!$M$5:$M$304&lt;=$L677))&gt;0),0),0),0))))</f>
        <v>0</v>
      </c>
      <c r="AD677" s="51" t="str">
        <f>IF(OR($B677="",$D677=""),"",IFERROR(IF(INDEX(CARDS!$H$5:$H$34,MATCH($D677,CARDS!$A$5:$A$34,0))="","",IF(DAY($B677)&lt;=INDEX(CARDS!$H$5:$H$34,MATCH($D677,CARDS!$A$5:$A$34,0)),DATE(YEAR($B677),MONTH($B677),MIN(INDEX(CARDS!$H$5:$H$34,MATCH($D677,CARDS!$A$5:$A$34,0)),DAY(EOMONTH($B677,0)))),DATE(YEAR($B677),MONTH($B677)+1,MIN(INDEX(CARDS!$H$5:$H$34,MATCH($D677,CARDS!$A$5:$A$34,0)),DAY(EOMONTH($B677,1)))))),""))</f>
        <v/>
      </c>
      <c r="AE677" s="52" t="str">
        <f>IF($C677="","",$C677&amp;"|"&amp;COUNTIF($C$5:$C677,$C677))</f>
        <v/>
      </c>
      <c r="AF677" s="53">
        <f>IF($AC677&gt;0,SUMIFS(Q$4:Q676,$D$4:$D676,$D677,$Z$4:$Z676,$Z677,$C$4:$C676,$C677),0)</f>
        <v>0</v>
      </c>
      <c r="AG677" s="53">
        <f>IF($AC677&gt;0,SUMIFS(Q$4:Q676,$D$4:$D676,$D677,$C$4:$C676,$C677),0)</f>
        <v>0</v>
      </c>
      <c r="AH677" s="53">
        <f>IF($AC677&gt;0,SUMIFS(M$4:M676,$D$4:$D676,$D677,$Z$4:$Z676,$Z677,$C$4:$C676,$C677),0)</f>
        <v>0</v>
      </c>
      <c r="AI677" s="43">
        <f>IF(OR($C677="",$I677=""),0,IF(COUNTIFS($C$5:$C677,$C677,$I$5:$I677,$I677)=1,1,0))</f>
        <v>0</v>
      </c>
      <c r="AJ677" s="43" t="str">
        <f>IF($AI677=1,SUMIFS($AI$4:$AI676,$C$4:$C676,$C677)+1,"")</f>
        <v/>
      </c>
      <c r="AK677" s="43">
        <f>IF(OR($C677="",$K677=""),0,IF(COUNTIFS($C$5:$C677,$C677,$K$5:$K677,$K677)=1,1,0))</f>
        <v>0</v>
      </c>
      <c r="AL677" s="43" t="str">
        <f>IF($AK677=1,SUMIFS($AK$4:$AK676,$C$4:$C676,$C677)+1,"")</f>
        <v/>
      </c>
      <c r="AM677" s="43">
        <f>IF(OR($C677="",$G677=""),0,IF(COUNTIFS($C$5:$C677,$C677,$G$5:$G677,$G677)=1,1,0))</f>
        <v>0</v>
      </c>
      <c r="AN677" s="43" t="str">
        <f>IF($AM677=1,SUMIFS($AM$4:$AM676,$C$4:$C676,$C677)+1,"")</f>
        <v/>
      </c>
    </row>
    <row r="678">
      <c r="A678" s="44" t="str">
        <f>IF(OR($B678="",$D678=""),"","TX"&amp;TEXT(ROW()-4,"0000"))</f>
        <v/>
      </c>
      <c r="B678" s="42" t="n"/>
      <c r="C678" s="47" t="str">
        <f>IF($B678="","",YEAR($B678)*100+MONTH($B678))</f>
        <v/>
      </c>
      <c r="D678" s="37" t="n"/>
      <c r="E678" s="45" t="str">
        <f>IF($D678="","",IFERROR(INDEX(CARDS!$B$5:$B$34,MATCH($D678,CARDS!$A$5:$A$34,0)),"⚠ Card ID?"))</f>
        <v/>
      </c>
      <c r="F678" s="45" t="str">
        <f>IF($D678="","",IFERROR(INDEX(CARDS!$C$5:$C$34,MATCH($D678,CARDS!$A$5:$A$34,0)),"⚠ Card ID?"))</f>
        <v/>
      </c>
      <c r="G678" s="37" t="n"/>
      <c r="H678" s="37" t="n"/>
      <c r="I678" s="41" t="n"/>
      <c r="J678" s="45" t="str">
        <f>IF($I678="","",IFERROR(INDEX(MCC_MASTER!$B$5:$B$504,MATCH($I678,MCC_MASTER!$A$5:$A$504,0)),"⚠ MCC chưa có"))</f>
        <v/>
      </c>
      <c r="K678" s="45" t="str">
        <f>IF($I678="","",IFERROR(IF(INDEX(MCC_MASTER!$C$5:$C$504,MATCH($I678,MCC_MASTER!$A$5:$A$504,0))="","Chưa phân loại",INDEX(MCC_MASTER!$C$5:$C$504,MATCH($I678,MCC_MASTER!$A$5:$A$504,0))),"Chưa phân loại"))</f>
        <v/>
      </c>
      <c r="L678" s="40" t="n"/>
      <c r="M678" s="48" t="str">
        <f>IF(OR($B678="",$D678=""),"",IF($AC678=0,0,IF(ISNUMBER(INDEX(CASHBACK_RULES!$L$5:$L$304,$AC678)),MAX(0,MIN($L678,INDEX(CASHBACK_RULES!$L$5:$L$304,$AC678)-$AH678)),MAX(0,$L678))))</f>
        <v/>
      </c>
      <c r="N678" s="49" t="str">
        <f>IF(OR($B678="",$D678=""),"",IF($AC678&gt;0,INDEX(CASHBACK_RULES!$I$5:$I$304,$AC678),0))</f>
        <v/>
      </c>
      <c r="O678" s="48" t="str">
        <f>IF(OR($B678="",$D678=""),"",ROUND($M678*$N678,0))</f>
        <v/>
      </c>
      <c r="P678" s="48" t="str">
        <f>IF($AC678&gt;0,IF(ISNUMBER(INDEX(CASHBACK_RULES!$J$5:$J$304,$AC678)),INDEX(CASHBACK_RULES!$J$5:$J$304,$AC678),"∞"),"")</f>
        <v/>
      </c>
      <c r="Q678" s="48" t="str">
        <f>IF(OR($B678="",$D678=""),"",IF($AC678=0,0,MAX(0,MIN($O678,IF(ISNUMBER($P678),$P678-$AF678,1E+15),IF(ISNUMBER($AA678),$AA678-$AG678,1E+15)))))</f>
        <v/>
      </c>
      <c r="R678" s="48" t="str">
        <f>IF(OR($B678="",$D678=""),"",IF($AC678=0,"",IF(AND(NOT(ISNUMBER($P678)),NOT(ISNUMBER($AA678))),"∞",MAX(0,MIN(IF(ISNUMBER($P678),$P678-$AF678-$Q678,1E+15),IF(ISNUMBER($AA678),$AA678-$AG678-$Q678,1E+15))))))</f>
        <v/>
      </c>
      <c r="S678" s="47" t="str">
        <f>IF($AD678="","",YEAR($AD678)*100+MONTH($AD678))</f>
        <v/>
      </c>
      <c r="T678" s="50" t="str">
        <f>IF($AD678="","",IFERROR(IF(INDEX(CARDS!$I$5:$I$34,MATCH($D678,CARDS!$A$5:$A$34,0))="","",IF(INDEX(CARDS!$I$5:$I$34,MATCH($D678,CARDS!$A$5:$A$34,0))&gt;INDEX(CARDS!$H$5:$H$34,MATCH($D678,CARDS!$A$5:$A$34,0)),DATE(YEAR($AD678),MONTH($AD678),MIN(INDEX(CARDS!$I$5:$I$34,MATCH($D678,CARDS!$A$5:$A$34,0)),DAY(EOMONTH($AD678,0)))),DATE(YEAR($AD678),MONTH($AD678)+1,MIN(INDEX(CARDS!$I$5:$I$34,MATCH($D678,CARDS!$A$5:$A$34,0)),DAY(EOMONTH($AD678,1)))))),""))</f>
        <v/>
      </c>
      <c r="U678" s="38" t="n"/>
      <c r="V678" s="37" t="n"/>
      <c r="W678" s="38" t="n"/>
      <c r="X678" s="38" t="n"/>
      <c r="Y678" s="44" t="str">
        <f>IF($AC678&gt;0,INDEX(CASHBACK_RULES!$A$5:$A$304,$AC678),"")</f>
        <v/>
      </c>
      <c r="Z678" s="45" t="str">
        <f>IF($AC678&gt;0,INDEX(CASHBACK_RULES!$E$5:$E$304,$AC678)&amp;"","")</f>
        <v/>
      </c>
      <c r="AA678" s="48" t="str">
        <f>IF($AC678&gt;0,IF(ISNUMBER(INDEX(CASHBACK_RULES!$K$5:$K$304,$AC678)),INDEX(CASHBACK_RULES!$K$5:$K$304,$AC678),"∞"),"")</f>
        <v/>
      </c>
      <c r="AB678" s="44" t="str">
        <f>IF(OR($B678="",$D678=""),"",IF($U678="Cancelled","Đã hủy",IF($AC678=0,"Không được hoàn",IF($Q678=0,IF(OR($O678&gt;0,$M678&lt;$L678),"Đã đạt cap","Không được hoàn"),IF(OR($Q678&lt;$O678,$M678&lt;$L678),"Hoàn một phần","Được hoàn")))))</f>
        <v/>
      </c>
      <c r="AC678" s="43">
        <f>IF(OR($B678="",$D678="",$I678="",$L678=""),0,IF($U678="Cancelled",0,IF($W678&lt;&gt;"",IFERROR(IF(INDEX(CASHBACK_RULES!$B$5:$B$304,MATCH($W678,CASHBACK_RULES!$A$5:$A$304,0))=$D678,MATCH($W678,CASHBACK_RULES!$A$5:$A$304,0),0),0),IFERROR(MATCH(1,INDEX((CASHBACK_RULES!$B$5:$B$304=$D678)*(CASHBACK_RULES!$G$5:$G$304=$I678)*(((CASHBACK_RULES!$N$5:$N$304="")+(CASHBACK_RULES!$N$5:$N$304&lt;=$B678))&gt;0)*(((CASHBACK_RULES!$O$5:$O$304="")+(CASHBACK_RULES!$O$5:$O$304&gt;=$B678))&gt;0)*(((CASHBACK_RULES!$M$5:$M$304="")+(CASHBACK_RULES!$M$5:$M$304&lt;=$L678))&gt;0),0),0),0))))</f>
        <v>0</v>
      </c>
      <c r="AD678" s="51" t="str">
        <f>IF(OR($B678="",$D678=""),"",IFERROR(IF(INDEX(CARDS!$H$5:$H$34,MATCH($D678,CARDS!$A$5:$A$34,0))="","",IF(DAY($B678)&lt;=INDEX(CARDS!$H$5:$H$34,MATCH($D678,CARDS!$A$5:$A$34,0)),DATE(YEAR($B678),MONTH($B678),MIN(INDEX(CARDS!$H$5:$H$34,MATCH($D678,CARDS!$A$5:$A$34,0)),DAY(EOMONTH($B678,0)))),DATE(YEAR($B678),MONTH($B678)+1,MIN(INDEX(CARDS!$H$5:$H$34,MATCH($D678,CARDS!$A$5:$A$34,0)),DAY(EOMONTH($B678,1)))))),""))</f>
        <v/>
      </c>
      <c r="AE678" s="52" t="str">
        <f>IF($C678="","",$C678&amp;"|"&amp;COUNTIF($C$5:$C678,$C678))</f>
        <v/>
      </c>
      <c r="AF678" s="53">
        <f>IF($AC678&gt;0,SUMIFS(Q$4:Q677,$D$4:$D677,$D678,$Z$4:$Z677,$Z678,$C$4:$C677,$C678),0)</f>
        <v>0</v>
      </c>
      <c r="AG678" s="53">
        <f>IF($AC678&gt;0,SUMIFS(Q$4:Q677,$D$4:$D677,$D678,$C$4:$C677,$C678),0)</f>
        <v>0</v>
      </c>
      <c r="AH678" s="53">
        <f>IF($AC678&gt;0,SUMIFS(M$4:M677,$D$4:$D677,$D678,$Z$4:$Z677,$Z678,$C$4:$C677,$C678),0)</f>
        <v>0</v>
      </c>
      <c r="AI678" s="43">
        <f>IF(OR($C678="",$I678=""),0,IF(COUNTIFS($C$5:$C678,$C678,$I$5:$I678,$I678)=1,1,0))</f>
        <v>0</v>
      </c>
      <c r="AJ678" s="43" t="str">
        <f>IF($AI678=1,SUMIFS($AI$4:$AI677,$C$4:$C677,$C678)+1,"")</f>
        <v/>
      </c>
      <c r="AK678" s="43">
        <f>IF(OR($C678="",$K678=""),0,IF(COUNTIFS($C$5:$C678,$C678,$K$5:$K678,$K678)=1,1,0))</f>
        <v>0</v>
      </c>
      <c r="AL678" s="43" t="str">
        <f>IF($AK678=1,SUMIFS($AK$4:$AK677,$C$4:$C677,$C678)+1,"")</f>
        <v/>
      </c>
      <c r="AM678" s="43">
        <f>IF(OR($C678="",$G678=""),0,IF(COUNTIFS($C$5:$C678,$C678,$G$5:$G678,$G678)=1,1,0))</f>
        <v>0</v>
      </c>
      <c r="AN678" s="43" t="str">
        <f>IF($AM678=1,SUMIFS($AM$4:$AM677,$C$4:$C677,$C678)+1,"")</f>
        <v/>
      </c>
    </row>
    <row r="679">
      <c r="A679" s="44" t="str">
        <f>IF(OR($B679="",$D679=""),"","TX"&amp;TEXT(ROW()-4,"0000"))</f>
        <v/>
      </c>
      <c r="B679" s="42" t="n"/>
      <c r="C679" s="47" t="str">
        <f>IF($B679="","",YEAR($B679)*100+MONTH($B679))</f>
        <v/>
      </c>
      <c r="D679" s="37" t="n"/>
      <c r="E679" s="45" t="str">
        <f>IF($D679="","",IFERROR(INDEX(CARDS!$B$5:$B$34,MATCH($D679,CARDS!$A$5:$A$34,0)),"⚠ Card ID?"))</f>
        <v/>
      </c>
      <c r="F679" s="45" t="str">
        <f>IF($D679="","",IFERROR(INDEX(CARDS!$C$5:$C$34,MATCH($D679,CARDS!$A$5:$A$34,0)),"⚠ Card ID?"))</f>
        <v/>
      </c>
      <c r="G679" s="37" t="n"/>
      <c r="H679" s="37" t="n"/>
      <c r="I679" s="41" t="n"/>
      <c r="J679" s="45" t="str">
        <f>IF($I679="","",IFERROR(INDEX(MCC_MASTER!$B$5:$B$504,MATCH($I679,MCC_MASTER!$A$5:$A$504,0)),"⚠ MCC chưa có"))</f>
        <v/>
      </c>
      <c r="K679" s="45" t="str">
        <f>IF($I679="","",IFERROR(IF(INDEX(MCC_MASTER!$C$5:$C$504,MATCH($I679,MCC_MASTER!$A$5:$A$504,0))="","Chưa phân loại",INDEX(MCC_MASTER!$C$5:$C$504,MATCH($I679,MCC_MASTER!$A$5:$A$504,0))),"Chưa phân loại"))</f>
        <v/>
      </c>
      <c r="L679" s="40" t="n"/>
      <c r="M679" s="48" t="str">
        <f>IF(OR($B679="",$D679=""),"",IF($AC679=0,0,IF(ISNUMBER(INDEX(CASHBACK_RULES!$L$5:$L$304,$AC679)),MAX(0,MIN($L679,INDEX(CASHBACK_RULES!$L$5:$L$304,$AC679)-$AH679)),MAX(0,$L679))))</f>
        <v/>
      </c>
      <c r="N679" s="49" t="str">
        <f>IF(OR($B679="",$D679=""),"",IF($AC679&gt;0,INDEX(CASHBACK_RULES!$I$5:$I$304,$AC679),0))</f>
        <v/>
      </c>
      <c r="O679" s="48" t="str">
        <f>IF(OR($B679="",$D679=""),"",ROUND($M679*$N679,0))</f>
        <v/>
      </c>
      <c r="P679" s="48" t="str">
        <f>IF($AC679&gt;0,IF(ISNUMBER(INDEX(CASHBACK_RULES!$J$5:$J$304,$AC679)),INDEX(CASHBACK_RULES!$J$5:$J$304,$AC679),"∞"),"")</f>
        <v/>
      </c>
      <c r="Q679" s="48" t="str">
        <f>IF(OR($B679="",$D679=""),"",IF($AC679=0,0,MAX(0,MIN($O679,IF(ISNUMBER($P679),$P679-$AF679,1E+15),IF(ISNUMBER($AA679),$AA679-$AG679,1E+15)))))</f>
        <v/>
      </c>
      <c r="R679" s="48" t="str">
        <f>IF(OR($B679="",$D679=""),"",IF($AC679=0,"",IF(AND(NOT(ISNUMBER($P679)),NOT(ISNUMBER($AA679))),"∞",MAX(0,MIN(IF(ISNUMBER($P679),$P679-$AF679-$Q679,1E+15),IF(ISNUMBER($AA679),$AA679-$AG679-$Q679,1E+15))))))</f>
        <v/>
      </c>
      <c r="S679" s="47" t="str">
        <f>IF($AD679="","",YEAR($AD679)*100+MONTH($AD679))</f>
        <v/>
      </c>
      <c r="T679" s="50" t="str">
        <f>IF($AD679="","",IFERROR(IF(INDEX(CARDS!$I$5:$I$34,MATCH($D679,CARDS!$A$5:$A$34,0))="","",IF(INDEX(CARDS!$I$5:$I$34,MATCH($D679,CARDS!$A$5:$A$34,0))&gt;INDEX(CARDS!$H$5:$H$34,MATCH($D679,CARDS!$A$5:$A$34,0)),DATE(YEAR($AD679),MONTH($AD679),MIN(INDEX(CARDS!$I$5:$I$34,MATCH($D679,CARDS!$A$5:$A$34,0)),DAY(EOMONTH($AD679,0)))),DATE(YEAR($AD679),MONTH($AD679)+1,MIN(INDEX(CARDS!$I$5:$I$34,MATCH($D679,CARDS!$A$5:$A$34,0)),DAY(EOMONTH($AD679,1)))))),""))</f>
        <v/>
      </c>
      <c r="U679" s="38" t="n"/>
      <c r="V679" s="37" t="n"/>
      <c r="W679" s="38" t="n"/>
      <c r="X679" s="38" t="n"/>
      <c r="Y679" s="44" t="str">
        <f>IF($AC679&gt;0,INDEX(CASHBACK_RULES!$A$5:$A$304,$AC679),"")</f>
        <v/>
      </c>
      <c r="Z679" s="45" t="str">
        <f>IF($AC679&gt;0,INDEX(CASHBACK_RULES!$E$5:$E$304,$AC679)&amp;"","")</f>
        <v/>
      </c>
      <c r="AA679" s="48" t="str">
        <f>IF($AC679&gt;0,IF(ISNUMBER(INDEX(CASHBACK_RULES!$K$5:$K$304,$AC679)),INDEX(CASHBACK_RULES!$K$5:$K$304,$AC679),"∞"),"")</f>
        <v/>
      </c>
      <c r="AB679" s="44" t="str">
        <f>IF(OR($B679="",$D679=""),"",IF($U679="Cancelled","Đã hủy",IF($AC679=0,"Không được hoàn",IF($Q679=0,IF(OR($O679&gt;0,$M679&lt;$L679),"Đã đạt cap","Không được hoàn"),IF(OR($Q679&lt;$O679,$M679&lt;$L679),"Hoàn một phần","Được hoàn")))))</f>
        <v/>
      </c>
      <c r="AC679" s="43">
        <f>IF(OR($B679="",$D679="",$I679="",$L679=""),0,IF($U679="Cancelled",0,IF($W679&lt;&gt;"",IFERROR(IF(INDEX(CASHBACK_RULES!$B$5:$B$304,MATCH($W679,CASHBACK_RULES!$A$5:$A$304,0))=$D679,MATCH($W679,CASHBACK_RULES!$A$5:$A$304,0),0),0),IFERROR(MATCH(1,INDEX((CASHBACK_RULES!$B$5:$B$304=$D679)*(CASHBACK_RULES!$G$5:$G$304=$I679)*(((CASHBACK_RULES!$N$5:$N$304="")+(CASHBACK_RULES!$N$5:$N$304&lt;=$B679))&gt;0)*(((CASHBACK_RULES!$O$5:$O$304="")+(CASHBACK_RULES!$O$5:$O$304&gt;=$B679))&gt;0)*(((CASHBACK_RULES!$M$5:$M$304="")+(CASHBACK_RULES!$M$5:$M$304&lt;=$L679))&gt;0),0),0),0))))</f>
        <v>0</v>
      </c>
      <c r="AD679" s="51" t="str">
        <f>IF(OR($B679="",$D679=""),"",IFERROR(IF(INDEX(CARDS!$H$5:$H$34,MATCH($D679,CARDS!$A$5:$A$34,0))="","",IF(DAY($B679)&lt;=INDEX(CARDS!$H$5:$H$34,MATCH($D679,CARDS!$A$5:$A$34,0)),DATE(YEAR($B679),MONTH($B679),MIN(INDEX(CARDS!$H$5:$H$34,MATCH($D679,CARDS!$A$5:$A$34,0)),DAY(EOMONTH($B679,0)))),DATE(YEAR($B679),MONTH($B679)+1,MIN(INDEX(CARDS!$H$5:$H$34,MATCH($D679,CARDS!$A$5:$A$34,0)),DAY(EOMONTH($B679,1)))))),""))</f>
        <v/>
      </c>
      <c r="AE679" s="52" t="str">
        <f>IF($C679="","",$C679&amp;"|"&amp;COUNTIF($C$5:$C679,$C679))</f>
        <v/>
      </c>
      <c r="AF679" s="53">
        <f>IF($AC679&gt;0,SUMIFS(Q$4:Q678,$D$4:$D678,$D679,$Z$4:$Z678,$Z679,$C$4:$C678,$C679),0)</f>
        <v>0</v>
      </c>
      <c r="AG679" s="53">
        <f>IF($AC679&gt;0,SUMIFS(Q$4:Q678,$D$4:$D678,$D679,$C$4:$C678,$C679),0)</f>
        <v>0</v>
      </c>
      <c r="AH679" s="53">
        <f>IF($AC679&gt;0,SUMIFS(M$4:M678,$D$4:$D678,$D679,$Z$4:$Z678,$Z679,$C$4:$C678,$C679),0)</f>
        <v>0</v>
      </c>
      <c r="AI679" s="43">
        <f>IF(OR($C679="",$I679=""),0,IF(COUNTIFS($C$5:$C679,$C679,$I$5:$I679,$I679)=1,1,0))</f>
        <v>0</v>
      </c>
      <c r="AJ679" s="43" t="str">
        <f>IF($AI679=1,SUMIFS($AI$4:$AI678,$C$4:$C678,$C679)+1,"")</f>
        <v/>
      </c>
      <c r="AK679" s="43">
        <f>IF(OR($C679="",$K679=""),0,IF(COUNTIFS($C$5:$C679,$C679,$K$5:$K679,$K679)=1,1,0))</f>
        <v>0</v>
      </c>
      <c r="AL679" s="43" t="str">
        <f>IF($AK679=1,SUMIFS($AK$4:$AK678,$C$4:$C678,$C679)+1,"")</f>
        <v/>
      </c>
      <c r="AM679" s="43">
        <f>IF(OR($C679="",$G679=""),0,IF(COUNTIFS($C$5:$C679,$C679,$G$5:$G679,$G679)=1,1,0))</f>
        <v>0</v>
      </c>
      <c r="AN679" s="43" t="str">
        <f>IF($AM679=1,SUMIFS($AM$4:$AM678,$C$4:$C678,$C679)+1,"")</f>
        <v/>
      </c>
    </row>
    <row r="680">
      <c r="A680" s="44" t="str">
        <f>IF(OR($B680="",$D680=""),"","TX"&amp;TEXT(ROW()-4,"0000"))</f>
        <v/>
      </c>
      <c r="B680" s="42" t="n"/>
      <c r="C680" s="47" t="str">
        <f>IF($B680="","",YEAR($B680)*100+MONTH($B680))</f>
        <v/>
      </c>
      <c r="D680" s="37" t="n"/>
      <c r="E680" s="45" t="str">
        <f>IF($D680="","",IFERROR(INDEX(CARDS!$B$5:$B$34,MATCH($D680,CARDS!$A$5:$A$34,0)),"⚠ Card ID?"))</f>
        <v/>
      </c>
      <c r="F680" s="45" t="str">
        <f>IF($D680="","",IFERROR(INDEX(CARDS!$C$5:$C$34,MATCH($D680,CARDS!$A$5:$A$34,0)),"⚠ Card ID?"))</f>
        <v/>
      </c>
      <c r="G680" s="37" t="n"/>
      <c r="H680" s="37" t="n"/>
      <c r="I680" s="41" t="n"/>
      <c r="J680" s="45" t="str">
        <f>IF($I680="","",IFERROR(INDEX(MCC_MASTER!$B$5:$B$504,MATCH($I680,MCC_MASTER!$A$5:$A$504,0)),"⚠ MCC chưa có"))</f>
        <v/>
      </c>
      <c r="K680" s="45" t="str">
        <f>IF($I680="","",IFERROR(IF(INDEX(MCC_MASTER!$C$5:$C$504,MATCH($I680,MCC_MASTER!$A$5:$A$504,0))="","Chưa phân loại",INDEX(MCC_MASTER!$C$5:$C$504,MATCH($I680,MCC_MASTER!$A$5:$A$504,0))),"Chưa phân loại"))</f>
        <v/>
      </c>
      <c r="L680" s="40" t="n"/>
      <c r="M680" s="48" t="str">
        <f>IF(OR($B680="",$D680=""),"",IF($AC680=0,0,IF(ISNUMBER(INDEX(CASHBACK_RULES!$L$5:$L$304,$AC680)),MAX(0,MIN($L680,INDEX(CASHBACK_RULES!$L$5:$L$304,$AC680)-$AH680)),MAX(0,$L680))))</f>
        <v/>
      </c>
      <c r="N680" s="49" t="str">
        <f>IF(OR($B680="",$D680=""),"",IF($AC680&gt;0,INDEX(CASHBACK_RULES!$I$5:$I$304,$AC680),0))</f>
        <v/>
      </c>
      <c r="O680" s="48" t="str">
        <f>IF(OR($B680="",$D680=""),"",ROUND($M680*$N680,0))</f>
        <v/>
      </c>
      <c r="P680" s="48" t="str">
        <f>IF($AC680&gt;0,IF(ISNUMBER(INDEX(CASHBACK_RULES!$J$5:$J$304,$AC680)),INDEX(CASHBACK_RULES!$J$5:$J$304,$AC680),"∞"),"")</f>
        <v/>
      </c>
      <c r="Q680" s="48" t="str">
        <f>IF(OR($B680="",$D680=""),"",IF($AC680=0,0,MAX(0,MIN($O680,IF(ISNUMBER($P680),$P680-$AF680,1E+15),IF(ISNUMBER($AA680),$AA680-$AG680,1E+15)))))</f>
        <v/>
      </c>
      <c r="R680" s="48" t="str">
        <f>IF(OR($B680="",$D680=""),"",IF($AC680=0,"",IF(AND(NOT(ISNUMBER($P680)),NOT(ISNUMBER($AA680))),"∞",MAX(0,MIN(IF(ISNUMBER($P680),$P680-$AF680-$Q680,1E+15),IF(ISNUMBER($AA680),$AA680-$AG680-$Q680,1E+15))))))</f>
        <v/>
      </c>
      <c r="S680" s="47" t="str">
        <f>IF($AD680="","",YEAR($AD680)*100+MONTH($AD680))</f>
        <v/>
      </c>
      <c r="T680" s="50" t="str">
        <f>IF($AD680="","",IFERROR(IF(INDEX(CARDS!$I$5:$I$34,MATCH($D680,CARDS!$A$5:$A$34,0))="","",IF(INDEX(CARDS!$I$5:$I$34,MATCH($D680,CARDS!$A$5:$A$34,0))&gt;INDEX(CARDS!$H$5:$H$34,MATCH($D680,CARDS!$A$5:$A$34,0)),DATE(YEAR($AD680),MONTH($AD680),MIN(INDEX(CARDS!$I$5:$I$34,MATCH($D680,CARDS!$A$5:$A$34,0)),DAY(EOMONTH($AD680,0)))),DATE(YEAR($AD680),MONTH($AD680)+1,MIN(INDEX(CARDS!$I$5:$I$34,MATCH($D680,CARDS!$A$5:$A$34,0)),DAY(EOMONTH($AD680,1)))))),""))</f>
        <v/>
      </c>
      <c r="U680" s="38" t="n"/>
      <c r="V680" s="37" t="n"/>
      <c r="W680" s="38" t="n"/>
      <c r="X680" s="38" t="n"/>
      <c r="Y680" s="44" t="str">
        <f>IF($AC680&gt;0,INDEX(CASHBACK_RULES!$A$5:$A$304,$AC680),"")</f>
        <v/>
      </c>
      <c r="Z680" s="45" t="str">
        <f>IF($AC680&gt;0,INDEX(CASHBACK_RULES!$E$5:$E$304,$AC680)&amp;"","")</f>
        <v/>
      </c>
      <c r="AA680" s="48" t="str">
        <f>IF($AC680&gt;0,IF(ISNUMBER(INDEX(CASHBACK_RULES!$K$5:$K$304,$AC680)),INDEX(CASHBACK_RULES!$K$5:$K$304,$AC680),"∞"),"")</f>
        <v/>
      </c>
      <c r="AB680" s="44" t="str">
        <f>IF(OR($B680="",$D680=""),"",IF($U680="Cancelled","Đã hủy",IF($AC680=0,"Không được hoàn",IF($Q680=0,IF(OR($O680&gt;0,$M680&lt;$L680),"Đã đạt cap","Không được hoàn"),IF(OR($Q680&lt;$O680,$M680&lt;$L680),"Hoàn một phần","Được hoàn")))))</f>
        <v/>
      </c>
      <c r="AC680" s="43">
        <f>IF(OR($B680="",$D680="",$I680="",$L680=""),0,IF($U680="Cancelled",0,IF($W680&lt;&gt;"",IFERROR(IF(INDEX(CASHBACK_RULES!$B$5:$B$304,MATCH($W680,CASHBACK_RULES!$A$5:$A$304,0))=$D680,MATCH($W680,CASHBACK_RULES!$A$5:$A$304,0),0),0),IFERROR(MATCH(1,INDEX((CASHBACK_RULES!$B$5:$B$304=$D680)*(CASHBACK_RULES!$G$5:$G$304=$I680)*(((CASHBACK_RULES!$N$5:$N$304="")+(CASHBACK_RULES!$N$5:$N$304&lt;=$B680))&gt;0)*(((CASHBACK_RULES!$O$5:$O$304="")+(CASHBACK_RULES!$O$5:$O$304&gt;=$B680))&gt;0)*(((CASHBACK_RULES!$M$5:$M$304="")+(CASHBACK_RULES!$M$5:$M$304&lt;=$L680))&gt;0),0),0),0))))</f>
        <v>0</v>
      </c>
      <c r="AD680" s="51" t="str">
        <f>IF(OR($B680="",$D680=""),"",IFERROR(IF(INDEX(CARDS!$H$5:$H$34,MATCH($D680,CARDS!$A$5:$A$34,0))="","",IF(DAY($B680)&lt;=INDEX(CARDS!$H$5:$H$34,MATCH($D680,CARDS!$A$5:$A$34,0)),DATE(YEAR($B680),MONTH($B680),MIN(INDEX(CARDS!$H$5:$H$34,MATCH($D680,CARDS!$A$5:$A$34,0)),DAY(EOMONTH($B680,0)))),DATE(YEAR($B680),MONTH($B680)+1,MIN(INDEX(CARDS!$H$5:$H$34,MATCH($D680,CARDS!$A$5:$A$34,0)),DAY(EOMONTH($B680,1)))))),""))</f>
        <v/>
      </c>
      <c r="AE680" s="52" t="str">
        <f>IF($C680="","",$C680&amp;"|"&amp;COUNTIF($C$5:$C680,$C680))</f>
        <v/>
      </c>
      <c r="AF680" s="53">
        <f>IF($AC680&gt;0,SUMIFS(Q$4:Q679,$D$4:$D679,$D680,$Z$4:$Z679,$Z680,$C$4:$C679,$C680),0)</f>
        <v>0</v>
      </c>
      <c r="AG680" s="53">
        <f>IF($AC680&gt;0,SUMIFS(Q$4:Q679,$D$4:$D679,$D680,$C$4:$C679,$C680),0)</f>
        <v>0</v>
      </c>
      <c r="AH680" s="53">
        <f>IF($AC680&gt;0,SUMIFS(M$4:M679,$D$4:$D679,$D680,$Z$4:$Z679,$Z680,$C$4:$C679,$C680),0)</f>
        <v>0</v>
      </c>
      <c r="AI680" s="43">
        <f>IF(OR($C680="",$I680=""),0,IF(COUNTIFS($C$5:$C680,$C680,$I$5:$I680,$I680)=1,1,0))</f>
        <v>0</v>
      </c>
      <c r="AJ680" s="43" t="str">
        <f>IF($AI680=1,SUMIFS($AI$4:$AI679,$C$4:$C679,$C680)+1,"")</f>
        <v/>
      </c>
      <c r="AK680" s="43">
        <f>IF(OR($C680="",$K680=""),0,IF(COUNTIFS($C$5:$C680,$C680,$K$5:$K680,$K680)=1,1,0))</f>
        <v>0</v>
      </c>
      <c r="AL680" s="43" t="str">
        <f>IF($AK680=1,SUMIFS($AK$4:$AK679,$C$4:$C679,$C680)+1,"")</f>
        <v/>
      </c>
      <c r="AM680" s="43">
        <f>IF(OR($C680="",$G680=""),0,IF(COUNTIFS($C$5:$C680,$C680,$G$5:$G680,$G680)=1,1,0))</f>
        <v>0</v>
      </c>
      <c r="AN680" s="43" t="str">
        <f>IF($AM680=1,SUMIFS($AM$4:$AM679,$C$4:$C679,$C680)+1,"")</f>
        <v/>
      </c>
    </row>
    <row r="681">
      <c r="A681" s="44" t="str">
        <f>IF(OR($B681="",$D681=""),"","TX"&amp;TEXT(ROW()-4,"0000"))</f>
        <v/>
      </c>
      <c r="B681" s="42" t="n"/>
      <c r="C681" s="47" t="str">
        <f>IF($B681="","",YEAR($B681)*100+MONTH($B681))</f>
        <v/>
      </c>
      <c r="D681" s="37" t="n"/>
      <c r="E681" s="45" t="str">
        <f>IF($D681="","",IFERROR(INDEX(CARDS!$B$5:$B$34,MATCH($D681,CARDS!$A$5:$A$34,0)),"⚠ Card ID?"))</f>
        <v/>
      </c>
      <c r="F681" s="45" t="str">
        <f>IF($D681="","",IFERROR(INDEX(CARDS!$C$5:$C$34,MATCH($D681,CARDS!$A$5:$A$34,0)),"⚠ Card ID?"))</f>
        <v/>
      </c>
      <c r="G681" s="37" t="n"/>
      <c r="H681" s="37" t="n"/>
      <c r="I681" s="41" t="n"/>
      <c r="J681" s="45" t="str">
        <f>IF($I681="","",IFERROR(INDEX(MCC_MASTER!$B$5:$B$504,MATCH($I681,MCC_MASTER!$A$5:$A$504,0)),"⚠ MCC chưa có"))</f>
        <v/>
      </c>
      <c r="K681" s="45" t="str">
        <f>IF($I681="","",IFERROR(IF(INDEX(MCC_MASTER!$C$5:$C$504,MATCH($I681,MCC_MASTER!$A$5:$A$504,0))="","Chưa phân loại",INDEX(MCC_MASTER!$C$5:$C$504,MATCH($I681,MCC_MASTER!$A$5:$A$504,0))),"Chưa phân loại"))</f>
        <v/>
      </c>
      <c r="L681" s="40" t="n"/>
      <c r="M681" s="48" t="str">
        <f>IF(OR($B681="",$D681=""),"",IF($AC681=0,0,IF(ISNUMBER(INDEX(CASHBACK_RULES!$L$5:$L$304,$AC681)),MAX(0,MIN($L681,INDEX(CASHBACK_RULES!$L$5:$L$304,$AC681)-$AH681)),MAX(0,$L681))))</f>
        <v/>
      </c>
      <c r="N681" s="49" t="str">
        <f>IF(OR($B681="",$D681=""),"",IF($AC681&gt;0,INDEX(CASHBACK_RULES!$I$5:$I$304,$AC681),0))</f>
        <v/>
      </c>
      <c r="O681" s="48" t="str">
        <f>IF(OR($B681="",$D681=""),"",ROUND($M681*$N681,0))</f>
        <v/>
      </c>
      <c r="P681" s="48" t="str">
        <f>IF($AC681&gt;0,IF(ISNUMBER(INDEX(CASHBACK_RULES!$J$5:$J$304,$AC681)),INDEX(CASHBACK_RULES!$J$5:$J$304,$AC681),"∞"),"")</f>
        <v/>
      </c>
      <c r="Q681" s="48" t="str">
        <f>IF(OR($B681="",$D681=""),"",IF($AC681=0,0,MAX(0,MIN($O681,IF(ISNUMBER($P681),$P681-$AF681,1E+15),IF(ISNUMBER($AA681),$AA681-$AG681,1E+15)))))</f>
        <v/>
      </c>
      <c r="R681" s="48" t="str">
        <f>IF(OR($B681="",$D681=""),"",IF($AC681=0,"",IF(AND(NOT(ISNUMBER($P681)),NOT(ISNUMBER($AA681))),"∞",MAX(0,MIN(IF(ISNUMBER($P681),$P681-$AF681-$Q681,1E+15),IF(ISNUMBER($AA681),$AA681-$AG681-$Q681,1E+15))))))</f>
        <v/>
      </c>
      <c r="S681" s="47" t="str">
        <f>IF($AD681="","",YEAR($AD681)*100+MONTH($AD681))</f>
        <v/>
      </c>
      <c r="T681" s="50" t="str">
        <f>IF($AD681="","",IFERROR(IF(INDEX(CARDS!$I$5:$I$34,MATCH($D681,CARDS!$A$5:$A$34,0))="","",IF(INDEX(CARDS!$I$5:$I$34,MATCH($D681,CARDS!$A$5:$A$34,0))&gt;INDEX(CARDS!$H$5:$H$34,MATCH($D681,CARDS!$A$5:$A$34,0)),DATE(YEAR($AD681),MONTH($AD681),MIN(INDEX(CARDS!$I$5:$I$34,MATCH($D681,CARDS!$A$5:$A$34,0)),DAY(EOMONTH($AD681,0)))),DATE(YEAR($AD681),MONTH($AD681)+1,MIN(INDEX(CARDS!$I$5:$I$34,MATCH($D681,CARDS!$A$5:$A$34,0)),DAY(EOMONTH($AD681,1)))))),""))</f>
        <v/>
      </c>
      <c r="U681" s="38" t="n"/>
      <c r="V681" s="37" t="n"/>
      <c r="W681" s="38" t="n"/>
      <c r="X681" s="38" t="n"/>
      <c r="Y681" s="44" t="str">
        <f>IF($AC681&gt;0,INDEX(CASHBACK_RULES!$A$5:$A$304,$AC681),"")</f>
        <v/>
      </c>
      <c r="Z681" s="45" t="str">
        <f>IF($AC681&gt;0,INDEX(CASHBACK_RULES!$E$5:$E$304,$AC681)&amp;"","")</f>
        <v/>
      </c>
      <c r="AA681" s="48" t="str">
        <f>IF($AC681&gt;0,IF(ISNUMBER(INDEX(CASHBACK_RULES!$K$5:$K$304,$AC681)),INDEX(CASHBACK_RULES!$K$5:$K$304,$AC681),"∞"),"")</f>
        <v/>
      </c>
      <c r="AB681" s="44" t="str">
        <f>IF(OR($B681="",$D681=""),"",IF($U681="Cancelled","Đã hủy",IF($AC681=0,"Không được hoàn",IF($Q681=0,IF(OR($O681&gt;0,$M681&lt;$L681),"Đã đạt cap","Không được hoàn"),IF(OR($Q681&lt;$O681,$M681&lt;$L681),"Hoàn một phần","Được hoàn")))))</f>
        <v/>
      </c>
      <c r="AC681" s="43">
        <f>IF(OR($B681="",$D681="",$I681="",$L681=""),0,IF($U681="Cancelled",0,IF($W681&lt;&gt;"",IFERROR(IF(INDEX(CASHBACK_RULES!$B$5:$B$304,MATCH($W681,CASHBACK_RULES!$A$5:$A$304,0))=$D681,MATCH($W681,CASHBACK_RULES!$A$5:$A$304,0),0),0),IFERROR(MATCH(1,INDEX((CASHBACK_RULES!$B$5:$B$304=$D681)*(CASHBACK_RULES!$G$5:$G$304=$I681)*(((CASHBACK_RULES!$N$5:$N$304="")+(CASHBACK_RULES!$N$5:$N$304&lt;=$B681))&gt;0)*(((CASHBACK_RULES!$O$5:$O$304="")+(CASHBACK_RULES!$O$5:$O$304&gt;=$B681))&gt;0)*(((CASHBACK_RULES!$M$5:$M$304="")+(CASHBACK_RULES!$M$5:$M$304&lt;=$L681))&gt;0),0),0),0))))</f>
        <v>0</v>
      </c>
      <c r="AD681" s="51" t="str">
        <f>IF(OR($B681="",$D681=""),"",IFERROR(IF(INDEX(CARDS!$H$5:$H$34,MATCH($D681,CARDS!$A$5:$A$34,0))="","",IF(DAY($B681)&lt;=INDEX(CARDS!$H$5:$H$34,MATCH($D681,CARDS!$A$5:$A$34,0)),DATE(YEAR($B681),MONTH($B681),MIN(INDEX(CARDS!$H$5:$H$34,MATCH($D681,CARDS!$A$5:$A$34,0)),DAY(EOMONTH($B681,0)))),DATE(YEAR($B681),MONTH($B681)+1,MIN(INDEX(CARDS!$H$5:$H$34,MATCH($D681,CARDS!$A$5:$A$34,0)),DAY(EOMONTH($B681,1)))))),""))</f>
        <v/>
      </c>
      <c r="AE681" s="52" t="str">
        <f>IF($C681="","",$C681&amp;"|"&amp;COUNTIF($C$5:$C681,$C681))</f>
        <v/>
      </c>
      <c r="AF681" s="53">
        <f>IF($AC681&gt;0,SUMIFS(Q$4:Q680,$D$4:$D680,$D681,$Z$4:$Z680,$Z681,$C$4:$C680,$C681),0)</f>
        <v>0</v>
      </c>
      <c r="AG681" s="53">
        <f>IF($AC681&gt;0,SUMIFS(Q$4:Q680,$D$4:$D680,$D681,$C$4:$C680,$C681),0)</f>
        <v>0</v>
      </c>
      <c r="AH681" s="53">
        <f>IF($AC681&gt;0,SUMIFS(M$4:M680,$D$4:$D680,$D681,$Z$4:$Z680,$Z681,$C$4:$C680,$C681),0)</f>
        <v>0</v>
      </c>
      <c r="AI681" s="43">
        <f>IF(OR($C681="",$I681=""),0,IF(COUNTIFS($C$5:$C681,$C681,$I$5:$I681,$I681)=1,1,0))</f>
        <v>0</v>
      </c>
      <c r="AJ681" s="43" t="str">
        <f>IF($AI681=1,SUMIFS($AI$4:$AI680,$C$4:$C680,$C681)+1,"")</f>
        <v/>
      </c>
      <c r="AK681" s="43">
        <f>IF(OR($C681="",$K681=""),0,IF(COUNTIFS($C$5:$C681,$C681,$K$5:$K681,$K681)=1,1,0))</f>
        <v>0</v>
      </c>
      <c r="AL681" s="43" t="str">
        <f>IF($AK681=1,SUMIFS($AK$4:$AK680,$C$4:$C680,$C681)+1,"")</f>
        <v/>
      </c>
      <c r="AM681" s="43">
        <f>IF(OR($C681="",$G681=""),0,IF(COUNTIFS($C$5:$C681,$C681,$G$5:$G681,$G681)=1,1,0))</f>
        <v>0</v>
      </c>
      <c r="AN681" s="43" t="str">
        <f>IF($AM681=1,SUMIFS($AM$4:$AM680,$C$4:$C680,$C681)+1,"")</f>
        <v/>
      </c>
    </row>
    <row r="682">
      <c r="A682" s="44" t="str">
        <f>IF(OR($B682="",$D682=""),"","TX"&amp;TEXT(ROW()-4,"0000"))</f>
        <v/>
      </c>
      <c r="B682" s="42" t="n"/>
      <c r="C682" s="47" t="str">
        <f>IF($B682="","",YEAR($B682)*100+MONTH($B682))</f>
        <v/>
      </c>
      <c r="D682" s="37" t="n"/>
      <c r="E682" s="45" t="str">
        <f>IF($D682="","",IFERROR(INDEX(CARDS!$B$5:$B$34,MATCH($D682,CARDS!$A$5:$A$34,0)),"⚠ Card ID?"))</f>
        <v/>
      </c>
      <c r="F682" s="45" t="str">
        <f>IF($D682="","",IFERROR(INDEX(CARDS!$C$5:$C$34,MATCH($D682,CARDS!$A$5:$A$34,0)),"⚠ Card ID?"))</f>
        <v/>
      </c>
      <c r="G682" s="37" t="n"/>
      <c r="H682" s="37" t="n"/>
      <c r="I682" s="41" t="n"/>
      <c r="J682" s="45" t="str">
        <f>IF($I682="","",IFERROR(INDEX(MCC_MASTER!$B$5:$B$504,MATCH($I682,MCC_MASTER!$A$5:$A$504,0)),"⚠ MCC chưa có"))</f>
        <v/>
      </c>
      <c r="K682" s="45" t="str">
        <f>IF($I682="","",IFERROR(IF(INDEX(MCC_MASTER!$C$5:$C$504,MATCH($I682,MCC_MASTER!$A$5:$A$504,0))="","Chưa phân loại",INDEX(MCC_MASTER!$C$5:$C$504,MATCH($I682,MCC_MASTER!$A$5:$A$504,0))),"Chưa phân loại"))</f>
        <v/>
      </c>
      <c r="L682" s="40" t="n"/>
      <c r="M682" s="48" t="str">
        <f>IF(OR($B682="",$D682=""),"",IF($AC682=0,0,IF(ISNUMBER(INDEX(CASHBACK_RULES!$L$5:$L$304,$AC682)),MAX(0,MIN($L682,INDEX(CASHBACK_RULES!$L$5:$L$304,$AC682)-$AH682)),MAX(0,$L682))))</f>
        <v/>
      </c>
      <c r="N682" s="49" t="str">
        <f>IF(OR($B682="",$D682=""),"",IF($AC682&gt;0,INDEX(CASHBACK_RULES!$I$5:$I$304,$AC682),0))</f>
        <v/>
      </c>
      <c r="O682" s="48" t="str">
        <f>IF(OR($B682="",$D682=""),"",ROUND($M682*$N682,0))</f>
        <v/>
      </c>
      <c r="P682" s="48" t="str">
        <f>IF($AC682&gt;0,IF(ISNUMBER(INDEX(CASHBACK_RULES!$J$5:$J$304,$AC682)),INDEX(CASHBACK_RULES!$J$5:$J$304,$AC682),"∞"),"")</f>
        <v/>
      </c>
      <c r="Q682" s="48" t="str">
        <f>IF(OR($B682="",$D682=""),"",IF($AC682=0,0,MAX(0,MIN($O682,IF(ISNUMBER($P682),$P682-$AF682,1E+15),IF(ISNUMBER($AA682),$AA682-$AG682,1E+15)))))</f>
        <v/>
      </c>
      <c r="R682" s="48" t="str">
        <f>IF(OR($B682="",$D682=""),"",IF($AC682=0,"",IF(AND(NOT(ISNUMBER($P682)),NOT(ISNUMBER($AA682))),"∞",MAX(0,MIN(IF(ISNUMBER($P682),$P682-$AF682-$Q682,1E+15),IF(ISNUMBER($AA682),$AA682-$AG682-$Q682,1E+15))))))</f>
        <v/>
      </c>
      <c r="S682" s="47" t="str">
        <f>IF($AD682="","",YEAR($AD682)*100+MONTH($AD682))</f>
        <v/>
      </c>
      <c r="T682" s="50" t="str">
        <f>IF($AD682="","",IFERROR(IF(INDEX(CARDS!$I$5:$I$34,MATCH($D682,CARDS!$A$5:$A$34,0))="","",IF(INDEX(CARDS!$I$5:$I$34,MATCH($D682,CARDS!$A$5:$A$34,0))&gt;INDEX(CARDS!$H$5:$H$34,MATCH($D682,CARDS!$A$5:$A$34,0)),DATE(YEAR($AD682),MONTH($AD682),MIN(INDEX(CARDS!$I$5:$I$34,MATCH($D682,CARDS!$A$5:$A$34,0)),DAY(EOMONTH($AD682,0)))),DATE(YEAR($AD682),MONTH($AD682)+1,MIN(INDEX(CARDS!$I$5:$I$34,MATCH($D682,CARDS!$A$5:$A$34,0)),DAY(EOMONTH($AD682,1)))))),""))</f>
        <v/>
      </c>
      <c r="U682" s="38" t="n"/>
      <c r="V682" s="37" t="n"/>
      <c r="W682" s="38" t="n"/>
      <c r="X682" s="38" t="n"/>
      <c r="Y682" s="44" t="str">
        <f>IF($AC682&gt;0,INDEX(CASHBACK_RULES!$A$5:$A$304,$AC682),"")</f>
        <v/>
      </c>
      <c r="Z682" s="45" t="str">
        <f>IF($AC682&gt;0,INDEX(CASHBACK_RULES!$E$5:$E$304,$AC682)&amp;"","")</f>
        <v/>
      </c>
      <c r="AA682" s="48" t="str">
        <f>IF($AC682&gt;0,IF(ISNUMBER(INDEX(CASHBACK_RULES!$K$5:$K$304,$AC682)),INDEX(CASHBACK_RULES!$K$5:$K$304,$AC682),"∞"),"")</f>
        <v/>
      </c>
      <c r="AB682" s="44" t="str">
        <f>IF(OR($B682="",$D682=""),"",IF($U682="Cancelled","Đã hủy",IF($AC682=0,"Không được hoàn",IF($Q682=0,IF(OR($O682&gt;0,$M682&lt;$L682),"Đã đạt cap","Không được hoàn"),IF(OR($Q682&lt;$O682,$M682&lt;$L682),"Hoàn một phần","Được hoàn")))))</f>
        <v/>
      </c>
      <c r="AC682" s="43">
        <f>IF(OR($B682="",$D682="",$I682="",$L682=""),0,IF($U682="Cancelled",0,IF($W682&lt;&gt;"",IFERROR(IF(INDEX(CASHBACK_RULES!$B$5:$B$304,MATCH($W682,CASHBACK_RULES!$A$5:$A$304,0))=$D682,MATCH($W682,CASHBACK_RULES!$A$5:$A$304,0),0),0),IFERROR(MATCH(1,INDEX((CASHBACK_RULES!$B$5:$B$304=$D682)*(CASHBACK_RULES!$G$5:$G$304=$I682)*(((CASHBACK_RULES!$N$5:$N$304="")+(CASHBACK_RULES!$N$5:$N$304&lt;=$B682))&gt;0)*(((CASHBACK_RULES!$O$5:$O$304="")+(CASHBACK_RULES!$O$5:$O$304&gt;=$B682))&gt;0)*(((CASHBACK_RULES!$M$5:$M$304="")+(CASHBACK_RULES!$M$5:$M$304&lt;=$L682))&gt;0),0),0),0))))</f>
        <v>0</v>
      </c>
      <c r="AD682" s="51" t="str">
        <f>IF(OR($B682="",$D682=""),"",IFERROR(IF(INDEX(CARDS!$H$5:$H$34,MATCH($D682,CARDS!$A$5:$A$34,0))="","",IF(DAY($B682)&lt;=INDEX(CARDS!$H$5:$H$34,MATCH($D682,CARDS!$A$5:$A$34,0)),DATE(YEAR($B682),MONTH($B682),MIN(INDEX(CARDS!$H$5:$H$34,MATCH($D682,CARDS!$A$5:$A$34,0)),DAY(EOMONTH($B682,0)))),DATE(YEAR($B682),MONTH($B682)+1,MIN(INDEX(CARDS!$H$5:$H$34,MATCH($D682,CARDS!$A$5:$A$34,0)),DAY(EOMONTH($B682,1)))))),""))</f>
        <v/>
      </c>
      <c r="AE682" s="52" t="str">
        <f>IF($C682="","",$C682&amp;"|"&amp;COUNTIF($C$5:$C682,$C682))</f>
        <v/>
      </c>
      <c r="AF682" s="53">
        <f>IF($AC682&gt;0,SUMIFS(Q$4:Q681,$D$4:$D681,$D682,$Z$4:$Z681,$Z682,$C$4:$C681,$C682),0)</f>
        <v>0</v>
      </c>
      <c r="AG682" s="53">
        <f>IF($AC682&gt;0,SUMIFS(Q$4:Q681,$D$4:$D681,$D682,$C$4:$C681,$C682),0)</f>
        <v>0</v>
      </c>
      <c r="AH682" s="53">
        <f>IF($AC682&gt;0,SUMIFS(M$4:M681,$D$4:$D681,$D682,$Z$4:$Z681,$Z682,$C$4:$C681,$C682),0)</f>
        <v>0</v>
      </c>
      <c r="AI682" s="43">
        <f>IF(OR($C682="",$I682=""),0,IF(COUNTIFS($C$5:$C682,$C682,$I$5:$I682,$I682)=1,1,0))</f>
        <v>0</v>
      </c>
      <c r="AJ682" s="43" t="str">
        <f>IF($AI682=1,SUMIFS($AI$4:$AI681,$C$4:$C681,$C682)+1,"")</f>
        <v/>
      </c>
      <c r="AK682" s="43">
        <f>IF(OR($C682="",$K682=""),0,IF(COUNTIFS($C$5:$C682,$C682,$K$5:$K682,$K682)=1,1,0))</f>
        <v>0</v>
      </c>
      <c r="AL682" s="43" t="str">
        <f>IF($AK682=1,SUMIFS($AK$4:$AK681,$C$4:$C681,$C682)+1,"")</f>
        <v/>
      </c>
      <c r="AM682" s="43">
        <f>IF(OR($C682="",$G682=""),0,IF(COUNTIFS($C$5:$C682,$C682,$G$5:$G682,$G682)=1,1,0))</f>
        <v>0</v>
      </c>
      <c r="AN682" s="43" t="str">
        <f>IF($AM682=1,SUMIFS($AM$4:$AM681,$C$4:$C681,$C682)+1,"")</f>
        <v/>
      </c>
    </row>
    <row r="683">
      <c r="A683" s="44" t="str">
        <f>IF(OR($B683="",$D683=""),"","TX"&amp;TEXT(ROW()-4,"0000"))</f>
        <v/>
      </c>
      <c r="B683" s="42" t="n"/>
      <c r="C683" s="47" t="str">
        <f>IF($B683="","",YEAR($B683)*100+MONTH($B683))</f>
        <v/>
      </c>
      <c r="D683" s="37" t="n"/>
      <c r="E683" s="45" t="str">
        <f>IF($D683="","",IFERROR(INDEX(CARDS!$B$5:$B$34,MATCH($D683,CARDS!$A$5:$A$34,0)),"⚠ Card ID?"))</f>
        <v/>
      </c>
      <c r="F683" s="45" t="str">
        <f>IF($D683="","",IFERROR(INDEX(CARDS!$C$5:$C$34,MATCH($D683,CARDS!$A$5:$A$34,0)),"⚠ Card ID?"))</f>
        <v/>
      </c>
      <c r="G683" s="37" t="n"/>
      <c r="H683" s="37" t="n"/>
      <c r="I683" s="41" t="n"/>
      <c r="J683" s="45" t="str">
        <f>IF($I683="","",IFERROR(INDEX(MCC_MASTER!$B$5:$B$504,MATCH($I683,MCC_MASTER!$A$5:$A$504,0)),"⚠ MCC chưa có"))</f>
        <v/>
      </c>
      <c r="K683" s="45" t="str">
        <f>IF($I683="","",IFERROR(IF(INDEX(MCC_MASTER!$C$5:$C$504,MATCH($I683,MCC_MASTER!$A$5:$A$504,0))="","Chưa phân loại",INDEX(MCC_MASTER!$C$5:$C$504,MATCH($I683,MCC_MASTER!$A$5:$A$504,0))),"Chưa phân loại"))</f>
        <v/>
      </c>
      <c r="L683" s="40" t="n"/>
      <c r="M683" s="48" t="str">
        <f>IF(OR($B683="",$D683=""),"",IF($AC683=0,0,IF(ISNUMBER(INDEX(CASHBACK_RULES!$L$5:$L$304,$AC683)),MAX(0,MIN($L683,INDEX(CASHBACK_RULES!$L$5:$L$304,$AC683)-$AH683)),MAX(0,$L683))))</f>
        <v/>
      </c>
      <c r="N683" s="49" t="str">
        <f>IF(OR($B683="",$D683=""),"",IF($AC683&gt;0,INDEX(CASHBACK_RULES!$I$5:$I$304,$AC683),0))</f>
        <v/>
      </c>
      <c r="O683" s="48" t="str">
        <f>IF(OR($B683="",$D683=""),"",ROUND($M683*$N683,0))</f>
        <v/>
      </c>
      <c r="P683" s="48" t="str">
        <f>IF($AC683&gt;0,IF(ISNUMBER(INDEX(CASHBACK_RULES!$J$5:$J$304,$AC683)),INDEX(CASHBACK_RULES!$J$5:$J$304,$AC683),"∞"),"")</f>
        <v/>
      </c>
      <c r="Q683" s="48" t="str">
        <f>IF(OR($B683="",$D683=""),"",IF($AC683=0,0,MAX(0,MIN($O683,IF(ISNUMBER($P683),$P683-$AF683,1E+15),IF(ISNUMBER($AA683),$AA683-$AG683,1E+15)))))</f>
        <v/>
      </c>
      <c r="R683" s="48" t="str">
        <f>IF(OR($B683="",$D683=""),"",IF($AC683=0,"",IF(AND(NOT(ISNUMBER($P683)),NOT(ISNUMBER($AA683))),"∞",MAX(0,MIN(IF(ISNUMBER($P683),$P683-$AF683-$Q683,1E+15),IF(ISNUMBER($AA683),$AA683-$AG683-$Q683,1E+15))))))</f>
        <v/>
      </c>
      <c r="S683" s="47" t="str">
        <f>IF($AD683="","",YEAR($AD683)*100+MONTH($AD683))</f>
        <v/>
      </c>
      <c r="T683" s="50" t="str">
        <f>IF($AD683="","",IFERROR(IF(INDEX(CARDS!$I$5:$I$34,MATCH($D683,CARDS!$A$5:$A$34,0))="","",IF(INDEX(CARDS!$I$5:$I$34,MATCH($D683,CARDS!$A$5:$A$34,0))&gt;INDEX(CARDS!$H$5:$H$34,MATCH($D683,CARDS!$A$5:$A$34,0)),DATE(YEAR($AD683),MONTH($AD683),MIN(INDEX(CARDS!$I$5:$I$34,MATCH($D683,CARDS!$A$5:$A$34,0)),DAY(EOMONTH($AD683,0)))),DATE(YEAR($AD683),MONTH($AD683)+1,MIN(INDEX(CARDS!$I$5:$I$34,MATCH($D683,CARDS!$A$5:$A$34,0)),DAY(EOMONTH($AD683,1)))))),""))</f>
        <v/>
      </c>
      <c r="U683" s="38" t="n"/>
      <c r="V683" s="37" t="n"/>
      <c r="W683" s="38" t="n"/>
      <c r="X683" s="38" t="n"/>
      <c r="Y683" s="44" t="str">
        <f>IF($AC683&gt;0,INDEX(CASHBACK_RULES!$A$5:$A$304,$AC683),"")</f>
        <v/>
      </c>
      <c r="Z683" s="45" t="str">
        <f>IF($AC683&gt;0,INDEX(CASHBACK_RULES!$E$5:$E$304,$AC683)&amp;"","")</f>
        <v/>
      </c>
      <c r="AA683" s="48" t="str">
        <f>IF($AC683&gt;0,IF(ISNUMBER(INDEX(CASHBACK_RULES!$K$5:$K$304,$AC683)),INDEX(CASHBACK_RULES!$K$5:$K$304,$AC683),"∞"),"")</f>
        <v/>
      </c>
      <c r="AB683" s="44" t="str">
        <f>IF(OR($B683="",$D683=""),"",IF($U683="Cancelled","Đã hủy",IF($AC683=0,"Không được hoàn",IF($Q683=0,IF(OR($O683&gt;0,$M683&lt;$L683),"Đã đạt cap","Không được hoàn"),IF(OR($Q683&lt;$O683,$M683&lt;$L683),"Hoàn một phần","Được hoàn")))))</f>
        <v/>
      </c>
      <c r="AC683" s="43">
        <f>IF(OR($B683="",$D683="",$I683="",$L683=""),0,IF($U683="Cancelled",0,IF($W683&lt;&gt;"",IFERROR(IF(INDEX(CASHBACK_RULES!$B$5:$B$304,MATCH($W683,CASHBACK_RULES!$A$5:$A$304,0))=$D683,MATCH($W683,CASHBACK_RULES!$A$5:$A$304,0),0),0),IFERROR(MATCH(1,INDEX((CASHBACK_RULES!$B$5:$B$304=$D683)*(CASHBACK_RULES!$G$5:$G$304=$I683)*(((CASHBACK_RULES!$N$5:$N$304="")+(CASHBACK_RULES!$N$5:$N$304&lt;=$B683))&gt;0)*(((CASHBACK_RULES!$O$5:$O$304="")+(CASHBACK_RULES!$O$5:$O$304&gt;=$B683))&gt;0)*(((CASHBACK_RULES!$M$5:$M$304="")+(CASHBACK_RULES!$M$5:$M$304&lt;=$L683))&gt;0),0),0),0))))</f>
        <v>0</v>
      </c>
      <c r="AD683" s="51" t="str">
        <f>IF(OR($B683="",$D683=""),"",IFERROR(IF(INDEX(CARDS!$H$5:$H$34,MATCH($D683,CARDS!$A$5:$A$34,0))="","",IF(DAY($B683)&lt;=INDEX(CARDS!$H$5:$H$34,MATCH($D683,CARDS!$A$5:$A$34,0)),DATE(YEAR($B683),MONTH($B683),MIN(INDEX(CARDS!$H$5:$H$34,MATCH($D683,CARDS!$A$5:$A$34,0)),DAY(EOMONTH($B683,0)))),DATE(YEAR($B683),MONTH($B683)+1,MIN(INDEX(CARDS!$H$5:$H$34,MATCH($D683,CARDS!$A$5:$A$34,0)),DAY(EOMONTH($B683,1)))))),""))</f>
        <v/>
      </c>
      <c r="AE683" s="52" t="str">
        <f>IF($C683="","",$C683&amp;"|"&amp;COUNTIF($C$5:$C683,$C683))</f>
        <v/>
      </c>
      <c r="AF683" s="53">
        <f>IF($AC683&gt;0,SUMIFS(Q$4:Q682,$D$4:$D682,$D683,$Z$4:$Z682,$Z683,$C$4:$C682,$C683),0)</f>
        <v>0</v>
      </c>
      <c r="AG683" s="53">
        <f>IF($AC683&gt;0,SUMIFS(Q$4:Q682,$D$4:$D682,$D683,$C$4:$C682,$C683),0)</f>
        <v>0</v>
      </c>
      <c r="AH683" s="53">
        <f>IF($AC683&gt;0,SUMIFS(M$4:M682,$D$4:$D682,$D683,$Z$4:$Z682,$Z683,$C$4:$C682,$C683),0)</f>
        <v>0</v>
      </c>
      <c r="AI683" s="43">
        <f>IF(OR($C683="",$I683=""),0,IF(COUNTIFS($C$5:$C683,$C683,$I$5:$I683,$I683)=1,1,0))</f>
        <v>0</v>
      </c>
      <c r="AJ683" s="43" t="str">
        <f>IF($AI683=1,SUMIFS($AI$4:$AI682,$C$4:$C682,$C683)+1,"")</f>
        <v/>
      </c>
      <c r="AK683" s="43">
        <f>IF(OR($C683="",$K683=""),0,IF(COUNTIFS($C$5:$C683,$C683,$K$5:$K683,$K683)=1,1,0))</f>
        <v>0</v>
      </c>
      <c r="AL683" s="43" t="str">
        <f>IF($AK683=1,SUMIFS($AK$4:$AK682,$C$4:$C682,$C683)+1,"")</f>
        <v/>
      </c>
      <c r="AM683" s="43">
        <f>IF(OR($C683="",$G683=""),0,IF(COUNTIFS($C$5:$C683,$C683,$G$5:$G683,$G683)=1,1,0))</f>
        <v>0</v>
      </c>
      <c r="AN683" s="43" t="str">
        <f>IF($AM683=1,SUMIFS($AM$4:$AM682,$C$4:$C682,$C683)+1,"")</f>
        <v/>
      </c>
    </row>
    <row r="684">
      <c r="A684" s="44" t="str">
        <f>IF(OR($B684="",$D684=""),"","TX"&amp;TEXT(ROW()-4,"0000"))</f>
        <v/>
      </c>
      <c r="B684" s="42" t="n"/>
      <c r="C684" s="47" t="str">
        <f>IF($B684="","",YEAR($B684)*100+MONTH($B684))</f>
        <v/>
      </c>
      <c r="D684" s="37" t="n"/>
      <c r="E684" s="45" t="str">
        <f>IF($D684="","",IFERROR(INDEX(CARDS!$B$5:$B$34,MATCH($D684,CARDS!$A$5:$A$34,0)),"⚠ Card ID?"))</f>
        <v/>
      </c>
      <c r="F684" s="45" t="str">
        <f>IF($D684="","",IFERROR(INDEX(CARDS!$C$5:$C$34,MATCH($D684,CARDS!$A$5:$A$34,0)),"⚠ Card ID?"))</f>
        <v/>
      </c>
      <c r="G684" s="37" t="n"/>
      <c r="H684" s="37" t="n"/>
      <c r="I684" s="41" t="n"/>
      <c r="J684" s="45" t="str">
        <f>IF($I684="","",IFERROR(INDEX(MCC_MASTER!$B$5:$B$504,MATCH($I684,MCC_MASTER!$A$5:$A$504,0)),"⚠ MCC chưa có"))</f>
        <v/>
      </c>
      <c r="K684" s="45" t="str">
        <f>IF($I684="","",IFERROR(IF(INDEX(MCC_MASTER!$C$5:$C$504,MATCH($I684,MCC_MASTER!$A$5:$A$504,0))="","Chưa phân loại",INDEX(MCC_MASTER!$C$5:$C$504,MATCH($I684,MCC_MASTER!$A$5:$A$504,0))),"Chưa phân loại"))</f>
        <v/>
      </c>
      <c r="L684" s="40" t="n"/>
      <c r="M684" s="48" t="str">
        <f>IF(OR($B684="",$D684=""),"",IF($AC684=0,0,IF(ISNUMBER(INDEX(CASHBACK_RULES!$L$5:$L$304,$AC684)),MAX(0,MIN($L684,INDEX(CASHBACK_RULES!$L$5:$L$304,$AC684)-$AH684)),MAX(0,$L684))))</f>
        <v/>
      </c>
      <c r="N684" s="49" t="str">
        <f>IF(OR($B684="",$D684=""),"",IF($AC684&gt;0,INDEX(CASHBACK_RULES!$I$5:$I$304,$AC684),0))</f>
        <v/>
      </c>
      <c r="O684" s="48" t="str">
        <f>IF(OR($B684="",$D684=""),"",ROUND($M684*$N684,0))</f>
        <v/>
      </c>
      <c r="P684" s="48" t="str">
        <f>IF($AC684&gt;0,IF(ISNUMBER(INDEX(CASHBACK_RULES!$J$5:$J$304,$AC684)),INDEX(CASHBACK_RULES!$J$5:$J$304,$AC684),"∞"),"")</f>
        <v/>
      </c>
      <c r="Q684" s="48" t="str">
        <f>IF(OR($B684="",$D684=""),"",IF($AC684=0,0,MAX(0,MIN($O684,IF(ISNUMBER($P684),$P684-$AF684,1E+15),IF(ISNUMBER($AA684),$AA684-$AG684,1E+15)))))</f>
        <v/>
      </c>
      <c r="R684" s="48" t="str">
        <f>IF(OR($B684="",$D684=""),"",IF($AC684=0,"",IF(AND(NOT(ISNUMBER($P684)),NOT(ISNUMBER($AA684))),"∞",MAX(0,MIN(IF(ISNUMBER($P684),$P684-$AF684-$Q684,1E+15),IF(ISNUMBER($AA684),$AA684-$AG684-$Q684,1E+15))))))</f>
        <v/>
      </c>
      <c r="S684" s="47" t="str">
        <f>IF($AD684="","",YEAR($AD684)*100+MONTH($AD684))</f>
        <v/>
      </c>
      <c r="T684" s="50" t="str">
        <f>IF($AD684="","",IFERROR(IF(INDEX(CARDS!$I$5:$I$34,MATCH($D684,CARDS!$A$5:$A$34,0))="","",IF(INDEX(CARDS!$I$5:$I$34,MATCH($D684,CARDS!$A$5:$A$34,0))&gt;INDEX(CARDS!$H$5:$H$34,MATCH($D684,CARDS!$A$5:$A$34,0)),DATE(YEAR($AD684),MONTH($AD684),MIN(INDEX(CARDS!$I$5:$I$34,MATCH($D684,CARDS!$A$5:$A$34,0)),DAY(EOMONTH($AD684,0)))),DATE(YEAR($AD684),MONTH($AD684)+1,MIN(INDEX(CARDS!$I$5:$I$34,MATCH($D684,CARDS!$A$5:$A$34,0)),DAY(EOMONTH($AD684,1)))))),""))</f>
        <v/>
      </c>
      <c r="U684" s="38" t="n"/>
      <c r="V684" s="37" t="n"/>
      <c r="W684" s="38" t="n"/>
      <c r="X684" s="38" t="n"/>
      <c r="Y684" s="44" t="str">
        <f>IF($AC684&gt;0,INDEX(CASHBACK_RULES!$A$5:$A$304,$AC684),"")</f>
        <v/>
      </c>
      <c r="Z684" s="45" t="str">
        <f>IF($AC684&gt;0,INDEX(CASHBACK_RULES!$E$5:$E$304,$AC684)&amp;"","")</f>
        <v/>
      </c>
      <c r="AA684" s="48" t="str">
        <f>IF($AC684&gt;0,IF(ISNUMBER(INDEX(CASHBACK_RULES!$K$5:$K$304,$AC684)),INDEX(CASHBACK_RULES!$K$5:$K$304,$AC684),"∞"),"")</f>
        <v/>
      </c>
      <c r="AB684" s="44" t="str">
        <f>IF(OR($B684="",$D684=""),"",IF($U684="Cancelled","Đã hủy",IF($AC684=0,"Không được hoàn",IF($Q684=0,IF(OR($O684&gt;0,$M684&lt;$L684),"Đã đạt cap","Không được hoàn"),IF(OR($Q684&lt;$O684,$M684&lt;$L684),"Hoàn một phần","Được hoàn")))))</f>
        <v/>
      </c>
      <c r="AC684" s="43">
        <f>IF(OR($B684="",$D684="",$I684="",$L684=""),0,IF($U684="Cancelled",0,IF($W684&lt;&gt;"",IFERROR(IF(INDEX(CASHBACK_RULES!$B$5:$B$304,MATCH($W684,CASHBACK_RULES!$A$5:$A$304,0))=$D684,MATCH($W684,CASHBACK_RULES!$A$5:$A$304,0),0),0),IFERROR(MATCH(1,INDEX((CASHBACK_RULES!$B$5:$B$304=$D684)*(CASHBACK_RULES!$G$5:$G$304=$I684)*(((CASHBACK_RULES!$N$5:$N$304="")+(CASHBACK_RULES!$N$5:$N$304&lt;=$B684))&gt;0)*(((CASHBACK_RULES!$O$5:$O$304="")+(CASHBACK_RULES!$O$5:$O$304&gt;=$B684))&gt;0)*(((CASHBACK_RULES!$M$5:$M$304="")+(CASHBACK_RULES!$M$5:$M$304&lt;=$L684))&gt;0),0),0),0))))</f>
        <v>0</v>
      </c>
      <c r="AD684" s="51" t="str">
        <f>IF(OR($B684="",$D684=""),"",IFERROR(IF(INDEX(CARDS!$H$5:$H$34,MATCH($D684,CARDS!$A$5:$A$34,0))="","",IF(DAY($B684)&lt;=INDEX(CARDS!$H$5:$H$34,MATCH($D684,CARDS!$A$5:$A$34,0)),DATE(YEAR($B684),MONTH($B684),MIN(INDEX(CARDS!$H$5:$H$34,MATCH($D684,CARDS!$A$5:$A$34,0)),DAY(EOMONTH($B684,0)))),DATE(YEAR($B684),MONTH($B684)+1,MIN(INDEX(CARDS!$H$5:$H$34,MATCH($D684,CARDS!$A$5:$A$34,0)),DAY(EOMONTH($B684,1)))))),""))</f>
        <v/>
      </c>
      <c r="AE684" s="52" t="str">
        <f>IF($C684="","",$C684&amp;"|"&amp;COUNTIF($C$5:$C684,$C684))</f>
        <v/>
      </c>
      <c r="AF684" s="53">
        <f>IF($AC684&gt;0,SUMIFS(Q$4:Q683,$D$4:$D683,$D684,$Z$4:$Z683,$Z684,$C$4:$C683,$C684),0)</f>
        <v>0</v>
      </c>
      <c r="AG684" s="53">
        <f>IF($AC684&gt;0,SUMIFS(Q$4:Q683,$D$4:$D683,$D684,$C$4:$C683,$C684),0)</f>
        <v>0</v>
      </c>
      <c r="AH684" s="53">
        <f>IF($AC684&gt;0,SUMIFS(M$4:M683,$D$4:$D683,$D684,$Z$4:$Z683,$Z684,$C$4:$C683,$C684),0)</f>
        <v>0</v>
      </c>
      <c r="AI684" s="43">
        <f>IF(OR($C684="",$I684=""),0,IF(COUNTIFS($C$5:$C684,$C684,$I$5:$I684,$I684)=1,1,0))</f>
        <v>0</v>
      </c>
      <c r="AJ684" s="43" t="str">
        <f>IF($AI684=1,SUMIFS($AI$4:$AI683,$C$4:$C683,$C684)+1,"")</f>
        <v/>
      </c>
      <c r="AK684" s="43">
        <f>IF(OR($C684="",$K684=""),0,IF(COUNTIFS($C$5:$C684,$C684,$K$5:$K684,$K684)=1,1,0))</f>
        <v>0</v>
      </c>
      <c r="AL684" s="43" t="str">
        <f>IF($AK684=1,SUMIFS($AK$4:$AK683,$C$4:$C683,$C684)+1,"")</f>
        <v/>
      </c>
      <c r="AM684" s="43">
        <f>IF(OR($C684="",$G684=""),0,IF(COUNTIFS($C$5:$C684,$C684,$G$5:$G684,$G684)=1,1,0))</f>
        <v>0</v>
      </c>
      <c r="AN684" s="43" t="str">
        <f>IF($AM684=1,SUMIFS($AM$4:$AM683,$C$4:$C683,$C684)+1,"")</f>
        <v/>
      </c>
    </row>
    <row r="685">
      <c r="A685" s="44" t="str">
        <f>IF(OR($B685="",$D685=""),"","TX"&amp;TEXT(ROW()-4,"0000"))</f>
        <v/>
      </c>
      <c r="B685" s="42" t="n"/>
      <c r="C685" s="47" t="str">
        <f>IF($B685="","",YEAR($B685)*100+MONTH($B685))</f>
        <v/>
      </c>
      <c r="D685" s="37" t="n"/>
      <c r="E685" s="45" t="str">
        <f>IF($D685="","",IFERROR(INDEX(CARDS!$B$5:$B$34,MATCH($D685,CARDS!$A$5:$A$34,0)),"⚠ Card ID?"))</f>
        <v/>
      </c>
      <c r="F685" s="45" t="str">
        <f>IF($D685="","",IFERROR(INDEX(CARDS!$C$5:$C$34,MATCH($D685,CARDS!$A$5:$A$34,0)),"⚠ Card ID?"))</f>
        <v/>
      </c>
      <c r="G685" s="37" t="n"/>
      <c r="H685" s="37" t="n"/>
      <c r="I685" s="41" t="n"/>
      <c r="J685" s="45" t="str">
        <f>IF($I685="","",IFERROR(INDEX(MCC_MASTER!$B$5:$B$504,MATCH($I685,MCC_MASTER!$A$5:$A$504,0)),"⚠ MCC chưa có"))</f>
        <v/>
      </c>
      <c r="K685" s="45" t="str">
        <f>IF($I685="","",IFERROR(IF(INDEX(MCC_MASTER!$C$5:$C$504,MATCH($I685,MCC_MASTER!$A$5:$A$504,0))="","Chưa phân loại",INDEX(MCC_MASTER!$C$5:$C$504,MATCH($I685,MCC_MASTER!$A$5:$A$504,0))),"Chưa phân loại"))</f>
        <v/>
      </c>
      <c r="L685" s="40" t="n"/>
      <c r="M685" s="48" t="str">
        <f>IF(OR($B685="",$D685=""),"",IF($AC685=0,0,IF(ISNUMBER(INDEX(CASHBACK_RULES!$L$5:$L$304,$AC685)),MAX(0,MIN($L685,INDEX(CASHBACK_RULES!$L$5:$L$304,$AC685)-$AH685)),MAX(0,$L685))))</f>
        <v/>
      </c>
      <c r="N685" s="49" t="str">
        <f>IF(OR($B685="",$D685=""),"",IF($AC685&gt;0,INDEX(CASHBACK_RULES!$I$5:$I$304,$AC685),0))</f>
        <v/>
      </c>
      <c r="O685" s="48" t="str">
        <f>IF(OR($B685="",$D685=""),"",ROUND($M685*$N685,0))</f>
        <v/>
      </c>
      <c r="P685" s="48" t="str">
        <f>IF($AC685&gt;0,IF(ISNUMBER(INDEX(CASHBACK_RULES!$J$5:$J$304,$AC685)),INDEX(CASHBACK_RULES!$J$5:$J$304,$AC685),"∞"),"")</f>
        <v/>
      </c>
      <c r="Q685" s="48" t="str">
        <f>IF(OR($B685="",$D685=""),"",IF($AC685=0,0,MAX(0,MIN($O685,IF(ISNUMBER($P685),$P685-$AF685,1E+15),IF(ISNUMBER($AA685),$AA685-$AG685,1E+15)))))</f>
        <v/>
      </c>
      <c r="R685" s="48" t="str">
        <f>IF(OR($B685="",$D685=""),"",IF($AC685=0,"",IF(AND(NOT(ISNUMBER($P685)),NOT(ISNUMBER($AA685))),"∞",MAX(0,MIN(IF(ISNUMBER($P685),$P685-$AF685-$Q685,1E+15),IF(ISNUMBER($AA685),$AA685-$AG685-$Q685,1E+15))))))</f>
        <v/>
      </c>
      <c r="S685" s="47" t="str">
        <f>IF($AD685="","",YEAR($AD685)*100+MONTH($AD685))</f>
        <v/>
      </c>
      <c r="T685" s="50" t="str">
        <f>IF($AD685="","",IFERROR(IF(INDEX(CARDS!$I$5:$I$34,MATCH($D685,CARDS!$A$5:$A$34,0))="","",IF(INDEX(CARDS!$I$5:$I$34,MATCH($D685,CARDS!$A$5:$A$34,0))&gt;INDEX(CARDS!$H$5:$H$34,MATCH($D685,CARDS!$A$5:$A$34,0)),DATE(YEAR($AD685),MONTH($AD685),MIN(INDEX(CARDS!$I$5:$I$34,MATCH($D685,CARDS!$A$5:$A$34,0)),DAY(EOMONTH($AD685,0)))),DATE(YEAR($AD685),MONTH($AD685)+1,MIN(INDEX(CARDS!$I$5:$I$34,MATCH($D685,CARDS!$A$5:$A$34,0)),DAY(EOMONTH($AD685,1)))))),""))</f>
        <v/>
      </c>
      <c r="U685" s="38" t="n"/>
      <c r="V685" s="37" t="n"/>
      <c r="W685" s="38" t="n"/>
      <c r="X685" s="38" t="n"/>
      <c r="Y685" s="44" t="str">
        <f>IF($AC685&gt;0,INDEX(CASHBACK_RULES!$A$5:$A$304,$AC685),"")</f>
        <v/>
      </c>
      <c r="Z685" s="45" t="str">
        <f>IF($AC685&gt;0,INDEX(CASHBACK_RULES!$E$5:$E$304,$AC685)&amp;"","")</f>
        <v/>
      </c>
      <c r="AA685" s="48" t="str">
        <f>IF($AC685&gt;0,IF(ISNUMBER(INDEX(CASHBACK_RULES!$K$5:$K$304,$AC685)),INDEX(CASHBACK_RULES!$K$5:$K$304,$AC685),"∞"),"")</f>
        <v/>
      </c>
      <c r="AB685" s="44" t="str">
        <f>IF(OR($B685="",$D685=""),"",IF($U685="Cancelled","Đã hủy",IF($AC685=0,"Không được hoàn",IF($Q685=0,IF(OR($O685&gt;0,$M685&lt;$L685),"Đã đạt cap","Không được hoàn"),IF(OR($Q685&lt;$O685,$M685&lt;$L685),"Hoàn một phần","Được hoàn")))))</f>
        <v/>
      </c>
      <c r="AC685" s="43">
        <f>IF(OR($B685="",$D685="",$I685="",$L685=""),0,IF($U685="Cancelled",0,IF($W685&lt;&gt;"",IFERROR(IF(INDEX(CASHBACK_RULES!$B$5:$B$304,MATCH($W685,CASHBACK_RULES!$A$5:$A$304,0))=$D685,MATCH($W685,CASHBACK_RULES!$A$5:$A$304,0),0),0),IFERROR(MATCH(1,INDEX((CASHBACK_RULES!$B$5:$B$304=$D685)*(CASHBACK_RULES!$G$5:$G$304=$I685)*(((CASHBACK_RULES!$N$5:$N$304="")+(CASHBACK_RULES!$N$5:$N$304&lt;=$B685))&gt;0)*(((CASHBACK_RULES!$O$5:$O$304="")+(CASHBACK_RULES!$O$5:$O$304&gt;=$B685))&gt;0)*(((CASHBACK_RULES!$M$5:$M$304="")+(CASHBACK_RULES!$M$5:$M$304&lt;=$L685))&gt;0),0),0),0))))</f>
        <v>0</v>
      </c>
      <c r="AD685" s="51" t="str">
        <f>IF(OR($B685="",$D685=""),"",IFERROR(IF(INDEX(CARDS!$H$5:$H$34,MATCH($D685,CARDS!$A$5:$A$34,0))="","",IF(DAY($B685)&lt;=INDEX(CARDS!$H$5:$H$34,MATCH($D685,CARDS!$A$5:$A$34,0)),DATE(YEAR($B685),MONTH($B685),MIN(INDEX(CARDS!$H$5:$H$34,MATCH($D685,CARDS!$A$5:$A$34,0)),DAY(EOMONTH($B685,0)))),DATE(YEAR($B685),MONTH($B685)+1,MIN(INDEX(CARDS!$H$5:$H$34,MATCH($D685,CARDS!$A$5:$A$34,0)),DAY(EOMONTH($B685,1)))))),""))</f>
        <v/>
      </c>
      <c r="AE685" s="52" t="str">
        <f>IF($C685="","",$C685&amp;"|"&amp;COUNTIF($C$5:$C685,$C685))</f>
        <v/>
      </c>
      <c r="AF685" s="53">
        <f>IF($AC685&gt;0,SUMIFS(Q$4:Q684,$D$4:$D684,$D685,$Z$4:$Z684,$Z685,$C$4:$C684,$C685),0)</f>
        <v>0</v>
      </c>
      <c r="AG685" s="53">
        <f>IF($AC685&gt;0,SUMIFS(Q$4:Q684,$D$4:$D684,$D685,$C$4:$C684,$C685),0)</f>
        <v>0</v>
      </c>
      <c r="AH685" s="53">
        <f>IF($AC685&gt;0,SUMIFS(M$4:M684,$D$4:$D684,$D685,$Z$4:$Z684,$Z685,$C$4:$C684,$C685),0)</f>
        <v>0</v>
      </c>
      <c r="AI685" s="43">
        <f>IF(OR($C685="",$I685=""),0,IF(COUNTIFS($C$5:$C685,$C685,$I$5:$I685,$I685)=1,1,0))</f>
        <v>0</v>
      </c>
      <c r="AJ685" s="43" t="str">
        <f>IF($AI685=1,SUMIFS($AI$4:$AI684,$C$4:$C684,$C685)+1,"")</f>
        <v/>
      </c>
      <c r="AK685" s="43">
        <f>IF(OR($C685="",$K685=""),0,IF(COUNTIFS($C$5:$C685,$C685,$K$5:$K685,$K685)=1,1,0))</f>
        <v>0</v>
      </c>
      <c r="AL685" s="43" t="str">
        <f>IF($AK685=1,SUMIFS($AK$4:$AK684,$C$4:$C684,$C685)+1,"")</f>
        <v/>
      </c>
      <c r="AM685" s="43">
        <f>IF(OR($C685="",$G685=""),0,IF(COUNTIFS($C$5:$C685,$C685,$G$5:$G685,$G685)=1,1,0))</f>
        <v>0</v>
      </c>
      <c r="AN685" s="43" t="str">
        <f>IF($AM685=1,SUMIFS($AM$4:$AM684,$C$4:$C684,$C685)+1,"")</f>
        <v/>
      </c>
    </row>
    <row r="686">
      <c r="A686" s="44" t="str">
        <f>IF(OR($B686="",$D686=""),"","TX"&amp;TEXT(ROW()-4,"0000"))</f>
        <v/>
      </c>
      <c r="B686" s="42" t="n"/>
      <c r="C686" s="47" t="str">
        <f>IF($B686="","",YEAR($B686)*100+MONTH($B686))</f>
        <v/>
      </c>
      <c r="D686" s="37" t="n"/>
      <c r="E686" s="45" t="str">
        <f>IF($D686="","",IFERROR(INDEX(CARDS!$B$5:$B$34,MATCH($D686,CARDS!$A$5:$A$34,0)),"⚠ Card ID?"))</f>
        <v/>
      </c>
      <c r="F686" s="45" t="str">
        <f>IF($D686="","",IFERROR(INDEX(CARDS!$C$5:$C$34,MATCH($D686,CARDS!$A$5:$A$34,0)),"⚠ Card ID?"))</f>
        <v/>
      </c>
      <c r="G686" s="37" t="n"/>
      <c r="H686" s="37" t="n"/>
      <c r="I686" s="41" t="n"/>
      <c r="J686" s="45" t="str">
        <f>IF($I686="","",IFERROR(INDEX(MCC_MASTER!$B$5:$B$504,MATCH($I686,MCC_MASTER!$A$5:$A$504,0)),"⚠ MCC chưa có"))</f>
        <v/>
      </c>
      <c r="K686" s="45" t="str">
        <f>IF($I686="","",IFERROR(IF(INDEX(MCC_MASTER!$C$5:$C$504,MATCH($I686,MCC_MASTER!$A$5:$A$504,0))="","Chưa phân loại",INDEX(MCC_MASTER!$C$5:$C$504,MATCH($I686,MCC_MASTER!$A$5:$A$504,0))),"Chưa phân loại"))</f>
        <v/>
      </c>
      <c r="L686" s="40" t="n"/>
      <c r="M686" s="48" t="str">
        <f>IF(OR($B686="",$D686=""),"",IF($AC686=0,0,IF(ISNUMBER(INDEX(CASHBACK_RULES!$L$5:$L$304,$AC686)),MAX(0,MIN($L686,INDEX(CASHBACK_RULES!$L$5:$L$304,$AC686)-$AH686)),MAX(0,$L686))))</f>
        <v/>
      </c>
      <c r="N686" s="49" t="str">
        <f>IF(OR($B686="",$D686=""),"",IF($AC686&gt;0,INDEX(CASHBACK_RULES!$I$5:$I$304,$AC686),0))</f>
        <v/>
      </c>
      <c r="O686" s="48" t="str">
        <f>IF(OR($B686="",$D686=""),"",ROUND($M686*$N686,0))</f>
        <v/>
      </c>
      <c r="P686" s="48" t="str">
        <f>IF($AC686&gt;0,IF(ISNUMBER(INDEX(CASHBACK_RULES!$J$5:$J$304,$AC686)),INDEX(CASHBACK_RULES!$J$5:$J$304,$AC686),"∞"),"")</f>
        <v/>
      </c>
      <c r="Q686" s="48" t="str">
        <f>IF(OR($B686="",$D686=""),"",IF($AC686=0,0,MAX(0,MIN($O686,IF(ISNUMBER($P686),$P686-$AF686,1E+15),IF(ISNUMBER($AA686),$AA686-$AG686,1E+15)))))</f>
        <v/>
      </c>
      <c r="R686" s="48" t="str">
        <f>IF(OR($B686="",$D686=""),"",IF($AC686=0,"",IF(AND(NOT(ISNUMBER($P686)),NOT(ISNUMBER($AA686))),"∞",MAX(0,MIN(IF(ISNUMBER($P686),$P686-$AF686-$Q686,1E+15),IF(ISNUMBER($AA686),$AA686-$AG686-$Q686,1E+15))))))</f>
        <v/>
      </c>
      <c r="S686" s="47" t="str">
        <f>IF($AD686="","",YEAR($AD686)*100+MONTH($AD686))</f>
        <v/>
      </c>
      <c r="T686" s="50" t="str">
        <f>IF($AD686="","",IFERROR(IF(INDEX(CARDS!$I$5:$I$34,MATCH($D686,CARDS!$A$5:$A$34,0))="","",IF(INDEX(CARDS!$I$5:$I$34,MATCH($D686,CARDS!$A$5:$A$34,0))&gt;INDEX(CARDS!$H$5:$H$34,MATCH($D686,CARDS!$A$5:$A$34,0)),DATE(YEAR($AD686),MONTH($AD686),MIN(INDEX(CARDS!$I$5:$I$34,MATCH($D686,CARDS!$A$5:$A$34,0)),DAY(EOMONTH($AD686,0)))),DATE(YEAR($AD686),MONTH($AD686)+1,MIN(INDEX(CARDS!$I$5:$I$34,MATCH($D686,CARDS!$A$5:$A$34,0)),DAY(EOMONTH($AD686,1)))))),""))</f>
        <v/>
      </c>
      <c r="U686" s="38" t="n"/>
      <c r="V686" s="37" t="n"/>
      <c r="W686" s="38" t="n"/>
      <c r="X686" s="38" t="n"/>
      <c r="Y686" s="44" t="str">
        <f>IF($AC686&gt;0,INDEX(CASHBACK_RULES!$A$5:$A$304,$AC686),"")</f>
        <v/>
      </c>
      <c r="Z686" s="45" t="str">
        <f>IF($AC686&gt;0,INDEX(CASHBACK_RULES!$E$5:$E$304,$AC686)&amp;"","")</f>
        <v/>
      </c>
      <c r="AA686" s="48" t="str">
        <f>IF($AC686&gt;0,IF(ISNUMBER(INDEX(CASHBACK_RULES!$K$5:$K$304,$AC686)),INDEX(CASHBACK_RULES!$K$5:$K$304,$AC686),"∞"),"")</f>
        <v/>
      </c>
      <c r="AB686" s="44" t="str">
        <f>IF(OR($B686="",$D686=""),"",IF($U686="Cancelled","Đã hủy",IF($AC686=0,"Không được hoàn",IF($Q686=0,IF(OR($O686&gt;0,$M686&lt;$L686),"Đã đạt cap","Không được hoàn"),IF(OR($Q686&lt;$O686,$M686&lt;$L686),"Hoàn một phần","Được hoàn")))))</f>
        <v/>
      </c>
      <c r="AC686" s="43">
        <f>IF(OR($B686="",$D686="",$I686="",$L686=""),0,IF($U686="Cancelled",0,IF($W686&lt;&gt;"",IFERROR(IF(INDEX(CASHBACK_RULES!$B$5:$B$304,MATCH($W686,CASHBACK_RULES!$A$5:$A$304,0))=$D686,MATCH($W686,CASHBACK_RULES!$A$5:$A$304,0),0),0),IFERROR(MATCH(1,INDEX((CASHBACK_RULES!$B$5:$B$304=$D686)*(CASHBACK_RULES!$G$5:$G$304=$I686)*(((CASHBACK_RULES!$N$5:$N$304="")+(CASHBACK_RULES!$N$5:$N$304&lt;=$B686))&gt;0)*(((CASHBACK_RULES!$O$5:$O$304="")+(CASHBACK_RULES!$O$5:$O$304&gt;=$B686))&gt;0)*(((CASHBACK_RULES!$M$5:$M$304="")+(CASHBACK_RULES!$M$5:$M$304&lt;=$L686))&gt;0),0),0),0))))</f>
        <v>0</v>
      </c>
      <c r="AD686" s="51" t="str">
        <f>IF(OR($B686="",$D686=""),"",IFERROR(IF(INDEX(CARDS!$H$5:$H$34,MATCH($D686,CARDS!$A$5:$A$34,0))="","",IF(DAY($B686)&lt;=INDEX(CARDS!$H$5:$H$34,MATCH($D686,CARDS!$A$5:$A$34,0)),DATE(YEAR($B686),MONTH($B686),MIN(INDEX(CARDS!$H$5:$H$34,MATCH($D686,CARDS!$A$5:$A$34,0)),DAY(EOMONTH($B686,0)))),DATE(YEAR($B686),MONTH($B686)+1,MIN(INDEX(CARDS!$H$5:$H$34,MATCH($D686,CARDS!$A$5:$A$34,0)),DAY(EOMONTH($B686,1)))))),""))</f>
        <v/>
      </c>
      <c r="AE686" s="52" t="str">
        <f>IF($C686="","",$C686&amp;"|"&amp;COUNTIF($C$5:$C686,$C686))</f>
        <v/>
      </c>
      <c r="AF686" s="53">
        <f>IF($AC686&gt;0,SUMIFS(Q$4:Q685,$D$4:$D685,$D686,$Z$4:$Z685,$Z686,$C$4:$C685,$C686),0)</f>
        <v>0</v>
      </c>
      <c r="AG686" s="53">
        <f>IF($AC686&gt;0,SUMIFS(Q$4:Q685,$D$4:$D685,$D686,$C$4:$C685,$C686),0)</f>
        <v>0</v>
      </c>
      <c r="AH686" s="53">
        <f>IF($AC686&gt;0,SUMIFS(M$4:M685,$D$4:$D685,$D686,$Z$4:$Z685,$Z686,$C$4:$C685,$C686),0)</f>
        <v>0</v>
      </c>
      <c r="AI686" s="43">
        <f>IF(OR($C686="",$I686=""),0,IF(COUNTIFS($C$5:$C686,$C686,$I$5:$I686,$I686)=1,1,0))</f>
        <v>0</v>
      </c>
      <c r="AJ686" s="43" t="str">
        <f>IF($AI686=1,SUMIFS($AI$4:$AI685,$C$4:$C685,$C686)+1,"")</f>
        <v/>
      </c>
      <c r="AK686" s="43">
        <f>IF(OR($C686="",$K686=""),0,IF(COUNTIFS($C$5:$C686,$C686,$K$5:$K686,$K686)=1,1,0))</f>
        <v>0</v>
      </c>
      <c r="AL686" s="43" t="str">
        <f>IF($AK686=1,SUMIFS($AK$4:$AK685,$C$4:$C685,$C686)+1,"")</f>
        <v/>
      </c>
      <c r="AM686" s="43">
        <f>IF(OR($C686="",$G686=""),0,IF(COUNTIFS($C$5:$C686,$C686,$G$5:$G686,$G686)=1,1,0))</f>
        <v>0</v>
      </c>
      <c r="AN686" s="43" t="str">
        <f>IF($AM686=1,SUMIFS($AM$4:$AM685,$C$4:$C685,$C686)+1,"")</f>
        <v/>
      </c>
    </row>
    <row r="687">
      <c r="A687" s="44" t="str">
        <f>IF(OR($B687="",$D687=""),"","TX"&amp;TEXT(ROW()-4,"0000"))</f>
        <v/>
      </c>
      <c r="B687" s="42" t="n"/>
      <c r="C687" s="47" t="str">
        <f>IF($B687="","",YEAR($B687)*100+MONTH($B687))</f>
        <v/>
      </c>
      <c r="D687" s="37" t="n"/>
      <c r="E687" s="45" t="str">
        <f>IF($D687="","",IFERROR(INDEX(CARDS!$B$5:$B$34,MATCH($D687,CARDS!$A$5:$A$34,0)),"⚠ Card ID?"))</f>
        <v/>
      </c>
      <c r="F687" s="45" t="str">
        <f>IF($D687="","",IFERROR(INDEX(CARDS!$C$5:$C$34,MATCH($D687,CARDS!$A$5:$A$34,0)),"⚠ Card ID?"))</f>
        <v/>
      </c>
      <c r="G687" s="37" t="n"/>
      <c r="H687" s="37" t="n"/>
      <c r="I687" s="41" t="n"/>
      <c r="J687" s="45" t="str">
        <f>IF($I687="","",IFERROR(INDEX(MCC_MASTER!$B$5:$B$504,MATCH($I687,MCC_MASTER!$A$5:$A$504,0)),"⚠ MCC chưa có"))</f>
        <v/>
      </c>
      <c r="K687" s="45" t="str">
        <f>IF($I687="","",IFERROR(IF(INDEX(MCC_MASTER!$C$5:$C$504,MATCH($I687,MCC_MASTER!$A$5:$A$504,0))="","Chưa phân loại",INDEX(MCC_MASTER!$C$5:$C$504,MATCH($I687,MCC_MASTER!$A$5:$A$504,0))),"Chưa phân loại"))</f>
        <v/>
      </c>
      <c r="L687" s="40" t="n"/>
      <c r="M687" s="48" t="str">
        <f>IF(OR($B687="",$D687=""),"",IF($AC687=0,0,IF(ISNUMBER(INDEX(CASHBACK_RULES!$L$5:$L$304,$AC687)),MAX(0,MIN($L687,INDEX(CASHBACK_RULES!$L$5:$L$304,$AC687)-$AH687)),MAX(0,$L687))))</f>
        <v/>
      </c>
      <c r="N687" s="49" t="str">
        <f>IF(OR($B687="",$D687=""),"",IF($AC687&gt;0,INDEX(CASHBACK_RULES!$I$5:$I$304,$AC687),0))</f>
        <v/>
      </c>
      <c r="O687" s="48" t="str">
        <f>IF(OR($B687="",$D687=""),"",ROUND($M687*$N687,0))</f>
        <v/>
      </c>
      <c r="P687" s="48" t="str">
        <f>IF($AC687&gt;0,IF(ISNUMBER(INDEX(CASHBACK_RULES!$J$5:$J$304,$AC687)),INDEX(CASHBACK_RULES!$J$5:$J$304,$AC687),"∞"),"")</f>
        <v/>
      </c>
      <c r="Q687" s="48" t="str">
        <f>IF(OR($B687="",$D687=""),"",IF($AC687=0,0,MAX(0,MIN($O687,IF(ISNUMBER($P687),$P687-$AF687,1E+15),IF(ISNUMBER($AA687),$AA687-$AG687,1E+15)))))</f>
        <v/>
      </c>
      <c r="R687" s="48" t="str">
        <f>IF(OR($B687="",$D687=""),"",IF($AC687=0,"",IF(AND(NOT(ISNUMBER($P687)),NOT(ISNUMBER($AA687))),"∞",MAX(0,MIN(IF(ISNUMBER($P687),$P687-$AF687-$Q687,1E+15),IF(ISNUMBER($AA687),$AA687-$AG687-$Q687,1E+15))))))</f>
        <v/>
      </c>
      <c r="S687" s="47" t="str">
        <f>IF($AD687="","",YEAR($AD687)*100+MONTH($AD687))</f>
        <v/>
      </c>
      <c r="T687" s="50" t="str">
        <f>IF($AD687="","",IFERROR(IF(INDEX(CARDS!$I$5:$I$34,MATCH($D687,CARDS!$A$5:$A$34,0))="","",IF(INDEX(CARDS!$I$5:$I$34,MATCH($D687,CARDS!$A$5:$A$34,0))&gt;INDEX(CARDS!$H$5:$H$34,MATCH($D687,CARDS!$A$5:$A$34,0)),DATE(YEAR($AD687),MONTH($AD687),MIN(INDEX(CARDS!$I$5:$I$34,MATCH($D687,CARDS!$A$5:$A$34,0)),DAY(EOMONTH($AD687,0)))),DATE(YEAR($AD687),MONTH($AD687)+1,MIN(INDEX(CARDS!$I$5:$I$34,MATCH($D687,CARDS!$A$5:$A$34,0)),DAY(EOMONTH($AD687,1)))))),""))</f>
        <v/>
      </c>
      <c r="U687" s="38" t="n"/>
      <c r="V687" s="37" t="n"/>
      <c r="W687" s="38" t="n"/>
      <c r="X687" s="38" t="n"/>
      <c r="Y687" s="44" t="str">
        <f>IF($AC687&gt;0,INDEX(CASHBACK_RULES!$A$5:$A$304,$AC687),"")</f>
        <v/>
      </c>
      <c r="Z687" s="45" t="str">
        <f>IF($AC687&gt;0,INDEX(CASHBACK_RULES!$E$5:$E$304,$AC687)&amp;"","")</f>
        <v/>
      </c>
      <c r="AA687" s="48" t="str">
        <f>IF($AC687&gt;0,IF(ISNUMBER(INDEX(CASHBACK_RULES!$K$5:$K$304,$AC687)),INDEX(CASHBACK_RULES!$K$5:$K$304,$AC687),"∞"),"")</f>
        <v/>
      </c>
      <c r="AB687" s="44" t="str">
        <f>IF(OR($B687="",$D687=""),"",IF($U687="Cancelled","Đã hủy",IF($AC687=0,"Không được hoàn",IF($Q687=0,IF(OR($O687&gt;0,$M687&lt;$L687),"Đã đạt cap","Không được hoàn"),IF(OR($Q687&lt;$O687,$M687&lt;$L687),"Hoàn một phần","Được hoàn")))))</f>
        <v/>
      </c>
      <c r="AC687" s="43">
        <f>IF(OR($B687="",$D687="",$I687="",$L687=""),0,IF($U687="Cancelled",0,IF($W687&lt;&gt;"",IFERROR(IF(INDEX(CASHBACK_RULES!$B$5:$B$304,MATCH($W687,CASHBACK_RULES!$A$5:$A$304,0))=$D687,MATCH($W687,CASHBACK_RULES!$A$5:$A$304,0),0),0),IFERROR(MATCH(1,INDEX((CASHBACK_RULES!$B$5:$B$304=$D687)*(CASHBACK_RULES!$G$5:$G$304=$I687)*(((CASHBACK_RULES!$N$5:$N$304="")+(CASHBACK_RULES!$N$5:$N$304&lt;=$B687))&gt;0)*(((CASHBACK_RULES!$O$5:$O$304="")+(CASHBACK_RULES!$O$5:$O$304&gt;=$B687))&gt;0)*(((CASHBACK_RULES!$M$5:$M$304="")+(CASHBACK_RULES!$M$5:$M$304&lt;=$L687))&gt;0),0),0),0))))</f>
        <v>0</v>
      </c>
      <c r="AD687" s="51" t="str">
        <f>IF(OR($B687="",$D687=""),"",IFERROR(IF(INDEX(CARDS!$H$5:$H$34,MATCH($D687,CARDS!$A$5:$A$34,0))="","",IF(DAY($B687)&lt;=INDEX(CARDS!$H$5:$H$34,MATCH($D687,CARDS!$A$5:$A$34,0)),DATE(YEAR($B687),MONTH($B687),MIN(INDEX(CARDS!$H$5:$H$34,MATCH($D687,CARDS!$A$5:$A$34,0)),DAY(EOMONTH($B687,0)))),DATE(YEAR($B687),MONTH($B687)+1,MIN(INDEX(CARDS!$H$5:$H$34,MATCH($D687,CARDS!$A$5:$A$34,0)),DAY(EOMONTH($B687,1)))))),""))</f>
        <v/>
      </c>
      <c r="AE687" s="52" t="str">
        <f>IF($C687="","",$C687&amp;"|"&amp;COUNTIF($C$5:$C687,$C687))</f>
        <v/>
      </c>
      <c r="AF687" s="53">
        <f>IF($AC687&gt;0,SUMIFS(Q$4:Q686,$D$4:$D686,$D687,$Z$4:$Z686,$Z687,$C$4:$C686,$C687),0)</f>
        <v>0</v>
      </c>
      <c r="AG687" s="53">
        <f>IF($AC687&gt;0,SUMIFS(Q$4:Q686,$D$4:$D686,$D687,$C$4:$C686,$C687),0)</f>
        <v>0</v>
      </c>
      <c r="AH687" s="53">
        <f>IF($AC687&gt;0,SUMIFS(M$4:M686,$D$4:$D686,$D687,$Z$4:$Z686,$Z687,$C$4:$C686,$C687),0)</f>
        <v>0</v>
      </c>
      <c r="AI687" s="43">
        <f>IF(OR($C687="",$I687=""),0,IF(COUNTIFS($C$5:$C687,$C687,$I$5:$I687,$I687)=1,1,0))</f>
        <v>0</v>
      </c>
      <c r="AJ687" s="43" t="str">
        <f>IF($AI687=1,SUMIFS($AI$4:$AI686,$C$4:$C686,$C687)+1,"")</f>
        <v/>
      </c>
      <c r="AK687" s="43">
        <f>IF(OR($C687="",$K687=""),0,IF(COUNTIFS($C$5:$C687,$C687,$K$5:$K687,$K687)=1,1,0))</f>
        <v>0</v>
      </c>
      <c r="AL687" s="43" t="str">
        <f>IF($AK687=1,SUMIFS($AK$4:$AK686,$C$4:$C686,$C687)+1,"")</f>
        <v/>
      </c>
      <c r="AM687" s="43">
        <f>IF(OR($C687="",$G687=""),0,IF(COUNTIFS($C$5:$C687,$C687,$G$5:$G687,$G687)=1,1,0))</f>
        <v>0</v>
      </c>
      <c r="AN687" s="43" t="str">
        <f>IF($AM687=1,SUMIFS($AM$4:$AM686,$C$4:$C686,$C687)+1,"")</f>
        <v/>
      </c>
    </row>
    <row r="688">
      <c r="A688" s="44" t="str">
        <f>IF(OR($B688="",$D688=""),"","TX"&amp;TEXT(ROW()-4,"0000"))</f>
        <v/>
      </c>
      <c r="B688" s="42" t="n"/>
      <c r="C688" s="47" t="str">
        <f>IF($B688="","",YEAR($B688)*100+MONTH($B688))</f>
        <v/>
      </c>
      <c r="D688" s="37" t="n"/>
      <c r="E688" s="45" t="str">
        <f>IF($D688="","",IFERROR(INDEX(CARDS!$B$5:$B$34,MATCH($D688,CARDS!$A$5:$A$34,0)),"⚠ Card ID?"))</f>
        <v/>
      </c>
      <c r="F688" s="45" t="str">
        <f>IF($D688="","",IFERROR(INDEX(CARDS!$C$5:$C$34,MATCH($D688,CARDS!$A$5:$A$34,0)),"⚠ Card ID?"))</f>
        <v/>
      </c>
      <c r="G688" s="37" t="n"/>
      <c r="H688" s="37" t="n"/>
      <c r="I688" s="41" t="n"/>
      <c r="J688" s="45" t="str">
        <f>IF($I688="","",IFERROR(INDEX(MCC_MASTER!$B$5:$B$504,MATCH($I688,MCC_MASTER!$A$5:$A$504,0)),"⚠ MCC chưa có"))</f>
        <v/>
      </c>
      <c r="K688" s="45" t="str">
        <f>IF($I688="","",IFERROR(IF(INDEX(MCC_MASTER!$C$5:$C$504,MATCH($I688,MCC_MASTER!$A$5:$A$504,0))="","Chưa phân loại",INDEX(MCC_MASTER!$C$5:$C$504,MATCH($I688,MCC_MASTER!$A$5:$A$504,0))),"Chưa phân loại"))</f>
        <v/>
      </c>
      <c r="L688" s="40" t="n"/>
      <c r="M688" s="48" t="str">
        <f>IF(OR($B688="",$D688=""),"",IF($AC688=0,0,IF(ISNUMBER(INDEX(CASHBACK_RULES!$L$5:$L$304,$AC688)),MAX(0,MIN($L688,INDEX(CASHBACK_RULES!$L$5:$L$304,$AC688)-$AH688)),MAX(0,$L688))))</f>
        <v/>
      </c>
      <c r="N688" s="49" t="str">
        <f>IF(OR($B688="",$D688=""),"",IF($AC688&gt;0,INDEX(CASHBACK_RULES!$I$5:$I$304,$AC688),0))</f>
        <v/>
      </c>
      <c r="O688" s="48" t="str">
        <f>IF(OR($B688="",$D688=""),"",ROUND($M688*$N688,0))</f>
        <v/>
      </c>
      <c r="P688" s="48" t="str">
        <f>IF($AC688&gt;0,IF(ISNUMBER(INDEX(CASHBACK_RULES!$J$5:$J$304,$AC688)),INDEX(CASHBACK_RULES!$J$5:$J$304,$AC688),"∞"),"")</f>
        <v/>
      </c>
      <c r="Q688" s="48" t="str">
        <f>IF(OR($B688="",$D688=""),"",IF($AC688=0,0,MAX(0,MIN($O688,IF(ISNUMBER($P688),$P688-$AF688,1E+15),IF(ISNUMBER($AA688),$AA688-$AG688,1E+15)))))</f>
        <v/>
      </c>
      <c r="R688" s="48" t="str">
        <f>IF(OR($B688="",$D688=""),"",IF($AC688=0,"",IF(AND(NOT(ISNUMBER($P688)),NOT(ISNUMBER($AA688))),"∞",MAX(0,MIN(IF(ISNUMBER($P688),$P688-$AF688-$Q688,1E+15),IF(ISNUMBER($AA688),$AA688-$AG688-$Q688,1E+15))))))</f>
        <v/>
      </c>
      <c r="S688" s="47" t="str">
        <f>IF($AD688="","",YEAR($AD688)*100+MONTH($AD688))</f>
        <v/>
      </c>
      <c r="T688" s="50" t="str">
        <f>IF($AD688="","",IFERROR(IF(INDEX(CARDS!$I$5:$I$34,MATCH($D688,CARDS!$A$5:$A$34,0))="","",IF(INDEX(CARDS!$I$5:$I$34,MATCH($D688,CARDS!$A$5:$A$34,0))&gt;INDEX(CARDS!$H$5:$H$34,MATCH($D688,CARDS!$A$5:$A$34,0)),DATE(YEAR($AD688),MONTH($AD688),MIN(INDEX(CARDS!$I$5:$I$34,MATCH($D688,CARDS!$A$5:$A$34,0)),DAY(EOMONTH($AD688,0)))),DATE(YEAR($AD688),MONTH($AD688)+1,MIN(INDEX(CARDS!$I$5:$I$34,MATCH($D688,CARDS!$A$5:$A$34,0)),DAY(EOMONTH($AD688,1)))))),""))</f>
        <v/>
      </c>
      <c r="U688" s="38" t="n"/>
      <c r="V688" s="37" t="n"/>
      <c r="W688" s="38" t="n"/>
      <c r="X688" s="38" t="n"/>
      <c r="Y688" s="44" t="str">
        <f>IF($AC688&gt;0,INDEX(CASHBACK_RULES!$A$5:$A$304,$AC688),"")</f>
        <v/>
      </c>
      <c r="Z688" s="45" t="str">
        <f>IF($AC688&gt;0,INDEX(CASHBACK_RULES!$E$5:$E$304,$AC688)&amp;"","")</f>
        <v/>
      </c>
      <c r="AA688" s="48" t="str">
        <f>IF($AC688&gt;0,IF(ISNUMBER(INDEX(CASHBACK_RULES!$K$5:$K$304,$AC688)),INDEX(CASHBACK_RULES!$K$5:$K$304,$AC688),"∞"),"")</f>
        <v/>
      </c>
      <c r="AB688" s="44" t="str">
        <f>IF(OR($B688="",$D688=""),"",IF($U688="Cancelled","Đã hủy",IF($AC688=0,"Không được hoàn",IF($Q688=0,IF(OR($O688&gt;0,$M688&lt;$L688),"Đã đạt cap","Không được hoàn"),IF(OR($Q688&lt;$O688,$M688&lt;$L688),"Hoàn một phần","Được hoàn")))))</f>
        <v/>
      </c>
      <c r="AC688" s="43">
        <f>IF(OR($B688="",$D688="",$I688="",$L688=""),0,IF($U688="Cancelled",0,IF($W688&lt;&gt;"",IFERROR(IF(INDEX(CASHBACK_RULES!$B$5:$B$304,MATCH($W688,CASHBACK_RULES!$A$5:$A$304,0))=$D688,MATCH($W688,CASHBACK_RULES!$A$5:$A$304,0),0),0),IFERROR(MATCH(1,INDEX((CASHBACK_RULES!$B$5:$B$304=$D688)*(CASHBACK_RULES!$G$5:$G$304=$I688)*(((CASHBACK_RULES!$N$5:$N$304="")+(CASHBACK_RULES!$N$5:$N$304&lt;=$B688))&gt;0)*(((CASHBACK_RULES!$O$5:$O$304="")+(CASHBACK_RULES!$O$5:$O$304&gt;=$B688))&gt;0)*(((CASHBACK_RULES!$M$5:$M$304="")+(CASHBACK_RULES!$M$5:$M$304&lt;=$L688))&gt;0),0),0),0))))</f>
        <v>0</v>
      </c>
      <c r="AD688" s="51" t="str">
        <f>IF(OR($B688="",$D688=""),"",IFERROR(IF(INDEX(CARDS!$H$5:$H$34,MATCH($D688,CARDS!$A$5:$A$34,0))="","",IF(DAY($B688)&lt;=INDEX(CARDS!$H$5:$H$34,MATCH($D688,CARDS!$A$5:$A$34,0)),DATE(YEAR($B688),MONTH($B688),MIN(INDEX(CARDS!$H$5:$H$34,MATCH($D688,CARDS!$A$5:$A$34,0)),DAY(EOMONTH($B688,0)))),DATE(YEAR($B688),MONTH($B688)+1,MIN(INDEX(CARDS!$H$5:$H$34,MATCH($D688,CARDS!$A$5:$A$34,0)),DAY(EOMONTH($B688,1)))))),""))</f>
        <v/>
      </c>
      <c r="AE688" s="52" t="str">
        <f>IF($C688="","",$C688&amp;"|"&amp;COUNTIF($C$5:$C688,$C688))</f>
        <v/>
      </c>
      <c r="AF688" s="53">
        <f>IF($AC688&gt;0,SUMIFS(Q$4:Q687,$D$4:$D687,$D688,$Z$4:$Z687,$Z688,$C$4:$C687,$C688),0)</f>
        <v>0</v>
      </c>
      <c r="AG688" s="53">
        <f>IF($AC688&gt;0,SUMIFS(Q$4:Q687,$D$4:$D687,$D688,$C$4:$C687,$C688),0)</f>
        <v>0</v>
      </c>
      <c r="AH688" s="53">
        <f>IF($AC688&gt;0,SUMIFS(M$4:M687,$D$4:$D687,$D688,$Z$4:$Z687,$Z688,$C$4:$C687,$C688),0)</f>
        <v>0</v>
      </c>
      <c r="AI688" s="43">
        <f>IF(OR($C688="",$I688=""),0,IF(COUNTIFS($C$5:$C688,$C688,$I$5:$I688,$I688)=1,1,0))</f>
        <v>0</v>
      </c>
      <c r="AJ688" s="43" t="str">
        <f>IF($AI688=1,SUMIFS($AI$4:$AI687,$C$4:$C687,$C688)+1,"")</f>
        <v/>
      </c>
      <c r="AK688" s="43">
        <f>IF(OR($C688="",$K688=""),0,IF(COUNTIFS($C$5:$C688,$C688,$K$5:$K688,$K688)=1,1,0))</f>
        <v>0</v>
      </c>
      <c r="AL688" s="43" t="str">
        <f>IF($AK688=1,SUMIFS($AK$4:$AK687,$C$4:$C687,$C688)+1,"")</f>
        <v/>
      </c>
      <c r="AM688" s="43">
        <f>IF(OR($C688="",$G688=""),0,IF(COUNTIFS($C$5:$C688,$C688,$G$5:$G688,$G688)=1,1,0))</f>
        <v>0</v>
      </c>
      <c r="AN688" s="43" t="str">
        <f>IF($AM688=1,SUMIFS($AM$4:$AM687,$C$4:$C687,$C688)+1,"")</f>
        <v/>
      </c>
    </row>
    <row r="689">
      <c r="A689" s="44" t="str">
        <f>IF(OR($B689="",$D689=""),"","TX"&amp;TEXT(ROW()-4,"0000"))</f>
        <v/>
      </c>
      <c r="B689" s="42" t="n"/>
      <c r="C689" s="47" t="str">
        <f>IF($B689="","",YEAR($B689)*100+MONTH($B689))</f>
        <v/>
      </c>
      <c r="D689" s="37" t="n"/>
      <c r="E689" s="45" t="str">
        <f>IF($D689="","",IFERROR(INDEX(CARDS!$B$5:$B$34,MATCH($D689,CARDS!$A$5:$A$34,0)),"⚠ Card ID?"))</f>
        <v/>
      </c>
      <c r="F689" s="45" t="str">
        <f>IF($D689="","",IFERROR(INDEX(CARDS!$C$5:$C$34,MATCH($D689,CARDS!$A$5:$A$34,0)),"⚠ Card ID?"))</f>
        <v/>
      </c>
      <c r="G689" s="37" t="n"/>
      <c r="H689" s="37" t="n"/>
      <c r="I689" s="41" t="n"/>
      <c r="J689" s="45" t="str">
        <f>IF($I689="","",IFERROR(INDEX(MCC_MASTER!$B$5:$B$504,MATCH($I689,MCC_MASTER!$A$5:$A$504,0)),"⚠ MCC chưa có"))</f>
        <v/>
      </c>
      <c r="K689" s="45" t="str">
        <f>IF($I689="","",IFERROR(IF(INDEX(MCC_MASTER!$C$5:$C$504,MATCH($I689,MCC_MASTER!$A$5:$A$504,0))="","Chưa phân loại",INDEX(MCC_MASTER!$C$5:$C$504,MATCH($I689,MCC_MASTER!$A$5:$A$504,0))),"Chưa phân loại"))</f>
        <v/>
      </c>
      <c r="L689" s="40" t="n"/>
      <c r="M689" s="48" t="str">
        <f>IF(OR($B689="",$D689=""),"",IF($AC689=0,0,IF(ISNUMBER(INDEX(CASHBACK_RULES!$L$5:$L$304,$AC689)),MAX(0,MIN($L689,INDEX(CASHBACK_RULES!$L$5:$L$304,$AC689)-$AH689)),MAX(0,$L689))))</f>
        <v/>
      </c>
      <c r="N689" s="49" t="str">
        <f>IF(OR($B689="",$D689=""),"",IF($AC689&gt;0,INDEX(CASHBACK_RULES!$I$5:$I$304,$AC689),0))</f>
        <v/>
      </c>
      <c r="O689" s="48" t="str">
        <f>IF(OR($B689="",$D689=""),"",ROUND($M689*$N689,0))</f>
        <v/>
      </c>
      <c r="P689" s="48" t="str">
        <f>IF($AC689&gt;0,IF(ISNUMBER(INDEX(CASHBACK_RULES!$J$5:$J$304,$AC689)),INDEX(CASHBACK_RULES!$J$5:$J$304,$AC689),"∞"),"")</f>
        <v/>
      </c>
      <c r="Q689" s="48" t="str">
        <f>IF(OR($B689="",$D689=""),"",IF($AC689=0,0,MAX(0,MIN($O689,IF(ISNUMBER($P689),$P689-$AF689,1E+15),IF(ISNUMBER($AA689),$AA689-$AG689,1E+15)))))</f>
        <v/>
      </c>
      <c r="R689" s="48" t="str">
        <f>IF(OR($B689="",$D689=""),"",IF($AC689=0,"",IF(AND(NOT(ISNUMBER($P689)),NOT(ISNUMBER($AA689))),"∞",MAX(0,MIN(IF(ISNUMBER($P689),$P689-$AF689-$Q689,1E+15),IF(ISNUMBER($AA689),$AA689-$AG689-$Q689,1E+15))))))</f>
        <v/>
      </c>
      <c r="S689" s="47" t="str">
        <f>IF($AD689="","",YEAR($AD689)*100+MONTH($AD689))</f>
        <v/>
      </c>
      <c r="T689" s="50" t="str">
        <f>IF($AD689="","",IFERROR(IF(INDEX(CARDS!$I$5:$I$34,MATCH($D689,CARDS!$A$5:$A$34,0))="","",IF(INDEX(CARDS!$I$5:$I$34,MATCH($D689,CARDS!$A$5:$A$34,0))&gt;INDEX(CARDS!$H$5:$H$34,MATCH($D689,CARDS!$A$5:$A$34,0)),DATE(YEAR($AD689),MONTH($AD689),MIN(INDEX(CARDS!$I$5:$I$34,MATCH($D689,CARDS!$A$5:$A$34,0)),DAY(EOMONTH($AD689,0)))),DATE(YEAR($AD689),MONTH($AD689)+1,MIN(INDEX(CARDS!$I$5:$I$34,MATCH($D689,CARDS!$A$5:$A$34,0)),DAY(EOMONTH($AD689,1)))))),""))</f>
        <v/>
      </c>
      <c r="U689" s="38" t="n"/>
      <c r="V689" s="37" t="n"/>
      <c r="W689" s="38" t="n"/>
      <c r="X689" s="38" t="n"/>
      <c r="Y689" s="44" t="str">
        <f>IF($AC689&gt;0,INDEX(CASHBACK_RULES!$A$5:$A$304,$AC689),"")</f>
        <v/>
      </c>
      <c r="Z689" s="45" t="str">
        <f>IF($AC689&gt;0,INDEX(CASHBACK_RULES!$E$5:$E$304,$AC689)&amp;"","")</f>
        <v/>
      </c>
      <c r="AA689" s="48" t="str">
        <f>IF($AC689&gt;0,IF(ISNUMBER(INDEX(CASHBACK_RULES!$K$5:$K$304,$AC689)),INDEX(CASHBACK_RULES!$K$5:$K$304,$AC689),"∞"),"")</f>
        <v/>
      </c>
      <c r="AB689" s="44" t="str">
        <f>IF(OR($B689="",$D689=""),"",IF($U689="Cancelled","Đã hủy",IF($AC689=0,"Không được hoàn",IF($Q689=0,IF(OR($O689&gt;0,$M689&lt;$L689),"Đã đạt cap","Không được hoàn"),IF(OR($Q689&lt;$O689,$M689&lt;$L689),"Hoàn một phần","Được hoàn")))))</f>
        <v/>
      </c>
      <c r="AC689" s="43">
        <f>IF(OR($B689="",$D689="",$I689="",$L689=""),0,IF($U689="Cancelled",0,IF($W689&lt;&gt;"",IFERROR(IF(INDEX(CASHBACK_RULES!$B$5:$B$304,MATCH($W689,CASHBACK_RULES!$A$5:$A$304,0))=$D689,MATCH($W689,CASHBACK_RULES!$A$5:$A$304,0),0),0),IFERROR(MATCH(1,INDEX((CASHBACK_RULES!$B$5:$B$304=$D689)*(CASHBACK_RULES!$G$5:$G$304=$I689)*(((CASHBACK_RULES!$N$5:$N$304="")+(CASHBACK_RULES!$N$5:$N$304&lt;=$B689))&gt;0)*(((CASHBACK_RULES!$O$5:$O$304="")+(CASHBACK_RULES!$O$5:$O$304&gt;=$B689))&gt;0)*(((CASHBACK_RULES!$M$5:$M$304="")+(CASHBACK_RULES!$M$5:$M$304&lt;=$L689))&gt;0),0),0),0))))</f>
        <v>0</v>
      </c>
      <c r="AD689" s="51" t="str">
        <f>IF(OR($B689="",$D689=""),"",IFERROR(IF(INDEX(CARDS!$H$5:$H$34,MATCH($D689,CARDS!$A$5:$A$34,0))="","",IF(DAY($B689)&lt;=INDEX(CARDS!$H$5:$H$34,MATCH($D689,CARDS!$A$5:$A$34,0)),DATE(YEAR($B689),MONTH($B689),MIN(INDEX(CARDS!$H$5:$H$34,MATCH($D689,CARDS!$A$5:$A$34,0)),DAY(EOMONTH($B689,0)))),DATE(YEAR($B689),MONTH($B689)+1,MIN(INDEX(CARDS!$H$5:$H$34,MATCH($D689,CARDS!$A$5:$A$34,0)),DAY(EOMONTH($B689,1)))))),""))</f>
        <v/>
      </c>
      <c r="AE689" s="52" t="str">
        <f>IF($C689="","",$C689&amp;"|"&amp;COUNTIF($C$5:$C689,$C689))</f>
        <v/>
      </c>
      <c r="AF689" s="53">
        <f>IF($AC689&gt;0,SUMIFS(Q$4:Q688,$D$4:$D688,$D689,$Z$4:$Z688,$Z689,$C$4:$C688,$C689),0)</f>
        <v>0</v>
      </c>
      <c r="AG689" s="53">
        <f>IF($AC689&gt;0,SUMIFS(Q$4:Q688,$D$4:$D688,$D689,$C$4:$C688,$C689),0)</f>
        <v>0</v>
      </c>
      <c r="AH689" s="53">
        <f>IF($AC689&gt;0,SUMIFS(M$4:M688,$D$4:$D688,$D689,$Z$4:$Z688,$Z689,$C$4:$C688,$C689),0)</f>
        <v>0</v>
      </c>
      <c r="AI689" s="43">
        <f>IF(OR($C689="",$I689=""),0,IF(COUNTIFS($C$5:$C689,$C689,$I$5:$I689,$I689)=1,1,0))</f>
        <v>0</v>
      </c>
      <c r="AJ689" s="43" t="str">
        <f>IF($AI689=1,SUMIFS($AI$4:$AI688,$C$4:$C688,$C689)+1,"")</f>
        <v/>
      </c>
      <c r="AK689" s="43">
        <f>IF(OR($C689="",$K689=""),0,IF(COUNTIFS($C$5:$C689,$C689,$K$5:$K689,$K689)=1,1,0))</f>
        <v>0</v>
      </c>
      <c r="AL689" s="43" t="str">
        <f>IF($AK689=1,SUMIFS($AK$4:$AK688,$C$4:$C688,$C689)+1,"")</f>
        <v/>
      </c>
      <c r="AM689" s="43">
        <f>IF(OR($C689="",$G689=""),0,IF(COUNTIFS($C$5:$C689,$C689,$G$5:$G689,$G689)=1,1,0))</f>
        <v>0</v>
      </c>
      <c r="AN689" s="43" t="str">
        <f>IF($AM689=1,SUMIFS($AM$4:$AM688,$C$4:$C688,$C689)+1,"")</f>
        <v/>
      </c>
    </row>
    <row r="690">
      <c r="A690" s="44" t="str">
        <f>IF(OR($B690="",$D690=""),"","TX"&amp;TEXT(ROW()-4,"0000"))</f>
        <v/>
      </c>
      <c r="B690" s="42" t="n"/>
      <c r="C690" s="47" t="str">
        <f>IF($B690="","",YEAR($B690)*100+MONTH($B690))</f>
        <v/>
      </c>
      <c r="D690" s="37" t="n"/>
      <c r="E690" s="45" t="str">
        <f>IF($D690="","",IFERROR(INDEX(CARDS!$B$5:$B$34,MATCH($D690,CARDS!$A$5:$A$34,0)),"⚠ Card ID?"))</f>
        <v/>
      </c>
      <c r="F690" s="45" t="str">
        <f>IF($D690="","",IFERROR(INDEX(CARDS!$C$5:$C$34,MATCH($D690,CARDS!$A$5:$A$34,0)),"⚠ Card ID?"))</f>
        <v/>
      </c>
      <c r="G690" s="37" t="n"/>
      <c r="H690" s="37" t="n"/>
      <c r="I690" s="41" t="n"/>
      <c r="J690" s="45" t="str">
        <f>IF($I690="","",IFERROR(INDEX(MCC_MASTER!$B$5:$B$504,MATCH($I690,MCC_MASTER!$A$5:$A$504,0)),"⚠ MCC chưa có"))</f>
        <v/>
      </c>
      <c r="K690" s="45" t="str">
        <f>IF($I690="","",IFERROR(IF(INDEX(MCC_MASTER!$C$5:$C$504,MATCH($I690,MCC_MASTER!$A$5:$A$504,0))="","Chưa phân loại",INDEX(MCC_MASTER!$C$5:$C$504,MATCH($I690,MCC_MASTER!$A$5:$A$504,0))),"Chưa phân loại"))</f>
        <v/>
      </c>
      <c r="L690" s="40" t="n"/>
      <c r="M690" s="48" t="str">
        <f>IF(OR($B690="",$D690=""),"",IF($AC690=0,0,IF(ISNUMBER(INDEX(CASHBACK_RULES!$L$5:$L$304,$AC690)),MAX(0,MIN($L690,INDEX(CASHBACK_RULES!$L$5:$L$304,$AC690)-$AH690)),MAX(0,$L690))))</f>
        <v/>
      </c>
      <c r="N690" s="49" t="str">
        <f>IF(OR($B690="",$D690=""),"",IF($AC690&gt;0,INDEX(CASHBACK_RULES!$I$5:$I$304,$AC690),0))</f>
        <v/>
      </c>
      <c r="O690" s="48" t="str">
        <f>IF(OR($B690="",$D690=""),"",ROUND($M690*$N690,0))</f>
        <v/>
      </c>
      <c r="P690" s="48" t="str">
        <f>IF($AC690&gt;0,IF(ISNUMBER(INDEX(CASHBACK_RULES!$J$5:$J$304,$AC690)),INDEX(CASHBACK_RULES!$J$5:$J$304,$AC690),"∞"),"")</f>
        <v/>
      </c>
      <c r="Q690" s="48" t="str">
        <f>IF(OR($B690="",$D690=""),"",IF($AC690=0,0,MAX(0,MIN($O690,IF(ISNUMBER($P690),$P690-$AF690,1E+15),IF(ISNUMBER($AA690),$AA690-$AG690,1E+15)))))</f>
        <v/>
      </c>
      <c r="R690" s="48" t="str">
        <f>IF(OR($B690="",$D690=""),"",IF($AC690=0,"",IF(AND(NOT(ISNUMBER($P690)),NOT(ISNUMBER($AA690))),"∞",MAX(0,MIN(IF(ISNUMBER($P690),$P690-$AF690-$Q690,1E+15),IF(ISNUMBER($AA690),$AA690-$AG690-$Q690,1E+15))))))</f>
        <v/>
      </c>
      <c r="S690" s="47" t="str">
        <f>IF($AD690="","",YEAR($AD690)*100+MONTH($AD690))</f>
        <v/>
      </c>
      <c r="T690" s="50" t="str">
        <f>IF($AD690="","",IFERROR(IF(INDEX(CARDS!$I$5:$I$34,MATCH($D690,CARDS!$A$5:$A$34,0))="","",IF(INDEX(CARDS!$I$5:$I$34,MATCH($D690,CARDS!$A$5:$A$34,0))&gt;INDEX(CARDS!$H$5:$H$34,MATCH($D690,CARDS!$A$5:$A$34,0)),DATE(YEAR($AD690),MONTH($AD690),MIN(INDEX(CARDS!$I$5:$I$34,MATCH($D690,CARDS!$A$5:$A$34,0)),DAY(EOMONTH($AD690,0)))),DATE(YEAR($AD690),MONTH($AD690)+1,MIN(INDEX(CARDS!$I$5:$I$34,MATCH($D690,CARDS!$A$5:$A$34,0)),DAY(EOMONTH($AD690,1)))))),""))</f>
        <v/>
      </c>
      <c r="U690" s="38" t="n"/>
      <c r="V690" s="37" t="n"/>
      <c r="W690" s="38" t="n"/>
      <c r="X690" s="38" t="n"/>
      <c r="Y690" s="44" t="str">
        <f>IF($AC690&gt;0,INDEX(CASHBACK_RULES!$A$5:$A$304,$AC690),"")</f>
        <v/>
      </c>
      <c r="Z690" s="45" t="str">
        <f>IF($AC690&gt;0,INDEX(CASHBACK_RULES!$E$5:$E$304,$AC690)&amp;"","")</f>
        <v/>
      </c>
      <c r="AA690" s="48" t="str">
        <f>IF($AC690&gt;0,IF(ISNUMBER(INDEX(CASHBACK_RULES!$K$5:$K$304,$AC690)),INDEX(CASHBACK_RULES!$K$5:$K$304,$AC690),"∞"),"")</f>
        <v/>
      </c>
      <c r="AB690" s="44" t="str">
        <f>IF(OR($B690="",$D690=""),"",IF($U690="Cancelled","Đã hủy",IF($AC690=0,"Không được hoàn",IF($Q690=0,IF(OR($O690&gt;0,$M690&lt;$L690),"Đã đạt cap","Không được hoàn"),IF(OR($Q690&lt;$O690,$M690&lt;$L690),"Hoàn một phần","Được hoàn")))))</f>
        <v/>
      </c>
      <c r="AC690" s="43">
        <f>IF(OR($B690="",$D690="",$I690="",$L690=""),0,IF($U690="Cancelled",0,IF($W690&lt;&gt;"",IFERROR(IF(INDEX(CASHBACK_RULES!$B$5:$B$304,MATCH($W690,CASHBACK_RULES!$A$5:$A$304,0))=$D690,MATCH($W690,CASHBACK_RULES!$A$5:$A$304,0),0),0),IFERROR(MATCH(1,INDEX((CASHBACK_RULES!$B$5:$B$304=$D690)*(CASHBACK_RULES!$G$5:$G$304=$I690)*(((CASHBACK_RULES!$N$5:$N$304="")+(CASHBACK_RULES!$N$5:$N$304&lt;=$B690))&gt;0)*(((CASHBACK_RULES!$O$5:$O$304="")+(CASHBACK_RULES!$O$5:$O$304&gt;=$B690))&gt;0)*(((CASHBACK_RULES!$M$5:$M$304="")+(CASHBACK_RULES!$M$5:$M$304&lt;=$L690))&gt;0),0),0),0))))</f>
        <v>0</v>
      </c>
      <c r="AD690" s="51" t="str">
        <f>IF(OR($B690="",$D690=""),"",IFERROR(IF(INDEX(CARDS!$H$5:$H$34,MATCH($D690,CARDS!$A$5:$A$34,0))="","",IF(DAY($B690)&lt;=INDEX(CARDS!$H$5:$H$34,MATCH($D690,CARDS!$A$5:$A$34,0)),DATE(YEAR($B690),MONTH($B690),MIN(INDEX(CARDS!$H$5:$H$34,MATCH($D690,CARDS!$A$5:$A$34,0)),DAY(EOMONTH($B690,0)))),DATE(YEAR($B690),MONTH($B690)+1,MIN(INDEX(CARDS!$H$5:$H$34,MATCH($D690,CARDS!$A$5:$A$34,0)),DAY(EOMONTH($B690,1)))))),""))</f>
        <v/>
      </c>
      <c r="AE690" s="52" t="str">
        <f>IF($C690="","",$C690&amp;"|"&amp;COUNTIF($C$5:$C690,$C690))</f>
        <v/>
      </c>
      <c r="AF690" s="53">
        <f>IF($AC690&gt;0,SUMIFS(Q$4:Q689,$D$4:$D689,$D690,$Z$4:$Z689,$Z690,$C$4:$C689,$C690),0)</f>
        <v>0</v>
      </c>
      <c r="AG690" s="53">
        <f>IF($AC690&gt;0,SUMIFS(Q$4:Q689,$D$4:$D689,$D690,$C$4:$C689,$C690),0)</f>
        <v>0</v>
      </c>
      <c r="AH690" s="53">
        <f>IF($AC690&gt;0,SUMIFS(M$4:M689,$D$4:$D689,$D690,$Z$4:$Z689,$Z690,$C$4:$C689,$C690),0)</f>
        <v>0</v>
      </c>
      <c r="AI690" s="43">
        <f>IF(OR($C690="",$I690=""),0,IF(COUNTIFS($C$5:$C690,$C690,$I$5:$I690,$I690)=1,1,0))</f>
        <v>0</v>
      </c>
      <c r="AJ690" s="43" t="str">
        <f>IF($AI690=1,SUMIFS($AI$4:$AI689,$C$4:$C689,$C690)+1,"")</f>
        <v/>
      </c>
      <c r="AK690" s="43">
        <f>IF(OR($C690="",$K690=""),0,IF(COUNTIFS($C$5:$C690,$C690,$K$5:$K690,$K690)=1,1,0))</f>
        <v>0</v>
      </c>
      <c r="AL690" s="43" t="str">
        <f>IF($AK690=1,SUMIFS($AK$4:$AK689,$C$4:$C689,$C690)+1,"")</f>
        <v/>
      </c>
      <c r="AM690" s="43">
        <f>IF(OR($C690="",$G690=""),0,IF(COUNTIFS($C$5:$C690,$C690,$G$5:$G690,$G690)=1,1,0))</f>
        <v>0</v>
      </c>
      <c r="AN690" s="43" t="str">
        <f>IF($AM690=1,SUMIFS($AM$4:$AM689,$C$4:$C689,$C690)+1,"")</f>
        <v/>
      </c>
    </row>
    <row r="691">
      <c r="A691" s="44" t="str">
        <f>IF(OR($B691="",$D691=""),"","TX"&amp;TEXT(ROW()-4,"0000"))</f>
        <v/>
      </c>
      <c r="B691" s="42" t="n"/>
      <c r="C691" s="47" t="str">
        <f>IF($B691="","",YEAR($B691)*100+MONTH($B691))</f>
        <v/>
      </c>
      <c r="D691" s="37" t="n"/>
      <c r="E691" s="45" t="str">
        <f>IF($D691="","",IFERROR(INDEX(CARDS!$B$5:$B$34,MATCH($D691,CARDS!$A$5:$A$34,0)),"⚠ Card ID?"))</f>
        <v/>
      </c>
      <c r="F691" s="45" t="str">
        <f>IF($D691="","",IFERROR(INDEX(CARDS!$C$5:$C$34,MATCH($D691,CARDS!$A$5:$A$34,0)),"⚠ Card ID?"))</f>
        <v/>
      </c>
      <c r="G691" s="37" t="n"/>
      <c r="H691" s="37" t="n"/>
      <c r="I691" s="41" t="n"/>
      <c r="J691" s="45" t="str">
        <f>IF($I691="","",IFERROR(INDEX(MCC_MASTER!$B$5:$B$504,MATCH($I691,MCC_MASTER!$A$5:$A$504,0)),"⚠ MCC chưa có"))</f>
        <v/>
      </c>
      <c r="K691" s="45" t="str">
        <f>IF($I691="","",IFERROR(IF(INDEX(MCC_MASTER!$C$5:$C$504,MATCH($I691,MCC_MASTER!$A$5:$A$504,0))="","Chưa phân loại",INDEX(MCC_MASTER!$C$5:$C$504,MATCH($I691,MCC_MASTER!$A$5:$A$504,0))),"Chưa phân loại"))</f>
        <v/>
      </c>
      <c r="L691" s="40" t="n"/>
      <c r="M691" s="48" t="str">
        <f>IF(OR($B691="",$D691=""),"",IF($AC691=0,0,IF(ISNUMBER(INDEX(CASHBACK_RULES!$L$5:$L$304,$AC691)),MAX(0,MIN($L691,INDEX(CASHBACK_RULES!$L$5:$L$304,$AC691)-$AH691)),MAX(0,$L691))))</f>
        <v/>
      </c>
      <c r="N691" s="49" t="str">
        <f>IF(OR($B691="",$D691=""),"",IF($AC691&gt;0,INDEX(CASHBACK_RULES!$I$5:$I$304,$AC691),0))</f>
        <v/>
      </c>
      <c r="O691" s="48" t="str">
        <f>IF(OR($B691="",$D691=""),"",ROUND($M691*$N691,0))</f>
        <v/>
      </c>
      <c r="P691" s="48" t="str">
        <f>IF($AC691&gt;0,IF(ISNUMBER(INDEX(CASHBACK_RULES!$J$5:$J$304,$AC691)),INDEX(CASHBACK_RULES!$J$5:$J$304,$AC691),"∞"),"")</f>
        <v/>
      </c>
      <c r="Q691" s="48" t="str">
        <f>IF(OR($B691="",$D691=""),"",IF($AC691=0,0,MAX(0,MIN($O691,IF(ISNUMBER($P691),$P691-$AF691,1E+15),IF(ISNUMBER($AA691),$AA691-$AG691,1E+15)))))</f>
        <v/>
      </c>
      <c r="R691" s="48" t="str">
        <f>IF(OR($B691="",$D691=""),"",IF($AC691=0,"",IF(AND(NOT(ISNUMBER($P691)),NOT(ISNUMBER($AA691))),"∞",MAX(0,MIN(IF(ISNUMBER($P691),$P691-$AF691-$Q691,1E+15),IF(ISNUMBER($AA691),$AA691-$AG691-$Q691,1E+15))))))</f>
        <v/>
      </c>
      <c r="S691" s="47" t="str">
        <f>IF($AD691="","",YEAR($AD691)*100+MONTH($AD691))</f>
        <v/>
      </c>
      <c r="T691" s="50" t="str">
        <f>IF($AD691="","",IFERROR(IF(INDEX(CARDS!$I$5:$I$34,MATCH($D691,CARDS!$A$5:$A$34,0))="","",IF(INDEX(CARDS!$I$5:$I$34,MATCH($D691,CARDS!$A$5:$A$34,0))&gt;INDEX(CARDS!$H$5:$H$34,MATCH($D691,CARDS!$A$5:$A$34,0)),DATE(YEAR($AD691),MONTH($AD691),MIN(INDEX(CARDS!$I$5:$I$34,MATCH($D691,CARDS!$A$5:$A$34,0)),DAY(EOMONTH($AD691,0)))),DATE(YEAR($AD691),MONTH($AD691)+1,MIN(INDEX(CARDS!$I$5:$I$34,MATCH($D691,CARDS!$A$5:$A$34,0)),DAY(EOMONTH($AD691,1)))))),""))</f>
        <v/>
      </c>
      <c r="U691" s="38" t="n"/>
      <c r="V691" s="37" t="n"/>
      <c r="W691" s="38" t="n"/>
      <c r="X691" s="38" t="n"/>
      <c r="Y691" s="44" t="str">
        <f>IF($AC691&gt;0,INDEX(CASHBACK_RULES!$A$5:$A$304,$AC691),"")</f>
        <v/>
      </c>
      <c r="Z691" s="45" t="str">
        <f>IF($AC691&gt;0,INDEX(CASHBACK_RULES!$E$5:$E$304,$AC691)&amp;"","")</f>
        <v/>
      </c>
      <c r="AA691" s="48" t="str">
        <f>IF($AC691&gt;0,IF(ISNUMBER(INDEX(CASHBACK_RULES!$K$5:$K$304,$AC691)),INDEX(CASHBACK_RULES!$K$5:$K$304,$AC691),"∞"),"")</f>
        <v/>
      </c>
      <c r="AB691" s="44" t="str">
        <f>IF(OR($B691="",$D691=""),"",IF($U691="Cancelled","Đã hủy",IF($AC691=0,"Không được hoàn",IF($Q691=0,IF(OR($O691&gt;0,$M691&lt;$L691),"Đã đạt cap","Không được hoàn"),IF(OR($Q691&lt;$O691,$M691&lt;$L691),"Hoàn một phần","Được hoàn")))))</f>
        <v/>
      </c>
      <c r="AC691" s="43">
        <f>IF(OR($B691="",$D691="",$I691="",$L691=""),0,IF($U691="Cancelled",0,IF($W691&lt;&gt;"",IFERROR(IF(INDEX(CASHBACK_RULES!$B$5:$B$304,MATCH($W691,CASHBACK_RULES!$A$5:$A$304,0))=$D691,MATCH($W691,CASHBACK_RULES!$A$5:$A$304,0),0),0),IFERROR(MATCH(1,INDEX((CASHBACK_RULES!$B$5:$B$304=$D691)*(CASHBACK_RULES!$G$5:$G$304=$I691)*(((CASHBACK_RULES!$N$5:$N$304="")+(CASHBACK_RULES!$N$5:$N$304&lt;=$B691))&gt;0)*(((CASHBACK_RULES!$O$5:$O$304="")+(CASHBACK_RULES!$O$5:$O$304&gt;=$B691))&gt;0)*(((CASHBACK_RULES!$M$5:$M$304="")+(CASHBACK_RULES!$M$5:$M$304&lt;=$L691))&gt;0),0),0),0))))</f>
        <v>0</v>
      </c>
      <c r="AD691" s="51" t="str">
        <f>IF(OR($B691="",$D691=""),"",IFERROR(IF(INDEX(CARDS!$H$5:$H$34,MATCH($D691,CARDS!$A$5:$A$34,0))="","",IF(DAY($B691)&lt;=INDEX(CARDS!$H$5:$H$34,MATCH($D691,CARDS!$A$5:$A$34,0)),DATE(YEAR($B691),MONTH($B691),MIN(INDEX(CARDS!$H$5:$H$34,MATCH($D691,CARDS!$A$5:$A$34,0)),DAY(EOMONTH($B691,0)))),DATE(YEAR($B691),MONTH($B691)+1,MIN(INDEX(CARDS!$H$5:$H$34,MATCH($D691,CARDS!$A$5:$A$34,0)),DAY(EOMONTH($B691,1)))))),""))</f>
        <v/>
      </c>
      <c r="AE691" s="52" t="str">
        <f>IF($C691="","",$C691&amp;"|"&amp;COUNTIF($C$5:$C691,$C691))</f>
        <v/>
      </c>
      <c r="AF691" s="53">
        <f>IF($AC691&gt;0,SUMIFS(Q$4:Q690,$D$4:$D690,$D691,$Z$4:$Z690,$Z691,$C$4:$C690,$C691),0)</f>
        <v>0</v>
      </c>
      <c r="AG691" s="53">
        <f>IF($AC691&gt;0,SUMIFS(Q$4:Q690,$D$4:$D690,$D691,$C$4:$C690,$C691),0)</f>
        <v>0</v>
      </c>
      <c r="AH691" s="53">
        <f>IF($AC691&gt;0,SUMIFS(M$4:M690,$D$4:$D690,$D691,$Z$4:$Z690,$Z691,$C$4:$C690,$C691),0)</f>
        <v>0</v>
      </c>
      <c r="AI691" s="43">
        <f>IF(OR($C691="",$I691=""),0,IF(COUNTIFS($C$5:$C691,$C691,$I$5:$I691,$I691)=1,1,0))</f>
        <v>0</v>
      </c>
      <c r="AJ691" s="43" t="str">
        <f>IF($AI691=1,SUMIFS($AI$4:$AI690,$C$4:$C690,$C691)+1,"")</f>
        <v/>
      </c>
      <c r="AK691" s="43">
        <f>IF(OR($C691="",$K691=""),0,IF(COUNTIFS($C$5:$C691,$C691,$K$5:$K691,$K691)=1,1,0))</f>
        <v>0</v>
      </c>
      <c r="AL691" s="43" t="str">
        <f>IF($AK691=1,SUMIFS($AK$4:$AK690,$C$4:$C690,$C691)+1,"")</f>
        <v/>
      </c>
      <c r="AM691" s="43">
        <f>IF(OR($C691="",$G691=""),0,IF(COUNTIFS($C$5:$C691,$C691,$G$5:$G691,$G691)=1,1,0))</f>
        <v>0</v>
      </c>
      <c r="AN691" s="43" t="str">
        <f>IF($AM691=1,SUMIFS($AM$4:$AM690,$C$4:$C690,$C691)+1,"")</f>
        <v/>
      </c>
    </row>
    <row r="692">
      <c r="A692" s="44" t="str">
        <f>IF(OR($B692="",$D692=""),"","TX"&amp;TEXT(ROW()-4,"0000"))</f>
        <v/>
      </c>
      <c r="B692" s="42" t="n"/>
      <c r="C692" s="47" t="str">
        <f>IF($B692="","",YEAR($B692)*100+MONTH($B692))</f>
        <v/>
      </c>
      <c r="D692" s="37" t="n"/>
      <c r="E692" s="45" t="str">
        <f>IF($D692="","",IFERROR(INDEX(CARDS!$B$5:$B$34,MATCH($D692,CARDS!$A$5:$A$34,0)),"⚠ Card ID?"))</f>
        <v/>
      </c>
      <c r="F692" s="45" t="str">
        <f>IF($D692="","",IFERROR(INDEX(CARDS!$C$5:$C$34,MATCH($D692,CARDS!$A$5:$A$34,0)),"⚠ Card ID?"))</f>
        <v/>
      </c>
      <c r="G692" s="37" t="n"/>
      <c r="H692" s="37" t="n"/>
      <c r="I692" s="41" t="n"/>
      <c r="J692" s="45" t="str">
        <f>IF($I692="","",IFERROR(INDEX(MCC_MASTER!$B$5:$B$504,MATCH($I692,MCC_MASTER!$A$5:$A$504,0)),"⚠ MCC chưa có"))</f>
        <v/>
      </c>
      <c r="K692" s="45" t="str">
        <f>IF($I692="","",IFERROR(IF(INDEX(MCC_MASTER!$C$5:$C$504,MATCH($I692,MCC_MASTER!$A$5:$A$504,0))="","Chưa phân loại",INDEX(MCC_MASTER!$C$5:$C$504,MATCH($I692,MCC_MASTER!$A$5:$A$504,0))),"Chưa phân loại"))</f>
        <v/>
      </c>
      <c r="L692" s="40" t="n"/>
      <c r="M692" s="48" t="str">
        <f>IF(OR($B692="",$D692=""),"",IF($AC692=0,0,IF(ISNUMBER(INDEX(CASHBACK_RULES!$L$5:$L$304,$AC692)),MAX(0,MIN($L692,INDEX(CASHBACK_RULES!$L$5:$L$304,$AC692)-$AH692)),MAX(0,$L692))))</f>
        <v/>
      </c>
      <c r="N692" s="49" t="str">
        <f>IF(OR($B692="",$D692=""),"",IF($AC692&gt;0,INDEX(CASHBACK_RULES!$I$5:$I$304,$AC692),0))</f>
        <v/>
      </c>
      <c r="O692" s="48" t="str">
        <f>IF(OR($B692="",$D692=""),"",ROUND($M692*$N692,0))</f>
        <v/>
      </c>
      <c r="P692" s="48" t="str">
        <f>IF($AC692&gt;0,IF(ISNUMBER(INDEX(CASHBACK_RULES!$J$5:$J$304,$AC692)),INDEX(CASHBACK_RULES!$J$5:$J$304,$AC692),"∞"),"")</f>
        <v/>
      </c>
      <c r="Q692" s="48" t="str">
        <f>IF(OR($B692="",$D692=""),"",IF($AC692=0,0,MAX(0,MIN($O692,IF(ISNUMBER($P692),$P692-$AF692,1E+15),IF(ISNUMBER($AA692),$AA692-$AG692,1E+15)))))</f>
        <v/>
      </c>
      <c r="R692" s="48" t="str">
        <f>IF(OR($B692="",$D692=""),"",IF($AC692=0,"",IF(AND(NOT(ISNUMBER($P692)),NOT(ISNUMBER($AA692))),"∞",MAX(0,MIN(IF(ISNUMBER($P692),$P692-$AF692-$Q692,1E+15),IF(ISNUMBER($AA692),$AA692-$AG692-$Q692,1E+15))))))</f>
        <v/>
      </c>
      <c r="S692" s="47" t="str">
        <f>IF($AD692="","",YEAR($AD692)*100+MONTH($AD692))</f>
        <v/>
      </c>
      <c r="T692" s="50" t="str">
        <f>IF($AD692="","",IFERROR(IF(INDEX(CARDS!$I$5:$I$34,MATCH($D692,CARDS!$A$5:$A$34,0))="","",IF(INDEX(CARDS!$I$5:$I$34,MATCH($D692,CARDS!$A$5:$A$34,0))&gt;INDEX(CARDS!$H$5:$H$34,MATCH($D692,CARDS!$A$5:$A$34,0)),DATE(YEAR($AD692),MONTH($AD692),MIN(INDEX(CARDS!$I$5:$I$34,MATCH($D692,CARDS!$A$5:$A$34,0)),DAY(EOMONTH($AD692,0)))),DATE(YEAR($AD692),MONTH($AD692)+1,MIN(INDEX(CARDS!$I$5:$I$34,MATCH($D692,CARDS!$A$5:$A$34,0)),DAY(EOMONTH($AD692,1)))))),""))</f>
        <v/>
      </c>
      <c r="U692" s="38" t="n"/>
      <c r="V692" s="37" t="n"/>
      <c r="W692" s="38" t="n"/>
      <c r="X692" s="38" t="n"/>
      <c r="Y692" s="44" t="str">
        <f>IF($AC692&gt;0,INDEX(CASHBACK_RULES!$A$5:$A$304,$AC692),"")</f>
        <v/>
      </c>
      <c r="Z692" s="45" t="str">
        <f>IF($AC692&gt;0,INDEX(CASHBACK_RULES!$E$5:$E$304,$AC692)&amp;"","")</f>
        <v/>
      </c>
      <c r="AA692" s="48" t="str">
        <f>IF($AC692&gt;0,IF(ISNUMBER(INDEX(CASHBACK_RULES!$K$5:$K$304,$AC692)),INDEX(CASHBACK_RULES!$K$5:$K$304,$AC692),"∞"),"")</f>
        <v/>
      </c>
      <c r="AB692" s="44" t="str">
        <f>IF(OR($B692="",$D692=""),"",IF($U692="Cancelled","Đã hủy",IF($AC692=0,"Không được hoàn",IF($Q692=0,IF(OR($O692&gt;0,$M692&lt;$L692),"Đã đạt cap","Không được hoàn"),IF(OR($Q692&lt;$O692,$M692&lt;$L692),"Hoàn một phần","Được hoàn")))))</f>
        <v/>
      </c>
      <c r="AC692" s="43">
        <f>IF(OR($B692="",$D692="",$I692="",$L692=""),0,IF($U692="Cancelled",0,IF($W692&lt;&gt;"",IFERROR(IF(INDEX(CASHBACK_RULES!$B$5:$B$304,MATCH($W692,CASHBACK_RULES!$A$5:$A$304,0))=$D692,MATCH($W692,CASHBACK_RULES!$A$5:$A$304,0),0),0),IFERROR(MATCH(1,INDEX((CASHBACK_RULES!$B$5:$B$304=$D692)*(CASHBACK_RULES!$G$5:$G$304=$I692)*(((CASHBACK_RULES!$N$5:$N$304="")+(CASHBACK_RULES!$N$5:$N$304&lt;=$B692))&gt;0)*(((CASHBACK_RULES!$O$5:$O$304="")+(CASHBACK_RULES!$O$5:$O$304&gt;=$B692))&gt;0)*(((CASHBACK_RULES!$M$5:$M$304="")+(CASHBACK_RULES!$M$5:$M$304&lt;=$L692))&gt;0),0),0),0))))</f>
        <v>0</v>
      </c>
      <c r="AD692" s="51" t="str">
        <f>IF(OR($B692="",$D692=""),"",IFERROR(IF(INDEX(CARDS!$H$5:$H$34,MATCH($D692,CARDS!$A$5:$A$34,0))="","",IF(DAY($B692)&lt;=INDEX(CARDS!$H$5:$H$34,MATCH($D692,CARDS!$A$5:$A$34,0)),DATE(YEAR($B692),MONTH($B692),MIN(INDEX(CARDS!$H$5:$H$34,MATCH($D692,CARDS!$A$5:$A$34,0)),DAY(EOMONTH($B692,0)))),DATE(YEAR($B692),MONTH($B692)+1,MIN(INDEX(CARDS!$H$5:$H$34,MATCH($D692,CARDS!$A$5:$A$34,0)),DAY(EOMONTH($B692,1)))))),""))</f>
        <v/>
      </c>
      <c r="AE692" s="52" t="str">
        <f>IF($C692="","",$C692&amp;"|"&amp;COUNTIF($C$5:$C692,$C692))</f>
        <v/>
      </c>
      <c r="AF692" s="53">
        <f>IF($AC692&gt;0,SUMIFS(Q$4:Q691,$D$4:$D691,$D692,$Z$4:$Z691,$Z692,$C$4:$C691,$C692),0)</f>
        <v>0</v>
      </c>
      <c r="AG692" s="53">
        <f>IF($AC692&gt;0,SUMIFS(Q$4:Q691,$D$4:$D691,$D692,$C$4:$C691,$C692),0)</f>
        <v>0</v>
      </c>
      <c r="AH692" s="53">
        <f>IF($AC692&gt;0,SUMIFS(M$4:M691,$D$4:$D691,$D692,$Z$4:$Z691,$Z692,$C$4:$C691,$C692),0)</f>
        <v>0</v>
      </c>
      <c r="AI692" s="43">
        <f>IF(OR($C692="",$I692=""),0,IF(COUNTIFS($C$5:$C692,$C692,$I$5:$I692,$I692)=1,1,0))</f>
        <v>0</v>
      </c>
      <c r="AJ692" s="43" t="str">
        <f>IF($AI692=1,SUMIFS($AI$4:$AI691,$C$4:$C691,$C692)+1,"")</f>
        <v/>
      </c>
      <c r="AK692" s="43">
        <f>IF(OR($C692="",$K692=""),0,IF(COUNTIFS($C$5:$C692,$C692,$K$5:$K692,$K692)=1,1,0))</f>
        <v>0</v>
      </c>
      <c r="AL692" s="43" t="str">
        <f>IF($AK692=1,SUMIFS($AK$4:$AK691,$C$4:$C691,$C692)+1,"")</f>
        <v/>
      </c>
      <c r="AM692" s="43">
        <f>IF(OR($C692="",$G692=""),0,IF(COUNTIFS($C$5:$C692,$C692,$G$5:$G692,$G692)=1,1,0))</f>
        <v>0</v>
      </c>
      <c r="AN692" s="43" t="str">
        <f>IF($AM692=1,SUMIFS($AM$4:$AM691,$C$4:$C691,$C692)+1,"")</f>
        <v/>
      </c>
    </row>
    <row r="693">
      <c r="A693" s="44" t="str">
        <f>IF(OR($B693="",$D693=""),"","TX"&amp;TEXT(ROW()-4,"0000"))</f>
        <v/>
      </c>
      <c r="B693" s="42" t="n"/>
      <c r="C693" s="47" t="str">
        <f>IF($B693="","",YEAR($B693)*100+MONTH($B693))</f>
        <v/>
      </c>
      <c r="D693" s="37" t="n"/>
      <c r="E693" s="45" t="str">
        <f>IF($D693="","",IFERROR(INDEX(CARDS!$B$5:$B$34,MATCH($D693,CARDS!$A$5:$A$34,0)),"⚠ Card ID?"))</f>
        <v/>
      </c>
      <c r="F693" s="45" t="str">
        <f>IF($D693="","",IFERROR(INDEX(CARDS!$C$5:$C$34,MATCH($D693,CARDS!$A$5:$A$34,0)),"⚠ Card ID?"))</f>
        <v/>
      </c>
      <c r="G693" s="37" t="n"/>
      <c r="H693" s="37" t="n"/>
      <c r="I693" s="41" t="n"/>
      <c r="J693" s="45" t="str">
        <f>IF($I693="","",IFERROR(INDEX(MCC_MASTER!$B$5:$B$504,MATCH($I693,MCC_MASTER!$A$5:$A$504,0)),"⚠ MCC chưa có"))</f>
        <v/>
      </c>
      <c r="K693" s="45" t="str">
        <f>IF($I693="","",IFERROR(IF(INDEX(MCC_MASTER!$C$5:$C$504,MATCH($I693,MCC_MASTER!$A$5:$A$504,0))="","Chưa phân loại",INDEX(MCC_MASTER!$C$5:$C$504,MATCH($I693,MCC_MASTER!$A$5:$A$504,0))),"Chưa phân loại"))</f>
        <v/>
      </c>
      <c r="L693" s="40" t="n"/>
      <c r="M693" s="48" t="str">
        <f>IF(OR($B693="",$D693=""),"",IF($AC693=0,0,IF(ISNUMBER(INDEX(CASHBACK_RULES!$L$5:$L$304,$AC693)),MAX(0,MIN($L693,INDEX(CASHBACK_RULES!$L$5:$L$304,$AC693)-$AH693)),MAX(0,$L693))))</f>
        <v/>
      </c>
      <c r="N693" s="49" t="str">
        <f>IF(OR($B693="",$D693=""),"",IF($AC693&gt;0,INDEX(CASHBACK_RULES!$I$5:$I$304,$AC693),0))</f>
        <v/>
      </c>
      <c r="O693" s="48" t="str">
        <f>IF(OR($B693="",$D693=""),"",ROUND($M693*$N693,0))</f>
        <v/>
      </c>
      <c r="P693" s="48" t="str">
        <f>IF($AC693&gt;0,IF(ISNUMBER(INDEX(CASHBACK_RULES!$J$5:$J$304,$AC693)),INDEX(CASHBACK_RULES!$J$5:$J$304,$AC693),"∞"),"")</f>
        <v/>
      </c>
      <c r="Q693" s="48" t="str">
        <f>IF(OR($B693="",$D693=""),"",IF($AC693=0,0,MAX(0,MIN($O693,IF(ISNUMBER($P693),$P693-$AF693,1E+15),IF(ISNUMBER($AA693),$AA693-$AG693,1E+15)))))</f>
        <v/>
      </c>
      <c r="R693" s="48" t="str">
        <f>IF(OR($B693="",$D693=""),"",IF($AC693=0,"",IF(AND(NOT(ISNUMBER($P693)),NOT(ISNUMBER($AA693))),"∞",MAX(0,MIN(IF(ISNUMBER($P693),$P693-$AF693-$Q693,1E+15),IF(ISNUMBER($AA693),$AA693-$AG693-$Q693,1E+15))))))</f>
        <v/>
      </c>
      <c r="S693" s="47" t="str">
        <f>IF($AD693="","",YEAR($AD693)*100+MONTH($AD693))</f>
        <v/>
      </c>
      <c r="T693" s="50" t="str">
        <f>IF($AD693="","",IFERROR(IF(INDEX(CARDS!$I$5:$I$34,MATCH($D693,CARDS!$A$5:$A$34,0))="","",IF(INDEX(CARDS!$I$5:$I$34,MATCH($D693,CARDS!$A$5:$A$34,0))&gt;INDEX(CARDS!$H$5:$H$34,MATCH($D693,CARDS!$A$5:$A$34,0)),DATE(YEAR($AD693),MONTH($AD693),MIN(INDEX(CARDS!$I$5:$I$34,MATCH($D693,CARDS!$A$5:$A$34,0)),DAY(EOMONTH($AD693,0)))),DATE(YEAR($AD693),MONTH($AD693)+1,MIN(INDEX(CARDS!$I$5:$I$34,MATCH($D693,CARDS!$A$5:$A$34,0)),DAY(EOMONTH($AD693,1)))))),""))</f>
        <v/>
      </c>
      <c r="U693" s="38" t="n"/>
      <c r="V693" s="37" t="n"/>
      <c r="W693" s="38" t="n"/>
      <c r="X693" s="38" t="n"/>
      <c r="Y693" s="44" t="str">
        <f>IF($AC693&gt;0,INDEX(CASHBACK_RULES!$A$5:$A$304,$AC693),"")</f>
        <v/>
      </c>
      <c r="Z693" s="45" t="str">
        <f>IF($AC693&gt;0,INDEX(CASHBACK_RULES!$E$5:$E$304,$AC693)&amp;"","")</f>
        <v/>
      </c>
      <c r="AA693" s="48" t="str">
        <f>IF($AC693&gt;0,IF(ISNUMBER(INDEX(CASHBACK_RULES!$K$5:$K$304,$AC693)),INDEX(CASHBACK_RULES!$K$5:$K$304,$AC693),"∞"),"")</f>
        <v/>
      </c>
      <c r="AB693" s="44" t="str">
        <f>IF(OR($B693="",$D693=""),"",IF($U693="Cancelled","Đã hủy",IF($AC693=0,"Không được hoàn",IF($Q693=0,IF(OR($O693&gt;0,$M693&lt;$L693),"Đã đạt cap","Không được hoàn"),IF(OR($Q693&lt;$O693,$M693&lt;$L693),"Hoàn một phần","Được hoàn")))))</f>
        <v/>
      </c>
      <c r="AC693" s="43">
        <f>IF(OR($B693="",$D693="",$I693="",$L693=""),0,IF($U693="Cancelled",0,IF($W693&lt;&gt;"",IFERROR(IF(INDEX(CASHBACK_RULES!$B$5:$B$304,MATCH($W693,CASHBACK_RULES!$A$5:$A$304,0))=$D693,MATCH($W693,CASHBACK_RULES!$A$5:$A$304,0),0),0),IFERROR(MATCH(1,INDEX((CASHBACK_RULES!$B$5:$B$304=$D693)*(CASHBACK_RULES!$G$5:$G$304=$I693)*(((CASHBACK_RULES!$N$5:$N$304="")+(CASHBACK_RULES!$N$5:$N$304&lt;=$B693))&gt;0)*(((CASHBACK_RULES!$O$5:$O$304="")+(CASHBACK_RULES!$O$5:$O$304&gt;=$B693))&gt;0)*(((CASHBACK_RULES!$M$5:$M$304="")+(CASHBACK_RULES!$M$5:$M$304&lt;=$L693))&gt;0),0),0),0))))</f>
        <v>0</v>
      </c>
      <c r="AD693" s="51" t="str">
        <f>IF(OR($B693="",$D693=""),"",IFERROR(IF(INDEX(CARDS!$H$5:$H$34,MATCH($D693,CARDS!$A$5:$A$34,0))="","",IF(DAY($B693)&lt;=INDEX(CARDS!$H$5:$H$34,MATCH($D693,CARDS!$A$5:$A$34,0)),DATE(YEAR($B693),MONTH($B693),MIN(INDEX(CARDS!$H$5:$H$34,MATCH($D693,CARDS!$A$5:$A$34,0)),DAY(EOMONTH($B693,0)))),DATE(YEAR($B693),MONTH($B693)+1,MIN(INDEX(CARDS!$H$5:$H$34,MATCH($D693,CARDS!$A$5:$A$34,0)),DAY(EOMONTH($B693,1)))))),""))</f>
        <v/>
      </c>
      <c r="AE693" s="52" t="str">
        <f>IF($C693="","",$C693&amp;"|"&amp;COUNTIF($C$5:$C693,$C693))</f>
        <v/>
      </c>
      <c r="AF693" s="53">
        <f>IF($AC693&gt;0,SUMIFS(Q$4:Q692,$D$4:$D692,$D693,$Z$4:$Z692,$Z693,$C$4:$C692,$C693),0)</f>
        <v>0</v>
      </c>
      <c r="AG693" s="53">
        <f>IF($AC693&gt;0,SUMIFS(Q$4:Q692,$D$4:$D692,$D693,$C$4:$C692,$C693),0)</f>
        <v>0</v>
      </c>
      <c r="AH693" s="53">
        <f>IF($AC693&gt;0,SUMIFS(M$4:M692,$D$4:$D692,$D693,$Z$4:$Z692,$Z693,$C$4:$C692,$C693),0)</f>
        <v>0</v>
      </c>
      <c r="AI693" s="43">
        <f>IF(OR($C693="",$I693=""),0,IF(COUNTIFS($C$5:$C693,$C693,$I$5:$I693,$I693)=1,1,0))</f>
        <v>0</v>
      </c>
      <c r="AJ693" s="43" t="str">
        <f>IF($AI693=1,SUMIFS($AI$4:$AI692,$C$4:$C692,$C693)+1,"")</f>
        <v/>
      </c>
      <c r="AK693" s="43">
        <f>IF(OR($C693="",$K693=""),0,IF(COUNTIFS($C$5:$C693,$C693,$K$5:$K693,$K693)=1,1,0))</f>
        <v>0</v>
      </c>
      <c r="AL693" s="43" t="str">
        <f>IF($AK693=1,SUMIFS($AK$4:$AK692,$C$4:$C692,$C693)+1,"")</f>
        <v/>
      </c>
      <c r="AM693" s="43">
        <f>IF(OR($C693="",$G693=""),0,IF(COUNTIFS($C$5:$C693,$C693,$G$5:$G693,$G693)=1,1,0))</f>
        <v>0</v>
      </c>
      <c r="AN693" s="43" t="str">
        <f>IF($AM693=1,SUMIFS($AM$4:$AM692,$C$4:$C692,$C693)+1,"")</f>
        <v/>
      </c>
    </row>
    <row r="694">
      <c r="A694" s="44" t="str">
        <f>IF(OR($B694="",$D694=""),"","TX"&amp;TEXT(ROW()-4,"0000"))</f>
        <v/>
      </c>
      <c r="B694" s="42" t="n"/>
      <c r="C694" s="47" t="str">
        <f>IF($B694="","",YEAR($B694)*100+MONTH($B694))</f>
        <v/>
      </c>
      <c r="D694" s="37" t="n"/>
      <c r="E694" s="45" t="str">
        <f>IF($D694="","",IFERROR(INDEX(CARDS!$B$5:$B$34,MATCH($D694,CARDS!$A$5:$A$34,0)),"⚠ Card ID?"))</f>
        <v/>
      </c>
      <c r="F694" s="45" t="str">
        <f>IF($D694="","",IFERROR(INDEX(CARDS!$C$5:$C$34,MATCH($D694,CARDS!$A$5:$A$34,0)),"⚠ Card ID?"))</f>
        <v/>
      </c>
      <c r="G694" s="37" t="n"/>
      <c r="H694" s="37" t="n"/>
      <c r="I694" s="41" t="n"/>
      <c r="J694" s="45" t="str">
        <f>IF($I694="","",IFERROR(INDEX(MCC_MASTER!$B$5:$B$504,MATCH($I694,MCC_MASTER!$A$5:$A$504,0)),"⚠ MCC chưa có"))</f>
        <v/>
      </c>
      <c r="K694" s="45" t="str">
        <f>IF($I694="","",IFERROR(IF(INDEX(MCC_MASTER!$C$5:$C$504,MATCH($I694,MCC_MASTER!$A$5:$A$504,0))="","Chưa phân loại",INDEX(MCC_MASTER!$C$5:$C$504,MATCH($I694,MCC_MASTER!$A$5:$A$504,0))),"Chưa phân loại"))</f>
        <v/>
      </c>
      <c r="L694" s="40" t="n"/>
      <c r="M694" s="48" t="str">
        <f>IF(OR($B694="",$D694=""),"",IF($AC694=0,0,IF(ISNUMBER(INDEX(CASHBACK_RULES!$L$5:$L$304,$AC694)),MAX(0,MIN($L694,INDEX(CASHBACK_RULES!$L$5:$L$304,$AC694)-$AH694)),MAX(0,$L694))))</f>
        <v/>
      </c>
      <c r="N694" s="49" t="str">
        <f>IF(OR($B694="",$D694=""),"",IF($AC694&gt;0,INDEX(CASHBACK_RULES!$I$5:$I$304,$AC694),0))</f>
        <v/>
      </c>
      <c r="O694" s="48" t="str">
        <f>IF(OR($B694="",$D694=""),"",ROUND($M694*$N694,0))</f>
        <v/>
      </c>
      <c r="P694" s="48" t="str">
        <f>IF($AC694&gt;0,IF(ISNUMBER(INDEX(CASHBACK_RULES!$J$5:$J$304,$AC694)),INDEX(CASHBACK_RULES!$J$5:$J$304,$AC694),"∞"),"")</f>
        <v/>
      </c>
      <c r="Q694" s="48" t="str">
        <f>IF(OR($B694="",$D694=""),"",IF($AC694=0,0,MAX(0,MIN($O694,IF(ISNUMBER($P694),$P694-$AF694,1E+15),IF(ISNUMBER($AA694),$AA694-$AG694,1E+15)))))</f>
        <v/>
      </c>
      <c r="R694" s="48" t="str">
        <f>IF(OR($B694="",$D694=""),"",IF($AC694=0,"",IF(AND(NOT(ISNUMBER($P694)),NOT(ISNUMBER($AA694))),"∞",MAX(0,MIN(IF(ISNUMBER($P694),$P694-$AF694-$Q694,1E+15),IF(ISNUMBER($AA694),$AA694-$AG694-$Q694,1E+15))))))</f>
        <v/>
      </c>
      <c r="S694" s="47" t="str">
        <f>IF($AD694="","",YEAR($AD694)*100+MONTH($AD694))</f>
        <v/>
      </c>
      <c r="T694" s="50" t="str">
        <f>IF($AD694="","",IFERROR(IF(INDEX(CARDS!$I$5:$I$34,MATCH($D694,CARDS!$A$5:$A$34,0))="","",IF(INDEX(CARDS!$I$5:$I$34,MATCH($D694,CARDS!$A$5:$A$34,0))&gt;INDEX(CARDS!$H$5:$H$34,MATCH($D694,CARDS!$A$5:$A$34,0)),DATE(YEAR($AD694),MONTH($AD694),MIN(INDEX(CARDS!$I$5:$I$34,MATCH($D694,CARDS!$A$5:$A$34,0)),DAY(EOMONTH($AD694,0)))),DATE(YEAR($AD694),MONTH($AD694)+1,MIN(INDEX(CARDS!$I$5:$I$34,MATCH($D694,CARDS!$A$5:$A$34,0)),DAY(EOMONTH($AD694,1)))))),""))</f>
        <v/>
      </c>
      <c r="U694" s="38" t="n"/>
      <c r="V694" s="37" t="n"/>
      <c r="W694" s="38" t="n"/>
      <c r="X694" s="38" t="n"/>
      <c r="Y694" s="44" t="str">
        <f>IF($AC694&gt;0,INDEX(CASHBACK_RULES!$A$5:$A$304,$AC694),"")</f>
        <v/>
      </c>
      <c r="Z694" s="45" t="str">
        <f>IF($AC694&gt;0,INDEX(CASHBACK_RULES!$E$5:$E$304,$AC694)&amp;"","")</f>
        <v/>
      </c>
      <c r="AA694" s="48" t="str">
        <f>IF($AC694&gt;0,IF(ISNUMBER(INDEX(CASHBACK_RULES!$K$5:$K$304,$AC694)),INDEX(CASHBACK_RULES!$K$5:$K$304,$AC694),"∞"),"")</f>
        <v/>
      </c>
      <c r="AB694" s="44" t="str">
        <f>IF(OR($B694="",$D694=""),"",IF($U694="Cancelled","Đã hủy",IF($AC694=0,"Không được hoàn",IF($Q694=0,IF(OR($O694&gt;0,$M694&lt;$L694),"Đã đạt cap","Không được hoàn"),IF(OR($Q694&lt;$O694,$M694&lt;$L694),"Hoàn một phần","Được hoàn")))))</f>
        <v/>
      </c>
      <c r="AC694" s="43">
        <f>IF(OR($B694="",$D694="",$I694="",$L694=""),0,IF($U694="Cancelled",0,IF($W694&lt;&gt;"",IFERROR(IF(INDEX(CASHBACK_RULES!$B$5:$B$304,MATCH($W694,CASHBACK_RULES!$A$5:$A$304,0))=$D694,MATCH($W694,CASHBACK_RULES!$A$5:$A$304,0),0),0),IFERROR(MATCH(1,INDEX((CASHBACK_RULES!$B$5:$B$304=$D694)*(CASHBACK_RULES!$G$5:$G$304=$I694)*(((CASHBACK_RULES!$N$5:$N$304="")+(CASHBACK_RULES!$N$5:$N$304&lt;=$B694))&gt;0)*(((CASHBACK_RULES!$O$5:$O$304="")+(CASHBACK_RULES!$O$5:$O$304&gt;=$B694))&gt;0)*(((CASHBACK_RULES!$M$5:$M$304="")+(CASHBACK_RULES!$M$5:$M$304&lt;=$L694))&gt;0),0),0),0))))</f>
        <v>0</v>
      </c>
      <c r="AD694" s="51" t="str">
        <f>IF(OR($B694="",$D694=""),"",IFERROR(IF(INDEX(CARDS!$H$5:$H$34,MATCH($D694,CARDS!$A$5:$A$34,0))="","",IF(DAY($B694)&lt;=INDEX(CARDS!$H$5:$H$34,MATCH($D694,CARDS!$A$5:$A$34,0)),DATE(YEAR($B694),MONTH($B694),MIN(INDEX(CARDS!$H$5:$H$34,MATCH($D694,CARDS!$A$5:$A$34,0)),DAY(EOMONTH($B694,0)))),DATE(YEAR($B694),MONTH($B694)+1,MIN(INDEX(CARDS!$H$5:$H$34,MATCH($D694,CARDS!$A$5:$A$34,0)),DAY(EOMONTH($B694,1)))))),""))</f>
        <v/>
      </c>
      <c r="AE694" s="52" t="str">
        <f>IF($C694="","",$C694&amp;"|"&amp;COUNTIF($C$5:$C694,$C694))</f>
        <v/>
      </c>
      <c r="AF694" s="53">
        <f>IF($AC694&gt;0,SUMIFS(Q$4:Q693,$D$4:$D693,$D694,$Z$4:$Z693,$Z694,$C$4:$C693,$C694),0)</f>
        <v>0</v>
      </c>
      <c r="AG694" s="53">
        <f>IF($AC694&gt;0,SUMIFS(Q$4:Q693,$D$4:$D693,$D694,$C$4:$C693,$C694),0)</f>
        <v>0</v>
      </c>
      <c r="AH694" s="53">
        <f>IF($AC694&gt;0,SUMIFS(M$4:M693,$D$4:$D693,$D694,$Z$4:$Z693,$Z694,$C$4:$C693,$C694),0)</f>
        <v>0</v>
      </c>
      <c r="AI694" s="43">
        <f>IF(OR($C694="",$I694=""),0,IF(COUNTIFS($C$5:$C694,$C694,$I$5:$I694,$I694)=1,1,0))</f>
        <v>0</v>
      </c>
      <c r="AJ694" s="43" t="str">
        <f>IF($AI694=1,SUMIFS($AI$4:$AI693,$C$4:$C693,$C694)+1,"")</f>
        <v/>
      </c>
      <c r="AK694" s="43">
        <f>IF(OR($C694="",$K694=""),0,IF(COUNTIFS($C$5:$C694,$C694,$K$5:$K694,$K694)=1,1,0))</f>
        <v>0</v>
      </c>
      <c r="AL694" s="43" t="str">
        <f>IF($AK694=1,SUMIFS($AK$4:$AK693,$C$4:$C693,$C694)+1,"")</f>
        <v/>
      </c>
      <c r="AM694" s="43">
        <f>IF(OR($C694="",$G694=""),0,IF(COUNTIFS($C$5:$C694,$C694,$G$5:$G694,$G694)=1,1,0))</f>
        <v>0</v>
      </c>
      <c r="AN694" s="43" t="str">
        <f>IF($AM694=1,SUMIFS($AM$4:$AM693,$C$4:$C693,$C694)+1,"")</f>
        <v/>
      </c>
    </row>
    <row r="695">
      <c r="A695" s="44" t="str">
        <f>IF(OR($B695="",$D695=""),"","TX"&amp;TEXT(ROW()-4,"0000"))</f>
        <v/>
      </c>
      <c r="B695" s="42" t="n"/>
      <c r="C695" s="47" t="str">
        <f>IF($B695="","",YEAR($B695)*100+MONTH($B695))</f>
        <v/>
      </c>
      <c r="D695" s="37" t="n"/>
      <c r="E695" s="45" t="str">
        <f>IF($D695="","",IFERROR(INDEX(CARDS!$B$5:$B$34,MATCH($D695,CARDS!$A$5:$A$34,0)),"⚠ Card ID?"))</f>
        <v/>
      </c>
      <c r="F695" s="45" t="str">
        <f>IF($D695="","",IFERROR(INDEX(CARDS!$C$5:$C$34,MATCH($D695,CARDS!$A$5:$A$34,0)),"⚠ Card ID?"))</f>
        <v/>
      </c>
      <c r="G695" s="37" t="n"/>
      <c r="H695" s="37" t="n"/>
      <c r="I695" s="41" t="n"/>
      <c r="J695" s="45" t="str">
        <f>IF($I695="","",IFERROR(INDEX(MCC_MASTER!$B$5:$B$504,MATCH($I695,MCC_MASTER!$A$5:$A$504,0)),"⚠ MCC chưa có"))</f>
        <v/>
      </c>
      <c r="K695" s="45" t="str">
        <f>IF($I695="","",IFERROR(IF(INDEX(MCC_MASTER!$C$5:$C$504,MATCH($I695,MCC_MASTER!$A$5:$A$504,0))="","Chưa phân loại",INDEX(MCC_MASTER!$C$5:$C$504,MATCH($I695,MCC_MASTER!$A$5:$A$504,0))),"Chưa phân loại"))</f>
        <v/>
      </c>
      <c r="L695" s="40" t="n"/>
      <c r="M695" s="48" t="str">
        <f>IF(OR($B695="",$D695=""),"",IF($AC695=0,0,IF(ISNUMBER(INDEX(CASHBACK_RULES!$L$5:$L$304,$AC695)),MAX(0,MIN($L695,INDEX(CASHBACK_RULES!$L$5:$L$304,$AC695)-$AH695)),MAX(0,$L695))))</f>
        <v/>
      </c>
      <c r="N695" s="49" t="str">
        <f>IF(OR($B695="",$D695=""),"",IF($AC695&gt;0,INDEX(CASHBACK_RULES!$I$5:$I$304,$AC695),0))</f>
        <v/>
      </c>
      <c r="O695" s="48" t="str">
        <f>IF(OR($B695="",$D695=""),"",ROUND($M695*$N695,0))</f>
        <v/>
      </c>
      <c r="P695" s="48" t="str">
        <f>IF($AC695&gt;0,IF(ISNUMBER(INDEX(CASHBACK_RULES!$J$5:$J$304,$AC695)),INDEX(CASHBACK_RULES!$J$5:$J$304,$AC695),"∞"),"")</f>
        <v/>
      </c>
      <c r="Q695" s="48" t="str">
        <f>IF(OR($B695="",$D695=""),"",IF($AC695=0,0,MAX(0,MIN($O695,IF(ISNUMBER($P695),$P695-$AF695,1E+15),IF(ISNUMBER($AA695),$AA695-$AG695,1E+15)))))</f>
        <v/>
      </c>
      <c r="R695" s="48" t="str">
        <f>IF(OR($B695="",$D695=""),"",IF($AC695=0,"",IF(AND(NOT(ISNUMBER($P695)),NOT(ISNUMBER($AA695))),"∞",MAX(0,MIN(IF(ISNUMBER($P695),$P695-$AF695-$Q695,1E+15),IF(ISNUMBER($AA695),$AA695-$AG695-$Q695,1E+15))))))</f>
        <v/>
      </c>
      <c r="S695" s="47" t="str">
        <f>IF($AD695="","",YEAR($AD695)*100+MONTH($AD695))</f>
        <v/>
      </c>
      <c r="T695" s="50" t="str">
        <f>IF($AD695="","",IFERROR(IF(INDEX(CARDS!$I$5:$I$34,MATCH($D695,CARDS!$A$5:$A$34,0))="","",IF(INDEX(CARDS!$I$5:$I$34,MATCH($D695,CARDS!$A$5:$A$34,0))&gt;INDEX(CARDS!$H$5:$H$34,MATCH($D695,CARDS!$A$5:$A$34,0)),DATE(YEAR($AD695),MONTH($AD695),MIN(INDEX(CARDS!$I$5:$I$34,MATCH($D695,CARDS!$A$5:$A$34,0)),DAY(EOMONTH($AD695,0)))),DATE(YEAR($AD695),MONTH($AD695)+1,MIN(INDEX(CARDS!$I$5:$I$34,MATCH($D695,CARDS!$A$5:$A$34,0)),DAY(EOMONTH($AD695,1)))))),""))</f>
        <v/>
      </c>
      <c r="U695" s="38" t="n"/>
      <c r="V695" s="37" t="n"/>
      <c r="W695" s="38" t="n"/>
      <c r="X695" s="38" t="n"/>
      <c r="Y695" s="44" t="str">
        <f>IF($AC695&gt;0,INDEX(CASHBACK_RULES!$A$5:$A$304,$AC695),"")</f>
        <v/>
      </c>
      <c r="Z695" s="45" t="str">
        <f>IF($AC695&gt;0,INDEX(CASHBACK_RULES!$E$5:$E$304,$AC695)&amp;"","")</f>
        <v/>
      </c>
      <c r="AA695" s="48" t="str">
        <f>IF($AC695&gt;0,IF(ISNUMBER(INDEX(CASHBACK_RULES!$K$5:$K$304,$AC695)),INDEX(CASHBACK_RULES!$K$5:$K$304,$AC695),"∞"),"")</f>
        <v/>
      </c>
      <c r="AB695" s="44" t="str">
        <f>IF(OR($B695="",$D695=""),"",IF($U695="Cancelled","Đã hủy",IF($AC695=0,"Không được hoàn",IF($Q695=0,IF(OR($O695&gt;0,$M695&lt;$L695),"Đã đạt cap","Không được hoàn"),IF(OR($Q695&lt;$O695,$M695&lt;$L695),"Hoàn một phần","Được hoàn")))))</f>
        <v/>
      </c>
      <c r="AC695" s="43">
        <f>IF(OR($B695="",$D695="",$I695="",$L695=""),0,IF($U695="Cancelled",0,IF($W695&lt;&gt;"",IFERROR(IF(INDEX(CASHBACK_RULES!$B$5:$B$304,MATCH($W695,CASHBACK_RULES!$A$5:$A$304,0))=$D695,MATCH($W695,CASHBACK_RULES!$A$5:$A$304,0),0),0),IFERROR(MATCH(1,INDEX((CASHBACK_RULES!$B$5:$B$304=$D695)*(CASHBACK_RULES!$G$5:$G$304=$I695)*(((CASHBACK_RULES!$N$5:$N$304="")+(CASHBACK_RULES!$N$5:$N$304&lt;=$B695))&gt;0)*(((CASHBACK_RULES!$O$5:$O$304="")+(CASHBACK_RULES!$O$5:$O$304&gt;=$B695))&gt;0)*(((CASHBACK_RULES!$M$5:$M$304="")+(CASHBACK_RULES!$M$5:$M$304&lt;=$L695))&gt;0),0),0),0))))</f>
        <v>0</v>
      </c>
      <c r="AD695" s="51" t="str">
        <f>IF(OR($B695="",$D695=""),"",IFERROR(IF(INDEX(CARDS!$H$5:$H$34,MATCH($D695,CARDS!$A$5:$A$34,0))="","",IF(DAY($B695)&lt;=INDEX(CARDS!$H$5:$H$34,MATCH($D695,CARDS!$A$5:$A$34,0)),DATE(YEAR($B695),MONTH($B695),MIN(INDEX(CARDS!$H$5:$H$34,MATCH($D695,CARDS!$A$5:$A$34,0)),DAY(EOMONTH($B695,0)))),DATE(YEAR($B695),MONTH($B695)+1,MIN(INDEX(CARDS!$H$5:$H$34,MATCH($D695,CARDS!$A$5:$A$34,0)),DAY(EOMONTH($B695,1)))))),""))</f>
        <v/>
      </c>
      <c r="AE695" s="52" t="str">
        <f>IF($C695="","",$C695&amp;"|"&amp;COUNTIF($C$5:$C695,$C695))</f>
        <v/>
      </c>
      <c r="AF695" s="53">
        <f>IF($AC695&gt;0,SUMIFS(Q$4:Q694,$D$4:$D694,$D695,$Z$4:$Z694,$Z695,$C$4:$C694,$C695),0)</f>
        <v>0</v>
      </c>
      <c r="AG695" s="53">
        <f>IF($AC695&gt;0,SUMIFS(Q$4:Q694,$D$4:$D694,$D695,$C$4:$C694,$C695),0)</f>
        <v>0</v>
      </c>
      <c r="AH695" s="53">
        <f>IF($AC695&gt;0,SUMIFS(M$4:M694,$D$4:$D694,$D695,$Z$4:$Z694,$Z695,$C$4:$C694,$C695),0)</f>
        <v>0</v>
      </c>
      <c r="AI695" s="43">
        <f>IF(OR($C695="",$I695=""),0,IF(COUNTIFS($C$5:$C695,$C695,$I$5:$I695,$I695)=1,1,0))</f>
        <v>0</v>
      </c>
      <c r="AJ695" s="43" t="str">
        <f>IF($AI695=1,SUMIFS($AI$4:$AI694,$C$4:$C694,$C695)+1,"")</f>
        <v/>
      </c>
      <c r="AK695" s="43">
        <f>IF(OR($C695="",$K695=""),0,IF(COUNTIFS($C$5:$C695,$C695,$K$5:$K695,$K695)=1,1,0))</f>
        <v>0</v>
      </c>
      <c r="AL695" s="43" t="str">
        <f>IF($AK695=1,SUMIFS($AK$4:$AK694,$C$4:$C694,$C695)+1,"")</f>
        <v/>
      </c>
      <c r="AM695" s="43">
        <f>IF(OR($C695="",$G695=""),0,IF(COUNTIFS($C$5:$C695,$C695,$G$5:$G695,$G695)=1,1,0))</f>
        <v>0</v>
      </c>
      <c r="AN695" s="43" t="str">
        <f>IF($AM695=1,SUMIFS($AM$4:$AM694,$C$4:$C694,$C695)+1,"")</f>
        <v/>
      </c>
    </row>
    <row r="696">
      <c r="A696" s="44" t="str">
        <f>IF(OR($B696="",$D696=""),"","TX"&amp;TEXT(ROW()-4,"0000"))</f>
        <v/>
      </c>
      <c r="B696" s="42" t="n"/>
      <c r="C696" s="47" t="str">
        <f>IF($B696="","",YEAR($B696)*100+MONTH($B696))</f>
        <v/>
      </c>
      <c r="D696" s="37" t="n"/>
      <c r="E696" s="45" t="str">
        <f>IF($D696="","",IFERROR(INDEX(CARDS!$B$5:$B$34,MATCH($D696,CARDS!$A$5:$A$34,0)),"⚠ Card ID?"))</f>
        <v/>
      </c>
      <c r="F696" s="45" t="str">
        <f>IF($D696="","",IFERROR(INDEX(CARDS!$C$5:$C$34,MATCH($D696,CARDS!$A$5:$A$34,0)),"⚠ Card ID?"))</f>
        <v/>
      </c>
      <c r="G696" s="37" t="n"/>
      <c r="H696" s="37" t="n"/>
      <c r="I696" s="41" t="n"/>
      <c r="J696" s="45" t="str">
        <f>IF($I696="","",IFERROR(INDEX(MCC_MASTER!$B$5:$B$504,MATCH($I696,MCC_MASTER!$A$5:$A$504,0)),"⚠ MCC chưa có"))</f>
        <v/>
      </c>
      <c r="K696" s="45" t="str">
        <f>IF($I696="","",IFERROR(IF(INDEX(MCC_MASTER!$C$5:$C$504,MATCH($I696,MCC_MASTER!$A$5:$A$504,0))="","Chưa phân loại",INDEX(MCC_MASTER!$C$5:$C$504,MATCH($I696,MCC_MASTER!$A$5:$A$504,0))),"Chưa phân loại"))</f>
        <v/>
      </c>
      <c r="L696" s="40" t="n"/>
      <c r="M696" s="48" t="str">
        <f>IF(OR($B696="",$D696=""),"",IF($AC696=0,0,IF(ISNUMBER(INDEX(CASHBACK_RULES!$L$5:$L$304,$AC696)),MAX(0,MIN($L696,INDEX(CASHBACK_RULES!$L$5:$L$304,$AC696)-$AH696)),MAX(0,$L696))))</f>
        <v/>
      </c>
      <c r="N696" s="49" t="str">
        <f>IF(OR($B696="",$D696=""),"",IF($AC696&gt;0,INDEX(CASHBACK_RULES!$I$5:$I$304,$AC696),0))</f>
        <v/>
      </c>
      <c r="O696" s="48" t="str">
        <f>IF(OR($B696="",$D696=""),"",ROUND($M696*$N696,0))</f>
        <v/>
      </c>
      <c r="P696" s="48" t="str">
        <f>IF($AC696&gt;0,IF(ISNUMBER(INDEX(CASHBACK_RULES!$J$5:$J$304,$AC696)),INDEX(CASHBACK_RULES!$J$5:$J$304,$AC696),"∞"),"")</f>
        <v/>
      </c>
      <c r="Q696" s="48" t="str">
        <f>IF(OR($B696="",$D696=""),"",IF($AC696=0,0,MAX(0,MIN($O696,IF(ISNUMBER($P696),$P696-$AF696,1E+15),IF(ISNUMBER($AA696),$AA696-$AG696,1E+15)))))</f>
        <v/>
      </c>
      <c r="R696" s="48" t="str">
        <f>IF(OR($B696="",$D696=""),"",IF($AC696=0,"",IF(AND(NOT(ISNUMBER($P696)),NOT(ISNUMBER($AA696))),"∞",MAX(0,MIN(IF(ISNUMBER($P696),$P696-$AF696-$Q696,1E+15),IF(ISNUMBER($AA696),$AA696-$AG696-$Q696,1E+15))))))</f>
        <v/>
      </c>
      <c r="S696" s="47" t="str">
        <f>IF($AD696="","",YEAR($AD696)*100+MONTH($AD696))</f>
        <v/>
      </c>
      <c r="T696" s="50" t="str">
        <f>IF($AD696="","",IFERROR(IF(INDEX(CARDS!$I$5:$I$34,MATCH($D696,CARDS!$A$5:$A$34,0))="","",IF(INDEX(CARDS!$I$5:$I$34,MATCH($D696,CARDS!$A$5:$A$34,0))&gt;INDEX(CARDS!$H$5:$H$34,MATCH($D696,CARDS!$A$5:$A$34,0)),DATE(YEAR($AD696),MONTH($AD696),MIN(INDEX(CARDS!$I$5:$I$34,MATCH($D696,CARDS!$A$5:$A$34,0)),DAY(EOMONTH($AD696,0)))),DATE(YEAR($AD696),MONTH($AD696)+1,MIN(INDEX(CARDS!$I$5:$I$34,MATCH($D696,CARDS!$A$5:$A$34,0)),DAY(EOMONTH($AD696,1)))))),""))</f>
        <v/>
      </c>
      <c r="U696" s="38" t="n"/>
      <c r="V696" s="37" t="n"/>
      <c r="W696" s="38" t="n"/>
      <c r="X696" s="38" t="n"/>
      <c r="Y696" s="44" t="str">
        <f>IF($AC696&gt;0,INDEX(CASHBACK_RULES!$A$5:$A$304,$AC696),"")</f>
        <v/>
      </c>
      <c r="Z696" s="45" t="str">
        <f>IF($AC696&gt;0,INDEX(CASHBACK_RULES!$E$5:$E$304,$AC696)&amp;"","")</f>
        <v/>
      </c>
      <c r="AA696" s="48" t="str">
        <f>IF($AC696&gt;0,IF(ISNUMBER(INDEX(CASHBACK_RULES!$K$5:$K$304,$AC696)),INDEX(CASHBACK_RULES!$K$5:$K$304,$AC696),"∞"),"")</f>
        <v/>
      </c>
      <c r="AB696" s="44" t="str">
        <f>IF(OR($B696="",$D696=""),"",IF($U696="Cancelled","Đã hủy",IF($AC696=0,"Không được hoàn",IF($Q696=0,IF(OR($O696&gt;0,$M696&lt;$L696),"Đã đạt cap","Không được hoàn"),IF(OR($Q696&lt;$O696,$M696&lt;$L696),"Hoàn một phần","Được hoàn")))))</f>
        <v/>
      </c>
      <c r="AC696" s="43">
        <f>IF(OR($B696="",$D696="",$I696="",$L696=""),0,IF($U696="Cancelled",0,IF($W696&lt;&gt;"",IFERROR(IF(INDEX(CASHBACK_RULES!$B$5:$B$304,MATCH($W696,CASHBACK_RULES!$A$5:$A$304,0))=$D696,MATCH($W696,CASHBACK_RULES!$A$5:$A$304,0),0),0),IFERROR(MATCH(1,INDEX((CASHBACK_RULES!$B$5:$B$304=$D696)*(CASHBACK_RULES!$G$5:$G$304=$I696)*(((CASHBACK_RULES!$N$5:$N$304="")+(CASHBACK_RULES!$N$5:$N$304&lt;=$B696))&gt;0)*(((CASHBACK_RULES!$O$5:$O$304="")+(CASHBACK_RULES!$O$5:$O$304&gt;=$B696))&gt;0)*(((CASHBACK_RULES!$M$5:$M$304="")+(CASHBACK_RULES!$M$5:$M$304&lt;=$L696))&gt;0),0),0),0))))</f>
        <v>0</v>
      </c>
      <c r="AD696" s="51" t="str">
        <f>IF(OR($B696="",$D696=""),"",IFERROR(IF(INDEX(CARDS!$H$5:$H$34,MATCH($D696,CARDS!$A$5:$A$34,0))="","",IF(DAY($B696)&lt;=INDEX(CARDS!$H$5:$H$34,MATCH($D696,CARDS!$A$5:$A$34,0)),DATE(YEAR($B696),MONTH($B696),MIN(INDEX(CARDS!$H$5:$H$34,MATCH($D696,CARDS!$A$5:$A$34,0)),DAY(EOMONTH($B696,0)))),DATE(YEAR($B696),MONTH($B696)+1,MIN(INDEX(CARDS!$H$5:$H$34,MATCH($D696,CARDS!$A$5:$A$34,0)),DAY(EOMONTH($B696,1)))))),""))</f>
        <v/>
      </c>
      <c r="AE696" s="52" t="str">
        <f>IF($C696="","",$C696&amp;"|"&amp;COUNTIF($C$5:$C696,$C696))</f>
        <v/>
      </c>
      <c r="AF696" s="53">
        <f>IF($AC696&gt;0,SUMIFS(Q$4:Q695,$D$4:$D695,$D696,$Z$4:$Z695,$Z696,$C$4:$C695,$C696),0)</f>
        <v>0</v>
      </c>
      <c r="AG696" s="53">
        <f>IF($AC696&gt;0,SUMIFS(Q$4:Q695,$D$4:$D695,$D696,$C$4:$C695,$C696),0)</f>
        <v>0</v>
      </c>
      <c r="AH696" s="53">
        <f>IF($AC696&gt;0,SUMIFS(M$4:M695,$D$4:$D695,$D696,$Z$4:$Z695,$Z696,$C$4:$C695,$C696),0)</f>
        <v>0</v>
      </c>
      <c r="AI696" s="43">
        <f>IF(OR($C696="",$I696=""),0,IF(COUNTIFS($C$5:$C696,$C696,$I$5:$I696,$I696)=1,1,0))</f>
        <v>0</v>
      </c>
      <c r="AJ696" s="43" t="str">
        <f>IF($AI696=1,SUMIFS($AI$4:$AI695,$C$4:$C695,$C696)+1,"")</f>
        <v/>
      </c>
      <c r="AK696" s="43">
        <f>IF(OR($C696="",$K696=""),0,IF(COUNTIFS($C$5:$C696,$C696,$K$5:$K696,$K696)=1,1,0))</f>
        <v>0</v>
      </c>
      <c r="AL696" s="43" t="str">
        <f>IF($AK696=1,SUMIFS($AK$4:$AK695,$C$4:$C695,$C696)+1,"")</f>
        <v/>
      </c>
      <c r="AM696" s="43">
        <f>IF(OR($C696="",$G696=""),0,IF(COUNTIFS($C$5:$C696,$C696,$G$5:$G696,$G696)=1,1,0))</f>
        <v>0</v>
      </c>
      <c r="AN696" s="43" t="str">
        <f>IF($AM696=1,SUMIFS($AM$4:$AM695,$C$4:$C695,$C696)+1,"")</f>
        <v/>
      </c>
    </row>
    <row r="697">
      <c r="A697" s="44" t="str">
        <f>IF(OR($B697="",$D697=""),"","TX"&amp;TEXT(ROW()-4,"0000"))</f>
        <v/>
      </c>
      <c r="B697" s="42" t="n"/>
      <c r="C697" s="47" t="str">
        <f>IF($B697="","",YEAR($B697)*100+MONTH($B697))</f>
        <v/>
      </c>
      <c r="D697" s="37" t="n"/>
      <c r="E697" s="45" t="str">
        <f>IF($D697="","",IFERROR(INDEX(CARDS!$B$5:$B$34,MATCH($D697,CARDS!$A$5:$A$34,0)),"⚠ Card ID?"))</f>
        <v/>
      </c>
      <c r="F697" s="45" t="str">
        <f>IF($D697="","",IFERROR(INDEX(CARDS!$C$5:$C$34,MATCH($D697,CARDS!$A$5:$A$34,0)),"⚠ Card ID?"))</f>
        <v/>
      </c>
      <c r="G697" s="37" t="n"/>
      <c r="H697" s="37" t="n"/>
      <c r="I697" s="41" t="n"/>
      <c r="J697" s="45" t="str">
        <f>IF($I697="","",IFERROR(INDEX(MCC_MASTER!$B$5:$B$504,MATCH($I697,MCC_MASTER!$A$5:$A$504,0)),"⚠ MCC chưa có"))</f>
        <v/>
      </c>
      <c r="K697" s="45" t="str">
        <f>IF($I697="","",IFERROR(IF(INDEX(MCC_MASTER!$C$5:$C$504,MATCH($I697,MCC_MASTER!$A$5:$A$504,0))="","Chưa phân loại",INDEX(MCC_MASTER!$C$5:$C$504,MATCH($I697,MCC_MASTER!$A$5:$A$504,0))),"Chưa phân loại"))</f>
        <v/>
      </c>
      <c r="L697" s="40" t="n"/>
      <c r="M697" s="48" t="str">
        <f>IF(OR($B697="",$D697=""),"",IF($AC697=0,0,IF(ISNUMBER(INDEX(CASHBACK_RULES!$L$5:$L$304,$AC697)),MAX(0,MIN($L697,INDEX(CASHBACK_RULES!$L$5:$L$304,$AC697)-$AH697)),MAX(0,$L697))))</f>
        <v/>
      </c>
      <c r="N697" s="49" t="str">
        <f>IF(OR($B697="",$D697=""),"",IF($AC697&gt;0,INDEX(CASHBACK_RULES!$I$5:$I$304,$AC697),0))</f>
        <v/>
      </c>
      <c r="O697" s="48" t="str">
        <f>IF(OR($B697="",$D697=""),"",ROUND($M697*$N697,0))</f>
        <v/>
      </c>
      <c r="P697" s="48" t="str">
        <f>IF($AC697&gt;0,IF(ISNUMBER(INDEX(CASHBACK_RULES!$J$5:$J$304,$AC697)),INDEX(CASHBACK_RULES!$J$5:$J$304,$AC697),"∞"),"")</f>
        <v/>
      </c>
      <c r="Q697" s="48" t="str">
        <f>IF(OR($B697="",$D697=""),"",IF($AC697=0,0,MAX(0,MIN($O697,IF(ISNUMBER($P697),$P697-$AF697,1E+15),IF(ISNUMBER($AA697),$AA697-$AG697,1E+15)))))</f>
        <v/>
      </c>
      <c r="R697" s="48" t="str">
        <f>IF(OR($B697="",$D697=""),"",IF($AC697=0,"",IF(AND(NOT(ISNUMBER($P697)),NOT(ISNUMBER($AA697))),"∞",MAX(0,MIN(IF(ISNUMBER($P697),$P697-$AF697-$Q697,1E+15),IF(ISNUMBER($AA697),$AA697-$AG697-$Q697,1E+15))))))</f>
        <v/>
      </c>
      <c r="S697" s="47" t="str">
        <f>IF($AD697="","",YEAR($AD697)*100+MONTH($AD697))</f>
        <v/>
      </c>
      <c r="T697" s="50" t="str">
        <f>IF($AD697="","",IFERROR(IF(INDEX(CARDS!$I$5:$I$34,MATCH($D697,CARDS!$A$5:$A$34,0))="","",IF(INDEX(CARDS!$I$5:$I$34,MATCH($D697,CARDS!$A$5:$A$34,0))&gt;INDEX(CARDS!$H$5:$H$34,MATCH($D697,CARDS!$A$5:$A$34,0)),DATE(YEAR($AD697),MONTH($AD697),MIN(INDEX(CARDS!$I$5:$I$34,MATCH($D697,CARDS!$A$5:$A$34,0)),DAY(EOMONTH($AD697,0)))),DATE(YEAR($AD697),MONTH($AD697)+1,MIN(INDEX(CARDS!$I$5:$I$34,MATCH($D697,CARDS!$A$5:$A$34,0)),DAY(EOMONTH($AD697,1)))))),""))</f>
        <v/>
      </c>
      <c r="U697" s="38" t="n"/>
      <c r="V697" s="37" t="n"/>
      <c r="W697" s="38" t="n"/>
      <c r="X697" s="38" t="n"/>
      <c r="Y697" s="44" t="str">
        <f>IF($AC697&gt;0,INDEX(CASHBACK_RULES!$A$5:$A$304,$AC697),"")</f>
        <v/>
      </c>
      <c r="Z697" s="45" t="str">
        <f>IF($AC697&gt;0,INDEX(CASHBACK_RULES!$E$5:$E$304,$AC697)&amp;"","")</f>
        <v/>
      </c>
      <c r="AA697" s="48" t="str">
        <f>IF($AC697&gt;0,IF(ISNUMBER(INDEX(CASHBACK_RULES!$K$5:$K$304,$AC697)),INDEX(CASHBACK_RULES!$K$5:$K$304,$AC697),"∞"),"")</f>
        <v/>
      </c>
      <c r="AB697" s="44" t="str">
        <f>IF(OR($B697="",$D697=""),"",IF($U697="Cancelled","Đã hủy",IF($AC697=0,"Không được hoàn",IF($Q697=0,IF(OR($O697&gt;0,$M697&lt;$L697),"Đã đạt cap","Không được hoàn"),IF(OR($Q697&lt;$O697,$M697&lt;$L697),"Hoàn một phần","Được hoàn")))))</f>
        <v/>
      </c>
      <c r="AC697" s="43">
        <f>IF(OR($B697="",$D697="",$I697="",$L697=""),0,IF($U697="Cancelled",0,IF($W697&lt;&gt;"",IFERROR(IF(INDEX(CASHBACK_RULES!$B$5:$B$304,MATCH($W697,CASHBACK_RULES!$A$5:$A$304,0))=$D697,MATCH($W697,CASHBACK_RULES!$A$5:$A$304,0),0),0),IFERROR(MATCH(1,INDEX((CASHBACK_RULES!$B$5:$B$304=$D697)*(CASHBACK_RULES!$G$5:$G$304=$I697)*(((CASHBACK_RULES!$N$5:$N$304="")+(CASHBACK_RULES!$N$5:$N$304&lt;=$B697))&gt;0)*(((CASHBACK_RULES!$O$5:$O$304="")+(CASHBACK_RULES!$O$5:$O$304&gt;=$B697))&gt;0)*(((CASHBACK_RULES!$M$5:$M$304="")+(CASHBACK_RULES!$M$5:$M$304&lt;=$L697))&gt;0),0),0),0))))</f>
        <v>0</v>
      </c>
      <c r="AD697" s="51" t="str">
        <f>IF(OR($B697="",$D697=""),"",IFERROR(IF(INDEX(CARDS!$H$5:$H$34,MATCH($D697,CARDS!$A$5:$A$34,0))="","",IF(DAY($B697)&lt;=INDEX(CARDS!$H$5:$H$34,MATCH($D697,CARDS!$A$5:$A$34,0)),DATE(YEAR($B697),MONTH($B697),MIN(INDEX(CARDS!$H$5:$H$34,MATCH($D697,CARDS!$A$5:$A$34,0)),DAY(EOMONTH($B697,0)))),DATE(YEAR($B697),MONTH($B697)+1,MIN(INDEX(CARDS!$H$5:$H$34,MATCH($D697,CARDS!$A$5:$A$34,0)),DAY(EOMONTH($B697,1)))))),""))</f>
        <v/>
      </c>
      <c r="AE697" s="52" t="str">
        <f>IF($C697="","",$C697&amp;"|"&amp;COUNTIF($C$5:$C697,$C697))</f>
        <v/>
      </c>
      <c r="AF697" s="53">
        <f>IF($AC697&gt;0,SUMIFS(Q$4:Q696,$D$4:$D696,$D697,$Z$4:$Z696,$Z697,$C$4:$C696,$C697),0)</f>
        <v>0</v>
      </c>
      <c r="AG697" s="53">
        <f>IF($AC697&gt;0,SUMIFS(Q$4:Q696,$D$4:$D696,$D697,$C$4:$C696,$C697),0)</f>
        <v>0</v>
      </c>
      <c r="AH697" s="53">
        <f>IF($AC697&gt;0,SUMIFS(M$4:M696,$D$4:$D696,$D697,$Z$4:$Z696,$Z697,$C$4:$C696,$C697),0)</f>
        <v>0</v>
      </c>
      <c r="AI697" s="43">
        <f>IF(OR($C697="",$I697=""),0,IF(COUNTIFS($C$5:$C697,$C697,$I$5:$I697,$I697)=1,1,0))</f>
        <v>0</v>
      </c>
      <c r="AJ697" s="43" t="str">
        <f>IF($AI697=1,SUMIFS($AI$4:$AI696,$C$4:$C696,$C697)+1,"")</f>
        <v/>
      </c>
      <c r="AK697" s="43">
        <f>IF(OR($C697="",$K697=""),0,IF(COUNTIFS($C$5:$C697,$C697,$K$5:$K697,$K697)=1,1,0))</f>
        <v>0</v>
      </c>
      <c r="AL697" s="43" t="str">
        <f>IF($AK697=1,SUMIFS($AK$4:$AK696,$C$4:$C696,$C697)+1,"")</f>
        <v/>
      </c>
      <c r="AM697" s="43">
        <f>IF(OR($C697="",$G697=""),0,IF(COUNTIFS($C$5:$C697,$C697,$G$5:$G697,$G697)=1,1,0))</f>
        <v>0</v>
      </c>
      <c r="AN697" s="43" t="str">
        <f>IF($AM697=1,SUMIFS($AM$4:$AM696,$C$4:$C696,$C697)+1,"")</f>
        <v/>
      </c>
    </row>
    <row r="698">
      <c r="A698" s="44" t="str">
        <f>IF(OR($B698="",$D698=""),"","TX"&amp;TEXT(ROW()-4,"0000"))</f>
        <v/>
      </c>
      <c r="B698" s="42" t="n"/>
      <c r="C698" s="47" t="str">
        <f>IF($B698="","",YEAR($B698)*100+MONTH($B698))</f>
        <v/>
      </c>
      <c r="D698" s="37" t="n"/>
      <c r="E698" s="45" t="str">
        <f>IF($D698="","",IFERROR(INDEX(CARDS!$B$5:$B$34,MATCH($D698,CARDS!$A$5:$A$34,0)),"⚠ Card ID?"))</f>
        <v/>
      </c>
      <c r="F698" s="45" t="str">
        <f>IF($D698="","",IFERROR(INDEX(CARDS!$C$5:$C$34,MATCH($D698,CARDS!$A$5:$A$34,0)),"⚠ Card ID?"))</f>
        <v/>
      </c>
      <c r="G698" s="37" t="n"/>
      <c r="H698" s="37" t="n"/>
      <c r="I698" s="41" t="n"/>
      <c r="J698" s="45" t="str">
        <f>IF($I698="","",IFERROR(INDEX(MCC_MASTER!$B$5:$B$504,MATCH($I698,MCC_MASTER!$A$5:$A$504,0)),"⚠ MCC chưa có"))</f>
        <v/>
      </c>
      <c r="K698" s="45" t="str">
        <f>IF($I698="","",IFERROR(IF(INDEX(MCC_MASTER!$C$5:$C$504,MATCH($I698,MCC_MASTER!$A$5:$A$504,0))="","Chưa phân loại",INDEX(MCC_MASTER!$C$5:$C$504,MATCH($I698,MCC_MASTER!$A$5:$A$504,0))),"Chưa phân loại"))</f>
        <v/>
      </c>
      <c r="L698" s="40" t="n"/>
      <c r="M698" s="48" t="str">
        <f>IF(OR($B698="",$D698=""),"",IF($AC698=0,0,IF(ISNUMBER(INDEX(CASHBACK_RULES!$L$5:$L$304,$AC698)),MAX(0,MIN($L698,INDEX(CASHBACK_RULES!$L$5:$L$304,$AC698)-$AH698)),MAX(0,$L698))))</f>
        <v/>
      </c>
      <c r="N698" s="49" t="str">
        <f>IF(OR($B698="",$D698=""),"",IF($AC698&gt;0,INDEX(CASHBACK_RULES!$I$5:$I$304,$AC698),0))</f>
        <v/>
      </c>
      <c r="O698" s="48" t="str">
        <f>IF(OR($B698="",$D698=""),"",ROUND($M698*$N698,0))</f>
        <v/>
      </c>
      <c r="P698" s="48" t="str">
        <f>IF($AC698&gt;0,IF(ISNUMBER(INDEX(CASHBACK_RULES!$J$5:$J$304,$AC698)),INDEX(CASHBACK_RULES!$J$5:$J$304,$AC698),"∞"),"")</f>
        <v/>
      </c>
      <c r="Q698" s="48" t="str">
        <f>IF(OR($B698="",$D698=""),"",IF($AC698=0,0,MAX(0,MIN($O698,IF(ISNUMBER($P698),$P698-$AF698,1E+15),IF(ISNUMBER($AA698),$AA698-$AG698,1E+15)))))</f>
        <v/>
      </c>
      <c r="R698" s="48" t="str">
        <f>IF(OR($B698="",$D698=""),"",IF($AC698=0,"",IF(AND(NOT(ISNUMBER($P698)),NOT(ISNUMBER($AA698))),"∞",MAX(0,MIN(IF(ISNUMBER($P698),$P698-$AF698-$Q698,1E+15),IF(ISNUMBER($AA698),$AA698-$AG698-$Q698,1E+15))))))</f>
        <v/>
      </c>
      <c r="S698" s="47" t="str">
        <f>IF($AD698="","",YEAR($AD698)*100+MONTH($AD698))</f>
        <v/>
      </c>
      <c r="T698" s="50" t="str">
        <f>IF($AD698="","",IFERROR(IF(INDEX(CARDS!$I$5:$I$34,MATCH($D698,CARDS!$A$5:$A$34,0))="","",IF(INDEX(CARDS!$I$5:$I$34,MATCH($D698,CARDS!$A$5:$A$34,0))&gt;INDEX(CARDS!$H$5:$H$34,MATCH($D698,CARDS!$A$5:$A$34,0)),DATE(YEAR($AD698),MONTH($AD698),MIN(INDEX(CARDS!$I$5:$I$34,MATCH($D698,CARDS!$A$5:$A$34,0)),DAY(EOMONTH($AD698,0)))),DATE(YEAR($AD698),MONTH($AD698)+1,MIN(INDEX(CARDS!$I$5:$I$34,MATCH($D698,CARDS!$A$5:$A$34,0)),DAY(EOMONTH($AD698,1)))))),""))</f>
        <v/>
      </c>
      <c r="U698" s="38" t="n"/>
      <c r="V698" s="37" t="n"/>
      <c r="W698" s="38" t="n"/>
      <c r="X698" s="38" t="n"/>
      <c r="Y698" s="44" t="str">
        <f>IF($AC698&gt;0,INDEX(CASHBACK_RULES!$A$5:$A$304,$AC698),"")</f>
        <v/>
      </c>
      <c r="Z698" s="45" t="str">
        <f>IF($AC698&gt;0,INDEX(CASHBACK_RULES!$E$5:$E$304,$AC698)&amp;"","")</f>
        <v/>
      </c>
      <c r="AA698" s="48" t="str">
        <f>IF($AC698&gt;0,IF(ISNUMBER(INDEX(CASHBACK_RULES!$K$5:$K$304,$AC698)),INDEX(CASHBACK_RULES!$K$5:$K$304,$AC698),"∞"),"")</f>
        <v/>
      </c>
      <c r="AB698" s="44" t="str">
        <f>IF(OR($B698="",$D698=""),"",IF($U698="Cancelled","Đã hủy",IF($AC698=0,"Không được hoàn",IF($Q698=0,IF(OR($O698&gt;0,$M698&lt;$L698),"Đã đạt cap","Không được hoàn"),IF(OR($Q698&lt;$O698,$M698&lt;$L698),"Hoàn một phần","Được hoàn")))))</f>
        <v/>
      </c>
      <c r="AC698" s="43">
        <f>IF(OR($B698="",$D698="",$I698="",$L698=""),0,IF($U698="Cancelled",0,IF($W698&lt;&gt;"",IFERROR(IF(INDEX(CASHBACK_RULES!$B$5:$B$304,MATCH($W698,CASHBACK_RULES!$A$5:$A$304,0))=$D698,MATCH($W698,CASHBACK_RULES!$A$5:$A$304,0),0),0),IFERROR(MATCH(1,INDEX((CASHBACK_RULES!$B$5:$B$304=$D698)*(CASHBACK_RULES!$G$5:$G$304=$I698)*(((CASHBACK_RULES!$N$5:$N$304="")+(CASHBACK_RULES!$N$5:$N$304&lt;=$B698))&gt;0)*(((CASHBACK_RULES!$O$5:$O$304="")+(CASHBACK_RULES!$O$5:$O$304&gt;=$B698))&gt;0)*(((CASHBACK_RULES!$M$5:$M$304="")+(CASHBACK_RULES!$M$5:$M$304&lt;=$L698))&gt;0),0),0),0))))</f>
        <v>0</v>
      </c>
      <c r="AD698" s="51" t="str">
        <f>IF(OR($B698="",$D698=""),"",IFERROR(IF(INDEX(CARDS!$H$5:$H$34,MATCH($D698,CARDS!$A$5:$A$34,0))="","",IF(DAY($B698)&lt;=INDEX(CARDS!$H$5:$H$34,MATCH($D698,CARDS!$A$5:$A$34,0)),DATE(YEAR($B698),MONTH($B698),MIN(INDEX(CARDS!$H$5:$H$34,MATCH($D698,CARDS!$A$5:$A$34,0)),DAY(EOMONTH($B698,0)))),DATE(YEAR($B698),MONTH($B698)+1,MIN(INDEX(CARDS!$H$5:$H$34,MATCH($D698,CARDS!$A$5:$A$34,0)),DAY(EOMONTH($B698,1)))))),""))</f>
        <v/>
      </c>
      <c r="AE698" s="52" t="str">
        <f>IF($C698="","",$C698&amp;"|"&amp;COUNTIF($C$5:$C698,$C698))</f>
        <v/>
      </c>
      <c r="AF698" s="53">
        <f>IF($AC698&gt;0,SUMIFS(Q$4:Q697,$D$4:$D697,$D698,$Z$4:$Z697,$Z698,$C$4:$C697,$C698),0)</f>
        <v>0</v>
      </c>
      <c r="AG698" s="53">
        <f>IF($AC698&gt;0,SUMIFS(Q$4:Q697,$D$4:$D697,$D698,$C$4:$C697,$C698),0)</f>
        <v>0</v>
      </c>
      <c r="AH698" s="53">
        <f>IF($AC698&gt;0,SUMIFS(M$4:M697,$D$4:$D697,$D698,$Z$4:$Z697,$Z698,$C$4:$C697,$C698),0)</f>
        <v>0</v>
      </c>
      <c r="AI698" s="43">
        <f>IF(OR($C698="",$I698=""),0,IF(COUNTIFS($C$5:$C698,$C698,$I$5:$I698,$I698)=1,1,0))</f>
        <v>0</v>
      </c>
      <c r="AJ698" s="43" t="str">
        <f>IF($AI698=1,SUMIFS($AI$4:$AI697,$C$4:$C697,$C698)+1,"")</f>
        <v/>
      </c>
      <c r="AK698" s="43">
        <f>IF(OR($C698="",$K698=""),0,IF(COUNTIFS($C$5:$C698,$C698,$K$5:$K698,$K698)=1,1,0))</f>
        <v>0</v>
      </c>
      <c r="AL698" s="43" t="str">
        <f>IF($AK698=1,SUMIFS($AK$4:$AK697,$C$4:$C697,$C698)+1,"")</f>
        <v/>
      </c>
      <c r="AM698" s="43">
        <f>IF(OR($C698="",$G698=""),0,IF(COUNTIFS($C$5:$C698,$C698,$G$5:$G698,$G698)=1,1,0))</f>
        <v>0</v>
      </c>
      <c r="AN698" s="43" t="str">
        <f>IF($AM698=1,SUMIFS($AM$4:$AM697,$C$4:$C697,$C698)+1,"")</f>
        <v/>
      </c>
    </row>
    <row r="699">
      <c r="A699" s="44" t="str">
        <f>IF(OR($B699="",$D699=""),"","TX"&amp;TEXT(ROW()-4,"0000"))</f>
        <v/>
      </c>
      <c r="B699" s="42" t="n"/>
      <c r="C699" s="47" t="str">
        <f>IF($B699="","",YEAR($B699)*100+MONTH($B699))</f>
        <v/>
      </c>
      <c r="D699" s="37" t="n"/>
      <c r="E699" s="45" t="str">
        <f>IF($D699="","",IFERROR(INDEX(CARDS!$B$5:$B$34,MATCH($D699,CARDS!$A$5:$A$34,0)),"⚠ Card ID?"))</f>
        <v/>
      </c>
      <c r="F699" s="45" t="str">
        <f>IF($D699="","",IFERROR(INDEX(CARDS!$C$5:$C$34,MATCH($D699,CARDS!$A$5:$A$34,0)),"⚠ Card ID?"))</f>
        <v/>
      </c>
      <c r="G699" s="37" t="n"/>
      <c r="H699" s="37" t="n"/>
      <c r="I699" s="41" t="n"/>
      <c r="J699" s="45" t="str">
        <f>IF($I699="","",IFERROR(INDEX(MCC_MASTER!$B$5:$B$504,MATCH($I699,MCC_MASTER!$A$5:$A$504,0)),"⚠ MCC chưa có"))</f>
        <v/>
      </c>
      <c r="K699" s="45" t="str">
        <f>IF($I699="","",IFERROR(IF(INDEX(MCC_MASTER!$C$5:$C$504,MATCH($I699,MCC_MASTER!$A$5:$A$504,0))="","Chưa phân loại",INDEX(MCC_MASTER!$C$5:$C$504,MATCH($I699,MCC_MASTER!$A$5:$A$504,0))),"Chưa phân loại"))</f>
        <v/>
      </c>
      <c r="L699" s="40" t="n"/>
      <c r="M699" s="48" t="str">
        <f>IF(OR($B699="",$D699=""),"",IF($AC699=0,0,IF(ISNUMBER(INDEX(CASHBACK_RULES!$L$5:$L$304,$AC699)),MAX(0,MIN($L699,INDEX(CASHBACK_RULES!$L$5:$L$304,$AC699)-$AH699)),MAX(0,$L699))))</f>
        <v/>
      </c>
      <c r="N699" s="49" t="str">
        <f>IF(OR($B699="",$D699=""),"",IF($AC699&gt;0,INDEX(CASHBACK_RULES!$I$5:$I$304,$AC699),0))</f>
        <v/>
      </c>
      <c r="O699" s="48" t="str">
        <f>IF(OR($B699="",$D699=""),"",ROUND($M699*$N699,0))</f>
        <v/>
      </c>
      <c r="P699" s="48" t="str">
        <f>IF($AC699&gt;0,IF(ISNUMBER(INDEX(CASHBACK_RULES!$J$5:$J$304,$AC699)),INDEX(CASHBACK_RULES!$J$5:$J$304,$AC699),"∞"),"")</f>
        <v/>
      </c>
      <c r="Q699" s="48" t="str">
        <f>IF(OR($B699="",$D699=""),"",IF($AC699=0,0,MAX(0,MIN($O699,IF(ISNUMBER($P699),$P699-$AF699,1E+15),IF(ISNUMBER($AA699),$AA699-$AG699,1E+15)))))</f>
        <v/>
      </c>
      <c r="R699" s="48" t="str">
        <f>IF(OR($B699="",$D699=""),"",IF($AC699=0,"",IF(AND(NOT(ISNUMBER($P699)),NOT(ISNUMBER($AA699))),"∞",MAX(0,MIN(IF(ISNUMBER($P699),$P699-$AF699-$Q699,1E+15),IF(ISNUMBER($AA699),$AA699-$AG699-$Q699,1E+15))))))</f>
        <v/>
      </c>
      <c r="S699" s="47" t="str">
        <f>IF($AD699="","",YEAR($AD699)*100+MONTH($AD699))</f>
        <v/>
      </c>
      <c r="T699" s="50" t="str">
        <f>IF($AD699="","",IFERROR(IF(INDEX(CARDS!$I$5:$I$34,MATCH($D699,CARDS!$A$5:$A$34,0))="","",IF(INDEX(CARDS!$I$5:$I$34,MATCH($D699,CARDS!$A$5:$A$34,0))&gt;INDEX(CARDS!$H$5:$H$34,MATCH($D699,CARDS!$A$5:$A$34,0)),DATE(YEAR($AD699),MONTH($AD699),MIN(INDEX(CARDS!$I$5:$I$34,MATCH($D699,CARDS!$A$5:$A$34,0)),DAY(EOMONTH($AD699,0)))),DATE(YEAR($AD699),MONTH($AD699)+1,MIN(INDEX(CARDS!$I$5:$I$34,MATCH($D699,CARDS!$A$5:$A$34,0)),DAY(EOMONTH($AD699,1)))))),""))</f>
        <v/>
      </c>
      <c r="U699" s="38" t="n"/>
      <c r="V699" s="37" t="n"/>
      <c r="W699" s="38" t="n"/>
      <c r="X699" s="38" t="n"/>
      <c r="Y699" s="44" t="str">
        <f>IF($AC699&gt;0,INDEX(CASHBACK_RULES!$A$5:$A$304,$AC699),"")</f>
        <v/>
      </c>
      <c r="Z699" s="45" t="str">
        <f>IF($AC699&gt;0,INDEX(CASHBACK_RULES!$E$5:$E$304,$AC699)&amp;"","")</f>
        <v/>
      </c>
      <c r="AA699" s="48" t="str">
        <f>IF($AC699&gt;0,IF(ISNUMBER(INDEX(CASHBACK_RULES!$K$5:$K$304,$AC699)),INDEX(CASHBACK_RULES!$K$5:$K$304,$AC699),"∞"),"")</f>
        <v/>
      </c>
      <c r="AB699" s="44" t="str">
        <f>IF(OR($B699="",$D699=""),"",IF($U699="Cancelled","Đã hủy",IF($AC699=0,"Không được hoàn",IF($Q699=0,IF(OR($O699&gt;0,$M699&lt;$L699),"Đã đạt cap","Không được hoàn"),IF(OR($Q699&lt;$O699,$M699&lt;$L699),"Hoàn một phần","Được hoàn")))))</f>
        <v/>
      </c>
      <c r="AC699" s="43">
        <f>IF(OR($B699="",$D699="",$I699="",$L699=""),0,IF($U699="Cancelled",0,IF($W699&lt;&gt;"",IFERROR(IF(INDEX(CASHBACK_RULES!$B$5:$B$304,MATCH($W699,CASHBACK_RULES!$A$5:$A$304,0))=$D699,MATCH($W699,CASHBACK_RULES!$A$5:$A$304,0),0),0),IFERROR(MATCH(1,INDEX((CASHBACK_RULES!$B$5:$B$304=$D699)*(CASHBACK_RULES!$G$5:$G$304=$I699)*(((CASHBACK_RULES!$N$5:$N$304="")+(CASHBACK_RULES!$N$5:$N$304&lt;=$B699))&gt;0)*(((CASHBACK_RULES!$O$5:$O$304="")+(CASHBACK_RULES!$O$5:$O$304&gt;=$B699))&gt;0)*(((CASHBACK_RULES!$M$5:$M$304="")+(CASHBACK_RULES!$M$5:$M$304&lt;=$L699))&gt;0),0),0),0))))</f>
        <v>0</v>
      </c>
      <c r="AD699" s="51" t="str">
        <f>IF(OR($B699="",$D699=""),"",IFERROR(IF(INDEX(CARDS!$H$5:$H$34,MATCH($D699,CARDS!$A$5:$A$34,0))="","",IF(DAY($B699)&lt;=INDEX(CARDS!$H$5:$H$34,MATCH($D699,CARDS!$A$5:$A$34,0)),DATE(YEAR($B699),MONTH($B699),MIN(INDEX(CARDS!$H$5:$H$34,MATCH($D699,CARDS!$A$5:$A$34,0)),DAY(EOMONTH($B699,0)))),DATE(YEAR($B699),MONTH($B699)+1,MIN(INDEX(CARDS!$H$5:$H$34,MATCH($D699,CARDS!$A$5:$A$34,0)),DAY(EOMONTH($B699,1)))))),""))</f>
        <v/>
      </c>
      <c r="AE699" s="52" t="str">
        <f>IF($C699="","",$C699&amp;"|"&amp;COUNTIF($C$5:$C699,$C699))</f>
        <v/>
      </c>
      <c r="AF699" s="53">
        <f>IF($AC699&gt;0,SUMIFS(Q$4:Q698,$D$4:$D698,$D699,$Z$4:$Z698,$Z699,$C$4:$C698,$C699),0)</f>
        <v>0</v>
      </c>
      <c r="AG699" s="53">
        <f>IF($AC699&gt;0,SUMIFS(Q$4:Q698,$D$4:$D698,$D699,$C$4:$C698,$C699),0)</f>
        <v>0</v>
      </c>
      <c r="AH699" s="53">
        <f>IF($AC699&gt;0,SUMIFS(M$4:M698,$D$4:$D698,$D699,$Z$4:$Z698,$Z699,$C$4:$C698,$C699),0)</f>
        <v>0</v>
      </c>
      <c r="AI699" s="43">
        <f>IF(OR($C699="",$I699=""),0,IF(COUNTIFS($C$5:$C699,$C699,$I$5:$I699,$I699)=1,1,0))</f>
        <v>0</v>
      </c>
      <c r="AJ699" s="43" t="str">
        <f>IF($AI699=1,SUMIFS($AI$4:$AI698,$C$4:$C698,$C699)+1,"")</f>
        <v/>
      </c>
      <c r="AK699" s="43">
        <f>IF(OR($C699="",$K699=""),0,IF(COUNTIFS($C$5:$C699,$C699,$K$5:$K699,$K699)=1,1,0))</f>
        <v>0</v>
      </c>
      <c r="AL699" s="43" t="str">
        <f>IF($AK699=1,SUMIFS($AK$4:$AK698,$C$4:$C698,$C699)+1,"")</f>
        <v/>
      </c>
      <c r="AM699" s="43">
        <f>IF(OR($C699="",$G699=""),0,IF(COUNTIFS($C$5:$C699,$C699,$G$5:$G699,$G699)=1,1,0))</f>
        <v>0</v>
      </c>
      <c r="AN699" s="43" t="str">
        <f>IF($AM699=1,SUMIFS($AM$4:$AM698,$C$4:$C698,$C699)+1,"")</f>
        <v/>
      </c>
    </row>
    <row r="700">
      <c r="A700" s="44" t="str">
        <f>IF(OR($B700="",$D700=""),"","TX"&amp;TEXT(ROW()-4,"0000"))</f>
        <v/>
      </c>
      <c r="B700" s="42" t="n"/>
      <c r="C700" s="47" t="str">
        <f>IF($B700="","",YEAR($B700)*100+MONTH($B700))</f>
        <v/>
      </c>
      <c r="D700" s="37" t="n"/>
      <c r="E700" s="45" t="str">
        <f>IF($D700="","",IFERROR(INDEX(CARDS!$B$5:$B$34,MATCH($D700,CARDS!$A$5:$A$34,0)),"⚠ Card ID?"))</f>
        <v/>
      </c>
      <c r="F700" s="45" t="str">
        <f>IF($D700="","",IFERROR(INDEX(CARDS!$C$5:$C$34,MATCH($D700,CARDS!$A$5:$A$34,0)),"⚠ Card ID?"))</f>
        <v/>
      </c>
      <c r="G700" s="37" t="n"/>
      <c r="H700" s="37" t="n"/>
      <c r="I700" s="41" t="n"/>
      <c r="J700" s="45" t="str">
        <f>IF($I700="","",IFERROR(INDEX(MCC_MASTER!$B$5:$B$504,MATCH($I700,MCC_MASTER!$A$5:$A$504,0)),"⚠ MCC chưa có"))</f>
        <v/>
      </c>
      <c r="K700" s="45" t="str">
        <f>IF($I700="","",IFERROR(IF(INDEX(MCC_MASTER!$C$5:$C$504,MATCH($I700,MCC_MASTER!$A$5:$A$504,0))="","Chưa phân loại",INDEX(MCC_MASTER!$C$5:$C$504,MATCH($I700,MCC_MASTER!$A$5:$A$504,0))),"Chưa phân loại"))</f>
        <v/>
      </c>
      <c r="L700" s="40" t="n"/>
      <c r="M700" s="48" t="str">
        <f>IF(OR($B700="",$D700=""),"",IF($AC700=0,0,IF(ISNUMBER(INDEX(CASHBACK_RULES!$L$5:$L$304,$AC700)),MAX(0,MIN($L700,INDEX(CASHBACK_RULES!$L$5:$L$304,$AC700)-$AH700)),MAX(0,$L700))))</f>
        <v/>
      </c>
      <c r="N700" s="49" t="str">
        <f>IF(OR($B700="",$D700=""),"",IF($AC700&gt;0,INDEX(CASHBACK_RULES!$I$5:$I$304,$AC700),0))</f>
        <v/>
      </c>
      <c r="O700" s="48" t="str">
        <f>IF(OR($B700="",$D700=""),"",ROUND($M700*$N700,0))</f>
        <v/>
      </c>
      <c r="P700" s="48" t="str">
        <f>IF($AC700&gt;0,IF(ISNUMBER(INDEX(CASHBACK_RULES!$J$5:$J$304,$AC700)),INDEX(CASHBACK_RULES!$J$5:$J$304,$AC700),"∞"),"")</f>
        <v/>
      </c>
      <c r="Q700" s="48" t="str">
        <f>IF(OR($B700="",$D700=""),"",IF($AC700=0,0,MAX(0,MIN($O700,IF(ISNUMBER($P700),$P700-$AF700,1E+15),IF(ISNUMBER($AA700),$AA700-$AG700,1E+15)))))</f>
        <v/>
      </c>
      <c r="R700" s="48" t="str">
        <f>IF(OR($B700="",$D700=""),"",IF($AC700=0,"",IF(AND(NOT(ISNUMBER($P700)),NOT(ISNUMBER($AA700))),"∞",MAX(0,MIN(IF(ISNUMBER($P700),$P700-$AF700-$Q700,1E+15),IF(ISNUMBER($AA700),$AA700-$AG700-$Q700,1E+15))))))</f>
        <v/>
      </c>
      <c r="S700" s="47" t="str">
        <f>IF($AD700="","",YEAR($AD700)*100+MONTH($AD700))</f>
        <v/>
      </c>
      <c r="T700" s="50" t="str">
        <f>IF($AD700="","",IFERROR(IF(INDEX(CARDS!$I$5:$I$34,MATCH($D700,CARDS!$A$5:$A$34,0))="","",IF(INDEX(CARDS!$I$5:$I$34,MATCH($D700,CARDS!$A$5:$A$34,0))&gt;INDEX(CARDS!$H$5:$H$34,MATCH($D700,CARDS!$A$5:$A$34,0)),DATE(YEAR($AD700),MONTH($AD700),MIN(INDEX(CARDS!$I$5:$I$34,MATCH($D700,CARDS!$A$5:$A$34,0)),DAY(EOMONTH($AD700,0)))),DATE(YEAR($AD700),MONTH($AD700)+1,MIN(INDEX(CARDS!$I$5:$I$34,MATCH($D700,CARDS!$A$5:$A$34,0)),DAY(EOMONTH($AD700,1)))))),""))</f>
        <v/>
      </c>
      <c r="U700" s="38" t="n"/>
      <c r="V700" s="37" t="n"/>
      <c r="W700" s="38" t="n"/>
      <c r="X700" s="38" t="n"/>
      <c r="Y700" s="44" t="str">
        <f>IF($AC700&gt;0,INDEX(CASHBACK_RULES!$A$5:$A$304,$AC700),"")</f>
        <v/>
      </c>
      <c r="Z700" s="45" t="str">
        <f>IF($AC700&gt;0,INDEX(CASHBACK_RULES!$E$5:$E$304,$AC700)&amp;"","")</f>
        <v/>
      </c>
      <c r="AA700" s="48" t="str">
        <f>IF($AC700&gt;0,IF(ISNUMBER(INDEX(CASHBACK_RULES!$K$5:$K$304,$AC700)),INDEX(CASHBACK_RULES!$K$5:$K$304,$AC700),"∞"),"")</f>
        <v/>
      </c>
      <c r="AB700" s="44" t="str">
        <f>IF(OR($B700="",$D700=""),"",IF($U700="Cancelled","Đã hủy",IF($AC700=0,"Không được hoàn",IF($Q700=0,IF(OR($O700&gt;0,$M700&lt;$L700),"Đã đạt cap","Không được hoàn"),IF(OR($Q700&lt;$O700,$M700&lt;$L700),"Hoàn một phần","Được hoàn")))))</f>
        <v/>
      </c>
      <c r="AC700" s="43">
        <f>IF(OR($B700="",$D700="",$I700="",$L700=""),0,IF($U700="Cancelled",0,IF($W700&lt;&gt;"",IFERROR(IF(INDEX(CASHBACK_RULES!$B$5:$B$304,MATCH($W700,CASHBACK_RULES!$A$5:$A$304,0))=$D700,MATCH($W700,CASHBACK_RULES!$A$5:$A$304,0),0),0),IFERROR(MATCH(1,INDEX((CASHBACK_RULES!$B$5:$B$304=$D700)*(CASHBACK_RULES!$G$5:$G$304=$I700)*(((CASHBACK_RULES!$N$5:$N$304="")+(CASHBACK_RULES!$N$5:$N$304&lt;=$B700))&gt;0)*(((CASHBACK_RULES!$O$5:$O$304="")+(CASHBACK_RULES!$O$5:$O$304&gt;=$B700))&gt;0)*(((CASHBACK_RULES!$M$5:$M$304="")+(CASHBACK_RULES!$M$5:$M$304&lt;=$L700))&gt;0),0),0),0))))</f>
        <v>0</v>
      </c>
      <c r="AD700" s="51" t="str">
        <f>IF(OR($B700="",$D700=""),"",IFERROR(IF(INDEX(CARDS!$H$5:$H$34,MATCH($D700,CARDS!$A$5:$A$34,0))="","",IF(DAY($B700)&lt;=INDEX(CARDS!$H$5:$H$34,MATCH($D700,CARDS!$A$5:$A$34,0)),DATE(YEAR($B700),MONTH($B700),MIN(INDEX(CARDS!$H$5:$H$34,MATCH($D700,CARDS!$A$5:$A$34,0)),DAY(EOMONTH($B700,0)))),DATE(YEAR($B700),MONTH($B700)+1,MIN(INDEX(CARDS!$H$5:$H$34,MATCH($D700,CARDS!$A$5:$A$34,0)),DAY(EOMONTH($B700,1)))))),""))</f>
        <v/>
      </c>
      <c r="AE700" s="52" t="str">
        <f>IF($C700="","",$C700&amp;"|"&amp;COUNTIF($C$5:$C700,$C700))</f>
        <v/>
      </c>
      <c r="AF700" s="53">
        <f>IF($AC700&gt;0,SUMIFS(Q$4:Q699,$D$4:$D699,$D700,$Z$4:$Z699,$Z700,$C$4:$C699,$C700),0)</f>
        <v>0</v>
      </c>
      <c r="AG700" s="53">
        <f>IF($AC700&gt;0,SUMIFS(Q$4:Q699,$D$4:$D699,$D700,$C$4:$C699,$C700),0)</f>
        <v>0</v>
      </c>
      <c r="AH700" s="53">
        <f>IF($AC700&gt;0,SUMIFS(M$4:M699,$D$4:$D699,$D700,$Z$4:$Z699,$Z700,$C$4:$C699,$C700),0)</f>
        <v>0</v>
      </c>
      <c r="AI700" s="43">
        <f>IF(OR($C700="",$I700=""),0,IF(COUNTIFS($C$5:$C700,$C700,$I$5:$I700,$I700)=1,1,0))</f>
        <v>0</v>
      </c>
      <c r="AJ700" s="43" t="str">
        <f>IF($AI700=1,SUMIFS($AI$4:$AI699,$C$4:$C699,$C700)+1,"")</f>
        <v/>
      </c>
      <c r="AK700" s="43">
        <f>IF(OR($C700="",$K700=""),0,IF(COUNTIFS($C$5:$C700,$C700,$K$5:$K700,$K700)=1,1,0))</f>
        <v>0</v>
      </c>
      <c r="AL700" s="43" t="str">
        <f>IF($AK700=1,SUMIFS($AK$4:$AK699,$C$4:$C699,$C700)+1,"")</f>
        <v/>
      </c>
      <c r="AM700" s="43">
        <f>IF(OR($C700="",$G700=""),0,IF(COUNTIFS($C$5:$C700,$C700,$G$5:$G700,$G700)=1,1,0))</f>
        <v>0</v>
      </c>
      <c r="AN700" s="43" t="str">
        <f>IF($AM700=1,SUMIFS($AM$4:$AM699,$C$4:$C699,$C700)+1,"")</f>
        <v/>
      </c>
    </row>
    <row r="701">
      <c r="A701" s="44" t="str">
        <f>IF(OR($B701="",$D701=""),"","TX"&amp;TEXT(ROW()-4,"0000"))</f>
        <v/>
      </c>
      <c r="B701" s="42" t="n"/>
      <c r="C701" s="47" t="str">
        <f>IF($B701="","",YEAR($B701)*100+MONTH($B701))</f>
        <v/>
      </c>
      <c r="D701" s="37" t="n"/>
      <c r="E701" s="45" t="str">
        <f>IF($D701="","",IFERROR(INDEX(CARDS!$B$5:$B$34,MATCH($D701,CARDS!$A$5:$A$34,0)),"⚠ Card ID?"))</f>
        <v/>
      </c>
      <c r="F701" s="45" t="str">
        <f>IF($D701="","",IFERROR(INDEX(CARDS!$C$5:$C$34,MATCH($D701,CARDS!$A$5:$A$34,0)),"⚠ Card ID?"))</f>
        <v/>
      </c>
      <c r="G701" s="37" t="n"/>
      <c r="H701" s="37" t="n"/>
      <c r="I701" s="41" t="n"/>
      <c r="J701" s="45" t="str">
        <f>IF($I701="","",IFERROR(INDEX(MCC_MASTER!$B$5:$B$504,MATCH($I701,MCC_MASTER!$A$5:$A$504,0)),"⚠ MCC chưa có"))</f>
        <v/>
      </c>
      <c r="K701" s="45" t="str">
        <f>IF($I701="","",IFERROR(IF(INDEX(MCC_MASTER!$C$5:$C$504,MATCH($I701,MCC_MASTER!$A$5:$A$504,0))="","Chưa phân loại",INDEX(MCC_MASTER!$C$5:$C$504,MATCH($I701,MCC_MASTER!$A$5:$A$504,0))),"Chưa phân loại"))</f>
        <v/>
      </c>
      <c r="L701" s="40" t="n"/>
      <c r="M701" s="48" t="str">
        <f>IF(OR($B701="",$D701=""),"",IF($AC701=0,0,IF(ISNUMBER(INDEX(CASHBACK_RULES!$L$5:$L$304,$AC701)),MAX(0,MIN($L701,INDEX(CASHBACK_RULES!$L$5:$L$304,$AC701)-$AH701)),MAX(0,$L701))))</f>
        <v/>
      </c>
      <c r="N701" s="49" t="str">
        <f>IF(OR($B701="",$D701=""),"",IF($AC701&gt;0,INDEX(CASHBACK_RULES!$I$5:$I$304,$AC701),0))</f>
        <v/>
      </c>
      <c r="O701" s="48" t="str">
        <f>IF(OR($B701="",$D701=""),"",ROUND($M701*$N701,0))</f>
        <v/>
      </c>
      <c r="P701" s="48" t="str">
        <f>IF($AC701&gt;0,IF(ISNUMBER(INDEX(CASHBACK_RULES!$J$5:$J$304,$AC701)),INDEX(CASHBACK_RULES!$J$5:$J$304,$AC701),"∞"),"")</f>
        <v/>
      </c>
      <c r="Q701" s="48" t="str">
        <f>IF(OR($B701="",$D701=""),"",IF($AC701=0,0,MAX(0,MIN($O701,IF(ISNUMBER($P701),$P701-$AF701,1E+15),IF(ISNUMBER($AA701),$AA701-$AG701,1E+15)))))</f>
        <v/>
      </c>
      <c r="R701" s="48" t="str">
        <f>IF(OR($B701="",$D701=""),"",IF($AC701=0,"",IF(AND(NOT(ISNUMBER($P701)),NOT(ISNUMBER($AA701))),"∞",MAX(0,MIN(IF(ISNUMBER($P701),$P701-$AF701-$Q701,1E+15),IF(ISNUMBER($AA701),$AA701-$AG701-$Q701,1E+15))))))</f>
        <v/>
      </c>
      <c r="S701" s="47" t="str">
        <f>IF($AD701="","",YEAR($AD701)*100+MONTH($AD701))</f>
        <v/>
      </c>
      <c r="T701" s="50" t="str">
        <f>IF($AD701="","",IFERROR(IF(INDEX(CARDS!$I$5:$I$34,MATCH($D701,CARDS!$A$5:$A$34,0))="","",IF(INDEX(CARDS!$I$5:$I$34,MATCH($D701,CARDS!$A$5:$A$34,0))&gt;INDEX(CARDS!$H$5:$H$34,MATCH($D701,CARDS!$A$5:$A$34,0)),DATE(YEAR($AD701),MONTH($AD701),MIN(INDEX(CARDS!$I$5:$I$34,MATCH($D701,CARDS!$A$5:$A$34,0)),DAY(EOMONTH($AD701,0)))),DATE(YEAR($AD701),MONTH($AD701)+1,MIN(INDEX(CARDS!$I$5:$I$34,MATCH($D701,CARDS!$A$5:$A$34,0)),DAY(EOMONTH($AD701,1)))))),""))</f>
        <v/>
      </c>
      <c r="U701" s="38" t="n"/>
      <c r="V701" s="37" t="n"/>
      <c r="W701" s="38" t="n"/>
      <c r="X701" s="38" t="n"/>
      <c r="Y701" s="44" t="str">
        <f>IF($AC701&gt;0,INDEX(CASHBACK_RULES!$A$5:$A$304,$AC701),"")</f>
        <v/>
      </c>
      <c r="Z701" s="45" t="str">
        <f>IF($AC701&gt;0,INDEX(CASHBACK_RULES!$E$5:$E$304,$AC701)&amp;"","")</f>
        <v/>
      </c>
      <c r="AA701" s="48" t="str">
        <f>IF($AC701&gt;0,IF(ISNUMBER(INDEX(CASHBACK_RULES!$K$5:$K$304,$AC701)),INDEX(CASHBACK_RULES!$K$5:$K$304,$AC701),"∞"),"")</f>
        <v/>
      </c>
      <c r="AB701" s="44" t="str">
        <f>IF(OR($B701="",$D701=""),"",IF($U701="Cancelled","Đã hủy",IF($AC701=0,"Không được hoàn",IF($Q701=0,IF(OR($O701&gt;0,$M701&lt;$L701),"Đã đạt cap","Không được hoàn"),IF(OR($Q701&lt;$O701,$M701&lt;$L701),"Hoàn một phần","Được hoàn")))))</f>
        <v/>
      </c>
      <c r="AC701" s="43">
        <f>IF(OR($B701="",$D701="",$I701="",$L701=""),0,IF($U701="Cancelled",0,IF($W701&lt;&gt;"",IFERROR(IF(INDEX(CASHBACK_RULES!$B$5:$B$304,MATCH($W701,CASHBACK_RULES!$A$5:$A$304,0))=$D701,MATCH($W701,CASHBACK_RULES!$A$5:$A$304,0),0),0),IFERROR(MATCH(1,INDEX((CASHBACK_RULES!$B$5:$B$304=$D701)*(CASHBACK_RULES!$G$5:$G$304=$I701)*(((CASHBACK_RULES!$N$5:$N$304="")+(CASHBACK_RULES!$N$5:$N$304&lt;=$B701))&gt;0)*(((CASHBACK_RULES!$O$5:$O$304="")+(CASHBACK_RULES!$O$5:$O$304&gt;=$B701))&gt;0)*(((CASHBACK_RULES!$M$5:$M$304="")+(CASHBACK_RULES!$M$5:$M$304&lt;=$L701))&gt;0),0),0),0))))</f>
        <v>0</v>
      </c>
      <c r="AD701" s="51" t="str">
        <f>IF(OR($B701="",$D701=""),"",IFERROR(IF(INDEX(CARDS!$H$5:$H$34,MATCH($D701,CARDS!$A$5:$A$34,0))="","",IF(DAY($B701)&lt;=INDEX(CARDS!$H$5:$H$34,MATCH($D701,CARDS!$A$5:$A$34,0)),DATE(YEAR($B701),MONTH($B701),MIN(INDEX(CARDS!$H$5:$H$34,MATCH($D701,CARDS!$A$5:$A$34,0)),DAY(EOMONTH($B701,0)))),DATE(YEAR($B701),MONTH($B701)+1,MIN(INDEX(CARDS!$H$5:$H$34,MATCH($D701,CARDS!$A$5:$A$34,0)),DAY(EOMONTH($B701,1)))))),""))</f>
        <v/>
      </c>
      <c r="AE701" s="52" t="str">
        <f>IF($C701="","",$C701&amp;"|"&amp;COUNTIF($C$5:$C701,$C701))</f>
        <v/>
      </c>
      <c r="AF701" s="53">
        <f>IF($AC701&gt;0,SUMIFS(Q$4:Q700,$D$4:$D700,$D701,$Z$4:$Z700,$Z701,$C$4:$C700,$C701),0)</f>
        <v>0</v>
      </c>
      <c r="AG701" s="53">
        <f>IF($AC701&gt;0,SUMIFS(Q$4:Q700,$D$4:$D700,$D701,$C$4:$C700,$C701),0)</f>
        <v>0</v>
      </c>
      <c r="AH701" s="53">
        <f>IF($AC701&gt;0,SUMIFS(M$4:M700,$D$4:$D700,$D701,$Z$4:$Z700,$Z701,$C$4:$C700,$C701),0)</f>
        <v>0</v>
      </c>
      <c r="AI701" s="43">
        <f>IF(OR($C701="",$I701=""),0,IF(COUNTIFS($C$5:$C701,$C701,$I$5:$I701,$I701)=1,1,0))</f>
        <v>0</v>
      </c>
      <c r="AJ701" s="43" t="str">
        <f>IF($AI701=1,SUMIFS($AI$4:$AI700,$C$4:$C700,$C701)+1,"")</f>
        <v/>
      </c>
      <c r="AK701" s="43">
        <f>IF(OR($C701="",$K701=""),0,IF(COUNTIFS($C$5:$C701,$C701,$K$5:$K701,$K701)=1,1,0))</f>
        <v>0</v>
      </c>
      <c r="AL701" s="43" t="str">
        <f>IF($AK701=1,SUMIFS($AK$4:$AK700,$C$4:$C700,$C701)+1,"")</f>
        <v/>
      </c>
      <c r="AM701" s="43">
        <f>IF(OR($C701="",$G701=""),0,IF(COUNTIFS($C$5:$C701,$C701,$G$5:$G701,$G701)=1,1,0))</f>
        <v>0</v>
      </c>
      <c r="AN701" s="43" t="str">
        <f>IF($AM701=1,SUMIFS($AM$4:$AM700,$C$4:$C700,$C701)+1,"")</f>
        <v/>
      </c>
    </row>
    <row r="702">
      <c r="A702" s="44" t="str">
        <f>IF(OR($B702="",$D702=""),"","TX"&amp;TEXT(ROW()-4,"0000"))</f>
        <v/>
      </c>
      <c r="B702" s="42" t="n"/>
      <c r="C702" s="47" t="str">
        <f>IF($B702="","",YEAR($B702)*100+MONTH($B702))</f>
        <v/>
      </c>
      <c r="D702" s="37" t="n"/>
      <c r="E702" s="45" t="str">
        <f>IF($D702="","",IFERROR(INDEX(CARDS!$B$5:$B$34,MATCH($D702,CARDS!$A$5:$A$34,0)),"⚠ Card ID?"))</f>
        <v/>
      </c>
      <c r="F702" s="45" t="str">
        <f>IF($D702="","",IFERROR(INDEX(CARDS!$C$5:$C$34,MATCH($D702,CARDS!$A$5:$A$34,0)),"⚠ Card ID?"))</f>
        <v/>
      </c>
      <c r="G702" s="37" t="n"/>
      <c r="H702" s="37" t="n"/>
      <c r="I702" s="41" t="n"/>
      <c r="J702" s="45" t="str">
        <f>IF($I702="","",IFERROR(INDEX(MCC_MASTER!$B$5:$B$504,MATCH($I702,MCC_MASTER!$A$5:$A$504,0)),"⚠ MCC chưa có"))</f>
        <v/>
      </c>
      <c r="K702" s="45" t="str">
        <f>IF($I702="","",IFERROR(IF(INDEX(MCC_MASTER!$C$5:$C$504,MATCH($I702,MCC_MASTER!$A$5:$A$504,0))="","Chưa phân loại",INDEX(MCC_MASTER!$C$5:$C$504,MATCH($I702,MCC_MASTER!$A$5:$A$504,0))),"Chưa phân loại"))</f>
        <v/>
      </c>
      <c r="L702" s="40" t="n"/>
      <c r="M702" s="48" t="str">
        <f>IF(OR($B702="",$D702=""),"",IF($AC702=0,0,IF(ISNUMBER(INDEX(CASHBACK_RULES!$L$5:$L$304,$AC702)),MAX(0,MIN($L702,INDEX(CASHBACK_RULES!$L$5:$L$304,$AC702)-$AH702)),MAX(0,$L702))))</f>
        <v/>
      </c>
      <c r="N702" s="49" t="str">
        <f>IF(OR($B702="",$D702=""),"",IF($AC702&gt;0,INDEX(CASHBACK_RULES!$I$5:$I$304,$AC702),0))</f>
        <v/>
      </c>
      <c r="O702" s="48" t="str">
        <f>IF(OR($B702="",$D702=""),"",ROUND($M702*$N702,0))</f>
        <v/>
      </c>
      <c r="P702" s="48" t="str">
        <f>IF($AC702&gt;0,IF(ISNUMBER(INDEX(CASHBACK_RULES!$J$5:$J$304,$AC702)),INDEX(CASHBACK_RULES!$J$5:$J$304,$AC702),"∞"),"")</f>
        <v/>
      </c>
      <c r="Q702" s="48" t="str">
        <f>IF(OR($B702="",$D702=""),"",IF($AC702=0,0,MAX(0,MIN($O702,IF(ISNUMBER($P702),$P702-$AF702,1E+15),IF(ISNUMBER($AA702),$AA702-$AG702,1E+15)))))</f>
        <v/>
      </c>
      <c r="R702" s="48" t="str">
        <f>IF(OR($B702="",$D702=""),"",IF($AC702=0,"",IF(AND(NOT(ISNUMBER($P702)),NOT(ISNUMBER($AA702))),"∞",MAX(0,MIN(IF(ISNUMBER($P702),$P702-$AF702-$Q702,1E+15),IF(ISNUMBER($AA702),$AA702-$AG702-$Q702,1E+15))))))</f>
        <v/>
      </c>
      <c r="S702" s="47" t="str">
        <f>IF($AD702="","",YEAR($AD702)*100+MONTH($AD702))</f>
        <v/>
      </c>
      <c r="T702" s="50" t="str">
        <f>IF($AD702="","",IFERROR(IF(INDEX(CARDS!$I$5:$I$34,MATCH($D702,CARDS!$A$5:$A$34,0))="","",IF(INDEX(CARDS!$I$5:$I$34,MATCH($D702,CARDS!$A$5:$A$34,0))&gt;INDEX(CARDS!$H$5:$H$34,MATCH($D702,CARDS!$A$5:$A$34,0)),DATE(YEAR($AD702),MONTH($AD702),MIN(INDEX(CARDS!$I$5:$I$34,MATCH($D702,CARDS!$A$5:$A$34,0)),DAY(EOMONTH($AD702,0)))),DATE(YEAR($AD702),MONTH($AD702)+1,MIN(INDEX(CARDS!$I$5:$I$34,MATCH($D702,CARDS!$A$5:$A$34,0)),DAY(EOMONTH($AD702,1)))))),""))</f>
        <v/>
      </c>
      <c r="U702" s="38" t="n"/>
      <c r="V702" s="37" t="n"/>
      <c r="W702" s="38" t="n"/>
      <c r="X702" s="38" t="n"/>
      <c r="Y702" s="44" t="str">
        <f>IF($AC702&gt;0,INDEX(CASHBACK_RULES!$A$5:$A$304,$AC702),"")</f>
        <v/>
      </c>
      <c r="Z702" s="45" t="str">
        <f>IF($AC702&gt;0,INDEX(CASHBACK_RULES!$E$5:$E$304,$AC702)&amp;"","")</f>
        <v/>
      </c>
      <c r="AA702" s="48" t="str">
        <f>IF($AC702&gt;0,IF(ISNUMBER(INDEX(CASHBACK_RULES!$K$5:$K$304,$AC702)),INDEX(CASHBACK_RULES!$K$5:$K$304,$AC702),"∞"),"")</f>
        <v/>
      </c>
      <c r="AB702" s="44" t="str">
        <f>IF(OR($B702="",$D702=""),"",IF($U702="Cancelled","Đã hủy",IF($AC702=0,"Không được hoàn",IF($Q702=0,IF(OR($O702&gt;0,$M702&lt;$L702),"Đã đạt cap","Không được hoàn"),IF(OR($Q702&lt;$O702,$M702&lt;$L702),"Hoàn một phần","Được hoàn")))))</f>
        <v/>
      </c>
      <c r="AC702" s="43">
        <f>IF(OR($B702="",$D702="",$I702="",$L702=""),0,IF($U702="Cancelled",0,IF($W702&lt;&gt;"",IFERROR(IF(INDEX(CASHBACK_RULES!$B$5:$B$304,MATCH($W702,CASHBACK_RULES!$A$5:$A$304,0))=$D702,MATCH($W702,CASHBACK_RULES!$A$5:$A$304,0),0),0),IFERROR(MATCH(1,INDEX((CASHBACK_RULES!$B$5:$B$304=$D702)*(CASHBACK_RULES!$G$5:$G$304=$I702)*(((CASHBACK_RULES!$N$5:$N$304="")+(CASHBACK_RULES!$N$5:$N$304&lt;=$B702))&gt;0)*(((CASHBACK_RULES!$O$5:$O$304="")+(CASHBACK_RULES!$O$5:$O$304&gt;=$B702))&gt;0)*(((CASHBACK_RULES!$M$5:$M$304="")+(CASHBACK_RULES!$M$5:$M$304&lt;=$L702))&gt;0),0),0),0))))</f>
        <v>0</v>
      </c>
      <c r="AD702" s="51" t="str">
        <f>IF(OR($B702="",$D702=""),"",IFERROR(IF(INDEX(CARDS!$H$5:$H$34,MATCH($D702,CARDS!$A$5:$A$34,0))="","",IF(DAY($B702)&lt;=INDEX(CARDS!$H$5:$H$34,MATCH($D702,CARDS!$A$5:$A$34,0)),DATE(YEAR($B702),MONTH($B702),MIN(INDEX(CARDS!$H$5:$H$34,MATCH($D702,CARDS!$A$5:$A$34,0)),DAY(EOMONTH($B702,0)))),DATE(YEAR($B702),MONTH($B702)+1,MIN(INDEX(CARDS!$H$5:$H$34,MATCH($D702,CARDS!$A$5:$A$34,0)),DAY(EOMONTH($B702,1)))))),""))</f>
        <v/>
      </c>
      <c r="AE702" s="52" t="str">
        <f>IF($C702="","",$C702&amp;"|"&amp;COUNTIF($C$5:$C702,$C702))</f>
        <v/>
      </c>
      <c r="AF702" s="53">
        <f>IF($AC702&gt;0,SUMIFS(Q$4:Q701,$D$4:$D701,$D702,$Z$4:$Z701,$Z702,$C$4:$C701,$C702),0)</f>
        <v>0</v>
      </c>
      <c r="AG702" s="53">
        <f>IF($AC702&gt;0,SUMIFS(Q$4:Q701,$D$4:$D701,$D702,$C$4:$C701,$C702),0)</f>
        <v>0</v>
      </c>
      <c r="AH702" s="53">
        <f>IF($AC702&gt;0,SUMIFS(M$4:M701,$D$4:$D701,$D702,$Z$4:$Z701,$Z702,$C$4:$C701,$C702),0)</f>
        <v>0</v>
      </c>
      <c r="AI702" s="43">
        <f>IF(OR($C702="",$I702=""),0,IF(COUNTIFS($C$5:$C702,$C702,$I$5:$I702,$I702)=1,1,0))</f>
        <v>0</v>
      </c>
      <c r="AJ702" s="43" t="str">
        <f>IF($AI702=1,SUMIFS($AI$4:$AI701,$C$4:$C701,$C702)+1,"")</f>
        <v/>
      </c>
      <c r="AK702" s="43">
        <f>IF(OR($C702="",$K702=""),0,IF(COUNTIFS($C$5:$C702,$C702,$K$5:$K702,$K702)=1,1,0))</f>
        <v>0</v>
      </c>
      <c r="AL702" s="43" t="str">
        <f>IF($AK702=1,SUMIFS($AK$4:$AK701,$C$4:$C701,$C702)+1,"")</f>
        <v/>
      </c>
      <c r="AM702" s="43">
        <f>IF(OR($C702="",$G702=""),0,IF(COUNTIFS($C$5:$C702,$C702,$G$5:$G702,$G702)=1,1,0))</f>
        <v>0</v>
      </c>
      <c r="AN702" s="43" t="str">
        <f>IF($AM702=1,SUMIFS($AM$4:$AM701,$C$4:$C701,$C702)+1,"")</f>
        <v/>
      </c>
    </row>
    <row r="703">
      <c r="A703" s="44" t="str">
        <f>IF(OR($B703="",$D703=""),"","TX"&amp;TEXT(ROW()-4,"0000"))</f>
        <v/>
      </c>
      <c r="B703" s="42" t="n"/>
      <c r="C703" s="47" t="str">
        <f>IF($B703="","",YEAR($B703)*100+MONTH($B703))</f>
        <v/>
      </c>
      <c r="D703" s="37" t="n"/>
      <c r="E703" s="45" t="str">
        <f>IF($D703="","",IFERROR(INDEX(CARDS!$B$5:$B$34,MATCH($D703,CARDS!$A$5:$A$34,0)),"⚠ Card ID?"))</f>
        <v/>
      </c>
      <c r="F703" s="45" t="str">
        <f>IF($D703="","",IFERROR(INDEX(CARDS!$C$5:$C$34,MATCH($D703,CARDS!$A$5:$A$34,0)),"⚠ Card ID?"))</f>
        <v/>
      </c>
      <c r="G703" s="37" t="n"/>
      <c r="H703" s="37" t="n"/>
      <c r="I703" s="41" t="n"/>
      <c r="J703" s="45" t="str">
        <f>IF($I703="","",IFERROR(INDEX(MCC_MASTER!$B$5:$B$504,MATCH($I703,MCC_MASTER!$A$5:$A$504,0)),"⚠ MCC chưa có"))</f>
        <v/>
      </c>
      <c r="K703" s="45" t="str">
        <f>IF($I703="","",IFERROR(IF(INDEX(MCC_MASTER!$C$5:$C$504,MATCH($I703,MCC_MASTER!$A$5:$A$504,0))="","Chưa phân loại",INDEX(MCC_MASTER!$C$5:$C$504,MATCH($I703,MCC_MASTER!$A$5:$A$504,0))),"Chưa phân loại"))</f>
        <v/>
      </c>
      <c r="L703" s="40" t="n"/>
      <c r="M703" s="48" t="str">
        <f>IF(OR($B703="",$D703=""),"",IF($AC703=0,0,IF(ISNUMBER(INDEX(CASHBACK_RULES!$L$5:$L$304,$AC703)),MAX(0,MIN($L703,INDEX(CASHBACK_RULES!$L$5:$L$304,$AC703)-$AH703)),MAX(0,$L703))))</f>
        <v/>
      </c>
      <c r="N703" s="49" t="str">
        <f>IF(OR($B703="",$D703=""),"",IF($AC703&gt;0,INDEX(CASHBACK_RULES!$I$5:$I$304,$AC703),0))</f>
        <v/>
      </c>
      <c r="O703" s="48" t="str">
        <f>IF(OR($B703="",$D703=""),"",ROUND($M703*$N703,0))</f>
        <v/>
      </c>
      <c r="P703" s="48" t="str">
        <f>IF($AC703&gt;0,IF(ISNUMBER(INDEX(CASHBACK_RULES!$J$5:$J$304,$AC703)),INDEX(CASHBACK_RULES!$J$5:$J$304,$AC703),"∞"),"")</f>
        <v/>
      </c>
      <c r="Q703" s="48" t="str">
        <f>IF(OR($B703="",$D703=""),"",IF($AC703=0,0,MAX(0,MIN($O703,IF(ISNUMBER($P703),$P703-$AF703,1E+15),IF(ISNUMBER($AA703),$AA703-$AG703,1E+15)))))</f>
        <v/>
      </c>
      <c r="R703" s="48" t="str">
        <f>IF(OR($B703="",$D703=""),"",IF($AC703=0,"",IF(AND(NOT(ISNUMBER($P703)),NOT(ISNUMBER($AA703))),"∞",MAX(0,MIN(IF(ISNUMBER($P703),$P703-$AF703-$Q703,1E+15),IF(ISNUMBER($AA703),$AA703-$AG703-$Q703,1E+15))))))</f>
        <v/>
      </c>
      <c r="S703" s="47" t="str">
        <f>IF($AD703="","",YEAR($AD703)*100+MONTH($AD703))</f>
        <v/>
      </c>
      <c r="T703" s="50" t="str">
        <f>IF($AD703="","",IFERROR(IF(INDEX(CARDS!$I$5:$I$34,MATCH($D703,CARDS!$A$5:$A$34,0))="","",IF(INDEX(CARDS!$I$5:$I$34,MATCH($D703,CARDS!$A$5:$A$34,0))&gt;INDEX(CARDS!$H$5:$H$34,MATCH($D703,CARDS!$A$5:$A$34,0)),DATE(YEAR($AD703),MONTH($AD703),MIN(INDEX(CARDS!$I$5:$I$34,MATCH($D703,CARDS!$A$5:$A$34,0)),DAY(EOMONTH($AD703,0)))),DATE(YEAR($AD703),MONTH($AD703)+1,MIN(INDEX(CARDS!$I$5:$I$34,MATCH($D703,CARDS!$A$5:$A$34,0)),DAY(EOMONTH($AD703,1)))))),""))</f>
        <v/>
      </c>
      <c r="U703" s="38" t="n"/>
      <c r="V703" s="37" t="n"/>
      <c r="W703" s="38" t="n"/>
      <c r="X703" s="38" t="n"/>
      <c r="Y703" s="44" t="str">
        <f>IF($AC703&gt;0,INDEX(CASHBACK_RULES!$A$5:$A$304,$AC703),"")</f>
        <v/>
      </c>
      <c r="Z703" s="45" t="str">
        <f>IF($AC703&gt;0,INDEX(CASHBACK_RULES!$E$5:$E$304,$AC703)&amp;"","")</f>
        <v/>
      </c>
      <c r="AA703" s="48" t="str">
        <f>IF($AC703&gt;0,IF(ISNUMBER(INDEX(CASHBACK_RULES!$K$5:$K$304,$AC703)),INDEX(CASHBACK_RULES!$K$5:$K$304,$AC703),"∞"),"")</f>
        <v/>
      </c>
      <c r="AB703" s="44" t="str">
        <f>IF(OR($B703="",$D703=""),"",IF($U703="Cancelled","Đã hủy",IF($AC703=0,"Không được hoàn",IF($Q703=0,IF(OR($O703&gt;0,$M703&lt;$L703),"Đã đạt cap","Không được hoàn"),IF(OR($Q703&lt;$O703,$M703&lt;$L703),"Hoàn một phần","Được hoàn")))))</f>
        <v/>
      </c>
      <c r="AC703" s="43">
        <f>IF(OR($B703="",$D703="",$I703="",$L703=""),0,IF($U703="Cancelled",0,IF($W703&lt;&gt;"",IFERROR(IF(INDEX(CASHBACK_RULES!$B$5:$B$304,MATCH($W703,CASHBACK_RULES!$A$5:$A$304,0))=$D703,MATCH($W703,CASHBACK_RULES!$A$5:$A$304,0),0),0),IFERROR(MATCH(1,INDEX((CASHBACK_RULES!$B$5:$B$304=$D703)*(CASHBACK_RULES!$G$5:$G$304=$I703)*(((CASHBACK_RULES!$N$5:$N$304="")+(CASHBACK_RULES!$N$5:$N$304&lt;=$B703))&gt;0)*(((CASHBACK_RULES!$O$5:$O$304="")+(CASHBACK_RULES!$O$5:$O$304&gt;=$B703))&gt;0)*(((CASHBACK_RULES!$M$5:$M$304="")+(CASHBACK_RULES!$M$5:$M$304&lt;=$L703))&gt;0),0),0),0))))</f>
        <v>0</v>
      </c>
      <c r="AD703" s="51" t="str">
        <f>IF(OR($B703="",$D703=""),"",IFERROR(IF(INDEX(CARDS!$H$5:$H$34,MATCH($D703,CARDS!$A$5:$A$34,0))="","",IF(DAY($B703)&lt;=INDEX(CARDS!$H$5:$H$34,MATCH($D703,CARDS!$A$5:$A$34,0)),DATE(YEAR($B703),MONTH($B703),MIN(INDEX(CARDS!$H$5:$H$34,MATCH($D703,CARDS!$A$5:$A$34,0)),DAY(EOMONTH($B703,0)))),DATE(YEAR($B703),MONTH($B703)+1,MIN(INDEX(CARDS!$H$5:$H$34,MATCH($D703,CARDS!$A$5:$A$34,0)),DAY(EOMONTH($B703,1)))))),""))</f>
        <v/>
      </c>
      <c r="AE703" s="52" t="str">
        <f>IF($C703="","",$C703&amp;"|"&amp;COUNTIF($C$5:$C703,$C703))</f>
        <v/>
      </c>
      <c r="AF703" s="53">
        <f>IF($AC703&gt;0,SUMIFS(Q$4:Q702,$D$4:$D702,$D703,$Z$4:$Z702,$Z703,$C$4:$C702,$C703),0)</f>
        <v>0</v>
      </c>
      <c r="AG703" s="53">
        <f>IF($AC703&gt;0,SUMIFS(Q$4:Q702,$D$4:$D702,$D703,$C$4:$C702,$C703),0)</f>
        <v>0</v>
      </c>
      <c r="AH703" s="53">
        <f>IF($AC703&gt;0,SUMIFS(M$4:M702,$D$4:$D702,$D703,$Z$4:$Z702,$Z703,$C$4:$C702,$C703),0)</f>
        <v>0</v>
      </c>
      <c r="AI703" s="43">
        <f>IF(OR($C703="",$I703=""),0,IF(COUNTIFS($C$5:$C703,$C703,$I$5:$I703,$I703)=1,1,0))</f>
        <v>0</v>
      </c>
      <c r="AJ703" s="43" t="str">
        <f>IF($AI703=1,SUMIFS($AI$4:$AI702,$C$4:$C702,$C703)+1,"")</f>
        <v/>
      </c>
      <c r="AK703" s="43">
        <f>IF(OR($C703="",$K703=""),0,IF(COUNTIFS($C$5:$C703,$C703,$K$5:$K703,$K703)=1,1,0))</f>
        <v>0</v>
      </c>
      <c r="AL703" s="43" t="str">
        <f>IF($AK703=1,SUMIFS($AK$4:$AK702,$C$4:$C702,$C703)+1,"")</f>
        <v/>
      </c>
      <c r="AM703" s="43">
        <f>IF(OR($C703="",$G703=""),0,IF(COUNTIFS($C$5:$C703,$C703,$G$5:$G703,$G703)=1,1,0))</f>
        <v>0</v>
      </c>
      <c r="AN703" s="43" t="str">
        <f>IF($AM703=1,SUMIFS($AM$4:$AM702,$C$4:$C702,$C703)+1,"")</f>
        <v/>
      </c>
    </row>
    <row r="704">
      <c r="A704" s="44" t="str">
        <f>IF(OR($B704="",$D704=""),"","TX"&amp;TEXT(ROW()-4,"0000"))</f>
        <v/>
      </c>
      <c r="B704" s="42" t="n"/>
      <c r="C704" s="47" t="str">
        <f>IF($B704="","",YEAR($B704)*100+MONTH($B704))</f>
        <v/>
      </c>
      <c r="D704" s="37" t="n"/>
      <c r="E704" s="45" t="str">
        <f>IF($D704="","",IFERROR(INDEX(CARDS!$B$5:$B$34,MATCH($D704,CARDS!$A$5:$A$34,0)),"⚠ Card ID?"))</f>
        <v/>
      </c>
      <c r="F704" s="45" t="str">
        <f>IF($D704="","",IFERROR(INDEX(CARDS!$C$5:$C$34,MATCH($D704,CARDS!$A$5:$A$34,0)),"⚠ Card ID?"))</f>
        <v/>
      </c>
      <c r="G704" s="37" t="n"/>
      <c r="H704" s="37" t="n"/>
      <c r="I704" s="41" t="n"/>
      <c r="J704" s="45" t="str">
        <f>IF($I704="","",IFERROR(INDEX(MCC_MASTER!$B$5:$B$504,MATCH($I704,MCC_MASTER!$A$5:$A$504,0)),"⚠ MCC chưa có"))</f>
        <v/>
      </c>
      <c r="K704" s="45" t="str">
        <f>IF($I704="","",IFERROR(IF(INDEX(MCC_MASTER!$C$5:$C$504,MATCH($I704,MCC_MASTER!$A$5:$A$504,0))="","Chưa phân loại",INDEX(MCC_MASTER!$C$5:$C$504,MATCH($I704,MCC_MASTER!$A$5:$A$504,0))),"Chưa phân loại"))</f>
        <v/>
      </c>
      <c r="L704" s="40" t="n"/>
      <c r="M704" s="48" t="str">
        <f>IF(OR($B704="",$D704=""),"",IF($AC704=0,0,IF(ISNUMBER(INDEX(CASHBACK_RULES!$L$5:$L$304,$AC704)),MAX(0,MIN($L704,INDEX(CASHBACK_RULES!$L$5:$L$304,$AC704)-$AH704)),MAX(0,$L704))))</f>
        <v/>
      </c>
      <c r="N704" s="49" t="str">
        <f>IF(OR($B704="",$D704=""),"",IF($AC704&gt;0,INDEX(CASHBACK_RULES!$I$5:$I$304,$AC704),0))</f>
        <v/>
      </c>
      <c r="O704" s="48" t="str">
        <f>IF(OR($B704="",$D704=""),"",ROUND($M704*$N704,0))</f>
        <v/>
      </c>
      <c r="P704" s="48" t="str">
        <f>IF($AC704&gt;0,IF(ISNUMBER(INDEX(CASHBACK_RULES!$J$5:$J$304,$AC704)),INDEX(CASHBACK_RULES!$J$5:$J$304,$AC704),"∞"),"")</f>
        <v/>
      </c>
      <c r="Q704" s="48" t="str">
        <f>IF(OR($B704="",$D704=""),"",IF($AC704=0,0,MAX(0,MIN($O704,IF(ISNUMBER($P704),$P704-$AF704,1E+15),IF(ISNUMBER($AA704),$AA704-$AG704,1E+15)))))</f>
        <v/>
      </c>
      <c r="R704" s="48" t="str">
        <f>IF(OR($B704="",$D704=""),"",IF($AC704=0,"",IF(AND(NOT(ISNUMBER($P704)),NOT(ISNUMBER($AA704))),"∞",MAX(0,MIN(IF(ISNUMBER($P704),$P704-$AF704-$Q704,1E+15),IF(ISNUMBER($AA704),$AA704-$AG704-$Q704,1E+15))))))</f>
        <v/>
      </c>
      <c r="S704" s="47" t="str">
        <f>IF($AD704="","",YEAR($AD704)*100+MONTH($AD704))</f>
        <v/>
      </c>
      <c r="T704" s="50" t="str">
        <f>IF($AD704="","",IFERROR(IF(INDEX(CARDS!$I$5:$I$34,MATCH($D704,CARDS!$A$5:$A$34,0))="","",IF(INDEX(CARDS!$I$5:$I$34,MATCH($D704,CARDS!$A$5:$A$34,0))&gt;INDEX(CARDS!$H$5:$H$34,MATCH($D704,CARDS!$A$5:$A$34,0)),DATE(YEAR($AD704),MONTH($AD704),MIN(INDEX(CARDS!$I$5:$I$34,MATCH($D704,CARDS!$A$5:$A$34,0)),DAY(EOMONTH($AD704,0)))),DATE(YEAR($AD704),MONTH($AD704)+1,MIN(INDEX(CARDS!$I$5:$I$34,MATCH($D704,CARDS!$A$5:$A$34,0)),DAY(EOMONTH($AD704,1)))))),""))</f>
        <v/>
      </c>
      <c r="U704" s="38" t="n"/>
      <c r="V704" s="37" t="n"/>
      <c r="W704" s="38" t="n"/>
      <c r="X704" s="38" t="n"/>
      <c r="Y704" s="44" t="str">
        <f>IF($AC704&gt;0,INDEX(CASHBACK_RULES!$A$5:$A$304,$AC704),"")</f>
        <v/>
      </c>
      <c r="Z704" s="45" t="str">
        <f>IF($AC704&gt;0,INDEX(CASHBACK_RULES!$E$5:$E$304,$AC704)&amp;"","")</f>
        <v/>
      </c>
      <c r="AA704" s="48" t="str">
        <f>IF($AC704&gt;0,IF(ISNUMBER(INDEX(CASHBACK_RULES!$K$5:$K$304,$AC704)),INDEX(CASHBACK_RULES!$K$5:$K$304,$AC704),"∞"),"")</f>
        <v/>
      </c>
      <c r="AB704" s="44" t="str">
        <f>IF(OR($B704="",$D704=""),"",IF($U704="Cancelled","Đã hủy",IF($AC704=0,"Không được hoàn",IF($Q704=0,IF(OR($O704&gt;0,$M704&lt;$L704),"Đã đạt cap","Không được hoàn"),IF(OR($Q704&lt;$O704,$M704&lt;$L704),"Hoàn một phần","Được hoàn")))))</f>
        <v/>
      </c>
      <c r="AC704" s="43">
        <f>IF(OR($B704="",$D704="",$I704="",$L704=""),0,IF($U704="Cancelled",0,IF($W704&lt;&gt;"",IFERROR(IF(INDEX(CASHBACK_RULES!$B$5:$B$304,MATCH($W704,CASHBACK_RULES!$A$5:$A$304,0))=$D704,MATCH($W704,CASHBACK_RULES!$A$5:$A$304,0),0),0),IFERROR(MATCH(1,INDEX((CASHBACK_RULES!$B$5:$B$304=$D704)*(CASHBACK_RULES!$G$5:$G$304=$I704)*(((CASHBACK_RULES!$N$5:$N$304="")+(CASHBACK_RULES!$N$5:$N$304&lt;=$B704))&gt;0)*(((CASHBACK_RULES!$O$5:$O$304="")+(CASHBACK_RULES!$O$5:$O$304&gt;=$B704))&gt;0)*(((CASHBACK_RULES!$M$5:$M$304="")+(CASHBACK_RULES!$M$5:$M$304&lt;=$L704))&gt;0),0),0),0))))</f>
        <v>0</v>
      </c>
      <c r="AD704" s="51" t="str">
        <f>IF(OR($B704="",$D704=""),"",IFERROR(IF(INDEX(CARDS!$H$5:$H$34,MATCH($D704,CARDS!$A$5:$A$34,0))="","",IF(DAY($B704)&lt;=INDEX(CARDS!$H$5:$H$34,MATCH($D704,CARDS!$A$5:$A$34,0)),DATE(YEAR($B704),MONTH($B704),MIN(INDEX(CARDS!$H$5:$H$34,MATCH($D704,CARDS!$A$5:$A$34,0)),DAY(EOMONTH($B704,0)))),DATE(YEAR($B704),MONTH($B704)+1,MIN(INDEX(CARDS!$H$5:$H$34,MATCH($D704,CARDS!$A$5:$A$34,0)),DAY(EOMONTH($B704,1)))))),""))</f>
        <v/>
      </c>
      <c r="AE704" s="52" t="str">
        <f>IF($C704="","",$C704&amp;"|"&amp;COUNTIF($C$5:$C704,$C704))</f>
        <v/>
      </c>
      <c r="AF704" s="53">
        <f>IF($AC704&gt;0,SUMIFS(Q$4:Q703,$D$4:$D703,$D704,$Z$4:$Z703,$Z704,$C$4:$C703,$C704),0)</f>
        <v>0</v>
      </c>
      <c r="AG704" s="53">
        <f>IF($AC704&gt;0,SUMIFS(Q$4:Q703,$D$4:$D703,$D704,$C$4:$C703,$C704),0)</f>
        <v>0</v>
      </c>
      <c r="AH704" s="53">
        <f>IF($AC704&gt;0,SUMIFS(M$4:M703,$D$4:$D703,$D704,$Z$4:$Z703,$Z704,$C$4:$C703,$C704),0)</f>
        <v>0</v>
      </c>
      <c r="AI704" s="43">
        <f>IF(OR($C704="",$I704=""),0,IF(COUNTIFS($C$5:$C704,$C704,$I$5:$I704,$I704)=1,1,0))</f>
        <v>0</v>
      </c>
      <c r="AJ704" s="43" t="str">
        <f>IF($AI704=1,SUMIFS($AI$4:$AI703,$C$4:$C703,$C704)+1,"")</f>
        <v/>
      </c>
      <c r="AK704" s="43">
        <f>IF(OR($C704="",$K704=""),0,IF(COUNTIFS($C$5:$C704,$C704,$K$5:$K704,$K704)=1,1,0))</f>
        <v>0</v>
      </c>
      <c r="AL704" s="43" t="str">
        <f>IF($AK704=1,SUMIFS($AK$4:$AK703,$C$4:$C703,$C704)+1,"")</f>
        <v/>
      </c>
      <c r="AM704" s="43">
        <f>IF(OR($C704="",$G704=""),0,IF(COUNTIFS($C$5:$C704,$C704,$G$5:$G704,$G704)=1,1,0))</f>
        <v>0</v>
      </c>
      <c r="AN704" s="43" t="str">
        <f>IF($AM704=1,SUMIFS($AM$4:$AM703,$C$4:$C703,$C704)+1,"")</f>
        <v/>
      </c>
    </row>
    <row r="705">
      <c r="A705" s="44" t="str">
        <f>IF(OR($B705="",$D705=""),"","TX"&amp;TEXT(ROW()-4,"0000"))</f>
        <v/>
      </c>
      <c r="B705" s="42" t="n"/>
      <c r="C705" s="47" t="str">
        <f>IF($B705="","",YEAR($B705)*100+MONTH($B705))</f>
        <v/>
      </c>
      <c r="D705" s="37" t="n"/>
      <c r="E705" s="45" t="str">
        <f>IF($D705="","",IFERROR(INDEX(CARDS!$B$5:$B$34,MATCH($D705,CARDS!$A$5:$A$34,0)),"⚠ Card ID?"))</f>
        <v/>
      </c>
      <c r="F705" s="45" t="str">
        <f>IF($D705="","",IFERROR(INDEX(CARDS!$C$5:$C$34,MATCH($D705,CARDS!$A$5:$A$34,0)),"⚠ Card ID?"))</f>
        <v/>
      </c>
      <c r="G705" s="37" t="n"/>
      <c r="H705" s="37" t="n"/>
      <c r="I705" s="41" t="n"/>
      <c r="J705" s="45" t="str">
        <f>IF($I705="","",IFERROR(INDEX(MCC_MASTER!$B$5:$B$504,MATCH($I705,MCC_MASTER!$A$5:$A$504,0)),"⚠ MCC chưa có"))</f>
        <v/>
      </c>
      <c r="K705" s="45" t="str">
        <f>IF($I705="","",IFERROR(IF(INDEX(MCC_MASTER!$C$5:$C$504,MATCH($I705,MCC_MASTER!$A$5:$A$504,0))="","Chưa phân loại",INDEX(MCC_MASTER!$C$5:$C$504,MATCH($I705,MCC_MASTER!$A$5:$A$504,0))),"Chưa phân loại"))</f>
        <v/>
      </c>
      <c r="L705" s="40" t="n"/>
      <c r="M705" s="48" t="str">
        <f>IF(OR($B705="",$D705=""),"",IF($AC705=0,0,IF(ISNUMBER(INDEX(CASHBACK_RULES!$L$5:$L$304,$AC705)),MAX(0,MIN($L705,INDEX(CASHBACK_RULES!$L$5:$L$304,$AC705)-$AH705)),MAX(0,$L705))))</f>
        <v/>
      </c>
      <c r="N705" s="49" t="str">
        <f>IF(OR($B705="",$D705=""),"",IF($AC705&gt;0,INDEX(CASHBACK_RULES!$I$5:$I$304,$AC705),0))</f>
        <v/>
      </c>
      <c r="O705" s="48" t="str">
        <f>IF(OR($B705="",$D705=""),"",ROUND($M705*$N705,0))</f>
        <v/>
      </c>
      <c r="P705" s="48" t="str">
        <f>IF($AC705&gt;0,IF(ISNUMBER(INDEX(CASHBACK_RULES!$J$5:$J$304,$AC705)),INDEX(CASHBACK_RULES!$J$5:$J$304,$AC705),"∞"),"")</f>
        <v/>
      </c>
      <c r="Q705" s="48" t="str">
        <f>IF(OR($B705="",$D705=""),"",IF($AC705=0,0,MAX(0,MIN($O705,IF(ISNUMBER($P705),$P705-$AF705,1E+15),IF(ISNUMBER($AA705),$AA705-$AG705,1E+15)))))</f>
        <v/>
      </c>
      <c r="R705" s="48" t="str">
        <f>IF(OR($B705="",$D705=""),"",IF($AC705=0,"",IF(AND(NOT(ISNUMBER($P705)),NOT(ISNUMBER($AA705))),"∞",MAX(0,MIN(IF(ISNUMBER($P705),$P705-$AF705-$Q705,1E+15),IF(ISNUMBER($AA705),$AA705-$AG705-$Q705,1E+15))))))</f>
        <v/>
      </c>
      <c r="S705" s="47" t="str">
        <f>IF($AD705="","",YEAR($AD705)*100+MONTH($AD705))</f>
        <v/>
      </c>
      <c r="T705" s="50" t="str">
        <f>IF($AD705="","",IFERROR(IF(INDEX(CARDS!$I$5:$I$34,MATCH($D705,CARDS!$A$5:$A$34,0))="","",IF(INDEX(CARDS!$I$5:$I$34,MATCH($D705,CARDS!$A$5:$A$34,0))&gt;INDEX(CARDS!$H$5:$H$34,MATCH($D705,CARDS!$A$5:$A$34,0)),DATE(YEAR($AD705),MONTH($AD705),MIN(INDEX(CARDS!$I$5:$I$34,MATCH($D705,CARDS!$A$5:$A$34,0)),DAY(EOMONTH($AD705,0)))),DATE(YEAR($AD705),MONTH($AD705)+1,MIN(INDEX(CARDS!$I$5:$I$34,MATCH($D705,CARDS!$A$5:$A$34,0)),DAY(EOMONTH($AD705,1)))))),""))</f>
        <v/>
      </c>
      <c r="U705" s="38" t="n"/>
      <c r="V705" s="37" t="n"/>
      <c r="W705" s="38" t="n"/>
      <c r="X705" s="38" t="n"/>
      <c r="Y705" s="44" t="str">
        <f>IF($AC705&gt;0,INDEX(CASHBACK_RULES!$A$5:$A$304,$AC705),"")</f>
        <v/>
      </c>
      <c r="Z705" s="45" t="str">
        <f>IF($AC705&gt;0,INDEX(CASHBACK_RULES!$E$5:$E$304,$AC705)&amp;"","")</f>
        <v/>
      </c>
      <c r="AA705" s="48" t="str">
        <f>IF($AC705&gt;0,IF(ISNUMBER(INDEX(CASHBACK_RULES!$K$5:$K$304,$AC705)),INDEX(CASHBACK_RULES!$K$5:$K$304,$AC705),"∞"),"")</f>
        <v/>
      </c>
      <c r="AB705" s="44" t="str">
        <f>IF(OR($B705="",$D705=""),"",IF($U705="Cancelled","Đã hủy",IF($AC705=0,"Không được hoàn",IF($Q705=0,IF(OR($O705&gt;0,$M705&lt;$L705),"Đã đạt cap","Không được hoàn"),IF(OR($Q705&lt;$O705,$M705&lt;$L705),"Hoàn một phần","Được hoàn")))))</f>
        <v/>
      </c>
      <c r="AC705" s="43">
        <f>IF(OR($B705="",$D705="",$I705="",$L705=""),0,IF($U705="Cancelled",0,IF($W705&lt;&gt;"",IFERROR(IF(INDEX(CASHBACK_RULES!$B$5:$B$304,MATCH($W705,CASHBACK_RULES!$A$5:$A$304,0))=$D705,MATCH($W705,CASHBACK_RULES!$A$5:$A$304,0),0),0),IFERROR(MATCH(1,INDEX((CASHBACK_RULES!$B$5:$B$304=$D705)*(CASHBACK_RULES!$G$5:$G$304=$I705)*(((CASHBACK_RULES!$N$5:$N$304="")+(CASHBACK_RULES!$N$5:$N$304&lt;=$B705))&gt;0)*(((CASHBACK_RULES!$O$5:$O$304="")+(CASHBACK_RULES!$O$5:$O$304&gt;=$B705))&gt;0)*(((CASHBACK_RULES!$M$5:$M$304="")+(CASHBACK_RULES!$M$5:$M$304&lt;=$L705))&gt;0),0),0),0))))</f>
        <v>0</v>
      </c>
      <c r="AD705" s="51" t="str">
        <f>IF(OR($B705="",$D705=""),"",IFERROR(IF(INDEX(CARDS!$H$5:$H$34,MATCH($D705,CARDS!$A$5:$A$34,0))="","",IF(DAY($B705)&lt;=INDEX(CARDS!$H$5:$H$34,MATCH($D705,CARDS!$A$5:$A$34,0)),DATE(YEAR($B705),MONTH($B705),MIN(INDEX(CARDS!$H$5:$H$34,MATCH($D705,CARDS!$A$5:$A$34,0)),DAY(EOMONTH($B705,0)))),DATE(YEAR($B705),MONTH($B705)+1,MIN(INDEX(CARDS!$H$5:$H$34,MATCH($D705,CARDS!$A$5:$A$34,0)),DAY(EOMONTH($B705,1)))))),""))</f>
        <v/>
      </c>
      <c r="AE705" s="52" t="str">
        <f>IF($C705="","",$C705&amp;"|"&amp;COUNTIF($C$5:$C705,$C705))</f>
        <v/>
      </c>
      <c r="AF705" s="53">
        <f>IF($AC705&gt;0,SUMIFS(Q$4:Q704,$D$4:$D704,$D705,$Z$4:$Z704,$Z705,$C$4:$C704,$C705),0)</f>
        <v>0</v>
      </c>
      <c r="AG705" s="53">
        <f>IF($AC705&gt;0,SUMIFS(Q$4:Q704,$D$4:$D704,$D705,$C$4:$C704,$C705),0)</f>
        <v>0</v>
      </c>
      <c r="AH705" s="53">
        <f>IF($AC705&gt;0,SUMIFS(M$4:M704,$D$4:$D704,$D705,$Z$4:$Z704,$Z705,$C$4:$C704,$C705),0)</f>
        <v>0</v>
      </c>
      <c r="AI705" s="43">
        <f>IF(OR($C705="",$I705=""),0,IF(COUNTIFS($C$5:$C705,$C705,$I$5:$I705,$I705)=1,1,0))</f>
        <v>0</v>
      </c>
      <c r="AJ705" s="43" t="str">
        <f>IF($AI705=1,SUMIFS($AI$4:$AI704,$C$4:$C704,$C705)+1,"")</f>
        <v/>
      </c>
      <c r="AK705" s="43">
        <f>IF(OR($C705="",$K705=""),0,IF(COUNTIFS($C$5:$C705,$C705,$K$5:$K705,$K705)=1,1,0))</f>
        <v>0</v>
      </c>
      <c r="AL705" s="43" t="str">
        <f>IF($AK705=1,SUMIFS($AK$4:$AK704,$C$4:$C704,$C705)+1,"")</f>
        <v/>
      </c>
      <c r="AM705" s="43">
        <f>IF(OR($C705="",$G705=""),0,IF(COUNTIFS($C$5:$C705,$C705,$G$5:$G705,$G705)=1,1,0))</f>
        <v>0</v>
      </c>
      <c r="AN705" s="43" t="str">
        <f>IF($AM705=1,SUMIFS($AM$4:$AM704,$C$4:$C704,$C705)+1,"")</f>
        <v/>
      </c>
    </row>
    <row r="706">
      <c r="A706" s="44" t="str">
        <f>IF(OR($B706="",$D706=""),"","TX"&amp;TEXT(ROW()-4,"0000"))</f>
        <v/>
      </c>
      <c r="B706" s="42" t="n"/>
      <c r="C706" s="47" t="str">
        <f>IF($B706="","",YEAR($B706)*100+MONTH($B706))</f>
        <v/>
      </c>
      <c r="D706" s="37" t="n"/>
      <c r="E706" s="45" t="str">
        <f>IF($D706="","",IFERROR(INDEX(CARDS!$B$5:$B$34,MATCH($D706,CARDS!$A$5:$A$34,0)),"⚠ Card ID?"))</f>
        <v/>
      </c>
      <c r="F706" s="45" t="str">
        <f>IF($D706="","",IFERROR(INDEX(CARDS!$C$5:$C$34,MATCH($D706,CARDS!$A$5:$A$34,0)),"⚠ Card ID?"))</f>
        <v/>
      </c>
      <c r="G706" s="37" t="n"/>
      <c r="H706" s="37" t="n"/>
      <c r="I706" s="41" t="n"/>
      <c r="J706" s="45" t="str">
        <f>IF($I706="","",IFERROR(INDEX(MCC_MASTER!$B$5:$B$504,MATCH($I706,MCC_MASTER!$A$5:$A$504,0)),"⚠ MCC chưa có"))</f>
        <v/>
      </c>
      <c r="K706" s="45" t="str">
        <f>IF($I706="","",IFERROR(IF(INDEX(MCC_MASTER!$C$5:$C$504,MATCH($I706,MCC_MASTER!$A$5:$A$504,0))="","Chưa phân loại",INDEX(MCC_MASTER!$C$5:$C$504,MATCH($I706,MCC_MASTER!$A$5:$A$504,0))),"Chưa phân loại"))</f>
        <v/>
      </c>
      <c r="L706" s="40" t="n"/>
      <c r="M706" s="48" t="str">
        <f>IF(OR($B706="",$D706=""),"",IF($AC706=0,0,IF(ISNUMBER(INDEX(CASHBACK_RULES!$L$5:$L$304,$AC706)),MAX(0,MIN($L706,INDEX(CASHBACK_RULES!$L$5:$L$304,$AC706)-$AH706)),MAX(0,$L706))))</f>
        <v/>
      </c>
      <c r="N706" s="49" t="str">
        <f>IF(OR($B706="",$D706=""),"",IF($AC706&gt;0,INDEX(CASHBACK_RULES!$I$5:$I$304,$AC706),0))</f>
        <v/>
      </c>
      <c r="O706" s="48" t="str">
        <f>IF(OR($B706="",$D706=""),"",ROUND($M706*$N706,0))</f>
        <v/>
      </c>
      <c r="P706" s="48" t="str">
        <f>IF($AC706&gt;0,IF(ISNUMBER(INDEX(CASHBACK_RULES!$J$5:$J$304,$AC706)),INDEX(CASHBACK_RULES!$J$5:$J$304,$AC706),"∞"),"")</f>
        <v/>
      </c>
      <c r="Q706" s="48" t="str">
        <f>IF(OR($B706="",$D706=""),"",IF($AC706=0,0,MAX(0,MIN($O706,IF(ISNUMBER($P706),$P706-$AF706,1E+15),IF(ISNUMBER($AA706),$AA706-$AG706,1E+15)))))</f>
        <v/>
      </c>
      <c r="R706" s="48" t="str">
        <f>IF(OR($B706="",$D706=""),"",IF($AC706=0,"",IF(AND(NOT(ISNUMBER($P706)),NOT(ISNUMBER($AA706))),"∞",MAX(0,MIN(IF(ISNUMBER($P706),$P706-$AF706-$Q706,1E+15),IF(ISNUMBER($AA706),$AA706-$AG706-$Q706,1E+15))))))</f>
        <v/>
      </c>
      <c r="S706" s="47" t="str">
        <f>IF($AD706="","",YEAR($AD706)*100+MONTH($AD706))</f>
        <v/>
      </c>
      <c r="T706" s="50" t="str">
        <f>IF($AD706="","",IFERROR(IF(INDEX(CARDS!$I$5:$I$34,MATCH($D706,CARDS!$A$5:$A$34,0))="","",IF(INDEX(CARDS!$I$5:$I$34,MATCH($D706,CARDS!$A$5:$A$34,0))&gt;INDEX(CARDS!$H$5:$H$34,MATCH($D706,CARDS!$A$5:$A$34,0)),DATE(YEAR($AD706),MONTH($AD706),MIN(INDEX(CARDS!$I$5:$I$34,MATCH($D706,CARDS!$A$5:$A$34,0)),DAY(EOMONTH($AD706,0)))),DATE(YEAR($AD706),MONTH($AD706)+1,MIN(INDEX(CARDS!$I$5:$I$34,MATCH($D706,CARDS!$A$5:$A$34,0)),DAY(EOMONTH($AD706,1)))))),""))</f>
        <v/>
      </c>
      <c r="U706" s="38" t="n"/>
      <c r="V706" s="37" t="n"/>
      <c r="W706" s="38" t="n"/>
      <c r="X706" s="38" t="n"/>
      <c r="Y706" s="44" t="str">
        <f>IF($AC706&gt;0,INDEX(CASHBACK_RULES!$A$5:$A$304,$AC706),"")</f>
        <v/>
      </c>
      <c r="Z706" s="45" t="str">
        <f>IF($AC706&gt;0,INDEX(CASHBACK_RULES!$E$5:$E$304,$AC706)&amp;"","")</f>
        <v/>
      </c>
      <c r="AA706" s="48" t="str">
        <f>IF($AC706&gt;0,IF(ISNUMBER(INDEX(CASHBACK_RULES!$K$5:$K$304,$AC706)),INDEX(CASHBACK_RULES!$K$5:$K$304,$AC706),"∞"),"")</f>
        <v/>
      </c>
      <c r="AB706" s="44" t="str">
        <f>IF(OR($B706="",$D706=""),"",IF($U706="Cancelled","Đã hủy",IF($AC706=0,"Không được hoàn",IF($Q706=0,IF(OR($O706&gt;0,$M706&lt;$L706),"Đã đạt cap","Không được hoàn"),IF(OR($Q706&lt;$O706,$M706&lt;$L706),"Hoàn một phần","Được hoàn")))))</f>
        <v/>
      </c>
      <c r="AC706" s="43">
        <f>IF(OR($B706="",$D706="",$I706="",$L706=""),0,IF($U706="Cancelled",0,IF($W706&lt;&gt;"",IFERROR(IF(INDEX(CASHBACK_RULES!$B$5:$B$304,MATCH($W706,CASHBACK_RULES!$A$5:$A$304,0))=$D706,MATCH($W706,CASHBACK_RULES!$A$5:$A$304,0),0),0),IFERROR(MATCH(1,INDEX((CASHBACK_RULES!$B$5:$B$304=$D706)*(CASHBACK_RULES!$G$5:$G$304=$I706)*(((CASHBACK_RULES!$N$5:$N$304="")+(CASHBACK_RULES!$N$5:$N$304&lt;=$B706))&gt;0)*(((CASHBACK_RULES!$O$5:$O$304="")+(CASHBACK_RULES!$O$5:$O$304&gt;=$B706))&gt;0)*(((CASHBACK_RULES!$M$5:$M$304="")+(CASHBACK_RULES!$M$5:$M$304&lt;=$L706))&gt;0),0),0),0))))</f>
        <v>0</v>
      </c>
      <c r="AD706" s="51" t="str">
        <f>IF(OR($B706="",$D706=""),"",IFERROR(IF(INDEX(CARDS!$H$5:$H$34,MATCH($D706,CARDS!$A$5:$A$34,0))="","",IF(DAY($B706)&lt;=INDEX(CARDS!$H$5:$H$34,MATCH($D706,CARDS!$A$5:$A$34,0)),DATE(YEAR($B706),MONTH($B706),MIN(INDEX(CARDS!$H$5:$H$34,MATCH($D706,CARDS!$A$5:$A$34,0)),DAY(EOMONTH($B706,0)))),DATE(YEAR($B706),MONTH($B706)+1,MIN(INDEX(CARDS!$H$5:$H$34,MATCH($D706,CARDS!$A$5:$A$34,0)),DAY(EOMONTH($B706,1)))))),""))</f>
        <v/>
      </c>
      <c r="AE706" s="52" t="str">
        <f>IF($C706="","",$C706&amp;"|"&amp;COUNTIF($C$5:$C706,$C706))</f>
        <v/>
      </c>
      <c r="AF706" s="53">
        <f>IF($AC706&gt;0,SUMIFS(Q$4:Q705,$D$4:$D705,$D706,$Z$4:$Z705,$Z706,$C$4:$C705,$C706),0)</f>
        <v>0</v>
      </c>
      <c r="AG706" s="53">
        <f>IF($AC706&gt;0,SUMIFS(Q$4:Q705,$D$4:$D705,$D706,$C$4:$C705,$C706),0)</f>
        <v>0</v>
      </c>
      <c r="AH706" s="53">
        <f>IF($AC706&gt;0,SUMIFS(M$4:M705,$D$4:$D705,$D706,$Z$4:$Z705,$Z706,$C$4:$C705,$C706),0)</f>
        <v>0</v>
      </c>
      <c r="AI706" s="43">
        <f>IF(OR($C706="",$I706=""),0,IF(COUNTIFS($C$5:$C706,$C706,$I$5:$I706,$I706)=1,1,0))</f>
        <v>0</v>
      </c>
      <c r="AJ706" s="43" t="str">
        <f>IF($AI706=1,SUMIFS($AI$4:$AI705,$C$4:$C705,$C706)+1,"")</f>
        <v/>
      </c>
      <c r="AK706" s="43">
        <f>IF(OR($C706="",$K706=""),0,IF(COUNTIFS($C$5:$C706,$C706,$K$5:$K706,$K706)=1,1,0))</f>
        <v>0</v>
      </c>
      <c r="AL706" s="43" t="str">
        <f>IF($AK706=1,SUMIFS($AK$4:$AK705,$C$4:$C705,$C706)+1,"")</f>
        <v/>
      </c>
      <c r="AM706" s="43">
        <f>IF(OR($C706="",$G706=""),0,IF(COUNTIFS($C$5:$C706,$C706,$G$5:$G706,$G706)=1,1,0))</f>
        <v>0</v>
      </c>
      <c r="AN706" s="43" t="str">
        <f>IF($AM706=1,SUMIFS($AM$4:$AM705,$C$4:$C705,$C706)+1,"")</f>
        <v/>
      </c>
    </row>
    <row r="707">
      <c r="A707" s="44" t="str">
        <f>IF(OR($B707="",$D707=""),"","TX"&amp;TEXT(ROW()-4,"0000"))</f>
        <v/>
      </c>
      <c r="B707" s="42" t="n"/>
      <c r="C707" s="47" t="str">
        <f>IF($B707="","",YEAR($B707)*100+MONTH($B707))</f>
        <v/>
      </c>
      <c r="D707" s="37" t="n"/>
      <c r="E707" s="45" t="str">
        <f>IF($D707="","",IFERROR(INDEX(CARDS!$B$5:$B$34,MATCH($D707,CARDS!$A$5:$A$34,0)),"⚠ Card ID?"))</f>
        <v/>
      </c>
      <c r="F707" s="45" t="str">
        <f>IF($D707="","",IFERROR(INDEX(CARDS!$C$5:$C$34,MATCH($D707,CARDS!$A$5:$A$34,0)),"⚠ Card ID?"))</f>
        <v/>
      </c>
      <c r="G707" s="37" t="n"/>
      <c r="H707" s="37" t="n"/>
      <c r="I707" s="41" t="n"/>
      <c r="J707" s="45" t="str">
        <f>IF($I707="","",IFERROR(INDEX(MCC_MASTER!$B$5:$B$504,MATCH($I707,MCC_MASTER!$A$5:$A$504,0)),"⚠ MCC chưa có"))</f>
        <v/>
      </c>
      <c r="K707" s="45" t="str">
        <f>IF($I707="","",IFERROR(IF(INDEX(MCC_MASTER!$C$5:$C$504,MATCH($I707,MCC_MASTER!$A$5:$A$504,0))="","Chưa phân loại",INDEX(MCC_MASTER!$C$5:$C$504,MATCH($I707,MCC_MASTER!$A$5:$A$504,0))),"Chưa phân loại"))</f>
        <v/>
      </c>
      <c r="L707" s="40" t="n"/>
      <c r="M707" s="48" t="str">
        <f>IF(OR($B707="",$D707=""),"",IF($AC707=0,0,IF(ISNUMBER(INDEX(CASHBACK_RULES!$L$5:$L$304,$AC707)),MAX(0,MIN($L707,INDEX(CASHBACK_RULES!$L$5:$L$304,$AC707)-$AH707)),MAX(0,$L707))))</f>
        <v/>
      </c>
      <c r="N707" s="49" t="str">
        <f>IF(OR($B707="",$D707=""),"",IF($AC707&gt;0,INDEX(CASHBACK_RULES!$I$5:$I$304,$AC707),0))</f>
        <v/>
      </c>
      <c r="O707" s="48" t="str">
        <f>IF(OR($B707="",$D707=""),"",ROUND($M707*$N707,0))</f>
        <v/>
      </c>
      <c r="P707" s="48" t="str">
        <f>IF($AC707&gt;0,IF(ISNUMBER(INDEX(CASHBACK_RULES!$J$5:$J$304,$AC707)),INDEX(CASHBACK_RULES!$J$5:$J$304,$AC707),"∞"),"")</f>
        <v/>
      </c>
      <c r="Q707" s="48" t="str">
        <f>IF(OR($B707="",$D707=""),"",IF($AC707=0,0,MAX(0,MIN($O707,IF(ISNUMBER($P707),$P707-$AF707,1E+15),IF(ISNUMBER($AA707),$AA707-$AG707,1E+15)))))</f>
        <v/>
      </c>
      <c r="R707" s="48" t="str">
        <f>IF(OR($B707="",$D707=""),"",IF($AC707=0,"",IF(AND(NOT(ISNUMBER($P707)),NOT(ISNUMBER($AA707))),"∞",MAX(0,MIN(IF(ISNUMBER($P707),$P707-$AF707-$Q707,1E+15),IF(ISNUMBER($AA707),$AA707-$AG707-$Q707,1E+15))))))</f>
        <v/>
      </c>
      <c r="S707" s="47" t="str">
        <f>IF($AD707="","",YEAR($AD707)*100+MONTH($AD707))</f>
        <v/>
      </c>
      <c r="T707" s="50" t="str">
        <f>IF($AD707="","",IFERROR(IF(INDEX(CARDS!$I$5:$I$34,MATCH($D707,CARDS!$A$5:$A$34,0))="","",IF(INDEX(CARDS!$I$5:$I$34,MATCH($D707,CARDS!$A$5:$A$34,0))&gt;INDEX(CARDS!$H$5:$H$34,MATCH($D707,CARDS!$A$5:$A$34,0)),DATE(YEAR($AD707),MONTH($AD707),MIN(INDEX(CARDS!$I$5:$I$34,MATCH($D707,CARDS!$A$5:$A$34,0)),DAY(EOMONTH($AD707,0)))),DATE(YEAR($AD707),MONTH($AD707)+1,MIN(INDEX(CARDS!$I$5:$I$34,MATCH($D707,CARDS!$A$5:$A$34,0)),DAY(EOMONTH($AD707,1)))))),""))</f>
        <v/>
      </c>
      <c r="U707" s="38" t="n"/>
      <c r="V707" s="37" t="n"/>
      <c r="W707" s="38" t="n"/>
      <c r="X707" s="38" t="n"/>
      <c r="Y707" s="44" t="str">
        <f>IF($AC707&gt;0,INDEX(CASHBACK_RULES!$A$5:$A$304,$AC707),"")</f>
        <v/>
      </c>
      <c r="Z707" s="45" t="str">
        <f>IF($AC707&gt;0,INDEX(CASHBACK_RULES!$E$5:$E$304,$AC707)&amp;"","")</f>
        <v/>
      </c>
      <c r="AA707" s="48" t="str">
        <f>IF($AC707&gt;0,IF(ISNUMBER(INDEX(CASHBACK_RULES!$K$5:$K$304,$AC707)),INDEX(CASHBACK_RULES!$K$5:$K$304,$AC707),"∞"),"")</f>
        <v/>
      </c>
      <c r="AB707" s="44" t="str">
        <f>IF(OR($B707="",$D707=""),"",IF($U707="Cancelled","Đã hủy",IF($AC707=0,"Không được hoàn",IF($Q707=0,IF(OR($O707&gt;0,$M707&lt;$L707),"Đã đạt cap","Không được hoàn"),IF(OR($Q707&lt;$O707,$M707&lt;$L707),"Hoàn một phần","Được hoàn")))))</f>
        <v/>
      </c>
      <c r="AC707" s="43">
        <f>IF(OR($B707="",$D707="",$I707="",$L707=""),0,IF($U707="Cancelled",0,IF($W707&lt;&gt;"",IFERROR(IF(INDEX(CASHBACK_RULES!$B$5:$B$304,MATCH($W707,CASHBACK_RULES!$A$5:$A$304,0))=$D707,MATCH($W707,CASHBACK_RULES!$A$5:$A$304,0),0),0),IFERROR(MATCH(1,INDEX((CASHBACK_RULES!$B$5:$B$304=$D707)*(CASHBACK_RULES!$G$5:$G$304=$I707)*(((CASHBACK_RULES!$N$5:$N$304="")+(CASHBACK_RULES!$N$5:$N$304&lt;=$B707))&gt;0)*(((CASHBACK_RULES!$O$5:$O$304="")+(CASHBACK_RULES!$O$5:$O$304&gt;=$B707))&gt;0)*(((CASHBACK_RULES!$M$5:$M$304="")+(CASHBACK_RULES!$M$5:$M$304&lt;=$L707))&gt;0),0),0),0))))</f>
        <v>0</v>
      </c>
      <c r="AD707" s="51" t="str">
        <f>IF(OR($B707="",$D707=""),"",IFERROR(IF(INDEX(CARDS!$H$5:$H$34,MATCH($D707,CARDS!$A$5:$A$34,0))="","",IF(DAY($B707)&lt;=INDEX(CARDS!$H$5:$H$34,MATCH($D707,CARDS!$A$5:$A$34,0)),DATE(YEAR($B707),MONTH($B707),MIN(INDEX(CARDS!$H$5:$H$34,MATCH($D707,CARDS!$A$5:$A$34,0)),DAY(EOMONTH($B707,0)))),DATE(YEAR($B707),MONTH($B707)+1,MIN(INDEX(CARDS!$H$5:$H$34,MATCH($D707,CARDS!$A$5:$A$34,0)),DAY(EOMONTH($B707,1)))))),""))</f>
        <v/>
      </c>
      <c r="AE707" s="52" t="str">
        <f>IF($C707="","",$C707&amp;"|"&amp;COUNTIF($C$5:$C707,$C707))</f>
        <v/>
      </c>
      <c r="AF707" s="53">
        <f>IF($AC707&gt;0,SUMIFS(Q$4:Q706,$D$4:$D706,$D707,$Z$4:$Z706,$Z707,$C$4:$C706,$C707),0)</f>
        <v>0</v>
      </c>
      <c r="AG707" s="53">
        <f>IF($AC707&gt;0,SUMIFS(Q$4:Q706,$D$4:$D706,$D707,$C$4:$C706,$C707),0)</f>
        <v>0</v>
      </c>
      <c r="AH707" s="53">
        <f>IF($AC707&gt;0,SUMIFS(M$4:M706,$D$4:$D706,$D707,$Z$4:$Z706,$Z707,$C$4:$C706,$C707),0)</f>
        <v>0</v>
      </c>
      <c r="AI707" s="43">
        <f>IF(OR($C707="",$I707=""),0,IF(COUNTIFS($C$5:$C707,$C707,$I$5:$I707,$I707)=1,1,0))</f>
        <v>0</v>
      </c>
      <c r="AJ707" s="43" t="str">
        <f>IF($AI707=1,SUMIFS($AI$4:$AI706,$C$4:$C706,$C707)+1,"")</f>
        <v/>
      </c>
      <c r="AK707" s="43">
        <f>IF(OR($C707="",$K707=""),0,IF(COUNTIFS($C$5:$C707,$C707,$K$5:$K707,$K707)=1,1,0))</f>
        <v>0</v>
      </c>
      <c r="AL707" s="43" t="str">
        <f>IF($AK707=1,SUMIFS($AK$4:$AK706,$C$4:$C706,$C707)+1,"")</f>
        <v/>
      </c>
      <c r="AM707" s="43">
        <f>IF(OR($C707="",$G707=""),0,IF(COUNTIFS($C$5:$C707,$C707,$G$5:$G707,$G707)=1,1,0))</f>
        <v>0</v>
      </c>
      <c r="AN707" s="43" t="str">
        <f>IF($AM707=1,SUMIFS($AM$4:$AM706,$C$4:$C706,$C707)+1,"")</f>
        <v/>
      </c>
    </row>
    <row r="708">
      <c r="A708" s="44" t="str">
        <f>IF(OR($B708="",$D708=""),"","TX"&amp;TEXT(ROW()-4,"0000"))</f>
        <v/>
      </c>
      <c r="B708" s="42" t="n"/>
      <c r="C708" s="47" t="str">
        <f>IF($B708="","",YEAR($B708)*100+MONTH($B708))</f>
        <v/>
      </c>
      <c r="D708" s="37" t="n"/>
      <c r="E708" s="45" t="str">
        <f>IF($D708="","",IFERROR(INDEX(CARDS!$B$5:$B$34,MATCH($D708,CARDS!$A$5:$A$34,0)),"⚠ Card ID?"))</f>
        <v/>
      </c>
      <c r="F708" s="45" t="str">
        <f>IF($D708="","",IFERROR(INDEX(CARDS!$C$5:$C$34,MATCH($D708,CARDS!$A$5:$A$34,0)),"⚠ Card ID?"))</f>
        <v/>
      </c>
      <c r="G708" s="37" t="n"/>
      <c r="H708" s="37" t="n"/>
      <c r="I708" s="41" t="n"/>
      <c r="J708" s="45" t="str">
        <f>IF($I708="","",IFERROR(INDEX(MCC_MASTER!$B$5:$B$504,MATCH($I708,MCC_MASTER!$A$5:$A$504,0)),"⚠ MCC chưa có"))</f>
        <v/>
      </c>
      <c r="K708" s="45" t="str">
        <f>IF($I708="","",IFERROR(IF(INDEX(MCC_MASTER!$C$5:$C$504,MATCH($I708,MCC_MASTER!$A$5:$A$504,0))="","Chưa phân loại",INDEX(MCC_MASTER!$C$5:$C$504,MATCH($I708,MCC_MASTER!$A$5:$A$504,0))),"Chưa phân loại"))</f>
        <v/>
      </c>
      <c r="L708" s="40" t="n"/>
      <c r="M708" s="48" t="str">
        <f>IF(OR($B708="",$D708=""),"",IF($AC708=0,0,IF(ISNUMBER(INDEX(CASHBACK_RULES!$L$5:$L$304,$AC708)),MAX(0,MIN($L708,INDEX(CASHBACK_RULES!$L$5:$L$304,$AC708)-$AH708)),MAX(0,$L708))))</f>
        <v/>
      </c>
      <c r="N708" s="49" t="str">
        <f>IF(OR($B708="",$D708=""),"",IF($AC708&gt;0,INDEX(CASHBACK_RULES!$I$5:$I$304,$AC708),0))</f>
        <v/>
      </c>
      <c r="O708" s="48" t="str">
        <f>IF(OR($B708="",$D708=""),"",ROUND($M708*$N708,0))</f>
        <v/>
      </c>
      <c r="P708" s="48" t="str">
        <f>IF($AC708&gt;0,IF(ISNUMBER(INDEX(CASHBACK_RULES!$J$5:$J$304,$AC708)),INDEX(CASHBACK_RULES!$J$5:$J$304,$AC708),"∞"),"")</f>
        <v/>
      </c>
      <c r="Q708" s="48" t="str">
        <f>IF(OR($B708="",$D708=""),"",IF($AC708=0,0,MAX(0,MIN($O708,IF(ISNUMBER($P708),$P708-$AF708,1E+15),IF(ISNUMBER($AA708),$AA708-$AG708,1E+15)))))</f>
        <v/>
      </c>
      <c r="R708" s="48" t="str">
        <f>IF(OR($B708="",$D708=""),"",IF($AC708=0,"",IF(AND(NOT(ISNUMBER($P708)),NOT(ISNUMBER($AA708))),"∞",MAX(0,MIN(IF(ISNUMBER($P708),$P708-$AF708-$Q708,1E+15),IF(ISNUMBER($AA708),$AA708-$AG708-$Q708,1E+15))))))</f>
        <v/>
      </c>
      <c r="S708" s="47" t="str">
        <f>IF($AD708="","",YEAR($AD708)*100+MONTH($AD708))</f>
        <v/>
      </c>
      <c r="T708" s="50" t="str">
        <f>IF($AD708="","",IFERROR(IF(INDEX(CARDS!$I$5:$I$34,MATCH($D708,CARDS!$A$5:$A$34,0))="","",IF(INDEX(CARDS!$I$5:$I$34,MATCH($D708,CARDS!$A$5:$A$34,0))&gt;INDEX(CARDS!$H$5:$H$34,MATCH($D708,CARDS!$A$5:$A$34,0)),DATE(YEAR($AD708),MONTH($AD708),MIN(INDEX(CARDS!$I$5:$I$34,MATCH($D708,CARDS!$A$5:$A$34,0)),DAY(EOMONTH($AD708,0)))),DATE(YEAR($AD708),MONTH($AD708)+1,MIN(INDEX(CARDS!$I$5:$I$34,MATCH($D708,CARDS!$A$5:$A$34,0)),DAY(EOMONTH($AD708,1)))))),""))</f>
        <v/>
      </c>
      <c r="U708" s="38" t="n"/>
      <c r="V708" s="37" t="n"/>
      <c r="W708" s="38" t="n"/>
      <c r="X708" s="38" t="n"/>
      <c r="Y708" s="44" t="str">
        <f>IF($AC708&gt;0,INDEX(CASHBACK_RULES!$A$5:$A$304,$AC708),"")</f>
        <v/>
      </c>
      <c r="Z708" s="45" t="str">
        <f>IF($AC708&gt;0,INDEX(CASHBACK_RULES!$E$5:$E$304,$AC708)&amp;"","")</f>
        <v/>
      </c>
      <c r="AA708" s="48" t="str">
        <f>IF($AC708&gt;0,IF(ISNUMBER(INDEX(CASHBACK_RULES!$K$5:$K$304,$AC708)),INDEX(CASHBACK_RULES!$K$5:$K$304,$AC708),"∞"),"")</f>
        <v/>
      </c>
      <c r="AB708" s="44" t="str">
        <f>IF(OR($B708="",$D708=""),"",IF($U708="Cancelled","Đã hủy",IF($AC708=0,"Không được hoàn",IF($Q708=0,IF(OR($O708&gt;0,$M708&lt;$L708),"Đã đạt cap","Không được hoàn"),IF(OR($Q708&lt;$O708,$M708&lt;$L708),"Hoàn một phần","Được hoàn")))))</f>
        <v/>
      </c>
      <c r="AC708" s="43">
        <f>IF(OR($B708="",$D708="",$I708="",$L708=""),0,IF($U708="Cancelled",0,IF($W708&lt;&gt;"",IFERROR(IF(INDEX(CASHBACK_RULES!$B$5:$B$304,MATCH($W708,CASHBACK_RULES!$A$5:$A$304,0))=$D708,MATCH($W708,CASHBACK_RULES!$A$5:$A$304,0),0),0),IFERROR(MATCH(1,INDEX((CASHBACK_RULES!$B$5:$B$304=$D708)*(CASHBACK_RULES!$G$5:$G$304=$I708)*(((CASHBACK_RULES!$N$5:$N$304="")+(CASHBACK_RULES!$N$5:$N$304&lt;=$B708))&gt;0)*(((CASHBACK_RULES!$O$5:$O$304="")+(CASHBACK_RULES!$O$5:$O$304&gt;=$B708))&gt;0)*(((CASHBACK_RULES!$M$5:$M$304="")+(CASHBACK_RULES!$M$5:$M$304&lt;=$L708))&gt;0),0),0),0))))</f>
        <v>0</v>
      </c>
      <c r="AD708" s="51" t="str">
        <f>IF(OR($B708="",$D708=""),"",IFERROR(IF(INDEX(CARDS!$H$5:$H$34,MATCH($D708,CARDS!$A$5:$A$34,0))="","",IF(DAY($B708)&lt;=INDEX(CARDS!$H$5:$H$34,MATCH($D708,CARDS!$A$5:$A$34,0)),DATE(YEAR($B708),MONTH($B708),MIN(INDEX(CARDS!$H$5:$H$34,MATCH($D708,CARDS!$A$5:$A$34,0)),DAY(EOMONTH($B708,0)))),DATE(YEAR($B708),MONTH($B708)+1,MIN(INDEX(CARDS!$H$5:$H$34,MATCH($D708,CARDS!$A$5:$A$34,0)),DAY(EOMONTH($B708,1)))))),""))</f>
        <v/>
      </c>
      <c r="AE708" s="52" t="str">
        <f>IF($C708="","",$C708&amp;"|"&amp;COUNTIF($C$5:$C708,$C708))</f>
        <v/>
      </c>
      <c r="AF708" s="53">
        <f>IF($AC708&gt;0,SUMIFS(Q$4:Q707,$D$4:$D707,$D708,$Z$4:$Z707,$Z708,$C$4:$C707,$C708),0)</f>
        <v>0</v>
      </c>
      <c r="AG708" s="53">
        <f>IF($AC708&gt;0,SUMIFS(Q$4:Q707,$D$4:$D707,$D708,$C$4:$C707,$C708),0)</f>
        <v>0</v>
      </c>
      <c r="AH708" s="53">
        <f>IF($AC708&gt;0,SUMIFS(M$4:M707,$D$4:$D707,$D708,$Z$4:$Z707,$Z708,$C$4:$C707,$C708),0)</f>
        <v>0</v>
      </c>
      <c r="AI708" s="43">
        <f>IF(OR($C708="",$I708=""),0,IF(COUNTIFS($C$5:$C708,$C708,$I$5:$I708,$I708)=1,1,0))</f>
        <v>0</v>
      </c>
      <c r="AJ708" s="43" t="str">
        <f>IF($AI708=1,SUMIFS($AI$4:$AI707,$C$4:$C707,$C708)+1,"")</f>
        <v/>
      </c>
      <c r="AK708" s="43">
        <f>IF(OR($C708="",$K708=""),0,IF(COUNTIFS($C$5:$C708,$C708,$K$5:$K708,$K708)=1,1,0))</f>
        <v>0</v>
      </c>
      <c r="AL708" s="43" t="str">
        <f>IF($AK708=1,SUMIFS($AK$4:$AK707,$C$4:$C707,$C708)+1,"")</f>
        <v/>
      </c>
      <c r="AM708" s="43">
        <f>IF(OR($C708="",$G708=""),0,IF(COUNTIFS($C$5:$C708,$C708,$G$5:$G708,$G708)=1,1,0))</f>
        <v>0</v>
      </c>
      <c r="AN708" s="43" t="str">
        <f>IF($AM708=1,SUMIFS($AM$4:$AM707,$C$4:$C707,$C708)+1,"")</f>
        <v/>
      </c>
    </row>
    <row r="709">
      <c r="A709" s="44" t="str">
        <f>IF(OR($B709="",$D709=""),"","TX"&amp;TEXT(ROW()-4,"0000"))</f>
        <v/>
      </c>
      <c r="B709" s="42" t="n"/>
      <c r="C709" s="47" t="str">
        <f>IF($B709="","",YEAR($B709)*100+MONTH($B709))</f>
        <v/>
      </c>
      <c r="D709" s="37" t="n"/>
      <c r="E709" s="45" t="str">
        <f>IF($D709="","",IFERROR(INDEX(CARDS!$B$5:$B$34,MATCH($D709,CARDS!$A$5:$A$34,0)),"⚠ Card ID?"))</f>
        <v/>
      </c>
      <c r="F709" s="45" t="str">
        <f>IF($D709="","",IFERROR(INDEX(CARDS!$C$5:$C$34,MATCH($D709,CARDS!$A$5:$A$34,0)),"⚠ Card ID?"))</f>
        <v/>
      </c>
      <c r="G709" s="37" t="n"/>
      <c r="H709" s="37" t="n"/>
      <c r="I709" s="41" t="n"/>
      <c r="J709" s="45" t="str">
        <f>IF($I709="","",IFERROR(INDEX(MCC_MASTER!$B$5:$B$504,MATCH($I709,MCC_MASTER!$A$5:$A$504,0)),"⚠ MCC chưa có"))</f>
        <v/>
      </c>
      <c r="K709" s="45" t="str">
        <f>IF($I709="","",IFERROR(IF(INDEX(MCC_MASTER!$C$5:$C$504,MATCH($I709,MCC_MASTER!$A$5:$A$504,0))="","Chưa phân loại",INDEX(MCC_MASTER!$C$5:$C$504,MATCH($I709,MCC_MASTER!$A$5:$A$504,0))),"Chưa phân loại"))</f>
        <v/>
      </c>
      <c r="L709" s="40" t="n"/>
      <c r="M709" s="48" t="str">
        <f>IF(OR($B709="",$D709=""),"",IF($AC709=0,0,IF(ISNUMBER(INDEX(CASHBACK_RULES!$L$5:$L$304,$AC709)),MAX(0,MIN($L709,INDEX(CASHBACK_RULES!$L$5:$L$304,$AC709)-$AH709)),MAX(0,$L709))))</f>
        <v/>
      </c>
      <c r="N709" s="49" t="str">
        <f>IF(OR($B709="",$D709=""),"",IF($AC709&gt;0,INDEX(CASHBACK_RULES!$I$5:$I$304,$AC709),0))</f>
        <v/>
      </c>
      <c r="O709" s="48" t="str">
        <f>IF(OR($B709="",$D709=""),"",ROUND($M709*$N709,0))</f>
        <v/>
      </c>
      <c r="P709" s="48" t="str">
        <f>IF($AC709&gt;0,IF(ISNUMBER(INDEX(CASHBACK_RULES!$J$5:$J$304,$AC709)),INDEX(CASHBACK_RULES!$J$5:$J$304,$AC709),"∞"),"")</f>
        <v/>
      </c>
      <c r="Q709" s="48" t="str">
        <f>IF(OR($B709="",$D709=""),"",IF($AC709=0,0,MAX(0,MIN($O709,IF(ISNUMBER($P709),$P709-$AF709,1E+15),IF(ISNUMBER($AA709),$AA709-$AG709,1E+15)))))</f>
        <v/>
      </c>
      <c r="R709" s="48" t="str">
        <f>IF(OR($B709="",$D709=""),"",IF($AC709=0,"",IF(AND(NOT(ISNUMBER($P709)),NOT(ISNUMBER($AA709))),"∞",MAX(0,MIN(IF(ISNUMBER($P709),$P709-$AF709-$Q709,1E+15),IF(ISNUMBER($AA709),$AA709-$AG709-$Q709,1E+15))))))</f>
        <v/>
      </c>
      <c r="S709" s="47" t="str">
        <f>IF($AD709="","",YEAR($AD709)*100+MONTH($AD709))</f>
        <v/>
      </c>
      <c r="T709" s="50" t="str">
        <f>IF($AD709="","",IFERROR(IF(INDEX(CARDS!$I$5:$I$34,MATCH($D709,CARDS!$A$5:$A$34,0))="","",IF(INDEX(CARDS!$I$5:$I$34,MATCH($D709,CARDS!$A$5:$A$34,0))&gt;INDEX(CARDS!$H$5:$H$34,MATCH($D709,CARDS!$A$5:$A$34,0)),DATE(YEAR($AD709),MONTH($AD709),MIN(INDEX(CARDS!$I$5:$I$34,MATCH($D709,CARDS!$A$5:$A$34,0)),DAY(EOMONTH($AD709,0)))),DATE(YEAR($AD709),MONTH($AD709)+1,MIN(INDEX(CARDS!$I$5:$I$34,MATCH($D709,CARDS!$A$5:$A$34,0)),DAY(EOMONTH($AD709,1)))))),""))</f>
        <v/>
      </c>
      <c r="U709" s="38" t="n"/>
      <c r="V709" s="37" t="n"/>
      <c r="W709" s="38" t="n"/>
      <c r="X709" s="38" t="n"/>
      <c r="Y709" s="44" t="str">
        <f>IF($AC709&gt;0,INDEX(CASHBACK_RULES!$A$5:$A$304,$AC709),"")</f>
        <v/>
      </c>
      <c r="Z709" s="45" t="str">
        <f>IF($AC709&gt;0,INDEX(CASHBACK_RULES!$E$5:$E$304,$AC709)&amp;"","")</f>
        <v/>
      </c>
      <c r="AA709" s="48" t="str">
        <f>IF($AC709&gt;0,IF(ISNUMBER(INDEX(CASHBACK_RULES!$K$5:$K$304,$AC709)),INDEX(CASHBACK_RULES!$K$5:$K$304,$AC709),"∞"),"")</f>
        <v/>
      </c>
      <c r="AB709" s="44" t="str">
        <f>IF(OR($B709="",$D709=""),"",IF($U709="Cancelled","Đã hủy",IF($AC709=0,"Không được hoàn",IF($Q709=0,IF(OR($O709&gt;0,$M709&lt;$L709),"Đã đạt cap","Không được hoàn"),IF(OR($Q709&lt;$O709,$M709&lt;$L709),"Hoàn một phần","Được hoàn")))))</f>
        <v/>
      </c>
      <c r="AC709" s="43">
        <f>IF(OR($B709="",$D709="",$I709="",$L709=""),0,IF($U709="Cancelled",0,IF($W709&lt;&gt;"",IFERROR(IF(INDEX(CASHBACK_RULES!$B$5:$B$304,MATCH($W709,CASHBACK_RULES!$A$5:$A$304,0))=$D709,MATCH($W709,CASHBACK_RULES!$A$5:$A$304,0),0),0),IFERROR(MATCH(1,INDEX((CASHBACK_RULES!$B$5:$B$304=$D709)*(CASHBACK_RULES!$G$5:$G$304=$I709)*(((CASHBACK_RULES!$N$5:$N$304="")+(CASHBACK_RULES!$N$5:$N$304&lt;=$B709))&gt;0)*(((CASHBACK_RULES!$O$5:$O$304="")+(CASHBACK_RULES!$O$5:$O$304&gt;=$B709))&gt;0)*(((CASHBACK_RULES!$M$5:$M$304="")+(CASHBACK_RULES!$M$5:$M$304&lt;=$L709))&gt;0),0),0),0))))</f>
        <v>0</v>
      </c>
      <c r="AD709" s="51" t="str">
        <f>IF(OR($B709="",$D709=""),"",IFERROR(IF(INDEX(CARDS!$H$5:$H$34,MATCH($D709,CARDS!$A$5:$A$34,0))="","",IF(DAY($B709)&lt;=INDEX(CARDS!$H$5:$H$34,MATCH($D709,CARDS!$A$5:$A$34,0)),DATE(YEAR($B709),MONTH($B709),MIN(INDEX(CARDS!$H$5:$H$34,MATCH($D709,CARDS!$A$5:$A$34,0)),DAY(EOMONTH($B709,0)))),DATE(YEAR($B709),MONTH($B709)+1,MIN(INDEX(CARDS!$H$5:$H$34,MATCH($D709,CARDS!$A$5:$A$34,0)),DAY(EOMONTH($B709,1)))))),""))</f>
        <v/>
      </c>
      <c r="AE709" s="52" t="str">
        <f>IF($C709="","",$C709&amp;"|"&amp;COUNTIF($C$5:$C709,$C709))</f>
        <v/>
      </c>
      <c r="AF709" s="53">
        <f>IF($AC709&gt;0,SUMIFS(Q$4:Q708,$D$4:$D708,$D709,$Z$4:$Z708,$Z709,$C$4:$C708,$C709),0)</f>
        <v>0</v>
      </c>
      <c r="AG709" s="53">
        <f>IF($AC709&gt;0,SUMIFS(Q$4:Q708,$D$4:$D708,$D709,$C$4:$C708,$C709),0)</f>
        <v>0</v>
      </c>
      <c r="AH709" s="53">
        <f>IF($AC709&gt;0,SUMIFS(M$4:M708,$D$4:$D708,$D709,$Z$4:$Z708,$Z709,$C$4:$C708,$C709),0)</f>
        <v>0</v>
      </c>
      <c r="AI709" s="43">
        <f>IF(OR($C709="",$I709=""),0,IF(COUNTIFS($C$5:$C709,$C709,$I$5:$I709,$I709)=1,1,0))</f>
        <v>0</v>
      </c>
      <c r="AJ709" s="43" t="str">
        <f>IF($AI709=1,SUMIFS($AI$4:$AI708,$C$4:$C708,$C709)+1,"")</f>
        <v/>
      </c>
      <c r="AK709" s="43">
        <f>IF(OR($C709="",$K709=""),0,IF(COUNTIFS($C$5:$C709,$C709,$K$5:$K709,$K709)=1,1,0))</f>
        <v>0</v>
      </c>
      <c r="AL709" s="43" t="str">
        <f>IF($AK709=1,SUMIFS($AK$4:$AK708,$C$4:$C708,$C709)+1,"")</f>
        <v/>
      </c>
      <c r="AM709" s="43">
        <f>IF(OR($C709="",$G709=""),0,IF(COUNTIFS($C$5:$C709,$C709,$G$5:$G709,$G709)=1,1,0))</f>
        <v>0</v>
      </c>
      <c r="AN709" s="43" t="str">
        <f>IF($AM709=1,SUMIFS($AM$4:$AM708,$C$4:$C708,$C709)+1,"")</f>
        <v/>
      </c>
    </row>
    <row r="710">
      <c r="A710" s="44" t="str">
        <f>IF(OR($B710="",$D710=""),"","TX"&amp;TEXT(ROW()-4,"0000"))</f>
        <v/>
      </c>
      <c r="B710" s="42" t="n"/>
      <c r="C710" s="47" t="str">
        <f>IF($B710="","",YEAR($B710)*100+MONTH($B710))</f>
        <v/>
      </c>
      <c r="D710" s="37" t="n"/>
      <c r="E710" s="45" t="str">
        <f>IF($D710="","",IFERROR(INDEX(CARDS!$B$5:$B$34,MATCH($D710,CARDS!$A$5:$A$34,0)),"⚠ Card ID?"))</f>
        <v/>
      </c>
      <c r="F710" s="45" t="str">
        <f>IF($D710="","",IFERROR(INDEX(CARDS!$C$5:$C$34,MATCH($D710,CARDS!$A$5:$A$34,0)),"⚠ Card ID?"))</f>
        <v/>
      </c>
      <c r="G710" s="37" t="n"/>
      <c r="H710" s="37" t="n"/>
      <c r="I710" s="41" t="n"/>
      <c r="J710" s="45" t="str">
        <f>IF($I710="","",IFERROR(INDEX(MCC_MASTER!$B$5:$B$504,MATCH($I710,MCC_MASTER!$A$5:$A$504,0)),"⚠ MCC chưa có"))</f>
        <v/>
      </c>
      <c r="K710" s="45" t="str">
        <f>IF($I710="","",IFERROR(IF(INDEX(MCC_MASTER!$C$5:$C$504,MATCH($I710,MCC_MASTER!$A$5:$A$504,0))="","Chưa phân loại",INDEX(MCC_MASTER!$C$5:$C$504,MATCH($I710,MCC_MASTER!$A$5:$A$504,0))),"Chưa phân loại"))</f>
        <v/>
      </c>
      <c r="L710" s="40" t="n"/>
      <c r="M710" s="48" t="str">
        <f>IF(OR($B710="",$D710=""),"",IF($AC710=0,0,IF(ISNUMBER(INDEX(CASHBACK_RULES!$L$5:$L$304,$AC710)),MAX(0,MIN($L710,INDEX(CASHBACK_RULES!$L$5:$L$304,$AC710)-$AH710)),MAX(0,$L710))))</f>
        <v/>
      </c>
      <c r="N710" s="49" t="str">
        <f>IF(OR($B710="",$D710=""),"",IF($AC710&gt;0,INDEX(CASHBACK_RULES!$I$5:$I$304,$AC710),0))</f>
        <v/>
      </c>
      <c r="O710" s="48" t="str">
        <f>IF(OR($B710="",$D710=""),"",ROUND($M710*$N710,0))</f>
        <v/>
      </c>
      <c r="P710" s="48" t="str">
        <f>IF($AC710&gt;0,IF(ISNUMBER(INDEX(CASHBACK_RULES!$J$5:$J$304,$AC710)),INDEX(CASHBACK_RULES!$J$5:$J$304,$AC710),"∞"),"")</f>
        <v/>
      </c>
      <c r="Q710" s="48" t="str">
        <f>IF(OR($B710="",$D710=""),"",IF($AC710=0,0,MAX(0,MIN($O710,IF(ISNUMBER($P710),$P710-$AF710,1E+15),IF(ISNUMBER($AA710),$AA710-$AG710,1E+15)))))</f>
        <v/>
      </c>
      <c r="R710" s="48" t="str">
        <f>IF(OR($B710="",$D710=""),"",IF($AC710=0,"",IF(AND(NOT(ISNUMBER($P710)),NOT(ISNUMBER($AA710))),"∞",MAX(0,MIN(IF(ISNUMBER($P710),$P710-$AF710-$Q710,1E+15),IF(ISNUMBER($AA710),$AA710-$AG710-$Q710,1E+15))))))</f>
        <v/>
      </c>
      <c r="S710" s="47" t="str">
        <f>IF($AD710="","",YEAR($AD710)*100+MONTH($AD710))</f>
        <v/>
      </c>
      <c r="T710" s="50" t="str">
        <f>IF($AD710="","",IFERROR(IF(INDEX(CARDS!$I$5:$I$34,MATCH($D710,CARDS!$A$5:$A$34,0))="","",IF(INDEX(CARDS!$I$5:$I$34,MATCH($D710,CARDS!$A$5:$A$34,0))&gt;INDEX(CARDS!$H$5:$H$34,MATCH($D710,CARDS!$A$5:$A$34,0)),DATE(YEAR($AD710),MONTH($AD710),MIN(INDEX(CARDS!$I$5:$I$34,MATCH($D710,CARDS!$A$5:$A$34,0)),DAY(EOMONTH($AD710,0)))),DATE(YEAR($AD710),MONTH($AD710)+1,MIN(INDEX(CARDS!$I$5:$I$34,MATCH($D710,CARDS!$A$5:$A$34,0)),DAY(EOMONTH($AD710,1)))))),""))</f>
        <v/>
      </c>
      <c r="U710" s="38" t="n"/>
      <c r="V710" s="37" t="n"/>
      <c r="W710" s="38" t="n"/>
      <c r="X710" s="38" t="n"/>
      <c r="Y710" s="44" t="str">
        <f>IF($AC710&gt;0,INDEX(CASHBACK_RULES!$A$5:$A$304,$AC710),"")</f>
        <v/>
      </c>
      <c r="Z710" s="45" t="str">
        <f>IF($AC710&gt;0,INDEX(CASHBACK_RULES!$E$5:$E$304,$AC710)&amp;"","")</f>
        <v/>
      </c>
      <c r="AA710" s="48" t="str">
        <f>IF($AC710&gt;0,IF(ISNUMBER(INDEX(CASHBACK_RULES!$K$5:$K$304,$AC710)),INDEX(CASHBACK_RULES!$K$5:$K$304,$AC710),"∞"),"")</f>
        <v/>
      </c>
      <c r="AB710" s="44" t="str">
        <f>IF(OR($B710="",$D710=""),"",IF($U710="Cancelled","Đã hủy",IF($AC710=0,"Không được hoàn",IF($Q710=0,IF(OR($O710&gt;0,$M710&lt;$L710),"Đã đạt cap","Không được hoàn"),IF(OR($Q710&lt;$O710,$M710&lt;$L710),"Hoàn một phần","Được hoàn")))))</f>
        <v/>
      </c>
      <c r="AC710" s="43">
        <f>IF(OR($B710="",$D710="",$I710="",$L710=""),0,IF($U710="Cancelled",0,IF($W710&lt;&gt;"",IFERROR(IF(INDEX(CASHBACK_RULES!$B$5:$B$304,MATCH($W710,CASHBACK_RULES!$A$5:$A$304,0))=$D710,MATCH($W710,CASHBACK_RULES!$A$5:$A$304,0),0),0),IFERROR(MATCH(1,INDEX((CASHBACK_RULES!$B$5:$B$304=$D710)*(CASHBACK_RULES!$G$5:$G$304=$I710)*(((CASHBACK_RULES!$N$5:$N$304="")+(CASHBACK_RULES!$N$5:$N$304&lt;=$B710))&gt;0)*(((CASHBACK_RULES!$O$5:$O$304="")+(CASHBACK_RULES!$O$5:$O$304&gt;=$B710))&gt;0)*(((CASHBACK_RULES!$M$5:$M$304="")+(CASHBACK_RULES!$M$5:$M$304&lt;=$L710))&gt;0),0),0),0))))</f>
        <v>0</v>
      </c>
      <c r="AD710" s="51" t="str">
        <f>IF(OR($B710="",$D710=""),"",IFERROR(IF(INDEX(CARDS!$H$5:$H$34,MATCH($D710,CARDS!$A$5:$A$34,0))="","",IF(DAY($B710)&lt;=INDEX(CARDS!$H$5:$H$34,MATCH($D710,CARDS!$A$5:$A$34,0)),DATE(YEAR($B710),MONTH($B710),MIN(INDEX(CARDS!$H$5:$H$34,MATCH($D710,CARDS!$A$5:$A$34,0)),DAY(EOMONTH($B710,0)))),DATE(YEAR($B710),MONTH($B710)+1,MIN(INDEX(CARDS!$H$5:$H$34,MATCH($D710,CARDS!$A$5:$A$34,0)),DAY(EOMONTH($B710,1)))))),""))</f>
        <v/>
      </c>
      <c r="AE710" s="52" t="str">
        <f>IF($C710="","",$C710&amp;"|"&amp;COUNTIF($C$5:$C710,$C710))</f>
        <v/>
      </c>
      <c r="AF710" s="53">
        <f>IF($AC710&gt;0,SUMIFS(Q$4:Q709,$D$4:$D709,$D710,$Z$4:$Z709,$Z710,$C$4:$C709,$C710),0)</f>
        <v>0</v>
      </c>
      <c r="AG710" s="53">
        <f>IF($AC710&gt;0,SUMIFS(Q$4:Q709,$D$4:$D709,$D710,$C$4:$C709,$C710),0)</f>
        <v>0</v>
      </c>
      <c r="AH710" s="53">
        <f>IF($AC710&gt;0,SUMIFS(M$4:M709,$D$4:$D709,$D710,$Z$4:$Z709,$Z710,$C$4:$C709,$C710),0)</f>
        <v>0</v>
      </c>
      <c r="AI710" s="43">
        <f>IF(OR($C710="",$I710=""),0,IF(COUNTIFS($C$5:$C710,$C710,$I$5:$I710,$I710)=1,1,0))</f>
        <v>0</v>
      </c>
      <c r="AJ710" s="43" t="str">
        <f>IF($AI710=1,SUMIFS($AI$4:$AI709,$C$4:$C709,$C710)+1,"")</f>
        <v/>
      </c>
      <c r="AK710" s="43">
        <f>IF(OR($C710="",$K710=""),0,IF(COUNTIFS($C$5:$C710,$C710,$K$5:$K710,$K710)=1,1,0))</f>
        <v>0</v>
      </c>
      <c r="AL710" s="43" t="str">
        <f>IF($AK710=1,SUMIFS($AK$4:$AK709,$C$4:$C709,$C710)+1,"")</f>
        <v/>
      </c>
      <c r="AM710" s="43">
        <f>IF(OR($C710="",$G710=""),0,IF(COUNTIFS($C$5:$C710,$C710,$G$5:$G710,$G710)=1,1,0))</f>
        <v>0</v>
      </c>
      <c r="AN710" s="43" t="str">
        <f>IF($AM710=1,SUMIFS($AM$4:$AM709,$C$4:$C709,$C710)+1,"")</f>
        <v/>
      </c>
    </row>
    <row r="711">
      <c r="A711" s="44" t="str">
        <f>IF(OR($B711="",$D711=""),"","TX"&amp;TEXT(ROW()-4,"0000"))</f>
        <v/>
      </c>
      <c r="B711" s="42" t="n"/>
      <c r="C711" s="47" t="str">
        <f>IF($B711="","",YEAR($B711)*100+MONTH($B711))</f>
        <v/>
      </c>
      <c r="D711" s="37" t="n"/>
      <c r="E711" s="45" t="str">
        <f>IF($D711="","",IFERROR(INDEX(CARDS!$B$5:$B$34,MATCH($D711,CARDS!$A$5:$A$34,0)),"⚠ Card ID?"))</f>
        <v/>
      </c>
      <c r="F711" s="45" t="str">
        <f>IF($D711="","",IFERROR(INDEX(CARDS!$C$5:$C$34,MATCH($D711,CARDS!$A$5:$A$34,0)),"⚠ Card ID?"))</f>
        <v/>
      </c>
      <c r="G711" s="37" t="n"/>
      <c r="H711" s="37" t="n"/>
      <c r="I711" s="41" t="n"/>
      <c r="J711" s="45" t="str">
        <f>IF($I711="","",IFERROR(INDEX(MCC_MASTER!$B$5:$B$504,MATCH($I711,MCC_MASTER!$A$5:$A$504,0)),"⚠ MCC chưa có"))</f>
        <v/>
      </c>
      <c r="K711" s="45" t="str">
        <f>IF($I711="","",IFERROR(IF(INDEX(MCC_MASTER!$C$5:$C$504,MATCH($I711,MCC_MASTER!$A$5:$A$504,0))="","Chưa phân loại",INDEX(MCC_MASTER!$C$5:$C$504,MATCH($I711,MCC_MASTER!$A$5:$A$504,0))),"Chưa phân loại"))</f>
        <v/>
      </c>
      <c r="L711" s="40" t="n"/>
      <c r="M711" s="48" t="str">
        <f>IF(OR($B711="",$D711=""),"",IF($AC711=0,0,IF(ISNUMBER(INDEX(CASHBACK_RULES!$L$5:$L$304,$AC711)),MAX(0,MIN($L711,INDEX(CASHBACK_RULES!$L$5:$L$304,$AC711)-$AH711)),MAX(0,$L711))))</f>
        <v/>
      </c>
      <c r="N711" s="49" t="str">
        <f>IF(OR($B711="",$D711=""),"",IF($AC711&gt;0,INDEX(CASHBACK_RULES!$I$5:$I$304,$AC711),0))</f>
        <v/>
      </c>
      <c r="O711" s="48" t="str">
        <f>IF(OR($B711="",$D711=""),"",ROUND($M711*$N711,0))</f>
        <v/>
      </c>
      <c r="P711" s="48" t="str">
        <f>IF($AC711&gt;0,IF(ISNUMBER(INDEX(CASHBACK_RULES!$J$5:$J$304,$AC711)),INDEX(CASHBACK_RULES!$J$5:$J$304,$AC711),"∞"),"")</f>
        <v/>
      </c>
      <c r="Q711" s="48" t="str">
        <f>IF(OR($B711="",$D711=""),"",IF($AC711=0,0,MAX(0,MIN($O711,IF(ISNUMBER($P711),$P711-$AF711,1E+15),IF(ISNUMBER($AA711),$AA711-$AG711,1E+15)))))</f>
        <v/>
      </c>
      <c r="R711" s="48" t="str">
        <f>IF(OR($B711="",$D711=""),"",IF($AC711=0,"",IF(AND(NOT(ISNUMBER($P711)),NOT(ISNUMBER($AA711))),"∞",MAX(0,MIN(IF(ISNUMBER($P711),$P711-$AF711-$Q711,1E+15),IF(ISNUMBER($AA711),$AA711-$AG711-$Q711,1E+15))))))</f>
        <v/>
      </c>
      <c r="S711" s="47" t="str">
        <f>IF($AD711="","",YEAR($AD711)*100+MONTH($AD711))</f>
        <v/>
      </c>
      <c r="T711" s="50" t="str">
        <f>IF($AD711="","",IFERROR(IF(INDEX(CARDS!$I$5:$I$34,MATCH($D711,CARDS!$A$5:$A$34,0))="","",IF(INDEX(CARDS!$I$5:$I$34,MATCH($D711,CARDS!$A$5:$A$34,0))&gt;INDEX(CARDS!$H$5:$H$34,MATCH($D711,CARDS!$A$5:$A$34,0)),DATE(YEAR($AD711),MONTH($AD711),MIN(INDEX(CARDS!$I$5:$I$34,MATCH($D711,CARDS!$A$5:$A$34,0)),DAY(EOMONTH($AD711,0)))),DATE(YEAR($AD711),MONTH($AD711)+1,MIN(INDEX(CARDS!$I$5:$I$34,MATCH($D711,CARDS!$A$5:$A$34,0)),DAY(EOMONTH($AD711,1)))))),""))</f>
        <v/>
      </c>
      <c r="U711" s="38" t="n"/>
      <c r="V711" s="37" t="n"/>
      <c r="W711" s="38" t="n"/>
      <c r="X711" s="38" t="n"/>
      <c r="Y711" s="44" t="str">
        <f>IF($AC711&gt;0,INDEX(CASHBACK_RULES!$A$5:$A$304,$AC711),"")</f>
        <v/>
      </c>
      <c r="Z711" s="45" t="str">
        <f>IF($AC711&gt;0,INDEX(CASHBACK_RULES!$E$5:$E$304,$AC711)&amp;"","")</f>
        <v/>
      </c>
      <c r="AA711" s="48" t="str">
        <f>IF($AC711&gt;0,IF(ISNUMBER(INDEX(CASHBACK_RULES!$K$5:$K$304,$AC711)),INDEX(CASHBACK_RULES!$K$5:$K$304,$AC711),"∞"),"")</f>
        <v/>
      </c>
      <c r="AB711" s="44" t="str">
        <f>IF(OR($B711="",$D711=""),"",IF($U711="Cancelled","Đã hủy",IF($AC711=0,"Không được hoàn",IF($Q711=0,IF(OR($O711&gt;0,$M711&lt;$L711),"Đã đạt cap","Không được hoàn"),IF(OR($Q711&lt;$O711,$M711&lt;$L711),"Hoàn một phần","Được hoàn")))))</f>
        <v/>
      </c>
      <c r="AC711" s="43">
        <f>IF(OR($B711="",$D711="",$I711="",$L711=""),0,IF($U711="Cancelled",0,IF($W711&lt;&gt;"",IFERROR(IF(INDEX(CASHBACK_RULES!$B$5:$B$304,MATCH($W711,CASHBACK_RULES!$A$5:$A$304,0))=$D711,MATCH($W711,CASHBACK_RULES!$A$5:$A$304,0),0),0),IFERROR(MATCH(1,INDEX((CASHBACK_RULES!$B$5:$B$304=$D711)*(CASHBACK_RULES!$G$5:$G$304=$I711)*(((CASHBACK_RULES!$N$5:$N$304="")+(CASHBACK_RULES!$N$5:$N$304&lt;=$B711))&gt;0)*(((CASHBACK_RULES!$O$5:$O$304="")+(CASHBACK_RULES!$O$5:$O$304&gt;=$B711))&gt;0)*(((CASHBACK_RULES!$M$5:$M$304="")+(CASHBACK_RULES!$M$5:$M$304&lt;=$L711))&gt;0),0),0),0))))</f>
        <v>0</v>
      </c>
      <c r="AD711" s="51" t="str">
        <f>IF(OR($B711="",$D711=""),"",IFERROR(IF(INDEX(CARDS!$H$5:$H$34,MATCH($D711,CARDS!$A$5:$A$34,0))="","",IF(DAY($B711)&lt;=INDEX(CARDS!$H$5:$H$34,MATCH($D711,CARDS!$A$5:$A$34,0)),DATE(YEAR($B711),MONTH($B711),MIN(INDEX(CARDS!$H$5:$H$34,MATCH($D711,CARDS!$A$5:$A$34,0)),DAY(EOMONTH($B711,0)))),DATE(YEAR($B711),MONTH($B711)+1,MIN(INDEX(CARDS!$H$5:$H$34,MATCH($D711,CARDS!$A$5:$A$34,0)),DAY(EOMONTH($B711,1)))))),""))</f>
        <v/>
      </c>
      <c r="AE711" s="52" t="str">
        <f>IF($C711="","",$C711&amp;"|"&amp;COUNTIF($C$5:$C711,$C711))</f>
        <v/>
      </c>
      <c r="AF711" s="53">
        <f>IF($AC711&gt;0,SUMIFS(Q$4:Q710,$D$4:$D710,$D711,$Z$4:$Z710,$Z711,$C$4:$C710,$C711),0)</f>
        <v>0</v>
      </c>
      <c r="AG711" s="53">
        <f>IF($AC711&gt;0,SUMIFS(Q$4:Q710,$D$4:$D710,$D711,$C$4:$C710,$C711),0)</f>
        <v>0</v>
      </c>
      <c r="AH711" s="53">
        <f>IF($AC711&gt;0,SUMIFS(M$4:M710,$D$4:$D710,$D711,$Z$4:$Z710,$Z711,$C$4:$C710,$C711),0)</f>
        <v>0</v>
      </c>
      <c r="AI711" s="43">
        <f>IF(OR($C711="",$I711=""),0,IF(COUNTIFS($C$5:$C711,$C711,$I$5:$I711,$I711)=1,1,0))</f>
        <v>0</v>
      </c>
      <c r="AJ711" s="43" t="str">
        <f>IF($AI711=1,SUMIFS($AI$4:$AI710,$C$4:$C710,$C711)+1,"")</f>
        <v/>
      </c>
      <c r="AK711" s="43">
        <f>IF(OR($C711="",$K711=""),0,IF(COUNTIFS($C$5:$C711,$C711,$K$5:$K711,$K711)=1,1,0))</f>
        <v>0</v>
      </c>
      <c r="AL711" s="43" t="str">
        <f>IF($AK711=1,SUMIFS($AK$4:$AK710,$C$4:$C710,$C711)+1,"")</f>
        <v/>
      </c>
      <c r="AM711" s="43">
        <f>IF(OR($C711="",$G711=""),0,IF(COUNTIFS($C$5:$C711,$C711,$G$5:$G711,$G711)=1,1,0))</f>
        <v>0</v>
      </c>
      <c r="AN711" s="43" t="str">
        <f>IF($AM711=1,SUMIFS($AM$4:$AM710,$C$4:$C710,$C711)+1,"")</f>
        <v/>
      </c>
    </row>
    <row r="712">
      <c r="A712" s="44" t="str">
        <f>IF(OR($B712="",$D712=""),"","TX"&amp;TEXT(ROW()-4,"0000"))</f>
        <v/>
      </c>
      <c r="B712" s="42" t="n"/>
      <c r="C712" s="47" t="str">
        <f>IF($B712="","",YEAR($B712)*100+MONTH($B712))</f>
        <v/>
      </c>
      <c r="D712" s="37" t="n"/>
      <c r="E712" s="45" t="str">
        <f>IF($D712="","",IFERROR(INDEX(CARDS!$B$5:$B$34,MATCH($D712,CARDS!$A$5:$A$34,0)),"⚠ Card ID?"))</f>
        <v/>
      </c>
      <c r="F712" s="45" t="str">
        <f>IF($D712="","",IFERROR(INDEX(CARDS!$C$5:$C$34,MATCH($D712,CARDS!$A$5:$A$34,0)),"⚠ Card ID?"))</f>
        <v/>
      </c>
      <c r="G712" s="37" t="n"/>
      <c r="H712" s="37" t="n"/>
      <c r="I712" s="41" t="n"/>
      <c r="J712" s="45" t="str">
        <f>IF($I712="","",IFERROR(INDEX(MCC_MASTER!$B$5:$B$504,MATCH($I712,MCC_MASTER!$A$5:$A$504,0)),"⚠ MCC chưa có"))</f>
        <v/>
      </c>
      <c r="K712" s="45" t="str">
        <f>IF($I712="","",IFERROR(IF(INDEX(MCC_MASTER!$C$5:$C$504,MATCH($I712,MCC_MASTER!$A$5:$A$504,0))="","Chưa phân loại",INDEX(MCC_MASTER!$C$5:$C$504,MATCH($I712,MCC_MASTER!$A$5:$A$504,0))),"Chưa phân loại"))</f>
        <v/>
      </c>
      <c r="L712" s="40" t="n"/>
      <c r="M712" s="48" t="str">
        <f>IF(OR($B712="",$D712=""),"",IF($AC712=0,0,IF(ISNUMBER(INDEX(CASHBACK_RULES!$L$5:$L$304,$AC712)),MAX(0,MIN($L712,INDEX(CASHBACK_RULES!$L$5:$L$304,$AC712)-$AH712)),MAX(0,$L712))))</f>
        <v/>
      </c>
      <c r="N712" s="49" t="str">
        <f>IF(OR($B712="",$D712=""),"",IF($AC712&gt;0,INDEX(CASHBACK_RULES!$I$5:$I$304,$AC712),0))</f>
        <v/>
      </c>
      <c r="O712" s="48" t="str">
        <f>IF(OR($B712="",$D712=""),"",ROUND($M712*$N712,0))</f>
        <v/>
      </c>
      <c r="P712" s="48" t="str">
        <f>IF($AC712&gt;0,IF(ISNUMBER(INDEX(CASHBACK_RULES!$J$5:$J$304,$AC712)),INDEX(CASHBACK_RULES!$J$5:$J$304,$AC712),"∞"),"")</f>
        <v/>
      </c>
      <c r="Q712" s="48" t="str">
        <f>IF(OR($B712="",$D712=""),"",IF($AC712=0,0,MAX(0,MIN($O712,IF(ISNUMBER($P712),$P712-$AF712,1E+15),IF(ISNUMBER($AA712),$AA712-$AG712,1E+15)))))</f>
        <v/>
      </c>
      <c r="R712" s="48" t="str">
        <f>IF(OR($B712="",$D712=""),"",IF($AC712=0,"",IF(AND(NOT(ISNUMBER($P712)),NOT(ISNUMBER($AA712))),"∞",MAX(0,MIN(IF(ISNUMBER($P712),$P712-$AF712-$Q712,1E+15),IF(ISNUMBER($AA712),$AA712-$AG712-$Q712,1E+15))))))</f>
        <v/>
      </c>
      <c r="S712" s="47" t="str">
        <f>IF($AD712="","",YEAR($AD712)*100+MONTH($AD712))</f>
        <v/>
      </c>
      <c r="T712" s="50" t="str">
        <f>IF($AD712="","",IFERROR(IF(INDEX(CARDS!$I$5:$I$34,MATCH($D712,CARDS!$A$5:$A$34,0))="","",IF(INDEX(CARDS!$I$5:$I$34,MATCH($D712,CARDS!$A$5:$A$34,0))&gt;INDEX(CARDS!$H$5:$H$34,MATCH($D712,CARDS!$A$5:$A$34,0)),DATE(YEAR($AD712),MONTH($AD712),MIN(INDEX(CARDS!$I$5:$I$34,MATCH($D712,CARDS!$A$5:$A$34,0)),DAY(EOMONTH($AD712,0)))),DATE(YEAR($AD712),MONTH($AD712)+1,MIN(INDEX(CARDS!$I$5:$I$34,MATCH($D712,CARDS!$A$5:$A$34,0)),DAY(EOMONTH($AD712,1)))))),""))</f>
        <v/>
      </c>
      <c r="U712" s="38" t="n"/>
      <c r="V712" s="37" t="n"/>
      <c r="W712" s="38" t="n"/>
      <c r="X712" s="38" t="n"/>
      <c r="Y712" s="44" t="str">
        <f>IF($AC712&gt;0,INDEX(CASHBACK_RULES!$A$5:$A$304,$AC712),"")</f>
        <v/>
      </c>
      <c r="Z712" s="45" t="str">
        <f>IF($AC712&gt;0,INDEX(CASHBACK_RULES!$E$5:$E$304,$AC712)&amp;"","")</f>
        <v/>
      </c>
      <c r="AA712" s="48" t="str">
        <f>IF($AC712&gt;0,IF(ISNUMBER(INDEX(CASHBACK_RULES!$K$5:$K$304,$AC712)),INDEX(CASHBACK_RULES!$K$5:$K$304,$AC712),"∞"),"")</f>
        <v/>
      </c>
      <c r="AB712" s="44" t="str">
        <f>IF(OR($B712="",$D712=""),"",IF($U712="Cancelled","Đã hủy",IF($AC712=0,"Không được hoàn",IF($Q712=0,IF(OR($O712&gt;0,$M712&lt;$L712),"Đã đạt cap","Không được hoàn"),IF(OR($Q712&lt;$O712,$M712&lt;$L712),"Hoàn một phần","Được hoàn")))))</f>
        <v/>
      </c>
      <c r="AC712" s="43">
        <f>IF(OR($B712="",$D712="",$I712="",$L712=""),0,IF($U712="Cancelled",0,IF($W712&lt;&gt;"",IFERROR(IF(INDEX(CASHBACK_RULES!$B$5:$B$304,MATCH($W712,CASHBACK_RULES!$A$5:$A$304,0))=$D712,MATCH($W712,CASHBACK_RULES!$A$5:$A$304,0),0),0),IFERROR(MATCH(1,INDEX((CASHBACK_RULES!$B$5:$B$304=$D712)*(CASHBACK_RULES!$G$5:$G$304=$I712)*(((CASHBACK_RULES!$N$5:$N$304="")+(CASHBACK_RULES!$N$5:$N$304&lt;=$B712))&gt;0)*(((CASHBACK_RULES!$O$5:$O$304="")+(CASHBACK_RULES!$O$5:$O$304&gt;=$B712))&gt;0)*(((CASHBACK_RULES!$M$5:$M$304="")+(CASHBACK_RULES!$M$5:$M$304&lt;=$L712))&gt;0),0),0),0))))</f>
        <v>0</v>
      </c>
      <c r="AD712" s="51" t="str">
        <f>IF(OR($B712="",$D712=""),"",IFERROR(IF(INDEX(CARDS!$H$5:$H$34,MATCH($D712,CARDS!$A$5:$A$34,0))="","",IF(DAY($B712)&lt;=INDEX(CARDS!$H$5:$H$34,MATCH($D712,CARDS!$A$5:$A$34,0)),DATE(YEAR($B712),MONTH($B712),MIN(INDEX(CARDS!$H$5:$H$34,MATCH($D712,CARDS!$A$5:$A$34,0)),DAY(EOMONTH($B712,0)))),DATE(YEAR($B712),MONTH($B712)+1,MIN(INDEX(CARDS!$H$5:$H$34,MATCH($D712,CARDS!$A$5:$A$34,0)),DAY(EOMONTH($B712,1)))))),""))</f>
        <v/>
      </c>
      <c r="AE712" s="52" t="str">
        <f>IF($C712="","",$C712&amp;"|"&amp;COUNTIF($C$5:$C712,$C712))</f>
        <v/>
      </c>
      <c r="AF712" s="53">
        <f>IF($AC712&gt;0,SUMIFS(Q$4:Q711,$D$4:$D711,$D712,$Z$4:$Z711,$Z712,$C$4:$C711,$C712),0)</f>
        <v>0</v>
      </c>
      <c r="AG712" s="53">
        <f>IF($AC712&gt;0,SUMIFS(Q$4:Q711,$D$4:$D711,$D712,$C$4:$C711,$C712),0)</f>
        <v>0</v>
      </c>
      <c r="AH712" s="53">
        <f>IF($AC712&gt;0,SUMIFS(M$4:M711,$D$4:$D711,$D712,$Z$4:$Z711,$Z712,$C$4:$C711,$C712),0)</f>
        <v>0</v>
      </c>
      <c r="AI712" s="43">
        <f>IF(OR($C712="",$I712=""),0,IF(COUNTIFS($C$5:$C712,$C712,$I$5:$I712,$I712)=1,1,0))</f>
        <v>0</v>
      </c>
      <c r="AJ712" s="43" t="str">
        <f>IF($AI712=1,SUMIFS($AI$4:$AI711,$C$4:$C711,$C712)+1,"")</f>
        <v/>
      </c>
      <c r="AK712" s="43">
        <f>IF(OR($C712="",$K712=""),0,IF(COUNTIFS($C$5:$C712,$C712,$K$5:$K712,$K712)=1,1,0))</f>
        <v>0</v>
      </c>
      <c r="AL712" s="43" t="str">
        <f>IF($AK712=1,SUMIFS($AK$4:$AK711,$C$4:$C711,$C712)+1,"")</f>
        <v/>
      </c>
      <c r="AM712" s="43">
        <f>IF(OR($C712="",$G712=""),0,IF(COUNTIFS($C$5:$C712,$C712,$G$5:$G712,$G712)=1,1,0))</f>
        <v>0</v>
      </c>
      <c r="AN712" s="43" t="str">
        <f>IF($AM712=1,SUMIFS($AM$4:$AM711,$C$4:$C711,$C712)+1,"")</f>
        <v/>
      </c>
    </row>
    <row r="713">
      <c r="A713" s="44" t="str">
        <f>IF(OR($B713="",$D713=""),"","TX"&amp;TEXT(ROW()-4,"0000"))</f>
        <v/>
      </c>
      <c r="B713" s="42" t="n"/>
      <c r="C713" s="47" t="str">
        <f>IF($B713="","",YEAR($B713)*100+MONTH($B713))</f>
        <v/>
      </c>
      <c r="D713" s="37" t="n"/>
      <c r="E713" s="45" t="str">
        <f>IF($D713="","",IFERROR(INDEX(CARDS!$B$5:$B$34,MATCH($D713,CARDS!$A$5:$A$34,0)),"⚠ Card ID?"))</f>
        <v/>
      </c>
      <c r="F713" s="45" t="str">
        <f>IF($D713="","",IFERROR(INDEX(CARDS!$C$5:$C$34,MATCH($D713,CARDS!$A$5:$A$34,0)),"⚠ Card ID?"))</f>
        <v/>
      </c>
      <c r="G713" s="37" t="n"/>
      <c r="H713" s="37" t="n"/>
      <c r="I713" s="41" t="n"/>
      <c r="J713" s="45" t="str">
        <f>IF($I713="","",IFERROR(INDEX(MCC_MASTER!$B$5:$B$504,MATCH($I713,MCC_MASTER!$A$5:$A$504,0)),"⚠ MCC chưa có"))</f>
        <v/>
      </c>
      <c r="K713" s="45" t="str">
        <f>IF($I713="","",IFERROR(IF(INDEX(MCC_MASTER!$C$5:$C$504,MATCH($I713,MCC_MASTER!$A$5:$A$504,0))="","Chưa phân loại",INDEX(MCC_MASTER!$C$5:$C$504,MATCH($I713,MCC_MASTER!$A$5:$A$504,0))),"Chưa phân loại"))</f>
        <v/>
      </c>
      <c r="L713" s="40" t="n"/>
      <c r="M713" s="48" t="str">
        <f>IF(OR($B713="",$D713=""),"",IF($AC713=0,0,IF(ISNUMBER(INDEX(CASHBACK_RULES!$L$5:$L$304,$AC713)),MAX(0,MIN($L713,INDEX(CASHBACK_RULES!$L$5:$L$304,$AC713)-$AH713)),MAX(0,$L713))))</f>
        <v/>
      </c>
      <c r="N713" s="49" t="str">
        <f>IF(OR($B713="",$D713=""),"",IF($AC713&gt;0,INDEX(CASHBACK_RULES!$I$5:$I$304,$AC713),0))</f>
        <v/>
      </c>
      <c r="O713" s="48" t="str">
        <f>IF(OR($B713="",$D713=""),"",ROUND($M713*$N713,0))</f>
        <v/>
      </c>
      <c r="P713" s="48" t="str">
        <f>IF($AC713&gt;0,IF(ISNUMBER(INDEX(CASHBACK_RULES!$J$5:$J$304,$AC713)),INDEX(CASHBACK_RULES!$J$5:$J$304,$AC713),"∞"),"")</f>
        <v/>
      </c>
      <c r="Q713" s="48" t="str">
        <f>IF(OR($B713="",$D713=""),"",IF($AC713=0,0,MAX(0,MIN($O713,IF(ISNUMBER($P713),$P713-$AF713,1E+15),IF(ISNUMBER($AA713),$AA713-$AG713,1E+15)))))</f>
        <v/>
      </c>
      <c r="R713" s="48" t="str">
        <f>IF(OR($B713="",$D713=""),"",IF($AC713=0,"",IF(AND(NOT(ISNUMBER($P713)),NOT(ISNUMBER($AA713))),"∞",MAX(0,MIN(IF(ISNUMBER($P713),$P713-$AF713-$Q713,1E+15),IF(ISNUMBER($AA713),$AA713-$AG713-$Q713,1E+15))))))</f>
        <v/>
      </c>
      <c r="S713" s="47" t="str">
        <f>IF($AD713="","",YEAR($AD713)*100+MONTH($AD713))</f>
        <v/>
      </c>
      <c r="T713" s="50" t="str">
        <f>IF($AD713="","",IFERROR(IF(INDEX(CARDS!$I$5:$I$34,MATCH($D713,CARDS!$A$5:$A$34,0))="","",IF(INDEX(CARDS!$I$5:$I$34,MATCH($D713,CARDS!$A$5:$A$34,0))&gt;INDEX(CARDS!$H$5:$H$34,MATCH($D713,CARDS!$A$5:$A$34,0)),DATE(YEAR($AD713),MONTH($AD713),MIN(INDEX(CARDS!$I$5:$I$34,MATCH($D713,CARDS!$A$5:$A$34,0)),DAY(EOMONTH($AD713,0)))),DATE(YEAR($AD713),MONTH($AD713)+1,MIN(INDEX(CARDS!$I$5:$I$34,MATCH($D713,CARDS!$A$5:$A$34,0)),DAY(EOMONTH($AD713,1)))))),""))</f>
        <v/>
      </c>
      <c r="U713" s="38" t="n"/>
      <c r="V713" s="37" t="n"/>
      <c r="W713" s="38" t="n"/>
      <c r="X713" s="38" t="n"/>
      <c r="Y713" s="44" t="str">
        <f>IF($AC713&gt;0,INDEX(CASHBACK_RULES!$A$5:$A$304,$AC713),"")</f>
        <v/>
      </c>
      <c r="Z713" s="45" t="str">
        <f>IF($AC713&gt;0,INDEX(CASHBACK_RULES!$E$5:$E$304,$AC713)&amp;"","")</f>
        <v/>
      </c>
      <c r="AA713" s="48" t="str">
        <f>IF($AC713&gt;0,IF(ISNUMBER(INDEX(CASHBACK_RULES!$K$5:$K$304,$AC713)),INDEX(CASHBACK_RULES!$K$5:$K$304,$AC713),"∞"),"")</f>
        <v/>
      </c>
      <c r="AB713" s="44" t="str">
        <f>IF(OR($B713="",$D713=""),"",IF($U713="Cancelled","Đã hủy",IF($AC713=0,"Không được hoàn",IF($Q713=0,IF(OR($O713&gt;0,$M713&lt;$L713),"Đã đạt cap","Không được hoàn"),IF(OR($Q713&lt;$O713,$M713&lt;$L713),"Hoàn một phần","Được hoàn")))))</f>
        <v/>
      </c>
      <c r="AC713" s="43">
        <f>IF(OR($B713="",$D713="",$I713="",$L713=""),0,IF($U713="Cancelled",0,IF($W713&lt;&gt;"",IFERROR(IF(INDEX(CASHBACK_RULES!$B$5:$B$304,MATCH($W713,CASHBACK_RULES!$A$5:$A$304,0))=$D713,MATCH($W713,CASHBACK_RULES!$A$5:$A$304,0),0),0),IFERROR(MATCH(1,INDEX((CASHBACK_RULES!$B$5:$B$304=$D713)*(CASHBACK_RULES!$G$5:$G$304=$I713)*(((CASHBACK_RULES!$N$5:$N$304="")+(CASHBACK_RULES!$N$5:$N$304&lt;=$B713))&gt;0)*(((CASHBACK_RULES!$O$5:$O$304="")+(CASHBACK_RULES!$O$5:$O$304&gt;=$B713))&gt;0)*(((CASHBACK_RULES!$M$5:$M$304="")+(CASHBACK_RULES!$M$5:$M$304&lt;=$L713))&gt;0),0),0),0))))</f>
        <v>0</v>
      </c>
      <c r="AD713" s="51" t="str">
        <f>IF(OR($B713="",$D713=""),"",IFERROR(IF(INDEX(CARDS!$H$5:$H$34,MATCH($D713,CARDS!$A$5:$A$34,0))="","",IF(DAY($B713)&lt;=INDEX(CARDS!$H$5:$H$34,MATCH($D713,CARDS!$A$5:$A$34,0)),DATE(YEAR($B713),MONTH($B713),MIN(INDEX(CARDS!$H$5:$H$34,MATCH($D713,CARDS!$A$5:$A$34,0)),DAY(EOMONTH($B713,0)))),DATE(YEAR($B713),MONTH($B713)+1,MIN(INDEX(CARDS!$H$5:$H$34,MATCH($D713,CARDS!$A$5:$A$34,0)),DAY(EOMONTH($B713,1)))))),""))</f>
        <v/>
      </c>
      <c r="AE713" s="52" t="str">
        <f>IF($C713="","",$C713&amp;"|"&amp;COUNTIF($C$5:$C713,$C713))</f>
        <v/>
      </c>
      <c r="AF713" s="53">
        <f>IF($AC713&gt;0,SUMIFS(Q$4:Q712,$D$4:$D712,$D713,$Z$4:$Z712,$Z713,$C$4:$C712,$C713),0)</f>
        <v>0</v>
      </c>
      <c r="AG713" s="53">
        <f>IF($AC713&gt;0,SUMIFS(Q$4:Q712,$D$4:$D712,$D713,$C$4:$C712,$C713),0)</f>
        <v>0</v>
      </c>
      <c r="AH713" s="53">
        <f>IF($AC713&gt;0,SUMIFS(M$4:M712,$D$4:$D712,$D713,$Z$4:$Z712,$Z713,$C$4:$C712,$C713),0)</f>
        <v>0</v>
      </c>
      <c r="AI713" s="43">
        <f>IF(OR($C713="",$I713=""),0,IF(COUNTIFS($C$5:$C713,$C713,$I$5:$I713,$I713)=1,1,0))</f>
        <v>0</v>
      </c>
      <c r="AJ713" s="43" t="str">
        <f>IF($AI713=1,SUMIFS($AI$4:$AI712,$C$4:$C712,$C713)+1,"")</f>
        <v/>
      </c>
      <c r="AK713" s="43">
        <f>IF(OR($C713="",$K713=""),0,IF(COUNTIFS($C$5:$C713,$C713,$K$5:$K713,$K713)=1,1,0))</f>
        <v>0</v>
      </c>
      <c r="AL713" s="43" t="str">
        <f>IF($AK713=1,SUMIFS($AK$4:$AK712,$C$4:$C712,$C713)+1,"")</f>
        <v/>
      </c>
      <c r="AM713" s="43">
        <f>IF(OR($C713="",$G713=""),0,IF(COUNTIFS($C$5:$C713,$C713,$G$5:$G713,$G713)=1,1,0))</f>
        <v>0</v>
      </c>
      <c r="AN713" s="43" t="str">
        <f>IF($AM713=1,SUMIFS($AM$4:$AM712,$C$4:$C712,$C713)+1,"")</f>
        <v/>
      </c>
    </row>
    <row r="714">
      <c r="A714" s="44" t="str">
        <f>IF(OR($B714="",$D714=""),"","TX"&amp;TEXT(ROW()-4,"0000"))</f>
        <v/>
      </c>
      <c r="B714" s="42" t="n"/>
      <c r="C714" s="47" t="str">
        <f>IF($B714="","",YEAR($B714)*100+MONTH($B714))</f>
        <v/>
      </c>
      <c r="D714" s="37" t="n"/>
      <c r="E714" s="45" t="str">
        <f>IF($D714="","",IFERROR(INDEX(CARDS!$B$5:$B$34,MATCH($D714,CARDS!$A$5:$A$34,0)),"⚠ Card ID?"))</f>
        <v/>
      </c>
      <c r="F714" s="45" t="str">
        <f>IF($D714="","",IFERROR(INDEX(CARDS!$C$5:$C$34,MATCH($D714,CARDS!$A$5:$A$34,0)),"⚠ Card ID?"))</f>
        <v/>
      </c>
      <c r="G714" s="37" t="n"/>
      <c r="H714" s="37" t="n"/>
      <c r="I714" s="41" t="n"/>
      <c r="J714" s="45" t="str">
        <f>IF($I714="","",IFERROR(INDEX(MCC_MASTER!$B$5:$B$504,MATCH($I714,MCC_MASTER!$A$5:$A$504,0)),"⚠ MCC chưa có"))</f>
        <v/>
      </c>
      <c r="K714" s="45" t="str">
        <f>IF($I714="","",IFERROR(IF(INDEX(MCC_MASTER!$C$5:$C$504,MATCH($I714,MCC_MASTER!$A$5:$A$504,0))="","Chưa phân loại",INDEX(MCC_MASTER!$C$5:$C$504,MATCH($I714,MCC_MASTER!$A$5:$A$504,0))),"Chưa phân loại"))</f>
        <v/>
      </c>
      <c r="L714" s="40" t="n"/>
      <c r="M714" s="48" t="str">
        <f>IF(OR($B714="",$D714=""),"",IF($AC714=0,0,IF(ISNUMBER(INDEX(CASHBACK_RULES!$L$5:$L$304,$AC714)),MAX(0,MIN($L714,INDEX(CASHBACK_RULES!$L$5:$L$304,$AC714)-$AH714)),MAX(0,$L714))))</f>
        <v/>
      </c>
      <c r="N714" s="49" t="str">
        <f>IF(OR($B714="",$D714=""),"",IF($AC714&gt;0,INDEX(CASHBACK_RULES!$I$5:$I$304,$AC714),0))</f>
        <v/>
      </c>
      <c r="O714" s="48" t="str">
        <f>IF(OR($B714="",$D714=""),"",ROUND($M714*$N714,0))</f>
        <v/>
      </c>
      <c r="P714" s="48" t="str">
        <f>IF($AC714&gt;0,IF(ISNUMBER(INDEX(CASHBACK_RULES!$J$5:$J$304,$AC714)),INDEX(CASHBACK_RULES!$J$5:$J$304,$AC714),"∞"),"")</f>
        <v/>
      </c>
      <c r="Q714" s="48" t="str">
        <f>IF(OR($B714="",$D714=""),"",IF($AC714=0,0,MAX(0,MIN($O714,IF(ISNUMBER($P714),$P714-$AF714,1E+15),IF(ISNUMBER($AA714),$AA714-$AG714,1E+15)))))</f>
        <v/>
      </c>
      <c r="R714" s="48" t="str">
        <f>IF(OR($B714="",$D714=""),"",IF($AC714=0,"",IF(AND(NOT(ISNUMBER($P714)),NOT(ISNUMBER($AA714))),"∞",MAX(0,MIN(IF(ISNUMBER($P714),$P714-$AF714-$Q714,1E+15),IF(ISNUMBER($AA714),$AA714-$AG714-$Q714,1E+15))))))</f>
        <v/>
      </c>
      <c r="S714" s="47" t="str">
        <f>IF($AD714="","",YEAR($AD714)*100+MONTH($AD714))</f>
        <v/>
      </c>
      <c r="T714" s="50" t="str">
        <f>IF($AD714="","",IFERROR(IF(INDEX(CARDS!$I$5:$I$34,MATCH($D714,CARDS!$A$5:$A$34,0))="","",IF(INDEX(CARDS!$I$5:$I$34,MATCH($D714,CARDS!$A$5:$A$34,0))&gt;INDEX(CARDS!$H$5:$H$34,MATCH($D714,CARDS!$A$5:$A$34,0)),DATE(YEAR($AD714),MONTH($AD714),MIN(INDEX(CARDS!$I$5:$I$34,MATCH($D714,CARDS!$A$5:$A$34,0)),DAY(EOMONTH($AD714,0)))),DATE(YEAR($AD714),MONTH($AD714)+1,MIN(INDEX(CARDS!$I$5:$I$34,MATCH($D714,CARDS!$A$5:$A$34,0)),DAY(EOMONTH($AD714,1)))))),""))</f>
        <v/>
      </c>
      <c r="U714" s="38" t="n"/>
      <c r="V714" s="37" t="n"/>
      <c r="W714" s="38" t="n"/>
      <c r="X714" s="38" t="n"/>
      <c r="Y714" s="44" t="str">
        <f>IF($AC714&gt;0,INDEX(CASHBACK_RULES!$A$5:$A$304,$AC714),"")</f>
        <v/>
      </c>
      <c r="Z714" s="45" t="str">
        <f>IF($AC714&gt;0,INDEX(CASHBACK_RULES!$E$5:$E$304,$AC714)&amp;"","")</f>
        <v/>
      </c>
      <c r="AA714" s="48" t="str">
        <f>IF($AC714&gt;0,IF(ISNUMBER(INDEX(CASHBACK_RULES!$K$5:$K$304,$AC714)),INDEX(CASHBACK_RULES!$K$5:$K$304,$AC714),"∞"),"")</f>
        <v/>
      </c>
      <c r="AB714" s="44" t="str">
        <f>IF(OR($B714="",$D714=""),"",IF($U714="Cancelled","Đã hủy",IF($AC714=0,"Không được hoàn",IF($Q714=0,IF(OR($O714&gt;0,$M714&lt;$L714),"Đã đạt cap","Không được hoàn"),IF(OR($Q714&lt;$O714,$M714&lt;$L714),"Hoàn một phần","Được hoàn")))))</f>
        <v/>
      </c>
      <c r="AC714" s="43">
        <f>IF(OR($B714="",$D714="",$I714="",$L714=""),0,IF($U714="Cancelled",0,IF($W714&lt;&gt;"",IFERROR(IF(INDEX(CASHBACK_RULES!$B$5:$B$304,MATCH($W714,CASHBACK_RULES!$A$5:$A$304,0))=$D714,MATCH($W714,CASHBACK_RULES!$A$5:$A$304,0),0),0),IFERROR(MATCH(1,INDEX((CASHBACK_RULES!$B$5:$B$304=$D714)*(CASHBACK_RULES!$G$5:$G$304=$I714)*(((CASHBACK_RULES!$N$5:$N$304="")+(CASHBACK_RULES!$N$5:$N$304&lt;=$B714))&gt;0)*(((CASHBACK_RULES!$O$5:$O$304="")+(CASHBACK_RULES!$O$5:$O$304&gt;=$B714))&gt;0)*(((CASHBACK_RULES!$M$5:$M$304="")+(CASHBACK_RULES!$M$5:$M$304&lt;=$L714))&gt;0),0),0),0))))</f>
        <v>0</v>
      </c>
      <c r="AD714" s="51" t="str">
        <f>IF(OR($B714="",$D714=""),"",IFERROR(IF(INDEX(CARDS!$H$5:$H$34,MATCH($D714,CARDS!$A$5:$A$34,0))="","",IF(DAY($B714)&lt;=INDEX(CARDS!$H$5:$H$34,MATCH($D714,CARDS!$A$5:$A$34,0)),DATE(YEAR($B714),MONTH($B714),MIN(INDEX(CARDS!$H$5:$H$34,MATCH($D714,CARDS!$A$5:$A$34,0)),DAY(EOMONTH($B714,0)))),DATE(YEAR($B714),MONTH($B714)+1,MIN(INDEX(CARDS!$H$5:$H$34,MATCH($D714,CARDS!$A$5:$A$34,0)),DAY(EOMONTH($B714,1)))))),""))</f>
        <v/>
      </c>
      <c r="AE714" s="52" t="str">
        <f>IF($C714="","",$C714&amp;"|"&amp;COUNTIF($C$5:$C714,$C714))</f>
        <v/>
      </c>
      <c r="AF714" s="53">
        <f>IF($AC714&gt;0,SUMIFS(Q$4:Q713,$D$4:$D713,$D714,$Z$4:$Z713,$Z714,$C$4:$C713,$C714),0)</f>
        <v>0</v>
      </c>
      <c r="AG714" s="53">
        <f>IF($AC714&gt;0,SUMIFS(Q$4:Q713,$D$4:$D713,$D714,$C$4:$C713,$C714),0)</f>
        <v>0</v>
      </c>
      <c r="AH714" s="53">
        <f>IF($AC714&gt;0,SUMIFS(M$4:M713,$D$4:$D713,$D714,$Z$4:$Z713,$Z714,$C$4:$C713,$C714),0)</f>
        <v>0</v>
      </c>
      <c r="AI714" s="43">
        <f>IF(OR($C714="",$I714=""),0,IF(COUNTIFS($C$5:$C714,$C714,$I$5:$I714,$I714)=1,1,0))</f>
        <v>0</v>
      </c>
      <c r="AJ714" s="43" t="str">
        <f>IF($AI714=1,SUMIFS($AI$4:$AI713,$C$4:$C713,$C714)+1,"")</f>
        <v/>
      </c>
      <c r="AK714" s="43">
        <f>IF(OR($C714="",$K714=""),0,IF(COUNTIFS($C$5:$C714,$C714,$K$5:$K714,$K714)=1,1,0))</f>
        <v>0</v>
      </c>
      <c r="AL714" s="43" t="str">
        <f>IF($AK714=1,SUMIFS($AK$4:$AK713,$C$4:$C713,$C714)+1,"")</f>
        <v/>
      </c>
      <c r="AM714" s="43">
        <f>IF(OR($C714="",$G714=""),0,IF(COUNTIFS($C$5:$C714,$C714,$G$5:$G714,$G714)=1,1,0))</f>
        <v>0</v>
      </c>
      <c r="AN714" s="43" t="str">
        <f>IF($AM714=1,SUMIFS($AM$4:$AM713,$C$4:$C713,$C714)+1,"")</f>
        <v/>
      </c>
    </row>
    <row r="715">
      <c r="A715" s="44" t="str">
        <f>IF(OR($B715="",$D715=""),"","TX"&amp;TEXT(ROW()-4,"0000"))</f>
        <v/>
      </c>
      <c r="B715" s="42" t="n"/>
      <c r="C715" s="47" t="str">
        <f>IF($B715="","",YEAR($B715)*100+MONTH($B715))</f>
        <v/>
      </c>
      <c r="D715" s="37" t="n"/>
      <c r="E715" s="45" t="str">
        <f>IF($D715="","",IFERROR(INDEX(CARDS!$B$5:$B$34,MATCH($D715,CARDS!$A$5:$A$34,0)),"⚠ Card ID?"))</f>
        <v/>
      </c>
      <c r="F715" s="45" t="str">
        <f>IF($D715="","",IFERROR(INDEX(CARDS!$C$5:$C$34,MATCH($D715,CARDS!$A$5:$A$34,0)),"⚠ Card ID?"))</f>
        <v/>
      </c>
      <c r="G715" s="37" t="n"/>
      <c r="H715" s="37" t="n"/>
      <c r="I715" s="41" t="n"/>
      <c r="J715" s="45" t="str">
        <f>IF($I715="","",IFERROR(INDEX(MCC_MASTER!$B$5:$B$504,MATCH($I715,MCC_MASTER!$A$5:$A$504,0)),"⚠ MCC chưa có"))</f>
        <v/>
      </c>
      <c r="K715" s="45" t="str">
        <f>IF($I715="","",IFERROR(IF(INDEX(MCC_MASTER!$C$5:$C$504,MATCH($I715,MCC_MASTER!$A$5:$A$504,0))="","Chưa phân loại",INDEX(MCC_MASTER!$C$5:$C$504,MATCH($I715,MCC_MASTER!$A$5:$A$504,0))),"Chưa phân loại"))</f>
        <v/>
      </c>
      <c r="L715" s="40" t="n"/>
      <c r="M715" s="48" t="str">
        <f>IF(OR($B715="",$D715=""),"",IF($AC715=0,0,IF(ISNUMBER(INDEX(CASHBACK_RULES!$L$5:$L$304,$AC715)),MAX(0,MIN($L715,INDEX(CASHBACK_RULES!$L$5:$L$304,$AC715)-$AH715)),MAX(0,$L715))))</f>
        <v/>
      </c>
      <c r="N715" s="49" t="str">
        <f>IF(OR($B715="",$D715=""),"",IF($AC715&gt;0,INDEX(CASHBACK_RULES!$I$5:$I$304,$AC715),0))</f>
        <v/>
      </c>
      <c r="O715" s="48" t="str">
        <f>IF(OR($B715="",$D715=""),"",ROUND($M715*$N715,0))</f>
        <v/>
      </c>
      <c r="P715" s="48" t="str">
        <f>IF($AC715&gt;0,IF(ISNUMBER(INDEX(CASHBACK_RULES!$J$5:$J$304,$AC715)),INDEX(CASHBACK_RULES!$J$5:$J$304,$AC715),"∞"),"")</f>
        <v/>
      </c>
      <c r="Q715" s="48" t="str">
        <f>IF(OR($B715="",$D715=""),"",IF($AC715=0,0,MAX(0,MIN($O715,IF(ISNUMBER($P715),$P715-$AF715,1E+15),IF(ISNUMBER($AA715),$AA715-$AG715,1E+15)))))</f>
        <v/>
      </c>
      <c r="R715" s="48" t="str">
        <f>IF(OR($B715="",$D715=""),"",IF($AC715=0,"",IF(AND(NOT(ISNUMBER($P715)),NOT(ISNUMBER($AA715))),"∞",MAX(0,MIN(IF(ISNUMBER($P715),$P715-$AF715-$Q715,1E+15),IF(ISNUMBER($AA715),$AA715-$AG715-$Q715,1E+15))))))</f>
        <v/>
      </c>
      <c r="S715" s="47" t="str">
        <f>IF($AD715="","",YEAR($AD715)*100+MONTH($AD715))</f>
        <v/>
      </c>
      <c r="T715" s="50" t="str">
        <f>IF($AD715="","",IFERROR(IF(INDEX(CARDS!$I$5:$I$34,MATCH($D715,CARDS!$A$5:$A$34,0))="","",IF(INDEX(CARDS!$I$5:$I$34,MATCH($D715,CARDS!$A$5:$A$34,0))&gt;INDEX(CARDS!$H$5:$H$34,MATCH($D715,CARDS!$A$5:$A$34,0)),DATE(YEAR($AD715),MONTH($AD715),MIN(INDEX(CARDS!$I$5:$I$34,MATCH($D715,CARDS!$A$5:$A$34,0)),DAY(EOMONTH($AD715,0)))),DATE(YEAR($AD715),MONTH($AD715)+1,MIN(INDEX(CARDS!$I$5:$I$34,MATCH($D715,CARDS!$A$5:$A$34,0)),DAY(EOMONTH($AD715,1)))))),""))</f>
        <v/>
      </c>
      <c r="U715" s="38" t="n"/>
      <c r="V715" s="37" t="n"/>
      <c r="W715" s="38" t="n"/>
      <c r="X715" s="38" t="n"/>
      <c r="Y715" s="44" t="str">
        <f>IF($AC715&gt;0,INDEX(CASHBACK_RULES!$A$5:$A$304,$AC715),"")</f>
        <v/>
      </c>
      <c r="Z715" s="45" t="str">
        <f>IF($AC715&gt;0,INDEX(CASHBACK_RULES!$E$5:$E$304,$AC715)&amp;"","")</f>
        <v/>
      </c>
      <c r="AA715" s="48" t="str">
        <f>IF($AC715&gt;0,IF(ISNUMBER(INDEX(CASHBACK_RULES!$K$5:$K$304,$AC715)),INDEX(CASHBACK_RULES!$K$5:$K$304,$AC715),"∞"),"")</f>
        <v/>
      </c>
      <c r="AB715" s="44" t="str">
        <f>IF(OR($B715="",$D715=""),"",IF($U715="Cancelled","Đã hủy",IF($AC715=0,"Không được hoàn",IF($Q715=0,IF(OR($O715&gt;0,$M715&lt;$L715),"Đã đạt cap","Không được hoàn"),IF(OR($Q715&lt;$O715,$M715&lt;$L715),"Hoàn một phần","Được hoàn")))))</f>
        <v/>
      </c>
      <c r="AC715" s="43">
        <f>IF(OR($B715="",$D715="",$I715="",$L715=""),0,IF($U715="Cancelled",0,IF($W715&lt;&gt;"",IFERROR(IF(INDEX(CASHBACK_RULES!$B$5:$B$304,MATCH($W715,CASHBACK_RULES!$A$5:$A$304,0))=$D715,MATCH($W715,CASHBACK_RULES!$A$5:$A$304,0),0),0),IFERROR(MATCH(1,INDEX((CASHBACK_RULES!$B$5:$B$304=$D715)*(CASHBACK_RULES!$G$5:$G$304=$I715)*(((CASHBACK_RULES!$N$5:$N$304="")+(CASHBACK_RULES!$N$5:$N$304&lt;=$B715))&gt;0)*(((CASHBACK_RULES!$O$5:$O$304="")+(CASHBACK_RULES!$O$5:$O$304&gt;=$B715))&gt;0)*(((CASHBACK_RULES!$M$5:$M$304="")+(CASHBACK_RULES!$M$5:$M$304&lt;=$L715))&gt;0),0),0),0))))</f>
        <v>0</v>
      </c>
      <c r="AD715" s="51" t="str">
        <f>IF(OR($B715="",$D715=""),"",IFERROR(IF(INDEX(CARDS!$H$5:$H$34,MATCH($D715,CARDS!$A$5:$A$34,0))="","",IF(DAY($B715)&lt;=INDEX(CARDS!$H$5:$H$34,MATCH($D715,CARDS!$A$5:$A$34,0)),DATE(YEAR($B715),MONTH($B715),MIN(INDEX(CARDS!$H$5:$H$34,MATCH($D715,CARDS!$A$5:$A$34,0)),DAY(EOMONTH($B715,0)))),DATE(YEAR($B715),MONTH($B715)+1,MIN(INDEX(CARDS!$H$5:$H$34,MATCH($D715,CARDS!$A$5:$A$34,0)),DAY(EOMONTH($B715,1)))))),""))</f>
        <v/>
      </c>
      <c r="AE715" s="52" t="str">
        <f>IF($C715="","",$C715&amp;"|"&amp;COUNTIF($C$5:$C715,$C715))</f>
        <v/>
      </c>
      <c r="AF715" s="53">
        <f>IF($AC715&gt;0,SUMIFS(Q$4:Q714,$D$4:$D714,$D715,$Z$4:$Z714,$Z715,$C$4:$C714,$C715),0)</f>
        <v>0</v>
      </c>
      <c r="AG715" s="53">
        <f>IF($AC715&gt;0,SUMIFS(Q$4:Q714,$D$4:$D714,$D715,$C$4:$C714,$C715),0)</f>
        <v>0</v>
      </c>
      <c r="AH715" s="53">
        <f>IF($AC715&gt;0,SUMIFS(M$4:M714,$D$4:$D714,$D715,$Z$4:$Z714,$Z715,$C$4:$C714,$C715),0)</f>
        <v>0</v>
      </c>
      <c r="AI715" s="43">
        <f>IF(OR($C715="",$I715=""),0,IF(COUNTIFS($C$5:$C715,$C715,$I$5:$I715,$I715)=1,1,0))</f>
        <v>0</v>
      </c>
      <c r="AJ715" s="43" t="str">
        <f>IF($AI715=1,SUMIFS($AI$4:$AI714,$C$4:$C714,$C715)+1,"")</f>
        <v/>
      </c>
      <c r="AK715" s="43">
        <f>IF(OR($C715="",$K715=""),0,IF(COUNTIFS($C$5:$C715,$C715,$K$5:$K715,$K715)=1,1,0))</f>
        <v>0</v>
      </c>
      <c r="AL715" s="43" t="str">
        <f>IF($AK715=1,SUMIFS($AK$4:$AK714,$C$4:$C714,$C715)+1,"")</f>
        <v/>
      </c>
      <c r="AM715" s="43">
        <f>IF(OR($C715="",$G715=""),0,IF(COUNTIFS($C$5:$C715,$C715,$G$5:$G715,$G715)=1,1,0))</f>
        <v>0</v>
      </c>
      <c r="AN715" s="43" t="str">
        <f>IF($AM715=1,SUMIFS($AM$4:$AM714,$C$4:$C714,$C715)+1,"")</f>
        <v/>
      </c>
    </row>
    <row r="716">
      <c r="A716" s="44" t="str">
        <f>IF(OR($B716="",$D716=""),"","TX"&amp;TEXT(ROW()-4,"0000"))</f>
        <v/>
      </c>
      <c r="B716" s="42" t="n"/>
      <c r="C716" s="47" t="str">
        <f>IF($B716="","",YEAR($B716)*100+MONTH($B716))</f>
        <v/>
      </c>
      <c r="D716" s="37" t="n"/>
      <c r="E716" s="45" t="str">
        <f>IF($D716="","",IFERROR(INDEX(CARDS!$B$5:$B$34,MATCH($D716,CARDS!$A$5:$A$34,0)),"⚠ Card ID?"))</f>
        <v/>
      </c>
      <c r="F716" s="45" t="str">
        <f>IF($D716="","",IFERROR(INDEX(CARDS!$C$5:$C$34,MATCH($D716,CARDS!$A$5:$A$34,0)),"⚠ Card ID?"))</f>
        <v/>
      </c>
      <c r="G716" s="37" t="n"/>
      <c r="H716" s="37" t="n"/>
      <c r="I716" s="41" t="n"/>
      <c r="J716" s="45" t="str">
        <f>IF($I716="","",IFERROR(INDEX(MCC_MASTER!$B$5:$B$504,MATCH($I716,MCC_MASTER!$A$5:$A$504,0)),"⚠ MCC chưa có"))</f>
        <v/>
      </c>
      <c r="K716" s="45" t="str">
        <f>IF($I716="","",IFERROR(IF(INDEX(MCC_MASTER!$C$5:$C$504,MATCH($I716,MCC_MASTER!$A$5:$A$504,0))="","Chưa phân loại",INDEX(MCC_MASTER!$C$5:$C$504,MATCH($I716,MCC_MASTER!$A$5:$A$504,0))),"Chưa phân loại"))</f>
        <v/>
      </c>
      <c r="L716" s="40" t="n"/>
      <c r="M716" s="48" t="str">
        <f>IF(OR($B716="",$D716=""),"",IF($AC716=0,0,IF(ISNUMBER(INDEX(CASHBACK_RULES!$L$5:$L$304,$AC716)),MAX(0,MIN($L716,INDEX(CASHBACK_RULES!$L$5:$L$304,$AC716)-$AH716)),MAX(0,$L716))))</f>
        <v/>
      </c>
      <c r="N716" s="49" t="str">
        <f>IF(OR($B716="",$D716=""),"",IF($AC716&gt;0,INDEX(CASHBACK_RULES!$I$5:$I$304,$AC716),0))</f>
        <v/>
      </c>
      <c r="O716" s="48" t="str">
        <f>IF(OR($B716="",$D716=""),"",ROUND($M716*$N716,0))</f>
        <v/>
      </c>
      <c r="P716" s="48" t="str">
        <f>IF($AC716&gt;0,IF(ISNUMBER(INDEX(CASHBACK_RULES!$J$5:$J$304,$AC716)),INDEX(CASHBACK_RULES!$J$5:$J$304,$AC716),"∞"),"")</f>
        <v/>
      </c>
      <c r="Q716" s="48" t="str">
        <f>IF(OR($B716="",$D716=""),"",IF($AC716=0,0,MAX(0,MIN($O716,IF(ISNUMBER($P716),$P716-$AF716,1E+15),IF(ISNUMBER($AA716),$AA716-$AG716,1E+15)))))</f>
        <v/>
      </c>
      <c r="R716" s="48" t="str">
        <f>IF(OR($B716="",$D716=""),"",IF($AC716=0,"",IF(AND(NOT(ISNUMBER($P716)),NOT(ISNUMBER($AA716))),"∞",MAX(0,MIN(IF(ISNUMBER($P716),$P716-$AF716-$Q716,1E+15),IF(ISNUMBER($AA716),$AA716-$AG716-$Q716,1E+15))))))</f>
        <v/>
      </c>
      <c r="S716" s="47" t="str">
        <f>IF($AD716="","",YEAR($AD716)*100+MONTH($AD716))</f>
        <v/>
      </c>
      <c r="T716" s="50" t="str">
        <f>IF($AD716="","",IFERROR(IF(INDEX(CARDS!$I$5:$I$34,MATCH($D716,CARDS!$A$5:$A$34,0))="","",IF(INDEX(CARDS!$I$5:$I$34,MATCH($D716,CARDS!$A$5:$A$34,0))&gt;INDEX(CARDS!$H$5:$H$34,MATCH($D716,CARDS!$A$5:$A$34,0)),DATE(YEAR($AD716),MONTH($AD716),MIN(INDEX(CARDS!$I$5:$I$34,MATCH($D716,CARDS!$A$5:$A$34,0)),DAY(EOMONTH($AD716,0)))),DATE(YEAR($AD716),MONTH($AD716)+1,MIN(INDEX(CARDS!$I$5:$I$34,MATCH($D716,CARDS!$A$5:$A$34,0)),DAY(EOMONTH($AD716,1)))))),""))</f>
        <v/>
      </c>
      <c r="U716" s="38" t="n"/>
      <c r="V716" s="37" t="n"/>
      <c r="W716" s="38" t="n"/>
      <c r="X716" s="38" t="n"/>
      <c r="Y716" s="44" t="str">
        <f>IF($AC716&gt;0,INDEX(CASHBACK_RULES!$A$5:$A$304,$AC716),"")</f>
        <v/>
      </c>
      <c r="Z716" s="45" t="str">
        <f>IF($AC716&gt;0,INDEX(CASHBACK_RULES!$E$5:$E$304,$AC716)&amp;"","")</f>
        <v/>
      </c>
      <c r="AA716" s="48" t="str">
        <f>IF($AC716&gt;0,IF(ISNUMBER(INDEX(CASHBACK_RULES!$K$5:$K$304,$AC716)),INDEX(CASHBACK_RULES!$K$5:$K$304,$AC716),"∞"),"")</f>
        <v/>
      </c>
      <c r="AB716" s="44" t="str">
        <f>IF(OR($B716="",$D716=""),"",IF($U716="Cancelled","Đã hủy",IF($AC716=0,"Không được hoàn",IF($Q716=0,IF(OR($O716&gt;0,$M716&lt;$L716),"Đã đạt cap","Không được hoàn"),IF(OR($Q716&lt;$O716,$M716&lt;$L716),"Hoàn một phần","Được hoàn")))))</f>
        <v/>
      </c>
      <c r="AC716" s="43">
        <f>IF(OR($B716="",$D716="",$I716="",$L716=""),0,IF($U716="Cancelled",0,IF($W716&lt;&gt;"",IFERROR(IF(INDEX(CASHBACK_RULES!$B$5:$B$304,MATCH($W716,CASHBACK_RULES!$A$5:$A$304,0))=$D716,MATCH($W716,CASHBACK_RULES!$A$5:$A$304,0),0),0),IFERROR(MATCH(1,INDEX((CASHBACK_RULES!$B$5:$B$304=$D716)*(CASHBACK_RULES!$G$5:$G$304=$I716)*(((CASHBACK_RULES!$N$5:$N$304="")+(CASHBACK_RULES!$N$5:$N$304&lt;=$B716))&gt;0)*(((CASHBACK_RULES!$O$5:$O$304="")+(CASHBACK_RULES!$O$5:$O$304&gt;=$B716))&gt;0)*(((CASHBACK_RULES!$M$5:$M$304="")+(CASHBACK_RULES!$M$5:$M$304&lt;=$L716))&gt;0),0),0),0))))</f>
        <v>0</v>
      </c>
      <c r="AD716" s="51" t="str">
        <f>IF(OR($B716="",$D716=""),"",IFERROR(IF(INDEX(CARDS!$H$5:$H$34,MATCH($D716,CARDS!$A$5:$A$34,0))="","",IF(DAY($B716)&lt;=INDEX(CARDS!$H$5:$H$34,MATCH($D716,CARDS!$A$5:$A$34,0)),DATE(YEAR($B716),MONTH($B716),MIN(INDEX(CARDS!$H$5:$H$34,MATCH($D716,CARDS!$A$5:$A$34,0)),DAY(EOMONTH($B716,0)))),DATE(YEAR($B716),MONTH($B716)+1,MIN(INDEX(CARDS!$H$5:$H$34,MATCH($D716,CARDS!$A$5:$A$34,0)),DAY(EOMONTH($B716,1)))))),""))</f>
        <v/>
      </c>
      <c r="AE716" s="52" t="str">
        <f>IF($C716="","",$C716&amp;"|"&amp;COUNTIF($C$5:$C716,$C716))</f>
        <v/>
      </c>
      <c r="AF716" s="53">
        <f>IF($AC716&gt;0,SUMIFS(Q$4:Q715,$D$4:$D715,$D716,$Z$4:$Z715,$Z716,$C$4:$C715,$C716),0)</f>
        <v>0</v>
      </c>
      <c r="AG716" s="53">
        <f>IF($AC716&gt;0,SUMIFS(Q$4:Q715,$D$4:$D715,$D716,$C$4:$C715,$C716),0)</f>
        <v>0</v>
      </c>
      <c r="AH716" s="53">
        <f>IF($AC716&gt;0,SUMIFS(M$4:M715,$D$4:$D715,$D716,$Z$4:$Z715,$Z716,$C$4:$C715,$C716),0)</f>
        <v>0</v>
      </c>
      <c r="AI716" s="43">
        <f>IF(OR($C716="",$I716=""),0,IF(COUNTIFS($C$5:$C716,$C716,$I$5:$I716,$I716)=1,1,0))</f>
        <v>0</v>
      </c>
      <c r="AJ716" s="43" t="str">
        <f>IF($AI716=1,SUMIFS($AI$4:$AI715,$C$4:$C715,$C716)+1,"")</f>
        <v/>
      </c>
      <c r="AK716" s="43">
        <f>IF(OR($C716="",$K716=""),0,IF(COUNTIFS($C$5:$C716,$C716,$K$5:$K716,$K716)=1,1,0))</f>
        <v>0</v>
      </c>
      <c r="AL716" s="43" t="str">
        <f>IF($AK716=1,SUMIFS($AK$4:$AK715,$C$4:$C715,$C716)+1,"")</f>
        <v/>
      </c>
      <c r="AM716" s="43">
        <f>IF(OR($C716="",$G716=""),0,IF(COUNTIFS($C$5:$C716,$C716,$G$5:$G716,$G716)=1,1,0))</f>
        <v>0</v>
      </c>
      <c r="AN716" s="43" t="str">
        <f>IF($AM716=1,SUMIFS($AM$4:$AM715,$C$4:$C715,$C716)+1,"")</f>
        <v/>
      </c>
    </row>
    <row r="717">
      <c r="A717" s="44" t="str">
        <f>IF(OR($B717="",$D717=""),"","TX"&amp;TEXT(ROW()-4,"0000"))</f>
        <v/>
      </c>
      <c r="B717" s="42" t="n"/>
      <c r="C717" s="47" t="str">
        <f>IF($B717="","",YEAR($B717)*100+MONTH($B717))</f>
        <v/>
      </c>
      <c r="D717" s="37" t="n"/>
      <c r="E717" s="45" t="str">
        <f>IF($D717="","",IFERROR(INDEX(CARDS!$B$5:$B$34,MATCH($D717,CARDS!$A$5:$A$34,0)),"⚠ Card ID?"))</f>
        <v/>
      </c>
      <c r="F717" s="45" t="str">
        <f>IF($D717="","",IFERROR(INDEX(CARDS!$C$5:$C$34,MATCH($D717,CARDS!$A$5:$A$34,0)),"⚠ Card ID?"))</f>
        <v/>
      </c>
      <c r="G717" s="37" t="n"/>
      <c r="H717" s="37" t="n"/>
      <c r="I717" s="41" t="n"/>
      <c r="J717" s="45" t="str">
        <f>IF($I717="","",IFERROR(INDEX(MCC_MASTER!$B$5:$B$504,MATCH($I717,MCC_MASTER!$A$5:$A$504,0)),"⚠ MCC chưa có"))</f>
        <v/>
      </c>
      <c r="K717" s="45" t="str">
        <f>IF($I717="","",IFERROR(IF(INDEX(MCC_MASTER!$C$5:$C$504,MATCH($I717,MCC_MASTER!$A$5:$A$504,0))="","Chưa phân loại",INDEX(MCC_MASTER!$C$5:$C$504,MATCH($I717,MCC_MASTER!$A$5:$A$504,0))),"Chưa phân loại"))</f>
        <v/>
      </c>
      <c r="L717" s="40" t="n"/>
      <c r="M717" s="48" t="str">
        <f>IF(OR($B717="",$D717=""),"",IF($AC717=0,0,IF(ISNUMBER(INDEX(CASHBACK_RULES!$L$5:$L$304,$AC717)),MAX(0,MIN($L717,INDEX(CASHBACK_RULES!$L$5:$L$304,$AC717)-$AH717)),MAX(0,$L717))))</f>
        <v/>
      </c>
      <c r="N717" s="49" t="str">
        <f>IF(OR($B717="",$D717=""),"",IF($AC717&gt;0,INDEX(CASHBACK_RULES!$I$5:$I$304,$AC717),0))</f>
        <v/>
      </c>
      <c r="O717" s="48" t="str">
        <f>IF(OR($B717="",$D717=""),"",ROUND($M717*$N717,0))</f>
        <v/>
      </c>
      <c r="P717" s="48" t="str">
        <f>IF($AC717&gt;0,IF(ISNUMBER(INDEX(CASHBACK_RULES!$J$5:$J$304,$AC717)),INDEX(CASHBACK_RULES!$J$5:$J$304,$AC717),"∞"),"")</f>
        <v/>
      </c>
      <c r="Q717" s="48" t="str">
        <f>IF(OR($B717="",$D717=""),"",IF($AC717=0,0,MAX(0,MIN($O717,IF(ISNUMBER($P717),$P717-$AF717,1E+15),IF(ISNUMBER($AA717),$AA717-$AG717,1E+15)))))</f>
        <v/>
      </c>
      <c r="R717" s="48" t="str">
        <f>IF(OR($B717="",$D717=""),"",IF($AC717=0,"",IF(AND(NOT(ISNUMBER($P717)),NOT(ISNUMBER($AA717))),"∞",MAX(0,MIN(IF(ISNUMBER($P717),$P717-$AF717-$Q717,1E+15),IF(ISNUMBER($AA717),$AA717-$AG717-$Q717,1E+15))))))</f>
        <v/>
      </c>
      <c r="S717" s="47" t="str">
        <f>IF($AD717="","",YEAR($AD717)*100+MONTH($AD717))</f>
        <v/>
      </c>
      <c r="T717" s="50" t="str">
        <f>IF($AD717="","",IFERROR(IF(INDEX(CARDS!$I$5:$I$34,MATCH($D717,CARDS!$A$5:$A$34,0))="","",IF(INDEX(CARDS!$I$5:$I$34,MATCH($D717,CARDS!$A$5:$A$34,0))&gt;INDEX(CARDS!$H$5:$H$34,MATCH($D717,CARDS!$A$5:$A$34,0)),DATE(YEAR($AD717),MONTH($AD717),MIN(INDEX(CARDS!$I$5:$I$34,MATCH($D717,CARDS!$A$5:$A$34,0)),DAY(EOMONTH($AD717,0)))),DATE(YEAR($AD717),MONTH($AD717)+1,MIN(INDEX(CARDS!$I$5:$I$34,MATCH($D717,CARDS!$A$5:$A$34,0)),DAY(EOMONTH($AD717,1)))))),""))</f>
        <v/>
      </c>
      <c r="U717" s="38" t="n"/>
      <c r="V717" s="37" t="n"/>
      <c r="W717" s="38" t="n"/>
      <c r="X717" s="38" t="n"/>
      <c r="Y717" s="44" t="str">
        <f>IF($AC717&gt;0,INDEX(CASHBACK_RULES!$A$5:$A$304,$AC717),"")</f>
        <v/>
      </c>
      <c r="Z717" s="45" t="str">
        <f>IF($AC717&gt;0,INDEX(CASHBACK_RULES!$E$5:$E$304,$AC717)&amp;"","")</f>
        <v/>
      </c>
      <c r="AA717" s="48" t="str">
        <f>IF($AC717&gt;0,IF(ISNUMBER(INDEX(CASHBACK_RULES!$K$5:$K$304,$AC717)),INDEX(CASHBACK_RULES!$K$5:$K$304,$AC717),"∞"),"")</f>
        <v/>
      </c>
      <c r="AB717" s="44" t="str">
        <f>IF(OR($B717="",$D717=""),"",IF($U717="Cancelled","Đã hủy",IF($AC717=0,"Không được hoàn",IF($Q717=0,IF(OR($O717&gt;0,$M717&lt;$L717),"Đã đạt cap","Không được hoàn"),IF(OR($Q717&lt;$O717,$M717&lt;$L717),"Hoàn một phần","Được hoàn")))))</f>
        <v/>
      </c>
      <c r="AC717" s="43">
        <f>IF(OR($B717="",$D717="",$I717="",$L717=""),0,IF($U717="Cancelled",0,IF($W717&lt;&gt;"",IFERROR(IF(INDEX(CASHBACK_RULES!$B$5:$B$304,MATCH($W717,CASHBACK_RULES!$A$5:$A$304,0))=$D717,MATCH($W717,CASHBACK_RULES!$A$5:$A$304,0),0),0),IFERROR(MATCH(1,INDEX((CASHBACK_RULES!$B$5:$B$304=$D717)*(CASHBACK_RULES!$G$5:$G$304=$I717)*(((CASHBACK_RULES!$N$5:$N$304="")+(CASHBACK_RULES!$N$5:$N$304&lt;=$B717))&gt;0)*(((CASHBACK_RULES!$O$5:$O$304="")+(CASHBACK_RULES!$O$5:$O$304&gt;=$B717))&gt;0)*(((CASHBACK_RULES!$M$5:$M$304="")+(CASHBACK_RULES!$M$5:$M$304&lt;=$L717))&gt;0),0),0),0))))</f>
        <v>0</v>
      </c>
      <c r="AD717" s="51" t="str">
        <f>IF(OR($B717="",$D717=""),"",IFERROR(IF(INDEX(CARDS!$H$5:$H$34,MATCH($D717,CARDS!$A$5:$A$34,0))="","",IF(DAY($B717)&lt;=INDEX(CARDS!$H$5:$H$34,MATCH($D717,CARDS!$A$5:$A$34,0)),DATE(YEAR($B717),MONTH($B717),MIN(INDEX(CARDS!$H$5:$H$34,MATCH($D717,CARDS!$A$5:$A$34,0)),DAY(EOMONTH($B717,0)))),DATE(YEAR($B717),MONTH($B717)+1,MIN(INDEX(CARDS!$H$5:$H$34,MATCH($D717,CARDS!$A$5:$A$34,0)),DAY(EOMONTH($B717,1)))))),""))</f>
        <v/>
      </c>
      <c r="AE717" s="52" t="str">
        <f>IF($C717="","",$C717&amp;"|"&amp;COUNTIF($C$5:$C717,$C717))</f>
        <v/>
      </c>
      <c r="AF717" s="53">
        <f>IF($AC717&gt;0,SUMIFS(Q$4:Q716,$D$4:$D716,$D717,$Z$4:$Z716,$Z717,$C$4:$C716,$C717),0)</f>
        <v>0</v>
      </c>
      <c r="AG717" s="53">
        <f>IF($AC717&gt;0,SUMIFS(Q$4:Q716,$D$4:$D716,$D717,$C$4:$C716,$C717),0)</f>
        <v>0</v>
      </c>
      <c r="AH717" s="53">
        <f>IF($AC717&gt;0,SUMIFS(M$4:M716,$D$4:$D716,$D717,$Z$4:$Z716,$Z717,$C$4:$C716,$C717),0)</f>
        <v>0</v>
      </c>
      <c r="AI717" s="43">
        <f>IF(OR($C717="",$I717=""),0,IF(COUNTIFS($C$5:$C717,$C717,$I$5:$I717,$I717)=1,1,0))</f>
        <v>0</v>
      </c>
      <c r="AJ717" s="43" t="str">
        <f>IF($AI717=1,SUMIFS($AI$4:$AI716,$C$4:$C716,$C717)+1,"")</f>
        <v/>
      </c>
      <c r="AK717" s="43">
        <f>IF(OR($C717="",$K717=""),0,IF(COUNTIFS($C$5:$C717,$C717,$K$5:$K717,$K717)=1,1,0))</f>
        <v>0</v>
      </c>
      <c r="AL717" s="43" t="str">
        <f>IF($AK717=1,SUMIFS($AK$4:$AK716,$C$4:$C716,$C717)+1,"")</f>
        <v/>
      </c>
      <c r="AM717" s="43">
        <f>IF(OR($C717="",$G717=""),0,IF(COUNTIFS($C$5:$C717,$C717,$G$5:$G717,$G717)=1,1,0))</f>
        <v>0</v>
      </c>
      <c r="AN717" s="43" t="str">
        <f>IF($AM717=1,SUMIFS($AM$4:$AM716,$C$4:$C716,$C717)+1,"")</f>
        <v/>
      </c>
    </row>
    <row r="718">
      <c r="A718" s="44" t="str">
        <f>IF(OR($B718="",$D718=""),"","TX"&amp;TEXT(ROW()-4,"0000"))</f>
        <v/>
      </c>
      <c r="B718" s="42" t="n"/>
      <c r="C718" s="47" t="str">
        <f>IF($B718="","",YEAR($B718)*100+MONTH($B718))</f>
        <v/>
      </c>
      <c r="D718" s="37" t="n"/>
      <c r="E718" s="45" t="str">
        <f>IF($D718="","",IFERROR(INDEX(CARDS!$B$5:$B$34,MATCH($D718,CARDS!$A$5:$A$34,0)),"⚠ Card ID?"))</f>
        <v/>
      </c>
      <c r="F718" s="45" t="str">
        <f>IF($D718="","",IFERROR(INDEX(CARDS!$C$5:$C$34,MATCH($D718,CARDS!$A$5:$A$34,0)),"⚠ Card ID?"))</f>
        <v/>
      </c>
      <c r="G718" s="37" t="n"/>
      <c r="H718" s="37" t="n"/>
      <c r="I718" s="41" t="n"/>
      <c r="J718" s="45" t="str">
        <f>IF($I718="","",IFERROR(INDEX(MCC_MASTER!$B$5:$B$504,MATCH($I718,MCC_MASTER!$A$5:$A$504,0)),"⚠ MCC chưa có"))</f>
        <v/>
      </c>
      <c r="K718" s="45" t="str">
        <f>IF($I718="","",IFERROR(IF(INDEX(MCC_MASTER!$C$5:$C$504,MATCH($I718,MCC_MASTER!$A$5:$A$504,0))="","Chưa phân loại",INDEX(MCC_MASTER!$C$5:$C$504,MATCH($I718,MCC_MASTER!$A$5:$A$504,0))),"Chưa phân loại"))</f>
        <v/>
      </c>
      <c r="L718" s="40" t="n"/>
      <c r="M718" s="48" t="str">
        <f>IF(OR($B718="",$D718=""),"",IF($AC718=0,0,IF(ISNUMBER(INDEX(CASHBACK_RULES!$L$5:$L$304,$AC718)),MAX(0,MIN($L718,INDEX(CASHBACK_RULES!$L$5:$L$304,$AC718)-$AH718)),MAX(0,$L718))))</f>
        <v/>
      </c>
      <c r="N718" s="49" t="str">
        <f>IF(OR($B718="",$D718=""),"",IF($AC718&gt;0,INDEX(CASHBACK_RULES!$I$5:$I$304,$AC718),0))</f>
        <v/>
      </c>
      <c r="O718" s="48" t="str">
        <f>IF(OR($B718="",$D718=""),"",ROUND($M718*$N718,0))</f>
        <v/>
      </c>
      <c r="P718" s="48" t="str">
        <f>IF($AC718&gt;0,IF(ISNUMBER(INDEX(CASHBACK_RULES!$J$5:$J$304,$AC718)),INDEX(CASHBACK_RULES!$J$5:$J$304,$AC718),"∞"),"")</f>
        <v/>
      </c>
      <c r="Q718" s="48" t="str">
        <f>IF(OR($B718="",$D718=""),"",IF($AC718=0,0,MAX(0,MIN($O718,IF(ISNUMBER($P718),$P718-$AF718,1E+15),IF(ISNUMBER($AA718),$AA718-$AG718,1E+15)))))</f>
        <v/>
      </c>
      <c r="R718" s="48" t="str">
        <f>IF(OR($B718="",$D718=""),"",IF($AC718=0,"",IF(AND(NOT(ISNUMBER($P718)),NOT(ISNUMBER($AA718))),"∞",MAX(0,MIN(IF(ISNUMBER($P718),$P718-$AF718-$Q718,1E+15),IF(ISNUMBER($AA718),$AA718-$AG718-$Q718,1E+15))))))</f>
        <v/>
      </c>
      <c r="S718" s="47" t="str">
        <f>IF($AD718="","",YEAR($AD718)*100+MONTH($AD718))</f>
        <v/>
      </c>
      <c r="T718" s="50" t="str">
        <f>IF($AD718="","",IFERROR(IF(INDEX(CARDS!$I$5:$I$34,MATCH($D718,CARDS!$A$5:$A$34,0))="","",IF(INDEX(CARDS!$I$5:$I$34,MATCH($D718,CARDS!$A$5:$A$34,0))&gt;INDEX(CARDS!$H$5:$H$34,MATCH($D718,CARDS!$A$5:$A$34,0)),DATE(YEAR($AD718),MONTH($AD718),MIN(INDEX(CARDS!$I$5:$I$34,MATCH($D718,CARDS!$A$5:$A$34,0)),DAY(EOMONTH($AD718,0)))),DATE(YEAR($AD718),MONTH($AD718)+1,MIN(INDEX(CARDS!$I$5:$I$34,MATCH($D718,CARDS!$A$5:$A$34,0)),DAY(EOMONTH($AD718,1)))))),""))</f>
        <v/>
      </c>
      <c r="U718" s="38" t="n"/>
      <c r="V718" s="37" t="n"/>
      <c r="W718" s="38" t="n"/>
      <c r="X718" s="38" t="n"/>
      <c r="Y718" s="44" t="str">
        <f>IF($AC718&gt;0,INDEX(CASHBACK_RULES!$A$5:$A$304,$AC718),"")</f>
        <v/>
      </c>
      <c r="Z718" s="45" t="str">
        <f>IF($AC718&gt;0,INDEX(CASHBACK_RULES!$E$5:$E$304,$AC718)&amp;"","")</f>
        <v/>
      </c>
      <c r="AA718" s="48" t="str">
        <f>IF($AC718&gt;0,IF(ISNUMBER(INDEX(CASHBACK_RULES!$K$5:$K$304,$AC718)),INDEX(CASHBACK_RULES!$K$5:$K$304,$AC718),"∞"),"")</f>
        <v/>
      </c>
      <c r="AB718" s="44" t="str">
        <f>IF(OR($B718="",$D718=""),"",IF($U718="Cancelled","Đã hủy",IF($AC718=0,"Không được hoàn",IF($Q718=0,IF(OR($O718&gt;0,$M718&lt;$L718),"Đã đạt cap","Không được hoàn"),IF(OR($Q718&lt;$O718,$M718&lt;$L718),"Hoàn một phần","Được hoàn")))))</f>
        <v/>
      </c>
      <c r="AC718" s="43">
        <f>IF(OR($B718="",$D718="",$I718="",$L718=""),0,IF($U718="Cancelled",0,IF($W718&lt;&gt;"",IFERROR(IF(INDEX(CASHBACK_RULES!$B$5:$B$304,MATCH($W718,CASHBACK_RULES!$A$5:$A$304,0))=$D718,MATCH($W718,CASHBACK_RULES!$A$5:$A$304,0),0),0),IFERROR(MATCH(1,INDEX((CASHBACK_RULES!$B$5:$B$304=$D718)*(CASHBACK_RULES!$G$5:$G$304=$I718)*(((CASHBACK_RULES!$N$5:$N$304="")+(CASHBACK_RULES!$N$5:$N$304&lt;=$B718))&gt;0)*(((CASHBACK_RULES!$O$5:$O$304="")+(CASHBACK_RULES!$O$5:$O$304&gt;=$B718))&gt;0)*(((CASHBACK_RULES!$M$5:$M$304="")+(CASHBACK_RULES!$M$5:$M$304&lt;=$L718))&gt;0),0),0),0))))</f>
        <v>0</v>
      </c>
      <c r="AD718" s="51" t="str">
        <f>IF(OR($B718="",$D718=""),"",IFERROR(IF(INDEX(CARDS!$H$5:$H$34,MATCH($D718,CARDS!$A$5:$A$34,0))="","",IF(DAY($B718)&lt;=INDEX(CARDS!$H$5:$H$34,MATCH($D718,CARDS!$A$5:$A$34,0)),DATE(YEAR($B718),MONTH($B718),MIN(INDEX(CARDS!$H$5:$H$34,MATCH($D718,CARDS!$A$5:$A$34,0)),DAY(EOMONTH($B718,0)))),DATE(YEAR($B718),MONTH($B718)+1,MIN(INDEX(CARDS!$H$5:$H$34,MATCH($D718,CARDS!$A$5:$A$34,0)),DAY(EOMONTH($B718,1)))))),""))</f>
        <v/>
      </c>
      <c r="AE718" s="52" t="str">
        <f>IF($C718="","",$C718&amp;"|"&amp;COUNTIF($C$5:$C718,$C718))</f>
        <v/>
      </c>
      <c r="AF718" s="53">
        <f>IF($AC718&gt;0,SUMIFS(Q$4:Q717,$D$4:$D717,$D718,$Z$4:$Z717,$Z718,$C$4:$C717,$C718),0)</f>
        <v>0</v>
      </c>
      <c r="AG718" s="53">
        <f>IF($AC718&gt;0,SUMIFS(Q$4:Q717,$D$4:$D717,$D718,$C$4:$C717,$C718),0)</f>
        <v>0</v>
      </c>
      <c r="AH718" s="53">
        <f>IF($AC718&gt;0,SUMIFS(M$4:M717,$D$4:$D717,$D718,$Z$4:$Z717,$Z718,$C$4:$C717,$C718),0)</f>
        <v>0</v>
      </c>
      <c r="AI718" s="43">
        <f>IF(OR($C718="",$I718=""),0,IF(COUNTIFS($C$5:$C718,$C718,$I$5:$I718,$I718)=1,1,0))</f>
        <v>0</v>
      </c>
      <c r="AJ718" s="43" t="str">
        <f>IF($AI718=1,SUMIFS($AI$4:$AI717,$C$4:$C717,$C718)+1,"")</f>
        <v/>
      </c>
      <c r="AK718" s="43">
        <f>IF(OR($C718="",$K718=""),0,IF(COUNTIFS($C$5:$C718,$C718,$K$5:$K718,$K718)=1,1,0))</f>
        <v>0</v>
      </c>
      <c r="AL718" s="43" t="str">
        <f>IF($AK718=1,SUMIFS($AK$4:$AK717,$C$4:$C717,$C718)+1,"")</f>
        <v/>
      </c>
      <c r="AM718" s="43">
        <f>IF(OR($C718="",$G718=""),0,IF(COUNTIFS($C$5:$C718,$C718,$G$5:$G718,$G718)=1,1,0))</f>
        <v>0</v>
      </c>
      <c r="AN718" s="43" t="str">
        <f>IF($AM718=1,SUMIFS($AM$4:$AM717,$C$4:$C717,$C718)+1,"")</f>
        <v/>
      </c>
    </row>
    <row r="719">
      <c r="A719" s="44" t="str">
        <f>IF(OR($B719="",$D719=""),"","TX"&amp;TEXT(ROW()-4,"0000"))</f>
        <v/>
      </c>
      <c r="B719" s="42" t="n"/>
      <c r="C719" s="47" t="str">
        <f>IF($B719="","",YEAR($B719)*100+MONTH($B719))</f>
        <v/>
      </c>
      <c r="D719" s="37" t="n"/>
      <c r="E719" s="45" t="str">
        <f>IF($D719="","",IFERROR(INDEX(CARDS!$B$5:$B$34,MATCH($D719,CARDS!$A$5:$A$34,0)),"⚠ Card ID?"))</f>
        <v/>
      </c>
      <c r="F719" s="45" t="str">
        <f>IF($D719="","",IFERROR(INDEX(CARDS!$C$5:$C$34,MATCH($D719,CARDS!$A$5:$A$34,0)),"⚠ Card ID?"))</f>
        <v/>
      </c>
      <c r="G719" s="37" t="n"/>
      <c r="H719" s="37" t="n"/>
      <c r="I719" s="41" t="n"/>
      <c r="J719" s="45" t="str">
        <f>IF($I719="","",IFERROR(INDEX(MCC_MASTER!$B$5:$B$504,MATCH($I719,MCC_MASTER!$A$5:$A$504,0)),"⚠ MCC chưa có"))</f>
        <v/>
      </c>
      <c r="K719" s="45" t="str">
        <f>IF($I719="","",IFERROR(IF(INDEX(MCC_MASTER!$C$5:$C$504,MATCH($I719,MCC_MASTER!$A$5:$A$504,0))="","Chưa phân loại",INDEX(MCC_MASTER!$C$5:$C$504,MATCH($I719,MCC_MASTER!$A$5:$A$504,0))),"Chưa phân loại"))</f>
        <v/>
      </c>
      <c r="L719" s="40" t="n"/>
      <c r="M719" s="48" t="str">
        <f>IF(OR($B719="",$D719=""),"",IF($AC719=0,0,IF(ISNUMBER(INDEX(CASHBACK_RULES!$L$5:$L$304,$AC719)),MAX(0,MIN($L719,INDEX(CASHBACK_RULES!$L$5:$L$304,$AC719)-$AH719)),MAX(0,$L719))))</f>
        <v/>
      </c>
      <c r="N719" s="49" t="str">
        <f>IF(OR($B719="",$D719=""),"",IF($AC719&gt;0,INDEX(CASHBACK_RULES!$I$5:$I$304,$AC719),0))</f>
        <v/>
      </c>
      <c r="O719" s="48" t="str">
        <f>IF(OR($B719="",$D719=""),"",ROUND($M719*$N719,0))</f>
        <v/>
      </c>
      <c r="P719" s="48" t="str">
        <f>IF($AC719&gt;0,IF(ISNUMBER(INDEX(CASHBACK_RULES!$J$5:$J$304,$AC719)),INDEX(CASHBACK_RULES!$J$5:$J$304,$AC719),"∞"),"")</f>
        <v/>
      </c>
      <c r="Q719" s="48" t="str">
        <f>IF(OR($B719="",$D719=""),"",IF($AC719=0,0,MAX(0,MIN($O719,IF(ISNUMBER($P719),$P719-$AF719,1E+15),IF(ISNUMBER($AA719),$AA719-$AG719,1E+15)))))</f>
        <v/>
      </c>
      <c r="R719" s="48" t="str">
        <f>IF(OR($B719="",$D719=""),"",IF($AC719=0,"",IF(AND(NOT(ISNUMBER($P719)),NOT(ISNUMBER($AA719))),"∞",MAX(0,MIN(IF(ISNUMBER($P719),$P719-$AF719-$Q719,1E+15),IF(ISNUMBER($AA719),$AA719-$AG719-$Q719,1E+15))))))</f>
        <v/>
      </c>
      <c r="S719" s="47" t="str">
        <f>IF($AD719="","",YEAR($AD719)*100+MONTH($AD719))</f>
        <v/>
      </c>
      <c r="T719" s="50" t="str">
        <f>IF($AD719="","",IFERROR(IF(INDEX(CARDS!$I$5:$I$34,MATCH($D719,CARDS!$A$5:$A$34,0))="","",IF(INDEX(CARDS!$I$5:$I$34,MATCH($D719,CARDS!$A$5:$A$34,0))&gt;INDEX(CARDS!$H$5:$H$34,MATCH($D719,CARDS!$A$5:$A$34,0)),DATE(YEAR($AD719),MONTH($AD719),MIN(INDEX(CARDS!$I$5:$I$34,MATCH($D719,CARDS!$A$5:$A$34,0)),DAY(EOMONTH($AD719,0)))),DATE(YEAR($AD719),MONTH($AD719)+1,MIN(INDEX(CARDS!$I$5:$I$34,MATCH($D719,CARDS!$A$5:$A$34,0)),DAY(EOMONTH($AD719,1)))))),""))</f>
        <v/>
      </c>
      <c r="U719" s="38" t="n"/>
      <c r="V719" s="37" t="n"/>
      <c r="W719" s="38" t="n"/>
      <c r="X719" s="38" t="n"/>
      <c r="Y719" s="44" t="str">
        <f>IF($AC719&gt;0,INDEX(CASHBACK_RULES!$A$5:$A$304,$AC719),"")</f>
        <v/>
      </c>
      <c r="Z719" s="45" t="str">
        <f>IF($AC719&gt;0,INDEX(CASHBACK_RULES!$E$5:$E$304,$AC719)&amp;"","")</f>
        <v/>
      </c>
      <c r="AA719" s="48" t="str">
        <f>IF($AC719&gt;0,IF(ISNUMBER(INDEX(CASHBACK_RULES!$K$5:$K$304,$AC719)),INDEX(CASHBACK_RULES!$K$5:$K$304,$AC719),"∞"),"")</f>
        <v/>
      </c>
      <c r="AB719" s="44" t="str">
        <f>IF(OR($B719="",$D719=""),"",IF($U719="Cancelled","Đã hủy",IF($AC719=0,"Không được hoàn",IF($Q719=0,IF(OR($O719&gt;0,$M719&lt;$L719),"Đã đạt cap","Không được hoàn"),IF(OR($Q719&lt;$O719,$M719&lt;$L719),"Hoàn một phần","Được hoàn")))))</f>
        <v/>
      </c>
      <c r="AC719" s="43">
        <f>IF(OR($B719="",$D719="",$I719="",$L719=""),0,IF($U719="Cancelled",0,IF($W719&lt;&gt;"",IFERROR(IF(INDEX(CASHBACK_RULES!$B$5:$B$304,MATCH($W719,CASHBACK_RULES!$A$5:$A$304,0))=$D719,MATCH($W719,CASHBACK_RULES!$A$5:$A$304,0),0),0),IFERROR(MATCH(1,INDEX((CASHBACK_RULES!$B$5:$B$304=$D719)*(CASHBACK_RULES!$G$5:$G$304=$I719)*(((CASHBACK_RULES!$N$5:$N$304="")+(CASHBACK_RULES!$N$5:$N$304&lt;=$B719))&gt;0)*(((CASHBACK_RULES!$O$5:$O$304="")+(CASHBACK_RULES!$O$5:$O$304&gt;=$B719))&gt;0)*(((CASHBACK_RULES!$M$5:$M$304="")+(CASHBACK_RULES!$M$5:$M$304&lt;=$L719))&gt;0),0),0),0))))</f>
        <v>0</v>
      </c>
      <c r="AD719" s="51" t="str">
        <f>IF(OR($B719="",$D719=""),"",IFERROR(IF(INDEX(CARDS!$H$5:$H$34,MATCH($D719,CARDS!$A$5:$A$34,0))="","",IF(DAY($B719)&lt;=INDEX(CARDS!$H$5:$H$34,MATCH($D719,CARDS!$A$5:$A$34,0)),DATE(YEAR($B719),MONTH($B719),MIN(INDEX(CARDS!$H$5:$H$34,MATCH($D719,CARDS!$A$5:$A$34,0)),DAY(EOMONTH($B719,0)))),DATE(YEAR($B719),MONTH($B719)+1,MIN(INDEX(CARDS!$H$5:$H$34,MATCH($D719,CARDS!$A$5:$A$34,0)),DAY(EOMONTH($B719,1)))))),""))</f>
        <v/>
      </c>
      <c r="AE719" s="52" t="str">
        <f>IF($C719="","",$C719&amp;"|"&amp;COUNTIF($C$5:$C719,$C719))</f>
        <v/>
      </c>
      <c r="AF719" s="53">
        <f>IF($AC719&gt;0,SUMIFS(Q$4:Q718,$D$4:$D718,$D719,$Z$4:$Z718,$Z719,$C$4:$C718,$C719),0)</f>
        <v>0</v>
      </c>
      <c r="AG719" s="53">
        <f>IF($AC719&gt;0,SUMIFS(Q$4:Q718,$D$4:$D718,$D719,$C$4:$C718,$C719),0)</f>
        <v>0</v>
      </c>
      <c r="AH719" s="53">
        <f>IF($AC719&gt;0,SUMIFS(M$4:M718,$D$4:$D718,$D719,$Z$4:$Z718,$Z719,$C$4:$C718,$C719),0)</f>
        <v>0</v>
      </c>
      <c r="AI719" s="43">
        <f>IF(OR($C719="",$I719=""),0,IF(COUNTIFS($C$5:$C719,$C719,$I$5:$I719,$I719)=1,1,0))</f>
        <v>0</v>
      </c>
      <c r="AJ719" s="43" t="str">
        <f>IF($AI719=1,SUMIFS($AI$4:$AI718,$C$4:$C718,$C719)+1,"")</f>
        <v/>
      </c>
      <c r="AK719" s="43">
        <f>IF(OR($C719="",$K719=""),0,IF(COUNTIFS($C$5:$C719,$C719,$K$5:$K719,$K719)=1,1,0))</f>
        <v>0</v>
      </c>
      <c r="AL719" s="43" t="str">
        <f>IF($AK719=1,SUMIFS($AK$4:$AK718,$C$4:$C718,$C719)+1,"")</f>
        <v/>
      </c>
      <c r="AM719" s="43">
        <f>IF(OR($C719="",$G719=""),0,IF(COUNTIFS($C$5:$C719,$C719,$G$5:$G719,$G719)=1,1,0))</f>
        <v>0</v>
      </c>
      <c r="AN719" s="43" t="str">
        <f>IF($AM719=1,SUMIFS($AM$4:$AM718,$C$4:$C718,$C719)+1,"")</f>
        <v/>
      </c>
    </row>
    <row r="720">
      <c r="A720" s="44" t="str">
        <f>IF(OR($B720="",$D720=""),"","TX"&amp;TEXT(ROW()-4,"0000"))</f>
        <v/>
      </c>
      <c r="B720" s="42" t="n"/>
      <c r="C720" s="47" t="str">
        <f>IF($B720="","",YEAR($B720)*100+MONTH($B720))</f>
        <v/>
      </c>
      <c r="D720" s="37" t="n"/>
      <c r="E720" s="45" t="str">
        <f>IF($D720="","",IFERROR(INDEX(CARDS!$B$5:$B$34,MATCH($D720,CARDS!$A$5:$A$34,0)),"⚠ Card ID?"))</f>
        <v/>
      </c>
      <c r="F720" s="45" t="str">
        <f>IF($D720="","",IFERROR(INDEX(CARDS!$C$5:$C$34,MATCH($D720,CARDS!$A$5:$A$34,0)),"⚠ Card ID?"))</f>
        <v/>
      </c>
      <c r="G720" s="37" t="n"/>
      <c r="H720" s="37" t="n"/>
      <c r="I720" s="41" t="n"/>
      <c r="J720" s="45" t="str">
        <f>IF($I720="","",IFERROR(INDEX(MCC_MASTER!$B$5:$B$504,MATCH($I720,MCC_MASTER!$A$5:$A$504,0)),"⚠ MCC chưa có"))</f>
        <v/>
      </c>
      <c r="K720" s="45" t="str">
        <f>IF($I720="","",IFERROR(IF(INDEX(MCC_MASTER!$C$5:$C$504,MATCH($I720,MCC_MASTER!$A$5:$A$504,0))="","Chưa phân loại",INDEX(MCC_MASTER!$C$5:$C$504,MATCH($I720,MCC_MASTER!$A$5:$A$504,0))),"Chưa phân loại"))</f>
        <v/>
      </c>
      <c r="L720" s="40" t="n"/>
      <c r="M720" s="48" t="str">
        <f>IF(OR($B720="",$D720=""),"",IF($AC720=0,0,IF(ISNUMBER(INDEX(CASHBACK_RULES!$L$5:$L$304,$AC720)),MAX(0,MIN($L720,INDEX(CASHBACK_RULES!$L$5:$L$304,$AC720)-$AH720)),MAX(0,$L720))))</f>
        <v/>
      </c>
      <c r="N720" s="49" t="str">
        <f>IF(OR($B720="",$D720=""),"",IF($AC720&gt;0,INDEX(CASHBACK_RULES!$I$5:$I$304,$AC720),0))</f>
        <v/>
      </c>
      <c r="O720" s="48" t="str">
        <f>IF(OR($B720="",$D720=""),"",ROUND($M720*$N720,0))</f>
        <v/>
      </c>
      <c r="P720" s="48" t="str">
        <f>IF($AC720&gt;0,IF(ISNUMBER(INDEX(CASHBACK_RULES!$J$5:$J$304,$AC720)),INDEX(CASHBACK_RULES!$J$5:$J$304,$AC720),"∞"),"")</f>
        <v/>
      </c>
      <c r="Q720" s="48" t="str">
        <f>IF(OR($B720="",$D720=""),"",IF($AC720=0,0,MAX(0,MIN($O720,IF(ISNUMBER($P720),$P720-$AF720,1E+15),IF(ISNUMBER($AA720),$AA720-$AG720,1E+15)))))</f>
        <v/>
      </c>
      <c r="R720" s="48" t="str">
        <f>IF(OR($B720="",$D720=""),"",IF($AC720=0,"",IF(AND(NOT(ISNUMBER($P720)),NOT(ISNUMBER($AA720))),"∞",MAX(0,MIN(IF(ISNUMBER($P720),$P720-$AF720-$Q720,1E+15),IF(ISNUMBER($AA720),$AA720-$AG720-$Q720,1E+15))))))</f>
        <v/>
      </c>
      <c r="S720" s="47" t="str">
        <f>IF($AD720="","",YEAR($AD720)*100+MONTH($AD720))</f>
        <v/>
      </c>
      <c r="T720" s="50" t="str">
        <f>IF($AD720="","",IFERROR(IF(INDEX(CARDS!$I$5:$I$34,MATCH($D720,CARDS!$A$5:$A$34,0))="","",IF(INDEX(CARDS!$I$5:$I$34,MATCH($D720,CARDS!$A$5:$A$34,0))&gt;INDEX(CARDS!$H$5:$H$34,MATCH($D720,CARDS!$A$5:$A$34,0)),DATE(YEAR($AD720),MONTH($AD720),MIN(INDEX(CARDS!$I$5:$I$34,MATCH($D720,CARDS!$A$5:$A$34,0)),DAY(EOMONTH($AD720,0)))),DATE(YEAR($AD720),MONTH($AD720)+1,MIN(INDEX(CARDS!$I$5:$I$34,MATCH($D720,CARDS!$A$5:$A$34,0)),DAY(EOMONTH($AD720,1)))))),""))</f>
        <v/>
      </c>
      <c r="U720" s="38" t="n"/>
      <c r="V720" s="37" t="n"/>
      <c r="W720" s="38" t="n"/>
      <c r="X720" s="38" t="n"/>
      <c r="Y720" s="44" t="str">
        <f>IF($AC720&gt;0,INDEX(CASHBACK_RULES!$A$5:$A$304,$AC720),"")</f>
        <v/>
      </c>
      <c r="Z720" s="45" t="str">
        <f>IF($AC720&gt;0,INDEX(CASHBACK_RULES!$E$5:$E$304,$AC720)&amp;"","")</f>
        <v/>
      </c>
      <c r="AA720" s="48" t="str">
        <f>IF($AC720&gt;0,IF(ISNUMBER(INDEX(CASHBACK_RULES!$K$5:$K$304,$AC720)),INDEX(CASHBACK_RULES!$K$5:$K$304,$AC720),"∞"),"")</f>
        <v/>
      </c>
      <c r="AB720" s="44" t="str">
        <f>IF(OR($B720="",$D720=""),"",IF($U720="Cancelled","Đã hủy",IF($AC720=0,"Không được hoàn",IF($Q720=0,IF(OR($O720&gt;0,$M720&lt;$L720),"Đã đạt cap","Không được hoàn"),IF(OR($Q720&lt;$O720,$M720&lt;$L720),"Hoàn một phần","Được hoàn")))))</f>
        <v/>
      </c>
      <c r="AC720" s="43">
        <f>IF(OR($B720="",$D720="",$I720="",$L720=""),0,IF($U720="Cancelled",0,IF($W720&lt;&gt;"",IFERROR(IF(INDEX(CASHBACK_RULES!$B$5:$B$304,MATCH($W720,CASHBACK_RULES!$A$5:$A$304,0))=$D720,MATCH($W720,CASHBACK_RULES!$A$5:$A$304,0),0),0),IFERROR(MATCH(1,INDEX((CASHBACK_RULES!$B$5:$B$304=$D720)*(CASHBACK_RULES!$G$5:$G$304=$I720)*(((CASHBACK_RULES!$N$5:$N$304="")+(CASHBACK_RULES!$N$5:$N$304&lt;=$B720))&gt;0)*(((CASHBACK_RULES!$O$5:$O$304="")+(CASHBACK_RULES!$O$5:$O$304&gt;=$B720))&gt;0)*(((CASHBACK_RULES!$M$5:$M$304="")+(CASHBACK_RULES!$M$5:$M$304&lt;=$L720))&gt;0),0),0),0))))</f>
        <v>0</v>
      </c>
      <c r="AD720" s="51" t="str">
        <f>IF(OR($B720="",$D720=""),"",IFERROR(IF(INDEX(CARDS!$H$5:$H$34,MATCH($D720,CARDS!$A$5:$A$34,0))="","",IF(DAY($B720)&lt;=INDEX(CARDS!$H$5:$H$34,MATCH($D720,CARDS!$A$5:$A$34,0)),DATE(YEAR($B720),MONTH($B720),MIN(INDEX(CARDS!$H$5:$H$34,MATCH($D720,CARDS!$A$5:$A$34,0)),DAY(EOMONTH($B720,0)))),DATE(YEAR($B720),MONTH($B720)+1,MIN(INDEX(CARDS!$H$5:$H$34,MATCH($D720,CARDS!$A$5:$A$34,0)),DAY(EOMONTH($B720,1)))))),""))</f>
        <v/>
      </c>
      <c r="AE720" s="52" t="str">
        <f>IF($C720="","",$C720&amp;"|"&amp;COUNTIF($C$5:$C720,$C720))</f>
        <v/>
      </c>
      <c r="AF720" s="53">
        <f>IF($AC720&gt;0,SUMIFS(Q$4:Q719,$D$4:$D719,$D720,$Z$4:$Z719,$Z720,$C$4:$C719,$C720),0)</f>
        <v>0</v>
      </c>
      <c r="AG720" s="53">
        <f>IF($AC720&gt;0,SUMIFS(Q$4:Q719,$D$4:$D719,$D720,$C$4:$C719,$C720),0)</f>
        <v>0</v>
      </c>
      <c r="AH720" s="53">
        <f>IF($AC720&gt;0,SUMIFS(M$4:M719,$D$4:$D719,$D720,$Z$4:$Z719,$Z720,$C$4:$C719,$C720),0)</f>
        <v>0</v>
      </c>
      <c r="AI720" s="43">
        <f>IF(OR($C720="",$I720=""),0,IF(COUNTIFS($C$5:$C720,$C720,$I$5:$I720,$I720)=1,1,0))</f>
        <v>0</v>
      </c>
      <c r="AJ720" s="43" t="str">
        <f>IF($AI720=1,SUMIFS($AI$4:$AI719,$C$4:$C719,$C720)+1,"")</f>
        <v/>
      </c>
      <c r="AK720" s="43">
        <f>IF(OR($C720="",$K720=""),0,IF(COUNTIFS($C$5:$C720,$C720,$K$5:$K720,$K720)=1,1,0))</f>
        <v>0</v>
      </c>
      <c r="AL720" s="43" t="str">
        <f>IF($AK720=1,SUMIFS($AK$4:$AK719,$C$4:$C719,$C720)+1,"")</f>
        <v/>
      </c>
      <c r="AM720" s="43">
        <f>IF(OR($C720="",$G720=""),0,IF(COUNTIFS($C$5:$C720,$C720,$G$5:$G720,$G720)=1,1,0))</f>
        <v>0</v>
      </c>
      <c r="AN720" s="43" t="str">
        <f>IF($AM720=1,SUMIFS($AM$4:$AM719,$C$4:$C719,$C720)+1,"")</f>
        <v/>
      </c>
    </row>
    <row r="721">
      <c r="A721" s="44" t="str">
        <f>IF(OR($B721="",$D721=""),"","TX"&amp;TEXT(ROW()-4,"0000"))</f>
        <v/>
      </c>
      <c r="B721" s="42" t="n"/>
      <c r="C721" s="47" t="str">
        <f>IF($B721="","",YEAR($B721)*100+MONTH($B721))</f>
        <v/>
      </c>
      <c r="D721" s="37" t="n"/>
      <c r="E721" s="45" t="str">
        <f>IF($D721="","",IFERROR(INDEX(CARDS!$B$5:$B$34,MATCH($D721,CARDS!$A$5:$A$34,0)),"⚠ Card ID?"))</f>
        <v/>
      </c>
      <c r="F721" s="45" t="str">
        <f>IF($D721="","",IFERROR(INDEX(CARDS!$C$5:$C$34,MATCH($D721,CARDS!$A$5:$A$34,0)),"⚠ Card ID?"))</f>
        <v/>
      </c>
      <c r="G721" s="37" t="n"/>
      <c r="H721" s="37" t="n"/>
      <c r="I721" s="41" t="n"/>
      <c r="J721" s="45" t="str">
        <f>IF($I721="","",IFERROR(INDEX(MCC_MASTER!$B$5:$B$504,MATCH($I721,MCC_MASTER!$A$5:$A$504,0)),"⚠ MCC chưa có"))</f>
        <v/>
      </c>
      <c r="K721" s="45" t="str">
        <f>IF($I721="","",IFERROR(IF(INDEX(MCC_MASTER!$C$5:$C$504,MATCH($I721,MCC_MASTER!$A$5:$A$504,0))="","Chưa phân loại",INDEX(MCC_MASTER!$C$5:$C$504,MATCH($I721,MCC_MASTER!$A$5:$A$504,0))),"Chưa phân loại"))</f>
        <v/>
      </c>
      <c r="L721" s="40" t="n"/>
      <c r="M721" s="48" t="str">
        <f>IF(OR($B721="",$D721=""),"",IF($AC721=0,0,IF(ISNUMBER(INDEX(CASHBACK_RULES!$L$5:$L$304,$AC721)),MAX(0,MIN($L721,INDEX(CASHBACK_RULES!$L$5:$L$304,$AC721)-$AH721)),MAX(0,$L721))))</f>
        <v/>
      </c>
      <c r="N721" s="49" t="str">
        <f>IF(OR($B721="",$D721=""),"",IF($AC721&gt;0,INDEX(CASHBACK_RULES!$I$5:$I$304,$AC721),0))</f>
        <v/>
      </c>
      <c r="O721" s="48" t="str">
        <f>IF(OR($B721="",$D721=""),"",ROUND($M721*$N721,0))</f>
        <v/>
      </c>
      <c r="P721" s="48" t="str">
        <f>IF($AC721&gt;0,IF(ISNUMBER(INDEX(CASHBACK_RULES!$J$5:$J$304,$AC721)),INDEX(CASHBACK_RULES!$J$5:$J$304,$AC721),"∞"),"")</f>
        <v/>
      </c>
      <c r="Q721" s="48" t="str">
        <f>IF(OR($B721="",$D721=""),"",IF($AC721=0,0,MAX(0,MIN($O721,IF(ISNUMBER($P721),$P721-$AF721,1E+15),IF(ISNUMBER($AA721),$AA721-$AG721,1E+15)))))</f>
        <v/>
      </c>
      <c r="R721" s="48" t="str">
        <f>IF(OR($B721="",$D721=""),"",IF($AC721=0,"",IF(AND(NOT(ISNUMBER($P721)),NOT(ISNUMBER($AA721))),"∞",MAX(0,MIN(IF(ISNUMBER($P721),$P721-$AF721-$Q721,1E+15),IF(ISNUMBER($AA721),$AA721-$AG721-$Q721,1E+15))))))</f>
        <v/>
      </c>
      <c r="S721" s="47" t="str">
        <f>IF($AD721="","",YEAR($AD721)*100+MONTH($AD721))</f>
        <v/>
      </c>
      <c r="T721" s="50" t="str">
        <f>IF($AD721="","",IFERROR(IF(INDEX(CARDS!$I$5:$I$34,MATCH($D721,CARDS!$A$5:$A$34,0))="","",IF(INDEX(CARDS!$I$5:$I$34,MATCH($D721,CARDS!$A$5:$A$34,0))&gt;INDEX(CARDS!$H$5:$H$34,MATCH($D721,CARDS!$A$5:$A$34,0)),DATE(YEAR($AD721),MONTH($AD721),MIN(INDEX(CARDS!$I$5:$I$34,MATCH($D721,CARDS!$A$5:$A$34,0)),DAY(EOMONTH($AD721,0)))),DATE(YEAR($AD721),MONTH($AD721)+1,MIN(INDEX(CARDS!$I$5:$I$34,MATCH($D721,CARDS!$A$5:$A$34,0)),DAY(EOMONTH($AD721,1)))))),""))</f>
        <v/>
      </c>
      <c r="U721" s="38" t="n"/>
      <c r="V721" s="37" t="n"/>
      <c r="W721" s="38" t="n"/>
      <c r="X721" s="38" t="n"/>
      <c r="Y721" s="44" t="str">
        <f>IF($AC721&gt;0,INDEX(CASHBACK_RULES!$A$5:$A$304,$AC721),"")</f>
        <v/>
      </c>
      <c r="Z721" s="45" t="str">
        <f>IF($AC721&gt;0,INDEX(CASHBACK_RULES!$E$5:$E$304,$AC721)&amp;"","")</f>
        <v/>
      </c>
      <c r="AA721" s="48" t="str">
        <f>IF($AC721&gt;0,IF(ISNUMBER(INDEX(CASHBACK_RULES!$K$5:$K$304,$AC721)),INDEX(CASHBACK_RULES!$K$5:$K$304,$AC721),"∞"),"")</f>
        <v/>
      </c>
      <c r="AB721" s="44" t="str">
        <f>IF(OR($B721="",$D721=""),"",IF($U721="Cancelled","Đã hủy",IF($AC721=0,"Không được hoàn",IF($Q721=0,IF(OR($O721&gt;0,$M721&lt;$L721),"Đã đạt cap","Không được hoàn"),IF(OR($Q721&lt;$O721,$M721&lt;$L721),"Hoàn một phần","Được hoàn")))))</f>
        <v/>
      </c>
      <c r="AC721" s="43">
        <f>IF(OR($B721="",$D721="",$I721="",$L721=""),0,IF($U721="Cancelled",0,IF($W721&lt;&gt;"",IFERROR(IF(INDEX(CASHBACK_RULES!$B$5:$B$304,MATCH($W721,CASHBACK_RULES!$A$5:$A$304,0))=$D721,MATCH($W721,CASHBACK_RULES!$A$5:$A$304,0),0),0),IFERROR(MATCH(1,INDEX((CASHBACK_RULES!$B$5:$B$304=$D721)*(CASHBACK_RULES!$G$5:$G$304=$I721)*(((CASHBACK_RULES!$N$5:$N$304="")+(CASHBACK_RULES!$N$5:$N$304&lt;=$B721))&gt;0)*(((CASHBACK_RULES!$O$5:$O$304="")+(CASHBACK_RULES!$O$5:$O$304&gt;=$B721))&gt;0)*(((CASHBACK_RULES!$M$5:$M$304="")+(CASHBACK_RULES!$M$5:$M$304&lt;=$L721))&gt;0),0),0),0))))</f>
        <v>0</v>
      </c>
      <c r="AD721" s="51" t="str">
        <f>IF(OR($B721="",$D721=""),"",IFERROR(IF(INDEX(CARDS!$H$5:$H$34,MATCH($D721,CARDS!$A$5:$A$34,0))="","",IF(DAY($B721)&lt;=INDEX(CARDS!$H$5:$H$34,MATCH($D721,CARDS!$A$5:$A$34,0)),DATE(YEAR($B721),MONTH($B721),MIN(INDEX(CARDS!$H$5:$H$34,MATCH($D721,CARDS!$A$5:$A$34,0)),DAY(EOMONTH($B721,0)))),DATE(YEAR($B721),MONTH($B721)+1,MIN(INDEX(CARDS!$H$5:$H$34,MATCH($D721,CARDS!$A$5:$A$34,0)),DAY(EOMONTH($B721,1)))))),""))</f>
        <v/>
      </c>
      <c r="AE721" s="52" t="str">
        <f>IF($C721="","",$C721&amp;"|"&amp;COUNTIF($C$5:$C721,$C721))</f>
        <v/>
      </c>
      <c r="AF721" s="53">
        <f>IF($AC721&gt;0,SUMIFS(Q$4:Q720,$D$4:$D720,$D721,$Z$4:$Z720,$Z721,$C$4:$C720,$C721),0)</f>
        <v>0</v>
      </c>
      <c r="AG721" s="53">
        <f>IF($AC721&gt;0,SUMIFS(Q$4:Q720,$D$4:$D720,$D721,$C$4:$C720,$C721),0)</f>
        <v>0</v>
      </c>
      <c r="AH721" s="53">
        <f>IF($AC721&gt;0,SUMIFS(M$4:M720,$D$4:$D720,$D721,$Z$4:$Z720,$Z721,$C$4:$C720,$C721),0)</f>
        <v>0</v>
      </c>
      <c r="AI721" s="43">
        <f>IF(OR($C721="",$I721=""),0,IF(COUNTIFS($C$5:$C721,$C721,$I$5:$I721,$I721)=1,1,0))</f>
        <v>0</v>
      </c>
      <c r="AJ721" s="43" t="str">
        <f>IF($AI721=1,SUMIFS($AI$4:$AI720,$C$4:$C720,$C721)+1,"")</f>
        <v/>
      </c>
      <c r="AK721" s="43">
        <f>IF(OR($C721="",$K721=""),0,IF(COUNTIFS($C$5:$C721,$C721,$K$5:$K721,$K721)=1,1,0))</f>
        <v>0</v>
      </c>
      <c r="AL721" s="43" t="str">
        <f>IF($AK721=1,SUMIFS($AK$4:$AK720,$C$4:$C720,$C721)+1,"")</f>
        <v/>
      </c>
      <c r="AM721" s="43">
        <f>IF(OR($C721="",$G721=""),0,IF(COUNTIFS($C$5:$C721,$C721,$G$5:$G721,$G721)=1,1,0))</f>
        <v>0</v>
      </c>
      <c r="AN721" s="43" t="str">
        <f>IF($AM721=1,SUMIFS($AM$4:$AM720,$C$4:$C720,$C721)+1,"")</f>
        <v/>
      </c>
    </row>
    <row r="722">
      <c r="A722" s="44" t="str">
        <f>IF(OR($B722="",$D722=""),"","TX"&amp;TEXT(ROW()-4,"0000"))</f>
        <v/>
      </c>
      <c r="B722" s="42" t="n"/>
      <c r="C722" s="47" t="str">
        <f>IF($B722="","",YEAR($B722)*100+MONTH($B722))</f>
        <v/>
      </c>
      <c r="D722" s="37" t="n"/>
      <c r="E722" s="45" t="str">
        <f>IF($D722="","",IFERROR(INDEX(CARDS!$B$5:$B$34,MATCH($D722,CARDS!$A$5:$A$34,0)),"⚠ Card ID?"))</f>
        <v/>
      </c>
      <c r="F722" s="45" t="str">
        <f>IF($D722="","",IFERROR(INDEX(CARDS!$C$5:$C$34,MATCH($D722,CARDS!$A$5:$A$34,0)),"⚠ Card ID?"))</f>
        <v/>
      </c>
      <c r="G722" s="37" t="n"/>
      <c r="H722" s="37" t="n"/>
      <c r="I722" s="41" t="n"/>
      <c r="J722" s="45" t="str">
        <f>IF($I722="","",IFERROR(INDEX(MCC_MASTER!$B$5:$B$504,MATCH($I722,MCC_MASTER!$A$5:$A$504,0)),"⚠ MCC chưa có"))</f>
        <v/>
      </c>
      <c r="K722" s="45" t="str">
        <f>IF($I722="","",IFERROR(IF(INDEX(MCC_MASTER!$C$5:$C$504,MATCH($I722,MCC_MASTER!$A$5:$A$504,0))="","Chưa phân loại",INDEX(MCC_MASTER!$C$5:$C$504,MATCH($I722,MCC_MASTER!$A$5:$A$504,0))),"Chưa phân loại"))</f>
        <v/>
      </c>
      <c r="L722" s="40" t="n"/>
      <c r="M722" s="48" t="str">
        <f>IF(OR($B722="",$D722=""),"",IF($AC722=0,0,IF(ISNUMBER(INDEX(CASHBACK_RULES!$L$5:$L$304,$AC722)),MAX(0,MIN($L722,INDEX(CASHBACK_RULES!$L$5:$L$304,$AC722)-$AH722)),MAX(0,$L722))))</f>
        <v/>
      </c>
      <c r="N722" s="49" t="str">
        <f>IF(OR($B722="",$D722=""),"",IF($AC722&gt;0,INDEX(CASHBACK_RULES!$I$5:$I$304,$AC722),0))</f>
        <v/>
      </c>
      <c r="O722" s="48" t="str">
        <f>IF(OR($B722="",$D722=""),"",ROUND($M722*$N722,0))</f>
        <v/>
      </c>
      <c r="P722" s="48" t="str">
        <f>IF($AC722&gt;0,IF(ISNUMBER(INDEX(CASHBACK_RULES!$J$5:$J$304,$AC722)),INDEX(CASHBACK_RULES!$J$5:$J$304,$AC722),"∞"),"")</f>
        <v/>
      </c>
      <c r="Q722" s="48" t="str">
        <f>IF(OR($B722="",$D722=""),"",IF($AC722=0,0,MAX(0,MIN($O722,IF(ISNUMBER($P722),$P722-$AF722,1E+15),IF(ISNUMBER($AA722),$AA722-$AG722,1E+15)))))</f>
        <v/>
      </c>
      <c r="R722" s="48" t="str">
        <f>IF(OR($B722="",$D722=""),"",IF($AC722=0,"",IF(AND(NOT(ISNUMBER($P722)),NOT(ISNUMBER($AA722))),"∞",MAX(0,MIN(IF(ISNUMBER($P722),$P722-$AF722-$Q722,1E+15),IF(ISNUMBER($AA722),$AA722-$AG722-$Q722,1E+15))))))</f>
        <v/>
      </c>
      <c r="S722" s="47" t="str">
        <f>IF($AD722="","",YEAR($AD722)*100+MONTH($AD722))</f>
        <v/>
      </c>
      <c r="T722" s="50" t="str">
        <f>IF($AD722="","",IFERROR(IF(INDEX(CARDS!$I$5:$I$34,MATCH($D722,CARDS!$A$5:$A$34,0))="","",IF(INDEX(CARDS!$I$5:$I$34,MATCH($D722,CARDS!$A$5:$A$34,0))&gt;INDEX(CARDS!$H$5:$H$34,MATCH($D722,CARDS!$A$5:$A$34,0)),DATE(YEAR($AD722),MONTH($AD722),MIN(INDEX(CARDS!$I$5:$I$34,MATCH($D722,CARDS!$A$5:$A$34,0)),DAY(EOMONTH($AD722,0)))),DATE(YEAR($AD722),MONTH($AD722)+1,MIN(INDEX(CARDS!$I$5:$I$34,MATCH($D722,CARDS!$A$5:$A$34,0)),DAY(EOMONTH($AD722,1)))))),""))</f>
        <v/>
      </c>
      <c r="U722" s="38" t="n"/>
      <c r="V722" s="37" t="n"/>
      <c r="W722" s="38" t="n"/>
      <c r="X722" s="38" t="n"/>
      <c r="Y722" s="44" t="str">
        <f>IF($AC722&gt;0,INDEX(CASHBACK_RULES!$A$5:$A$304,$AC722),"")</f>
        <v/>
      </c>
      <c r="Z722" s="45" t="str">
        <f>IF($AC722&gt;0,INDEX(CASHBACK_RULES!$E$5:$E$304,$AC722)&amp;"","")</f>
        <v/>
      </c>
      <c r="AA722" s="48" t="str">
        <f>IF($AC722&gt;0,IF(ISNUMBER(INDEX(CASHBACK_RULES!$K$5:$K$304,$AC722)),INDEX(CASHBACK_RULES!$K$5:$K$304,$AC722),"∞"),"")</f>
        <v/>
      </c>
      <c r="AB722" s="44" t="str">
        <f>IF(OR($B722="",$D722=""),"",IF($U722="Cancelled","Đã hủy",IF($AC722=0,"Không được hoàn",IF($Q722=0,IF(OR($O722&gt;0,$M722&lt;$L722),"Đã đạt cap","Không được hoàn"),IF(OR($Q722&lt;$O722,$M722&lt;$L722),"Hoàn một phần","Được hoàn")))))</f>
        <v/>
      </c>
      <c r="AC722" s="43">
        <f>IF(OR($B722="",$D722="",$I722="",$L722=""),0,IF($U722="Cancelled",0,IF($W722&lt;&gt;"",IFERROR(IF(INDEX(CASHBACK_RULES!$B$5:$B$304,MATCH($W722,CASHBACK_RULES!$A$5:$A$304,0))=$D722,MATCH($W722,CASHBACK_RULES!$A$5:$A$304,0),0),0),IFERROR(MATCH(1,INDEX((CASHBACK_RULES!$B$5:$B$304=$D722)*(CASHBACK_RULES!$G$5:$G$304=$I722)*(((CASHBACK_RULES!$N$5:$N$304="")+(CASHBACK_RULES!$N$5:$N$304&lt;=$B722))&gt;0)*(((CASHBACK_RULES!$O$5:$O$304="")+(CASHBACK_RULES!$O$5:$O$304&gt;=$B722))&gt;0)*(((CASHBACK_RULES!$M$5:$M$304="")+(CASHBACK_RULES!$M$5:$M$304&lt;=$L722))&gt;0),0),0),0))))</f>
        <v>0</v>
      </c>
      <c r="AD722" s="51" t="str">
        <f>IF(OR($B722="",$D722=""),"",IFERROR(IF(INDEX(CARDS!$H$5:$H$34,MATCH($D722,CARDS!$A$5:$A$34,0))="","",IF(DAY($B722)&lt;=INDEX(CARDS!$H$5:$H$34,MATCH($D722,CARDS!$A$5:$A$34,0)),DATE(YEAR($B722),MONTH($B722),MIN(INDEX(CARDS!$H$5:$H$34,MATCH($D722,CARDS!$A$5:$A$34,0)),DAY(EOMONTH($B722,0)))),DATE(YEAR($B722),MONTH($B722)+1,MIN(INDEX(CARDS!$H$5:$H$34,MATCH($D722,CARDS!$A$5:$A$34,0)),DAY(EOMONTH($B722,1)))))),""))</f>
        <v/>
      </c>
      <c r="AE722" s="52" t="str">
        <f>IF($C722="","",$C722&amp;"|"&amp;COUNTIF($C$5:$C722,$C722))</f>
        <v/>
      </c>
      <c r="AF722" s="53">
        <f>IF($AC722&gt;0,SUMIFS(Q$4:Q721,$D$4:$D721,$D722,$Z$4:$Z721,$Z722,$C$4:$C721,$C722),0)</f>
        <v>0</v>
      </c>
      <c r="AG722" s="53">
        <f>IF($AC722&gt;0,SUMIFS(Q$4:Q721,$D$4:$D721,$D722,$C$4:$C721,$C722),0)</f>
        <v>0</v>
      </c>
      <c r="AH722" s="53">
        <f>IF($AC722&gt;0,SUMIFS(M$4:M721,$D$4:$D721,$D722,$Z$4:$Z721,$Z722,$C$4:$C721,$C722),0)</f>
        <v>0</v>
      </c>
      <c r="AI722" s="43">
        <f>IF(OR($C722="",$I722=""),0,IF(COUNTIFS($C$5:$C722,$C722,$I$5:$I722,$I722)=1,1,0))</f>
        <v>0</v>
      </c>
      <c r="AJ722" s="43" t="str">
        <f>IF($AI722=1,SUMIFS($AI$4:$AI721,$C$4:$C721,$C722)+1,"")</f>
        <v/>
      </c>
      <c r="AK722" s="43">
        <f>IF(OR($C722="",$K722=""),0,IF(COUNTIFS($C$5:$C722,$C722,$K$5:$K722,$K722)=1,1,0))</f>
        <v>0</v>
      </c>
      <c r="AL722" s="43" t="str">
        <f>IF($AK722=1,SUMIFS($AK$4:$AK721,$C$4:$C721,$C722)+1,"")</f>
        <v/>
      </c>
      <c r="AM722" s="43">
        <f>IF(OR($C722="",$G722=""),0,IF(COUNTIFS($C$5:$C722,$C722,$G$5:$G722,$G722)=1,1,0))</f>
        <v>0</v>
      </c>
      <c r="AN722" s="43" t="str">
        <f>IF($AM722=1,SUMIFS($AM$4:$AM721,$C$4:$C721,$C722)+1,"")</f>
        <v/>
      </c>
    </row>
    <row r="723">
      <c r="A723" s="44" t="str">
        <f>IF(OR($B723="",$D723=""),"","TX"&amp;TEXT(ROW()-4,"0000"))</f>
        <v/>
      </c>
      <c r="B723" s="42" t="n"/>
      <c r="C723" s="47" t="str">
        <f>IF($B723="","",YEAR($B723)*100+MONTH($B723))</f>
        <v/>
      </c>
      <c r="D723" s="37" t="n"/>
      <c r="E723" s="45" t="str">
        <f>IF($D723="","",IFERROR(INDEX(CARDS!$B$5:$B$34,MATCH($D723,CARDS!$A$5:$A$34,0)),"⚠ Card ID?"))</f>
        <v/>
      </c>
      <c r="F723" s="45" t="str">
        <f>IF($D723="","",IFERROR(INDEX(CARDS!$C$5:$C$34,MATCH($D723,CARDS!$A$5:$A$34,0)),"⚠ Card ID?"))</f>
        <v/>
      </c>
      <c r="G723" s="37" t="n"/>
      <c r="H723" s="37" t="n"/>
      <c r="I723" s="41" t="n"/>
      <c r="J723" s="45" t="str">
        <f>IF($I723="","",IFERROR(INDEX(MCC_MASTER!$B$5:$B$504,MATCH($I723,MCC_MASTER!$A$5:$A$504,0)),"⚠ MCC chưa có"))</f>
        <v/>
      </c>
      <c r="K723" s="45" t="str">
        <f>IF($I723="","",IFERROR(IF(INDEX(MCC_MASTER!$C$5:$C$504,MATCH($I723,MCC_MASTER!$A$5:$A$504,0))="","Chưa phân loại",INDEX(MCC_MASTER!$C$5:$C$504,MATCH($I723,MCC_MASTER!$A$5:$A$504,0))),"Chưa phân loại"))</f>
        <v/>
      </c>
      <c r="L723" s="40" t="n"/>
      <c r="M723" s="48" t="str">
        <f>IF(OR($B723="",$D723=""),"",IF($AC723=0,0,IF(ISNUMBER(INDEX(CASHBACK_RULES!$L$5:$L$304,$AC723)),MAX(0,MIN($L723,INDEX(CASHBACK_RULES!$L$5:$L$304,$AC723)-$AH723)),MAX(0,$L723))))</f>
        <v/>
      </c>
      <c r="N723" s="49" t="str">
        <f>IF(OR($B723="",$D723=""),"",IF($AC723&gt;0,INDEX(CASHBACK_RULES!$I$5:$I$304,$AC723),0))</f>
        <v/>
      </c>
      <c r="O723" s="48" t="str">
        <f>IF(OR($B723="",$D723=""),"",ROUND($M723*$N723,0))</f>
        <v/>
      </c>
      <c r="P723" s="48" t="str">
        <f>IF($AC723&gt;0,IF(ISNUMBER(INDEX(CASHBACK_RULES!$J$5:$J$304,$AC723)),INDEX(CASHBACK_RULES!$J$5:$J$304,$AC723),"∞"),"")</f>
        <v/>
      </c>
      <c r="Q723" s="48" t="str">
        <f>IF(OR($B723="",$D723=""),"",IF($AC723=0,0,MAX(0,MIN($O723,IF(ISNUMBER($P723),$P723-$AF723,1E+15),IF(ISNUMBER($AA723),$AA723-$AG723,1E+15)))))</f>
        <v/>
      </c>
      <c r="R723" s="48" t="str">
        <f>IF(OR($B723="",$D723=""),"",IF($AC723=0,"",IF(AND(NOT(ISNUMBER($P723)),NOT(ISNUMBER($AA723))),"∞",MAX(0,MIN(IF(ISNUMBER($P723),$P723-$AF723-$Q723,1E+15),IF(ISNUMBER($AA723),$AA723-$AG723-$Q723,1E+15))))))</f>
        <v/>
      </c>
      <c r="S723" s="47" t="str">
        <f>IF($AD723="","",YEAR($AD723)*100+MONTH($AD723))</f>
        <v/>
      </c>
      <c r="T723" s="50" t="str">
        <f>IF($AD723="","",IFERROR(IF(INDEX(CARDS!$I$5:$I$34,MATCH($D723,CARDS!$A$5:$A$34,0))="","",IF(INDEX(CARDS!$I$5:$I$34,MATCH($D723,CARDS!$A$5:$A$34,0))&gt;INDEX(CARDS!$H$5:$H$34,MATCH($D723,CARDS!$A$5:$A$34,0)),DATE(YEAR($AD723),MONTH($AD723),MIN(INDEX(CARDS!$I$5:$I$34,MATCH($D723,CARDS!$A$5:$A$34,0)),DAY(EOMONTH($AD723,0)))),DATE(YEAR($AD723),MONTH($AD723)+1,MIN(INDEX(CARDS!$I$5:$I$34,MATCH($D723,CARDS!$A$5:$A$34,0)),DAY(EOMONTH($AD723,1)))))),""))</f>
        <v/>
      </c>
      <c r="U723" s="38" t="n"/>
      <c r="V723" s="37" t="n"/>
      <c r="W723" s="38" t="n"/>
      <c r="X723" s="38" t="n"/>
      <c r="Y723" s="44" t="str">
        <f>IF($AC723&gt;0,INDEX(CASHBACK_RULES!$A$5:$A$304,$AC723),"")</f>
        <v/>
      </c>
      <c r="Z723" s="45" t="str">
        <f>IF($AC723&gt;0,INDEX(CASHBACK_RULES!$E$5:$E$304,$AC723)&amp;"","")</f>
        <v/>
      </c>
      <c r="AA723" s="48" t="str">
        <f>IF($AC723&gt;0,IF(ISNUMBER(INDEX(CASHBACK_RULES!$K$5:$K$304,$AC723)),INDEX(CASHBACK_RULES!$K$5:$K$304,$AC723),"∞"),"")</f>
        <v/>
      </c>
      <c r="AB723" s="44" t="str">
        <f>IF(OR($B723="",$D723=""),"",IF($U723="Cancelled","Đã hủy",IF($AC723=0,"Không được hoàn",IF($Q723=0,IF(OR($O723&gt;0,$M723&lt;$L723),"Đã đạt cap","Không được hoàn"),IF(OR($Q723&lt;$O723,$M723&lt;$L723),"Hoàn một phần","Được hoàn")))))</f>
        <v/>
      </c>
      <c r="AC723" s="43">
        <f>IF(OR($B723="",$D723="",$I723="",$L723=""),0,IF($U723="Cancelled",0,IF($W723&lt;&gt;"",IFERROR(IF(INDEX(CASHBACK_RULES!$B$5:$B$304,MATCH($W723,CASHBACK_RULES!$A$5:$A$304,0))=$D723,MATCH($W723,CASHBACK_RULES!$A$5:$A$304,0),0),0),IFERROR(MATCH(1,INDEX((CASHBACK_RULES!$B$5:$B$304=$D723)*(CASHBACK_RULES!$G$5:$G$304=$I723)*(((CASHBACK_RULES!$N$5:$N$304="")+(CASHBACK_RULES!$N$5:$N$304&lt;=$B723))&gt;0)*(((CASHBACK_RULES!$O$5:$O$304="")+(CASHBACK_RULES!$O$5:$O$304&gt;=$B723))&gt;0)*(((CASHBACK_RULES!$M$5:$M$304="")+(CASHBACK_RULES!$M$5:$M$304&lt;=$L723))&gt;0),0),0),0))))</f>
        <v>0</v>
      </c>
      <c r="AD723" s="51" t="str">
        <f>IF(OR($B723="",$D723=""),"",IFERROR(IF(INDEX(CARDS!$H$5:$H$34,MATCH($D723,CARDS!$A$5:$A$34,0))="","",IF(DAY($B723)&lt;=INDEX(CARDS!$H$5:$H$34,MATCH($D723,CARDS!$A$5:$A$34,0)),DATE(YEAR($B723),MONTH($B723),MIN(INDEX(CARDS!$H$5:$H$34,MATCH($D723,CARDS!$A$5:$A$34,0)),DAY(EOMONTH($B723,0)))),DATE(YEAR($B723),MONTH($B723)+1,MIN(INDEX(CARDS!$H$5:$H$34,MATCH($D723,CARDS!$A$5:$A$34,0)),DAY(EOMONTH($B723,1)))))),""))</f>
        <v/>
      </c>
      <c r="AE723" s="52" t="str">
        <f>IF($C723="","",$C723&amp;"|"&amp;COUNTIF($C$5:$C723,$C723))</f>
        <v/>
      </c>
      <c r="AF723" s="53">
        <f>IF($AC723&gt;0,SUMIFS(Q$4:Q722,$D$4:$D722,$D723,$Z$4:$Z722,$Z723,$C$4:$C722,$C723),0)</f>
        <v>0</v>
      </c>
      <c r="AG723" s="53">
        <f>IF($AC723&gt;0,SUMIFS(Q$4:Q722,$D$4:$D722,$D723,$C$4:$C722,$C723),0)</f>
        <v>0</v>
      </c>
      <c r="AH723" s="53">
        <f>IF($AC723&gt;0,SUMIFS(M$4:M722,$D$4:$D722,$D723,$Z$4:$Z722,$Z723,$C$4:$C722,$C723),0)</f>
        <v>0</v>
      </c>
      <c r="AI723" s="43">
        <f>IF(OR($C723="",$I723=""),0,IF(COUNTIFS($C$5:$C723,$C723,$I$5:$I723,$I723)=1,1,0))</f>
        <v>0</v>
      </c>
      <c r="AJ723" s="43" t="str">
        <f>IF($AI723=1,SUMIFS($AI$4:$AI722,$C$4:$C722,$C723)+1,"")</f>
        <v/>
      </c>
      <c r="AK723" s="43">
        <f>IF(OR($C723="",$K723=""),0,IF(COUNTIFS($C$5:$C723,$C723,$K$5:$K723,$K723)=1,1,0))</f>
        <v>0</v>
      </c>
      <c r="AL723" s="43" t="str">
        <f>IF($AK723=1,SUMIFS($AK$4:$AK722,$C$4:$C722,$C723)+1,"")</f>
        <v/>
      </c>
      <c r="AM723" s="43">
        <f>IF(OR($C723="",$G723=""),0,IF(COUNTIFS($C$5:$C723,$C723,$G$5:$G723,$G723)=1,1,0))</f>
        <v>0</v>
      </c>
      <c r="AN723" s="43" t="str">
        <f>IF($AM723=1,SUMIFS($AM$4:$AM722,$C$4:$C722,$C723)+1,"")</f>
        <v/>
      </c>
    </row>
    <row r="724">
      <c r="A724" s="44" t="str">
        <f>IF(OR($B724="",$D724=""),"","TX"&amp;TEXT(ROW()-4,"0000"))</f>
        <v/>
      </c>
      <c r="B724" s="42" t="n"/>
      <c r="C724" s="47" t="str">
        <f>IF($B724="","",YEAR($B724)*100+MONTH($B724))</f>
        <v/>
      </c>
      <c r="D724" s="37" t="n"/>
      <c r="E724" s="45" t="str">
        <f>IF($D724="","",IFERROR(INDEX(CARDS!$B$5:$B$34,MATCH($D724,CARDS!$A$5:$A$34,0)),"⚠ Card ID?"))</f>
        <v/>
      </c>
      <c r="F724" s="45" t="str">
        <f>IF($D724="","",IFERROR(INDEX(CARDS!$C$5:$C$34,MATCH($D724,CARDS!$A$5:$A$34,0)),"⚠ Card ID?"))</f>
        <v/>
      </c>
      <c r="G724" s="37" t="n"/>
      <c r="H724" s="37" t="n"/>
      <c r="I724" s="41" t="n"/>
      <c r="J724" s="45" t="str">
        <f>IF($I724="","",IFERROR(INDEX(MCC_MASTER!$B$5:$B$504,MATCH($I724,MCC_MASTER!$A$5:$A$504,0)),"⚠ MCC chưa có"))</f>
        <v/>
      </c>
      <c r="K724" s="45" t="str">
        <f>IF($I724="","",IFERROR(IF(INDEX(MCC_MASTER!$C$5:$C$504,MATCH($I724,MCC_MASTER!$A$5:$A$504,0))="","Chưa phân loại",INDEX(MCC_MASTER!$C$5:$C$504,MATCH($I724,MCC_MASTER!$A$5:$A$504,0))),"Chưa phân loại"))</f>
        <v/>
      </c>
      <c r="L724" s="40" t="n"/>
      <c r="M724" s="48" t="str">
        <f>IF(OR($B724="",$D724=""),"",IF($AC724=0,0,IF(ISNUMBER(INDEX(CASHBACK_RULES!$L$5:$L$304,$AC724)),MAX(0,MIN($L724,INDEX(CASHBACK_RULES!$L$5:$L$304,$AC724)-$AH724)),MAX(0,$L724))))</f>
        <v/>
      </c>
      <c r="N724" s="49" t="str">
        <f>IF(OR($B724="",$D724=""),"",IF($AC724&gt;0,INDEX(CASHBACK_RULES!$I$5:$I$304,$AC724),0))</f>
        <v/>
      </c>
      <c r="O724" s="48" t="str">
        <f>IF(OR($B724="",$D724=""),"",ROUND($M724*$N724,0))</f>
        <v/>
      </c>
      <c r="P724" s="48" t="str">
        <f>IF($AC724&gt;0,IF(ISNUMBER(INDEX(CASHBACK_RULES!$J$5:$J$304,$AC724)),INDEX(CASHBACK_RULES!$J$5:$J$304,$AC724),"∞"),"")</f>
        <v/>
      </c>
      <c r="Q724" s="48" t="str">
        <f>IF(OR($B724="",$D724=""),"",IF($AC724=0,0,MAX(0,MIN($O724,IF(ISNUMBER($P724),$P724-$AF724,1E+15),IF(ISNUMBER($AA724),$AA724-$AG724,1E+15)))))</f>
        <v/>
      </c>
      <c r="R724" s="48" t="str">
        <f>IF(OR($B724="",$D724=""),"",IF($AC724=0,"",IF(AND(NOT(ISNUMBER($P724)),NOT(ISNUMBER($AA724))),"∞",MAX(0,MIN(IF(ISNUMBER($P724),$P724-$AF724-$Q724,1E+15),IF(ISNUMBER($AA724),$AA724-$AG724-$Q724,1E+15))))))</f>
        <v/>
      </c>
      <c r="S724" s="47" t="str">
        <f>IF($AD724="","",YEAR($AD724)*100+MONTH($AD724))</f>
        <v/>
      </c>
      <c r="T724" s="50" t="str">
        <f>IF($AD724="","",IFERROR(IF(INDEX(CARDS!$I$5:$I$34,MATCH($D724,CARDS!$A$5:$A$34,0))="","",IF(INDEX(CARDS!$I$5:$I$34,MATCH($D724,CARDS!$A$5:$A$34,0))&gt;INDEX(CARDS!$H$5:$H$34,MATCH($D724,CARDS!$A$5:$A$34,0)),DATE(YEAR($AD724),MONTH($AD724),MIN(INDEX(CARDS!$I$5:$I$34,MATCH($D724,CARDS!$A$5:$A$34,0)),DAY(EOMONTH($AD724,0)))),DATE(YEAR($AD724),MONTH($AD724)+1,MIN(INDEX(CARDS!$I$5:$I$34,MATCH($D724,CARDS!$A$5:$A$34,0)),DAY(EOMONTH($AD724,1)))))),""))</f>
        <v/>
      </c>
      <c r="U724" s="38" t="n"/>
      <c r="V724" s="37" t="n"/>
      <c r="W724" s="38" t="n"/>
      <c r="X724" s="38" t="n"/>
      <c r="Y724" s="44" t="str">
        <f>IF($AC724&gt;0,INDEX(CASHBACK_RULES!$A$5:$A$304,$AC724),"")</f>
        <v/>
      </c>
      <c r="Z724" s="45" t="str">
        <f>IF($AC724&gt;0,INDEX(CASHBACK_RULES!$E$5:$E$304,$AC724)&amp;"","")</f>
        <v/>
      </c>
      <c r="AA724" s="48" t="str">
        <f>IF($AC724&gt;0,IF(ISNUMBER(INDEX(CASHBACK_RULES!$K$5:$K$304,$AC724)),INDEX(CASHBACK_RULES!$K$5:$K$304,$AC724),"∞"),"")</f>
        <v/>
      </c>
      <c r="AB724" s="44" t="str">
        <f>IF(OR($B724="",$D724=""),"",IF($U724="Cancelled","Đã hủy",IF($AC724=0,"Không được hoàn",IF($Q724=0,IF(OR($O724&gt;0,$M724&lt;$L724),"Đã đạt cap","Không được hoàn"),IF(OR($Q724&lt;$O724,$M724&lt;$L724),"Hoàn một phần","Được hoàn")))))</f>
        <v/>
      </c>
      <c r="AC724" s="43">
        <f>IF(OR($B724="",$D724="",$I724="",$L724=""),0,IF($U724="Cancelled",0,IF($W724&lt;&gt;"",IFERROR(IF(INDEX(CASHBACK_RULES!$B$5:$B$304,MATCH($W724,CASHBACK_RULES!$A$5:$A$304,0))=$D724,MATCH($W724,CASHBACK_RULES!$A$5:$A$304,0),0),0),IFERROR(MATCH(1,INDEX((CASHBACK_RULES!$B$5:$B$304=$D724)*(CASHBACK_RULES!$G$5:$G$304=$I724)*(((CASHBACK_RULES!$N$5:$N$304="")+(CASHBACK_RULES!$N$5:$N$304&lt;=$B724))&gt;0)*(((CASHBACK_RULES!$O$5:$O$304="")+(CASHBACK_RULES!$O$5:$O$304&gt;=$B724))&gt;0)*(((CASHBACK_RULES!$M$5:$M$304="")+(CASHBACK_RULES!$M$5:$M$304&lt;=$L724))&gt;0),0),0),0))))</f>
        <v>0</v>
      </c>
      <c r="AD724" s="51" t="str">
        <f>IF(OR($B724="",$D724=""),"",IFERROR(IF(INDEX(CARDS!$H$5:$H$34,MATCH($D724,CARDS!$A$5:$A$34,0))="","",IF(DAY($B724)&lt;=INDEX(CARDS!$H$5:$H$34,MATCH($D724,CARDS!$A$5:$A$34,0)),DATE(YEAR($B724),MONTH($B724),MIN(INDEX(CARDS!$H$5:$H$34,MATCH($D724,CARDS!$A$5:$A$34,0)),DAY(EOMONTH($B724,0)))),DATE(YEAR($B724),MONTH($B724)+1,MIN(INDEX(CARDS!$H$5:$H$34,MATCH($D724,CARDS!$A$5:$A$34,0)),DAY(EOMONTH($B724,1)))))),""))</f>
        <v/>
      </c>
      <c r="AE724" s="52" t="str">
        <f>IF($C724="","",$C724&amp;"|"&amp;COUNTIF($C$5:$C724,$C724))</f>
        <v/>
      </c>
      <c r="AF724" s="53">
        <f>IF($AC724&gt;0,SUMIFS(Q$4:Q723,$D$4:$D723,$D724,$Z$4:$Z723,$Z724,$C$4:$C723,$C724),0)</f>
        <v>0</v>
      </c>
      <c r="AG724" s="53">
        <f>IF($AC724&gt;0,SUMIFS(Q$4:Q723,$D$4:$D723,$D724,$C$4:$C723,$C724),0)</f>
        <v>0</v>
      </c>
      <c r="AH724" s="53">
        <f>IF($AC724&gt;0,SUMIFS(M$4:M723,$D$4:$D723,$D724,$Z$4:$Z723,$Z724,$C$4:$C723,$C724),0)</f>
        <v>0</v>
      </c>
      <c r="AI724" s="43">
        <f>IF(OR($C724="",$I724=""),0,IF(COUNTIFS($C$5:$C724,$C724,$I$5:$I724,$I724)=1,1,0))</f>
        <v>0</v>
      </c>
      <c r="AJ724" s="43" t="str">
        <f>IF($AI724=1,SUMIFS($AI$4:$AI723,$C$4:$C723,$C724)+1,"")</f>
        <v/>
      </c>
      <c r="AK724" s="43">
        <f>IF(OR($C724="",$K724=""),0,IF(COUNTIFS($C$5:$C724,$C724,$K$5:$K724,$K724)=1,1,0))</f>
        <v>0</v>
      </c>
      <c r="AL724" s="43" t="str">
        <f>IF($AK724=1,SUMIFS($AK$4:$AK723,$C$4:$C723,$C724)+1,"")</f>
        <v/>
      </c>
      <c r="AM724" s="43">
        <f>IF(OR($C724="",$G724=""),0,IF(COUNTIFS($C$5:$C724,$C724,$G$5:$G724,$G724)=1,1,0))</f>
        <v>0</v>
      </c>
      <c r="AN724" s="43" t="str">
        <f>IF($AM724=1,SUMIFS($AM$4:$AM723,$C$4:$C723,$C724)+1,"")</f>
        <v/>
      </c>
    </row>
    <row r="725">
      <c r="A725" s="44" t="str">
        <f>IF(OR($B725="",$D725=""),"","TX"&amp;TEXT(ROW()-4,"0000"))</f>
        <v/>
      </c>
      <c r="B725" s="42" t="n"/>
      <c r="C725" s="47" t="str">
        <f>IF($B725="","",YEAR($B725)*100+MONTH($B725))</f>
        <v/>
      </c>
      <c r="D725" s="37" t="n"/>
      <c r="E725" s="45" t="str">
        <f>IF($D725="","",IFERROR(INDEX(CARDS!$B$5:$B$34,MATCH($D725,CARDS!$A$5:$A$34,0)),"⚠ Card ID?"))</f>
        <v/>
      </c>
      <c r="F725" s="45" t="str">
        <f>IF($D725="","",IFERROR(INDEX(CARDS!$C$5:$C$34,MATCH($D725,CARDS!$A$5:$A$34,0)),"⚠ Card ID?"))</f>
        <v/>
      </c>
      <c r="G725" s="37" t="n"/>
      <c r="H725" s="37" t="n"/>
      <c r="I725" s="41" t="n"/>
      <c r="J725" s="45" t="str">
        <f>IF($I725="","",IFERROR(INDEX(MCC_MASTER!$B$5:$B$504,MATCH($I725,MCC_MASTER!$A$5:$A$504,0)),"⚠ MCC chưa có"))</f>
        <v/>
      </c>
      <c r="K725" s="45" t="str">
        <f>IF($I725="","",IFERROR(IF(INDEX(MCC_MASTER!$C$5:$C$504,MATCH($I725,MCC_MASTER!$A$5:$A$504,0))="","Chưa phân loại",INDEX(MCC_MASTER!$C$5:$C$504,MATCH($I725,MCC_MASTER!$A$5:$A$504,0))),"Chưa phân loại"))</f>
        <v/>
      </c>
      <c r="L725" s="40" t="n"/>
      <c r="M725" s="48" t="str">
        <f>IF(OR($B725="",$D725=""),"",IF($AC725=0,0,IF(ISNUMBER(INDEX(CASHBACK_RULES!$L$5:$L$304,$AC725)),MAX(0,MIN($L725,INDEX(CASHBACK_RULES!$L$5:$L$304,$AC725)-$AH725)),MAX(0,$L725))))</f>
        <v/>
      </c>
      <c r="N725" s="49" t="str">
        <f>IF(OR($B725="",$D725=""),"",IF($AC725&gt;0,INDEX(CASHBACK_RULES!$I$5:$I$304,$AC725),0))</f>
        <v/>
      </c>
      <c r="O725" s="48" t="str">
        <f>IF(OR($B725="",$D725=""),"",ROUND($M725*$N725,0))</f>
        <v/>
      </c>
      <c r="P725" s="48" t="str">
        <f>IF($AC725&gt;0,IF(ISNUMBER(INDEX(CASHBACK_RULES!$J$5:$J$304,$AC725)),INDEX(CASHBACK_RULES!$J$5:$J$304,$AC725),"∞"),"")</f>
        <v/>
      </c>
      <c r="Q725" s="48" t="str">
        <f>IF(OR($B725="",$D725=""),"",IF($AC725=0,0,MAX(0,MIN($O725,IF(ISNUMBER($P725),$P725-$AF725,1E+15),IF(ISNUMBER($AA725),$AA725-$AG725,1E+15)))))</f>
        <v/>
      </c>
      <c r="R725" s="48" t="str">
        <f>IF(OR($B725="",$D725=""),"",IF($AC725=0,"",IF(AND(NOT(ISNUMBER($P725)),NOT(ISNUMBER($AA725))),"∞",MAX(0,MIN(IF(ISNUMBER($P725),$P725-$AF725-$Q725,1E+15),IF(ISNUMBER($AA725),$AA725-$AG725-$Q725,1E+15))))))</f>
        <v/>
      </c>
      <c r="S725" s="47" t="str">
        <f>IF($AD725="","",YEAR($AD725)*100+MONTH($AD725))</f>
        <v/>
      </c>
      <c r="T725" s="50" t="str">
        <f>IF($AD725="","",IFERROR(IF(INDEX(CARDS!$I$5:$I$34,MATCH($D725,CARDS!$A$5:$A$34,0))="","",IF(INDEX(CARDS!$I$5:$I$34,MATCH($D725,CARDS!$A$5:$A$34,0))&gt;INDEX(CARDS!$H$5:$H$34,MATCH($D725,CARDS!$A$5:$A$34,0)),DATE(YEAR($AD725),MONTH($AD725),MIN(INDEX(CARDS!$I$5:$I$34,MATCH($D725,CARDS!$A$5:$A$34,0)),DAY(EOMONTH($AD725,0)))),DATE(YEAR($AD725),MONTH($AD725)+1,MIN(INDEX(CARDS!$I$5:$I$34,MATCH($D725,CARDS!$A$5:$A$34,0)),DAY(EOMONTH($AD725,1)))))),""))</f>
        <v/>
      </c>
      <c r="U725" s="38" t="n"/>
      <c r="V725" s="37" t="n"/>
      <c r="W725" s="38" t="n"/>
      <c r="X725" s="38" t="n"/>
      <c r="Y725" s="44" t="str">
        <f>IF($AC725&gt;0,INDEX(CASHBACK_RULES!$A$5:$A$304,$AC725),"")</f>
        <v/>
      </c>
      <c r="Z725" s="45" t="str">
        <f>IF($AC725&gt;0,INDEX(CASHBACK_RULES!$E$5:$E$304,$AC725)&amp;"","")</f>
        <v/>
      </c>
      <c r="AA725" s="48" t="str">
        <f>IF($AC725&gt;0,IF(ISNUMBER(INDEX(CASHBACK_RULES!$K$5:$K$304,$AC725)),INDEX(CASHBACK_RULES!$K$5:$K$304,$AC725),"∞"),"")</f>
        <v/>
      </c>
      <c r="AB725" s="44" t="str">
        <f>IF(OR($B725="",$D725=""),"",IF($U725="Cancelled","Đã hủy",IF($AC725=0,"Không được hoàn",IF($Q725=0,IF(OR($O725&gt;0,$M725&lt;$L725),"Đã đạt cap","Không được hoàn"),IF(OR($Q725&lt;$O725,$M725&lt;$L725),"Hoàn một phần","Được hoàn")))))</f>
        <v/>
      </c>
      <c r="AC725" s="43">
        <f>IF(OR($B725="",$D725="",$I725="",$L725=""),0,IF($U725="Cancelled",0,IF($W725&lt;&gt;"",IFERROR(IF(INDEX(CASHBACK_RULES!$B$5:$B$304,MATCH($W725,CASHBACK_RULES!$A$5:$A$304,0))=$D725,MATCH($W725,CASHBACK_RULES!$A$5:$A$304,0),0),0),IFERROR(MATCH(1,INDEX((CASHBACK_RULES!$B$5:$B$304=$D725)*(CASHBACK_RULES!$G$5:$G$304=$I725)*(((CASHBACK_RULES!$N$5:$N$304="")+(CASHBACK_RULES!$N$5:$N$304&lt;=$B725))&gt;0)*(((CASHBACK_RULES!$O$5:$O$304="")+(CASHBACK_RULES!$O$5:$O$304&gt;=$B725))&gt;0)*(((CASHBACK_RULES!$M$5:$M$304="")+(CASHBACK_RULES!$M$5:$M$304&lt;=$L725))&gt;0),0),0),0))))</f>
        <v>0</v>
      </c>
      <c r="AD725" s="51" t="str">
        <f>IF(OR($B725="",$D725=""),"",IFERROR(IF(INDEX(CARDS!$H$5:$H$34,MATCH($D725,CARDS!$A$5:$A$34,0))="","",IF(DAY($B725)&lt;=INDEX(CARDS!$H$5:$H$34,MATCH($D725,CARDS!$A$5:$A$34,0)),DATE(YEAR($B725),MONTH($B725),MIN(INDEX(CARDS!$H$5:$H$34,MATCH($D725,CARDS!$A$5:$A$34,0)),DAY(EOMONTH($B725,0)))),DATE(YEAR($B725),MONTH($B725)+1,MIN(INDEX(CARDS!$H$5:$H$34,MATCH($D725,CARDS!$A$5:$A$34,0)),DAY(EOMONTH($B725,1)))))),""))</f>
        <v/>
      </c>
      <c r="AE725" s="52" t="str">
        <f>IF($C725="","",$C725&amp;"|"&amp;COUNTIF($C$5:$C725,$C725))</f>
        <v/>
      </c>
      <c r="AF725" s="53">
        <f>IF($AC725&gt;0,SUMIFS(Q$4:Q724,$D$4:$D724,$D725,$Z$4:$Z724,$Z725,$C$4:$C724,$C725),0)</f>
        <v>0</v>
      </c>
      <c r="AG725" s="53">
        <f>IF($AC725&gt;0,SUMIFS(Q$4:Q724,$D$4:$D724,$D725,$C$4:$C724,$C725),0)</f>
        <v>0</v>
      </c>
      <c r="AH725" s="53">
        <f>IF($AC725&gt;0,SUMIFS(M$4:M724,$D$4:$D724,$D725,$Z$4:$Z724,$Z725,$C$4:$C724,$C725),0)</f>
        <v>0</v>
      </c>
      <c r="AI725" s="43">
        <f>IF(OR($C725="",$I725=""),0,IF(COUNTIFS($C$5:$C725,$C725,$I$5:$I725,$I725)=1,1,0))</f>
        <v>0</v>
      </c>
      <c r="AJ725" s="43" t="str">
        <f>IF($AI725=1,SUMIFS($AI$4:$AI724,$C$4:$C724,$C725)+1,"")</f>
        <v/>
      </c>
      <c r="AK725" s="43">
        <f>IF(OR($C725="",$K725=""),0,IF(COUNTIFS($C$5:$C725,$C725,$K$5:$K725,$K725)=1,1,0))</f>
        <v>0</v>
      </c>
      <c r="AL725" s="43" t="str">
        <f>IF($AK725=1,SUMIFS($AK$4:$AK724,$C$4:$C724,$C725)+1,"")</f>
        <v/>
      </c>
      <c r="AM725" s="43">
        <f>IF(OR($C725="",$G725=""),0,IF(COUNTIFS($C$5:$C725,$C725,$G$5:$G725,$G725)=1,1,0))</f>
        <v>0</v>
      </c>
      <c r="AN725" s="43" t="str">
        <f>IF($AM725=1,SUMIFS($AM$4:$AM724,$C$4:$C724,$C725)+1,"")</f>
        <v/>
      </c>
    </row>
    <row r="726">
      <c r="A726" s="44" t="str">
        <f>IF(OR($B726="",$D726=""),"","TX"&amp;TEXT(ROW()-4,"0000"))</f>
        <v/>
      </c>
      <c r="B726" s="42" t="n"/>
      <c r="C726" s="47" t="str">
        <f>IF($B726="","",YEAR($B726)*100+MONTH($B726))</f>
        <v/>
      </c>
      <c r="D726" s="37" t="n"/>
      <c r="E726" s="45" t="str">
        <f>IF($D726="","",IFERROR(INDEX(CARDS!$B$5:$B$34,MATCH($D726,CARDS!$A$5:$A$34,0)),"⚠ Card ID?"))</f>
        <v/>
      </c>
      <c r="F726" s="45" t="str">
        <f>IF($D726="","",IFERROR(INDEX(CARDS!$C$5:$C$34,MATCH($D726,CARDS!$A$5:$A$34,0)),"⚠ Card ID?"))</f>
        <v/>
      </c>
      <c r="G726" s="37" t="n"/>
      <c r="H726" s="37" t="n"/>
      <c r="I726" s="41" t="n"/>
      <c r="J726" s="45" t="str">
        <f>IF($I726="","",IFERROR(INDEX(MCC_MASTER!$B$5:$B$504,MATCH($I726,MCC_MASTER!$A$5:$A$504,0)),"⚠ MCC chưa có"))</f>
        <v/>
      </c>
      <c r="K726" s="45" t="str">
        <f>IF($I726="","",IFERROR(IF(INDEX(MCC_MASTER!$C$5:$C$504,MATCH($I726,MCC_MASTER!$A$5:$A$504,0))="","Chưa phân loại",INDEX(MCC_MASTER!$C$5:$C$504,MATCH($I726,MCC_MASTER!$A$5:$A$504,0))),"Chưa phân loại"))</f>
        <v/>
      </c>
      <c r="L726" s="40" t="n"/>
      <c r="M726" s="48" t="str">
        <f>IF(OR($B726="",$D726=""),"",IF($AC726=0,0,IF(ISNUMBER(INDEX(CASHBACK_RULES!$L$5:$L$304,$AC726)),MAX(0,MIN($L726,INDEX(CASHBACK_RULES!$L$5:$L$304,$AC726)-$AH726)),MAX(0,$L726))))</f>
        <v/>
      </c>
      <c r="N726" s="49" t="str">
        <f>IF(OR($B726="",$D726=""),"",IF($AC726&gt;0,INDEX(CASHBACK_RULES!$I$5:$I$304,$AC726),0))</f>
        <v/>
      </c>
      <c r="O726" s="48" t="str">
        <f>IF(OR($B726="",$D726=""),"",ROUND($M726*$N726,0))</f>
        <v/>
      </c>
      <c r="P726" s="48" t="str">
        <f>IF($AC726&gt;0,IF(ISNUMBER(INDEX(CASHBACK_RULES!$J$5:$J$304,$AC726)),INDEX(CASHBACK_RULES!$J$5:$J$304,$AC726),"∞"),"")</f>
        <v/>
      </c>
      <c r="Q726" s="48" t="str">
        <f>IF(OR($B726="",$D726=""),"",IF($AC726=0,0,MAX(0,MIN($O726,IF(ISNUMBER($P726),$P726-$AF726,1E+15),IF(ISNUMBER($AA726),$AA726-$AG726,1E+15)))))</f>
        <v/>
      </c>
      <c r="R726" s="48" t="str">
        <f>IF(OR($B726="",$D726=""),"",IF($AC726=0,"",IF(AND(NOT(ISNUMBER($P726)),NOT(ISNUMBER($AA726))),"∞",MAX(0,MIN(IF(ISNUMBER($P726),$P726-$AF726-$Q726,1E+15),IF(ISNUMBER($AA726),$AA726-$AG726-$Q726,1E+15))))))</f>
        <v/>
      </c>
      <c r="S726" s="47" t="str">
        <f>IF($AD726="","",YEAR($AD726)*100+MONTH($AD726))</f>
        <v/>
      </c>
      <c r="T726" s="50" t="str">
        <f>IF($AD726="","",IFERROR(IF(INDEX(CARDS!$I$5:$I$34,MATCH($D726,CARDS!$A$5:$A$34,0))="","",IF(INDEX(CARDS!$I$5:$I$34,MATCH($D726,CARDS!$A$5:$A$34,0))&gt;INDEX(CARDS!$H$5:$H$34,MATCH($D726,CARDS!$A$5:$A$34,0)),DATE(YEAR($AD726),MONTH($AD726),MIN(INDEX(CARDS!$I$5:$I$34,MATCH($D726,CARDS!$A$5:$A$34,0)),DAY(EOMONTH($AD726,0)))),DATE(YEAR($AD726),MONTH($AD726)+1,MIN(INDEX(CARDS!$I$5:$I$34,MATCH($D726,CARDS!$A$5:$A$34,0)),DAY(EOMONTH($AD726,1)))))),""))</f>
        <v/>
      </c>
      <c r="U726" s="38" t="n"/>
      <c r="V726" s="37" t="n"/>
      <c r="W726" s="38" t="n"/>
      <c r="X726" s="38" t="n"/>
      <c r="Y726" s="44" t="str">
        <f>IF($AC726&gt;0,INDEX(CASHBACK_RULES!$A$5:$A$304,$AC726),"")</f>
        <v/>
      </c>
      <c r="Z726" s="45" t="str">
        <f>IF($AC726&gt;0,INDEX(CASHBACK_RULES!$E$5:$E$304,$AC726)&amp;"","")</f>
        <v/>
      </c>
      <c r="AA726" s="48" t="str">
        <f>IF($AC726&gt;0,IF(ISNUMBER(INDEX(CASHBACK_RULES!$K$5:$K$304,$AC726)),INDEX(CASHBACK_RULES!$K$5:$K$304,$AC726),"∞"),"")</f>
        <v/>
      </c>
      <c r="AB726" s="44" t="str">
        <f>IF(OR($B726="",$D726=""),"",IF($U726="Cancelled","Đã hủy",IF($AC726=0,"Không được hoàn",IF($Q726=0,IF(OR($O726&gt;0,$M726&lt;$L726),"Đã đạt cap","Không được hoàn"),IF(OR($Q726&lt;$O726,$M726&lt;$L726),"Hoàn một phần","Được hoàn")))))</f>
        <v/>
      </c>
      <c r="AC726" s="43">
        <f>IF(OR($B726="",$D726="",$I726="",$L726=""),0,IF($U726="Cancelled",0,IF($W726&lt;&gt;"",IFERROR(IF(INDEX(CASHBACK_RULES!$B$5:$B$304,MATCH($W726,CASHBACK_RULES!$A$5:$A$304,0))=$D726,MATCH($W726,CASHBACK_RULES!$A$5:$A$304,0),0),0),IFERROR(MATCH(1,INDEX((CASHBACK_RULES!$B$5:$B$304=$D726)*(CASHBACK_RULES!$G$5:$G$304=$I726)*(((CASHBACK_RULES!$N$5:$N$304="")+(CASHBACK_RULES!$N$5:$N$304&lt;=$B726))&gt;0)*(((CASHBACK_RULES!$O$5:$O$304="")+(CASHBACK_RULES!$O$5:$O$304&gt;=$B726))&gt;0)*(((CASHBACK_RULES!$M$5:$M$304="")+(CASHBACK_RULES!$M$5:$M$304&lt;=$L726))&gt;0),0),0),0))))</f>
        <v>0</v>
      </c>
      <c r="AD726" s="51" t="str">
        <f>IF(OR($B726="",$D726=""),"",IFERROR(IF(INDEX(CARDS!$H$5:$H$34,MATCH($D726,CARDS!$A$5:$A$34,0))="","",IF(DAY($B726)&lt;=INDEX(CARDS!$H$5:$H$34,MATCH($D726,CARDS!$A$5:$A$34,0)),DATE(YEAR($B726),MONTH($B726),MIN(INDEX(CARDS!$H$5:$H$34,MATCH($D726,CARDS!$A$5:$A$34,0)),DAY(EOMONTH($B726,0)))),DATE(YEAR($B726),MONTH($B726)+1,MIN(INDEX(CARDS!$H$5:$H$34,MATCH($D726,CARDS!$A$5:$A$34,0)),DAY(EOMONTH($B726,1)))))),""))</f>
        <v/>
      </c>
      <c r="AE726" s="52" t="str">
        <f>IF($C726="","",$C726&amp;"|"&amp;COUNTIF($C$5:$C726,$C726))</f>
        <v/>
      </c>
      <c r="AF726" s="53">
        <f>IF($AC726&gt;0,SUMIFS(Q$4:Q725,$D$4:$D725,$D726,$Z$4:$Z725,$Z726,$C$4:$C725,$C726),0)</f>
        <v>0</v>
      </c>
      <c r="AG726" s="53">
        <f>IF($AC726&gt;0,SUMIFS(Q$4:Q725,$D$4:$D725,$D726,$C$4:$C725,$C726),0)</f>
        <v>0</v>
      </c>
      <c r="AH726" s="53">
        <f>IF($AC726&gt;0,SUMIFS(M$4:M725,$D$4:$D725,$D726,$Z$4:$Z725,$Z726,$C$4:$C725,$C726),0)</f>
        <v>0</v>
      </c>
      <c r="AI726" s="43">
        <f>IF(OR($C726="",$I726=""),0,IF(COUNTIFS($C$5:$C726,$C726,$I$5:$I726,$I726)=1,1,0))</f>
        <v>0</v>
      </c>
      <c r="AJ726" s="43" t="str">
        <f>IF($AI726=1,SUMIFS($AI$4:$AI725,$C$4:$C725,$C726)+1,"")</f>
        <v/>
      </c>
      <c r="AK726" s="43">
        <f>IF(OR($C726="",$K726=""),0,IF(COUNTIFS($C$5:$C726,$C726,$K$5:$K726,$K726)=1,1,0))</f>
        <v>0</v>
      </c>
      <c r="AL726" s="43" t="str">
        <f>IF($AK726=1,SUMIFS($AK$4:$AK725,$C$4:$C725,$C726)+1,"")</f>
        <v/>
      </c>
      <c r="AM726" s="43">
        <f>IF(OR($C726="",$G726=""),0,IF(COUNTIFS($C$5:$C726,$C726,$G$5:$G726,$G726)=1,1,0))</f>
        <v>0</v>
      </c>
      <c r="AN726" s="43" t="str">
        <f>IF($AM726=1,SUMIFS($AM$4:$AM725,$C$4:$C725,$C726)+1,"")</f>
        <v/>
      </c>
    </row>
    <row r="727">
      <c r="A727" s="44" t="str">
        <f>IF(OR($B727="",$D727=""),"","TX"&amp;TEXT(ROW()-4,"0000"))</f>
        <v/>
      </c>
      <c r="B727" s="42" t="n"/>
      <c r="C727" s="47" t="str">
        <f>IF($B727="","",YEAR($B727)*100+MONTH($B727))</f>
        <v/>
      </c>
      <c r="D727" s="37" t="n"/>
      <c r="E727" s="45" t="str">
        <f>IF($D727="","",IFERROR(INDEX(CARDS!$B$5:$B$34,MATCH($D727,CARDS!$A$5:$A$34,0)),"⚠ Card ID?"))</f>
        <v/>
      </c>
      <c r="F727" s="45" t="str">
        <f>IF($D727="","",IFERROR(INDEX(CARDS!$C$5:$C$34,MATCH($D727,CARDS!$A$5:$A$34,0)),"⚠ Card ID?"))</f>
        <v/>
      </c>
      <c r="G727" s="37" t="n"/>
      <c r="H727" s="37" t="n"/>
      <c r="I727" s="41" t="n"/>
      <c r="J727" s="45" t="str">
        <f>IF($I727="","",IFERROR(INDEX(MCC_MASTER!$B$5:$B$504,MATCH($I727,MCC_MASTER!$A$5:$A$504,0)),"⚠ MCC chưa có"))</f>
        <v/>
      </c>
      <c r="K727" s="45" t="str">
        <f>IF($I727="","",IFERROR(IF(INDEX(MCC_MASTER!$C$5:$C$504,MATCH($I727,MCC_MASTER!$A$5:$A$504,0))="","Chưa phân loại",INDEX(MCC_MASTER!$C$5:$C$504,MATCH($I727,MCC_MASTER!$A$5:$A$504,0))),"Chưa phân loại"))</f>
        <v/>
      </c>
      <c r="L727" s="40" t="n"/>
      <c r="M727" s="48" t="str">
        <f>IF(OR($B727="",$D727=""),"",IF($AC727=0,0,IF(ISNUMBER(INDEX(CASHBACK_RULES!$L$5:$L$304,$AC727)),MAX(0,MIN($L727,INDEX(CASHBACK_RULES!$L$5:$L$304,$AC727)-$AH727)),MAX(0,$L727))))</f>
        <v/>
      </c>
      <c r="N727" s="49" t="str">
        <f>IF(OR($B727="",$D727=""),"",IF($AC727&gt;0,INDEX(CASHBACK_RULES!$I$5:$I$304,$AC727),0))</f>
        <v/>
      </c>
      <c r="O727" s="48" t="str">
        <f>IF(OR($B727="",$D727=""),"",ROUND($M727*$N727,0))</f>
        <v/>
      </c>
      <c r="P727" s="48" t="str">
        <f>IF($AC727&gt;0,IF(ISNUMBER(INDEX(CASHBACK_RULES!$J$5:$J$304,$AC727)),INDEX(CASHBACK_RULES!$J$5:$J$304,$AC727),"∞"),"")</f>
        <v/>
      </c>
      <c r="Q727" s="48" t="str">
        <f>IF(OR($B727="",$D727=""),"",IF($AC727=0,0,MAX(0,MIN($O727,IF(ISNUMBER($P727),$P727-$AF727,1E+15),IF(ISNUMBER($AA727),$AA727-$AG727,1E+15)))))</f>
        <v/>
      </c>
      <c r="R727" s="48" t="str">
        <f>IF(OR($B727="",$D727=""),"",IF($AC727=0,"",IF(AND(NOT(ISNUMBER($P727)),NOT(ISNUMBER($AA727))),"∞",MAX(0,MIN(IF(ISNUMBER($P727),$P727-$AF727-$Q727,1E+15),IF(ISNUMBER($AA727),$AA727-$AG727-$Q727,1E+15))))))</f>
        <v/>
      </c>
      <c r="S727" s="47" t="str">
        <f>IF($AD727="","",YEAR($AD727)*100+MONTH($AD727))</f>
        <v/>
      </c>
      <c r="T727" s="50" t="str">
        <f>IF($AD727="","",IFERROR(IF(INDEX(CARDS!$I$5:$I$34,MATCH($D727,CARDS!$A$5:$A$34,0))="","",IF(INDEX(CARDS!$I$5:$I$34,MATCH($D727,CARDS!$A$5:$A$34,0))&gt;INDEX(CARDS!$H$5:$H$34,MATCH($D727,CARDS!$A$5:$A$34,0)),DATE(YEAR($AD727),MONTH($AD727),MIN(INDEX(CARDS!$I$5:$I$34,MATCH($D727,CARDS!$A$5:$A$34,0)),DAY(EOMONTH($AD727,0)))),DATE(YEAR($AD727),MONTH($AD727)+1,MIN(INDEX(CARDS!$I$5:$I$34,MATCH($D727,CARDS!$A$5:$A$34,0)),DAY(EOMONTH($AD727,1)))))),""))</f>
        <v/>
      </c>
      <c r="U727" s="38" t="n"/>
      <c r="V727" s="37" t="n"/>
      <c r="W727" s="38" t="n"/>
      <c r="X727" s="38" t="n"/>
      <c r="Y727" s="44" t="str">
        <f>IF($AC727&gt;0,INDEX(CASHBACK_RULES!$A$5:$A$304,$AC727),"")</f>
        <v/>
      </c>
      <c r="Z727" s="45" t="str">
        <f>IF($AC727&gt;0,INDEX(CASHBACK_RULES!$E$5:$E$304,$AC727)&amp;"","")</f>
        <v/>
      </c>
      <c r="AA727" s="48" t="str">
        <f>IF($AC727&gt;0,IF(ISNUMBER(INDEX(CASHBACK_RULES!$K$5:$K$304,$AC727)),INDEX(CASHBACK_RULES!$K$5:$K$304,$AC727),"∞"),"")</f>
        <v/>
      </c>
      <c r="AB727" s="44" t="str">
        <f>IF(OR($B727="",$D727=""),"",IF($U727="Cancelled","Đã hủy",IF($AC727=0,"Không được hoàn",IF($Q727=0,IF(OR($O727&gt;0,$M727&lt;$L727),"Đã đạt cap","Không được hoàn"),IF(OR($Q727&lt;$O727,$M727&lt;$L727),"Hoàn một phần","Được hoàn")))))</f>
        <v/>
      </c>
      <c r="AC727" s="43">
        <f>IF(OR($B727="",$D727="",$I727="",$L727=""),0,IF($U727="Cancelled",0,IF($W727&lt;&gt;"",IFERROR(IF(INDEX(CASHBACK_RULES!$B$5:$B$304,MATCH($W727,CASHBACK_RULES!$A$5:$A$304,0))=$D727,MATCH($W727,CASHBACK_RULES!$A$5:$A$304,0),0),0),IFERROR(MATCH(1,INDEX((CASHBACK_RULES!$B$5:$B$304=$D727)*(CASHBACK_RULES!$G$5:$G$304=$I727)*(((CASHBACK_RULES!$N$5:$N$304="")+(CASHBACK_RULES!$N$5:$N$304&lt;=$B727))&gt;0)*(((CASHBACK_RULES!$O$5:$O$304="")+(CASHBACK_RULES!$O$5:$O$304&gt;=$B727))&gt;0)*(((CASHBACK_RULES!$M$5:$M$304="")+(CASHBACK_RULES!$M$5:$M$304&lt;=$L727))&gt;0),0),0),0))))</f>
        <v>0</v>
      </c>
      <c r="AD727" s="51" t="str">
        <f>IF(OR($B727="",$D727=""),"",IFERROR(IF(INDEX(CARDS!$H$5:$H$34,MATCH($D727,CARDS!$A$5:$A$34,0))="","",IF(DAY($B727)&lt;=INDEX(CARDS!$H$5:$H$34,MATCH($D727,CARDS!$A$5:$A$34,0)),DATE(YEAR($B727),MONTH($B727),MIN(INDEX(CARDS!$H$5:$H$34,MATCH($D727,CARDS!$A$5:$A$34,0)),DAY(EOMONTH($B727,0)))),DATE(YEAR($B727),MONTH($B727)+1,MIN(INDEX(CARDS!$H$5:$H$34,MATCH($D727,CARDS!$A$5:$A$34,0)),DAY(EOMONTH($B727,1)))))),""))</f>
        <v/>
      </c>
      <c r="AE727" s="52" t="str">
        <f>IF($C727="","",$C727&amp;"|"&amp;COUNTIF($C$5:$C727,$C727))</f>
        <v/>
      </c>
      <c r="AF727" s="53">
        <f>IF($AC727&gt;0,SUMIFS(Q$4:Q726,$D$4:$D726,$D727,$Z$4:$Z726,$Z727,$C$4:$C726,$C727),0)</f>
        <v>0</v>
      </c>
      <c r="AG727" s="53">
        <f>IF($AC727&gt;0,SUMIFS(Q$4:Q726,$D$4:$D726,$D727,$C$4:$C726,$C727),0)</f>
        <v>0</v>
      </c>
      <c r="AH727" s="53">
        <f>IF($AC727&gt;0,SUMIFS(M$4:M726,$D$4:$D726,$D727,$Z$4:$Z726,$Z727,$C$4:$C726,$C727),0)</f>
        <v>0</v>
      </c>
      <c r="AI727" s="43">
        <f>IF(OR($C727="",$I727=""),0,IF(COUNTIFS($C$5:$C727,$C727,$I$5:$I727,$I727)=1,1,0))</f>
        <v>0</v>
      </c>
      <c r="AJ727" s="43" t="str">
        <f>IF($AI727=1,SUMIFS($AI$4:$AI726,$C$4:$C726,$C727)+1,"")</f>
        <v/>
      </c>
      <c r="AK727" s="43">
        <f>IF(OR($C727="",$K727=""),0,IF(COUNTIFS($C$5:$C727,$C727,$K$5:$K727,$K727)=1,1,0))</f>
        <v>0</v>
      </c>
      <c r="AL727" s="43" t="str">
        <f>IF($AK727=1,SUMIFS($AK$4:$AK726,$C$4:$C726,$C727)+1,"")</f>
        <v/>
      </c>
      <c r="AM727" s="43">
        <f>IF(OR($C727="",$G727=""),0,IF(COUNTIFS($C$5:$C727,$C727,$G$5:$G727,$G727)=1,1,0))</f>
        <v>0</v>
      </c>
      <c r="AN727" s="43" t="str">
        <f>IF($AM727=1,SUMIFS($AM$4:$AM726,$C$4:$C726,$C727)+1,"")</f>
        <v/>
      </c>
    </row>
    <row r="728">
      <c r="A728" s="44" t="str">
        <f>IF(OR($B728="",$D728=""),"","TX"&amp;TEXT(ROW()-4,"0000"))</f>
        <v/>
      </c>
      <c r="B728" s="42" t="n"/>
      <c r="C728" s="47" t="str">
        <f>IF($B728="","",YEAR($B728)*100+MONTH($B728))</f>
        <v/>
      </c>
      <c r="D728" s="37" t="n"/>
      <c r="E728" s="45" t="str">
        <f>IF($D728="","",IFERROR(INDEX(CARDS!$B$5:$B$34,MATCH($D728,CARDS!$A$5:$A$34,0)),"⚠ Card ID?"))</f>
        <v/>
      </c>
      <c r="F728" s="45" t="str">
        <f>IF($D728="","",IFERROR(INDEX(CARDS!$C$5:$C$34,MATCH($D728,CARDS!$A$5:$A$34,0)),"⚠ Card ID?"))</f>
        <v/>
      </c>
      <c r="G728" s="37" t="n"/>
      <c r="H728" s="37" t="n"/>
      <c r="I728" s="41" t="n"/>
      <c r="J728" s="45" t="str">
        <f>IF($I728="","",IFERROR(INDEX(MCC_MASTER!$B$5:$B$504,MATCH($I728,MCC_MASTER!$A$5:$A$504,0)),"⚠ MCC chưa có"))</f>
        <v/>
      </c>
      <c r="K728" s="45" t="str">
        <f>IF($I728="","",IFERROR(IF(INDEX(MCC_MASTER!$C$5:$C$504,MATCH($I728,MCC_MASTER!$A$5:$A$504,0))="","Chưa phân loại",INDEX(MCC_MASTER!$C$5:$C$504,MATCH($I728,MCC_MASTER!$A$5:$A$504,0))),"Chưa phân loại"))</f>
        <v/>
      </c>
      <c r="L728" s="40" t="n"/>
      <c r="M728" s="48" t="str">
        <f>IF(OR($B728="",$D728=""),"",IF($AC728=0,0,IF(ISNUMBER(INDEX(CASHBACK_RULES!$L$5:$L$304,$AC728)),MAX(0,MIN($L728,INDEX(CASHBACK_RULES!$L$5:$L$304,$AC728)-$AH728)),MAX(0,$L728))))</f>
        <v/>
      </c>
      <c r="N728" s="49" t="str">
        <f>IF(OR($B728="",$D728=""),"",IF($AC728&gt;0,INDEX(CASHBACK_RULES!$I$5:$I$304,$AC728),0))</f>
        <v/>
      </c>
      <c r="O728" s="48" t="str">
        <f>IF(OR($B728="",$D728=""),"",ROUND($M728*$N728,0))</f>
        <v/>
      </c>
      <c r="P728" s="48" t="str">
        <f>IF($AC728&gt;0,IF(ISNUMBER(INDEX(CASHBACK_RULES!$J$5:$J$304,$AC728)),INDEX(CASHBACK_RULES!$J$5:$J$304,$AC728),"∞"),"")</f>
        <v/>
      </c>
      <c r="Q728" s="48" t="str">
        <f>IF(OR($B728="",$D728=""),"",IF($AC728=0,0,MAX(0,MIN($O728,IF(ISNUMBER($P728),$P728-$AF728,1E+15),IF(ISNUMBER($AA728),$AA728-$AG728,1E+15)))))</f>
        <v/>
      </c>
      <c r="R728" s="48" t="str">
        <f>IF(OR($B728="",$D728=""),"",IF($AC728=0,"",IF(AND(NOT(ISNUMBER($P728)),NOT(ISNUMBER($AA728))),"∞",MAX(0,MIN(IF(ISNUMBER($P728),$P728-$AF728-$Q728,1E+15),IF(ISNUMBER($AA728),$AA728-$AG728-$Q728,1E+15))))))</f>
        <v/>
      </c>
      <c r="S728" s="47" t="str">
        <f>IF($AD728="","",YEAR($AD728)*100+MONTH($AD728))</f>
        <v/>
      </c>
      <c r="T728" s="50" t="str">
        <f>IF($AD728="","",IFERROR(IF(INDEX(CARDS!$I$5:$I$34,MATCH($D728,CARDS!$A$5:$A$34,0))="","",IF(INDEX(CARDS!$I$5:$I$34,MATCH($D728,CARDS!$A$5:$A$34,0))&gt;INDEX(CARDS!$H$5:$H$34,MATCH($D728,CARDS!$A$5:$A$34,0)),DATE(YEAR($AD728),MONTH($AD728),MIN(INDEX(CARDS!$I$5:$I$34,MATCH($D728,CARDS!$A$5:$A$34,0)),DAY(EOMONTH($AD728,0)))),DATE(YEAR($AD728),MONTH($AD728)+1,MIN(INDEX(CARDS!$I$5:$I$34,MATCH($D728,CARDS!$A$5:$A$34,0)),DAY(EOMONTH($AD728,1)))))),""))</f>
        <v/>
      </c>
      <c r="U728" s="38" t="n"/>
      <c r="V728" s="37" t="n"/>
      <c r="W728" s="38" t="n"/>
      <c r="X728" s="38" t="n"/>
      <c r="Y728" s="44" t="str">
        <f>IF($AC728&gt;0,INDEX(CASHBACK_RULES!$A$5:$A$304,$AC728),"")</f>
        <v/>
      </c>
      <c r="Z728" s="45" t="str">
        <f>IF($AC728&gt;0,INDEX(CASHBACK_RULES!$E$5:$E$304,$AC728)&amp;"","")</f>
        <v/>
      </c>
      <c r="AA728" s="48" t="str">
        <f>IF($AC728&gt;0,IF(ISNUMBER(INDEX(CASHBACK_RULES!$K$5:$K$304,$AC728)),INDEX(CASHBACK_RULES!$K$5:$K$304,$AC728),"∞"),"")</f>
        <v/>
      </c>
      <c r="AB728" s="44" t="str">
        <f>IF(OR($B728="",$D728=""),"",IF($U728="Cancelled","Đã hủy",IF($AC728=0,"Không được hoàn",IF($Q728=0,IF(OR($O728&gt;0,$M728&lt;$L728),"Đã đạt cap","Không được hoàn"),IF(OR($Q728&lt;$O728,$M728&lt;$L728),"Hoàn một phần","Được hoàn")))))</f>
        <v/>
      </c>
      <c r="AC728" s="43">
        <f>IF(OR($B728="",$D728="",$I728="",$L728=""),0,IF($U728="Cancelled",0,IF($W728&lt;&gt;"",IFERROR(IF(INDEX(CASHBACK_RULES!$B$5:$B$304,MATCH($W728,CASHBACK_RULES!$A$5:$A$304,0))=$D728,MATCH($W728,CASHBACK_RULES!$A$5:$A$304,0),0),0),IFERROR(MATCH(1,INDEX((CASHBACK_RULES!$B$5:$B$304=$D728)*(CASHBACK_RULES!$G$5:$G$304=$I728)*(((CASHBACK_RULES!$N$5:$N$304="")+(CASHBACK_RULES!$N$5:$N$304&lt;=$B728))&gt;0)*(((CASHBACK_RULES!$O$5:$O$304="")+(CASHBACK_RULES!$O$5:$O$304&gt;=$B728))&gt;0)*(((CASHBACK_RULES!$M$5:$M$304="")+(CASHBACK_RULES!$M$5:$M$304&lt;=$L728))&gt;0),0),0),0))))</f>
        <v>0</v>
      </c>
      <c r="AD728" s="51" t="str">
        <f>IF(OR($B728="",$D728=""),"",IFERROR(IF(INDEX(CARDS!$H$5:$H$34,MATCH($D728,CARDS!$A$5:$A$34,0))="","",IF(DAY($B728)&lt;=INDEX(CARDS!$H$5:$H$34,MATCH($D728,CARDS!$A$5:$A$34,0)),DATE(YEAR($B728),MONTH($B728),MIN(INDEX(CARDS!$H$5:$H$34,MATCH($D728,CARDS!$A$5:$A$34,0)),DAY(EOMONTH($B728,0)))),DATE(YEAR($B728),MONTH($B728)+1,MIN(INDEX(CARDS!$H$5:$H$34,MATCH($D728,CARDS!$A$5:$A$34,0)),DAY(EOMONTH($B728,1)))))),""))</f>
        <v/>
      </c>
      <c r="AE728" s="52" t="str">
        <f>IF($C728="","",$C728&amp;"|"&amp;COUNTIF($C$5:$C728,$C728))</f>
        <v/>
      </c>
      <c r="AF728" s="53">
        <f>IF($AC728&gt;0,SUMIFS(Q$4:Q727,$D$4:$D727,$D728,$Z$4:$Z727,$Z728,$C$4:$C727,$C728),0)</f>
        <v>0</v>
      </c>
      <c r="AG728" s="53">
        <f>IF($AC728&gt;0,SUMIFS(Q$4:Q727,$D$4:$D727,$D728,$C$4:$C727,$C728),0)</f>
        <v>0</v>
      </c>
      <c r="AH728" s="53">
        <f>IF($AC728&gt;0,SUMIFS(M$4:M727,$D$4:$D727,$D728,$Z$4:$Z727,$Z728,$C$4:$C727,$C728),0)</f>
        <v>0</v>
      </c>
      <c r="AI728" s="43">
        <f>IF(OR($C728="",$I728=""),0,IF(COUNTIFS($C$5:$C728,$C728,$I$5:$I728,$I728)=1,1,0))</f>
        <v>0</v>
      </c>
      <c r="AJ728" s="43" t="str">
        <f>IF($AI728=1,SUMIFS($AI$4:$AI727,$C$4:$C727,$C728)+1,"")</f>
        <v/>
      </c>
      <c r="AK728" s="43">
        <f>IF(OR($C728="",$K728=""),0,IF(COUNTIFS($C$5:$C728,$C728,$K$5:$K728,$K728)=1,1,0))</f>
        <v>0</v>
      </c>
      <c r="AL728" s="43" t="str">
        <f>IF($AK728=1,SUMIFS($AK$4:$AK727,$C$4:$C727,$C728)+1,"")</f>
        <v/>
      </c>
      <c r="AM728" s="43">
        <f>IF(OR($C728="",$G728=""),0,IF(COUNTIFS($C$5:$C728,$C728,$G$5:$G728,$G728)=1,1,0))</f>
        <v>0</v>
      </c>
      <c r="AN728" s="43" t="str">
        <f>IF($AM728=1,SUMIFS($AM$4:$AM727,$C$4:$C727,$C728)+1,"")</f>
        <v/>
      </c>
    </row>
    <row r="729">
      <c r="A729" s="44" t="str">
        <f>IF(OR($B729="",$D729=""),"","TX"&amp;TEXT(ROW()-4,"0000"))</f>
        <v/>
      </c>
      <c r="B729" s="42" t="n"/>
      <c r="C729" s="47" t="str">
        <f>IF($B729="","",YEAR($B729)*100+MONTH($B729))</f>
        <v/>
      </c>
      <c r="D729" s="37" t="n"/>
      <c r="E729" s="45" t="str">
        <f>IF($D729="","",IFERROR(INDEX(CARDS!$B$5:$B$34,MATCH($D729,CARDS!$A$5:$A$34,0)),"⚠ Card ID?"))</f>
        <v/>
      </c>
      <c r="F729" s="45" t="str">
        <f>IF($D729="","",IFERROR(INDEX(CARDS!$C$5:$C$34,MATCH($D729,CARDS!$A$5:$A$34,0)),"⚠ Card ID?"))</f>
        <v/>
      </c>
      <c r="G729" s="37" t="n"/>
      <c r="H729" s="37" t="n"/>
      <c r="I729" s="41" t="n"/>
      <c r="J729" s="45" t="str">
        <f>IF($I729="","",IFERROR(INDEX(MCC_MASTER!$B$5:$B$504,MATCH($I729,MCC_MASTER!$A$5:$A$504,0)),"⚠ MCC chưa có"))</f>
        <v/>
      </c>
      <c r="K729" s="45" t="str">
        <f>IF($I729="","",IFERROR(IF(INDEX(MCC_MASTER!$C$5:$C$504,MATCH($I729,MCC_MASTER!$A$5:$A$504,0))="","Chưa phân loại",INDEX(MCC_MASTER!$C$5:$C$504,MATCH($I729,MCC_MASTER!$A$5:$A$504,0))),"Chưa phân loại"))</f>
        <v/>
      </c>
      <c r="L729" s="40" t="n"/>
      <c r="M729" s="48" t="str">
        <f>IF(OR($B729="",$D729=""),"",IF($AC729=0,0,IF(ISNUMBER(INDEX(CASHBACK_RULES!$L$5:$L$304,$AC729)),MAX(0,MIN($L729,INDEX(CASHBACK_RULES!$L$5:$L$304,$AC729)-$AH729)),MAX(0,$L729))))</f>
        <v/>
      </c>
      <c r="N729" s="49" t="str">
        <f>IF(OR($B729="",$D729=""),"",IF($AC729&gt;0,INDEX(CASHBACK_RULES!$I$5:$I$304,$AC729),0))</f>
        <v/>
      </c>
      <c r="O729" s="48" t="str">
        <f>IF(OR($B729="",$D729=""),"",ROUND($M729*$N729,0))</f>
        <v/>
      </c>
      <c r="P729" s="48" t="str">
        <f>IF($AC729&gt;0,IF(ISNUMBER(INDEX(CASHBACK_RULES!$J$5:$J$304,$AC729)),INDEX(CASHBACK_RULES!$J$5:$J$304,$AC729),"∞"),"")</f>
        <v/>
      </c>
      <c r="Q729" s="48" t="str">
        <f>IF(OR($B729="",$D729=""),"",IF($AC729=0,0,MAX(0,MIN($O729,IF(ISNUMBER($P729),$P729-$AF729,1E+15),IF(ISNUMBER($AA729),$AA729-$AG729,1E+15)))))</f>
        <v/>
      </c>
      <c r="R729" s="48" t="str">
        <f>IF(OR($B729="",$D729=""),"",IF($AC729=0,"",IF(AND(NOT(ISNUMBER($P729)),NOT(ISNUMBER($AA729))),"∞",MAX(0,MIN(IF(ISNUMBER($P729),$P729-$AF729-$Q729,1E+15),IF(ISNUMBER($AA729),$AA729-$AG729-$Q729,1E+15))))))</f>
        <v/>
      </c>
      <c r="S729" s="47" t="str">
        <f>IF($AD729="","",YEAR($AD729)*100+MONTH($AD729))</f>
        <v/>
      </c>
      <c r="T729" s="50" t="str">
        <f>IF($AD729="","",IFERROR(IF(INDEX(CARDS!$I$5:$I$34,MATCH($D729,CARDS!$A$5:$A$34,0))="","",IF(INDEX(CARDS!$I$5:$I$34,MATCH($D729,CARDS!$A$5:$A$34,0))&gt;INDEX(CARDS!$H$5:$H$34,MATCH($D729,CARDS!$A$5:$A$34,0)),DATE(YEAR($AD729),MONTH($AD729),MIN(INDEX(CARDS!$I$5:$I$34,MATCH($D729,CARDS!$A$5:$A$34,0)),DAY(EOMONTH($AD729,0)))),DATE(YEAR($AD729),MONTH($AD729)+1,MIN(INDEX(CARDS!$I$5:$I$34,MATCH($D729,CARDS!$A$5:$A$34,0)),DAY(EOMONTH($AD729,1)))))),""))</f>
        <v/>
      </c>
      <c r="U729" s="38" t="n"/>
      <c r="V729" s="37" t="n"/>
      <c r="W729" s="38" t="n"/>
      <c r="X729" s="38" t="n"/>
      <c r="Y729" s="44" t="str">
        <f>IF($AC729&gt;0,INDEX(CASHBACK_RULES!$A$5:$A$304,$AC729),"")</f>
        <v/>
      </c>
      <c r="Z729" s="45" t="str">
        <f>IF($AC729&gt;0,INDEX(CASHBACK_RULES!$E$5:$E$304,$AC729)&amp;"","")</f>
        <v/>
      </c>
      <c r="AA729" s="48" t="str">
        <f>IF($AC729&gt;0,IF(ISNUMBER(INDEX(CASHBACK_RULES!$K$5:$K$304,$AC729)),INDEX(CASHBACK_RULES!$K$5:$K$304,$AC729),"∞"),"")</f>
        <v/>
      </c>
      <c r="AB729" s="44" t="str">
        <f>IF(OR($B729="",$D729=""),"",IF($U729="Cancelled","Đã hủy",IF($AC729=0,"Không được hoàn",IF($Q729=0,IF(OR($O729&gt;0,$M729&lt;$L729),"Đã đạt cap","Không được hoàn"),IF(OR($Q729&lt;$O729,$M729&lt;$L729),"Hoàn một phần","Được hoàn")))))</f>
        <v/>
      </c>
      <c r="AC729" s="43">
        <f>IF(OR($B729="",$D729="",$I729="",$L729=""),0,IF($U729="Cancelled",0,IF($W729&lt;&gt;"",IFERROR(IF(INDEX(CASHBACK_RULES!$B$5:$B$304,MATCH($W729,CASHBACK_RULES!$A$5:$A$304,0))=$D729,MATCH($W729,CASHBACK_RULES!$A$5:$A$304,0),0),0),IFERROR(MATCH(1,INDEX((CASHBACK_RULES!$B$5:$B$304=$D729)*(CASHBACK_RULES!$G$5:$G$304=$I729)*(((CASHBACK_RULES!$N$5:$N$304="")+(CASHBACK_RULES!$N$5:$N$304&lt;=$B729))&gt;0)*(((CASHBACK_RULES!$O$5:$O$304="")+(CASHBACK_RULES!$O$5:$O$304&gt;=$B729))&gt;0)*(((CASHBACK_RULES!$M$5:$M$304="")+(CASHBACK_RULES!$M$5:$M$304&lt;=$L729))&gt;0),0),0),0))))</f>
        <v>0</v>
      </c>
      <c r="AD729" s="51" t="str">
        <f>IF(OR($B729="",$D729=""),"",IFERROR(IF(INDEX(CARDS!$H$5:$H$34,MATCH($D729,CARDS!$A$5:$A$34,0))="","",IF(DAY($B729)&lt;=INDEX(CARDS!$H$5:$H$34,MATCH($D729,CARDS!$A$5:$A$34,0)),DATE(YEAR($B729),MONTH($B729),MIN(INDEX(CARDS!$H$5:$H$34,MATCH($D729,CARDS!$A$5:$A$34,0)),DAY(EOMONTH($B729,0)))),DATE(YEAR($B729),MONTH($B729)+1,MIN(INDEX(CARDS!$H$5:$H$34,MATCH($D729,CARDS!$A$5:$A$34,0)),DAY(EOMONTH($B729,1)))))),""))</f>
        <v/>
      </c>
      <c r="AE729" s="52" t="str">
        <f>IF($C729="","",$C729&amp;"|"&amp;COUNTIF($C$5:$C729,$C729))</f>
        <v/>
      </c>
      <c r="AF729" s="53">
        <f>IF($AC729&gt;0,SUMIFS(Q$4:Q728,$D$4:$D728,$D729,$Z$4:$Z728,$Z729,$C$4:$C728,$C729),0)</f>
        <v>0</v>
      </c>
      <c r="AG729" s="53">
        <f>IF($AC729&gt;0,SUMIFS(Q$4:Q728,$D$4:$D728,$D729,$C$4:$C728,$C729),0)</f>
        <v>0</v>
      </c>
      <c r="AH729" s="53">
        <f>IF($AC729&gt;0,SUMIFS(M$4:M728,$D$4:$D728,$D729,$Z$4:$Z728,$Z729,$C$4:$C728,$C729),0)</f>
        <v>0</v>
      </c>
      <c r="AI729" s="43">
        <f>IF(OR($C729="",$I729=""),0,IF(COUNTIFS($C$5:$C729,$C729,$I$5:$I729,$I729)=1,1,0))</f>
        <v>0</v>
      </c>
      <c r="AJ729" s="43" t="str">
        <f>IF($AI729=1,SUMIFS($AI$4:$AI728,$C$4:$C728,$C729)+1,"")</f>
        <v/>
      </c>
      <c r="AK729" s="43">
        <f>IF(OR($C729="",$K729=""),0,IF(COUNTIFS($C$5:$C729,$C729,$K$5:$K729,$K729)=1,1,0))</f>
        <v>0</v>
      </c>
      <c r="AL729" s="43" t="str">
        <f>IF($AK729=1,SUMIFS($AK$4:$AK728,$C$4:$C728,$C729)+1,"")</f>
        <v/>
      </c>
      <c r="AM729" s="43">
        <f>IF(OR($C729="",$G729=""),0,IF(COUNTIFS($C$5:$C729,$C729,$G$5:$G729,$G729)=1,1,0))</f>
        <v>0</v>
      </c>
      <c r="AN729" s="43" t="str">
        <f>IF($AM729=1,SUMIFS($AM$4:$AM728,$C$4:$C728,$C729)+1,"")</f>
        <v/>
      </c>
    </row>
    <row r="730">
      <c r="A730" s="44" t="str">
        <f>IF(OR($B730="",$D730=""),"","TX"&amp;TEXT(ROW()-4,"0000"))</f>
        <v/>
      </c>
      <c r="B730" s="42" t="n"/>
      <c r="C730" s="47" t="str">
        <f>IF($B730="","",YEAR($B730)*100+MONTH($B730))</f>
        <v/>
      </c>
      <c r="D730" s="37" t="n"/>
      <c r="E730" s="45" t="str">
        <f>IF($D730="","",IFERROR(INDEX(CARDS!$B$5:$B$34,MATCH($D730,CARDS!$A$5:$A$34,0)),"⚠ Card ID?"))</f>
        <v/>
      </c>
      <c r="F730" s="45" t="str">
        <f>IF($D730="","",IFERROR(INDEX(CARDS!$C$5:$C$34,MATCH($D730,CARDS!$A$5:$A$34,0)),"⚠ Card ID?"))</f>
        <v/>
      </c>
      <c r="G730" s="37" t="n"/>
      <c r="H730" s="37" t="n"/>
      <c r="I730" s="41" t="n"/>
      <c r="J730" s="45" t="str">
        <f>IF($I730="","",IFERROR(INDEX(MCC_MASTER!$B$5:$B$504,MATCH($I730,MCC_MASTER!$A$5:$A$504,0)),"⚠ MCC chưa có"))</f>
        <v/>
      </c>
      <c r="K730" s="45" t="str">
        <f>IF($I730="","",IFERROR(IF(INDEX(MCC_MASTER!$C$5:$C$504,MATCH($I730,MCC_MASTER!$A$5:$A$504,0))="","Chưa phân loại",INDEX(MCC_MASTER!$C$5:$C$504,MATCH($I730,MCC_MASTER!$A$5:$A$504,0))),"Chưa phân loại"))</f>
        <v/>
      </c>
      <c r="L730" s="40" t="n"/>
      <c r="M730" s="48" t="str">
        <f>IF(OR($B730="",$D730=""),"",IF($AC730=0,0,IF(ISNUMBER(INDEX(CASHBACK_RULES!$L$5:$L$304,$AC730)),MAX(0,MIN($L730,INDEX(CASHBACK_RULES!$L$5:$L$304,$AC730)-$AH730)),MAX(0,$L730))))</f>
        <v/>
      </c>
      <c r="N730" s="49" t="str">
        <f>IF(OR($B730="",$D730=""),"",IF($AC730&gt;0,INDEX(CASHBACK_RULES!$I$5:$I$304,$AC730),0))</f>
        <v/>
      </c>
      <c r="O730" s="48" t="str">
        <f>IF(OR($B730="",$D730=""),"",ROUND($M730*$N730,0))</f>
        <v/>
      </c>
      <c r="P730" s="48" t="str">
        <f>IF($AC730&gt;0,IF(ISNUMBER(INDEX(CASHBACK_RULES!$J$5:$J$304,$AC730)),INDEX(CASHBACK_RULES!$J$5:$J$304,$AC730),"∞"),"")</f>
        <v/>
      </c>
      <c r="Q730" s="48" t="str">
        <f>IF(OR($B730="",$D730=""),"",IF($AC730=0,0,MAX(0,MIN($O730,IF(ISNUMBER($P730),$P730-$AF730,1E+15),IF(ISNUMBER($AA730),$AA730-$AG730,1E+15)))))</f>
        <v/>
      </c>
      <c r="R730" s="48" t="str">
        <f>IF(OR($B730="",$D730=""),"",IF($AC730=0,"",IF(AND(NOT(ISNUMBER($P730)),NOT(ISNUMBER($AA730))),"∞",MAX(0,MIN(IF(ISNUMBER($P730),$P730-$AF730-$Q730,1E+15),IF(ISNUMBER($AA730),$AA730-$AG730-$Q730,1E+15))))))</f>
        <v/>
      </c>
      <c r="S730" s="47" t="str">
        <f>IF($AD730="","",YEAR($AD730)*100+MONTH($AD730))</f>
        <v/>
      </c>
      <c r="T730" s="50" t="str">
        <f>IF($AD730="","",IFERROR(IF(INDEX(CARDS!$I$5:$I$34,MATCH($D730,CARDS!$A$5:$A$34,0))="","",IF(INDEX(CARDS!$I$5:$I$34,MATCH($D730,CARDS!$A$5:$A$34,0))&gt;INDEX(CARDS!$H$5:$H$34,MATCH($D730,CARDS!$A$5:$A$34,0)),DATE(YEAR($AD730),MONTH($AD730),MIN(INDEX(CARDS!$I$5:$I$34,MATCH($D730,CARDS!$A$5:$A$34,0)),DAY(EOMONTH($AD730,0)))),DATE(YEAR($AD730),MONTH($AD730)+1,MIN(INDEX(CARDS!$I$5:$I$34,MATCH($D730,CARDS!$A$5:$A$34,0)),DAY(EOMONTH($AD730,1)))))),""))</f>
        <v/>
      </c>
      <c r="U730" s="38" t="n"/>
      <c r="V730" s="37" t="n"/>
      <c r="W730" s="38" t="n"/>
      <c r="X730" s="38" t="n"/>
      <c r="Y730" s="44" t="str">
        <f>IF($AC730&gt;0,INDEX(CASHBACK_RULES!$A$5:$A$304,$AC730),"")</f>
        <v/>
      </c>
      <c r="Z730" s="45" t="str">
        <f>IF($AC730&gt;0,INDEX(CASHBACK_RULES!$E$5:$E$304,$AC730)&amp;"","")</f>
        <v/>
      </c>
      <c r="AA730" s="48" t="str">
        <f>IF($AC730&gt;0,IF(ISNUMBER(INDEX(CASHBACK_RULES!$K$5:$K$304,$AC730)),INDEX(CASHBACK_RULES!$K$5:$K$304,$AC730),"∞"),"")</f>
        <v/>
      </c>
      <c r="AB730" s="44" t="str">
        <f>IF(OR($B730="",$D730=""),"",IF($U730="Cancelled","Đã hủy",IF($AC730=0,"Không được hoàn",IF($Q730=0,IF(OR($O730&gt;0,$M730&lt;$L730),"Đã đạt cap","Không được hoàn"),IF(OR($Q730&lt;$O730,$M730&lt;$L730),"Hoàn một phần","Được hoàn")))))</f>
        <v/>
      </c>
      <c r="AC730" s="43">
        <f>IF(OR($B730="",$D730="",$I730="",$L730=""),0,IF($U730="Cancelled",0,IF($W730&lt;&gt;"",IFERROR(IF(INDEX(CASHBACK_RULES!$B$5:$B$304,MATCH($W730,CASHBACK_RULES!$A$5:$A$304,0))=$D730,MATCH($W730,CASHBACK_RULES!$A$5:$A$304,0),0),0),IFERROR(MATCH(1,INDEX((CASHBACK_RULES!$B$5:$B$304=$D730)*(CASHBACK_RULES!$G$5:$G$304=$I730)*(((CASHBACK_RULES!$N$5:$N$304="")+(CASHBACK_RULES!$N$5:$N$304&lt;=$B730))&gt;0)*(((CASHBACK_RULES!$O$5:$O$304="")+(CASHBACK_RULES!$O$5:$O$304&gt;=$B730))&gt;0)*(((CASHBACK_RULES!$M$5:$M$304="")+(CASHBACK_RULES!$M$5:$M$304&lt;=$L730))&gt;0),0),0),0))))</f>
        <v>0</v>
      </c>
      <c r="AD730" s="51" t="str">
        <f>IF(OR($B730="",$D730=""),"",IFERROR(IF(INDEX(CARDS!$H$5:$H$34,MATCH($D730,CARDS!$A$5:$A$34,0))="","",IF(DAY($B730)&lt;=INDEX(CARDS!$H$5:$H$34,MATCH($D730,CARDS!$A$5:$A$34,0)),DATE(YEAR($B730),MONTH($B730),MIN(INDEX(CARDS!$H$5:$H$34,MATCH($D730,CARDS!$A$5:$A$34,0)),DAY(EOMONTH($B730,0)))),DATE(YEAR($B730),MONTH($B730)+1,MIN(INDEX(CARDS!$H$5:$H$34,MATCH($D730,CARDS!$A$5:$A$34,0)),DAY(EOMONTH($B730,1)))))),""))</f>
        <v/>
      </c>
      <c r="AE730" s="52" t="str">
        <f>IF($C730="","",$C730&amp;"|"&amp;COUNTIF($C$5:$C730,$C730))</f>
        <v/>
      </c>
      <c r="AF730" s="53">
        <f>IF($AC730&gt;0,SUMIFS(Q$4:Q729,$D$4:$D729,$D730,$Z$4:$Z729,$Z730,$C$4:$C729,$C730),0)</f>
        <v>0</v>
      </c>
      <c r="AG730" s="53">
        <f>IF($AC730&gt;0,SUMIFS(Q$4:Q729,$D$4:$D729,$D730,$C$4:$C729,$C730),0)</f>
        <v>0</v>
      </c>
      <c r="AH730" s="53">
        <f>IF($AC730&gt;0,SUMIFS(M$4:M729,$D$4:$D729,$D730,$Z$4:$Z729,$Z730,$C$4:$C729,$C730),0)</f>
        <v>0</v>
      </c>
      <c r="AI730" s="43">
        <f>IF(OR($C730="",$I730=""),0,IF(COUNTIFS($C$5:$C730,$C730,$I$5:$I730,$I730)=1,1,0))</f>
        <v>0</v>
      </c>
      <c r="AJ730" s="43" t="str">
        <f>IF($AI730=1,SUMIFS($AI$4:$AI729,$C$4:$C729,$C730)+1,"")</f>
        <v/>
      </c>
      <c r="AK730" s="43">
        <f>IF(OR($C730="",$K730=""),0,IF(COUNTIFS($C$5:$C730,$C730,$K$5:$K730,$K730)=1,1,0))</f>
        <v>0</v>
      </c>
      <c r="AL730" s="43" t="str">
        <f>IF($AK730=1,SUMIFS($AK$4:$AK729,$C$4:$C729,$C730)+1,"")</f>
        <v/>
      </c>
      <c r="AM730" s="43">
        <f>IF(OR($C730="",$G730=""),0,IF(COUNTIFS($C$5:$C730,$C730,$G$5:$G730,$G730)=1,1,0))</f>
        <v>0</v>
      </c>
      <c r="AN730" s="43" t="str">
        <f>IF($AM730=1,SUMIFS($AM$4:$AM729,$C$4:$C729,$C730)+1,"")</f>
        <v/>
      </c>
    </row>
    <row r="731">
      <c r="A731" s="44" t="str">
        <f>IF(OR($B731="",$D731=""),"","TX"&amp;TEXT(ROW()-4,"0000"))</f>
        <v/>
      </c>
      <c r="B731" s="42" t="n"/>
      <c r="C731" s="47" t="str">
        <f>IF($B731="","",YEAR($B731)*100+MONTH($B731))</f>
        <v/>
      </c>
      <c r="D731" s="37" t="n"/>
      <c r="E731" s="45" t="str">
        <f>IF($D731="","",IFERROR(INDEX(CARDS!$B$5:$B$34,MATCH($D731,CARDS!$A$5:$A$34,0)),"⚠ Card ID?"))</f>
        <v/>
      </c>
      <c r="F731" s="45" t="str">
        <f>IF($D731="","",IFERROR(INDEX(CARDS!$C$5:$C$34,MATCH($D731,CARDS!$A$5:$A$34,0)),"⚠ Card ID?"))</f>
        <v/>
      </c>
      <c r="G731" s="37" t="n"/>
      <c r="H731" s="37" t="n"/>
      <c r="I731" s="41" t="n"/>
      <c r="J731" s="45" t="str">
        <f>IF($I731="","",IFERROR(INDEX(MCC_MASTER!$B$5:$B$504,MATCH($I731,MCC_MASTER!$A$5:$A$504,0)),"⚠ MCC chưa có"))</f>
        <v/>
      </c>
      <c r="K731" s="45" t="str">
        <f>IF($I731="","",IFERROR(IF(INDEX(MCC_MASTER!$C$5:$C$504,MATCH($I731,MCC_MASTER!$A$5:$A$504,0))="","Chưa phân loại",INDEX(MCC_MASTER!$C$5:$C$504,MATCH($I731,MCC_MASTER!$A$5:$A$504,0))),"Chưa phân loại"))</f>
        <v/>
      </c>
      <c r="L731" s="40" t="n"/>
      <c r="M731" s="48" t="str">
        <f>IF(OR($B731="",$D731=""),"",IF($AC731=0,0,IF(ISNUMBER(INDEX(CASHBACK_RULES!$L$5:$L$304,$AC731)),MAX(0,MIN($L731,INDEX(CASHBACK_RULES!$L$5:$L$304,$AC731)-$AH731)),MAX(0,$L731))))</f>
        <v/>
      </c>
      <c r="N731" s="49" t="str">
        <f>IF(OR($B731="",$D731=""),"",IF($AC731&gt;0,INDEX(CASHBACK_RULES!$I$5:$I$304,$AC731),0))</f>
        <v/>
      </c>
      <c r="O731" s="48" t="str">
        <f>IF(OR($B731="",$D731=""),"",ROUND($M731*$N731,0))</f>
        <v/>
      </c>
      <c r="P731" s="48" t="str">
        <f>IF($AC731&gt;0,IF(ISNUMBER(INDEX(CASHBACK_RULES!$J$5:$J$304,$AC731)),INDEX(CASHBACK_RULES!$J$5:$J$304,$AC731),"∞"),"")</f>
        <v/>
      </c>
      <c r="Q731" s="48" t="str">
        <f>IF(OR($B731="",$D731=""),"",IF($AC731=0,0,MAX(0,MIN($O731,IF(ISNUMBER($P731),$P731-$AF731,1E+15),IF(ISNUMBER($AA731),$AA731-$AG731,1E+15)))))</f>
        <v/>
      </c>
      <c r="R731" s="48" t="str">
        <f>IF(OR($B731="",$D731=""),"",IF($AC731=0,"",IF(AND(NOT(ISNUMBER($P731)),NOT(ISNUMBER($AA731))),"∞",MAX(0,MIN(IF(ISNUMBER($P731),$P731-$AF731-$Q731,1E+15),IF(ISNUMBER($AA731),$AA731-$AG731-$Q731,1E+15))))))</f>
        <v/>
      </c>
      <c r="S731" s="47" t="str">
        <f>IF($AD731="","",YEAR($AD731)*100+MONTH($AD731))</f>
        <v/>
      </c>
      <c r="T731" s="50" t="str">
        <f>IF($AD731="","",IFERROR(IF(INDEX(CARDS!$I$5:$I$34,MATCH($D731,CARDS!$A$5:$A$34,0))="","",IF(INDEX(CARDS!$I$5:$I$34,MATCH($D731,CARDS!$A$5:$A$34,0))&gt;INDEX(CARDS!$H$5:$H$34,MATCH($D731,CARDS!$A$5:$A$34,0)),DATE(YEAR($AD731),MONTH($AD731),MIN(INDEX(CARDS!$I$5:$I$34,MATCH($D731,CARDS!$A$5:$A$34,0)),DAY(EOMONTH($AD731,0)))),DATE(YEAR($AD731),MONTH($AD731)+1,MIN(INDEX(CARDS!$I$5:$I$34,MATCH($D731,CARDS!$A$5:$A$34,0)),DAY(EOMONTH($AD731,1)))))),""))</f>
        <v/>
      </c>
      <c r="U731" s="38" t="n"/>
      <c r="V731" s="37" t="n"/>
      <c r="W731" s="38" t="n"/>
      <c r="X731" s="38" t="n"/>
      <c r="Y731" s="44" t="str">
        <f>IF($AC731&gt;0,INDEX(CASHBACK_RULES!$A$5:$A$304,$AC731),"")</f>
        <v/>
      </c>
      <c r="Z731" s="45" t="str">
        <f>IF($AC731&gt;0,INDEX(CASHBACK_RULES!$E$5:$E$304,$AC731)&amp;"","")</f>
        <v/>
      </c>
      <c r="AA731" s="48" t="str">
        <f>IF($AC731&gt;0,IF(ISNUMBER(INDEX(CASHBACK_RULES!$K$5:$K$304,$AC731)),INDEX(CASHBACK_RULES!$K$5:$K$304,$AC731),"∞"),"")</f>
        <v/>
      </c>
      <c r="AB731" s="44" t="str">
        <f>IF(OR($B731="",$D731=""),"",IF($U731="Cancelled","Đã hủy",IF($AC731=0,"Không được hoàn",IF($Q731=0,IF(OR($O731&gt;0,$M731&lt;$L731),"Đã đạt cap","Không được hoàn"),IF(OR($Q731&lt;$O731,$M731&lt;$L731),"Hoàn một phần","Được hoàn")))))</f>
        <v/>
      </c>
      <c r="AC731" s="43">
        <f>IF(OR($B731="",$D731="",$I731="",$L731=""),0,IF($U731="Cancelled",0,IF($W731&lt;&gt;"",IFERROR(IF(INDEX(CASHBACK_RULES!$B$5:$B$304,MATCH($W731,CASHBACK_RULES!$A$5:$A$304,0))=$D731,MATCH($W731,CASHBACK_RULES!$A$5:$A$304,0),0),0),IFERROR(MATCH(1,INDEX((CASHBACK_RULES!$B$5:$B$304=$D731)*(CASHBACK_RULES!$G$5:$G$304=$I731)*(((CASHBACK_RULES!$N$5:$N$304="")+(CASHBACK_RULES!$N$5:$N$304&lt;=$B731))&gt;0)*(((CASHBACK_RULES!$O$5:$O$304="")+(CASHBACK_RULES!$O$5:$O$304&gt;=$B731))&gt;0)*(((CASHBACK_RULES!$M$5:$M$304="")+(CASHBACK_RULES!$M$5:$M$304&lt;=$L731))&gt;0),0),0),0))))</f>
        <v>0</v>
      </c>
      <c r="AD731" s="51" t="str">
        <f>IF(OR($B731="",$D731=""),"",IFERROR(IF(INDEX(CARDS!$H$5:$H$34,MATCH($D731,CARDS!$A$5:$A$34,0))="","",IF(DAY($B731)&lt;=INDEX(CARDS!$H$5:$H$34,MATCH($D731,CARDS!$A$5:$A$34,0)),DATE(YEAR($B731),MONTH($B731),MIN(INDEX(CARDS!$H$5:$H$34,MATCH($D731,CARDS!$A$5:$A$34,0)),DAY(EOMONTH($B731,0)))),DATE(YEAR($B731),MONTH($B731)+1,MIN(INDEX(CARDS!$H$5:$H$34,MATCH($D731,CARDS!$A$5:$A$34,0)),DAY(EOMONTH($B731,1)))))),""))</f>
        <v/>
      </c>
      <c r="AE731" s="52" t="str">
        <f>IF($C731="","",$C731&amp;"|"&amp;COUNTIF($C$5:$C731,$C731))</f>
        <v/>
      </c>
      <c r="AF731" s="53">
        <f>IF($AC731&gt;0,SUMIFS(Q$4:Q730,$D$4:$D730,$D731,$Z$4:$Z730,$Z731,$C$4:$C730,$C731),0)</f>
        <v>0</v>
      </c>
      <c r="AG731" s="53">
        <f>IF($AC731&gt;0,SUMIFS(Q$4:Q730,$D$4:$D730,$D731,$C$4:$C730,$C731),0)</f>
        <v>0</v>
      </c>
      <c r="AH731" s="53">
        <f>IF($AC731&gt;0,SUMIFS(M$4:M730,$D$4:$D730,$D731,$Z$4:$Z730,$Z731,$C$4:$C730,$C731),0)</f>
        <v>0</v>
      </c>
      <c r="AI731" s="43">
        <f>IF(OR($C731="",$I731=""),0,IF(COUNTIFS($C$5:$C731,$C731,$I$5:$I731,$I731)=1,1,0))</f>
        <v>0</v>
      </c>
      <c r="AJ731" s="43" t="str">
        <f>IF($AI731=1,SUMIFS($AI$4:$AI730,$C$4:$C730,$C731)+1,"")</f>
        <v/>
      </c>
      <c r="AK731" s="43">
        <f>IF(OR($C731="",$K731=""),0,IF(COUNTIFS($C$5:$C731,$C731,$K$5:$K731,$K731)=1,1,0))</f>
        <v>0</v>
      </c>
      <c r="AL731" s="43" t="str">
        <f>IF($AK731=1,SUMIFS($AK$4:$AK730,$C$4:$C730,$C731)+1,"")</f>
        <v/>
      </c>
      <c r="AM731" s="43">
        <f>IF(OR($C731="",$G731=""),0,IF(COUNTIFS($C$5:$C731,$C731,$G$5:$G731,$G731)=1,1,0))</f>
        <v>0</v>
      </c>
      <c r="AN731" s="43" t="str">
        <f>IF($AM731=1,SUMIFS($AM$4:$AM730,$C$4:$C730,$C731)+1,"")</f>
        <v/>
      </c>
    </row>
    <row r="732">
      <c r="A732" s="44" t="str">
        <f>IF(OR($B732="",$D732=""),"","TX"&amp;TEXT(ROW()-4,"0000"))</f>
        <v/>
      </c>
      <c r="B732" s="42" t="n"/>
      <c r="C732" s="47" t="str">
        <f>IF($B732="","",YEAR($B732)*100+MONTH($B732))</f>
        <v/>
      </c>
      <c r="D732" s="37" t="n"/>
      <c r="E732" s="45" t="str">
        <f>IF($D732="","",IFERROR(INDEX(CARDS!$B$5:$B$34,MATCH($D732,CARDS!$A$5:$A$34,0)),"⚠ Card ID?"))</f>
        <v/>
      </c>
      <c r="F732" s="45" t="str">
        <f>IF($D732="","",IFERROR(INDEX(CARDS!$C$5:$C$34,MATCH($D732,CARDS!$A$5:$A$34,0)),"⚠ Card ID?"))</f>
        <v/>
      </c>
      <c r="G732" s="37" t="n"/>
      <c r="H732" s="37" t="n"/>
      <c r="I732" s="41" t="n"/>
      <c r="J732" s="45" t="str">
        <f>IF($I732="","",IFERROR(INDEX(MCC_MASTER!$B$5:$B$504,MATCH($I732,MCC_MASTER!$A$5:$A$504,0)),"⚠ MCC chưa có"))</f>
        <v/>
      </c>
      <c r="K732" s="45" t="str">
        <f>IF($I732="","",IFERROR(IF(INDEX(MCC_MASTER!$C$5:$C$504,MATCH($I732,MCC_MASTER!$A$5:$A$504,0))="","Chưa phân loại",INDEX(MCC_MASTER!$C$5:$C$504,MATCH($I732,MCC_MASTER!$A$5:$A$504,0))),"Chưa phân loại"))</f>
        <v/>
      </c>
      <c r="L732" s="40" t="n"/>
      <c r="M732" s="48" t="str">
        <f>IF(OR($B732="",$D732=""),"",IF($AC732=0,0,IF(ISNUMBER(INDEX(CASHBACK_RULES!$L$5:$L$304,$AC732)),MAX(0,MIN($L732,INDEX(CASHBACK_RULES!$L$5:$L$304,$AC732)-$AH732)),MAX(0,$L732))))</f>
        <v/>
      </c>
      <c r="N732" s="49" t="str">
        <f>IF(OR($B732="",$D732=""),"",IF($AC732&gt;0,INDEX(CASHBACK_RULES!$I$5:$I$304,$AC732),0))</f>
        <v/>
      </c>
      <c r="O732" s="48" t="str">
        <f>IF(OR($B732="",$D732=""),"",ROUND($M732*$N732,0))</f>
        <v/>
      </c>
      <c r="P732" s="48" t="str">
        <f>IF($AC732&gt;0,IF(ISNUMBER(INDEX(CASHBACK_RULES!$J$5:$J$304,$AC732)),INDEX(CASHBACK_RULES!$J$5:$J$304,$AC732),"∞"),"")</f>
        <v/>
      </c>
      <c r="Q732" s="48" t="str">
        <f>IF(OR($B732="",$D732=""),"",IF($AC732=0,0,MAX(0,MIN($O732,IF(ISNUMBER($P732),$P732-$AF732,1E+15),IF(ISNUMBER($AA732),$AA732-$AG732,1E+15)))))</f>
        <v/>
      </c>
      <c r="R732" s="48" t="str">
        <f>IF(OR($B732="",$D732=""),"",IF($AC732=0,"",IF(AND(NOT(ISNUMBER($P732)),NOT(ISNUMBER($AA732))),"∞",MAX(0,MIN(IF(ISNUMBER($P732),$P732-$AF732-$Q732,1E+15),IF(ISNUMBER($AA732),$AA732-$AG732-$Q732,1E+15))))))</f>
        <v/>
      </c>
      <c r="S732" s="47" t="str">
        <f>IF($AD732="","",YEAR($AD732)*100+MONTH($AD732))</f>
        <v/>
      </c>
      <c r="T732" s="50" t="str">
        <f>IF($AD732="","",IFERROR(IF(INDEX(CARDS!$I$5:$I$34,MATCH($D732,CARDS!$A$5:$A$34,0))="","",IF(INDEX(CARDS!$I$5:$I$34,MATCH($D732,CARDS!$A$5:$A$34,0))&gt;INDEX(CARDS!$H$5:$H$34,MATCH($D732,CARDS!$A$5:$A$34,0)),DATE(YEAR($AD732),MONTH($AD732),MIN(INDEX(CARDS!$I$5:$I$34,MATCH($D732,CARDS!$A$5:$A$34,0)),DAY(EOMONTH($AD732,0)))),DATE(YEAR($AD732),MONTH($AD732)+1,MIN(INDEX(CARDS!$I$5:$I$34,MATCH($D732,CARDS!$A$5:$A$34,0)),DAY(EOMONTH($AD732,1)))))),""))</f>
        <v/>
      </c>
      <c r="U732" s="38" t="n"/>
      <c r="V732" s="37" t="n"/>
      <c r="W732" s="38" t="n"/>
      <c r="X732" s="38" t="n"/>
      <c r="Y732" s="44" t="str">
        <f>IF($AC732&gt;0,INDEX(CASHBACK_RULES!$A$5:$A$304,$AC732),"")</f>
        <v/>
      </c>
      <c r="Z732" s="45" t="str">
        <f>IF($AC732&gt;0,INDEX(CASHBACK_RULES!$E$5:$E$304,$AC732)&amp;"","")</f>
        <v/>
      </c>
      <c r="AA732" s="48" t="str">
        <f>IF($AC732&gt;0,IF(ISNUMBER(INDEX(CASHBACK_RULES!$K$5:$K$304,$AC732)),INDEX(CASHBACK_RULES!$K$5:$K$304,$AC732),"∞"),"")</f>
        <v/>
      </c>
      <c r="AB732" s="44" t="str">
        <f>IF(OR($B732="",$D732=""),"",IF($U732="Cancelled","Đã hủy",IF($AC732=0,"Không được hoàn",IF($Q732=0,IF(OR($O732&gt;0,$M732&lt;$L732),"Đã đạt cap","Không được hoàn"),IF(OR($Q732&lt;$O732,$M732&lt;$L732),"Hoàn một phần","Được hoàn")))))</f>
        <v/>
      </c>
      <c r="AC732" s="43">
        <f>IF(OR($B732="",$D732="",$I732="",$L732=""),0,IF($U732="Cancelled",0,IF($W732&lt;&gt;"",IFERROR(IF(INDEX(CASHBACK_RULES!$B$5:$B$304,MATCH($W732,CASHBACK_RULES!$A$5:$A$304,0))=$D732,MATCH($W732,CASHBACK_RULES!$A$5:$A$304,0),0),0),IFERROR(MATCH(1,INDEX((CASHBACK_RULES!$B$5:$B$304=$D732)*(CASHBACK_RULES!$G$5:$G$304=$I732)*(((CASHBACK_RULES!$N$5:$N$304="")+(CASHBACK_RULES!$N$5:$N$304&lt;=$B732))&gt;0)*(((CASHBACK_RULES!$O$5:$O$304="")+(CASHBACK_RULES!$O$5:$O$304&gt;=$B732))&gt;0)*(((CASHBACK_RULES!$M$5:$M$304="")+(CASHBACK_RULES!$M$5:$M$304&lt;=$L732))&gt;0),0),0),0))))</f>
        <v>0</v>
      </c>
      <c r="AD732" s="51" t="str">
        <f>IF(OR($B732="",$D732=""),"",IFERROR(IF(INDEX(CARDS!$H$5:$H$34,MATCH($D732,CARDS!$A$5:$A$34,0))="","",IF(DAY($B732)&lt;=INDEX(CARDS!$H$5:$H$34,MATCH($D732,CARDS!$A$5:$A$34,0)),DATE(YEAR($B732),MONTH($B732),MIN(INDEX(CARDS!$H$5:$H$34,MATCH($D732,CARDS!$A$5:$A$34,0)),DAY(EOMONTH($B732,0)))),DATE(YEAR($B732),MONTH($B732)+1,MIN(INDEX(CARDS!$H$5:$H$34,MATCH($D732,CARDS!$A$5:$A$34,0)),DAY(EOMONTH($B732,1)))))),""))</f>
        <v/>
      </c>
      <c r="AE732" s="52" t="str">
        <f>IF($C732="","",$C732&amp;"|"&amp;COUNTIF($C$5:$C732,$C732))</f>
        <v/>
      </c>
      <c r="AF732" s="53">
        <f>IF($AC732&gt;0,SUMIFS(Q$4:Q731,$D$4:$D731,$D732,$Z$4:$Z731,$Z732,$C$4:$C731,$C732),0)</f>
        <v>0</v>
      </c>
      <c r="AG732" s="53">
        <f>IF($AC732&gt;0,SUMIFS(Q$4:Q731,$D$4:$D731,$D732,$C$4:$C731,$C732),0)</f>
        <v>0</v>
      </c>
      <c r="AH732" s="53">
        <f>IF($AC732&gt;0,SUMIFS(M$4:M731,$D$4:$D731,$D732,$Z$4:$Z731,$Z732,$C$4:$C731,$C732),0)</f>
        <v>0</v>
      </c>
      <c r="AI732" s="43">
        <f>IF(OR($C732="",$I732=""),0,IF(COUNTIFS($C$5:$C732,$C732,$I$5:$I732,$I732)=1,1,0))</f>
        <v>0</v>
      </c>
      <c r="AJ732" s="43" t="str">
        <f>IF($AI732=1,SUMIFS($AI$4:$AI731,$C$4:$C731,$C732)+1,"")</f>
        <v/>
      </c>
      <c r="AK732" s="43">
        <f>IF(OR($C732="",$K732=""),0,IF(COUNTIFS($C$5:$C732,$C732,$K$5:$K732,$K732)=1,1,0))</f>
        <v>0</v>
      </c>
      <c r="AL732" s="43" t="str">
        <f>IF($AK732=1,SUMIFS($AK$4:$AK731,$C$4:$C731,$C732)+1,"")</f>
        <v/>
      </c>
      <c r="AM732" s="43">
        <f>IF(OR($C732="",$G732=""),0,IF(COUNTIFS($C$5:$C732,$C732,$G$5:$G732,$G732)=1,1,0))</f>
        <v>0</v>
      </c>
      <c r="AN732" s="43" t="str">
        <f>IF($AM732=1,SUMIFS($AM$4:$AM731,$C$4:$C731,$C732)+1,"")</f>
        <v/>
      </c>
    </row>
    <row r="733">
      <c r="A733" s="44" t="str">
        <f>IF(OR($B733="",$D733=""),"","TX"&amp;TEXT(ROW()-4,"0000"))</f>
        <v/>
      </c>
      <c r="B733" s="42" t="n"/>
      <c r="C733" s="47" t="str">
        <f>IF($B733="","",YEAR($B733)*100+MONTH($B733))</f>
        <v/>
      </c>
      <c r="D733" s="37" t="n"/>
      <c r="E733" s="45" t="str">
        <f>IF($D733="","",IFERROR(INDEX(CARDS!$B$5:$B$34,MATCH($D733,CARDS!$A$5:$A$34,0)),"⚠ Card ID?"))</f>
        <v/>
      </c>
      <c r="F733" s="45" t="str">
        <f>IF($D733="","",IFERROR(INDEX(CARDS!$C$5:$C$34,MATCH($D733,CARDS!$A$5:$A$34,0)),"⚠ Card ID?"))</f>
        <v/>
      </c>
      <c r="G733" s="37" t="n"/>
      <c r="H733" s="37" t="n"/>
      <c r="I733" s="41" t="n"/>
      <c r="J733" s="45" t="str">
        <f>IF($I733="","",IFERROR(INDEX(MCC_MASTER!$B$5:$B$504,MATCH($I733,MCC_MASTER!$A$5:$A$504,0)),"⚠ MCC chưa có"))</f>
        <v/>
      </c>
      <c r="K733" s="45" t="str">
        <f>IF($I733="","",IFERROR(IF(INDEX(MCC_MASTER!$C$5:$C$504,MATCH($I733,MCC_MASTER!$A$5:$A$504,0))="","Chưa phân loại",INDEX(MCC_MASTER!$C$5:$C$504,MATCH($I733,MCC_MASTER!$A$5:$A$504,0))),"Chưa phân loại"))</f>
        <v/>
      </c>
      <c r="L733" s="40" t="n"/>
      <c r="M733" s="48" t="str">
        <f>IF(OR($B733="",$D733=""),"",IF($AC733=0,0,IF(ISNUMBER(INDEX(CASHBACK_RULES!$L$5:$L$304,$AC733)),MAX(0,MIN($L733,INDEX(CASHBACK_RULES!$L$5:$L$304,$AC733)-$AH733)),MAX(0,$L733))))</f>
        <v/>
      </c>
      <c r="N733" s="49" t="str">
        <f>IF(OR($B733="",$D733=""),"",IF($AC733&gt;0,INDEX(CASHBACK_RULES!$I$5:$I$304,$AC733),0))</f>
        <v/>
      </c>
      <c r="O733" s="48" t="str">
        <f>IF(OR($B733="",$D733=""),"",ROUND($M733*$N733,0))</f>
        <v/>
      </c>
      <c r="P733" s="48" t="str">
        <f>IF($AC733&gt;0,IF(ISNUMBER(INDEX(CASHBACK_RULES!$J$5:$J$304,$AC733)),INDEX(CASHBACK_RULES!$J$5:$J$304,$AC733),"∞"),"")</f>
        <v/>
      </c>
      <c r="Q733" s="48" t="str">
        <f>IF(OR($B733="",$D733=""),"",IF($AC733=0,0,MAX(0,MIN($O733,IF(ISNUMBER($P733),$P733-$AF733,1E+15),IF(ISNUMBER($AA733),$AA733-$AG733,1E+15)))))</f>
        <v/>
      </c>
      <c r="R733" s="48" t="str">
        <f>IF(OR($B733="",$D733=""),"",IF($AC733=0,"",IF(AND(NOT(ISNUMBER($P733)),NOT(ISNUMBER($AA733))),"∞",MAX(0,MIN(IF(ISNUMBER($P733),$P733-$AF733-$Q733,1E+15),IF(ISNUMBER($AA733),$AA733-$AG733-$Q733,1E+15))))))</f>
        <v/>
      </c>
      <c r="S733" s="47" t="str">
        <f>IF($AD733="","",YEAR($AD733)*100+MONTH($AD733))</f>
        <v/>
      </c>
      <c r="T733" s="50" t="str">
        <f>IF($AD733="","",IFERROR(IF(INDEX(CARDS!$I$5:$I$34,MATCH($D733,CARDS!$A$5:$A$34,0))="","",IF(INDEX(CARDS!$I$5:$I$34,MATCH($D733,CARDS!$A$5:$A$34,0))&gt;INDEX(CARDS!$H$5:$H$34,MATCH($D733,CARDS!$A$5:$A$34,0)),DATE(YEAR($AD733),MONTH($AD733),MIN(INDEX(CARDS!$I$5:$I$34,MATCH($D733,CARDS!$A$5:$A$34,0)),DAY(EOMONTH($AD733,0)))),DATE(YEAR($AD733),MONTH($AD733)+1,MIN(INDEX(CARDS!$I$5:$I$34,MATCH($D733,CARDS!$A$5:$A$34,0)),DAY(EOMONTH($AD733,1)))))),""))</f>
        <v/>
      </c>
      <c r="U733" s="38" t="n"/>
      <c r="V733" s="37" t="n"/>
      <c r="W733" s="38" t="n"/>
      <c r="X733" s="38" t="n"/>
      <c r="Y733" s="44" t="str">
        <f>IF($AC733&gt;0,INDEX(CASHBACK_RULES!$A$5:$A$304,$AC733),"")</f>
        <v/>
      </c>
      <c r="Z733" s="45" t="str">
        <f>IF($AC733&gt;0,INDEX(CASHBACK_RULES!$E$5:$E$304,$AC733)&amp;"","")</f>
        <v/>
      </c>
      <c r="AA733" s="48" t="str">
        <f>IF($AC733&gt;0,IF(ISNUMBER(INDEX(CASHBACK_RULES!$K$5:$K$304,$AC733)),INDEX(CASHBACK_RULES!$K$5:$K$304,$AC733),"∞"),"")</f>
        <v/>
      </c>
      <c r="AB733" s="44" t="str">
        <f>IF(OR($B733="",$D733=""),"",IF($U733="Cancelled","Đã hủy",IF($AC733=0,"Không được hoàn",IF($Q733=0,IF(OR($O733&gt;0,$M733&lt;$L733),"Đã đạt cap","Không được hoàn"),IF(OR($Q733&lt;$O733,$M733&lt;$L733),"Hoàn một phần","Được hoàn")))))</f>
        <v/>
      </c>
      <c r="AC733" s="43">
        <f>IF(OR($B733="",$D733="",$I733="",$L733=""),0,IF($U733="Cancelled",0,IF($W733&lt;&gt;"",IFERROR(IF(INDEX(CASHBACK_RULES!$B$5:$B$304,MATCH($W733,CASHBACK_RULES!$A$5:$A$304,0))=$D733,MATCH($W733,CASHBACK_RULES!$A$5:$A$304,0),0),0),IFERROR(MATCH(1,INDEX((CASHBACK_RULES!$B$5:$B$304=$D733)*(CASHBACK_RULES!$G$5:$G$304=$I733)*(((CASHBACK_RULES!$N$5:$N$304="")+(CASHBACK_RULES!$N$5:$N$304&lt;=$B733))&gt;0)*(((CASHBACK_RULES!$O$5:$O$304="")+(CASHBACK_RULES!$O$5:$O$304&gt;=$B733))&gt;0)*(((CASHBACK_RULES!$M$5:$M$304="")+(CASHBACK_RULES!$M$5:$M$304&lt;=$L733))&gt;0),0),0),0))))</f>
        <v>0</v>
      </c>
      <c r="AD733" s="51" t="str">
        <f>IF(OR($B733="",$D733=""),"",IFERROR(IF(INDEX(CARDS!$H$5:$H$34,MATCH($D733,CARDS!$A$5:$A$34,0))="","",IF(DAY($B733)&lt;=INDEX(CARDS!$H$5:$H$34,MATCH($D733,CARDS!$A$5:$A$34,0)),DATE(YEAR($B733),MONTH($B733),MIN(INDEX(CARDS!$H$5:$H$34,MATCH($D733,CARDS!$A$5:$A$34,0)),DAY(EOMONTH($B733,0)))),DATE(YEAR($B733),MONTH($B733)+1,MIN(INDEX(CARDS!$H$5:$H$34,MATCH($D733,CARDS!$A$5:$A$34,0)),DAY(EOMONTH($B733,1)))))),""))</f>
        <v/>
      </c>
      <c r="AE733" s="52" t="str">
        <f>IF($C733="","",$C733&amp;"|"&amp;COUNTIF($C$5:$C733,$C733))</f>
        <v/>
      </c>
      <c r="AF733" s="53">
        <f>IF($AC733&gt;0,SUMIFS(Q$4:Q732,$D$4:$D732,$D733,$Z$4:$Z732,$Z733,$C$4:$C732,$C733),0)</f>
        <v>0</v>
      </c>
      <c r="AG733" s="53">
        <f>IF($AC733&gt;0,SUMIFS(Q$4:Q732,$D$4:$D732,$D733,$C$4:$C732,$C733),0)</f>
        <v>0</v>
      </c>
      <c r="AH733" s="53">
        <f>IF($AC733&gt;0,SUMIFS(M$4:M732,$D$4:$D732,$D733,$Z$4:$Z732,$Z733,$C$4:$C732,$C733),0)</f>
        <v>0</v>
      </c>
      <c r="AI733" s="43">
        <f>IF(OR($C733="",$I733=""),0,IF(COUNTIFS($C$5:$C733,$C733,$I$5:$I733,$I733)=1,1,0))</f>
        <v>0</v>
      </c>
      <c r="AJ733" s="43" t="str">
        <f>IF($AI733=1,SUMIFS($AI$4:$AI732,$C$4:$C732,$C733)+1,"")</f>
        <v/>
      </c>
      <c r="AK733" s="43">
        <f>IF(OR($C733="",$K733=""),0,IF(COUNTIFS($C$5:$C733,$C733,$K$5:$K733,$K733)=1,1,0))</f>
        <v>0</v>
      </c>
      <c r="AL733" s="43" t="str">
        <f>IF($AK733=1,SUMIFS($AK$4:$AK732,$C$4:$C732,$C733)+1,"")</f>
        <v/>
      </c>
      <c r="AM733" s="43">
        <f>IF(OR($C733="",$G733=""),0,IF(COUNTIFS($C$5:$C733,$C733,$G$5:$G733,$G733)=1,1,0))</f>
        <v>0</v>
      </c>
      <c r="AN733" s="43" t="str">
        <f>IF($AM733=1,SUMIFS($AM$4:$AM732,$C$4:$C732,$C733)+1,"")</f>
        <v/>
      </c>
    </row>
    <row r="734">
      <c r="A734" s="44" t="str">
        <f>IF(OR($B734="",$D734=""),"","TX"&amp;TEXT(ROW()-4,"0000"))</f>
        <v/>
      </c>
      <c r="B734" s="42" t="n"/>
      <c r="C734" s="47" t="str">
        <f>IF($B734="","",YEAR($B734)*100+MONTH($B734))</f>
        <v/>
      </c>
      <c r="D734" s="37" t="n"/>
      <c r="E734" s="45" t="str">
        <f>IF($D734="","",IFERROR(INDEX(CARDS!$B$5:$B$34,MATCH($D734,CARDS!$A$5:$A$34,0)),"⚠ Card ID?"))</f>
        <v/>
      </c>
      <c r="F734" s="45" t="str">
        <f>IF($D734="","",IFERROR(INDEX(CARDS!$C$5:$C$34,MATCH($D734,CARDS!$A$5:$A$34,0)),"⚠ Card ID?"))</f>
        <v/>
      </c>
      <c r="G734" s="37" t="n"/>
      <c r="H734" s="37" t="n"/>
      <c r="I734" s="41" t="n"/>
      <c r="J734" s="45" t="str">
        <f>IF($I734="","",IFERROR(INDEX(MCC_MASTER!$B$5:$B$504,MATCH($I734,MCC_MASTER!$A$5:$A$504,0)),"⚠ MCC chưa có"))</f>
        <v/>
      </c>
      <c r="K734" s="45" t="str">
        <f>IF($I734="","",IFERROR(IF(INDEX(MCC_MASTER!$C$5:$C$504,MATCH($I734,MCC_MASTER!$A$5:$A$504,0))="","Chưa phân loại",INDEX(MCC_MASTER!$C$5:$C$504,MATCH($I734,MCC_MASTER!$A$5:$A$504,0))),"Chưa phân loại"))</f>
        <v/>
      </c>
      <c r="L734" s="40" t="n"/>
      <c r="M734" s="48" t="str">
        <f>IF(OR($B734="",$D734=""),"",IF($AC734=0,0,IF(ISNUMBER(INDEX(CASHBACK_RULES!$L$5:$L$304,$AC734)),MAX(0,MIN($L734,INDEX(CASHBACK_RULES!$L$5:$L$304,$AC734)-$AH734)),MAX(0,$L734))))</f>
        <v/>
      </c>
      <c r="N734" s="49" t="str">
        <f>IF(OR($B734="",$D734=""),"",IF($AC734&gt;0,INDEX(CASHBACK_RULES!$I$5:$I$304,$AC734),0))</f>
        <v/>
      </c>
      <c r="O734" s="48" t="str">
        <f>IF(OR($B734="",$D734=""),"",ROUND($M734*$N734,0))</f>
        <v/>
      </c>
      <c r="P734" s="48" t="str">
        <f>IF($AC734&gt;0,IF(ISNUMBER(INDEX(CASHBACK_RULES!$J$5:$J$304,$AC734)),INDEX(CASHBACK_RULES!$J$5:$J$304,$AC734),"∞"),"")</f>
        <v/>
      </c>
      <c r="Q734" s="48" t="str">
        <f>IF(OR($B734="",$D734=""),"",IF($AC734=0,0,MAX(0,MIN($O734,IF(ISNUMBER($P734),$P734-$AF734,1E+15),IF(ISNUMBER($AA734),$AA734-$AG734,1E+15)))))</f>
        <v/>
      </c>
      <c r="R734" s="48" t="str">
        <f>IF(OR($B734="",$D734=""),"",IF($AC734=0,"",IF(AND(NOT(ISNUMBER($P734)),NOT(ISNUMBER($AA734))),"∞",MAX(0,MIN(IF(ISNUMBER($P734),$P734-$AF734-$Q734,1E+15),IF(ISNUMBER($AA734),$AA734-$AG734-$Q734,1E+15))))))</f>
        <v/>
      </c>
      <c r="S734" s="47" t="str">
        <f>IF($AD734="","",YEAR($AD734)*100+MONTH($AD734))</f>
        <v/>
      </c>
      <c r="T734" s="50" t="str">
        <f>IF($AD734="","",IFERROR(IF(INDEX(CARDS!$I$5:$I$34,MATCH($D734,CARDS!$A$5:$A$34,0))="","",IF(INDEX(CARDS!$I$5:$I$34,MATCH($D734,CARDS!$A$5:$A$34,0))&gt;INDEX(CARDS!$H$5:$H$34,MATCH($D734,CARDS!$A$5:$A$34,0)),DATE(YEAR($AD734),MONTH($AD734),MIN(INDEX(CARDS!$I$5:$I$34,MATCH($D734,CARDS!$A$5:$A$34,0)),DAY(EOMONTH($AD734,0)))),DATE(YEAR($AD734),MONTH($AD734)+1,MIN(INDEX(CARDS!$I$5:$I$34,MATCH($D734,CARDS!$A$5:$A$34,0)),DAY(EOMONTH($AD734,1)))))),""))</f>
        <v/>
      </c>
      <c r="U734" s="38" t="n"/>
      <c r="V734" s="37" t="n"/>
      <c r="W734" s="38" t="n"/>
      <c r="X734" s="38" t="n"/>
      <c r="Y734" s="44" t="str">
        <f>IF($AC734&gt;0,INDEX(CASHBACK_RULES!$A$5:$A$304,$AC734),"")</f>
        <v/>
      </c>
      <c r="Z734" s="45" t="str">
        <f>IF($AC734&gt;0,INDEX(CASHBACK_RULES!$E$5:$E$304,$AC734)&amp;"","")</f>
        <v/>
      </c>
      <c r="AA734" s="48" t="str">
        <f>IF($AC734&gt;0,IF(ISNUMBER(INDEX(CASHBACK_RULES!$K$5:$K$304,$AC734)),INDEX(CASHBACK_RULES!$K$5:$K$304,$AC734),"∞"),"")</f>
        <v/>
      </c>
      <c r="AB734" s="44" t="str">
        <f>IF(OR($B734="",$D734=""),"",IF($U734="Cancelled","Đã hủy",IF($AC734=0,"Không được hoàn",IF($Q734=0,IF(OR($O734&gt;0,$M734&lt;$L734),"Đã đạt cap","Không được hoàn"),IF(OR($Q734&lt;$O734,$M734&lt;$L734),"Hoàn một phần","Được hoàn")))))</f>
        <v/>
      </c>
      <c r="AC734" s="43">
        <f>IF(OR($B734="",$D734="",$I734="",$L734=""),0,IF($U734="Cancelled",0,IF($W734&lt;&gt;"",IFERROR(IF(INDEX(CASHBACK_RULES!$B$5:$B$304,MATCH($W734,CASHBACK_RULES!$A$5:$A$304,0))=$D734,MATCH($W734,CASHBACK_RULES!$A$5:$A$304,0),0),0),IFERROR(MATCH(1,INDEX((CASHBACK_RULES!$B$5:$B$304=$D734)*(CASHBACK_RULES!$G$5:$G$304=$I734)*(((CASHBACK_RULES!$N$5:$N$304="")+(CASHBACK_RULES!$N$5:$N$304&lt;=$B734))&gt;0)*(((CASHBACK_RULES!$O$5:$O$304="")+(CASHBACK_RULES!$O$5:$O$304&gt;=$B734))&gt;0)*(((CASHBACK_RULES!$M$5:$M$304="")+(CASHBACK_RULES!$M$5:$M$304&lt;=$L734))&gt;0),0),0),0))))</f>
        <v>0</v>
      </c>
      <c r="AD734" s="51" t="str">
        <f>IF(OR($B734="",$D734=""),"",IFERROR(IF(INDEX(CARDS!$H$5:$H$34,MATCH($D734,CARDS!$A$5:$A$34,0))="","",IF(DAY($B734)&lt;=INDEX(CARDS!$H$5:$H$34,MATCH($D734,CARDS!$A$5:$A$34,0)),DATE(YEAR($B734),MONTH($B734),MIN(INDEX(CARDS!$H$5:$H$34,MATCH($D734,CARDS!$A$5:$A$34,0)),DAY(EOMONTH($B734,0)))),DATE(YEAR($B734),MONTH($B734)+1,MIN(INDEX(CARDS!$H$5:$H$34,MATCH($D734,CARDS!$A$5:$A$34,0)),DAY(EOMONTH($B734,1)))))),""))</f>
        <v/>
      </c>
      <c r="AE734" s="52" t="str">
        <f>IF($C734="","",$C734&amp;"|"&amp;COUNTIF($C$5:$C734,$C734))</f>
        <v/>
      </c>
      <c r="AF734" s="53">
        <f>IF($AC734&gt;0,SUMIFS(Q$4:Q733,$D$4:$D733,$D734,$Z$4:$Z733,$Z734,$C$4:$C733,$C734),0)</f>
        <v>0</v>
      </c>
      <c r="AG734" s="53">
        <f>IF($AC734&gt;0,SUMIFS(Q$4:Q733,$D$4:$D733,$D734,$C$4:$C733,$C734),0)</f>
        <v>0</v>
      </c>
      <c r="AH734" s="53">
        <f>IF($AC734&gt;0,SUMIFS(M$4:M733,$D$4:$D733,$D734,$Z$4:$Z733,$Z734,$C$4:$C733,$C734),0)</f>
        <v>0</v>
      </c>
      <c r="AI734" s="43">
        <f>IF(OR($C734="",$I734=""),0,IF(COUNTIFS($C$5:$C734,$C734,$I$5:$I734,$I734)=1,1,0))</f>
        <v>0</v>
      </c>
      <c r="AJ734" s="43" t="str">
        <f>IF($AI734=1,SUMIFS($AI$4:$AI733,$C$4:$C733,$C734)+1,"")</f>
        <v/>
      </c>
      <c r="AK734" s="43">
        <f>IF(OR($C734="",$K734=""),0,IF(COUNTIFS($C$5:$C734,$C734,$K$5:$K734,$K734)=1,1,0))</f>
        <v>0</v>
      </c>
      <c r="AL734" s="43" t="str">
        <f>IF($AK734=1,SUMIFS($AK$4:$AK733,$C$4:$C733,$C734)+1,"")</f>
        <v/>
      </c>
      <c r="AM734" s="43">
        <f>IF(OR($C734="",$G734=""),0,IF(COUNTIFS($C$5:$C734,$C734,$G$5:$G734,$G734)=1,1,0))</f>
        <v>0</v>
      </c>
      <c r="AN734" s="43" t="str">
        <f>IF($AM734=1,SUMIFS($AM$4:$AM733,$C$4:$C733,$C734)+1,"")</f>
        <v/>
      </c>
    </row>
    <row r="735">
      <c r="A735" s="44" t="str">
        <f>IF(OR($B735="",$D735=""),"","TX"&amp;TEXT(ROW()-4,"0000"))</f>
        <v/>
      </c>
      <c r="B735" s="42" t="n"/>
      <c r="C735" s="47" t="str">
        <f>IF($B735="","",YEAR($B735)*100+MONTH($B735))</f>
        <v/>
      </c>
      <c r="D735" s="37" t="n"/>
      <c r="E735" s="45" t="str">
        <f>IF($D735="","",IFERROR(INDEX(CARDS!$B$5:$B$34,MATCH($D735,CARDS!$A$5:$A$34,0)),"⚠ Card ID?"))</f>
        <v/>
      </c>
      <c r="F735" s="45" t="str">
        <f>IF($D735="","",IFERROR(INDEX(CARDS!$C$5:$C$34,MATCH($D735,CARDS!$A$5:$A$34,0)),"⚠ Card ID?"))</f>
        <v/>
      </c>
      <c r="G735" s="37" t="n"/>
      <c r="H735" s="37" t="n"/>
      <c r="I735" s="41" t="n"/>
      <c r="J735" s="45" t="str">
        <f>IF($I735="","",IFERROR(INDEX(MCC_MASTER!$B$5:$B$504,MATCH($I735,MCC_MASTER!$A$5:$A$504,0)),"⚠ MCC chưa có"))</f>
        <v/>
      </c>
      <c r="K735" s="45" t="str">
        <f>IF($I735="","",IFERROR(IF(INDEX(MCC_MASTER!$C$5:$C$504,MATCH($I735,MCC_MASTER!$A$5:$A$504,0))="","Chưa phân loại",INDEX(MCC_MASTER!$C$5:$C$504,MATCH($I735,MCC_MASTER!$A$5:$A$504,0))),"Chưa phân loại"))</f>
        <v/>
      </c>
      <c r="L735" s="40" t="n"/>
      <c r="M735" s="48" t="str">
        <f>IF(OR($B735="",$D735=""),"",IF($AC735=0,0,IF(ISNUMBER(INDEX(CASHBACK_RULES!$L$5:$L$304,$AC735)),MAX(0,MIN($L735,INDEX(CASHBACK_RULES!$L$5:$L$304,$AC735)-$AH735)),MAX(0,$L735))))</f>
        <v/>
      </c>
      <c r="N735" s="49" t="str">
        <f>IF(OR($B735="",$D735=""),"",IF($AC735&gt;0,INDEX(CASHBACK_RULES!$I$5:$I$304,$AC735),0))</f>
        <v/>
      </c>
      <c r="O735" s="48" t="str">
        <f>IF(OR($B735="",$D735=""),"",ROUND($M735*$N735,0))</f>
        <v/>
      </c>
      <c r="P735" s="48" t="str">
        <f>IF($AC735&gt;0,IF(ISNUMBER(INDEX(CASHBACK_RULES!$J$5:$J$304,$AC735)),INDEX(CASHBACK_RULES!$J$5:$J$304,$AC735),"∞"),"")</f>
        <v/>
      </c>
      <c r="Q735" s="48" t="str">
        <f>IF(OR($B735="",$D735=""),"",IF($AC735=0,0,MAX(0,MIN($O735,IF(ISNUMBER($P735),$P735-$AF735,1E+15),IF(ISNUMBER($AA735),$AA735-$AG735,1E+15)))))</f>
        <v/>
      </c>
      <c r="R735" s="48" t="str">
        <f>IF(OR($B735="",$D735=""),"",IF($AC735=0,"",IF(AND(NOT(ISNUMBER($P735)),NOT(ISNUMBER($AA735))),"∞",MAX(0,MIN(IF(ISNUMBER($P735),$P735-$AF735-$Q735,1E+15),IF(ISNUMBER($AA735),$AA735-$AG735-$Q735,1E+15))))))</f>
        <v/>
      </c>
      <c r="S735" s="47" t="str">
        <f>IF($AD735="","",YEAR($AD735)*100+MONTH($AD735))</f>
        <v/>
      </c>
      <c r="T735" s="50" t="str">
        <f>IF($AD735="","",IFERROR(IF(INDEX(CARDS!$I$5:$I$34,MATCH($D735,CARDS!$A$5:$A$34,0))="","",IF(INDEX(CARDS!$I$5:$I$34,MATCH($D735,CARDS!$A$5:$A$34,0))&gt;INDEX(CARDS!$H$5:$H$34,MATCH($D735,CARDS!$A$5:$A$34,0)),DATE(YEAR($AD735),MONTH($AD735),MIN(INDEX(CARDS!$I$5:$I$34,MATCH($D735,CARDS!$A$5:$A$34,0)),DAY(EOMONTH($AD735,0)))),DATE(YEAR($AD735),MONTH($AD735)+1,MIN(INDEX(CARDS!$I$5:$I$34,MATCH($D735,CARDS!$A$5:$A$34,0)),DAY(EOMONTH($AD735,1)))))),""))</f>
        <v/>
      </c>
      <c r="U735" s="38" t="n"/>
      <c r="V735" s="37" t="n"/>
      <c r="W735" s="38" t="n"/>
      <c r="X735" s="38" t="n"/>
      <c r="Y735" s="44" t="str">
        <f>IF($AC735&gt;0,INDEX(CASHBACK_RULES!$A$5:$A$304,$AC735),"")</f>
        <v/>
      </c>
      <c r="Z735" s="45" t="str">
        <f>IF($AC735&gt;0,INDEX(CASHBACK_RULES!$E$5:$E$304,$AC735)&amp;"","")</f>
        <v/>
      </c>
      <c r="AA735" s="48" t="str">
        <f>IF($AC735&gt;0,IF(ISNUMBER(INDEX(CASHBACK_RULES!$K$5:$K$304,$AC735)),INDEX(CASHBACK_RULES!$K$5:$K$304,$AC735),"∞"),"")</f>
        <v/>
      </c>
      <c r="AB735" s="44" t="str">
        <f>IF(OR($B735="",$D735=""),"",IF($U735="Cancelled","Đã hủy",IF($AC735=0,"Không được hoàn",IF($Q735=0,IF(OR($O735&gt;0,$M735&lt;$L735),"Đã đạt cap","Không được hoàn"),IF(OR($Q735&lt;$O735,$M735&lt;$L735),"Hoàn một phần","Được hoàn")))))</f>
        <v/>
      </c>
      <c r="AC735" s="43">
        <f>IF(OR($B735="",$D735="",$I735="",$L735=""),0,IF($U735="Cancelled",0,IF($W735&lt;&gt;"",IFERROR(IF(INDEX(CASHBACK_RULES!$B$5:$B$304,MATCH($W735,CASHBACK_RULES!$A$5:$A$304,0))=$D735,MATCH($W735,CASHBACK_RULES!$A$5:$A$304,0),0),0),IFERROR(MATCH(1,INDEX((CASHBACK_RULES!$B$5:$B$304=$D735)*(CASHBACK_RULES!$G$5:$G$304=$I735)*(((CASHBACK_RULES!$N$5:$N$304="")+(CASHBACK_RULES!$N$5:$N$304&lt;=$B735))&gt;0)*(((CASHBACK_RULES!$O$5:$O$304="")+(CASHBACK_RULES!$O$5:$O$304&gt;=$B735))&gt;0)*(((CASHBACK_RULES!$M$5:$M$304="")+(CASHBACK_RULES!$M$5:$M$304&lt;=$L735))&gt;0),0),0),0))))</f>
        <v>0</v>
      </c>
      <c r="AD735" s="51" t="str">
        <f>IF(OR($B735="",$D735=""),"",IFERROR(IF(INDEX(CARDS!$H$5:$H$34,MATCH($D735,CARDS!$A$5:$A$34,0))="","",IF(DAY($B735)&lt;=INDEX(CARDS!$H$5:$H$34,MATCH($D735,CARDS!$A$5:$A$34,0)),DATE(YEAR($B735),MONTH($B735),MIN(INDEX(CARDS!$H$5:$H$34,MATCH($D735,CARDS!$A$5:$A$34,0)),DAY(EOMONTH($B735,0)))),DATE(YEAR($B735),MONTH($B735)+1,MIN(INDEX(CARDS!$H$5:$H$34,MATCH($D735,CARDS!$A$5:$A$34,0)),DAY(EOMONTH($B735,1)))))),""))</f>
        <v/>
      </c>
      <c r="AE735" s="52" t="str">
        <f>IF($C735="","",$C735&amp;"|"&amp;COUNTIF($C$5:$C735,$C735))</f>
        <v/>
      </c>
      <c r="AF735" s="53">
        <f>IF($AC735&gt;0,SUMIFS(Q$4:Q734,$D$4:$D734,$D735,$Z$4:$Z734,$Z735,$C$4:$C734,$C735),0)</f>
        <v>0</v>
      </c>
      <c r="AG735" s="53">
        <f>IF($AC735&gt;0,SUMIFS(Q$4:Q734,$D$4:$D734,$D735,$C$4:$C734,$C735),0)</f>
        <v>0</v>
      </c>
      <c r="AH735" s="53">
        <f>IF($AC735&gt;0,SUMIFS(M$4:M734,$D$4:$D734,$D735,$Z$4:$Z734,$Z735,$C$4:$C734,$C735),0)</f>
        <v>0</v>
      </c>
      <c r="AI735" s="43">
        <f>IF(OR($C735="",$I735=""),0,IF(COUNTIFS($C$5:$C735,$C735,$I$5:$I735,$I735)=1,1,0))</f>
        <v>0</v>
      </c>
      <c r="AJ735" s="43" t="str">
        <f>IF($AI735=1,SUMIFS($AI$4:$AI734,$C$4:$C734,$C735)+1,"")</f>
        <v/>
      </c>
      <c r="AK735" s="43">
        <f>IF(OR($C735="",$K735=""),0,IF(COUNTIFS($C$5:$C735,$C735,$K$5:$K735,$K735)=1,1,0))</f>
        <v>0</v>
      </c>
      <c r="AL735" s="43" t="str">
        <f>IF($AK735=1,SUMIFS($AK$4:$AK734,$C$4:$C734,$C735)+1,"")</f>
        <v/>
      </c>
      <c r="AM735" s="43">
        <f>IF(OR($C735="",$G735=""),0,IF(COUNTIFS($C$5:$C735,$C735,$G$5:$G735,$G735)=1,1,0))</f>
        <v>0</v>
      </c>
      <c r="AN735" s="43" t="str">
        <f>IF($AM735=1,SUMIFS($AM$4:$AM734,$C$4:$C734,$C735)+1,"")</f>
        <v/>
      </c>
    </row>
    <row r="736">
      <c r="A736" s="44" t="str">
        <f>IF(OR($B736="",$D736=""),"","TX"&amp;TEXT(ROW()-4,"0000"))</f>
        <v/>
      </c>
      <c r="B736" s="42" t="n"/>
      <c r="C736" s="47" t="str">
        <f>IF($B736="","",YEAR($B736)*100+MONTH($B736))</f>
        <v/>
      </c>
      <c r="D736" s="37" t="n"/>
      <c r="E736" s="45" t="str">
        <f>IF($D736="","",IFERROR(INDEX(CARDS!$B$5:$B$34,MATCH($D736,CARDS!$A$5:$A$34,0)),"⚠ Card ID?"))</f>
        <v/>
      </c>
      <c r="F736" s="45" t="str">
        <f>IF($D736="","",IFERROR(INDEX(CARDS!$C$5:$C$34,MATCH($D736,CARDS!$A$5:$A$34,0)),"⚠ Card ID?"))</f>
        <v/>
      </c>
      <c r="G736" s="37" t="n"/>
      <c r="H736" s="37" t="n"/>
      <c r="I736" s="41" t="n"/>
      <c r="J736" s="45" t="str">
        <f>IF($I736="","",IFERROR(INDEX(MCC_MASTER!$B$5:$B$504,MATCH($I736,MCC_MASTER!$A$5:$A$504,0)),"⚠ MCC chưa có"))</f>
        <v/>
      </c>
      <c r="K736" s="45" t="str">
        <f>IF($I736="","",IFERROR(IF(INDEX(MCC_MASTER!$C$5:$C$504,MATCH($I736,MCC_MASTER!$A$5:$A$504,0))="","Chưa phân loại",INDEX(MCC_MASTER!$C$5:$C$504,MATCH($I736,MCC_MASTER!$A$5:$A$504,0))),"Chưa phân loại"))</f>
        <v/>
      </c>
      <c r="L736" s="40" t="n"/>
      <c r="M736" s="48" t="str">
        <f>IF(OR($B736="",$D736=""),"",IF($AC736=0,0,IF(ISNUMBER(INDEX(CASHBACK_RULES!$L$5:$L$304,$AC736)),MAX(0,MIN($L736,INDEX(CASHBACK_RULES!$L$5:$L$304,$AC736)-$AH736)),MAX(0,$L736))))</f>
        <v/>
      </c>
      <c r="N736" s="49" t="str">
        <f>IF(OR($B736="",$D736=""),"",IF($AC736&gt;0,INDEX(CASHBACK_RULES!$I$5:$I$304,$AC736),0))</f>
        <v/>
      </c>
      <c r="O736" s="48" t="str">
        <f>IF(OR($B736="",$D736=""),"",ROUND($M736*$N736,0))</f>
        <v/>
      </c>
      <c r="P736" s="48" t="str">
        <f>IF($AC736&gt;0,IF(ISNUMBER(INDEX(CASHBACK_RULES!$J$5:$J$304,$AC736)),INDEX(CASHBACK_RULES!$J$5:$J$304,$AC736),"∞"),"")</f>
        <v/>
      </c>
      <c r="Q736" s="48" t="str">
        <f>IF(OR($B736="",$D736=""),"",IF($AC736=0,0,MAX(0,MIN($O736,IF(ISNUMBER($P736),$P736-$AF736,1E+15),IF(ISNUMBER($AA736),$AA736-$AG736,1E+15)))))</f>
        <v/>
      </c>
      <c r="R736" s="48" t="str">
        <f>IF(OR($B736="",$D736=""),"",IF($AC736=0,"",IF(AND(NOT(ISNUMBER($P736)),NOT(ISNUMBER($AA736))),"∞",MAX(0,MIN(IF(ISNUMBER($P736),$P736-$AF736-$Q736,1E+15),IF(ISNUMBER($AA736),$AA736-$AG736-$Q736,1E+15))))))</f>
        <v/>
      </c>
      <c r="S736" s="47" t="str">
        <f>IF($AD736="","",YEAR($AD736)*100+MONTH($AD736))</f>
        <v/>
      </c>
      <c r="T736" s="50" t="str">
        <f>IF($AD736="","",IFERROR(IF(INDEX(CARDS!$I$5:$I$34,MATCH($D736,CARDS!$A$5:$A$34,0))="","",IF(INDEX(CARDS!$I$5:$I$34,MATCH($D736,CARDS!$A$5:$A$34,0))&gt;INDEX(CARDS!$H$5:$H$34,MATCH($D736,CARDS!$A$5:$A$34,0)),DATE(YEAR($AD736),MONTH($AD736),MIN(INDEX(CARDS!$I$5:$I$34,MATCH($D736,CARDS!$A$5:$A$34,0)),DAY(EOMONTH($AD736,0)))),DATE(YEAR($AD736),MONTH($AD736)+1,MIN(INDEX(CARDS!$I$5:$I$34,MATCH($D736,CARDS!$A$5:$A$34,0)),DAY(EOMONTH($AD736,1)))))),""))</f>
        <v/>
      </c>
      <c r="U736" s="38" t="n"/>
      <c r="V736" s="37" t="n"/>
      <c r="W736" s="38" t="n"/>
      <c r="X736" s="38" t="n"/>
      <c r="Y736" s="44" t="str">
        <f>IF($AC736&gt;0,INDEX(CASHBACK_RULES!$A$5:$A$304,$AC736),"")</f>
        <v/>
      </c>
      <c r="Z736" s="45" t="str">
        <f>IF($AC736&gt;0,INDEX(CASHBACK_RULES!$E$5:$E$304,$AC736)&amp;"","")</f>
        <v/>
      </c>
      <c r="AA736" s="48" t="str">
        <f>IF($AC736&gt;0,IF(ISNUMBER(INDEX(CASHBACK_RULES!$K$5:$K$304,$AC736)),INDEX(CASHBACK_RULES!$K$5:$K$304,$AC736),"∞"),"")</f>
        <v/>
      </c>
      <c r="AB736" s="44" t="str">
        <f>IF(OR($B736="",$D736=""),"",IF($U736="Cancelled","Đã hủy",IF($AC736=0,"Không được hoàn",IF($Q736=0,IF(OR($O736&gt;0,$M736&lt;$L736),"Đã đạt cap","Không được hoàn"),IF(OR($Q736&lt;$O736,$M736&lt;$L736),"Hoàn một phần","Được hoàn")))))</f>
        <v/>
      </c>
      <c r="AC736" s="43">
        <f>IF(OR($B736="",$D736="",$I736="",$L736=""),0,IF($U736="Cancelled",0,IF($W736&lt;&gt;"",IFERROR(IF(INDEX(CASHBACK_RULES!$B$5:$B$304,MATCH($W736,CASHBACK_RULES!$A$5:$A$304,0))=$D736,MATCH($W736,CASHBACK_RULES!$A$5:$A$304,0),0),0),IFERROR(MATCH(1,INDEX((CASHBACK_RULES!$B$5:$B$304=$D736)*(CASHBACK_RULES!$G$5:$G$304=$I736)*(((CASHBACK_RULES!$N$5:$N$304="")+(CASHBACK_RULES!$N$5:$N$304&lt;=$B736))&gt;0)*(((CASHBACK_RULES!$O$5:$O$304="")+(CASHBACK_RULES!$O$5:$O$304&gt;=$B736))&gt;0)*(((CASHBACK_RULES!$M$5:$M$304="")+(CASHBACK_RULES!$M$5:$M$304&lt;=$L736))&gt;0),0),0),0))))</f>
        <v>0</v>
      </c>
      <c r="AD736" s="51" t="str">
        <f>IF(OR($B736="",$D736=""),"",IFERROR(IF(INDEX(CARDS!$H$5:$H$34,MATCH($D736,CARDS!$A$5:$A$34,0))="","",IF(DAY($B736)&lt;=INDEX(CARDS!$H$5:$H$34,MATCH($D736,CARDS!$A$5:$A$34,0)),DATE(YEAR($B736),MONTH($B736),MIN(INDEX(CARDS!$H$5:$H$34,MATCH($D736,CARDS!$A$5:$A$34,0)),DAY(EOMONTH($B736,0)))),DATE(YEAR($B736),MONTH($B736)+1,MIN(INDEX(CARDS!$H$5:$H$34,MATCH($D736,CARDS!$A$5:$A$34,0)),DAY(EOMONTH($B736,1)))))),""))</f>
        <v/>
      </c>
      <c r="AE736" s="52" t="str">
        <f>IF($C736="","",$C736&amp;"|"&amp;COUNTIF($C$5:$C736,$C736))</f>
        <v/>
      </c>
      <c r="AF736" s="53">
        <f>IF($AC736&gt;0,SUMIFS(Q$4:Q735,$D$4:$D735,$D736,$Z$4:$Z735,$Z736,$C$4:$C735,$C736),0)</f>
        <v>0</v>
      </c>
      <c r="AG736" s="53">
        <f>IF($AC736&gt;0,SUMIFS(Q$4:Q735,$D$4:$D735,$D736,$C$4:$C735,$C736),0)</f>
        <v>0</v>
      </c>
      <c r="AH736" s="53">
        <f>IF($AC736&gt;0,SUMIFS(M$4:M735,$D$4:$D735,$D736,$Z$4:$Z735,$Z736,$C$4:$C735,$C736),0)</f>
        <v>0</v>
      </c>
      <c r="AI736" s="43">
        <f>IF(OR($C736="",$I736=""),0,IF(COUNTIFS($C$5:$C736,$C736,$I$5:$I736,$I736)=1,1,0))</f>
        <v>0</v>
      </c>
      <c r="AJ736" s="43" t="str">
        <f>IF($AI736=1,SUMIFS($AI$4:$AI735,$C$4:$C735,$C736)+1,"")</f>
        <v/>
      </c>
      <c r="AK736" s="43">
        <f>IF(OR($C736="",$K736=""),0,IF(COUNTIFS($C$5:$C736,$C736,$K$5:$K736,$K736)=1,1,0))</f>
        <v>0</v>
      </c>
      <c r="AL736" s="43" t="str">
        <f>IF($AK736=1,SUMIFS($AK$4:$AK735,$C$4:$C735,$C736)+1,"")</f>
        <v/>
      </c>
      <c r="AM736" s="43">
        <f>IF(OR($C736="",$G736=""),0,IF(COUNTIFS($C$5:$C736,$C736,$G$5:$G736,$G736)=1,1,0))</f>
        <v>0</v>
      </c>
      <c r="AN736" s="43" t="str">
        <f>IF($AM736=1,SUMIFS($AM$4:$AM735,$C$4:$C735,$C736)+1,"")</f>
        <v/>
      </c>
    </row>
    <row r="737">
      <c r="A737" s="44" t="str">
        <f>IF(OR($B737="",$D737=""),"","TX"&amp;TEXT(ROW()-4,"0000"))</f>
        <v/>
      </c>
      <c r="B737" s="42" t="n"/>
      <c r="C737" s="47" t="str">
        <f>IF($B737="","",YEAR($B737)*100+MONTH($B737))</f>
        <v/>
      </c>
      <c r="D737" s="37" t="n"/>
      <c r="E737" s="45" t="str">
        <f>IF($D737="","",IFERROR(INDEX(CARDS!$B$5:$B$34,MATCH($D737,CARDS!$A$5:$A$34,0)),"⚠ Card ID?"))</f>
        <v/>
      </c>
      <c r="F737" s="45" t="str">
        <f>IF($D737="","",IFERROR(INDEX(CARDS!$C$5:$C$34,MATCH($D737,CARDS!$A$5:$A$34,0)),"⚠ Card ID?"))</f>
        <v/>
      </c>
      <c r="G737" s="37" t="n"/>
      <c r="H737" s="37" t="n"/>
      <c r="I737" s="41" t="n"/>
      <c r="J737" s="45" t="str">
        <f>IF($I737="","",IFERROR(INDEX(MCC_MASTER!$B$5:$B$504,MATCH($I737,MCC_MASTER!$A$5:$A$504,0)),"⚠ MCC chưa có"))</f>
        <v/>
      </c>
      <c r="K737" s="45" t="str">
        <f>IF($I737="","",IFERROR(IF(INDEX(MCC_MASTER!$C$5:$C$504,MATCH($I737,MCC_MASTER!$A$5:$A$504,0))="","Chưa phân loại",INDEX(MCC_MASTER!$C$5:$C$504,MATCH($I737,MCC_MASTER!$A$5:$A$504,0))),"Chưa phân loại"))</f>
        <v/>
      </c>
      <c r="L737" s="40" t="n"/>
      <c r="M737" s="48" t="str">
        <f>IF(OR($B737="",$D737=""),"",IF($AC737=0,0,IF(ISNUMBER(INDEX(CASHBACK_RULES!$L$5:$L$304,$AC737)),MAX(0,MIN($L737,INDEX(CASHBACK_RULES!$L$5:$L$304,$AC737)-$AH737)),MAX(0,$L737))))</f>
        <v/>
      </c>
      <c r="N737" s="49" t="str">
        <f>IF(OR($B737="",$D737=""),"",IF($AC737&gt;0,INDEX(CASHBACK_RULES!$I$5:$I$304,$AC737),0))</f>
        <v/>
      </c>
      <c r="O737" s="48" t="str">
        <f>IF(OR($B737="",$D737=""),"",ROUND($M737*$N737,0))</f>
        <v/>
      </c>
      <c r="P737" s="48" t="str">
        <f>IF($AC737&gt;0,IF(ISNUMBER(INDEX(CASHBACK_RULES!$J$5:$J$304,$AC737)),INDEX(CASHBACK_RULES!$J$5:$J$304,$AC737),"∞"),"")</f>
        <v/>
      </c>
      <c r="Q737" s="48" t="str">
        <f>IF(OR($B737="",$D737=""),"",IF($AC737=0,0,MAX(0,MIN($O737,IF(ISNUMBER($P737),$P737-$AF737,1E+15),IF(ISNUMBER($AA737),$AA737-$AG737,1E+15)))))</f>
        <v/>
      </c>
      <c r="R737" s="48" t="str">
        <f>IF(OR($B737="",$D737=""),"",IF($AC737=0,"",IF(AND(NOT(ISNUMBER($P737)),NOT(ISNUMBER($AA737))),"∞",MAX(0,MIN(IF(ISNUMBER($P737),$P737-$AF737-$Q737,1E+15),IF(ISNUMBER($AA737),$AA737-$AG737-$Q737,1E+15))))))</f>
        <v/>
      </c>
      <c r="S737" s="47" t="str">
        <f>IF($AD737="","",YEAR($AD737)*100+MONTH($AD737))</f>
        <v/>
      </c>
      <c r="T737" s="50" t="str">
        <f>IF($AD737="","",IFERROR(IF(INDEX(CARDS!$I$5:$I$34,MATCH($D737,CARDS!$A$5:$A$34,0))="","",IF(INDEX(CARDS!$I$5:$I$34,MATCH($D737,CARDS!$A$5:$A$34,0))&gt;INDEX(CARDS!$H$5:$H$34,MATCH($D737,CARDS!$A$5:$A$34,0)),DATE(YEAR($AD737),MONTH($AD737),MIN(INDEX(CARDS!$I$5:$I$34,MATCH($D737,CARDS!$A$5:$A$34,0)),DAY(EOMONTH($AD737,0)))),DATE(YEAR($AD737),MONTH($AD737)+1,MIN(INDEX(CARDS!$I$5:$I$34,MATCH($D737,CARDS!$A$5:$A$34,0)),DAY(EOMONTH($AD737,1)))))),""))</f>
        <v/>
      </c>
      <c r="U737" s="38" t="n"/>
      <c r="V737" s="37" t="n"/>
      <c r="W737" s="38" t="n"/>
      <c r="X737" s="38" t="n"/>
      <c r="Y737" s="44" t="str">
        <f>IF($AC737&gt;0,INDEX(CASHBACK_RULES!$A$5:$A$304,$AC737),"")</f>
        <v/>
      </c>
      <c r="Z737" s="45" t="str">
        <f>IF($AC737&gt;0,INDEX(CASHBACK_RULES!$E$5:$E$304,$AC737)&amp;"","")</f>
        <v/>
      </c>
      <c r="AA737" s="48" t="str">
        <f>IF($AC737&gt;0,IF(ISNUMBER(INDEX(CASHBACK_RULES!$K$5:$K$304,$AC737)),INDEX(CASHBACK_RULES!$K$5:$K$304,$AC737),"∞"),"")</f>
        <v/>
      </c>
      <c r="AB737" s="44" t="str">
        <f>IF(OR($B737="",$D737=""),"",IF($U737="Cancelled","Đã hủy",IF($AC737=0,"Không được hoàn",IF($Q737=0,IF(OR($O737&gt;0,$M737&lt;$L737),"Đã đạt cap","Không được hoàn"),IF(OR($Q737&lt;$O737,$M737&lt;$L737),"Hoàn một phần","Được hoàn")))))</f>
        <v/>
      </c>
      <c r="AC737" s="43">
        <f>IF(OR($B737="",$D737="",$I737="",$L737=""),0,IF($U737="Cancelled",0,IF($W737&lt;&gt;"",IFERROR(IF(INDEX(CASHBACK_RULES!$B$5:$B$304,MATCH($W737,CASHBACK_RULES!$A$5:$A$304,0))=$D737,MATCH($W737,CASHBACK_RULES!$A$5:$A$304,0),0),0),IFERROR(MATCH(1,INDEX((CASHBACK_RULES!$B$5:$B$304=$D737)*(CASHBACK_RULES!$G$5:$G$304=$I737)*(((CASHBACK_RULES!$N$5:$N$304="")+(CASHBACK_RULES!$N$5:$N$304&lt;=$B737))&gt;0)*(((CASHBACK_RULES!$O$5:$O$304="")+(CASHBACK_RULES!$O$5:$O$304&gt;=$B737))&gt;0)*(((CASHBACK_RULES!$M$5:$M$304="")+(CASHBACK_RULES!$M$5:$M$304&lt;=$L737))&gt;0),0),0),0))))</f>
        <v>0</v>
      </c>
      <c r="AD737" s="51" t="str">
        <f>IF(OR($B737="",$D737=""),"",IFERROR(IF(INDEX(CARDS!$H$5:$H$34,MATCH($D737,CARDS!$A$5:$A$34,0))="","",IF(DAY($B737)&lt;=INDEX(CARDS!$H$5:$H$34,MATCH($D737,CARDS!$A$5:$A$34,0)),DATE(YEAR($B737),MONTH($B737),MIN(INDEX(CARDS!$H$5:$H$34,MATCH($D737,CARDS!$A$5:$A$34,0)),DAY(EOMONTH($B737,0)))),DATE(YEAR($B737),MONTH($B737)+1,MIN(INDEX(CARDS!$H$5:$H$34,MATCH($D737,CARDS!$A$5:$A$34,0)),DAY(EOMONTH($B737,1)))))),""))</f>
        <v/>
      </c>
      <c r="AE737" s="52" t="str">
        <f>IF($C737="","",$C737&amp;"|"&amp;COUNTIF($C$5:$C737,$C737))</f>
        <v/>
      </c>
      <c r="AF737" s="53">
        <f>IF($AC737&gt;0,SUMIFS(Q$4:Q736,$D$4:$D736,$D737,$Z$4:$Z736,$Z737,$C$4:$C736,$C737),0)</f>
        <v>0</v>
      </c>
      <c r="AG737" s="53">
        <f>IF($AC737&gt;0,SUMIFS(Q$4:Q736,$D$4:$D736,$D737,$C$4:$C736,$C737),0)</f>
        <v>0</v>
      </c>
      <c r="AH737" s="53">
        <f>IF($AC737&gt;0,SUMIFS(M$4:M736,$D$4:$D736,$D737,$Z$4:$Z736,$Z737,$C$4:$C736,$C737),0)</f>
        <v>0</v>
      </c>
      <c r="AI737" s="43">
        <f>IF(OR($C737="",$I737=""),0,IF(COUNTIFS($C$5:$C737,$C737,$I$5:$I737,$I737)=1,1,0))</f>
        <v>0</v>
      </c>
      <c r="AJ737" s="43" t="str">
        <f>IF($AI737=1,SUMIFS($AI$4:$AI736,$C$4:$C736,$C737)+1,"")</f>
        <v/>
      </c>
      <c r="AK737" s="43">
        <f>IF(OR($C737="",$K737=""),0,IF(COUNTIFS($C$5:$C737,$C737,$K$5:$K737,$K737)=1,1,0))</f>
        <v>0</v>
      </c>
      <c r="AL737" s="43" t="str">
        <f>IF($AK737=1,SUMIFS($AK$4:$AK736,$C$4:$C736,$C737)+1,"")</f>
        <v/>
      </c>
      <c r="AM737" s="43">
        <f>IF(OR($C737="",$G737=""),0,IF(COUNTIFS($C$5:$C737,$C737,$G$5:$G737,$G737)=1,1,0))</f>
        <v>0</v>
      </c>
      <c r="AN737" s="43" t="str">
        <f>IF($AM737=1,SUMIFS($AM$4:$AM736,$C$4:$C736,$C737)+1,"")</f>
        <v/>
      </c>
    </row>
    <row r="738">
      <c r="A738" s="44" t="str">
        <f>IF(OR($B738="",$D738=""),"","TX"&amp;TEXT(ROW()-4,"0000"))</f>
        <v/>
      </c>
      <c r="B738" s="42" t="n"/>
      <c r="C738" s="47" t="str">
        <f>IF($B738="","",YEAR($B738)*100+MONTH($B738))</f>
        <v/>
      </c>
      <c r="D738" s="37" t="n"/>
      <c r="E738" s="45" t="str">
        <f>IF($D738="","",IFERROR(INDEX(CARDS!$B$5:$B$34,MATCH($D738,CARDS!$A$5:$A$34,0)),"⚠ Card ID?"))</f>
        <v/>
      </c>
      <c r="F738" s="45" t="str">
        <f>IF($D738="","",IFERROR(INDEX(CARDS!$C$5:$C$34,MATCH($D738,CARDS!$A$5:$A$34,0)),"⚠ Card ID?"))</f>
        <v/>
      </c>
      <c r="G738" s="37" t="n"/>
      <c r="H738" s="37" t="n"/>
      <c r="I738" s="41" t="n"/>
      <c r="J738" s="45" t="str">
        <f>IF($I738="","",IFERROR(INDEX(MCC_MASTER!$B$5:$B$504,MATCH($I738,MCC_MASTER!$A$5:$A$504,0)),"⚠ MCC chưa có"))</f>
        <v/>
      </c>
      <c r="K738" s="45" t="str">
        <f>IF($I738="","",IFERROR(IF(INDEX(MCC_MASTER!$C$5:$C$504,MATCH($I738,MCC_MASTER!$A$5:$A$504,0))="","Chưa phân loại",INDEX(MCC_MASTER!$C$5:$C$504,MATCH($I738,MCC_MASTER!$A$5:$A$504,0))),"Chưa phân loại"))</f>
        <v/>
      </c>
      <c r="L738" s="40" t="n"/>
      <c r="M738" s="48" t="str">
        <f>IF(OR($B738="",$D738=""),"",IF($AC738=0,0,IF(ISNUMBER(INDEX(CASHBACK_RULES!$L$5:$L$304,$AC738)),MAX(0,MIN($L738,INDEX(CASHBACK_RULES!$L$5:$L$304,$AC738)-$AH738)),MAX(0,$L738))))</f>
        <v/>
      </c>
      <c r="N738" s="49" t="str">
        <f>IF(OR($B738="",$D738=""),"",IF($AC738&gt;0,INDEX(CASHBACK_RULES!$I$5:$I$304,$AC738),0))</f>
        <v/>
      </c>
      <c r="O738" s="48" t="str">
        <f>IF(OR($B738="",$D738=""),"",ROUND($M738*$N738,0))</f>
        <v/>
      </c>
      <c r="P738" s="48" t="str">
        <f>IF($AC738&gt;0,IF(ISNUMBER(INDEX(CASHBACK_RULES!$J$5:$J$304,$AC738)),INDEX(CASHBACK_RULES!$J$5:$J$304,$AC738),"∞"),"")</f>
        <v/>
      </c>
      <c r="Q738" s="48" t="str">
        <f>IF(OR($B738="",$D738=""),"",IF($AC738=0,0,MAX(0,MIN($O738,IF(ISNUMBER($P738),$P738-$AF738,1E+15),IF(ISNUMBER($AA738),$AA738-$AG738,1E+15)))))</f>
        <v/>
      </c>
      <c r="R738" s="48" t="str">
        <f>IF(OR($B738="",$D738=""),"",IF($AC738=0,"",IF(AND(NOT(ISNUMBER($P738)),NOT(ISNUMBER($AA738))),"∞",MAX(0,MIN(IF(ISNUMBER($P738),$P738-$AF738-$Q738,1E+15),IF(ISNUMBER($AA738),$AA738-$AG738-$Q738,1E+15))))))</f>
        <v/>
      </c>
      <c r="S738" s="47" t="str">
        <f>IF($AD738="","",YEAR($AD738)*100+MONTH($AD738))</f>
        <v/>
      </c>
      <c r="T738" s="50" t="str">
        <f>IF($AD738="","",IFERROR(IF(INDEX(CARDS!$I$5:$I$34,MATCH($D738,CARDS!$A$5:$A$34,0))="","",IF(INDEX(CARDS!$I$5:$I$34,MATCH($D738,CARDS!$A$5:$A$34,0))&gt;INDEX(CARDS!$H$5:$H$34,MATCH($D738,CARDS!$A$5:$A$34,0)),DATE(YEAR($AD738),MONTH($AD738),MIN(INDEX(CARDS!$I$5:$I$34,MATCH($D738,CARDS!$A$5:$A$34,0)),DAY(EOMONTH($AD738,0)))),DATE(YEAR($AD738),MONTH($AD738)+1,MIN(INDEX(CARDS!$I$5:$I$34,MATCH($D738,CARDS!$A$5:$A$34,0)),DAY(EOMONTH($AD738,1)))))),""))</f>
        <v/>
      </c>
      <c r="U738" s="38" t="n"/>
      <c r="V738" s="37" t="n"/>
      <c r="W738" s="38" t="n"/>
      <c r="X738" s="38" t="n"/>
      <c r="Y738" s="44" t="str">
        <f>IF($AC738&gt;0,INDEX(CASHBACK_RULES!$A$5:$A$304,$AC738),"")</f>
        <v/>
      </c>
      <c r="Z738" s="45" t="str">
        <f>IF($AC738&gt;0,INDEX(CASHBACK_RULES!$E$5:$E$304,$AC738)&amp;"","")</f>
        <v/>
      </c>
      <c r="AA738" s="48" t="str">
        <f>IF($AC738&gt;0,IF(ISNUMBER(INDEX(CASHBACK_RULES!$K$5:$K$304,$AC738)),INDEX(CASHBACK_RULES!$K$5:$K$304,$AC738),"∞"),"")</f>
        <v/>
      </c>
      <c r="AB738" s="44" t="str">
        <f>IF(OR($B738="",$D738=""),"",IF($U738="Cancelled","Đã hủy",IF($AC738=0,"Không được hoàn",IF($Q738=0,IF(OR($O738&gt;0,$M738&lt;$L738),"Đã đạt cap","Không được hoàn"),IF(OR($Q738&lt;$O738,$M738&lt;$L738),"Hoàn một phần","Được hoàn")))))</f>
        <v/>
      </c>
      <c r="AC738" s="43">
        <f>IF(OR($B738="",$D738="",$I738="",$L738=""),0,IF($U738="Cancelled",0,IF($W738&lt;&gt;"",IFERROR(IF(INDEX(CASHBACK_RULES!$B$5:$B$304,MATCH($W738,CASHBACK_RULES!$A$5:$A$304,0))=$D738,MATCH($W738,CASHBACK_RULES!$A$5:$A$304,0),0),0),IFERROR(MATCH(1,INDEX((CASHBACK_RULES!$B$5:$B$304=$D738)*(CASHBACK_RULES!$G$5:$G$304=$I738)*(((CASHBACK_RULES!$N$5:$N$304="")+(CASHBACK_RULES!$N$5:$N$304&lt;=$B738))&gt;0)*(((CASHBACK_RULES!$O$5:$O$304="")+(CASHBACK_RULES!$O$5:$O$304&gt;=$B738))&gt;0)*(((CASHBACK_RULES!$M$5:$M$304="")+(CASHBACK_RULES!$M$5:$M$304&lt;=$L738))&gt;0),0),0),0))))</f>
        <v>0</v>
      </c>
      <c r="AD738" s="51" t="str">
        <f>IF(OR($B738="",$D738=""),"",IFERROR(IF(INDEX(CARDS!$H$5:$H$34,MATCH($D738,CARDS!$A$5:$A$34,0))="","",IF(DAY($B738)&lt;=INDEX(CARDS!$H$5:$H$34,MATCH($D738,CARDS!$A$5:$A$34,0)),DATE(YEAR($B738),MONTH($B738),MIN(INDEX(CARDS!$H$5:$H$34,MATCH($D738,CARDS!$A$5:$A$34,0)),DAY(EOMONTH($B738,0)))),DATE(YEAR($B738),MONTH($B738)+1,MIN(INDEX(CARDS!$H$5:$H$34,MATCH($D738,CARDS!$A$5:$A$34,0)),DAY(EOMONTH($B738,1)))))),""))</f>
        <v/>
      </c>
      <c r="AE738" s="52" t="str">
        <f>IF($C738="","",$C738&amp;"|"&amp;COUNTIF($C$5:$C738,$C738))</f>
        <v/>
      </c>
      <c r="AF738" s="53">
        <f>IF($AC738&gt;0,SUMIFS(Q$4:Q737,$D$4:$D737,$D738,$Z$4:$Z737,$Z738,$C$4:$C737,$C738),0)</f>
        <v>0</v>
      </c>
      <c r="AG738" s="53">
        <f>IF($AC738&gt;0,SUMIFS(Q$4:Q737,$D$4:$D737,$D738,$C$4:$C737,$C738),0)</f>
        <v>0</v>
      </c>
      <c r="AH738" s="53">
        <f>IF($AC738&gt;0,SUMIFS(M$4:M737,$D$4:$D737,$D738,$Z$4:$Z737,$Z738,$C$4:$C737,$C738),0)</f>
        <v>0</v>
      </c>
      <c r="AI738" s="43">
        <f>IF(OR($C738="",$I738=""),0,IF(COUNTIFS($C$5:$C738,$C738,$I$5:$I738,$I738)=1,1,0))</f>
        <v>0</v>
      </c>
      <c r="AJ738" s="43" t="str">
        <f>IF($AI738=1,SUMIFS($AI$4:$AI737,$C$4:$C737,$C738)+1,"")</f>
        <v/>
      </c>
      <c r="AK738" s="43">
        <f>IF(OR($C738="",$K738=""),0,IF(COUNTIFS($C$5:$C738,$C738,$K$5:$K738,$K738)=1,1,0))</f>
        <v>0</v>
      </c>
      <c r="AL738" s="43" t="str">
        <f>IF($AK738=1,SUMIFS($AK$4:$AK737,$C$4:$C737,$C738)+1,"")</f>
        <v/>
      </c>
      <c r="AM738" s="43">
        <f>IF(OR($C738="",$G738=""),0,IF(COUNTIFS($C$5:$C738,$C738,$G$5:$G738,$G738)=1,1,0))</f>
        <v>0</v>
      </c>
      <c r="AN738" s="43" t="str">
        <f>IF($AM738=1,SUMIFS($AM$4:$AM737,$C$4:$C737,$C738)+1,"")</f>
        <v/>
      </c>
    </row>
    <row r="739">
      <c r="A739" s="44" t="str">
        <f>IF(OR($B739="",$D739=""),"","TX"&amp;TEXT(ROW()-4,"0000"))</f>
        <v/>
      </c>
      <c r="B739" s="42" t="n"/>
      <c r="C739" s="47" t="str">
        <f>IF($B739="","",YEAR($B739)*100+MONTH($B739))</f>
        <v/>
      </c>
      <c r="D739" s="37" t="n"/>
      <c r="E739" s="45" t="str">
        <f>IF($D739="","",IFERROR(INDEX(CARDS!$B$5:$B$34,MATCH($D739,CARDS!$A$5:$A$34,0)),"⚠ Card ID?"))</f>
        <v/>
      </c>
      <c r="F739" s="45" t="str">
        <f>IF($D739="","",IFERROR(INDEX(CARDS!$C$5:$C$34,MATCH($D739,CARDS!$A$5:$A$34,0)),"⚠ Card ID?"))</f>
        <v/>
      </c>
      <c r="G739" s="37" t="n"/>
      <c r="H739" s="37" t="n"/>
      <c r="I739" s="41" t="n"/>
      <c r="J739" s="45" t="str">
        <f>IF($I739="","",IFERROR(INDEX(MCC_MASTER!$B$5:$B$504,MATCH($I739,MCC_MASTER!$A$5:$A$504,0)),"⚠ MCC chưa có"))</f>
        <v/>
      </c>
      <c r="K739" s="45" t="str">
        <f>IF($I739="","",IFERROR(IF(INDEX(MCC_MASTER!$C$5:$C$504,MATCH($I739,MCC_MASTER!$A$5:$A$504,0))="","Chưa phân loại",INDEX(MCC_MASTER!$C$5:$C$504,MATCH($I739,MCC_MASTER!$A$5:$A$504,0))),"Chưa phân loại"))</f>
        <v/>
      </c>
      <c r="L739" s="40" t="n"/>
      <c r="M739" s="48" t="str">
        <f>IF(OR($B739="",$D739=""),"",IF($AC739=0,0,IF(ISNUMBER(INDEX(CASHBACK_RULES!$L$5:$L$304,$AC739)),MAX(0,MIN($L739,INDEX(CASHBACK_RULES!$L$5:$L$304,$AC739)-$AH739)),MAX(0,$L739))))</f>
        <v/>
      </c>
      <c r="N739" s="49" t="str">
        <f>IF(OR($B739="",$D739=""),"",IF($AC739&gt;0,INDEX(CASHBACK_RULES!$I$5:$I$304,$AC739),0))</f>
        <v/>
      </c>
      <c r="O739" s="48" t="str">
        <f>IF(OR($B739="",$D739=""),"",ROUND($M739*$N739,0))</f>
        <v/>
      </c>
      <c r="P739" s="48" t="str">
        <f>IF($AC739&gt;0,IF(ISNUMBER(INDEX(CASHBACK_RULES!$J$5:$J$304,$AC739)),INDEX(CASHBACK_RULES!$J$5:$J$304,$AC739),"∞"),"")</f>
        <v/>
      </c>
      <c r="Q739" s="48" t="str">
        <f>IF(OR($B739="",$D739=""),"",IF($AC739=0,0,MAX(0,MIN($O739,IF(ISNUMBER($P739),$P739-$AF739,1E+15),IF(ISNUMBER($AA739),$AA739-$AG739,1E+15)))))</f>
        <v/>
      </c>
      <c r="R739" s="48" t="str">
        <f>IF(OR($B739="",$D739=""),"",IF($AC739=0,"",IF(AND(NOT(ISNUMBER($P739)),NOT(ISNUMBER($AA739))),"∞",MAX(0,MIN(IF(ISNUMBER($P739),$P739-$AF739-$Q739,1E+15),IF(ISNUMBER($AA739),$AA739-$AG739-$Q739,1E+15))))))</f>
        <v/>
      </c>
      <c r="S739" s="47" t="str">
        <f>IF($AD739="","",YEAR($AD739)*100+MONTH($AD739))</f>
        <v/>
      </c>
      <c r="T739" s="50" t="str">
        <f>IF($AD739="","",IFERROR(IF(INDEX(CARDS!$I$5:$I$34,MATCH($D739,CARDS!$A$5:$A$34,0))="","",IF(INDEX(CARDS!$I$5:$I$34,MATCH($D739,CARDS!$A$5:$A$34,0))&gt;INDEX(CARDS!$H$5:$H$34,MATCH($D739,CARDS!$A$5:$A$34,0)),DATE(YEAR($AD739),MONTH($AD739),MIN(INDEX(CARDS!$I$5:$I$34,MATCH($D739,CARDS!$A$5:$A$34,0)),DAY(EOMONTH($AD739,0)))),DATE(YEAR($AD739),MONTH($AD739)+1,MIN(INDEX(CARDS!$I$5:$I$34,MATCH($D739,CARDS!$A$5:$A$34,0)),DAY(EOMONTH($AD739,1)))))),""))</f>
        <v/>
      </c>
      <c r="U739" s="38" t="n"/>
      <c r="V739" s="37" t="n"/>
      <c r="W739" s="38" t="n"/>
      <c r="X739" s="38" t="n"/>
      <c r="Y739" s="44" t="str">
        <f>IF($AC739&gt;0,INDEX(CASHBACK_RULES!$A$5:$A$304,$AC739),"")</f>
        <v/>
      </c>
      <c r="Z739" s="45" t="str">
        <f>IF($AC739&gt;0,INDEX(CASHBACK_RULES!$E$5:$E$304,$AC739)&amp;"","")</f>
        <v/>
      </c>
      <c r="AA739" s="48" t="str">
        <f>IF($AC739&gt;0,IF(ISNUMBER(INDEX(CASHBACK_RULES!$K$5:$K$304,$AC739)),INDEX(CASHBACK_RULES!$K$5:$K$304,$AC739),"∞"),"")</f>
        <v/>
      </c>
      <c r="AB739" s="44" t="str">
        <f>IF(OR($B739="",$D739=""),"",IF($U739="Cancelled","Đã hủy",IF($AC739=0,"Không được hoàn",IF($Q739=0,IF(OR($O739&gt;0,$M739&lt;$L739),"Đã đạt cap","Không được hoàn"),IF(OR($Q739&lt;$O739,$M739&lt;$L739),"Hoàn một phần","Được hoàn")))))</f>
        <v/>
      </c>
      <c r="AC739" s="43">
        <f>IF(OR($B739="",$D739="",$I739="",$L739=""),0,IF($U739="Cancelled",0,IF($W739&lt;&gt;"",IFERROR(IF(INDEX(CASHBACK_RULES!$B$5:$B$304,MATCH($W739,CASHBACK_RULES!$A$5:$A$304,0))=$D739,MATCH($W739,CASHBACK_RULES!$A$5:$A$304,0),0),0),IFERROR(MATCH(1,INDEX((CASHBACK_RULES!$B$5:$B$304=$D739)*(CASHBACK_RULES!$G$5:$G$304=$I739)*(((CASHBACK_RULES!$N$5:$N$304="")+(CASHBACK_RULES!$N$5:$N$304&lt;=$B739))&gt;0)*(((CASHBACK_RULES!$O$5:$O$304="")+(CASHBACK_RULES!$O$5:$O$304&gt;=$B739))&gt;0)*(((CASHBACK_RULES!$M$5:$M$304="")+(CASHBACK_RULES!$M$5:$M$304&lt;=$L739))&gt;0),0),0),0))))</f>
        <v>0</v>
      </c>
      <c r="AD739" s="51" t="str">
        <f>IF(OR($B739="",$D739=""),"",IFERROR(IF(INDEX(CARDS!$H$5:$H$34,MATCH($D739,CARDS!$A$5:$A$34,0))="","",IF(DAY($B739)&lt;=INDEX(CARDS!$H$5:$H$34,MATCH($D739,CARDS!$A$5:$A$34,0)),DATE(YEAR($B739),MONTH($B739),MIN(INDEX(CARDS!$H$5:$H$34,MATCH($D739,CARDS!$A$5:$A$34,0)),DAY(EOMONTH($B739,0)))),DATE(YEAR($B739),MONTH($B739)+1,MIN(INDEX(CARDS!$H$5:$H$34,MATCH($D739,CARDS!$A$5:$A$34,0)),DAY(EOMONTH($B739,1)))))),""))</f>
        <v/>
      </c>
      <c r="AE739" s="52" t="str">
        <f>IF($C739="","",$C739&amp;"|"&amp;COUNTIF($C$5:$C739,$C739))</f>
        <v/>
      </c>
      <c r="AF739" s="53">
        <f>IF($AC739&gt;0,SUMIFS(Q$4:Q738,$D$4:$D738,$D739,$Z$4:$Z738,$Z739,$C$4:$C738,$C739),0)</f>
        <v>0</v>
      </c>
      <c r="AG739" s="53">
        <f>IF($AC739&gt;0,SUMIFS(Q$4:Q738,$D$4:$D738,$D739,$C$4:$C738,$C739),0)</f>
        <v>0</v>
      </c>
      <c r="AH739" s="53">
        <f>IF($AC739&gt;0,SUMIFS(M$4:M738,$D$4:$D738,$D739,$Z$4:$Z738,$Z739,$C$4:$C738,$C739),0)</f>
        <v>0</v>
      </c>
      <c r="AI739" s="43">
        <f>IF(OR($C739="",$I739=""),0,IF(COUNTIFS($C$5:$C739,$C739,$I$5:$I739,$I739)=1,1,0))</f>
        <v>0</v>
      </c>
      <c r="AJ739" s="43" t="str">
        <f>IF($AI739=1,SUMIFS($AI$4:$AI738,$C$4:$C738,$C739)+1,"")</f>
        <v/>
      </c>
      <c r="AK739" s="43">
        <f>IF(OR($C739="",$K739=""),0,IF(COUNTIFS($C$5:$C739,$C739,$K$5:$K739,$K739)=1,1,0))</f>
        <v>0</v>
      </c>
      <c r="AL739" s="43" t="str">
        <f>IF($AK739=1,SUMIFS($AK$4:$AK738,$C$4:$C738,$C739)+1,"")</f>
        <v/>
      </c>
      <c r="AM739" s="43">
        <f>IF(OR($C739="",$G739=""),0,IF(COUNTIFS($C$5:$C739,$C739,$G$5:$G739,$G739)=1,1,0))</f>
        <v>0</v>
      </c>
      <c r="AN739" s="43" t="str">
        <f>IF($AM739=1,SUMIFS($AM$4:$AM738,$C$4:$C738,$C739)+1,"")</f>
        <v/>
      </c>
    </row>
    <row r="740">
      <c r="A740" s="44" t="str">
        <f>IF(OR($B740="",$D740=""),"","TX"&amp;TEXT(ROW()-4,"0000"))</f>
        <v/>
      </c>
      <c r="B740" s="42" t="n"/>
      <c r="C740" s="47" t="str">
        <f>IF($B740="","",YEAR($B740)*100+MONTH($B740))</f>
        <v/>
      </c>
      <c r="D740" s="37" t="n"/>
      <c r="E740" s="45" t="str">
        <f>IF($D740="","",IFERROR(INDEX(CARDS!$B$5:$B$34,MATCH($D740,CARDS!$A$5:$A$34,0)),"⚠ Card ID?"))</f>
        <v/>
      </c>
      <c r="F740" s="45" t="str">
        <f>IF($D740="","",IFERROR(INDEX(CARDS!$C$5:$C$34,MATCH($D740,CARDS!$A$5:$A$34,0)),"⚠ Card ID?"))</f>
        <v/>
      </c>
      <c r="G740" s="37" t="n"/>
      <c r="H740" s="37" t="n"/>
      <c r="I740" s="41" t="n"/>
      <c r="J740" s="45" t="str">
        <f>IF($I740="","",IFERROR(INDEX(MCC_MASTER!$B$5:$B$504,MATCH($I740,MCC_MASTER!$A$5:$A$504,0)),"⚠ MCC chưa có"))</f>
        <v/>
      </c>
      <c r="K740" s="45" t="str">
        <f>IF($I740="","",IFERROR(IF(INDEX(MCC_MASTER!$C$5:$C$504,MATCH($I740,MCC_MASTER!$A$5:$A$504,0))="","Chưa phân loại",INDEX(MCC_MASTER!$C$5:$C$504,MATCH($I740,MCC_MASTER!$A$5:$A$504,0))),"Chưa phân loại"))</f>
        <v/>
      </c>
      <c r="L740" s="40" t="n"/>
      <c r="M740" s="48" t="str">
        <f>IF(OR($B740="",$D740=""),"",IF($AC740=0,0,IF(ISNUMBER(INDEX(CASHBACK_RULES!$L$5:$L$304,$AC740)),MAX(0,MIN($L740,INDEX(CASHBACK_RULES!$L$5:$L$304,$AC740)-$AH740)),MAX(0,$L740))))</f>
        <v/>
      </c>
      <c r="N740" s="49" t="str">
        <f>IF(OR($B740="",$D740=""),"",IF($AC740&gt;0,INDEX(CASHBACK_RULES!$I$5:$I$304,$AC740),0))</f>
        <v/>
      </c>
      <c r="O740" s="48" t="str">
        <f>IF(OR($B740="",$D740=""),"",ROUND($M740*$N740,0))</f>
        <v/>
      </c>
      <c r="P740" s="48" t="str">
        <f>IF($AC740&gt;0,IF(ISNUMBER(INDEX(CASHBACK_RULES!$J$5:$J$304,$AC740)),INDEX(CASHBACK_RULES!$J$5:$J$304,$AC740),"∞"),"")</f>
        <v/>
      </c>
      <c r="Q740" s="48" t="str">
        <f>IF(OR($B740="",$D740=""),"",IF($AC740=0,0,MAX(0,MIN($O740,IF(ISNUMBER($P740),$P740-$AF740,1E+15),IF(ISNUMBER($AA740),$AA740-$AG740,1E+15)))))</f>
        <v/>
      </c>
      <c r="R740" s="48" t="str">
        <f>IF(OR($B740="",$D740=""),"",IF($AC740=0,"",IF(AND(NOT(ISNUMBER($P740)),NOT(ISNUMBER($AA740))),"∞",MAX(0,MIN(IF(ISNUMBER($P740),$P740-$AF740-$Q740,1E+15),IF(ISNUMBER($AA740),$AA740-$AG740-$Q740,1E+15))))))</f>
        <v/>
      </c>
      <c r="S740" s="47" t="str">
        <f>IF($AD740="","",YEAR($AD740)*100+MONTH($AD740))</f>
        <v/>
      </c>
      <c r="T740" s="50" t="str">
        <f>IF($AD740="","",IFERROR(IF(INDEX(CARDS!$I$5:$I$34,MATCH($D740,CARDS!$A$5:$A$34,0))="","",IF(INDEX(CARDS!$I$5:$I$34,MATCH($D740,CARDS!$A$5:$A$34,0))&gt;INDEX(CARDS!$H$5:$H$34,MATCH($D740,CARDS!$A$5:$A$34,0)),DATE(YEAR($AD740),MONTH($AD740),MIN(INDEX(CARDS!$I$5:$I$34,MATCH($D740,CARDS!$A$5:$A$34,0)),DAY(EOMONTH($AD740,0)))),DATE(YEAR($AD740),MONTH($AD740)+1,MIN(INDEX(CARDS!$I$5:$I$34,MATCH($D740,CARDS!$A$5:$A$34,0)),DAY(EOMONTH($AD740,1)))))),""))</f>
        <v/>
      </c>
      <c r="U740" s="38" t="n"/>
      <c r="V740" s="37" t="n"/>
      <c r="W740" s="38" t="n"/>
      <c r="X740" s="38" t="n"/>
      <c r="Y740" s="44" t="str">
        <f>IF($AC740&gt;0,INDEX(CASHBACK_RULES!$A$5:$A$304,$AC740),"")</f>
        <v/>
      </c>
      <c r="Z740" s="45" t="str">
        <f>IF($AC740&gt;0,INDEX(CASHBACK_RULES!$E$5:$E$304,$AC740)&amp;"","")</f>
        <v/>
      </c>
      <c r="AA740" s="48" t="str">
        <f>IF($AC740&gt;0,IF(ISNUMBER(INDEX(CASHBACK_RULES!$K$5:$K$304,$AC740)),INDEX(CASHBACK_RULES!$K$5:$K$304,$AC740),"∞"),"")</f>
        <v/>
      </c>
      <c r="AB740" s="44" t="str">
        <f>IF(OR($B740="",$D740=""),"",IF($U740="Cancelled","Đã hủy",IF($AC740=0,"Không được hoàn",IF($Q740=0,IF(OR($O740&gt;0,$M740&lt;$L740),"Đã đạt cap","Không được hoàn"),IF(OR($Q740&lt;$O740,$M740&lt;$L740),"Hoàn một phần","Được hoàn")))))</f>
        <v/>
      </c>
      <c r="AC740" s="43">
        <f>IF(OR($B740="",$D740="",$I740="",$L740=""),0,IF($U740="Cancelled",0,IF($W740&lt;&gt;"",IFERROR(IF(INDEX(CASHBACK_RULES!$B$5:$B$304,MATCH($W740,CASHBACK_RULES!$A$5:$A$304,0))=$D740,MATCH($W740,CASHBACK_RULES!$A$5:$A$304,0),0),0),IFERROR(MATCH(1,INDEX((CASHBACK_RULES!$B$5:$B$304=$D740)*(CASHBACK_RULES!$G$5:$G$304=$I740)*(((CASHBACK_RULES!$N$5:$N$304="")+(CASHBACK_RULES!$N$5:$N$304&lt;=$B740))&gt;0)*(((CASHBACK_RULES!$O$5:$O$304="")+(CASHBACK_RULES!$O$5:$O$304&gt;=$B740))&gt;0)*(((CASHBACK_RULES!$M$5:$M$304="")+(CASHBACK_RULES!$M$5:$M$304&lt;=$L740))&gt;0),0),0),0))))</f>
        <v>0</v>
      </c>
      <c r="AD740" s="51" t="str">
        <f>IF(OR($B740="",$D740=""),"",IFERROR(IF(INDEX(CARDS!$H$5:$H$34,MATCH($D740,CARDS!$A$5:$A$34,0))="","",IF(DAY($B740)&lt;=INDEX(CARDS!$H$5:$H$34,MATCH($D740,CARDS!$A$5:$A$34,0)),DATE(YEAR($B740),MONTH($B740),MIN(INDEX(CARDS!$H$5:$H$34,MATCH($D740,CARDS!$A$5:$A$34,0)),DAY(EOMONTH($B740,0)))),DATE(YEAR($B740),MONTH($B740)+1,MIN(INDEX(CARDS!$H$5:$H$34,MATCH($D740,CARDS!$A$5:$A$34,0)),DAY(EOMONTH($B740,1)))))),""))</f>
        <v/>
      </c>
      <c r="AE740" s="52" t="str">
        <f>IF($C740="","",$C740&amp;"|"&amp;COUNTIF($C$5:$C740,$C740))</f>
        <v/>
      </c>
      <c r="AF740" s="53">
        <f>IF($AC740&gt;0,SUMIFS(Q$4:Q739,$D$4:$D739,$D740,$Z$4:$Z739,$Z740,$C$4:$C739,$C740),0)</f>
        <v>0</v>
      </c>
      <c r="AG740" s="53">
        <f>IF($AC740&gt;0,SUMIFS(Q$4:Q739,$D$4:$D739,$D740,$C$4:$C739,$C740),0)</f>
        <v>0</v>
      </c>
      <c r="AH740" s="53">
        <f>IF($AC740&gt;0,SUMIFS(M$4:M739,$D$4:$D739,$D740,$Z$4:$Z739,$Z740,$C$4:$C739,$C740),0)</f>
        <v>0</v>
      </c>
      <c r="AI740" s="43">
        <f>IF(OR($C740="",$I740=""),0,IF(COUNTIFS($C$5:$C740,$C740,$I$5:$I740,$I740)=1,1,0))</f>
        <v>0</v>
      </c>
      <c r="AJ740" s="43" t="str">
        <f>IF($AI740=1,SUMIFS($AI$4:$AI739,$C$4:$C739,$C740)+1,"")</f>
        <v/>
      </c>
      <c r="AK740" s="43">
        <f>IF(OR($C740="",$K740=""),0,IF(COUNTIFS($C$5:$C740,$C740,$K$5:$K740,$K740)=1,1,0))</f>
        <v>0</v>
      </c>
      <c r="AL740" s="43" t="str">
        <f>IF($AK740=1,SUMIFS($AK$4:$AK739,$C$4:$C739,$C740)+1,"")</f>
        <v/>
      </c>
      <c r="AM740" s="43">
        <f>IF(OR($C740="",$G740=""),0,IF(COUNTIFS($C$5:$C740,$C740,$G$5:$G740,$G740)=1,1,0))</f>
        <v>0</v>
      </c>
      <c r="AN740" s="43" t="str">
        <f>IF($AM740=1,SUMIFS($AM$4:$AM739,$C$4:$C739,$C740)+1,"")</f>
        <v/>
      </c>
    </row>
    <row r="741">
      <c r="A741" s="44" t="str">
        <f>IF(OR($B741="",$D741=""),"","TX"&amp;TEXT(ROW()-4,"0000"))</f>
        <v/>
      </c>
      <c r="B741" s="42" t="n"/>
      <c r="C741" s="47" t="str">
        <f>IF($B741="","",YEAR($B741)*100+MONTH($B741))</f>
        <v/>
      </c>
      <c r="D741" s="37" t="n"/>
      <c r="E741" s="45" t="str">
        <f>IF($D741="","",IFERROR(INDEX(CARDS!$B$5:$B$34,MATCH($D741,CARDS!$A$5:$A$34,0)),"⚠ Card ID?"))</f>
        <v/>
      </c>
      <c r="F741" s="45" t="str">
        <f>IF($D741="","",IFERROR(INDEX(CARDS!$C$5:$C$34,MATCH($D741,CARDS!$A$5:$A$34,0)),"⚠ Card ID?"))</f>
        <v/>
      </c>
      <c r="G741" s="37" t="n"/>
      <c r="H741" s="37" t="n"/>
      <c r="I741" s="41" t="n"/>
      <c r="J741" s="45" t="str">
        <f>IF($I741="","",IFERROR(INDEX(MCC_MASTER!$B$5:$B$504,MATCH($I741,MCC_MASTER!$A$5:$A$504,0)),"⚠ MCC chưa có"))</f>
        <v/>
      </c>
      <c r="K741" s="45" t="str">
        <f>IF($I741="","",IFERROR(IF(INDEX(MCC_MASTER!$C$5:$C$504,MATCH($I741,MCC_MASTER!$A$5:$A$504,0))="","Chưa phân loại",INDEX(MCC_MASTER!$C$5:$C$504,MATCH($I741,MCC_MASTER!$A$5:$A$504,0))),"Chưa phân loại"))</f>
        <v/>
      </c>
      <c r="L741" s="40" t="n"/>
      <c r="M741" s="48" t="str">
        <f>IF(OR($B741="",$D741=""),"",IF($AC741=0,0,IF(ISNUMBER(INDEX(CASHBACK_RULES!$L$5:$L$304,$AC741)),MAX(0,MIN($L741,INDEX(CASHBACK_RULES!$L$5:$L$304,$AC741)-$AH741)),MAX(0,$L741))))</f>
        <v/>
      </c>
      <c r="N741" s="49" t="str">
        <f>IF(OR($B741="",$D741=""),"",IF($AC741&gt;0,INDEX(CASHBACK_RULES!$I$5:$I$304,$AC741),0))</f>
        <v/>
      </c>
      <c r="O741" s="48" t="str">
        <f>IF(OR($B741="",$D741=""),"",ROUND($M741*$N741,0))</f>
        <v/>
      </c>
      <c r="P741" s="48" t="str">
        <f>IF($AC741&gt;0,IF(ISNUMBER(INDEX(CASHBACK_RULES!$J$5:$J$304,$AC741)),INDEX(CASHBACK_RULES!$J$5:$J$304,$AC741),"∞"),"")</f>
        <v/>
      </c>
      <c r="Q741" s="48" t="str">
        <f>IF(OR($B741="",$D741=""),"",IF($AC741=0,0,MAX(0,MIN($O741,IF(ISNUMBER($P741),$P741-$AF741,1E+15),IF(ISNUMBER($AA741),$AA741-$AG741,1E+15)))))</f>
        <v/>
      </c>
      <c r="R741" s="48" t="str">
        <f>IF(OR($B741="",$D741=""),"",IF($AC741=0,"",IF(AND(NOT(ISNUMBER($P741)),NOT(ISNUMBER($AA741))),"∞",MAX(0,MIN(IF(ISNUMBER($P741),$P741-$AF741-$Q741,1E+15),IF(ISNUMBER($AA741),$AA741-$AG741-$Q741,1E+15))))))</f>
        <v/>
      </c>
      <c r="S741" s="47" t="str">
        <f>IF($AD741="","",YEAR($AD741)*100+MONTH($AD741))</f>
        <v/>
      </c>
      <c r="T741" s="50" t="str">
        <f>IF($AD741="","",IFERROR(IF(INDEX(CARDS!$I$5:$I$34,MATCH($D741,CARDS!$A$5:$A$34,0))="","",IF(INDEX(CARDS!$I$5:$I$34,MATCH($D741,CARDS!$A$5:$A$34,0))&gt;INDEX(CARDS!$H$5:$H$34,MATCH($D741,CARDS!$A$5:$A$34,0)),DATE(YEAR($AD741),MONTH($AD741),MIN(INDEX(CARDS!$I$5:$I$34,MATCH($D741,CARDS!$A$5:$A$34,0)),DAY(EOMONTH($AD741,0)))),DATE(YEAR($AD741),MONTH($AD741)+1,MIN(INDEX(CARDS!$I$5:$I$34,MATCH($D741,CARDS!$A$5:$A$34,0)),DAY(EOMONTH($AD741,1)))))),""))</f>
        <v/>
      </c>
      <c r="U741" s="38" t="n"/>
      <c r="V741" s="37" t="n"/>
      <c r="W741" s="38" t="n"/>
      <c r="X741" s="38" t="n"/>
      <c r="Y741" s="44" t="str">
        <f>IF($AC741&gt;0,INDEX(CASHBACK_RULES!$A$5:$A$304,$AC741),"")</f>
        <v/>
      </c>
      <c r="Z741" s="45" t="str">
        <f>IF($AC741&gt;0,INDEX(CASHBACK_RULES!$E$5:$E$304,$AC741)&amp;"","")</f>
        <v/>
      </c>
      <c r="AA741" s="48" t="str">
        <f>IF($AC741&gt;0,IF(ISNUMBER(INDEX(CASHBACK_RULES!$K$5:$K$304,$AC741)),INDEX(CASHBACK_RULES!$K$5:$K$304,$AC741),"∞"),"")</f>
        <v/>
      </c>
      <c r="AB741" s="44" t="str">
        <f>IF(OR($B741="",$D741=""),"",IF($U741="Cancelled","Đã hủy",IF($AC741=0,"Không được hoàn",IF($Q741=0,IF(OR($O741&gt;0,$M741&lt;$L741),"Đã đạt cap","Không được hoàn"),IF(OR($Q741&lt;$O741,$M741&lt;$L741),"Hoàn một phần","Được hoàn")))))</f>
        <v/>
      </c>
      <c r="AC741" s="43">
        <f>IF(OR($B741="",$D741="",$I741="",$L741=""),0,IF($U741="Cancelled",0,IF($W741&lt;&gt;"",IFERROR(IF(INDEX(CASHBACK_RULES!$B$5:$B$304,MATCH($W741,CASHBACK_RULES!$A$5:$A$304,0))=$D741,MATCH($W741,CASHBACK_RULES!$A$5:$A$304,0),0),0),IFERROR(MATCH(1,INDEX((CASHBACK_RULES!$B$5:$B$304=$D741)*(CASHBACK_RULES!$G$5:$G$304=$I741)*(((CASHBACK_RULES!$N$5:$N$304="")+(CASHBACK_RULES!$N$5:$N$304&lt;=$B741))&gt;0)*(((CASHBACK_RULES!$O$5:$O$304="")+(CASHBACK_RULES!$O$5:$O$304&gt;=$B741))&gt;0)*(((CASHBACK_RULES!$M$5:$M$304="")+(CASHBACK_RULES!$M$5:$M$304&lt;=$L741))&gt;0),0),0),0))))</f>
        <v>0</v>
      </c>
      <c r="AD741" s="51" t="str">
        <f>IF(OR($B741="",$D741=""),"",IFERROR(IF(INDEX(CARDS!$H$5:$H$34,MATCH($D741,CARDS!$A$5:$A$34,0))="","",IF(DAY($B741)&lt;=INDEX(CARDS!$H$5:$H$34,MATCH($D741,CARDS!$A$5:$A$34,0)),DATE(YEAR($B741),MONTH($B741),MIN(INDEX(CARDS!$H$5:$H$34,MATCH($D741,CARDS!$A$5:$A$34,0)),DAY(EOMONTH($B741,0)))),DATE(YEAR($B741),MONTH($B741)+1,MIN(INDEX(CARDS!$H$5:$H$34,MATCH($D741,CARDS!$A$5:$A$34,0)),DAY(EOMONTH($B741,1)))))),""))</f>
        <v/>
      </c>
      <c r="AE741" s="52" t="str">
        <f>IF($C741="","",$C741&amp;"|"&amp;COUNTIF($C$5:$C741,$C741))</f>
        <v/>
      </c>
      <c r="AF741" s="53">
        <f>IF($AC741&gt;0,SUMIFS(Q$4:Q740,$D$4:$D740,$D741,$Z$4:$Z740,$Z741,$C$4:$C740,$C741),0)</f>
        <v>0</v>
      </c>
      <c r="AG741" s="53">
        <f>IF($AC741&gt;0,SUMIFS(Q$4:Q740,$D$4:$D740,$D741,$C$4:$C740,$C741),0)</f>
        <v>0</v>
      </c>
      <c r="AH741" s="53">
        <f>IF($AC741&gt;0,SUMIFS(M$4:M740,$D$4:$D740,$D741,$Z$4:$Z740,$Z741,$C$4:$C740,$C741),0)</f>
        <v>0</v>
      </c>
      <c r="AI741" s="43">
        <f>IF(OR($C741="",$I741=""),0,IF(COUNTIFS($C$5:$C741,$C741,$I$5:$I741,$I741)=1,1,0))</f>
        <v>0</v>
      </c>
      <c r="AJ741" s="43" t="str">
        <f>IF($AI741=1,SUMIFS($AI$4:$AI740,$C$4:$C740,$C741)+1,"")</f>
        <v/>
      </c>
      <c r="AK741" s="43">
        <f>IF(OR($C741="",$K741=""),0,IF(COUNTIFS($C$5:$C741,$C741,$K$5:$K741,$K741)=1,1,0))</f>
        <v>0</v>
      </c>
      <c r="AL741" s="43" t="str">
        <f>IF($AK741=1,SUMIFS($AK$4:$AK740,$C$4:$C740,$C741)+1,"")</f>
        <v/>
      </c>
      <c r="AM741" s="43">
        <f>IF(OR($C741="",$G741=""),0,IF(COUNTIFS($C$5:$C741,$C741,$G$5:$G741,$G741)=1,1,0))</f>
        <v>0</v>
      </c>
      <c r="AN741" s="43" t="str">
        <f>IF($AM741=1,SUMIFS($AM$4:$AM740,$C$4:$C740,$C741)+1,"")</f>
        <v/>
      </c>
    </row>
    <row r="742">
      <c r="A742" s="44" t="str">
        <f>IF(OR($B742="",$D742=""),"","TX"&amp;TEXT(ROW()-4,"0000"))</f>
        <v/>
      </c>
      <c r="B742" s="42" t="n"/>
      <c r="C742" s="47" t="str">
        <f>IF($B742="","",YEAR($B742)*100+MONTH($B742))</f>
        <v/>
      </c>
      <c r="D742" s="37" t="n"/>
      <c r="E742" s="45" t="str">
        <f>IF($D742="","",IFERROR(INDEX(CARDS!$B$5:$B$34,MATCH($D742,CARDS!$A$5:$A$34,0)),"⚠ Card ID?"))</f>
        <v/>
      </c>
      <c r="F742" s="45" t="str">
        <f>IF($D742="","",IFERROR(INDEX(CARDS!$C$5:$C$34,MATCH($D742,CARDS!$A$5:$A$34,0)),"⚠ Card ID?"))</f>
        <v/>
      </c>
      <c r="G742" s="37" t="n"/>
      <c r="H742" s="37" t="n"/>
      <c r="I742" s="41" t="n"/>
      <c r="J742" s="45" t="str">
        <f>IF($I742="","",IFERROR(INDEX(MCC_MASTER!$B$5:$B$504,MATCH($I742,MCC_MASTER!$A$5:$A$504,0)),"⚠ MCC chưa có"))</f>
        <v/>
      </c>
      <c r="K742" s="45" t="str">
        <f>IF($I742="","",IFERROR(IF(INDEX(MCC_MASTER!$C$5:$C$504,MATCH($I742,MCC_MASTER!$A$5:$A$504,0))="","Chưa phân loại",INDEX(MCC_MASTER!$C$5:$C$504,MATCH($I742,MCC_MASTER!$A$5:$A$504,0))),"Chưa phân loại"))</f>
        <v/>
      </c>
      <c r="L742" s="40" t="n"/>
      <c r="M742" s="48" t="str">
        <f>IF(OR($B742="",$D742=""),"",IF($AC742=0,0,IF(ISNUMBER(INDEX(CASHBACK_RULES!$L$5:$L$304,$AC742)),MAX(0,MIN($L742,INDEX(CASHBACK_RULES!$L$5:$L$304,$AC742)-$AH742)),MAX(0,$L742))))</f>
        <v/>
      </c>
      <c r="N742" s="49" t="str">
        <f>IF(OR($B742="",$D742=""),"",IF($AC742&gt;0,INDEX(CASHBACK_RULES!$I$5:$I$304,$AC742),0))</f>
        <v/>
      </c>
      <c r="O742" s="48" t="str">
        <f>IF(OR($B742="",$D742=""),"",ROUND($M742*$N742,0))</f>
        <v/>
      </c>
      <c r="P742" s="48" t="str">
        <f>IF($AC742&gt;0,IF(ISNUMBER(INDEX(CASHBACK_RULES!$J$5:$J$304,$AC742)),INDEX(CASHBACK_RULES!$J$5:$J$304,$AC742),"∞"),"")</f>
        <v/>
      </c>
      <c r="Q742" s="48" t="str">
        <f>IF(OR($B742="",$D742=""),"",IF($AC742=0,0,MAX(0,MIN($O742,IF(ISNUMBER($P742),$P742-$AF742,1E+15),IF(ISNUMBER($AA742),$AA742-$AG742,1E+15)))))</f>
        <v/>
      </c>
      <c r="R742" s="48" t="str">
        <f>IF(OR($B742="",$D742=""),"",IF($AC742=0,"",IF(AND(NOT(ISNUMBER($P742)),NOT(ISNUMBER($AA742))),"∞",MAX(0,MIN(IF(ISNUMBER($P742),$P742-$AF742-$Q742,1E+15),IF(ISNUMBER($AA742),$AA742-$AG742-$Q742,1E+15))))))</f>
        <v/>
      </c>
      <c r="S742" s="47" t="str">
        <f>IF($AD742="","",YEAR($AD742)*100+MONTH($AD742))</f>
        <v/>
      </c>
      <c r="T742" s="50" t="str">
        <f>IF($AD742="","",IFERROR(IF(INDEX(CARDS!$I$5:$I$34,MATCH($D742,CARDS!$A$5:$A$34,0))="","",IF(INDEX(CARDS!$I$5:$I$34,MATCH($D742,CARDS!$A$5:$A$34,0))&gt;INDEX(CARDS!$H$5:$H$34,MATCH($D742,CARDS!$A$5:$A$34,0)),DATE(YEAR($AD742),MONTH($AD742),MIN(INDEX(CARDS!$I$5:$I$34,MATCH($D742,CARDS!$A$5:$A$34,0)),DAY(EOMONTH($AD742,0)))),DATE(YEAR($AD742),MONTH($AD742)+1,MIN(INDEX(CARDS!$I$5:$I$34,MATCH($D742,CARDS!$A$5:$A$34,0)),DAY(EOMONTH($AD742,1)))))),""))</f>
        <v/>
      </c>
      <c r="U742" s="38" t="n"/>
      <c r="V742" s="37" t="n"/>
      <c r="W742" s="38" t="n"/>
      <c r="X742" s="38" t="n"/>
      <c r="Y742" s="44" t="str">
        <f>IF($AC742&gt;0,INDEX(CASHBACK_RULES!$A$5:$A$304,$AC742),"")</f>
        <v/>
      </c>
      <c r="Z742" s="45" t="str">
        <f>IF($AC742&gt;0,INDEX(CASHBACK_RULES!$E$5:$E$304,$AC742)&amp;"","")</f>
        <v/>
      </c>
      <c r="AA742" s="48" t="str">
        <f>IF($AC742&gt;0,IF(ISNUMBER(INDEX(CASHBACK_RULES!$K$5:$K$304,$AC742)),INDEX(CASHBACK_RULES!$K$5:$K$304,$AC742),"∞"),"")</f>
        <v/>
      </c>
      <c r="AB742" s="44" t="str">
        <f>IF(OR($B742="",$D742=""),"",IF($U742="Cancelled","Đã hủy",IF($AC742=0,"Không được hoàn",IF($Q742=0,IF(OR($O742&gt;0,$M742&lt;$L742),"Đã đạt cap","Không được hoàn"),IF(OR($Q742&lt;$O742,$M742&lt;$L742),"Hoàn một phần","Được hoàn")))))</f>
        <v/>
      </c>
      <c r="AC742" s="43">
        <f>IF(OR($B742="",$D742="",$I742="",$L742=""),0,IF($U742="Cancelled",0,IF($W742&lt;&gt;"",IFERROR(IF(INDEX(CASHBACK_RULES!$B$5:$B$304,MATCH($W742,CASHBACK_RULES!$A$5:$A$304,0))=$D742,MATCH($W742,CASHBACK_RULES!$A$5:$A$304,0),0),0),IFERROR(MATCH(1,INDEX((CASHBACK_RULES!$B$5:$B$304=$D742)*(CASHBACK_RULES!$G$5:$G$304=$I742)*(((CASHBACK_RULES!$N$5:$N$304="")+(CASHBACK_RULES!$N$5:$N$304&lt;=$B742))&gt;0)*(((CASHBACK_RULES!$O$5:$O$304="")+(CASHBACK_RULES!$O$5:$O$304&gt;=$B742))&gt;0)*(((CASHBACK_RULES!$M$5:$M$304="")+(CASHBACK_RULES!$M$5:$M$304&lt;=$L742))&gt;0),0),0),0))))</f>
        <v>0</v>
      </c>
      <c r="AD742" s="51" t="str">
        <f>IF(OR($B742="",$D742=""),"",IFERROR(IF(INDEX(CARDS!$H$5:$H$34,MATCH($D742,CARDS!$A$5:$A$34,0))="","",IF(DAY($B742)&lt;=INDEX(CARDS!$H$5:$H$34,MATCH($D742,CARDS!$A$5:$A$34,0)),DATE(YEAR($B742),MONTH($B742),MIN(INDEX(CARDS!$H$5:$H$34,MATCH($D742,CARDS!$A$5:$A$34,0)),DAY(EOMONTH($B742,0)))),DATE(YEAR($B742),MONTH($B742)+1,MIN(INDEX(CARDS!$H$5:$H$34,MATCH($D742,CARDS!$A$5:$A$34,0)),DAY(EOMONTH($B742,1)))))),""))</f>
        <v/>
      </c>
      <c r="AE742" s="52" t="str">
        <f>IF($C742="","",$C742&amp;"|"&amp;COUNTIF($C$5:$C742,$C742))</f>
        <v/>
      </c>
      <c r="AF742" s="53">
        <f>IF($AC742&gt;0,SUMIFS(Q$4:Q741,$D$4:$D741,$D742,$Z$4:$Z741,$Z742,$C$4:$C741,$C742),0)</f>
        <v>0</v>
      </c>
      <c r="AG742" s="53">
        <f>IF($AC742&gt;0,SUMIFS(Q$4:Q741,$D$4:$D741,$D742,$C$4:$C741,$C742),0)</f>
        <v>0</v>
      </c>
      <c r="AH742" s="53">
        <f>IF($AC742&gt;0,SUMIFS(M$4:M741,$D$4:$D741,$D742,$Z$4:$Z741,$Z742,$C$4:$C741,$C742),0)</f>
        <v>0</v>
      </c>
      <c r="AI742" s="43">
        <f>IF(OR($C742="",$I742=""),0,IF(COUNTIFS($C$5:$C742,$C742,$I$5:$I742,$I742)=1,1,0))</f>
        <v>0</v>
      </c>
      <c r="AJ742" s="43" t="str">
        <f>IF($AI742=1,SUMIFS($AI$4:$AI741,$C$4:$C741,$C742)+1,"")</f>
        <v/>
      </c>
      <c r="AK742" s="43">
        <f>IF(OR($C742="",$K742=""),0,IF(COUNTIFS($C$5:$C742,$C742,$K$5:$K742,$K742)=1,1,0))</f>
        <v>0</v>
      </c>
      <c r="AL742" s="43" t="str">
        <f>IF($AK742=1,SUMIFS($AK$4:$AK741,$C$4:$C741,$C742)+1,"")</f>
        <v/>
      </c>
      <c r="AM742" s="43">
        <f>IF(OR($C742="",$G742=""),0,IF(COUNTIFS($C$5:$C742,$C742,$G$5:$G742,$G742)=1,1,0))</f>
        <v>0</v>
      </c>
      <c r="AN742" s="43" t="str">
        <f>IF($AM742=1,SUMIFS($AM$4:$AM741,$C$4:$C741,$C742)+1,"")</f>
        <v/>
      </c>
    </row>
    <row r="743">
      <c r="A743" s="44" t="str">
        <f>IF(OR($B743="",$D743=""),"","TX"&amp;TEXT(ROW()-4,"0000"))</f>
        <v/>
      </c>
      <c r="B743" s="42" t="n"/>
      <c r="C743" s="47" t="str">
        <f>IF($B743="","",YEAR($B743)*100+MONTH($B743))</f>
        <v/>
      </c>
      <c r="D743" s="37" t="n"/>
      <c r="E743" s="45" t="str">
        <f>IF($D743="","",IFERROR(INDEX(CARDS!$B$5:$B$34,MATCH($D743,CARDS!$A$5:$A$34,0)),"⚠ Card ID?"))</f>
        <v/>
      </c>
      <c r="F743" s="45" t="str">
        <f>IF($D743="","",IFERROR(INDEX(CARDS!$C$5:$C$34,MATCH($D743,CARDS!$A$5:$A$34,0)),"⚠ Card ID?"))</f>
        <v/>
      </c>
      <c r="G743" s="37" t="n"/>
      <c r="H743" s="37" t="n"/>
      <c r="I743" s="41" t="n"/>
      <c r="J743" s="45" t="str">
        <f>IF($I743="","",IFERROR(INDEX(MCC_MASTER!$B$5:$B$504,MATCH($I743,MCC_MASTER!$A$5:$A$504,0)),"⚠ MCC chưa có"))</f>
        <v/>
      </c>
      <c r="K743" s="45" t="str">
        <f>IF($I743="","",IFERROR(IF(INDEX(MCC_MASTER!$C$5:$C$504,MATCH($I743,MCC_MASTER!$A$5:$A$504,0))="","Chưa phân loại",INDEX(MCC_MASTER!$C$5:$C$504,MATCH($I743,MCC_MASTER!$A$5:$A$504,0))),"Chưa phân loại"))</f>
        <v/>
      </c>
      <c r="L743" s="40" t="n"/>
      <c r="M743" s="48" t="str">
        <f>IF(OR($B743="",$D743=""),"",IF($AC743=0,0,IF(ISNUMBER(INDEX(CASHBACK_RULES!$L$5:$L$304,$AC743)),MAX(0,MIN($L743,INDEX(CASHBACK_RULES!$L$5:$L$304,$AC743)-$AH743)),MAX(0,$L743))))</f>
        <v/>
      </c>
      <c r="N743" s="49" t="str">
        <f>IF(OR($B743="",$D743=""),"",IF($AC743&gt;0,INDEX(CASHBACK_RULES!$I$5:$I$304,$AC743),0))</f>
        <v/>
      </c>
      <c r="O743" s="48" t="str">
        <f>IF(OR($B743="",$D743=""),"",ROUND($M743*$N743,0))</f>
        <v/>
      </c>
      <c r="P743" s="48" t="str">
        <f>IF($AC743&gt;0,IF(ISNUMBER(INDEX(CASHBACK_RULES!$J$5:$J$304,$AC743)),INDEX(CASHBACK_RULES!$J$5:$J$304,$AC743),"∞"),"")</f>
        <v/>
      </c>
      <c r="Q743" s="48" t="str">
        <f>IF(OR($B743="",$D743=""),"",IF($AC743=0,0,MAX(0,MIN($O743,IF(ISNUMBER($P743),$P743-$AF743,1E+15),IF(ISNUMBER($AA743),$AA743-$AG743,1E+15)))))</f>
        <v/>
      </c>
      <c r="R743" s="48" t="str">
        <f>IF(OR($B743="",$D743=""),"",IF($AC743=0,"",IF(AND(NOT(ISNUMBER($P743)),NOT(ISNUMBER($AA743))),"∞",MAX(0,MIN(IF(ISNUMBER($P743),$P743-$AF743-$Q743,1E+15),IF(ISNUMBER($AA743),$AA743-$AG743-$Q743,1E+15))))))</f>
        <v/>
      </c>
      <c r="S743" s="47" t="str">
        <f>IF($AD743="","",YEAR($AD743)*100+MONTH($AD743))</f>
        <v/>
      </c>
      <c r="T743" s="50" t="str">
        <f>IF($AD743="","",IFERROR(IF(INDEX(CARDS!$I$5:$I$34,MATCH($D743,CARDS!$A$5:$A$34,0))="","",IF(INDEX(CARDS!$I$5:$I$34,MATCH($D743,CARDS!$A$5:$A$34,0))&gt;INDEX(CARDS!$H$5:$H$34,MATCH($D743,CARDS!$A$5:$A$34,0)),DATE(YEAR($AD743),MONTH($AD743),MIN(INDEX(CARDS!$I$5:$I$34,MATCH($D743,CARDS!$A$5:$A$34,0)),DAY(EOMONTH($AD743,0)))),DATE(YEAR($AD743),MONTH($AD743)+1,MIN(INDEX(CARDS!$I$5:$I$34,MATCH($D743,CARDS!$A$5:$A$34,0)),DAY(EOMONTH($AD743,1)))))),""))</f>
        <v/>
      </c>
      <c r="U743" s="38" t="n"/>
      <c r="V743" s="37" t="n"/>
      <c r="W743" s="38" t="n"/>
      <c r="X743" s="38" t="n"/>
      <c r="Y743" s="44" t="str">
        <f>IF($AC743&gt;0,INDEX(CASHBACK_RULES!$A$5:$A$304,$AC743),"")</f>
        <v/>
      </c>
      <c r="Z743" s="45" t="str">
        <f>IF($AC743&gt;0,INDEX(CASHBACK_RULES!$E$5:$E$304,$AC743)&amp;"","")</f>
        <v/>
      </c>
      <c r="AA743" s="48" t="str">
        <f>IF($AC743&gt;0,IF(ISNUMBER(INDEX(CASHBACK_RULES!$K$5:$K$304,$AC743)),INDEX(CASHBACK_RULES!$K$5:$K$304,$AC743),"∞"),"")</f>
        <v/>
      </c>
      <c r="AB743" s="44" t="str">
        <f>IF(OR($B743="",$D743=""),"",IF($U743="Cancelled","Đã hủy",IF($AC743=0,"Không được hoàn",IF($Q743=0,IF(OR($O743&gt;0,$M743&lt;$L743),"Đã đạt cap","Không được hoàn"),IF(OR($Q743&lt;$O743,$M743&lt;$L743),"Hoàn một phần","Được hoàn")))))</f>
        <v/>
      </c>
      <c r="AC743" s="43">
        <f>IF(OR($B743="",$D743="",$I743="",$L743=""),0,IF($U743="Cancelled",0,IF($W743&lt;&gt;"",IFERROR(IF(INDEX(CASHBACK_RULES!$B$5:$B$304,MATCH($W743,CASHBACK_RULES!$A$5:$A$304,0))=$D743,MATCH($W743,CASHBACK_RULES!$A$5:$A$304,0),0),0),IFERROR(MATCH(1,INDEX((CASHBACK_RULES!$B$5:$B$304=$D743)*(CASHBACK_RULES!$G$5:$G$304=$I743)*(((CASHBACK_RULES!$N$5:$N$304="")+(CASHBACK_RULES!$N$5:$N$304&lt;=$B743))&gt;0)*(((CASHBACK_RULES!$O$5:$O$304="")+(CASHBACK_RULES!$O$5:$O$304&gt;=$B743))&gt;0)*(((CASHBACK_RULES!$M$5:$M$304="")+(CASHBACK_RULES!$M$5:$M$304&lt;=$L743))&gt;0),0),0),0))))</f>
        <v>0</v>
      </c>
      <c r="AD743" s="51" t="str">
        <f>IF(OR($B743="",$D743=""),"",IFERROR(IF(INDEX(CARDS!$H$5:$H$34,MATCH($D743,CARDS!$A$5:$A$34,0))="","",IF(DAY($B743)&lt;=INDEX(CARDS!$H$5:$H$34,MATCH($D743,CARDS!$A$5:$A$34,0)),DATE(YEAR($B743),MONTH($B743),MIN(INDEX(CARDS!$H$5:$H$34,MATCH($D743,CARDS!$A$5:$A$34,0)),DAY(EOMONTH($B743,0)))),DATE(YEAR($B743),MONTH($B743)+1,MIN(INDEX(CARDS!$H$5:$H$34,MATCH($D743,CARDS!$A$5:$A$34,0)),DAY(EOMONTH($B743,1)))))),""))</f>
        <v/>
      </c>
      <c r="AE743" s="52" t="str">
        <f>IF($C743="","",$C743&amp;"|"&amp;COUNTIF($C$5:$C743,$C743))</f>
        <v/>
      </c>
      <c r="AF743" s="53">
        <f>IF($AC743&gt;0,SUMIFS(Q$4:Q742,$D$4:$D742,$D743,$Z$4:$Z742,$Z743,$C$4:$C742,$C743),0)</f>
        <v>0</v>
      </c>
      <c r="AG743" s="53">
        <f>IF($AC743&gt;0,SUMIFS(Q$4:Q742,$D$4:$D742,$D743,$C$4:$C742,$C743),0)</f>
        <v>0</v>
      </c>
      <c r="AH743" s="53">
        <f>IF($AC743&gt;0,SUMIFS(M$4:M742,$D$4:$D742,$D743,$Z$4:$Z742,$Z743,$C$4:$C742,$C743),0)</f>
        <v>0</v>
      </c>
      <c r="AI743" s="43">
        <f>IF(OR($C743="",$I743=""),0,IF(COUNTIFS($C$5:$C743,$C743,$I$5:$I743,$I743)=1,1,0))</f>
        <v>0</v>
      </c>
      <c r="AJ743" s="43" t="str">
        <f>IF($AI743=1,SUMIFS($AI$4:$AI742,$C$4:$C742,$C743)+1,"")</f>
        <v/>
      </c>
      <c r="AK743" s="43">
        <f>IF(OR($C743="",$K743=""),0,IF(COUNTIFS($C$5:$C743,$C743,$K$5:$K743,$K743)=1,1,0))</f>
        <v>0</v>
      </c>
      <c r="AL743" s="43" t="str">
        <f>IF($AK743=1,SUMIFS($AK$4:$AK742,$C$4:$C742,$C743)+1,"")</f>
        <v/>
      </c>
      <c r="AM743" s="43">
        <f>IF(OR($C743="",$G743=""),0,IF(COUNTIFS($C$5:$C743,$C743,$G$5:$G743,$G743)=1,1,0))</f>
        <v>0</v>
      </c>
      <c r="AN743" s="43" t="str">
        <f>IF($AM743=1,SUMIFS($AM$4:$AM742,$C$4:$C742,$C743)+1,"")</f>
        <v/>
      </c>
    </row>
    <row r="744">
      <c r="A744" s="44" t="str">
        <f>IF(OR($B744="",$D744=""),"","TX"&amp;TEXT(ROW()-4,"0000"))</f>
        <v/>
      </c>
      <c r="B744" s="42" t="n"/>
      <c r="C744" s="47" t="str">
        <f>IF($B744="","",YEAR($B744)*100+MONTH($B744))</f>
        <v/>
      </c>
      <c r="D744" s="37" t="n"/>
      <c r="E744" s="45" t="str">
        <f>IF($D744="","",IFERROR(INDEX(CARDS!$B$5:$B$34,MATCH($D744,CARDS!$A$5:$A$34,0)),"⚠ Card ID?"))</f>
        <v/>
      </c>
      <c r="F744" s="45" t="str">
        <f>IF($D744="","",IFERROR(INDEX(CARDS!$C$5:$C$34,MATCH($D744,CARDS!$A$5:$A$34,0)),"⚠ Card ID?"))</f>
        <v/>
      </c>
      <c r="G744" s="37" t="n"/>
      <c r="H744" s="37" t="n"/>
      <c r="I744" s="41" t="n"/>
      <c r="J744" s="45" t="str">
        <f>IF($I744="","",IFERROR(INDEX(MCC_MASTER!$B$5:$B$504,MATCH($I744,MCC_MASTER!$A$5:$A$504,0)),"⚠ MCC chưa có"))</f>
        <v/>
      </c>
      <c r="K744" s="45" t="str">
        <f>IF($I744="","",IFERROR(IF(INDEX(MCC_MASTER!$C$5:$C$504,MATCH($I744,MCC_MASTER!$A$5:$A$504,0))="","Chưa phân loại",INDEX(MCC_MASTER!$C$5:$C$504,MATCH($I744,MCC_MASTER!$A$5:$A$504,0))),"Chưa phân loại"))</f>
        <v/>
      </c>
      <c r="L744" s="40" t="n"/>
      <c r="M744" s="48" t="str">
        <f>IF(OR($B744="",$D744=""),"",IF($AC744=0,0,IF(ISNUMBER(INDEX(CASHBACK_RULES!$L$5:$L$304,$AC744)),MAX(0,MIN($L744,INDEX(CASHBACK_RULES!$L$5:$L$304,$AC744)-$AH744)),MAX(0,$L744))))</f>
        <v/>
      </c>
      <c r="N744" s="49" t="str">
        <f>IF(OR($B744="",$D744=""),"",IF($AC744&gt;0,INDEX(CASHBACK_RULES!$I$5:$I$304,$AC744),0))</f>
        <v/>
      </c>
      <c r="O744" s="48" t="str">
        <f>IF(OR($B744="",$D744=""),"",ROUND($M744*$N744,0))</f>
        <v/>
      </c>
      <c r="P744" s="48" t="str">
        <f>IF($AC744&gt;0,IF(ISNUMBER(INDEX(CASHBACK_RULES!$J$5:$J$304,$AC744)),INDEX(CASHBACK_RULES!$J$5:$J$304,$AC744),"∞"),"")</f>
        <v/>
      </c>
      <c r="Q744" s="48" t="str">
        <f>IF(OR($B744="",$D744=""),"",IF($AC744=0,0,MAX(0,MIN($O744,IF(ISNUMBER($P744),$P744-$AF744,1E+15),IF(ISNUMBER($AA744),$AA744-$AG744,1E+15)))))</f>
        <v/>
      </c>
      <c r="R744" s="48" t="str">
        <f>IF(OR($B744="",$D744=""),"",IF($AC744=0,"",IF(AND(NOT(ISNUMBER($P744)),NOT(ISNUMBER($AA744))),"∞",MAX(0,MIN(IF(ISNUMBER($P744),$P744-$AF744-$Q744,1E+15),IF(ISNUMBER($AA744),$AA744-$AG744-$Q744,1E+15))))))</f>
        <v/>
      </c>
      <c r="S744" s="47" t="str">
        <f>IF($AD744="","",YEAR($AD744)*100+MONTH($AD744))</f>
        <v/>
      </c>
      <c r="T744" s="50" t="str">
        <f>IF($AD744="","",IFERROR(IF(INDEX(CARDS!$I$5:$I$34,MATCH($D744,CARDS!$A$5:$A$34,0))="","",IF(INDEX(CARDS!$I$5:$I$34,MATCH($D744,CARDS!$A$5:$A$34,0))&gt;INDEX(CARDS!$H$5:$H$34,MATCH($D744,CARDS!$A$5:$A$34,0)),DATE(YEAR($AD744),MONTH($AD744),MIN(INDEX(CARDS!$I$5:$I$34,MATCH($D744,CARDS!$A$5:$A$34,0)),DAY(EOMONTH($AD744,0)))),DATE(YEAR($AD744),MONTH($AD744)+1,MIN(INDEX(CARDS!$I$5:$I$34,MATCH($D744,CARDS!$A$5:$A$34,0)),DAY(EOMONTH($AD744,1)))))),""))</f>
        <v/>
      </c>
      <c r="U744" s="38" t="n"/>
      <c r="V744" s="37" t="n"/>
      <c r="W744" s="38" t="n"/>
      <c r="X744" s="38" t="n"/>
      <c r="Y744" s="44" t="str">
        <f>IF($AC744&gt;0,INDEX(CASHBACK_RULES!$A$5:$A$304,$AC744),"")</f>
        <v/>
      </c>
      <c r="Z744" s="45" t="str">
        <f>IF($AC744&gt;0,INDEX(CASHBACK_RULES!$E$5:$E$304,$AC744)&amp;"","")</f>
        <v/>
      </c>
      <c r="AA744" s="48" t="str">
        <f>IF($AC744&gt;0,IF(ISNUMBER(INDEX(CASHBACK_RULES!$K$5:$K$304,$AC744)),INDEX(CASHBACK_RULES!$K$5:$K$304,$AC744),"∞"),"")</f>
        <v/>
      </c>
      <c r="AB744" s="44" t="str">
        <f>IF(OR($B744="",$D744=""),"",IF($U744="Cancelled","Đã hủy",IF($AC744=0,"Không được hoàn",IF($Q744=0,IF(OR($O744&gt;0,$M744&lt;$L744),"Đã đạt cap","Không được hoàn"),IF(OR($Q744&lt;$O744,$M744&lt;$L744),"Hoàn một phần","Được hoàn")))))</f>
        <v/>
      </c>
      <c r="AC744" s="43">
        <f>IF(OR($B744="",$D744="",$I744="",$L744=""),0,IF($U744="Cancelled",0,IF($W744&lt;&gt;"",IFERROR(IF(INDEX(CASHBACK_RULES!$B$5:$B$304,MATCH($W744,CASHBACK_RULES!$A$5:$A$304,0))=$D744,MATCH($W744,CASHBACK_RULES!$A$5:$A$304,0),0),0),IFERROR(MATCH(1,INDEX((CASHBACK_RULES!$B$5:$B$304=$D744)*(CASHBACK_RULES!$G$5:$G$304=$I744)*(((CASHBACK_RULES!$N$5:$N$304="")+(CASHBACK_RULES!$N$5:$N$304&lt;=$B744))&gt;0)*(((CASHBACK_RULES!$O$5:$O$304="")+(CASHBACK_RULES!$O$5:$O$304&gt;=$B744))&gt;0)*(((CASHBACK_RULES!$M$5:$M$304="")+(CASHBACK_RULES!$M$5:$M$304&lt;=$L744))&gt;0),0),0),0))))</f>
        <v>0</v>
      </c>
      <c r="AD744" s="51" t="str">
        <f>IF(OR($B744="",$D744=""),"",IFERROR(IF(INDEX(CARDS!$H$5:$H$34,MATCH($D744,CARDS!$A$5:$A$34,0))="","",IF(DAY($B744)&lt;=INDEX(CARDS!$H$5:$H$34,MATCH($D744,CARDS!$A$5:$A$34,0)),DATE(YEAR($B744),MONTH($B744),MIN(INDEX(CARDS!$H$5:$H$34,MATCH($D744,CARDS!$A$5:$A$34,0)),DAY(EOMONTH($B744,0)))),DATE(YEAR($B744),MONTH($B744)+1,MIN(INDEX(CARDS!$H$5:$H$34,MATCH($D744,CARDS!$A$5:$A$34,0)),DAY(EOMONTH($B744,1)))))),""))</f>
        <v/>
      </c>
      <c r="AE744" s="52" t="str">
        <f>IF($C744="","",$C744&amp;"|"&amp;COUNTIF($C$5:$C744,$C744))</f>
        <v/>
      </c>
      <c r="AF744" s="53">
        <f>IF($AC744&gt;0,SUMIFS(Q$4:Q743,$D$4:$D743,$D744,$Z$4:$Z743,$Z744,$C$4:$C743,$C744),0)</f>
        <v>0</v>
      </c>
      <c r="AG744" s="53">
        <f>IF($AC744&gt;0,SUMIFS(Q$4:Q743,$D$4:$D743,$D744,$C$4:$C743,$C744),0)</f>
        <v>0</v>
      </c>
      <c r="AH744" s="53">
        <f>IF($AC744&gt;0,SUMIFS(M$4:M743,$D$4:$D743,$D744,$Z$4:$Z743,$Z744,$C$4:$C743,$C744),0)</f>
        <v>0</v>
      </c>
      <c r="AI744" s="43">
        <f>IF(OR($C744="",$I744=""),0,IF(COUNTIFS($C$5:$C744,$C744,$I$5:$I744,$I744)=1,1,0))</f>
        <v>0</v>
      </c>
      <c r="AJ744" s="43" t="str">
        <f>IF($AI744=1,SUMIFS($AI$4:$AI743,$C$4:$C743,$C744)+1,"")</f>
        <v/>
      </c>
      <c r="AK744" s="43">
        <f>IF(OR($C744="",$K744=""),0,IF(COUNTIFS($C$5:$C744,$C744,$K$5:$K744,$K744)=1,1,0))</f>
        <v>0</v>
      </c>
      <c r="AL744" s="43" t="str">
        <f>IF($AK744=1,SUMIFS($AK$4:$AK743,$C$4:$C743,$C744)+1,"")</f>
        <v/>
      </c>
      <c r="AM744" s="43">
        <f>IF(OR($C744="",$G744=""),0,IF(COUNTIFS($C$5:$C744,$C744,$G$5:$G744,$G744)=1,1,0))</f>
        <v>0</v>
      </c>
      <c r="AN744" s="43" t="str">
        <f>IF($AM744=1,SUMIFS($AM$4:$AM743,$C$4:$C743,$C744)+1,"")</f>
        <v/>
      </c>
    </row>
    <row r="745">
      <c r="A745" s="44" t="str">
        <f>IF(OR($B745="",$D745=""),"","TX"&amp;TEXT(ROW()-4,"0000"))</f>
        <v/>
      </c>
      <c r="B745" s="42" t="n"/>
      <c r="C745" s="47" t="str">
        <f>IF($B745="","",YEAR($B745)*100+MONTH($B745))</f>
        <v/>
      </c>
      <c r="D745" s="37" t="n"/>
      <c r="E745" s="45" t="str">
        <f>IF($D745="","",IFERROR(INDEX(CARDS!$B$5:$B$34,MATCH($D745,CARDS!$A$5:$A$34,0)),"⚠ Card ID?"))</f>
        <v/>
      </c>
      <c r="F745" s="45" t="str">
        <f>IF($D745="","",IFERROR(INDEX(CARDS!$C$5:$C$34,MATCH($D745,CARDS!$A$5:$A$34,0)),"⚠ Card ID?"))</f>
        <v/>
      </c>
      <c r="G745" s="37" t="n"/>
      <c r="H745" s="37" t="n"/>
      <c r="I745" s="41" t="n"/>
      <c r="J745" s="45" t="str">
        <f>IF($I745="","",IFERROR(INDEX(MCC_MASTER!$B$5:$B$504,MATCH($I745,MCC_MASTER!$A$5:$A$504,0)),"⚠ MCC chưa có"))</f>
        <v/>
      </c>
      <c r="K745" s="45" t="str">
        <f>IF($I745="","",IFERROR(IF(INDEX(MCC_MASTER!$C$5:$C$504,MATCH($I745,MCC_MASTER!$A$5:$A$504,0))="","Chưa phân loại",INDEX(MCC_MASTER!$C$5:$C$504,MATCH($I745,MCC_MASTER!$A$5:$A$504,0))),"Chưa phân loại"))</f>
        <v/>
      </c>
      <c r="L745" s="40" t="n"/>
      <c r="M745" s="48" t="str">
        <f>IF(OR($B745="",$D745=""),"",IF($AC745=0,0,IF(ISNUMBER(INDEX(CASHBACK_RULES!$L$5:$L$304,$AC745)),MAX(0,MIN($L745,INDEX(CASHBACK_RULES!$L$5:$L$304,$AC745)-$AH745)),MAX(0,$L745))))</f>
        <v/>
      </c>
      <c r="N745" s="49" t="str">
        <f>IF(OR($B745="",$D745=""),"",IF($AC745&gt;0,INDEX(CASHBACK_RULES!$I$5:$I$304,$AC745),0))</f>
        <v/>
      </c>
      <c r="O745" s="48" t="str">
        <f>IF(OR($B745="",$D745=""),"",ROUND($M745*$N745,0))</f>
        <v/>
      </c>
      <c r="P745" s="48" t="str">
        <f>IF($AC745&gt;0,IF(ISNUMBER(INDEX(CASHBACK_RULES!$J$5:$J$304,$AC745)),INDEX(CASHBACK_RULES!$J$5:$J$304,$AC745),"∞"),"")</f>
        <v/>
      </c>
      <c r="Q745" s="48" t="str">
        <f>IF(OR($B745="",$D745=""),"",IF($AC745=0,0,MAX(0,MIN($O745,IF(ISNUMBER($P745),$P745-$AF745,1E+15),IF(ISNUMBER($AA745),$AA745-$AG745,1E+15)))))</f>
        <v/>
      </c>
      <c r="R745" s="48" t="str">
        <f>IF(OR($B745="",$D745=""),"",IF($AC745=0,"",IF(AND(NOT(ISNUMBER($P745)),NOT(ISNUMBER($AA745))),"∞",MAX(0,MIN(IF(ISNUMBER($P745),$P745-$AF745-$Q745,1E+15),IF(ISNUMBER($AA745),$AA745-$AG745-$Q745,1E+15))))))</f>
        <v/>
      </c>
      <c r="S745" s="47" t="str">
        <f>IF($AD745="","",YEAR($AD745)*100+MONTH($AD745))</f>
        <v/>
      </c>
      <c r="T745" s="50" t="str">
        <f>IF($AD745="","",IFERROR(IF(INDEX(CARDS!$I$5:$I$34,MATCH($D745,CARDS!$A$5:$A$34,0))="","",IF(INDEX(CARDS!$I$5:$I$34,MATCH($D745,CARDS!$A$5:$A$34,0))&gt;INDEX(CARDS!$H$5:$H$34,MATCH($D745,CARDS!$A$5:$A$34,0)),DATE(YEAR($AD745),MONTH($AD745),MIN(INDEX(CARDS!$I$5:$I$34,MATCH($D745,CARDS!$A$5:$A$34,0)),DAY(EOMONTH($AD745,0)))),DATE(YEAR($AD745),MONTH($AD745)+1,MIN(INDEX(CARDS!$I$5:$I$34,MATCH($D745,CARDS!$A$5:$A$34,0)),DAY(EOMONTH($AD745,1)))))),""))</f>
        <v/>
      </c>
      <c r="U745" s="38" t="n"/>
      <c r="V745" s="37" t="n"/>
      <c r="W745" s="38" t="n"/>
      <c r="X745" s="38" t="n"/>
      <c r="Y745" s="44" t="str">
        <f>IF($AC745&gt;0,INDEX(CASHBACK_RULES!$A$5:$A$304,$AC745),"")</f>
        <v/>
      </c>
      <c r="Z745" s="45" t="str">
        <f>IF($AC745&gt;0,INDEX(CASHBACK_RULES!$E$5:$E$304,$AC745)&amp;"","")</f>
        <v/>
      </c>
      <c r="AA745" s="48" t="str">
        <f>IF($AC745&gt;0,IF(ISNUMBER(INDEX(CASHBACK_RULES!$K$5:$K$304,$AC745)),INDEX(CASHBACK_RULES!$K$5:$K$304,$AC745),"∞"),"")</f>
        <v/>
      </c>
      <c r="AB745" s="44" t="str">
        <f>IF(OR($B745="",$D745=""),"",IF($U745="Cancelled","Đã hủy",IF($AC745=0,"Không được hoàn",IF($Q745=0,IF(OR($O745&gt;0,$M745&lt;$L745),"Đã đạt cap","Không được hoàn"),IF(OR($Q745&lt;$O745,$M745&lt;$L745),"Hoàn một phần","Được hoàn")))))</f>
        <v/>
      </c>
      <c r="AC745" s="43">
        <f>IF(OR($B745="",$D745="",$I745="",$L745=""),0,IF($U745="Cancelled",0,IF($W745&lt;&gt;"",IFERROR(IF(INDEX(CASHBACK_RULES!$B$5:$B$304,MATCH($W745,CASHBACK_RULES!$A$5:$A$304,0))=$D745,MATCH($W745,CASHBACK_RULES!$A$5:$A$304,0),0),0),IFERROR(MATCH(1,INDEX((CASHBACK_RULES!$B$5:$B$304=$D745)*(CASHBACK_RULES!$G$5:$G$304=$I745)*(((CASHBACK_RULES!$N$5:$N$304="")+(CASHBACK_RULES!$N$5:$N$304&lt;=$B745))&gt;0)*(((CASHBACK_RULES!$O$5:$O$304="")+(CASHBACK_RULES!$O$5:$O$304&gt;=$B745))&gt;0)*(((CASHBACK_RULES!$M$5:$M$304="")+(CASHBACK_RULES!$M$5:$M$304&lt;=$L745))&gt;0),0),0),0))))</f>
        <v>0</v>
      </c>
      <c r="AD745" s="51" t="str">
        <f>IF(OR($B745="",$D745=""),"",IFERROR(IF(INDEX(CARDS!$H$5:$H$34,MATCH($D745,CARDS!$A$5:$A$34,0))="","",IF(DAY($B745)&lt;=INDEX(CARDS!$H$5:$H$34,MATCH($D745,CARDS!$A$5:$A$34,0)),DATE(YEAR($B745),MONTH($B745),MIN(INDEX(CARDS!$H$5:$H$34,MATCH($D745,CARDS!$A$5:$A$34,0)),DAY(EOMONTH($B745,0)))),DATE(YEAR($B745),MONTH($B745)+1,MIN(INDEX(CARDS!$H$5:$H$34,MATCH($D745,CARDS!$A$5:$A$34,0)),DAY(EOMONTH($B745,1)))))),""))</f>
        <v/>
      </c>
      <c r="AE745" s="52" t="str">
        <f>IF($C745="","",$C745&amp;"|"&amp;COUNTIF($C$5:$C745,$C745))</f>
        <v/>
      </c>
      <c r="AF745" s="53">
        <f>IF($AC745&gt;0,SUMIFS(Q$4:Q744,$D$4:$D744,$D745,$Z$4:$Z744,$Z745,$C$4:$C744,$C745),0)</f>
        <v>0</v>
      </c>
      <c r="AG745" s="53">
        <f>IF($AC745&gt;0,SUMIFS(Q$4:Q744,$D$4:$D744,$D745,$C$4:$C744,$C745),0)</f>
        <v>0</v>
      </c>
      <c r="AH745" s="53">
        <f>IF($AC745&gt;0,SUMIFS(M$4:M744,$D$4:$D744,$D745,$Z$4:$Z744,$Z745,$C$4:$C744,$C745),0)</f>
        <v>0</v>
      </c>
      <c r="AI745" s="43">
        <f>IF(OR($C745="",$I745=""),0,IF(COUNTIFS($C$5:$C745,$C745,$I$5:$I745,$I745)=1,1,0))</f>
        <v>0</v>
      </c>
      <c r="AJ745" s="43" t="str">
        <f>IF($AI745=1,SUMIFS($AI$4:$AI744,$C$4:$C744,$C745)+1,"")</f>
        <v/>
      </c>
      <c r="AK745" s="43">
        <f>IF(OR($C745="",$K745=""),0,IF(COUNTIFS($C$5:$C745,$C745,$K$5:$K745,$K745)=1,1,0))</f>
        <v>0</v>
      </c>
      <c r="AL745" s="43" t="str">
        <f>IF($AK745=1,SUMIFS($AK$4:$AK744,$C$4:$C744,$C745)+1,"")</f>
        <v/>
      </c>
      <c r="AM745" s="43">
        <f>IF(OR($C745="",$G745=""),0,IF(COUNTIFS($C$5:$C745,$C745,$G$5:$G745,$G745)=1,1,0))</f>
        <v>0</v>
      </c>
      <c r="AN745" s="43" t="str">
        <f>IF($AM745=1,SUMIFS($AM$4:$AM744,$C$4:$C744,$C745)+1,"")</f>
        <v/>
      </c>
    </row>
    <row r="746">
      <c r="A746" s="44" t="str">
        <f>IF(OR($B746="",$D746=""),"","TX"&amp;TEXT(ROW()-4,"0000"))</f>
        <v/>
      </c>
      <c r="B746" s="42" t="n"/>
      <c r="C746" s="47" t="str">
        <f>IF($B746="","",YEAR($B746)*100+MONTH($B746))</f>
        <v/>
      </c>
      <c r="D746" s="37" t="n"/>
      <c r="E746" s="45" t="str">
        <f>IF($D746="","",IFERROR(INDEX(CARDS!$B$5:$B$34,MATCH($D746,CARDS!$A$5:$A$34,0)),"⚠ Card ID?"))</f>
        <v/>
      </c>
      <c r="F746" s="45" t="str">
        <f>IF($D746="","",IFERROR(INDEX(CARDS!$C$5:$C$34,MATCH($D746,CARDS!$A$5:$A$34,0)),"⚠ Card ID?"))</f>
        <v/>
      </c>
      <c r="G746" s="37" t="n"/>
      <c r="H746" s="37" t="n"/>
      <c r="I746" s="41" t="n"/>
      <c r="J746" s="45" t="str">
        <f>IF($I746="","",IFERROR(INDEX(MCC_MASTER!$B$5:$B$504,MATCH($I746,MCC_MASTER!$A$5:$A$504,0)),"⚠ MCC chưa có"))</f>
        <v/>
      </c>
      <c r="K746" s="45" t="str">
        <f>IF($I746="","",IFERROR(IF(INDEX(MCC_MASTER!$C$5:$C$504,MATCH($I746,MCC_MASTER!$A$5:$A$504,0))="","Chưa phân loại",INDEX(MCC_MASTER!$C$5:$C$504,MATCH($I746,MCC_MASTER!$A$5:$A$504,0))),"Chưa phân loại"))</f>
        <v/>
      </c>
      <c r="L746" s="40" t="n"/>
      <c r="M746" s="48" t="str">
        <f>IF(OR($B746="",$D746=""),"",IF($AC746=0,0,IF(ISNUMBER(INDEX(CASHBACK_RULES!$L$5:$L$304,$AC746)),MAX(0,MIN($L746,INDEX(CASHBACK_RULES!$L$5:$L$304,$AC746)-$AH746)),MAX(0,$L746))))</f>
        <v/>
      </c>
      <c r="N746" s="49" t="str">
        <f>IF(OR($B746="",$D746=""),"",IF($AC746&gt;0,INDEX(CASHBACK_RULES!$I$5:$I$304,$AC746),0))</f>
        <v/>
      </c>
      <c r="O746" s="48" t="str">
        <f>IF(OR($B746="",$D746=""),"",ROUND($M746*$N746,0))</f>
        <v/>
      </c>
      <c r="P746" s="48" t="str">
        <f>IF($AC746&gt;0,IF(ISNUMBER(INDEX(CASHBACK_RULES!$J$5:$J$304,$AC746)),INDEX(CASHBACK_RULES!$J$5:$J$304,$AC746),"∞"),"")</f>
        <v/>
      </c>
      <c r="Q746" s="48" t="str">
        <f>IF(OR($B746="",$D746=""),"",IF($AC746=0,0,MAX(0,MIN($O746,IF(ISNUMBER($P746),$P746-$AF746,1E+15),IF(ISNUMBER($AA746),$AA746-$AG746,1E+15)))))</f>
        <v/>
      </c>
      <c r="R746" s="48" t="str">
        <f>IF(OR($B746="",$D746=""),"",IF($AC746=0,"",IF(AND(NOT(ISNUMBER($P746)),NOT(ISNUMBER($AA746))),"∞",MAX(0,MIN(IF(ISNUMBER($P746),$P746-$AF746-$Q746,1E+15),IF(ISNUMBER($AA746),$AA746-$AG746-$Q746,1E+15))))))</f>
        <v/>
      </c>
      <c r="S746" s="47" t="str">
        <f>IF($AD746="","",YEAR($AD746)*100+MONTH($AD746))</f>
        <v/>
      </c>
      <c r="T746" s="50" t="str">
        <f>IF($AD746="","",IFERROR(IF(INDEX(CARDS!$I$5:$I$34,MATCH($D746,CARDS!$A$5:$A$34,0))="","",IF(INDEX(CARDS!$I$5:$I$34,MATCH($D746,CARDS!$A$5:$A$34,0))&gt;INDEX(CARDS!$H$5:$H$34,MATCH($D746,CARDS!$A$5:$A$34,0)),DATE(YEAR($AD746),MONTH($AD746),MIN(INDEX(CARDS!$I$5:$I$34,MATCH($D746,CARDS!$A$5:$A$34,0)),DAY(EOMONTH($AD746,0)))),DATE(YEAR($AD746),MONTH($AD746)+1,MIN(INDEX(CARDS!$I$5:$I$34,MATCH($D746,CARDS!$A$5:$A$34,0)),DAY(EOMONTH($AD746,1)))))),""))</f>
        <v/>
      </c>
      <c r="U746" s="38" t="n"/>
      <c r="V746" s="37" t="n"/>
      <c r="W746" s="38" t="n"/>
      <c r="X746" s="38" t="n"/>
      <c r="Y746" s="44" t="str">
        <f>IF($AC746&gt;0,INDEX(CASHBACK_RULES!$A$5:$A$304,$AC746),"")</f>
        <v/>
      </c>
      <c r="Z746" s="45" t="str">
        <f>IF($AC746&gt;0,INDEX(CASHBACK_RULES!$E$5:$E$304,$AC746)&amp;"","")</f>
        <v/>
      </c>
      <c r="AA746" s="48" t="str">
        <f>IF($AC746&gt;0,IF(ISNUMBER(INDEX(CASHBACK_RULES!$K$5:$K$304,$AC746)),INDEX(CASHBACK_RULES!$K$5:$K$304,$AC746),"∞"),"")</f>
        <v/>
      </c>
      <c r="AB746" s="44" t="str">
        <f>IF(OR($B746="",$D746=""),"",IF($U746="Cancelled","Đã hủy",IF($AC746=0,"Không được hoàn",IF($Q746=0,IF(OR($O746&gt;0,$M746&lt;$L746),"Đã đạt cap","Không được hoàn"),IF(OR($Q746&lt;$O746,$M746&lt;$L746),"Hoàn một phần","Được hoàn")))))</f>
        <v/>
      </c>
      <c r="AC746" s="43">
        <f>IF(OR($B746="",$D746="",$I746="",$L746=""),0,IF($U746="Cancelled",0,IF($W746&lt;&gt;"",IFERROR(IF(INDEX(CASHBACK_RULES!$B$5:$B$304,MATCH($W746,CASHBACK_RULES!$A$5:$A$304,0))=$D746,MATCH($W746,CASHBACK_RULES!$A$5:$A$304,0),0),0),IFERROR(MATCH(1,INDEX((CASHBACK_RULES!$B$5:$B$304=$D746)*(CASHBACK_RULES!$G$5:$G$304=$I746)*(((CASHBACK_RULES!$N$5:$N$304="")+(CASHBACK_RULES!$N$5:$N$304&lt;=$B746))&gt;0)*(((CASHBACK_RULES!$O$5:$O$304="")+(CASHBACK_RULES!$O$5:$O$304&gt;=$B746))&gt;0)*(((CASHBACK_RULES!$M$5:$M$304="")+(CASHBACK_RULES!$M$5:$M$304&lt;=$L746))&gt;0),0),0),0))))</f>
        <v>0</v>
      </c>
      <c r="AD746" s="51" t="str">
        <f>IF(OR($B746="",$D746=""),"",IFERROR(IF(INDEX(CARDS!$H$5:$H$34,MATCH($D746,CARDS!$A$5:$A$34,0))="","",IF(DAY($B746)&lt;=INDEX(CARDS!$H$5:$H$34,MATCH($D746,CARDS!$A$5:$A$34,0)),DATE(YEAR($B746),MONTH($B746),MIN(INDEX(CARDS!$H$5:$H$34,MATCH($D746,CARDS!$A$5:$A$34,0)),DAY(EOMONTH($B746,0)))),DATE(YEAR($B746),MONTH($B746)+1,MIN(INDEX(CARDS!$H$5:$H$34,MATCH($D746,CARDS!$A$5:$A$34,0)),DAY(EOMONTH($B746,1)))))),""))</f>
        <v/>
      </c>
      <c r="AE746" s="52" t="str">
        <f>IF($C746="","",$C746&amp;"|"&amp;COUNTIF($C$5:$C746,$C746))</f>
        <v/>
      </c>
      <c r="AF746" s="53">
        <f>IF($AC746&gt;0,SUMIFS(Q$4:Q745,$D$4:$D745,$D746,$Z$4:$Z745,$Z746,$C$4:$C745,$C746),0)</f>
        <v>0</v>
      </c>
      <c r="AG746" s="53">
        <f>IF($AC746&gt;0,SUMIFS(Q$4:Q745,$D$4:$D745,$D746,$C$4:$C745,$C746),0)</f>
        <v>0</v>
      </c>
      <c r="AH746" s="53">
        <f>IF($AC746&gt;0,SUMIFS(M$4:M745,$D$4:$D745,$D746,$Z$4:$Z745,$Z746,$C$4:$C745,$C746),0)</f>
        <v>0</v>
      </c>
      <c r="AI746" s="43">
        <f>IF(OR($C746="",$I746=""),0,IF(COUNTIFS($C$5:$C746,$C746,$I$5:$I746,$I746)=1,1,0))</f>
        <v>0</v>
      </c>
      <c r="AJ746" s="43" t="str">
        <f>IF($AI746=1,SUMIFS($AI$4:$AI745,$C$4:$C745,$C746)+1,"")</f>
        <v/>
      </c>
      <c r="AK746" s="43">
        <f>IF(OR($C746="",$K746=""),0,IF(COUNTIFS($C$5:$C746,$C746,$K$5:$K746,$K746)=1,1,0))</f>
        <v>0</v>
      </c>
      <c r="AL746" s="43" t="str">
        <f>IF($AK746=1,SUMIFS($AK$4:$AK745,$C$4:$C745,$C746)+1,"")</f>
        <v/>
      </c>
      <c r="AM746" s="43">
        <f>IF(OR($C746="",$G746=""),0,IF(COUNTIFS($C$5:$C746,$C746,$G$5:$G746,$G746)=1,1,0))</f>
        <v>0</v>
      </c>
      <c r="AN746" s="43" t="str">
        <f>IF($AM746=1,SUMIFS($AM$4:$AM745,$C$4:$C745,$C746)+1,"")</f>
        <v/>
      </c>
    </row>
    <row r="747">
      <c r="A747" s="44" t="str">
        <f>IF(OR($B747="",$D747=""),"","TX"&amp;TEXT(ROW()-4,"0000"))</f>
        <v/>
      </c>
      <c r="B747" s="42" t="n"/>
      <c r="C747" s="47" t="str">
        <f>IF($B747="","",YEAR($B747)*100+MONTH($B747))</f>
        <v/>
      </c>
      <c r="D747" s="37" t="n"/>
      <c r="E747" s="45" t="str">
        <f>IF($D747="","",IFERROR(INDEX(CARDS!$B$5:$B$34,MATCH($D747,CARDS!$A$5:$A$34,0)),"⚠ Card ID?"))</f>
        <v/>
      </c>
      <c r="F747" s="45" t="str">
        <f>IF($D747="","",IFERROR(INDEX(CARDS!$C$5:$C$34,MATCH($D747,CARDS!$A$5:$A$34,0)),"⚠ Card ID?"))</f>
        <v/>
      </c>
      <c r="G747" s="37" t="n"/>
      <c r="H747" s="37" t="n"/>
      <c r="I747" s="41" t="n"/>
      <c r="J747" s="45" t="str">
        <f>IF($I747="","",IFERROR(INDEX(MCC_MASTER!$B$5:$B$504,MATCH($I747,MCC_MASTER!$A$5:$A$504,0)),"⚠ MCC chưa có"))</f>
        <v/>
      </c>
      <c r="K747" s="45" t="str">
        <f>IF($I747="","",IFERROR(IF(INDEX(MCC_MASTER!$C$5:$C$504,MATCH($I747,MCC_MASTER!$A$5:$A$504,0))="","Chưa phân loại",INDEX(MCC_MASTER!$C$5:$C$504,MATCH($I747,MCC_MASTER!$A$5:$A$504,0))),"Chưa phân loại"))</f>
        <v/>
      </c>
      <c r="L747" s="40" t="n"/>
      <c r="M747" s="48" t="str">
        <f>IF(OR($B747="",$D747=""),"",IF($AC747=0,0,IF(ISNUMBER(INDEX(CASHBACK_RULES!$L$5:$L$304,$AC747)),MAX(0,MIN($L747,INDEX(CASHBACK_RULES!$L$5:$L$304,$AC747)-$AH747)),MAX(0,$L747))))</f>
        <v/>
      </c>
      <c r="N747" s="49" t="str">
        <f>IF(OR($B747="",$D747=""),"",IF($AC747&gt;0,INDEX(CASHBACK_RULES!$I$5:$I$304,$AC747),0))</f>
        <v/>
      </c>
      <c r="O747" s="48" t="str">
        <f>IF(OR($B747="",$D747=""),"",ROUND($M747*$N747,0))</f>
        <v/>
      </c>
      <c r="P747" s="48" t="str">
        <f>IF($AC747&gt;0,IF(ISNUMBER(INDEX(CASHBACK_RULES!$J$5:$J$304,$AC747)),INDEX(CASHBACK_RULES!$J$5:$J$304,$AC747),"∞"),"")</f>
        <v/>
      </c>
      <c r="Q747" s="48" t="str">
        <f>IF(OR($B747="",$D747=""),"",IF($AC747=0,0,MAX(0,MIN($O747,IF(ISNUMBER($P747),$P747-$AF747,1E+15),IF(ISNUMBER($AA747),$AA747-$AG747,1E+15)))))</f>
        <v/>
      </c>
      <c r="R747" s="48" t="str">
        <f>IF(OR($B747="",$D747=""),"",IF($AC747=0,"",IF(AND(NOT(ISNUMBER($P747)),NOT(ISNUMBER($AA747))),"∞",MAX(0,MIN(IF(ISNUMBER($P747),$P747-$AF747-$Q747,1E+15),IF(ISNUMBER($AA747),$AA747-$AG747-$Q747,1E+15))))))</f>
        <v/>
      </c>
      <c r="S747" s="47" t="str">
        <f>IF($AD747="","",YEAR($AD747)*100+MONTH($AD747))</f>
        <v/>
      </c>
      <c r="T747" s="50" t="str">
        <f>IF($AD747="","",IFERROR(IF(INDEX(CARDS!$I$5:$I$34,MATCH($D747,CARDS!$A$5:$A$34,0))="","",IF(INDEX(CARDS!$I$5:$I$34,MATCH($D747,CARDS!$A$5:$A$34,0))&gt;INDEX(CARDS!$H$5:$H$34,MATCH($D747,CARDS!$A$5:$A$34,0)),DATE(YEAR($AD747),MONTH($AD747),MIN(INDEX(CARDS!$I$5:$I$34,MATCH($D747,CARDS!$A$5:$A$34,0)),DAY(EOMONTH($AD747,0)))),DATE(YEAR($AD747),MONTH($AD747)+1,MIN(INDEX(CARDS!$I$5:$I$34,MATCH($D747,CARDS!$A$5:$A$34,0)),DAY(EOMONTH($AD747,1)))))),""))</f>
        <v/>
      </c>
      <c r="U747" s="38" t="n"/>
      <c r="V747" s="37" t="n"/>
      <c r="W747" s="38" t="n"/>
      <c r="X747" s="38" t="n"/>
      <c r="Y747" s="44" t="str">
        <f>IF($AC747&gt;0,INDEX(CASHBACK_RULES!$A$5:$A$304,$AC747),"")</f>
        <v/>
      </c>
      <c r="Z747" s="45" t="str">
        <f>IF($AC747&gt;0,INDEX(CASHBACK_RULES!$E$5:$E$304,$AC747)&amp;"","")</f>
        <v/>
      </c>
      <c r="AA747" s="48" t="str">
        <f>IF($AC747&gt;0,IF(ISNUMBER(INDEX(CASHBACK_RULES!$K$5:$K$304,$AC747)),INDEX(CASHBACK_RULES!$K$5:$K$304,$AC747),"∞"),"")</f>
        <v/>
      </c>
      <c r="AB747" s="44" t="str">
        <f>IF(OR($B747="",$D747=""),"",IF($U747="Cancelled","Đã hủy",IF($AC747=0,"Không được hoàn",IF($Q747=0,IF(OR($O747&gt;0,$M747&lt;$L747),"Đã đạt cap","Không được hoàn"),IF(OR($Q747&lt;$O747,$M747&lt;$L747),"Hoàn một phần","Được hoàn")))))</f>
        <v/>
      </c>
      <c r="AC747" s="43">
        <f>IF(OR($B747="",$D747="",$I747="",$L747=""),0,IF($U747="Cancelled",0,IF($W747&lt;&gt;"",IFERROR(IF(INDEX(CASHBACK_RULES!$B$5:$B$304,MATCH($W747,CASHBACK_RULES!$A$5:$A$304,0))=$D747,MATCH($W747,CASHBACK_RULES!$A$5:$A$304,0),0),0),IFERROR(MATCH(1,INDEX((CASHBACK_RULES!$B$5:$B$304=$D747)*(CASHBACK_RULES!$G$5:$G$304=$I747)*(((CASHBACK_RULES!$N$5:$N$304="")+(CASHBACK_RULES!$N$5:$N$304&lt;=$B747))&gt;0)*(((CASHBACK_RULES!$O$5:$O$304="")+(CASHBACK_RULES!$O$5:$O$304&gt;=$B747))&gt;0)*(((CASHBACK_RULES!$M$5:$M$304="")+(CASHBACK_RULES!$M$5:$M$304&lt;=$L747))&gt;0),0),0),0))))</f>
        <v>0</v>
      </c>
      <c r="AD747" s="51" t="str">
        <f>IF(OR($B747="",$D747=""),"",IFERROR(IF(INDEX(CARDS!$H$5:$H$34,MATCH($D747,CARDS!$A$5:$A$34,0))="","",IF(DAY($B747)&lt;=INDEX(CARDS!$H$5:$H$34,MATCH($D747,CARDS!$A$5:$A$34,0)),DATE(YEAR($B747),MONTH($B747),MIN(INDEX(CARDS!$H$5:$H$34,MATCH($D747,CARDS!$A$5:$A$34,0)),DAY(EOMONTH($B747,0)))),DATE(YEAR($B747),MONTH($B747)+1,MIN(INDEX(CARDS!$H$5:$H$34,MATCH($D747,CARDS!$A$5:$A$34,0)),DAY(EOMONTH($B747,1)))))),""))</f>
        <v/>
      </c>
      <c r="AE747" s="52" t="str">
        <f>IF($C747="","",$C747&amp;"|"&amp;COUNTIF($C$5:$C747,$C747))</f>
        <v/>
      </c>
      <c r="AF747" s="53">
        <f>IF($AC747&gt;0,SUMIFS(Q$4:Q746,$D$4:$D746,$D747,$Z$4:$Z746,$Z747,$C$4:$C746,$C747),0)</f>
        <v>0</v>
      </c>
      <c r="AG747" s="53">
        <f>IF($AC747&gt;0,SUMIFS(Q$4:Q746,$D$4:$D746,$D747,$C$4:$C746,$C747),0)</f>
        <v>0</v>
      </c>
      <c r="AH747" s="53">
        <f>IF($AC747&gt;0,SUMIFS(M$4:M746,$D$4:$D746,$D747,$Z$4:$Z746,$Z747,$C$4:$C746,$C747),0)</f>
        <v>0</v>
      </c>
      <c r="AI747" s="43">
        <f>IF(OR($C747="",$I747=""),0,IF(COUNTIFS($C$5:$C747,$C747,$I$5:$I747,$I747)=1,1,0))</f>
        <v>0</v>
      </c>
      <c r="AJ747" s="43" t="str">
        <f>IF($AI747=1,SUMIFS($AI$4:$AI746,$C$4:$C746,$C747)+1,"")</f>
        <v/>
      </c>
      <c r="AK747" s="43">
        <f>IF(OR($C747="",$K747=""),0,IF(COUNTIFS($C$5:$C747,$C747,$K$5:$K747,$K747)=1,1,0))</f>
        <v>0</v>
      </c>
      <c r="AL747" s="43" t="str">
        <f>IF($AK747=1,SUMIFS($AK$4:$AK746,$C$4:$C746,$C747)+1,"")</f>
        <v/>
      </c>
      <c r="AM747" s="43">
        <f>IF(OR($C747="",$G747=""),0,IF(COUNTIFS($C$5:$C747,$C747,$G$5:$G747,$G747)=1,1,0))</f>
        <v>0</v>
      </c>
      <c r="AN747" s="43" t="str">
        <f>IF($AM747=1,SUMIFS($AM$4:$AM746,$C$4:$C746,$C747)+1,"")</f>
        <v/>
      </c>
    </row>
    <row r="748">
      <c r="A748" s="44" t="str">
        <f>IF(OR($B748="",$D748=""),"","TX"&amp;TEXT(ROW()-4,"0000"))</f>
        <v/>
      </c>
      <c r="B748" s="42" t="n"/>
      <c r="C748" s="47" t="str">
        <f>IF($B748="","",YEAR($B748)*100+MONTH($B748))</f>
        <v/>
      </c>
      <c r="D748" s="37" t="n"/>
      <c r="E748" s="45" t="str">
        <f>IF($D748="","",IFERROR(INDEX(CARDS!$B$5:$B$34,MATCH($D748,CARDS!$A$5:$A$34,0)),"⚠ Card ID?"))</f>
        <v/>
      </c>
      <c r="F748" s="45" t="str">
        <f>IF($D748="","",IFERROR(INDEX(CARDS!$C$5:$C$34,MATCH($D748,CARDS!$A$5:$A$34,0)),"⚠ Card ID?"))</f>
        <v/>
      </c>
      <c r="G748" s="37" t="n"/>
      <c r="H748" s="37" t="n"/>
      <c r="I748" s="41" t="n"/>
      <c r="J748" s="45" t="str">
        <f>IF($I748="","",IFERROR(INDEX(MCC_MASTER!$B$5:$B$504,MATCH($I748,MCC_MASTER!$A$5:$A$504,0)),"⚠ MCC chưa có"))</f>
        <v/>
      </c>
      <c r="K748" s="45" t="str">
        <f>IF($I748="","",IFERROR(IF(INDEX(MCC_MASTER!$C$5:$C$504,MATCH($I748,MCC_MASTER!$A$5:$A$504,0))="","Chưa phân loại",INDEX(MCC_MASTER!$C$5:$C$504,MATCH($I748,MCC_MASTER!$A$5:$A$504,0))),"Chưa phân loại"))</f>
        <v/>
      </c>
      <c r="L748" s="40" t="n"/>
      <c r="M748" s="48" t="str">
        <f>IF(OR($B748="",$D748=""),"",IF($AC748=0,0,IF(ISNUMBER(INDEX(CASHBACK_RULES!$L$5:$L$304,$AC748)),MAX(0,MIN($L748,INDEX(CASHBACK_RULES!$L$5:$L$304,$AC748)-$AH748)),MAX(0,$L748))))</f>
        <v/>
      </c>
      <c r="N748" s="49" t="str">
        <f>IF(OR($B748="",$D748=""),"",IF($AC748&gt;0,INDEX(CASHBACK_RULES!$I$5:$I$304,$AC748),0))</f>
        <v/>
      </c>
      <c r="O748" s="48" t="str">
        <f>IF(OR($B748="",$D748=""),"",ROUND($M748*$N748,0))</f>
        <v/>
      </c>
      <c r="P748" s="48" t="str">
        <f>IF($AC748&gt;0,IF(ISNUMBER(INDEX(CASHBACK_RULES!$J$5:$J$304,$AC748)),INDEX(CASHBACK_RULES!$J$5:$J$304,$AC748),"∞"),"")</f>
        <v/>
      </c>
      <c r="Q748" s="48" t="str">
        <f>IF(OR($B748="",$D748=""),"",IF($AC748=0,0,MAX(0,MIN($O748,IF(ISNUMBER($P748),$P748-$AF748,1E+15),IF(ISNUMBER($AA748),$AA748-$AG748,1E+15)))))</f>
        <v/>
      </c>
      <c r="R748" s="48" t="str">
        <f>IF(OR($B748="",$D748=""),"",IF($AC748=0,"",IF(AND(NOT(ISNUMBER($P748)),NOT(ISNUMBER($AA748))),"∞",MAX(0,MIN(IF(ISNUMBER($P748),$P748-$AF748-$Q748,1E+15),IF(ISNUMBER($AA748),$AA748-$AG748-$Q748,1E+15))))))</f>
        <v/>
      </c>
      <c r="S748" s="47" t="str">
        <f>IF($AD748="","",YEAR($AD748)*100+MONTH($AD748))</f>
        <v/>
      </c>
      <c r="T748" s="50" t="str">
        <f>IF($AD748="","",IFERROR(IF(INDEX(CARDS!$I$5:$I$34,MATCH($D748,CARDS!$A$5:$A$34,0))="","",IF(INDEX(CARDS!$I$5:$I$34,MATCH($D748,CARDS!$A$5:$A$34,0))&gt;INDEX(CARDS!$H$5:$H$34,MATCH($D748,CARDS!$A$5:$A$34,0)),DATE(YEAR($AD748),MONTH($AD748),MIN(INDEX(CARDS!$I$5:$I$34,MATCH($D748,CARDS!$A$5:$A$34,0)),DAY(EOMONTH($AD748,0)))),DATE(YEAR($AD748),MONTH($AD748)+1,MIN(INDEX(CARDS!$I$5:$I$34,MATCH($D748,CARDS!$A$5:$A$34,0)),DAY(EOMONTH($AD748,1)))))),""))</f>
        <v/>
      </c>
      <c r="U748" s="38" t="n"/>
      <c r="V748" s="37" t="n"/>
      <c r="W748" s="38" t="n"/>
      <c r="X748" s="38" t="n"/>
      <c r="Y748" s="44" t="str">
        <f>IF($AC748&gt;0,INDEX(CASHBACK_RULES!$A$5:$A$304,$AC748),"")</f>
        <v/>
      </c>
      <c r="Z748" s="45" t="str">
        <f>IF($AC748&gt;0,INDEX(CASHBACK_RULES!$E$5:$E$304,$AC748)&amp;"","")</f>
        <v/>
      </c>
      <c r="AA748" s="48" t="str">
        <f>IF($AC748&gt;0,IF(ISNUMBER(INDEX(CASHBACK_RULES!$K$5:$K$304,$AC748)),INDEX(CASHBACK_RULES!$K$5:$K$304,$AC748),"∞"),"")</f>
        <v/>
      </c>
      <c r="AB748" s="44" t="str">
        <f>IF(OR($B748="",$D748=""),"",IF($U748="Cancelled","Đã hủy",IF($AC748=0,"Không được hoàn",IF($Q748=0,IF(OR($O748&gt;0,$M748&lt;$L748),"Đã đạt cap","Không được hoàn"),IF(OR($Q748&lt;$O748,$M748&lt;$L748),"Hoàn một phần","Được hoàn")))))</f>
        <v/>
      </c>
      <c r="AC748" s="43">
        <f>IF(OR($B748="",$D748="",$I748="",$L748=""),0,IF($U748="Cancelled",0,IF($W748&lt;&gt;"",IFERROR(IF(INDEX(CASHBACK_RULES!$B$5:$B$304,MATCH($W748,CASHBACK_RULES!$A$5:$A$304,0))=$D748,MATCH($W748,CASHBACK_RULES!$A$5:$A$304,0),0),0),IFERROR(MATCH(1,INDEX((CASHBACK_RULES!$B$5:$B$304=$D748)*(CASHBACK_RULES!$G$5:$G$304=$I748)*(((CASHBACK_RULES!$N$5:$N$304="")+(CASHBACK_RULES!$N$5:$N$304&lt;=$B748))&gt;0)*(((CASHBACK_RULES!$O$5:$O$304="")+(CASHBACK_RULES!$O$5:$O$304&gt;=$B748))&gt;0)*(((CASHBACK_RULES!$M$5:$M$304="")+(CASHBACK_RULES!$M$5:$M$304&lt;=$L748))&gt;0),0),0),0))))</f>
        <v>0</v>
      </c>
      <c r="AD748" s="51" t="str">
        <f>IF(OR($B748="",$D748=""),"",IFERROR(IF(INDEX(CARDS!$H$5:$H$34,MATCH($D748,CARDS!$A$5:$A$34,0))="","",IF(DAY($B748)&lt;=INDEX(CARDS!$H$5:$H$34,MATCH($D748,CARDS!$A$5:$A$34,0)),DATE(YEAR($B748),MONTH($B748),MIN(INDEX(CARDS!$H$5:$H$34,MATCH($D748,CARDS!$A$5:$A$34,0)),DAY(EOMONTH($B748,0)))),DATE(YEAR($B748),MONTH($B748)+1,MIN(INDEX(CARDS!$H$5:$H$34,MATCH($D748,CARDS!$A$5:$A$34,0)),DAY(EOMONTH($B748,1)))))),""))</f>
        <v/>
      </c>
      <c r="AE748" s="52" t="str">
        <f>IF($C748="","",$C748&amp;"|"&amp;COUNTIF($C$5:$C748,$C748))</f>
        <v/>
      </c>
      <c r="AF748" s="53">
        <f>IF($AC748&gt;0,SUMIFS(Q$4:Q747,$D$4:$D747,$D748,$Z$4:$Z747,$Z748,$C$4:$C747,$C748),0)</f>
        <v>0</v>
      </c>
      <c r="AG748" s="53">
        <f>IF($AC748&gt;0,SUMIFS(Q$4:Q747,$D$4:$D747,$D748,$C$4:$C747,$C748),0)</f>
        <v>0</v>
      </c>
      <c r="AH748" s="53">
        <f>IF($AC748&gt;0,SUMIFS(M$4:M747,$D$4:$D747,$D748,$Z$4:$Z747,$Z748,$C$4:$C747,$C748),0)</f>
        <v>0</v>
      </c>
      <c r="AI748" s="43">
        <f>IF(OR($C748="",$I748=""),0,IF(COUNTIFS($C$5:$C748,$C748,$I$5:$I748,$I748)=1,1,0))</f>
        <v>0</v>
      </c>
      <c r="AJ748" s="43" t="str">
        <f>IF($AI748=1,SUMIFS($AI$4:$AI747,$C$4:$C747,$C748)+1,"")</f>
        <v/>
      </c>
      <c r="AK748" s="43">
        <f>IF(OR($C748="",$K748=""),0,IF(COUNTIFS($C$5:$C748,$C748,$K$5:$K748,$K748)=1,1,0))</f>
        <v>0</v>
      </c>
      <c r="AL748" s="43" t="str">
        <f>IF($AK748=1,SUMIFS($AK$4:$AK747,$C$4:$C747,$C748)+1,"")</f>
        <v/>
      </c>
      <c r="AM748" s="43">
        <f>IF(OR($C748="",$G748=""),0,IF(COUNTIFS($C$5:$C748,$C748,$G$5:$G748,$G748)=1,1,0))</f>
        <v>0</v>
      </c>
      <c r="AN748" s="43" t="str">
        <f>IF($AM748=1,SUMIFS($AM$4:$AM747,$C$4:$C747,$C748)+1,"")</f>
        <v/>
      </c>
    </row>
    <row r="749">
      <c r="A749" s="44" t="str">
        <f>IF(OR($B749="",$D749=""),"","TX"&amp;TEXT(ROW()-4,"0000"))</f>
        <v/>
      </c>
      <c r="B749" s="42" t="n"/>
      <c r="C749" s="47" t="str">
        <f>IF($B749="","",YEAR($B749)*100+MONTH($B749))</f>
        <v/>
      </c>
      <c r="D749" s="37" t="n"/>
      <c r="E749" s="45" t="str">
        <f>IF($D749="","",IFERROR(INDEX(CARDS!$B$5:$B$34,MATCH($D749,CARDS!$A$5:$A$34,0)),"⚠ Card ID?"))</f>
        <v/>
      </c>
      <c r="F749" s="45" t="str">
        <f>IF($D749="","",IFERROR(INDEX(CARDS!$C$5:$C$34,MATCH($D749,CARDS!$A$5:$A$34,0)),"⚠ Card ID?"))</f>
        <v/>
      </c>
      <c r="G749" s="37" t="n"/>
      <c r="H749" s="37" t="n"/>
      <c r="I749" s="41" t="n"/>
      <c r="J749" s="45" t="str">
        <f>IF($I749="","",IFERROR(INDEX(MCC_MASTER!$B$5:$B$504,MATCH($I749,MCC_MASTER!$A$5:$A$504,0)),"⚠ MCC chưa có"))</f>
        <v/>
      </c>
      <c r="K749" s="45" t="str">
        <f>IF($I749="","",IFERROR(IF(INDEX(MCC_MASTER!$C$5:$C$504,MATCH($I749,MCC_MASTER!$A$5:$A$504,0))="","Chưa phân loại",INDEX(MCC_MASTER!$C$5:$C$504,MATCH($I749,MCC_MASTER!$A$5:$A$504,0))),"Chưa phân loại"))</f>
        <v/>
      </c>
      <c r="L749" s="40" t="n"/>
      <c r="M749" s="48" t="str">
        <f>IF(OR($B749="",$D749=""),"",IF($AC749=0,0,IF(ISNUMBER(INDEX(CASHBACK_RULES!$L$5:$L$304,$AC749)),MAX(0,MIN($L749,INDEX(CASHBACK_RULES!$L$5:$L$304,$AC749)-$AH749)),MAX(0,$L749))))</f>
        <v/>
      </c>
      <c r="N749" s="49" t="str">
        <f>IF(OR($B749="",$D749=""),"",IF($AC749&gt;0,INDEX(CASHBACK_RULES!$I$5:$I$304,$AC749),0))</f>
        <v/>
      </c>
      <c r="O749" s="48" t="str">
        <f>IF(OR($B749="",$D749=""),"",ROUND($M749*$N749,0))</f>
        <v/>
      </c>
      <c r="P749" s="48" t="str">
        <f>IF($AC749&gt;0,IF(ISNUMBER(INDEX(CASHBACK_RULES!$J$5:$J$304,$AC749)),INDEX(CASHBACK_RULES!$J$5:$J$304,$AC749),"∞"),"")</f>
        <v/>
      </c>
      <c r="Q749" s="48" t="str">
        <f>IF(OR($B749="",$D749=""),"",IF($AC749=0,0,MAX(0,MIN($O749,IF(ISNUMBER($P749),$P749-$AF749,1E+15),IF(ISNUMBER($AA749),$AA749-$AG749,1E+15)))))</f>
        <v/>
      </c>
      <c r="R749" s="48" t="str">
        <f>IF(OR($B749="",$D749=""),"",IF($AC749=0,"",IF(AND(NOT(ISNUMBER($P749)),NOT(ISNUMBER($AA749))),"∞",MAX(0,MIN(IF(ISNUMBER($P749),$P749-$AF749-$Q749,1E+15),IF(ISNUMBER($AA749),$AA749-$AG749-$Q749,1E+15))))))</f>
        <v/>
      </c>
      <c r="S749" s="47" t="str">
        <f>IF($AD749="","",YEAR($AD749)*100+MONTH($AD749))</f>
        <v/>
      </c>
      <c r="T749" s="50" t="str">
        <f>IF($AD749="","",IFERROR(IF(INDEX(CARDS!$I$5:$I$34,MATCH($D749,CARDS!$A$5:$A$34,0))="","",IF(INDEX(CARDS!$I$5:$I$34,MATCH($D749,CARDS!$A$5:$A$34,0))&gt;INDEX(CARDS!$H$5:$H$34,MATCH($D749,CARDS!$A$5:$A$34,0)),DATE(YEAR($AD749),MONTH($AD749),MIN(INDEX(CARDS!$I$5:$I$34,MATCH($D749,CARDS!$A$5:$A$34,0)),DAY(EOMONTH($AD749,0)))),DATE(YEAR($AD749),MONTH($AD749)+1,MIN(INDEX(CARDS!$I$5:$I$34,MATCH($D749,CARDS!$A$5:$A$34,0)),DAY(EOMONTH($AD749,1)))))),""))</f>
        <v/>
      </c>
      <c r="U749" s="38" t="n"/>
      <c r="V749" s="37" t="n"/>
      <c r="W749" s="38" t="n"/>
      <c r="X749" s="38" t="n"/>
      <c r="Y749" s="44" t="str">
        <f>IF($AC749&gt;0,INDEX(CASHBACK_RULES!$A$5:$A$304,$AC749),"")</f>
        <v/>
      </c>
      <c r="Z749" s="45" t="str">
        <f>IF($AC749&gt;0,INDEX(CASHBACK_RULES!$E$5:$E$304,$AC749)&amp;"","")</f>
        <v/>
      </c>
      <c r="AA749" s="48" t="str">
        <f>IF($AC749&gt;0,IF(ISNUMBER(INDEX(CASHBACK_RULES!$K$5:$K$304,$AC749)),INDEX(CASHBACK_RULES!$K$5:$K$304,$AC749),"∞"),"")</f>
        <v/>
      </c>
      <c r="AB749" s="44" t="str">
        <f>IF(OR($B749="",$D749=""),"",IF($U749="Cancelled","Đã hủy",IF($AC749=0,"Không được hoàn",IF($Q749=0,IF(OR($O749&gt;0,$M749&lt;$L749),"Đã đạt cap","Không được hoàn"),IF(OR($Q749&lt;$O749,$M749&lt;$L749),"Hoàn một phần","Được hoàn")))))</f>
        <v/>
      </c>
      <c r="AC749" s="43">
        <f>IF(OR($B749="",$D749="",$I749="",$L749=""),0,IF($U749="Cancelled",0,IF($W749&lt;&gt;"",IFERROR(IF(INDEX(CASHBACK_RULES!$B$5:$B$304,MATCH($W749,CASHBACK_RULES!$A$5:$A$304,0))=$D749,MATCH($W749,CASHBACK_RULES!$A$5:$A$304,0),0),0),IFERROR(MATCH(1,INDEX((CASHBACK_RULES!$B$5:$B$304=$D749)*(CASHBACK_RULES!$G$5:$G$304=$I749)*(((CASHBACK_RULES!$N$5:$N$304="")+(CASHBACK_RULES!$N$5:$N$304&lt;=$B749))&gt;0)*(((CASHBACK_RULES!$O$5:$O$304="")+(CASHBACK_RULES!$O$5:$O$304&gt;=$B749))&gt;0)*(((CASHBACK_RULES!$M$5:$M$304="")+(CASHBACK_RULES!$M$5:$M$304&lt;=$L749))&gt;0),0),0),0))))</f>
        <v>0</v>
      </c>
      <c r="AD749" s="51" t="str">
        <f>IF(OR($B749="",$D749=""),"",IFERROR(IF(INDEX(CARDS!$H$5:$H$34,MATCH($D749,CARDS!$A$5:$A$34,0))="","",IF(DAY($B749)&lt;=INDEX(CARDS!$H$5:$H$34,MATCH($D749,CARDS!$A$5:$A$34,0)),DATE(YEAR($B749),MONTH($B749),MIN(INDEX(CARDS!$H$5:$H$34,MATCH($D749,CARDS!$A$5:$A$34,0)),DAY(EOMONTH($B749,0)))),DATE(YEAR($B749),MONTH($B749)+1,MIN(INDEX(CARDS!$H$5:$H$34,MATCH($D749,CARDS!$A$5:$A$34,0)),DAY(EOMONTH($B749,1)))))),""))</f>
        <v/>
      </c>
      <c r="AE749" s="52" t="str">
        <f>IF($C749="","",$C749&amp;"|"&amp;COUNTIF($C$5:$C749,$C749))</f>
        <v/>
      </c>
      <c r="AF749" s="53">
        <f>IF($AC749&gt;0,SUMIFS(Q$4:Q748,$D$4:$D748,$D749,$Z$4:$Z748,$Z749,$C$4:$C748,$C749),0)</f>
        <v>0</v>
      </c>
      <c r="AG749" s="53">
        <f>IF($AC749&gt;0,SUMIFS(Q$4:Q748,$D$4:$D748,$D749,$C$4:$C748,$C749),0)</f>
        <v>0</v>
      </c>
      <c r="AH749" s="53">
        <f>IF($AC749&gt;0,SUMIFS(M$4:M748,$D$4:$D748,$D749,$Z$4:$Z748,$Z749,$C$4:$C748,$C749),0)</f>
        <v>0</v>
      </c>
      <c r="AI749" s="43">
        <f>IF(OR($C749="",$I749=""),0,IF(COUNTIFS($C$5:$C749,$C749,$I$5:$I749,$I749)=1,1,0))</f>
        <v>0</v>
      </c>
      <c r="AJ749" s="43" t="str">
        <f>IF($AI749=1,SUMIFS($AI$4:$AI748,$C$4:$C748,$C749)+1,"")</f>
        <v/>
      </c>
      <c r="AK749" s="43">
        <f>IF(OR($C749="",$K749=""),0,IF(COUNTIFS($C$5:$C749,$C749,$K$5:$K749,$K749)=1,1,0))</f>
        <v>0</v>
      </c>
      <c r="AL749" s="43" t="str">
        <f>IF($AK749=1,SUMIFS($AK$4:$AK748,$C$4:$C748,$C749)+1,"")</f>
        <v/>
      </c>
      <c r="AM749" s="43">
        <f>IF(OR($C749="",$G749=""),0,IF(COUNTIFS($C$5:$C749,$C749,$G$5:$G749,$G749)=1,1,0))</f>
        <v>0</v>
      </c>
      <c r="AN749" s="43" t="str">
        <f>IF($AM749=1,SUMIFS($AM$4:$AM748,$C$4:$C748,$C749)+1,"")</f>
        <v/>
      </c>
    </row>
    <row r="750">
      <c r="A750" s="44" t="str">
        <f>IF(OR($B750="",$D750=""),"","TX"&amp;TEXT(ROW()-4,"0000"))</f>
        <v/>
      </c>
      <c r="B750" s="42" t="n"/>
      <c r="C750" s="47" t="str">
        <f>IF($B750="","",YEAR($B750)*100+MONTH($B750))</f>
        <v/>
      </c>
      <c r="D750" s="37" t="n"/>
      <c r="E750" s="45" t="str">
        <f>IF($D750="","",IFERROR(INDEX(CARDS!$B$5:$B$34,MATCH($D750,CARDS!$A$5:$A$34,0)),"⚠ Card ID?"))</f>
        <v/>
      </c>
      <c r="F750" s="45" t="str">
        <f>IF($D750="","",IFERROR(INDEX(CARDS!$C$5:$C$34,MATCH($D750,CARDS!$A$5:$A$34,0)),"⚠ Card ID?"))</f>
        <v/>
      </c>
      <c r="G750" s="37" t="n"/>
      <c r="H750" s="37" t="n"/>
      <c r="I750" s="41" t="n"/>
      <c r="J750" s="45" t="str">
        <f>IF($I750="","",IFERROR(INDEX(MCC_MASTER!$B$5:$B$504,MATCH($I750,MCC_MASTER!$A$5:$A$504,0)),"⚠ MCC chưa có"))</f>
        <v/>
      </c>
      <c r="K750" s="45" t="str">
        <f>IF($I750="","",IFERROR(IF(INDEX(MCC_MASTER!$C$5:$C$504,MATCH($I750,MCC_MASTER!$A$5:$A$504,0))="","Chưa phân loại",INDEX(MCC_MASTER!$C$5:$C$504,MATCH($I750,MCC_MASTER!$A$5:$A$504,0))),"Chưa phân loại"))</f>
        <v/>
      </c>
      <c r="L750" s="40" t="n"/>
      <c r="M750" s="48" t="str">
        <f>IF(OR($B750="",$D750=""),"",IF($AC750=0,0,IF(ISNUMBER(INDEX(CASHBACK_RULES!$L$5:$L$304,$AC750)),MAX(0,MIN($L750,INDEX(CASHBACK_RULES!$L$5:$L$304,$AC750)-$AH750)),MAX(0,$L750))))</f>
        <v/>
      </c>
      <c r="N750" s="49" t="str">
        <f>IF(OR($B750="",$D750=""),"",IF($AC750&gt;0,INDEX(CASHBACK_RULES!$I$5:$I$304,$AC750),0))</f>
        <v/>
      </c>
      <c r="O750" s="48" t="str">
        <f>IF(OR($B750="",$D750=""),"",ROUND($M750*$N750,0))</f>
        <v/>
      </c>
      <c r="P750" s="48" t="str">
        <f>IF($AC750&gt;0,IF(ISNUMBER(INDEX(CASHBACK_RULES!$J$5:$J$304,$AC750)),INDEX(CASHBACK_RULES!$J$5:$J$304,$AC750),"∞"),"")</f>
        <v/>
      </c>
      <c r="Q750" s="48" t="str">
        <f>IF(OR($B750="",$D750=""),"",IF($AC750=0,0,MAX(0,MIN($O750,IF(ISNUMBER($P750),$P750-$AF750,1E+15),IF(ISNUMBER($AA750),$AA750-$AG750,1E+15)))))</f>
        <v/>
      </c>
      <c r="R750" s="48" t="str">
        <f>IF(OR($B750="",$D750=""),"",IF($AC750=0,"",IF(AND(NOT(ISNUMBER($P750)),NOT(ISNUMBER($AA750))),"∞",MAX(0,MIN(IF(ISNUMBER($P750),$P750-$AF750-$Q750,1E+15),IF(ISNUMBER($AA750),$AA750-$AG750-$Q750,1E+15))))))</f>
        <v/>
      </c>
      <c r="S750" s="47" t="str">
        <f>IF($AD750="","",YEAR($AD750)*100+MONTH($AD750))</f>
        <v/>
      </c>
      <c r="T750" s="50" t="str">
        <f>IF($AD750="","",IFERROR(IF(INDEX(CARDS!$I$5:$I$34,MATCH($D750,CARDS!$A$5:$A$34,0))="","",IF(INDEX(CARDS!$I$5:$I$34,MATCH($D750,CARDS!$A$5:$A$34,0))&gt;INDEX(CARDS!$H$5:$H$34,MATCH($D750,CARDS!$A$5:$A$34,0)),DATE(YEAR($AD750),MONTH($AD750),MIN(INDEX(CARDS!$I$5:$I$34,MATCH($D750,CARDS!$A$5:$A$34,0)),DAY(EOMONTH($AD750,0)))),DATE(YEAR($AD750),MONTH($AD750)+1,MIN(INDEX(CARDS!$I$5:$I$34,MATCH($D750,CARDS!$A$5:$A$34,0)),DAY(EOMONTH($AD750,1)))))),""))</f>
        <v/>
      </c>
      <c r="U750" s="38" t="n"/>
      <c r="V750" s="37" t="n"/>
      <c r="W750" s="38" t="n"/>
      <c r="X750" s="38" t="n"/>
      <c r="Y750" s="44" t="str">
        <f>IF($AC750&gt;0,INDEX(CASHBACK_RULES!$A$5:$A$304,$AC750),"")</f>
        <v/>
      </c>
      <c r="Z750" s="45" t="str">
        <f>IF($AC750&gt;0,INDEX(CASHBACK_RULES!$E$5:$E$304,$AC750)&amp;"","")</f>
        <v/>
      </c>
      <c r="AA750" s="48" t="str">
        <f>IF($AC750&gt;0,IF(ISNUMBER(INDEX(CASHBACK_RULES!$K$5:$K$304,$AC750)),INDEX(CASHBACK_RULES!$K$5:$K$304,$AC750),"∞"),"")</f>
        <v/>
      </c>
      <c r="AB750" s="44" t="str">
        <f>IF(OR($B750="",$D750=""),"",IF($U750="Cancelled","Đã hủy",IF($AC750=0,"Không được hoàn",IF($Q750=0,IF(OR($O750&gt;0,$M750&lt;$L750),"Đã đạt cap","Không được hoàn"),IF(OR($Q750&lt;$O750,$M750&lt;$L750),"Hoàn một phần","Được hoàn")))))</f>
        <v/>
      </c>
      <c r="AC750" s="43">
        <f>IF(OR($B750="",$D750="",$I750="",$L750=""),0,IF($U750="Cancelled",0,IF($W750&lt;&gt;"",IFERROR(IF(INDEX(CASHBACK_RULES!$B$5:$B$304,MATCH($W750,CASHBACK_RULES!$A$5:$A$304,0))=$D750,MATCH($W750,CASHBACK_RULES!$A$5:$A$304,0),0),0),IFERROR(MATCH(1,INDEX((CASHBACK_RULES!$B$5:$B$304=$D750)*(CASHBACK_RULES!$G$5:$G$304=$I750)*(((CASHBACK_RULES!$N$5:$N$304="")+(CASHBACK_RULES!$N$5:$N$304&lt;=$B750))&gt;0)*(((CASHBACK_RULES!$O$5:$O$304="")+(CASHBACK_RULES!$O$5:$O$304&gt;=$B750))&gt;0)*(((CASHBACK_RULES!$M$5:$M$304="")+(CASHBACK_RULES!$M$5:$M$304&lt;=$L750))&gt;0),0),0),0))))</f>
        <v>0</v>
      </c>
      <c r="AD750" s="51" t="str">
        <f>IF(OR($B750="",$D750=""),"",IFERROR(IF(INDEX(CARDS!$H$5:$H$34,MATCH($D750,CARDS!$A$5:$A$34,0))="","",IF(DAY($B750)&lt;=INDEX(CARDS!$H$5:$H$34,MATCH($D750,CARDS!$A$5:$A$34,0)),DATE(YEAR($B750),MONTH($B750),MIN(INDEX(CARDS!$H$5:$H$34,MATCH($D750,CARDS!$A$5:$A$34,0)),DAY(EOMONTH($B750,0)))),DATE(YEAR($B750),MONTH($B750)+1,MIN(INDEX(CARDS!$H$5:$H$34,MATCH($D750,CARDS!$A$5:$A$34,0)),DAY(EOMONTH($B750,1)))))),""))</f>
        <v/>
      </c>
      <c r="AE750" s="52" t="str">
        <f>IF($C750="","",$C750&amp;"|"&amp;COUNTIF($C$5:$C750,$C750))</f>
        <v/>
      </c>
      <c r="AF750" s="53">
        <f>IF($AC750&gt;0,SUMIFS(Q$4:Q749,$D$4:$D749,$D750,$Z$4:$Z749,$Z750,$C$4:$C749,$C750),0)</f>
        <v>0</v>
      </c>
      <c r="AG750" s="53">
        <f>IF($AC750&gt;0,SUMIFS(Q$4:Q749,$D$4:$D749,$D750,$C$4:$C749,$C750),0)</f>
        <v>0</v>
      </c>
      <c r="AH750" s="53">
        <f>IF($AC750&gt;0,SUMIFS(M$4:M749,$D$4:$D749,$D750,$Z$4:$Z749,$Z750,$C$4:$C749,$C750),0)</f>
        <v>0</v>
      </c>
      <c r="AI750" s="43">
        <f>IF(OR($C750="",$I750=""),0,IF(COUNTIFS($C$5:$C750,$C750,$I$5:$I750,$I750)=1,1,0))</f>
        <v>0</v>
      </c>
      <c r="AJ750" s="43" t="str">
        <f>IF($AI750=1,SUMIFS($AI$4:$AI749,$C$4:$C749,$C750)+1,"")</f>
        <v/>
      </c>
      <c r="AK750" s="43">
        <f>IF(OR($C750="",$K750=""),0,IF(COUNTIFS($C$5:$C750,$C750,$K$5:$K750,$K750)=1,1,0))</f>
        <v>0</v>
      </c>
      <c r="AL750" s="43" t="str">
        <f>IF($AK750=1,SUMIFS($AK$4:$AK749,$C$4:$C749,$C750)+1,"")</f>
        <v/>
      </c>
      <c r="AM750" s="43">
        <f>IF(OR($C750="",$G750=""),0,IF(COUNTIFS($C$5:$C750,$C750,$G$5:$G750,$G750)=1,1,0))</f>
        <v>0</v>
      </c>
      <c r="AN750" s="43" t="str">
        <f>IF($AM750=1,SUMIFS($AM$4:$AM749,$C$4:$C749,$C750)+1,"")</f>
        <v/>
      </c>
    </row>
    <row r="751">
      <c r="A751" s="44" t="str">
        <f>IF(OR($B751="",$D751=""),"","TX"&amp;TEXT(ROW()-4,"0000"))</f>
        <v/>
      </c>
      <c r="B751" s="42" t="n"/>
      <c r="C751" s="47" t="str">
        <f>IF($B751="","",YEAR($B751)*100+MONTH($B751))</f>
        <v/>
      </c>
      <c r="D751" s="37" t="n"/>
      <c r="E751" s="45" t="str">
        <f>IF($D751="","",IFERROR(INDEX(CARDS!$B$5:$B$34,MATCH($D751,CARDS!$A$5:$A$34,0)),"⚠ Card ID?"))</f>
        <v/>
      </c>
      <c r="F751" s="45" t="str">
        <f>IF($D751="","",IFERROR(INDEX(CARDS!$C$5:$C$34,MATCH($D751,CARDS!$A$5:$A$34,0)),"⚠ Card ID?"))</f>
        <v/>
      </c>
      <c r="G751" s="37" t="n"/>
      <c r="H751" s="37" t="n"/>
      <c r="I751" s="41" t="n"/>
      <c r="J751" s="45" t="str">
        <f>IF($I751="","",IFERROR(INDEX(MCC_MASTER!$B$5:$B$504,MATCH($I751,MCC_MASTER!$A$5:$A$504,0)),"⚠ MCC chưa có"))</f>
        <v/>
      </c>
      <c r="K751" s="45" t="str">
        <f>IF($I751="","",IFERROR(IF(INDEX(MCC_MASTER!$C$5:$C$504,MATCH($I751,MCC_MASTER!$A$5:$A$504,0))="","Chưa phân loại",INDEX(MCC_MASTER!$C$5:$C$504,MATCH($I751,MCC_MASTER!$A$5:$A$504,0))),"Chưa phân loại"))</f>
        <v/>
      </c>
      <c r="L751" s="40" t="n"/>
      <c r="M751" s="48" t="str">
        <f>IF(OR($B751="",$D751=""),"",IF($AC751=0,0,IF(ISNUMBER(INDEX(CASHBACK_RULES!$L$5:$L$304,$AC751)),MAX(0,MIN($L751,INDEX(CASHBACK_RULES!$L$5:$L$304,$AC751)-$AH751)),MAX(0,$L751))))</f>
        <v/>
      </c>
      <c r="N751" s="49" t="str">
        <f>IF(OR($B751="",$D751=""),"",IF($AC751&gt;0,INDEX(CASHBACK_RULES!$I$5:$I$304,$AC751),0))</f>
        <v/>
      </c>
      <c r="O751" s="48" t="str">
        <f>IF(OR($B751="",$D751=""),"",ROUND($M751*$N751,0))</f>
        <v/>
      </c>
      <c r="P751" s="48" t="str">
        <f>IF($AC751&gt;0,IF(ISNUMBER(INDEX(CASHBACK_RULES!$J$5:$J$304,$AC751)),INDEX(CASHBACK_RULES!$J$5:$J$304,$AC751),"∞"),"")</f>
        <v/>
      </c>
      <c r="Q751" s="48" t="str">
        <f>IF(OR($B751="",$D751=""),"",IF($AC751=0,0,MAX(0,MIN($O751,IF(ISNUMBER($P751),$P751-$AF751,1E+15),IF(ISNUMBER($AA751),$AA751-$AG751,1E+15)))))</f>
        <v/>
      </c>
      <c r="R751" s="48" t="str">
        <f>IF(OR($B751="",$D751=""),"",IF($AC751=0,"",IF(AND(NOT(ISNUMBER($P751)),NOT(ISNUMBER($AA751))),"∞",MAX(0,MIN(IF(ISNUMBER($P751),$P751-$AF751-$Q751,1E+15),IF(ISNUMBER($AA751),$AA751-$AG751-$Q751,1E+15))))))</f>
        <v/>
      </c>
      <c r="S751" s="47" t="str">
        <f>IF($AD751="","",YEAR($AD751)*100+MONTH($AD751))</f>
        <v/>
      </c>
      <c r="T751" s="50" t="str">
        <f>IF($AD751="","",IFERROR(IF(INDEX(CARDS!$I$5:$I$34,MATCH($D751,CARDS!$A$5:$A$34,0))="","",IF(INDEX(CARDS!$I$5:$I$34,MATCH($D751,CARDS!$A$5:$A$34,0))&gt;INDEX(CARDS!$H$5:$H$34,MATCH($D751,CARDS!$A$5:$A$34,0)),DATE(YEAR($AD751),MONTH($AD751),MIN(INDEX(CARDS!$I$5:$I$34,MATCH($D751,CARDS!$A$5:$A$34,0)),DAY(EOMONTH($AD751,0)))),DATE(YEAR($AD751),MONTH($AD751)+1,MIN(INDEX(CARDS!$I$5:$I$34,MATCH($D751,CARDS!$A$5:$A$34,0)),DAY(EOMONTH($AD751,1)))))),""))</f>
        <v/>
      </c>
      <c r="U751" s="38" t="n"/>
      <c r="V751" s="37" t="n"/>
      <c r="W751" s="38" t="n"/>
      <c r="X751" s="38" t="n"/>
      <c r="Y751" s="44" t="str">
        <f>IF($AC751&gt;0,INDEX(CASHBACK_RULES!$A$5:$A$304,$AC751),"")</f>
        <v/>
      </c>
      <c r="Z751" s="45" t="str">
        <f>IF($AC751&gt;0,INDEX(CASHBACK_RULES!$E$5:$E$304,$AC751)&amp;"","")</f>
        <v/>
      </c>
      <c r="AA751" s="48" t="str">
        <f>IF($AC751&gt;0,IF(ISNUMBER(INDEX(CASHBACK_RULES!$K$5:$K$304,$AC751)),INDEX(CASHBACK_RULES!$K$5:$K$304,$AC751),"∞"),"")</f>
        <v/>
      </c>
      <c r="AB751" s="44" t="str">
        <f>IF(OR($B751="",$D751=""),"",IF($U751="Cancelled","Đã hủy",IF($AC751=0,"Không được hoàn",IF($Q751=0,IF(OR($O751&gt;0,$M751&lt;$L751),"Đã đạt cap","Không được hoàn"),IF(OR($Q751&lt;$O751,$M751&lt;$L751),"Hoàn một phần","Được hoàn")))))</f>
        <v/>
      </c>
      <c r="AC751" s="43">
        <f>IF(OR($B751="",$D751="",$I751="",$L751=""),0,IF($U751="Cancelled",0,IF($W751&lt;&gt;"",IFERROR(IF(INDEX(CASHBACK_RULES!$B$5:$B$304,MATCH($W751,CASHBACK_RULES!$A$5:$A$304,0))=$D751,MATCH($W751,CASHBACK_RULES!$A$5:$A$304,0),0),0),IFERROR(MATCH(1,INDEX((CASHBACK_RULES!$B$5:$B$304=$D751)*(CASHBACK_RULES!$G$5:$G$304=$I751)*(((CASHBACK_RULES!$N$5:$N$304="")+(CASHBACK_RULES!$N$5:$N$304&lt;=$B751))&gt;0)*(((CASHBACK_RULES!$O$5:$O$304="")+(CASHBACK_RULES!$O$5:$O$304&gt;=$B751))&gt;0)*(((CASHBACK_RULES!$M$5:$M$304="")+(CASHBACK_RULES!$M$5:$M$304&lt;=$L751))&gt;0),0),0),0))))</f>
        <v>0</v>
      </c>
      <c r="AD751" s="51" t="str">
        <f>IF(OR($B751="",$D751=""),"",IFERROR(IF(INDEX(CARDS!$H$5:$H$34,MATCH($D751,CARDS!$A$5:$A$34,0))="","",IF(DAY($B751)&lt;=INDEX(CARDS!$H$5:$H$34,MATCH($D751,CARDS!$A$5:$A$34,0)),DATE(YEAR($B751),MONTH($B751),MIN(INDEX(CARDS!$H$5:$H$34,MATCH($D751,CARDS!$A$5:$A$34,0)),DAY(EOMONTH($B751,0)))),DATE(YEAR($B751),MONTH($B751)+1,MIN(INDEX(CARDS!$H$5:$H$34,MATCH($D751,CARDS!$A$5:$A$34,0)),DAY(EOMONTH($B751,1)))))),""))</f>
        <v/>
      </c>
      <c r="AE751" s="52" t="str">
        <f>IF($C751="","",$C751&amp;"|"&amp;COUNTIF($C$5:$C751,$C751))</f>
        <v/>
      </c>
      <c r="AF751" s="53">
        <f>IF($AC751&gt;0,SUMIFS(Q$4:Q750,$D$4:$D750,$D751,$Z$4:$Z750,$Z751,$C$4:$C750,$C751),0)</f>
        <v>0</v>
      </c>
      <c r="AG751" s="53">
        <f>IF($AC751&gt;0,SUMIFS(Q$4:Q750,$D$4:$D750,$D751,$C$4:$C750,$C751),0)</f>
        <v>0</v>
      </c>
      <c r="AH751" s="53">
        <f>IF($AC751&gt;0,SUMIFS(M$4:M750,$D$4:$D750,$D751,$Z$4:$Z750,$Z751,$C$4:$C750,$C751),0)</f>
        <v>0</v>
      </c>
      <c r="AI751" s="43">
        <f>IF(OR($C751="",$I751=""),0,IF(COUNTIFS($C$5:$C751,$C751,$I$5:$I751,$I751)=1,1,0))</f>
        <v>0</v>
      </c>
      <c r="AJ751" s="43" t="str">
        <f>IF($AI751=1,SUMIFS($AI$4:$AI750,$C$4:$C750,$C751)+1,"")</f>
        <v/>
      </c>
      <c r="AK751" s="43">
        <f>IF(OR($C751="",$K751=""),0,IF(COUNTIFS($C$5:$C751,$C751,$K$5:$K751,$K751)=1,1,0))</f>
        <v>0</v>
      </c>
      <c r="AL751" s="43" t="str">
        <f>IF($AK751=1,SUMIFS($AK$4:$AK750,$C$4:$C750,$C751)+1,"")</f>
        <v/>
      </c>
      <c r="AM751" s="43">
        <f>IF(OR($C751="",$G751=""),0,IF(COUNTIFS($C$5:$C751,$C751,$G$5:$G751,$G751)=1,1,0))</f>
        <v>0</v>
      </c>
      <c r="AN751" s="43" t="str">
        <f>IF($AM751=1,SUMIFS($AM$4:$AM750,$C$4:$C750,$C751)+1,"")</f>
        <v/>
      </c>
    </row>
    <row r="752">
      <c r="A752" s="44" t="str">
        <f>IF(OR($B752="",$D752=""),"","TX"&amp;TEXT(ROW()-4,"0000"))</f>
        <v/>
      </c>
      <c r="B752" s="42" t="n"/>
      <c r="C752" s="47" t="str">
        <f>IF($B752="","",YEAR($B752)*100+MONTH($B752))</f>
        <v/>
      </c>
      <c r="D752" s="37" t="n"/>
      <c r="E752" s="45" t="str">
        <f>IF($D752="","",IFERROR(INDEX(CARDS!$B$5:$B$34,MATCH($D752,CARDS!$A$5:$A$34,0)),"⚠ Card ID?"))</f>
        <v/>
      </c>
      <c r="F752" s="45" t="str">
        <f>IF($D752="","",IFERROR(INDEX(CARDS!$C$5:$C$34,MATCH($D752,CARDS!$A$5:$A$34,0)),"⚠ Card ID?"))</f>
        <v/>
      </c>
      <c r="G752" s="37" t="n"/>
      <c r="H752" s="37" t="n"/>
      <c r="I752" s="41" t="n"/>
      <c r="J752" s="45" t="str">
        <f>IF($I752="","",IFERROR(INDEX(MCC_MASTER!$B$5:$B$504,MATCH($I752,MCC_MASTER!$A$5:$A$504,0)),"⚠ MCC chưa có"))</f>
        <v/>
      </c>
      <c r="K752" s="45" t="str">
        <f>IF($I752="","",IFERROR(IF(INDEX(MCC_MASTER!$C$5:$C$504,MATCH($I752,MCC_MASTER!$A$5:$A$504,0))="","Chưa phân loại",INDEX(MCC_MASTER!$C$5:$C$504,MATCH($I752,MCC_MASTER!$A$5:$A$504,0))),"Chưa phân loại"))</f>
        <v/>
      </c>
      <c r="L752" s="40" t="n"/>
      <c r="M752" s="48" t="str">
        <f>IF(OR($B752="",$D752=""),"",IF($AC752=0,0,IF(ISNUMBER(INDEX(CASHBACK_RULES!$L$5:$L$304,$AC752)),MAX(0,MIN($L752,INDEX(CASHBACK_RULES!$L$5:$L$304,$AC752)-$AH752)),MAX(0,$L752))))</f>
        <v/>
      </c>
      <c r="N752" s="49" t="str">
        <f>IF(OR($B752="",$D752=""),"",IF($AC752&gt;0,INDEX(CASHBACK_RULES!$I$5:$I$304,$AC752),0))</f>
        <v/>
      </c>
      <c r="O752" s="48" t="str">
        <f>IF(OR($B752="",$D752=""),"",ROUND($M752*$N752,0))</f>
        <v/>
      </c>
      <c r="P752" s="48" t="str">
        <f>IF($AC752&gt;0,IF(ISNUMBER(INDEX(CASHBACK_RULES!$J$5:$J$304,$AC752)),INDEX(CASHBACK_RULES!$J$5:$J$304,$AC752),"∞"),"")</f>
        <v/>
      </c>
      <c r="Q752" s="48" t="str">
        <f>IF(OR($B752="",$D752=""),"",IF($AC752=0,0,MAX(0,MIN($O752,IF(ISNUMBER($P752),$P752-$AF752,1E+15),IF(ISNUMBER($AA752),$AA752-$AG752,1E+15)))))</f>
        <v/>
      </c>
      <c r="R752" s="48" t="str">
        <f>IF(OR($B752="",$D752=""),"",IF($AC752=0,"",IF(AND(NOT(ISNUMBER($P752)),NOT(ISNUMBER($AA752))),"∞",MAX(0,MIN(IF(ISNUMBER($P752),$P752-$AF752-$Q752,1E+15),IF(ISNUMBER($AA752),$AA752-$AG752-$Q752,1E+15))))))</f>
        <v/>
      </c>
      <c r="S752" s="47" t="str">
        <f>IF($AD752="","",YEAR($AD752)*100+MONTH($AD752))</f>
        <v/>
      </c>
      <c r="T752" s="50" t="str">
        <f>IF($AD752="","",IFERROR(IF(INDEX(CARDS!$I$5:$I$34,MATCH($D752,CARDS!$A$5:$A$34,0))="","",IF(INDEX(CARDS!$I$5:$I$34,MATCH($D752,CARDS!$A$5:$A$34,0))&gt;INDEX(CARDS!$H$5:$H$34,MATCH($D752,CARDS!$A$5:$A$34,0)),DATE(YEAR($AD752),MONTH($AD752),MIN(INDEX(CARDS!$I$5:$I$34,MATCH($D752,CARDS!$A$5:$A$34,0)),DAY(EOMONTH($AD752,0)))),DATE(YEAR($AD752),MONTH($AD752)+1,MIN(INDEX(CARDS!$I$5:$I$34,MATCH($D752,CARDS!$A$5:$A$34,0)),DAY(EOMONTH($AD752,1)))))),""))</f>
        <v/>
      </c>
      <c r="U752" s="38" t="n"/>
      <c r="V752" s="37" t="n"/>
      <c r="W752" s="38" t="n"/>
      <c r="X752" s="38" t="n"/>
      <c r="Y752" s="44" t="str">
        <f>IF($AC752&gt;0,INDEX(CASHBACK_RULES!$A$5:$A$304,$AC752),"")</f>
        <v/>
      </c>
      <c r="Z752" s="45" t="str">
        <f>IF($AC752&gt;0,INDEX(CASHBACK_RULES!$E$5:$E$304,$AC752)&amp;"","")</f>
        <v/>
      </c>
      <c r="AA752" s="48" t="str">
        <f>IF($AC752&gt;0,IF(ISNUMBER(INDEX(CASHBACK_RULES!$K$5:$K$304,$AC752)),INDEX(CASHBACK_RULES!$K$5:$K$304,$AC752),"∞"),"")</f>
        <v/>
      </c>
      <c r="AB752" s="44" t="str">
        <f>IF(OR($B752="",$D752=""),"",IF($U752="Cancelled","Đã hủy",IF($AC752=0,"Không được hoàn",IF($Q752=0,IF(OR($O752&gt;0,$M752&lt;$L752),"Đã đạt cap","Không được hoàn"),IF(OR($Q752&lt;$O752,$M752&lt;$L752),"Hoàn một phần","Được hoàn")))))</f>
        <v/>
      </c>
      <c r="AC752" s="43">
        <f>IF(OR($B752="",$D752="",$I752="",$L752=""),0,IF($U752="Cancelled",0,IF($W752&lt;&gt;"",IFERROR(IF(INDEX(CASHBACK_RULES!$B$5:$B$304,MATCH($W752,CASHBACK_RULES!$A$5:$A$304,0))=$D752,MATCH($W752,CASHBACK_RULES!$A$5:$A$304,0),0),0),IFERROR(MATCH(1,INDEX((CASHBACK_RULES!$B$5:$B$304=$D752)*(CASHBACK_RULES!$G$5:$G$304=$I752)*(((CASHBACK_RULES!$N$5:$N$304="")+(CASHBACK_RULES!$N$5:$N$304&lt;=$B752))&gt;0)*(((CASHBACK_RULES!$O$5:$O$304="")+(CASHBACK_RULES!$O$5:$O$304&gt;=$B752))&gt;0)*(((CASHBACK_RULES!$M$5:$M$304="")+(CASHBACK_RULES!$M$5:$M$304&lt;=$L752))&gt;0),0),0),0))))</f>
        <v>0</v>
      </c>
      <c r="AD752" s="51" t="str">
        <f>IF(OR($B752="",$D752=""),"",IFERROR(IF(INDEX(CARDS!$H$5:$H$34,MATCH($D752,CARDS!$A$5:$A$34,0))="","",IF(DAY($B752)&lt;=INDEX(CARDS!$H$5:$H$34,MATCH($D752,CARDS!$A$5:$A$34,0)),DATE(YEAR($B752),MONTH($B752),MIN(INDEX(CARDS!$H$5:$H$34,MATCH($D752,CARDS!$A$5:$A$34,0)),DAY(EOMONTH($B752,0)))),DATE(YEAR($B752),MONTH($B752)+1,MIN(INDEX(CARDS!$H$5:$H$34,MATCH($D752,CARDS!$A$5:$A$34,0)),DAY(EOMONTH($B752,1)))))),""))</f>
        <v/>
      </c>
      <c r="AE752" s="52" t="str">
        <f>IF($C752="","",$C752&amp;"|"&amp;COUNTIF($C$5:$C752,$C752))</f>
        <v/>
      </c>
      <c r="AF752" s="53">
        <f>IF($AC752&gt;0,SUMIFS(Q$4:Q751,$D$4:$D751,$D752,$Z$4:$Z751,$Z752,$C$4:$C751,$C752),0)</f>
        <v>0</v>
      </c>
      <c r="AG752" s="53">
        <f>IF($AC752&gt;0,SUMIFS(Q$4:Q751,$D$4:$D751,$D752,$C$4:$C751,$C752),0)</f>
        <v>0</v>
      </c>
      <c r="AH752" s="53">
        <f>IF($AC752&gt;0,SUMIFS(M$4:M751,$D$4:$D751,$D752,$Z$4:$Z751,$Z752,$C$4:$C751,$C752),0)</f>
        <v>0</v>
      </c>
      <c r="AI752" s="43">
        <f>IF(OR($C752="",$I752=""),0,IF(COUNTIFS($C$5:$C752,$C752,$I$5:$I752,$I752)=1,1,0))</f>
        <v>0</v>
      </c>
      <c r="AJ752" s="43" t="str">
        <f>IF($AI752=1,SUMIFS($AI$4:$AI751,$C$4:$C751,$C752)+1,"")</f>
        <v/>
      </c>
      <c r="AK752" s="43">
        <f>IF(OR($C752="",$K752=""),0,IF(COUNTIFS($C$5:$C752,$C752,$K$5:$K752,$K752)=1,1,0))</f>
        <v>0</v>
      </c>
      <c r="AL752" s="43" t="str">
        <f>IF($AK752=1,SUMIFS($AK$4:$AK751,$C$4:$C751,$C752)+1,"")</f>
        <v/>
      </c>
      <c r="AM752" s="43">
        <f>IF(OR($C752="",$G752=""),0,IF(COUNTIFS($C$5:$C752,$C752,$G$5:$G752,$G752)=1,1,0))</f>
        <v>0</v>
      </c>
      <c r="AN752" s="43" t="str">
        <f>IF($AM752=1,SUMIFS($AM$4:$AM751,$C$4:$C751,$C752)+1,"")</f>
        <v/>
      </c>
    </row>
    <row r="753">
      <c r="A753" s="44" t="str">
        <f>IF(OR($B753="",$D753=""),"","TX"&amp;TEXT(ROW()-4,"0000"))</f>
        <v/>
      </c>
      <c r="B753" s="42" t="n"/>
      <c r="C753" s="47" t="str">
        <f>IF($B753="","",YEAR($B753)*100+MONTH($B753))</f>
        <v/>
      </c>
      <c r="D753" s="37" t="n"/>
      <c r="E753" s="45" t="str">
        <f>IF($D753="","",IFERROR(INDEX(CARDS!$B$5:$B$34,MATCH($D753,CARDS!$A$5:$A$34,0)),"⚠ Card ID?"))</f>
        <v/>
      </c>
      <c r="F753" s="45" t="str">
        <f>IF($D753="","",IFERROR(INDEX(CARDS!$C$5:$C$34,MATCH($D753,CARDS!$A$5:$A$34,0)),"⚠ Card ID?"))</f>
        <v/>
      </c>
      <c r="G753" s="37" t="n"/>
      <c r="H753" s="37" t="n"/>
      <c r="I753" s="41" t="n"/>
      <c r="J753" s="45" t="str">
        <f>IF($I753="","",IFERROR(INDEX(MCC_MASTER!$B$5:$B$504,MATCH($I753,MCC_MASTER!$A$5:$A$504,0)),"⚠ MCC chưa có"))</f>
        <v/>
      </c>
      <c r="K753" s="45" t="str">
        <f>IF($I753="","",IFERROR(IF(INDEX(MCC_MASTER!$C$5:$C$504,MATCH($I753,MCC_MASTER!$A$5:$A$504,0))="","Chưa phân loại",INDEX(MCC_MASTER!$C$5:$C$504,MATCH($I753,MCC_MASTER!$A$5:$A$504,0))),"Chưa phân loại"))</f>
        <v/>
      </c>
      <c r="L753" s="40" t="n"/>
      <c r="M753" s="48" t="str">
        <f>IF(OR($B753="",$D753=""),"",IF($AC753=0,0,IF(ISNUMBER(INDEX(CASHBACK_RULES!$L$5:$L$304,$AC753)),MAX(0,MIN($L753,INDEX(CASHBACK_RULES!$L$5:$L$304,$AC753)-$AH753)),MAX(0,$L753))))</f>
        <v/>
      </c>
      <c r="N753" s="49" t="str">
        <f>IF(OR($B753="",$D753=""),"",IF($AC753&gt;0,INDEX(CASHBACK_RULES!$I$5:$I$304,$AC753),0))</f>
        <v/>
      </c>
      <c r="O753" s="48" t="str">
        <f>IF(OR($B753="",$D753=""),"",ROUND($M753*$N753,0))</f>
        <v/>
      </c>
      <c r="P753" s="48" t="str">
        <f>IF($AC753&gt;0,IF(ISNUMBER(INDEX(CASHBACK_RULES!$J$5:$J$304,$AC753)),INDEX(CASHBACK_RULES!$J$5:$J$304,$AC753),"∞"),"")</f>
        <v/>
      </c>
      <c r="Q753" s="48" t="str">
        <f>IF(OR($B753="",$D753=""),"",IF($AC753=0,0,MAX(0,MIN($O753,IF(ISNUMBER($P753),$P753-$AF753,1E+15),IF(ISNUMBER($AA753),$AA753-$AG753,1E+15)))))</f>
        <v/>
      </c>
      <c r="R753" s="48" t="str">
        <f>IF(OR($B753="",$D753=""),"",IF($AC753=0,"",IF(AND(NOT(ISNUMBER($P753)),NOT(ISNUMBER($AA753))),"∞",MAX(0,MIN(IF(ISNUMBER($P753),$P753-$AF753-$Q753,1E+15),IF(ISNUMBER($AA753),$AA753-$AG753-$Q753,1E+15))))))</f>
        <v/>
      </c>
      <c r="S753" s="47" t="str">
        <f>IF($AD753="","",YEAR($AD753)*100+MONTH($AD753))</f>
        <v/>
      </c>
      <c r="T753" s="50" t="str">
        <f>IF($AD753="","",IFERROR(IF(INDEX(CARDS!$I$5:$I$34,MATCH($D753,CARDS!$A$5:$A$34,0))="","",IF(INDEX(CARDS!$I$5:$I$34,MATCH($D753,CARDS!$A$5:$A$34,0))&gt;INDEX(CARDS!$H$5:$H$34,MATCH($D753,CARDS!$A$5:$A$34,0)),DATE(YEAR($AD753),MONTH($AD753),MIN(INDEX(CARDS!$I$5:$I$34,MATCH($D753,CARDS!$A$5:$A$34,0)),DAY(EOMONTH($AD753,0)))),DATE(YEAR($AD753),MONTH($AD753)+1,MIN(INDEX(CARDS!$I$5:$I$34,MATCH($D753,CARDS!$A$5:$A$34,0)),DAY(EOMONTH($AD753,1)))))),""))</f>
        <v/>
      </c>
      <c r="U753" s="38" t="n"/>
      <c r="V753" s="37" t="n"/>
      <c r="W753" s="38" t="n"/>
      <c r="X753" s="38" t="n"/>
      <c r="Y753" s="44" t="str">
        <f>IF($AC753&gt;0,INDEX(CASHBACK_RULES!$A$5:$A$304,$AC753),"")</f>
        <v/>
      </c>
      <c r="Z753" s="45" t="str">
        <f>IF($AC753&gt;0,INDEX(CASHBACK_RULES!$E$5:$E$304,$AC753)&amp;"","")</f>
        <v/>
      </c>
      <c r="AA753" s="48" t="str">
        <f>IF($AC753&gt;0,IF(ISNUMBER(INDEX(CASHBACK_RULES!$K$5:$K$304,$AC753)),INDEX(CASHBACK_RULES!$K$5:$K$304,$AC753),"∞"),"")</f>
        <v/>
      </c>
      <c r="AB753" s="44" t="str">
        <f>IF(OR($B753="",$D753=""),"",IF($U753="Cancelled","Đã hủy",IF($AC753=0,"Không được hoàn",IF($Q753=0,IF(OR($O753&gt;0,$M753&lt;$L753),"Đã đạt cap","Không được hoàn"),IF(OR($Q753&lt;$O753,$M753&lt;$L753),"Hoàn một phần","Được hoàn")))))</f>
        <v/>
      </c>
      <c r="AC753" s="43">
        <f>IF(OR($B753="",$D753="",$I753="",$L753=""),0,IF($U753="Cancelled",0,IF($W753&lt;&gt;"",IFERROR(IF(INDEX(CASHBACK_RULES!$B$5:$B$304,MATCH($W753,CASHBACK_RULES!$A$5:$A$304,0))=$D753,MATCH($W753,CASHBACK_RULES!$A$5:$A$304,0),0),0),IFERROR(MATCH(1,INDEX((CASHBACK_RULES!$B$5:$B$304=$D753)*(CASHBACK_RULES!$G$5:$G$304=$I753)*(((CASHBACK_RULES!$N$5:$N$304="")+(CASHBACK_RULES!$N$5:$N$304&lt;=$B753))&gt;0)*(((CASHBACK_RULES!$O$5:$O$304="")+(CASHBACK_RULES!$O$5:$O$304&gt;=$B753))&gt;0)*(((CASHBACK_RULES!$M$5:$M$304="")+(CASHBACK_RULES!$M$5:$M$304&lt;=$L753))&gt;0),0),0),0))))</f>
        <v>0</v>
      </c>
      <c r="AD753" s="51" t="str">
        <f>IF(OR($B753="",$D753=""),"",IFERROR(IF(INDEX(CARDS!$H$5:$H$34,MATCH($D753,CARDS!$A$5:$A$34,0))="","",IF(DAY($B753)&lt;=INDEX(CARDS!$H$5:$H$34,MATCH($D753,CARDS!$A$5:$A$34,0)),DATE(YEAR($B753),MONTH($B753),MIN(INDEX(CARDS!$H$5:$H$34,MATCH($D753,CARDS!$A$5:$A$34,0)),DAY(EOMONTH($B753,0)))),DATE(YEAR($B753),MONTH($B753)+1,MIN(INDEX(CARDS!$H$5:$H$34,MATCH($D753,CARDS!$A$5:$A$34,0)),DAY(EOMONTH($B753,1)))))),""))</f>
        <v/>
      </c>
      <c r="AE753" s="52" t="str">
        <f>IF($C753="","",$C753&amp;"|"&amp;COUNTIF($C$5:$C753,$C753))</f>
        <v/>
      </c>
      <c r="AF753" s="53">
        <f>IF($AC753&gt;0,SUMIFS(Q$4:Q752,$D$4:$D752,$D753,$Z$4:$Z752,$Z753,$C$4:$C752,$C753),0)</f>
        <v>0</v>
      </c>
      <c r="AG753" s="53">
        <f>IF($AC753&gt;0,SUMIFS(Q$4:Q752,$D$4:$D752,$D753,$C$4:$C752,$C753),0)</f>
        <v>0</v>
      </c>
      <c r="AH753" s="53">
        <f>IF($AC753&gt;0,SUMIFS(M$4:M752,$D$4:$D752,$D753,$Z$4:$Z752,$Z753,$C$4:$C752,$C753),0)</f>
        <v>0</v>
      </c>
      <c r="AI753" s="43">
        <f>IF(OR($C753="",$I753=""),0,IF(COUNTIFS($C$5:$C753,$C753,$I$5:$I753,$I753)=1,1,0))</f>
        <v>0</v>
      </c>
      <c r="AJ753" s="43" t="str">
        <f>IF($AI753=1,SUMIFS($AI$4:$AI752,$C$4:$C752,$C753)+1,"")</f>
        <v/>
      </c>
      <c r="AK753" s="43">
        <f>IF(OR($C753="",$K753=""),0,IF(COUNTIFS($C$5:$C753,$C753,$K$5:$K753,$K753)=1,1,0))</f>
        <v>0</v>
      </c>
      <c r="AL753" s="43" t="str">
        <f>IF($AK753=1,SUMIFS($AK$4:$AK752,$C$4:$C752,$C753)+1,"")</f>
        <v/>
      </c>
      <c r="AM753" s="43">
        <f>IF(OR($C753="",$G753=""),0,IF(COUNTIFS($C$5:$C753,$C753,$G$5:$G753,$G753)=1,1,0))</f>
        <v>0</v>
      </c>
      <c r="AN753" s="43" t="str">
        <f>IF($AM753=1,SUMIFS($AM$4:$AM752,$C$4:$C752,$C753)+1,"")</f>
        <v/>
      </c>
    </row>
    <row r="754">
      <c r="A754" s="44" t="str">
        <f>IF(OR($B754="",$D754=""),"","TX"&amp;TEXT(ROW()-4,"0000"))</f>
        <v/>
      </c>
      <c r="B754" s="42" t="n"/>
      <c r="C754" s="47" t="str">
        <f>IF($B754="","",YEAR($B754)*100+MONTH($B754))</f>
        <v/>
      </c>
      <c r="D754" s="37" t="n"/>
      <c r="E754" s="45" t="str">
        <f>IF($D754="","",IFERROR(INDEX(CARDS!$B$5:$B$34,MATCH($D754,CARDS!$A$5:$A$34,0)),"⚠ Card ID?"))</f>
        <v/>
      </c>
      <c r="F754" s="45" t="str">
        <f>IF($D754="","",IFERROR(INDEX(CARDS!$C$5:$C$34,MATCH($D754,CARDS!$A$5:$A$34,0)),"⚠ Card ID?"))</f>
        <v/>
      </c>
      <c r="G754" s="37" t="n"/>
      <c r="H754" s="37" t="n"/>
      <c r="I754" s="41" t="n"/>
      <c r="J754" s="45" t="str">
        <f>IF($I754="","",IFERROR(INDEX(MCC_MASTER!$B$5:$B$504,MATCH($I754,MCC_MASTER!$A$5:$A$504,0)),"⚠ MCC chưa có"))</f>
        <v/>
      </c>
      <c r="K754" s="45" t="str">
        <f>IF($I754="","",IFERROR(IF(INDEX(MCC_MASTER!$C$5:$C$504,MATCH($I754,MCC_MASTER!$A$5:$A$504,0))="","Chưa phân loại",INDEX(MCC_MASTER!$C$5:$C$504,MATCH($I754,MCC_MASTER!$A$5:$A$504,0))),"Chưa phân loại"))</f>
        <v/>
      </c>
      <c r="L754" s="40" t="n"/>
      <c r="M754" s="48" t="str">
        <f>IF(OR($B754="",$D754=""),"",IF($AC754=0,0,IF(ISNUMBER(INDEX(CASHBACK_RULES!$L$5:$L$304,$AC754)),MAX(0,MIN($L754,INDEX(CASHBACK_RULES!$L$5:$L$304,$AC754)-$AH754)),MAX(0,$L754))))</f>
        <v/>
      </c>
      <c r="N754" s="49" t="str">
        <f>IF(OR($B754="",$D754=""),"",IF($AC754&gt;0,INDEX(CASHBACK_RULES!$I$5:$I$304,$AC754),0))</f>
        <v/>
      </c>
      <c r="O754" s="48" t="str">
        <f>IF(OR($B754="",$D754=""),"",ROUND($M754*$N754,0))</f>
        <v/>
      </c>
      <c r="P754" s="48" t="str">
        <f>IF($AC754&gt;0,IF(ISNUMBER(INDEX(CASHBACK_RULES!$J$5:$J$304,$AC754)),INDEX(CASHBACK_RULES!$J$5:$J$304,$AC754),"∞"),"")</f>
        <v/>
      </c>
      <c r="Q754" s="48" t="str">
        <f>IF(OR($B754="",$D754=""),"",IF($AC754=0,0,MAX(0,MIN($O754,IF(ISNUMBER($P754),$P754-$AF754,1E+15),IF(ISNUMBER($AA754),$AA754-$AG754,1E+15)))))</f>
        <v/>
      </c>
      <c r="R754" s="48" t="str">
        <f>IF(OR($B754="",$D754=""),"",IF($AC754=0,"",IF(AND(NOT(ISNUMBER($P754)),NOT(ISNUMBER($AA754))),"∞",MAX(0,MIN(IF(ISNUMBER($P754),$P754-$AF754-$Q754,1E+15),IF(ISNUMBER($AA754),$AA754-$AG754-$Q754,1E+15))))))</f>
        <v/>
      </c>
      <c r="S754" s="47" t="str">
        <f>IF($AD754="","",YEAR($AD754)*100+MONTH($AD754))</f>
        <v/>
      </c>
      <c r="T754" s="50" t="str">
        <f>IF($AD754="","",IFERROR(IF(INDEX(CARDS!$I$5:$I$34,MATCH($D754,CARDS!$A$5:$A$34,0))="","",IF(INDEX(CARDS!$I$5:$I$34,MATCH($D754,CARDS!$A$5:$A$34,0))&gt;INDEX(CARDS!$H$5:$H$34,MATCH($D754,CARDS!$A$5:$A$34,0)),DATE(YEAR($AD754),MONTH($AD754),MIN(INDEX(CARDS!$I$5:$I$34,MATCH($D754,CARDS!$A$5:$A$34,0)),DAY(EOMONTH($AD754,0)))),DATE(YEAR($AD754),MONTH($AD754)+1,MIN(INDEX(CARDS!$I$5:$I$34,MATCH($D754,CARDS!$A$5:$A$34,0)),DAY(EOMONTH($AD754,1)))))),""))</f>
        <v/>
      </c>
      <c r="U754" s="38" t="n"/>
      <c r="V754" s="37" t="n"/>
      <c r="W754" s="38" t="n"/>
      <c r="X754" s="38" t="n"/>
      <c r="Y754" s="44" t="str">
        <f>IF($AC754&gt;0,INDEX(CASHBACK_RULES!$A$5:$A$304,$AC754),"")</f>
        <v/>
      </c>
      <c r="Z754" s="45" t="str">
        <f>IF($AC754&gt;0,INDEX(CASHBACK_RULES!$E$5:$E$304,$AC754)&amp;"","")</f>
        <v/>
      </c>
      <c r="AA754" s="48" t="str">
        <f>IF($AC754&gt;0,IF(ISNUMBER(INDEX(CASHBACK_RULES!$K$5:$K$304,$AC754)),INDEX(CASHBACK_RULES!$K$5:$K$304,$AC754),"∞"),"")</f>
        <v/>
      </c>
      <c r="AB754" s="44" t="str">
        <f>IF(OR($B754="",$D754=""),"",IF($U754="Cancelled","Đã hủy",IF($AC754=0,"Không được hoàn",IF($Q754=0,IF(OR($O754&gt;0,$M754&lt;$L754),"Đã đạt cap","Không được hoàn"),IF(OR($Q754&lt;$O754,$M754&lt;$L754),"Hoàn một phần","Được hoàn")))))</f>
        <v/>
      </c>
      <c r="AC754" s="43">
        <f>IF(OR($B754="",$D754="",$I754="",$L754=""),0,IF($U754="Cancelled",0,IF($W754&lt;&gt;"",IFERROR(IF(INDEX(CASHBACK_RULES!$B$5:$B$304,MATCH($W754,CASHBACK_RULES!$A$5:$A$304,0))=$D754,MATCH($W754,CASHBACK_RULES!$A$5:$A$304,0),0),0),IFERROR(MATCH(1,INDEX((CASHBACK_RULES!$B$5:$B$304=$D754)*(CASHBACK_RULES!$G$5:$G$304=$I754)*(((CASHBACK_RULES!$N$5:$N$304="")+(CASHBACK_RULES!$N$5:$N$304&lt;=$B754))&gt;0)*(((CASHBACK_RULES!$O$5:$O$304="")+(CASHBACK_RULES!$O$5:$O$304&gt;=$B754))&gt;0)*(((CASHBACK_RULES!$M$5:$M$304="")+(CASHBACK_RULES!$M$5:$M$304&lt;=$L754))&gt;0),0),0),0))))</f>
        <v>0</v>
      </c>
      <c r="AD754" s="51" t="str">
        <f>IF(OR($B754="",$D754=""),"",IFERROR(IF(INDEX(CARDS!$H$5:$H$34,MATCH($D754,CARDS!$A$5:$A$34,0))="","",IF(DAY($B754)&lt;=INDEX(CARDS!$H$5:$H$34,MATCH($D754,CARDS!$A$5:$A$34,0)),DATE(YEAR($B754),MONTH($B754),MIN(INDEX(CARDS!$H$5:$H$34,MATCH($D754,CARDS!$A$5:$A$34,0)),DAY(EOMONTH($B754,0)))),DATE(YEAR($B754),MONTH($B754)+1,MIN(INDEX(CARDS!$H$5:$H$34,MATCH($D754,CARDS!$A$5:$A$34,0)),DAY(EOMONTH($B754,1)))))),""))</f>
        <v/>
      </c>
      <c r="AE754" s="52" t="str">
        <f>IF($C754="","",$C754&amp;"|"&amp;COUNTIF($C$5:$C754,$C754))</f>
        <v/>
      </c>
      <c r="AF754" s="53">
        <f>IF($AC754&gt;0,SUMIFS(Q$4:Q753,$D$4:$D753,$D754,$Z$4:$Z753,$Z754,$C$4:$C753,$C754),0)</f>
        <v>0</v>
      </c>
      <c r="AG754" s="53">
        <f>IF($AC754&gt;0,SUMIFS(Q$4:Q753,$D$4:$D753,$D754,$C$4:$C753,$C754),0)</f>
        <v>0</v>
      </c>
      <c r="AH754" s="53">
        <f>IF($AC754&gt;0,SUMIFS(M$4:M753,$D$4:$D753,$D754,$Z$4:$Z753,$Z754,$C$4:$C753,$C754),0)</f>
        <v>0</v>
      </c>
      <c r="AI754" s="43">
        <f>IF(OR($C754="",$I754=""),0,IF(COUNTIFS($C$5:$C754,$C754,$I$5:$I754,$I754)=1,1,0))</f>
        <v>0</v>
      </c>
      <c r="AJ754" s="43" t="str">
        <f>IF($AI754=1,SUMIFS($AI$4:$AI753,$C$4:$C753,$C754)+1,"")</f>
        <v/>
      </c>
      <c r="AK754" s="43">
        <f>IF(OR($C754="",$K754=""),0,IF(COUNTIFS($C$5:$C754,$C754,$K$5:$K754,$K754)=1,1,0))</f>
        <v>0</v>
      </c>
      <c r="AL754" s="43" t="str">
        <f>IF($AK754=1,SUMIFS($AK$4:$AK753,$C$4:$C753,$C754)+1,"")</f>
        <v/>
      </c>
      <c r="AM754" s="43">
        <f>IF(OR($C754="",$G754=""),0,IF(COUNTIFS($C$5:$C754,$C754,$G$5:$G754,$G754)=1,1,0))</f>
        <v>0</v>
      </c>
      <c r="AN754" s="43" t="str">
        <f>IF($AM754=1,SUMIFS($AM$4:$AM753,$C$4:$C753,$C754)+1,"")</f>
        <v/>
      </c>
    </row>
    <row r="755">
      <c r="A755" s="44" t="str">
        <f>IF(OR($B755="",$D755=""),"","TX"&amp;TEXT(ROW()-4,"0000"))</f>
        <v/>
      </c>
      <c r="B755" s="42" t="n"/>
      <c r="C755" s="47" t="str">
        <f>IF($B755="","",YEAR($B755)*100+MONTH($B755))</f>
        <v/>
      </c>
      <c r="D755" s="37" t="n"/>
      <c r="E755" s="45" t="str">
        <f>IF($D755="","",IFERROR(INDEX(CARDS!$B$5:$B$34,MATCH($D755,CARDS!$A$5:$A$34,0)),"⚠ Card ID?"))</f>
        <v/>
      </c>
      <c r="F755" s="45" t="str">
        <f>IF($D755="","",IFERROR(INDEX(CARDS!$C$5:$C$34,MATCH($D755,CARDS!$A$5:$A$34,0)),"⚠ Card ID?"))</f>
        <v/>
      </c>
      <c r="G755" s="37" t="n"/>
      <c r="H755" s="37" t="n"/>
      <c r="I755" s="41" t="n"/>
      <c r="J755" s="45" t="str">
        <f>IF($I755="","",IFERROR(INDEX(MCC_MASTER!$B$5:$B$504,MATCH($I755,MCC_MASTER!$A$5:$A$504,0)),"⚠ MCC chưa có"))</f>
        <v/>
      </c>
      <c r="K755" s="45" t="str">
        <f>IF($I755="","",IFERROR(IF(INDEX(MCC_MASTER!$C$5:$C$504,MATCH($I755,MCC_MASTER!$A$5:$A$504,0))="","Chưa phân loại",INDEX(MCC_MASTER!$C$5:$C$504,MATCH($I755,MCC_MASTER!$A$5:$A$504,0))),"Chưa phân loại"))</f>
        <v/>
      </c>
      <c r="L755" s="40" t="n"/>
      <c r="M755" s="48" t="str">
        <f>IF(OR($B755="",$D755=""),"",IF($AC755=0,0,IF(ISNUMBER(INDEX(CASHBACK_RULES!$L$5:$L$304,$AC755)),MAX(0,MIN($L755,INDEX(CASHBACK_RULES!$L$5:$L$304,$AC755)-$AH755)),MAX(0,$L755))))</f>
        <v/>
      </c>
      <c r="N755" s="49" t="str">
        <f>IF(OR($B755="",$D755=""),"",IF($AC755&gt;0,INDEX(CASHBACK_RULES!$I$5:$I$304,$AC755),0))</f>
        <v/>
      </c>
      <c r="O755" s="48" t="str">
        <f>IF(OR($B755="",$D755=""),"",ROUND($M755*$N755,0))</f>
        <v/>
      </c>
      <c r="P755" s="48" t="str">
        <f>IF($AC755&gt;0,IF(ISNUMBER(INDEX(CASHBACK_RULES!$J$5:$J$304,$AC755)),INDEX(CASHBACK_RULES!$J$5:$J$304,$AC755),"∞"),"")</f>
        <v/>
      </c>
      <c r="Q755" s="48" t="str">
        <f>IF(OR($B755="",$D755=""),"",IF($AC755=0,0,MAX(0,MIN($O755,IF(ISNUMBER($P755),$P755-$AF755,1E+15),IF(ISNUMBER($AA755),$AA755-$AG755,1E+15)))))</f>
        <v/>
      </c>
      <c r="R755" s="48" t="str">
        <f>IF(OR($B755="",$D755=""),"",IF($AC755=0,"",IF(AND(NOT(ISNUMBER($P755)),NOT(ISNUMBER($AA755))),"∞",MAX(0,MIN(IF(ISNUMBER($P755),$P755-$AF755-$Q755,1E+15),IF(ISNUMBER($AA755),$AA755-$AG755-$Q755,1E+15))))))</f>
        <v/>
      </c>
      <c r="S755" s="47" t="str">
        <f>IF($AD755="","",YEAR($AD755)*100+MONTH($AD755))</f>
        <v/>
      </c>
      <c r="T755" s="50" t="str">
        <f>IF($AD755="","",IFERROR(IF(INDEX(CARDS!$I$5:$I$34,MATCH($D755,CARDS!$A$5:$A$34,0))="","",IF(INDEX(CARDS!$I$5:$I$34,MATCH($D755,CARDS!$A$5:$A$34,0))&gt;INDEX(CARDS!$H$5:$H$34,MATCH($D755,CARDS!$A$5:$A$34,0)),DATE(YEAR($AD755),MONTH($AD755),MIN(INDEX(CARDS!$I$5:$I$34,MATCH($D755,CARDS!$A$5:$A$34,0)),DAY(EOMONTH($AD755,0)))),DATE(YEAR($AD755),MONTH($AD755)+1,MIN(INDEX(CARDS!$I$5:$I$34,MATCH($D755,CARDS!$A$5:$A$34,0)),DAY(EOMONTH($AD755,1)))))),""))</f>
        <v/>
      </c>
      <c r="U755" s="38" t="n"/>
      <c r="V755" s="37" t="n"/>
      <c r="W755" s="38" t="n"/>
      <c r="X755" s="38" t="n"/>
      <c r="Y755" s="44" t="str">
        <f>IF($AC755&gt;0,INDEX(CASHBACK_RULES!$A$5:$A$304,$AC755),"")</f>
        <v/>
      </c>
      <c r="Z755" s="45" t="str">
        <f>IF($AC755&gt;0,INDEX(CASHBACK_RULES!$E$5:$E$304,$AC755)&amp;"","")</f>
        <v/>
      </c>
      <c r="AA755" s="48" t="str">
        <f>IF($AC755&gt;0,IF(ISNUMBER(INDEX(CASHBACK_RULES!$K$5:$K$304,$AC755)),INDEX(CASHBACK_RULES!$K$5:$K$304,$AC755),"∞"),"")</f>
        <v/>
      </c>
      <c r="AB755" s="44" t="str">
        <f>IF(OR($B755="",$D755=""),"",IF($U755="Cancelled","Đã hủy",IF($AC755=0,"Không được hoàn",IF($Q755=0,IF(OR($O755&gt;0,$M755&lt;$L755),"Đã đạt cap","Không được hoàn"),IF(OR($Q755&lt;$O755,$M755&lt;$L755),"Hoàn một phần","Được hoàn")))))</f>
        <v/>
      </c>
      <c r="AC755" s="43">
        <f>IF(OR($B755="",$D755="",$I755="",$L755=""),0,IF($U755="Cancelled",0,IF($W755&lt;&gt;"",IFERROR(IF(INDEX(CASHBACK_RULES!$B$5:$B$304,MATCH($W755,CASHBACK_RULES!$A$5:$A$304,0))=$D755,MATCH($W755,CASHBACK_RULES!$A$5:$A$304,0),0),0),IFERROR(MATCH(1,INDEX((CASHBACK_RULES!$B$5:$B$304=$D755)*(CASHBACK_RULES!$G$5:$G$304=$I755)*(((CASHBACK_RULES!$N$5:$N$304="")+(CASHBACK_RULES!$N$5:$N$304&lt;=$B755))&gt;0)*(((CASHBACK_RULES!$O$5:$O$304="")+(CASHBACK_RULES!$O$5:$O$304&gt;=$B755))&gt;0)*(((CASHBACK_RULES!$M$5:$M$304="")+(CASHBACK_RULES!$M$5:$M$304&lt;=$L755))&gt;0),0),0),0))))</f>
        <v>0</v>
      </c>
      <c r="AD755" s="51" t="str">
        <f>IF(OR($B755="",$D755=""),"",IFERROR(IF(INDEX(CARDS!$H$5:$H$34,MATCH($D755,CARDS!$A$5:$A$34,0))="","",IF(DAY($B755)&lt;=INDEX(CARDS!$H$5:$H$34,MATCH($D755,CARDS!$A$5:$A$34,0)),DATE(YEAR($B755),MONTH($B755),MIN(INDEX(CARDS!$H$5:$H$34,MATCH($D755,CARDS!$A$5:$A$34,0)),DAY(EOMONTH($B755,0)))),DATE(YEAR($B755),MONTH($B755)+1,MIN(INDEX(CARDS!$H$5:$H$34,MATCH($D755,CARDS!$A$5:$A$34,0)),DAY(EOMONTH($B755,1)))))),""))</f>
        <v/>
      </c>
      <c r="AE755" s="52" t="str">
        <f>IF($C755="","",$C755&amp;"|"&amp;COUNTIF($C$5:$C755,$C755))</f>
        <v/>
      </c>
      <c r="AF755" s="53">
        <f>IF($AC755&gt;0,SUMIFS(Q$4:Q754,$D$4:$D754,$D755,$Z$4:$Z754,$Z755,$C$4:$C754,$C755),0)</f>
        <v>0</v>
      </c>
      <c r="AG755" s="53">
        <f>IF($AC755&gt;0,SUMIFS(Q$4:Q754,$D$4:$D754,$D755,$C$4:$C754,$C755),0)</f>
        <v>0</v>
      </c>
      <c r="AH755" s="53">
        <f>IF($AC755&gt;0,SUMIFS(M$4:M754,$D$4:$D754,$D755,$Z$4:$Z754,$Z755,$C$4:$C754,$C755),0)</f>
        <v>0</v>
      </c>
      <c r="AI755" s="43">
        <f>IF(OR($C755="",$I755=""),0,IF(COUNTIFS($C$5:$C755,$C755,$I$5:$I755,$I755)=1,1,0))</f>
        <v>0</v>
      </c>
      <c r="AJ755" s="43" t="str">
        <f>IF($AI755=1,SUMIFS($AI$4:$AI754,$C$4:$C754,$C755)+1,"")</f>
        <v/>
      </c>
      <c r="AK755" s="43">
        <f>IF(OR($C755="",$K755=""),0,IF(COUNTIFS($C$5:$C755,$C755,$K$5:$K755,$K755)=1,1,0))</f>
        <v>0</v>
      </c>
      <c r="AL755" s="43" t="str">
        <f>IF($AK755=1,SUMIFS($AK$4:$AK754,$C$4:$C754,$C755)+1,"")</f>
        <v/>
      </c>
      <c r="AM755" s="43">
        <f>IF(OR($C755="",$G755=""),0,IF(COUNTIFS($C$5:$C755,$C755,$G$5:$G755,$G755)=1,1,0))</f>
        <v>0</v>
      </c>
      <c r="AN755" s="43" t="str">
        <f>IF($AM755=1,SUMIFS($AM$4:$AM754,$C$4:$C754,$C755)+1,"")</f>
        <v/>
      </c>
    </row>
    <row r="756">
      <c r="A756" s="44" t="str">
        <f>IF(OR($B756="",$D756=""),"","TX"&amp;TEXT(ROW()-4,"0000"))</f>
        <v/>
      </c>
      <c r="B756" s="42" t="n"/>
      <c r="C756" s="47" t="str">
        <f>IF($B756="","",YEAR($B756)*100+MONTH($B756))</f>
        <v/>
      </c>
      <c r="D756" s="37" t="n"/>
      <c r="E756" s="45" t="str">
        <f>IF($D756="","",IFERROR(INDEX(CARDS!$B$5:$B$34,MATCH($D756,CARDS!$A$5:$A$34,0)),"⚠ Card ID?"))</f>
        <v/>
      </c>
      <c r="F756" s="45" t="str">
        <f>IF($D756="","",IFERROR(INDEX(CARDS!$C$5:$C$34,MATCH($D756,CARDS!$A$5:$A$34,0)),"⚠ Card ID?"))</f>
        <v/>
      </c>
      <c r="G756" s="37" t="n"/>
      <c r="H756" s="37" t="n"/>
      <c r="I756" s="41" t="n"/>
      <c r="J756" s="45" t="str">
        <f>IF($I756="","",IFERROR(INDEX(MCC_MASTER!$B$5:$B$504,MATCH($I756,MCC_MASTER!$A$5:$A$504,0)),"⚠ MCC chưa có"))</f>
        <v/>
      </c>
      <c r="K756" s="45" t="str">
        <f>IF($I756="","",IFERROR(IF(INDEX(MCC_MASTER!$C$5:$C$504,MATCH($I756,MCC_MASTER!$A$5:$A$504,0))="","Chưa phân loại",INDEX(MCC_MASTER!$C$5:$C$504,MATCH($I756,MCC_MASTER!$A$5:$A$504,0))),"Chưa phân loại"))</f>
        <v/>
      </c>
      <c r="L756" s="40" t="n"/>
      <c r="M756" s="48" t="str">
        <f>IF(OR($B756="",$D756=""),"",IF($AC756=0,0,IF(ISNUMBER(INDEX(CASHBACK_RULES!$L$5:$L$304,$AC756)),MAX(0,MIN($L756,INDEX(CASHBACK_RULES!$L$5:$L$304,$AC756)-$AH756)),MAX(0,$L756))))</f>
        <v/>
      </c>
      <c r="N756" s="49" t="str">
        <f>IF(OR($B756="",$D756=""),"",IF($AC756&gt;0,INDEX(CASHBACK_RULES!$I$5:$I$304,$AC756),0))</f>
        <v/>
      </c>
      <c r="O756" s="48" t="str">
        <f>IF(OR($B756="",$D756=""),"",ROUND($M756*$N756,0))</f>
        <v/>
      </c>
      <c r="P756" s="48" t="str">
        <f>IF($AC756&gt;0,IF(ISNUMBER(INDEX(CASHBACK_RULES!$J$5:$J$304,$AC756)),INDEX(CASHBACK_RULES!$J$5:$J$304,$AC756),"∞"),"")</f>
        <v/>
      </c>
      <c r="Q756" s="48" t="str">
        <f>IF(OR($B756="",$D756=""),"",IF($AC756=0,0,MAX(0,MIN($O756,IF(ISNUMBER($P756),$P756-$AF756,1E+15),IF(ISNUMBER($AA756),$AA756-$AG756,1E+15)))))</f>
        <v/>
      </c>
      <c r="R756" s="48" t="str">
        <f>IF(OR($B756="",$D756=""),"",IF($AC756=0,"",IF(AND(NOT(ISNUMBER($P756)),NOT(ISNUMBER($AA756))),"∞",MAX(0,MIN(IF(ISNUMBER($P756),$P756-$AF756-$Q756,1E+15),IF(ISNUMBER($AA756),$AA756-$AG756-$Q756,1E+15))))))</f>
        <v/>
      </c>
      <c r="S756" s="47" t="str">
        <f>IF($AD756="","",YEAR($AD756)*100+MONTH($AD756))</f>
        <v/>
      </c>
      <c r="T756" s="50" t="str">
        <f>IF($AD756="","",IFERROR(IF(INDEX(CARDS!$I$5:$I$34,MATCH($D756,CARDS!$A$5:$A$34,0))="","",IF(INDEX(CARDS!$I$5:$I$34,MATCH($D756,CARDS!$A$5:$A$34,0))&gt;INDEX(CARDS!$H$5:$H$34,MATCH($D756,CARDS!$A$5:$A$34,0)),DATE(YEAR($AD756),MONTH($AD756),MIN(INDEX(CARDS!$I$5:$I$34,MATCH($D756,CARDS!$A$5:$A$34,0)),DAY(EOMONTH($AD756,0)))),DATE(YEAR($AD756),MONTH($AD756)+1,MIN(INDEX(CARDS!$I$5:$I$34,MATCH($D756,CARDS!$A$5:$A$34,0)),DAY(EOMONTH($AD756,1)))))),""))</f>
        <v/>
      </c>
      <c r="U756" s="38" t="n"/>
      <c r="V756" s="37" t="n"/>
      <c r="W756" s="38" t="n"/>
      <c r="X756" s="38" t="n"/>
      <c r="Y756" s="44" t="str">
        <f>IF($AC756&gt;0,INDEX(CASHBACK_RULES!$A$5:$A$304,$AC756),"")</f>
        <v/>
      </c>
      <c r="Z756" s="45" t="str">
        <f>IF($AC756&gt;0,INDEX(CASHBACK_RULES!$E$5:$E$304,$AC756)&amp;"","")</f>
        <v/>
      </c>
      <c r="AA756" s="48" t="str">
        <f>IF($AC756&gt;0,IF(ISNUMBER(INDEX(CASHBACK_RULES!$K$5:$K$304,$AC756)),INDEX(CASHBACK_RULES!$K$5:$K$304,$AC756),"∞"),"")</f>
        <v/>
      </c>
      <c r="AB756" s="44" t="str">
        <f>IF(OR($B756="",$D756=""),"",IF($U756="Cancelled","Đã hủy",IF($AC756=0,"Không được hoàn",IF($Q756=0,IF(OR($O756&gt;0,$M756&lt;$L756),"Đã đạt cap","Không được hoàn"),IF(OR($Q756&lt;$O756,$M756&lt;$L756),"Hoàn một phần","Được hoàn")))))</f>
        <v/>
      </c>
      <c r="AC756" s="43">
        <f>IF(OR($B756="",$D756="",$I756="",$L756=""),0,IF($U756="Cancelled",0,IF($W756&lt;&gt;"",IFERROR(IF(INDEX(CASHBACK_RULES!$B$5:$B$304,MATCH($W756,CASHBACK_RULES!$A$5:$A$304,0))=$D756,MATCH($W756,CASHBACK_RULES!$A$5:$A$304,0),0),0),IFERROR(MATCH(1,INDEX((CASHBACK_RULES!$B$5:$B$304=$D756)*(CASHBACK_RULES!$G$5:$G$304=$I756)*(((CASHBACK_RULES!$N$5:$N$304="")+(CASHBACK_RULES!$N$5:$N$304&lt;=$B756))&gt;0)*(((CASHBACK_RULES!$O$5:$O$304="")+(CASHBACK_RULES!$O$5:$O$304&gt;=$B756))&gt;0)*(((CASHBACK_RULES!$M$5:$M$304="")+(CASHBACK_RULES!$M$5:$M$304&lt;=$L756))&gt;0),0),0),0))))</f>
        <v>0</v>
      </c>
      <c r="AD756" s="51" t="str">
        <f>IF(OR($B756="",$D756=""),"",IFERROR(IF(INDEX(CARDS!$H$5:$H$34,MATCH($D756,CARDS!$A$5:$A$34,0))="","",IF(DAY($B756)&lt;=INDEX(CARDS!$H$5:$H$34,MATCH($D756,CARDS!$A$5:$A$34,0)),DATE(YEAR($B756),MONTH($B756),MIN(INDEX(CARDS!$H$5:$H$34,MATCH($D756,CARDS!$A$5:$A$34,0)),DAY(EOMONTH($B756,0)))),DATE(YEAR($B756),MONTH($B756)+1,MIN(INDEX(CARDS!$H$5:$H$34,MATCH($D756,CARDS!$A$5:$A$34,0)),DAY(EOMONTH($B756,1)))))),""))</f>
        <v/>
      </c>
      <c r="AE756" s="52" t="str">
        <f>IF($C756="","",$C756&amp;"|"&amp;COUNTIF($C$5:$C756,$C756))</f>
        <v/>
      </c>
      <c r="AF756" s="53">
        <f>IF($AC756&gt;0,SUMIFS(Q$4:Q755,$D$4:$D755,$D756,$Z$4:$Z755,$Z756,$C$4:$C755,$C756),0)</f>
        <v>0</v>
      </c>
      <c r="AG756" s="53">
        <f>IF($AC756&gt;0,SUMIFS(Q$4:Q755,$D$4:$D755,$D756,$C$4:$C755,$C756),0)</f>
        <v>0</v>
      </c>
      <c r="AH756" s="53">
        <f>IF($AC756&gt;0,SUMIFS(M$4:M755,$D$4:$D755,$D756,$Z$4:$Z755,$Z756,$C$4:$C755,$C756),0)</f>
        <v>0</v>
      </c>
      <c r="AI756" s="43">
        <f>IF(OR($C756="",$I756=""),0,IF(COUNTIFS($C$5:$C756,$C756,$I$5:$I756,$I756)=1,1,0))</f>
        <v>0</v>
      </c>
      <c r="AJ756" s="43" t="str">
        <f>IF($AI756=1,SUMIFS($AI$4:$AI755,$C$4:$C755,$C756)+1,"")</f>
        <v/>
      </c>
      <c r="AK756" s="43">
        <f>IF(OR($C756="",$K756=""),0,IF(COUNTIFS($C$5:$C756,$C756,$K$5:$K756,$K756)=1,1,0))</f>
        <v>0</v>
      </c>
      <c r="AL756" s="43" t="str">
        <f>IF($AK756=1,SUMIFS($AK$4:$AK755,$C$4:$C755,$C756)+1,"")</f>
        <v/>
      </c>
      <c r="AM756" s="43">
        <f>IF(OR($C756="",$G756=""),0,IF(COUNTIFS($C$5:$C756,$C756,$G$5:$G756,$G756)=1,1,0))</f>
        <v>0</v>
      </c>
      <c r="AN756" s="43" t="str">
        <f>IF($AM756=1,SUMIFS($AM$4:$AM755,$C$4:$C755,$C756)+1,"")</f>
        <v/>
      </c>
    </row>
    <row r="757">
      <c r="A757" s="44" t="str">
        <f>IF(OR($B757="",$D757=""),"","TX"&amp;TEXT(ROW()-4,"0000"))</f>
        <v/>
      </c>
      <c r="B757" s="42" t="n"/>
      <c r="C757" s="47" t="str">
        <f>IF($B757="","",YEAR($B757)*100+MONTH($B757))</f>
        <v/>
      </c>
      <c r="D757" s="37" t="n"/>
      <c r="E757" s="45" t="str">
        <f>IF($D757="","",IFERROR(INDEX(CARDS!$B$5:$B$34,MATCH($D757,CARDS!$A$5:$A$34,0)),"⚠ Card ID?"))</f>
        <v/>
      </c>
      <c r="F757" s="45" t="str">
        <f>IF($D757="","",IFERROR(INDEX(CARDS!$C$5:$C$34,MATCH($D757,CARDS!$A$5:$A$34,0)),"⚠ Card ID?"))</f>
        <v/>
      </c>
      <c r="G757" s="37" t="n"/>
      <c r="H757" s="37" t="n"/>
      <c r="I757" s="41" t="n"/>
      <c r="J757" s="45" t="str">
        <f>IF($I757="","",IFERROR(INDEX(MCC_MASTER!$B$5:$B$504,MATCH($I757,MCC_MASTER!$A$5:$A$504,0)),"⚠ MCC chưa có"))</f>
        <v/>
      </c>
      <c r="K757" s="45" t="str">
        <f>IF($I757="","",IFERROR(IF(INDEX(MCC_MASTER!$C$5:$C$504,MATCH($I757,MCC_MASTER!$A$5:$A$504,0))="","Chưa phân loại",INDEX(MCC_MASTER!$C$5:$C$504,MATCH($I757,MCC_MASTER!$A$5:$A$504,0))),"Chưa phân loại"))</f>
        <v/>
      </c>
      <c r="L757" s="40" t="n"/>
      <c r="M757" s="48" t="str">
        <f>IF(OR($B757="",$D757=""),"",IF($AC757=0,0,IF(ISNUMBER(INDEX(CASHBACK_RULES!$L$5:$L$304,$AC757)),MAX(0,MIN($L757,INDEX(CASHBACK_RULES!$L$5:$L$304,$AC757)-$AH757)),MAX(0,$L757))))</f>
        <v/>
      </c>
      <c r="N757" s="49" t="str">
        <f>IF(OR($B757="",$D757=""),"",IF($AC757&gt;0,INDEX(CASHBACK_RULES!$I$5:$I$304,$AC757),0))</f>
        <v/>
      </c>
      <c r="O757" s="48" t="str">
        <f>IF(OR($B757="",$D757=""),"",ROUND($M757*$N757,0))</f>
        <v/>
      </c>
      <c r="P757" s="48" t="str">
        <f>IF($AC757&gt;0,IF(ISNUMBER(INDEX(CASHBACK_RULES!$J$5:$J$304,$AC757)),INDEX(CASHBACK_RULES!$J$5:$J$304,$AC757),"∞"),"")</f>
        <v/>
      </c>
      <c r="Q757" s="48" t="str">
        <f>IF(OR($B757="",$D757=""),"",IF($AC757=0,0,MAX(0,MIN($O757,IF(ISNUMBER($P757),$P757-$AF757,1E+15),IF(ISNUMBER($AA757),$AA757-$AG757,1E+15)))))</f>
        <v/>
      </c>
      <c r="R757" s="48" t="str">
        <f>IF(OR($B757="",$D757=""),"",IF($AC757=0,"",IF(AND(NOT(ISNUMBER($P757)),NOT(ISNUMBER($AA757))),"∞",MAX(0,MIN(IF(ISNUMBER($P757),$P757-$AF757-$Q757,1E+15),IF(ISNUMBER($AA757),$AA757-$AG757-$Q757,1E+15))))))</f>
        <v/>
      </c>
      <c r="S757" s="47" t="str">
        <f>IF($AD757="","",YEAR($AD757)*100+MONTH($AD757))</f>
        <v/>
      </c>
      <c r="T757" s="50" t="str">
        <f>IF($AD757="","",IFERROR(IF(INDEX(CARDS!$I$5:$I$34,MATCH($D757,CARDS!$A$5:$A$34,0))="","",IF(INDEX(CARDS!$I$5:$I$34,MATCH($D757,CARDS!$A$5:$A$34,0))&gt;INDEX(CARDS!$H$5:$H$34,MATCH($D757,CARDS!$A$5:$A$34,0)),DATE(YEAR($AD757),MONTH($AD757),MIN(INDEX(CARDS!$I$5:$I$34,MATCH($D757,CARDS!$A$5:$A$34,0)),DAY(EOMONTH($AD757,0)))),DATE(YEAR($AD757),MONTH($AD757)+1,MIN(INDEX(CARDS!$I$5:$I$34,MATCH($D757,CARDS!$A$5:$A$34,0)),DAY(EOMONTH($AD757,1)))))),""))</f>
        <v/>
      </c>
      <c r="U757" s="38" t="n"/>
      <c r="V757" s="37" t="n"/>
      <c r="W757" s="38" t="n"/>
      <c r="X757" s="38" t="n"/>
      <c r="Y757" s="44" t="str">
        <f>IF($AC757&gt;0,INDEX(CASHBACK_RULES!$A$5:$A$304,$AC757),"")</f>
        <v/>
      </c>
      <c r="Z757" s="45" t="str">
        <f>IF($AC757&gt;0,INDEX(CASHBACK_RULES!$E$5:$E$304,$AC757)&amp;"","")</f>
        <v/>
      </c>
      <c r="AA757" s="48" t="str">
        <f>IF($AC757&gt;0,IF(ISNUMBER(INDEX(CASHBACK_RULES!$K$5:$K$304,$AC757)),INDEX(CASHBACK_RULES!$K$5:$K$304,$AC757),"∞"),"")</f>
        <v/>
      </c>
      <c r="AB757" s="44" t="str">
        <f>IF(OR($B757="",$D757=""),"",IF($U757="Cancelled","Đã hủy",IF($AC757=0,"Không được hoàn",IF($Q757=0,IF(OR($O757&gt;0,$M757&lt;$L757),"Đã đạt cap","Không được hoàn"),IF(OR($Q757&lt;$O757,$M757&lt;$L757),"Hoàn một phần","Được hoàn")))))</f>
        <v/>
      </c>
      <c r="AC757" s="43">
        <f>IF(OR($B757="",$D757="",$I757="",$L757=""),0,IF($U757="Cancelled",0,IF($W757&lt;&gt;"",IFERROR(IF(INDEX(CASHBACK_RULES!$B$5:$B$304,MATCH($W757,CASHBACK_RULES!$A$5:$A$304,0))=$D757,MATCH($W757,CASHBACK_RULES!$A$5:$A$304,0),0),0),IFERROR(MATCH(1,INDEX((CASHBACK_RULES!$B$5:$B$304=$D757)*(CASHBACK_RULES!$G$5:$G$304=$I757)*(((CASHBACK_RULES!$N$5:$N$304="")+(CASHBACK_RULES!$N$5:$N$304&lt;=$B757))&gt;0)*(((CASHBACK_RULES!$O$5:$O$304="")+(CASHBACK_RULES!$O$5:$O$304&gt;=$B757))&gt;0)*(((CASHBACK_RULES!$M$5:$M$304="")+(CASHBACK_RULES!$M$5:$M$304&lt;=$L757))&gt;0),0),0),0))))</f>
        <v>0</v>
      </c>
      <c r="AD757" s="51" t="str">
        <f>IF(OR($B757="",$D757=""),"",IFERROR(IF(INDEX(CARDS!$H$5:$H$34,MATCH($D757,CARDS!$A$5:$A$34,0))="","",IF(DAY($B757)&lt;=INDEX(CARDS!$H$5:$H$34,MATCH($D757,CARDS!$A$5:$A$34,0)),DATE(YEAR($B757),MONTH($B757),MIN(INDEX(CARDS!$H$5:$H$34,MATCH($D757,CARDS!$A$5:$A$34,0)),DAY(EOMONTH($B757,0)))),DATE(YEAR($B757),MONTH($B757)+1,MIN(INDEX(CARDS!$H$5:$H$34,MATCH($D757,CARDS!$A$5:$A$34,0)),DAY(EOMONTH($B757,1)))))),""))</f>
        <v/>
      </c>
      <c r="AE757" s="52" t="str">
        <f>IF($C757="","",$C757&amp;"|"&amp;COUNTIF($C$5:$C757,$C757))</f>
        <v/>
      </c>
      <c r="AF757" s="53">
        <f>IF($AC757&gt;0,SUMIFS(Q$4:Q756,$D$4:$D756,$D757,$Z$4:$Z756,$Z757,$C$4:$C756,$C757),0)</f>
        <v>0</v>
      </c>
      <c r="AG757" s="53">
        <f>IF($AC757&gt;0,SUMIFS(Q$4:Q756,$D$4:$D756,$D757,$C$4:$C756,$C757),0)</f>
        <v>0</v>
      </c>
      <c r="AH757" s="53">
        <f>IF($AC757&gt;0,SUMIFS(M$4:M756,$D$4:$D756,$D757,$Z$4:$Z756,$Z757,$C$4:$C756,$C757),0)</f>
        <v>0</v>
      </c>
      <c r="AI757" s="43">
        <f>IF(OR($C757="",$I757=""),0,IF(COUNTIFS($C$5:$C757,$C757,$I$5:$I757,$I757)=1,1,0))</f>
        <v>0</v>
      </c>
      <c r="AJ757" s="43" t="str">
        <f>IF($AI757=1,SUMIFS($AI$4:$AI756,$C$4:$C756,$C757)+1,"")</f>
        <v/>
      </c>
      <c r="AK757" s="43">
        <f>IF(OR($C757="",$K757=""),0,IF(COUNTIFS($C$5:$C757,$C757,$K$5:$K757,$K757)=1,1,0))</f>
        <v>0</v>
      </c>
      <c r="AL757" s="43" t="str">
        <f>IF($AK757=1,SUMIFS($AK$4:$AK756,$C$4:$C756,$C757)+1,"")</f>
        <v/>
      </c>
      <c r="AM757" s="43">
        <f>IF(OR($C757="",$G757=""),0,IF(COUNTIFS($C$5:$C757,$C757,$G$5:$G757,$G757)=1,1,0))</f>
        <v>0</v>
      </c>
      <c r="AN757" s="43" t="str">
        <f>IF($AM757=1,SUMIFS($AM$4:$AM756,$C$4:$C756,$C757)+1,"")</f>
        <v/>
      </c>
    </row>
    <row r="758">
      <c r="A758" s="44" t="str">
        <f>IF(OR($B758="",$D758=""),"","TX"&amp;TEXT(ROW()-4,"0000"))</f>
        <v/>
      </c>
      <c r="B758" s="42" t="n"/>
      <c r="C758" s="47" t="str">
        <f>IF($B758="","",YEAR($B758)*100+MONTH($B758))</f>
        <v/>
      </c>
      <c r="D758" s="37" t="n"/>
      <c r="E758" s="45" t="str">
        <f>IF($D758="","",IFERROR(INDEX(CARDS!$B$5:$B$34,MATCH($D758,CARDS!$A$5:$A$34,0)),"⚠ Card ID?"))</f>
        <v/>
      </c>
      <c r="F758" s="45" t="str">
        <f>IF($D758="","",IFERROR(INDEX(CARDS!$C$5:$C$34,MATCH($D758,CARDS!$A$5:$A$34,0)),"⚠ Card ID?"))</f>
        <v/>
      </c>
      <c r="G758" s="37" t="n"/>
      <c r="H758" s="37" t="n"/>
      <c r="I758" s="41" t="n"/>
      <c r="J758" s="45" t="str">
        <f>IF($I758="","",IFERROR(INDEX(MCC_MASTER!$B$5:$B$504,MATCH($I758,MCC_MASTER!$A$5:$A$504,0)),"⚠ MCC chưa có"))</f>
        <v/>
      </c>
      <c r="K758" s="45" t="str">
        <f>IF($I758="","",IFERROR(IF(INDEX(MCC_MASTER!$C$5:$C$504,MATCH($I758,MCC_MASTER!$A$5:$A$504,0))="","Chưa phân loại",INDEX(MCC_MASTER!$C$5:$C$504,MATCH($I758,MCC_MASTER!$A$5:$A$504,0))),"Chưa phân loại"))</f>
        <v/>
      </c>
      <c r="L758" s="40" t="n"/>
      <c r="M758" s="48" t="str">
        <f>IF(OR($B758="",$D758=""),"",IF($AC758=0,0,IF(ISNUMBER(INDEX(CASHBACK_RULES!$L$5:$L$304,$AC758)),MAX(0,MIN($L758,INDEX(CASHBACK_RULES!$L$5:$L$304,$AC758)-$AH758)),MAX(0,$L758))))</f>
        <v/>
      </c>
      <c r="N758" s="49" t="str">
        <f>IF(OR($B758="",$D758=""),"",IF($AC758&gt;0,INDEX(CASHBACK_RULES!$I$5:$I$304,$AC758),0))</f>
        <v/>
      </c>
      <c r="O758" s="48" t="str">
        <f>IF(OR($B758="",$D758=""),"",ROUND($M758*$N758,0))</f>
        <v/>
      </c>
      <c r="P758" s="48" t="str">
        <f>IF($AC758&gt;0,IF(ISNUMBER(INDEX(CASHBACK_RULES!$J$5:$J$304,$AC758)),INDEX(CASHBACK_RULES!$J$5:$J$304,$AC758),"∞"),"")</f>
        <v/>
      </c>
      <c r="Q758" s="48" t="str">
        <f>IF(OR($B758="",$D758=""),"",IF($AC758=0,0,MAX(0,MIN($O758,IF(ISNUMBER($P758),$P758-$AF758,1E+15),IF(ISNUMBER($AA758),$AA758-$AG758,1E+15)))))</f>
        <v/>
      </c>
      <c r="R758" s="48" t="str">
        <f>IF(OR($B758="",$D758=""),"",IF($AC758=0,"",IF(AND(NOT(ISNUMBER($P758)),NOT(ISNUMBER($AA758))),"∞",MAX(0,MIN(IF(ISNUMBER($P758),$P758-$AF758-$Q758,1E+15),IF(ISNUMBER($AA758),$AA758-$AG758-$Q758,1E+15))))))</f>
        <v/>
      </c>
      <c r="S758" s="47" t="str">
        <f>IF($AD758="","",YEAR($AD758)*100+MONTH($AD758))</f>
        <v/>
      </c>
      <c r="T758" s="50" t="str">
        <f>IF($AD758="","",IFERROR(IF(INDEX(CARDS!$I$5:$I$34,MATCH($D758,CARDS!$A$5:$A$34,0))="","",IF(INDEX(CARDS!$I$5:$I$34,MATCH($D758,CARDS!$A$5:$A$34,0))&gt;INDEX(CARDS!$H$5:$H$34,MATCH($D758,CARDS!$A$5:$A$34,0)),DATE(YEAR($AD758),MONTH($AD758),MIN(INDEX(CARDS!$I$5:$I$34,MATCH($D758,CARDS!$A$5:$A$34,0)),DAY(EOMONTH($AD758,0)))),DATE(YEAR($AD758),MONTH($AD758)+1,MIN(INDEX(CARDS!$I$5:$I$34,MATCH($D758,CARDS!$A$5:$A$34,0)),DAY(EOMONTH($AD758,1)))))),""))</f>
        <v/>
      </c>
      <c r="U758" s="38" t="n"/>
      <c r="V758" s="37" t="n"/>
      <c r="W758" s="38" t="n"/>
      <c r="X758" s="38" t="n"/>
      <c r="Y758" s="44" t="str">
        <f>IF($AC758&gt;0,INDEX(CASHBACK_RULES!$A$5:$A$304,$AC758),"")</f>
        <v/>
      </c>
      <c r="Z758" s="45" t="str">
        <f>IF($AC758&gt;0,INDEX(CASHBACK_RULES!$E$5:$E$304,$AC758)&amp;"","")</f>
        <v/>
      </c>
      <c r="AA758" s="48" t="str">
        <f>IF($AC758&gt;0,IF(ISNUMBER(INDEX(CASHBACK_RULES!$K$5:$K$304,$AC758)),INDEX(CASHBACK_RULES!$K$5:$K$304,$AC758),"∞"),"")</f>
        <v/>
      </c>
      <c r="AB758" s="44" t="str">
        <f>IF(OR($B758="",$D758=""),"",IF($U758="Cancelled","Đã hủy",IF($AC758=0,"Không được hoàn",IF($Q758=0,IF(OR($O758&gt;0,$M758&lt;$L758),"Đã đạt cap","Không được hoàn"),IF(OR($Q758&lt;$O758,$M758&lt;$L758),"Hoàn một phần","Được hoàn")))))</f>
        <v/>
      </c>
      <c r="AC758" s="43">
        <f>IF(OR($B758="",$D758="",$I758="",$L758=""),0,IF($U758="Cancelled",0,IF($W758&lt;&gt;"",IFERROR(IF(INDEX(CASHBACK_RULES!$B$5:$B$304,MATCH($W758,CASHBACK_RULES!$A$5:$A$304,0))=$D758,MATCH($W758,CASHBACK_RULES!$A$5:$A$304,0),0),0),IFERROR(MATCH(1,INDEX((CASHBACK_RULES!$B$5:$B$304=$D758)*(CASHBACK_RULES!$G$5:$G$304=$I758)*(((CASHBACK_RULES!$N$5:$N$304="")+(CASHBACK_RULES!$N$5:$N$304&lt;=$B758))&gt;0)*(((CASHBACK_RULES!$O$5:$O$304="")+(CASHBACK_RULES!$O$5:$O$304&gt;=$B758))&gt;0)*(((CASHBACK_RULES!$M$5:$M$304="")+(CASHBACK_RULES!$M$5:$M$304&lt;=$L758))&gt;0),0),0),0))))</f>
        <v>0</v>
      </c>
      <c r="AD758" s="51" t="str">
        <f>IF(OR($B758="",$D758=""),"",IFERROR(IF(INDEX(CARDS!$H$5:$H$34,MATCH($D758,CARDS!$A$5:$A$34,0))="","",IF(DAY($B758)&lt;=INDEX(CARDS!$H$5:$H$34,MATCH($D758,CARDS!$A$5:$A$34,0)),DATE(YEAR($B758),MONTH($B758),MIN(INDEX(CARDS!$H$5:$H$34,MATCH($D758,CARDS!$A$5:$A$34,0)),DAY(EOMONTH($B758,0)))),DATE(YEAR($B758),MONTH($B758)+1,MIN(INDEX(CARDS!$H$5:$H$34,MATCH($D758,CARDS!$A$5:$A$34,0)),DAY(EOMONTH($B758,1)))))),""))</f>
        <v/>
      </c>
      <c r="AE758" s="52" t="str">
        <f>IF($C758="","",$C758&amp;"|"&amp;COUNTIF($C$5:$C758,$C758))</f>
        <v/>
      </c>
      <c r="AF758" s="53">
        <f>IF($AC758&gt;0,SUMIFS(Q$4:Q757,$D$4:$D757,$D758,$Z$4:$Z757,$Z758,$C$4:$C757,$C758),0)</f>
        <v>0</v>
      </c>
      <c r="AG758" s="53">
        <f>IF($AC758&gt;0,SUMIFS(Q$4:Q757,$D$4:$D757,$D758,$C$4:$C757,$C758),0)</f>
        <v>0</v>
      </c>
      <c r="AH758" s="53">
        <f>IF($AC758&gt;0,SUMIFS(M$4:M757,$D$4:$D757,$D758,$Z$4:$Z757,$Z758,$C$4:$C757,$C758),0)</f>
        <v>0</v>
      </c>
      <c r="AI758" s="43">
        <f>IF(OR($C758="",$I758=""),0,IF(COUNTIFS($C$5:$C758,$C758,$I$5:$I758,$I758)=1,1,0))</f>
        <v>0</v>
      </c>
      <c r="AJ758" s="43" t="str">
        <f>IF($AI758=1,SUMIFS($AI$4:$AI757,$C$4:$C757,$C758)+1,"")</f>
        <v/>
      </c>
      <c r="AK758" s="43">
        <f>IF(OR($C758="",$K758=""),0,IF(COUNTIFS($C$5:$C758,$C758,$K$5:$K758,$K758)=1,1,0))</f>
        <v>0</v>
      </c>
      <c r="AL758" s="43" t="str">
        <f>IF($AK758=1,SUMIFS($AK$4:$AK757,$C$4:$C757,$C758)+1,"")</f>
        <v/>
      </c>
      <c r="AM758" s="43">
        <f>IF(OR($C758="",$G758=""),0,IF(COUNTIFS($C$5:$C758,$C758,$G$5:$G758,$G758)=1,1,0))</f>
        <v>0</v>
      </c>
      <c r="AN758" s="43" t="str">
        <f>IF($AM758=1,SUMIFS($AM$4:$AM757,$C$4:$C757,$C758)+1,"")</f>
        <v/>
      </c>
    </row>
    <row r="759">
      <c r="A759" s="44" t="str">
        <f>IF(OR($B759="",$D759=""),"","TX"&amp;TEXT(ROW()-4,"0000"))</f>
        <v/>
      </c>
      <c r="B759" s="42" t="n"/>
      <c r="C759" s="47" t="str">
        <f>IF($B759="","",YEAR($B759)*100+MONTH($B759))</f>
        <v/>
      </c>
      <c r="D759" s="37" t="n"/>
      <c r="E759" s="45" t="str">
        <f>IF($D759="","",IFERROR(INDEX(CARDS!$B$5:$B$34,MATCH($D759,CARDS!$A$5:$A$34,0)),"⚠ Card ID?"))</f>
        <v/>
      </c>
      <c r="F759" s="45" t="str">
        <f>IF($D759="","",IFERROR(INDEX(CARDS!$C$5:$C$34,MATCH($D759,CARDS!$A$5:$A$34,0)),"⚠ Card ID?"))</f>
        <v/>
      </c>
      <c r="G759" s="37" t="n"/>
      <c r="H759" s="37" t="n"/>
      <c r="I759" s="41" t="n"/>
      <c r="J759" s="45" t="str">
        <f>IF($I759="","",IFERROR(INDEX(MCC_MASTER!$B$5:$B$504,MATCH($I759,MCC_MASTER!$A$5:$A$504,0)),"⚠ MCC chưa có"))</f>
        <v/>
      </c>
      <c r="K759" s="45" t="str">
        <f>IF($I759="","",IFERROR(IF(INDEX(MCC_MASTER!$C$5:$C$504,MATCH($I759,MCC_MASTER!$A$5:$A$504,0))="","Chưa phân loại",INDEX(MCC_MASTER!$C$5:$C$504,MATCH($I759,MCC_MASTER!$A$5:$A$504,0))),"Chưa phân loại"))</f>
        <v/>
      </c>
      <c r="L759" s="40" t="n"/>
      <c r="M759" s="48" t="str">
        <f>IF(OR($B759="",$D759=""),"",IF($AC759=0,0,IF(ISNUMBER(INDEX(CASHBACK_RULES!$L$5:$L$304,$AC759)),MAX(0,MIN($L759,INDEX(CASHBACK_RULES!$L$5:$L$304,$AC759)-$AH759)),MAX(0,$L759))))</f>
        <v/>
      </c>
      <c r="N759" s="49" t="str">
        <f>IF(OR($B759="",$D759=""),"",IF($AC759&gt;0,INDEX(CASHBACK_RULES!$I$5:$I$304,$AC759),0))</f>
        <v/>
      </c>
      <c r="O759" s="48" t="str">
        <f>IF(OR($B759="",$D759=""),"",ROUND($M759*$N759,0))</f>
        <v/>
      </c>
      <c r="P759" s="48" t="str">
        <f>IF($AC759&gt;0,IF(ISNUMBER(INDEX(CASHBACK_RULES!$J$5:$J$304,$AC759)),INDEX(CASHBACK_RULES!$J$5:$J$304,$AC759),"∞"),"")</f>
        <v/>
      </c>
      <c r="Q759" s="48" t="str">
        <f>IF(OR($B759="",$D759=""),"",IF($AC759=0,0,MAX(0,MIN($O759,IF(ISNUMBER($P759),$P759-$AF759,1E+15),IF(ISNUMBER($AA759),$AA759-$AG759,1E+15)))))</f>
        <v/>
      </c>
      <c r="R759" s="48" t="str">
        <f>IF(OR($B759="",$D759=""),"",IF($AC759=0,"",IF(AND(NOT(ISNUMBER($P759)),NOT(ISNUMBER($AA759))),"∞",MAX(0,MIN(IF(ISNUMBER($P759),$P759-$AF759-$Q759,1E+15),IF(ISNUMBER($AA759),$AA759-$AG759-$Q759,1E+15))))))</f>
        <v/>
      </c>
      <c r="S759" s="47" t="str">
        <f>IF($AD759="","",YEAR($AD759)*100+MONTH($AD759))</f>
        <v/>
      </c>
      <c r="T759" s="50" t="str">
        <f>IF($AD759="","",IFERROR(IF(INDEX(CARDS!$I$5:$I$34,MATCH($D759,CARDS!$A$5:$A$34,0))="","",IF(INDEX(CARDS!$I$5:$I$34,MATCH($D759,CARDS!$A$5:$A$34,0))&gt;INDEX(CARDS!$H$5:$H$34,MATCH($D759,CARDS!$A$5:$A$34,0)),DATE(YEAR($AD759),MONTH($AD759),MIN(INDEX(CARDS!$I$5:$I$34,MATCH($D759,CARDS!$A$5:$A$34,0)),DAY(EOMONTH($AD759,0)))),DATE(YEAR($AD759),MONTH($AD759)+1,MIN(INDEX(CARDS!$I$5:$I$34,MATCH($D759,CARDS!$A$5:$A$34,0)),DAY(EOMONTH($AD759,1)))))),""))</f>
        <v/>
      </c>
      <c r="U759" s="38" t="n"/>
      <c r="V759" s="37" t="n"/>
      <c r="W759" s="38" t="n"/>
      <c r="X759" s="38" t="n"/>
      <c r="Y759" s="44" t="str">
        <f>IF($AC759&gt;0,INDEX(CASHBACK_RULES!$A$5:$A$304,$AC759),"")</f>
        <v/>
      </c>
      <c r="Z759" s="45" t="str">
        <f>IF($AC759&gt;0,INDEX(CASHBACK_RULES!$E$5:$E$304,$AC759)&amp;"","")</f>
        <v/>
      </c>
      <c r="AA759" s="48" t="str">
        <f>IF($AC759&gt;0,IF(ISNUMBER(INDEX(CASHBACK_RULES!$K$5:$K$304,$AC759)),INDEX(CASHBACK_RULES!$K$5:$K$304,$AC759),"∞"),"")</f>
        <v/>
      </c>
      <c r="AB759" s="44" t="str">
        <f>IF(OR($B759="",$D759=""),"",IF($U759="Cancelled","Đã hủy",IF($AC759=0,"Không được hoàn",IF($Q759=0,IF(OR($O759&gt;0,$M759&lt;$L759),"Đã đạt cap","Không được hoàn"),IF(OR($Q759&lt;$O759,$M759&lt;$L759),"Hoàn một phần","Được hoàn")))))</f>
        <v/>
      </c>
      <c r="AC759" s="43">
        <f>IF(OR($B759="",$D759="",$I759="",$L759=""),0,IF($U759="Cancelled",0,IF($W759&lt;&gt;"",IFERROR(IF(INDEX(CASHBACK_RULES!$B$5:$B$304,MATCH($W759,CASHBACK_RULES!$A$5:$A$304,0))=$D759,MATCH($W759,CASHBACK_RULES!$A$5:$A$304,0),0),0),IFERROR(MATCH(1,INDEX((CASHBACK_RULES!$B$5:$B$304=$D759)*(CASHBACK_RULES!$G$5:$G$304=$I759)*(((CASHBACK_RULES!$N$5:$N$304="")+(CASHBACK_RULES!$N$5:$N$304&lt;=$B759))&gt;0)*(((CASHBACK_RULES!$O$5:$O$304="")+(CASHBACK_RULES!$O$5:$O$304&gt;=$B759))&gt;0)*(((CASHBACK_RULES!$M$5:$M$304="")+(CASHBACK_RULES!$M$5:$M$304&lt;=$L759))&gt;0),0),0),0))))</f>
        <v>0</v>
      </c>
      <c r="AD759" s="51" t="str">
        <f>IF(OR($B759="",$D759=""),"",IFERROR(IF(INDEX(CARDS!$H$5:$H$34,MATCH($D759,CARDS!$A$5:$A$34,0))="","",IF(DAY($B759)&lt;=INDEX(CARDS!$H$5:$H$34,MATCH($D759,CARDS!$A$5:$A$34,0)),DATE(YEAR($B759),MONTH($B759),MIN(INDEX(CARDS!$H$5:$H$34,MATCH($D759,CARDS!$A$5:$A$34,0)),DAY(EOMONTH($B759,0)))),DATE(YEAR($B759),MONTH($B759)+1,MIN(INDEX(CARDS!$H$5:$H$34,MATCH($D759,CARDS!$A$5:$A$34,0)),DAY(EOMONTH($B759,1)))))),""))</f>
        <v/>
      </c>
      <c r="AE759" s="52" t="str">
        <f>IF($C759="","",$C759&amp;"|"&amp;COUNTIF($C$5:$C759,$C759))</f>
        <v/>
      </c>
      <c r="AF759" s="53">
        <f>IF($AC759&gt;0,SUMIFS(Q$4:Q758,$D$4:$D758,$D759,$Z$4:$Z758,$Z759,$C$4:$C758,$C759),0)</f>
        <v>0</v>
      </c>
      <c r="AG759" s="53">
        <f>IF($AC759&gt;0,SUMIFS(Q$4:Q758,$D$4:$D758,$D759,$C$4:$C758,$C759),0)</f>
        <v>0</v>
      </c>
      <c r="AH759" s="53">
        <f>IF($AC759&gt;0,SUMIFS(M$4:M758,$D$4:$D758,$D759,$Z$4:$Z758,$Z759,$C$4:$C758,$C759),0)</f>
        <v>0</v>
      </c>
      <c r="AI759" s="43">
        <f>IF(OR($C759="",$I759=""),0,IF(COUNTIFS($C$5:$C759,$C759,$I$5:$I759,$I759)=1,1,0))</f>
        <v>0</v>
      </c>
      <c r="AJ759" s="43" t="str">
        <f>IF($AI759=1,SUMIFS($AI$4:$AI758,$C$4:$C758,$C759)+1,"")</f>
        <v/>
      </c>
      <c r="AK759" s="43">
        <f>IF(OR($C759="",$K759=""),0,IF(COUNTIFS($C$5:$C759,$C759,$K$5:$K759,$K759)=1,1,0))</f>
        <v>0</v>
      </c>
      <c r="AL759" s="43" t="str">
        <f>IF($AK759=1,SUMIFS($AK$4:$AK758,$C$4:$C758,$C759)+1,"")</f>
        <v/>
      </c>
      <c r="AM759" s="43">
        <f>IF(OR($C759="",$G759=""),0,IF(COUNTIFS($C$5:$C759,$C759,$G$5:$G759,$G759)=1,1,0))</f>
        <v>0</v>
      </c>
      <c r="AN759" s="43" t="str">
        <f>IF($AM759=1,SUMIFS($AM$4:$AM758,$C$4:$C758,$C759)+1,"")</f>
        <v/>
      </c>
    </row>
    <row r="760">
      <c r="A760" s="44" t="str">
        <f>IF(OR($B760="",$D760=""),"","TX"&amp;TEXT(ROW()-4,"0000"))</f>
        <v/>
      </c>
      <c r="B760" s="42" t="n"/>
      <c r="C760" s="47" t="str">
        <f>IF($B760="","",YEAR($B760)*100+MONTH($B760))</f>
        <v/>
      </c>
      <c r="D760" s="37" t="n"/>
      <c r="E760" s="45" t="str">
        <f>IF($D760="","",IFERROR(INDEX(CARDS!$B$5:$B$34,MATCH($D760,CARDS!$A$5:$A$34,0)),"⚠ Card ID?"))</f>
        <v/>
      </c>
      <c r="F760" s="45" t="str">
        <f>IF($D760="","",IFERROR(INDEX(CARDS!$C$5:$C$34,MATCH($D760,CARDS!$A$5:$A$34,0)),"⚠ Card ID?"))</f>
        <v/>
      </c>
      <c r="G760" s="37" t="n"/>
      <c r="H760" s="37" t="n"/>
      <c r="I760" s="41" t="n"/>
      <c r="J760" s="45" t="str">
        <f>IF($I760="","",IFERROR(INDEX(MCC_MASTER!$B$5:$B$504,MATCH($I760,MCC_MASTER!$A$5:$A$504,0)),"⚠ MCC chưa có"))</f>
        <v/>
      </c>
      <c r="K760" s="45" t="str">
        <f>IF($I760="","",IFERROR(IF(INDEX(MCC_MASTER!$C$5:$C$504,MATCH($I760,MCC_MASTER!$A$5:$A$504,0))="","Chưa phân loại",INDEX(MCC_MASTER!$C$5:$C$504,MATCH($I760,MCC_MASTER!$A$5:$A$504,0))),"Chưa phân loại"))</f>
        <v/>
      </c>
      <c r="L760" s="40" t="n"/>
      <c r="M760" s="48" t="str">
        <f>IF(OR($B760="",$D760=""),"",IF($AC760=0,0,IF(ISNUMBER(INDEX(CASHBACK_RULES!$L$5:$L$304,$AC760)),MAX(0,MIN($L760,INDEX(CASHBACK_RULES!$L$5:$L$304,$AC760)-$AH760)),MAX(0,$L760))))</f>
        <v/>
      </c>
      <c r="N760" s="49" t="str">
        <f>IF(OR($B760="",$D760=""),"",IF($AC760&gt;0,INDEX(CASHBACK_RULES!$I$5:$I$304,$AC760),0))</f>
        <v/>
      </c>
      <c r="O760" s="48" t="str">
        <f>IF(OR($B760="",$D760=""),"",ROUND($M760*$N760,0))</f>
        <v/>
      </c>
      <c r="P760" s="48" t="str">
        <f>IF($AC760&gt;0,IF(ISNUMBER(INDEX(CASHBACK_RULES!$J$5:$J$304,$AC760)),INDEX(CASHBACK_RULES!$J$5:$J$304,$AC760),"∞"),"")</f>
        <v/>
      </c>
      <c r="Q760" s="48" t="str">
        <f>IF(OR($B760="",$D760=""),"",IF($AC760=0,0,MAX(0,MIN($O760,IF(ISNUMBER($P760),$P760-$AF760,1E+15),IF(ISNUMBER($AA760),$AA760-$AG760,1E+15)))))</f>
        <v/>
      </c>
      <c r="R760" s="48" t="str">
        <f>IF(OR($B760="",$D760=""),"",IF($AC760=0,"",IF(AND(NOT(ISNUMBER($P760)),NOT(ISNUMBER($AA760))),"∞",MAX(0,MIN(IF(ISNUMBER($P760),$P760-$AF760-$Q760,1E+15),IF(ISNUMBER($AA760),$AA760-$AG760-$Q760,1E+15))))))</f>
        <v/>
      </c>
      <c r="S760" s="47" t="str">
        <f>IF($AD760="","",YEAR($AD760)*100+MONTH($AD760))</f>
        <v/>
      </c>
      <c r="T760" s="50" t="str">
        <f>IF($AD760="","",IFERROR(IF(INDEX(CARDS!$I$5:$I$34,MATCH($D760,CARDS!$A$5:$A$34,0))="","",IF(INDEX(CARDS!$I$5:$I$34,MATCH($D760,CARDS!$A$5:$A$34,0))&gt;INDEX(CARDS!$H$5:$H$34,MATCH($D760,CARDS!$A$5:$A$34,0)),DATE(YEAR($AD760),MONTH($AD760),MIN(INDEX(CARDS!$I$5:$I$34,MATCH($D760,CARDS!$A$5:$A$34,0)),DAY(EOMONTH($AD760,0)))),DATE(YEAR($AD760),MONTH($AD760)+1,MIN(INDEX(CARDS!$I$5:$I$34,MATCH($D760,CARDS!$A$5:$A$34,0)),DAY(EOMONTH($AD760,1)))))),""))</f>
        <v/>
      </c>
      <c r="U760" s="38" t="n"/>
      <c r="V760" s="37" t="n"/>
      <c r="W760" s="38" t="n"/>
      <c r="X760" s="38" t="n"/>
      <c r="Y760" s="44" t="str">
        <f>IF($AC760&gt;0,INDEX(CASHBACK_RULES!$A$5:$A$304,$AC760),"")</f>
        <v/>
      </c>
      <c r="Z760" s="45" t="str">
        <f>IF($AC760&gt;0,INDEX(CASHBACK_RULES!$E$5:$E$304,$AC760)&amp;"","")</f>
        <v/>
      </c>
      <c r="AA760" s="48" t="str">
        <f>IF($AC760&gt;0,IF(ISNUMBER(INDEX(CASHBACK_RULES!$K$5:$K$304,$AC760)),INDEX(CASHBACK_RULES!$K$5:$K$304,$AC760),"∞"),"")</f>
        <v/>
      </c>
      <c r="AB760" s="44" t="str">
        <f>IF(OR($B760="",$D760=""),"",IF($U760="Cancelled","Đã hủy",IF($AC760=0,"Không được hoàn",IF($Q760=0,IF(OR($O760&gt;0,$M760&lt;$L760),"Đã đạt cap","Không được hoàn"),IF(OR($Q760&lt;$O760,$M760&lt;$L760),"Hoàn một phần","Được hoàn")))))</f>
        <v/>
      </c>
      <c r="AC760" s="43">
        <f>IF(OR($B760="",$D760="",$I760="",$L760=""),0,IF($U760="Cancelled",0,IF($W760&lt;&gt;"",IFERROR(IF(INDEX(CASHBACK_RULES!$B$5:$B$304,MATCH($W760,CASHBACK_RULES!$A$5:$A$304,0))=$D760,MATCH($W760,CASHBACK_RULES!$A$5:$A$304,0),0),0),IFERROR(MATCH(1,INDEX((CASHBACK_RULES!$B$5:$B$304=$D760)*(CASHBACK_RULES!$G$5:$G$304=$I760)*(((CASHBACK_RULES!$N$5:$N$304="")+(CASHBACK_RULES!$N$5:$N$304&lt;=$B760))&gt;0)*(((CASHBACK_RULES!$O$5:$O$304="")+(CASHBACK_RULES!$O$5:$O$304&gt;=$B760))&gt;0)*(((CASHBACK_RULES!$M$5:$M$304="")+(CASHBACK_RULES!$M$5:$M$304&lt;=$L760))&gt;0),0),0),0))))</f>
        <v>0</v>
      </c>
      <c r="AD760" s="51" t="str">
        <f>IF(OR($B760="",$D760=""),"",IFERROR(IF(INDEX(CARDS!$H$5:$H$34,MATCH($D760,CARDS!$A$5:$A$34,0))="","",IF(DAY($B760)&lt;=INDEX(CARDS!$H$5:$H$34,MATCH($D760,CARDS!$A$5:$A$34,0)),DATE(YEAR($B760),MONTH($B760),MIN(INDEX(CARDS!$H$5:$H$34,MATCH($D760,CARDS!$A$5:$A$34,0)),DAY(EOMONTH($B760,0)))),DATE(YEAR($B760),MONTH($B760)+1,MIN(INDEX(CARDS!$H$5:$H$34,MATCH($D760,CARDS!$A$5:$A$34,0)),DAY(EOMONTH($B760,1)))))),""))</f>
        <v/>
      </c>
      <c r="AE760" s="52" t="str">
        <f>IF($C760="","",$C760&amp;"|"&amp;COUNTIF($C$5:$C760,$C760))</f>
        <v/>
      </c>
      <c r="AF760" s="53">
        <f>IF($AC760&gt;0,SUMIFS(Q$4:Q759,$D$4:$D759,$D760,$Z$4:$Z759,$Z760,$C$4:$C759,$C760),0)</f>
        <v>0</v>
      </c>
      <c r="AG760" s="53">
        <f>IF($AC760&gt;0,SUMIFS(Q$4:Q759,$D$4:$D759,$D760,$C$4:$C759,$C760),0)</f>
        <v>0</v>
      </c>
      <c r="AH760" s="53">
        <f>IF($AC760&gt;0,SUMIFS(M$4:M759,$D$4:$D759,$D760,$Z$4:$Z759,$Z760,$C$4:$C759,$C760),0)</f>
        <v>0</v>
      </c>
      <c r="AI760" s="43">
        <f>IF(OR($C760="",$I760=""),0,IF(COUNTIFS($C$5:$C760,$C760,$I$5:$I760,$I760)=1,1,0))</f>
        <v>0</v>
      </c>
      <c r="AJ760" s="43" t="str">
        <f>IF($AI760=1,SUMIFS($AI$4:$AI759,$C$4:$C759,$C760)+1,"")</f>
        <v/>
      </c>
      <c r="AK760" s="43">
        <f>IF(OR($C760="",$K760=""),0,IF(COUNTIFS($C$5:$C760,$C760,$K$5:$K760,$K760)=1,1,0))</f>
        <v>0</v>
      </c>
      <c r="AL760" s="43" t="str">
        <f>IF($AK760=1,SUMIFS($AK$4:$AK759,$C$4:$C759,$C760)+1,"")</f>
        <v/>
      </c>
      <c r="AM760" s="43">
        <f>IF(OR($C760="",$G760=""),0,IF(COUNTIFS($C$5:$C760,$C760,$G$5:$G760,$G760)=1,1,0))</f>
        <v>0</v>
      </c>
      <c r="AN760" s="43" t="str">
        <f>IF($AM760=1,SUMIFS($AM$4:$AM759,$C$4:$C759,$C760)+1,"")</f>
        <v/>
      </c>
    </row>
    <row r="761">
      <c r="A761" s="44" t="str">
        <f>IF(OR($B761="",$D761=""),"","TX"&amp;TEXT(ROW()-4,"0000"))</f>
        <v/>
      </c>
      <c r="B761" s="42" t="n"/>
      <c r="C761" s="47" t="str">
        <f>IF($B761="","",YEAR($B761)*100+MONTH($B761))</f>
        <v/>
      </c>
      <c r="D761" s="37" t="n"/>
      <c r="E761" s="45" t="str">
        <f>IF($D761="","",IFERROR(INDEX(CARDS!$B$5:$B$34,MATCH($D761,CARDS!$A$5:$A$34,0)),"⚠ Card ID?"))</f>
        <v/>
      </c>
      <c r="F761" s="45" t="str">
        <f>IF($D761="","",IFERROR(INDEX(CARDS!$C$5:$C$34,MATCH($D761,CARDS!$A$5:$A$34,0)),"⚠ Card ID?"))</f>
        <v/>
      </c>
      <c r="G761" s="37" t="n"/>
      <c r="H761" s="37" t="n"/>
      <c r="I761" s="41" t="n"/>
      <c r="J761" s="45" t="str">
        <f>IF($I761="","",IFERROR(INDEX(MCC_MASTER!$B$5:$B$504,MATCH($I761,MCC_MASTER!$A$5:$A$504,0)),"⚠ MCC chưa có"))</f>
        <v/>
      </c>
      <c r="K761" s="45" t="str">
        <f>IF($I761="","",IFERROR(IF(INDEX(MCC_MASTER!$C$5:$C$504,MATCH($I761,MCC_MASTER!$A$5:$A$504,0))="","Chưa phân loại",INDEX(MCC_MASTER!$C$5:$C$504,MATCH($I761,MCC_MASTER!$A$5:$A$504,0))),"Chưa phân loại"))</f>
        <v/>
      </c>
      <c r="L761" s="40" t="n"/>
      <c r="M761" s="48" t="str">
        <f>IF(OR($B761="",$D761=""),"",IF($AC761=0,0,IF(ISNUMBER(INDEX(CASHBACK_RULES!$L$5:$L$304,$AC761)),MAX(0,MIN($L761,INDEX(CASHBACK_RULES!$L$5:$L$304,$AC761)-$AH761)),MAX(0,$L761))))</f>
        <v/>
      </c>
      <c r="N761" s="49" t="str">
        <f>IF(OR($B761="",$D761=""),"",IF($AC761&gt;0,INDEX(CASHBACK_RULES!$I$5:$I$304,$AC761),0))</f>
        <v/>
      </c>
      <c r="O761" s="48" t="str">
        <f>IF(OR($B761="",$D761=""),"",ROUND($M761*$N761,0))</f>
        <v/>
      </c>
      <c r="P761" s="48" t="str">
        <f>IF($AC761&gt;0,IF(ISNUMBER(INDEX(CASHBACK_RULES!$J$5:$J$304,$AC761)),INDEX(CASHBACK_RULES!$J$5:$J$304,$AC761),"∞"),"")</f>
        <v/>
      </c>
      <c r="Q761" s="48" t="str">
        <f>IF(OR($B761="",$D761=""),"",IF($AC761=0,0,MAX(0,MIN($O761,IF(ISNUMBER($P761),$P761-$AF761,1E+15),IF(ISNUMBER($AA761),$AA761-$AG761,1E+15)))))</f>
        <v/>
      </c>
      <c r="R761" s="48" t="str">
        <f>IF(OR($B761="",$D761=""),"",IF($AC761=0,"",IF(AND(NOT(ISNUMBER($P761)),NOT(ISNUMBER($AA761))),"∞",MAX(0,MIN(IF(ISNUMBER($P761),$P761-$AF761-$Q761,1E+15),IF(ISNUMBER($AA761),$AA761-$AG761-$Q761,1E+15))))))</f>
        <v/>
      </c>
      <c r="S761" s="47" t="str">
        <f>IF($AD761="","",YEAR($AD761)*100+MONTH($AD761))</f>
        <v/>
      </c>
      <c r="T761" s="50" t="str">
        <f>IF($AD761="","",IFERROR(IF(INDEX(CARDS!$I$5:$I$34,MATCH($D761,CARDS!$A$5:$A$34,0))="","",IF(INDEX(CARDS!$I$5:$I$34,MATCH($D761,CARDS!$A$5:$A$34,0))&gt;INDEX(CARDS!$H$5:$H$34,MATCH($D761,CARDS!$A$5:$A$34,0)),DATE(YEAR($AD761),MONTH($AD761),MIN(INDEX(CARDS!$I$5:$I$34,MATCH($D761,CARDS!$A$5:$A$34,0)),DAY(EOMONTH($AD761,0)))),DATE(YEAR($AD761),MONTH($AD761)+1,MIN(INDEX(CARDS!$I$5:$I$34,MATCH($D761,CARDS!$A$5:$A$34,0)),DAY(EOMONTH($AD761,1)))))),""))</f>
        <v/>
      </c>
      <c r="U761" s="38" t="n"/>
      <c r="V761" s="37" t="n"/>
      <c r="W761" s="38" t="n"/>
      <c r="X761" s="38" t="n"/>
      <c r="Y761" s="44" t="str">
        <f>IF($AC761&gt;0,INDEX(CASHBACK_RULES!$A$5:$A$304,$AC761),"")</f>
        <v/>
      </c>
      <c r="Z761" s="45" t="str">
        <f>IF($AC761&gt;0,INDEX(CASHBACK_RULES!$E$5:$E$304,$AC761)&amp;"","")</f>
        <v/>
      </c>
      <c r="AA761" s="48" t="str">
        <f>IF($AC761&gt;0,IF(ISNUMBER(INDEX(CASHBACK_RULES!$K$5:$K$304,$AC761)),INDEX(CASHBACK_RULES!$K$5:$K$304,$AC761),"∞"),"")</f>
        <v/>
      </c>
      <c r="AB761" s="44" t="str">
        <f>IF(OR($B761="",$D761=""),"",IF($U761="Cancelled","Đã hủy",IF($AC761=0,"Không được hoàn",IF($Q761=0,IF(OR($O761&gt;0,$M761&lt;$L761),"Đã đạt cap","Không được hoàn"),IF(OR($Q761&lt;$O761,$M761&lt;$L761),"Hoàn một phần","Được hoàn")))))</f>
        <v/>
      </c>
      <c r="AC761" s="43">
        <f>IF(OR($B761="",$D761="",$I761="",$L761=""),0,IF($U761="Cancelled",0,IF($W761&lt;&gt;"",IFERROR(IF(INDEX(CASHBACK_RULES!$B$5:$B$304,MATCH($W761,CASHBACK_RULES!$A$5:$A$304,0))=$D761,MATCH($W761,CASHBACK_RULES!$A$5:$A$304,0),0),0),IFERROR(MATCH(1,INDEX((CASHBACK_RULES!$B$5:$B$304=$D761)*(CASHBACK_RULES!$G$5:$G$304=$I761)*(((CASHBACK_RULES!$N$5:$N$304="")+(CASHBACK_RULES!$N$5:$N$304&lt;=$B761))&gt;0)*(((CASHBACK_RULES!$O$5:$O$304="")+(CASHBACK_RULES!$O$5:$O$304&gt;=$B761))&gt;0)*(((CASHBACK_RULES!$M$5:$M$304="")+(CASHBACK_RULES!$M$5:$M$304&lt;=$L761))&gt;0),0),0),0))))</f>
        <v>0</v>
      </c>
      <c r="AD761" s="51" t="str">
        <f>IF(OR($B761="",$D761=""),"",IFERROR(IF(INDEX(CARDS!$H$5:$H$34,MATCH($D761,CARDS!$A$5:$A$34,0))="","",IF(DAY($B761)&lt;=INDEX(CARDS!$H$5:$H$34,MATCH($D761,CARDS!$A$5:$A$34,0)),DATE(YEAR($B761),MONTH($B761),MIN(INDEX(CARDS!$H$5:$H$34,MATCH($D761,CARDS!$A$5:$A$34,0)),DAY(EOMONTH($B761,0)))),DATE(YEAR($B761),MONTH($B761)+1,MIN(INDEX(CARDS!$H$5:$H$34,MATCH($D761,CARDS!$A$5:$A$34,0)),DAY(EOMONTH($B761,1)))))),""))</f>
        <v/>
      </c>
      <c r="AE761" s="52" t="str">
        <f>IF($C761="","",$C761&amp;"|"&amp;COUNTIF($C$5:$C761,$C761))</f>
        <v/>
      </c>
      <c r="AF761" s="53">
        <f>IF($AC761&gt;0,SUMIFS(Q$4:Q760,$D$4:$D760,$D761,$Z$4:$Z760,$Z761,$C$4:$C760,$C761),0)</f>
        <v>0</v>
      </c>
      <c r="AG761" s="53">
        <f>IF($AC761&gt;0,SUMIFS(Q$4:Q760,$D$4:$D760,$D761,$C$4:$C760,$C761),0)</f>
        <v>0</v>
      </c>
      <c r="AH761" s="53">
        <f>IF($AC761&gt;0,SUMIFS(M$4:M760,$D$4:$D760,$D761,$Z$4:$Z760,$Z761,$C$4:$C760,$C761),0)</f>
        <v>0</v>
      </c>
      <c r="AI761" s="43">
        <f>IF(OR($C761="",$I761=""),0,IF(COUNTIFS($C$5:$C761,$C761,$I$5:$I761,$I761)=1,1,0))</f>
        <v>0</v>
      </c>
      <c r="AJ761" s="43" t="str">
        <f>IF($AI761=1,SUMIFS($AI$4:$AI760,$C$4:$C760,$C761)+1,"")</f>
        <v/>
      </c>
      <c r="AK761" s="43">
        <f>IF(OR($C761="",$K761=""),0,IF(COUNTIFS($C$5:$C761,$C761,$K$5:$K761,$K761)=1,1,0))</f>
        <v>0</v>
      </c>
      <c r="AL761" s="43" t="str">
        <f>IF($AK761=1,SUMIFS($AK$4:$AK760,$C$4:$C760,$C761)+1,"")</f>
        <v/>
      </c>
      <c r="AM761" s="43">
        <f>IF(OR($C761="",$G761=""),0,IF(COUNTIFS($C$5:$C761,$C761,$G$5:$G761,$G761)=1,1,0))</f>
        <v>0</v>
      </c>
      <c r="AN761" s="43" t="str">
        <f>IF($AM761=1,SUMIFS($AM$4:$AM760,$C$4:$C760,$C761)+1,"")</f>
        <v/>
      </c>
    </row>
    <row r="762">
      <c r="A762" s="44" t="str">
        <f>IF(OR($B762="",$D762=""),"","TX"&amp;TEXT(ROW()-4,"0000"))</f>
        <v/>
      </c>
      <c r="B762" s="42" t="n"/>
      <c r="C762" s="47" t="str">
        <f>IF($B762="","",YEAR($B762)*100+MONTH($B762))</f>
        <v/>
      </c>
      <c r="D762" s="37" t="n"/>
      <c r="E762" s="45" t="str">
        <f>IF($D762="","",IFERROR(INDEX(CARDS!$B$5:$B$34,MATCH($D762,CARDS!$A$5:$A$34,0)),"⚠ Card ID?"))</f>
        <v/>
      </c>
      <c r="F762" s="45" t="str">
        <f>IF($D762="","",IFERROR(INDEX(CARDS!$C$5:$C$34,MATCH($D762,CARDS!$A$5:$A$34,0)),"⚠ Card ID?"))</f>
        <v/>
      </c>
      <c r="G762" s="37" t="n"/>
      <c r="H762" s="37" t="n"/>
      <c r="I762" s="41" t="n"/>
      <c r="J762" s="45" t="str">
        <f>IF($I762="","",IFERROR(INDEX(MCC_MASTER!$B$5:$B$504,MATCH($I762,MCC_MASTER!$A$5:$A$504,0)),"⚠ MCC chưa có"))</f>
        <v/>
      </c>
      <c r="K762" s="45" t="str">
        <f>IF($I762="","",IFERROR(IF(INDEX(MCC_MASTER!$C$5:$C$504,MATCH($I762,MCC_MASTER!$A$5:$A$504,0))="","Chưa phân loại",INDEX(MCC_MASTER!$C$5:$C$504,MATCH($I762,MCC_MASTER!$A$5:$A$504,0))),"Chưa phân loại"))</f>
        <v/>
      </c>
      <c r="L762" s="40" t="n"/>
      <c r="M762" s="48" t="str">
        <f>IF(OR($B762="",$D762=""),"",IF($AC762=0,0,IF(ISNUMBER(INDEX(CASHBACK_RULES!$L$5:$L$304,$AC762)),MAX(0,MIN($L762,INDEX(CASHBACK_RULES!$L$5:$L$304,$AC762)-$AH762)),MAX(0,$L762))))</f>
        <v/>
      </c>
      <c r="N762" s="49" t="str">
        <f>IF(OR($B762="",$D762=""),"",IF($AC762&gt;0,INDEX(CASHBACK_RULES!$I$5:$I$304,$AC762),0))</f>
        <v/>
      </c>
      <c r="O762" s="48" t="str">
        <f>IF(OR($B762="",$D762=""),"",ROUND($M762*$N762,0))</f>
        <v/>
      </c>
      <c r="P762" s="48" t="str">
        <f>IF($AC762&gt;0,IF(ISNUMBER(INDEX(CASHBACK_RULES!$J$5:$J$304,$AC762)),INDEX(CASHBACK_RULES!$J$5:$J$304,$AC762),"∞"),"")</f>
        <v/>
      </c>
      <c r="Q762" s="48" t="str">
        <f>IF(OR($B762="",$D762=""),"",IF($AC762=0,0,MAX(0,MIN($O762,IF(ISNUMBER($P762),$P762-$AF762,1E+15),IF(ISNUMBER($AA762),$AA762-$AG762,1E+15)))))</f>
        <v/>
      </c>
      <c r="R762" s="48" t="str">
        <f>IF(OR($B762="",$D762=""),"",IF($AC762=0,"",IF(AND(NOT(ISNUMBER($P762)),NOT(ISNUMBER($AA762))),"∞",MAX(0,MIN(IF(ISNUMBER($P762),$P762-$AF762-$Q762,1E+15),IF(ISNUMBER($AA762),$AA762-$AG762-$Q762,1E+15))))))</f>
        <v/>
      </c>
      <c r="S762" s="47" t="str">
        <f>IF($AD762="","",YEAR($AD762)*100+MONTH($AD762))</f>
        <v/>
      </c>
      <c r="T762" s="50" t="str">
        <f>IF($AD762="","",IFERROR(IF(INDEX(CARDS!$I$5:$I$34,MATCH($D762,CARDS!$A$5:$A$34,0))="","",IF(INDEX(CARDS!$I$5:$I$34,MATCH($D762,CARDS!$A$5:$A$34,0))&gt;INDEX(CARDS!$H$5:$H$34,MATCH($D762,CARDS!$A$5:$A$34,0)),DATE(YEAR($AD762),MONTH($AD762),MIN(INDEX(CARDS!$I$5:$I$34,MATCH($D762,CARDS!$A$5:$A$34,0)),DAY(EOMONTH($AD762,0)))),DATE(YEAR($AD762),MONTH($AD762)+1,MIN(INDEX(CARDS!$I$5:$I$34,MATCH($D762,CARDS!$A$5:$A$34,0)),DAY(EOMONTH($AD762,1)))))),""))</f>
        <v/>
      </c>
      <c r="U762" s="38" t="n"/>
      <c r="V762" s="37" t="n"/>
      <c r="W762" s="38" t="n"/>
      <c r="X762" s="38" t="n"/>
      <c r="Y762" s="44" t="str">
        <f>IF($AC762&gt;0,INDEX(CASHBACK_RULES!$A$5:$A$304,$AC762),"")</f>
        <v/>
      </c>
      <c r="Z762" s="45" t="str">
        <f>IF($AC762&gt;0,INDEX(CASHBACK_RULES!$E$5:$E$304,$AC762)&amp;"","")</f>
        <v/>
      </c>
      <c r="AA762" s="48" t="str">
        <f>IF($AC762&gt;0,IF(ISNUMBER(INDEX(CASHBACK_RULES!$K$5:$K$304,$AC762)),INDEX(CASHBACK_RULES!$K$5:$K$304,$AC762),"∞"),"")</f>
        <v/>
      </c>
      <c r="AB762" s="44" t="str">
        <f>IF(OR($B762="",$D762=""),"",IF($U762="Cancelled","Đã hủy",IF($AC762=0,"Không được hoàn",IF($Q762=0,IF(OR($O762&gt;0,$M762&lt;$L762),"Đã đạt cap","Không được hoàn"),IF(OR($Q762&lt;$O762,$M762&lt;$L762),"Hoàn một phần","Được hoàn")))))</f>
        <v/>
      </c>
      <c r="AC762" s="43">
        <f>IF(OR($B762="",$D762="",$I762="",$L762=""),0,IF($U762="Cancelled",0,IF($W762&lt;&gt;"",IFERROR(IF(INDEX(CASHBACK_RULES!$B$5:$B$304,MATCH($W762,CASHBACK_RULES!$A$5:$A$304,0))=$D762,MATCH($W762,CASHBACK_RULES!$A$5:$A$304,0),0),0),IFERROR(MATCH(1,INDEX((CASHBACK_RULES!$B$5:$B$304=$D762)*(CASHBACK_RULES!$G$5:$G$304=$I762)*(((CASHBACK_RULES!$N$5:$N$304="")+(CASHBACK_RULES!$N$5:$N$304&lt;=$B762))&gt;0)*(((CASHBACK_RULES!$O$5:$O$304="")+(CASHBACK_RULES!$O$5:$O$304&gt;=$B762))&gt;0)*(((CASHBACK_RULES!$M$5:$M$304="")+(CASHBACK_RULES!$M$5:$M$304&lt;=$L762))&gt;0),0),0),0))))</f>
        <v>0</v>
      </c>
      <c r="AD762" s="51" t="str">
        <f>IF(OR($B762="",$D762=""),"",IFERROR(IF(INDEX(CARDS!$H$5:$H$34,MATCH($D762,CARDS!$A$5:$A$34,0))="","",IF(DAY($B762)&lt;=INDEX(CARDS!$H$5:$H$34,MATCH($D762,CARDS!$A$5:$A$34,0)),DATE(YEAR($B762),MONTH($B762),MIN(INDEX(CARDS!$H$5:$H$34,MATCH($D762,CARDS!$A$5:$A$34,0)),DAY(EOMONTH($B762,0)))),DATE(YEAR($B762),MONTH($B762)+1,MIN(INDEX(CARDS!$H$5:$H$34,MATCH($D762,CARDS!$A$5:$A$34,0)),DAY(EOMONTH($B762,1)))))),""))</f>
        <v/>
      </c>
      <c r="AE762" s="52" t="str">
        <f>IF($C762="","",$C762&amp;"|"&amp;COUNTIF($C$5:$C762,$C762))</f>
        <v/>
      </c>
      <c r="AF762" s="53">
        <f>IF($AC762&gt;0,SUMIFS(Q$4:Q761,$D$4:$D761,$D762,$Z$4:$Z761,$Z762,$C$4:$C761,$C762),0)</f>
        <v>0</v>
      </c>
      <c r="AG762" s="53">
        <f>IF($AC762&gt;0,SUMIFS(Q$4:Q761,$D$4:$D761,$D762,$C$4:$C761,$C762),0)</f>
        <v>0</v>
      </c>
      <c r="AH762" s="53">
        <f>IF($AC762&gt;0,SUMIFS(M$4:M761,$D$4:$D761,$D762,$Z$4:$Z761,$Z762,$C$4:$C761,$C762),0)</f>
        <v>0</v>
      </c>
      <c r="AI762" s="43">
        <f>IF(OR($C762="",$I762=""),0,IF(COUNTIFS($C$5:$C762,$C762,$I$5:$I762,$I762)=1,1,0))</f>
        <v>0</v>
      </c>
      <c r="AJ762" s="43" t="str">
        <f>IF($AI762=1,SUMIFS($AI$4:$AI761,$C$4:$C761,$C762)+1,"")</f>
        <v/>
      </c>
      <c r="AK762" s="43">
        <f>IF(OR($C762="",$K762=""),0,IF(COUNTIFS($C$5:$C762,$C762,$K$5:$K762,$K762)=1,1,0))</f>
        <v>0</v>
      </c>
      <c r="AL762" s="43" t="str">
        <f>IF($AK762=1,SUMIFS($AK$4:$AK761,$C$4:$C761,$C762)+1,"")</f>
        <v/>
      </c>
      <c r="AM762" s="43">
        <f>IF(OR($C762="",$G762=""),0,IF(COUNTIFS($C$5:$C762,$C762,$G$5:$G762,$G762)=1,1,0))</f>
        <v>0</v>
      </c>
      <c r="AN762" s="43" t="str">
        <f>IF($AM762=1,SUMIFS($AM$4:$AM761,$C$4:$C761,$C762)+1,"")</f>
        <v/>
      </c>
    </row>
    <row r="763">
      <c r="A763" s="44" t="str">
        <f>IF(OR($B763="",$D763=""),"","TX"&amp;TEXT(ROW()-4,"0000"))</f>
        <v/>
      </c>
      <c r="B763" s="42" t="n"/>
      <c r="C763" s="47" t="str">
        <f>IF($B763="","",YEAR($B763)*100+MONTH($B763))</f>
        <v/>
      </c>
      <c r="D763" s="37" t="n"/>
      <c r="E763" s="45" t="str">
        <f>IF($D763="","",IFERROR(INDEX(CARDS!$B$5:$B$34,MATCH($D763,CARDS!$A$5:$A$34,0)),"⚠ Card ID?"))</f>
        <v/>
      </c>
      <c r="F763" s="45" t="str">
        <f>IF($D763="","",IFERROR(INDEX(CARDS!$C$5:$C$34,MATCH($D763,CARDS!$A$5:$A$34,0)),"⚠ Card ID?"))</f>
        <v/>
      </c>
      <c r="G763" s="37" t="n"/>
      <c r="H763" s="37" t="n"/>
      <c r="I763" s="41" t="n"/>
      <c r="J763" s="45" t="str">
        <f>IF($I763="","",IFERROR(INDEX(MCC_MASTER!$B$5:$B$504,MATCH($I763,MCC_MASTER!$A$5:$A$504,0)),"⚠ MCC chưa có"))</f>
        <v/>
      </c>
      <c r="K763" s="45" t="str">
        <f>IF($I763="","",IFERROR(IF(INDEX(MCC_MASTER!$C$5:$C$504,MATCH($I763,MCC_MASTER!$A$5:$A$504,0))="","Chưa phân loại",INDEX(MCC_MASTER!$C$5:$C$504,MATCH($I763,MCC_MASTER!$A$5:$A$504,0))),"Chưa phân loại"))</f>
        <v/>
      </c>
      <c r="L763" s="40" t="n"/>
      <c r="M763" s="48" t="str">
        <f>IF(OR($B763="",$D763=""),"",IF($AC763=0,0,IF(ISNUMBER(INDEX(CASHBACK_RULES!$L$5:$L$304,$AC763)),MAX(0,MIN($L763,INDEX(CASHBACK_RULES!$L$5:$L$304,$AC763)-$AH763)),MAX(0,$L763))))</f>
        <v/>
      </c>
      <c r="N763" s="49" t="str">
        <f>IF(OR($B763="",$D763=""),"",IF($AC763&gt;0,INDEX(CASHBACK_RULES!$I$5:$I$304,$AC763),0))</f>
        <v/>
      </c>
      <c r="O763" s="48" t="str">
        <f>IF(OR($B763="",$D763=""),"",ROUND($M763*$N763,0))</f>
        <v/>
      </c>
      <c r="P763" s="48" t="str">
        <f>IF($AC763&gt;0,IF(ISNUMBER(INDEX(CASHBACK_RULES!$J$5:$J$304,$AC763)),INDEX(CASHBACK_RULES!$J$5:$J$304,$AC763),"∞"),"")</f>
        <v/>
      </c>
      <c r="Q763" s="48" t="str">
        <f>IF(OR($B763="",$D763=""),"",IF($AC763=0,0,MAX(0,MIN($O763,IF(ISNUMBER($P763),$P763-$AF763,1E+15),IF(ISNUMBER($AA763),$AA763-$AG763,1E+15)))))</f>
        <v/>
      </c>
      <c r="R763" s="48" t="str">
        <f>IF(OR($B763="",$D763=""),"",IF($AC763=0,"",IF(AND(NOT(ISNUMBER($P763)),NOT(ISNUMBER($AA763))),"∞",MAX(0,MIN(IF(ISNUMBER($P763),$P763-$AF763-$Q763,1E+15),IF(ISNUMBER($AA763),$AA763-$AG763-$Q763,1E+15))))))</f>
        <v/>
      </c>
      <c r="S763" s="47" t="str">
        <f>IF($AD763="","",YEAR($AD763)*100+MONTH($AD763))</f>
        <v/>
      </c>
      <c r="T763" s="50" t="str">
        <f>IF($AD763="","",IFERROR(IF(INDEX(CARDS!$I$5:$I$34,MATCH($D763,CARDS!$A$5:$A$34,0))="","",IF(INDEX(CARDS!$I$5:$I$34,MATCH($D763,CARDS!$A$5:$A$34,0))&gt;INDEX(CARDS!$H$5:$H$34,MATCH($D763,CARDS!$A$5:$A$34,0)),DATE(YEAR($AD763),MONTH($AD763),MIN(INDEX(CARDS!$I$5:$I$34,MATCH($D763,CARDS!$A$5:$A$34,0)),DAY(EOMONTH($AD763,0)))),DATE(YEAR($AD763),MONTH($AD763)+1,MIN(INDEX(CARDS!$I$5:$I$34,MATCH($D763,CARDS!$A$5:$A$34,0)),DAY(EOMONTH($AD763,1)))))),""))</f>
        <v/>
      </c>
      <c r="U763" s="38" t="n"/>
      <c r="V763" s="37" t="n"/>
      <c r="W763" s="38" t="n"/>
      <c r="X763" s="38" t="n"/>
      <c r="Y763" s="44" t="str">
        <f>IF($AC763&gt;0,INDEX(CASHBACK_RULES!$A$5:$A$304,$AC763),"")</f>
        <v/>
      </c>
      <c r="Z763" s="45" t="str">
        <f>IF($AC763&gt;0,INDEX(CASHBACK_RULES!$E$5:$E$304,$AC763)&amp;"","")</f>
        <v/>
      </c>
      <c r="AA763" s="48" t="str">
        <f>IF($AC763&gt;0,IF(ISNUMBER(INDEX(CASHBACK_RULES!$K$5:$K$304,$AC763)),INDEX(CASHBACK_RULES!$K$5:$K$304,$AC763),"∞"),"")</f>
        <v/>
      </c>
      <c r="AB763" s="44" t="str">
        <f>IF(OR($B763="",$D763=""),"",IF($U763="Cancelled","Đã hủy",IF($AC763=0,"Không được hoàn",IF($Q763=0,IF(OR($O763&gt;0,$M763&lt;$L763),"Đã đạt cap","Không được hoàn"),IF(OR($Q763&lt;$O763,$M763&lt;$L763),"Hoàn một phần","Được hoàn")))))</f>
        <v/>
      </c>
      <c r="AC763" s="43">
        <f>IF(OR($B763="",$D763="",$I763="",$L763=""),0,IF($U763="Cancelled",0,IF($W763&lt;&gt;"",IFERROR(IF(INDEX(CASHBACK_RULES!$B$5:$B$304,MATCH($W763,CASHBACK_RULES!$A$5:$A$304,0))=$D763,MATCH($W763,CASHBACK_RULES!$A$5:$A$304,0),0),0),IFERROR(MATCH(1,INDEX((CASHBACK_RULES!$B$5:$B$304=$D763)*(CASHBACK_RULES!$G$5:$G$304=$I763)*(((CASHBACK_RULES!$N$5:$N$304="")+(CASHBACK_RULES!$N$5:$N$304&lt;=$B763))&gt;0)*(((CASHBACK_RULES!$O$5:$O$304="")+(CASHBACK_RULES!$O$5:$O$304&gt;=$B763))&gt;0)*(((CASHBACK_RULES!$M$5:$M$304="")+(CASHBACK_RULES!$M$5:$M$304&lt;=$L763))&gt;0),0),0),0))))</f>
        <v>0</v>
      </c>
      <c r="AD763" s="51" t="str">
        <f>IF(OR($B763="",$D763=""),"",IFERROR(IF(INDEX(CARDS!$H$5:$H$34,MATCH($D763,CARDS!$A$5:$A$34,0))="","",IF(DAY($B763)&lt;=INDEX(CARDS!$H$5:$H$34,MATCH($D763,CARDS!$A$5:$A$34,0)),DATE(YEAR($B763),MONTH($B763),MIN(INDEX(CARDS!$H$5:$H$34,MATCH($D763,CARDS!$A$5:$A$34,0)),DAY(EOMONTH($B763,0)))),DATE(YEAR($B763),MONTH($B763)+1,MIN(INDEX(CARDS!$H$5:$H$34,MATCH($D763,CARDS!$A$5:$A$34,0)),DAY(EOMONTH($B763,1)))))),""))</f>
        <v/>
      </c>
      <c r="AE763" s="52" t="str">
        <f>IF($C763="","",$C763&amp;"|"&amp;COUNTIF($C$5:$C763,$C763))</f>
        <v/>
      </c>
      <c r="AF763" s="53">
        <f>IF($AC763&gt;0,SUMIFS(Q$4:Q762,$D$4:$D762,$D763,$Z$4:$Z762,$Z763,$C$4:$C762,$C763),0)</f>
        <v>0</v>
      </c>
      <c r="AG763" s="53">
        <f>IF($AC763&gt;0,SUMIFS(Q$4:Q762,$D$4:$D762,$D763,$C$4:$C762,$C763),0)</f>
        <v>0</v>
      </c>
      <c r="AH763" s="53">
        <f>IF($AC763&gt;0,SUMIFS(M$4:M762,$D$4:$D762,$D763,$Z$4:$Z762,$Z763,$C$4:$C762,$C763),0)</f>
        <v>0</v>
      </c>
      <c r="AI763" s="43">
        <f>IF(OR($C763="",$I763=""),0,IF(COUNTIFS($C$5:$C763,$C763,$I$5:$I763,$I763)=1,1,0))</f>
        <v>0</v>
      </c>
      <c r="AJ763" s="43" t="str">
        <f>IF($AI763=1,SUMIFS($AI$4:$AI762,$C$4:$C762,$C763)+1,"")</f>
        <v/>
      </c>
      <c r="AK763" s="43">
        <f>IF(OR($C763="",$K763=""),0,IF(COUNTIFS($C$5:$C763,$C763,$K$5:$K763,$K763)=1,1,0))</f>
        <v>0</v>
      </c>
      <c r="AL763" s="43" t="str">
        <f>IF($AK763=1,SUMIFS($AK$4:$AK762,$C$4:$C762,$C763)+1,"")</f>
        <v/>
      </c>
      <c r="AM763" s="43">
        <f>IF(OR($C763="",$G763=""),0,IF(COUNTIFS($C$5:$C763,$C763,$G$5:$G763,$G763)=1,1,0))</f>
        <v>0</v>
      </c>
      <c r="AN763" s="43" t="str">
        <f>IF($AM763=1,SUMIFS($AM$4:$AM762,$C$4:$C762,$C763)+1,"")</f>
        <v/>
      </c>
    </row>
    <row r="764">
      <c r="A764" s="44" t="str">
        <f>IF(OR($B764="",$D764=""),"","TX"&amp;TEXT(ROW()-4,"0000"))</f>
        <v/>
      </c>
      <c r="B764" s="42" t="n"/>
      <c r="C764" s="47" t="str">
        <f>IF($B764="","",YEAR($B764)*100+MONTH($B764))</f>
        <v/>
      </c>
      <c r="D764" s="37" t="n"/>
      <c r="E764" s="45" t="str">
        <f>IF($D764="","",IFERROR(INDEX(CARDS!$B$5:$B$34,MATCH($D764,CARDS!$A$5:$A$34,0)),"⚠ Card ID?"))</f>
        <v/>
      </c>
      <c r="F764" s="45" t="str">
        <f>IF($D764="","",IFERROR(INDEX(CARDS!$C$5:$C$34,MATCH($D764,CARDS!$A$5:$A$34,0)),"⚠ Card ID?"))</f>
        <v/>
      </c>
      <c r="G764" s="37" t="n"/>
      <c r="H764" s="37" t="n"/>
      <c r="I764" s="41" t="n"/>
      <c r="J764" s="45" t="str">
        <f>IF($I764="","",IFERROR(INDEX(MCC_MASTER!$B$5:$B$504,MATCH($I764,MCC_MASTER!$A$5:$A$504,0)),"⚠ MCC chưa có"))</f>
        <v/>
      </c>
      <c r="K764" s="45" t="str">
        <f>IF($I764="","",IFERROR(IF(INDEX(MCC_MASTER!$C$5:$C$504,MATCH($I764,MCC_MASTER!$A$5:$A$504,0))="","Chưa phân loại",INDEX(MCC_MASTER!$C$5:$C$504,MATCH($I764,MCC_MASTER!$A$5:$A$504,0))),"Chưa phân loại"))</f>
        <v/>
      </c>
      <c r="L764" s="40" t="n"/>
      <c r="M764" s="48" t="str">
        <f>IF(OR($B764="",$D764=""),"",IF($AC764=0,0,IF(ISNUMBER(INDEX(CASHBACK_RULES!$L$5:$L$304,$AC764)),MAX(0,MIN($L764,INDEX(CASHBACK_RULES!$L$5:$L$304,$AC764)-$AH764)),MAX(0,$L764))))</f>
        <v/>
      </c>
      <c r="N764" s="49" t="str">
        <f>IF(OR($B764="",$D764=""),"",IF($AC764&gt;0,INDEX(CASHBACK_RULES!$I$5:$I$304,$AC764),0))</f>
        <v/>
      </c>
      <c r="O764" s="48" t="str">
        <f>IF(OR($B764="",$D764=""),"",ROUND($M764*$N764,0))</f>
        <v/>
      </c>
      <c r="P764" s="48" t="str">
        <f>IF($AC764&gt;0,IF(ISNUMBER(INDEX(CASHBACK_RULES!$J$5:$J$304,$AC764)),INDEX(CASHBACK_RULES!$J$5:$J$304,$AC764),"∞"),"")</f>
        <v/>
      </c>
      <c r="Q764" s="48" t="str">
        <f>IF(OR($B764="",$D764=""),"",IF($AC764=0,0,MAX(0,MIN($O764,IF(ISNUMBER($P764),$P764-$AF764,1E+15),IF(ISNUMBER($AA764),$AA764-$AG764,1E+15)))))</f>
        <v/>
      </c>
      <c r="R764" s="48" t="str">
        <f>IF(OR($B764="",$D764=""),"",IF($AC764=0,"",IF(AND(NOT(ISNUMBER($P764)),NOT(ISNUMBER($AA764))),"∞",MAX(0,MIN(IF(ISNUMBER($P764),$P764-$AF764-$Q764,1E+15),IF(ISNUMBER($AA764),$AA764-$AG764-$Q764,1E+15))))))</f>
        <v/>
      </c>
      <c r="S764" s="47" t="str">
        <f>IF($AD764="","",YEAR($AD764)*100+MONTH($AD764))</f>
        <v/>
      </c>
      <c r="T764" s="50" t="str">
        <f>IF($AD764="","",IFERROR(IF(INDEX(CARDS!$I$5:$I$34,MATCH($D764,CARDS!$A$5:$A$34,0))="","",IF(INDEX(CARDS!$I$5:$I$34,MATCH($D764,CARDS!$A$5:$A$34,0))&gt;INDEX(CARDS!$H$5:$H$34,MATCH($D764,CARDS!$A$5:$A$34,0)),DATE(YEAR($AD764),MONTH($AD764),MIN(INDEX(CARDS!$I$5:$I$34,MATCH($D764,CARDS!$A$5:$A$34,0)),DAY(EOMONTH($AD764,0)))),DATE(YEAR($AD764),MONTH($AD764)+1,MIN(INDEX(CARDS!$I$5:$I$34,MATCH($D764,CARDS!$A$5:$A$34,0)),DAY(EOMONTH($AD764,1)))))),""))</f>
        <v/>
      </c>
      <c r="U764" s="38" t="n"/>
      <c r="V764" s="37" t="n"/>
      <c r="W764" s="38" t="n"/>
      <c r="X764" s="38" t="n"/>
      <c r="Y764" s="44" t="str">
        <f>IF($AC764&gt;0,INDEX(CASHBACK_RULES!$A$5:$A$304,$AC764),"")</f>
        <v/>
      </c>
      <c r="Z764" s="45" t="str">
        <f>IF($AC764&gt;0,INDEX(CASHBACK_RULES!$E$5:$E$304,$AC764)&amp;"","")</f>
        <v/>
      </c>
      <c r="AA764" s="48" t="str">
        <f>IF($AC764&gt;0,IF(ISNUMBER(INDEX(CASHBACK_RULES!$K$5:$K$304,$AC764)),INDEX(CASHBACK_RULES!$K$5:$K$304,$AC764),"∞"),"")</f>
        <v/>
      </c>
      <c r="AB764" s="44" t="str">
        <f>IF(OR($B764="",$D764=""),"",IF($U764="Cancelled","Đã hủy",IF($AC764=0,"Không được hoàn",IF($Q764=0,IF(OR($O764&gt;0,$M764&lt;$L764),"Đã đạt cap","Không được hoàn"),IF(OR($Q764&lt;$O764,$M764&lt;$L764),"Hoàn một phần","Được hoàn")))))</f>
        <v/>
      </c>
      <c r="AC764" s="43">
        <f>IF(OR($B764="",$D764="",$I764="",$L764=""),0,IF($U764="Cancelled",0,IF($W764&lt;&gt;"",IFERROR(IF(INDEX(CASHBACK_RULES!$B$5:$B$304,MATCH($W764,CASHBACK_RULES!$A$5:$A$304,0))=$D764,MATCH($W764,CASHBACK_RULES!$A$5:$A$304,0),0),0),IFERROR(MATCH(1,INDEX((CASHBACK_RULES!$B$5:$B$304=$D764)*(CASHBACK_RULES!$G$5:$G$304=$I764)*(((CASHBACK_RULES!$N$5:$N$304="")+(CASHBACK_RULES!$N$5:$N$304&lt;=$B764))&gt;0)*(((CASHBACK_RULES!$O$5:$O$304="")+(CASHBACK_RULES!$O$5:$O$304&gt;=$B764))&gt;0)*(((CASHBACK_RULES!$M$5:$M$304="")+(CASHBACK_RULES!$M$5:$M$304&lt;=$L764))&gt;0),0),0),0))))</f>
        <v>0</v>
      </c>
      <c r="AD764" s="51" t="str">
        <f>IF(OR($B764="",$D764=""),"",IFERROR(IF(INDEX(CARDS!$H$5:$H$34,MATCH($D764,CARDS!$A$5:$A$34,0))="","",IF(DAY($B764)&lt;=INDEX(CARDS!$H$5:$H$34,MATCH($D764,CARDS!$A$5:$A$34,0)),DATE(YEAR($B764),MONTH($B764),MIN(INDEX(CARDS!$H$5:$H$34,MATCH($D764,CARDS!$A$5:$A$34,0)),DAY(EOMONTH($B764,0)))),DATE(YEAR($B764),MONTH($B764)+1,MIN(INDEX(CARDS!$H$5:$H$34,MATCH($D764,CARDS!$A$5:$A$34,0)),DAY(EOMONTH($B764,1)))))),""))</f>
        <v/>
      </c>
      <c r="AE764" s="52" t="str">
        <f>IF($C764="","",$C764&amp;"|"&amp;COUNTIF($C$5:$C764,$C764))</f>
        <v/>
      </c>
      <c r="AF764" s="53">
        <f>IF($AC764&gt;0,SUMIFS(Q$4:Q763,$D$4:$D763,$D764,$Z$4:$Z763,$Z764,$C$4:$C763,$C764),0)</f>
        <v>0</v>
      </c>
      <c r="AG764" s="53">
        <f>IF($AC764&gt;0,SUMIFS(Q$4:Q763,$D$4:$D763,$D764,$C$4:$C763,$C764),0)</f>
        <v>0</v>
      </c>
      <c r="AH764" s="53">
        <f>IF($AC764&gt;0,SUMIFS(M$4:M763,$D$4:$D763,$D764,$Z$4:$Z763,$Z764,$C$4:$C763,$C764),0)</f>
        <v>0</v>
      </c>
      <c r="AI764" s="43">
        <f>IF(OR($C764="",$I764=""),0,IF(COUNTIFS($C$5:$C764,$C764,$I$5:$I764,$I764)=1,1,0))</f>
        <v>0</v>
      </c>
      <c r="AJ764" s="43" t="str">
        <f>IF($AI764=1,SUMIFS($AI$4:$AI763,$C$4:$C763,$C764)+1,"")</f>
        <v/>
      </c>
      <c r="AK764" s="43">
        <f>IF(OR($C764="",$K764=""),0,IF(COUNTIFS($C$5:$C764,$C764,$K$5:$K764,$K764)=1,1,0))</f>
        <v>0</v>
      </c>
      <c r="AL764" s="43" t="str">
        <f>IF($AK764=1,SUMIFS($AK$4:$AK763,$C$4:$C763,$C764)+1,"")</f>
        <v/>
      </c>
      <c r="AM764" s="43">
        <f>IF(OR($C764="",$G764=""),0,IF(COUNTIFS($C$5:$C764,$C764,$G$5:$G764,$G764)=1,1,0))</f>
        <v>0</v>
      </c>
      <c r="AN764" s="43" t="str">
        <f>IF($AM764=1,SUMIFS($AM$4:$AM763,$C$4:$C763,$C764)+1,"")</f>
        <v/>
      </c>
    </row>
    <row r="765">
      <c r="A765" s="44" t="str">
        <f>IF(OR($B765="",$D765=""),"","TX"&amp;TEXT(ROW()-4,"0000"))</f>
        <v/>
      </c>
      <c r="B765" s="42" t="n"/>
      <c r="C765" s="47" t="str">
        <f>IF($B765="","",YEAR($B765)*100+MONTH($B765))</f>
        <v/>
      </c>
      <c r="D765" s="37" t="n"/>
      <c r="E765" s="45" t="str">
        <f>IF($D765="","",IFERROR(INDEX(CARDS!$B$5:$B$34,MATCH($D765,CARDS!$A$5:$A$34,0)),"⚠ Card ID?"))</f>
        <v/>
      </c>
      <c r="F765" s="45" t="str">
        <f>IF($D765="","",IFERROR(INDEX(CARDS!$C$5:$C$34,MATCH($D765,CARDS!$A$5:$A$34,0)),"⚠ Card ID?"))</f>
        <v/>
      </c>
      <c r="G765" s="37" t="n"/>
      <c r="H765" s="37" t="n"/>
      <c r="I765" s="41" t="n"/>
      <c r="J765" s="45" t="str">
        <f>IF($I765="","",IFERROR(INDEX(MCC_MASTER!$B$5:$B$504,MATCH($I765,MCC_MASTER!$A$5:$A$504,0)),"⚠ MCC chưa có"))</f>
        <v/>
      </c>
      <c r="K765" s="45" t="str">
        <f>IF($I765="","",IFERROR(IF(INDEX(MCC_MASTER!$C$5:$C$504,MATCH($I765,MCC_MASTER!$A$5:$A$504,0))="","Chưa phân loại",INDEX(MCC_MASTER!$C$5:$C$504,MATCH($I765,MCC_MASTER!$A$5:$A$504,0))),"Chưa phân loại"))</f>
        <v/>
      </c>
      <c r="L765" s="40" t="n"/>
      <c r="M765" s="48" t="str">
        <f>IF(OR($B765="",$D765=""),"",IF($AC765=0,0,IF(ISNUMBER(INDEX(CASHBACK_RULES!$L$5:$L$304,$AC765)),MAX(0,MIN($L765,INDEX(CASHBACK_RULES!$L$5:$L$304,$AC765)-$AH765)),MAX(0,$L765))))</f>
        <v/>
      </c>
      <c r="N765" s="49" t="str">
        <f>IF(OR($B765="",$D765=""),"",IF($AC765&gt;0,INDEX(CASHBACK_RULES!$I$5:$I$304,$AC765),0))</f>
        <v/>
      </c>
      <c r="O765" s="48" t="str">
        <f>IF(OR($B765="",$D765=""),"",ROUND($M765*$N765,0))</f>
        <v/>
      </c>
      <c r="P765" s="48" t="str">
        <f>IF($AC765&gt;0,IF(ISNUMBER(INDEX(CASHBACK_RULES!$J$5:$J$304,$AC765)),INDEX(CASHBACK_RULES!$J$5:$J$304,$AC765),"∞"),"")</f>
        <v/>
      </c>
      <c r="Q765" s="48" t="str">
        <f>IF(OR($B765="",$D765=""),"",IF($AC765=0,0,MAX(0,MIN($O765,IF(ISNUMBER($P765),$P765-$AF765,1E+15),IF(ISNUMBER($AA765),$AA765-$AG765,1E+15)))))</f>
        <v/>
      </c>
      <c r="R765" s="48" t="str">
        <f>IF(OR($B765="",$D765=""),"",IF($AC765=0,"",IF(AND(NOT(ISNUMBER($P765)),NOT(ISNUMBER($AA765))),"∞",MAX(0,MIN(IF(ISNUMBER($P765),$P765-$AF765-$Q765,1E+15),IF(ISNUMBER($AA765),$AA765-$AG765-$Q765,1E+15))))))</f>
        <v/>
      </c>
      <c r="S765" s="47" t="str">
        <f>IF($AD765="","",YEAR($AD765)*100+MONTH($AD765))</f>
        <v/>
      </c>
      <c r="T765" s="50" t="str">
        <f>IF($AD765="","",IFERROR(IF(INDEX(CARDS!$I$5:$I$34,MATCH($D765,CARDS!$A$5:$A$34,0))="","",IF(INDEX(CARDS!$I$5:$I$34,MATCH($D765,CARDS!$A$5:$A$34,0))&gt;INDEX(CARDS!$H$5:$H$34,MATCH($D765,CARDS!$A$5:$A$34,0)),DATE(YEAR($AD765),MONTH($AD765),MIN(INDEX(CARDS!$I$5:$I$34,MATCH($D765,CARDS!$A$5:$A$34,0)),DAY(EOMONTH($AD765,0)))),DATE(YEAR($AD765),MONTH($AD765)+1,MIN(INDEX(CARDS!$I$5:$I$34,MATCH($D765,CARDS!$A$5:$A$34,0)),DAY(EOMONTH($AD765,1)))))),""))</f>
        <v/>
      </c>
      <c r="U765" s="38" t="n"/>
      <c r="V765" s="37" t="n"/>
      <c r="W765" s="38" t="n"/>
      <c r="X765" s="38" t="n"/>
      <c r="Y765" s="44" t="str">
        <f>IF($AC765&gt;0,INDEX(CASHBACK_RULES!$A$5:$A$304,$AC765),"")</f>
        <v/>
      </c>
      <c r="Z765" s="45" t="str">
        <f>IF($AC765&gt;0,INDEX(CASHBACK_RULES!$E$5:$E$304,$AC765)&amp;"","")</f>
        <v/>
      </c>
      <c r="AA765" s="48" t="str">
        <f>IF($AC765&gt;0,IF(ISNUMBER(INDEX(CASHBACK_RULES!$K$5:$K$304,$AC765)),INDEX(CASHBACK_RULES!$K$5:$K$304,$AC765),"∞"),"")</f>
        <v/>
      </c>
      <c r="AB765" s="44" t="str">
        <f>IF(OR($B765="",$D765=""),"",IF($U765="Cancelled","Đã hủy",IF($AC765=0,"Không được hoàn",IF($Q765=0,IF(OR($O765&gt;0,$M765&lt;$L765),"Đã đạt cap","Không được hoàn"),IF(OR($Q765&lt;$O765,$M765&lt;$L765),"Hoàn một phần","Được hoàn")))))</f>
        <v/>
      </c>
      <c r="AC765" s="43">
        <f>IF(OR($B765="",$D765="",$I765="",$L765=""),0,IF($U765="Cancelled",0,IF($W765&lt;&gt;"",IFERROR(IF(INDEX(CASHBACK_RULES!$B$5:$B$304,MATCH($W765,CASHBACK_RULES!$A$5:$A$304,0))=$D765,MATCH($W765,CASHBACK_RULES!$A$5:$A$304,0),0),0),IFERROR(MATCH(1,INDEX((CASHBACK_RULES!$B$5:$B$304=$D765)*(CASHBACK_RULES!$G$5:$G$304=$I765)*(((CASHBACK_RULES!$N$5:$N$304="")+(CASHBACK_RULES!$N$5:$N$304&lt;=$B765))&gt;0)*(((CASHBACK_RULES!$O$5:$O$304="")+(CASHBACK_RULES!$O$5:$O$304&gt;=$B765))&gt;0)*(((CASHBACK_RULES!$M$5:$M$304="")+(CASHBACK_RULES!$M$5:$M$304&lt;=$L765))&gt;0),0),0),0))))</f>
        <v>0</v>
      </c>
      <c r="AD765" s="51" t="str">
        <f>IF(OR($B765="",$D765=""),"",IFERROR(IF(INDEX(CARDS!$H$5:$H$34,MATCH($D765,CARDS!$A$5:$A$34,0))="","",IF(DAY($B765)&lt;=INDEX(CARDS!$H$5:$H$34,MATCH($D765,CARDS!$A$5:$A$34,0)),DATE(YEAR($B765),MONTH($B765),MIN(INDEX(CARDS!$H$5:$H$34,MATCH($D765,CARDS!$A$5:$A$34,0)),DAY(EOMONTH($B765,0)))),DATE(YEAR($B765),MONTH($B765)+1,MIN(INDEX(CARDS!$H$5:$H$34,MATCH($D765,CARDS!$A$5:$A$34,0)),DAY(EOMONTH($B765,1)))))),""))</f>
        <v/>
      </c>
      <c r="AE765" s="52" t="str">
        <f>IF($C765="","",$C765&amp;"|"&amp;COUNTIF($C$5:$C765,$C765))</f>
        <v/>
      </c>
      <c r="AF765" s="53">
        <f>IF($AC765&gt;0,SUMIFS(Q$4:Q764,$D$4:$D764,$D765,$Z$4:$Z764,$Z765,$C$4:$C764,$C765),0)</f>
        <v>0</v>
      </c>
      <c r="AG765" s="53">
        <f>IF($AC765&gt;0,SUMIFS(Q$4:Q764,$D$4:$D764,$D765,$C$4:$C764,$C765),0)</f>
        <v>0</v>
      </c>
      <c r="AH765" s="53">
        <f>IF($AC765&gt;0,SUMIFS(M$4:M764,$D$4:$D764,$D765,$Z$4:$Z764,$Z765,$C$4:$C764,$C765),0)</f>
        <v>0</v>
      </c>
      <c r="AI765" s="43">
        <f>IF(OR($C765="",$I765=""),0,IF(COUNTIFS($C$5:$C765,$C765,$I$5:$I765,$I765)=1,1,0))</f>
        <v>0</v>
      </c>
      <c r="AJ765" s="43" t="str">
        <f>IF($AI765=1,SUMIFS($AI$4:$AI764,$C$4:$C764,$C765)+1,"")</f>
        <v/>
      </c>
      <c r="AK765" s="43">
        <f>IF(OR($C765="",$K765=""),0,IF(COUNTIFS($C$5:$C765,$C765,$K$5:$K765,$K765)=1,1,0))</f>
        <v>0</v>
      </c>
      <c r="AL765" s="43" t="str">
        <f>IF($AK765=1,SUMIFS($AK$4:$AK764,$C$4:$C764,$C765)+1,"")</f>
        <v/>
      </c>
      <c r="AM765" s="43">
        <f>IF(OR($C765="",$G765=""),0,IF(COUNTIFS($C$5:$C765,$C765,$G$5:$G765,$G765)=1,1,0))</f>
        <v>0</v>
      </c>
      <c r="AN765" s="43" t="str">
        <f>IF($AM765=1,SUMIFS($AM$4:$AM764,$C$4:$C764,$C765)+1,"")</f>
        <v/>
      </c>
    </row>
    <row r="766">
      <c r="A766" s="44" t="str">
        <f>IF(OR($B766="",$D766=""),"","TX"&amp;TEXT(ROW()-4,"0000"))</f>
        <v/>
      </c>
      <c r="B766" s="42" t="n"/>
      <c r="C766" s="47" t="str">
        <f>IF($B766="","",YEAR($B766)*100+MONTH($B766))</f>
        <v/>
      </c>
      <c r="D766" s="37" t="n"/>
      <c r="E766" s="45" t="str">
        <f>IF($D766="","",IFERROR(INDEX(CARDS!$B$5:$B$34,MATCH($D766,CARDS!$A$5:$A$34,0)),"⚠ Card ID?"))</f>
        <v/>
      </c>
      <c r="F766" s="45" t="str">
        <f>IF($D766="","",IFERROR(INDEX(CARDS!$C$5:$C$34,MATCH($D766,CARDS!$A$5:$A$34,0)),"⚠ Card ID?"))</f>
        <v/>
      </c>
      <c r="G766" s="37" t="n"/>
      <c r="H766" s="37" t="n"/>
      <c r="I766" s="41" t="n"/>
      <c r="J766" s="45" t="str">
        <f>IF($I766="","",IFERROR(INDEX(MCC_MASTER!$B$5:$B$504,MATCH($I766,MCC_MASTER!$A$5:$A$504,0)),"⚠ MCC chưa có"))</f>
        <v/>
      </c>
      <c r="K766" s="45" t="str">
        <f>IF($I766="","",IFERROR(IF(INDEX(MCC_MASTER!$C$5:$C$504,MATCH($I766,MCC_MASTER!$A$5:$A$504,0))="","Chưa phân loại",INDEX(MCC_MASTER!$C$5:$C$504,MATCH($I766,MCC_MASTER!$A$5:$A$504,0))),"Chưa phân loại"))</f>
        <v/>
      </c>
      <c r="L766" s="40" t="n"/>
      <c r="M766" s="48" t="str">
        <f>IF(OR($B766="",$D766=""),"",IF($AC766=0,0,IF(ISNUMBER(INDEX(CASHBACK_RULES!$L$5:$L$304,$AC766)),MAX(0,MIN($L766,INDEX(CASHBACK_RULES!$L$5:$L$304,$AC766)-$AH766)),MAX(0,$L766))))</f>
        <v/>
      </c>
      <c r="N766" s="49" t="str">
        <f>IF(OR($B766="",$D766=""),"",IF($AC766&gt;0,INDEX(CASHBACK_RULES!$I$5:$I$304,$AC766),0))</f>
        <v/>
      </c>
      <c r="O766" s="48" t="str">
        <f>IF(OR($B766="",$D766=""),"",ROUND($M766*$N766,0))</f>
        <v/>
      </c>
      <c r="P766" s="48" t="str">
        <f>IF($AC766&gt;0,IF(ISNUMBER(INDEX(CASHBACK_RULES!$J$5:$J$304,$AC766)),INDEX(CASHBACK_RULES!$J$5:$J$304,$AC766),"∞"),"")</f>
        <v/>
      </c>
      <c r="Q766" s="48" t="str">
        <f>IF(OR($B766="",$D766=""),"",IF($AC766=0,0,MAX(0,MIN($O766,IF(ISNUMBER($P766),$P766-$AF766,1E+15),IF(ISNUMBER($AA766),$AA766-$AG766,1E+15)))))</f>
        <v/>
      </c>
      <c r="R766" s="48" t="str">
        <f>IF(OR($B766="",$D766=""),"",IF($AC766=0,"",IF(AND(NOT(ISNUMBER($P766)),NOT(ISNUMBER($AA766))),"∞",MAX(0,MIN(IF(ISNUMBER($P766),$P766-$AF766-$Q766,1E+15),IF(ISNUMBER($AA766),$AA766-$AG766-$Q766,1E+15))))))</f>
        <v/>
      </c>
      <c r="S766" s="47" t="str">
        <f>IF($AD766="","",YEAR($AD766)*100+MONTH($AD766))</f>
        <v/>
      </c>
      <c r="T766" s="50" t="str">
        <f>IF($AD766="","",IFERROR(IF(INDEX(CARDS!$I$5:$I$34,MATCH($D766,CARDS!$A$5:$A$34,0))="","",IF(INDEX(CARDS!$I$5:$I$34,MATCH($D766,CARDS!$A$5:$A$34,0))&gt;INDEX(CARDS!$H$5:$H$34,MATCH($D766,CARDS!$A$5:$A$34,0)),DATE(YEAR($AD766),MONTH($AD766),MIN(INDEX(CARDS!$I$5:$I$34,MATCH($D766,CARDS!$A$5:$A$34,0)),DAY(EOMONTH($AD766,0)))),DATE(YEAR($AD766),MONTH($AD766)+1,MIN(INDEX(CARDS!$I$5:$I$34,MATCH($D766,CARDS!$A$5:$A$34,0)),DAY(EOMONTH($AD766,1)))))),""))</f>
        <v/>
      </c>
      <c r="U766" s="38" t="n"/>
      <c r="V766" s="37" t="n"/>
      <c r="W766" s="38" t="n"/>
      <c r="X766" s="38" t="n"/>
      <c r="Y766" s="44" t="str">
        <f>IF($AC766&gt;0,INDEX(CASHBACK_RULES!$A$5:$A$304,$AC766),"")</f>
        <v/>
      </c>
      <c r="Z766" s="45" t="str">
        <f>IF($AC766&gt;0,INDEX(CASHBACK_RULES!$E$5:$E$304,$AC766)&amp;"","")</f>
        <v/>
      </c>
      <c r="AA766" s="48" t="str">
        <f>IF($AC766&gt;0,IF(ISNUMBER(INDEX(CASHBACK_RULES!$K$5:$K$304,$AC766)),INDEX(CASHBACK_RULES!$K$5:$K$304,$AC766),"∞"),"")</f>
        <v/>
      </c>
      <c r="AB766" s="44" t="str">
        <f>IF(OR($B766="",$D766=""),"",IF($U766="Cancelled","Đã hủy",IF($AC766=0,"Không được hoàn",IF($Q766=0,IF(OR($O766&gt;0,$M766&lt;$L766),"Đã đạt cap","Không được hoàn"),IF(OR($Q766&lt;$O766,$M766&lt;$L766),"Hoàn một phần","Được hoàn")))))</f>
        <v/>
      </c>
      <c r="AC766" s="43">
        <f>IF(OR($B766="",$D766="",$I766="",$L766=""),0,IF($U766="Cancelled",0,IF($W766&lt;&gt;"",IFERROR(IF(INDEX(CASHBACK_RULES!$B$5:$B$304,MATCH($W766,CASHBACK_RULES!$A$5:$A$304,0))=$D766,MATCH($W766,CASHBACK_RULES!$A$5:$A$304,0),0),0),IFERROR(MATCH(1,INDEX((CASHBACK_RULES!$B$5:$B$304=$D766)*(CASHBACK_RULES!$G$5:$G$304=$I766)*(((CASHBACK_RULES!$N$5:$N$304="")+(CASHBACK_RULES!$N$5:$N$304&lt;=$B766))&gt;0)*(((CASHBACK_RULES!$O$5:$O$304="")+(CASHBACK_RULES!$O$5:$O$304&gt;=$B766))&gt;0)*(((CASHBACK_RULES!$M$5:$M$304="")+(CASHBACK_RULES!$M$5:$M$304&lt;=$L766))&gt;0),0),0),0))))</f>
        <v>0</v>
      </c>
      <c r="AD766" s="51" t="str">
        <f>IF(OR($B766="",$D766=""),"",IFERROR(IF(INDEX(CARDS!$H$5:$H$34,MATCH($D766,CARDS!$A$5:$A$34,0))="","",IF(DAY($B766)&lt;=INDEX(CARDS!$H$5:$H$34,MATCH($D766,CARDS!$A$5:$A$34,0)),DATE(YEAR($B766),MONTH($B766),MIN(INDEX(CARDS!$H$5:$H$34,MATCH($D766,CARDS!$A$5:$A$34,0)),DAY(EOMONTH($B766,0)))),DATE(YEAR($B766),MONTH($B766)+1,MIN(INDEX(CARDS!$H$5:$H$34,MATCH($D766,CARDS!$A$5:$A$34,0)),DAY(EOMONTH($B766,1)))))),""))</f>
        <v/>
      </c>
      <c r="AE766" s="52" t="str">
        <f>IF($C766="","",$C766&amp;"|"&amp;COUNTIF($C$5:$C766,$C766))</f>
        <v/>
      </c>
      <c r="AF766" s="53">
        <f>IF($AC766&gt;0,SUMIFS(Q$4:Q765,$D$4:$D765,$D766,$Z$4:$Z765,$Z766,$C$4:$C765,$C766),0)</f>
        <v>0</v>
      </c>
      <c r="AG766" s="53">
        <f>IF($AC766&gt;0,SUMIFS(Q$4:Q765,$D$4:$D765,$D766,$C$4:$C765,$C766),0)</f>
        <v>0</v>
      </c>
      <c r="AH766" s="53">
        <f>IF($AC766&gt;0,SUMIFS(M$4:M765,$D$4:$D765,$D766,$Z$4:$Z765,$Z766,$C$4:$C765,$C766),0)</f>
        <v>0</v>
      </c>
      <c r="AI766" s="43">
        <f>IF(OR($C766="",$I766=""),0,IF(COUNTIFS($C$5:$C766,$C766,$I$5:$I766,$I766)=1,1,0))</f>
        <v>0</v>
      </c>
      <c r="AJ766" s="43" t="str">
        <f>IF($AI766=1,SUMIFS($AI$4:$AI765,$C$4:$C765,$C766)+1,"")</f>
        <v/>
      </c>
      <c r="AK766" s="43">
        <f>IF(OR($C766="",$K766=""),0,IF(COUNTIFS($C$5:$C766,$C766,$K$5:$K766,$K766)=1,1,0))</f>
        <v>0</v>
      </c>
      <c r="AL766" s="43" t="str">
        <f>IF($AK766=1,SUMIFS($AK$4:$AK765,$C$4:$C765,$C766)+1,"")</f>
        <v/>
      </c>
      <c r="AM766" s="43">
        <f>IF(OR($C766="",$G766=""),0,IF(COUNTIFS($C$5:$C766,$C766,$G$5:$G766,$G766)=1,1,0))</f>
        <v>0</v>
      </c>
      <c r="AN766" s="43" t="str">
        <f>IF($AM766=1,SUMIFS($AM$4:$AM765,$C$4:$C765,$C766)+1,"")</f>
        <v/>
      </c>
    </row>
    <row r="767">
      <c r="A767" s="44" t="str">
        <f>IF(OR($B767="",$D767=""),"","TX"&amp;TEXT(ROW()-4,"0000"))</f>
        <v/>
      </c>
      <c r="B767" s="42" t="n"/>
      <c r="C767" s="47" t="str">
        <f>IF($B767="","",YEAR($B767)*100+MONTH($B767))</f>
        <v/>
      </c>
      <c r="D767" s="37" t="n"/>
      <c r="E767" s="45" t="str">
        <f>IF($D767="","",IFERROR(INDEX(CARDS!$B$5:$B$34,MATCH($D767,CARDS!$A$5:$A$34,0)),"⚠ Card ID?"))</f>
        <v/>
      </c>
      <c r="F767" s="45" t="str">
        <f>IF($D767="","",IFERROR(INDEX(CARDS!$C$5:$C$34,MATCH($D767,CARDS!$A$5:$A$34,0)),"⚠ Card ID?"))</f>
        <v/>
      </c>
      <c r="G767" s="37" t="n"/>
      <c r="H767" s="37" t="n"/>
      <c r="I767" s="41" t="n"/>
      <c r="J767" s="45" t="str">
        <f>IF($I767="","",IFERROR(INDEX(MCC_MASTER!$B$5:$B$504,MATCH($I767,MCC_MASTER!$A$5:$A$504,0)),"⚠ MCC chưa có"))</f>
        <v/>
      </c>
      <c r="K767" s="45" t="str">
        <f>IF($I767="","",IFERROR(IF(INDEX(MCC_MASTER!$C$5:$C$504,MATCH($I767,MCC_MASTER!$A$5:$A$504,0))="","Chưa phân loại",INDEX(MCC_MASTER!$C$5:$C$504,MATCH($I767,MCC_MASTER!$A$5:$A$504,0))),"Chưa phân loại"))</f>
        <v/>
      </c>
      <c r="L767" s="40" t="n"/>
      <c r="M767" s="48" t="str">
        <f>IF(OR($B767="",$D767=""),"",IF($AC767=0,0,IF(ISNUMBER(INDEX(CASHBACK_RULES!$L$5:$L$304,$AC767)),MAX(0,MIN($L767,INDEX(CASHBACK_RULES!$L$5:$L$304,$AC767)-$AH767)),MAX(0,$L767))))</f>
        <v/>
      </c>
      <c r="N767" s="49" t="str">
        <f>IF(OR($B767="",$D767=""),"",IF($AC767&gt;0,INDEX(CASHBACK_RULES!$I$5:$I$304,$AC767),0))</f>
        <v/>
      </c>
      <c r="O767" s="48" t="str">
        <f>IF(OR($B767="",$D767=""),"",ROUND($M767*$N767,0))</f>
        <v/>
      </c>
      <c r="P767" s="48" t="str">
        <f>IF($AC767&gt;0,IF(ISNUMBER(INDEX(CASHBACK_RULES!$J$5:$J$304,$AC767)),INDEX(CASHBACK_RULES!$J$5:$J$304,$AC767),"∞"),"")</f>
        <v/>
      </c>
      <c r="Q767" s="48" t="str">
        <f>IF(OR($B767="",$D767=""),"",IF($AC767=0,0,MAX(0,MIN($O767,IF(ISNUMBER($P767),$P767-$AF767,1E+15),IF(ISNUMBER($AA767),$AA767-$AG767,1E+15)))))</f>
        <v/>
      </c>
      <c r="R767" s="48" t="str">
        <f>IF(OR($B767="",$D767=""),"",IF($AC767=0,"",IF(AND(NOT(ISNUMBER($P767)),NOT(ISNUMBER($AA767))),"∞",MAX(0,MIN(IF(ISNUMBER($P767),$P767-$AF767-$Q767,1E+15),IF(ISNUMBER($AA767),$AA767-$AG767-$Q767,1E+15))))))</f>
        <v/>
      </c>
      <c r="S767" s="47" t="str">
        <f>IF($AD767="","",YEAR($AD767)*100+MONTH($AD767))</f>
        <v/>
      </c>
      <c r="T767" s="50" t="str">
        <f>IF($AD767="","",IFERROR(IF(INDEX(CARDS!$I$5:$I$34,MATCH($D767,CARDS!$A$5:$A$34,0))="","",IF(INDEX(CARDS!$I$5:$I$34,MATCH($D767,CARDS!$A$5:$A$34,0))&gt;INDEX(CARDS!$H$5:$H$34,MATCH($D767,CARDS!$A$5:$A$34,0)),DATE(YEAR($AD767),MONTH($AD767),MIN(INDEX(CARDS!$I$5:$I$34,MATCH($D767,CARDS!$A$5:$A$34,0)),DAY(EOMONTH($AD767,0)))),DATE(YEAR($AD767),MONTH($AD767)+1,MIN(INDEX(CARDS!$I$5:$I$34,MATCH($D767,CARDS!$A$5:$A$34,0)),DAY(EOMONTH($AD767,1)))))),""))</f>
        <v/>
      </c>
      <c r="U767" s="38" t="n"/>
      <c r="V767" s="37" t="n"/>
      <c r="W767" s="38" t="n"/>
      <c r="X767" s="38" t="n"/>
      <c r="Y767" s="44" t="str">
        <f>IF($AC767&gt;0,INDEX(CASHBACK_RULES!$A$5:$A$304,$AC767),"")</f>
        <v/>
      </c>
      <c r="Z767" s="45" t="str">
        <f>IF($AC767&gt;0,INDEX(CASHBACK_RULES!$E$5:$E$304,$AC767)&amp;"","")</f>
        <v/>
      </c>
      <c r="AA767" s="48" t="str">
        <f>IF($AC767&gt;0,IF(ISNUMBER(INDEX(CASHBACK_RULES!$K$5:$K$304,$AC767)),INDEX(CASHBACK_RULES!$K$5:$K$304,$AC767),"∞"),"")</f>
        <v/>
      </c>
      <c r="AB767" s="44" t="str">
        <f>IF(OR($B767="",$D767=""),"",IF($U767="Cancelled","Đã hủy",IF($AC767=0,"Không được hoàn",IF($Q767=0,IF(OR($O767&gt;0,$M767&lt;$L767),"Đã đạt cap","Không được hoàn"),IF(OR($Q767&lt;$O767,$M767&lt;$L767),"Hoàn một phần","Được hoàn")))))</f>
        <v/>
      </c>
      <c r="AC767" s="43">
        <f>IF(OR($B767="",$D767="",$I767="",$L767=""),0,IF($U767="Cancelled",0,IF($W767&lt;&gt;"",IFERROR(IF(INDEX(CASHBACK_RULES!$B$5:$B$304,MATCH($W767,CASHBACK_RULES!$A$5:$A$304,0))=$D767,MATCH($W767,CASHBACK_RULES!$A$5:$A$304,0),0),0),IFERROR(MATCH(1,INDEX((CASHBACK_RULES!$B$5:$B$304=$D767)*(CASHBACK_RULES!$G$5:$G$304=$I767)*(((CASHBACK_RULES!$N$5:$N$304="")+(CASHBACK_RULES!$N$5:$N$304&lt;=$B767))&gt;0)*(((CASHBACK_RULES!$O$5:$O$304="")+(CASHBACK_RULES!$O$5:$O$304&gt;=$B767))&gt;0)*(((CASHBACK_RULES!$M$5:$M$304="")+(CASHBACK_RULES!$M$5:$M$304&lt;=$L767))&gt;0),0),0),0))))</f>
        <v>0</v>
      </c>
      <c r="AD767" s="51" t="str">
        <f>IF(OR($B767="",$D767=""),"",IFERROR(IF(INDEX(CARDS!$H$5:$H$34,MATCH($D767,CARDS!$A$5:$A$34,0))="","",IF(DAY($B767)&lt;=INDEX(CARDS!$H$5:$H$34,MATCH($D767,CARDS!$A$5:$A$34,0)),DATE(YEAR($B767),MONTH($B767),MIN(INDEX(CARDS!$H$5:$H$34,MATCH($D767,CARDS!$A$5:$A$34,0)),DAY(EOMONTH($B767,0)))),DATE(YEAR($B767),MONTH($B767)+1,MIN(INDEX(CARDS!$H$5:$H$34,MATCH($D767,CARDS!$A$5:$A$34,0)),DAY(EOMONTH($B767,1)))))),""))</f>
        <v/>
      </c>
      <c r="AE767" s="52" t="str">
        <f>IF($C767="","",$C767&amp;"|"&amp;COUNTIF($C$5:$C767,$C767))</f>
        <v/>
      </c>
      <c r="AF767" s="53">
        <f>IF($AC767&gt;0,SUMIFS(Q$4:Q766,$D$4:$D766,$D767,$Z$4:$Z766,$Z767,$C$4:$C766,$C767),0)</f>
        <v>0</v>
      </c>
      <c r="AG767" s="53">
        <f>IF($AC767&gt;0,SUMIFS(Q$4:Q766,$D$4:$D766,$D767,$C$4:$C766,$C767),0)</f>
        <v>0</v>
      </c>
      <c r="AH767" s="53">
        <f>IF($AC767&gt;0,SUMIFS(M$4:M766,$D$4:$D766,$D767,$Z$4:$Z766,$Z767,$C$4:$C766,$C767),0)</f>
        <v>0</v>
      </c>
      <c r="AI767" s="43">
        <f>IF(OR($C767="",$I767=""),0,IF(COUNTIFS($C$5:$C767,$C767,$I$5:$I767,$I767)=1,1,0))</f>
        <v>0</v>
      </c>
      <c r="AJ767" s="43" t="str">
        <f>IF($AI767=1,SUMIFS($AI$4:$AI766,$C$4:$C766,$C767)+1,"")</f>
        <v/>
      </c>
      <c r="AK767" s="43">
        <f>IF(OR($C767="",$K767=""),0,IF(COUNTIFS($C$5:$C767,$C767,$K$5:$K767,$K767)=1,1,0))</f>
        <v>0</v>
      </c>
      <c r="AL767" s="43" t="str">
        <f>IF($AK767=1,SUMIFS($AK$4:$AK766,$C$4:$C766,$C767)+1,"")</f>
        <v/>
      </c>
      <c r="AM767" s="43">
        <f>IF(OR($C767="",$G767=""),0,IF(COUNTIFS($C$5:$C767,$C767,$G$5:$G767,$G767)=1,1,0))</f>
        <v>0</v>
      </c>
      <c r="AN767" s="43" t="str">
        <f>IF($AM767=1,SUMIFS($AM$4:$AM766,$C$4:$C766,$C767)+1,"")</f>
        <v/>
      </c>
    </row>
    <row r="768">
      <c r="A768" s="44" t="str">
        <f>IF(OR($B768="",$D768=""),"","TX"&amp;TEXT(ROW()-4,"0000"))</f>
        <v/>
      </c>
      <c r="B768" s="42" t="n"/>
      <c r="C768" s="47" t="str">
        <f>IF($B768="","",YEAR($B768)*100+MONTH($B768))</f>
        <v/>
      </c>
      <c r="D768" s="37" t="n"/>
      <c r="E768" s="45" t="str">
        <f>IF($D768="","",IFERROR(INDEX(CARDS!$B$5:$B$34,MATCH($D768,CARDS!$A$5:$A$34,0)),"⚠ Card ID?"))</f>
        <v/>
      </c>
      <c r="F768" s="45" t="str">
        <f>IF($D768="","",IFERROR(INDEX(CARDS!$C$5:$C$34,MATCH($D768,CARDS!$A$5:$A$34,0)),"⚠ Card ID?"))</f>
        <v/>
      </c>
      <c r="G768" s="37" t="n"/>
      <c r="H768" s="37" t="n"/>
      <c r="I768" s="41" t="n"/>
      <c r="J768" s="45" t="str">
        <f>IF($I768="","",IFERROR(INDEX(MCC_MASTER!$B$5:$B$504,MATCH($I768,MCC_MASTER!$A$5:$A$504,0)),"⚠ MCC chưa có"))</f>
        <v/>
      </c>
      <c r="K768" s="45" t="str">
        <f>IF($I768="","",IFERROR(IF(INDEX(MCC_MASTER!$C$5:$C$504,MATCH($I768,MCC_MASTER!$A$5:$A$504,0))="","Chưa phân loại",INDEX(MCC_MASTER!$C$5:$C$504,MATCH($I768,MCC_MASTER!$A$5:$A$504,0))),"Chưa phân loại"))</f>
        <v/>
      </c>
      <c r="L768" s="40" t="n"/>
      <c r="M768" s="48" t="str">
        <f>IF(OR($B768="",$D768=""),"",IF($AC768=0,0,IF(ISNUMBER(INDEX(CASHBACK_RULES!$L$5:$L$304,$AC768)),MAX(0,MIN($L768,INDEX(CASHBACK_RULES!$L$5:$L$304,$AC768)-$AH768)),MAX(0,$L768))))</f>
        <v/>
      </c>
      <c r="N768" s="49" t="str">
        <f>IF(OR($B768="",$D768=""),"",IF($AC768&gt;0,INDEX(CASHBACK_RULES!$I$5:$I$304,$AC768),0))</f>
        <v/>
      </c>
      <c r="O768" s="48" t="str">
        <f>IF(OR($B768="",$D768=""),"",ROUND($M768*$N768,0))</f>
        <v/>
      </c>
      <c r="P768" s="48" t="str">
        <f>IF($AC768&gt;0,IF(ISNUMBER(INDEX(CASHBACK_RULES!$J$5:$J$304,$AC768)),INDEX(CASHBACK_RULES!$J$5:$J$304,$AC768),"∞"),"")</f>
        <v/>
      </c>
      <c r="Q768" s="48" t="str">
        <f>IF(OR($B768="",$D768=""),"",IF($AC768=0,0,MAX(0,MIN($O768,IF(ISNUMBER($P768),$P768-$AF768,1E+15),IF(ISNUMBER($AA768),$AA768-$AG768,1E+15)))))</f>
        <v/>
      </c>
      <c r="R768" s="48" t="str">
        <f>IF(OR($B768="",$D768=""),"",IF($AC768=0,"",IF(AND(NOT(ISNUMBER($P768)),NOT(ISNUMBER($AA768))),"∞",MAX(0,MIN(IF(ISNUMBER($P768),$P768-$AF768-$Q768,1E+15),IF(ISNUMBER($AA768),$AA768-$AG768-$Q768,1E+15))))))</f>
        <v/>
      </c>
      <c r="S768" s="47" t="str">
        <f>IF($AD768="","",YEAR($AD768)*100+MONTH($AD768))</f>
        <v/>
      </c>
      <c r="T768" s="50" t="str">
        <f>IF($AD768="","",IFERROR(IF(INDEX(CARDS!$I$5:$I$34,MATCH($D768,CARDS!$A$5:$A$34,0))="","",IF(INDEX(CARDS!$I$5:$I$34,MATCH($D768,CARDS!$A$5:$A$34,0))&gt;INDEX(CARDS!$H$5:$H$34,MATCH($D768,CARDS!$A$5:$A$34,0)),DATE(YEAR($AD768),MONTH($AD768),MIN(INDEX(CARDS!$I$5:$I$34,MATCH($D768,CARDS!$A$5:$A$34,0)),DAY(EOMONTH($AD768,0)))),DATE(YEAR($AD768),MONTH($AD768)+1,MIN(INDEX(CARDS!$I$5:$I$34,MATCH($D768,CARDS!$A$5:$A$34,0)),DAY(EOMONTH($AD768,1)))))),""))</f>
        <v/>
      </c>
      <c r="U768" s="38" t="n"/>
      <c r="V768" s="37" t="n"/>
      <c r="W768" s="38" t="n"/>
      <c r="X768" s="38" t="n"/>
      <c r="Y768" s="44" t="str">
        <f>IF($AC768&gt;0,INDEX(CASHBACK_RULES!$A$5:$A$304,$AC768),"")</f>
        <v/>
      </c>
      <c r="Z768" s="45" t="str">
        <f>IF($AC768&gt;0,INDEX(CASHBACK_RULES!$E$5:$E$304,$AC768)&amp;"","")</f>
        <v/>
      </c>
      <c r="AA768" s="48" t="str">
        <f>IF($AC768&gt;0,IF(ISNUMBER(INDEX(CASHBACK_RULES!$K$5:$K$304,$AC768)),INDEX(CASHBACK_RULES!$K$5:$K$304,$AC768),"∞"),"")</f>
        <v/>
      </c>
      <c r="AB768" s="44" t="str">
        <f>IF(OR($B768="",$D768=""),"",IF($U768="Cancelled","Đã hủy",IF($AC768=0,"Không được hoàn",IF($Q768=0,IF(OR($O768&gt;0,$M768&lt;$L768),"Đã đạt cap","Không được hoàn"),IF(OR($Q768&lt;$O768,$M768&lt;$L768),"Hoàn một phần","Được hoàn")))))</f>
        <v/>
      </c>
      <c r="AC768" s="43">
        <f>IF(OR($B768="",$D768="",$I768="",$L768=""),0,IF($U768="Cancelled",0,IF($W768&lt;&gt;"",IFERROR(IF(INDEX(CASHBACK_RULES!$B$5:$B$304,MATCH($W768,CASHBACK_RULES!$A$5:$A$304,0))=$D768,MATCH($W768,CASHBACK_RULES!$A$5:$A$304,0),0),0),IFERROR(MATCH(1,INDEX((CASHBACK_RULES!$B$5:$B$304=$D768)*(CASHBACK_RULES!$G$5:$G$304=$I768)*(((CASHBACK_RULES!$N$5:$N$304="")+(CASHBACK_RULES!$N$5:$N$304&lt;=$B768))&gt;0)*(((CASHBACK_RULES!$O$5:$O$304="")+(CASHBACK_RULES!$O$5:$O$304&gt;=$B768))&gt;0)*(((CASHBACK_RULES!$M$5:$M$304="")+(CASHBACK_RULES!$M$5:$M$304&lt;=$L768))&gt;0),0),0),0))))</f>
        <v>0</v>
      </c>
      <c r="AD768" s="51" t="str">
        <f>IF(OR($B768="",$D768=""),"",IFERROR(IF(INDEX(CARDS!$H$5:$H$34,MATCH($D768,CARDS!$A$5:$A$34,0))="","",IF(DAY($B768)&lt;=INDEX(CARDS!$H$5:$H$34,MATCH($D768,CARDS!$A$5:$A$34,0)),DATE(YEAR($B768),MONTH($B768),MIN(INDEX(CARDS!$H$5:$H$34,MATCH($D768,CARDS!$A$5:$A$34,0)),DAY(EOMONTH($B768,0)))),DATE(YEAR($B768),MONTH($B768)+1,MIN(INDEX(CARDS!$H$5:$H$34,MATCH($D768,CARDS!$A$5:$A$34,0)),DAY(EOMONTH($B768,1)))))),""))</f>
        <v/>
      </c>
      <c r="AE768" s="52" t="str">
        <f>IF($C768="","",$C768&amp;"|"&amp;COUNTIF($C$5:$C768,$C768))</f>
        <v/>
      </c>
      <c r="AF768" s="53">
        <f>IF($AC768&gt;0,SUMIFS(Q$4:Q767,$D$4:$D767,$D768,$Z$4:$Z767,$Z768,$C$4:$C767,$C768),0)</f>
        <v>0</v>
      </c>
      <c r="AG768" s="53">
        <f>IF($AC768&gt;0,SUMIFS(Q$4:Q767,$D$4:$D767,$D768,$C$4:$C767,$C768),0)</f>
        <v>0</v>
      </c>
      <c r="AH768" s="53">
        <f>IF($AC768&gt;0,SUMIFS(M$4:M767,$D$4:$D767,$D768,$Z$4:$Z767,$Z768,$C$4:$C767,$C768),0)</f>
        <v>0</v>
      </c>
      <c r="AI768" s="43">
        <f>IF(OR($C768="",$I768=""),0,IF(COUNTIFS($C$5:$C768,$C768,$I$5:$I768,$I768)=1,1,0))</f>
        <v>0</v>
      </c>
      <c r="AJ768" s="43" t="str">
        <f>IF($AI768=1,SUMIFS($AI$4:$AI767,$C$4:$C767,$C768)+1,"")</f>
        <v/>
      </c>
      <c r="AK768" s="43">
        <f>IF(OR($C768="",$K768=""),0,IF(COUNTIFS($C$5:$C768,$C768,$K$5:$K768,$K768)=1,1,0))</f>
        <v>0</v>
      </c>
      <c r="AL768" s="43" t="str">
        <f>IF($AK768=1,SUMIFS($AK$4:$AK767,$C$4:$C767,$C768)+1,"")</f>
        <v/>
      </c>
      <c r="AM768" s="43">
        <f>IF(OR($C768="",$G768=""),0,IF(COUNTIFS($C$5:$C768,$C768,$G$5:$G768,$G768)=1,1,0))</f>
        <v>0</v>
      </c>
      <c r="AN768" s="43" t="str">
        <f>IF($AM768=1,SUMIFS($AM$4:$AM767,$C$4:$C767,$C768)+1,"")</f>
        <v/>
      </c>
    </row>
    <row r="769">
      <c r="A769" s="44" t="str">
        <f>IF(OR($B769="",$D769=""),"","TX"&amp;TEXT(ROW()-4,"0000"))</f>
        <v/>
      </c>
      <c r="B769" s="42" t="n"/>
      <c r="C769" s="47" t="str">
        <f>IF($B769="","",YEAR($B769)*100+MONTH($B769))</f>
        <v/>
      </c>
      <c r="D769" s="37" t="n"/>
      <c r="E769" s="45" t="str">
        <f>IF($D769="","",IFERROR(INDEX(CARDS!$B$5:$B$34,MATCH($D769,CARDS!$A$5:$A$34,0)),"⚠ Card ID?"))</f>
        <v/>
      </c>
      <c r="F769" s="45" t="str">
        <f>IF($D769="","",IFERROR(INDEX(CARDS!$C$5:$C$34,MATCH($D769,CARDS!$A$5:$A$34,0)),"⚠ Card ID?"))</f>
        <v/>
      </c>
      <c r="G769" s="37" t="n"/>
      <c r="H769" s="37" t="n"/>
      <c r="I769" s="41" t="n"/>
      <c r="J769" s="45" t="str">
        <f>IF($I769="","",IFERROR(INDEX(MCC_MASTER!$B$5:$B$504,MATCH($I769,MCC_MASTER!$A$5:$A$504,0)),"⚠ MCC chưa có"))</f>
        <v/>
      </c>
      <c r="K769" s="45" t="str">
        <f>IF($I769="","",IFERROR(IF(INDEX(MCC_MASTER!$C$5:$C$504,MATCH($I769,MCC_MASTER!$A$5:$A$504,0))="","Chưa phân loại",INDEX(MCC_MASTER!$C$5:$C$504,MATCH($I769,MCC_MASTER!$A$5:$A$504,0))),"Chưa phân loại"))</f>
        <v/>
      </c>
      <c r="L769" s="40" t="n"/>
      <c r="M769" s="48" t="str">
        <f>IF(OR($B769="",$D769=""),"",IF($AC769=0,0,IF(ISNUMBER(INDEX(CASHBACK_RULES!$L$5:$L$304,$AC769)),MAX(0,MIN($L769,INDEX(CASHBACK_RULES!$L$5:$L$304,$AC769)-$AH769)),MAX(0,$L769))))</f>
        <v/>
      </c>
      <c r="N769" s="49" t="str">
        <f>IF(OR($B769="",$D769=""),"",IF($AC769&gt;0,INDEX(CASHBACK_RULES!$I$5:$I$304,$AC769),0))</f>
        <v/>
      </c>
      <c r="O769" s="48" t="str">
        <f>IF(OR($B769="",$D769=""),"",ROUND($M769*$N769,0))</f>
        <v/>
      </c>
      <c r="P769" s="48" t="str">
        <f>IF($AC769&gt;0,IF(ISNUMBER(INDEX(CASHBACK_RULES!$J$5:$J$304,$AC769)),INDEX(CASHBACK_RULES!$J$5:$J$304,$AC769),"∞"),"")</f>
        <v/>
      </c>
      <c r="Q769" s="48" t="str">
        <f>IF(OR($B769="",$D769=""),"",IF($AC769=0,0,MAX(0,MIN($O769,IF(ISNUMBER($P769),$P769-$AF769,1E+15),IF(ISNUMBER($AA769),$AA769-$AG769,1E+15)))))</f>
        <v/>
      </c>
      <c r="R769" s="48" t="str">
        <f>IF(OR($B769="",$D769=""),"",IF($AC769=0,"",IF(AND(NOT(ISNUMBER($P769)),NOT(ISNUMBER($AA769))),"∞",MAX(0,MIN(IF(ISNUMBER($P769),$P769-$AF769-$Q769,1E+15),IF(ISNUMBER($AA769),$AA769-$AG769-$Q769,1E+15))))))</f>
        <v/>
      </c>
      <c r="S769" s="47" t="str">
        <f>IF($AD769="","",YEAR($AD769)*100+MONTH($AD769))</f>
        <v/>
      </c>
      <c r="T769" s="50" t="str">
        <f>IF($AD769="","",IFERROR(IF(INDEX(CARDS!$I$5:$I$34,MATCH($D769,CARDS!$A$5:$A$34,0))="","",IF(INDEX(CARDS!$I$5:$I$34,MATCH($D769,CARDS!$A$5:$A$34,0))&gt;INDEX(CARDS!$H$5:$H$34,MATCH($D769,CARDS!$A$5:$A$34,0)),DATE(YEAR($AD769),MONTH($AD769),MIN(INDEX(CARDS!$I$5:$I$34,MATCH($D769,CARDS!$A$5:$A$34,0)),DAY(EOMONTH($AD769,0)))),DATE(YEAR($AD769),MONTH($AD769)+1,MIN(INDEX(CARDS!$I$5:$I$34,MATCH($D769,CARDS!$A$5:$A$34,0)),DAY(EOMONTH($AD769,1)))))),""))</f>
        <v/>
      </c>
      <c r="U769" s="38" t="n"/>
      <c r="V769" s="37" t="n"/>
      <c r="W769" s="38" t="n"/>
      <c r="X769" s="38" t="n"/>
      <c r="Y769" s="44" t="str">
        <f>IF($AC769&gt;0,INDEX(CASHBACK_RULES!$A$5:$A$304,$AC769),"")</f>
        <v/>
      </c>
      <c r="Z769" s="45" t="str">
        <f>IF($AC769&gt;0,INDEX(CASHBACK_RULES!$E$5:$E$304,$AC769)&amp;"","")</f>
        <v/>
      </c>
      <c r="AA769" s="48" t="str">
        <f>IF($AC769&gt;0,IF(ISNUMBER(INDEX(CASHBACK_RULES!$K$5:$K$304,$AC769)),INDEX(CASHBACK_RULES!$K$5:$K$304,$AC769),"∞"),"")</f>
        <v/>
      </c>
      <c r="AB769" s="44" t="str">
        <f>IF(OR($B769="",$D769=""),"",IF($U769="Cancelled","Đã hủy",IF($AC769=0,"Không được hoàn",IF($Q769=0,IF(OR($O769&gt;0,$M769&lt;$L769),"Đã đạt cap","Không được hoàn"),IF(OR($Q769&lt;$O769,$M769&lt;$L769),"Hoàn một phần","Được hoàn")))))</f>
        <v/>
      </c>
      <c r="AC769" s="43">
        <f>IF(OR($B769="",$D769="",$I769="",$L769=""),0,IF($U769="Cancelled",0,IF($W769&lt;&gt;"",IFERROR(IF(INDEX(CASHBACK_RULES!$B$5:$B$304,MATCH($W769,CASHBACK_RULES!$A$5:$A$304,0))=$D769,MATCH($W769,CASHBACK_RULES!$A$5:$A$304,0),0),0),IFERROR(MATCH(1,INDEX((CASHBACK_RULES!$B$5:$B$304=$D769)*(CASHBACK_RULES!$G$5:$G$304=$I769)*(((CASHBACK_RULES!$N$5:$N$304="")+(CASHBACK_RULES!$N$5:$N$304&lt;=$B769))&gt;0)*(((CASHBACK_RULES!$O$5:$O$304="")+(CASHBACK_RULES!$O$5:$O$304&gt;=$B769))&gt;0)*(((CASHBACK_RULES!$M$5:$M$304="")+(CASHBACK_RULES!$M$5:$M$304&lt;=$L769))&gt;0),0),0),0))))</f>
        <v>0</v>
      </c>
      <c r="AD769" s="51" t="str">
        <f>IF(OR($B769="",$D769=""),"",IFERROR(IF(INDEX(CARDS!$H$5:$H$34,MATCH($D769,CARDS!$A$5:$A$34,0))="","",IF(DAY($B769)&lt;=INDEX(CARDS!$H$5:$H$34,MATCH($D769,CARDS!$A$5:$A$34,0)),DATE(YEAR($B769),MONTH($B769),MIN(INDEX(CARDS!$H$5:$H$34,MATCH($D769,CARDS!$A$5:$A$34,0)),DAY(EOMONTH($B769,0)))),DATE(YEAR($B769),MONTH($B769)+1,MIN(INDEX(CARDS!$H$5:$H$34,MATCH($D769,CARDS!$A$5:$A$34,0)),DAY(EOMONTH($B769,1)))))),""))</f>
        <v/>
      </c>
      <c r="AE769" s="52" t="str">
        <f>IF($C769="","",$C769&amp;"|"&amp;COUNTIF($C$5:$C769,$C769))</f>
        <v/>
      </c>
      <c r="AF769" s="53">
        <f>IF($AC769&gt;0,SUMIFS(Q$4:Q768,$D$4:$D768,$D769,$Z$4:$Z768,$Z769,$C$4:$C768,$C769),0)</f>
        <v>0</v>
      </c>
      <c r="AG769" s="53">
        <f>IF($AC769&gt;0,SUMIFS(Q$4:Q768,$D$4:$D768,$D769,$C$4:$C768,$C769),0)</f>
        <v>0</v>
      </c>
      <c r="AH769" s="53">
        <f>IF($AC769&gt;0,SUMIFS(M$4:M768,$D$4:$D768,$D769,$Z$4:$Z768,$Z769,$C$4:$C768,$C769),0)</f>
        <v>0</v>
      </c>
      <c r="AI769" s="43">
        <f>IF(OR($C769="",$I769=""),0,IF(COUNTIFS($C$5:$C769,$C769,$I$5:$I769,$I769)=1,1,0))</f>
        <v>0</v>
      </c>
      <c r="AJ769" s="43" t="str">
        <f>IF($AI769=1,SUMIFS($AI$4:$AI768,$C$4:$C768,$C769)+1,"")</f>
        <v/>
      </c>
      <c r="AK769" s="43">
        <f>IF(OR($C769="",$K769=""),0,IF(COUNTIFS($C$5:$C769,$C769,$K$5:$K769,$K769)=1,1,0))</f>
        <v>0</v>
      </c>
      <c r="AL769" s="43" t="str">
        <f>IF($AK769=1,SUMIFS($AK$4:$AK768,$C$4:$C768,$C769)+1,"")</f>
        <v/>
      </c>
      <c r="AM769" s="43">
        <f>IF(OR($C769="",$G769=""),0,IF(COUNTIFS($C$5:$C769,$C769,$G$5:$G769,$G769)=1,1,0))</f>
        <v>0</v>
      </c>
      <c r="AN769" s="43" t="str">
        <f>IF($AM769=1,SUMIFS($AM$4:$AM768,$C$4:$C768,$C769)+1,"")</f>
        <v/>
      </c>
    </row>
    <row r="770">
      <c r="A770" s="44" t="str">
        <f>IF(OR($B770="",$D770=""),"","TX"&amp;TEXT(ROW()-4,"0000"))</f>
        <v/>
      </c>
      <c r="B770" s="42" t="n"/>
      <c r="C770" s="47" t="str">
        <f>IF($B770="","",YEAR($B770)*100+MONTH($B770))</f>
        <v/>
      </c>
      <c r="D770" s="37" t="n"/>
      <c r="E770" s="45" t="str">
        <f>IF($D770="","",IFERROR(INDEX(CARDS!$B$5:$B$34,MATCH($D770,CARDS!$A$5:$A$34,0)),"⚠ Card ID?"))</f>
        <v/>
      </c>
      <c r="F770" s="45" t="str">
        <f>IF($D770="","",IFERROR(INDEX(CARDS!$C$5:$C$34,MATCH($D770,CARDS!$A$5:$A$34,0)),"⚠ Card ID?"))</f>
        <v/>
      </c>
      <c r="G770" s="37" t="n"/>
      <c r="H770" s="37" t="n"/>
      <c r="I770" s="41" t="n"/>
      <c r="J770" s="45" t="str">
        <f>IF($I770="","",IFERROR(INDEX(MCC_MASTER!$B$5:$B$504,MATCH($I770,MCC_MASTER!$A$5:$A$504,0)),"⚠ MCC chưa có"))</f>
        <v/>
      </c>
      <c r="K770" s="45" t="str">
        <f>IF($I770="","",IFERROR(IF(INDEX(MCC_MASTER!$C$5:$C$504,MATCH($I770,MCC_MASTER!$A$5:$A$504,0))="","Chưa phân loại",INDEX(MCC_MASTER!$C$5:$C$504,MATCH($I770,MCC_MASTER!$A$5:$A$504,0))),"Chưa phân loại"))</f>
        <v/>
      </c>
      <c r="L770" s="40" t="n"/>
      <c r="M770" s="48" t="str">
        <f>IF(OR($B770="",$D770=""),"",IF($AC770=0,0,IF(ISNUMBER(INDEX(CASHBACK_RULES!$L$5:$L$304,$AC770)),MAX(0,MIN($L770,INDEX(CASHBACK_RULES!$L$5:$L$304,$AC770)-$AH770)),MAX(0,$L770))))</f>
        <v/>
      </c>
      <c r="N770" s="49" t="str">
        <f>IF(OR($B770="",$D770=""),"",IF($AC770&gt;0,INDEX(CASHBACK_RULES!$I$5:$I$304,$AC770),0))</f>
        <v/>
      </c>
      <c r="O770" s="48" t="str">
        <f>IF(OR($B770="",$D770=""),"",ROUND($M770*$N770,0))</f>
        <v/>
      </c>
      <c r="P770" s="48" t="str">
        <f>IF($AC770&gt;0,IF(ISNUMBER(INDEX(CASHBACK_RULES!$J$5:$J$304,$AC770)),INDEX(CASHBACK_RULES!$J$5:$J$304,$AC770),"∞"),"")</f>
        <v/>
      </c>
      <c r="Q770" s="48" t="str">
        <f>IF(OR($B770="",$D770=""),"",IF($AC770=0,0,MAX(0,MIN($O770,IF(ISNUMBER($P770),$P770-$AF770,1E+15),IF(ISNUMBER($AA770),$AA770-$AG770,1E+15)))))</f>
        <v/>
      </c>
      <c r="R770" s="48" t="str">
        <f>IF(OR($B770="",$D770=""),"",IF($AC770=0,"",IF(AND(NOT(ISNUMBER($P770)),NOT(ISNUMBER($AA770))),"∞",MAX(0,MIN(IF(ISNUMBER($P770),$P770-$AF770-$Q770,1E+15),IF(ISNUMBER($AA770),$AA770-$AG770-$Q770,1E+15))))))</f>
        <v/>
      </c>
      <c r="S770" s="47" t="str">
        <f>IF($AD770="","",YEAR($AD770)*100+MONTH($AD770))</f>
        <v/>
      </c>
      <c r="T770" s="50" t="str">
        <f>IF($AD770="","",IFERROR(IF(INDEX(CARDS!$I$5:$I$34,MATCH($D770,CARDS!$A$5:$A$34,0))="","",IF(INDEX(CARDS!$I$5:$I$34,MATCH($D770,CARDS!$A$5:$A$34,0))&gt;INDEX(CARDS!$H$5:$H$34,MATCH($D770,CARDS!$A$5:$A$34,0)),DATE(YEAR($AD770),MONTH($AD770),MIN(INDEX(CARDS!$I$5:$I$34,MATCH($D770,CARDS!$A$5:$A$34,0)),DAY(EOMONTH($AD770,0)))),DATE(YEAR($AD770),MONTH($AD770)+1,MIN(INDEX(CARDS!$I$5:$I$34,MATCH($D770,CARDS!$A$5:$A$34,0)),DAY(EOMONTH($AD770,1)))))),""))</f>
        <v/>
      </c>
      <c r="U770" s="38" t="n"/>
      <c r="V770" s="37" t="n"/>
      <c r="W770" s="38" t="n"/>
      <c r="X770" s="38" t="n"/>
      <c r="Y770" s="44" t="str">
        <f>IF($AC770&gt;0,INDEX(CASHBACK_RULES!$A$5:$A$304,$AC770),"")</f>
        <v/>
      </c>
      <c r="Z770" s="45" t="str">
        <f>IF($AC770&gt;0,INDEX(CASHBACK_RULES!$E$5:$E$304,$AC770)&amp;"","")</f>
        <v/>
      </c>
      <c r="AA770" s="48" t="str">
        <f>IF($AC770&gt;0,IF(ISNUMBER(INDEX(CASHBACK_RULES!$K$5:$K$304,$AC770)),INDEX(CASHBACK_RULES!$K$5:$K$304,$AC770),"∞"),"")</f>
        <v/>
      </c>
      <c r="AB770" s="44" t="str">
        <f>IF(OR($B770="",$D770=""),"",IF($U770="Cancelled","Đã hủy",IF($AC770=0,"Không được hoàn",IF($Q770=0,IF(OR($O770&gt;0,$M770&lt;$L770),"Đã đạt cap","Không được hoàn"),IF(OR($Q770&lt;$O770,$M770&lt;$L770),"Hoàn một phần","Được hoàn")))))</f>
        <v/>
      </c>
      <c r="AC770" s="43">
        <f>IF(OR($B770="",$D770="",$I770="",$L770=""),0,IF($U770="Cancelled",0,IF($W770&lt;&gt;"",IFERROR(IF(INDEX(CASHBACK_RULES!$B$5:$B$304,MATCH($W770,CASHBACK_RULES!$A$5:$A$304,0))=$D770,MATCH($W770,CASHBACK_RULES!$A$5:$A$304,0),0),0),IFERROR(MATCH(1,INDEX((CASHBACK_RULES!$B$5:$B$304=$D770)*(CASHBACK_RULES!$G$5:$G$304=$I770)*(((CASHBACK_RULES!$N$5:$N$304="")+(CASHBACK_RULES!$N$5:$N$304&lt;=$B770))&gt;0)*(((CASHBACK_RULES!$O$5:$O$304="")+(CASHBACK_RULES!$O$5:$O$304&gt;=$B770))&gt;0)*(((CASHBACK_RULES!$M$5:$M$304="")+(CASHBACK_RULES!$M$5:$M$304&lt;=$L770))&gt;0),0),0),0))))</f>
        <v>0</v>
      </c>
      <c r="AD770" s="51" t="str">
        <f>IF(OR($B770="",$D770=""),"",IFERROR(IF(INDEX(CARDS!$H$5:$H$34,MATCH($D770,CARDS!$A$5:$A$34,0))="","",IF(DAY($B770)&lt;=INDEX(CARDS!$H$5:$H$34,MATCH($D770,CARDS!$A$5:$A$34,0)),DATE(YEAR($B770),MONTH($B770),MIN(INDEX(CARDS!$H$5:$H$34,MATCH($D770,CARDS!$A$5:$A$34,0)),DAY(EOMONTH($B770,0)))),DATE(YEAR($B770),MONTH($B770)+1,MIN(INDEX(CARDS!$H$5:$H$34,MATCH($D770,CARDS!$A$5:$A$34,0)),DAY(EOMONTH($B770,1)))))),""))</f>
        <v/>
      </c>
      <c r="AE770" s="52" t="str">
        <f>IF($C770="","",$C770&amp;"|"&amp;COUNTIF($C$5:$C770,$C770))</f>
        <v/>
      </c>
      <c r="AF770" s="53">
        <f>IF($AC770&gt;0,SUMIFS(Q$4:Q769,$D$4:$D769,$D770,$Z$4:$Z769,$Z770,$C$4:$C769,$C770),0)</f>
        <v>0</v>
      </c>
      <c r="AG770" s="53">
        <f>IF($AC770&gt;0,SUMIFS(Q$4:Q769,$D$4:$D769,$D770,$C$4:$C769,$C770),0)</f>
        <v>0</v>
      </c>
      <c r="AH770" s="53">
        <f>IF($AC770&gt;0,SUMIFS(M$4:M769,$D$4:$D769,$D770,$Z$4:$Z769,$Z770,$C$4:$C769,$C770),0)</f>
        <v>0</v>
      </c>
      <c r="AI770" s="43">
        <f>IF(OR($C770="",$I770=""),0,IF(COUNTIFS($C$5:$C770,$C770,$I$5:$I770,$I770)=1,1,0))</f>
        <v>0</v>
      </c>
      <c r="AJ770" s="43" t="str">
        <f>IF($AI770=1,SUMIFS($AI$4:$AI769,$C$4:$C769,$C770)+1,"")</f>
        <v/>
      </c>
      <c r="AK770" s="43">
        <f>IF(OR($C770="",$K770=""),0,IF(COUNTIFS($C$5:$C770,$C770,$K$5:$K770,$K770)=1,1,0))</f>
        <v>0</v>
      </c>
      <c r="AL770" s="43" t="str">
        <f>IF($AK770=1,SUMIFS($AK$4:$AK769,$C$4:$C769,$C770)+1,"")</f>
        <v/>
      </c>
      <c r="AM770" s="43">
        <f>IF(OR($C770="",$G770=""),0,IF(COUNTIFS($C$5:$C770,$C770,$G$5:$G770,$G770)=1,1,0))</f>
        <v>0</v>
      </c>
      <c r="AN770" s="43" t="str">
        <f>IF($AM770=1,SUMIFS($AM$4:$AM769,$C$4:$C769,$C770)+1,"")</f>
        <v/>
      </c>
    </row>
    <row r="771">
      <c r="A771" s="44" t="str">
        <f>IF(OR($B771="",$D771=""),"","TX"&amp;TEXT(ROW()-4,"0000"))</f>
        <v/>
      </c>
      <c r="B771" s="42" t="n"/>
      <c r="C771" s="47" t="str">
        <f>IF($B771="","",YEAR($B771)*100+MONTH($B771))</f>
        <v/>
      </c>
      <c r="D771" s="37" t="n"/>
      <c r="E771" s="45" t="str">
        <f>IF($D771="","",IFERROR(INDEX(CARDS!$B$5:$B$34,MATCH($D771,CARDS!$A$5:$A$34,0)),"⚠ Card ID?"))</f>
        <v/>
      </c>
      <c r="F771" s="45" t="str">
        <f>IF($D771="","",IFERROR(INDEX(CARDS!$C$5:$C$34,MATCH($D771,CARDS!$A$5:$A$34,0)),"⚠ Card ID?"))</f>
        <v/>
      </c>
      <c r="G771" s="37" t="n"/>
      <c r="H771" s="37" t="n"/>
      <c r="I771" s="41" t="n"/>
      <c r="J771" s="45" t="str">
        <f>IF($I771="","",IFERROR(INDEX(MCC_MASTER!$B$5:$B$504,MATCH($I771,MCC_MASTER!$A$5:$A$504,0)),"⚠ MCC chưa có"))</f>
        <v/>
      </c>
      <c r="K771" s="45" t="str">
        <f>IF($I771="","",IFERROR(IF(INDEX(MCC_MASTER!$C$5:$C$504,MATCH($I771,MCC_MASTER!$A$5:$A$504,0))="","Chưa phân loại",INDEX(MCC_MASTER!$C$5:$C$504,MATCH($I771,MCC_MASTER!$A$5:$A$504,0))),"Chưa phân loại"))</f>
        <v/>
      </c>
      <c r="L771" s="40" t="n"/>
      <c r="M771" s="48" t="str">
        <f>IF(OR($B771="",$D771=""),"",IF($AC771=0,0,IF(ISNUMBER(INDEX(CASHBACK_RULES!$L$5:$L$304,$AC771)),MAX(0,MIN($L771,INDEX(CASHBACK_RULES!$L$5:$L$304,$AC771)-$AH771)),MAX(0,$L771))))</f>
        <v/>
      </c>
      <c r="N771" s="49" t="str">
        <f>IF(OR($B771="",$D771=""),"",IF($AC771&gt;0,INDEX(CASHBACK_RULES!$I$5:$I$304,$AC771),0))</f>
        <v/>
      </c>
      <c r="O771" s="48" t="str">
        <f>IF(OR($B771="",$D771=""),"",ROUND($M771*$N771,0))</f>
        <v/>
      </c>
      <c r="P771" s="48" t="str">
        <f>IF($AC771&gt;0,IF(ISNUMBER(INDEX(CASHBACK_RULES!$J$5:$J$304,$AC771)),INDEX(CASHBACK_RULES!$J$5:$J$304,$AC771),"∞"),"")</f>
        <v/>
      </c>
      <c r="Q771" s="48" t="str">
        <f>IF(OR($B771="",$D771=""),"",IF($AC771=0,0,MAX(0,MIN($O771,IF(ISNUMBER($P771),$P771-$AF771,1E+15),IF(ISNUMBER($AA771),$AA771-$AG771,1E+15)))))</f>
        <v/>
      </c>
      <c r="R771" s="48" t="str">
        <f>IF(OR($B771="",$D771=""),"",IF($AC771=0,"",IF(AND(NOT(ISNUMBER($P771)),NOT(ISNUMBER($AA771))),"∞",MAX(0,MIN(IF(ISNUMBER($P771),$P771-$AF771-$Q771,1E+15),IF(ISNUMBER($AA771),$AA771-$AG771-$Q771,1E+15))))))</f>
        <v/>
      </c>
      <c r="S771" s="47" t="str">
        <f>IF($AD771="","",YEAR($AD771)*100+MONTH($AD771))</f>
        <v/>
      </c>
      <c r="T771" s="50" t="str">
        <f>IF($AD771="","",IFERROR(IF(INDEX(CARDS!$I$5:$I$34,MATCH($D771,CARDS!$A$5:$A$34,0))="","",IF(INDEX(CARDS!$I$5:$I$34,MATCH($D771,CARDS!$A$5:$A$34,0))&gt;INDEX(CARDS!$H$5:$H$34,MATCH($D771,CARDS!$A$5:$A$34,0)),DATE(YEAR($AD771),MONTH($AD771),MIN(INDEX(CARDS!$I$5:$I$34,MATCH($D771,CARDS!$A$5:$A$34,0)),DAY(EOMONTH($AD771,0)))),DATE(YEAR($AD771),MONTH($AD771)+1,MIN(INDEX(CARDS!$I$5:$I$34,MATCH($D771,CARDS!$A$5:$A$34,0)),DAY(EOMONTH($AD771,1)))))),""))</f>
        <v/>
      </c>
      <c r="U771" s="38" t="n"/>
      <c r="V771" s="37" t="n"/>
      <c r="W771" s="38" t="n"/>
      <c r="X771" s="38" t="n"/>
      <c r="Y771" s="44" t="str">
        <f>IF($AC771&gt;0,INDEX(CASHBACK_RULES!$A$5:$A$304,$AC771),"")</f>
        <v/>
      </c>
      <c r="Z771" s="45" t="str">
        <f>IF($AC771&gt;0,INDEX(CASHBACK_RULES!$E$5:$E$304,$AC771)&amp;"","")</f>
        <v/>
      </c>
      <c r="AA771" s="48" t="str">
        <f>IF($AC771&gt;0,IF(ISNUMBER(INDEX(CASHBACK_RULES!$K$5:$K$304,$AC771)),INDEX(CASHBACK_RULES!$K$5:$K$304,$AC771),"∞"),"")</f>
        <v/>
      </c>
      <c r="AB771" s="44" t="str">
        <f>IF(OR($B771="",$D771=""),"",IF($U771="Cancelled","Đã hủy",IF($AC771=0,"Không được hoàn",IF($Q771=0,IF(OR($O771&gt;0,$M771&lt;$L771),"Đã đạt cap","Không được hoàn"),IF(OR($Q771&lt;$O771,$M771&lt;$L771),"Hoàn một phần","Được hoàn")))))</f>
        <v/>
      </c>
      <c r="AC771" s="43">
        <f>IF(OR($B771="",$D771="",$I771="",$L771=""),0,IF($U771="Cancelled",0,IF($W771&lt;&gt;"",IFERROR(IF(INDEX(CASHBACK_RULES!$B$5:$B$304,MATCH($W771,CASHBACK_RULES!$A$5:$A$304,0))=$D771,MATCH($W771,CASHBACK_RULES!$A$5:$A$304,0),0),0),IFERROR(MATCH(1,INDEX((CASHBACK_RULES!$B$5:$B$304=$D771)*(CASHBACK_RULES!$G$5:$G$304=$I771)*(((CASHBACK_RULES!$N$5:$N$304="")+(CASHBACK_RULES!$N$5:$N$304&lt;=$B771))&gt;0)*(((CASHBACK_RULES!$O$5:$O$304="")+(CASHBACK_RULES!$O$5:$O$304&gt;=$B771))&gt;0)*(((CASHBACK_RULES!$M$5:$M$304="")+(CASHBACK_RULES!$M$5:$M$304&lt;=$L771))&gt;0),0),0),0))))</f>
        <v>0</v>
      </c>
      <c r="AD771" s="51" t="str">
        <f>IF(OR($B771="",$D771=""),"",IFERROR(IF(INDEX(CARDS!$H$5:$H$34,MATCH($D771,CARDS!$A$5:$A$34,0))="","",IF(DAY($B771)&lt;=INDEX(CARDS!$H$5:$H$34,MATCH($D771,CARDS!$A$5:$A$34,0)),DATE(YEAR($B771),MONTH($B771),MIN(INDEX(CARDS!$H$5:$H$34,MATCH($D771,CARDS!$A$5:$A$34,0)),DAY(EOMONTH($B771,0)))),DATE(YEAR($B771),MONTH($B771)+1,MIN(INDEX(CARDS!$H$5:$H$34,MATCH($D771,CARDS!$A$5:$A$34,0)),DAY(EOMONTH($B771,1)))))),""))</f>
        <v/>
      </c>
      <c r="AE771" s="52" t="str">
        <f>IF($C771="","",$C771&amp;"|"&amp;COUNTIF($C$5:$C771,$C771))</f>
        <v/>
      </c>
      <c r="AF771" s="53">
        <f>IF($AC771&gt;0,SUMIFS(Q$4:Q770,$D$4:$D770,$D771,$Z$4:$Z770,$Z771,$C$4:$C770,$C771),0)</f>
        <v>0</v>
      </c>
      <c r="AG771" s="53">
        <f>IF($AC771&gt;0,SUMIFS(Q$4:Q770,$D$4:$D770,$D771,$C$4:$C770,$C771),0)</f>
        <v>0</v>
      </c>
      <c r="AH771" s="53">
        <f>IF($AC771&gt;0,SUMIFS(M$4:M770,$D$4:$D770,$D771,$Z$4:$Z770,$Z771,$C$4:$C770,$C771),0)</f>
        <v>0</v>
      </c>
      <c r="AI771" s="43">
        <f>IF(OR($C771="",$I771=""),0,IF(COUNTIFS($C$5:$C771,$C771,$I$5:$I771,$I771)=1,1,0))</f>
        <v>0</v>
      </c>
      <c r="AJ771" s="43" t="str">
        <f>IF($AI771=1,SUMIFS($AI$4:$AI770,$C$4:$C770,$C771)+1,"")</f>
        <v/>
      </c>
      <c r="AK771" s="43">
        <f>IF(OR($C771="",$K771=""),0,IF(COUNTIFS($C$5:$C771,$C771,$K$5:$K771,$K771)=1,1,0))</f>
        <v>0</v>
      </c>
      <c r="AL771" s="43" t="str">
        <f>IF($AK771=1,SUMIFS($AK$4:$AK770,$C$4:$C770,$C771)+1,"")</f>
        <v/>
      </c>
      <c r="AM771" s="43">
        <f>IF(OR($C771="",$G771=""),0,IF(COUNTIFS($C$5:$C771,$C771,$G$5:$G771,$G771)=1,1,0))</f>
        <v>0</v>
      </c>
      <c r="AN771" s="43" t="str">
        <f>IF($AM771=1,SUMIFS($AM$4:$AM770,$C$4:$C770,$C771)+1,"")</f>
        <v/>
      </c>
    </row>
    <row r="772">
      <c r="A772" s="44" t="str">
        <f>IF(OR($B772="",$D772=""),"","TX"&amp;TEXT(ROW()-4,"0000"))</f>
        <v/>
      </c>
      <c r="B772" s="42" t="n"/>
      <c r="C772" s="47" t="str">
        <f>IF($B772="","",YEAR($B772)*100+MONTH($B772))</f>
        <v/>
      </c>
      <c r="D772" s="37" t="n"/>
      <c r="E772" s="45" t="str">
        <f>IF($D772="","",IFERROR(INDEX(CARDS!$B$5:$B$34,MATCH($D772,CARDS!$A$5:$A$34,0)),"⚠ Card ID?"))</f>
        <v/>
      </c>
      <c r="F772" s="45" t="str">
        <f>IF($D772="","",IFERROR(INDEX(CARDS!$C$5:$C$34,MATCH($D772,CARDS!$A$5:$A$34,0)),"⚠ Card ID?"))</f>
        <v/>
      </c>
      <c r="G772" s="37" t="n"/>
      <c r="H772" s="37" t="n"/>
      <c r="I772" s="41" t="n"/>
      <c r="J772" s="45" t="str">
        <f>IF($I772="","",IFERROR(INDEX(MCC_MASTER!$B$5:$B$504,MATCH($I772,MCC_MASTER!$A$5:$A$504,0)),"⚠ MCC chưa có"))</f>
        <v/>
      </c>
      <c r="K772" s="45" t="str">
        <f>IF($I772="","",IFERROR(IF(INDEX(MCC_MASTER!$C$5:$C$504,MATCH($I772,MCC_MASTER!$A$5:$A$504,0))="","Chưa phân loại",INDEX(MCC_MASTER!$C$5:$C$504,MATCH($I772,MCC_MASTER!$A$5:$A$504,0))),"Chưa phân loại"))</f>
        <v/>
      </c>
      <c r="L772" s="40" t="n"/>
      <c r="M772" s="48" t="str">
        <f>IF(OR($B772="",$D772=""),"",IF($AC772=0,0,IF(ISNUMBER(INDEX(CASHBACK_RULES!$L$5:$L$304,$AC772)),MAX(0,MIN($L772,INDEX(CASHBACK_RULES!$L$5:$L$304,$AC772)-$AH772)),MAX(0,$L772))))</f>
        <v/>
      </c>
      <c r="N772" s="49" t="str">
        <f>IF(OR($B772="",$D772=""),"",IF($AC772&gt;0,INDEX(CASHBACK_RULES!$I$5:$I$304,$AC772),0))</f>
        <v/>
      </c>
      <c r="O772" s="48" t="str">
        <f>IF(OR($B772="",$D772=""),"",ROUND($M772*$N772,0))</f>
        <v/>
      </c>
      <c r="P772" s="48" t="str">
        <f>IF($AC772&gt;0,IF(ISNUMBER(INDEX(CASHBACK_RULES!$J$5:$J$304,$AC772)),INDEX(CASHBACK_RULES!$J$5:$J$304,$AC772),"∞"),"")</f>
        <v/>
      </c>
      <c r="Q772" s="48" t="str">
        <f>IF(OR($B772="",$D772=""),"",IF($AC772=0,0,MAX(0,MIN($O772,IF(ISNUMBER($P772),$P772-$AF772,1E+15),IF(ISNUMBER($AA772),$AA772-$AG772,1E+15)))))</f>
        <v/>
      </c>
      <c r="R772" s="48" t="str">
        <f>IF(OR($B772="",$D772=""),"",IF($AC772=0,"",IF(AND(NOT(ISNUMBER($P772)),NOT(ISNUMBER($AA772))),"∞",MAX(0,MIN(IF(ISNUMBER($P772),$P772-$AF772-$Q772,1E+15),IF(ISNUMBER($AA772),$AA772-$AG772-$Q772,1E+15))))))</f>
        <v/>
      </c>
      <c r="S772" s="47" t="str">
        <f>IF($AD772="","",YEAR($AD772)*100+MONTH($AD772))</f>
        <v/>
      </c>
      <c r="T772" s="50" t="str">
        <f>IF($AD772="","",IFERROR(IF(INDEX(CARDS!$I$5:$I$34,MATCH($D772,CARDS!$A$5:$A$34,0))="","",IF(INDEX(CARDS!$I$5:$I$34,MATCH($D772,CARDS!$A$5:$A$34,0))&gt;INDEX(CARDS!$H$5:$H$34,MATCH($D772,CARDS!$A$5:$A$34,0)),DATE(YEAR($AD772),MONTH($AD772),MIN(INDEX(CARDS!$I$5:$I$34,MATCH($D772,CARDS!$A$5:$A$34,0)),DAY(EOMONTH($AD772,0)))),DATE(YEAR($AD772),MONTH($AD772)+1,MIN(INDEX(CARDS!$I$5:$I$34,MATCH($D772,CARDS!$A$5:$A$34,0)),DAY(EOMONTH($AD772,1)))))),""))</f>
        <v/>
      </c>
      <c r="U772" s="38" t="n"/>
      <c r="V772" s="37" t="n"/>
      <c r="W772" s="38" t="n"/>
      <c r="X772" s="38" t="n"/>
      <c r="Y772" s="44" t="str">
        <f>IF($AC772&gt;0,INDEX(CASHBACK_RULES!$A$5:$A$304,$AC772),"")</f>
        <v/>
      </c>
      <c r="Z772" s="45" t="str">
        <f>IF($AC772&gt;0,INDEX(CASHBACK_RULES!$E$5:$E$304,$AC772)&amp;"","")</f>
        <v/>
      </c>
      <c r="AA772" s="48" t="str">
        <f>IF($AC772&gt;0,IF(ISNUMBER(INDEX(CASHBACK_RULES!$K$5:$K$304,$AC772)),INDEX(CASHBACK_RULES!$K$5:$K$304,$AC772),"∞"),"")</f>
        <v/>
      </c>
      <c r="AB772" s="44" t="str">
        <f>IF(OR($B772="",$D772=""),"",IF($U772="Cancelled","Đã hủy",IF($AC772=0,"Không được hoàn",IF($Q772=0,IF(OR($O772&gt;0,$M772&lt;$L772),"Đã đạt cap","Không được hoàn"),IF(OR($Q772&lt;$O772,$M772&lt;$L772),"Hoàn một phần","Được hoàn")))))</f>
        <v/>
      </c>
      <c r="AC772" s="43">
        <f>IF(OR($B772="",$D772="",$I772="",$L772=""),0,IF($U772="Cancelled",0,IF($W772&lt;&gt;"",IFERROR(IF(INDEX(CASHBACK_RULES!$B$5:$B$304,MATCH($W772,CASHBACK_RULES!$A$5:$A$304,0))=$D772,MATCH($W772,CASHBACK_RULES!$A$5:$A$304,0),0),0),IFERROR(MATCH(1,INDEX((CASHBACK_RULES!$B$5:$B$304=$D772)*(CASHBACK_RULES!$G$5:$G$304=$I772)*(((CASHBACK_RULES!$N$5:$N$304="")+(CASHBACK_RULES!$N$5:$N$304&lt;=$B772))&gt;0)*(((CASHBACK_RULES!$O$5:$O$304="")+(CASHBACK_RULES!$O$5:$O$304&gt;=$B772))&gt;0)*(((CASHBACK_RULES!$M$5:$M$304="")+(CASHBACK_RULES!$M$5:$M$304&lt;=$L772))&gt;0),0),0),0))))</f>
        <v>0</v>
      </c>
      <c r="AD772" s="51" t="str">
        <f>IF(OR($B772="",$D772=""),"",IFERROR(IF(INDEX(CARDS!$H$5:$H$34,MATCH($D772,CARDS!$A$5:$A$34,0))="","",IF(DAY($B772)&lt;=INDEX(CARDS!$H$5:$H$34,MATCH($D772,CARDS!$A$5:$A$34,0)),DATE(YEAR($B772),MONTH($B772),MIN(INDEX(CARDS!$H$5:$H$34,MATCH($D772,CARDS!$A$5:$A$34,0)),DAY(EOMONTH($B772,0)))),DATE(YEAR($B772),MONTH($B772)+1,MIN(INDEX(CARDS!$H$5:$H$34,MATCH($D772,CARDS!$A$5:$A$34,0)),DAY(EOMONTH($B772,1)))))),""))</f>
        <v/>
      </c>
      <c r="AE772" s="52" t="str">
        <f>IF($C772="","",$C772&amp;"|"&amp;COUNTIF($C$5:$C772,$C772))</f>
        <v/>
      </c>
      <c r="AF772" s="53">
        <f>IF($AC772&gt;0,SUMIFS(Q$4:Q771,$D$4:$D771,$D772,$Z$4:$Z771,$Z772,$C$4:$C771,$C772),0)</f>
        <v>0</v>
      </c>
      <c r="AG772" s="53">
        <f>IF($AC772&gt;0,SUMIFS(Q$4:Q771,$D$4:$D771,$D772,$C$4:$C771,$C772),0)</f>
        <v>0</v>
      </c>
      <c r="AH772" s="53">
        <f>IF($AC772&gt;0,SUMIFS(M$4:M771,$D$4:$D771,$D772,$Z$4:$Z771,$Z772,$C$4:$C771,$C772),0)</f>
        <v>0</v>
      </c>
      <c r="AI772" s="43">
        <f>IF(OR($C772="",$I772=""),0,IF(COUNTIFS($C$5:$C772,$C772,$I$5:$I772,$I772)=1,1,0))</f>
        <v>0</v>
      </c>
      <c r="AJ772" s="43" t="str">
        <f>IF($AI772=1,SUMIFS($AI$4:$AI771,$C$4:$C771,$C772)+1,"")</f>
        <v/>
      </c>
      <c r="AK772" s="43">
        <f>IF(OR($C772="",$K772=""),0,IF(COUNTIFS($C$5:$C772,$C772,$K$5:$K772,$K772)=1,1,0))</f>
        <v>0</v>
      </c>
      <c r="AL772" s="43" t="str">
        <f>IF($AK772=1,SUMIFS($AK$4:$AK771,$C$4:$C771,$C772)+1,"")</f>
        <v/>
      </c>
      <c r="AM772" s="43">
        <f>IF(OR($C772="",$G772=""),0,IF(COUNTIFS($C$5:$C772,$C772,$G$5:$G772,$G772)=1,1,0))</f>
        <v>0</v>
      </c>
      <c r="AN772" s="43" t="str">
        <f>IF($AM772=1,SUMIFS($AM$4:$AM771,$C$4:$C771,$C772)+1,"")</f>
        <v/>
      </c>
    </row>
    <row r="773">
      <c r="A773" s="44" t="str">
        <f>IF(OR($B773="",$D773=""),"","TX"&amp;TEXT(ROW()-4,"0000"))</f>
        <v/>
      </c>
      <c r="B773" s="42" t="n"/>
      <c r="C773" s="47" t="str">
        <f>IF($B773="","",YEAR($B773)*100+MONTH($B773))</f>
        <v/>
      </c>
      <c r="D773" s="37" t="n"/>
      <c r="E773" s="45" t="str">
        <f>IF($D773="","",IFERROR(INDEX(CARDS!$B$5:$B$34,MATCH($D773,CARDS!$A$5:$A$34,0)),"⚠ Card ID?"))</f>
        <v/>
      </c>
      <c r="F773" s="45" t="str">
        <f>IF($D773="","",IFERROR(INDEX(CARDS!$C$5:$C$34,MATCH($D773,CARDS!$A$5:$A$34,0)),"⚠ Card ID?"))</f>
        <v/>
      </c>
      <c r="G773" s="37" t="n"/>
      <c r="H773" s="37" t="n"/>
      <c r="I773" s="41" t="n"/>
      <c r="J773" s="45" t="str">
        <f>IF($I773="","",IFERROR(INDEX(MCC_MASTER!$B$5:$B$504,MATCH($I773,MCC_MASTER!$A$5:$A$504,0)),"⚠ MCC chưa có"))</f>
        <v/>
      </c>
      <c r="K773" s="45" t="str">
        <f>IF($I773="","",IFERROR(IF(INDEX(MCC_MASTER!$C$5:$C$504,MATCH($I773,MCC_MASTER!$A$5:$A$504,0))="","Chưa phân loại",INDEX(MCC_MASTER!$C$5:$C$504,MATCH($I773,MCC_MASTER!$A$5:$A$504,0))),"Chưa phân loại"))</f>
        <v/>
      </c>
      <c r="L773" s="40" t="n"/>
      <c r="M773" s="48" t="str">
        <f>IF(OR($B773="",$D773=""),"",IF($AC773=0,0,IF(ISNUMBER(INDEX(CASHBACK_RULES!$L$5:$L$304,$AC773)),MAX(0,MIN($L773,INDEX(CASHBACK_RULES!$L$5:$L$304,$AC773)-$AH773)),MAX(0,$L773))))</f>
        <v/>
      </c>
      <c r="N773" s="49" t="str">
        <f>IF(OR($B773="",$D773=""),"",IF($AC773&gt;0,INDEX(CASHBACK_RULES!$I$5:$I$304,$AC773),0))</f>
        <v/>
      </c>
      <c r="O773" s="48" t="str">
        <f>IF(OR($B773="",$D773=""),"",ROUND($M773*$N773,0))</f>
        <v/>
      </c>
      <c r="P773" s="48" t="str">
        <f>IF($AC773&gt;0,IF(ISNUMBER(INDEX(CASHBACK_RULES!$J$5:$J$304,$AC773)),INDEX(CASHBACK_RULES!$J$5:$J$304,$AC773),"∞"),"")</f>
        <v/>
      </c>
      <c r="Q773" s="48" t="str">
        <f>IF(OR($B773="",$D773=""),"",IF($AC773=0,0,MAX(0,MIN($O773,IF(ISNUMBER($P773),$P773-$AF773,1E+15),IF(ISNUMBER($AA773),$AA773-$AG773,1E+15)))))</f>
        <v/>
      </c>
      <c r="R773" s="48" t="str">
        <f>IF(OR($B773="",$D773=""),"",IF($AC773=0,"",IF(AND(NOT(ISNUMBER($P773)),NOT(ISNUMBER($AA773))),"∞",MAX(0,MIN(IF(ISNUMBER($P773),$P773-$AF773-$Q773,1E+15),IF(ISNUMBER($AA773),$AA773-$AG773-$Q773,1E+15))))))</f>
        <v/>
      </c>
      <c r="S773" s="47" t="str">
        <f>IF($AD773="","",YEAR($AD773)*100+MONTH($AD773))</f>
        <v/>
      </c>
      <c r="T773" s="50" t="str">
        <f>IF($AD773="","",IFERROR(IF(INDEX(CARDS!$I$5:$I$34,MATCH($D773,CARDS!$A$5:$A$34,0))="","",IF(INDEX(CARDS!$I$5:$I$34,MATCH($D773,CARDS!$A$5:$A$34,0))&gt;INDEX(CARDS!$H$5:$H$34,MATCH($D773,CARDS!$A$5:$A$34,0)),DATE(YEAR($AD773),MONTH($AD773),MIN(INDEX(CARDS!$I$5:$I$34,MATCH($D773,CARDS!$A$5:$A$34,0)),DAY(EOMONTH($AD773,0)))),DATE(YEAR($AD773),MONTH($AD773)+1,MIN(INDEX(CARDS!$I$5:$I$34,MATCH($D773,CARDS!$A$5:$A$34,0)),DAY(EOMONTH($AD773,1)))))),""))</f>
        <v/>
      </c>
      <c r="U773" s="38" t="n"/>
      <c r="V773" s="37" t="n"/>
      <c r="W773" s="38" t="n"/>
      <c r="X773" s="38" t="n"/>
      <c r="Y773" s="44" t="str">
        <f>IF($AC773&gt;0,INDEX(CASHBACK_RULES!$A$5:$A$304,$AC773),"")</f>
        <v/>
      </c>
      <c r="Z773" s="45" t="str">
        <f>IF($AC773&gt;0,INDEX(CASHBACK_RULES!$E$5:$E$304,$AC773)&amp;"","")</f>
        <v/>
      </c>
      <c r="AA773" s="48" t="str">
        <f>IF($AC773&gt;0,IF(ISNUMBER(INDEX(CASHBACK_RULES!$K$5:$K$304,$AC773)),INDEX(CASHBACK_RULES!$K$5:$K$304,$AC773),"∞"),"")</f>
        <v/>
      </c>
      <c r="AB773" s="44" t="str">
        <f>IF(OR($B773="",$D773=""),"",IF($U773="Cancelled","Đã hủy",IF($AC773=0,"Không được hoàn",IF($Q773=0,IF(OR($O773&gt;0,$M773&lt;$L773),"Đã đạt cap","Không được hoàn"),IF(OR($Q773&lt;$O773,$M773&lt;$L773),"Hoàn một phần","Được hoàn")))))</f>
        <v/>
      </c>
      <c r="AC773" s="43">
        <f>IF(OR($B773="",$D773="",$I773="",$L773=""),0,IF($U773="Cancelled",0,IF($W773&lt;&gt;"",IFERROR(IF(INDEX(CASHBACK_RULES!$B$5:$B$304,MATCH($W773,CASHBACK_RULES!$A$5:$A$304,0))=$D773,MATCH($W773,CASHBACK_RULES!$A$5:$A$304,0),0),0),IFERROR(MATCH(1,INDEX((CASHBACK_RULES!$B$5:$B$304=$D773)*(CASHBACK_RULES!$G$5:$G$304=$I773)*(((CASHBACK_RULES!$N$5:$N$304="")+(CASHBACK_RULES!$N$5:$N$304&lt;=$B773))&gt;0)*(((CASHBACK_RULES!$O$5:$O$304="")+(CASHBACK_RULES!$O$5:$O$304&gt;=$B773))&gt;0)*(((CASHBACK_RULES!$M$5:$M$304="")+(CASHBACK_RULES!$M$5:$M$304&lt;=$L773))&gt;0),0),0),0))))</f>
        <v>0</v>
      </c>
      <c r="AD773" s="51" t="str">
        <f>IF(OR($B773="",$D773=""),"",IFERROR(IF(INDEX(CARDS!$H$5:$H$34,MATCH($D773,CARDS!$A$5:$A$34,0))="","",IF(DAY($B773)&lt;=INDEX(CARDS!$H$5:$H$34,MATCH($D773,CARDS!$A$5:$A$34,0)),DATE(YEAR($B773),MONTH($B773),MIN(INDEX(CARDS!$H$5:$H$34,MATCH($D773,CARDS!$A$5:$A$34,0)),DAY(EOMONTH($B773,0)))),DATE(YEAR($B773),MONTH($B773)+1,MIN(INDEX(CARDS!$H$5:$H$34,MATCH($D773,CARDS!$A$5:$A$34,0)),DAY(EOMONTH($B773,1)))))),""))</f>
        <v/>
      </c>
      <c r="AE773" s="52" t="str">
        <f>IF($C773="","",$C773&amp;"|"&amp;COUNTIF($C$5:$C773,$C773))</f>
        <v/>
      </c>
      <c r="AF773" s="53">
        <f>IF($AC773&gt;0,SUMIFS(Q$4:Q772,$D$4:$D772,$D773,$Z$4:$Z772,$Z773,$C$4:$C772,$C773),0)</f>
        <v>0</v>
      </c>
      <c r="AG773" s="53">
        <f>IF($AC773&gt;0,SUMIFS(Q$4:Q772,$D$4:$D772,$D773,$C$4:$C772,$C773),0)</f>
        <v>0</v>
      </c>
      <c r="AH773" s="53">
        <f>IF($AC773&gt;0,SUMIFS(M$4:M772,$D$4:$D772,$D773,$Z$4:$Z772,$Z773,$C$4:$C772,$C773),0)</f>
        <v>0</v>
      </c>
      <c r="AI773" s="43">
        <f>IF(OR($C773="",$I773=""),0,IF(COUNTIFS($C$5:$C773,$C773,$I$5:$I773,$I773)=1,1,0))</f>
        <v>0</v>
      </c>
      <c r="AJ773" s="43" t="str">
        <f>IF($AI773=1,SUMIFS($AI$4:$AI772,$C$4:$C772,$C773)+1,"")</f>
        <v/>
      </c>
      <c r="AK773" s="43">
        <f>IF(OR($C773="",$K773=""),0,IF(COUNTIFS($C$5:$C773,$C773,$K$5:$K773,$K773)=1,1,0))</f>
        <v>0</v>
      </c>
      <c r="AL773" s="43" t="str">
        <f>IF($AK773=1,SUMIFS($AK$4:$AK772,$C$4:$C772,$C773)+1,"")</f>
        <v/>
      </c>
      <c r="AM773" s="43">
        <f>IF(OR($C773="",$G773=""),0,IF(COUNTIFS($C$5:$C773,$C773,$G$5:$G773,$G773)=1,1,0))</f>
        <v>0</v>
      </c>
      <c r="AN773" s="43" t="str">
        <f>IF($AM773=1,SUMIFS($AM$4:$AM772,$C$4:$C772,$C773)+1,"")</f>
        <v/>
      </c>
    </row>
    <row r="774">
      <c r="A774" s="44" t="str">
        <f>IF(OR($B774="",$D774=""),"","TX"&amp;TEXT(ROW()-4,"0000"))</f>
        <v/>
      </c>
      <c r="B774" s="42" t="n"/>
      <c r="C774" s="47" t="str">
        <f>IF($B774="","",YEAR($B774)*100+MONTH($B774))</f>
        <v/>
      </c>
      <c r="D774" s="37" t="n"/>
      <c r="E774" s="45" t="str">
        <f>IF($D774="","",IFERROR(INDEX(CARDS!$B$5:$B$34,MATCH($D774,CARDS!$A$5:$A$34,0)),"⚠ Card ID?"))</f>
        <v/>
      </c>
      <c r="F774" s="45" t="str">
        <f>IF($D774="","",IFERROR(INDEX(CARDS!$C$5:$C$34,MATCH($D774,CARDS!$A$5:$A$34,0)),"⚠ Card ID?"))</f>
        <v/>
      </c>
      <c r="G774" s="37" t="n"/>
      <c r="H774" s="37" t="n"/>
      <c r="I774" s="41" t="n"/>
      <c r="J774" s="45" t="str">
        <f>IF($I774="","",IFERROR(INDEX(MCC_MASTER!$B$5:$B$504,MATCH($I774,MCC_MASTER!$A$5:$A$504,0)),"⚠ MCC chưa có"))</f>
        <v/>
      </c>
      <c r="K774" s="45" t="str">
        <f>IF($I774="","",IFERROR(IF(INDEX(MCC_MASTER!$C$5:$C$504,MATCH($I774,MCC_MASTER!$A$5:$A$504,0))="","Chưa phân loại",INDEX(MCC_MASTER!$C$5:$C$504,MATCH($I774,MCC_MASTER!$A$5:$A$504,0))),"Chưa phân loại"))</f>
        <v/>
      </c>
      <c r="L774" s="40" t="n"/>
      <c r="M774" s="48" t="str">
        <f>IF(OR($B774="",$D774=""),"",IF($AC774=0,0,IF(ISNUMBER(INDEX(CASHBACK_RULES!$L$5:$L$304,$AC774)),MAX(0,MIN($L774,INDEX(CASHBACK_RULES!$L$5:$L$304,$AC774)-$AH774)),MAX(0,$L774))))</f>
        <v/>
      </c>
      <c r="N774" s="49" t="str">
        <f>IF(OR($B774="",$D774=""),"",IF($AC774&gt;0,INDEX(CASHBACK_RULES!$I$5:$I$304,$AC774),0))</f>
        <v/>
      </c>
      <c r="O774" s="48" t="str">
        <f>IF(OR($B774="",$D774=""),"",ROUND($M774*$N774,0))</f>
        <v/>
      </c>
      <c r="P774" s="48" t="str">
        <f>IF($AC774&gt;0,IF(ISNUMBER(INDEX(CASHBACK_RULES!$J$5:$J$304,$AC774)),INDEX(CASHBACK_RULES!$J$5:$J$304,$AC774),"∞"),"")</f>
        <v/>
      </c>
      <c r="Q774" s="48" t="str">
        <f>IF(OR($B774="",$D774=""),"",IF($AC774=0,0,MAX(0,MIN($O774,IF(ISNUMBER($P774),$P774-$AF774,1E+15),IF(ISNUMBER($AA774),$AA774-$AG774,1E+15)))))</f>
        <v/>
      </c>
      <c r="R774" s="48" t="str">
        <f>IF(OR($B774="",$D774=""),"",IF($AC774=0,"",IF(AND(NOT(ISNUMBER($P774)),NOT(ISNUMBER($AA774))),"∞",MAX(0,MIN(IF(ISNUMBER($P774),$P774-$AF774-$Q774,1E+15),IF(ISNUMBER($AA774),$AA774-$AG774-$Q774,1E+15))))))</f>
        <v/>
      </c>
      <c r="S774" s="47" t="str">
        <f>IF($AD774="","",YEAR($AD774)*100+MONTH($AD774))</f>
        <v/>
      </c>
      <c r="T774" s="50" t="str">
        <f>IF($AD774="","",IFERROR(IF(INDEX(CARDS!$I$5:$I$34,MATCH($D774,CARDS!$A$5:$A$34,0))="","",IF(INDEX(CARDS!$I$5:$I$34,MATCH($D774,CARDS!$A$5:$A$34,0))&gt;INDEX(CARDS!$H$5:$H$34,MATCH($D774,CARDS!$A$5:$A$34,0)),DATE(YEAR($AD774),MONTH($AD774),MIN(INDEX(CARDS!$I$5:$I$34,MATCH($D774,CARDS!$A$5:$A$34,0)),DAY(EOMONTH($AD774,0)))),DATE(YEAR($AD774),MONTH($AD774)+1,MIN(INDEX(CARDS!$I$5:$I$34,MATCH($D774,CARDS!$A$5:$A$34,0)),DAY(EOMONTH($AD774,1)))))),""))</f>
        <v/>
      </c>
      <c r="U774" s="38" t="n"/>
      <c r="V774" s="37" t="n"/>
      <c r="W774" s="38" t="n"/>
      <c r="X774" s="38" t="n"/>
      <c r="Y774" s="44" t="str">
        <f>IF($AC774&gt;0,INDEX(CASHBACK_RULES!$A$5:$A$304,$AC774),"")</f>
        <v/>
      </c>
      <c r="Z774" s="45" t="str">
        <f>IF($AC774&gt;0,INDEX(CASHBACK_RULES!$E$5:$E$304,$AC774)&amp;"","")</f>
        <v/>
      </c>
      <c r="AA774" s="48" t="str">
        <f>IF($AC774&gt;0,IF(ISNUMBER(INDEX(CASHBACK_RULES!$K$5:$K$304,$AC774)),INDEX(CASHBACK_RULES!$K$5:$K$304,$AC774),"∞"),"")</f>
        <v/>
      </c>
      <c r="AB774" s="44" t="str">
        <f>IF(OR($B774="",$D774=""),"",IF($U774="Cancelled","Đã hủy",IF($AC774=0,"Không được hoàn",IF($Q774=0,IF(OR($O774&gt;0,$M774&lt;$L774),"Đã đạt cap","Không được hoàn"),IF(OR($Q774&lt;$O774,$M774&lt;$L774),"Hoàn một phần","Được hoàn")))))</f>
        <v/>
      </c>
      <c r="AC774" s="43">
        <f>IF(OR($B774="",$D774="",$I774="",$L774=""),0,IF($U774="Cancelled",0,IF($W774&lt;&gt;"",IFERROR(IF(INDEX(CASHBACK_RULES!$B$5:$B$304,MATCH($W774,CASHBACK_RULES!$A$5:$A$304,0))=$D774,MATCH($W774,CASHBACK_RULES!$A$5:$A$304,0),0),0),IFERROR(MATCH(1,INDEX((CASHBACK_RULES!$B$5:$B$304=$D774)*(CASHBACK_RULES!$G$5:$G$304=$I774)*(((CASHBACK_RULES!$N$5:$N$304="")+(CASHBACK_RULES!$N$5:$N$304&lt;=$B774))&gt;0)*(((CASHBACK_RULES!$O$5:$O$304="")+(CASHBACK_RULES!$O$5:$O$304&gt;=$B774))&gt;0)*(((CASHBACK_RULES!$M$5:$M$304="")+(CASHBACK_RULES!$M$5:$M$304&lt;=$L774))&gt;0),0),0),0))))</f>
        <v>0</v>
      </c>
      <c r="AD774" s="51" t="str">
        <f>IF(OR($B774="",$D774=""),"",IFERROR(IF(INDEX(CARDS!$H$5:$H$34,MATCH($D774,CARDS!$A$5:$A$34,0))="","",IF(DAY($B774)&lt;=INDEX(CARDS!$H$5:$H$34,MATCH($D774,CARDS!$A$5:$A$34,0)),DATE(YEAR($B774),MONTH($B774),MIN(INDEX(CARDS!$H$5:$H$34,MATCH($D774,CARDS!$A$5:$A$34,0)),DAY(EOMONTH($B774,0)))),DATE(YEAR($B774),MONTH($B774)+1,MIN(INDEX(CARDS!$H$5:$H$34,MATCH($D774,CARDS!$A$5:$A$34,0)),DAY(EOMONTH($B774,1)))))),""))</f>
        <v/>
      </c>
      <c r="AE774" s="52" t="str">
        <f>IF($C774="","",$C774&amp;"|"&amp;COUNTIF($C$5:$C774,$C774))</f>
        <v/>
      </c>
      <c r="AF774" s="53">
        <f>IF($AC774&gt;0,SUMIFS(Q$4:Q773,$D$4:$D773,$D774,$Z$4:$Z773,$Z774,$C$4:$C773,$C774),0)</f>
        <v>0</v>
      </c>
      <c r="AG774" s="53">
        <f>IF($AC774&gt;0,SUMIFS(Q$4:Q773,$D$4:$D773,$D774,$C$4:$C773,$C774),0)</f>
        <v>0</v>
      </c>
      <c r="AH774" s="53">
        <f>IF($AC774&gt;0,SUMIFS(M$4:M773,$D$4:$D773,$D774,$Z$4:$Z773,$Z774,$C$4:$C773,$C774),0)</f>
        <v>0</v>
      </c>
      <c r="AI774" s="43">
        <f>IF(OR($C774="",$I774=""),0,IF(COUNTIFS($C$5:$C774,$C774,$I$5:$I774,$I774)=1,1,0))</f>
        <v>0</v>
      </c>
      <c r="AJ774" s="43" t="str">
        <f>IF($AI774=1,SUMIFS($AI$4:$AI773,$C$4:$C773,$C774)+1,"")</f>
        <v/>
      </c>
      <c r="AK774" s="43">
        <f>IF(OR($C774="",$K774=""),0,IF(COUNTIFS($C$5:$C774,$C774,$K$5:$K774,$K774)=1,1,0))</f>
        <v>0</v>
      </c>
      <c r="AL774" s="43" t="str">
        <f>IF($AK774=1,SUMIFS($AK$4:$AK773,$C$4:$C773,$C774)+1,"")</f>
        <v/>
      </c>
      <c r="AM774" s="43">
        <f>IF(OR($C774="",$G774=""),0,IF(COUNTIFS($C$5:$C774,$C774,$G$5:$G774,$G774)=1,1,0))</f>
        <v>0</v>
      </c>
      <c r="AN774" s="43" t="str">
        <f>IF($AM774=1,SUMIFS($AM$4:$AM773,$C$4:$C773,$C774)+1,"")</f>
        <v/>
      </c>
    </row>
    <row r="775">
      <c r="A775" s="44" t="str">
        <f>IF(OR($B775="",$D775=""),"","TX"&amp;TEXT(ROW()-4,"0000"))</f>
        <v/>
      </c>
      <c r="B775" s="42" t="n"/>
      <c r="C775" s="47" t="str">
        <f>IF($B775="","",YEAR($B775)*100+MONTH($B775))</f>
        <v/>
      </c>
      <c r="D775" s="37" t="n"/>
      <c r="E775" s="45" t="str">
        <f>IF($D775="","",IFERROR(INDEX(CARDS!$B$5:$B$34,MATCH($D775,CARDS!$A$5:$A$34,0)),"⚠ Card ID?"))</f>
        <v/>
      </c>
      <c r="F775" s="45" t="str">
        <f>IF($D775="","",IFERROR(INDEX(CARDS!$C$5:$C$34,MATCH($D775,CARDS!$A$5:$A$34,0)),"⚠ Card ID?"))</f>
        <v/>
      </c>
      <c r="G775" s="37" t="n"/>
      <c r="H775" s="37" t="n"/>
      <c r="I775" s="41" t="n"/>
      <c r="J775" s="45" t="str">
        <f>IF($I775="","",IFERROR(INDEX(MCC_MASTER!$B$5:$B$504,MATCH($I775,MCC_MASTER!$A$5:$A$504,0)),"⚠ MCC chưa có"))</f>
        <v/>
      </c>
      <c r="K775" s="45" t="str">
        <f>IF($I775="","",IFERROR(IF(INDEX(MCC_MASTER!$C$5:$C$504,MATCH($I775,MCC_MASTER!$A$5:$A$504,0))="","Chưa phân loại",INDEX(MCC_MASTER!$C$5:$C$504,MATCH($I775,MCC_MASTER!$A$5:$A$504,0))),"Chưa phân loại"))</f>
        <v/>
      </c>
      <c r="L775" s="40" t="n"/>
      <c r="M775" s="48" t="str">
        <f>IF(OR($B775="",$D775=""),"",IF($AC775=0,0,IF(ISNUMBER(INDEX(CASHBACK_RULES!$L$5:$L$304,$AC775)),MAX(0,MIN($L775,INDEX(CASHBACK_RULES!$L$5:$L$304,$AC775)-$AH775)),MAX(0,$L775))))</f>
        <v/>
      </c>
      <c r="N775" s="49" t="str">
        <f>IF(OR($B775="",$D775=""),"",IF($AC775&gt;0,INDEX(CASHBACK_RULES!$I$5:$I$304,$AC775),0))</f>
        <v/>
      </c>
      <c r="O775" s="48" t="str">
        <f>IF(OR($B775="",$D775=""),"",ROUND($M775*$N775,0))</f>
        <v/>
      </c>
      <c r="P775" s="48" t="str">
        <f>IF($AC775&gt;0,IF(ISNUMBER(INDEX(CASHBACK_RULES!$J$5:$J$304,$AC775)),INDEX(CASHBACK_RULES!$J$5:$J$304,$AC775),"∞"),"")</f>
        <v/>
      </c>
      <c r="Q775" s="48" t="str">
        <f>IF(OR($B775="",$D775=""),"",IF($AC775=0,0,MAX(0,MIN($O775,IF(ISNUMBER($P775),$P775-$AF775,1E+15),IF(ISNUMBER($AA775),$AA775-$AG775,1E+15)))))</f>
        <v/>
      </c>
      <c r="R775" s="48" t="str">
        <f>IF(OR($B775="",$D775=""),"",IF($AC775=0,"",IF(AND(NOT(ISNUMBER($P775)),NOT(ISNUMBER($AA775))),"∞",MAX(0,MIN(IF(ISNUMBER($P775),$P775-$AF775-$Q775,1E+15),IF(ISNUMBER($AA775),$AA775-$AG775-$Q775,1E+15))))))</f>
        <v/>
      </c>
      <c r="S775" s="47" t="str">
        <f>IF($AD775="","",YEAR($AD775)*100+MONTH($AD775))</f>
        <v/>
      </c>
      <c r="T775" s="50" t="str">
        <f>IF($AD775="","",IFERROR(IF(INDEX(CARDS!$I$5:$I$34,MATCH($D775,CARDS!$A$5:$A$34,0))="","",IF(INDEX(CARDS!$I$5:$I$34,MATCH($D775,CARDS!$A$5:$A$34,0))&gt;INDEX(CARDS!$H$5:$H$34,MATCH($D775,CARDS!$A$5:$A$34,0)),DATE(YEAR($AD775),MONTH($AD775),MIN(INDEX(CARDS!$I$5:$I$34,MATCH($D775,CARDS!$A$5:$A$34,0)),DAY(EOMONTH($AD775,0)))),DATE(YEAR($AD775),MONTH($AD775)+1,MIN(INDEX(CARDS!$I$5:$I$34,MATCH($D775,CARDS!$A$5:$A$34,0)),DAY(EOMONTH($AD775,1)))))),""))</f>
        <v/>
      </c>
      <c r="U775" s="38" t="n"/>
      <c r="V775" s="37" t="n"/>
      <c r="W775" s="38" t="n"/>
      <c r="X775" s="38" t="n"/>
      <c r="Y775" s="44" t="str">
        <f>IF($AC775&gt;0,INDEX(CASHBACK_RULES!$A$5:$A$304,$AC775),"")</f>
        <v/>
      </c>
      <c r="Z775" s="45" t="str">
        <f>IF($AC775&gt;0,INDEX(CASHBACK_RULES!$E$5:$E$304,$AC775)&amp;"","")</f>
        <v/>
      </c>
      <c r="AA775" s="48" t="str">
        <f>IF($AC775&gt;0,IF(ISNUMBER(INDEX(CASHBACK_RULES!$K$5:$K$304,$AC775)),INDEX(CASHBACK_RULES!$K$5:$K$304,$AC775),"∞"),"")</f>
        <v/>
      </c>
      <c r="AB775" s="44" t="str">
        <f>IF(OR($B775="",$D775=""),"",IF($U775="Cancelled","Đã hủy",IF($AC775=0,"Không được hoàn",IF($Q775=0,IF(OR($O775&gt;0,$M775&lt;$L775),"Đã đạt cap","Không được hoàn"),IF(OR($Q775&lt;$O775,$M775&lt;$L775),"Hoàn một phần","Được hoàn")))))</f>
        <v/>
      </c>
      <c r="AC775" s="43">
        <f>IF(OR($B775="",$D775="",$I775="",$L775=""),0,IF($U775="Cancelled",0,IF($W775&lt;&gt;"",IFERROR(IF(INDEX(CASHBACK_RULES!$B$5:$B$304,MATCH($W775,CASHBACK_RULES!$A$5:$A$304,0))=$D775,MATCH($W775,CASHBACK_RULES!$A$5:$A$304,0),0),0),IFERROR(MATCH(1,INDEX((CASHBACK_RULES!$B$5:$B$304=$D775)*(CASHBACK_RULES!$G$5:$G$304=$I775)*(((CASHBACK_RULES!$N$5:$N$304="")+(CASHBACK_RULES!$N$5:$N$304&lt;=$B775))&gt;0)*(((CASHBACK_RULES!$O$5:$O$304="")+(CASHBACK_RULES!$O$5:$O$304&gt;=$B775))&gt;0)*(((CASHBACK_RULES!$M$5:$M$304="")+(CASHBACK_RULES!$M$5:$M$304&lt;=$L775))&gt;0),0),0),0))))</f>
        <v>0</v>
      </c>
      <c r="AD775" s="51" t="str">
        <f>IF(OR($B775="",$D775=""),"",IFERROR(IF(INDEX(CARDS!$H$5:$H$34,MATCH($D775,CARDS!$A$5:$A$34,0))="","",IF(DAY($B775)&lt;=INDEX(CARDS!$H$5:$H$34,MATCH($D775,CARDS!$A$5:$A$34,0)),DATE(YEAR($B775),MONTH($B775),MIN(INDEX(CARDS!$H$5:$H$34,MATCH($D775,CARDS!$A$5:$A$34,0)),DAY(EOMONTH($B775,0)))),DATE(YEAR($B775),MONTH($B775)+1,MIN(INDEX(CARDS!$H$5:$H$34,MATCH($D775,CARDS!$A$5:$A$34,0)),DAY(EOMONTH($B775,1)))))),""))</f>
        <v/>
      </c>
      <c r="AE775" s="52" t="str">
        <f>IF($C775="","",$C775&amp;"|"&amp;COUNTIF($C$5:$C775,$C775))</f>
        <v/>
      </c>
      <c r="AF775" s="53">
        <f>IF($AC775&gt;0,SUMIFS(Q$4:Q774,$D$4:$D774,$D775,$Z$4:$Z774,$Z775,$C$4:$C774,$C775),0)</f>
        <v>0</v>
      </c>
      <c r="AG775" s="53">
        <f>IF($AC775&gt;0,SUMIFS(Q$4:Q774,$D$4:$D774,$D775,$C$4:$C774,$C775),0)</f>
        <v>0</v>
      </c>
      <c r="AH775" s="53">
        <f>IF($AC775&gt;0,SUMIFS(M$4:M774,$D$4:$D774,$D775,$Z$4:$Z774,$Z775,$C$4:$C774,$C775),0)</f>
        <v>0</v>
      </c>
      <c r="AI775" s="43">
        <f>IF(OR($C775="",$I775=""),0,IF(COUNTIFS($C$5:$C775,$C775,$I$5:$I775,$I775)=1,1,0))</f>
        <v>0</v>
      </c>
      <c r="AJ775" s="43" t="str">
        <f>IF($AI775=1,SUMIFS($AI$4:$AI774,$C$4:$C774,$C775)+1,"")</f>
        <v/>
      </c>
      <c r="AK775" s="43">
        <f>IF(OR($C775="",$K775=""),0,IF(COUNTIFS($C$5:$C775,$C775,$K$5:$K775,$K775)=1,1,0))</f>
        <v>0</v>
      </c>
      <c r="AL775" s="43" t="str">
        <f>IF($AK775=1,SUMIFS($AK$4:$AK774,$C$4:$C774,$C775)+1,"")</f>
        <v/>
      </c>
      <c r="AM775" s="43">
        <f>IF(OR($C775="",$G775=""),0,IF(COUNTIFS($C$5:$C775,$C775,$G$5:$G775,$G775)=1,1,0))</f>
        <v>0</v>
      </c>
      <c r="AN775" s="43" t="str">
        <f>IF($AM775=1,SUMIFS($AM$4:$AM774,$C$4:$C774,$C775)+1,"")</f>
        <v/>
      </c>
    </row>
    <row r="776">
      <c r="A776" s="44" t="str">
        <f>IF(OR($B776="",$D776=""),"","TX"&amp;TEXT(ROW()-4,"0000"))</f>
        <v/>
      </c>
      <c r="B776" s="42" t="n"/>
      <c r="C776" s="47" t="str">
        <f>IF($B776="","",YEAR($B776)*100+MONTH($B776))</f>
        <v/>
      </c>
      <c r="D776" s="37" t="n"/>
      <c r="E776" s="45" t="str">
        <f>IF($D776="","",IFERROR(INDEX(CARDS!$B$5:$B$34,MATCH($D776,CARDS!$A$5:$A$34,0)),"⚠ Card ID?"))</f>
        <v/>
      </c>
      <c r="F776" s="45" t="str">
        <f>IF($D776="","",IFERROR(INDEX(CARDS!$C$5:$C$34,MATCH($D776,CARDS!$A$5:$A$34,0)),"⚠ Card ID?"))</f>
        <v/>
      </c>
      <c r="G776" s="37" t="n"/>
      <c r="H776" s="37" t="n"/>
      <c r="I776" s="41" t="n"/>
      <c r="J776" s="45" t="str">
        <f>IF($I776="","",IFERROR(INDEX(MCC_MASTER!$B$5:$B$504,MATCH($I776,MCC_MASTER!$A$5:$A$504,0)),"⚠ MCC chưa có"))</f>
        <v/>
      </c>
      <c r="K776" s="45" t="str">
        <f>IF($I776="","",IFERROR(IF(INDEX(MCC_MASTER!$C$5:$C$504,MATCH($I776,MCC_MASTER!$A$5:$A$504,0))="","Chưa phân loại",INDEX(MCC_MASTER!$C$5:$C$504,MATCH($I776,MCC_MASTER!$A$5:$A$504,0))),"Chưa phân loại"))</f>
        <v/>
      </c>
      <c r="L776" s="40" t="n"/>
      <c r="M776" s="48" t="str">
        <f>IF(OR($B776="",$D776=""),"",IF($AC776=0,0,IF(ISNUMBER(INDEX(CASHBACK_RULES!$L$5:$L$304,$AC776)),MAX(0,MIN($L776,INDEX(CASHBACK_RULES!$L$5:$L$304,$AC776)-$AH776)),MAX(0,$L776))))</f>
        <v/>
      </c>
      <c r="N776" s="49" t="str">
        <f>IF(OR($B776="",$D776=""),"",IF($AC776&gt;0,INDEX(CASHBACK_RULES!$I$5:$I$304,$AC776),0))</f>
        <v/>
      </c>
      <c r="O776" s="48" t="str">
        <f>IF(OR($B776="",$D776=""),"",ROUND($M776*$N776,0))</f>
        <v/>
      </c>
      <c r="P776" s="48" t="str">
        <f>IF($AC776&gt;0,IF(ISNUMBER(INDEX(CASHBACK_RULES!$J$5:$J$304,$AC776)),INDEX(CASHBACK_RULES!$J$5:$J$304,$AC776),"∞"),"")</f>
        <v/>
      </c>
      <c r="Q776" s="48" t="str">
        <f>IF(OR($B776="",$D776=""),"",IF($AC776=0,0,MAX(0,MIN($O776,IF(ISNUMBER($P776),$P776-$AF776,1E+15),IF(ISNUMBER($AA776),$AA776-$AG776,1E+15)))))</f>
        <v/>
      </c>
      <c r="R776" s="48" t="str">
        <f>IF(OR($B776="",$D776=""),"",IF($AC776=0,"",IF(AND(NOT(ISNUMBER($P776)),NOT(ISNUMBER($AA776))),"∞",MAX(0,MIN(IF(ISNUMBER($P776),$P776-$AF776-$Q776,1E+15),IF(ISNUMBER($AA776),$AA776-$AG776-$Q776,1E+15))))))</f>
        <v/>
      </c>
      <c r="S776" s="47" t="str">
        <f>IF($AD776="","",YEAR($AD776)*100+MONTH($AD776))</f>
        <v/>
      </c>
      <c r="T776" s="50" t="str">
        <f>IF($AD776="","",IFERROR(IF(INDEX(CARDS!$I$5:$I$34,MATCH($D776,CARDS!$A$5:$A$34,0))="","",IF(INDEX(CARDS!$I$5:$I$34,MATCH($D776,CARDS!$A$5:$A$34,0))&gt;INDEX(CARDS!$H$5:$H$34,MATCH($D776,CARDS!$A$5:$A$34,0)),DATE(YEAR($AD776),MONTH($AD776),MIN(INDEX(CARDS!$I$5:$I$34,MATCH($D776,CARDS!$A$5:$A$34,0)),DAY(EOMONTH($AD776,0)))),DATE(YEAR($AD776),MONTH($AD776)+1,MIN(INDEX(CARDS!$I$5:$I$34,MATCH($D776,CARDS!$A$5:$A$34,0)),DAY(EOMONTH($AD776,1)))))),""))</f>
        <v/>
      </c>
      <c r="U776" s="38" t="n"/>
      <c r="V776" s="37" t="n"/>
      <c r="W776" s="38" t="n"/>
      <c r="X776" s="38" t="n"/>
      <c r="Y776" s="44" t="str">
        <f>IF($AC776&gt;0,INDEX(CASHBACK_RULES!$A$5:$A$304,$AC776),"")</f>
        <v/>
      </c>
      <c r="Z776" s="45" t="str">
        <f>IF($AC776&gt;0,INDEX(CASHBACK_RULES!$E$5:$E$304,$AC776)&amp;"","")</f>
        <v/>
      </c>
      <c r="AA776" s="48" t="str">
        <f>IF($AC776&gt;0,IF(ISNUMBER(INDEX(CASHBACK_RULES!$K$5:$K$304,$AC776)),INDEX(CASHBACK_RULES!$K$5:$K$304,$AC776),"∞"),"")</f>
        <v/>
      </c>
      <c r="AB776" s="44" t="str">
        <f>IF(OR($B776="",$D776=""),"",IF($U776="Cancelled","Đã hủy",IF($AC776=0,"Không được hoàn",IF($Q776=0,IF(OR($O776&gt;0,$M776&lt;$L776),"Đã đạt cap","Không được hoàn"),IF(OR($Q776&lt;$O776,$M776&lt;$L776),"Hoàn một phần","Được hoàn")))))</f>
        <v/>
      </c>
      <c r="AC776" s="43">
        <f>IF(OR($B776="",$D776="",$I776="",$L776=""),0,IF($U776="Cancelled",0,IF($W776&lt;&gt;"",IFERROR(IF(INDEX(CASHBACK_RULES!$B$5:$B$304,MATCH($W776,CASHBACK_RULES!$A$5:$A$304,0))=$D776,MATCH($W776,CASHBACK_RULES!$A$5:$A$304,0),0),0),IFERROR(MATCH(1,INDEX((CASHBACK_RULES!$B$5:$B$304=$D776)*(CASHBACK_RULES!$G$5:$G$304=$I776)*(((CASHBACK_RULES!$N$5:$N$304="")+(CASHBACK_RULES!$N$5:$N$304&lt;=$B776))&gt;0)*(((CASHBACK_RULES!$O$5:$O$304="")+(CASHBACK_RULES!$O$5:$O$304&gt;=$B776))&gt;0)*(((CASHBACK_RULES!$M$5:$M$304="")+(CASHBACK_RULES!$M$5:$M$304&lt;=$L776))&gt;0),0),0),0))))</f>
        <v>0</v>
      </c>
      <c r="AD776" s="51" t="str">
        <f>IF(OR($B776="",$D776=""),"",IFERROR(IF(INDEX(CARDS!$H$5:$H$34,MATCH($D776,CARDS!$A$5:$A$34,0))="","",IF(DAY($B776)&lt;=INDEX(CARDS!$H$5:$H$34,MATCH($D776,CARDS!$A$5:$A$34,0)),DATE(YEAR($B776),MONTH($B776),MIN(INDEX(CARDS!$H$5:$H$34,MATCH($D776,CARDS!$A$5:$A$34,0)),DAY(EOMONTH($B776,0)))),DATE(YEAR($B776),MONTH($B776)+1,MIN(INDEX(CARDS!$H$5:$H$34,MATCH($D776,CARDS!$A$5:$A$34,0)),DAY(EOMONTH($B776,1)))))),""))</f>
        <v/>
      </c>
      <c r="AE776" s="52" t="str">
        <f>IF($C776="","",$C776&amp;"|"&amp;COUNTIF($C$5:$C776,$C776))</f>
        <v/>
      </c>
      <c r="AF776" s="53">
        <f>IF($AC776&gt;0,SUMIFS(Q$4:Q775,$D$4:$D775,$D776,$Z$4:$Z775,$Z776,$C$4:$C775,$C776),0)</f>
        <v>0</v>
      </c>
      <c r="AG776" s="53">
        <f>IF($AC776&gt;0,SUMIFS(Q$4:Q775,$D$4:$D775,$D776,$C$4:$C775,$C776),0)</f>
        <v>0</v>
      </c>
      <c r="AH776" s="53">
        <f>IF($AC776&gt;0,SUMIFS(M$4:M775,$D$4:$D775,$D776,$Z$4:$Z775,$Z776,$C$4:$C775,$C776),0)</f>
        <v>0</v>
      </c>
      <c r="AI776" s="43">
        <f>IF(OR($C776="",$I776=""),0,IF(COUNTIFS($C$5:$C776,$C776,$I$5:$I776,$I776)=1,1,0))</f>
        <v>0</v>
      </c>
      <c r="AJ776" s="43" t="str">
        <f>IF($AI776=1,SUMIFS($AI$4:$AI775,$C$4:$C775,$C776)+1,"")</f>
        <v/>
      </c>
      <c r="AK776" s="43">
        <f>IF(OR($C776="",$K776=""),0,IF(COUNTIFS($C$5:$C776,$C776,$K$5:$K776,$K776)=1,1,0))</f>
        <v>0</v>
      </c>
      <c r="AL776" s="43" t="str">
        <f>IF($AK776=1,SUMIFS($AK$4:$AK775,$C$4:$C775,$C776)+1,"")</f>
        <v/>
      </c>
      <c r="AM776" s="43">
        <f>IF(OR($C776="",$G776=""),0,IF(COUNTIFS($C$5:$C776,$C776,$G$5:$G776,$G776)=1,1,0))</f>
        <v>0</v>
      </c>
      <c r="AN776" s="43" t="str">
        <f>IF($AM776=1,SUMIFS($AM$4:$AM775,$C$4:$C775,$C776)+1,"")</f>
        <v/>
      </c>
    </row>
    <row r="777">
      <c r="A777" s="44" t="str">
        <f>IF(OR($B777="",$D777=""),"","TX"&amp;TEXT(ROW()-4,"0000"))</f>
        <v/>
      </c>
      <c r="B777" s="42" t="n"/>
      <c r="C777" s="47" t="str">
        <f>IF($B777="","",YEAR($B777)*100+MONTH($B777))</f>
        <v/>
      </c>
      <c r="D777" s="37" t="n"/>
      <c r="E777" s="45" t="str">
        <f>IF($D777="","",IFERROR(INDEX(CARDS!$B$5:$B$34,MATCH($D777,CARDS!$A$5:$A$34,0)),"⚠ Card ID?"))</f>
        <v/>
      </c>
      <c r="F777" s="45" t="str">
        <f>IF($D777="","",IFERROR(INDEX(CARDS!$C$5:$C$34,MATCH($D777,CARDS!$A$5:$A$34,0)),"⚠ Card ID?"))</f>
        <v/>
      </c>
      <c r="G777" s="37" t="n"/>
      <c r="H777" s="37" t="n"/>
      <c r="I777" s="41" t="n"/>
      <c r="J777" s="45" t="str">
        <f>IF($I777="","",IFERROR(INDEX(MCC_MASTER!$B$5:$B$504,MATCH($I777,MCC_MASTER!$A$5:$A$504,0)),"⚠ MCC chưa có"))</f>
        <v/>
      </c>
      <c r="K777" s="45" t="str">
        <f>IF($I777="","",IFERROR(IF(INDEX(MCC_MASTER!$C$5:$C$504,MATCH($I777,MCC_MASTER!$A$5:$A$504,0))="","Chưa phân loại",INDEX(MCC_MASTER!$C$5:$C$504,MATCH($I777,MCC_MASTER!$A$5:$A$504,0))),"Chưa phân loại"))</f>
        <v/>
      </c>
      <c r="L777" s="40" t="n"/>
      <c r="M777" s="48" t="str">
        <f>IF(OR($B777="",$D777=""),"",IF($AC777=0,0,IF(ISNUMBER(INDEX(CASHBACK_RULES!$L$5:$L$304,$AC777)),MAX(0,MIN($L777,INDEX(CASHBACK_RULES!$L$5:$L$304,$AC777)-$AH777)),MAX(0,$L777))))</f>
        <v/>
      </c>
      <c r="N777" s="49" t="str">
        <f>IF(OR($B777="",$D777=""),"",IF($AC777&gt;0,INDEX(CASHBACK_RULES!$I$5:$I$304,$AC777),0))</f>
        <v/>
      </c>
      <c r="O777" s="48" t="str">
        <f>IF(OR($B777="",$D777=""),"",ROUND($M777*$N777,0))</f>
        <v/>
      </c>
      <c r="P777" s="48" t="str">
        <f>IF($AC777&gt;0,IF(ISNUMBER(INDEX(CASHBACK_RULES!$J$5:$J$304,$AC777)),INDEX(CASHBACK_RULES!$J$5:$J$304,$AC777),"∞"),"")</f>
        <v/>
      </c>
      <c r="Q777" s="48" t="str">
        <f>IF(OR($B777="",$D777=""),"",IF($AC777=0,0,MAX(0,MIN($O777,IF(ISNUMBER($P777),$P777-$AF777,1E+15),IF(ISNUMBER($AA777),$AA777-$AG777,1E+15)))))</f>
        <v/>
      </c>
      <c r="R777" s="48" t="str">
        <f>IF(OR($B777="",$D777=""),"",IF($AC777=0,"",IF(AND(NOT(ISNUMBER($P777)),NOT(ISNUMBER($AA777))),"∞",MAX(0,MIN(IF(ISNUMBER($P777),$P777-$AF777-$Q777,1E+15),IF(ISNUMBER($AA777),$AA777-$AG777-$Q777,1E+15))))))</f>
        <v/>
      </c>
      <c r="S777" s="47" t="str">
        <f>IF($AD777="","",YEAR($AD777)*100+MONTH($AD777))</f>
        <v/>
      </c>
      <c r="T777" s="50" t="str">
        <f>IF($AD777="","",IFERROR(IF(INDEX(CARDS!$I$5:$I$34,MATCH($D777,CARDS!$A$5:$A$34,0))="","",IF(INDEX(CARDS!$I$5:$I$34,MATCH($D777,CARDS!$A$5:$A$34,0))&gt;INDEX(CARDS!$H$5:$H$34,MATCH($D777,CARDS!$A$5:$A$34,0)),DATE(YEAR($AD777),MONTH($AD777),MIN(INDEX(CARDS!$I$5:$I$34,MATCH($D777,CARDS!$A$5:$A$34,0)),DAY(EOMONTH($AD777,0)))),DATE(YEAR($AD777),MONTH($AD777)+1,MIN(INDEX(CARDS!$I$5:$I$34,MATCH($D777,CARDS!$A$5:$A$34,0)),DAY(EOMONTH($AD777,1)))))),""))</f>
        <v/>
      </c>
      <c r="U777" s="38" t="n"/>
      <c r="V777" s="37" t="n"/>
      <c r="W777" s="38" t="n"/>
      <c r="X777" s="38" t="n"/>
      <c r="Y777" s="44" t="str">
        <f>IF($AC777&gt;0,INDEX(CASHBACK_RULES!$A$5:$A$304,$AC777),"")</f>
        <v/>
      </c>
      <c r="Z777" s="45" t="str">
        <f>IF($AC777&gt;0,INDEX(CASHBACK_RULES!$E$5:$E$304,$AC777)&amp;"","")</f>
        <v/>
      </c>
      <c r="AA777" s="48" t="str">
        <f>IF($AC777&gt;0,IF(ISNUMBER(INDEX(CASHBACK_RULES!$K$5:$K$304,$AC777)),INDEX(CASHBACK_RULES!$K$5:$K$304,$AC777),"∞"),"")</f>
        <v/>
      </c>
      <c r="AB777" s="44" t="str">
        <f>IF(OR($B777="",$D777=""),"",IF($U777="Cancelled","Đã hủy",IF($AC777=0,"Không được hoàn",IF($Q777=0,IF(OR($O777&gt;0,$M777&lt;$L777),"Đã đạt cap","Không được hoàn"),IF(OR($Q777&lt;$O777,$M777&lt;$L777),"Hoàn một phần","Được hoàn")))))</f>
        <v/>
      </c>
      <c r="AC777" s="43">
        <f>IF(OR($B777="",$D777="",$I777="",$L777=""),0,IF($U777="Cancelled",0,IF($W777&lt;&gt;"",IFERROR(IF(INDEX(CASHBACK_RULES!$B$5:$B$304,MATCH($W777,CASHBACK_RULES!$A$5:$A$304,0))=$D777,MATCH($W777,CASHBACK_RULES!$A$5:$A$304,0),0),0),IFERROR(MATCH(1,INDEX((CASHBACK_RULES!$B$5:$B$304=$D777)*(CASHBACK_RULES!$G$5:$G$304=$I777)*(((CASHBACK_RULES!$N$5:$N$304="")+(CASHBACK_RULES!$N$5:$N$304&lt;=$B777))&gt;0)*(((CASHBACK_RULES!$O$5:$O$304="")+(CASHBACK_RULES!$O$5:$O$304&gt;=$B777))&gt;0)*(((CASHBACK_RULES!$M$5:$M$304="")+(CASHBACK_RULES!$M$5:$M$304&lt;=$L777))&gt;0),0),0),0))))</f>
        <v>0</v>
      </c>
      <c r="AD777" s="51" t="str">
        <f>IF(OR($B777="",$D777=""),"",IFERROR(IF(INDEX(CARDS!$H$5:$H$34,MATCH($D777,CARDS!$A$5:$A$34,0))="","",IF(DAY($B777)&lt;=INDEX(CARDS!$H$5:$H$34,MATCH($D777,CARDS!$A$5:$A$34,0)),DATE(YEAR($B777),MONTH($B777),MIN(INDEX(CARDS!$H$5:$H$34,MATCH($D777,CARDS!$A$5:$A$34,0)),DAY(EOMONTH($B777,0)))),DATE(YEAR($B777),MONTH($B777)+1,MIN(INDEX(CARDS!$H$5:$H$34,MATCH($D777,CARDS!$A$5:$A$34,0)),DAY(EOMONTH($B777,1)))))),""))</f>
        <v/>
      </c>
      <c r="AE777" s="52" t="str">
        <f>IF($C777="","",$C777&amp;"|"&amp;COUNTIF($C$5:$C777,$C777))</f>
        <v/>
      </c>
      <c r="AF777" s="53">
        <f>IF($AC777&gt;0,SUMIFS(Q$4:Q776,$D$4:$D776,$D777,$Z$4:$Z776,$Z777,$C$4:$C776,$C777),0)</f>
        <v>0</v>
      </c>
      <c r="AG777" s="53">
        <f>IF($AC777&gt;0,SUMIFS(Q$4:Q776,$D$4:$D776,$D777,$C$4:$C776,$C777),0)</f>
        <v>0</v>
      </c>
      <c r="AH777" s="53">
        <f>IF($AC777&gt;0,SUMIFS(M$4:M776,$D$4:$D776,$D777,$Z$4:$Z776,$Z777,$C$4:$C776,$C777),0)</f>
        <v>0</v>
      </c>
      <c r="AI777" s="43">
        <f>IF(OR($C777="",$I777=""),0,IF(COUNTIFS($C$5:$C777,$C777,$I$5:$I777,$I777)=1,1,0))</f>
        <v>0</v>
      </c>
      <c r="AJ777" s="43" t="str">
        <f>IF($AI777=1,SUMIFS($AI$4:$AI776,$C$4:$C776,$C777)+1,"")</f>
        <v/>
      </c>
      <c r="AK777" s="43">
        <f>IF(OR($C777="",$K777=""),0,IF(COUNTIFS($C$5:$C777,$C777,$K$5:$K777,$K777)=1,1,0))</f>
        <v>0</v>
      </c>
      <c r="AL777" s="43" t="str">
        <f>IF($AK777=1,SUMIFS($AK$4:$AK776,$C$4:$C776,$C777)+1,"")</f>
        <v/>
      </c>
      <c r="AM777" s="43">
        <f>IF(OR($C777="",$G777=""),0,IF(COUNTIFS($C$5:$C777,$C777,$G$5:$G777,$G777)=1,1,0))</f>
        <v>0</v>
      </c>
      <c r="AN777" s="43" t="str">
        <f>IF($AM777=1,SUMIFS($AM$4:$AM776,$C$4:$C776,$C777)+1,"")</f>
        <v/>
      </c>
    </row>
    <row r="778">
      <c r="A778" s="44" t="str">
        <f>IF(OR($B778="",$D778=""),"","TX"&amp;TEXT(ROW()-4,"0000"))</f>
        <v/>
      </c>
      <c r="B778" s="42" t="n"/>
      <c r="C778" s="47" t="str">
        <f>IF($B778="","",YEAR($B778)*100+MONTH($B778))</f>
        <v/>
      </c>
      <c r="D778" s="37" t="n"/>
      <c r="E778" s="45" t="str">
        <f>IF($D778="","",IFERROR(INDEX(CARDS!$B$5:$B$34,MATCH($D778,CARDS!$A$5:$A$34,0)),"⚠ Card ID?"))</f>
        <v/>
      </c>
      <c r="F778" s="45" t="str">
        <f>IF($D778="","",IFERROR(INDEX(CARDS!$C$5:$C$34,MATCH($D778,CARDS!$A$5:$A$34,0)),"⚠ Card ID?"))</f>
        <v/>
      </c>
      <c r="G778" s="37" t="n"/>
      <c r="H778" s="37" t="n"/>
      <c r="I778" s="41" t="n"/>
      <c r="J778" s="45" t="str">
        <f>IF($I778="","",IFERROR(INDEX(MCC_MASTER!$B$5:$B$504,MATCH($I778,MCC_MASTER!$A$5:$A$504,0)),"⚠ MCC chưa có"))</f>
        <v/>
      </c>
      <c r="K778" s="45" t="str">
        <f>IF($I778="","",IFERROR(IF(INDEX(MCC_MASTER!$C$5:$C$504,MATCH($I778,MCC_MASTER!$A$5:$A$504,0))="","Chưa phân loại",INDEX(MCC_MASTER!$C$5:$C$504,MATCH($I778,MCC_MASTER!$A$5:$A$504,0))),"Chưa phân loại"))</f>
        <v/>
      </c>
      <c r="L778" s="40" t="n"/>
      <c r="M778" s="48" t="str">
        <f>IF(OR($B778="",$D778=""),"",IF($AC778=0,0,IF(ISNUMBER(INDEX(CASHBACK_RULES!$L$5:$L$304,$AC778)),MAX(0,MIN($L778,INDEX(CASHBACK_RULES!$L$5:$L$304,$AC778)-$AH778)),MAX(0,$L778))))</f>
        <v/>
      </c>
      <c r="N778" s="49" t="str">
        <f>IF(OR($B778="",$D778=""),"",IF($AC778&gt;0,INDEX(CASHBACK_RULES!$I$5:$I$304,$AC778),0))</f>
        <v/>
      </c>
      <c r="O778" s="48" t="str">
        <f>IF(OR($B778="",$D778=""),"",ROUND($M778*$N778,0))</f>
        <v/>
      </c>
      <c r="P778" s="48" t="str">
        <f>IF($AC778&gt;0,IF(ISNUMBER(INDEX(CASHBACK_RULES!$J$5:$J$304,$AC778)),INDEX(CASHBACK_RULES!$J$5:$J$304,$AC778),"∞"),"")</f>
        <v/>
      </c>
      <c r="Q778" s="48" t="str">
        <f>IF(OR($B778="",$D778=""),"",IF($AC778=0,0,MAX(0,MIN($O778,IF(ISNUMBER($P778),$P778-$AF778,1E+15),IF(ISNUMBER($AA778),$AA778-$AG778,1E+15)))))</f>
        <v/>
      </c>
      <c r="R778" s="48" t="str">
        <f>IF(OR($B778="",$D778=""),"",IF($AC778=0,"",IF(AND(NOT(ISNUMBER($P778)),NOT(ISNUMBER($AA778))),"∞",MAX(0,MIN(IF(ISNUMBER($P778),$P778-$AF778-$Q778,1E+15),IF(ISNUMBER($AA778),$AA778-$AG778-$Q778,1E+15))))))</f>
        <v/>
      </c>
      <c r="S778" s="47" t="str">
        <f>IF($AD778="","",YEAR($AD778)*100+MONTH($AD778))</f>
        <v/>
      </c>
      <c r="T778" s="50" t="str">
        <f>IF($AD778="","",IFERROR(IF(INDEX(CARDS!$I$5:$I$34,MATCH($D778,CARDS!$A$5:$A$34,0))="","",IF(INDEX(CARDS!$I$5:$I$34,MATCH($D778,CARDS!$A$5:$A$34,0))&gt;INDEX(CARDS!$H$5:$H$34,MATCH($D778,CARDS!$A$5:$A$34,0)),DATE(YEAR($AD778),MONTH($AD778),MIN(INDEX(CARDS!$I$5:$I$34,MATCH($D778,CARDS!$A$5:$A$34,0)),DAY(EOMONTH($AD778,0)))),DATE(YEAR($AD778),MONTH($AD778)+1,MIN(INDEX(CARDS!$I$5:$I$34,MATCH($D778,CARDS!$A$5:$A$34,0)),DAY(EOMONTH($AD778,1)))))),""))</f>
        <v/>
      </c>
      <c r="U778" s="38" t="n"/>
      <c r="V778" s="37" t="n"/>
      <c r="W778" s="38" t="n"/>
      <c r="X778" s="38" t="n"/>
      <c r="Y778" s="44" t="str">
        <f>IF($AC778&gt;0,INDEX(CASHBACK_RULES!$A$5:$A$304,$AC778),"")</f>
        <v/>
      </c>
      <c r="Z778" s="45" t="str">
        <f>IF($AC778&gt;0,INDEX(CASHBACK_RULES!$E$5:$E$304,$AC778)&amp;"","")</f>
        <v/>
      </c>
      <c r="AA778" s="48" t="str">
        <f>IF($AC778&gt;0,IF(ISNUMBER(INDEX(CASHBACK_RULES!$K$5:$K$304,$AC778)),INDEX(CASHBACK_RULES!$K$5:$K$304,$AC778),"∞"),"")</f>
        <v/>
      </c>
      <c r="AB778" s="44" t="str">
        <f>IF(OR($B778="",$D778=""),"",IF($U778="Cancelled","Đã hủy",IF($AC778=0,"Không được hoàn",IF($Q778=0,IF(OR($O778&gt;0,$M778&lt;$L778),"Đã đạt cap","Không được hoàn"),IF(OR($Q778&lt;$O778,$M778&lt;$L778),"Hoàn một phần","Được hoàn")))))</f>
        <v/>
      </c>
      <c r="AC778" s="43">
        <f>IF(OR($B778="",$D778="",$I778="",$L778=""),0,IF($U778="Cancelled",0,IF($W778&lt;&gt;"",IFERROR(IF(INDEX(CASHBACK_RULES!$B$5:$B$304,MATCH($W778,CASHBACK_RULES!$A$5:$A$304,0))=$D778,MATCH($W778,CASHBACK_RULES!$A$5:$A$304,0),0),0),IFERROR(MATCH(1,INDEX((CASHBACK_RULES!$B$5:$B$304=$D778)*(CASHBACK_RULES!$G$5:$G$304=$I778)*(((CASHBACK_RULES!$N$5:$N$304="")+(CASHBACK_RULES!$N$5:$N$304&lt;=$B778))&gt;0)*(((CASHBACK_RULES!$O$5:$O$304="")+(CASHBACK_RULES!$O$5:$O$304&gt;=$B778))&gt;0)*(((CASHBACK_RULES!$M$5:$M$304="")+(CASHBACK_RULES!$M$5:$M$304&lt;=$L778))&gt;0),0),0),0))))</f>
        <v>0</v>
      </c>
      <c r="AD778" s="51" t="str">
        <f>IF(OR($B778="",$D778=""),"",IFERROR(IF(INDEX(CARDS!$H$5:$H$34,MATCH($D778,CARDS!$A$5:$A$34,0))="","",IF(DAY($B778)&lt;=INDEX(CARDS!$H$5:$H$34,MATCH($D778,CARDS!$A$5:$A$34,0)),DATE(YEAR($B778),MONTH($B778),MIN(INDEX(CARDS!$H$5:$H$34,MATCH($D778,CARDS!$A$5:$A$34,0)),DAY(EOMONTH($B778,0)))),DATE(YEAR($B778),MONTH($B778)+1,MIN(INDEX(CARDS!$H$5:$H$34,MATCH($D778,CARDS!$A$5:$A$34,0)),DAY(EOMONTH($B778,1)))))),""))</f>
        <v/>
      </c>
      <c r="AE778" s="52" t="str">
        <f>IF($C778="","",$C778&amp;"|"&amp;COUNTIF($C$5:$C778,$C778))</f>
        <v/>
      </c>
      <c r="AF778" s="53">
        <f>IF($AC778&gt;0,SUMIFS(Q$4:Q777,$D$4:$D777,$D778,$Z$4:$Z777,$Z778,$C$4:$C777,$C778),0)</f>
        <v>0</v>
      </c>
      <c r="AG778" s="53">
        <f>IF($AC778&gt;0,SUMIFS(Q$4:Q777,$D$4:$D777,$D778,$C$4:$C777,$C778),0)</f>
        <v>0</v>
      </c>
      <c r="AH778" s="53">
        <f>IF($AC778&gt;0,SUMIFS(M$4:M777,$D$4:$D777,$D778,$Z$4:$Z777,$Z778,$C$4:$C777,$C778),0)</f>
        <v>0</v>
      </c>
      <c r="AI778" s="43">
        <f>IF(OR($C778="",$I778=""),0,IF(COUNTIFS($C$5:$C778,$C778,$I$5:$I778,$I778)=1,1,0))</f>
        <v>0</v>
      </c>
      <c r="AJ778" s="43" t="str">
        <f>IF($AI778=1,SUMIFS($AI$4:$AI777,$C$4:$C777,$C778)+1,"")</f>
        <v/>
      </c>
      <c r="AK778" s="43">
        <f>IF(OR($C778="",$K778=""),0,IF(COUNTIFS($C$5:$C778,$C778,$K$5:$K778,$K778)=1,1,0))</f>
        <v>0</v>
      </c>
      <c r="AL778" s="43" t="str">
        <f>IF($AK778=1,SUMIFS($AK$4:$AK777,$C$4:$C777,$C778)+1,"")</f>
        <v/>
      </c>
      <c r="AM778" s="43">
        <f>IF(OR($C778="",$G778=""),0,IF(COUNTIFS($C$5:$C778,$C778,$G$5:$G778,$G778)=1,1,0))</f>
        <v>0</v>
      </c>
      <c r="AN778" s="43" t="str">
        <f>IF($AM778=1,SUMIFS($AM$4:$AM777,$C$4:$C777,$C778)+1,"")</f>
        <v/>
      </c>
    </row>
    <row r="779">
      <c r="A779" s="44" t="str">
        <f>IF(OR($B779="",$D779=""),"","TX"&amp;TEXT(ROW()-4,"0000"))</f>
        <v/>
      </c>
      <c r="B779" s="42" t="n"/>
      <c r="C779" s="47" t="str">
        <f>IF($B779="","",YEAR($B779)*100+MONTH($B779))</f>
        <v/>
      </c>
      <c r="D779" s="37" t="n"/>
      <c r="E779" s="45" t="str">
        <f>IF($D779="","",IFERROR(INDEX(CARDS!$B$5:$B$34,MATCH($D779,CARDS!$A$5:$A$34,0)),"⚠ Card ID?"))</f>
        <v/>
      </c>
      <c r="F779" s="45" t="str">
        <f>IF($D779="","",IFERROR(INDEX(CARDS!$C$5:$C$34,MATCH($D779,CARDS!$A$5:$A$34,0)),"⚠ Card ID?"))</f>
        <v/>
      </c>
      <c r="G779" s="37" t="n"/>
      <c r="H779" s="37" t="n"/>
      <c r="I779" s="41" t="n"/>
      <c r="J779" s="45" t="str">
        <f>IF($I779="","",IFERROR(INDEX(MCC_MASTER!$B$5:$B$504,MATCH($I779,MCC_MASTER!$A$5:$A$504,0)),"⚠ MCC chưa có"))</f>
        <v/>
      </c>
      <c r="K779" s="45" t="str">
        <f>IF($I779="","",IFERROR(IF(INDEX(MCC_MASTER!$C$5:$C$504,MATCH($I779,MCC_MASTER!$A$5:$A$504,0))="","Chưa phân loại",INDEX(MCC_MASTER!$C$5:$C$504,MATCH($I779,MCC_MASTER!$A$5:$A$504,0))),"Chưa phân loại"))</f>
        <v/>
      </c>
      <c r="L779" s="40" t="n"/>
      <c r="M779" s="48" t="str">
        <f>IF(OR($B779="",$D779=""),"",IF($AC779=0,0,IF(ISNUMBER(INDEX(CASHBACK_RULES!$L$5:$L$304,$AC779)),MAX(0,MIN($L779,INDEX(CASHBACK_RULES!$L$5:$L$304,$AC779)-$AH779)),MAX(0,$L779))))</f>
        <v/>
      </c>
      <c r="N779" s="49" t="str">
        <f>IF(OR($B779="",$D779=""),"",IF($AC779&gt;0,INDEX(CASHBACK_RULES!$I$5:$I$304,$AC779),0))</f>
        <v/>
      </c>
      <c r="O779" s="48" t="str">
        <f>IF(OR($B779="",$D779=""),"",ROUND($M779*$N779,0))</f>
        <v/>
      </c>
      <c r="P779" s="48" t="str">
        <f>IF($AC779&gt;0,IF(ISNUMBER(INDEX(CASHBACK_RULES!$J$5:$J$304,$AC779)),INDEX(CASHBACK_RULES!$J$5:$J$304,$AC779),"∞"),"")</f>
        <v/>
      </c>
      <c r="Q779" s="48" t="str">
        <f>IF(OR($B779="",$D779=""),"",IF($AC779=0,0,MAX(0,MIN($O779,IF(ISNUMBER($P779),$P779-$AF779,1E+15),IF(ISNUMBER($AA779),$AA779-$AG779,1E+15)))))</f>
        <v/>
      </c>
      <c r="R779" s="48" t="str">
        <f>IF(OR($B779="",$D779=""),"",IF($AC779=0,"",IF(AND(NOT(ISNUMBER($P779)),NOT(ISNUMBER($AA779))),"∞",MAX(0,MIN(IF(ISNUMBER($P779),$P779-$AF779-$Q779,1E+15),IF(ISNUMBER($AA779),$AA779-$AG779-$Q779,1E+15))))))</f>
        <v/>
      </c>
      <c r="S779" s="47" t="str">
        <f>IF($AD779="","",YEAR($AD779)*100+MONTH($AD779))</f>
        <v/>
      </c>
      <c r="T779" s="50" t="str">
        <f>IF($AD779="","",IFERROR(IF(INDEX(CARDS!$I$5:$I$34,MATCH($D779,CARDS!$A$5:$A$34,0))="","",IF(INDEX(CARDS!$I$5:$I$34,MATCH($D779,CARDS!$A$5:$A$34,0))&gt;INDEX(CARDS!$H$5:$H$34,MATCH($D779,CARDS!$A$5:$A$34,0)),DATE(YEAR($AD779),MONTH($AD779),MIN(INDEX(CARDS!$I$5:$I$34,MATCH($D779,CARDS!$A$5:$A$34,0)),DAY(EOMONTH($AD779,0)))),DATE(YEAR($AD779),MONTH($AD779)+1,MIN(INDEX(CARDS!$I$5:$I$34,MATCH($D779,CARDS!$A$5:$A$34,0)),DAY(EOMONTH($AD779,1)))))),""))</f>
        <v/>
      </c>
      <c r="U779" s="38" t="n"/>
      <c r="V779" s="37" t="n"/>
      <c r="W779" s="38" t="n"/>
      <c r="X779" s="38" t="n"/>
      <c r="Y779" s="44" t="str">
        <f>IF($AC779&gt;0,INDEX(CASHBACK_RULES!$A$5:$A$304,$AC779),"")</f>
        <v/>
      </c>
      <c r="Z779" s="45" t="str">
        <f>IF($AC779&gt;0,INDEX(CASHBACK_RULES!$E$5:$E$304,$AC779)&amp;"","")</f>
        <v/>
      </c>
      <c r="AA779" s="48" t="str">
        <f>IF($AC779&gt;0,IF(ISNUMBER(INDEX(CASHBACK_RULES!$K$5:$K$304,$AC779)),INDEX(CASHBACK_RULES!$K$5:$K$304,$AC779),"∞"),"")</f>
        <v/>
      </c>
      <c r="AB779" s="44" t="str">
        <f>IF(OR($B779="",$D779=""),"",IF($U779="Cancelled","Đã hủy",IF($AC779=0,"Không được hoàn",IF($Q779=0,IF(OR($O779&gt;0,$M779&lt;$L779),"Đã đạt cap","Không được hoàn"),IF(OR($Q779&lt;$O779,$M779&lt;$L779),"Hoàn một phần","Được hoàn")))))</f>
        <v/>
      </c>
      <c r="AC779" s="43">
        <f>IF(OR($B779="",$D779="",$I779="",$L779=""),0,IF($U779="Cancelled",0,IF($W779&lt;&gt;"",IFERROR(IF(INDEX(CASHBACK_RULES!$B$5:$B$304,MATCH($W779,CASHBACK_RULES!$A$5:$A$304,0))=$D779,MATCH($W779,CASHBACK_RULES!$A$5:$A$304,0),0),0),IFERROR(MATCH(1,INDEX((CASHBACK_RULES!$B$5:$B$304=$D779)*(CASHBACK_RULES!$G$5:$G$304=$I779)*(((CASHBACK_RULES!$N$5:$N$304="")+(CASHBACK_RULES!$N$5:$N$304&lt;=$B779))&gt;0)*(((CASHBACK_RULES!$O$5:$O$304="")+(CASHBACK_RULES!$O$5:$O$304&gt;=$B779))&gt;0)*(((CASHBACK_RULES!$M$5:$M$304="")+(CASHBACK_RULES!$M$5:$M$304&lt;=$L779))&gt;0),0),0),0))))</f>
        <v>0</v>
      </c>
      <c r="AD779" s="51" t="str">
        <f>IF(OR($B779="",$D779=""),"",IFERROR(IF(INDEX(CARDS!$H$5:$H$34,MATCH($D779,CARDS!$A$5:$A$34,0))="","",IF(DAY($B779)&lt;=INDEX(CARDS!$H$5:$H$34,MATCH($D779,CARDS!$A$5:$A$34,0)),DATE(YEAR($B779),MONTH($B779),MIN(INDEX(CARDS!$H$5:$H$34,MATCH($D779,CARDS!$A$5:$A$34,0)),DAY(EOMONTH($B779,0)))),DATE(YEAR($B779),MONTH($B779)+1,MIN(INDEX(CARDS!$H$5:$H$34,MATCH($D779,CARDS!$A$5:$A$34,0)),DAY(EOMONTH($B779,1)))))),""))</f>
        <v/>
      </c>
      <c r="AE779" s="52" t="str">
        <f>IF($C779="","",$C779&amp;"|"&amp;COUNTIF($C$5:$C779,$C779))</f>
        <v/>
      </c>
      <c r="AF779" s="53">
        <f>IF($AC779&gt;0,SUMIFS(Q$4:Q778,$D$4:$D778,$D779,$Z$4:$Z778,$Z779,$C$4:$C778,$C779),0)</f>
        <v>0</v>
      </c>
      <c r="AG779" s="53">
        <f>IF($AC779&gt;0,SUMIFS(Q$4:Q778,$D$4:$D778,$D779,$C$4:$C778,$C779),0)</f>
        <v>0</v>
      </c>
      <c r="AH779" s="53">
        <f>IF($AC779&gt;0,SUMIFS(M$4:M778,$D$4:$D778,$D779,$Z$4:$Z778,$Z779,$C$4:$C778,$C779),0)</f>
        <v>0</v>
      </c>
      <c r="AI779" s="43">
        <f>IF(OR($C779="",$I779=""),0,IF(COUNTIFS($C$5:$C779,$C779,$I$5:$I779,$I779)=1,1,0))</f>
        <v>0</v>
      </c>
      <c r="AJ779" s="43" t="str">
        <f>IF($AI779=1,SUMIFS($AI$4:$AI778,$C$4:$C778,$C779)+1,"")</f>
        <v/>
      </c>
      <c r="AK779" s="43">
        <f>IF(OR($C779="",$K779=""),0,IF(COUNTIFS($C$5:$C779,$C779,$K$5:$K779,$K779)=1,1,0))</f>
        <v>0</v>
      </c>
      <c r="AL779" s="43" t="str">
        <f>IF($AK779=1,SUMIFS($AK$4:$AK778,$C$4:$C778,$C779)+1,"")</f>
        <v/>
      </c>
      <c r="AM779" s="43">
        <f>IF(OR($C779="",$G779=""),0,IF(COUNTIFS($C$5:$C779,$C779,$G$5:$G779,$G779)=1,1,0))</f>
        <v>0</v>
      </c>
      <c r="AN779" s="43" t="str">
        <f>IF($AM779=1,SUMIFS($AM$4:$AM778,$C$4:$C778,$C779)+1,"")</f>
        <v/>
      </c>
    </row>
    <row r="780">
      <c r="A780" s="44" t="str">
        <f>IF(OR($B780="",$D780=""),"","TX"&amp;TEXT(ROW()-4,"0000"))</f>
        <v/>
      </c>
      <c r="B780" s="42" t="n"/>
      <c r="C780" s="47" t="str">
        <f>IF($B780="","",YEAR($B780)*100+MONTH($B780))</f>
        <v/>
      </c>
      <c r="D780" s="37" t="n"/>
      <c r="E780" s="45" t="str">
        <f>IF($D780="","",IFERROR(INDEX(CARDS!$B$5:$B$34,MATCH($D780,CARDS!$A$5:$A$34,0)),"⚠ Card ID?"))</f>
        <v/>
      </c>
      <c r="F780" s="45" t="str">
        <f>IF($D780="","",IFERROR(INDEX(CARDS!$C$5:$C$34,MATCH($D780,CARDS!$A$5:$A$34,0)),"⚠ Card ID?"))</f>
        <v/>
      </c>
      <c r="G780" s="37" t="n"/>
      <c r="H780" s="37" t="n"/>
      <c r="I780" s="41" t="n"/>
      <c r="J780" s="45" t="str">
        <f>IF($I780="","",IFERROR(INDEX(MCC_MASTER!$B$5:$B$504,MATCH($I780,MCC_MASTER!$A$5:$A$504,0)),"⚠ MCC chưa có"))</f>
        <v/>
      </c>
      <c r="K780" s="45" t="str">
        <f>IF($I780="","",IFERROR(IF(INDEX(MCC_MASTER!$C$5:$C$504,MATCH($I780,MCC_MASTER!$A$5:$A$504,0))="","Chưa phân loại",INDEX(MCC_MASTER!$C$5:$C$504,MATCH($I780,MCC_MASTER!$A$5:$A$504,0))),"Chưa phân loại"))</f>
        <v/>
      </c>
      <c r="L780" s="40" t="n"/>
      <c r="M780" s="48" t="str">
        <f>IF(OR($B780="",$D780=""),"",IF($AC780=0,0,IF(ISNUMBER(INDEX(CASHBACK_RULES!$L$5:$L$304,$AC780)),MAX(0,MIN($L780,INDEX(CASHBACK_RULES!$L$5:$L$304,$AC780)-$AH780)),MAX(0,$L780))))</f>
        <v/>
      </c>
      <c r="N780" s="49" t="str">
        <f>IF(OR($B780="",$D780=""),"",IF($AC780&gt;0,INDEX(CASHBACK_RULES!$I$5:$I$304,$AC780),0))</f>
        <v/>
      </c>
      <c r="O780" s="48" t="str">
        <f>IF(OR($B780="",$D780=""),"",ROUND($M780*$N780,0))</f>
        <v/>
      </c>
      <c r="P780" s="48" t="str">
        <f>IF($AC780&gt;0,IF(ISNUMBER(INDEX(CASHBACK_RULES!$J$5:$J$304,$AC780)),INDEX(CASHBACK_RULES!$J$5:$J$304,$AC780),"∞"),"")</f>
        <v/>
      </c>
      <c r="Q780" s="48" t="str">
        <f>IF(OR($B780="",$D780=""),"",IF($AC780=0,0,MAX(0,MIN($O780,IF(ISNUMBER($P780),$P780-$AF780,1E+15),IF(ISNUMBER($AA780),$AA780-$AG780,1E+15)))))</f>
        <v/>
      </c>
      <c r="R780" s="48" t="str">
        <f>IF(OR($B780="",$D780=""),"",IF($AC780=0,"",IF(AND(NOT(ISNUMBER($P780)),NOT(ISNUMBER($AA780))),"∞",MAX(0,MIN(IF(ISNUMBER($P780),$P780-$AF780-$Q780,1E+15),IF(ISNUMBER($AA780),$AA780-$AG780-$Q780,1E+15))))))</f>
        <v/>
      </c>
      <c r="S780" s="47" t="str">
        <f>IF($AD780="","",YEAR($AD780)*100+MONTH($AD780))</f>
        <v/>
      </c>
      <c r="T780" s="50" t="str">
        <f>IF($AD780="","",IFERROR(IF(INDEX(CARDS!$I$5:$I$34,MATCH($D780,CARDS!$A$5:$A$34,0))="","",IF(INDEX(CARDS!$I$5:$I$34,MATCH($D780,CARDS!$A$5:$A$34,0))&gt;INDEX(CARDS!$H$5:$H$34,MATCH($D780,CARDS!$A$5:$A$34,0)),DATE(YEAR($AD780),MONTH($AD780),MIN(INDEX(CARDS!$I$5:$I$34,MATCH($D780,CARDS!$A$5:$A$34,0)),DAY(EOMONTH($AD780,0)))),DATE(YEAR($AD780),MONTH($AD780)+1,MIN(INDEX(CARDS!$I$5:$I$34,MATCH($D780,CARDS!$A$5:$A$34,0)),DAY(EOMONTH($AD780,1)))))),""))</f>
        <v/>
      </c>
      <c r="U780" s="38" t="n"/>
      <c r="V780" s="37" t="n"/>
      <c r="W780" s="38" t="n"/>
      <c r="X780" s="38" t="n"/>
      <c r="Y780" s="44" t="str">
        <f>IF($AC780&gt;0,INDEX(CASHBACK_RULES!$A$5:$A$304,$AC780),"")</f>
        <v/>
      </c>
      <c r="Z780" s="45" t="str">
        <f>IF($AC780&gt;0,INDEX(CASHBACK_RULES!$E$5:$E$304,$AC780)&amp;"","")</f>
        <v/>
      </c>
      <c r="AA780" s="48" t="str">
        <f>IF($AC780&gt;0,IF(ISNUMBER(INDEX(CASHBACK_RULES!$K$5:$K$304,$AC780)),INDEX(CASHBACK_RULES!$K$5:$K$304,$AC780),"∞"),"")</f>
        <v/>
      </c>
      <c r="AB780" s="44" t="str">
        <f>IF(OR($B780="",$D780=""),"",IF($U780="Cancelled","Đã hủy",IF($AC780=0,"Không được hoàn",IF($Q780=0,IF(OR($O780&gt;0,$M780&lt;$L780),"Đã đạt cap","Không được hoàn"),IF(OR($Q780&lt;$O780,$M780&lt;$L780),"Hoàn một phần","Được hoàn")))))</f>
        <v/>
      </c>
      <c r="AC780" s="43">
        <f>IF(OR($B780="",$D780="",$I780="",$L780=""),0,IF($U780="Cancelled",0,IF($W780&lt;&gt;"",IFERROR(IF(INDEX(CASHBACK_RULES!$B$5:$B$304,MATCH($W780,CASHBACK_RULES!$A$5:$A$304,0))=$D780,MATCH($W780,CASHBACK_RULES!$A$5:$A$304,0),0),0),IFERROR(MATCH(1,INDEX((CASHBACK_RULES!$B$5:$B$304=$D780)*(CASHBACK_RULES!$G$5:$G$304=$I780)*(((CASHBACK_RULES!$N$5:$N$304="")+(CASHBACK_RULES!$N$5:$N$304&lt;=$B780))&gt;0)*(((CASHBACK_RULES!$O$5:$O$304="")+(CASHBACK_RULES!$O$5:$O$304&gt;=$B780))&gt;0)*(((CASHBACK_RULES!$M$5:$M$304="")+(CASHBACK_RULES!$M$5:$M$304&lt;=$L780))&gt;0),0),0),0))))</f>
        <v>0</v>
      </c>
      <c r="AD780" s="51" t="str">
        <f>IF(OR($B780="",$D780=""),"",IFERROR(IF(INDEX(CARDS!$H$5:$H$34,MATCH($D780,CARDS!$A$5:$A$34,0))="","",IF(DAY($B780)&lt;=INDEX(CARDS!$H$5:$H$34,MATCH($D780,CARDS!$A$5:$A$34,0)),DATE(YEAR($B780),MONTH($B780),MIN(INDEX(CARDS!$H$5:$H$34,MATCH($D780,CARDS!$A$5:$A$34,0)),DAY(EOMONTH($B780,0)))),DATE(YEAR($B780),MONTH($B780)+1,MIN(INDEX(CARDS!$H$5:$H$34,MATCH($D780,CARDS!$A$5:$A$34,0)),DAY(EOMONTH($B780,1)))))),""))</f>
        <v/>
      </c>
      <c r="AE780" s="52" t="str">
        <f>IF($C780="","",$C780&amp;"|"&amp;COUNTIF($C$5:$C780,$C780))</f>
        <v/>
      </c>
      <c r="AF780" s="53">
        <f>IF($AC780&gt;0,SUMIFS(Q$4:Q779,$D$4:$D779,$D780,$Z$4:$Z779,$Z780,$C$4:$C779,$C780),0)</f>
        <v>0</v>
      </c>
      <c r="AG780" s="53">
        <f>IF($AC780&gt;0,SUMIFS(Q$4:Q779,$D$4:$D779,$D780,$C$4:$C779,$C780),0)</f>
        <v>0</v>
      </c>
      <c r="AH780" s="53">
        <f>IF($AC780&gt;0,SUMIFS(M$4:M779,$D$4:$D779,$D780,$Z$4:$Z779,$Z780,$C$4:$C779,$C780),0)</f>
        <v>0</v>
      </c>
      <c r="AI780" s="43">
        <f>IF(OR($C780="",$I780=""),0,IF(COUNTIFS($C$5:$C780,$C780,$I$5:$I780,$I780)=1,1,0))</f>
        <v>0</v>
      </c>
      <c r="AJ780" s="43" t="str">
        <f>IF($AI780=1,SUMIFS($AI$4:$AI779,$C$4:$C779,$C780)+1,"")</f>
        <v/>
      </c>
      <c r="AK780" s="43">
        <f>IF(OR($C780="",$K780=""),0,IF(COUNTIFS($C$5:$C780,$C780,$K$5:$K780,$K780)=1,1,0))</f>
        <v>0</v>
      </c>
      <c r="AL780" s="43" t="str">
        <f>IF($AK780=1,SUMIFS($AK$4:$AK779,$C$4:$C779,$C780)+1,"")</f>
        <v/>
      </c>
      <c r="AM780" s="43">
        <f>IF(OR($C780="",$G780=""),0,IF(COUNTIFS($C$5:$C780,$C780,$G$5:$G780,$G780)=1,1,0))</f>
        <v>0</v>
      </c>
      <c r="AN780" s="43" t="str">
        <f>IF($AM780=1,SUMIFS($AM$4:$AM779,$C$4:$C779,$C780)+1,"")</f>
        <v/>
      </c>
    </row>
    <row r="781">
      <c r="A781" s="44" t="str">
        <f>IF(OR($B781="",$D781=""),"","TX"&amp;TEXT(ROW()-4,"0000"))</f>
        <v/>
      </c>
      <c r="B781" s="42" t="n"/>
      <c r="C781" s="47" t="str">
        <f>IF($B781="","",YEAR($B781)*100+MONTH($B781))</f>
        <v/>
      </c>
      <c r="D781" s="37" t="n"/>
      <c r="E781" s="45" t="str">
        <f>IF($D781="","",IFERROR(INDEX(CARDS!$B$5:$B$34,MATCH($D781,CARDS!$A$5:$A$34,0)),"⚠ Card ID?"))</f>
        <v/>
      </c>
      <c r="F781" s="45" t="str">
        <f>IF($D781="","",IFERROR(INDEX(CARDS!$C$5:$C$34,MATCH($D781,CARDS!$A$5:$A$34,0)),"⚠ Card ID?"))</f>
        <v/>
      </c>
      <c r="G781" s="37" t="n"/>
      <c r="H781" s="37" t="n"/>
      <c r="I781" s="41" t="n"/>
      <c r="J781" s="45" t="str">
        <f>IF($I781="","",IFERROR(INDEX(MCC_MASTER!$B$5:$B$504,MATCH($I781,MCC_MASTER!$A$5:$A$504,0)),"⚠ MCC chưa có"))</f>
        <v/>
      </c>
      <c r="K781" s="45" t="str">
        <f>IF($I781="","",IFERROR(IF(INDEX(MCC_MASTER!$C$5:$C$504,MATCH($I781,MCC_MASTER!$A$5:$A$504,0))="","Chưa phân loại",INDEX(MCC_MASTER!$C$5:$C$504,MATCH($I781,MCC_MASTER!$A$5:$A$504,0))),"Chưa phân loại"))</f>
        <v/>
      </c>
      <c r="L781" s="40" t="n"/>
      <c r="M781" s="48" t="str">
        <f>IF(OR($B781="",$D781=""),"",IF($AC781=0,0,IF(ISNUMBER(INDEX(CASHBACK_RULES!$L$5:$L$304,$AC781)),MAX(0,MIN($L781,INDEX(CASHBACK_RULES!$L$5:$L$304,$AC781)-$AH781)),MAX(0,$L781))))</f>
        <v/>
      </c>
      <c r="N781" s="49" t="str">
        <f>IF(OR($B781="",$D781=""),"",IF($AC781&gt;0,INDEX(CASHBACK_RULES!$I$5:$I$304,$AC781),0))</f>
        <v/>
      </c>
      <c r="O781" s="48" t="str">
        <f>IF(OR($B781="",$D781=""),"",ROUND($M781*$N781,0))</f>
        <v/>
      </c>
      <c r="P781" s="48" t="str">
        <f>IF($AC781&gt;0,IF(ISNUMBER(INDEX(CASHBACK_RULES!$J$5:$J$304,$AC781)),INDEX(CASHBACK_RULES!$J$5:$J$304,$AC781),"∞"),"")</f>
        <v/>
      </c>
      <c r="Q781" s="48" t="str">
        <f>IF(OR($B781="",$D781=""),"",IF($AC781=0,0,MAX(0,MIN($O781,IF(ISNUMBER($P781),$P781-$AF781,1E+15),IF(ISNUMBER($AA781),$AA781-$AG781,1E+15)))))</f>
        <v/>
      </c>
      <c r="R781" s="48" t="str">
        <f>IF(OR($B781="",$D781=""),"",IF($AC781=0,"",IF(AND(NOT(ISNUMBER($P781)),NOT(ISNUMBER($AA781))),"∞",MAX(0,MIN(IF(ISNUMBER($P781),$P781-$AF781-$Q781,1E+15),IF(ISNUMBER($AA781),$AA781-$AG781-$Q781,1E+15))))))</f>
        <v/>
      </c>
      <c r="S781" s="47" t="str">
        <f>IF($AD781="","",YEAR($AD781)*100+MONTH($AD781))</f>
        <v/>
      </c>
      <c r="T781" s="50" t="str">
        <f>IF($AD781="","",IFERROR(IF(INDEX(CARDS!$I$5:$I$34,MATCH($D781,CARDS!$A$5:$A$34,0))="","",IF(INDEX(CARDS!$I$5:$I$34,MATCH($D781,CARDS!$A$5:$A$34,0))&gt;INDEX(CARDS!$H$5:$H$34,MATCH($D781,CARDS!$A$5:$A$34,0)),DATE(YEAR($AD781),MONTH($AD781),MIN(INDEX(CARDS!$I$5:$I$34,MATCH($D781,CARDS!$A$5:$A$34,0)),DAY(EOMONTH($AD781,0)))),DATE(YEAR($AD781),MONTH($AD781)+1,MIN(INDEX(CARDS!$I$5:$I$34,MATCH($D781,CARDS!$A$5:$A$34,0)),DAY(EOMONTH($AD781,1)))))),""))</f>
        <v/>
      </c>
      <c r="U781" s="38" t="n"/>
      <c r="V781" s="37" t="n"/>
      <c r="W781" s="38" t="n"/>
      <c r="X781" s="38" t="n"/>
      <c r="Y781" s="44" t="str">
        <f>IF($AC781&gt;0,INDEX(CASHBACK_RULES!$A$5:$A$304,$AC781),"")</f>
        <v/>
      </c>
      <c r="Z781" s="45" t="str">
        <f>IF($AC781&gt;0,INDEX(CASHBACK_RULES!$E$5:$E$304,$AC781)&amp;"","")</f>
        <v/>
      </c>
      <c r="AA781" s="48" t="str">
        <f>IF($AC781&gt;0,IF(ISNUMBER(INDEX(CASHBACK_RULES!$K$5:$K$304,$AC781)),INDEX(CASHBACK_RULES!$K$5:$K$304,$AC781),"∞"),"")</f>
        <v/>
      </c>
      <c r="AB781" s="44" t="str">
        <f>IF(OR($B781="",$D781=""),"",IF($U781="Cancelled","Đã hủy",IF($AC781=0,"Không được hoàn",IF($Q781=0,IF(OR($O781&gt;0,$M781&lt;$L781),"Đã đạt cap","Không được hoàn"),IF(OR($Q781&lt;$O781,$M781&lt;$L781),"Hoàn một phần","Được hoàn")))))</f>
        <v/>
      </c>
      <c r="AC781" s="43">
        <f>IF(OR($B781="",$D781="",$I781="",$L781=""),0,IF($U781="Cancelled",0,IF($W781&lt;&gt;"",IFERROR(IF(INDEX(CASHBACK_RULES!$B$5:$B$304,MATCH($W781,CASHBACK_RULES!$A$5:$A$304,0))=$D781,MATCH($W781,CASHBACK_RULES!$A$5:$A$304,0),0),0),IFERROR(MATCH(1,INDEX((CASHBACK_RULES!$B$5:$B$304=$D781)*(CASHBACK_RULES!$G$5:$G$304=$I781)*(((CASHBACK_RULES!$N$5:$N$304="")+(CASHBACK_RULES!$N$5:$N$304&lt;=$B781))&gt;0)*(((CASHBACK_RULES!$O$5:$O$304="")+(CASHBACK_RULES!$O$5:$O$304&gt;=$B781))&gt;0)*(((CASHBACK_RULES!$M$5:$M$304="")+(CASHBACK_RULES!$M$5:$M$304&lt;=$L781))&gt;0),0),0),0))))</f>
        <v>0</v>
      </c>
      <c r="AD781" s="51" t="str">
        <f>IF(OR($B781="",$D781=""),"",IFERROR(IF(INDEX(CARDS!$H$5:$H$34,MATCH($D781,CARDS!$A$5:$A$34,0))="","",IF(DAY($B781)&lt;=INDEX(CARDS!$H$5:$H$34,MATCH($D781,CARDS!$A$5:$A$34,0)),DATE(YEAR($B781),MONTH($B781),MIN(INDEX(CARDS!$H$5:$H$34,MATCH($D781,CARDS!$A$5:$A$34,0)),DAY(EOMONTH($B781,0)))),DATE(YEAR($B781),MONTH($B781)+1,MIN(INDEX(CARDS!$H$5:$H$34,MATCH($D781,CARDS!$A$5:$A$34,0)),DAY(EOMONTH($B781,1)))))),""))</f>
        <v/>
      </c>
      <c r="AE781" s="52" t="str">
        <f>IF($C781="","",$C781&amp;"|"&amp;COUNTIF($C$5:$C781,$C781))</f>
        <v/>
      </c>
      <c r="AF781" s="53">
        <f>IF($AC781&gt;0,SUMIFS(Q$4:Q780,$D$4:$D780,$D781,$Z$4:$Z780,$Z781,$C$4:$C780,$C781),0)</f>
        <v>0</v>
      </c>
      <c r="AG781" s="53">
        <f>IF($AC781&gt;0,SUMIFS(Q$4:Q780,$D$4:$D780,$D781,$C$4:$C780,$C781),0)</f>
        <v>0</v>
      </c>
      <c r="AH781" s="53">
        <f>IF($AC781&gt;0,SUMIFS(M$4:M780,$D$4:$D780,$D781,$Z$4:$Z780,$Z781,$C$4:$C780,$C781),0)</f>
        <v>0</v>
      </c>
      <c r="AI781" s="43">
        <f>IF(OR($C781="",$I781=""),0,IF(COUNTIFS($C$5:$C781,$C781,$I$5:$I781,$I781)=1,1,0))</f>
        <v>0</v>
      </c>
      <c r="AJ781" s="43" t="str">
        <f>IF($AI781=1,SUMIFS($AI$4:$AI780,$C$4:$C780,$C781)+1,"")</f>
        <v/>
      </c>
      <c r="AK781" s="43">
        <f>IF(OR($C781="",$K781=""),0,IF(COUNTIFS($C$5:$C781,$C781,$K$5:$K781,$K781)=1,1,0))</f>
        <v>0</v>
      </c>
      <c r="AL781" s="43" t="str">
        <f>IF($AK781=1,SUMIFS($AK$4:$AK780,$C$4:$C780,$C781)+1,"")</f>
        <v/>
      </c>
      <c r="AM781" s="43">
        <f>IF(OR($C781="",$G781=""),0,IF(COUNTIFS($C$5:$C781,$C781,$G$5:$G781,$G781)=1,1,0))</f>
        <v>0</v>
      </c>
      <c r="AN781" s="43" t="str">
        <f>IF($AM781=1,SUMIFS($AM$4:$AM780,$C$4:$C780,$C781)+1,"")</f>
        <v/>
      </c>
    </row>
    <row r="782">
      <c r="A782" s="44" t="str">
        <f>IF(OR($B782="",$D782=""),"","TX"&amp;TEXT(ROW()-4,"0000"))</f>
        <v/>
      </c>
      <c r="B782" s="42" t="n"/>
      <c r="C782" s="47" t="str">
        <f>IF($B782="","",YEAR($B782)*100+MONTH($B782))</f>
        <v/>
      </c>
      <c r="D782" s="37" t="n"/>
      <c r="E782" s="45" t="str">
        <f>IF($D782="","",IFERROR(INDEX(CARDS!$B$5:$B$34,MATCH($D782,CARDS!$A$5:$A$34,0)),"⚠ Card ID?"))</f>
        <v/>
      </c>
      <c r="F782" s="45" t="str">
        <f>IF($D782="","",IFERROR(INDEX(CARDS!$C$5:$C$34,MATCH($D782,CARDS!$A$5:$A$34,0)),"⚠ Card ID?"))</f>
        <v/>
      </c>
      <c r="G782" s="37" t="n"/>
      <c r="H782" s="37" t="n"/>
      <c r="I782" s="41" t="n"/>
      <c r="J782" s="45" t="str">
        <f>IF($I782="","",IFERROR(INDEX(MCC_MASTER!$B$5:$B$504,MATCH($I782,MCC_MASTER!$A$5:$A$504,0)),"⚠ MCC chưa có"))</f>
        <v/>
      </c>
      <c r="K782" s="45" t="str">
        <f>IF($I782="","",IFERROR(IF(INDEX(MCC_MASTER!$C$5:$C$504,MATCH($I782,MCC_MASTER!$A$5:$A$504,0))="","Chưa phân loại",INDEX(MCC_MASTER!$C$5:$C$504,MATCH($I782,MCC_MASTER!$A$5:$A$504,0))),"Chưa phân loại"))</f>
        <v/>
      </c>
      <c r="L782" s="40" t="n"/>
      <c r="M782" s="48" t="str">
        <f>IF(OR($B782="",$D782=""),"",IF($AC782=0,0,IF(ISNUMBER(INDEX(CASHBACK_RULES!$L$5:$L$304,$AC782)),MAX(0,MIN($L782,INDEX(CASHBACK_RULES!$L$5:$L$304,$AC782)-$AH782)),MAX(0,$L782))))</f>
        <v/>
      </c>
      <c r="N782" s="49" t="str">
        <f>IF(OR($B782="",$D782=""),"",IF($AC782&gt;0,INDEX(CASHBACK_RULES!$I$5:$I$304,$AC782),0))</f>
        <v/>
      </c>
      <c r="O782" s="48" t="str">
        <f>IF(OR($B782="",$D782=""),"",ROUND($M782*$N782,0))</f>
        <v/>
      </c>
      <c r="P782" s="48" t="str">
        <f>IF($AC782&gt;0,IF(ISNUMBER(INDEX(CASHBACK_RULES!$J$5:$J$304,$AC782)),INDEX(CASHBACK_RULES!$J$5:$J$304,$AC782),"∞"),"")</f>
        <v/>
      </c>
      <c r="Q782" s="48" t="str">
        <f>IF(OR($B782="",$D782=""),"",IF($AC782=0,0,MAX(0,MIN($O782,IF(ISNUMBER($P782),$P782-$AF782,1E+15),IF(ISNUMBER($AA782),$AA782-$AG782,1E+15)))))</f>
        <v/>
      </c>
      <c r="R782" s="48" t="str">
        <f>IF(OR($B782="",$D782=""),"",IF($AC782=0,"",IF(AND(NOT(ISNUMBER($P782)),NOT(ISNUMBER($AA782))),"∞",MAX(0,MIN(IF(ISNUMBER($P782),$P782-$AF782-$Q782,1E+15),IF(ISNUMBER($AA782),$AA782-$AG782-$Q782,1E+15))))))</f>
        <v/>
      </c>
      <c r="S782" s="47" t="str">
        <f>IF($AD782="","",YEAR($AD782)*100+MONTH($AD782))</f>
        <v/>
      </c>
      <c r="T782" s="50" t="str">
        <f>IF($AD782="","",IFERROR(IF(INDEX(CARDS!$I$5:$I$34,MATCH($D782,CARDS!$A$5:$A$34,0))="","",IF(INDEX(CARDS!$I$5:$I$34,MATCH($D782,CARDS!$A$5:$A$34,0))&gt;INDEX(CARDS!$H$5:$H$34,MATCH($D782,CARDS!$A$5:$A$34,0)),DATE(YEAR($AD782),MONTH($AD782),MIN(INDEX(CARDS!$I$5:$I$34,MATCH($D782,CARDS!$A$5:$A$34,0)),DAY(EOMONTH($AD782,0)))),DATE(YEAR($AD782),MONTH($AD782)+1,MIN(INDEX(CARDS!$I$5:$I$34,MATCH($D782,CARDS!$A$5:$A$34,0)),DAY(EOMONTH($AD782,1)))))),""))</f>
        <v/>
      </c>
      <c r="U782" s="38" t="n"/>
      <c r="V782" s="37" t="n"/>
      <c r="W782" s="38" t="n"/>
      <c r="X782" s="38" t="n"/>
      <c r="Y782" s="44" t="str">
        <f>IF($AC782&gt;0,INDEX(CASHBACK_RULES!$A$5:$A$304,$AC782),"")</f>
        <v/>
      </c>
      <c r="Z782" s="45" t="str">
        <f>IF($AC782&gt;0,INDEX(CASHBACK_RULES!$E$5:$E$304,$AC782)&amp;"","")</f>
        <v/>
      </c>
      <c r="AA782" s="48" t="str">
        <f>IF($AC782&gt;0,IF(ISNUMBER(INDEX(CASHBACK_RULES!$K$5:$K$304,$AC782)),INDEX(CASHBACK_RULES!$K$5:$K$304,$AC782),"∞"),"")</f>
        <v/>
      </c>
      <c r="AB782" s="44" t="str">
        <f>IF(OR($B782="",$D782=""),"",IF($U782="Cancelled","Đã hủy",IF($AC782=0,"Không được hoàn",IF($Q782=0,IF(OR($O782&gt;0,$M782&lt;$L782),"Đã đạt cap","Không được hoàn"),IF(OR($Q782&lt;$O782,$M782&lt;$L782),"Hoàn một phần","Được hoàn")))))</f>
        <v/>
      </c>
      <c r="AC782" s="43">
        <f>IF(OR($B782="",$D782="",$I782="",$L782=""),0,IF($U782="Cancelled",0,IF($W782&lt;&gt;"",IFERROR(IF(INDEX(CASHBACK_RULES!$B$5:$B$304,MATCH($W782,CASHBACK_RULES!$A$5:$A$304,0))=$D782,MATCH($W782,CASHBACK_RULES!$A$5:$A$304,0),0),0),IFERROR(MATCH(1,INDEX((CASHBACK_RULES!$B$5:$B$304=$D782)*(CASHBACK_RULES!$G$5:$G$304=$I782)*(((CASHBACK_RULES!$N$5:$N$304="")+(CASHBACK_RULES!$N$5:$N$304&lt;=$B782))&gt;0)*(((CASHBACK_RULES!$O$5:$O$304="")+(CASHBACK_RULES!$O$5:$O$304&gt;=$B782))&gt;0)*(((CASHBACK_RULES!$M$5:$M$304="")+(CASHBACK_RULES!$M$5:$M$304&lt;=$L782))&gt;0),0),0),0))))</f>
        <v>0</v>
      </c>
      <c r="AD782" s="51" t="str">
        <f>IF(OR($B782="",$D782=""),"",IFERROR(IF(INDEX(CARDS!$H$5:$H$34,MATCH($D782,CARDS!$A$5:$A$34,0))="","",IF(DAY($B782)&lt;=INDEX(CARDS!$H$5:$H$34,MATCH($D782,CARDS!$A$5:$A$34,0)),DATE(YEAR($B782),MONTH($B782),MIN(INDEX(CARDS!$H$5:$H$34,MATCH($D782,CARDS!$A$5:$A$34,0)),DAY(EOMONTH($B782,0)))),DATE(YEAR($B782),MONTH($B782)+1,MIN(INDEX(CARDS!$H$5:$H$34,MATCH($D782,CARDS!$A$5:$A$34,0)),DAY(EOMONTH($B782,1)))))),""))</f>
        <v/>
      </c>
      <c r="AE782" s="52" t="str">
        <f>IF($C782="","",$C782&amp;"|"&amp;COUNTIF($C$5:$C782,$C782))</f>
        <v/>
      </c>
      <c r="AF782" s="53">
        <f>IF($AC782&gt;0,SUMIFS(Q$4:Q781,$D$4:$D781,$D782,$Z$4:$Z781,$Z782,$C$4:$C781,$C782),0)</f>
        <v>0</v>
      </c>
      <c r="AG782" s="53">
        <f>IF($AC782&gt;0,SUMIFS(Q$4:Q781,$D$4:$D781,$D782,$C$4:$C781,$C782),0)</f>
        <v>0</v>
      </c>
      <c r="AH782" s="53">
        <f>IF($AC782&gt;0,SUMIFS(M$4:M781,$D$4:$D781,$D782,$Z$4:$Z781,$Z782,$C$4:$C781,$C782),0)</f>
        <v>0</v>
      </c>
      <c r="AI782" s="43">
        <f>IF(OR($C782="",$I782=""),0,IF(COUNTIFS($C$5:$C782,$C782,$I$5:$I782,$I782)=1,1,0))</f>
        <v>0</v>
      </c>
      <c r="AJ782" s="43" t="str">
        <f>IF($AI782=1,SUMIFS($AI$4:$AI781,$C$4:$C781,$C782)+1,"")</f>
        <v/>
      </c>
      <c r="AK782" s="43">
        <f>IF(OR($C782="",$K782=""),0,IF(COUNTIFS($C$5:$C782,$C782,$K$5:$K782,$K782)=1,1,0))</f>
        <v>0</v>
      </c>
      <c r="AL782" s="43" t="str">
        <f>IF($AK782=1,SUMIFS($AK$4:$AK781,$C$4:$C781,$C782)+1,"")</f>
        <v/>
      </c>
      <c r="AM782" s="43">
        <f>IF(OR($C782="",$G782=""),0,IF(COUNTIFS($C$5:$C782,$C782,$G$5:$G782,$G782)=1,1,0))</f>
        <v>0</v>
      </c>
      <c r="AN782" s="43" t="str">
        <f>IF($AM782=1,SUMIFS($AM$4:$AM781,$C$4:$C781,$C782)+1,"")</f>
        <v/>
      </c>
    </row>
    <row r="783">
      <c r="A783" s="44" t="str">
        <f>IF(OR($B783="",$D783=""),"","TX"&amp;TEXT(ROW()-4,"0000"))</f>
        <v/>
      </c>
      <c r="B783" s="42" t="n"/>
      <c r="C783" s="47" t="str">
        <f>IF($B783="","",YEAR($B783)*100+MONTH($B783))</f>
        <v/>
      </c>
      <c r="D783" s="37" t="n"/>
      <c r="E783" s="45" t="str">
        <f>IF($D783="","",IFERROR(INDEX(CARDS!$B$5:$B$34,MATCH($D783,CARDS!$A$5:$A$34,0)),"⚠ Card ID?"))</f>
        <v/>
      </c>
      <c r="F783" s="45" t="str">
        <f>IF($D783="","",IFERROR(INDEX(CARDS!$C$5:$C$34,MATCH($D783,CARDS!$A$5:$A$34,0)),"⚠ Card ID?"))</f>
        <v/>
      </c>
      <c r="G783" s="37" t="n"/>
      <c r="H783" s="37" t="n"/>
      <c r="I783" s="41" t="n"/>
      <c r="J783" s="45" t="str">
        <f>IF($I783="","",IFERROR(INDEX(MCC_MASTER!$B$5:$B$504,MATCH($I783,MCC_MASTER!$A$5:$A$504,0)),"⚠ MCC chưa có"))</f>
        <v/>
      </c>
      <c r="K783" s="45" t="str">
        <f>IF($I783="","",IFERROR(IF(INDEX(MCC_MASTER!$C$5:$C$504,MATCH($I783,MCC_MASTER!$A$5:$A$504,0))="","Chưa phân loại",INDEX(MCC_MASTER!$C$5:$C$504,MATCH($I783,MCC_MASTER!$A$5:$A$504,0))),"Chưa phân loại"))</f>
        <v/>
      </c>
      <c r="L783" s="40" t="n"/>
      <c r="M783" s="48" t="str">
        <f>IF(OR($B783="",$D783=""),"",IF($AC783=0,0,IF(ISNUMBER(INDEX(CASHBACK_RULES!$L$5:$L$304,$AC783)),MAX(0,MIN($L783,INDEX(CASHBACK_RULES!$L$5:$L$304,$AC783)-$AH783)),MAX(0,$L783))))</f>
        <v/>
      </c>
      <c r="N783" s="49" t="str">
        <f>IF(OR($B783="",$D783=""),"",IF($AC783&gt;0,INDEX(CASHBACK_RULES!$I$5:$I$304,$AC783),0))</f>
        <v/>
      </c>
      <c r="O783" s="48" t="str">
        <f>IF(OR($B783="",$D783=""),"",ROUND($M783*$N783,0))</f>
        <v/>
      </c>
      <c r="P783" s="48" t="str">
        <f>IF($AC783&gt;0,IF(ISNUMBER(INDEX(CASHBACK_RULES!$J$5:$J$304,$AC783)),INDEX(CASHBACK_RULES!$J$5:$J$304,$AC783),"∞"),"")</f>
        <v/>
      </c>
      <c r="Q783" s="48" t="str">
        <f>IF(OR($B783="",$D783=""),"",IF($AC783=0,0,MAX(0,MIN($O783,IF(ISNUMBER($P783),$P783-$AF783,1E+15),IF(ISNUMBER($AA783),$AA783-$AG783,1E+15)))))</f>
        <v/>
      </c>
      <c r="R783" s="48" t="str">
        <f>IF(OR($B783="",$D783=""),"",IF($AC783=0,"",IF(AND(NOT(ISNUMBER($P783)),NOT(ISNUMBER($AA783))),"∞",MAX(0,MIN(IF(ISNUMBER($P783),$P783-$AF783-$Q783,1E+15),IF(ISNUMBER($AA783),$AA783-$AG783-$Q783,1E+15))))))</f>
        <v/>
      </c>
      <c r="S783" s="47" t="str">
        <f>IF($AD783="","",YEAR($AD783)*100+MONTH($AD783))</f>
        <v/>
      </c>
      <c r="T783" s="50" t="str">
        <f>IF($AD783="","",IFERROR(IF(INDEX(CARDS!$I$5:$I$34,MATCH($D783,CARDS!$A$5:$A$34,0))="","",IF(INDEX(CARDS!$I$5:$I$34,MATCH($D783,CARDS!$A$5:$A$34,0))&gt;INDEX(CARDS!$H$5:$H$34,MATCH($D783,CARDS!$A$5:$A$34,0)),DATE(YEAR($AD783),MONTH($AD783),MIN(INDEX(CARDS!$I$5:$I$34,MATCH($D783,CARDS!$A$5:$A$34,0)),DAY(EOMONTH($AD783,0)))),DATE(YEAR($AD783),MONTH($AD783)+1,MIN(INDEX(CARDS!$I$5:$I$34,MATCH($D783,CARDS!$A$5:$A$34,0)),DAY(EOMONTH($AD783,1)))))),""))</f>
        <v/>
      </c>
      <c r="U783" s="38" t="n"/>
      <c r="V783" s="37" t="n"/>
      <c r="W783" s="38" t="n"/>
      <c r="X783" s="38" t="n"/>
      <c r="Y783" s="44" t="str">
        <f>IF($AC783&gt;0,INDEX(CASHBACK_RULES!$A$5:$A$304,$AC783),"")</f>
        <v/>
      </c>
      <c r="Z783" s="45" t="str">
        <f>IF($AC783&gt;0,INDEX(CASHBACK_RULES!$E$5:$E$304,$AC783)&amp;"","")</f>
        <v/>
      </c>
      <c r="AA783" s="48" t="str">
        <f>IF($AC783&gt;0,IF(ISNUMBER(INDEX(CASHBACK_RULES!$K$5:$K$304,$AC783)),INDEX(CASHBACK_RULES!$K$5:$K$304,$AC783),"∞"),"")</f>
        <v/>
      </c>
      <c r="AB783" s="44" t="str">
        <f>IF(OR($B783="",$D783=""),"",IF($U783="Cancelled","Đã hủy",IF($AC783=0,"Không được hoàn",IF($Q783=0,IF(OR($O783&gt;0,$M783&lt;$L783),"Đã đạt cap","Không được hoàn"),IF(OR($Q783&lt;$O783,$M783&lt;$L783),"Hoàn một phần","Được hoàn")))))</f>
        <v/>
      </c>
      <c r="AC783" s="43">
        <f>IF(OR($B783="",$D783="",$I783="",$L783=""),0,IF($U783="Cancelled",0,IF($W783&lt;&gt;"",IFERROR(IF(INDEX(CASHBACK_RULES!$B$5:$B$304,MATCH($W783,CASHBACK_RULES!$A$5:$A$304,0))=$D783,MATCH($W783,CASHBACK_RULES!$A$5:$A$304,0),0),0),IFERROR(MATCH(1,INDEX((CASHBACK_RULES!$B$5:$B$304=$D783)*(CASHBACK_RULES!$G$5:$G$304=$I783)*(((CASHBACK_RULES!$N$5:$N$304="")+(CASHBACK_RULES!$N$5:$N$304&lt;=$B783))&gt;0)*(((CASHBACK_RULES!$O$5:$O$304="")+(CASHBACK_RULES!$O$5:$O$304&gt;=$B783))&gt;0)*(((CASHBACK_RULES!$M$5:$M$304="")+(CASHBACK_RULES!$M$5:$M$304&lt;=$L783))&gt;0),0),0),0))))</f>
        <v>0</v>
      </c>
      <c r="AD783" s="51" t="str">
        <f>IF(OR($B783="",$D783=""),"",IFERROR(IF(INDEX(CARDS!$H$5:$H$34,MATCH($D783,CARDS!$A$5:$A$34,0))="","",IF(DAY($B783)&lt;=INDEX(CARDS!$H$5:$H$34,MATCH($D783,CARDS!$A$5:$A$34,0)),DATE(YEAR($B783),MONTH($B783),MIN(INDEX(CARDS!$H$5:$H$34,MATCH($D783,CARDS!$A$5:$A$34,0)),DAY(EOMONTH($B783,0)))),DATE(YEAR($B783),MONTH($B783)+1,MIN(INDEX(CARDS!$H$5:$H$34,MATCH($D783,CARDS!$A$5:$A$34,0)),DAY(EOMONTH($B783,1)))))),""))</f>
        <v/>
      </c>
      <c r="AE783" s="52" t="str">
        <f>IF($C783="","",$C783&amp;"|"&amp;COUNTIF($C$5:$C783,$C783))</f>
        <v/>
      </c>
      <c r="AF783" s="53">
        <f>IF($AC783&gt;0,SUMIFS(Q$4:Q782,$D$4:$D782,$D783,$Z$4:$Z782,$Z783,$C$4:$C782,$C783),0)</f>
        <v>0</v>
      </c>
      <c r="AG783" s="53">
        <f>IF($AC783&gt;0,SUMIFS(Q$4:Q782,$D$4:$D782,$D783,$C$4:$C782,$C783),0)</f>
        <v>0</v>
      </c>
      <c r="AH783" s="53">
        <f>IF($AC783&gt;0,SUMIFS(M$4:M782,$D$4:$D782,$D783,$Z$4:$Z782,$Z783,$C$4:$C782,$C783),0)</f>
        <v>0</v>
      </c>
      <c r="AI783" s="43">
        <f>IF(OR($C783="",$I783=""),0,IF(COUNTIFS($C$5:$C783,$C783,$I$5:$I783,$I783)=1,1,0))</f>
        <v>0</v>
      </c>
      <c r="AJ783" s="43" t="str">
        <f>IF($AI783=1,SUMIFS($AI$4:$AI782,$C$4:$C782,$C783)+1,"")</f>
        <v/>
      </c>
      <c r="AK783" s="43">
        <f>IF(OR($C783="",$K783=""),0,IF(COUNTIFS($C$5:$C783,$C783,$K$5:$K783,$K783)=1,1,0))</f>
        <v>0</v>
      </c>
      <c r="AL783" s="43" t="str">
        <f>IF($AK783=1,SUMIFS($AK$4:$AK782,$C$4:$C782,$C783)+1,"")</f>
        <v/>
      </c>
      <c r="AM783" s="43">
        <f>IF(OR($C783="",$G783=""),0,IF(COUNTIFS($C$5:$C783,$C783,$G$5:$G783,$G783)=1,1,0))</f>
        <v>0</v>
      </c>
      <c r="AN783" s="43" t="str">
        <f>IF($AM783=1,SUMIFS($AM$4:$AM782,$C$4:$C782,$C783)+1,"")</f>
        <v/>
      </c>
    </row>
    <row r="784">
      <c r="A784" s="44" t="str">
        <f>IF(OR($B784="",$D784=""),"","TX"&amp;TEXT(ROW()-4,"0000"))</f>
        <v/>
      </c>
      <c r="B784" s="42" t="n"/>
      <c r="C784" s="47" t="str">
        <f>IF($B784="","",YEAR($B784)*100+MONTH($B784))</f>
        <v/>
      </c>
      <c r="D784" s="37" t="n"/>
      <c r="E784" s="45" t="str">
        <f>IF($D784="","",IFERROR(INDEX(CARDS!$B$5:$B$34,MATCH($D784,CARDS!$A$5:$A$34,0)),"⚠ Card ID?"))</f>
        <v/>
      </c>
      <c r="F784" s="45" t="str">
        <f>IF($D784="","",IFERROR(INDEX(CARDS!$C$5:$C$34,MATCH($D784,CARDS!$A$5:$A$34,0)),"⚠ Card ID?"))</f>
        <v/>
      </c>
      <c r="G784" s="37" t="n"/>
      <c r="H784" s="37" t="n"/>
      <c r="I784" s="41" t="n"/>
      <c r="J784" s="45" t="str">
        <f>IF($I784="","",IFERROR(INDEX(MCC_MASTER!$B$5:$B$504,MATCH($I784,MCC_MASTER!$A$5:$A$504,0)),"⚠ MCC chưa có"))</f>
        <v/>
      </c>
      <c r="K784" s="45" t="str">
        <f>IF($I784="","",IFERROR(IF(INDEX(MCC_MASTER!$C$5:$C$504,MATCH($I784,MCC_MASTER!$A$5:$A$504,0))="","Chưa phân loại",INDEX(MCC_MASTER!$C$5:$C$504,MATCH($I784,MCC_MASTER!$A$5:$A$504,0))),"Chưa phân loại"))</f>
        <v/>
      </c>
      <c r="L784" s="40" t="n"/>
      <c r="M784" s="48" t="str">
        <f>IF(OR($B784="",$D784=""),"",IF($AC784=0,0,IF(ISNUMBER(INDEX(CASHBACK_RULES!$L$5:$L$304,$AC784)),MAX(0,MIN($L784,INDEX(CASHBACK_RULES!$L$5:$L$304,$AC784)-$AH784)),MAX(0,$L784))))</f>
        <v/>
      </c>
      <c r="N784" s="49" t="str">
        <f>IF(OR($B784="",$D784=""),"",IF($AC784&gt;0,INDEX(CASHBACK_RULES!$I$5:$I$304,$AC784),0))</f>
        <v/>
      </c>
      <c r="O784" s="48" t="str">
        <f>IF(OR($B784="",$D784=""),"",ROUND($M784*$N784,0))</f>
        <v/>
      </c>
      <c r="P784" s="48" t="str">
        <f>IF($AC784&gt;0,IF(ISNUMBER(INDEX(CASHBACK_RULES!$J$5:$J$304,$AC784)),INDEX(CASHBACK_RULES!$J$5:$J$304,$AC784),"∞"),"")</f>
        <v/>
      </c>
      <c r="Q784" s="48" t="str">
        <f>IF(OR($B784="",$D784=""),"",IF($AC784=0,0,MAX(0,MIN($O784,IF(ISNUMBER($P784),$P784-$AF784,1E+15),IF(ISNUMBER($AA784),$AA784-$AG784,1E+15)))))</f>
        <v/>
      </c>
      <c r="R784" s="48" t="str">
        <f>IF(OR($B784="",$D784=""),"",IF($AC784=0,"",IF(AND(NOT(ISNUMBER($P784)),NOT(ISNUMBER($AA784))),"∞",MAX(0,MIN(IF(ISNUMBER($P784),$P784-$AF784-$Q784,1E+15),IF(ISNUMBER($AA784),$AA784-$AG784-$Q784,1E+15))))))</f>
        <v/>
      </c>
      <c r="S784" s="47" t="str">
        <f>IF($AD784="","",YEAR($AD784)*100+MONTH($AD784))</f>
        <v/>
      </c>
      <c r="T784" s="50" t="str">
        <f>IF($AD784="","",IFERROR(IF(INDEX(CARDS!$I$5:$I$34,MATCH($D784,CARDS!$A$5:$A$34,0))="","",IF(INDEX(CARDS!$I$5:$I$34,MATCH($D784,CARDS!$A$5:$A$34,0))&gt;INDEX(CARDS!$H$5:$H$34,MATCH($D784,CARDS!$A$5:$A$34,0)),DATE(YEAR($AD784),MONTH($AD784),MIN(INDEX(CARDS!$I$5:$I$34,MATCH($D784,CARDS!$A$5:$A$34,0)),DAY(EOMONTH($AD784,0)))),DATE(YEAR($AD784),MONTH($AD784)+1,MIN(INDEX(CARDS!$I$5:$I$34,MATCH($D784,CARDS!$A$5:$A$34,0)),DAY(EOMONTH($AD784,1)))))),""))</f>
        <v/>
      </c>
      <c r="U784" s="38" t="n"/>
      <c r="V784" s="37" t="n"/>
      <c r="W784" s="38" t="n"/>
      <c r="X784" s="38" t="n"/>
      <c r="Y784" s="44" t="str">
        <f>IF($AC784&gt;0,INDEX(CASHBACK_RULES!$A$5:$A$304,$AC784),"")</f>
        <v/>
      </c>
      <c r="Z784" s="45" t="str">
        <f>IF($AC784&gt;0,INDEX(CASHBACK_RULES!$E$5:$E$304,$AC784)&amp;"","")</f>
        <v/>
      </c>
      <c r="AA784" s="48" t="str">
        <f>IF($AC784&gt;0,IF(ISNUMBER(INDEX(CASHBACK_RULES!$K$5:$K$304,$AC784)),INDEX(CASHBACK_RULES!$K$5:$K$304,$AC784),"∞"),"")</f>
        <v/>
      </c>
      <c r="AB784" s="44" t="str">
        <f>IF(OR($B784="",$D784=""),"",IF($U784="Cancelled","Đã hủy",IF($AC784=0,"Không được hoàn",IF($Q784=0,IF(OR($O784&gt;0,$M784&lt;$L784),"Đã đạt cap","Không được hoàn"),IF(OR($Q784&lt;$O784,$M784&lt;$L784),"Hoàn một phần","Được hoàn")))))</f>
        <v/>
      </c>
      <c r="AC784" s="43">
        <f>IF(OR($B784="",$D784="",$I784="",$L784=""),0,IF($U784="Cancelled",0,IF($W784&lt;&gt;"",IFERROR(IF(INDEX(CASHBACK_RULES!$B$5:$B$304,MATCH($W784,CASHBACK_RULES!$A$5:$A$304,0))=$D784,MATCH($W784,CASHBACK_RULES!$A$5:$A$304,0),0),0),IFERROR(MATCH(1,INDEX((CASHBACK_RULES!$B$5:$B$304=$D784)*(CASHBACK_RULES!$G$5:$G$304=$I784)*(((CASHBACK_RULES!$N$5:$N$304="")+(CASHBACK_RULES!$N$5:$N$304&lt;=$B784))&gt;0)*(((CASHBACK_RULES!$O$5:$O$304="")+(CASHBACK_RULES!$O$5:$O$304&gt;=$B784))&gt;0)*(((CASHBACK_RULES!$M$5:$M$304="")+(CASHBACK_RULES!$M$5:$M$304&lt;=$L784))&gt;0),0),0),0))))</f>
        <v>0</v>
      </c>
      <c r="AD784" s="51" t="str">
        <f>IF(OR($B784="",$D784=""),"",IFERROR(IF(INDEX(CARDS!$H$5:$H$34,MATCH($D784,CARDS!$A$5:$A$34,0))="","",IF(DAY($B784)&lt;=INDEX(CARDS!$H$5:$H$34,MATCH($D784,CARDS!$A$5:$A$34,0)),DATE(YEAR($B784),MONTH($B784),MIN(INDEX(CARDS!$H$5:$H$34,MATCH($D784,CARDS!$A$5:$A$34,0)),DAY(EOMONTH($B784,0)))),DATE(YEAR($B784),MONTH($B784)+1,MIN(INDEX(CARDS!$H$5:$H$34,MATCH($D784,CARDS!$A$5:$A$34,0)),DAY(EOMONTH($B784,1)))))),""))</f>
        <v/>
      </c>
      <c r="AE784" s="52" t="str">
        <f>IF($C784="","",$C784&amp;"|"&amp;COUNTIF($C$5:$C784,$C784))</f>
        <v/>
      </c>
      <c r="AF784" s="53">
        <f>IF($AC784&gt;0,SUMIFS(Q$4:Q783,$D$4:$D783,$D784,$Z$4:$Z783,$Z784,$C$4:$C783,$C784),0)</f>
        <v>0</v>
      </c>
      <c r="AG784" s="53">
        <f>IF($AC784&gt;0,SUMIFS(Q$4:Q783,$D$4:$D783,$D784,$C$4:$C783,$C784),0)</f>
        <v>0</v>
      </c>
      <c r="AH784" s="53">
        <f>IF($AC784&gt;0,SUMIFS(M$4:M783,$D$4:$D783,$D784,$Z$4:$Z783,$Z784,$C$4:$C783,$C784),0)</f>
        <v>0</v>
      </c>
      <c r="AI784" s="43">
        <f>IF(OR($C784="",$I784=""),0,IF(COUNTIFS($C$5:$C784,$C784,$I$5:$I784,$I784)=1,1,0))</f>
        <v>0</v>
      </c>
      <c r="AJ784" s="43" t="str">
        <f>IF($AI784=1,SUMIFS($AI$4:$AI783,$C$4:$C783,$C784)+1,"")</f>
        <v/>
      </c>
      <c r="AK784" s="43">
        <f>IF(OR($C784="",$K784=""),0,IF(COUNTIFS($C$5:$C784,$C784,$K$5:$K784,$K784)=1,1,0))</f>
        <v>0</v>
      </c>
      <c r="AL784" s="43" t="str">
        <f>IF($AK784=1,SUMIFS($AK$4:$AK783,$C$4:$C783,$C784)+1,"")</f>
        <v/>
      </c>
      <c r="AM784" s="43">
        <f>IF(OR($C784="",$G784=""),0,IF(COUNTIFS($C$5:$C784,$C784,$G$5:$G784,$G784)=1,1,0))</f>
        <v>0</v>
      </c>
      <c r="AN784" s="43" t="str">
        <f>IF($AM784=1,SUMIFS($AM$4:$AM783,$C$4:$C783,$C784)+1,"")</f>
        <v/>
      </c>
    </row>
    <row r="785">
      <c r="A785" s="44" t="str">
        <f>IF(OR($B785="",$D785=""),"","TX"&amp;TEXT(ROW()-4,"0000"))</f>
        <v/>
      </c>
      <c r="B785" s="42" t="n"/>
      <c r="C785" s="47" t="str">
        <f>IF($B785="","",YEAR($B785)*100+MONTH($B785))</f>
        <v/>
      </c>
      <c r="D785" s="37" t="n"/>
      <c r="E785" s="45" t="str">
        <f>IF($D785="","",IFERROR(INDEX(CARDS!$B$5:$B$34,MATCH($D785,CARDS!$A$5:$A$34,0)),"⚠ Card ID?"))</f>
        <v/>
      </c>
      <c r="F785" s="45" t="str">
        <f>IF($D785="","",IFERROR(INDEX(CARDS!$C$5:$C$34,MATCH($D785,CARDS!$A$5:$A$34,0)),"⚠ Card ID?"))</f>
        <v/>
      </c>
      <c r="G785" s="37" t="n"/>
      <c r="H785" s="37" t="n"/>
      <c r="I785" s="41" t="n"/>
      <c r="J785" s="45" t="str">
        <f>IF($I785="","",IFERROR(INDEX(MCC_MASTER!$B$5:$B$504,MATCH($I785,MCC_MASTER!$A$5:$A$504,0)),"⚠ MCC chưa có"))</f>
        <v/>
      </c>
      <c r="K785" s="45" t="str">
        <f>IF($I785="","",IFERROR(IF(INDEX(MCC_MASTER!$C$5:$C$504,MATCH($I785,MCC_MASTER!$A$5:$A$504,0))="","Chưa phân loại",INDEX(MCC_MASTER!$C$5:$C$504,MATCH($I785,MCC_MASTER!$A$5:$A$504,0))),"Chưa phân loại"))</f>
        <v/>
      </c>
      <c r="L785" s="40" t="n"/>
      <c r="M785" s="48" t="str">
        <f>IF(OR($B785="",$D785=""),"",IF($AC785=0,0,IF(ISNUMBER(INDEX(CASHBACK_RULES!$L$5:$L$304,$AC785)),MAX(0,MIN($L785,INDEX(CASHBACK_RULES!$L$5:$L$304,$AC785)-$AH785)),MAX(0,$L785))))</f>
        <v/>
      </c>
      <c r="N785" s="49" t="str">
        <f>IF(OR($B785="",$D785=""),"",IF($AC785&gt;0,INDEX(CASHBACK_RULES!$I$5:$I$304,$AC785),0))</f>
        <v/>
      </c>
      <c r="O785" s="48" t="str">
        <f>IF(OR($B785="",$D785=""),"",ROUND($M785*$N785,0))</f>
        <v/>
      </c>
      <c r="P785" s="48" t="str">
        <f>IF($AC785&gt;0,IF(ISNUMBER(INDEX(CASHBACK_RULES!$J$5:$J$304,$AC785)),INDEX(CASHBACK_RULES!$J$5:$J$304,$AC785),"∞"),"")</f>
        <v/>
      </c>
      <c r="Q785" s="48" t="str">
        <f>IF(OR($B785="",$D785=""),"",IF($AC785=0,0,MAX(0,MIN($O785,IF(ISNUMBER($P785),$P785-$AF785,1E+15),IF(ISNUMBER($AA785),$AA785-$AG785,1E+15)))))</f>
        <v/>
      </c>
      <c r="R785" s="48" t="str">
        <f>IF(OR($B785="",$D785=""),"",IF($AC785=0,"",IF(AND(NOT(ISNUMBER($P785)),NOT(ISNUMBER($AA785))),"∞",MAX(0,MIN(IF(ISNUMBER($P785),$P785-$AF785-$Q785,1E+15),IF(ISNUMBER($AA785),$AA785-$AG785-$Q785,1E+15))))))</f>
        <v/>
      </c>
      <c r="S785" s="47" t="str">
        <f>IF($AD785="","",YEAR($AD785)*100+MONTH($AD785))</f>
        <v/>
      </c>
      <c r="T785" s="50" t="str">
        <f>IF($AD785="","",IFERROR(IF(INDEX(CARDS!$I$5:$I$34,MATCH($D785,CARDS!$A$5:$A$34,0))="","",IF(INDEX(CARDS!$I$5:$I$34,MATCH($D785,CARDS!$A$5:$A$34,0))&gt;INDEX(CARDS!$H$5:$H$34,MATCH($D785,CARDS!$A$5:$A$34,0)),DATE(YEAR($AD785),MONTH($AD785),MIN(INDEX(CARDS!$I$5:$I$34,MATCH($D785,CARDS!$A$5:$A$34,0)),DAY(EOMONTH($AD785,0)))),DATE(YEAR($AD785),MONTH($AD785)+1,MIN(INDEX(CARDS!$I$5:$I$34,MATCH($D785,CARDS!$A$5:$A$34,0)),DAY(EOMONTH($AD785,1)))))),""))</f>
        <v/>
      </c>
      <c r="U785" s="38" t="n"/>
      <c r="V785" s="37" t="n"/>
      <c r="W785" s="38" t="n"/>
      <c r="X785" s="38" t="n"/>
      <c r="Y785" s="44" t="str">
        <f>IF($AC785&gt;0,INDEX(CASHBACK_RULES!$A$5:$A$304,$AC785),"")</f>
        <v/>
      </c>
      <c r="Z785" s="45" t="str">
        <f>IF($AC785&gt;0,INDEX(CASHBACK_RULES!$E$5:$E$304,$AC785)&amp;"","")</f>
        <v/>
      </c>
      <c r="AA785" s="48" t="str">
        <f>IF($AC785&gt;0,IF(ISNUMBER(INDEX(CASHBACK_RULES!$K$5:$K$304,$AC785)),INDEX(CASHBACK_RULES!$K$5:$K$304,$AC785),"∞"),"")</f>
        <v/>
      </c>
      <c r="AB785" s="44" t="str">
        <f>IF(OR($B785="",$D785=""),"",IF($U785="Cancelled","Đã hủy",IF($AC785=0,"Không được hoàn",IF($Q785=0,IF(OR($O785&gt;0,$M785&lt;$L785),"Đã đạt cap","Không được hoàn"),IF(OR($Q785&lt;$O785,$M785&lt;$L785),"Hoàn một phần","Được hoàn")))))</f>
        <v/>
      </c>
      <c r="AC785" s="43">
        <f>IF(OR($B785="",$D785="",$I785="",$L785=""),0,IF($U785="Cancelled",0,IF($W785&lt;&gt;"",IFERROR(IF(INDEX(CASHBACK_RULES!$B$5:$B$304,MATCH($W785,CASHBACK_RULES!$A$5:$A$304,0))=$D785,MATCH($W785,CASHBACK_RULES!$A$5:$A$304,0),0),0),IFERROR(MATCH(1,INDEX((CASHBACK_RULES!$B$5:$B$304=$D785)*(CASHBACK_RULES!$G$5:$G$304=$I785)*(((CASHBACK_RULES!$N$5:$N$304="")+(CASHBACK_RULES!$N$5:$N$304&lt;=$B785))&gt;0)*(((CASHBACK_RULES!$O$5:$O$304="")+(CASHBACK_RULES!$O$5:$O$304&gt;=$B785))&gt;0)*(((CASHBACK_RULES!$M$5:$M$304="")+(CASHBACK_RULES!$M$5:$M$304&lt;=$L785))&gt;0),0),0),0))))</f>
        <v>0</v>
      </c>
      <c r="AD785" s="51" t="str">
        <f>IF(OR($B785="",$D785=""),"",IFERROR(IF(INDEX(CARDS!$H$5:$H$34,MATCH($D785,CARDS!$A$5:$A$34,0))="","",IF(DAY($B785)&lt;=INDEX(CARDS!$H$5:$H$34,MATCH($D785,CARDS!$A$5:$A$34,0)),DATE(YEAR($B785),MONTH($B785),MIN(INDEX(CARDS!$H$5:$H$34,MATCH($D785,CARDS!$A$5:$A$34,0)),DAY(EOMONTH($B785,0)))),DATE(YEAR($B785),MONTH($B785)+1,MIN(INDEX(CARDS!$H$5:$H$34,MATCH($D785,CARDS!$A$5:$A$34,0)),DAY(EOMONTH($B785,1)))))),""))</f>
        <v/>
      </c>
      <c r="AE785" s="52" t="str">
        <f>IF($C785="","",$C785&amp;"|"&amp;COUNTIF($C$5:$C785,$C785))</f>
        <v/>
      </c>
      <c r="AF785" s="53">
        <f>IF($AC785&gt;0,SUMIFS(Q$4:Q784,$D$4:$D784,$D785,$Z$4:$Z784,$Z785,$C$4:$C784,$C785),0)</f>
        <v>0</v>
      </c>
      <c r="AG785" s="53">
        <f>IF($AC785&gt;0,SUMIFS(Q$4:Q784,$D$4:$D784,$D785,$C$4:$C784,$C785),0)</f>
        <v>0</v>
      </c>
      <c r="AH785" s="53">
        <f>IF($AC785&gt;0,SUMIFS(M$4:M784,$D$4:$D784,$D785,$Z$4:$Z784,$Z785,$C$4:$C784,$C785),0)</f>
        <v>0</v>
      </c>
      <c r="AI785" s="43">
        <f>IF(OR($C785="",$I785=""),0,IF(COUNTIFS($C$5:$C785,$C785,$I$5:$I785,$I785)=1,1,0))</f>
        <v>0</v>
      </c>
      <c r="AJ785" s="43" t="str">
        <f>IF($AI785=1,SUMIFS($AI$4:$AI784,$C$4:$C784,$C785)+1,"")</f>
        <v/>
      </c>
      <c r="AK785" s="43">
        <f>IF(OR($C785="",$K785=""),0,IF(COUNTIFS($C$5:$C785,$C785,$K$5:$K785,$K785)=1,1,0))</f>
        <v>0</v>
      </c>
      <c r="AL785" s="43" t="str">
        <f>IF($AK785=1,SUMIFS($AK$4:$AK784,$C$4:$C784,$C785)+1,"")</f>
        <v/>
      </c>
      <c r="AM785" s="43">
        <f>IF(OR($C785="",$G785=""),0,IF(COUNTIFS($C$5:$C785,$C785,$G$5:$G785,$G785)=1,1,0))</f>
        <v>0</v>
      </c>
      <c r="AN785" s="43" t="str">
        <f>IF($AM785=1,SUMIFS($AM$4:$AM784,$C$4:$C784,$C785)+1,"")</f>
        <v/>
      </c>
    </row>
    <row r="786">
      <c r="A786" s="44" t="str">
        <f>IF(OR($B786="",$D786=""),"","TX"&amp;TEXT(ROW()-4,"0000"))</f>
        <v/>
      </c>
      <c r="B786" s="42" t="n"/>
      <c r="C786" s="47" t="str">
        <f>IF($B786="","",YEAR($B786)*100+MONTH($B786))</f>
        <v/>
      </c>
      <c r="D786" s="37" t="n"/>
      <c r="E786" s="45" t="str">
        <f>IF($D786="","",IFERROR(INDEX(CARDS!$B$5:$B$34,MATCH($D786,CARDS!$A$5:$A$34,0)),"⚠ Card ID?"))</f>
        <v/>
      </c>
      <c r="F786" s="45" t="str">
        <f>IF($D786="","",IFERROR(INDEX(CARDS!$C$5:$C$34,MATCH($D786,CARDS!$A$5:$A$34,0)),"⚠ Card ID?"))</f>
        <v/>
      </c>
      <c r="G786" s="37" t="n"/>
      <c r="H786" s="37" t="n"/>
      <c r="I786" s="41" t="n"/>
      <c r="J786" s="45" t="str">
        <f>IF($I786="","",IFERROR(INDEX(MCC_MASTER!$B$5:$B$504,MATCH($I786,MCC_MASTER!$A$5:$A$504,0)),"⚠ MCC chưa có"))</f>
        <v/>
      </c>
      <c r="K786" s="45" t="str">
        <f>IF($I786="","",IFERROR(IF(INDEX(MCC_MASTER!$C$5:$C$504,MATCH($I786,MCC_MASTER!$A$5:$A$504,0))="","Chưa phân loại",INDEX(MCC_MASTER!$C$5:$C$504,MATCH($I786,MCC_MASTER!$A$5:$A$504,0))),"Chưa phân loại"))</f>
        <v/>
      </c>
      <c r="L786" s="40" t="n"/>
      <c r="M786" s="48" t="str">
        <f>IF(OR($B786="",$D786=""),"",IF($AC786=0,0,IF(ISNUMBER(INDEX(CASHBACK_RULES!$L$5:$L$304,$AC786)),MAX(0,MIN($L786,INDEX(CASHBACK_RULES!$L$5:$L$304,$AC786)-$AH786)),MAX(0,$L786))))</f>
        <v/>
      </c>
      <c r="N786" s="49" t="str">
        <f>IF(OR($B786="",$D786=""),"",IF($AC786&gt;0,INDEX(CASHBACK_RULES!$I$5:$I$304,$AC786),0))</f>
        <v/>
      </c>
      <c r="O786" s="48" t="str">
        <f>IF(OR($B786="",$D786=""),"",ROUND($M786*$N786,0))</f>
        <v/>
      </c>
      <c r="P786" s="48" t="str">
        <f>IF($AC786&gt;0,IF(ISNUMBER(INDEX(CASHBACK_RULES!$J$5:$J$304,$AC786)),INDEX(CASHBACK_RULES!$J$5:$J$304,$AC786),"∞"),"")</f>
        <v/>
      </c>
      <c r="Q786" s="48" t="str">
        <f>IF(OR($B786="",$D786=""),"",IF($AC786=0,0,MAX(0,MIN($O786,IF(ISNUMBER($P786),$P786-$AF786,1E+15),IF(ISNUMBER($AA786),$AA786-$AG786,1E+15)))))</f>
        <v/>
      </c>
      <c r="R786" s="48" t="str">
        <f>IF(OR($B786="",$D786=""),"",IF($AC786=0,"",IF(AND(NOT(ISNUMBER($P786)),NOT(ISNUMBER($AA786))),"∞",MAX(0,MIN(IF(ISNUMBER($P786),$P786-$AF786-$Q786,1E+15),IF(ISNUMBER($AA786),$AA786-$AG786-$Q786,1E+15))))))</f>
        <v/>
      </c>
      <c r="S786" s="47" t="str">
        <f>IF($AD786="","",YEAR($AD786)*100+MONTH($AD786))</f>
        <v/>
      </c>
      <c r="T786" s="50" t="str">
        <f>IF($AD786="","",IFERROR(IF(INDEX(CARDS!$I$5:$I$34,MATCH($D786,CARDS!$A$5:$A$34,0))="","",IF(INDEX(CARDS!$I$5:$I$34,MATCH($D786,CARDS!$A$5:$A$34,0))&gt;INDEX(CARDS!$H$5:$H$34,MATCH($D786,CARDS!$A$5:$A$34,0)),DATE(YEAR($AD786),MONTH($AD786),MIN(INDEX(CARDS!$I$5:$I$34,MATCH($D786,CARDS!$A$5:$A$34,0)),DAY(EOMONTH($AD786,0)))),DATE(YEAR($AD786),MONTH($AD786)+1,MIN(INDEX(CARDS!$I$5:$I$34,MATCH($D786,CARDS!$A$5:$A$34,0)),DAY(EOMONTH($AD786,1)))))),""))</f>
        <v/>
      </c>
      <c r="U786" s="38" t="n"/>
      <c r="V786" s="37" t="n"/>
      <c r="W786" s="38" t="n"/>
      <c r="X786" s="38" t="n"/>
      <c r="Y786" s="44" t="str">
        <f>IF($AC786&gt;0,INDEX(CASHBACK_RULES!$A$5:$A$304,$AC786),"")</f>
        <v/>
      </c>
      <c r="Z786" s="45" t="str">
        <f>IF($AC786&gt;0,INDEX(CASHBACK_RULES!$E$5:$E$304,$AC786)&amp;"","")</f>
        <v/>
      </c>
      <c r="AA786" s="48" t="str">
        <f>IF($AC786&gt;0,IF(ISNUMBER(INDEX(CASHBACK_RULES!$K$5:$K$304,$AC786)),INDEX(CASHBACK_RULES!$K$5:$K$304,$AC786),"∞"),"")</f>
        <v/>
      </c>
      <c r="AB786" s="44" t="str">
        <f>IF(OR($B786="",$D786=""),"",IF($U786="Cancelled","Đã hủy",IF($AC786=0,"Không được hoàn",IF($Q786=0,IF(OR($O786&gt;0,$M786&lt;$L786),"Đã đạt cap","Không được hoàn"),IF(OR($Q786&lt;$O786,$M786&lt;$L786),"Hoàn một phần","Được hoàn")))))</f>
        <v/>
      </c>
      <c r="AC786" s="43">
        <f>IF(OR($B786="",$D786="",$I786="",$L786=""),0,IF($U786="Cancelled",0,IF($W786&lt;&gt;"",IFERROR(IF(INDEX(CASHBACK_RULES!$B$5:$B$304,MATCH($W786,CASHBACK_RULES!$A$5:$A$304,0))=$D786,MATCH($W786,CASHBACK_RULES!$A$5:$A$304,0),0),0),IFERROR(MATCH(1,INDEX((CASHBACK_RULES!$B$5:$B$304=$D786)*(CASHBACK_RULES!$G$5:$G$304=$I786)*(((CASHBACK_RULES!$N$5:$N$304="")+(CASHBACK_RULES!$N$5:$N$304&lt;=$B786))&gt;0)*(((CASHBACK_RULES!$O$5:$O$304="")+(CASHBACK_RULES!$O$5:$O$304&gt;=$B786))&gt;0)*(((CASHBACK_RULES!$M$5:$M$304="")+(CASHBACK_RULES!$M$5:$M$304&lt;=$L786))&gt;0),0),0),0))))</f>
        <v>0</v>
      </c>
      <c r="AD786" s="51" t="str">
        <f>IF(OR($B786="",$D786=""),"",IFERROR(IF(INDEX(CARDS!$H$5:$H$34,MATCH($D786,CARDS!$A$5:$A$34,0))="","",IF(DAY($B786)&lt;=INDEX(CARDS!$H$5:$H$34,MATCH($D786,CARDS!$A$5:$A$34,0)),DATE(YEAR($B786),MONTH($B786),MIN(INDEX(CARDS!$H$5:$H$34,MATCH($D786,CARDS!$A$5:$A$34,0)),DAY(EOMONTH($B786,0)))),DATE(YEAR($B786),MONTH($B786)+1,MIN(INDEX(CARDS!$H$5:$H$34,MATCH($D786,CARDS!$A$5:$A$34,0)),DAY(EOMONTH($B786,1)))))),""))</f>
        <v/>
      </c>
      <c r="AE786" s="52" t="str">
        <f>IF($C786="","",$C786&amp;"|"&amp;COUNTIF($C$5:$C786,$C786))</f>
        <v/>
      </c>
      <c r="AF786" s="53">
        <f>IF($AC786&gt;0,SUMIFS(Q$4:Q785,$D$4:$D785,$D786,$Z$4:$Z785,$Z786,$C$4:$C785,$C786),0)</f>
        <v>0</v>
      </c>
      <c r="AG786" s="53">
        <f>IF($AC786&gt;0,SUMIFS(Q$4:Q785,$D$4:$D785,$D786,$C$4:$C785,$C786),0)</f>
        <v>0</v>
      </c>
      <c r="AH786" s="53">
        <f>IF($AC786&gt;0,SUMIFS(M$4:M785,$D$4:$D785,$D786,$Z$4:$Z785,$Z786,$C$4:$C785,$C786),0)</f>
        <v>0</v>
      </c>
      <c r="AI786" s="43">
        <f>IF(OR($C786="",$I786=""),0,IF(COUNTIFS($C$5:$C786,$C786,$I$5:$I786,$I786)=1,1,0))</f>
        <v>0</v>
      </c>
      <c r="AJ786" s="43" t="str">
        <f>IF($AI786=1,SUMIFS($AI$4:$AI785,$C$4:$C785,$C786)+1,"")</f>
        <v/>
      </c>
      <c r="AK786" s="43">
        <f>IF(OR($C786="",$K786=""),0,IF(COUNTIFS($C$5:$C786,$C786,$K$5:$K786,$K786)=1,1,0))</f>
        <v>0</v>
      </c>
      <c r="AL786" s="43" t="str">
        <f>IF($AK786=1,SUMIFS($AK$4:$AK785,$C$4:$C785,$C786)+1,"")</f>
        <v/>
      </c>
      <c r="AM786" s="43">
        <f>IF(OR($C786="",$G786=""),0,IF(COUNTIFS($C$5:$C786,$C786,$G$5:$G786,$G786)=1,1,0))</f>
        <v>0</v>
      </c>
      <c r="AN786" s="43" t="str">
        <f>IF($AM786=1,SUMIFS($AM$4:$AM785,$C$4:$C785,$C786)+1,"")</f>
        <v/>
      </c>
    </row>
    <row r="787">
      <c r="A787" s="44" t="str">
        <f>IF(OR($B787="",$D787=""),"","TX"&amp;TEXT(ROW()-4,"0000"))</f>
        <v/>
      </c>
      <c r="B787" s="42" t="n"/>
      <c r="C787" s="47" t="str">
        <f>IF($B787="","",YEAR($B787)*100+MONTH($B787))</f>
        <v/>
      </c>
      <c r="D787" s="37" t="n"/>
      <c r="E787" s="45" t="str">
        <f>IF($D787="","",IFERROR(INDEX(CARDS!$B$5:$B$34,MATCH($D787,CARDS!$A$5:$A$34,0)),"⚠ Card ID?"))</f>
        <v/>
      </c>
      <c r="F787" s="45" t="str">
        <f>IF($D787="","",IFERROR(INDEX(CARDS!$C$5:$C$34,MATCH($D787,CARDS!$A$5:$A$34,0)),"⚠ Card ID?"))</f>
        <v/>
      </c>
      <c r="G787" s="37" t="n"/>
      <c r="H787" s="37" t="n"/>
      <c r="I787" s="41" t="n"/>
      <c r="J787" s="45" t="str">
        <f>IF($I787="","",IFERROR(INDEX(MCC_MASTER!$B$5:$B$504,MATCH($I787,MCC_MASTER!$A$5:$A$504,0)),"⚠ MCC chưa có"))</f>
        <v/>
      </c>
      <c r="K787" s="45" t="str">
        <f>IF($I787="","",IFERROR(IF(INDEX(MCC_MASTER!$C$5:$C$504,MATCH($I787,MCC_MASTER!$A$5:$A$504,0))="","Chưa phân loại",INDEX(MCC_MASTER!$C$5:$C$504,MATCH($I787,MCC_MASTER!$A$5:$A$504,0))),"Chưa phân loại"))</f>
        <v/>
      </c>
      <c r="L787" s="40" t="n"/>
      <c r="M787" s="48" t="str">
        <f>IF(OR($B787="",$D787=""),"",IF($AC787=0,0,IF(ISNUMBER(INDEX(CASHBACK_RULES!$L$5:$L$304,$AC787)),MAX(0,MIN($L787,INDEX(CASHBACK_RULES!$L$5:$L$304,$AC787)-$AH787)),MAX(0,$L787))))</f>
        <v/>
      </c>
      <c r="N787" s="49" t="str">
        <f>IF(OR($B787="",$D787=""),"",IF($AC787&gt;0,INDEX(CASHBACK_RULES!$I$5:$I$304,$AC787),0))</f>
        <v/>
      </c>
      <c r="O787" s="48" t="str">
        <f>IF(OR($B787="",$D787=""),"",ROUND($M787*$N787,0))</f>
        <v/>
      </c>
      <c r="P787" s="48" t="str">
        <f>IF($AC787&gt;0,IF(ISNUMBER(INDEX(CASHBACK_RULES!$J$5:$J$304,$AC787)),INDEX(CASHBACK_RULES!$J$5:$J$304,$AC787),"∞"),"")</f>
        <v/>
      </c>
      <c r="Q787" s="48" t="str">
        <f>IF(OR($B787="",$D787=""),"",IF($AC787=0,0,MAX(0,MIN($O787,IF(ISNUMBER($P787),$P787-$AF787,1E+15),IF(ISNUMBER($AA787),$AA787-$AG787,1E+15)))))</f>
        <v/>
      </c>
      <c r="R787" s="48" t="str">
        <f>IF(OR($B787="",$D787=""),"",IF($AC787=0,"",IF(AND(NOT(ISNUMBER($P787)),NOT(ISNUMBER($AA787))),"∞",MAX(0,MIN(IF(ISNUMBER($P787),$P787-$AF787-$Q787,1E+15),IF(ISNUMBER($AA787),$AA787-$AG787-$Q787,1E+15))))))</f>
        <v/>
      </c>
      <c r="S787" s="47" t="str">
        <f>IF($AD787="","",YEAR($AD787)*100+MONTH($AD787))</f>
        <v/>
      </c>
      <c r="T787" s="50" t="str">
        <f>IF($AD787="","",IFERROR(IF(INDEX(CARDS!$I$5:$I$34,MATCH($D787,CARDS!$A$5:$A$34,0))="","",IF(INDEX(CARDS!$I$5:$I$34,MATCH($D787,CARDS!$A$5:$A$34,0))&gt;INDEX(CARDS!$H$5:$H$34,MATCH($D787,CARDS!$A$5:$A$34,0)),DATE(YEAR($AD787),MONTH($AD787),MIN(INDEX(CARDS!$I$5:$I$34,MATCH($D787,CARDS!$A$5:$A$34,0)),DAY(EOMONTH($AD787,0)))),DATE(YEAR($AD787),MONTH($AD787)+1,MIN(INDEX(CARDS!$I$5:$I$34,MATCH($D787,CARDS!$A$5:$A$34,0)),DAY(EOMONTH($AD787,1)))))),""))</f>
        <v/>
      </c>
      <c r="U787" s="38" t="n"/>
      <c r="V787" s="37" t="n"/>
      <c r="W787" s="38" t="n"/>
      <c r="X787" s="38" t="n"/>
      <c r="Y787" s="44" t="str">
        <f>IF($AC787&gt;0,INDEX(CASHBACK_RULES!$A$5:$A$304,$AC787),"")</f>
        <v/>
      </c>
      <c r="Z787" s="45" t="str">
        <f>IF($AC787&gt;0,INDEX(CASHBACK_RULES!$E$5:$E$304,$AC787)&amp;"","")</f>
        <v/>
      </c>
      <c r="AA787" s="48" t="str">
        <f>IF($AC787&gt;0,IF(ISNUMBER(INDEX(CASHBACK_RULES!$K$5:$K$304,$AC787)),INDEX(CASHBACK_RULES!$K$5:$K$304,$AC787),"∞"),"")</f>
        <v/>
      </c>
      <c r="AB787" s="44" t="str">
        <f>IF(OR($B787="",$D787=""),"",IF($U787="Cancelled","Đã hủy",IF($AC787=0,"Không được hoàn",IF($Q787=0,IF(OR($O787&gt;0,$M787&lt;$L787),"Đã đạt cap","Không được hoàn"),IF(OR($Q787&lt;$O787,$M787&lt;$L787),"Hoàn một phần","Được hoàn")))))</f>
        <v/>
      </c>
      <c r="AC787" s="43">
        <f>IF(OR($B787="",$D787="",$I787="",$L787=""),0,IF($U787="Cancelled",0,IF($W787&lt;&gt;"",IFERROR(IF(INDEX(CASHBACK_RULES!$B$5:$B$304,MATCH($W787,CASHBACK_RULES!$A$5:$A$304,0))=$D787,MATCH($W787,CASHBACK_RULES!$A$5:$A$304,0),0),0),IFERROR(MATCH(1,INDEX((CASHBACK_RULES!$B$5:$B$304=$D787)*(CASHBACK_RULES!$G$5:$G$304=$I787)*(((CASHBACK_RULES!$N$5:$N$304="")+(CASHBACK_RULES!$N$5:$N$304&lt;=$B787))&gt;0)*(((CASHBACK_RULES!$O$5:$O$304="")+(CASHBACK_RULES!$O$5:$O$304&gt;=$B787))&gt;0)*(((CASHBACK_RULES!$M$5:$M$304="")+(CASHBACK_RULES!$M$5:$M$304&lt;=$L787))&gt;0),0),0),0))))</f>
        <v>0</v>
      </c>
      <c r="AD787" s="51" t="str">
        <f>IF(OR($B787="",$D787=""),"",IFERROR(IF(INDEX(CARDS!$H$5:$H$34,MATCH($D787,CARDS!$A$5:$A$34,0))="","",IF(DAY($B787)&lt;=INDEX(CARDS!$H$5:$H$34,MATCH($D787,CARDS!$A$5:$A$34,0)),DATE(YEAR($B787),MONTH($B787),MIN(INDEX(CARDS!$H$5:$H$34,MATCH($D787,CARDS!$A$5:$A$34,0)),DAY(EOMONTH($B787,0)))),DATE(YEAR($B787),MONTH($B787)+1,MIN(INDEX(CARDS!$H$5:$H$34,MATCH($D787,CARDS!$A$5:$A$34,0)),DAY(EOMONTH($B787,1)))))),""))</f>
        <v/>
      </c>
      <c r="AE787" s="52" t="str">
        <f>IF($C787="","",$C787&amp;"|"&amp;COUNTIF($C$5:$C787,$C787))</f>
        <v/>
      </c>
      <c r="AF787" s="53">
        <f>IF($AC787&gt;0,SUMIFS(Q$4:Q786,$D$4:$D786,$D787,$Z$4:$Z786,$Z787,$C$4:$C786,$C787),0)</f>
        <v>0</v>
      </c>
      <c r="AG787" s="53">
        <f>IF($AC787&gt;0,SUMIFS(Q$4:Q786,$D$4:$D786,$D787,$C$4:$C786,$C787),0)</f>
        <v>0</v>
      </c>
      <c r="AH787" s="53">
        <f>IF($AC787&gt;0,SUMIFS(M$4:M786,$D$4:$D786,$D787,$Z$4:$Z786,$Z787,$C$4:$C786,$C787),0)</f>
        <v>0</v>
      </c>
      <c r="AI787" s="43">
        <f>IF(OR($C787="",$I787=""),0,IF(COUNTIFS($C$5:$C787,$C787,$I$5:$I787,$I787)=1,1,0))</f>
        <v>0</v>
      </c>
      <c r="AJ787" s="43" t="str">
        <f>IF($AI787=1,SUMIFS($AI$4:$AI786,$C$4:$C786,$C787)+1,"")</f>
        <v/>
      </c>
      <c r="AK787" s="43">
        <f>IF(OR($C787="",$K787=""),0,IF(COUNTIFS($C$5:$C787,$C787,$K$5:$K787,$K787)=1,1,0))</f>
        <v>0</v>
      </c>
      <c r="AL787" s="43" t="str">
        <f>IF($AK787=1,SUMIFS($AK$4:$AK786,$C$4:$C786,$C787)+1,"")</f>
        <v/>
      </c>
      <c r="AM787" s="43">
        <f>IF(OR($C787="",$G787=""),0,IF(COUNTIFS($C$5:$C787,$C787,$G$5:$G787,$G787)=1,1,0))</f>
        <v>0</v>
      </c>
      <c r="AN787" s="43" t="str">
        <f>IF($AM787=1,SUMIFS($AM$4:$AM786,$C$4:$C786,$C787)+1,"")</f>
        <v/>
      </c>
    </row>
    <row r="788">
      <c r="A788" s="44" t="str">
        <f>IF(OR($B788="",$D788=""),"","TX"&amp;TEXT(ROW()-4,"0000"))</f>
        <v/>
      </c>
      <c r="B788" s="42" t="n"/>
      <c r="C788" s="47" t="str">
        <f>IF($B788="","",YEAR($B788)*100+MONTH($B788))</f>
        <v/>
      </c>
      <c r="D788" s="37" t="n"/>
      <c r="E788" s="45" t="str">
        <f>IF($D788="","",IFERROR(INDEX(CARDS!$B$5:$B$34,MATCH($D788,CARDS!$A$5:$A$34,0)),"⚠ Card ID?"))</f>
        <v/>
      </c>
      <c r="F788" s="45" t="str">
        <f>IF($D788="","",IFERROR(INDEX(CARDS!$C$5:$C$34,MATCH($D788,CARDS!$A$5:$A$34,0)),"⚠ Card ID?"))</f>
        <v/>
      </c>
      <c r="G788" s="37" t="n"/>
      <c r="H788" s="37" t="n"/>
      <c r="I788" s="41" t="n"/>
      <c r="J788" s="45" t="str">
        <f>IF($I788="","",IFERROR(INDEX(MCC_MASTER!$B$5:$B$504,MATCH($I788,MCC_MASTER!$A$5:$A$504,0)),"⚠ MCC chưa có"))</f>
        <v/>
      </c>
      <c r="K788" s="45" t="str">
        <f>IF($I788="","",IFERROR(IF(INDEX(MCC_MASTER!$C$5:$C$504,MATCH($I788,MCC_MASTER!$A$5:$A$504,0))="","Chưa phân loại",INDEX(MCC_MASTER!$C$5:$C$504,MATCH($I788,MCC_MASTER!$A$5:$A$504,0))),"Chưa phân loại"))</f>
        <v/>
      </c>
      <c r="L788" s="40" t="n"/>
      <c r="M788" s="48" t="str">
        <f>IF(OR($B788="",$D788=""),"",IF($AC788=0,0,IF(ISNUMBER(INDEX(CASHBACK_RULES!$L$5:$L$304,$AC788)),MAX(0,MIN($L788,INDEX(CASHBACK_RULES!$L$5:$L$304,$AC788)-$AH788)),MAX(0,$L788))))</f>
        <v/>
      </c>
      <c r="N788" s="49" t="str">
        <f>IF(OR($B788="",$D788=""),"",IF($AC788&gt;0,INDEX(CASHBACK_RULES!$I$5:$I$304,$AC788),0))</f>
        <v/>
      </c>
      <c r="O788" s="48" t="str">
        <f>IF(OR($B788="",$D788=""),"",ROUND($M788*$N788,0))</f>
        <v/>
      </c>
      <c r="P788" s="48" t="str">
        <f>IF($AC788&gt;0,IF(ISNUMBER(INDEX(CASHBACK_RULES!$J$5:$J$304,$AC788)),INDEX(CASHBACK_RULES!$J$5:$J$304,$AC788),"∞"),"")</f>
        <v/>
      </c>
      <c r="Q788" s="48" t="str">
        <f>IF(OR($B788="",$D788=""),"",IF($AC788=0,0,MAX(0,MIN($O788,IF(ISNUMBER($P788),$P788-$AF788,1E+15),IF(ISNUMBER($AA788),$AA788-$AG788,1E+15)))))</f>
        <v/>
      </c>
      <c r="R788" s="48" t="str">
        <f>IF(OR($B788="",$D788=""),"",IF($AC788=0,"",IF(AND(NOT(ISNUMBER($P788)),NOT(ISNUMBER($AA788))),"∞",MAX(0,MIN(IF(ISNUMBER($P788),$P788-$AF788-$Q788,1E+15),IF(ISNUMBER($AA788),$AA788-$AG788-$Q788,1E+15))))))</f>
        <v/>
      </c>
      <c r="S788" s="47" t="str">
        <f>IF($AD788="","",YEAR($AD788)*100+MONTH($AD788))</f>
        <v/>
      </c>
      <c r="T788" s="50" t="str">
        <f>IF($AD788="","",IFERROR(IF(INDEX(CARDS!$I$5:$I$34,MATCH($D788,CARDS!$A$5:$A$34,0))="","",IF(INDEX(CARDS!$I$5:$I$34,MATCH($D788,CARDS!$A$5:$A$34,0))&gt;INDEX(CARDS!$H$5:$H$34,MATCH($D788,CARDS!$A$5:$A$34,0)),DATE(YEAR($AD788),MONTH($AD788),MIN(INDEX(CARDS!$I$5:$I$34,MATCH($D788,CARDS!$A$5:$A$34,0)),DAY(EOMONTH($AD788,0)))),DATE(YEAR($AD788),MONTH($AD788)+1,MIN(INDEX(CARDS!$I$5:$I$34,MATCH($D788,CARDS!$A$5:$A$34,0)),DAY(EOMONTH($AD788,1)))))),""))</f>
        <v/>
      </c>
      <c r="U788" s="38" t="n"/>
      <c r="V788" s="37" t="n"/>
      <c r="W788" s="38" t="n"/>
      <c r="X788" s="38" t="n"/>
      <c r="Y788" s="44" t="str">
        <f>IF($AC788&gt;0,INDEX(CASHBACK_RULES!$A$5:$A$304,$AC788),"")</f>
        <v/>
      </c>
      <c r="Z788" s="45" t="str">
        <f>IF($AC788&gt;0,INDEX(CASHBACK_RULES!$E$5:$E$304,$AC788)&amp;"","")</f>
        <v/>
      </c>
      <c r="AA788" s="48" t="str">
        <f>IF($AC788&gt;0,IF(ISNUMBER(INDEX(CASHBACK_RULES!$K$5:$K$304,$AC788)),INDEX(CASHBACK_RULES!$K$5:$K$304,$AC788),"∞"),"")</f>
        <v/>
      </c>
      <c r="AB788" s="44" t="str">
        <f>IF(OR($B788="",$D788=""),"",IF($U788="Cancelled","Đã hủy",IF($AC788=0,"Không được hoàn",IF($Q788=0,IF(OR($O788&gt;0,$M788&lt;$L788),"Đã đạt cap","Không được hoàn"),IF(OR($Q788&lt;$O788,$M788&lt;$L788),"Hoàn một phần","Được hoàn")))))</f>
        <v/>
      </c>
      <c r="AC788" s="43">
        <f>IF(OR($B788="",$D788="",$I788="",$L788=""),0,IF($U788="Cancelled",0,IF($W788&lt;&gt;"",IFERROR(IF(INDEX(CASHBACK_RULES!$B$5:$B$304,MATCH($W788,CASHBACK_RULES!$A$5:$A$304,0))=$D788,MATCH($W788,CASHBACK_RULES!$A$5:$A$304,0),0),0),IFERROR(MATCH(1,INDEX((CASHBACK_RULES!$B$5:$B$304=$D788)*(CASHBACK_RULES!$G$5:$G$304=$I788)*(((CASHBACK_RULES!$N$5:$N$304="")+(CASHBACK_RULES!$N$5:$N$304&lt;=$B788))&gt;0)*(((CASHBACK_RULES!$O$5:$O$304="")+(CASHBACK_RULES!$O$5:$O$304&gt;=$B788))&gt;0)*(((CASHBACK_RULES!$M$5:$M$304="")+(CASHBACK_RULES!$M$5:$M$304&lt;=$L788))&gt;0),0),0),0))))</f>
        <v>0</v>
      </c>
      <c r="AD788" s="51" t="str">
        <f>IF(OR($B788="",$D788=""),"",IFERROR(IF(INDEX(CARDS!$H$5:$H$34,MATCH($D788,CARDS!$A$5:$A$34,0))="","",IF(DAY($B788)&lt;=INDEX(CARDS!$H$5:$H$34,MATCH($D788,CARDS!$A$5:$A$34,0)),DATE(YEAR($B788),MONTH($B788),MIN(INDEX(CARDS!$H$5:$H$34,MATCH($D788,CARDS!$A$5:$A$34,0)),DAY(EOMONTH($B788,0)))),DATE(YEAR($B788),MONTH($B788)+1,MIN(INDEX(CARDS!$H$5:$H$34,MATCH($D788,CARDS!$A$5:$A$34,0)),DAY(EOMONTH($B788,1)))))),""))</f>
        <v/>
      </c>
      <c r="AE788" s="52" t="str">
        <f>IF($C788="","",$C788&amp;"|"&amp;COUNTIF($C$5:$C788,$C788))</f>
        <v/>
      </c>
      <c r="AF788" s="53">
        <f>IF($AC788&gt;0,SUMIFS(Q$4:Q787,$D$4:$D787,$D788,$Z$4:$Z787,$Z788,$C$4:$C787,$C788),0)</f>
        <v>0</v>
      </c>
      <c r="AG788" s="53">
        <f>IF($AC788&gt;0,SUMIFS(Q$4:Q787,$D$4:$D787,$D788,$C$4:$C787,$C788),0)</f>
        <v>0</v>
      </c>
      <c r="AH788" s="53">
        <f>IF($AC788&gt;0,SUMIFS(M$4:M787,$D$4:$D787,$D788,$Z$4:$Z787,$Z788,$C$4:$C787,$C788),0)</f>
        <v>0</v>
      </c>
      <c r="AI788" s="43">
        <f>IF(OR($C788="",$I788=""),0,IF(COUNTIFS($C$5:$C788,$C788,$I$5:$I788,$I788)=1,1,0))</f>
        <v>0</v>
      </c>
      <c r="AJ788" s="43" t="str">
        <f>IF($AI788=1,SUMIFS($AI$4:$AI787,$C$4:$C787,$C788)+1,"")</f>
        <v/>
      </c>
      <c r="AK788" s="43">
        <f>IF(OR($C788="",$K788=""),0,IF(COUNTIFS($C$5:$C788,$C788,$K$5:$K788,$K788)=1,1,0))</f>
        <v>0</v>
      </c>
      <c r="AL788" s="43" t="str">
        <f>IF($AK788=1,SUMIFS($AK$4:$AK787,$C$4:$C787,$C788)+1,"")</f>
        <v/>
      </c>
      <c r="AM788" s="43">
        <f>IF(OR($C788="",$G788=""),0,IF(COUNTIFS($C$5:$C788,$C788,$G$5:$G788,$G788)=1,1,0))</f>
        <v>0</v>
      </c>
      <c r="AN788" s="43" t="str">
        <f>IF($AM788=1,SUMIFS($AM$4:$AM787,$C$4:$C787,$C788)+1,"")</f>
        <v/>
      </c>
    </row>
    <row r="789">
      <c r="A789" s="44" t="str">
        <f>IF(OR($B789="",$D789=""),"","TX"&amp;TEXT(ROW()-4,"0000"))</f>
        <v/>
      </c>
      <c r="B789" s="42" t="n"/>
      <c r="C789" s="47" t="str">
        <f>IF($B789="","",YEAR($B789)*100+MONTH($B789))</f>
        <v/>
      </c>
      <c r="D789" s="37" t="n"/>
      <c r="E789" s="45" t="str">
        <f>IF($D789="","",IFERROR(INDEX(CARDS!$B$5:$B$34,MATCH($D789,CARDS!$A$5:$A$34,0)),"⚠ Card ID?"))</f>
        <v/>
      </c>
      <c r="F789" s="45" t="str">
        <f>IF($D789="","",IFERROR(INDEX(CARDS!$C$5:$C$34,MATCH($D789,CARDS!$A$5:$A$34,0)),"⚠ Card ID?"))</f>
        <v/>
      </c>
      <c r="G789" s="37" t="n"/>
      <c r="H789" s="37" t="n"/>
      <c r="I789" s="41" t="n"/>
      <c r="J789" s="45" t="str">
        <f>IF($I789="","",IFERROR(INDEX(MCC_MASTER!$B$5:$B$504,MATCH($I789,MCC_MASTER!$A$5:$A$504,0)),"⚠ MCC chưa có"))</f>
        <v/>
      </c>
      <c r="K789" s="45" t="str">
        <f>IF($I789="","",IFERROR(IF(INDEX(MCC_MASTER!$C$5:$C$504,MATCH($I789,MCC_MASTER!$A$5:$A$504,0))="","Chưa phân loại",INDEX(MCC_MASTER!$C$5:$C$504,MATCH($I789,MCC_MASTER!$A$5:$A$504,0))),"Chưa phân loại"))</f>
        <v/>
      </c>
      <c r="L789" s="40" t="n"/>
      <c r="M789" s="48" t="str">
        <f>IF(OR($B789="",$D789=""),"",IF($AC789=0,0,IF(ISNUMBER(INDEX(CASHBACK_RULES!$L$5:$L$304,$AC789)),MAX(0,MIN($L789,INDEX(CASHBACK_RULES!$L$5:$L$304,$AC789)-$AH789)),MAX(0,$L789))))</f>
        <v/>
      </c>
      <c r="N789" s="49" t="str">
        <f>IF(OR($B789="",$D789=""),"",IF($AC789&gt;0,INDEX(CASHBACK_RULES!$I$5:$I$304,$AC789),0))</f>
        <v/>
      </c>
      <c r="O789" s="48" t="str">
        <f>IF(OR($B789="",$D789=""),"",ROUND($M789*$N789,0))</f>
        <v/>
      </c>
      <c r="P789" s="48" t="str">
        <f>IF($AC789&gt;0,IF(ISNUMBER(INDEX(CASHBACK_RULES!$J$5:$J$304,$AC789)),INDEX(CASHBACK_RULES!$J$5:$J$304,$AC789),"∞"),"")</f>
        <v/>
      </c>
      <c r="Q789" s="48" t="str">
        <f>IF(OR($B789="",$D789=""),"",IF($AC789=0,0,MAX(0,MIN($O789,IF(ISNUMBER($P789),$P789-$AF789,1E+15),IF(ISNUMBER($AA789),$AA789-$AG789,1E+15)))))</f>
        <v/>
      </c>
      <c r="R789" s="48" t="str">
        <f>IF(OR($B789="",$D789=""),"",IF($AC789=0,"",IF(AND(NOT(ISNUMBER($P789)),NOT(ISNUMBER($AA789))),"∞",MAX(0,MIN(IF(ISNUMBER($P789),$P789-$AF789-$Q789,1E+15),IF(ISNUMBER($AA789),$AA789-$AG789-$Q789,1E+15))))))</f>
        <v/>
      </c>
      <c r="S789" s="47" t="str">
        <f>IF($AD789="","",YEAR($AD789)*100+MONTH($AD789))</f>
        <v/>
      </c>
      <c r="T789" s="50" t="str">
        <f>IF($AD789="","",IFERROR(IF(INDEX(CARDS!$I$5:$I$34,MATCH($D789,CARDS!$A$5:$A$34,0))="","",IF(INDEX(CARDS!$I$5:$I$34,MATCH($D789,CARDS!$A$5:$A$34,0))&gt;INDEX(CARDS!$H$5:$H$34,MATCH($D789,CARDS!$A$5:$A$34,0)),DATE(YEAR($AD789),MONTH($AD789),MIN(INDEX(CARDS!$I$5:$I$34,MATCH($D789,CARDS!$A$5:$A$34,0)),DAY(EOMONTH($AD789,0)))),DATE(YEAR($AD789),MONTH($AD789)+1,MIN(INDEX(CARDS!$I$5:$I$34,MATCH($D789,CARDS!$A$5:$A$34,0)),DAY(EOMONTH($AD789,1)))))),""))</f>
        <v/>
      </c>
      <c r="U789" s="38" t="n"/>
      <c r="V789" s="37" t="n"/>
      <c r="W789" s="38" t="n"/>
      <c r="X789" s="38" t="n"/>
      <c r="Y789" s="44" t="str">
        <f>IF($AC789&gt;0,INDEX(CASHBACK_RULES!$A$5:$A$304,$AC789),"")</f>
        <v/>
      </c>
      <c r="Z789" s="45" t="str">
        <f>IF($AC789&gt;0,INDEX(CASHBACK_RULES!$E$5:$E$304,$AC789)&amp;"","")</f>
        <v/>
      </c>
      <c r="AA789" s="48" t="str">
        <f>IF($AC789&gt;0,IF(ISNUMBER(INDEX(CASHBACK_RULES!$K$5:$K$304,$AC789)),INDEX(CASHBACK_RULES!$K$5:$K$304,$AC789),"∞"),"")</f>
        <v/>
      </c>
      <c r="AB789" s="44" t="str">
        <f>IF(OR($B789="",$D789=""),"",IF($U789="Cancelled","Đã hủy",IF($AC789=0,"Không được hoàn",IF($Q789=0,IF(OR($O789&gt;0,$M789&lt;$L789),"Đã đạt cap","Không được hoàn"),IF(OR($Q789&lt;$O789,$M789&lt;$L789),"Hoàn một phần","Được hoàn")))))</f>
        <v/>
      </c>
      <c r="AC789" s="43">
        <f>IF(OR($B789="",$D789="",$I789="",$L789=""),0,IF($U789="Cancelled",0,IF($W789&lt;&gt;"",IFERROR(IF(INDEX(CASHBACK_RULES!$B$5:$B$304,MATCH($W789,CASHBACK_RULES!$A$5:$A$304,0))=$D789,MATCH($W789,CASHBACK_RULES!$A$5:$A$304,0),0),0),IFERROR(MATCH(1,INDEX((CASHBACK_RULES!$B$5:$B$304=$D789)*(CASHBACK_RULES!$G$5:$G$304=$I789)*(((CASHBACK_RULES!$N$5:$N$304="")+(CASHBACK_RULES!$N$5:$N$304&lt;=$B789))&gt;0)*(((CASHBACK_RULES!$O$5:$O$304="")+(CASHBACK_RULES!$O$5:$O$304&gt;=$B789))&gt;0)*(((CASHBACK_RULES!$M$5:$M$304="")+(CASHBACK_RULES!$M$5:$M$304&lt;=$L789))&gt;0),0),0),0))))</f>
        <v>0</v>
      </c>
      <c r="AD789" s="51" t="str">
        <f>IF(OR($B789="",$D789=""),"",IFERROR(IF(INDEX(CARDS!$H$5:$H$34,MATCH($D789,CARDS!$A$5:$A$34,0))="","",IF(DAY($B789)&lt;=INDEX(CARDS!$H$5:$H$34,MATCH($D789,CARDS!$A$5:$A$34,0)),DATE(YEAR($B789),MONTH($B789),MIN(INDEX(CARDS!$H$5:$H$34,MATCH($D789,CARDS!$A$5:$A$34,0)),DAY(EOMONTH($B789,0)))),DATE(YEAR($B789),MONTH($B789)+1,MIN(INDEX(CARDS!$H$5:$H$34,MATCH($D789,CARDS!$A$5:$A$34,0)),DAY(EOMONTH($B789,1)))))),""))</f>
        <v/>
      </c>
      <c r="AE789" s="52" t="str">
        <f>IF($C789="","",$C789&amp;"|"&amp;COUNTIF($C$5:$C789,$C789))</f>
        <v/>
      </c>
      <c r="AF789" s="53">
        <f>IF($AC789&gt;0,SUMIFS(Q$4:Q788,$D$4:$D788,$D789,$Z$4:$Z788,$Z789,$C$4:$C788,$C789),0)</f>
        <v>0</v>
      </c>
      <c r="AG789" s="53">
        <f>IF($AC789&gt;0,SUMIFS(Q$4:Q788,$D$4:$D788,$D789,$C$4:$C788,$C789),0)</f>
        <v>0</v>
      </c>
      <c r="AH789" s="53">
        <f>IF($AC789&gt;0,SUMIFS(M$4:M788,$D$4:$D788,$D789,$Z$4:$Z788,$Z789,$C$4:$C788,$C789),0)</f>
        <v>0</v>
      </c>
      <c r="AI789" s="43">
        <f>IF(OR($C789="",$I789=""),0,IF(COUNTIFS($C$5:$C789,$C789,$I$5:$I789,$I789)=1,1,0))</f>
        <v>0</v>
      </c>
      <c r="AJ789" s="43" t="str">
        <f>IF($AI789=1,SUMIFS($AI$4:$AI788,$C$4:$C788,$C789)+1,"")</f>
        <v/>
      </c>
      <c r="AK789" s="43">
        <f>IF(OR($C789="",$K789=""),0,IF(COUNTIFS($C$5:$C789,$C789,$K$5:$K789,$K789)=1,1,0))</f>
        <v>0</v>
      </c>
      <c r="AL789" s="43" t="str">
        <f>IF($AK789=1,SUMIFS($AK$4:$AK788,$C$4:$C788,$C789)+1,"")</f>
        <v/>
      </c>
      <c r="AM789" s="43">
        <f>IF(OR($C789="",$G789=""),0,IF(COUNTIFS($C$5:$C789,$C789,$G$5:$G789,$G789)=1,1,0))</f>
        <v>0</v>
      </c>
      <c r="AN789" s="43" t="str">
        <f>IF($AM789=1,SUMIFS($AM$4:$AM788,$C$4:$C788,$C789)+1,"")</f>
        <v/>
      </c>
    </row>
    <row r="790">
      <c r="A790" s="44" t="str">
        <f>IF(OR($B790="",$D790=""),"","TX"&amp;TEXT(ROW()-4,"0000"))</f>
        <v/>
      </c>
      <c r="B790" s="42" t="n"/>
      <c r="C790" s="47" t="str">
        <f>IF($B790="","",YEAR($B790)*100+MONTH($B790))</f>
        <v/>
      </c>
      <c r="D790" s="37" t="n"/>
      <c r="E790" s="45" t="str">
        <f>IF($D790="","",IFERROR(INDEX(CARDS!$B$5:$B$34,MATCH($D790,CARDS!$A$5:$A$34,0)),"⚠ Card ID?"))</f>
        <v/>
      </c>
      <c r="F790" s="45" t="str">
        <f>IF($D790="","",IFERROR(INDEX(CARDS!$C$5:$C$34,MATCH($D790,CARDS!$A$5:$A$34,0)),"⚠ Card ID?"))</f>
        <v/>
      </c>
      <c r="G790" s="37" t="n"/>
      <c r="H790" s="37" t="n"/>
      <c r="I790" s="41" t="n"/>
      <c r="J790" s="45" t="str">
        <f>IF($I790="","",IFERROR(INDEX(MCC_MASTER!$B$5:$B$504,MATCH($I790,MCC_MASTER!$A$5:$A$504,0)),"⚠ MCC chưa có"))</f>
        <v/>
      </c>
      <c r="K790" s="45" t="str">
        <f>IF($I790="","",IFERROR(IF(INDEX(MCC_MASTER!$C$5:$C$504,MATCH($I790,MCC_MASTER!$A$5:$A$504,0))="","Chưa phân loại",INDEX(MCC_MASTER!$C$5:$C$504,MATCH($I790,MCC_MASTER!$A$5:$A$504,0))),"Chưa phân loại"))</f>
        <v/>
      </c>
      <c r="L790" s="40" t="n"/>
      <c r="M790" s="48" t="str">
        <f>IF(OR($B790="",$D790=""),"",IF($AC790=0,0,IF(ISNUMBER(INDEX(CASHBACK_RULES!$L$5:$L$304,$AC790)),MAX(0,MIN($L790,INDEX(CASHBACK_RULES!$L$5:$L$304,$AC790)-$AH790)),MAX(0,$L790))))</f>
        <v/>
      </c>
      <c r="N790" s="49" t="str">
        <f>IF(OR($B790="",$D790=""),"",IF($AC790&gt;0,INDEX(CASHBACK_RULES!$I$5:$I$304,$AC790),0))</f>
        <v/>
      </c>
      <c r="O790" s="48" t="str">
        <f>IF(OR($B790="",$D790=""),"",ROUND($M790*$N790,0))</f>
        <v/>
      </c>
      <c r="P790" s="48" t="str">
        <f>IF($AC790&gt;0,IF(ISNUMBER(INDEX(CASHBACK_RULES!$J$5:$J$304,$AC790)),INDEX(CASHBACK_RULES!$J$5:$J$304,$AC790),"∞"),"")</f>
        <v/>
      </c>
      <c r="Q790" s="48" t="str">
        <f>IF(OR($B790="",$D790=""),"",IF($AC790=0,0,MAX(0,MIN($O790,IF(ISNUMBER($P790),$P790-$AF790,1E+15),IF(ISNUMBER($AA790),$AA790-$AG790,1E+15)))))</f>
        <v/>
      </c>
      <c r="R790" s="48" t="str">
        <f>IF(OR($B790="",$D790=""),"",IF($AC790=0,"",IF(AND(NOT(ISNUMBER($P790)),NOT(ISNUMBER($AA790))),"∞",MAX(0,MIN(IF(ISNUMBER($P790),$P790-$AF790-$Q790,1E+15),IF(ISNUMBER($AA790),$AA790-$AG790-$Q790,1E+15))))))</f>
        <v/>
      </c>
      <c r="S790" s="47" t="str">
        <f>IF($AD790="","",YEAR($AD790)*100+MONTH($AD790))</f>
        <v/>
      </c>
      <c r="T790" s="50" t="str">
        <f>IF($AD790="","",IFERROR(IF(INDEX(CARDS!$I$5:$I$34,MATCH($D790,CARDS!$A$5:$A$34,0))="","",IF(INDEX(CARDS!$I$5:$I$34,MATCH($D790,CARDS!$A$5:$A$34,0))&gt;INDEX(CARDS!$H$5:$H$34,MATCH($D790,CARDS!$A$5:$A$34,0)),DATE(YEAR($AD790),MONTH($AD790),MIN(INDEX(CARDS!$I$5:$I$34,MATCH($D790,CARDS!$A$5:$A$34,0)),DAY(EOMONTH($AD790,0)))),DATE(YEAR($AD790),MONTH($AD790)+1,MIN(INDEX(CARDS!$I$5:$I$34,MATCH($D790,CARDS!$A$5:$A$34,0)),DAY(EOMONTH($AD790,1)))))),""))</f>
        <v/>
      </c>
      <c r="U790" s="38" t="n"/>
      <c r="V790" s="37" t="n"/>
      <c r="W790" s="38" t="n"/>
      <c r="X790" s="38" t="n"/>
      <c r="Y790" s="44" t="str">
        <f>IF($AC790&gt;0,INDEX(CASHBACK_RULES!$A$5:$A$304,$AC790),"")</f>
        <v/>
      </c>
      <c r="Z790" s="45" t="str">
        <f>IF($AC790&gt;0,INDEX(CASHBACK_RULES!$E$5:$E$304,$AC790)&amp;"","")</f>
        <v/>
      </c>
      <c r="AA790" s="48" t="str">
        <f>IF($AC790&gt;0,IF(ISNUMBER(INDEX(CASHBACK_RULES!$K$5:$K$304,$AC790)),INDEX(CASHBACK_RULES!$K$5:$K$304,$AC790),"∞"),"")</f>
        <v/>
      </c>
      <c r="AB790" s="44" t="str">
        <f>IF(OR($B790="",$D790=""),"",IF($U790="Cancelled","Đã hủy",IF($AC790=0,"Không được hoàn",IF($Q790=0,IF(OR($O790&gt;0,$M790&lt;$L790),"Đã đạt cap","Không được hoàn"),IF(OR($Q790&lt;$O790,$M790&lt;$L790),"Hoàn một phần","Được hoàn")))))</f>
        <v/>
      </c>
      <c r="AC790" s="43">
        <f>IF(OR($B790="",$D790="",$I790="",$L790=""),0,IF($U790="Cancelled",0,IF($W790&lt;&gt;"",IFERROR(IF(INDEX(CASHBACK_RULES!$B$5:$B$304,MATCH($W790,CASHBACK_RULES!$A$5:$A$304,0))=$D790,MATCH($W790,CASHBACK_RULES!$A$5:$A$304,0),0),0),IFERROR(MATCH(1,INDEX((CASHBACK_RULES!$B$5:$B$304=$D790)*(CASHBACK_RULES!$G$5:$G$304=$I790)*(((CASHBACK_RULES!$N$5:$N$304="")+(CASHBACK_RULES!$N$5:$N$304&lt;=$B790))&gt;0)*(((CASHBACK_RULES!$O$5:$O$304="")+(CASHBACK_RULES!$O$5:$O$304&gt;=$B790))&gt;0)*(((CASHBACK_RULES!$M$5:$M$304="")+(CASHBACK_RULES!$M$5:$M$304&lt;=$L790))&gt;0),0),0),0))))</f>
        <v>0</v>
      </c>
      <c r="AD790" s="51" t="str">
        <f>IF(OR($B790="",$D790=""),"",IFERROR(IF(INDEX(CARDS!$H$5:$H$34,MATCH($D790,CARDS!$A$5:$A$34,0))="","",IF(DAY($B790)&lt;=INDEX(CARDS!$H$5:$H$34,MATCH($D790,CARDS!$A$5:$A$34,0)),DATE(YEAR($B790),MONTH($B790),MIN(INDEX(CARDS!$H$5:$H$34,MATCH($D790,CARDS!$A$5:$A$34,0)),DAY(EOMONTH($B790,0)))),DATE(YEAR($B790),MONTH($B790)+1,MIN(INDEX(CARDS!$H$5:$H$34,MATCH($D790,CARDS!$A$5:$A$34,0)),DAY(EOMONTH($B790,1)))))),""))</f>
        <v/>
      </c>
      <c r="AE790" s="52" t="str">
        <f>IF($C790="","",$C790&amp;"|"&amp;COUNTIF($C$5:$C790,$C790))</f>
        <v/>
      </c>
      <c r="AF790" s="53">
        <f>IF($AC790&gt;0,SUMIFS(Q$4:Q789,$D$4:$D789,$D790,$Z$4:$Z789,$Z790,$C$4:$C789,$C790),0)</f>
        <v>0</v>
      </c>
      <c r="AG790" s="53">
        <f>IF($AC790&gt;0,SUMIFS(Q$4:Q789,$D$4:$D789,$D790,$C$4:$C789,$C790),0)</f>
        <v>0</v>
      </c>
      <c r="AH790" s="53">
        <f>IF($AC790&gt;0,SUMIFS(M$4:M789,$D$4:$D789,$D790,$Z$4:$Z789,$Z790,$C$4:$C789,$C790),0)</f>
        <v>0</v>
      </c>
      <c r="AI790" s="43">
        <f>IF(OR($C790="",$I790=""),0,IF(COUNTIFS($C$5:$C790,$C790,$I$5:$I790,$I790)=1,1,0))</f>
        <v>0</v>
      </c>
      <c r="AJ790" s="43" t="str">
        <f>IF($AI790=1,SUMIFS($AI$4:$AI789,$C$4:$C789,$C790)+1,"")</f>
        <v/>
      </c>
      <c r="AK790" s="43">
        <f>IF(OR($C790="",$K790=""),0,IF(COUNTIFS($C$5:$C790,$C790,$K$5:$K790,$K790)=1,1,0))</f>
        <v>0</v>
      </c>
      <c r="AL790" s="43" t="str">
        <f>IF($AK790=1,SUMIFS($AK$4:$AK789,$C$4:$C789,$C790)+1,"")</f>
        <v/>
      </c>
      <c r="AM790" s="43">
        <f>IF(OR($C790="",$G790=""),0,IF(COUNTIFS($C$5:$C790,$C790,$G$5:$G790,$G790)=1,1,0))</f>
        <v>0</v>
      </c>
      <c r="AN790" s="43" t="str">
        <f>IF($AM790=1,SUMIFS($AM$4:$AM789,$C$4:$C789,$C790)+1,"")</f>
        <v/>
      </c>
    </row>
    <row r="791">
      <c r="A791" s="44" t="str">
        <f>IF(OR($B791="",$D791=""),"","TX"&amp;TEXT(ROW()-4,"0000"))</f>
        <v/>
      </c>
      <c r="B791" s="42" t="n"/>
      <c r="C791" s="47" t="str">
        <f>IF($B791="","",YEAR($B791)*100+MONTH($B791))</f>
        <v/>
      </c>
      <c r="D791" s="37" t="n"/>
      <c r="E791" s="45" t="str">
        <f>IF($D791="","",IFERROR(INDEX(CARDS!$B$5:$B$34,MATCH($D791,CARDS!$A$5:$A$34,0)),"⚠ Card ID?"))</f>
        <v/>
      </c>
      <c r="F791" s="45" t="str">
        <f>IF($D791="","",IFERROR(INDEX(CARDS!$C$5:$C$34,MATCH($D791,CARDS!$A$5:$A$34,0)),"⚠ Card ID?"))</f>
        <v/>
      </c>
      <c r="G791" s="37" t="n"/>
      <c r="H791" s="37" t="n"/>
      <c r="I791" s="41" t="n"/>
      <c r="J791" s="45" t="str">
        <f>IF($I791="","",IFERROR(INDEX(MCC_MASTER!$B$5:$B$504,MATCH($I791,MCC_MASTER!$A$5:$A$504,0)),"⚠ MCC chưa có"))</f>
        <v/>
      </c>
      <c r="K791" s="45" t="str">
        <f>IF($I791="","",IFERROR(IF(INDEX(MCC_MASTER!$C$5:$C$504,MATCH($I791,MCC_MASTER!$A$5:$A$504,0))="","Chưa phân loại",INDEX(MCC_MASTER!$C$5:$C$504,MATCH($I791,MCC_MASTER!$A$5:$A$504,0))),"Chưa phân loại"))</f>
        <v/>
      </c>
      <c r="L791" s="40" t="n"/>
      <c r="M791" s="48" t="str">
        <f>IF(OR($B791="",$D791=""),"",IF($AC791=0,0,IF(ISNUMBER(INDEX(CASHBACK_RULES!$L$5:$L$304,$AC791)),MAX(0,MIN($L791,INDEX(CASHBACK_RULES!$L$5:$L$304,$AC791)-$AH791)),MAX(0,$L791))))</f>
        <v/>
      </c>
      <c r="N791" s="49" t="str">
        <f>IF(OR($B791="",$D791=""),"",IF($AC791&gt;0,INDEX(CASHBACK_RULES!$I$5:$I$304,$AC791),0))</f>
        <v/>
      </c>
      <c r="O791" s="48" t="str">
        <f>IF(OR($B791="",$D791=""),"",ROUND($M791*$N791,0))</f>
        <v/>
      </c>
      <c r="P791" s="48" t="str">
        <f>IF($AC791&gt;0,IF(ISNUMBER(INDEX(CASHBACK_RULES!$J$5:$J$304,$AC791)),INDEX(CASHBACK_RULES!$J$5:$J$304,$AC791),"∞"),"")</f>
        <v/>
      </c>
      <c r="Q791" s="48" t="str">
        <f>IF(OR($B791="",$D791=""),"",IF($AC791=0,0,MAX(0,MIN($O791,IF(ISNUMBER($P791),$P791-$AF791,1E+15),IF(ISNUMBER($AA791),$AA791-$AG791,1E+15)))))</f>
        <v/>
      </c>
      <c r="R791" s="48" t="str">
        <f>IF(OR($B791="",$D791=""),"",IF($AC791=0,"",IF(AND(NOT(ISNUMBER($P791)),NOT(ISNUMBER($AA791))),"∞",MAX(0,MIN(IF(ISNUMBER($P791),$P791-$AF791-$Q791,1E+15),IF(ISNUMBER($AA791),$AA791-$AG791-$Q791,1E+15))))))</f>
        <v/>
      </c>
      <c r="S791" s="47" t="str">
        <f>IF($AD791="","",YEAR($AD791)*100+MONTH($AD791))</f>
        <v/>
      </c>
      <c r="T791" s="50" t="str">
        <f>IF($AD791="","",IFERROR(IF(INDEX(CARDS!$I$5:$I$34,MATCH($D791,CARDS!$A$5:$A$34,0))="","",IF(INDEX(CARDS!$I$5:$I$34,MATCH($D791,CARDS!$A$5:$A$34,0))&gt;INDEX(CARDS!$H$5:$H$34,MATCH($D791,CARDS!$A$5:$A$34,0)),DATE(YEAR($AD791),MONTH($AD791),MIN(INDEX(CARDS!$I$5:$I$34,MATCH($D791,CARDS!$A$5:$A$34,0)),DAY(EOMONTH($AD791,0)))),DATE(YEAR($AD791),MONTH($AD791)+1,MIN(INDEX(CARDS!$I$5:$I$34,MATCH($D791,CARDS!$A$5:$A$34,0)),DAY(EOMONTH($AD791,1)))))),""))</f>
        <v/>
      </c>
      <c r="U791" s="38" t="n"/>
      <c r="V791" s="37" t="n"/>
      <c r="W791" s="38" t="n"/>
      <c r="X791" s="38" t="n"/>
      <c r="Y791" s="44" t="str">
        <f>IF($AC791&gt;0,INDEX(CASHBACK_RULES!$A$5:$A$304,$AC791),"")</f>
        <v/>
      </c>
      <c r="Z791" s="45" t="str">
        <f>IF($AC791&gt;0,INDEX(CASHBACK_RULES!$E$5:$E$304,$AC791)&amp;"","")</f>
        <v/>
      </c>
      <c r="AA791" s="48" t="str">
        <f>IF($AC791&gt;0,IF(ISNUMBER(INDEX(CASHBACK_RULES!$K$5:$K$304,$AC791)),INDEX(CASHBACK_RULES!$K$5:$K$304,$AC791),"∞"),"")</f>
        <v/>
      </c>
      <c r="AB791" s="44" t="str">
        <f>IF(OR($B791="",$D791=""),"",IF($U791="Cancelled","Đã hủy",IF($AC791=0,"Không được hoàn",IF($Q791=0,IF(OR($O791&gt;0,$M791&lt;$L791),"Đã đạt cap","Không được hoàn"),IF(OR($Q791&lt;$O791,$M791&lt;$L791),"Hoàn một phần","Được hoàn")))))</f>
        <v/>
      </c>
      <c r="AC791" s="43">
        <f>IF(OR($B791="",$D791="",$I791="",$L791=""),0,IF($U791="Cancelled",0,IF($W791&lt;&gt;"",IFERROR(IF(INDEX(CASHBACK_RULES!$B$5:$B$304,MATCH($W791,CASHBACK_RULES!$A$5:$A$304,0))=$D791,MATCH($W791,CASHBACK_RULES!$A$5:$A$304,0),0),0),IFERROR(MATCH(1,INDEX((CASHBACK_RULES!$B$5:$B$304=$D791)*(CASHBACK_RULES!$G$5:$G$304=$I791)*(((CASHBACK_RULES!$N$5:$N$304="")+(CASHBACK_RULES!$N$5:$N$304&lt;=$B791))&gt;0)*(((CASHBACK_RULES!$O$5:$O$304="")+(CASHBACK_RULES!$O$5:$O$304&gt;=$B791))&gt;0)*(((CASHBACK_RULES!$M$5:$M$304="")+(CASHBACK_RULES!$M$5:$M$304&lt;=$L791))&gt;0),0),0),0))))</f>
        <v>0</v>
      </c>
      <c r="AD791" s="51" t="str">
        <f>IF(OR($B791="",$D791=""),"",IFERROR(IF(INDEX(CARDS!$H$5:$H$34,MATCH($D791,CARDS!$A$5:$A$34,0))="","",IF(DAY($B791)&lt;=INDEX(CARDS!$H$5:$H$34,MATCH($D791,CARDS!$A$5:$A$34,0)),DATE(YEAR($B791),MONTH($B791),MIN(INDEX(CARDS!$H$5:$H$34,MATCH($D791,CARDS!$A$5:$A$34,0)),DAY(EOMONTH($B791,0)))),DATE(YEAR($B791),MONTH($B791)+1,MIN(INDEX(CARDS!$H$5:$H$34,MATCH($D791,CARDS!$A$5:$A$34,0)),DAY(EOMONTH($B791,1)))))),""))</f>
        <v/>
      </c>
      <c r="AE791" s="52" t="str">
        <f>IF($C791="","",$C791&amp;"|"&amp;COUNTIF($C$5:$C791,$C791))</f>
        <v/>
      </c>
      <c r="AF791" s="53">
        <f>IF($AC791&gt;0,SUMIFS(Q$4:Q790,$D$4:$D790,$D791,$Z$4:$Z790,$Z791,$C$4:$C790,$C791),0)</f>
        <v>0</v>
      </c>
      <c r="AG791" s="53">
        <f>IF($AC791&gt;0,SUMIFS(Q$4:Q790,$D$4:$D790,$D791,$C$4:$C790,$C791),0)</f>
        <v>0</v>
      </c>
      <c r="AH791" s="53">
        <f>IF($AC791&gt;0,SUMIFS(M$4:M790,$D$4:$D790,$D791,$Z$4:$Z790,$Z791,$C$4:$C790,$C791),0)</f>
        <v>0</v>
      </c>
      <c r="AI791" s="43">
        <f>IF(OR($C791="",$I791=""),0,IF(COUNTIFS($C$5:$C791,$C791,$I$5:$I791,$I791)=1,1,0))</f>
        <v>0</v>
      </c>
      <c r="AJ791" s="43" t="str">
        <f>IF($AI791=1,SUMIFS($AI$4:$AI790,$C$4:$C790,$C791)+1,"")</f>
        <v/>
      </c>
      <c r="AK791" s="43">
        <f>IF(OR($C791="",$K791=""),0,IF(COUNTIFS($C$5:$C791,$C791,$K$5:$K791,$K791)=1,1,0))</f>
        <v>0</v>
      </c>
      <c r="AL791" s="43" t="str">
        <f>IF($AK791=1,SUMIFS($AK$4:$AK790,$C$4:$C790,$C791)+1,"")</f>
        <v/>
      </c>
      <c r="AM791" s="43">
        <f>IF(OR($C791="",$G791=""),0,IF(COUNTIFS($C$5:$C791,$C791,$G$5:$G791,$G791)=1,1,0))</f>
        <v>0</v>
      </c>
      <c r="AN791" s="43" t="str">
        <f>IF($AM791=1,SUMIFS($AM$4:$AM790,$C$4:$C790,$C791)+1,"")</f>
        <v/>
      </c>
    </row>
    <row r="792">
      <c r="A792" s="44" t="str">
        <f>IF(OR($B792="",$D792=""),"","TX"&amp;TEXT(ROW()-4,"0000"))</f>
        <v/>
      </c>
      <c r="B792" s="42" t="n"/>
      <c r="C792" s="47" t="str">
        <f>IF($B792="","",YEAR($B792)*100+MONTH($B792))</f>
        <v/>
      </c>
      <c r="D792" s="37" t="n"/>
      <c r="E792" s="45" t="str">
        <f>IF($D792="","",IFERROR(INDEX(CARDS!$B$5:$B$34,MATCH($D792,CARDS!$A$5:$A$34,0)),"⚠ Card ID?"))</f>
        <v/>
      </c>
      <c r="F792" s="45" t="str">
        <f>IF($D792="","",IFERROR(INDEX(CARDS!$C$5:$C$34,MATCH($D792,CARDS!$A$5:$A$34,0)),"⚠ Card ID?"))</f>
        <v/>
      </c>
      <c r="G792" s="37" t="n"/>
      <c r="H792" s="37" t="n"/>
      <c r="I792" s="41" t="n"/>
      <c r="J792" s="45" t="str">
        <f>IF($I792="","",IFERROR(INDEX(MCC_MASTER!$B$5:$B$504,MATCH($I792,MCC_MASTER!$A$5:$A$504,0)),"⚠ MCC chưa có"))</f>
        <v/>
      </c>
      <c r="K792" s="45" t="str">
        <f>IF($I792="","",IFERROR(IF(INDEX(MCC_MASTER!$C$5:$C$504,MATCH($I792,MCC_MASTER!$A$5:$A$504,0))="","Chưa phân loại",INDEX(MCC_MASTER!$C$5:$C$504,MATCH($I792,MCC_MASTER!$A$5:$A$504,0))),"Chưa phân loại"))</f>
        <v/>
      </c>
      <c r="L792" s="40" t="n"/>
      <c r="M792" s="48" t="str">
        <f>IF(OR($B792="",$D792=""),"",IF($AC792=0,0,IF(ISNUMBER(INDEX(CASHBACK_RULES!$L$5:$L$304,$AC792)),MAX(0,MIN($L792,INDEX(CASHBACK_RULES!$L$5:$L$304,$AC792)-$AH792)),MAX(0,$L792))))</f>
        <v/>
      </c>
      <c r="N792" s="49" t="str">
        <f>IF(OR($B792="",$D792=""),"",IF($AC792&gt;0,INDEX(CASHBACK_RULES!$I$5:$I$304,$AC792),0))</f>
        <v/>
      </c>
      <c r="O792" s="48" t="str">
        <f>IF(OR($B792="",$D792=""),"",ROUND($M792*$N792,0))</f>
        <v/>
      </c>
      <c r="P792" s="48" t="str">
        <f>IF($AC792&gt;0,IF(ISNUMBER(INDEX(CASHBACK_RULES!$J$5:$J$304,$AC792)),INDEX(CASHBACK_RULES!$J$5:$J$304,$AC792),"∞"),"")</f>
        <v/>
      </c>
      <c r="Q792" s="48" t="str">
        <f>IF(OR($B792="",$D792=""),"",IF($AC792=0,0,MAX(0,MIN($O792,IF(ISNUMBER($P792),$P792-$AF792,1E+15),IF(ISNUMBER($AA792),$AA792-$AG792,1E+15)))))</f>
        <v/>
      </c>
      <c r="R792" s="48" t="str">
        <f>IF(OR($B792="",$D792=""),"",IF($AC792=0,"",IF(AND(NOT(ISNUMBER($P792)),NOT(ISNUMBER($AA792))),"∞",MAX(0,MIN(IF(ISNUMBER($P792),$P792-$AF792-$Q792,1E+15),IF(ISNUMBER($AA792),$AA792-$AG792-$Q792,1E+15))))))</f>
        <v/>
      </c>
      <c r="S792" s="47" t="str">
        <f>IF($AD792="","",YEAR($AD792)*100+MONTH($AD792))</f>
        <v/>
      </c>
      <c r="T792" s="50" t="str">
        <f>IF($AD792="","",IFERROR(IF(INDEX(CARDS!$I$5:$I$34,MATCH($D792,CARDS!$A$5:$A$34,0))="","",IF(INDEX(CARDS!$I$5:$I$34,MATCH($D792,CARDS!$A$5:$A$34,0))&gt;INDEX(CARDS!$H$5:$H$34,MATCH($D792,CARDS!$A$5:$A$34,0)),DATE(YEAR($AD792),MONTH($AD792),MIN(INDEX(CARDS!$I$5:$I$34,MATCH($D792,CARDS!$A$5:$A$34,0)),DAY(EOMONTH($AD792,0)))),DATE(YEAR($AD792),MONTH($AD792)+1,MIN(INDEX(CARDS!$I$5:$I$34,MATCH($D792,CARDS!$A$5:$A$34,0)),DAY(EOMONTH($AD792,1)))))),""))</f>
        <v/>
      </c>
      <c r="U792" s="38" t="n"/>
      <c r="V792" s="37" t="n"/>
      <c r="W792" s="38" t="n"/>
      <c r="X792" s="38" t="n"/>
      <c r="Y792" s="44" t="str">
        <f>IF($AC792&gt;0,INDEX(CASHBACK_RULES!$A$5:$A$304,$AC792),"")</f>
        <v/>
      </c>
      <c r="Z792" s="45" t="str">
        <f>IF($AC792&gt;0,INDEX(CASHBACK_RULES!$E$5:$E$304,$AC792)&amp;"","")</f>
        <v/>
      </c>
      <c r="AA792" s="48" t="str">
        <f>IF($AC792&gt;0,IF(ISNUMBER(INDEX(CASHBACK_RULES!$K$5:$K$304,$AC792)),INDEX(CASHBACK_RULES!$K$5:$K$304,$AC792),"∞"),"")</f>
        <v/>
      </c>
      <c r="AB792" s="44" t="str">
        <f>IF(OR($B792="",$D792=""),"",IF($U792="Cancelled","Đã hủy",IF($AC792=0,"Không được hoàn",IF($Q792=0,IF(OR($O792&gt;0,$M792&lt;$L792),"Đã đạt cap","Không được hoàn"),IF(OR($Q792&lt;$O792,$M792&lt;$L792),"Hoàn một phần","Được hoàn")))))</f>
        <v/>
      </c>
      <c r="AC792" s="43">
        <f>IF(OR($B792="",$D792="",$I792="",$L792=""),0,IF($U792="Cancelled",0,IF($W792&lt;&gt;"",IFERROR(IF(INDEX(CASHBACK_RULES!$B$5:$B$304,MATCH($W792,CASHBACK_RULES!$A$5:$A$304,0))=$D792,MATCH($W792,CASHBACK_RULES!$A$5:$A$304,0),0),0),IFERROR(MATCH(1,INDEX((CASHBACK_RULES!$B$5:$B$304=$D792)*(CASHBACK_RULES!$G$5:$G$304=$I792)*(((CASHBACK_RULES!$N$5:$N$304="")+(CASHBACK_RULES!$N$5:$N$304&lt;=$B792))&gt;0)*(((CASHBACK_RULES!$O$5:$O$304="")+(CASHBACK_RULES!$O$5:$O$304&gt;=$B792))&gt;0)*(((CASHBACK_RULES!$M$5:$M$304="")+(CASHBACK_RULES!$M$5:$M$304&lt;=$L792))&gt;0),0),0),0))))</f>
        <v>0</v>
      </c>
      <c r="AD792" s="51" t="str">
        <f>IF(OR($B792="",$D792=""),"",IFERROR(IF(INDEX(CARDS!$H$5:$H$34,MATCH($D792,CARDS!$A$5:$A$34,0))="","",IF(DAY($B792)&lt;=INDEX(CARDS!$H$5:$H$34,MATCH($D792,CARDS!$A$5:$A$34,0)),DATE(YEAR($B792),MONTH($B792),MIN(INDEX(CARDS!$H$5:$H$34,MATCH($D792,CARDS!$A$5:$A$34,0)),DAY(EOMONTH($B792,0)))),DATE(YEAR($B792),MONTH($B792)+1,MIN(INDEX(CARDS!$H$5:$H$34,MATCH($D792,CARDS!$A$5:$A$34,0)),DAY(EOMONTH($B792,1)))))),""))</f>
        <v/>
      </c>
      <c r="AE792" s="52" t="str">
        <f>IF($C792="","",$C792&amp;"|"&amp;COUNTIF($C$5:$C792,$C792))</f>
        <v/>
      </c>
      <c r="AF792" s="53">
        <f>IF($AC792&gt;0,SUMIFS(Q$4:Q791,$D$4:$D791,$D792,$Z$4:$Z791,$Z792,$C$4:$C791,$C792),0)</f>
        <v>0</v>
      </c>
      <c r="AG792" s="53">
        <f>IF($AC792&gt;0,SUMIFS(Q$4:Q791,$D$4:$D791,$D792,$C$4:$C791,$C792),0)</f>
        <v>0</v>
      </c>
      <c r="AH792" s="53">
        <f>IF($AC792&gt;0,SUMIFS(M$4:M791,$D$4:$D791,$D792,$Z$4:$Z791,$Z792,$C$4:$C791,$C792),0)</f>
        <v>0</v>
      </c>
      <c r="AI792" s="43">
        <f>IF(OR($C792="",$I792=""),0,IF(COUNTIFS($C$5:$C792,$C792,$I$5:$I792,$I792)=1,1,0))</f>
        <v>0</v>
      </c>
      <c r="AJ792" s="43" t="str">
        <f>IF($AI792=1,SUMIFS($AI$4:$AI791,$C$4:$C791,$C792)+1,"")</f>
        <v/>
      </c>
      <c r="AK792" s="43">
        <f>IF(OR($C792="",$K792=""),0,IF(COUNTIFS($C$5:$C792,$C792,$K$5:$K792,$K792)=1,1,0))</f>
        <v>0</v>
      </c>
      <c r="AL792" s="43" t="str">
        <f>IF($AK792=1,SUMIFS($AK$4:$AK791,$C$4:$C791,$C792)+1,"")</f>
        <v/>
      </c>
      <c r="AM792" s="43">
        <f>IF(OR($C792="",$G792=""),0,IF(COUNTIFS($C$5:$C792,$C792,$G$5:$G792,$G792)=1,1,0))</f>
        <v>0</v>
      </c>
      <c r="AN792" s="43" t="str">
        <f>IF($AM792=1,SUMIFS($AM$4:$AM791,$C$4:$C791,$C792)+1,"")</f>
        <v/>
      </c>
    </row>
    <row r="793">
      <c r="A793" s="44" t="str">
        <f>IF(OR($B793="",$D793=""),"","TX"&amp;TEXT(ROW()-4,"0000"))</f>
        <v/>
      </c>
      <c r="B793" s="42" t="n"/>
      <c r="C793" s="47" t="str">
        <f>IF($B793="","",YEAR($B793)*100+MONTH($B793))</f>
        <v/>
      </c>
      <c r="D793" s="37" t="n"/>
      <c r="E793" s="45" t="str">
        <f>IF($D793="","",IFERROR(INDEX(CARDS!$B$5:$B$34,MATCH($D793,CARDS!$A$5:$A$34,0)),"⚠ Card ID?"))</f>
        <v/>
      </c>
      <c r="F793" s="45" t="str">
        <f>IF($D793="","",IFERROR(INDEX(CARDS!$C$5:$C$34,MATCH($D793,CARDS!$A$5:$A$34,0)),"⚠ Card ID?"))</f>
        <v/>
      </c>
      <c r="G793" s="37" t="n"/>
      <c r="H793" s="37" t="n"/>
      <c r="I793" s="41" t="n"/>
      <c r="J793" s="45" t="str">
        <f>IF($I793="","",IFERROR(INDEX(MCC_MASTER!$B$5:$B$504,MATCH($I793,MCC_MASTER!$A$5:$A$504,0)),"⚠ MCC chưa có"))</f>
        <v/>
      </c>
      <c r="K793" s="45" t="str">
        <f>IF($I793="","",IFERROR(IF(INDEX(MCC_MASTER!$C$5:$C$504,MATCH($I793,MCC_MASTER!$A$5:$A$504,0))="","Chưa phân loại",INDEX(MCC_MASTER!$C$5:$C$504,MATCH($I793,MCC_MASTER!$A$5:$A$504,0))),"Chưa phân loại"))</f>
        <v/>
      </c>
      <c r="L793" s="40" t="n"/>
      <c r="M793" s="48" t="str">
        <f>IF(OR($B793="",$D793=""),"",IF($AC793=0,0,IF(ISNUMBER(INDEX(CASHBACK_RULES!$L$5:$L$304,$AC793)),MAX(0,MIN($L793,INDEX(CASHBACK_RULES!$L$5:$L$304,$AC793)-$AH793)),MAX(0,$L793))))</f>
        <v/>
      </c>
      <c r="N793" s="49" t="str">
        <f>IF(OR($B793="",$D793=""),"",IF($AC793&gt;0,INDEX(CASHBACK_RULES!$I$5:$I$304,$AC793),0))</f>
        <v/>
      </c>
      <c r="O793" s="48" t="str">
        <f>IF(OR($B793="",$D793=""),"",ROUND($M793*$N793,0))</f>
        <v/>
      </c>
      <c r="P793" s="48" t="str">
        <f>IF($AC793&gt;0,IF(ISNUMBER(INDEX(CASHBACK_RULES!$J$5:$J$304,$AC793)),INDEX(CASHBACK_RULES!$J$5:$J$304,$AC793),"∞"),"")</f>
        <v/>
      </c>
      <c r="Q793" s="48" t="str">
        <f>IF(OR($B793="",$D793=""),"",IF($AC793=0,0,MAX(0,MIN($O793,IF(ISNUMBER($P793),$P793-$AF793,1E+15),IF(ISNUMBER($AA793),$AA793-$AG793,1E+15)))))</f>
        <v/>
      </c>
      <c r="R793" s="48" t="str">
        <f>IF(OR($B793="",$D793=""),"",IF($AC793=0,"",IF(AND(NOT(ISNUMBER($P793)),NOT(ISNUMBER($AA793))),"∞",MAX(0,MIN(IF(ISNUMBER($P793),$P793-$AF793-$Q793,1E+15),IF(ISNUMBER($AA793),$AA793-$AG793-$Q793,1E+15))))))</f>
        <v/>
      </c>
      <c r="S793" s="47" t="str">
        <f>IF($AD793="","",YEAR($AD793)*100+MONTH($AD793))</f>
        <v/>
      </c>
      <c r="T793" s="50" t="str">
        <f>IF($AD793="","",IFERROR(IF(INDEX(CARDS!$I$5:$I$34,MATCH($D793,CARDS!$A$5:$A$34,0))="","",IF(INDEX(CARDS!$I$5:$I$34,MATCH($D793,CARDS!$A$5:$A$34,0))&gt;INDEX(CARDS!$H$5:$H$34,MATCH($D793,CARDS!$A$5:$A$34,0)),DATE(YEAR($AD793),MONTH($AD793),MIN(INDEX(CARDS!$I$5:$I$34,MATCH($D793,CARDS!$A$5:$A$34,0)),DAY(EOMONTH($AD793,0)))),DATE(YEAR($AD793),MONTH($AD793)+1,MIN(INDEX(CARDS!$I$5:$I$34,MATCH($D793,CARDS!$A$5:$A$34,0)),DAY(EOMONTH($AD793,1)))))),""))</f>
        <v/>
      </c>
      <c r="U793" s="38" t="n"/>
      <c r="V793" s="37" t="n"/>
      <c r="W793" s="38" t="n"/>
      <c r="X793" s="38" t="n"/>
      <c r="Y793" s="44" t="str">
        <f>IF($AC793&gt;0,INDEX(CASHBACK_RULES!$A$5:$A$304,$AC793),"")</f>
        <v/>
      </c>
      <c r="Z793" s="45" t="str">
        <f>IF($AC793&gt;0,INDEX(CASHBACK_RULES!$E$5:$E$304,$AC793)&amp;"","")</f>
        <v/>
      </c>
      <c r="AA793" s="48" t="str">
        <f>IF($AC793&gt;0,IF(ISNUMBER(INDEX(CASHBACK_RULES!$K$5:$K$304,$AC793)),INDEX(CASHBACK_RULES!$K$5:$K$304,$AC793),"∞"),"")</f>
        <v/>
      </c>
      <c r="AB793" s="44" t="str">
        <f>IF(OR($B793="",$D793=""),"",IF($U793="Cancelled","Đã hủy",IF($AC793=0,"Không được hoàn",IF($Q793=0,IF(OR($O793&gt;0,$M793&lt;$L793),"Đã đạt cap","Không được hoàn"),IF(OR($Q793&lt;$O793,$M793&lt;$L793),"Hoàn một phần","Được hoàn")))))</f>
        <v/>
      </c>
      <c r="AC793" s="43">
        <f>IF(OR($B793="",$D793="",$I793="",$L793=""),0,IF($U793="Cancelled",0,IF($W793&lt;&gt;"",IFERROR(IF(INDEX(CASHBACK_RULES!$B$5:$B$304,MATCH($W793,CASHBACK_RULES!$A$5:$A$304,0))=$D793,MATCH($W793,CASHBACK_RULES!$A$5:$A$304,0),0),0),IFERROR(MATCH(1,INDEX((CASHBACK_RULES!$B$5:$B$304=$D793)*(CASHBACK_RULES!$G$5:$G$304=$I793)*(((CASHBACK_RULES!$N$5:$N$304="")+(CASHBACK_RULES!$N$5:$N$304&lt;=$B793))&gt;0)*(((CASHBACK_RULES!$O$5:$O$304="")+(CASHBACK_RULES!$O$5:$O$304&gt;=$B793))&gt;0)*(((CASHBACK_RULES!$M$5:$M$304="")+(CASHBACK_RULES!$M$5:$M$304&lt;=$L793))&gt;0),0),0),0))))</f>
        <v>0</v>
      </c>
      <c r="AD793" s="51" t="str">
        <f>IF(OR($B793="",$D793=""),"",IFERROR(IF(INDEX(CARDS!$H$5:$H$34,MATCH($D793,CARDS!$A$5:$A$34,0))="","",IF(DAY($B793)&lt;=INDEX(CARDS!$H$5:$H$34,MATCH($D793,CARDS!$A$5:$A$34,0)),DATE(YEAR($B793),MONTH($B793),MIN(INDEX(CARDS!$H$5:$H$34,MATCH($D793,CARDS!$A$5:$A$34,0)),DAY(EOMONTH($B793,0)))),DATE(YEAR($B793),MONTH($B793)+1,MIN(INDEX(CARDS!$H$5:$H$34,MATCH($D793,CARDS!$A$5:$A$34,0)),DAY(EOMONTH($B793,1)))))),""))</f>
        <v/>
      </c>
      <c r="AE793" s="52" t="str">
        <f>IF($C793="","",$C793&amp;"|"&amp;COUNTIF($C$5:$C793,$C793))</f>
        <v/>
      </c>
      <c r="AF793" s="53">
        <f>IF($AC793&gt;0,SUMIFS(Q$4:Q792,$D$4:$D792,$D793,$Z$4:$Z792,$Z793,$C$4:$C792,$C793),0)</f>
        <v>0</v>
      </c>
      <c r="AG793" s="53">
        <f>IF($AC793&gt;0,SUMIFS(Q$4:Q792,$D$4:$D792,$D793,$C$4:$C792,$C793),0)</f>
        <v>0</v>
      </c>
      <c r="AH793" s="53">
        <f>IF($AC793&gt;0,SUMIFS(M$4:M792,$D$4:$D792,$D793,$Z$4:$Z792,$Z793,$C$4:$C792,$C793),0)</f>
        <v>0</v>
      </c>
      <c r="AI793" s="43">
        <f>IF(OR($C793="",$I793=""),0,IF(COUNTIFS($C$5:$C793,$C793,$I$5:$I793,$I793)=1,1,0))</f>
        <v>0</v>
      </c>
      <c r="AJ793" s="43" t="str">
        <f>IF($AI793=1,SUMIFS($AI$4:$AI792,$C$4:$C792,$C793)+1,"")</f>
        <v/>
      </c>
      <c r="AK793" s="43">
        <f>IF(OR($C793="",$K793=""),0,IF(COUNTIFS($C$5:$C793,$C793,$K$5:$K793,$K793)=1,1,0))</f>
        <v>0</v>
      </c>
      <c r="AL793" s="43" t="str">
        <f>IF($AK793=1,SUMIFS($AK$4:$AK792,$C$4:$C792,$C793)+1,"")</f>
        <v/>
      </c>
      <c r="AM793" s="43">
        <f>IF(OR($C793="",$G793=""),0,IF(COUNTIFS($C$5:$C793,$C793,$G$5:$G793,$G793)=1,1,0))</f>
        <v>0</v>
      </c>
      <c r="AN793" s="43" t="str">
        <f>IF($AM793=1,SUMIFS($AM$4:$AM792,$C$4:$C792,$C793)+1,"")</f>
        <v/>
      </c>
    </row>
    <row r="794">
      <c r="A794" s="44" t="str">
        <f>IF(OR($B794="",$D794=""),"","TX"&amp;TEXT(ROW()-4,"0000"))</f>
        <v/>
      </c>
      <c r="B794" s="42" t="n"/>
      <c r="C794" s="47" t="str">
        <f>IF($B794="","",YEAR($B794)*100+MONTH($B794))</f>
        <v/>
      </c>
      <c r="D794" s="37" t="n"/>
      <c r="E794" s="45" t="str">
        <f>IF($D794="","",IFERROR(INDEX(CARDS!$B$5:$B$34,MATCH($D794,CARDS!$A$5:$A$34,0)),"⚠ Card ID?"))</f>
        <v/>
      </c>
      <c r="F794" s="45" t="str">
        <f>IF($D794="","",IFERROR(INDEX(CARDS!$C$5:$C$34,MATCH($D794,CARDS!$A$5:$A$34,0)),"⚠ Card ID?"))</f>
        <v/>
      </c>
      <c r="G794" s="37" t="n"/>
      <c r="H794" s="37" t="n"/>
      <c r="I794" s="41" t="n"/>
      <c r="J794" s="45" t="str">
        <f>IF($I794="","",IFERROR(INDEX(MCC_MASTER!$B$5:$B$504,MATCH($I794,MCC_MASTER!$A$5:$A$504,0)),"⚠ MCC chưa có"))</f>
        <v/>
      </c>
      <c r="K794" s="45" t="str">
        <f>IF($I794="","",IFERROR(IF(INDEX(MCC_MASTER!$C$5:$C$504,MATCH($I794,MCC_MASTER!$A$5:$A$504,0))="","Chưa phân loại",INDEX(MCC_MASTER!$C$5:$C$504,MATCH($I794,MCC_MASTER!$A$5:$A$504,0))),"Chưa phân loại"))</f>
        <v/>
      </c>
      <c r="L794" s="40" t="n"/>
      <c r="M794" s="48" t="str">
        <f>IF(OR($B794="",$D794=""),"",IF($AC794=0,0,IF(ISNUMBER(INDEX(CASHBACK_RULES!$L$5:$L$304,$AC794)),MAX(0,MIN($L794,INDEX(CASHBACK_RULES!$L$5:$L$304,$AC794)-$AH794)),MAX(0,$L794))))</f>
        <v/>
      </c>
      <c r="N794" s="49" t="str">
        <f>IF(OR($B794="",$D794=""),"",IF($AC794&gt;0,INDEX(CASHBACK_RULES!$I$5:$I$304,$AC794),0))</f>
        <v/>
      </c>
      <c r="O794" s="48" t="str">
        <f>IF(OR($B794="",$D794=""),"",ROUND($M794*$N794,0))</f>
        <v/>
      </c>
      <c r="P794" s="48" t="str">
        <f>IF($AC794&gt;0,IF(ISNUMBER(INDEX(CASHBACK_RULES!$J$5:$J$304,$AC794)),INDEX(CASHBACK_RULES!$J$5:$J$304,$AC794),"∞"),"")</f>
        <v/>
      </c>
      <c r="Q794" s="48" t="str">
        <f>IF(OR($B794="",$D794=""),"",IF($AC794=0,0,MAX(0,MIN($O794,IF(ISNUMBER($P794),$P794-$AF794,1E+15),IF(ISNUMBER($AA794),$AA794-$AG794,1E+15)))))</f>
        <v/>
      </c>
      <c r="R794" s="48" t="str">
        <f>IF(OR($B794="",$D794=""),"",IF($AC794=0,"",IF(AND(NOT(ISNUMBER($P794)),NOT(ISNUMBER($AA794))),"∞",MAX(0,MIN(IF(ISNUMBER($P794),$P794-$AF794-$Q794,1E+15),IF(ISNUMBER($AA794),$AA794-$AG794-$Q794,1E+15))))))</f>
        <v/>
      </c>
      <c r="S794" s="47" t="str">
        <f>IF($AD794="","",YEAR($AD794)*100+MONTH($AD794))</f>
        <v/>
      </c>
      <c r="T794" s="50" t="str">
        <f>IF($AD794="","",IFERROR(IF(INDEX(CARDS!$I$5:$I$34,MATCH($D794,CARDS!$A$5:$A$34,0))="","",IF(INDEX(CARDS!$I$5:$I$34,MATCH($D794,CARDS!$A$5:$A$34,0))&gt;INDEX(CARDS!$H$5:$H$34,MATCH($D794,CARDS!$A$5:$A$34,0)),DATE(YEAR($AD794),MONTH($AD794),MIN(INDEX(CARDS!$I$5:$I$34,MATCH($D794,CARDS!$A$5:$A$34,0)),DAY(EOMONTH($AD794,0)))),DATE(YEAR($AD794),MONTH($AD794)+1,MIN(INDEX(CARDS!$I$5:$I$34,MATCH($D794,CARDS!$A$5:$A$34,0)),DAY(EOMONTH($AD794,1)))))),""))</f>
        <v/>
      </c>
      <c r="U794" s="38" t="n"/>
      <c r="V794" s="37" t="n"/>
      <c r="W794" s="38" t="n"/>
      <c r="X794" s="38" t="n"/>
      <c r="Y794" s="44" t="str">
        <f>IF($AC794&gt;0,INDEX(CASHBACK_RULES!$A$5:$A$304,$AC794),"")</f>
        <v/>
      </c>
      <c r="Z794" s="45" t="str">
        <f>IF($AC794&gt;0,INDEX(CASHBACK_RULES!$E$5:$E$304,$AC794)&amp;"","")</f>
        <v/>
      </c>
      <c r="AA794" s="48" t="str">
        <f>IF($AC794&gt;0,IF(ISNUMBER(INDEX(CASHBACK_RULES!$K$5:$K$304,$AC794)),INDEX(CASHBACK_RULES!$K$5:$K$304,$AC794),"∞"),"")</f>
        <v/>
      </c>
      <c r="AB794" s="44" t="str">
        <f>IF(OR($B794="",$D794=""),"",IF($U794="Cancelled","Đã hủy",IF($AC794=0,"Không được hoàn",IF($Q794=0,IF(OR($O794&gt;0,$M794&lt;$L794),"Đã đạt cap","Không được hoàn"),IF(OR($Q794&lt;$O794,$M794&lt;$L794),"Hoàn một phần","Được hoàn")))))</f>
        <v/>
      </c>
      <c r="AC794" s="43">
        <f>IF(OR($B794="",$D794="",$I794="",$L794=""),0,IF($U794="Cancelled",0,IF($W794&lt;&gt;"",IFERROR(IF(INDEX(CASHBACK_RULES!$B$5:$B$304,MATCH($W794,CASHBACK_RULES!$A$5:$A$304,0))=$D794,MATCH($W794,CASHBACK_RULES!$A$5:$A$304,0),0),0),IFERROR(MATCH(1,INDEX((CASHBACK_RULES!$B$5:$B$304=$D794)*(CASHBACK_RULES!$G$5:$G$304=$I794)*(((CASHBACK_RULES!$N$5:$N$304="")+(CASHBACK_RULES!$N$5:$N$304&lt;=$B794))&gt;0)*(((CASHBACK_RULES!$O$5:$O$304="")+(CASHBACK_RULES!$O$5:$O$304&gt;=$B794))&gt;0)*(((CASHBACK_RULES!$M$5:$M$304="")+(CASHBACK_RULES!$M$5:$M$304&lt;=$L794))&gt;0),0),0),0))))</f>
        <v>0</v>
      </c>
      <c r="AD794" s="51" t="str">
        <f>IF(OR($B794="",$D794=""),"",IFERROR(IF(INDEX(CARDS!$H$5:$H$34,MATCH($D794,CARDS!$A$5:$A$34,0))="","",IF(DAY($B794)&lt;=INDEX(CARDS!$H$5:$H$34,MATCH($D794,CARDS!$A$5:$A$34,0)),DATE(YEAR($B794),MONTH($B794),MIN(INDEX(CARDS!$H$5:$H$34,MATCH($D794,CARDS!$A$5:$A$34,0)),DAY(EOMONTH($B794,0)))),DATE(YEAR($B794),MONTH($B794)+1,MIN(INDEX(CARDS!$H$5:$H$34,MATCH($D794,CARDS!$A$5:$A$34,0)),DAY(EOMONTH($B794,1)))))),""))</f>
        <v/>
      </c>
      <c r="AE794" s="52" t="str">
        <f>IF($C794="","",$C794&amp;"|"&amp;COUNTIF($C$5:$C794,$C794))</f>
        <v/>
      </c>
      <c r="AF794" s="53">
        <f>IF($AC794&gt;0,SUMIFS(Q$4:Q793,$D$4:$D793,$D794,$Z$4:$Z793,$Z794,$C$4:$C793,$C794),0)</f>
        <v>0</v>
      </c>
      <c r="AG794" s="53">
        <f>IF($AC794&gt;0,SUMIFS(Q$4:Q793,$D$4:$D793,$D794,$C$4:$C793,$C794),0)</f>
        <v>0</v>
      </c>
      <c r="AH794" s="53">
        <f>IF($AC794&gt;0,SUMIFS(M$4:M793,$D$4:$D793,$D794,$Z$4:$Z793,$Z794,$C$4:$C793,$C794),0)</f>
        <v>0</v>
      </c>
      <c r="AI794" s="43">
        <f>IF(OR($C794="",$I794=""),0,IF(COUNTIFS($C$5:$C794,$C794,$I$5:$I794,$I794)=1,1,0))</f>
        <v>0</v>
      </c>
      <c r="AJ794" s="43" t="str">
        <f>IF($AI794=1,SUMIFS($AI$4:$AI793,$C$4:$C793,$C794)+1,"")</f>
        <v/>
      </c>
      <c r="AK794" s="43">
        <f>IF(OR($C794="",$K794=""),0,IF(COUNTIFS($C$5:$C794,$C794,$K$5:$K794,$K794)=1,1,0))</f>
        <v>0</v>
      </c>
      <c r="AL794" s="43" t="str">
        <f>IF($AK794=1,SUMIFS($AK$4:$AK793,$C$4:$C793,$C794)+1,"")</f>
        <v/>
      </c>
      <c r="AM794" s="43">
        <f>IF(OR($C794="",$G794=""),0,IF(COUNTIFS($C$5:$C794,$C794,$G$5:$G794,$G794)=1,1,0))</f>
        <v>0</v>
      </c>
      <c r="AN794" s="43" t="str">
        <f>IF($AM794=1,SUMIFS($AM$4:$AM793,$C$4:$C793,$C794)+1,"")</f>
        <v/>
      </c>
    </row>
    <row r="795">
      <c r="A795" s="44" t="str">
        <f>IF(OR($B795="",$D795=""),"","TX"&amp;TEXT(ROW()-4,"0000"))</f>
        <v/>
      </c>
      <c r="B795" s="42" t="n"/>
      <c r="C795" s="47" t="str">
        <f>IF($B795="","",YEAR($B795)*100+MONTH($B795))</f>
        <v/>
      </c>
      <c r="D795" s="37" t="n"/>
      <c r="E795" s="45" t="str">
        <f>IF($D795="","",IFERROR(INDEX(CARDS!$B$5:$B$34,MATCH($D795,CARDS!$A$5:$A$34,0)),"⚠ Card ID?"))</f>
        <v/>
      </c>
      <c r="F795" s="45" t="str">
        <f>IF($D795="","",IFERROR(INDEX(CARDS!$C$5:$C$34,MATCH($D795,CARDS!$A$5:$A$34,0)),"⚠ Card ID?"))</f>
        <v/>
      </c>
      <c r="G795" s="37" t="n"/>
      <c r="H795" s="37" t="n"/>
      <c r="I795" s="41" t="n"/>
      <c r="J795" s="45" t="str">
        <f>IF($I795="","",IFERROR(INDEX(MCC_MASTER!$B$5:$B$504,MATCH($I795,MCC_MASTER!$A$5:$A$504,0)),"⚠ MCC chưa có"))</f>
        <v/>
      </c>
      <c r="K795" s="45" t="str">
        <f>IF($I795="","",IFERROR(IF(INDEX(MCC_MASTER!$C$5:$C$504,MATCH($I795,MCC_MASTER!$A$5:$A$504,0))="","Chưa phân loại",INDEX(MCC_MASTER!$C$5:$C$504,MATCH($I795,MCC_MASTER!$A$5:$A$504,0))),"Chưa phân loại"))</f>
        <v/>
      </c>
      <c r="L795" s="40" t="n"/>
      <c r="M795" s="48" t="str">
        <f>IF(OR($B795="",$D795=""),"",IF($AC795=0,0,IF(ISNUMBER(INDEX(CASHBACK_RULES!$L$5:$L$304,$AC795)),MAX(0,MIN($L795,INDEX(CASHBACK_RULES!$L$5:$L$304,$AC795)-$AH795)),MAX(0,$L795))))</f>
        <v/>
      </c>
      <c r="N795" s="49" t="str">
        <f>IF(OR($B795="",$D795=""),"",IF($AC795&gt;0,INDEX(CASHBACK_RULES!$I$5:$I$304,$AC795),0))</f>
        <v/>
      </c>
      <c r="O795" s="48" t="str">
        <f>IF(OR($B795="",$D795=""),"",ROUND($M795*$N795,0))</f>
        <v/>
      </c>
      <c r="P795" s="48" t="str">
        <f>IF($AC795&gt;0,IF(ISNUMBER(INDEX(CASHBACK_RULES!$J$5:$J$304,$AC795)),INDEX(CASHBACK_RULES!$J$5:$J$304,$AC795),"∞"),"")</f>
        <v/>
      </c>
      <c r="Q795" s="48" t="str">
        <f>IF(OR($B795="",$D795=""),"",IF($AC795=0,0,MAX(0,MIN($O795,IF(ISNUMBER($P795),$P795-$AF795,1E+15),IF(ISNUMBER($AA795),$AA795-$AG795,1E+15)))))</f>
        <v/>
      </c>
      <c r="R795" s="48" t="str">
        <f>IF(OR($B795="",$D795=""),"",IF($AC795=0,"",IF(AND(NOT(ISNUMBER($P795)),NOT(ISNUMBER($AA795))),"∞",MAX(0,MIN(IF(ISNUMBER($P795),$P795-$AF795-$Q795,1E+15),IF(ISNUMBER($AA795),$AA795-$AG795-$Q795,1E+15))))))</f>
        <v/>
      </c>
      <c r="S795" s="47" t="str">
        <f>IF($AD795="","",YEAR($AD795)*100+MONTH($AD795))</f>
        <v/>
      </c>
      <c r="T795" s="50" t="str">
        <f>IF($AD795="","",IFERROR(IF(INDEX(CARDS!$I$5:$I$34,MATCH($D795,CARDS!$A$5:$A$34,0))="","",IF(INDEX(CARDS!$I$5:$I$34,MATCH($D795,CARDS!$A$5:$A$34,0))&gt;INDEX(CARDS!$H$5:$H$34,MATCH($D795,CARDS!$A$5:$A$34,0)),DATE(YEAR($AD795),MONTH($AD795),MIN(INDEX(CARDS!$I$5:$I$34,MATCH($D795,CARDS!$A$5:$A$34,0)),DAY(EOMONTH($AD795,0)))),DATE(YEAR($AD795),MONTH($AD795)+1,MIN(INDEX(CARDS!$I$5:$I$34,MATCH($D795,CARDS!$A$5:$A$34,0)),DAY(EOMONTH($AD795,1)))))),""))</f>
        <v/>
      </c>
      <c r="U795" s="38" t="n"/>
      <c r="V795" s="37" t="n"/>
      <c r="W795" s="38" t="n"/>
      <c r="X795" s="38" t="n"/>
      <c r="Y795" s="44" t="str">
        <f>IF($AC795&gt;0,INDEX(CASHBACK_RULES!$A$5:$A$304,$AC795),"")</f>
        <v/>
      </c>
      <c r="Z795" s="45" t="str">
        <f>IF($AC795&gt;0,INDEX(CASHBACK_RULES!$E$5:$E$304,$AC795)&amp;"","")</f>
        <v/>
      </c>
      <c r="AA795" s="48" t="str">
        <f>IF($AC795&gt;0,IF(ISNUMBER(INDEX(CASHBACK_RULES!$K$5:$K$304,$AC795)),INDEX(CASHBACK_RULES!$K$5:$K$304,$AC795),"∞"),"")</f>
        <v/>
      </c>
      <c r="AB795" s="44" t="str">
        <f>IF(OR($B795="",$D795=""),"",IF($U795="Cancelled","Đã hủy",IF($AC795=0,"Không được hoàn",IF($Q795=0,IF(OR($O795&gt;0,$M795&lt;$L795),"Đã đạt cap","Không được hoàn"),IF(OR($Q795&lt;$O795,$M795&lt;$L795),"Hoàn một phần","Được hoàn")))))</f>
        <v/>
      </c>
      <c r="AC795" s="43">
        <f>IF(OR($B795="",$D795="",$I795="",$L795=""),0,IF($U795="Cancelled",0,IF($W795&lt;&gt;"",IFERROR(IF(INDEX(CASHBACK_RULES!$B$5:$B$304,MATCH($W795,CASHBACK_RULES!$A$5:$A$304,0))=$D795,MATCH($W795,CASHBACK_RULES!$A$5:$A$304,0),0),0),IFERROR(MATCH(1,INDEX((CASHBACK_RULES!$B$5:$B$304=$D795)*(CASHBACK_RULES!$G$5:$G$304=$I795)*(((CASHBACK_RULES!$N$5:$N$304="")+(CASHBACK_RULES!$N$5:$N$304&lt;=$B795))&gt;0)*(((CASHBACK_RULES!$O$5:$O$304="")+(CASHBACK_RULES!$O$5:$O$304&gt;=$B795))&gt;0)*(((CASHBACK_RULES!$M$5:$M$304="")+(CASHBACK_RULES!$M$5:$M$304&lt;=$L795))&gt;0),0),0),0))))</f>
        <v>0</v>
      </c>
      <c r="AD795" s="51" t="str">
        <f>IF(OR($B795="",$D795=""),"",IFERROR(IF(INDEX(CARDS!$H$5:$H$34,MATCH($D795,CARDS!$A$5:$A$34,0))="","",IF(DAY($B795)&lt;=INDEX(CARDS!$H$5:$H$34,MATCH($D795,CARDS!$A$5:$A$34,0)),DATE(YEAR($B795),MONTH($B795),MIN(INDEX(CARDS!$H$5:$H$34,MATCH($D795,CARDS!$A$5:$A$34,0)),DAY(EOMONTH($B795,0)))),DATE(YEAR($B795),MONTH($B795)+1,MIN(INDEX(CARDS!$H$5:$H$34,MATCH($D795,CARDS!$A$5:$A$34,0)),DAY(EOMONTH($B795,1)))))),""))</f>
        <v/>
      </c>
      <c r="AE795" s="52" t="str">
        <f>IF($C795="","",$C795&amp;"|"&amp;COUNTIF($C$5:$C795,$C795))</f>
        <v/>
      </c>
      <c r="AF795" s="53">
        <f>IF($AC795&gt;0,SUMIFS(Q$4:Q794,$D$4:$D794,$D795,$Z$4:$Z794,$Z795,$C$4:$C794,$C795),0)</f>
        <v>0</v>
      </c>
      <c r="AG795" s="53">
        <f>IF($AC795&gt;0,SUMIFS(Q$4:Q794,$D$4:$D794,$D795,$C$4:$C794,$C795),0)</f>
        <v>0</v>
      </c>
      <c r="AH795" s="53">
        <f>IF($AC795&gt;0,SUMIFS(M$4:M794,$D$4:$D794,$D795,$Z$4:$Z794,$Z795,$C$4:$C794,$C795),0)</f>
        <v>0</v>
      </c>
      <c r="AI795" s="43">
        <f>IF(OR($C795="",$I795=""),0,IF(COUNTIFS($C$5:$C795,$C795,$I$5:$I795,$I795)=1,1,0))</f>
        <v>0</v>
      </c>
      <c r="AJ795" s="43" t="str">
        <f>IF($AI795=1,SUMIFS($AI$4:$AI794,$C$4:$C794,$C795)+1,"")</f>
        <v/>
      </c>
      <c r="AK795" s="43">
        <f>IF(OR($C795="",$K795=""),0,IF(COUNTIFS($C$5:$C795,$C795,$K$5:$K795,$K795)=1,1,0))</f>
        <v>0</v>
      </c>
      <c r="AL795" s="43" t="str">
        <f>IF($AK795=1,SUMIFS($AK$4:$AK794,$C$4:$C794,$C795)+1,"")</f>
        <v/>
      </c>
      <c r="AM795" s="43">
        <f>IF(OR($C795="",$G795=""),0,IF(COUNTIFS($C$5:$C795,$C795,$G$5:$G795,$G795)=1,1,0))</f>
        <v>0</v>
      </c>
      <c r="AN795" s="43" t="str">
        <f>IF($AM795=1,SUMIFS($AM$4:$AM794,$C$4:$C794,$C795)+1,"")</f>
        <v/>
      </c>
    </row>
    <row r="796">
      <c r="A796" s="44" t="str">
        <f>IF(OR($B796="",$D796=""),"","TX"&amp;TEXT(ROW()-4,"0000"))</f>
        <v/>
      </c>
      <c r="B796" s="42" t="n"/>
      <c r="C796" s="47" t="str">
        <f>IF($B796="","",YEAR($B796)*100+MONTH($B796))</f>
        <v/>
      </c>
      <c r="D796" s="37" t="n"/>
      <c r="E796" s="45" t="str">
        <f>IF($D796="","",IFERROR(INDEX(CARDS!$B$5:$B$34,MATCH($D796,CARDS!$A$5:$A$34,0)),"⚠ Card ID?"))</f>
        <v/>
      </c>
      <c r="F796" s="45" t="str">
        <f>IF($D796="","",IFERROR(INDEX(CARDS!$C$5:$C$34,MATCH($D796,CARDS!$A$5:$A$34,0)),"⚠ Card ID?"))</f>
        <v/>
      </c>
      <c r="G796" s="37" t="n"/>
      <c r="H796" s="37" t="n"/>
      <c r="I796" s="41" t="n"/>
      <c r="J796" s="45" t="str">
        <f>IF($I796="","",IFERROR(INDEX(MCC_MASTER!$B$5:$B$504,MATCH($I796,MCC_MASTER!$A$5:$A$504,0)),"⚠ MCC chưa có"))</f>
        <v/>
      </c>
      <c r="K796" s="45" t="str">
        <f>IF($I796="","",IFERROR(IF(INDEX(MCC_MASTER!$C$5:$C$504,MATCH($I796,MCC_MASTER!$A$5:$A$504,0))="","Chưa phân loại",INDEX(MCC_MASTER!$C$5:$C$504,MATCH($I796,MCC_MASTER!$A$5:$A$504,0))),"Chưa phân loại"))</f>
        <v/>
      </c>
      <c r="L796" s="40" t="n"/>
      <c r="M796" s="48" t="str">
        <f>IF(OR($B796="",$D796=""),"",IF($AC796=0,0,IF(ISNUMBER(INDEX(CASHBACK_RULES!$L$5:$L$304,$AC796)),MAX(0,MIN($L796,INDEX(CASHBACK_RULES!$L$5:$L$304,$AC796)-$AH796)),MAX(0,$L796))))</f>
        <v/>
      </c>
      <c r="N796" s="49" t="str">
        <f>IF(OR($B796="",$D796=""),"",IF($AC796&gt;0,INDEX(CASHBACK_RULES!$I$5:$I$304,$AC796),0))</f>
        <v/>
      </c>
      <c r="O796" s="48" t="str">
        <f>IF(OR($B796="",$D796=""),"",ROUND($M796*$N796,0))</f>
        <v/>
      </c>
      <c r="P796" s="48" t="str">
        <f>IF($AC796&gt;0,IF(ISNUMBER(INDEX(CASHBACK_RULES!$J$5:$J$304,$AC796)),INDEX(CASHBACK_RULES!$J$5:$J$304,$AC796),"∞"),"")</f>
        <v/>
      </c>
      <c r="Q796" s="48" t="str">
        <f>IF(OR($B796="",$D796=""),"",IF($AC796=0,0,MAX(0,MIN($O796,IF(ISNUMBER($P796),$P796-$AF796,1E+15),IF(ISNUMBER($AA796),$AA796-$AG796,1E+15)))))</f>
        <v/>
      </c>
      <c r="R796" s="48" t="str">
        <f>IF(OR($B796="",$D796=""),"",IF($AC796=0,"",IF(AND(NOT(ISNUMBER($P796)),NOT(ISNUMBER($AA796))),"∞",MAX(0,MIN(IF(ISNUMBER($P796),$P796-$AF796-$Q796,1E+15),IF(ISNUMBER($AA796),$AA796-$AG796-$Q796,1E+15))))))</f>
        <v/>
      </c>
      <c r="S796" s="47" t="str">
        <f>IF($AD796="","",YEAR($AD796)*100+MONTH($AD796))</f>
        <v/>
      </c>
      <c r="T796" s="50" t="str">
        <f>IF($AD796="","",IFERROR(IF(INDEX(CARDS!$I$5:$I$34,MATCH($D796,CARDS!$A$5:$A$34,0))="","",IF(INDEX(CARDS!$I$5:$I$34,MATCH($D796,CARDS!$A$5:$A$34,0))&gt;INDEX(CARDS!$H$5:$H$34,MATCH($D796,CARDS!$A$5:$A$34,0)),DATE(YEAR($AD796),MONTH($AD796),MIN(INDEX(CARDS!$I$5:$I$34,MATCH($D796,CARDS!$A$5:$A$34,0)),DAY(EOMONTH($AD796,0)))),DATE(YEAR($AD796),MONTH($AD796)+1,MIN(INDEX(CARDS!$I$5:$I$34,MATCH($D796,CARDS!$A$5:$A$34,0)),DAY(EOMONTH($AD796,1)))))),""))</f>
        <v/>
      </c>
      <c r="U796" s="38" t="n"/>
      <c r="V796" s="37" t="n"/>
      <c r="W796" s="38" t="n"/>
      <c r="X796" s="38" t="n"/>
      <c r="Y796" s="44" t="str">
        <f>IF($AC796&gt;0,INDEX(CASHBACK_RULES!$A$5:$A$304,$AC796),"")</f>
        <v/>
      </c>
      <c r="Z796" s="45" t="str">
        <f>IF($AC796&gt;0,INDEX(CASHBACK_RULES!$E$5:$E$304,$AC796)&amp;"","")</f>
        <v/>
      </c>
      <c r="AA796" s="48" t="str">
        <f>IF($AC796&gt;0,IF(ISNUMBER(INDEX(CASHBACK_RULES!$K$5:$K$304,$AC796)),INDEX(CASHBACK_RULES!$K$5:$K$304,$AC796),"∞"),"")</f>
        <v/>
      </c>
      <c r="AB796" s="44" t="str">
        <f>IF(OR($B796="",$D796=""),"",IF($U796="Cancelled","Đã hủy",IF($AC796=0,"Không được hoàn",IF($Q796=0,IF(OR($O796&gt;0,$M796&lt;$L796),"Đã đạt cap","Không được hoàn"),IF(OR($Q796&lt;$O796,$M796&lt;$L796),"Hoàn một phần","Được hoàn")))))</f>
        <v/>
      </c>
      <c r="AC796" s="43">
        <f>IF(OR($B796="",$D796="",$I796="",$L796=""),0,IF($U796="Cancelled",0,IF($W796&lt;&gt;"",IFERROR(IF(INDEX(CASHBACK_RULES!$B$5:$B$304,MATCH($W796,CASHBACK_RULES!$A$5:$A$304,0))=$D796,MATCH($W796,CASHBACK_RULES!$A$5:$A$304,0),0),0),IFERROR(MATCH(1,INDEX((CASHBACK_RULES!$B$5:$B$304=$D796)*(CASHBACK_RULES!$G$5:$G$304=$I796)*(((CASHBACK_RULES!$N$5:$N$304="")+(CASHBACK_RULES!$N$5:$N$304&lt;=$B796))&gt;0)*(((CASHBACK_RULES!$O$5:$O$304="")+(CASHBACK_RULES!$O$5:$O$304&gt;=$B796))&gt;0)*(((CASHBACK_RULES!$M$5:$M$304="")+(CASHBACK_RULES!$M$5:$M$304&lt;=$L796))&gt;0),0),0),0))))</f>
        <v>0</v>
      </c>
      <c r="AD796" s="51" t="str">
        <f>IF(OR($B796="",$D796=""),"",IFERROR(IF(INDEX(CARDS!$H$5:$H$34,MATCH($D796,CARDS!$A$5:$A$34,0))="","",IF(DAY($B796)&lt;=INDEX(CARDS!$H$5:$H$34,MATCH($D796,CARDS!$A$5:$A$34,0)),DATE(YEAR($B796),MONTH($B796),MIN(INDEX(CARDS!$H$5:$H$34,MATCH($D796,CARDS!$A$5:$A$34,0)),DAY(EOMONTH($B796,0)))),DATE(YEAR($B796),MONTH($B796)+1,MIN(INDEX(CARDS!$H$5:$H$34,MATCH($D796,CARDS!$A$5:$A$34,0)),DAY(EOMONTH($B796,1)))))),""))</f>
        <v/>
      </c>
      <c r="AE796" s="52" t="str">
        <f>IF($C796="","",$C796&amp;"|"&amp;COUNTIF($C$5:$C796,$C796))</f>
        <v/>
      </c>
      <c r="AF796" s="53">
        <f>IF($AC796&gt;0,SUMIFS(Q$4:Q795,$D$4:$D795,$D796,$Z$4:$Z795,$Z796,$C$4:$C795,$C796),0)</f>
        <v>0</v>
      </c>
      <c r="AG796" s="53">
        <f>IF($AC796&gt;0,SUMIFS(Q$4:Q795,$D$4:$D795,$D796,$C$4:$C795,$C796),0)</f>
        <v>0</v>
      </c>
      <c r="AH796" s="53">
        <f>IF($AC796&gt;0,SUMIFS(M$4:M795,$D$4:$D795,$D796,$Z$4:$Z795,$Z796,$C$4:$C795,$C796),0)</f>
        <v>0</v>
      </c>
      <c r="AI796" s="43">
        <f>IF(OR($C796="",$I796=""),0,IF(COUNTIFS($C$5:$C796,$C796,$I$5:$I796,$I796)=1,1,0))</f>
        <v>0</v>
      </c>
      <c r="AJ796" s="43" t="str">
        <f>IF($AI796=1,SUMIFS($AI$4:$AI795,$C$4:$C795,$C796)+1,"")</f>
        <v/>
      </c>
      <c r="AK796" s="43">
        <f>IF(OR($C796="",$K796=""),0,IF(COUNTIFS($C$5:$C796,$C796,$K$5:$K796,$K796)=1,1,0))</f>
        <v>0</v>
      </c>
      <c r="AL796" s="43" t="str">
        <f>IF($AK796=1,SUMIFS($AK$4:$AK795,$C$4:$C795,$C796)+1,"")</f>
        <v/>
      </c>
      <c r="AM796" s="43">
        <f>IF(OR($C796="",$G796=""),0,IF(COUNTIFS($C$5:$C796,$C796,$G$5:$G796,$G796)=1,1,0))</f>
        <v>0</v>
      </c>
      <c r="AN796" s="43" t="str">
        <f>IF($AM796=1,SUMIFS($AM$4:$AM795,$C$4:$C795,$C796)+1,"")</f>
        <v/>
      </c>
    </row>
    <row r="797">
      <c r="A797" s="44" t="str">
        <f>IF(OR($B797="",$D797=""),"","TX"&amp;TEXT(ROW()-4,"0000"))</f>
        <v/>
      </c>
      <c r="B797" s="42" t="n"/>
      <c r="C797" s="47" t="str">
        <f>IF($B797="","",YEAR($B797)*100+MONTH($B797))</f>
        <v/>
      </c>
      <c r="D797" s="37" t="n"/>
      <c r="E797" s="45" t="str">
        <f>IF($D797="","",IFERROR(INDEX(CARDS!$B$5:$B$34,MATCH($D797,CARDS!$A$5:$A$34,0)),"⚠ Card ID?"))</f>
        <v/>
      </c>
      <c r="F797" s="45" t="str">
        <f>IF($D797="","",IFERROR(INDEX(CARDS!$C$5:$C$34,MATCH($D797,CARDS!$A$5:$A$34,0)),"⚠ Card ID?"))</f>
        <v/>
      </c>
      <c r="G797" s="37" t="n"/>
      <c r="H797" s="37" t="n"/>
      <c r="I797" s="41" t="n"/>
      <c r="J797" s="45" t="str">
        <f>IF($I797="","",IFERROR(INDEX(MCC_MASTER!$B$5:$B$504,MATCH($I797,MCC_MASTER!$A$5:$A$504,0)),"⚠ MCC chưa có"))</f>
        <v/>
      </c>
      <c r="K797" s="45" t="str">
        <f>IF($I797="","",IFERROR(IF(INDEX(MCC_MASTER!$C$5:$C$504,MATCH($I797,MCC_MASTER!$A$5:$A$504,0))="","Chưa phân loại",INDEX(MCC_MASTER!$C$5:$C$504,MATCH($I797,MCC_MASTER!$A$5:$A$504,0))),"Chưa phân loại"))</f>
        <v/>
      </c>
      <c r="L797" s="40" t="n"/>
      <c r="M797" s="48" t="str">
        <f>IF(OR($B797="",$D797=""),"",IF($AC797=0,0,IF(ISNUMBER(INDEX(CASHBACK_RULES!$L$5:$L$304,$AC797)),MAX(0,MIN($L797,INDEX(CASHBACK_RULES!$L$5:$L$304,$AC797)-$AH797)),MAX(0,$L797))))</f>
        <v/>
      </c>
      <c r="N797" s="49" t="str">
        <f>IF(OR($B797="",$D797=""),"",IF($AC797&gt;0,INDEX(CASHBACK_RULES!$I$5:$I$304,$AC797),0))</f>
        <v/>
      </c>
      <c r="O797" s="48" t="str">
        <f>IF(OR($B797="",$D797=""),"",ROUND($M797*$N797,0))</f>
        <v/>
      </c>
      <c r="P797" s="48" t="str">
        <f>IF($AC797&gt;0,IF(ISNUMBER(INDEX(CASHBACK_RULES!$J$5:$J$304,$AC797)),INDEX(CASHBACK_RULES!$J$5:$J$304,$AC797),"∞"),"")</f>
        <v/>
      </c>
      <c r="Q797" s="48" t="str">
        <f>IF(OR($B797="",$D797=""),"",IF($AC797=0,0,MAX(0,MIN($O797,IF(ISNUMBER($P797),$P797-$AF797,1E+15),IF(ISNUMBER($AA797),$AA797-$AG797,1E+15)))))</f>
        <v/>
      </c>
      <c r="R797" s="48" t="str">
        <f>IF(OR($B797="",$D797=""),"",IF($AC797=0,"",IF(AND(NOT(ISNUMBER($P797)),NOT(ISNUMBER($AA797))),"∞",MAX(0,MIN(IF(ISNUMBER($P797),$P797-$AF797-$Q797,1E+15),IF(ISNUMBER($AA797),$AA797-$AG797-$Q797,1E+15))))))</f>
        <v/>
      </c>
      <c r="S797" s="47" t="str">
        <f>IF($AD797="","",YEAR($AD797)*100+MONTH($AD797))</f>
        <v/>
      </c>
      <c r="T797" s="50" t="str">
        <f>IF($AD797="","",IFERROR(IF(INDEX(CARDS!$I$5:$I$34,MATCH($D797,CARDS!$A$5:$A$34,0))="","",IF(INDEX(CARDS!$I$5:$I$34,MATCH($D797,CARDS!$A$5:$A$34,0))&gt;INDEX(CARDS!$H$5:$H$34,MATCH($D797,CARDS!$A$5:$A$34,0)),DATE(YEAR($AD797),MONTH($AD797),MIN(INDEX(CARDS!$I$5:$I$34,MATCH($D797,CARDS!$A$5:$A$34,0)),DAY(EOMONTH($AD797,0)))),DATE(YEAR($AD797),MONTH($AD797)+1,MIN(INDEX(CARDS!$I$5:$I$34,MATCH($D797,CARDS!$A$5:$A$34,0)),DAY(EOMONTH($AD797,1)))))),""))</f>
        <v/>
      </c>
      <c r="U797" s="38" t="n"/>
      <c r="V797" s="37" t="n"/>
      <c r="W797" s="38" t="n"/>
      <c r="X797" s="38" t="n"/>
      <c r="Y797" s="44" t="str">
        <f>IF($AC797&gt;0,INDEX(CASHBACK_RULES!$A$5:$A$304,$AC797),"")</f>
        <v/>
      </c>
      <c r="Z797" s="45" t="str">
        <f>IF($AC797&gt;0,INDEX(CASHBACK_RULES!$E$5:$E$304,$AC797)&amp;"","")</f>
        <v/>
      </c>
      <c r="AA797" s="48" t="str">
        <f>IF($AC797&gt;0,IF(ISNUMBER(INDEX(CASHBACK_RULES!$K$5:$K$304,$AC797)),INDEX(CASHBACK_RULES!$K$5:$K$304,$AC797),"∞"),"")</f>
        <v/>
      </c>
      <c r="AB797" s="44" t="str">
        <f>IF(OR($B797="",$D797=""),"",IF($U797="Cancelled","Đã hủy",IF($AC797=0,"Không được hoàn",IF($Q797=0,IF(OR($O797&gt;0,$M797&lt;$L797),"Đã đạt cap","Không được hoàn"),IF(OR($Q797&lt;$O797,$M797&lt;$L797),"Hoàn một phần","Được hoàn")))))</f>
        <v/>
      </c>
      <c r="AC797" s="43">
        <f>IF(OR($B797="",$D797="",$I797="",$L797=""),0,IF($U797="Cancelled",0,IF($W797&lt;&gt;"",IFERROR(IF(INDEX(CASHBACK_RULES!$B$5:$B$304,MATCH($W797,CASHBACK_RULES!$A$5:$A$304,0))=$D797,MATCH($W797,CASHBACK_RULES!$A$5:$A$304,0),0),0),IFERROR(MATCH(1,INDEX((CASHBACK_RULES!$B$5:$B$304=$D797)*(CASHBACK_RULES!$G$5:$G$304=$I797)*(((CASHBACK_RULES!$N$5:$N$304="")+(CASHBACK_RULES!$N$5:$N$304&lt;=$B797))&gt;0)*(((CASHBACK_RULES!$O$5:$O$304="")+(CASHBACK_RULES!$O$5:$O$304&gt;=$B797))&gt;0)*(((CASHBACK_RULES!$M$5:$M$304="")+(CASHBACK_RULES!$M$5:$M$304&lt;=$L797))&gt;0),0),0),0))))</f>
        <v>0</v>
      </c>
      <c r="AD797" s="51" t="str">
        <f>IF(OR($B797="",$D797=""),"",IFERROR(IF(INDEX(CARDS!$H$5:$H$34,MATCH($D797,CARDS!$A$5:$A$34,0))="","",IF(DAY($B797)&lt;=INDEX(CARDS!$H$5:$H$34,MATCH($D797,CARDS!$A$5:$A$34,0)),DATE(YEAR($B797),MONTH($B797),MIN(INDEX(CARDS!$H$5:$H$34,MATCH($D797,CARDS!$A$5:$A$34,0)),DAY(EOMONTH($B797,0)))),DATE(YEAR($B797),MONTH($B797)+1,MIN(INDEX(CARDS!$H$5:$H$34,MATCH($D797,CARDS!$A$5:$A$34,0)),DAY(EOMONTH($B797,1)))))),""))</f>
        <v/>
      </c>
      <c r="AE797" s="52" t="str">
        <f>IF($C797="","",$C797&amp;"|"&amp;COUNTIF($C$5:$C797,$C797))</f>
        <v/>
      </c>
      <c r="AF797" s="53">
        <f>IF($AC797&gt;0,SUMIFS(Q$4:Q796,$D$4:$D796,$D797,$Z$4:$Z796,$Z797,$C$4:$C796,$C797),0)</f>
        <v>0</v>
      </c>
      <c r="AG797" s="53">
        <f>IF($AC797&gt;0,SUMIFS(Q$4:Q796,$D$4:$D796,$D797,$C$4:$C796,$C797),0)</f>
        <v>0</v>
      </c>
      <c r="AH797" s="53">
        <f>IF($AC797&gt;0,SUMIFS(M$4:M796,$D$4:$D796,$D797,$Z$4:$Z796,$Z797,$C$4:$C796,$C797),0)</f>
        <v>0</v>
      </c>
      <c r="AI797" s="43">
        <f>IF(OR($C797="",$I797=""),0,IF(COUNTIFS($C$5:$C797,$C797,$I$5:$I797,$I797)=1,1,0))</f>
        <v>0</v>
      </c>
      <c r="AJ797" s="43" t="str">
        <f>IF($AI797=1,SUMIFS($AI$4:$AI796,$C$4:$C796,$C797)+1,"")</f>
        <v/>
      </c>
      <c r="AK797" s="43">
        <f>IF(OR($C797="",$K797=""),0,IF(COUNTIFS($C$5:$C797,$C797,$K$5:$K797,$K797)=1,1,0))</f>
        <v>0</v>
      </c>
      <c r="AL797" s="43" t="str">
        <f>IF($AK797=1,SUMIFS($AK$4:$AK796,$C$4:$C796,$C797)+1,"")</f>
        <v/>
      </c>
      <c r="AM797" s="43">
        <f>IF(OR($C797="",$G797=""),0,IF(COUNTIFS($C$5:$C797,$C797,$G$5:$G797,$G797)=1,1,0))</f>
        <v>0</v>
      </c>
      <c r="AN797" s="43" t="str">
        <f>IF($AM797=1,SUMIFS($AM$4:$AM796,$C$4:$C796,$C797)+1,"")</f>
        <v/>
      </c>
    </row>
    <row r="798">
      <c r="A798" s="44" t="str">
        <f>IF(OR($B798="",$D798=""),"","TX"&amp;TEXT(ROW()-4,"0000"))</f>
        <v/>
      </c>
      <c r="B798" s="42" t="n"/>
      <c r="C798" s="47" t="str">
        <f>IF($B798="","",YEAR($B798)*100+MONTH($B798))</f>
        <v/>
      </c>
      <c r="D798" s="37" t="n"/>
      <c r="E798" s="45" t="str">
        <f>IF($D798="","",IFERROR(INDEX(CARDS!$B$5:$B$34,MATCH($D798,CARDS!$A$5:$A$34,0)),"⚠ Card ID?"))</f>
        <v/>
      </c>
      <c r="F798" s="45" t="str">
        <f>IF($D798="","",IFERROR(INDEX(CARDS!$C$5:$C$34,MATCH($D798,CARDS!$A$5:$A$34,0)),"⚠ Card ID?"))</f>
        <v/>
      </c>
      <c r="G798" s="37" t="n"/>
      <c r="H798" s="37" t="n"/>
      <c r="I798" s="41" t="n"/>
      <c r="J798" s="45" t="str">
        <f>IF($I798="","",IFERROR(INDEX(MCC_MASTER!$B$5:$B$504,MATCH($I798,MCC_MASTER!$A$5:$A$504,0)),"⚠ MCC chưa có"))</f>
        <v/>
      </c>
      <c r="K798" s="45" t="str">
        <f>IF($I798="","",IFERROR(IF(INDEX(MCC_MASTER!$C$5:$C$504,MATCH($I798,MCC_MASTER!$A$5:$A$504,0))="","Chưa phân loại",INDEX(MCC_MASTER!$C$5:$C$504,MATCH($I798,MCC_MASTER!$A$5:$A$504,0))),"Chưa phân loại"))</f>
        <v/>
      </c>
      <c r="L798" s="40" t="n"/>
      <c r="M798" s="48" t="str">
        <f>IF(OR($B798="",$D798=""),"",IF($AC798=0,0,IF(ISNUMBER(INDEX(CASHBACK_RULES!$L$5:$L$304,$AC798)),MAX(0,MIN($L798,INDEX(CASHBACK_RULES!$L$5:$L$304,$AC798)-$AH798)),MAX(0,$L798))))</f>
        <v/>
      </c>
      <c r="N798" s="49" t="str">
        <f>IF(OR($B798="",$D798=""),"",IF($AC798&gt;0,INDEX(CASHBACK_RULES!$I$5:$I$304,$AC798),0))</f>
        <v/>
      </c>
      <c r="O798" s="48" t="str">
        <f>IF(OR($B798="",$D798=""),"",ROUND($M798*$N798,0))</f>
        <v/>
      </c>
      <c r="P798" s="48" t="str">
        <f>IF($AC798&gt;0,IF(ISNUMBER(INDEX(CASHBACK_RULES!$J$5:$J$304,$AC798)),INDEX(CASHBACK_RULES!$J$5:$J$304,$AC798),"∞"),"")</f>
        <v/>
      </c>
      <c r="Q798" s="48" t="str">
        <f>IF(OR($B798="",$D798=""),"",IF($AC798=0,0,MAX(0,MIN($O798,IF(ISNUMBER($P798),$P798-$AF798,1E+15),IF(ISNUMBER($AA798),$AA798-$AG798,1E+15)))))</f>
        <v/>
      </c>
      <c r="R798" s="48" t="str">
        <f>IF(OR($B798="",$D798=""),"",IF($AC798=0,"",IF(AND(NOT(ISNUMBER($P798)),NOT(ISNUMBER($AA798))),"∞",MAX(0,MIN(IF(ISNUMBER($P798),$P798-$AF798-$Q798,1E+15),IF(ISNUMBER($AA798),$AA798-$AG798-$Q798,1E+15))))))</f>
        <v/>
      </c>
      <c r="S798" s="47" t="str">
        <f>IF($AD798="","",YEAR($AD798)*100+MONTH($AD798))</f>
        <v/>
      </c>
      <c r="T798" s="50" t="str">
        <f>IF($AD798="","",IFERROR(IF(INDEX(CARDS!$I$5:$I$34,MATCH($D798,CARDS!$A$5:$A$34,0))="","",IF(INDEX(CARDS!$I$5:$I$34,MATCH($D798,CARDS!$A$5:$A$34,0))&gt;INDEX(CARDS!$H$5:$H$34,MATCH($D798,CARDS!$A$5:$A$34,0)),DATE(YEAR($AD798),MONTH($AD798),MIN(INDEX(CARDS!$I$5:$I$34,MATCH($D798,CARDS!$A$5:$A$34,0)),DAY(EOMONTH($AD798,0)))),DATE(YEAR($AD798),MONTH($AD798)+1,MIN(INDEX(CARDS!$I$5:$I$34,MATCH($D798,CARDS!$A$5:$A$34,0)),DAY(EOMONTH($AD798,1)))))),""))</f>
        <v/>
      </c>
      <c r="U798" s="38" t="n"/>
      <c r="V798" s="37" t="n"/>
      <c r="W798" s="38" t="n"/>
      <c r="X798" s="38" t="n"/>
      <c r="Y798" s="44" t="str">
        <f>IF($AC798&gt;0,INDEX(CASHBACK_RULES!$A$5:$A$304,$AC798),"")</f>
        <v/>
      </c>
      <c r="Z798" s="45" t="str">
        <f>IF($AC798&gt;0,INDEX(CASHBACK_RULES!$E$5:$E$304,$AC798)&amp;"","")</f>
        <v/>
      </c>
      <c r="AA798" s="48" t="str">
        <f>IF($AC798&gt;0,IF(ISNUMBER(INDEX(CASHBACK_RULES!$K$5:$K$304,$AC798)),INDEX(CASHBACK_RULES!$K$5:$K$304,$AC798),"∞"),"")</f>
        <v/>
      </c>
      <c r="AB798" s="44" t="str">
        <f>IF(OR($B798="",$D798=""),"",IF($U798="Cancelled","Đã hủy",IF($AC798=0,"Không được hoàn",IF($Q798=0,IF(OR($O798&gt;0,$M798&lt;$L798),"Đã đạt cap","Không được hoàn"),IF(OR($Q798&lt;$O798,$M798&lt;$L798),"Hoàn một phần","Được hoàn")))))</f>
        <v/>
      </c>
      <c r="AC798" s="43">
        <f>IF(OR($B798="",$D798="",$I798="",$L798=""),0,IF($U798="Cancelled",0,IF($W798&lt;&gt;"",IFERROR(IF(INDEX(CASHBACK_RULES!$B$5:$B$304,MATCH($W798,CASHBACK_RULES!$A$5:$A$304,0))=$D798,MATCH($W798,CASHBACK_RULES!$A$5:$A$304,0),0),0),IFERROR(MATCH(1,INDEX((CASHBACK_RULES!$B$5:$B$304=$D798)*(CASHBACK_RULES!$G$5:$G$304=$I798)*(((CASHBACK_RULES!$N$5:$N$304="")+(CASHBACK_RULES!$N$5:$N$304&lt;=$B798))&gt;0)*(((CASHBACK_RULES!$O$5:$O$304="")+(CASHBACK_RULES!$O$5:$O$304&gt;=$B798))&gt;0)*(((CASHBACK_RULES!$M$5:$M$304="")+(CASHBACK_RULES!$M$5:$M$304&lt;=$L798))&gt;0),0),0),0))))</f>
        <v>0</v>
      </c>
      <c r="AD798" s="51" t="str">
        <f>IF(OR($B798="",$D798=""),"",IFERROR(IF(INDEX(CARDS!$H$5:$H$34,MATCH($D798,CARDS!$A$5:$A$34,0))="","",IF(DAY($B798)&lt;=INDEX(CARDS!$H$5:$H$34,MATCH($D798,CARDS!$A$5:$A$34,0)),DATE(YEAR($B798),MONTH($B798),MIN(INDEX(CARDS!$H$5:$H$34,MATCH($D798,CARDS!$A$5:$A$34,0)),DAY(EOMONTH($B798,0)))),DATE(YEAR($B798),MONTH($B798)+1,MIN(INDEX(CARDS!$H$5:$H$34,MATCH($D798,CARDS!$A$5:$A$34,0)),DAY(EOMONTH($B798,1)))))),""))</f>
        <v/>
      </c>
      <c r="AE798" s="52" t="str">
        <f>IF($C798="","",$C798&amp;"|"&amp;COUNTIF($C$5:$C798,$C798))</f>
        <v/>
      </c>
      <c r="AF798" s="53">
        <f>IF($AC798&gt;0,SUMIFS(Q$4:Q797,$D$4:$D797,$D798,$Z$4:$Z797,$Z798,$C$4:$C797,$C798),0)</f>
        <v>0</v>
      </c>
      <c r="AG798" s="53">
        <f>IF($AC798&gt;0,SUMIFS(Q$4:Q797,$D$4:$D797,$D798,$C$4:$C797,$C798),0)</f>
        <v>0</v>
      </c>
      <c r="AH798" s="53">
        <f>IF($AC798&gt;0,SUMIFS(M$4:M797,$D$4:$D797,$D798,$Z$4:$Z797,$Z798,$C$4:$C797,$C798),0)</f>
        <v>0</v>
      </c>
      <c r="AI798" s="43">
        <f>IF(OR($C798="",$I798=""),0,IF(COUNTIFS($C$5:$C798,$C798,$I$5:$I798,$I798)=1,1,0))</f>
        <v>0</v>
      </c>
      <c r="AJ798" s="43" t="str">
        <f>IF($AI798=1,SUMIFS($AI$4:$AI797,$C$4:$C797,$C798)+1,"")</f>
        <v/>
      </c>
      <c r="AK798" s="43">
        <f>IF(OR($C798="",$K798=""),0,IF(COUNTIFS($C$5:$C798,$C798,$K$5:$K798,$K798)=1,1,0))</f>
        <v>0</v>
      </c>
      <c r="AL798" s="43" t="str">
        <f>IF($AK798=1,SUMIFS($AK$4:$AK797,$C$4:$C797,$C798)+1,"")</f>
        <v/>
      </c>
      <c r="AM798" s="43">
        <f>IF(OR($C798="",$G798=""),0,IF(COUNTIFS($C$5:$C798,$C798,$G$5:$G798,$G798)=1,1,0))</f>
        <v>0</v>
      </c>
      <c r="AN798" s="43" t="str">
        <f>IF($AM798=1,SUMIFS($AM$4:$AM797,$C$4:$C797,$C798)+1,"")</f>
        <v/>
      </c>
    </row>
    <row r="799">
      <c r="A799" s="44" t="str">
        <f>IF(OR($B799="",$D799=""),"","TX"&amp;TEXT(ROW()-4,"0000"))</f>
        <v/>
      </c>
      <c r="B799" s="42" t="n"/>
      <c r="C799" s="47" t="str">
        <f>IF($B799="","",YEAR($B799)*100+MONTH($B799))</f>
        <v/>
      </c>
      <c r="D799" s="37" t="n"/>
      <c r="E799" s="45" t="str">
        <f>IF($D799="","",IFERROR(INDEX(CARDS!$B$5:$B$34,MATCH($D799,CARDS!$A$5:$A$34,0)),"⚠ Card ID?"))</f>
        <v/>
      </c>
      <c r="F799" s="45" t="str">
        <f>IF($D799="","",IFERROR(INDEX(CARDS!$C$5:$C$34,MATCH($D799,CARDS!$A$5:$A$34,0)),"⚠ Card ID?"))</f>
        <v/>
      </c>
      <c r="G799" s="37" t="n"/>
      <c r="H799" s="37" t="n"/>
      <c r="I799" s="41" t="n"/>
      <c r="J799" s="45" t="str">
        <f>IF($I799="","",IFERROR(INDEX(MCC_MASTER!$B$5:$B$504,MATCH($I799,MCC_MASTER!$A$5:$A$504,0)),"⚠ MCC chưa có"))</f>
        <v/>
      </c>
      <c r="K799" s="45" t="str">
        <f>IF($I799="","",IFERROR(IF(INDEX(MCC_MASTER!$C$5:$C$504,MATCH($I799,MCC_MASTER!$A$5:$A$504,0))="","Chưa phân loại",INDEX(MCC_MASTER!$C$5:$C$504,MATCH($I799,MCC_MASTER!$A$5:$A$504,0))),"Chưa phân loại"))</f>
        <v/>
      </c>
      <c r="L799" s="40" t="n"/>
      <c r="M799" s="48" t="str">
        <f>IF(OR($B799="",$D799=""),"",IF($AC799=0,0,IF(ISNUMBER(INDEX(CASHBACK_RULES!$L$5:$L$304,$AC799)),MAX(0,MIN($L799,INDEX(CASHBACK_RULES!$L$5:$L$304,$AC799)-$AH799)),MAX(0,$L799))))</f>
        <v/>
      </c>
      <c r="N799" s="49" t="str">
        <f>IF(OR($B799="",$D799=""),"",IF($AC799&gt;0,INDEX(CASHBACK_RULES!$I$5:$I$304,$AC799),0))</f>
        <v/>
      </c>
      <c r="O799" s="48" t="str">
        <f>IF(OR($B799="",$D799=""),"",ROUND($M799*$N799,0))</f>
        <v/>
      </c>
      <c r="P799" s="48" t="str">
        <f>IF($AC799&gt;0,IF(ISNUMBER(INDEX(CASHBACK_RULES!$J$5:$J$304,$AC799)),INDEX(CASHBACK_RULES!$J$5:$J$304,$AC799),"∞"),"")</f>
        <v/>
      </c>
      <c r="Q799" s="48" t="str">
        <f>IF(OR($B799="",$D799=""),"",IF($AC799=0,0,MAX(0,MIN($O799,IF(ISNUMBER($P799),$P799-$AF799,1E+15),IF(ISNUMBER($AA799),$AA799-$AG799,1E+15)))))</f>
        <v/>
      </c>
      <c r="R799" s="48" t="str">
        <f>IF(OR($B799="",$D799=""),"",IF($AC799=0,"",IF(AND(NOT(ISNUMBER($P799)),NOT(ISNUMBER($AA799))),"∞",MAX(0,MIN(IF(ISNUMBER($P799),$P799-$AF799-$Q799,1E+15),IF(ISNUMBER($AA799),$AA799-$AG799-$Q799,1E+15))))))</f>
        <v/>
      </c>
      <c r="S799" s="47" t="str">
        <f>IF($AD799="","",YEAR($AD799)*100+MONTH($AD799))</f>
        <v/>
      </c>
      <c r="T799" s="50" t="str">
        <f>IF($AD799="","",IFERROR(IF(INDEX(CARDS!$I$5:$I$34,MATCH($D799,CARDS!$A$5:$A$34,0))="","",IF(INDEX(CARDS!$I$5:$I$34,MATCH($D799,CARDS!$A$5:$A$34,0))&gt;INDEX(CARDS!$H$5:$H$34,MATCH($D799,CARDS!$A$5:$A$34,0)),DATE(YEAR($AD799),MONTH($AD799),MIN(INDEX(CARDS!$I$5:$I$34,MATCH($D799,CARDS!$A$5:$A$34,0)),DAY(EOMONTH($AD799,0)))),DATE(YEAR($AD799),MONTH($AD799)+1,MIN(INDEX(CARDS!$I$5:$I$34,MATCH($D799,CARDS!$A$5:$A$34,0)),DAY(EOMONTH($AD799,1)))))),""))</f>
        <v/>
      </c>
      <c r="U799" s="38" t="n"/>
      <c r="V799" s="37" t="n"/>
      <c r="W799" s="38" t="n"/>
      <c r="X799" s="38" t="n"/>
      <c r="Y799" s="44" t="str">
        <f>IF($AC799&gt;0,INDEX(CASHBACK_RULES!$A$5:$A$304,$AC799),"")</f>
        <v/>
      </c>
      <c r="Z799" s="45" t="str">
        <f>IF($AC799&gt;0,INDEX(CASHBACK_RULES!$E$5:$E$304,$AC799)&amp;"","")</f>
        <v/>
      </c>
      <c r="AA799" s="48" t="str">
        <f>IF($AC799&gt;0,IF(ISNUMBER(INDEX(CASHBACK_RULES!$K$5:$K$304,$AC799)),INDEX(CASHBACK_RULES!$K$5:$K$304,$AC799),"∞"),"")</f>
        <v/>
      </c>
      <c r="AB799" s="44" t="str">
        <f>IF(OR($B799="",$D799=""),"",IF($U799="Cancelled","Đã hủy",IF($AC799=0,"Không được hoàn",IF($Q799=0,IF(OR($O799&gt;0,$M799&lt;$L799),"Đã đạt cap","Không được hoàn"),IF(OR($Q799&lt;$O799,$M799&lt;$L799),"Hoàn một phần","Được hoàn")))))</f>
        <v/>
      </c>
      <c r="AC799" s="43">
        <f>IF(OR($B799="",$D799="",$I799="",$L799=""),0,IF($U799="Cancelled",0,IF($W799&lt;&gt;"",IFERROR(IF(INDEX(CASHBACK_RULES!$B$5:$B$304,MATCH($W799,CASHBACK_RULES!$A$5:$A$304,0))=$D799,MATCH($W799,CASHBACK_RULES!$A$5:$A$304,0),0),0),IFERROR(MATCH(1,INDEX((CASHBACK_RULES!$B$5:$B$304=$D799)*(CASHBACK_RULES!$G$5:$G$304=$I799)*(((CASHBACK_RULES!$N$5:$N$304="")+(CASHBACK_RULES!$N$5:$N$304&lt;=$B799))&gt;0)*(((CASHBACK_RULES!$O$5:$O$304="")+(CASHBACK_RULES!$O$5:$O$304&gt;=$B799))&gt;0)*(((CASHBACK_RULES!$M$5:$M$304="")+(CASHBACK_RULES!$M$5:$M$304&lt;=$L799))&gt;0),0),0),0))))</f>
        <v>0</v>
      </c>
      <c r="AD799" s="51" t="str">
        <f>IF(OR($B799="",$D799=""),"",IFERROR(IF(INDEX(CARDS!$H$5:$H$34,MATCH($D799,CARDS!$A$5:$A$34,0))="","",IF(DAY($B799)&lt;=INDEX(CARDS!$H$5:$H$34,MATCH($D799,CARDS!$A$5:$A$34,0)),DATE(YEAR($B799),MONTH($B799),MIN(INDEX(CARDS!$H$5:$H$34,MATCH($D799,CARDS!$A$5:$A$34,0)),DAY(EOMONTH($B799,0)))),DATE(YEAR($B799),MONTH($B799)+1,MIN(INDEX(CARDS!$H$5:$H$34,MATCH($D799,CARDS!$A$5:$A$34,0)),DAY(EOMONTH($B799,1)))))),""))</f>
        <v/>
      </c>
      <c r="AE799" s="52" t="str">
        <f>IF($C799="","",$C799&amp;"|"&amp;COUNTIF($C$5:$C799,$C799))</f>
        <v/>
      </c>
      <c r="AF799" s="53">
        <f>IF($AC799&gt;0,SUMIFS(Q$4:Q798,$D$4:$D798,$D799,$Z$4:$Z798,$Z799,$C$4:$C798,$C799),0)</f>
        <v>0</v>
      </c>
      <c r="AG799" s="53">
        <f>IF($AC799&gt;0,SUMIFS(Q$4:Q798,$D$4:$D798,$D799,$C$4:$C798,$C799),0)</f>
        <v>0</v>
      </c>
      <c r="AH799" s="53">
        <f>IF($AC799&gt;0,SUMIFS(M$4:M798,$D$4:$D798,$D799,$Z$4:$Z798,$Z799,$C$4:$C798,$C799),0)</f>
        <v>0</v>
      </c>
      <c r="AI799" s="43">
        <f>IF(OR($C799="",$I799=""),0,IF(COUNTIFS($C$5:$C799,$C799,$I$5:$I799,$I799)=1,1,0))</f>
        <v>0</v>
      </c>
      <c r="AJ799" s="43" t="str">
        <f>IF($AI799=1,SUMIFS($AI$4:$AI798,$C$4:$C798,$C799)+1,"")</f>
        <v/>
      </c>
      <c r="AK799" s="43">
        <f>IF(OR($C799="",$K799=""),0,IF(COUNTIFS($C$5:$C799,$C799,$K$5:$K799,$K799)=1,1,0))</f>
        <v>0</v>
      </c>
      <c r="AL799" s="43" t="str">
        <f>IF($AK799=1,SUMIFS($AK$4:$AK798,$C$4:$C798,$C799)+1,"")</f>
        <v/>
      </c>
      <c r="AM799" s="43">
        <f>IF(OR($C799="",$G799=""),0,IF(COUNTIFS($C$5:$C799,$C799,$G$5:$G799,$G799)=1,1,0))</f>
        <v>0</v>
      </c>
      <c r="AN799" s="43" t="str">
        <f>IF($AM799=1,SUMIFS($AM$4:$AM798,$C$4:$C798,$C799)+1,"")</f>
        <v/>
      </c>
    </row>
    <row r="800">
      <c r="A800" s="44" t="str">
        <f>IF(OR($B800="",$D800=""),"","TX"&amp;TEXT(ROW()-4,"0000"))</f>
        <v/>
      </c>
      <c r="B800" s="42" t="n"/>
      <c r="C800" s="47" t="str">
        <f>IF($B800="","",YEAR($B800)*100+MONTH($B800))</f>
        <v/>
      </c>
      <c r="D800" s="37" t="n"/>
      <c r="E800" s="45" t="str">
        <f>IF($D800="","",IFERROR(INDEX(CARDS!$B$5:$B$34,MATCH($D800,CARDS!$A$5:$A$34,0)),"⚠ Card ID?"))</f>
        <v/>
      </c>
      <c r="F800" s="45" t="str">
        <f>IF($D800="","",IFERROR(INDEX(CARDS!$C$5:$C$34,MATCH($D800,CARDS!$A$5:$A$34,0)),"⚠ Card ID?"))</f>
        <v/>
      </c>
      <c r="G800" s="37" t="n"/>
      <c r="H800" s="37" t="n"/>
      <c r="I800" s="41" t="n"/>
      <c r="J800" s="45" t="str">
        <f>IF($I800="","",IFERROR(INDEX(MCC_MASTER!$B$5:$B$504,MATCH($I800,MCC_MASTER!$A$5:$A$504,0)),"⚠ MCC chưa có"))</f>
        <v/>
      </c>
      <c r="K800" s="45" t="str">
        <f>IF($I800="","",IFERROR(IF(INDEX(MCC_MASTER!$C$5:$C$504,MATCH($I800,MCC_MASTER!$A$5:$A$504,0))="","Chưa phân loại",INDEX(MCC_MASTER!$C$5:$C$504,MATCH($I800,MCC_MASTER!$A$5:$A$504,0))),"Chưa phân loại"))</f>
        <v/>
      </c>
      <c r="L800" s="40" t="n"/>
      <c r="M800" s="48" t="str">
        <f>IF(OR($B800="",$D800=""),"",IF($AC800=0,0,IF(ISNUMBER(INDEX(CASHBACK_RULES!$L$5:$L$304,$AC800)),MAX(0,MIN($L800,INDEX(CASHBACK_RULES!$L$5:$L$304,$AC800)-$AH800)),MAX(0,$L800))))</f>
        <v/>
      </c>
      <c r="N800" s="49" t="str">
        <f>IF(OR($B800="",$D800=""),"",IF($AC800&gt;0,INDEX(CASHBACK_RULES!$I$5:$I$304,$AC800),0))</f>
        <v/>
      </c>
      <c r="O800" s="48" t="str">
        <f>IF(OR($B800="",$D800=""),"",ROUND($M800*$N800,0))</f>
        <v/>
      </c>
      <c r="P800" s="48" t="str">
        <f>IF($AC800&gt;0,IF(ISNUMBER(INDEX(CASHBACK_RULES!$J$5:$J$304,$AC800)),INDEX(CASHBACK_RULES!$J$5:$J$304,$AC800),"∞"),"")</f>
        <v/>
      </c>
      <c r="Q800" s="48" t="str">
        <f>IF(OR($B800="",$D800=""),"",IF($AC800=0,0,MAX(0,MIN($O800,IF(ISNUMBER($P800),$P800-$AF800,1E+15),IF(ISNUMBER($AA800),$AA800-$AG800,1E+15)))))</f>
        <v/>
      </c>
      <c r="R800" s="48" t="str">
        <f>IF(OR($B800="",$D800=""),"",IF($AC800=0,"",IF(AND(NOT(ISNUMBER($P800)),NOT(ISNUMBER($AA800))),"∞",MAX(0,MIN(IF(ISNUMBER($P800),$P800-$AF800-$Q800,1E+15),IF(ISNUMBER($AA800),$AA800-$AG800-$Q800,1E+15))))))</f>
        <v/>
      </c>
      <c r="S800" s="47" t="str">
        <f>IF($AD800="","",YEAR($AD800)*100+MONTH($AD800))</f>
        <v/>
      </c>
      <c r="T800" s="50" t="str">
        <f>IF($AD800="","",IFERROR(IF(INDEX(CARDS!$I$5:$I$34,MATCH($D800,CARDS!$A$5:$A$34,0))="","",IF(INDEX(CARDS!$I$5:$I$34,MATCH($D800,CARDS!$A$5:$A$34,0))&gt;INDEX(CARDS!$H$5:$H$34,MATCH($D800,CARDS!$A$5:$A$34,0)),DATE(YEAR($AD800),MONTH($AD800),MIN(INDEX(CARDS!$I$5:$I$34,MATCH($D800,CARDS!$A$5:$A$34,0)),DAY(EOMONTH($AD800,0)))),DATE(YEAR($AD800),MONTH($AD800)+1,MIN(INDEX(CARDS!$I$5:$I$34,MATCH($D800,CARDS!$A$5:$A$34,0)),DAY(EOMONTH($AD800,1)))))),""))</f>
        <v/>
      </c>
      <c r="U800" s="38" t="n"/>
      <c r="V800" s="37" t="n"/>
      <c r="W800" s="38" t="n"/>
      <c r="X800" s="38" t="n"/>
      <c r="Y800" s="44" t="str">
        <f>IF($AC800&gt;0,INDEX(CASHBACK_RULES!$A$5:$A$304,$AC800),"")</f>
        <v/>
      </c>
      <c r="Z800" s="45" t="str">
        <f>IF($AC800&gt;0,INDEX(CASHBACK_RULES!$E$5:$E$304,$AC800)&amp;"","")</f>
        <v/>
      </c>
      <c r="AA800" s="48" t="str">
        <f>IF($AC800&gt;0,IF(ISNUMBER(INDEX(CASHBACK_RULES!$K$5:$K$304,$AC800)),INDEX(CASHBACK_RULES!$K$5:$K$304,$AC800),"∞"),"")</f>
        <v/>
      </c>
      <c r="AB800" s="44" t="str">
        <f>IF(OR($B800="",$D800=""),"",IF($U800="Cancelled","Đã hủy",IF($AC800=0,"Không được hoàn",IF($Q800=0,IF(OR($O800&gt;0,$M800&lt;$L800),"Đã đạt cap","Không được hoàn"),IF(OR($Q800&lt;$O800,$M800&lt;$L800),"Hoàn một phần","Được hoàn")))))</f>
        <v/>
      </c>
      <c r="AC800" s="43">
        <f>IF(OR($B800="",$D800="",$I800="",$L800=""),0,IF($U800="Cancelled",0,IF($W800&lt;&gt;"",IFERROR(IF(INDEX(CASHBACK_RULES!$B$5:$B$304,MATCH($W800,CASHBACK_RULES!$A$5:$A$304,0))=$D800,MATCH($W800,CASHBACK_RULES!$A$5:$A$304,0),0),0),IFERROR(MATCH(1,INDEX((CASHBACK_RULES!$B$5:$B$304=$D800)*(CASHBACK_RULES!$G$5:$G$304=$I800)*(((CASHBACK_RULES!$N$5:$N$304="")+(CASHBACK_RULES!$N$5:$N$304&lt;=$B800))&gt;0)*(((CASHBACK_RULES!$O$5:$O$304="")+(CASHBACK_RULES!$O$5:$O$304&gt;=$B800))&gt;0)*(((CASHBACK_RULES!$M$5:$M$304="")+(CASHBACK_RULES!$M$5:$M$304&lt;=$L800))&gt;0),0),0),0))))</f>
        <v>0</v>
      </c>
      <c r="AD800" s="51" t="str">
        <f>IF(OR($B800="",$D800=""),"",IFERROR(IF(INDEX(CARDS!$H$5:$H$34,MATCH($D800,CARDS!$A$5:$A$34,0))="","",IF(DAY($B800)&lt;=INDEX(CARDS!$H$5:$H$34,MATCH($D800,CARDS!$A$5:$A$34,0)),DATE(YEAR($B800),MONTH($B800),MIN(INDEX(CARDS!$H$5:$H$34,MATCH($D800,CARDS!$A$5:$A$34,0)),DAY(EOMONTH($B800,0)))),DATE(YEAR($B800),MONTH($B800)+1,MIN(INDEX(CARDS!$H$5:$H$34,MATCH($D800,CARDS!$A$5:$A$34,0)),DAY(EOMONTH($B800,1)))))),""))</f>
        <v/>
      </c>
      <c r="AE800" s="52" t="str">
        <f>IF($C800="","",$C800&amp;"|"&amp;COUNTIF($C$5:$C800,$C800))</f>
        <v/>
      </c>
      <c r="AF800" s="53">
        <f>IF($AC800&gt;0,SUMIFS(Q$4:Q799,$D$4:$D799,$D800,$Z$4:$Z799,$Z800,$C$4:$C799,$C800),0)</f>
        <v>0</v>
      </c>
      <c r="AG800" s="53">
        <f>IF($AC800&gt;0,SUMIFS(Q$4:Q799,$D$4:$D799,$D800,$C$4:$C799,$C800),0)</f>
        <v>0</v>
      </c>
      <c r="AH800" s="53">
        <f>IF($AC800&gt;0,SUMIFS(M$4:M799,$D$4:$D799,$D800,$Z$4:$Z799,$Z800,$C$4:$C799,$C800),0)</f>
        <v>0</v>
      </c>
      <c r="AI800" s="43">
        <f>IF(OR($C800="",$I800=""),0,IF(COUNTIFS($C$5:$C800,$C800,$I$5:$I800,$I800)=1,1,0))</f>
        <v>0</v>
      </c>
      <c r="AJ800" s="43" t="str">
        <f>IF($AI800=1,SUMIFS($AI$4:$AI799,$C$4:$C799,$C800)+1,"")</f>
        <v/>
      </c>
      <c r="AK800" s="43">
        <f>IF(OR($C800="",$K800=""),0,IF(COUNTIFS($C$5:$C800,$C800,$K$5:$K800,$K800)=1,1,0))</f>
        <v>0</v>
      </c>
      <c r="AL800" s="43" t="str">
        <f>IF($AK800=1,SUMIFS($AK$4:$AK799,$C$4:$C799,$C800)+1,"")</f>
        <v/>
      </c>
      <c r="AM800" s="43">
        <f>IF(OR($C800="",$G800=""),0,IF(COUNTIFS($C$5:$C800,$C800,$G$5:$G800,$G800)=1,1,0))</f>
        <v>0</v>
      </c>
      <c r="AN800" s="43" t="str">
        <f>IF($AM800=1,SUMIFS($AM$4:$AM799,$C$4:$C799,$C800)+1,"")</f>
        <v/>
      </c>
    </row>
    <row r="801">
      <c r="A801" s="44" t="str">
        <f>IF(OR($B801="",$D801=""),"","TX"&amp;TEXT(ROW()-4,"0000"))</f>
        <v/>
      </c>
      <c r="B801" s="42" t="n"/>
      <c r="C801" s="47" t="str">
        <f>IF($B801="","",YEAR($B801)*100+MONTH($B801))</f>
        <v/>
      </c>
      <c r="D801" s="37" t="n"/>
      <c r="E801" s="45" t="str">
        <f>IF($D801="","",IFERROR(INDEX(CARDS!$B$5:$B$34,MATCH($D801,CARDS!$A$5:$A$34,0)),"⚠ Card ID?"))</f>
        <v/>
      </c>
      <c r="F801" s="45" t="str">
        <f>IF($D801="","",IFERROR(INDEX(CARDS!$C$5:$C$34,MATCH($D801,CARDS!$A$5:$A$34,0)),"⚠ Card ID?"))</f>
        <v/>
      </c>
      <c r="G801" s="37" t="n"/>
      <c r="H801" s="37" t="n"/>
      <c r="I801" s="41" t="n"/>
      <c r="J801" s="45" t="str">
        <f>IF($I801="","",IFERROR(INDEX(MCC_MASTER!$B$5:$B$504,MATCH($I801,MCC_MASTER!$A$5:$A$504,0)),"⚠ MCC chưa có"))</f>
        <v/>
      </c>
      <c r="K801" s="45" t="str">
        <f>IF($I801="","",IFERROR(IF(INDEX(MCC_MASTER!$C$5:$C$504,MATCH($I801,MCC_MASTER!$A$5:$A$504,0))="","Chưa phân loại",INDEX(MCC_MASTER!$C$5:$C$504,MATCH($I801,MCC_MASTER!$A$5:$A$504,0))),"Chưa phân loại"))</f>
        <v/>
      </c>
      <c r="L801" s="40" t="n"/>
      <c r="M801" s="48" t="str">
        <f>IF(OR($B801="",$D801=""),"",IF($AC801=0,0,IF(ISNUMBER(INDEX(CASHBACK_RULES!$L$5:$L$304,$AC801)),MAX(0,MIN($L801,INDEX(CASHBACK_RULES!$L$5:$L$304,$AC801)-$AH801)),MAX(0,$L801))))</f>
        <v/>
      </c>
      <c r="N801" s="49" t="str">
        <f>IF(OR($B801="",$D801=""),"",IF($AC801&gt;0,INDEX(CASHBACK_RULES!$I$5:$I$304,$AC801),0))</f>
        <v/>
      </c>
      <c r="O801" s="48" t="str">
        <f>IF(OR($B801="",$D801=""),"",ROUND($M801*$N801,0))</f>
        <v/>
      </c>
      <c r="P801" s="48" t="str">
        <f>IF($AC801&gt;0,IF(ISNUMBER(INDEX(CASHBACK_RULES!$J$5:$J$304,$AC801)),INDEX(CASHBACK_RULES!$J$5:$J$304,$AC801),"∞"),"")</f>
        <v/>
      </c>
      <c r="Q801" s="48" t="str">
        <f>IF(OR($B801="",$D801=""),"",IF($AC801=0,0,MAX(0,MIN($O801,IF(ISNUMBER($P801),$P801-$AF801,1E+15),IF(ISNUMBER($AA801),$AA801-$AG801,1E+15)))))</f>
        <v/>
      </c>
      <c r="R801" s="48" t="str">
        <f>IF(OR($B801="",$D801=""),"",IF($AC801=0,"",IF(AND(NOT(ISNUMBER($P801)),NOT(ISNUMBER($AA801))),"∞",MAX(0,MIN(IF(ISNUMBER($P801),$P801-$AF801-$Q801,1E+15),IF(ISNUMBER($AA801),$AA801-$AG801-$Q801,1E+15))))))</f>
        <v/>
      </c>
      <c r="S801" s="47" t="str">
        <f>IF($AD801="","",YEAR($AD801)*100+MONTH($AD801))</f>
        <v/>
      </c>
      <c r="T801" s="50" t="str">
        <f>IF($AD801="","",IFERROR(IF(INDEX(CARDS!$I$5:$I$34,MATCH($D801,CARDS!$A$5:$A$34,0))="","",IF(INDEX(CARDS!$I$5:$I$34,MATCH($D801,CARDS!$A$5:$A$34,0))&gt;INDEX(CARDS!$H$5:$H$34,MATCH($D801,CARDS!$A$5:$A$34,0)),DATE(YEAR($AD801),MONTH($AD801),MIN(INDEX(CARDS!$I$5:$I$34,MATCH($D801,CARDS!$A$5:$A$34,0)),DAY(EOMONTH($AD801,0)))),DATE(YEAR($AD801),MONTH($AD801)+1,MIN(INDEX(CARDS!$I$5:$I$34,MATCH($D801,CARDS!$A$5:$A$34,0)),DAY(EOMONTH($AD801,1)))))),""))</f>
        <v/>
      </c>
      <c r="U801" s="38" t="n"/>
      <c r="V801" s="37" t="n"/>
      <c r="W801" s="38" t="n"/>
      <c r="X801" s="38" t="n"/>
      <c r="Y801" s="44" t="str">
        <f>IF($AC801&gt;0,INDEX(CASHBACK_RULES!$A$5:$A$304,$AC801),"")</f>
        <v/>
      </c>
      <c r="Z801" s="45" t="str">
        <f>IF($AC801&gt;0,INDEX(CASHBACK_RULES!$E$5:$E$304,$AC801)&amp;"","")</f>
        <v/>
      </c>
      <c r="AA801" s="48" t="str">
        <f>IF($AC801&gt;0,IF(ISNUMBER(INDEX(CASHBACK_RULES!$K$5:$K$304,$AC801)),INDEX(CASHBACK_RULES!$K$5:$K$304,$AC801),"∞"),"")</f>
        <v/>
      </c>
      <c r="AB801" s="44" t="str">
        <f>IF(OR($B801="",$D801=""),"",IF($U801="Cancelled","Đã hủy",IF($AC801=0,"Không được hoàn",IF($Q801=0,IF(OR($O801&gt;0,$M801&lt;$L801),"Đã đạt cap","Không được hoàn"),IF(OR($Q801&lt;$O801,$M801&lt;$L801),"Hoàn một phần","Được hoàn")))))</f>
        <v/>
      </c>
      <c r="AC801" s="43">
        <f>IF(OR($B801="",$D801="",$I801="",$L801=""),0,IF($U801="Cancelled",0,IF($W801&lt;&gt;"",IFERROR(IF(INDEX(CASHBACK_RULES!$B$5:$B$304,MATCH($W801,CASHBACK_RULES!$A$5:$A$304,0))=$D801,MATCH($W801,CASHBACK_RULES!$A$5:$A$304,0),0),0),IFERROR(MATCH(1,INDEX((CASHBACK_RULES!$B$5:$B$304=$D801)*(CASHBACK_RULES!$G$5:$G$304=$I801)*(((CASHBACK_RULES!$N$5:$N$304="")+(CASHBACK_RULES!$N$5:$N$304&lt;=$B801))&gt;0)*(((CASHBACK_RULES!$O$5:$O$304="")+(CASHBACK_RULES!$O$5:$O$304&gt;=$B801))&gt;0)*(((CASHBACK_RULES!$M$5:$M$304="")+(CASHBACK_RULES!$M$5:$M$304&lt;=$L801))&gt;0),0),0),0))))</f>
        <v>0</v>
      </c>
      <c r="AD801" s="51" t="str">
        <f>IF(OR($B801="",$D801=""),"",IFERROR(IF(INDEX(CARDS!$H$5:$H$34,MATCH($D801,CARDS!$A$5:$A$34,0))="","",IF(DAY($B801)&lt;=INDEX(CARDS!$H$5:$H$34,MATCH($D801,CARDS!$A$5:$A$34,0)),DATE(YEAR($B801),MONTH($B801),MIN(INDEX(CARDS!$H$5:$H$34,MATCH($D801,CARDS!$A$5:$A$34,0)),DAY(EOMONTH($B801,0)))),DATE(YEAR($B801),MONTH($B801)+1,MIN(INDEX(CARDS!$H$5:$H$34,MATCH($D801,CARDS!$A$5:$A$34,0)),DAY(EOMONTH($B801,1)))))),""))</f>
        <v/>
      </c>
      <c r="AE801" s="52" t="str">
        <f>IF($C801="","",$C801&amp;"|"&amp;COUNTIF($C$5:$C801,$C801))</f>
        <v/>
      </c>
      <c r="AF801" s="53">
        <f>IF($AC801&gt;0,SUMIFS(Q$4:Q800,$D$4:$D800,$D801,$Z$4:$Z800,$Z801,$C$4:$C800,$C801),0)</f>
        <v>0</v>
      </c>
      <c r="AG801" s="53">
        <f>IF($AC801&gt;0,SUMIFS(Q$4:Q800,$D$4:$D800,$D801,$C$4:$C800,$C801),0)</f>
        <v>0</v>
      </c>
      <c r="AH801" s="53">
        <f>IF($AC801&gt;0,SUMIFS(M$4:M800,$D$4:$D800,$D801,$Z$4:$Z800,$Z801,$C$4:$C800,$C801),0)</f>
        <v>0</v>
      </c>
      <c r="AI801" s="43">
        <f>IF(OR($C801="",$I801=""),0,IF(COUNTIFS($C$5:$C801,$C801,$I$5:$I801,$I801)=1,1,0))</f>
        <v>0</v>
      </c>
      <c r="AJ801" s="43" t="str">
        <f>IF($AI801=1,SUMIFS($AI$4:$AI800,$C$4:$C800,$C801)+1,"")</f>
        <v/>
      </c>
      <c r="AK801" s="43">
        <f>IF(OR($C801="",$K801=""),0,IF(COUNTIFS($C$5:$C801,$C801,$K$5:$K801,$K801)=1,1,0))</f>
        <v>0</v>
      </c>
      <c r="AL801" s="43" t="str">
        <f>IF($AK801=1,SUMIFS($AK$4:$AK800,$C$4:$C800,$C801)+1,"")</f>
        <v/>
      </c>
      <c r="AM801" s="43">
        <f>IF(OR($C801="",$G801=""),0,IF(COUNTIFS($C$5:$C801,$C801,$G$5:$G801,$G801)=1,1,0))</f>
        <v>0</v>
      </c>
      <c r="AN801" s="43" t="str">
        <f>IF($AM801=1,SUMIFS($AM$4:$AM800,$C$4:$C800,$C801)+1,"")</f>
        <v/>
      </c>
    </row>
    <row r="802">
      <c r="A802" s="44" t="str">
        <f>IF(OR($B802="",$D802=""),"","TX"&amp;TEXT(ROW()-4,"0000"))</f>
        <v/>
      </c>
      <c r="B802" s="42" t="n"/>
      <c r="C802" s="47" t="str">
        <f>IF($B802="","",YEAR($B802)*100+MONTH($B802))</f>
        <v/>
      </c>
      <c r="D802" s="37" t="n"/>
      <c r="E802" s="45" t="str">
        <f>IF($D802="","",IFERROR(INDEX(CARDS!$B$5:$B$34,MATCH($D802,CARDS!$A$5:$A$34,0)),"⚠ Card ID?"))</f>
        <v/>
      </c>
      <c r="F802" s="45" t="str">
        <f>IF($D802="","",IFERROR(INDEX(CARDS!$C$5:$C$34,MATCH($D802,CARDS!$A$5:$A$34,0)),"⚠ Card ID?"))</f>
        <v/>
      </c>
      <c r="G802" s="37" t="n"/>
      <c r="H802" s="37" t="n"/>
      <c r="I802" s="41" t="n"/>
      <c r="J802" s="45" t="str">
        <f>IF($I802="","",IFERROR(INDEX(MCC_MASTER!$B$5:$B$504,MATCH($I802,MCC_MASTER!$A$5:$A$504,0)),"⚠ MCC chưa có"))</f>
        <v/>
      </c>
      <c r="K802" s="45" t="str">
        <f>IF($I802="","",IFERROR(IF(INDEX(MCC_MASTER!$C$5:$C$504,MATCH($I802,MCC_MASTER!$A$5:$A$504,0))="","Chưa phân loại",INDEX(MCC_MASTER!$C$5:$C$504,MATCH($I802,MCC_MASTER!$A$5:$A$504,0))),"Chưa phân loại"))</f>
        <v/>
      </c>
      <c r="L802" s="40" t="n"/>
      <c r="M802" s="48" t="str">
        <f>IF(OR($B802="",$D802=""),"",IF($AC802=0,0,IF(ISNUMBER(INDEX(CASHBACK_RULES!$L$5:$L$304,$AC802)),MAX(0,MIN($L802,INDEX(CASHBACK_RULES!$L$5:$L$304,$AC802)-$AH802)),MAX(0,$L802))))</f>
        <v/>
      </c>
      <c r="N802" s="49" t="str">
        <f>IF(OR($B802="",$D802=""),"",IF($AC802&gt;0,INDEX(CASHBACK_RULES!$I$5:$I$304,$AC802),0))</f>
        <v/>
      </c>
      <c r="O802" s="48" t="str">
        <f>IF(OR($B802="",$D802=""),"",ROUND($M802*$N802,0))</f>
        <v/>
      </c>
      <c r="P802" s="48" t="str">
        <f>IF($AC802&gt;0,IF(ISNUMBER(INDEX(CASHBACK_RULES!$J$5:$J$304,$AC802)),INDEX(CASHBACK_RULES!$J$5:$J$304,$AC802),"∞"),"")</f>
        <v/>
      </c>
      <c r="Q802" s="48" t="str">
        <f>IF(OR($B802="",$D802=""),"",IF($AC802=0,0,MAX(0,MIN($O802,IF(ISNUMBER($P802),$P802-$AF802,1E+15),IF(ISNUMBER($AA802),$AA802-$AG802,1E+15)))))</f>
        <v/>
      </c>
      <c r="R802" s="48" t="str">
        <f>IF(OR($B802="",$D802=""),"",IF($AC802=0,"",IF(AND(NOT(ISNUMBER($P802)),NOT(ISNUMBER($AA802))),"∞",MAX(0,MIN(IF(ISNUMBER($P802),$P802-$AF802-$Q802,1E+15),IF(ISNUMBER($AA802),$AA802-$AG802-$Q802,1E+15))))))</f>
        <v/>
      </c>
      <c r="S802" s="47" t="str">
        <f>IF($AD802="","",YEAR($AD802)*100+MONTH($AD802))</f>
        <v/>
      </c>
      <c r="T802" s="50" t="str">
        <f>IF($AD802="","",IFERROR(IF(INDEX(CARDS!$I$5:$I$34,MATCH($D802,CARDS!$A$5:$A$34,0))="","",IF(INDEX(CARDS!$I$5:$I$34,MATCH($D802,CARDS!$A$5:$A$34,0))&gt;INDEX(CARDS!$H$5:$H$34,MATCH($D802,CARDS!$A$5:$A$34,0)),DATE(YEAR($AD802),MONTH($AD802),MIN(INDEX(CARDS!$I$5:$I$34,MATCH($D802,CARDS!$A$5:$A$34,0)),DAY(EOMONTH($AD802,0)))),DATE(YEAR($AD802),MONTH($AD802)+1,MIN(INDEX(CARDS!$I$5:$I$34,MATCH($D802,CARDS!$A$5:$A$34,0)),DAY(EOMONTH($AD802,1)))))),""))</f>
        <v/>
      </c>
      <c r="U802" s="38" t="n"/>
      <c r="V802" s="37" t="n"/>
      <c r="W802" s="38" t="n"/>
      <c r="X802" s="38" t="n"/>
      <c r="Y802" s="44" t="str">
        <f>IF($AC802&gt;0,INDEX(CASHBACK_RULES!$A$5:$A$304,$AC802),"")</f>
        <v/>
      </c>
      <c r="Z802" s="45" t="str">
        <f>IF($AC802&gt;0,INDEX(CASHBACK_RULES!$E$5:$E$304,$AC802)&amp;"","")</f>
        <v/>
      </c>
      <c r="AA802" s="48" t="str">
        <f>IF($AC802&gt;0,IF(ISNUMBER(INDEX(CASHBACK_RULES!$K$5:$K$304,$AC802)),INDEX(CASHBACK_RULES!$K$5:$K$304,$AC802),"∞"),"")</f>
        <v/>
      </c>
      <c r="AB802" s="44" t="str">
        <f>IF(OR($B802="",$D802=""),"",IF($U802="Cancelled","Đã hủy",IF($AC802=0,"Không được hoàn",IF($Q802=0,IF(OR($O802&gt;0,$M802&lt;$L802),"Đã đạt cap","Không được hoàn"),IF(OR($Q802&lt;$O802,$M802&lt;$L802),"Hoàn một phần","Được hoàn")))))</f>
        <v/>
      </c>
      <c r="AC802" s="43">
        <f>IF(OR($B802="",$D802="",$I802="",$L802=""),0,IF($U802="Cancelled",0,IF($W802&lt;&gt;"",IFERROR(IF(INDEX(CASHBACK_RULES!$B$5:$B$304,MATCH($W802,CASHBACK_RULES!$A$5:$A$304,0))=$D802,MATCH($W802,CASHBACK_RULES!$A$5:$A$304,0),0),0),IFERROR(MATCH(1,INDEX((CASHBACK_RULES!$B$5:$B$304=$D802)*(CASHBACK_RULES!$G$5:$G$304=$I802)*(((CASHBACK_RULES!$N$5:$N$304="")+(CASHBACK_RULES!$N$5:$N$304&lt;=$B802))&gt;0)*(((CASHBACK_RULES!$O$5:$O$304="")+(CASHBACK_RULES!$O$5:$O$304&gt;=$B802))&gt;0)*(((CASHBACK_RULES!$M$5:$M$304="")+(CASHBACK_RULES!$M$5:$M$304&lt;=$L802))&gt;0),0),0),0))))</f>
        <v>0</v>
      </c>
      <c r="AD802" s="51" t="str">
        <f>IF(OR($B802="",$D802=""),"",IFERROR(IF(INDEX(CARDS!$H$5:$H$34,MATCH($D802,CARDS!$A$5:$A$34,0))="","",IF(DAY($B802)&lt;=INDEX(CARDS!$H$5:$H$34,MATCH($D802,CARDS!$A$5:$A$34,0)),DATE(YEAR($B802),MONTH($B802),MIN(INDEX(CARDS!$H$5:$H$34,MATCH($D802,CARDS!$A$5:$A$34,0)),DAY(EOMONTH($B802,0)))),DATE(YEAR($B802),MONTH($B802)+1,MIN(INDEX(CARDS!$H$5:$H$34,MATCH($D802,CARDS!$A$5:$A$34,0)),DAY(EOMONTH($B802,1)))))),""))</f>
        <v/>
      </c>
      <c r="AE802" s="52" t="str">
        <f>IF($C802="","",$C802&amp;"|"&amp;COUNTIF($C$5:$C802,$C802))</f>
        <v/>
      </c>
      <c r="AF802" s="53">
        <f>IF($AC802&gt;0,SUMIFS(Q$4:Q801,$D$4:$D801,$D802,$Z$4:$Z801,$Z802,$C$4:$C801,$C802),0)</f>
        <v>0</v>
      </c>
      <c r="AG802" s="53">
        <f>IF($AC802&gt;0,SUMIFS(Q$4:Q801,$D$4:$D801,$D802,$C$4:$C801,$C802),0)</f>
        <v>0</v>
      </c>
      <c r="AH802" s="53">
        <f>IF($AC802&gt;0,SUMIFS(M$4:M801,$D$4:$D801,$D802,$Z$4:$Z801,$Z802,$C$4:$C801,$C802),0)</f>
        <v>0</v>
      </c>
      <c r="AI802" s="43">
        <f>IF(OR($C802="",$I802=""),0,IF(COUNTIFS($C$5:$C802,$C802,$I$5:$I802,$I802)=1,1,0))</f>
        <v>0</v>
      </c>
      <c r="AJ802" s="43" t="str">
        <f>IF($AI802=1,SUMIFS($AI$4:$AI801,$C$4:$C801,$C802)+1,"")</f>
        <v/>
      </c>
      <c r="AK802" s="43">
        <f>IF(OR($C802="",$K802=""),0,IF(COUNTIFS($C$5:$C802,$C802,$K$5:$K802,$K802)=1,1,0))</f>
        <v>0</v>
      </c>
      <c r="AL802" s="43" t="str">
        <f>IF($AK802=1,SUMIFS($AK$4:$AK801,$C$4:$C801,$C802)+1,"")</f>
        <v/>
      </c>
      <c r="AM802" s="43">
        <f>IF(OR($C802="",$G802=""),0,IF(COUNTIFS($C$5:$C802,$C802,$G$5:$G802,$G802)=1,1,0))</f>
        <v>0</v>
      </c>
      <c r="AN802" s="43" t="str">
        <f>IF($AM802=1,SUMIFS($AM$4:$AM801,$C$4:$C801,$C802)+1,"")</f>
        <v/>
      </c>
    </row>
    <row r="803">
      <c r="A803" s="44" t="str">
        <f>IF(OR($B803="",$D803=""),"","TX"&amp;TEXT(ROW()-4,"0000"))</f>
        <v/>
      </c>
      <c r="B803" s="42" t="n"/>
      <c r="C803" s="47" t="str">
        <f>IF($B803="","",YEAR($B803)*100+MONTH($B803))</f>
        <v/>
      </c>
      <c r="D803" s="37" t="n"/>
      <c r="E803" s="45" t="str">
        <f>IF($D803="","",IFERROR(INDEX(CARDS!$B$5:$B$34,MATCH($D803,CARDS!$A$5:$A$34,0)),"⚠ Card ID?"))</f>
        <v/>
      </c>
      <c r="F803" s="45" t="str">
        <f>IF($D803="","",IFERROR(INDEX(CARDS!$C$5:$C$34,MATCH($D803,CARDS!$A$5:$A$34,0)),"⚠ Card ID?"))</f>
        <v/>
      </c>
      <c r="G803" s="37" t="n"/>
      <c r="H803" s="37" t="n"/>
      <c r="I803" s="41" t="n"/>
      <c r="J803" s="45" t="str">
        <f>IF($I803="","",IFERROR(INDEX(MCC_MASTER!$B$5:$B$504,MATCH($I803,MCC_MASTER!$A$5:$A$504,0)),"⚠ MCC chưa có"))</f>
        <v/>
      </c>
      <c r="K803" s="45" t="str">
        <f>IF($I803="","",IFERROR(IF(INDEX(MCC_MASTER!$C$5:$C$504,MATCH($I803,MCC_MASTER!$A$5:$A$504,0))="","Chưa phân loại",INDEX(MCC_MASTER!$C$5:$C$504,MATCH($I803,MCC_MASTER!$A$5:$A$504,0))),"Chưa phân loại"))</f>
        <v/>
      </c>
      <c r="L803" s="40" t="n"/>
      <c r="M803" s="48" t="str">
        <f>IF(OR($B803="",$D803=""),"",IF($AC803=0,0,IF(ISNUMBER(INDEX(CASHBACK_RULES!$L$5:$L$304,$AC803)),MAX(0,MIN($L803,INDEX(CASHBACK_RULES!$L$5:$L$304,$AC803)-$AH803)),MAX(0,$L803))))</f>
        <v/>
      </c>
      <c r="N803" s="49" t="str">
        <f>IF(OR($B803="",$D803=""),"",IF($AC803&gt;0,INDEX(CASHBACK_RULES!$I$5:$I$304,$AC803),0))</f>
        <v/>
      </c>
      <c r="O803" s="48" t="str">
        <f>IF(OR($B803="",$D803=""),"",ROUND($M803*$N803,0))</f>
        <v/>
      </c>
      <c r="P803" s="48" t="str">
        <f>IF($AC803&gt;0,IF(ISNUMBER(INDEX(CASHBACK_RULES!$J$5:$J$304,$AC803)),INDEX(CASHBACK_RULES!$J$5:$J$304,$AC803),"∞"),"")</f>
        <v/>
      </c>
      <c r="Q803" s="48" t="str">
        <f>IF(OR($B803="",$D803=""),"",IF($AC803=0,0,MAX(0,MIN($O803,IF(ISNUMBER($P803),$P803-$AF803,1E+15),IF(ISNUMBER($AA803),$AA803-$AG803,1E+15)))))</f>
        <v/>
      </c>
      <c r="R803" s="48" t="str">
        <f>IF(OR($B803="",$D803=""),"",IF($AC803=0,"",IF(AND(NOT(ISNUMBER($P803)),NOT(ISNUMBER($AA803))),"∞",MAX(0,MIN(IF(ISNUMBER($P803),$P803-$AF803-$Q803,1E+15),IF(ISNUMBER($AA803),$AA803-$AG803-$Q803,1E+15))))))</f>
        <v/>
      </c>
      <c r="S803" s="47" t="str">
        <f>IF($AD803="","",YEAR($AD803)*100+MONTH($AD803))</f>
        <v/>
      </c>
      <c r="T803" s="50" t="str">
        <f>IF($AD803="","",IFERROR(IF(INDEX(CARDS!$I$5:$I$34,MATCH($D803,CARDS!$A$5:$A$34,0))="","",IF(INDEX(CARDS!$I$5:$I$34,MATCH($D803,CARDS!$A$5:$A$34,0))&gt;INDEX(CARDS!$H$5:$H$34,MATCH($D803,CARDS!$A$5:$A$34,0)),DATE(YEAR($AD803),MONTH($AD803),MIN(INDEX(CARDS!$I$5:$I$34,MATCH($D803,CARDS!$A$5:$A$34,0)),DAY(EOMONTH($AD803,0)))),DATE(YEAR($AD803),MONTH($AD803)+1,MIN(INDEX(CARDS!$I$5:$I$34,MATCH($D803,CARDS!$A$5:$A$34,0)),DAY(EOMONTH($AD803,1)))))),""))</f>
        <v/>
      </c>
      <c r="U803" s="38" t="n"/>
      <c r="V803" s="37" t="n"/>
      <c r="W803" s="38" t="n"/>
      <c r="X803" s="38" t="n"/>
      <c r="Y803" s="44" t="str">
        <f>IF($AC803&gt;0,INDEX(CASHBACK_RULES!$A$5:$A$304,$AC803),"")</f>
        <v/>
      </c>
      <c r="Z803" s="45" t="str">
        <f>IF($AC803&gt;0,INDEX(CASHBACK_RULES!$E$5:$E$304,$AC803)&amp;"","")</f>
        <v/>
      </c>
      <c r="AA803" s="48" t="str">
        <f>IF($AC803&gt;0,IF(ISNUMBER(INDEX(CASHBACK_RULES!$K$5:$K$304,$AC803)),INDEX(CASHBACK_RULES!$K$5:$K$304,$AC803),"∞"),"")</f>
        <v/>
      </c>
      <c r="AB803" s="44" t="str">
        <f>IF(OR($B803="",$D803=""),"",IF($U803="Cancelled","Đã hủy",IF($AC803=0,"Không được hoàn",IF($Q803=0,IF(OR($O803&gt;0,$M803&lt;$L803),"Đã đạt cap","Không được hoàn"),IF(OR($Q803&lt;$O803,$M803&lt;$L803),"Hoàn một phần","Được hoàn")))))</f>
        <v/>
      </c>
      <c r="AC803" s="43">
        <f>IF(OR($B803="",$D803="",$I803="",$L803=""),0,IF($U803="Cancelled",0,IF($W803&lt;&gt;"",IFERROR(IF(INDEX(CASHBACK_RULES!$B$5:$B$304,MATCH($W803,CASHBACK_RULES!$A$5:$A$304,0))=$D803,MATCH($W803,CASHBACK_RULES!$A$5:$A$304,0),0),0),IFERROR(MATCH(1,INDEX((CASHBACK_RULES!$B$5:$B$304=$D803)*(CASHBACK_RULES!$G$5:$G$304=$I803)*(((CASHBACK_RULES!$N$5:$N$304="")+(CASHBACK_RULES!$N$5:$N$304&lt;=$B803))&gt;0)*(((CASHBACK_RULES!$O$5:$O$304="")+(CASHBACK_RULES!$O$5:$O$304&gt;=$B803))&gt;0)*(((CASHBACK_RULES!$M$5:$M$304="")+(CASHBACK_RULES!$M$5:$M$304&lt;=$L803))&gt;0),0),0),0))))</f>
        <v>0</v>
      </c>
      <c r="AD803" s="51" t="str">
        <f>IF(OR($B803="",$D803=""),"",IFERROR(IF(INDEX(CARDS!$H$5:$H$34,MATCH($D803,CARDS!$A$5:$A$34,0))="","",IF(DAY($B803)&lt;=INDEX(CARDS!$H$5:$H$34,MATCH($D803,CARDS!$A$5:$A$34,0)),DATE(YEAR($B803),MONTH($B803),MIN(INDEX(CARDS!$H$5:$H$34,MATCH($D803,CARDS!$A$5:$A$34,0)),DAY(EOMONTH($B803,0)))),DATE(YEAR($B803),MONTH($B803)+1,MIN(INDEX(CARDS!$H$5:$H$34,MATCH($D803,CARDS!$A$5:$A$34,0)),DAY(EOMONTH($B803,1)))))),""))</f>
        <v/>
      </c>
      <c r="AE803" s="52" t="str">
        <f>IF($C803="","",$C803&amp;"|"&amp;COUNTIF($C$5:$C803,$C803))</f>
        <v/>
      </c>
      <c r="AF803" s="53">
        <f>IF($AC803&gt;0,SUMIFS(Q$4:Q802,$D$4:$D802,$D803,$Z$4:$Z802,$Z803,$C$4:$C802,$C803),0)</f>
        <v>0</v>
      </c>
      <c r="AG803" s="53">
        <f>IF($AC803&gt;0,SUMIFS(Q$4:Q802,$D$4:$D802,$D803,$C$4:$C802,$C803),0)</f>
        <v>0</v>
      </c>
      <c r="AH803" s="53">
        <f>IF($AC803&gt;0,SUMIFS(M$4:M802,$D$4:$D802,$D803,$Z$4:$Z802,$Z803,$C$4:$C802,$C803),0)</f>
        <v>0</v>
      </c>
      <c r="AI803" s="43">
        <f>IF(OR($C803="",$I803=""),0,IF(COUNTIFS($C$5:$C803,$C803,$I$5:$I803,$I803)=1,1,0))</f>
        <v>0</v>
      </c>
      <c r="AJ803" s="43" t="str">
        <f>IF($AI803=1,SUMIFS($AI$4:$AI802,$C$4:$C802,$C803)+1,"")</f>
        <v/>
      </c>
      <c r="AK803" s="43">
        <f>IF(OR($C803="",$K803=""),0,IF(COUNTIFS($C$5:$C803,$C803,$K$5:$K803,$K803)=1,1,0))</f>
        <v>0</v>
      </c>
      <c r="AL803" s="43" t="str">
        <f>IF($AK803=1,SUMIFS($AK$4:$AK802,$C$4:$C802,$C803)+1,"")</f>
        <v/>
      </c>
      <c r="AM803" s="43">
        <f>IF(OR($C803="",$G803=""),0,IF(COUNTIFS($C$5:$C803,$C803,$G$5:$G803,$G803)=1,1,0))</f>
        <v>0</v>
      </c>
      <c r="AN803" s="43" t="str">
        <f>IF($AM803=1,SUMIFS($AM$4:$AM802,$C$4:$C802,$C803)+1,"")</f>
        <v/>
      </c>
    </row>
    <row r="804">
      <c r="A804" s="44" t="str">
        <f>IF(OR($B804="",$D804=""),"","TX"&amp;TEXT(ROW()-4,"0000"))</f>
        <v/>
      </c>
      <c r="B804" s="42" t="n"/>
      <c r="C804" s="47" t="str">
        <f>IF($B804="","",YEAR($B804)*100+MONTH($B804))</f>
        <v/>
      </c>
      <c r="D804" s="37" t="n"/>
      <c r="E804" s="45" t="str">
        <f>IF($D804="","",IFERROR(INDEX(CARDS!$B$5:$B$34,MATCH($D804,CARDS!$A$5:$A$34,0)),"⚠ Card ID?"))</f>
        <v/>
      </c>
      <c r="F804" s="45" t="str">
        <f>IF($D804="","",IFERROR(INDEX(CARDS!$C$5:$C$34,MATCH($D804,CARDS!$A$5:$A$34,0)),"⚠ Card ID?"))</f>
        <v/>
      </c>
      <c r="G804" s="37" t="n"/>
      <c r="H804" s="37" t="n"/>
      <c r="I804" s="41" t="n"/>
      <c r="J804" s="45" t="str">
        <f>IF($I804="","",IFERROR(INDEX(MCC_MASTER!$B$5:$B$504,MATCH($I804,MCC_MASTER!$A$5:$A$504,0)),"⚠ MCC chưa có"))</f>
        <v/>
      </c>
      <c r="K804" s="45" t="str">
        <f>IF($I804="","",IFERROR(IF(INDEX(MCC_MASTER!$C$5:$C$504,MATCH($I804,MCC_MASTER!$A$5:$A$504,0))="","Chưa phân loại",INDEX(MCC_MASTER!$C$5:$C$504,MATCH($I804,MCC_MASTER!$A$5:$A$504,0))),"Chưa phân loại"))</f>
        <v/>
      </c>
      <c r="L804" s="40" t="n"/>
      <c r="M804" s="48" t="str">
        <f>IF(OR($B804="",$D804=""),"",IF($AC804=0,0,IF(ISNUMBER(INDEX(CASHBACK_RULES!$L$5:$L$304,$AC804)),MAX(0,MIN($L804,INDEX(CASHBACK_RULES!$L$5:$L$304,$AC804)-$AH804)),MAX(0,$L804))))</f>
        <v/>
      </c>
      <c r="N804" s="49" t="str">
        <f>IF(OR($B804="",$D804=""),"",IF($AC804&gt;0,INDEX(CASHBACK_RULES!$I$5:$I$304,$AC804),0))</f>
        <v/>
      </c>
      <c r="O804" s="48" t="str">
        <f>IF(OR($B804="",$D804=""),"",ROUND($M804*$N804,0))</f>
        <v/>
      </c>
      <c r="P804" s="48" t="str">
        <f>IF($AC804&gt;0,IF(ISNUMBER(INDEX(CASHBACK_RULES!$J$5:$J$304,$AC804)),INDEX(CASHBACK_RULES!$J$5:$J$304,$AC804),"∞"),"")</f>
        <v/>
      </c>
      <c r="Q804" s="48" t="str">
        <f>IF(OR($B804="",$D804=""),"",IF($AC804=0,0,MAX(0,MIN($O804,IF(ISNUMBER($P804),$P804-$AF804,1E+15),IF(ISNUMBER($AA804),$AA804-$AG804,1E+15)))))</f>
        <v/>
      </c>
      <c r="R804" s="48" t="str">
        <f>IF(OR($B804="",$D804=""),"",IF($AC804=0,"",IF(AND(NOT(ISNUMBER($P804)),NOT(ISNUMBER($AA804))),"∞",MAX(0,MIN(IF(ISNUMBER($P804),$P804-$AF804-$Q804,1E+15),IF(ISNUMBER($AA804),$AA804-$AG804-$Q804,1E+15))))))</f>
        <v/>
      </c>
      <c r="S804" s="47" t="str">
        <f>IF($AD804="","",YEAR($AD804)*100+MONTH($AD804))</f>
        <v/>
      </c>
      <c r="T804" s="50" t="str">
        <f>IF($AD804="","",IFERROR(IF(INDEX(CARDS!$I$5:$I$34,MATCH($D804,CARDS!$A$5:$A$34,0))="","",IF(INDEX(CARDS!$I$5:$I$34,MATCH($D804,CARDS!$A$5:$A$34,0))&gt;INDEX(CARDS!$H$5:$H$34,MATCH($D804,CARDS!$A$5:$A$34,0)),DATE(YEAR($AD804),MONTH($AD804),MIN(INDEX(CARDS!$I$5:$I$34,MATCH($D804,CARDS!$A$5:$A$34,0)),DAY(EOMONTH($AD804,0)))),DATE(YEAR($AD804),MONTH($AD804)+1,MIN(INDEX(CARDS!$I$5:$I$34,MATCH($D804,CARDS!$A$5:$A$34,0)),DAY(EOMONTH($AD804,1)))))),""))</f>
        <v/>
      </c>
      <c r="U804" s="38" t="n"/>
      <c r="V804" s="37" t="n"/>
      <c r="W804" s="38" t="n"/>
      <c r="X804" s="38" t="n"/>
      <c r="Y804" s="44" t="str">
        <f>IF($AC804&gt;0,INDEX(CASHBACK_RULES!$A$5:$A$304,$AC804),"")</f>
        <v/>
      </c>
      <c r="Z804" s="45" t="str">
        <f>IF($AC804&gt;0,INDEX(CASHBACK_RULES!$E$5:$E$304,$AC804)&amp;"","")</f>
        <v/>
      </c>
      <c r="AA804" s="48" t="str">
        <f>IF($AC804&gt;0,IF(ISNUMBER(INDEX(CASHBACK_RULES!$K$5:$K$304,$AC804)),INDEX(CASHBACK_RULES!$K$5:$K$304,$AC804),"∞"),"")</f>
        <v/>
      </c>
      <c r="AB804" s="44" t="str">
        <f>IF(OR($B804="",$D804=""),"",IF($U804="Cancelled","Đã hủy",IF($AC804=0,"Không được hoàn",IF($Q804=0,IF(OR($O804&gt;0,$M804&lt;$L804),"Đã đạt cap","Không được hoàn"),IF(OR($Q804&lt;$O804,$M804&lt;$L804),"Hoàn một phần","Được hoàn")))))</f>
        <v/>
      </c>
      <c r="AC804" s="43">
        <f>IF(OR($B804="",$D804="",$I804="",$L804=""),0,IF($U804="Cancelled",0,IF($W804&lt;&gt;"",IFERROR(IF(INDEX(CASHBACK_RULES!$B$5:$B$304,MATCH($W804,CASHBACK_RULES!$A$5:$A$304,0))=$D804,MATCH($W804,CASHBACK_RULES!$A$5:$A$304,0),0),0),IFERROR(MATCH(1,INDEX((CASHBACK_RULES!$B$5:$B$304=$D804)*(CASHBACK_RULES!$G$5:$G$304=$I804)*(((CASHBACK_RULES!$N$5:$N$304="")+(CASHBACK_RULES!$N$5:$N$304&lt;=$B804))&gt;0)*(((CASHBACK_RULES!$O$5:$O$304="")+(CASHBACK_RULES!$O$5:$O$304&gt;=$B804))&gt;0)*(((CASHBACK_RULES!$M$5:$M$304="")+(CASHBACK_RULES!$M$5:$M$304&lt;=$L804))&gt;0),0),0),0))))</f>
        <v>0</v>
      </c>
      <c r="AD804" s="51" t="str">
        <f>IF(OR($B804="",$D804=""),"",IFERROR(IF(INDEX(CARDS!$H$5:$H$34,MATCH($D804,CARDS!$A$5:$A$34,0))="","",IF(DAY($B804)&lt;=INDEX(CARDS!$H$5:$H$34,MATCH($D804,CARDS!$A$5:$A$34,0)),DATE(YEAR($B804),MONTH($B804),MIN(INDEX(CARDS!$H$5:$H$34,MATCH($D804,CARDS!$A$5:$A$34,0)),DAY(EOMONTH($B804,0)))),DATE(YEAR($B804),MONTH($B804)+1,MIN(INDEX(CARDS!$H$5:$H$34,MATCH($D804,CARDS!$A$5:$A$34,0)),DAY(EOMONTH($B804,1)))))),""))</f>
        <v/>
      </c>
      <c r="AE804" s="52" t="str">
        <f>IF($C804="","",$C804&amp;"|"&amp;COUNTIF($C$5:$C804,$C804))</f>
        <v/>
      </c>
      <c r="AF804" s="53">
        <f>IF($AC804&gt;0,SUMIFS(Q$4:Q803,$D$4:$D803,$D804,$Z$4:$Z803,$Z804,$C$4:$C803,$C804),0)</f>
        <v>0</v>
      </c>
      <c r="AG804" s="53">
        <f>IF($AC804&gt;0,SUMIFS(Q$4:Q803,$D$4:$D803,$D804,$C$4:$C803,$C804),0)</f>
        <v>0</v>
      </c>
      <c r="AH804" s="53">
        <f>IF($AC804&gt;0,SUMIFS(M$4:M803,$D$4:$D803,$D804,$Z$4:$Z803,$Z804,$C$4:$C803,$C804),0)</f>
        <v>0</v>
      </c>
      <c r="AI804" s="43">
        <f>IF(OR($C804="",$I804=""),0,IF(COUNTIFS($C$5:$C804,$C804,$I$5:$I804,$I804)=1,1,0))</f>
        <v>0</v>
      </c>
      <c r="AJ804" s="43" t="str">
        <f>IF($AI804=1,SUMIFS($AI$4:$AI803,$C$4:$C803,$C804)+1,"")</f>
        <v/>
      </c>
      <c r="AK804" s="43">
        <f>IF(OR($C804="",$K804=""),0,IF(COUNTIFS($C$5:$C804,$C804,$K$5:$K804,$K804)=1,1,0))</f>
        <v>0</v>
      </c>
      <c r="AL804" s="43" t="str">
        <f>IF($AK804=1,SUMIFS($AK$4:$AK803,$C$4:$C803,$C804)+1,"")</f>
        <v/>
      </c>
      <c r="AM804" s="43">
        <f>IF(OR($C804="",$G804=""),0,IF(COUNTIFS($C$5:$C804,$C804,$G$5:$G804,$G804)=1,1,0))</f>
        <v>0</v>
      </c>
      <c r="AN804" s="43" t="str">
        <f>IF($AM804=1,SUMIFS($AM$4:$AM803,$C$4:$C803,$C804)+1,"")</f>
        <v/>
      </c>
    </row>
    <row r="805">
      <c r="A805" s="44" t="str">
        <f>IF(OR($B805="",$D805=""),"","TX"&amp;TEXT(ROW()-4,"0000"))</f>
        <v/>
      </c>
      <c r="B805" s="42" t="n"/>
      <c r="C805" s="47" t="str">
        <f>IF($B805="","",YEAR($B805)*100+MONTH($B805))</f>
        <v/>
      </c>
      <c r="D805" s="37" t="n"/>
      <c r="E805" s="45" t="str">
        <f>IF($D805="","",IFERROR(INDEX(CARDS!$B$5:$B$34,MATCH($D805,CARDS!$A$5:$A$34,0)),"⚠ Card ID?"))</f>
        <v/>
      </c>
      <c r="F805" s="45" t="str">
        <f>IF($D805="","",IFERROR(INDEX(CARDS!$C$5:$C$34,MATCH($D805,CARDS!$A$5:$A$34,0)),"⚠ Card ID?"))</f>
        <v/>
      </c>
      <c r="G805" s="37" t="n"/>
      <c r="H805" s="37" t="n"/>
      <c r="I805" s="41" t="n"/>
      <c r="J805" s="45" t="str">
        <f>IF($I805="","",IFERROR(INDEX(MCC_MASTER!$B$5:$B$504,MATCH($I805,MCC_MASTER!$A$5:$A$504,0)),"⚠ MCC chưa có"))</f>
        <v/>
      </c>
      <c r="K805" s="45" t="str">
        <f>IF($I805="","",IFERROR(IF(INDEX(MCC_MASTER!$C$5:$C$504,MATCH($I805,MCC_MASTER!$A$5:$A$504,0))="","Chưa phân loại",INDEX(MCC_MASTER!$C$5:$C$504,MATCH($I805,MCC_MASTER!$A$5:$A$504,0))),"Chưa phân loại"))</f>
        <v/>
      </c>
      <c r="L805" s="40" t="n"/>
      <c r="M805" s="48" t="str">
        <f>IF(OR($B805="",$D805=""),"",IF($AC805=0,0,IF(ISNUMBER(INDEX(CASHBACK_RULES!$L$5:$L$304,$AC805)),MAX(0,MIN($L805,INDEX(CASHBACK_RULES!$L$5:$L$304,$AC805)-$AH805)),MAX(0,$L805))))</f>
        <v/>
      </c>
      <c r="N805" s="49" t="str">
        <f>IF(OR($B805="",$D805=""),"",IF($AC805&gt;0,INDEX(CASHBACK_RULES!$I$5:$I$304,$AC805),0))</f>
        <v/>
      </c>
      <c r="O805" s="48" t="str">
        <f>IF(OR($B805="",$D805=""),"",ROUND($M805*$N805,0))</f>
        <v/>
      </c>
      <c r="P805" s="48" t="str">
        <f>IF($AC805&gt;0,IF(ISNUMBER(INDEX(CASHBACK_RULES!$J$5:$J$304,$AC805)),INDEX(CASHBACK_RULES!$J$5:$J$304,$AC805),"∞"),"")</f>
        <v/>
      </c>
      <c r="Q805" s="48" t="str">
        <f>IF(OR($B805="",$D805=""),"",IF($AC805=0,0,MAX(0,MIN($O805,IF(ISNUMBER($P805),$P805-$AF805,1E+15),IF(ISNUMBER($AA805),$AA805-$AG805,1E+15)))))</f>
        <v/>
      </c>
      <c r="R805" s="48" t="str">
        <f>IF(OR($B805="",$D805=""),"",IF($AC805=0,"",IF(AND(NOT(ISNUMBER($P805)),NOT(ISNUMBER($AA805))),"∞",MAX(0,MIN(IF(ISNUMBER($P805),$P805-$AF805-$Q805,1E+15),IF(ISNUMBER($AA805),$AA805-$AG805-$Q805,1E+15))))))</f>
        <v/>
      </c>
      <c r="S805" s="47" t="str">
        <f>IF($AD805="","",YEAR($AD805)*100+MONTH($AD805))</f>
        <v/>
      </c>
      <c r="T805" s="50" t="str">
        <f>IF($AD805="","",IFERROR(IF(INDEX(CARDS!$I$5:$I$34,MATCH($D805,CARDS!$A$5:$A$34,0))="","",IF(INDEX(CARDS!$I$5:$I$34,MATCH($D805,CARDS!$A$5:$A$34,0))&gt;INDEX(CARDS!$H$5:$H$34,MATCH($D805,CARDS!$A$5:$A$34,0)),DATE(YEAR($AD805),MONTH($AD805),MIN(INDEX(CARDS!$I$5:$I$34,MATCH($D805,CARDS!$A$5:$A$34,0)),DAY(EOMONTH($AD805,0)))),DATE(YEAR($AD805),MONTH($AD805)+1,MIN(INDEX(CARDS!$I$5:$I$34,MATCH($D805,CARDS!$A$5:$A$34,0)),DAY(EOMONTH($AD805,1)))))),""))</f>
        <v/>
      </c>
      <c r="U805" s="38" t="n"/>
      <c r="V805" s="37" t="n"/>
      <c r="W805" s="38" t="n"/>
      <c r="X805" s="38" t="n"/>
      <c r="Y805" s="44" t="str">
        <f>IF($AC805&gt;0,INDEX(CASHBACK_RULES!$A$5:$A$304,$AC805),"")</f>
        <v/>
      </c>
      <c r="Z805" s="45" t="str">
        <f>IF($AC805&gt;0,INDEX(CASHBACK_RULES!$E$5:$E$304,$AC805)&amp;"","")</f>
        <v/>
      </c>
      <c r="AA805" s="48" t="str">
        <f>IF($AC805&gt;0,IF(ISNUMBER(INDEX(CASHBACK_RULES!$K$5:$K$304,$AC805)),INDEX(CASHBACK_RULES!$K$5:$K$304,$AC805),"∞"),"")</f>
        <v/>
      </c>
      <c r="AB805" s="44" t="str">
        <f>IF(OR($B805="",$D805=""),"",IF($U805="Cancelled","Đã hủy",IF($AC805=0,"Không được hoàn",IF($Q805=0,IF(OR($O805&gt;0,$M805&lt;$L805),"Đã đạt cap","Không được hoàn"),IF(OR($Q805&lt;$O805,$M805&lt;$L805),"Hoàn một phần","Được hoàn")))))</f>
        <v/>
      </c>
      <c r="AC805" s="43">
        <f>IF(OR($B805="",$D805="",$I805="",$L805=""),0,IF($U805="Cancelled",0,IF($W805&lt;&gt;"",IFERROR(IF(INDEX(CASHBACK_RULES!$B$5:$B$304,MATCH($W805,CASHBACK_RULES!$A$5:$A$304,0))=$D805,MATCH($W805,CASHBACK_RULES!$A$5:$A$304,0),0),0),IFERROR(MATCH(1,INDEX((CASHBACK_RULES!$B$5:$B$304=$D805)*(CASHBACK_RULES!$G$5:$G$304=$I805)*(((CASHBACK_RULES!$N$5:$N$304="")+(CASHBACK_RULES!$N$5:$N$304&lt;=$B805))&gt;0)*(((CASHBACK_RULES!$O$5:$O$304="")+(CASHBACK_RULES!$O$5:$O$304&gt;=$B805))&gt;0)*(((CASHBACK_RULES!$M$5:$M$304="")+(CASHBACK_RULES!$M$5:$M$304&lt;=$L805))&gt;0),0),0),0))))</f>
        <v>0</v>
      </c>
      <c r="AD805" s="51" t="str">
        <f>IF(OR($B805="",$D805=""),"",IFERROR(IF(INDEX(CARDS!$H$5:$H$34,MATCH($D805,CARDS!$A$5:$A$34,0))="","",IF(DAY($B805)&lt;=INDEX(CARDS!$H$5:$H$34,MATCH($D805,CARDS!$A$5:$A$34,0)),DATE(YEAR($B805),MONTH($B805),MIN(INDEX(CARDS!$H$5:$H$34,MATCH($D805,CARDS!$A$5:$A$34,0)),DAY(EOMONTH($B805,0)))),DATE(YEAR($B805),MONTH($B805)+1,MIN(INDEX(CARDS!$H$5:$H$34,MATCH($D805,CARDS!$A$5:$A$34,0)),DAY(EOMONTH($B805,1)))))),""))</f>
        <v/>
      </c>
      <c r="AE805" s="52" t="str">
        <f>IF($C805="","",$C805&amp;"|"&amp;COUNTIF($C$5:$C805,$C805))</f>
        <v/>
      </c>
      <c r="AF805" s="53">
        <f>IF($AC805&gt;0,SUMIFS(Q$4:Q804,$D$4:$D804,$D805,$Z$4:$Z804,$Z805,$C$4:$C804,$C805),0)</f>
        <v>0</v>
      </c>
      <c r="AG805" s="53">
        <f>IF($AC805&gt;0,SUMIFS(Q$4:Q804,$D$4:$D804,$D805,$C$4:$C804,$C805),0)</f>
        <v>0</v>
      </c>
      <c r="AH805" s="53">
        <f>IF($AC805&gt;0,SUMIFS(M$4:M804,$D$4:$D804,$D805,$Z$4:$Z804,$Z805,$C$4:$C804,$C805),0)</f>
        <v>0</v>
      </c>
      <c r="AI805" s="43">
        <f>IF(OR($C805="",$I805=""),0,IF(COUNTIFS($C$5:$C805,$C805,$I$5:$I805,$I805)=1,1,0))</f>
        <v>0</v>
      </c>
      <c r="AJ805" s="43" t="str">
        <f>IF($AI805=1,SUMIFS($AI$4:$AI804,$C$4:$C804,$C805)+1,"")</f>
        <v/>
      </c>
      <c r="AK805" s="43">
        <f>IF(OR($C805="",$K805=""),0,IF(COUNTIFS($C$5:$C805,$C805,$K$5:$K805,$K805)=1,1,0))</f>
        <v>0</v>
      </c>
      <c r="AL805" s="43" t="str">
        <f>IF($AK805=1,SUMIFS($AK$4:$AK804,$C$4:$C804,$C805)+1,"")</f>
        <v/>
      </c>
      <c r="AM805" s="43">
        <f>IF(OR($C805="",$G805=""),0,IF(COUNTIFS($C$5:$C805,$C805,$G$5:$G805,$G805)=1,1,0))</f>
        <v>0</v>
      </c>
      <c r="AN805" s="43" t="str">
        <f>IF($AM805=1,SUMIFS($AM$4:$AM804,$C$4:$C804,$C805)+1,"")</f>
        <v/>
      </c>
    </row>
    <row r="806">
      <c r="A806" s="44" t="str">
        <f>IF(OR($B806="",$D806=""),"","TX"&amp;TEXT(ROW()-4,"0000"))</f>
        <v/>
      </c>
      <c r="B806" s="42" t="n"/>
      <c r="C806" s="47" t="str">
        <f>IF($B806="","",YEAR($B806)*100+MONTH($B806))</f>
        <v/>
      </c>
      <c r="D806" s="37" t="n"/>
      <c r="E806" s="45" t="str">
        <f>IF($D806="","",IFERROR(INDEX(CARDS!$B$5:$B$34,MATCH($D806,CARDS!$A$5:$A$34,0)),"⚠ Card ID?"))</f>
        <v/>
      </c>
      <c r="F806" s="45" t="str">
        <f>IF($D806="","",IFERROR(INDEX(CARDS!$C$5:$C$34,MATCH($D806,CARDS!$A$5:$A$34,0)),"⚠ Card ID?"))</f>
        <v/>
      </c>
      <c r="G806" s="37" t="n"/>
      <c r="H806" s="37" t="n"/>
      <c r="I806" s="41" t="n"/>
      <c r="J806" s="45" t="str">
        <f>IF($I806="","",IFERROR(INDEX(MCC_MASTER!$B$5:$B$504,MATCH($I806,MCC_MASTER!$A$5:$A$504,0)),"⚠ MCC chưa có"))</f>
        <v/>
      </c>
      <c r="K806" s="45" t="str">
        <f>IF($I806="","",IFERROR(IF(INDEX(MCC_MASTER!$C$5:$C$504,MATCH($I806,MCC_MASTER!$A$5:$A$504,0))="","Chưa phân loại",INDEX(MCC_MASTER!$C$5:$C$504,MATCH($I806,MCC_MASTER!$A$5:$A$504,0))),"Chưa phân loại"))</f>
        <v/>
      </c>
      <c r="L806" s="40" t="n"/>
      <c r="M806" s="48" t="str">
        <f>IF(OR($B806="",$D806=""),"",IF($AC806=0,0,IF(ISNUMBER(INDEX(CASHBACK_RULES!$L$5:$L$304,$AC806)),MAX(0,MIN($L806,INDEX(CASHBACK_RULES!$L$5:$L$304,$AC806)-$AH806)),MAX(0,$L806))))</f>
        <v/>
      </c>
      <c r="N806" s="49" t="str">
        <f>IF(OR($B806="",$D806=""),"",IF($AC806&gt;0,INDEX(CASHBACK_RULES!$I$5:$I$304,$AC806),0))</f>
        <v/>
      </c>
      <c r="O806" s="48" t="str">
        <f>IF(OR($B806="",$D806=""),"",ROUND($M806*$N806,0))</f>
        <v/>
      </c>
      <c r="P806" s="48" t="str">
        <f>IF($AC806&gt;0,IF(ISNUMBER(INDEX(CASHBACK_RULES!$J$5:$J$304,$AC806)),INDEX(CASHBACK_RULES!$J$5:$J$304,$AC806),"∞"),"")</f>
        <v/>
      </c>
      <c r="Q806" s="48" t="str">
        <f>IF(OR($B806="",$D806=""),"",IF($AC806=0,0,MAX(0,MIN($O806,IF(ISNUMBER($P806),$P806-$AF806,1E+15),IF(ISNUMBER($AA806),$AA806-$AG806,1E+15)))))</f>
        <v/>
      </c>
      <c r="R806" s="48" t="str">
        <f>IF(OR($B806="",$D806=""),"",IF($AC806=0,"",IF(AND(NOT(ISNUMBER($P806)),NOT(ISNUMBER($AA806))),"∞",MAX(0,MIN(IF(ISNUMBER($P806),$P806-$AF806-$Q806,1E+15),IF(ISNUMBER($AA806),$AA806-$AG806-$Q806,1E+15))))))</f>
        <v/>
      </c>
      <c r="S806" s="47" t="str">
        <f>IF($AD806="","",YEAR($AD806)*100+MONTH($AD806))</f>
        <v/>
      </c>
      <c r="T806" s="50" t="str">
        <f>IF($AD806="","",IFERROR(IF(INDEX(CARDS!$I$5:$I$34,MATCH($D806,CARDS!$A$5:$A$34,0))="","",IF(INDEX(CARDS!$I$5:$I$34,MATCH($D806,CARDS!$A$5:$A$34,0))&gt;INDEX(CARDS!$H$5:$H$34,MATCH($D806,CARDS!$A$5:$A$34,0)),DATE(YEAR($AD806),MONTH($AD806),MIN(INDEX(CARDS!$I$5:$I$34,MATCH($D806,CARDS!$A$5:$A$34,0)),DAY(EOMONTH($AD806,0)))),DATE(YEAR($AD806),MONTH($AD806)+1,MIN(INDEX(CARDS!$I$5:$I$34,MATCH($D806,CARDS!$A$5:$A$34,0)),DAY(EOMONTH($AD806,1)))))),""))</f>
        <v/>
      </c>
      <c r="U806" s="38" t="n"/>
      <c r="V806" s="37" t="n"/>
      <c r="W806" s="38" t="n"/>
      <c r="X806" s="38" t="n"/>
      <c r="Y806" s="44" t="str">
        <f>IF($AC806&gt;0,INDEX(CASHBACK_RULES!$A$5:$A$304,$AC806),"")</f>
        <v/>
      </c>
      <c r="Z806" s="45" t="str">
        <f>IF($AC806&gt;0,INDEX(CASHBACK_RULES!$E$5:$E$304,$AC806)&amp;"","")</f>
        <v/>
      </c>
      <c r="AA806" s="48" t="str">
        <f>IF($AC806&gt;0,IF(ISNUMBER(INDEX(CASHBACK_RULES!$K$5:$K$304,$AC806)),INDEX(CASHBACK_RULES!$K$5:$K$304,$AC806),"∞"),"")</f>
        <v/>
      </c>
      <c r="AB806" s="44" t="str">
        <f>IF(OR($B806="",$D806=""),"",IF($U806="Cancelled","Đã hủy",IF($AC806=0,"Không được hoàn",IF($Q806=0,IF(OR($O806&gt;0,$M806&lt;$L806),"Đã đạt cap","Không được hoàn"),IF(OR($Q806&lt;$O806,$M806&lt;$L806),"Hoàn một phần","Được hoàn")))))</f>
        <v/>
      </c>
      <c r="AC806" s="43">
        <f>IF(OR($B806="",$D806="",$I806="",$L806=""),0,IF($U806="Cancelled",0,IF($W806&lt;&gt;"",IFERROR(IF(INDEX(CASHBACK_RULES!$B$5:$B$304,MATCH($W806,CASHBACK_RULES!$A$5:$A$304,0))=$D806,MATCH($W806,CASHBACK_RULES!$A$5:$A$304,0),0),0),IFERROR(MATCH(1,INDEX((CASHBACK_RULES!$B$5:$B$304=$D806)*(CASHBACK_RULES!$G$5:$G$304=$I806)*(((CASHBACK_RULES!$N$5:$N$304="")+(CASHBACK_RULES!$N$5:$N$304&lt;=$B806))&gt;0)*(((CASHBACK_RULES!$O$5:$O$304="")+(CASHBACK_RULES!$O$5:$O$304&gt;=$B806))&gt;0)*(((CASHBACK_RULES!$M$5:$M$304="")+(CASHBACK_RULES!$M$5:$M$304&lt;=$L806))&gt;0),0),0),0))))</f>
        <v>0</v>
      </c>
      <c r="AD806" s="51" t="str">
        <f>IF(OR($B806="",$D806=""),"",IFERROR(IF(INDEX(CARDS!$H$5:$H$34,MATCH($D806,CARDS!$A$5:$A$34,0))="","",IF(DAY($B806)&lt;=INDEX(CARDS!$H$5:$H$34,MATCH($D806,CARDS!$A$5:$A$34,0)),DATE(YEAR($B806),MONTH($B806),MIN(INDEX(CARDS!$H$5:$H$34,MATCH($D806,CARDS!$A$5:$A$34,0)),DAY(EOMONTH($B806,0)))),DATE(YEAR($B806),MONTH($B806)+1,MIN(INDEX(CARDS!$H$5:$H$34,MATCH($D806,CARDS!$A$5:$A$34,0)),DAY(EOMONTH($B806,1)))))),""))</f>
        <v/>
      </c>
      <c r="AE806" s="52" t="str">
        <f>IF($C806="","",$C806&amp;"|"&amp;COUNTIF($C$5:$C806,$C806))</f>
        <v/>
      </c>
      <c r="AF806" s="53">
        <f>IF($AC806&gt;0,SUMIFS(Q$4:Q805,$D$4:$D805,$D806,$Z$4:$Z805,$Z806,$C$4:$C805,$C806),0)</f>
        <v>0</v>
      </c>
      <c r="AG806" s="53">
        <f>IF($AC806&gt;0,SUMIFS(Q$4:Q805,$D$4:$D805,$D806,$C$4:$C805,$C806),0)</f>
        <v>0</v>
      </c>
      <c r="AH806" s="53">
        <f>IF($AC806&gt;0,SUMIFS(M$4:M805,$D$4:$D805,$D806,$Z$4:$Z805,$Z806,$C$4:$C805,$C806),0)</f>
        <v>0</v>
      </c>
      <c r="AI806" s="43">
        <f>IF(OR($C806="",$I806=""),0,IF(COUNTIFS($C$5:$C806,$C806,$I$5:$I806,$I806)=1,1,0))</f>
        <v>0</v>
      </c>
      <c r="AJ806" s="43" t="str">
        <f>IF($AI806=1,SUMIFS($AI$4:$AI805,$C$4:$C805,$C806)+1,"")</f>
        <v/>
      </c>
      <c r="AK806" s="43">
        <f>IF(OR($C806="",$K806=""),0,IF(COUNTIFS($C$5:$C806,$C806,$K$5:$K806,$K806)=1,1,0))</f>
        <v>0</v>
      </c>
      <c r="AL806" s="43" t="str">
        <f>IF($AK806=1,SUMIFS($AK$4:$AK805,$C$4:$C805,$C806)+1,"")</f>
        <v/>
      </c>
      <c r="AM806" s="43">
        <f>IF(OR($C806="",$G806=""),0,IF(COUNTIFS($C$5:$C806,$C806,$G$5:$G806,$G806)=1,1,0))</f>
        <v>0</v>
      </c>
      <c r="AN806" s="43" t="str">
        <f>IF($AM806=1,SUMIFS($AM$4:$AM805,$C$4:$C805,$C806)+1,"")</f>
        <v/>
      </c>
    </row>
    <row r="807">
      <c r="A807" s="44" t="str">
        <f>IF(OR($B807="",$D807=""),"","TX"&amp;TEXT(ROW()-4,"0000"))</f>
        <v/>
      </c>
      <c r="B807" s="42" t="n"/>
      <c r="C807" s="47" t="str">
        <f>IF($B807="","",YEAR($B807)*100+MONTH($B807))</f>
        <v/>
      </c>
      <c r="D807" s="37" t="n"/>
      <c r="E807" s="45" t="str">
        <f>IF($D807="","",IFERROR(INDEX(CARDS!$B$5:$B$34,MATCH($D807,CARDS!$A$5:$A$34,0)),"⚠ Card ID?"))</f>
        <v/>
      </c>
      <c r="F807" s="45" t="str">
        <f>IF($D807="","",IFERROR(INDEX(CARDS!$C$5:$C$34,MATCH($D807,CARDS!$A$5:$A$34,0)),"⚠ Card ID?"))</f>
        <v/>
      </c>
      <c r="G807" s="37" t="n"/>
      <c r="H807" s="37" t="n"/>
      <c r="I807" s="41" t="n"/>
      <c r="J807" s="45" t="str">
        <f>IF($I807="","",IFERROR(INDEX(MCC_MASTER!$B$5:$B$504,MATCH($I807,MCC_MASTER!$A$5:$A$504,0)),"⚠ MCC chưa có"))</f>
        <v/>
      </c>
      <c r="K807" s="45" t="str">
        <f>IF($I807="","",IFERROR(IF(INDEX(MCC_MASTER!$C$5:$C$504,MATCH($I807,MCC_MASTER!$A$5:$A$504,0))="","Chưa phân loại",INDEX(MCC_MASTER!$C$5:$C$504,MATCH($I807,MCC_MASTER!$A$5:$A$504,0))),"Chưa phân loại"))</f>
        <v/>
      </c>
      <c r="L807" s="40" t="n"/>
      <c r="M807" s="48" t="str">
        <f>IF(OR($B807="",$D807=""),"",IF($AC807=0,0,IF(ISNUMBER(INDEX(CASHBACK_RULES!$L$5:$L$304,$AC807)),MAX(0,MIN($L807,INDEX(CASHBACK_RULES!$L$5:$L$304,$AC807)-$AH807)),MAX(0,$L807))))</f>
        <v/>
      </c>
      <c r="N807" s="49" t="str">
        <f>IF(OR($B807="",$D807=""),"",IF($AC807&gt;0,INDEX(CASHBACK_RULES!$I$5:$I$304,$AC807),0))</f>
        <v/>
      </c>
      <c r="O807" s="48" t="str">
        <f>IF(OR($B807="",$D807=""),"",ROUND($M807*$N807,0))</f>
        <v/>
      </c>
      <c r="P807" s="48" t="str">
        <f>IF($AC807&gt;0,IF(ISNUMBER(INDEX(CASHBACK_RULES!$J$5:$J$304,$AC807)),INDEX(CASHBACK_RULES!$J$5:$J$304,$AC807),"∞"),"")</f>
        <v/>
      </c>
      <c r="Q807" s="48" t="str">
        <f>IF(OR($B807="",$D807=""),"",IF($AC807=0,0,MAX(0,MIN($O807,IF(ISNUMBER($P807),$P807-$AF807,1E+15),IF(ISNUMBER($AA807),$AA807-$AG807,1E+15)))))</f>
        <v/>
      </c>
      <c r="R807" s="48" t="str">
        <f>IF(OR($B807="",$D807=""),"",IF($AC807=0,"",IF(AND(NOT(ISNUMBER($P807)),NOT(ISNUMBER($AA807))),"∞",MAX(0,MIN(IF(ISNUMBER($P807),$P807-$AF807-$Q807,1E+15),IF(ISNUMBER($AA807),$AA807-$AG807-$Q807,1E+15))))))</f>
        <v/>
      </c>
      <c r="S807" s="47" t="str">
        <f>IF($AD807="","",YEAR($AD807)*100+MONTH($AD807))</f>
        <v/>
      </c>
      <c r="T807" s="50" t="str">
        <f>IF($AD807="","",IFERROR(IF(INDEX(CARDS!$I$5:$I$34,MATCH($D807,CARDS!$A$5:$A$34,0))="","",IF(INDEX(CARDS!$I$5:$I$34,MATCH($D807,CARDS!$A$5:$A$34,0))&gt;INDEX(CARDS!$H$5:$H$34,MATCH($D807,CARDS!$A$5:$A$34,0)),DATE(YEAR($AD807),MONTH($AD807),MIN(INDEX(CARDS!$I$5:$I$34,MATCH($D807,CARDS!$A$5:$A$34,0)),DAY(EOMONTH($AD807,0)))),DATE(YEAR($AD807),MONTH($AD807)+1,MIN(INDEX(CARDS!$I$5:$I$34,MATCH($D807,CARDS!$A$5:$A$34,0)),DAY(EOMONTH($AD807,1)))))),""))</f>
        <v/>
      </c>
      <c r="U807" s="38" t="n"/>
      <c r="V807" s="37" t="n"/>
      <c r="W807" s="38" t="n"/>
      <c r="X807" s="38" t="n"/>
      <c r="Y807" s="44" t="str">
        <f>IF($AC807&gt;0,INDEX(CASHBACK_RULES!$A$5:$A$304,$AC807),"")</f>
        <v/>
      </c>
      <c r="Z807" s="45" t="str">
        <f>IF($AC807&gt;0,INDEX(CASHBACK_RULES!$E$5:$E$304,$AC807)&amp;"","")</f>
        <v/>
      </c>
      <c r="AA807" s="48" t="str">
        <f>IF($AC807&gt;0,IF(ISNUMBER(INDEX(CASHBACK_RULES!$K$5:$K$304,$AC807)),INDEX(CASHBACK_RULES!$K$5:$K$304,$AC807),"∞"),"")</f>
        <v/>
      </c>
      <c r="AB807" s="44" t="str">
        <f>IF(OR($B807="",$D807=""),"",IF($U807="Cancelled","Đã hủy",IF($AC807=0,"Không được hoàn",IF($Q807=0,IF(OR($O807&gt;0,$M807&lt;$L807),"Đã đạt cap","Không được hoàn"),IF(OR($Q807&lt;$O807,$M807&lt;$L807),"Hoàn một phần","Được hoàn")))))</f>
        <v/>
      </c>
      <c r="AC807" s="43">
        <f>IF(OR($B807="",$D807="",$I807="",$L807=""),0,IF($U807="Cancelled",0,IF($W807&lt;&gt;"",IFERROR(IF(INDEX(CASHBACK_RULES!$B$5:$B$304,MATCH($W807,CASHBACK_RULES!$A$5:$A$304,0))=$D807,MATCH($W807,CASHBACK_RULES!$A$5:$A$304,0),0),0),IFERROR(MATCH(1,INDEX((CASHBACK_RULES!$B$5:$B$304=$D807)*(CASHBACK_RULES!$G$5:$G$304=$I807)*(((CASHBACK_RULES!$N$5:$N$304="")+(CASHBACK_RULES!$N$5:$N$304&lt;=$B807))&gt;0)*(((CASHBACK_RULES!$O$5:$O$304="")+(CASHBACK_RULES!$O$5:$O$304&gt;=$B807))&gt;0)*(((CASHBACK_RULES!$M$5:$M$304="")+(CASHBACK_RULES!$M$5:$M$304&lt;=$L807))&gt;0),0),0),0))))</f>
        <v>0</v>
      </c>
      <c r="AD807" s="51" t="str">
        <f>IF(OR($B807="",$D807=""),"",IFERROR(IF(INDEX(CARDS!$H$5:$H$34,MATCH($D807,CARDS!$A$5:$A$34,0))="","",IF(DAY($B807)&lt;=INDEX(CARDS!$H$5:$H$34,MATCH($D807,CARDS!$A$5:$A$34,0)),DATE(YEAR($B807),MONTH($B807),MIN(INDEX(CARDS!$H$5:$H$34,MATCH($D807,CARDS!$A$5:$A$34,0)),DAY(EOMONTH($B807,0)))),DATE(YEAR($B807),MONTH($B807)+1,MIN(INDEX(CARDS!$H$5:$H$34,MATCH($D807,CARDS!$A$5:$A$34,0)),DAY(EOMONTH($B807,1)))))),""))</f>
        <v/>
      </c>
      <c r="AE807" s="52" t="str">
        <f>IF($C807="","",$C807&amp;"|"&amp;COUNTIF($C$5:$C807,$C807))</f>
        <v/>
      </c>
      <c r="AF807" s="53">
        <f>IF($AC807&gt;0,SUMIFS(Q$4:Q806,$D$4:$D806,$D807,$Z$4:$Z806,$Z807,$C$4:$C806,$C807),0)</f>
        <v>0</v>
      </c>
      <c r="AG807" s="53">
        <f>IF($AC807&gt;0,SUMIFS(Q$4:Q806,$D$4:$D806,$D807,$C$4:$C806,$C807),0)</f>
        <v>0</v>
      </c>
      <c r="AH807" s="53">
        <f>IF($AC807&gt;0,SUMIFS(M$4:M806,$D$4:$D806,$D807,$Z$4:$Z806,$Z807,$C$4:$C806,$C807),0)</f>
        <v>0</v>
      </c>
      <c r="AI807" s="43">
        <f>IF(OR($C807="",$I807=""),0,IF(COUNTIFS($C$5:$C807,$C807,$I$5:$I807,$I807)=1,1,0))</f>
        <v>0</v>
      </c>
      <c r="AJ807" s="43" t="str">
        <f>IF($AI807=1,SUMIFS($AI$4:$AI806,$C$4:$C806,$C807)+1,"")</f>
        <v/>
      </c>
      <c r="AK807" s="43">
        <f>IF(OR($C807="",$K807=""),0,IF(COUNTIFS($C$5:$C807,$C807,$K$5:$K807,$K807)=1,1,0))</f>
        <v>0</v>
      </c>
      <c r="AL807" s="43" t="str">
        <f>IF($AK807=1,SUMIFS($AK$4:$AK806,$C$4:$C806,$C807)+1,"")</f>
        <v/>
      </c>
      <c r="AM807" s="43">
        <f>IF(OR($C807="",$G807=""),0,IF(COUNTIFS($C$5:$C807,$C807,$G$5:$G807,$G807)=1,1,0))</f>
        <v>0</v>
      </c>
      <c r="AN807" s="43" t="str">
        <f>IF($AM807=1,SUMIFS($AM$4:$AM806,$C$4:$C806,$C807)+1,"")</f>
        <v/>
      </c>
    </row>
    <row r="808">
      <c r="A808" s="44" t="str">
        <f>IF(OR($B808="",$D808=""),"","TX"&amp;TEXT(ROW()-4,"0000"))</f>
        <v/>
      </c>
      <c r="B808" s="42" t="n"/>
      <c r="C808" s="47" t="str">
        <f>IF($B808="","",YEAR($B808)*100+MONTH($B808))</f>
        <v/>
      </c>
      <c r="D808" s="37" t="n"/>
      <c r="E808" s="45" t="str">
        <f>IF($D808="","",IFERROR(INDEX(CARDS!$B$5:$B$34,MATCH($D808,CARDS!$A$5:$A$34,0)),"⚠ Card ID?"))</f>
        <v/>
      </c>
      <c r="F808" s="45" t="str">
        <f>IF($D808="","",IFERROR(INDEX(CARDS!$C$5:$C$34,MATCH($D808,CARDS!$A$5:$A$34,0)),"⚠ Card ID?"))</f>
        <v/>
      </c>
      <c r="G808" s="37" t="n"/>
      <c r="H808" s="37" t="n"/>
      <c r="I808" s="41" t="n"/>
      <c r="J808" s="45" t="str">
        <f>IF($I808="","",IFERROR(INDEX(MCC_MASTER!$B$5:$B$504,MATCH($I808,MCC_MASTER!$A$5:$A$504,0)),"⚠ MCC chưa có"))</f>
        <v/>
      </c>
      <c r="K808" s="45" t="str">
        <f>IF($I808="","",IFERROR(IF(INDEX(MCC_MASTER!$C$5:$C$504,MATCH($I808,MCC_MASTER!$A$5:$A$504,0))="","Chưa phân loại",INDEX(MCC_MASTER!$C$5:$C$504,MATCH($I808,MCC_MASTER!$A$5:$A$504,0))),"Chưa phân loại"))</f>
        <v/>
      </c>
      <c r="L808" s="40" t="n"/>
      <c r="M808" s="48" t="str">
        <f>IF(OR($B808="",$D808=""),"",IF($AC808=0,0,IF(ISNUMBER(INDEX(CASHBACK_RULES!$L$5:$L$304,$AC808)),MAX(0,MIN($L808,INDEX(CASHBACK_RULES!$L$5:$L$304,$AC808)-$AH808)),MAX(0,$L808))))</f>
        <v/>
      </c>
      <c r="N808" s="49" t="str">
        <f>IF(OR($B808="",$D808=""),"",IF($AC808&gt;0,INDEX(CASHBACK_RULES!$I$5:$I$304,$AC808),0))</f>
        <v/>
      </c>
      <c r="O808" s="48" t="str">
        <f>IF(OR($B808="",$D808=""),"",ROUND($M808*$N808,0))</f>
        <v/>
      </c>
      <c r="P808" s="48" t="str">
        <f>IF($AC808&gt;0,IF(ISNUMBER(INDEX(CASHBACK_RULES!$J$5:$J$304,$AC808)),INDEX(CASHBACK_RULES!$J$5:$J$304,$AC808),"∞"),"")</f>
        <v/>
      </c>
      <c r="Q808" s="48" t="str">
        <f>IF(OR($B808="",$D808=""),"",IF($AC808=0,0,MAX(0,MIN($O808,IF(ISNUMBER($P808),$P808-$AF808,1E+15),IF(ISNUMBER($AA808),$AA808-$AG808,1E+15)))))</f>
        <v/>
      </c>
      <c r="R808" s="48" t="str">
        <f>IF(OR($B808="",$D808=""),"",IF($AC808=0,"",IF(AND(NOT(ISNUMBER($P808)),NOT(ISNUMBER($AA808))),"∞",MAX(0,MIN(IF(ISNUMBER($P808),$P808-$AF808-$Q808,1E+15),IF(ISNUMBER($AA808),$AA808-$AG808-$Q808,1E+15))))))</f>
        <v/>
      </c>
      <c r="S808" s="47" t="str">
        <f>IF($AD808="","",YEAR($AD808)*100+MONTH($AD808))</f>
        <v/>
      </c>
      <c r="T808" s="50" t="str">
        <f>IF($AD808="","",IFERROR(IF(INDEX(CARDS!$I$5:$I$34,MATCH($D808,CARDS!$A$5:$A$34,0))="","",IF(INDEX(CARDS!$I$5:$I$34,MATCH($D808,CARDS!$A$5:$A$34,0))&gt;INDEX(CARDS!$H$5:$H$34,MATCH($D808,CARDS!$A$5:$A$34,0)),DATE(YEAR($AD808),MONTH($AD808),MIN(INDEX(CARDS!$I$5:$I$34,MATCH($D808,CARDS!$A$5:$A$34,0)),DAY(EOMONTH($AD808,0)))),DATE(YEAR($AD808),MONTH($AD808)+1,MIN(INDEX(CARDS!$I$5:$I$34,MATCH($D808,CARDS!$A$5:$A$34,0)),DAY(EOMONTH($AD808,1)))))),""))</f>
        <v/>
      </c>
      <c r="U808" s="38" t="n"/>
      <c r="V808" s="37" t="n"/>
      <c r="W808" s="38" t="n"/>
      <c r="X808" s="38" t="n"/>
      <c r="Y808" s="44" t="str">
        <f>IF($AC808&gt;0,INDEX(CASHBACK_RULES!$A$5:$A$304,$AC808),"")</f>
        <v/>
      </c>
      <c r="Z808" s="45" t="str">
        <f>IF($AC808&gt;0,INDEX(CASHBACK_RULES!$E$5:$E$304,$AC808)&amp;"","")</f>
        <v/>
      </c>
      <c r="AA808" s="48" t="str">
        <f>IF($AC808&gt;0,IF(ISNUMBER(INDEX(CASHBACK_RULES!$K$5:$K$304,$AC808)),INDEX(CASHBACK_RULES!$K$5:$K$304,$AC808),"∞"),"")</f>
        <v/>
      </c>
      <c r="AB808" s="44" t="str">
        <f>IF(OR($B808="",$D808=""),"",IF($U808="Cancelled","Đã hủy",IF($AC808=0,"Không được hoàn",IF($Q808=0,IF(OR($O808&gt;0,$M808&lt;$L808),"Đã đạt cap","Không được hoàn"),IF(OR($Q808&lt;$O808,$M808&lt;$L808),"Hoàn một phần","Được hoàn")))))</f>
        <v/>
      </c>
      <c r="AC808" s="43">
        <f>IF(OR($B808="",$D808="",$I808="",$L808=""),0,IF($U808="Cancelled",0,IF($W808&lt;&gt;"",IFERROR(IF(INDEX(CASHBACK_RULES!$B$5:$B$304,MATCH($W808,CASHBACK_RULES!$A$5:$A$304,0))=$D808,MATCH($W808,CASHBACK_RULES!$A$5:$A$304,0),0),0),IFERROR(MATCH(1,INDEX((CASHBACK_RULES!$B$5:$B$304=$D808)*(CASHBACK_RULES!$G$5:$G$304=$I808)*(((CASHBACK_RULES!$N$5:$N$304="")+(CASHBACK_RULES!$N$5:$N$304&lt;=$B808))&gt;0)*(((CASHBACK_RULES!$O$5:$O$304="")+(CASHBACK_RULES!$O$5:$O$304&gt;=$B808))&gt;0)*(((CASHBACK_RULES!$M$5:$M$304="")+(CASHBACK_RULES!$M$5:$M$304&lt;=$L808))&gt;0),0),0),0))))</f>
        <v>0</v>
      </c>
      <c r="AD808" s="51" t="str">
        <f>IF(OR($B808="",$D808=""),"",IFERROR(IF(INDEX(CARDS!$H$5:$H$34,MATCH($D808,CARDS!$A$5:$A$34,0))="","",IF(DAY($B808)&lt;=INDEX(CARDS!$H$5:$H$34,MATCH($D808,CARDS!$A$5:$A$34,0)),DATE(YEAR($B808),MONTH($B808),MIN(INDEX(CARDS!$H$5:$H$34,MATCH($D808,CARDS!$A$5:$A$34,0)),DAY(EOMONTH($B808,0)))),DATE(YEAR($B808),MONTH($B808)+1,MIN(INDEX(CARDS!$H$5:$H$34,MATCH($D808,CARDS!$A$5:$A$34,0)),DAY(EOMONTH($B808,1)))))),""))</f>
        <v/>
      </c>
      <c r="AE808" s="52" t="str">
        <f>IF($C808="","",$C808&amp;"|"&amp;COUNTIF($C$5:$C808,$C808))</f>
        <v/>
      </c>
      <c r="AF808" s="53">
        <f>IF($AC808&gt;0,SUMIFS(Q$4:Q807,$D$4:$D807,$D808,$Z$4:$Z807,$Z808,$C$4:$C807,$C808),0)</f>
        <v>0</v>
      </c>
      <c r="AG808" s="53">
        <f>IF($AC808&gt;0,SUMIFS(Q$4:Q807,$D$4:$D807,$D808,$C$4:$C807,$C808),0)</f>
        <v>0</v>
      </c>
      <c r="AH808" s="53">
        <f>IF($AC808&gt;0,SUMIFS(M$4:M807,$D$4:$D807,$D808,$Z$4:$Z807,$Z808,$C$4:$C807,$C808),0)</f>
        <v>0</v>
      </c>
      <c r="AI808" s="43">
        <f>IF(OR($C808="",$I808=""),0,IF(COUNTIFS($C$5:$C808,$C808,$I$5:$I808,$I808)=1,1,0))</f>
        <v>0</v>
      </c>
      <c r="AJ808" s="43" t="str">
        <f>IF($AI808=1,SUMIFS($AI$4:$AI807,$C$4:$C807,$C808)+1,"")</f>
        <v/>
      </c>
      <c r="AK808" s="43">
        <f>IF(OR($C808="",$K808=""),0,IF(COUNTIFS($C$5:$C808,$C808,$K$5:$K808,$K808)=1,1,0))</f>
        <v>0</v>
      </c>
      <c r="AL808" s="43" t="str">
        <f>IF($AK808=1,SUMIFS($AK$4:$AK807,$C$4:$C807,$C808)+1,"")</f>
        <v/>
      </c>
      <c r="AM808" s="43">
        <f>IF(OR($C808="",$G808=""),0,IF(COUNTIFS($C$5:$C808,$C808,$G$5:$G808,$G808)=1,1,0))</f>
        <v>0</v>
      </c>
      <c r="AN808" s="43" t="str">
        <f>IF($AM808=1,SUMIFS($AM$4:$AM807,$C$4:$C807,$C808)+1,"")</f>
        <v/>
      </c>
    </row>
    <row r="809">
      <c r="A809" s="44" t="str">
        <f>IF(OR($B809="",$D809=""),"","TX"&amp;TEXT(ROW()-4,"0000"))</f>
        <v/>
      </c>
      <c r="B809" s="42" t="n"/>
      <c r="C809" s="47" t="str">
        <f>IF($B809="","",YEAR($B809)*100+MONTH($B809))</f>
        <v/>
      </c>
      <c r="D809" s="37" t="n"/>
      <c r="E809" s="45" t="str">
        <f>IF($D809="","",IFERROR(INDEX(CARDS!$B$5:$B$34,MATCH($D809,CARDS!$A$5:$A$34,0)),"⚠ Card ID?"))</f>
        <v/>
      </c>
      <c r="F809" s="45" t="str">
        <f>IF($D809="","",IFERROR(INDEX(CARDS!$C$5:$C$34,MATCH($D809,CARDS!$A$5:$A$34,0)),"⚠ Card ID?"))</f>
        <v/>
      </c>
      <c r="G809" s="37" t="n"/>
      <c r="H809" s="37" t="n"/>
      <c r="I809" s="41" t="n"/>
      <c r="J809" s="45" t="str">
        <f>IF($I809="","",IFERROR(INDEX(MCC_MASTER!$B$5:$B$504,MATCH($I809,MCC_MASTER!$A$5:$A$504,0)),"⚠ MCC chưa có"))</f>
        <v/>
      </c>
      <c r="K809" s="45" t="str">
        <f>IF($I809="","",IFERROR(IF(INDEX(MCC_MASTER!$C$5:$C$504,MATCH($I809,MCC_MASTER!$A$5:$A$504,0))="","Chưa phân loại",INDEX(MCC_MASTER!$C$5:$C$504,MATCH($I809,MCC_MASTER!$A$5:$A$504,0))),"Chưa phân loại"))</f>
        <v/>
      </c>
      <c r="L809" s="40" t="n"/>
      <c r="M809" s="48" t="str">
        <f>IF(OR($B809="",$D809=""),"",IF($AC809=0,0,IF(ISNUMBER(INDEX(CASHBACK_RULES!$L$5:$L$304,$AC809)),MAX(0,MIN($L809,INDEX(CASHBACK_RULES!$L$5:$L$304,$AC809)-$AH809)),MAX(0,$L809))))</f>
        <v/>
      </c>
      <c r="N809" s="49" t="str">
        <f>IF(OR($B809="",$D809=""),"",IF($AC809&gt;0,INDEX(CASHBACK_RULES!$I$5:$I$304,$AC809),0))</f>
        <v/>
      </c>
      <c r="O809" s="48" t="str">
        <f>IF(OR($B809="",$D809=""),"",ROUND($M809*$N809,0))</f>
        <v/>
      </c>
      <c r="P809" s="48" t="str">
        <f>IF($AC809&gt;0,IF(ISNUMBER(INDEX(CASHBACK_RULES!$J$5:$J$304,$AC809)),INDEX(CASHBACK_RULES!$J$5:$J$304,$AC809),"∞"),"")</f>
        <v/>
      </c>
      <c r="Q809" s="48" t="str">
        <f>IF(OR($B809="",$D809=""),"",IF($AC809=0,0,MAX(0,MIN($O809,IF(ISNUMBER($P809),$P809-$AF809,1E+15),IF(ISNUMBER($AA809),$AA809-$AG809,1E+15)))))</f>
        <v/>
      </c>
      <c r="R809" s="48" t="str">
        <f>IF(OR($B809="",$D809=""),"",IF($AC809=0,"",IF(AND(NOT(ISNUMBER($P809)),NOT(ISNUMBER($AA809))),"∞",MAX(0,MIN(IF(ISNUMBER($P809),$P809-$AF809-$Q809,1E+15),IF(ISNUMBER($AA809),$AA809-$AG809-$Q809,1E+15))))))</f>
        <v/>
      </c>
      <c r="S809" s="47" t="str">
        <f>IF($AD809="","",YEAR($AD809)*100+MONTH($AD809))</f>
        <v/>
      </c>
      <c r="T809" s="50" t="str">
        <f>IF($AD809="","",IFERROR(IF(INDEX(CARDS!$I$5:$I$34,MATCH($D809,CARDS!$A$5:$A$34,0))="","",IF(INDEX(CARDS!$I$5:$I$34,MATCH($D809,CARDS!$A$5:$A$34,0))&gt;INDEX(CARDS!$H$5:$H$34,MATCH($D809,CARDS!$A$5:$A$34,0)),DATE(YEAR($AD809),MONTH($AD809),MIN(INDEX(CARDS!$I$5:$I$34,MATCH($D809,CARDS!$A$5:$A$34,0)),DAY(EOMONTH($AD809,0)))),DATE(YEAR($AD809),MONTH($AD809)+1,MIN(INDEX(CARDS!$I$5:$I$34,MATCH($D809,CARDS!$A$5:$A$34,0)),DAY(EOMONTH($AD809,1)))))),""))</f>
        <v/>
      </c>
      <c r="U809" s="38" t="n"/>
      <c r="V809" s="37" t="n"/>
      <c r="W809" s="38" t="n"/>
      <c r="X809" s="38" t="n"/>
      <c r="Y809" s="44" t="str">
        <f>IF($AC809&gt;0,INDEX(CASHBACK_RULES!$A$5:$A$304,$AC809),"")</f>
        <v/>
      </c>
      <c r="Z809" s="45" t="str">
        <f>IF($AC809&gt;0,INDEX(CASHBACK_RULES!$E$5:$E$304,$AC809)&amp;"","")</f>
        <v/>
      </c>
      <c r="AA809" s="48" t="str">
        <f>IF($AC809&gt;0,IF(ISNUMBER(INDEX(CASHBACK_RULES!$K$5:$K$304,$AC809)),INDEX(CASHBACK_RULES!$K$5:$K$304,$AC809),"∞"),"")</f>
        <v/>
      </c>
      <c r="AB809" s="44" t="str">
        <f>IF(OR($B809="",$D809=""),"",IF($U809="Cancelled","Đã hủy",IF($AC809=0,"Không được hoàn",IF($Q809=0,IF(OR($O809&gt;0,$M809&lt;$L809),"Đã đạt cap","Không được hoàn"),IF(OR($Q809&lt;$O809,$M809&lt;$L809),"Hoàn một phần","Được hoàn")))))</f>
        <v/>
      </c>
      <c r="AC809" s="43">
        <f>IF(OR($B809="",$D809="",$I809="",$L809=""),0,IF($U809="Cancelled",0,IF($W809&lt;&gt;"",IFERROR(IF(INDEX(CASHBACK_RULES!$B$5:$B$304,MATCH($W809,CASHBACK_RULES!$A$5:$A$304,0))=$D809,MATCH($W809,CASHBACK_RULES!$A$5:$A$304,0),0),0),IFERROR(MATCH(1,INDEX((CASHBACK_RULES!$B$5:$B$304=$D809)*(CASHBACK_RULES!$G$5:$G$304=$I809)*(((CASHBACK_RULES!$N$5:$N$304="")+(CASHBACK_RULES!$N$5:$N$304&lt;=$B809))&gt;0)*(((CASHBACK_RULES!$O$5:$O$304="")+(CASHBACK_RULES!$O$5:$O$304&gt;=$B809))&gt;0)*(((CASHBACK_RULES!$M$5:$M$304="")+(CASHBACK_RULES!$M$5:$M$304&lt;=$L809))&gt;0),0),0),0))))</f>
        <v>0</v>
      </c>
      <c r="AD809" s="51" t="str">
        <f>IF(OR($B809="",$D809=""),"",IFERROR(IF(INDEX(CARDS!$H$5:$H$34,MATCH($D809,CARDS!$A$5:$A$34,0))="","",IF(DAY($B809)&lt;=INDEX(CARDS!$H$5:$H$34,MATCH($D809,CARDS!$A$5:$A$34,0)),DATE(YEAR($B809),MONTH($B809),MIN(INDEX(CARDS!$H$5:$H$34,MATCH($D809,CARDS!$A$5:$A$34,0)),DAY(EOMONTH($B809,0)))),DATE(YEAR($B809),MONTH($B809)+1,MIN(INDEX(CARDS!$H$5:$H$34,MATCH($D809,CARDS!$A$5:$A$34,0)),DAY(EOMONTH($B809,1)))))),""))</f>
        <v/>
      </c>
      <c r="AE809" s="52" t="str">
        <f>IF($C809="","",$C809&amp;"|"&amp;COUNTIF($C$5:$C809,$C809))</f>
        <v/>
      </c>
      <c r="AF809" s="53">
        <f>IF($AC809&gt;0,SUMIFS(Q$4:Q808,$D$4:$D808,$D809,$Z$4:$Z808,$Z809,$C$4:$C808,$C809),0)</f>
        <v>0</v>
      </c>
      <c r="AG809" s="53">
        <f>IF($AC809&gt;0,SUMIFS(Q$4:Q808,$D$4:$D808,$D809,$C$4:$C808,$C809),0)</f>
        <v>0</v>
      </c>
      <c r="AH809" s="53">
        <f>IF($AC809&gt;0,SUMIFS(M$4:M808,$D$4:$D808,$D809,$Z$4:$Z808,$Z809,$C$4:$C808,$C809),0)</f>
        <v>0</v>
      </c>
      <c r="AI809" s="43">
        <f>IF(OR($C809="",$I809=""),0,IF(COUNTIFS($C$5:$C809,$C809,$I$5:$I809,$I809)=1,1,0))</f>
        <v>0</v>
      </c>
      <c r="AJ809" s="43" t="str">
        <f>IF($AI809=1,SUMIFS($AI$4:$AI808,$C$4:$C808,$C809)+1,"")</f>
        <v/>
      </c>
      <c r="AK809" s="43">
        <f>IF(OR($C809="",$K809=""),0,IF(COUNTIFS($C$5:$C809,$C809,$K$5:$K809,$K809)=1,1,0))</f>
        <v>0</v>
      </c>
      <c r="AL809" s="43" t="str">
        <f>IF($AK809=1,SUMIFS($AK$4:$AK808,$C$4:$C808,$C809)+1,"")</f>
        <v/>
      </c>
      <c r="AM809" s="43">
        <f>IF(OR($C809="",$G809=""),0,IF(COUNTIFS($C$5:$C809,$C809,$G$5:$G809,$G809)=1,1,0))</f>
        <v>0</v>
      </c>
      <c r="AN809" s="43" t="str">
        <f>IF($AM809=1,SUMIFS($AM$4:$AM808,$C$4:$C808,$C809)+1,"")</f>
        <v/>
      </c>
    </row>
    <row r="810">
      <c r="A810" s="44" t="str">
        <f>IF(OR($B810="",$D810=""),"","TX"&amp;TEXT(ROW()-4,"0000"))</f>
        <v/>
      </c>
      <c r="B810" s="42" t="n"/>
      <c r="C810" s="47" t="str">
        <f>IF($B810="","",YEAR($B810)*100+MONTH($B810))</f>
        <v/>
      </c>
      <c r="D810" s="37" t="n"/>
      <c r="E810" s="45" t="str">
        <f>IF($D810="","",IFERROR(INDEX(CARDS!$B$5:$B$34,MATCH($D810,CARDS!$A$5:$A$34,0)),"⚠ Card ID?"))</f>
        <v/>
      </c>
      <c r="F810" s="45" t="str">
        <f>IF($D810="","",IFERROR(INDEX(CARDS!$C$5:$C$34,MATCH($D810,CARDS!$A$5:$A$34,0)),"⚠ Card ID?"))</f>
        <v/>
      </c>
      <c r="G810" s="37" t="n"/>
      <c r="H810" s="37" t="n"/>
      <c r="I810" s="41" t="n"/>
      <c r="J810" s="45" t="str">
        <f>IF($I810="","",IFERROR(INDEX(MCC_MASTER!$B$5:$B$504,MATCH($I810,MCC_MASTER!$A$5:$A$504,0)),"⚠ MCC chưa có"))</f>
        <v/>
      </c>
      <c r="K810" s="45" t="str">
        <f>IF($I810="","",IFERROR(IF(INDEX(MCC_MASTER!$C$5:$C$504,MATCH($I810,MCC_MASTER!$A$5:$A$504,0))="","Chưa phân loại",INDEX(MCC_MASTER!$C$5:$C$504,MATCH($I810,MCC_MASTER!$A$5:$A$504,0))),"Chưa phân loại"))</f>
        <v/>
      </c>
      <c r="L810" s="40" t="n"/>
      <c r="M810" s="48" t="str">
        <f>IF(OR($B810="",$D810=""),"",IF($AC810=0,0,IF(ISNUMBER(INDEX(CASHBACK_RULES!$L$5:$L$304,$AC810)),MAX(0,MIN($L810,INDEX(CASHBACK_RULES!$L$5:$L$304,$AC810)-$AH810)),MAX(0,$L810))))</f>
        <v/>
      </c>
      <c r="N810" s="49" t="str">
        <f>IF(OR($B810="",$D810=""),"",IF($AC810&gt;0,INDEX(CASHBACK_RULES!$I$5:$I$304,$AC810),0))</f>
        <v/>
      </c>
      <c r="O810" s="48" t="str">
        <f>IF(OR($B810="",$D810=""),"",ROUND($M810*$N810,0))</f>
        <v/>
      </c>
      <c r="P810" s="48" t="str">
        <f>IF($AC810&gt;0,IF(ISNUMBER(INDEX(CASHBACK_RULES!$J$5:$J$304,$AC810)),INDEX(CASHBACK_RULES!$J$5:$J$304,$AC810),"∞"),"")</f>
        <v/>
      </c>
      <c r="Q810" s="48" t="str">
        <f>IF(OR($B810="",$D810=""),"",IF($AC810=0,0,MAX(0,MIN($O810,IF(ISNUMBER($P810),$P810-$AF810,1E+15),IF(ISNUMBER($AA810),$AA810-$AG810,1E+15)))))</f>
        <v/>
      </c>
      <c r="R810" s="48" t="str">
        <f>IF(OR($B810="",$D810=""),"",IF($AC810=0,"",IF(AND(NOT(ISNUMBER($P810)),NOT(ISNUMBER($AA810))),"∞",MAX(0,MIN(IF(ISNUMBER($P810),$P810-$AF810-$Q810,1E+15),IF(ISNUMBER($AA810),$AA810-$AG810-$Q810,1E+15))))))</f>
        <v/>
      </c>
      <c r="S810" s="47" t="str">
        <f>IF($AD810="","",YEAR($AD810)*100+MONTH($AD810))</f>
        <v/>
      </c>
      <c r="T810" s="50" t="str">
        <f>IF($AD810="","",IFERROR(IF(INDEX(CARDS!$I$5:$I$34,MATCH($D810,CARDS!$A$5:$A$34,0))="","",IF(INDEX(CARDS!$I$5:$I$34,MATCH($D810,CARDS!$A$5:$A$34,0))&gt;INDEX(CARDS!$H$5:$H$34,MATCH($D810,CARDS!$A$5:$A$34,0)),DATE(YEAR($AD810),MONTH($AD810),MIN(INDEX(CARDS!$I$5:$I$34,MATCH($D810,CARDS!$A$5:$A$34,0)),DAY(EOMONTH($AD810,0)))),DATE(YEAR($AD810),MONTH($AD810)+1,MIN(INDEX(CARDS!$I$5:$I$34,MATCH($D810,CARDS!$A$5:$A$34,0)),DAY(EOMONTH($AD810,1)))))),""))</f>
        <v/>
      </c>
      <c r="U810" s="38" t="n"/>
      <c r="V810" s="37" t="n"/>
      <c r="W810" s="38" t="n"/>
      <c r="X810" s="38" t="n"/>
      <c r="Y810" s="44" t="str">
        <f>IF($AC810&gt;0,INDEX(CASHBACK_RULES!$A$5:$A$304,$AC810),"")</f>
        <v/>
      </c>
      <c r="Z810" s="45" t="str">
        <f>IF($AC810&gt;0,INDEX(CASHBACK_RULES!$E$5:$E$304,$AC810)&amp;"","")</f>
        <v/>
      </c>
      <c r="AA810" s="48" t="str">
        <f>IF($AC810&gt;0,IF(ISNUMBER(INDEX(CASHBACK_RULES!$K$5:$K$304,$AC810)),INDEX(CASHBACK_RULES!$K$5:$K$304,$AC810),"∞"),"")</f>
        <v/>
      </c>
      <c r="AB810" s="44" t="str">
        <f>IF(OR($B810="",$D810=""),"",IF($U810="Cancelled","Đã hủy",IF($AC810=0,"Không được hoàn",IF($Q810=0,IF(OR($O810&gt;0,$M810&lt;$L810),"Đã đạt cap","Không được hoàn"),IF(OR($Q810&lt;$O810,$M810&lt;$L810),"Hoàn một phần","Được hoàn")))))</f>
        <v/>
      </c>
      <c r="AC810" s="43">
        <f>IF(OR($B810="",$D810="",$I810="",$L810=""),0,IF($U810="Cancelled",0,IF($W810&lt;&gt;"",IFERROR(IF(INDEX(CASHBACK_RULES!$B$5:$B$304,MATCH($W810,CASHBACK_RULES!$A$5:$A$304,0))=$D810,MATCH($W810,CASHBACK_RULES!$A$5:$A$304,0),0),0),IFERROR(MATCH(1,INDEX((CASHBACK_RULES!$B$5:$B$304=$D810)*(CASHBACK_RULES!$G$5:$G$304=$I810)*(((CASHBACK_RULES!$N$5:$N$304="")+(CASHBACK_RULES!$N$5:$N$304&lt;=$B810))&gt;0)*(((CASHBACK_RULES!$O$5:$O$304="")+(CASHBACK_RULES!$O$5:$O$304&gt;=$B810))&gt;0)*(((CASHBACK_RULES!$M$5:$M$304="")+(CASHBACK_RULES!$M$5:$M$304&lt;=$L810))&gt;0),0),0),0))))</f>
        <v>0</v>
      </c>
      <c r="AD810" s="51" t="str">
        <f>IF(OR($B810="",$D810=""),"",IFERROR(IF(INDEX(CARDS!$H$5:$H$34,MATCH($D810,CARDS!$A$5:$A$34,0))="","",IF(DAY($B810)&lt;=INDEX(CARDS!$H$5:$H$34,MATCH($D810,CARDS!$A$5:$A$34,0)),DATE(YEAR($B810),MONTH($B810),MIN(INDEX(CARDS!$H$5:$H$34,MATCH($D810,CARDS!$A$5:$A$34,0)),DAY(EOMONTH($B810,0)))),DATE(YEAR($B810),MONTH($B810)+1,MIN(INDEX(CARDS!$H$5:$H$34,MATCH($D810,CARDS!$A$5:$A$34,0)),DAY(EOMONTH($B810,1)))))),""))</f>
        <v/>
      </c>
      <c r="AE810" s="52" t="str">
        <f>IF($C810="","",$C810&amp;"|"&amp;COUNTIF($C$5:$C810,$C810))</f>
        <v/>
      </c>
      <c r="AF810" s="53">
        <f>IF($AC810&gt;0,SUMIFS(Q$4:Q809,$D$4:$D809,$D810,$Z$4:$Z809,$Z810,$C$4:$C809,$C810),0)</f>
        <v>0</v>
      </c>
      <c r="AG810" s="53">
        <f>IF($AC810&gt;0,SUMIFS(Q$4:Q809,$D$4:$D809,$D810,$C$4:$C809,$C810),0)</f>
        <v>0</v>
      </c>
      <c r="AH810" s="53">
        <f>IF($AC810&gt;0,SUMIFS(M$4:M809,$D$4:$D809,$D810,$Z$4:$Z809,$Z810,$C$4:$C809,$C810),0)</f>
        <v>0</v>
      </c>
      <c r="AI810" s="43">
        <f>IF(OR($C810="",$I810=""),0,IF(COUNTIFS($C$5:$C810,$C810,$I$5:$I810,$I810)=1,1,0))</f>
        <v>0</v>
      </c>
      <c r="AJ810" s="43" t="str">
        <f>IF($AI810=1,SUMIFS($AI$4:$AI809,$C$4:$C809,$C810)+1,"")</f>
        <v/>
      </c>
      <c r="AK810" s="43">
        <f>IF(OR($C810="",$K810=""),0,IF(COUNTIFS($C$5:$C810,$C810,$K$5:$K810,$K810)=1,1,0))</f>
        <v>0</v>
      </c>
      <c r="AL810" s="43" t="str">
        <f>IF($AK810=1,SUMIFS($AK$4:$AK809,$C$4:$C809,$C810)+1,"")</f>
        <v/>
      </c>
      <c r="AM810" s="43">
        <f>IF(OR($C810="",$G810=""),0,IF(COUNTIFS($C$5:$C810,$C810,$G$5:$G810,$G810)=1,1,0))</f>
        <v>0</v>
      </c>
      <c r="AN810" s="43" t="str">
        <f>IF($AM810=1,SUMIFS($AM$4:$AM809,$C$4:$C809,$C810)+1,"")</f>
        <v/>
      </c>
    </row>
    <row r="811">
      <c r="A811" s="44" t="str">
        <f>IF(OR($B811="",$D811=""),"","TX"&amp;TEXT(ROW()-4,"0000"))</f>
        <v/>
      </c>
      <c r="B811" s="42" t="n"/>
      <c r="C811" s="47" t="str">
        <f>IF($B811="","",YEAR($B811)*100+MONTH($B811))</f>
        <v/>
      </c>
      <c r="D811" s="37" t="n"/>
      <c r="E811" s="45" t="str">
        <f>IF($D811="","",IFERROR(INDEX(CARDS!$B$5:$B$34,MATCH($D811,CARDS!$A$5:$A$34,0)),"⚠ Card ID?"))</f>
        <v/>
      </c>
      <c r="F811" s="45" t="str">
        <f>IF($D811="","",IFERROR(INDEX(CARDS!$C$5:$C$34,MATCH($D811,CARDS!$A$5:$A$34,0)),"⚠ Card ID?"))</f>
        <v/>
      </c>
      <c r="G811" s="37" t="n"/>
      <c r="H811" s="37" t="n"/>
      <c r="I811" s="41" t="n"/>
      <c r="J811" s="45" t="str">
        <f>IF($I811="","",IFERROR(INDEX(MCC_MASTER!$B$5:$B$504,MATCH($I811,MCC_MASTER!$A$5:$A$504,0)),"⚠ MCC chưa có"))</f>
        <v/>
      </c>
      <c r="K811" s="45" t="str">
        <f>IF($I811="","",IFERROR(IF(INDEX(MCC_MASTER!$C$5:$C$504,MATCH($I811,MCC_MASTER!$A$5:$A$504,0))="","Chưa phân loại",INDEX(MCC_MASTER!$C$5:$C$504,MATCH($I811,MCC_MASTER!$A$5:$A$504,0))),"Chưa phân loại"))</f>
        <v/>
      </c>
      <c r="L811" s="40" t="n"/>
      <c r="M811" s="48" t="str">
        <f>IF(OR($B811="",$D811=""),"",IF($AC811=0,0,IF(ISNUMBER(INDEX(CASHBACK_RULES!$L$5:$L$304,$AC811)),MAX(0,MIN($L811,INDEX(CASHBACK_RULES!$L$5:$L$304,$AC811)-$AH811)),MAX(0,$L811))))</f>
        <v/>
      </c>
      <c r="N811" s="49" t="str">
        <f>IF(OR($B811="",$D811=""),"",IF($AC811&gt;0,INDEX(CASHBACK_RULES!$I$5:$I$304,$AC811),0))</f>
        <v/>
      </c>
      <c r="O811" s="48" t="str">
        <f>IF(OR($B811="",$D811=""),"",ROUND($M811*$N811,0))</f>
        <v/>
      </c>
      <c r="P811" s="48" t="str">
        <f>IF($AC811&gt;0,IF(ISNUMBER(INDEX(CASHBACK_RULES!$J$5:$J$304,$AC811)),INDEX(CASHBACK_RULES!$J$5:$J$304,$AC811),"∞"),"")</f>
        <v/>
      </c>
      <c r="Q811" s="48" t="str">
        <f>IF(OR($B811="",$D811=""),"",IF($AC811=0,0,MAX(0,MIN($O811,IF(ISNUMBER($P811),$P811-$AF811,1E+15),IF(ISNUMBER($AA811),$AA811-$AG811,1E+15)))))</f>
        <v/>
      </c>
      <c r="R811" s="48" t="str">
        <f>IF(OR($B811="",$D811=""),"",IF($AC811=0,"",IF(AND(NOT(ISNUMBER($P811)),NOT(ISNUMBER($AA811))),"∞",MAX(0,MIN(IF(ISNUMBER($P811),$P811-$AF811-$Q811,1E+15),IF(ISNUMBER($AA811),$AA811-$AG811-$Q811,1E+15))))))</f>
        <v/>
      </c>
      <c r="S811" s="47" t="str">
        <f>IF($AD811="","",YEAR($AD811)*100+MONTH($AD811))</f>
        <v/>
      </c>
      <c r="T811" s="50" t="str">
        <f>IF($AD811="","",IFERROR(IF(INDEX(CARDS!$I$5:$I$34,MATCH($D811,CARDS!$A$5:$A$34,0))="","",IF(INDEX(CARDS!$I$5:$I$34,MATCH($D811,CARDS!$A$5:$A$34,0))&gt;INDEX(CARDS!$H$5:$H$34,MATCH($D811,CARDS!$A$5:$A$34,0)),DATE(YEAR($AD811),MONTH($AD811),MIN(INDEX(CARDS!$I$5:$I$34,MATCH($D811,CARDS!$A$5:$A$34,0)),DAY(EOMONTH($AD811,0)))),DATE(YEAR($AD811),MONTH($AD811)+1,MIN(INDEX(CARDS!$I$5:$I$34,MATCH($D811,CARDS!$A$5:$A$34,0)),DAY(EOMONTH($AD811,1)))))),""))</f>
        <v/>
      </c>
      <c r="U811" s="38" t="n"/>
      <c r="V811" s="37" t="n"/>
      <c r="W811" s="38" t="n"/>
      <c r="X811" s="38" t="n"/>
      <c r="Y811" s="44" t="str">
        <f>IF($AC811&gt;0,INDEX(CASHBACK_RULES!$A$5:$A$304,$AC811),"")</f>
        <v/>
      </c>
      <c r="Z811" s="45" t="str">
        <f>IF($AC811&gt;0,INDEX(CASHBACK_RULES!$E$5:$E$304,$AC811)&amp;"","")</f>
        <v/>
      </c>
      <c r="AA811" s="48" t="str">
        <f>IF($AC811&gt;0,IF(ISNUMBER(INDEX(CASHBACK_RULES!$K$5:$K$304,$AC811)),INDEX(CASHBACK_RULES!$K$5:$K$304,$AC811),"∞"),"")</f>
        <v/>
      </c>
      <c r="AB811" s="44" t="str">
        <f>IF(OR($B811="",$D811=""),"",IF($U811="Cancelled","Đã hủy",IF($AC811=0,"Không được hoàn",IF($Q811=0,IF(OR($O811&gt;0,$M811&lt;$L811),"Đã đạt cap","Không được hoàn"),IF(OR($Q811&lt;$O811,$M811&lt;$L811),"Hoàn một phần","Được hoàn")))))</f>
        <v/>
      </c>
      <c r="AC811" s="43">
        <f>IF(OR($B811="",$D811="",$I811="",$L811=""),0,IF($U811="Cancelled",0,IF($W811&lt;&gt;"",IFERROR(IF(INDEX(CASHBACK_RULES!$B$5:$B$304,MATCH($W811,CASHBACK_RULES!$A$5:$A$304,0))=$D811,MATCH($W811,CASHBACK_RULES!$A$5:$A$304,0),0),0),IFERROR(MATCH(1,INDEX((CASHBACK_RULES!$B$5:$B$304=$D811)*(CASHBACK_RULES!$G$5:$G$304=$I811)*(((CASHBACK_RULES!$N$5:$N$304="")+(CASHBACK_RULES!$N$5:$N$304&lt;=$B811))&gt;0)*(((CASHBACK_RULES!$O$5:$O$304="")+(CASHBACK_RULES!$O$5:$O$304&gt;=$B811))&gt;0)*(((CASHBACK_RULES!$M$5:$M$304="")+(CASHBACK_RULES!$M$5:$M$304&lt;=$L811))&gt;0),0),0),0))))</f>
        <v>0</v>
      </c>
      <c r="AD811" s="51" t="str">
        <f>IF(OR($B811="",$D811=""),"",IFERROR(IF(INDEX(CARDS!$H$5:$H$34,MATCH($D811,CARDS!$A$5:$A$34,0))="","",IF(DAY($B811)&lt;=INDEX(CARDS!$H$5:$H$34,MATCH($D811,CARDS!$A$5:$A$34,0)),DATE(YEAR($B811),MONTH($B811),MIN(INDEX(CARDS!$H$5:$H$34,MATCH($D811,CARDS!$A$5:$A$34,0)),DAY(EOMONTH($B811,0)))),DATE(YEAR($B811),MONTH($B811)+1,MIN(INDEX(CARDS!$H$5:$H$34,MATCH($D811,CARDS!$A$5:$A$34,0)),DAY(EOMONTH($B811,1)))))),""))</f>
        <v/>
      </c>
      <c r="AE811" s="52" t="str">
        <f>IF($C811="","",$C811&amp;"|"&amp;COUNTIF($C$5:$C811,$C811))</f>
        <v/>
      </c>
      <c r="AF811" s="53">
        <f>IF($AC811&gt;0,SUMIFS(Q$4:Q810,$D$4:$D810,$D811,$Z$4:$Z810,$Z811,$C$4:$C810,$C811),0)</f>
        <v>0</v>
      </c>
      <c r="AG811" s="53">
        <f>IF($AC811&gt;0,SUMIFS(Q$4:Q810,$D$4:$D810,$D811,$C$4:$C810,$C811),0)</f>
        <v>0</v>
      </c>
      <c r="AH811" s="53">
        <f>IF($AC811&gt;0,SUMIFS(M$4:M810,$D$4:$D810,$D811,$Z$4:$Z810,$Z811,$C$4:$C810,$C811),0)</f>
        <v>0</v>
      </c>
      <c r="AI811" s="43">
        <f>IF(OR($C811="",$I811=""),0,IF(COUNTIFS($C$5:$C811,$C811,$I$5:$I811,$I811)=1,1,0))</f>
        <v>0</v>
      </c>
      <c r="AJ811" s="43" t="str">
        <f>IF($AI811=1,SUMIFS($AI$4:$AI810,$C$4:$C810,$C811)+1,"")</f>
        <v/>
      </c>
      <c r="AK811" s="43">
        <f>IF(OR($C811="",$K811=""),0,IF(COUNTIFS($C$5:$C811,$C811,$K$5:$K811,$K811)=1,1,0))</f>
        <v>0</v>
      </c>
      <c r="AL811" s="43" t="str">
        <f>IF($AK811=1,SUMIFS($AK$4:$AK810,$C$4:$C810,$C811)+1,"")</f>
        <v/>
      </c>
      <c r="AM811" s="43">
        <f>IF(OR($C811="",$G811=""),0,IF(COUNTIFS($C$5:$C811,$C811,$G$5:$G811,$G811)=1,1,0))</f>
        <v>0</v>
      </c>
      <c r="AN811" s="43" t="str">
        <f>IF($AM811=1,SUMIFS($AM$4:$AM810,$C$4:$C810,$C811)+1,"")</f>
        <v/>
      </c>
    </row>
    <row r="812">
      <c r="A812" s="44" t="str">
        <f>IF(OR($B812="",$D812=""),"","TX"&amp;TEXT(ROW()-4,"0000"))</f>
        <v/>
      </c>
      <c r="B812" s="42" t="n"/>
      <c r="C812" s="47" t="str">
        <f>IF($B812="","",YEAR($B812)*100+MONTH($B812))</f>
        <v/>
      </c>
      <c r="D812" s="37" t="n"/>
      <c r="E812" s="45" t="str">
        <f>IF($D812="","",IFERROR(INDEX(CARDS!$B$5:$B$34,MATCH($D812,CARDS!$A$5:$A$34,0)),"⚠ Card ID?"))</f>
        <v/>
      </c>
      <c r="F812" s="45" t="str">
        <f>IF($D812="","",IFERROR(INDEX(CARDS!$C$5:$C$34,MATCH($D812,CARDS!$A$5:$A$34,0)),"⚠ Card ID?"))</f>
        <v/>
      </c>
      <c r="G812" s="37" t="n"/>
      <c r="H812" s="37" t="n"/>
      <c r="I812" s="41" t="n"/>
      <c r="J812" s="45" t="str">
        <f>IF($I812="","",IFERROR(INDEX(MCC_MASTER!$B$5:$B$504,MATCH($I812,MCC_MASTER!$A$5:$A$504,0)),"⚠ MCC chưa có"))</f>
        <v/>
      </c>
      <c r="K812" s="45" t="str">
        <f>IF($I812="","",IFERROR(IF(INDEX(MCC_MASTER!$C$5:$C$504,MATCH($I812,MCC_MASTER!$A$5:$A$504,0))="","Chưa phân loại",INDEX(MCC_MASTER!$C$5:$C$504,MATCH($I812,MCC_MASTER!$A$5:$A$504,0))),"Chưa phân loại"))</f>
        <v/>
      </c>
      <c r="L812" s="40" t="n"/>
      <c r="M812" s="48" t="str">
        <f>IF(OR($B812="",$D812=""),"",IF($AC812=0,0,IF(ISNUMBER(INDEX(CASHBACK_RULES!$L$5:$L$304,$AC812)),MAX(0,MIN($L812,INDEX(CASHBACK_RULES!$L$5:$L$304,$AC812)-$AH812)),MAX(0,$L812))))</f>
        <v/>
      </c>
      <c r="N812" s="49" t="str">
        <f>IF(OR($B812="",$D812=""),"",IF($AC812&gt;0,INDEX(CASHBACK_RULES!$I$5:$I$304,$AC812),0))</f>
        <v/>
      </c>
      <c r="O812" s="48" t="str">
        <f>IF(OR($B812="",$D812=""),"",ROUND($M812*$N812,0))</f>
        <v/>
      </c>
      <c r="P812" s="48" t="str">
        <f>IF($AC812&gt;0,IF(ISNUMBER(INDEX(CASHBACK_RULES!$J$5:$J$304,$AC812)),INDEX(CASHBACK_RULES!$J$5:$J$304,$AC812),"∞"),"")</f>
        <v/>
      </c>
      <c r="Q812" s="48" t="str">
        <f>IF(OR($B812="",$D812=""),"",IF($AC812=0,0,MAX(0,MIN($O812,IF(ISNUMBER($P812),$P812-$AF812,1E+15),IF(ISNUMBER($AA812),$AA812-$AG812,1E+15)))))</f>
        <v/>
      </c>
      <c r="R812" s="48" t="str">
        <f>IF(OR($B812="",$D812=""),"",IF($AC812=0,"",IF(AND(NOT(ISNUMBER($P812)),NOT(ISNUMBER($AA812))),"∞",MAX(0,MIN(IF(ISNUMBER($P812),$P812-$AF812-$Q812,1E+15),IF(ISNUMBER($AA812),$AA812-$AG812-$Q812,1E+15))))))</f>
        <v/>
      </c>
      <c r="S812" s="47" t="str">
        <f>IF($AD812="","",YEAR($AD812)*100+MONTH($AD812))</f>
        <v/>
      </c>
      <c r="T812" s="50" t="str">
        <f>IF($AD812="","",IFERROR(IF(INDEX(CARDS!$I$5:$I$34,MATCH($D812,CARDS!$A$5:$A$34,0))="","",IF(INDEX(CARDS!$I$5:$I$34,MATCH($D812,CARDS!$A$5:$A$34,0))&gt;INDEX(CARDS!$H$5:$H$34,MATCH($D812,CARDS!$A$5:$A$34,0)),DATE(YEAR($AD812),MONTH($AD812),MIN(INDEX(CARDS!$I$5:$I$34,MATCH($D812,CARDS!$A$5:$A$34,0)),DAY(EOMONTH($AD812,0)))),DATE(YEAR($AD812),MONTH($AD812)+1,MIN(INDEX(CARDS!$I$5:$I$34,MATCH($D812,CARDS!$A$5:$A$34,0)),DAY(EOMONTH($AD812,1)))))),""))</f>
        <v/>
      </c>
      <c r="U812" s="38" t="n"/>
      <c r="V812" s="37" t="n"/>
      <c r="W812" s="38" t="n"/>
      <c r="X812" s="38" t="n"/>
      <c r="Y812" s="44" t="str">
        <f>IF($AC812&gt;0,INDEX(CASHBACK_RULES!$A$5:$A$304,$AC812),"")</f>
        <v/>
      </c>
      <c r="Z812" s="45" t="str">
        <f>IF($AC812&gt;0,INDEX(CASHBACK_RULES!$E$5:$E$304,$AC812)&amp;"","")</f>
        <v/>
      </c>
      <c r="AA812" s="48" t="str">
        <f>IF($AC812&gt;0,IF(ISNUMBER(INDEX(CASHBACK_RULES!$K$5:$K$304,$AC812)),INDEX(CASHBACK_RULES!$K$5:$K$304,$AC812),"∞"),"")</f>
        <v/>
      </c>
      <c r="AB812" s="44" t="str">
        <f>IF(OR($B812="",$D812=""),"",IF($U812="Cancelled","Đã hủy",IF($AC812=0,"Không được hoàn",IF($Q812=0,IF(OR($O812&gt;0,$M812&lt;$L812),"Đã đạt cap","Không được hoàn"),IF(OR($Q812&lt;$O812,$M812&lt;$L812),"Hoàn một phần","Được hoàn")))))</f>
        <v/>
      </c>
      <c r="AC812" s="43">
        <f>IF(OR($B812="",$D812="",$I812="",$L812=""),0,IF($U812="Cancelled",0,IF($W812&lt;&gt;"",IFERROR(IF(INDEX(CASHBACK_RULES!$B$5:$B$304,MATCH($W812,CASHBACK_RULES!$A$5:$A$304,0))=$D812,MATCH($W812,CASHBACK_RULES!$A$5:$A$304,0),0),0),IFERROR(MATCH(1,INDEX((CASHBACK_RULES!$B$5:$B$304=$D812)*(CASHBACK_RULES!$G$5:$G$304=$I812)*(((CASHBACK_RULES!$N$5:$N$304="")+(CASHBACK_RULES!$N$5:$N$304&lt;=$B812))&gt;0)*(((CASHBACK_RULES!$O$5:$O$304="")+(CASHBACK_RULES!$O$5:$O$304&gt;=$B812))&gt;0)*(((CASHBACK_RULES!$M$5:$M$304="")+(CASHBACK_RULES!$M$5:$M$304&lt;=$L812))&gt;0),0),0),0))))</f>
        <v>0</v>
      </c>
      <c r="AD812" s="51" t="str">
        <f>IF(OR($B812="",$D812=""),"",IFERROR(IF(INDEX(CARDS!$H$5:$H$34,MATCH($D812,CARDS!$A$5:$A$34,0))="","",IF(DAY($B812)&lt;=INDEX(CARDS!$H$5:$H$34,MATCH($D812,CARDS!$A$5:$A$34,0)),DATE(YEAR($B812),MONTH($B812),MIN(INDEX(CARDS!$H$5:$H$34,MATCH($D812,CARDS!$A$5:$A$34,0)),DAY(EOMONTH($B812,0)))),DATE(YEAR($B812),MONTH($B812)+1,MIN(INDEX(CARDS!$H$5:$H$34,MATCH($D812,CARDS!$A$5:$A$34,0)),DAY(EOMONTH($B812,1)))))),""))</f>
        <v/>
      </c>
      <c r="AE812" s="52" t="str">
        <f>IF($C812="","",$C812&amp;"|"&amp;COUNTIF($C$5:$C812,$C812))</f>
        <v/>
      </c>
      <c r="AF812" s="53">
        <f>IF($AC812&gt;0,SUMIFS(Q$4:Q811,$D$4:$D811,$D812,$Z$4:$Z811,$Z812,$C$4:$C811,$C812),0)</f>
        <v>0</v>
      </c>
      <c r="AG812" s="53">
        <f>IF($AC812&gt;0,SUMIFS(Q$4:Q811,$D$4:$D811,$D812,$C$4:$C811,$C812),0)</f>
        <v>0</v>
      </c>
      <c r="AH812" s="53">
        <f>IF($AC812&gt;0,SUMIFS(M$4:M811,$D$4:$D811,$D812,$Z$4:$Z811,$Z812,$C$4:$C811,$C812),0)</f>
        <v>0</v>
      </c>
      <c r="AI812" s="43">
        <f>IF(OR($C812="",$I812=""),0,IF(COUNTIFS($C$5:$C812,$C812,$I$5:$I812,$I812)=1,1,0))</f>
        <v>0</v>
      </c>
      <c r="AJ812" s="43" t="str">
        <f>IF($AI812=1,SUMIFS($AI$4:$AI811,$C$4:$C811,$C812)+1,"")</f>
        <v/>
      </c>
      <c r="AK812" s="43">
        <f>IF(OR($C812="",$K812=""),0,IF(COUNTIFS($C$5:$C812,$C812,$K$5:$K812,$K812)=1,1,0))</f>
        <v>0</v>
      </c>
      <c r="AL812" s="43" t="str">
        <f>IF($AK812=1,SUMIFS($AK$4:$AK811,$C$4:$C811,$C812)+1,"")</f>
        <v/>
      </c>
      <c r="AM812" s="43">
        <f>IF(OR($C812="",$G812=""),0,IF(COUNTIFS($C$5:$C812,$C812,$G$5:$G812,$G812)=1,1,0))</f>
        <v>0</v>
      </c>
      <c r="AN812" s="43" t="str">
        <f>IF($AM812=1,SUMIFS($AM$4:$AM811,$C$4:$C811,$C812)+1,"")</f>
        <v/>
      </c>
    </row>
    <row r="813">
      <c r="A813" s="44" t="str">
        <f>IF(OR($B813="",$D813=""),"","TX"&amp;TEXT(ROW()-4,"0000"))</f>
        <v/>
      </c>
      <c r="B813" s="42" t="n"/>
      <c r="C813" s="47" t="str">
        <f>IF($B813="","",YEAR($B813)*100+MONTH($B813))</f>
        <v/>
      </c>
      <c r="D813" s="37" t="n"/>
      <c r="E813" s="45" t="str">
        <f>IF($D813="","",IFERROR(INDEX(CARDS!$B$5:$B$34,MATCH($D813,CARDS!$A$5:$A$34,0)),"⚠ Card ID?"))</f>
        <v/>
      </c>
      <c r="F813" s="45" t="str">
        <f>IF($D813="","",IFERROR(INDEX(CARDS!$C$5:$C$34,MATCH($D813,CARDS!$A$5:$A$34,0)),"⚠ Card ID?"))</f>
        <v/>
      </c>
      <c r="G813" s="37" t="n"/>
      <c r="H813" s="37" t="n"/>
      <c r="I813" s="41" t="n"/>
      <c r="J813" s="45" t="str">
        <f>IF($I813="","",IFERROR(INDEX(MCC_MASTER!$B$5:$B$504,MATCH($I813,MCC_MASTER!$A$5:$A$504,0)),"⚠ MCC chưa có"))</f>
        <v/>
      </c>
      <c r="K813" s="45" t="str">
        <f>IF($I813="","",IFERROR(IF(INDEX(MCC_MASTER!$C$5:$C$504,MATCH($I813,MCC_MASTER!$A$5:$A$504,0))="","Chưa phân loại",INDEX(MCC_MASTER!$C$5:$C$504,MATCH($I813,MCC_MASTER!$A$5:$A$504,0))),"Chưa phân loại"))</f>
        <v/>
      </c>
      <c r="L813" s="40" t="n"/>
      <c r="M813" s="48" t="str">
        <f>IF(OR($B813="",$D813=""),"",IF($AC813=0,0,IF(ISNUMBER(INDEX(CASHBACK_RULES!$L$5:$L$304,$AC813)),MAX(0,MIN($L813,INDEX(CASHBACK_RULES!$L$5:$L$304,$AC813)-$AH813)),MAX(0,$L813))))</f>
        <v/>
      </c>
      <c r="N813" s="49" t="str">
        <f>IF(OR($B813="",$D813=""),"",IF($AC813&gt;0,INDEX(CASHBACK_RULES!$I$5:$I$304,$AC813),0))</f>
        <v/>
      </c>
      <c r="O813" s="48" t="str">
        <f>IF(OR($B813="",$D813=""),"",ROUND($M813*$N813,0))</f>
        <v/>
      </c>
      <c r="P813" s="48" t="str">
        <f>IF($AC813&gt;0,IF(ISNUMBER(INDEX(CASHBACK_RULES!$J$5:$J$304,$AC813)),INDEX(CASHBACK_RULES!$J$5:$J$304,$AC813),"∞"),"")</f>
        <v/>
      </c>
      <c r="Q813" s="48" t="str">
        <f>IF(OR($B813="",$D813=""),"",IF($AC813=0,0,MAX(0,MIN($O813,IF(ISNUMBER($P813),$P813-$AF813,1E+15),IF(ISNUMBER($AA813),$AA813-$AG813,1E+15)))))</f>
        <v/>
      </c>
      <c r="R813" s="48" t="str">
        <f>IF(OR($B813="",$D813=""),"",IF($AC813=0,"",IF(AND(NOT(ISNUMBER($P813)),NOT(ISNUMBER($AA813))),"∞",MAX(0,MIN(IF(ISNUMBER($P813),$P813-$AF813-$Q813,1E+15),IF(ISNUMBER($AA813),$AA813-$AG813-$Q813,1E+15))))))</f>
        <v/>
      </c>
      <c r="S813" s="47" t="str">
        <f>IF($AD813="","",YEAR($AD813)*100+MONTH($AD813))</f>
        <v/>
      </c>
      <c r="T813" s="50" t="str">
        <f>IF($AD813="","",IFERROR(IF(INDEX(CARDS!$I$5:$I$34,MATCH($D813,CARDS!$A$5:$A$34,0))="","",IF(INDEX(CARDS!$I$5:$I$34,MATCH($D813,CARDS!$A$5:$A$34,0))&gt;INDEX(CARDS!$H$5:$H$34,MATCH($D813,CARDS!$A$5:$A$34,0)),DATE(YEAR($AD813),MONTH($AD813),MIN(INDEX(CARDS!$I$5:$I$34,MATCH($D813,CARDS!$A$5:$A$34,0)),DAY(EOMONTH($AD813,0)))),DATE(YEAR($AD813),MONTH($AD813)+1,MIN(INDEX(CARDS!$I$5:$I$34,MATCH($D813,CARDS!$A$5:$A$34,0)),DAY(EOMONTH($AD813,1)))))),""))</f>
        <v/>
      </c>
      <c r="U813" s="38" t="n"/>
      <c r="V813" s="37" t="n"/>
      <c r="W813" s="38" t="n"/>
      <c r="X813" s="38" t="n"/>
      <c r="Y813" s="44" t="str">
        <f>IF($AC813&gt;0,INDEX(CASHBACK_RULES!$A$5:$A$304,$AC813),"")</f>
        <v/>
      </c>
      <c r="Z813" s="45" t="str">
        <f>IF($AC813&gt;0,INDEX(CASHBACK_RULES!$E$5:$E$304,$AC813)&amp;"","")</f>
        <v/>
      </c>
      <c r="AA813" s="48" t="str">
        <f>IF($AC813&gt;0,IF(ISNUMBER(INDEX(CASHBACK_RULES!$K$5:$K$304,$AC813)),INDEX(CASHBACK_RULES!$K$5:$K$304,$AC813),"∞"),"")</f>
        <v/>
      </c>
      <c r="AB813" s="44" t="str">
        <f>IF(OR($B813="",$D813=""),"",IF($U813="Cancelled","Đã hủy",IF($AC813=0,"Không được hoàn",IF($Q813=0,IF(OR($O813&gt;0,$M813&lt;$L813),"Đã đạt cap","Không được hoàn"),IF(OR($Q813&lt;$O813,$M813&lt;$L813),"Hoàn một phần","Được hoàn")))))</f>
        <v/>
      </c>
      <c r="AC813" s="43">
        <f>IF(OR($B813="",$D813="",$I813="",$L813=""),0,IF($U813="Cancelled",0,IF($W813&lt;&gt;"",IFERROR(IF(INDEX(CASHBACK_RULES!$B$5:$B$304,MATCH($W813,CASHBACK_RULES!$A$5:$A$304,0))=$D813,MATCH($W813,CASHBACK_RULES!$A$5:$A$304,0),0),0),IFERROR(MATCH(1,INDEX((CASHBACK_RULES!$B$5:$B$304=$D813)*(CASHBACK_RULES!$G$5:$G$304=$I813)*(((CASHBACK_RULES!$N$5:$N$304="")+(CASHBACK_RULES!$N$5:$N$304&lt;=$B813))&gt;0)*(((CASHBACK_RULES!$O$5:$O$304="")+(CASHBACK_RULES!$O$5:$O$304&gt;=$B813))&gt;0)*(((CASHBACK_RULES!$M$5:$M$304="")+(CASHBACK_RULES!$M$5:$M$304&lt;=$L813))&gt;0),0),0),0))))</f>
        <v>0</v>
      </c>
      <c r="AD813" s="51" t="str">
        <f>IF(OR($B813="",$D813=""),"",IFERROR(IF(INDEX(CARDS!$H$5:$H$34,MATCH($D813,CARDS!$A$5:$A$34,0))="","",IF(DAY($B813)&lt;=INDEX(CARDS!$H$5:$H$34,MATCH($D813,CARDS!$A$5:$A$34,0)),DATE(YEAR($B813),MONTH($B813),MIN(INDEX(CARDS!$H$5:$H$34,MATCH($D813,CARDS!$A$5:$A$34,0)),DAY(EOMONTH($B813,0)))),DATE(YEAR($B813),MONTH($B813)+1,MIN(INDEX(CARDS!$H$5:$H$34,MATCH($D813,CARDS!$A$5:$A$34,0)),DAY(EOMONTH($B813,1)))))),""))</f>
        <v/>
      </c>
      <c r="AE813" s="52" t="str">
        <f>IF($C813="","",$C813&amp;"|"&amp;COUNTIF($C$5:$C813,$C813))</f>
        <v/>
      </c>
      <c r="AF813" s="53">
        <f>IF($AC813&gt;0,SUMIFS(Q$4:Q812,$D$4:$D812,$D813,$Z$4:$Z812,$Z813,$C$4:$C812,$C813),0)</f>
        <v>0</v>
      </c>
      <c r="AG813" s="53">
        <f>IF($AC813&gt;0,SUMIFS(Q$4:Q812,$D$4:$D812,$D813,$C$4:$C812,$C813),0)</f>
        <v>0</v>
      </c>
      <c r="AH813" s="53">
        <f>IF($AC813&gt;0,SUMIFS(M$4:M812,$D$4:$D812,$D813,$Z$4:$Z812,$Z813,$C$4:$C812,$C813),0)</f>
        <v>0</v>
      </c>
      <c r="AI813" s="43">
        <f>IF(OR($C813="",$I813=""),0,IF(COUNTIFS($C$5:$C813,$C813,$I$5:$I813,$I813)=1,1,0))</f>
        <v>0</v>
      </c>
      <c r="AJ813" s="43" t="str">
        <f>IF($AI813=1,SUMIFS($AI$4:$AI812,$C$4:$C812,$C813)+1,"")</f>
        <v/>
      </c>
      <c r="AK813" s="43">
        <f>IF(OR($C813="",$K813=""),0,IF(COUNTIFS($C$5:$C813,$C813,$K$5:$K813,$K813)=1,1,0))</f>
        <v>0</v>
      </c>
      <c r="AL813" s="43" t="str">
        <f>IF($AK813=1,SUMIFS($AK$4:$AK812,$C$4:$C812,$C813)+1,"")</f>
        <v/>
      </c>
      <c r="AM813" s="43">
        <f>IF(OR($C813="",$G813=""),0,IF(COUNTIFS($C$5:$C813,$C813,$G$5:$G813,$G813)=1,1,0))</f>
        <v>0</v>
      </c>
      <c r="AN813" s="43" t="str">
        <f>IF($AM813=1,SUMIFS($AM$4:$AM812,$C$4:$C812,$C813)+1,"")</f>
        <v/>
      </c>
    </row>
    <row r="814">
      <c r="A814" s="44" t="str">
        <f>IF(OR($B814="",$D814=""),"","TX"&amp;TEXT(ROW()-4,"0000"))</f>
        <v/>
      </c>
      <c r="B814" s="42" t="n"/>
      <c r="C814" s="47" t="str">
        <f>IF($B814="","",YEAR($B814)*100+MONTH($B814))</f>
        <v/>
      </c>
      <c r="D814" s="37" t="n"/>
      <c r="E814" s="45" t="str">
        <f>IF($D814="","",IFERROR(INDEX(CARDS!$B$5:$B$34,MATCH($D814,CARDS!$A$5:$A$34,0)),"⚠ Card ID?"))</f>
        <v/>
      </c>
      <c r="F814" s="45" t="str">
        <f>IF($D814="","",IFERROR(INDEX(CARDS!$C$5:$C$34,MATCH($D814,CARDS!$A$5:$A$34,0)),"⚠ Card ID?"))</f>
        <v/>
      </c>
      <c r="G814" s="37" t="n"/>
      <c r="H814" s="37" t="n"/>
      <c r="I814" s="41" t="n"/>
      <c r="J814" s="45" t="str">
        <f>IF($I814="","",IFERROR(INDEX(MCC_MASTER!$B$5:$B$504,MATCH($I814,MCC_MASTER!$A$5:$A$504,0)),"⚠ MCC chưa có"))</f>
        <v/>
      </c>
      <c r="K814" s="45" t="str">
        <f>IF($I814="","",IFERROR(IF(INDEX(MCC_MASTER!$C$5:$C$504,MATCH($I814,MCC_MASTER!$A$5:$A$504,0))="","Chưa phân loại",INDEX(MCC_MASTER!$C$5:$C$504,MATCH($I814,MCC_MASTER!$A$5:$A$504,0))),"Chưa phân loại"))</f>
        <v/>
      </c>
      <c r="L814" s="40" t="n"/>
      <c r="M814" s="48" t="str">
        <f>IF(OR($B814="",$D814=""),"",IF($AC814=0,0,IF(ISNUMBER(INDEX(CASHBACK_RULES!$L$5:$L$304,$AC814)),MAX(0,MIN($L814,INDEX(CASHBACK_RULES!$L$5:$L$304,$AC814)-$AH814)),MAX(0,$L814))))</f>
        <v/>
      </c>
      <c r="N814" s="49" t="str">
        <f>IF(OR($B814="",$D814=""),"",IF($AC814&gt;0,INDEX(CASHBACK_RULES!$I$5:$I$304,$AC814),0))</f>
        <v/>
      </c>
      <c r="O814" s="48" t="str">
        <f>IF(OR($B814="",$D814=""),"",ROUND($M814*$N814,0))</f>
        <v/>
      </c>
      <c r="P814" s="48" t="str">
        <f>IF($AC814&gt;0,IF(ISNUMBER(INDEX(CASHBACK_RULES!$J$5:$J$304,$AC814)),INDEX(CASHBACK_RULES!$J$5:$J$304,$AC814),"∞"),"")</f>
        <v/>
      </c>
      <c r="Q814" s="48" t="str">
        <f>IF(OR($B814="",$D814=""),"",IF($AC814=0,0,MAX(0,MIN($O814,IF(ISNUMBER($P814),$P814-$AF814,1E+15),IF(ISNUMBER($AA814),$AA814-$AG814,1E+15)))))</f>
        <v/>
      </c>
      <c r="R814" s="48" t="str">
        <f>IF(OR($B814="",$D814=""),"",IF($AC814=0,"",IF(AND(NOT(ISNUMBER($P814)),NOT(ISNUMBER($AA814))),"∞",MAX(0,MIN(IF(ISNUMBER($P814),$P814-$AF814-$Q814,1E+15),IF(ISNUMBER($AA814),$AA814-$AG814-$Q814,1E+15))))))</f>
        <v/>
      </c>
      <c r="S814" s="47" t="str">
        <f>IF($AD814="","",YEAR($AD814)*100+MONTH($AD814))</f>
        <v/>
      </c>
      <c r="T814" s="50" t="str">
        <f>IF($AD814="","",IFERROR(IF(INDEX(CARDS!$I$5:$I$34,MATCH($D814,CARDS!$A$5:$A$34,0))="","",IF(INDEX(CARDS!$I$5:$I$34,MATCH($D814,CARDS!$A$5:$A$34,0))&gt;INDEX(CARDS!$H$5:$H$34,MATCH($D814,CARDS!$A$5:$A$34,0)),DATE(YEAR($AD814),MONTH($AD814),MIN(INDEX(CARDS!$I$5:$I$34,MATCH($D814,CARDS!$A$5:$A$34,0)),DAY(EOMONTH($AD814,0)))),DATE(YEAR($AD814),MONTH($AD814)+1,MIN(INDEX(CARDS!$I$5:$I$34,MATCH($D814,CARDS!$A$5:$A$34,0)),DAY(EOMONTH($AD814,1)))))),""))</f>
        <v/>
      </c>
      <c r="U814" s="38" t="n"/>
      <c r="V814" s="37" t="n"/>
      <c r="W814" s="38" t="n"/>
      <c r="X814" s="38" t="n"/>
      <c r="Y814" s="44" t="str">
        <f>IF($AC814&gt;0,INDEX(CASHBACK_RULES!$A$5:$A$304,$AC814),"")</f>
        <v/>
      </c>
      <c r="Z814" s="45" t="str">
        <f>IF($AC814&gt;0,INDEX(CASHBACK_RULES!$E$5:$E$304,$AC814)&amp;"","")</f>
        <v/>
      </c>
      <c r="AA814" s="48" t="str">
        <f>IF($AC814&gt;0,IF(ISNUMBER(INDEX(CASHBACK_RULES!$K$5:$K$304,$AC814)),INDEX(CASHBACK_RULES!$K$5:$K$304,$AC814),"∞"),"")</f>
        <v/>
      </c>
      <c r="AB814" s="44" t="str">
        <f>IF(OR($B814="",$D814=""),"",IF($U814="Cancelled","Đã hủy",IF($AC814=0,"Không được hoàn",IF($Q814=0,IF(OR($O814&gt;0,$M814&lt;$L814),"Đã đạt cap","Không được hoàn"),IF(OR($Q814&lt;$O814,$M814&lt;$L814),"Hoàn một phần","Được hoàn")))))</f>
        <v/>
      </c>
      <c r="AC814" s="43">
        <f>IF(OR($B814="",$D814="",$I814="",$L814=""),0,IF($U814="Cancelled",0,IF($W814&lt;&gt;"",IFERROR(IF(INDEX(CASHBACK_RULES!$B$5:$B$304,MATCH($W814,CASHBACK_RULES!$A$5:$A$304,0))=$D814,MATCH($W814,CASHBACK_RULES!$A$5:$A$304,0),0),0),IFERROR(MATCH(1,INDEX((CASHBACK_RULES!$B$5:$B$304=$D814)*(CASHBACK_RULES!$G$5:$G$304=$I814)*(((CASHBACK_RULES!$N$5:$N$304="")+(CASHBACK_RULES!$N$5:$N$304&lt;=$B814))&gt;0)*(((CASHBACK_RULES!$O$5:$O$304="")+(CASHBACK_RULES!$O$5:$O$304&gt;=$B814))&gt;0)*(((CASHBACK_RULES!$M$5:$M$304="")+(CASHBACK_RULES!$M$5:$M$304&lt;=$L814))&gt;0),0),0),0))))</f>
        <v>0</v>
      </c>
      <c r="AD814" s="51" t="str">
        <f>IF(OR($B814="",$D814=""),"",IFERROR(IF(INDEX(CARDS!$H$5:$H$34,MATCH($D814,CARDS!$A$5:$A$34,0))="","",IF(DAY($B814)&lt;=INDEX(CARDS!$H$5:$H$34,MATCH($D814,CARDS!$A$5:$A$34,0)),DATE(YEAR($B814),MONTH($B814),MIN(INDEX(CARDS!$H$5:$H$34,MATCH($D814,CARDS!$A$5:$A$34,0)),DAY(EOMONTH($B814,0)))),DATE(YEAR($B814),MONTH($B814)+1,MIN(INDEX(CARDS!$H$5:$H$34,MATCH($D814,CARDS!$A$5:$A$34,0)),DAY(EOMONTH($B814,1)))))),""))</f>
        <v/>
      </c>
      <c r="AE814" s="52" t="str">
        <f>IF($C814="","",$C814&amp;"|"&amp;COUNTIF($C$5:$C814,$C814))</f>
        <v/>
      </c>
      <c r="AF814" s="53">
        <f>IF($AC814&gt;0,SUMIFS(Q$4:Q813,$D$4:$D813,$D814,$Z$4:$Z813,$Z814,$C$4:$C813,$C814),0)</f>
        <v>0</v>
      </c>
      <c r="AG814" s="53">
        <f>IF($AC814&gt;0,SUMIFS(Q$4:Q813,$D$4:$D813,$D814,$C$4:$C813,$C814),0)</f>
        <v>0</v>
      </c>
      <c r="AH814" s="53">
        <f>IF($AC814&gt;0,SUMIFS(M$4:M813,$D$4:$D813,$D814,$Z$4:$Z813,$Z814,$C$4:$C813,$C814),0)</f>
        <v>0</v>
      </c>
      <c r="AI814" s="43">
        <f>IF(OR($C814="",$I814=""),0,IF(COUNTIFS($C$5:$C814,$C814,$I$5:$I814,$I814)=1,1,0))</f>
        <v>0</v>
      </c>
      <c r="AJ814" s="43" t="str">
        <f>IF($AI814=1,SUMIFS($AI$4:$AI813,$C$4:$C813,$C814)+1,"")</f>
        <v/>
      </c>
      <c r="AK814" s="43">
        <f>IF(OR($C814="",$K814=""),0,IF(COUNTIFS($C$5:$C814,$C814,$K$5:$K814,$K814)=1,1,0))</f>
        <v>0</v>
      </c>
      <c r="AL814" s="43" t="str">
        <f>IF($AK814=1,SUMIFS($AK$4:$AK813,$C$4:$C813,$C814)+1,"")</f>
        <v/>
      </c>
      <c r="AM814" s="43">
        <f>IF(OR($C814="",$G814=""),0,IF(COUNTIFS($C$5:$C814,$C814,$G$5:$G814,$G814)=1,1,0))</f>
        <v>0</v>
      </c>
      <c r="AN814" s="43" t="str">
        <f>IF($AM814=1,SUMIFS($AM$4:$AM813,$C$4:$C813,$C814)+1,"")</f>
        <v/>
      </c>
    </row>
    <row r="815">
      <c r="A815" s="44" t="str">
        <f>IF(OR($B815="",$D815=""),"","TX"&amp;TEXT(ROW()-4,"0000"))</f>
        <v/>
      </c>
      <c r="B815" s="42" t="n"/>
      <c r="C815" s="47" t="str">
        <f>IF($B815="","",YEAR($B815)*100+MONTH($B815))</f>
        <v/>
      </c>
      <c r="D815" s="37" t="n"/>
      <c r="E815" s="45" t="str">
        <f>IF($D815="","",IFERROR(INDEX(CARDS!$B$5:$B$34,MATCH($D815,CARDS!$A$5:$A$34,0)),"⚠ Card ID?"))</f>
        <v/>
      </c>
      <c r="F815" s="45" t="str">
        <f>IF($D815="","",IFERROR(INDEX(CARDS!$C$5:$C$34,MATCH($D815,CARDS!$A$5:$A$34,0)),"⚠ Card ID?"))</f>
        <v/>
      </c>
      <c r="G815" s="37" t="n"/>
      <c r="H815" s="37" t="n"/>
      <c r="I815" s="41" t="n"/>
      <c r="J815" s="45" t="str">
        <f>IF($I815="","",IFERROR(INDEX(MCC_MASTER!$B$5:$B$504,MATCH($I815,MCC_MASTER!$A$5:$A$504,0)),"⚠ MCC chưa có"))</f>
        <v/>
      </c>
      <c r="K815" s="45" t="str">
        <f>IF($I815="","",IFERROR(IF(INDEX(MCC_MASTER!$C$5:$C$504,MATCH($I815,MCC_MASTER!$A$5:$A$504,0))="","Chưa phân loại",INDEX(MCC_MASTER!$C$5:$C$504,MATCH($I815,MCC_MASTER!$A$5:$A$504,0))),"Chưa phân loại"))</f>
        <v/>
      </c>
      <c r="L815" s="40" t="n"/>
      <c r="M815" s="48" t="str">
        <f>IF(OR($B815="",$D815=""),"",IF($AC815=0,0,IF(ISNUMBER(INDEX(CASHBACK_RULES!$L$5:$L$304,$AC815)),MAX(0,MIN($L815,INDEX(CASHBACK_RULES!$L$5:$L$304,$AC815)-$AH815)),MAX(0,$L815))))</f>
        <v/>
      </c>
      <c r="N815" s="49" t="str">
        <f>IF(OR($B815="",$D815=""),"",IF($AC815&gt;0,INDEX(CASHBACK_RULES!$I$5:$I$304,$AC815),0))</f>
        <v/>
      </c>
      <c r="O815" s="48" t="str">
        <f>IF(OR($B815="",$D815=""),"",ROUND($M815*$N815,0))</f>
        <v/>
      </c>
      <c r="P815" s="48" t="str">
        <f>IF($AC815&gt;0,IF(ISNUMBER(INDEX(CASHBACK_RULES!$J$5:$J$304,$AC815)),INDEX(CASHBACK_RULES!$J$5:$J$304,$AC815),"∞"),"")</f>
        <v/>
      </c>
      <c r="Q815" s="48" t="str">
        <f>IF(OR($B815="",$D815=""),"",IF($AC815=0,0,MAX(0,MIN($O815,IF(ISNUMBER($P815),$P815-$AF815,1E+15),IF(ISNUMBER($AA815),$AA815-$AG815,1E+15)))))</f>
        <v/>
      </c>
      <c r="R815" s="48" t="str">
        <f>IF(OR($B815="",$D815=""),"",IF($AC815=0,"",IF(AND(NOT(ISNUMBER($P815)),NOT(ISNUMBER($AA815))),"∞",MAX(0,MIN(IF(ISNUMBER($P815),$P815-$AF815-$Q815,1E+15),IF(ISNUMBER($AA815),$AA815-$AG815-$Q815,1E+15))))))</f>
        <v/>
      </c>
      <c r="S815" s="47" t="str">
        <f>IF($AD815="","",YEAR($AD815)*100+MONTH($AD815))</f>
        <v/>
      </c>
      <c r="T815" s="50" t="str">
        <f>IF($AD815="","",IFERROR(IF(INDEX(CARDS!$I$5:$I$34,MATCH($D815,CARDS!$A$5:$A$34,0))="","",IF(INDEX(CARDS!$I$5:$I$34,MATCH($D815,CARDS!$A$5:$A$34,0))&gt;INDEX(CARDS!$H$5:$H$34,MATCH($D815,CARDS!$A$5:$A$34,0)),DATE(YEAR($AD815),MONTH($AD815),MIN(INDEX(CARDS!$I$5:$I$34,MATCH($D815,CARDS!$A$5:$A$34,0)),DAY(EOMONTH($AD815,0)))),DATE(YEAR($AD815),MONTH($AD815)+1,MIN(INDEX(CARDS!$I$5:$I$34,MATCH($D815,CARDS!$A$5:$A$34,0)),DAY(EOMONTH($AD815,1)))))),""))</f>
        <v/>
      </c>
      <c r="U815" s="38" t="n"/>
      <c r="V815" s="37" t="n"/>
      <c r="W815" s="38" t="n"/>
      <c r="X815" s="38" t="n"/>
      <c r="Y815" s="44" t="str">
        <f>IF($AC815&gt;0,INDEX(CASHBACK_RULES!$A$5:$A$304,$AC815),"")</f>
        <v/>
      </c>
      <c r="Z815" s="45" t="str">
        <f>IF($AC815&gt;0,INDEX(CASHBACK_RULES!$E$5:$E$304,$AC815)&amp;"","")</f>
        <v/>
      </c>
      <c r="AA815" s="48" t="str">
        <f>IF($AC815&gt;0,IF(ISNUMBER(INDEX(CASHBACK_RULES!$K$5:$K$304,$AC815)),INDEX(CASHBACK_RULES!$K$5:$K$304,$AC815),"∞"),"")</f>
        <v/>
      </c>
      <c r="AB815" s="44" t="str">
        <f>IF(OR($B815="",$D815=""),"",IF($U815="Cancelled","Đã hủy",IF($AC815=0,"Không được hoàn",IF($Q815=0,IF(OR($O815&gt;0,$M815&lt;$L815),"Đã đạt cap","Không được hoàn"),IF(OR($Q815&lt;$O815,$M815&lt;$L815),"Hoàn một phần","Được hoàn")))))</f>
        <v/>
      </c>
      <c r="AC815" s="43">
        <f>IF(OR($B815="",$D815="",$I815="",$L815=""),0,IF($U815="Cancelled",0,IF($W815&lt;&gt;"",IFERROR(IF(INDEX(CASHBACK_RULES!$B$5:$B$304,MATCH($W815,CASHBACK_RULES!$A$5:$A$304,0))=$D815,MATCH($W815,CASHBACK_RULES!$A$5:$A$304,0),0),0),IFERROR(MATCH(1,INDEX((CASHBACK_RULES!$B$5:$B$304=$D815)*(CASHBACK_RULES!$G$5:$G$304=$I815)*(((CASHBACK_RULES!$N$5:$N$304="")+(CASHBACK_RULES!$N$5:$N$304&lt;=$B815))&gt;0)*(((CASHBACK_RULES!$O$5:$O$304="")+(CASHBACK_RULES!$O$5:$O$304&gt;=$B815))&gt;0)*(((CASHBACK_RULES!$M$5:$M$304="")+(CASHBACK_RULES!$M$5:$M$304&lt;=$L815))&gt;0),0),0),0))))</f>
        <v>0</v>
      </c>
      <c r="AD815" s="51" t="str">
        <f>IF(OR($B815="",$D815=""),"",IFERROR(IF(INDEX(CARDS!$H$5:$H$34,MATCH($D815,CARDS!$A$5:$A$34,0))="","",IF(DAY($B815)&lt;=INDEX(CARDS!$H$5:$H$34,MATCH($D815,CARDS!$A$5:$A$34,0)),DATE(YEAR($B815),MONTH($B815),MIN(INDEX(CARDS!$H$5:$H$34,MATCH($D815,CARDS!$A$5:$A$34,0)),DAY(EOMONTH($B815,0)))),DATE(YEAR($B815),MONTH($B815)+1,MIN(INDEX(CARDS!$H$5:$H$34,MATCH($D815,CARDS!$A$5:$A$34,0)),DAY(EOMONTH($B815,1)))))),""))</f>
        <v/>
      </c>
      <c r="AE815" s="52" t="str">
        <f>IF($C815="","",$C815&amp;"|"&amp;COUNTIF($C$5:$C815,$C815))</f>
        <v/>
      </c>
      <c r="AF815" s="53">
        <f>IF($AC815&gt;0,SUMIFS(Q$4:Q814,$D$4:$D814,$D815,$Z$4:$Z814,$Z815,$C$4:$C814,$C815),0)</f>
        <v>0</v>
      </c>
      <c r="AG815" s="53">
        <f>IF($AC815&gt;0,SUMIFS(Q$4:Q814,$D$4:$D814,$D815,$C$4:$C814,$C815),0)</f>
        <v>0</v>
      </c>
      <c r="AH815" s="53">
        <f>IF($AC815&gt;0,SUMIFS(M$4:M814,$D$4:$D814,$D815,$Z$4:$Z814,$Z815,$C$4:$C814,$C815),0)</f>
        <v>0</v>
      </c>
      <c r="AI815" s="43">
        <f>IF(OR($C815="",$I815=""),0,IF(COUNTIFS($C$5:$C815,$C815,$I$5:$I815,$I815)=1,1,0))</f>
        <v>0</v>
      </c>
      <c r="AJ815" s="43" t="str">
        <f>IF($AI815=1,SUMIFS($AI$4:$AI814,$C$4:$C814,$C815)+1,"")</f>
        <v/>
      </c>
      <c r="AK815" s="43">
        <f>IF(OR($C815="",$K815=""),0,IF(COUNTIFS($C$5:$C815,$C815,$K$5:$K815,$K815)=1,1,0))</f>
        <v>0</v>
      </c>
      <c r="AL815" s="43" t="str">
        <f>IF($AK815=1,SUMIFS($AK$4:$AK814,$C$4:$C814,$C815)+1,"")</f>
        <v/>
      </c>
      <c r="AM815" s="43">
        <f>IF(OR($C815="",$G815=""),0,IF(COUNTIFS($C$5:$C815,$C815,$G$5:$G815,$G815)=1,1,0))</f>
        <v>0</v>
      </c>
      <c r="AN815" s="43" t="str">
        <f>IF($AM815=1,SUMIFS($AM$4:$AM814,$C$4:$C814,$C815)+1,"")</f>
        <v/>
      </c>
    </row>
    <row r="816">
      <c r="A816" s="44" t="str">
        <f>IF(OR($B816="",$D816=""),"","TX"&amp;TEXT(ROW()-4,"0000"))</f>
        <v/>
      </c>
      <c r="B816" s="42" t="n"/>
      <c r="C816" s="47" t="str">
        <f>IF($B816="","",YEAR($B816)*100+MONTH($B816))</f>
        <v/>
      </c>
      <c r="D816" s="37" t="n"/>
      <c r="E816" s="45" t="str">
        <f>IF($D816="","",IFERROR(INDEX(CARDS!$B$5:$B$34,MATCH($D816,CARDS!$A$5:$A$34,0)),"⚠ Card ID?"))</f>
        <v/>
      </c>
      <c r="F816" s="45" t="str">
        <f>IF($D816="","",IFERROR(INDEX(CARDS!$C$5:$C$34,MATCH($D816,CARDS!$A$5:$A$34,0)),"⚠ Card ID?"))</f>
        <v/>
      </c>
      <c r="G816" s="37" t="n"/>
      <c r="H816" s="37" t="n"/>
      <c r="I816" s="41" t="n"/>
      <c r="J816" s="45" t="str">
        <f>IF($I816="","",IFERROR(INDEX(MCC_MASTER!$B$5:$B$504,MATCH($I816,MCC_MASTER!$A$5:$A$504,0)),"⚠ MCC chưa có"))</f>
        <v/>
      </c>
      <c r="K816" s="45" t="str">
        <f>IF($I816="","",IFERROR(IF(INDEX(MCC_MASTER!$C$5:$C$504,MATCH($I816,MCC_MASTER!$A$5:$A$504,0))="","Chưa phân loại",INDEX(MCC_MASTER!$C$5:$C$504,MATCH($I816,MCC_MASTER!$A$5:$A$504,0))),"Chưa phân loại"))</f>
        <v/>
      </c>
      <c r="L816" s="40" t="n"/>
      <c r="M816" s="48" t="str">
        <f>IF(OR($B816="",$D816=""),"",IF($AC816=0,0,IF(ISNUMBER(INDEX(CASHBACK_RULES!$L$5:$L$304,$AC816)),MAX(0,MIN($L816,INDEX(CASHBACK_RULES!$L$5:$L$304,$AC816)-$AH816)),MAX(0,$L816))))</f>
        <v/>
      </c>
      <c r="N816" s="49" t="str">
        <f>IF(OR($B816="",$D816=""),"",IF($AC816&gt;0,INDEX(CASHBACK_RULES!$I$5:$I$304,$AC816),0))</f>
        <v/>
      </c>
      <c r="O816" s="48" t="str">
        <f>IF(OR($B816="",$D816=""),"",ROUND($M816*$N816,0))</f>
        <v/>
      </c>
      <c r="P816" s="48" t="str">
        <f>IF($AC816&gt;0,IF(ISNUMBER(INDEX(CASHBACK_RULES!$J$5:$J$304,$AC816)),INDEX(CASHBACK_RULES!$J$5:$J$304,$AC816),"∞"),"")</f>
        <v/>
      </c>
      <c r="Q816" s="48" t="str">
        <f>IF(OR($B816="",$D816=""),"",IF($AC816=0,0,MAX(0,MIN($O816,IF(ISNUMBER($P816),$P816-$AF816,1E+15),IF(ISNUMBER($AA816),$AA816-$AG816,1E+15)))))</f>
        <v/>
      </c>
      <c r="R816" s="48" t="str">
        <f>IF(OR($B816="",$D816=""),"",IF($AC816=0,"",IF(AND(NOT(ISNUMBER($P816)),NOT(ISNUMBER($AA816))),"∞",MAX(0,MIN(IF(ISNUMBER($P816),$P816-$AF816-$Q816,1E+15),IF(ISNUMBER($AA816),$AA816-$AG816-$Q816,1E+15))))))</f>
        <v/>
      </c>
      <c r="S816" s="47" t="str">
        <f>IF($AD816="","",YEAR($AD816)*100+MONTH($AD816))</f>
        <v/>
      </c>
      <c r="T816" s="50" t="str">
        <f>IF($AD816="","",IFERROR(IF(INDEX(CARDS!$I$5:$I$34,MATCH($D816,CARDS!$A$5:$A$34,0))="","",IF(INDEX(CARDS!$I$5:$I$34,MATCH($D816,CARDS!$A$5:$A$34,0))&gt;INDEX(CARDS!$H$5:$H$34,MATCH($D816,CARDS!$A$5:$A$34,0)),DATE(YEAR($AD816),MONTH($AD816),MIN(INDEX(CARDS!$I$5:$I$34,MATCH($D816,CARDS!$A$5:$A$34,0)),DAY(EOMONTH($AD816,0)))),DATE(YEAR($AD816),MONTH($AD816)+1,MIN(INDEX(CARDS!$I$5:$I$34,MATCH($D816,CARDS!$A$5:$A$34,0)),DAY(EOMONTH($AD816,1)))))),""))</f>
        <v/>
      </c>
      <c r="U816" s="38" t="n"/>
      <c r="V816" s="37" t="n"/>
      <c r="W816" s="38" t="n"/>
      <c r="X816" s="38" t="n"/>
      <c r="Y816" s="44" t="str">
        <f>IF($AC816&gt;0,INDEX(CASHBACK_RULES!$A$5:$A$304,$AC816),"")</f>
        <v/>
      </c>
      <c r="Z816" s="45" t="str">
        <f>IF($AC816&gt;0,INDEX(CASHBACK_RULES!$E$5:$E$304,$AC816)&amp;"","")</f>
        <v/>
      </c>
      <c r="AA816" s="48" t="str">
        <f>IF($AC816&gt;0,IF(ISNUMBER(INDEX(CASHBACK_RULES!$K$5:$K$304,$AC816)),INDEX(CASHBACK_RULES!$K$5:$K$304,$AC816),"∞"),"")</f>
        <v/>
      </c>
      <c r="AB816" s="44" t="str">
        <f>IF(OR($B816="",$D816=""),"",IF($U816="Cancelled","Đã hủy",IF($AC816=0,"Không được hoàn",IF($Q816=0,IF(OR($O816&gt;0,$M816&lt;$L816),"Đã đạt cap","Không được hoàn"),IF(OR($Q816&lt;$O816,$M816&lt;$L816),"Hoàn một phần","Được hoàn")))))</f>
        <v/>
      </c>
      <c r="AC816" s="43">
        <f>IF(OR($B816="",$D816="",$I816="",$L816=""),0,IF($U816="Cancelled",0,IF($W816&lt;&gt;"",IFERROR(IF(INDEX(CASHBACK_RULES!$B$5:$B$304,MATCH($W816,CASHBACK_RULES!$A$5:$A$304,0))=$D816,MATCH($W816,CASHBACK_RULES!$A$5:$A$304,0),0),0),IFERROR(MATCH(1,INDEX((CASHBACK_RULES!$B$5:$B$304=$D816)*(CASHBACK_RULES!$G$5:$G$304=$I816)*(((CASHBACK_RULES!$N$5:$N$304="")+(CASHBACK_RULES!$N$5:$N$304&lt;=$B816))&gt;0)*(((CASHBACK_RULES!$O$5:$O$304="")+(CASHBACK_RULES!$O$5:$O$304&gt;=$B816))&gt;0)*(((CASHBACK_RULES!$M$5:$M$304="")+(CASHBACK_RULES!$M$5:$M$304&lt;=$L816))&gt;0),0),0),0))))</f>
        <v>0</v>
      </c>
      <c r="AD816" s="51" t="str">
        <f>IF(OR($B816="",$D816=""),"",IFERROR(IF(INDEX(CARDS!$H$5:$H$34,MATCH($D816,CARDS!$A$5:$A$34,0))="","",IF(DAY($B816)&lt;=INDEX(CARDS!$H$5:$H$34,MATCH($D816,CARDS!$A$5:$A$34,0)),DATE(YEAR($B816),MONTH($B816),MIN(INDEX(CARDS!$H$5:$H$34,MATCH($D816,CARDS!$A$5:$A$34,0)),DAY(EOMONTH($B816,0)))),DATE(YEAR($B816),MONTH($B816)+1,MIN(INDEX(CARDS!$H$5:$H$34,MATCH($D816,CARDS!$A$5:$A$34,0)),DAY(EOMONTH($B816,1)))))),""))</f>
        <v/>
      </c>
      <c r="AE816" s="52" t="str">
        <f>IF($C816="","",$C816&amp;"|"&amp;COUNTIF($C$5:$C816,$C816))</f>
        <v/>
      </c>
      <c r="AF816" s="53">
        <f>IF($AC816&gt;0,SUMIFS(Q$4:Q815,$D$4:$D815,$D816,$Z$4:$Z815,$Z816,$C$4:$C815,$C816),0)</f>
        <v>0</v>
      </c>
      <c r="AG816" s="53">
        <f>IF($AC816&gt;0,SUMIFS(Q$4:Q815,$D$4:$D815,$D816,$C$4:$C815,$C816),0)</f>
        <v>0</v>
      </c>
      <c r="AH816" s="53">
        <f>IF($AC816&gt;0,SUMIFS(M$4:M815,$D$4:$D815,$D816,$Z$4:$Z815,$Z816,$C$4:$C815,$C816),0)</f>
        <v>0</v>
      </c>
      <c r="AI816" s="43">
        <f>IF(OR($C816="",$I816=""),0,IF(COUNTIFS($C$5:$C816,$C816,$I$5:$I816,$I816)=1,1,0))</f>
        <v>0</v>
      </c>
      <c r="AJ816" s="43" t="str">
        <f>IF($AI816=1,SUMIFS($AI$4:$AI815,$C$4:$C815,$C816)+1,"")</f>
        <v/>
      </c>
      <c r="AK816" s="43">
        <f>IF(OR($C816="",$K816=""),0,IF(COUNTIFS($C$5:$C816,$C816,$K$5:$K816,$K816)=1,1,0))</f>
        <v>0</v>
      </c>
      <c r="AL816" s="43" t="str">
        <f>IF($AK816=1,SUMIFS($AK$4:$AK815,$C$4:$C815,$C816)+1,"")</f>
        <v/>
      </c>
      <c r="AM816" s="43">
        <f>IF(OR($C816="",$G816=""),0,IF(COUNTIFS($C$5:$C816,$C816,$G$5:$G816,$G816)=1,1,0))</f>
        <v>0</v>
      </c>
      <c r="AN816" s="43" t="str">
        <f>IF($AM816=1,SUMIFS($AM$4:$AM815,$C$4:$C815,$C816)+1,"")</f>
        <v/>
      </c>
    </row>
    <row r="817">
      <c r="A817" s="44" t="str">
        <f>IF(OR($B817="",$D817=""),"","TX"&amp;TEXT(ROW()-4,"0000"))</f>
        <v/>
      </c>
      <c r="B817" s="42" t="n"/>
      <c r="C817" s="47" t="str">
        <f>IF($B817="","",YEAR($B817)*100+MONTH($B817))</f>
        <v/>
      </c>
      <c r="D817" s="37" t="n"/>
      <c r="E817" s="45" t="str">
        <f>IF($D817="","",IFERROR(INDEX(CARDS!$B$5:$B$34,MATCH($D817,CARDS!$A$5:$A$34,0)),"⚠ Card ID?"))</f>
        <v/>
      </c>
      <c r="F817" s="45" t="str">
        <f>IF($D817="","",IFERROR(INDEX(CARDS!$C$5:$C$34,MATCH($D817,CARDS!$A$5:$A$34,0)),"⚠ Card ID?"))</f>
        <v/>
      </c>
      <c r="G817" s="37" t="n"/>
      <c r="H817" s="37" t="n"/>
      <c r="I817" s="41" t="n"/>
      <c r="J817" s="45" t="str">
        <f>IF($I817="","",IFERROR(INDEX(MCC_MASTER!$B$5:$B$504,MATCH($I817,MCC_MASTER!$A$5:$A$504,0)),"⚠ MCC chưa có"))</f>
        <v/>
      </c>
      <c r="K817" s="45" t="str">
        <f>IF($I817="","",IFERROR(IF(INDEX(MCC_MASTER!$C$5:$C$504,MATCH($I817,MCC_MASTER!$A$5:$A$504,0))="","Chưa phân loại",INDEX(MCC_MASTER!$C$5:$C$504,MATCH($I817,MCC_MASTER!$A$5:$A$504,0))),"Chưa phân loại"))</f>
        <v/>
      </c>
      <c r="L817" s="40" t="n"/>
      <c r="M817" s="48" t="str">
        <f>IF(OR($B817="",$D817=""),"",IF($AC817=0,0,IF(ISNUMBER(INDEX(CASHBACK_RULES!$L$5:$L$304,$AC817)),MAX(0,MIN($L817,INDEX(CASHBACK_RULES!$L$5:$L$304,$AC817)-$AH817)),MAX(0,$L817))))</f>
        <v/>
      </c>
      <c r="N817" s="49" t="str">
        <f>IF(OR($B817="",$D817=""),"",IF($AC817&gt;0,INDEX(CASHBACK_RULES!$I$5:$I$304,$AC817),0))</f>
        <v/>
      </c>
      <c r="O817" s="48" t="str">
        <f>IF(OR($B817="",$D817=""),"",ROUND($M817*$N817,0))</f>
        <v/>
      </c>
      <c r="P817" s="48" t="str">
        <f>IF($AC817&gt;0,IF(ISNUMBER(INDEX(CASHBACK_RULES!$J$5:$J$304,$AC817)),INDEX(CASHBACK_RULES!$J$5:$J$304,$AC817),"∞"),"")</f>
        <v/>
      </c>
      <c r="Q817" s="48" t="str">
        <f>IF(OR($B817="",$D817=""),"",IF($AC817=0,0,MAX(0,MIN($O817,IF(ISNUMBER($P817),$P817-$AF817,1E+15),IF(ISNUMBER($AA817),$AA817-$AG817,1E+15)))))</f>
        <v/>
      </c>
      <c r="R817" s="48" t="str">
        <f>IF(OR($B817="",$D817=""),"",IF($AC817=0,"",IF(AND(NOT(ISNUMBER($P817)),NOT(ISNUMBER($AA817))),"∞",MAX(0,MIN(IF(ISNUMBER($P817),$P817-$AF817-$Q817,1E+15),IF(ISNUMBER($AA817),$AA817-$AG817-$Q817,1E+15))))))</f>
        <v/>
      </c>
      <c r="S817" s="47" t="str">
        <f>IF($AD817="","",YEAR($AD817)*100+MONTH($AD817))</f>
        <v/>
      </c>
      <c r="T817" s="50" t="str">
        <f>IF($AD817="","",IFERROR(IF(INDEX(CARDS!$I$5:$I$34,MATCH($D817,CARDS!$A$5:$A$34,0))="","",IF(INDEX(CARDS!$I$5:$I$34,MATCH($D817,CARDS!$A$5:$A$34,0))&gt;INDEX(CARDS!$H$5:$H$34,MATCH($D817,CARDS!$A$5:$A$34,0)),DATE(YEAR($AD817),MONTH($AD817),MIN(INDEX(CARDS!$I$5:$I$34,MATCH($D817,CARDS!$A$5:$A$34,0)),DAY(EOMONTH($AD817,0)))),DATE(YEAR($AD817),MONTH($AD817)+1,MIN(INDEX(CARDS!$I$5:$I$34,MATCH($D817,CARDS!$A$5:$A$34,0)),DAY(EOMONTH($AD817,1)))))),""))</f>
        <v/>
      </c>
      <c r="U817" s="38" t="n"/>
      <c r="V817" s="37" t="n"/>
      <c r="W817" s="38" t="n"/>
      <c r="X817" s="38" t="n"/>
      <c r="Y817" s="44" t="str">
        <f>IF($AC817&gt;0,INDEX(CASHBACK_RULES!$A$5:$A$304,$AC817),"")</f>
        <v/>
      </c>
      <c r="Z817" s="45" t="str">
        <f>IF($AC817&gt;0,INDEX(CASHBACK_RULES!$E$5:$E$304,$AC817)&amp;"","")</f>
        <v/>
      </c>
      <c r="AA817" s="48" t="str">
        <f>IF($AC817&gt;0,IF(ISNUMBER(INDEX(CASHBACK_RULES!$K$5:$K$304,$AC817)),INDEX(CASHBACK_RULES!$K$5:$K$304,$AC817),"∞"),"")</f>
        <v/>
      </c>
      <c r="AB817" s="44" t="str">
        <f>IF(OR($B817="",$D817=""),"",IF($U817="Cancelled","Đã hủy",IF($AC817=0,"Không được hoàn",IF($Q817=0,IF(OR($O817&gt;0,$M817&lt;$L817),"Đã đạt cap","Không được hoàn"),IF(OR($Q817&lt;$O817,$M817&lt;$L817),"Hoàn một phần","Được hoàn")))))</f>
        <v/>
      </c>
      <c r="AC817" s="43">
        <f>IF(OR($B817="",$D817="",$I817="",$L817=""),0,IF($U817="Cancelled",0,IF($W817&lt;&gt;"",IFERROR(IF(INDEX(CASHBACK_RULES!$B$5:$B$304,MATCH($W817,CASHBACK_RULES!$A$5:$A$304,0))=$D817,MATCH($W817,CASHBACK_RULES!$A$5:$A$304,0),0),0),IFERROR(MATCH(1,INDEX((CASHBACK_RULES!$B$5:$B$304=$D817)*(CASHBACK_RULES!$G$5:$G$304=$I817)*(((CASHBACK_RULES!$N$5:$N$304="")+(CASHBACK_RULES!$N$5:$N$304&lt;=$B817))&gt;0)*(((CASHBACK_RULES!$O$5:$O$304="")+(CASHBACK_RULES!$O$5:$O$304&gt;=$B817))&gt;0)*(((CASHBACK_RULES!$M$5:$M$304="")+(CASHBACK_RULES!$M$5:$M$304&lt;=$L817))&gt;0),0),0),0))))</f>
        <v>0</v>
      </c>
      <c r="AD817" s="51" t="str">
        <f>IF(OR($B817="",$D817=""),"",IFERROR(IF(INDEX(CARDS!$H$5:$H$34,MATCH($D817,CARDS!$A$5:$A$34,0))="","",IF(DAY($B817)&lt;=INDEX(CARDS!$H$5:$H$34,MATCH($D817,CARDS!$A$5:$A$34,0)),DATE(YEAR($B817),MONTH($B817),MIN(INDEX(CARDS!$H$5:$H$34,MATCH($D817,CARDS!$A$5:$A$34,0)),DAY(EOMONTH($B817,0)))),DATE(YEAR($B817),MONTH($B817)+1,MIN(INDEX(CARDS!$H$5:$H$34,MATCH($D817,CARDS!$A$5:$A$34,0)),DAY(EOMONTH($B817,1)))))),""))</f>
        <v/>
      </c>
      <c r="AE817" s="52" t="str">
        <f>IF($C817="","",$C817&amp;"|"&amp;COUNTIF($C$5:$C817,$C817))</f>
        <v/>
      </c>
      <c r="AF817" s="53">
        <f>IF($AC817&gt;0,SUMIFS(Q$4:Q816,$D$4:$D816,$D817,$Z$4:$Z816,$Z817,$C$4:$C816,$C817),0)</f>
        <v>0</v>
      </c>
      <c r="AG817" s="53">
        <f>IF($AC817&gt;0,SUMIFS(Q$4:Q816,$D$4:$D816,$D817,$C$4:$C816,$C817),0)</f>
        <v>0</v>
      </c>
      <c r="AH817" s="53">
        <f>IF($AC817&gt;0,SUMIFS(M$4:M816,$D$4:$D816,$D817,$Z$4:$Z816,$Z817,$C$4:$C816,$C817),0)</f>
        <v>0</v>
      </c>
      <c r="AI817" s="43">
        <f>IF(OR($C817="",$I817=""),0,IF(COUNTIFS($C$5:$C817,$C817,$I$5:$I817,$I817)=1,1,0))</f>
        <v>0</v>
      </c>
      <c r="AJ817" s="43" t="str">
        <f>IF($AI817=1,SUMIFS($AI$4:$AI816,$C$4:$C816,$C817)+1,"")</f>
        <v/>
      </c>
      <c r="AK817" s="43">
        <f>IF(OR($C817="",$K817=""),0,IF(COUNTIFS($C$5:$C817,$C817,$K$5:$K817,$K817)=1,1,0))</f>
        <v>0</v>
      </c>
      <c r="AL817" s="43" t="str">
        <f>IF($AK817=1,SUMIFS($AK$4:$AK816,$C$4:$C816,$C817)+1,"")</f>
        <v/>
      </c>
      <c r="AM817" s="43">
        <f>IF(OR($C817="",$G817=""),0,IF(COUNTIFS($C$5:$C817,$C817,$G$5:$G817,$G817)=1,1,0))</f>
        <v>0</v>
      </c>
      <c r="AN817" s="43" t="str">
        <f>IF($AM817=1,SUMIFS($AM$4:$AM816,$C$4:$C816,$C817)+1,"")</f>
        <v/>
      </c>
    </row>
    <row r="818">
      <c r="A818" s="44" t="str">
        <f>IF(OR($B818="",$D818=""),"","TX"&amp;TEXT(ROW()-4,"0000"))</f>
        <v/>
      </c>
      <c r="B818" s="42" t="n"/>
      <c r="C818" s="47" t="str">
        <f>IF($B818="","",YEAR($B818)*100+MONTH($B818))</f>
        <v/>
      </c>
      <c r="D818" s="37" t="n"/>
      <c r="E818" s="45" t="str">
        <f>IF($D818="","",IFERROR(INDEX(CARDS!$B$5:$B$34,MATCH($D818,CARDS!$A$5:$A$34,0)),"⚠ Card ID?"))</f>
        <v/>
      </c>
      <c r="F818" s="45" t="str">
        <f>IF($D818="","",IFERROR(INDEX(CARDS!$C$5:$C$34,MATCH($D818,CARDS!$A$5:$A$34,0)),"⚠ Card ID?"))</f>
        <v/>
      </c>
      <c r="G818" s="37" t="n"/>
      <c r="H818" s="37" t="n"/>
      <c r="I818" s="41" t="n"/>
      <c r="J818" s="45" t="str">
        <f>IF($I818="","",IFERROR(INDEX(MCC_MASTER!$B$5:$B$504,MATCH($I818,MCC_MASTER!$A$5:$A$504,0)),"⚠ MCC chưa có"))</f>
        <v/>
      </c>
      <c r="K818" s="45" t="str">
        <f>IF($I818="","",IFERROR(IF(INDEX(MCC_MASTER!$C$5:$C$504,MATCH($I818,MCC_MASTER!$A$5:$A$504,0))="","Chưa phân loại",INDEX(MCC_MASTER!$C$5:$C$504,MATCH($I818,MCC_MASTER!$A$5:$A$504,0))),"Chưa phân loại"))</f>
        <v/>
      </c>
      <c r="L818" s="40" t="n"/>
      <c r="M818" s="48" t="str">
        <f>IF(OR($B818="",$D818=""),"",IF($AC818=0,0,IF(ISNUMBER(INDEX(CASHBACK_RULES!$L$5:$L$304,$AC818)),MAX(0,MIN($L818,INDEX(CASHBACK_RULES!$L$5:$L$304,$AC818)-$AH818)),MAX(0,$L818))))</f>
        <v/>
      </c>
      <c r="N818" s="49" t="str">
        <f>IF(OR($B818="",$D818=""),"",IF($AC818&gt;0,INDEX(CASHBACK_RULES!$I$5:$I$304,$AC818),0))</f>
        <v/>
      </c>
      <c r="O818" s="48" t="str">
        <f>IF(OR($B818="",$D818=""),"",ROUND($M818*$N818,0))</f>
        <v/>
      </c>
      <c r="P818" s="48" t="str">
        <f>IF($AC818&gt;0,IF(ISNUMBER(INDEX(CASHBACK_RULES!$J$5:$J$304,$AC818)),INDEX(CASHBACK_RULES!$J$5:$J$304,$AC818),"∞"),"")</f>
        <v/>
      </c>
      <c r="Q818" s="48" t="str">
        <f>IF(OR($B818="",$D818=""),"",IF($AC818=0,0,MAX(0,MIN($O818,IF(ISNUMBER($P818),$P818-$AF818,1E+15),IF(ISNUMBER($AA818),$AA818-$AG818,1E+15)))))</f>
        <v/>
      </c>
      <c r="R818" s="48" t="str">
        <f>IF(OR($B818="",$D818=""),"",IF($AC818=0,"",IF(AND(NOT(ISNUMBER($P818)),NOT(ISNUMBER($AA818))),"∞",MAX(0,MIN(IF(ISNUMBER($P818),$P818-$AF818-$Q818,1E+15),IF(ISNUMBER($AA818),$AA818-$AG818-$Q818,1E+15))))))</f>
        <v/>
      </c>
      <c r="S818" s="47" t="str">
        <f>IF($AD818="","",YEAR($AD818)*100+MONTH($AD818))</f>
        <v/>
      </c>
      <c r="T818" s="50" t="str">
        <f>IF($AD818="","",IFERROR(IF(INDEX(CARDS!$I$5:$I$34,MATCH($D818,CARDS!$A$5:$A$34,0))="","",IF(INDEX(CARDS!$I$5:$I$34,MATCH($D818,CARDS!$A$5:$A$34,0))&gt;INDEX(CARDS!$H$5:$H$34,MATCH($D818,CARDS!$A$5:$A$34,0)),DATE(YEAR($AD818),MONTH($AD818),MIN(INDEX(CARDS!$I$5:$I$34,MATCH($D818,CARDS!$A$5:$A$34,0)),DAY(EOMONTH($AD818,0)))),DATE(YEAR($AD818),MONTH($AD818)+1,MIN(INDEX(CARDS!$I$5:$I$34,MATCH($D818,CARDS!$A$5:$A$34,0)),DAY(EOMONTH($AD818,1)))))),""))</f>
        <v/>
      </c>
      <c r="U818" s="38" t="n"/>
      <c r="V818" s="37" t="n"/>
      <c r="W818" s="38" t="n"/>
      <c r="X818" s="38" t="n"/>
      <c r="Y818" s="44" t="str">
        <f>IF($AC818&gt;0,INDEX(CASHBACK_RULES!$A$5:$A$304,$AC818),"")</f>
        <v/>
      </c>
      <c r="Z818" s="45" t="str">
        <f>IF($AC818&gt;0,INDEX(CASHBACK_RULES!$E$5:$E$304,$AC818)&amp;"","")</f>
        <v/>
      </c>
      <c r="AA818" s="48" t="str">
        <f>IF($AC818&gt;0,IF(ISNUMBER(INDEX(CASHBACK_RULES!$K$5:$K$304,$AC818)),INDEX(CASHBACK_RULES!$K$5:$K$304,$AC818),"∞"),"")</f>
        <v/>
      </c>
      <c r="AB818" s="44" t="str">
        <f>IF(OR($B818="",$D818=""),"",IF($U818="Cancelled","Đã hủy",IF($AC818=0,"Không được hoàn",IF($Q818=0,IF(OR($O818&gt;0,$M818&lt;$L818),"Đã đạt cap","Không được hoàn"),IF(OR($Q818&lt;$O818,$M818&lt;$L818),"Hoàn một phần","Được hoàn")))))</f>
        <v/>
      </c>
      <c r="AC818" s="43">
        <f>IF(OR($B818="",$D818="",$I818="",$L818=""),0,IF($U818="Cancelled",0,IF($W818&lt;&gt;"",IFERROR(IF(INDEX(CASHBACK_RULES!$B$5:$B$304,MATCH($W818,CASHBACK_RULES!$A$5:$A$304,0))=$D818,MATCH($W818,CASHBACK_RULES!$A$5:$A$304,0),0),0),IFERROR(MATCH(1,INDEX((CASHBACK_RULES!$B$5:$B$304=$D818)*(CASHBACK_RULES!$G$5:$G$304=$I818)*(((CASHBACK_RULES!$N$5:$N$304="")+(CASHBACK_RULES!$N$5:$N$304&lt;=$B818))&gt;0)*(((CASHBACK_RULES!$O$5:$O$304="")+(CASHBACK_RULES!$O$5:$O$304&gt;=$B818))&gt;0)*(((CASHBACK_RULES!$M$5:$M$304="")+(CASHBACK_RULES!$M$5:$M$304&lt;=$L818))&gt;0),0),0),0))))</f>
        <v>0</v>
      </c>
      <c r="AD818" s="51" t="str">
        <f>IF(OR($B818="",$D818=""),"",IFERROR(IF(INDEX(CARDS!$H$5:$H$34,MATCH($D818,CARDS!$A$5:$A$34,0))="","",IF(DAY($B818)&lt;=INDEX(CARDS!$H$5:$H$34,MATCH($D818,CARDS!$A$5:$A$34,0)),DATE(YEAR($B818),MONTH($B818),MIN(INDEX(CARDS!$H$5:$H$34,MATCH($D818,CARDS!$A$5:$A$34,0)),DAY(EOMONTH($B818,0)))),DATE(YEAR($B818),MONTH($B818)+1,MIN(INDEX(CARDS!$H$5:$H$34,MATCH($D818,CARDS!$A$5:$A$34,0)),DAY(EOMONTH($B818,1)))))),""))</f>
        <v/>
      </c>
      <c r="AE818" s="52" t="str">
        <f>IF($C818="","",$C818&amp;"|"&amp;COUNTIF($C$5:$C818,$C818))</f>
        <v/>
      </c>
      <c r="AF818" s="53">
        <f>IF($AC818&gt;0,SUMIFS(Q$4:Q817,$D$4:$D817,$D818,$Z$4:$Z817,$Z818,$C$4:$C817,$C818),0)</f>
        <v>0</v>
      </c>
      <c r="AG818" s="53">
        <f>IF($AC818&gt;0,SUMIFS(Q$4:Q817,$D$4:$D817,$D818,$C$4:$C817,$C818),0)</f>
        <v>0</v>
      </c>
      <c r="AH818" s="53">
        <f>IF($AC818&gt;0,SUMIFS(M$4:M817,$D$4:$D817,$D818,$Z$4:$Z817,$Z818,$C$4:$C817,$C818),0)</f>
        <v>0</v>
      </c>
      <c r="AI818" s="43">
        <f>IF(OR($C818="",$I818=""),0,IF(COUNTIFS($C$5:$C818,$C818,$I$5:$I818,$I818)=1,1,0))</f>
        <v>0</v>
      </c>
      <c r="AJ818" s="43" t="str">
        <f>IF($AI818=1,SUMIFS($AI$4:$AI817,$C$4:$C817,$C818)+1,"")</f>
        <v/>
      </c>
      <c r="AK818" s="43">
        <f>IF(OR($C818="",$K818=""),0,IF(COUNTIFS($C$5:$C818,$C818,$K$5:$K818,$K818)=1,1,0))</f>
        <v>0</v>
      </c>
      <c r="AL818" s="43" t="str">
        <f>IF($AK818=1,SUMIFS($AK$4:$AK817,$C$4:$C817,$C818)+1,"")</f>
        <v/>
      </c>
      <c r="AM818" s="43">
        <f>IF(OR($C818="",$G818=""),0,IF(COUNTIFS($C$5:$C818,$C818,$G$5:$G818,$G818)=1,1,0))</f>
        <v>0</v>
      </c>
      <c r="AN818" s="43" t="str">
        <f>IF($AM818=1,SUMIFS($AM$4:$AM817,$C$4:$C817,$C818)+1,"")</f>
        <v/>
      </c>
    </row>
    <row r="819">
      <c r="A819" s="44" t="str">
        <f>IF(OR($B819="",$D819=""),"","TX"&amp;TEXT(ROW()-4,"0000"))</f>
        <v/>
      </c>
      <c r="B819" s="42" t="n"/>
      <c r="C819" s="47" t="str">
        <f>IF($B819="","",YEAR($B819)*100+MONTH($B819))</f>
        <v/>
      </c>
      <c r="D819" s="37" t="n"/>
      <c r="E819" s="45" t="str">
        <f>IF($D819="","",IFERROR(INDEX(CARDS!$B$5:$B$34,MATCH($D819,CARDS!$A$5:$A$34,0)),"⚠ Card ID?"))</f>
        <v/>
      </c>
      <c r="F819" s="45" t="str">
        <f>IF($D819="","",IFERROR(INDEX(CARDS!$C$5:$C$34,MATCH($D819,CARDS!$A$5:$A$34,0)),"⚠ Card ID?"))</f>
        <v/>
      </c>
      <c r="G819" s="37" t="n"/>
      <c r="H819" s="37" t="n"/>
      <c r="I819" s="41" t="n"/>
      <c r="J819" s="45" t="str">
        <f>IF($I819="","",IFERROR(INDEX(MCC_MASTER!$B$5:$B$504,MATCH($I819,MCC_MASTER!$A$5:$A$504,0)),"⚠ MCC chưa có"))</f>
        <v/>
      </c>
      <c r="K819" s="45" t="str">
        <f>IF($I819="","",IFERROR(IF(INDEX(MCC_MASTER!$C$5:$C$504,MATCH($I819,MCC_MASTER!$A$5:$A$504,0))="","Chưa phân loại",INDEX(MCC_MASTER!$C$5:$C$504,MATCH($I819,MCC_MASTER!$A$5:$A$504,0))),"Chưa phân loại"))</f>
        <v/>
      </c>
      <c r="L819" s="40" t="n"/>
      <c r="M819" s="48" t="str">
        <f>IF(OR($B819="",$D819=""),"",IF($AC819=0,0,IF(ISNUMBER(INDEX(CASHBACK_RULES!$L$5:$L$304,$AC819)),MAX(0,MIN($L819,INDEX(CASHBACK_RULES!$L$5:$L$304,$AC819)-$AH819)),MAX(0,$L819))))</f>
        <v/>
      </c>
      <c r="N819" s="49" t="str">
        <f>IF(OR($B819="",$D819=""),"",IF($AC819&gt;0,INDEX(CASHBACK_RULES!$I$5:$I$304,$AC819),0))</f>
        <v/>
      </c>
      <c r="O819" s="48" t="str">
        <f>IF(OR($B819="",$D819=""),"",ROUND($M819*$N819,0))</f>
        <v/>
      </c>
      <c r="P819" s="48" t="str">
        <f>IF($AC819&gt;0,IF(ISNUMBER(INDEX(CASHBACK_RULES!$J$5:$J$304,$AC819)),INDEX(CASHBACK_RULES!$J$5:$J$304,$AC819),"∞"),"")</f>
        <v/>
      </c>
      <c r="Q819" s="48" t="str">
        <f>IF(OR($B819="",$D819=""),"",IF($AC819=0,0,MAX(0,MIN($O819,IF(ISNUMBER($P819),$P819-$AF819,1E+15),IF(ISNUMBER($AA819),$AA819-$AG819,1E+15)))))</f>
        <v/>
      </c>
      <c r="R819" s="48" t="str">
        <f>IF(OR($B819="",$D819=""),"",IF($AC819=0,"",IF(AND(NOT(ISNUMBER($P819)),NOT(ISNUMBER($AA819))),"∞",MAX(0,MIN(IF(ISNUMBER($P819),$P819-$AF819-$Q819,1E+15),IF(ISNUMBER($AA819),$AA819-$AG819-$Q819,1E+15))))))</f>
        <v/>
      </c>
      <c r="S819" s="47" t="str">
        <f>IF($AD819="","",YEAR($AD819)*100+MONTH($AD819))</f>
        <v/>
      </c>
      <c r="T819" s="50" t="str">
        <f>IF($AD819="","",IFERROR(IF(INDEX(CARDS!$I$5:$I$34,MATCH($D819,CARDS!$A$5:$A$34,0))="","",IF(INDEX(CARDS!$I$5:$I$34,MATCH($D819,CARDS!$A$5:$A$34,0))&gt;INDEX(CARDS!$H$5:$H$34,MATCH($D819,CARDS!$A$5:$A$34,0)),DATE(YEAR($AD819),MONTH($AD819),MIN(INDEX(CARDS!$I$5:$I$34,MATCH($D819,CARDS!$A$5:$A$34,0)),DAY(EOMONTH($AD819,0)))),DATE(YEAR($AD819),MONTH($AD819)+1,MIN(INDEX(CARDS!$I$5:$I$34,MATCH($D819,CARDS!$A$5:$A$34,0)),DAY(EOMONTH($AD819,1)))))),""))</f>
        <v/>
      </c>
      <c r="U819" s="38" t="n"/>
      <c r="V819" s="37" t="n"/>
      <c r="W819" s="38" t="n"/>
      <c r="X819" s="38" t="n"/>
      <c r="Y819" s="44" t="str">
        <f>IF($AC819&gt;0,INDEX(CASHBACK_RULES!$A$5:$A$304,$AC819),"")</f>
        <v/>
      </c>
      <c r="Z819" s="45" t="str">
        <f>IF($AC819&gt;0,INDEX(CASHBACK_RULES!$E$5:$E$304,$AC819)&amp;"","")</f>
        <v/>
      </c>
      <c r="AA819" s="48" t="str">
        <f>IF($AC819&gt;0,IF(ISNUMBER(INDEX(CASHBACK_RULES!$K$5:$K$304,$AC819)),INDEX(CASHBACK_RULES!$K$5:$K$304,$AC819),"∞"),"")</f>
        <v/>
      </c>
      <c r="AB819" s="44" t="str">
        <f>IF(OR($B819="",$D819=""),"",IF($U819="Cancelled","Đã hủy",IF($AC819=0,"Không được hoàn",IF($Q819=0,IF(OR($O819&gt;0,$M819&lt;$L819),"Đã đạt cap","Không được hoàn"),IF(OR($Q819&lt;$O819,$M819&lt;$L819),"Hoàn một phần","Được hoàn")))))</f>
        <v/>
      </c>
      <c r="AC819" s="43">
        <f>IF(OR($B819="",$D819="",$I819="",$L819=""),0,IF($U819="Cancelled",0,IF($W819&lt;&gt;"",IFERROR(IF(INDEX(CASHBACK_RULES!$B$5:$B$304,MATCH($W819,CASHBACK_RULES!$A$5:$A$304,0))=$D819,MATCH($W819,CASHBACK_RULES!$A$5:$A$304,0),0),0),IFERROR(MATCH(1,INDEX((CASHBACK_RULES!$B$5:$B$304=$D819)*(CASHBACK_RULES!$G$5:$G$304=$I819)*(((CASHBACK_RULES!$N$5:$N$304="")+(CASHBACK_RULES!$N$5:$N$304&lt;=$B819))&gt;0)*(((CASHBACK_RULES!$O$5:$O$304="")+(CASHBACK_RULES!$O$5:$O$304&gt;=$B819))&gt;0)*(((CASHBACK_RULES!$M$5:$M$304="")+(CASHBACK_RULES!$M$5:$M$304&lt;=$L819))&gt;0),0),0),0))))</f>
        <v>0</v>
      </c>
      <c r="AD819" s="51" t="str">
        <f>IF(OR($B819="",$D819=""),"",IFERROR(IF(INDEX(CARDS!$H$5:$H$34,MATCH($D819,CARDS!$A$5:$A$34,0))="","",IF(DAY($B819)&lt;=INDEX(CARDS!$H$5:$H$34,MATCH($D819,CARDS!$A$5:$A$34,0)),DATE(YEAR($B819),MONTH($B819),MIN(INDEX(CARDS!$H$5:$H$34,MATCH($D819,CARDS!$A$5:$A$34,0)),DAY(EOMONTH($B819,0)))),DATE(YEAR($B819),MONTH($B819)+1,MIN(INDEX(CARDS!$H$5:$H$34,MATCH($D819,CARDS!$A$5:$A$34,0)),DAY(EOMONTH($B819,1)))))),""))</f>
        <v/>
      </c>
      <c r="AE819" s="52" t="str">
        <f>IF($C819="","",$C819&amp;"|"&amp;COUNTIF($C$5:$C819,$C819))</f>
        <v/>
      </c>
      <c r="AF819" s="53">
        <f>IF($AC819&gt;0,SUMIFS(Q$4:Q818,$D$4:$D818,$D819,$Z$4:$Z818,$Z819,$C$4:$C818,$C819),0)</f>
        <v>0</v>
      </c>
      <c r="AG819" s="53">
        <f>IF($AC819&gt;0,SUMIFS(Q$4:Q818,$D$4:$D818,$D819,$C$4:$C818,$C819),0)</f>
        <v>0</v>
      </c>
      <c r="AH819" s="53">
        <f>IF($AC819&gt;0,SUMIFS(M$4:M818,$D$4:$D818,$D819,$Z$4:$Z818,$Z819,$C$4:$C818,$C819),0)</f>
        <v>0</v>
      </c>
      <c r="AI819" s="43">
        <f>IF(OR($C819="",$I819=""),0,IF(COUNTIFS($C$5:$C819,$C819,$I$5:$I819,$I819)=1,1,0))</f>
        <v>0</v>
      </c>
      <c r="AJ819" s="43" t="str">
        <f>IF($AI819=1,SUMIFS($AI$4:$AI818,$C$4:$C818,$C819)+1,"")</f>
        <v/>
      </c>
      <c r="AK819" s="43">
        <f>IF(OR($C819="",$K819=""),0,IF(COUNTIFS($C$5:$C819,$C819,$K$5:$K819,$K819)=1,1,0))</f>
        <v>0</v>
      </c>
      <c r="AL819" s="43" t="str">
        <f>IF($AK819=1,SUMIFS($AK$4:$AK818,$C$4:$C818,$C819)+1,"")</f>
        <v/>
      </c>
      <c r="AM819" s="43">
        <f>IF(OR($C819="",$G819=""),0,IF(COUNTIFS($C$5:$C819,$C819,$G$5:$G819,$G819)=1,1,0))</f>
        <v>0</v>
      </c>
      <c r="AN819" s="43" t="str">
        <f>IF($AM819=1,SUMIFS($AM$4:$AM818,$C$4:$C818,$C819)+1,"")</f>
        <v/>
      </c>
    </row>
    <row r="820">
      <c r="A820" s="44" t="str">
        <f>IF(OR($B820="",$D820=""),"","TX"&amp;TEXT(ROW()-4,"0000"))</f>
        <v/>
      </c>
      <c r="B820" s="42" t="n"/>
      <c r="C820" s="47" t="str">
        <f>IF($B820="","",YEAR($B820)*100+MONTH($B820))</f>
        <v/>
      </c>
      <c r="D820" s="37" t="n"/>
      <c r="E820" s="45" t="str">
        <f>IF($D820="","",IFERROR(INDEX(CARDS!$B$5:$B$34,MATCH($D820,CARDS!$A$5:$A$34,0)),"⚠ Card ID?"))</f>
        <v/>
      </c>
      <c r="F820" s="45" t="str">
        <f>IF($D820="","",IFERROR(INDEX(CARDS!$C$5:$C$34,MATCH($D820,CARDS!$A$5:$A$34,0)),"⚠ Card ID?"))</f>
        <v/>
      </c>
      <c r="G820" s="37" t="n"/>
      <c r="H820" s="37" t="n"/>
      <c r="I820" s="41" t="n"/>
      <c r="J820" s="45" t="str">
        <f>IF($I820="","",IFERROR(INDEX(MCC_MASTER!$B$5:$B$504,MATCH($I820,MCC_MASTER!$A$5:$A$504,0)),"⚠ MCC chưa có"))</f>
        <v/>
      </c>
      <c r="K820" s="45" t="str">
        <f>IF($I820="","",IFERROR(IF(INDEX(MCC_MASTER!$C$5:$C$504,MATCH($I820,MCC_MASTER!$A$5:$A$504,0))="","Chưa phân loại",INDEX(MCC_MASTER!$C$5:$C$504,MATCH($I820,MCC_MASTER!$A$5:$A$504,0))),"Chưa phân loại"))</f>
        <v/>
      </c>
      <c r="L820" s="40" t="n"/>
      <c r="M820" s="48" t="str">
        <f>IF(OR($B820="",$D820=""),"",IF($AC820=0,0,IF(ISNUMBER(INDEX(CASHBACK_RULES!$L$5:$L$304,$AC820)),MAX(0,MIN($L820,INDEX(CASHBACK_RULES!$L$5:$L$304,$AC820)-$AH820)),MAX(0,$L820))))</f>
        <v/>
      </c>
      <c r="N820" s="49" t="str">
        <f>IF(OR($B820="",$D820=""),"",IF($AC820&gt;0,INDEX(CASHBACK_RULES!$I$5:$I$304,$AC820),0))</f>
        <v/>
      </c>
      <c r="O820" s="48" t="str">
        <f>IF(OR($B820="",$D820=""),"",ROUND($M820*$N820,0))</f>
        <v/>
      </c>
      <c r="P820" s="48" t="str">
        <f>IF($AC820&gt;0,IF(ISNUMBER(INDEX(CASHBACK_RULES!$J$5:$J$304,$AC820)),INDEX(CASHBACK_RULES!$J$5:$J$304,$AC820),"∞"),"")</f>
        <v/>
      </c>
      <c r="Q820" s="48" t="str">
        <f>IF(OR($B820="",$D820=""),"",IF($AC820=0,0,MAX(0,MIN($O820,IF(ISNUMBER($P820),$P820-$AF820,1E+15),IF(ISNUMBER($AA820),$AA820-$AG820,1E+15)))))</f>
        <v/>
      </c>
      <c r="R820" s="48" t="str">
        <f>IF(OR($B820="",$D820=""),"",IF($AC820=0,"",IF(AND(NOT(ISNUMBER($P820)),NOT(ISNUMBER($AA820))),"∞",MAX(0,MIN(IF(ISNUMBER($P820),$P820-$AF820-$Q820,1E+15),IF(ISNUMBER($AA820),$AA820-$AG820-$Q820,1E+15))))))</f>
        <v/>
      </c>
      <c r="S820" s="47" t="str">
        <f>IF($AD820="","",YEAR($AD820)*100+MONTH($AD820))</f>
        <v/>
      </c>
      <c r="T820" s="50" t="str">
        <f>IF($AD820="","",IFERROR(IF(INDEX(CARDS!$I$5:$I$34,MATCH($D820,CARDS!$A$5:$A$34,0))="","",IF(INDEX(CARDS!$I$5:$I$34,MATCH($D820,CARDS!$A$5:$A$34,0))&gt;INDEX(CARDS!$H$5:$H$34,MATCH($D820,CARDS!$A$5:$A$34,0)),DATE(YEAR($AD820),MONTH($AD820),MIN(INDEX(CARDS!$I$5:$I$34,MATCH($D820,CARDS!$A$5:$A$34,0)),DAY(EOMONTH($AD820,0)))),DATE(YEAR($AD820),MONTH($AD820)+1,MIN(INDEX(CARDS!$I$5:$I$34,MATCH($D820,CARDS!$A$5:$A$34,0)),DAY(EOMONTH($AD820,1)))))),""))</f>
        <v/>
      </c>
      <c r="U820" s="38" t="n"/>
      <c r="V820" s="37" t="n"/>
      <c r="W820" s="38" t="n"/>
      <c r="X820" s="38" t="n"/>
      <c r="Y820" s="44" t="str">
        <f>IF($AC820&gt;0,INDEX(CASHBACK_RULES!$A$5:$A$304,$AC820),"")</f>
        <v/>
      </c>
      <c r="Z820" s="45" t="str">
        <f>IF($AC820&gt;0,INDEX(CASHBACK_RULES!$E$5:$E$304,$AC820)&amp;"","")</f>
        <v/>
      </c>
      <c r="AA820" s="48" t="str">
        <f>IF($AC820&gt;0,IF(ISNUMBER(INDEX(CASHBACK_RULES!$K$5:$K$304,$AC820)),INDEX(CASHBACK_RULES!$K$5:$K$304,$AC820),"∞"),"")</f>
        <v/>
      </c>
      <c r="AB820" s="44" t="str">
        <f>IF(OR($B820="",$D820=""),"",IF($U820="Cancelled","Đã hủy",IF($AC820=0,"Không được hoàn",IF($Q820=0,IF(OR($O820&gt;0,$M820&lt;$L820),"Đã đạt cap","Không được hoàn"),IF(OR($Q820&lt;$O820,$M820&lt;$L820),"Hoàn một phần","Được hoàn")))))</f>
        <v/>
      </c>
      <c r="AC820" s="43">
        <f>IF(OR($B820="",$D820="",$I820="",$L820=""),0,IF($U820="Cancelled",0,IF($W820&lt;&gt;"",IFERROR(IF(INDEX(CASHBACK_RULES!$B$5:$B$304,MATCH($W820,CASHBACK_RULES!$A$5:$A$304,0))=$D820,MATCH($W820,CASHBACK_RULES!$A$5:$A$304,0),0),0),IFERROR(MATCH(1,INDEX((CASHBACK_RULES!$B$5:$B$304=$D820)*(CASHBACK_RULES!$G$5:$G$304=$I820)*(((CASHBACK_RULES!$N$5:$N$304="")+(CASHBACK_RULES!$N$5:$N$304&lt;=$B820))&gt;0)*(((CASHBACK_RULES!$O$5:$O$304="")+(CASHBACK_RULES!$O$5:$O$304&gt;=$B820))&gt;0)*(((CASHBACK_RULES!$M$5:$M$304="")+(CASHBACK_RULES!$M$5:$M$304&lt;=$L820))&gt;0),0),0),0))))</f>
        <v>0</v>
      </c>
      <c r="AD820" s="51" t="str">
        <f>IF(OR($B820="",$D820=""),"",IFERROR(IF(INDEX(CARDS!$H$5:$H$34,MATCH($D820,CARDS!$A$5:$A$34,0))="","",IF(DAY($B820)&lt;=INDEX(CARDS!$H$5:$H$34,MATCH($D820,CARDS!$A$5:$A$34,0)),DATE(YEAR($B820),MONTH($B820),MIN(INDEX(CARDS!$H$5:$H$34,MATCH($D820,CARDS!$A$5:$A$34,0)),DAY(EOMONTH($B820,0)))),DATE(YEAR($B820),MONTH($B820)+1,MIN(INDEX(CARDS!$H$5:$H$34,MATCH($D820,CARDS!$A$5:$A$34,0)),DAY(EOMONTH($B820,1)))))),""))</f>
        <v/>
      </c>
      <c r="AE820" s="52" t="str">
        <f>IF($C820="","",$C820&amp;"|"&amp;COUNTIF($C$5:$C820,$C820))</f>
        <v/>
      </c>
      <c r="AF820" s="53">
        <f>IF($AC820&gt;0,SUMIFS(Q$4:Q819,$D$4:$D819,$D820,$Z$4:$Z819,$Z820,$C$4:$C819,$C820),0)</f>
        <v>0</v>
      </c>
      <c r="AG820" s="53">
        <f>IF($AC820&gt;0,SUMIFS(Q$4:Q819,$D$4:$D819,$D820,$C$4:$C819,$C820),0)</f>
        <v>0</v>
      </c>
      <c r="AH820" s="53">
        <f>IF($AC820&gt;0,SUMIFS(M$4:M819,$D$4:$D819,$D820,$Z$4:$Z819,$Z820,$C$4:$C819,$C820),0)</f>
        <v>0</v>
      </c>
      <c r="AI820" s="43">
        <f>IF(OR($C820="",$I820=""),0,IF(COUNTIFS($C$5:$C820,$C820,$I$5:$I820,$I820)=1,1,0))</f>
        <v>0</v>
      </c>
      <c r="AJ820" s="43" t="str">
        <f>IF($AI820=1,SUMIFS($AI$4:$AI819,$C$4:$C819,$C820)+1,"")</f>
        <v/>
      </c>
      <c r="AK820" s="43">
        <f>IF(OR($C820="",$K820=""),0,IF(COUNTIFS($C$5:$C820,$C820,$K$5:$K820,$K820)=1,1,0))</f>
        <v>0</v>
      </c>
      <c r="AL820" s="43" t="str">
        <f>IF($AK820=1,SUMIFS($AK$4:$AK819,$C$4:$C819,$C820)+1,"")</f>
        <v/>
      </c>
      <c r="AM820" s="43">
        <f>IF(OR($C820="",$G820=""),0,IF(COUNTIFS($C$5:$C820,$C820,$G$5:$G820,$G820)=1,1,0))</f>
        <v>0</v>
      </c>
      <c r="AN820" s="43" t="str">
        <f>IF($AM820=1,SUMIFS($AM$4:$AM819,$C$4:$C819,$C820)+1,"")</f>
        <v/>
      </c>
    </row>
    <row r="821">
      <c r="A821" s="44" t="str">
        <f>IF(OR($B821="",$D821=""),"","TX"&amp;TEXT(ROW()-4,"0000"))</f>
        <v/>
      </c>
      <c r="B821" s="42" t="n"/>
      <c r="C821" s="47" t="str">
        <f>IF($B821="","",YEAR($B821)*100+MONTH($B821))</f>
        <v/>
      </c>
      <c r="D821" s="37" t="n"/>
      <c r="E821" s="45" t="str">
        <f>IF($D821="","",IFERROR(INDEX(CARDS!$B$5:$B$34,MATCH($D821,CARDS!$A$5:$A$34,0)),"⚠ Card ID?"))</f>
        <v/>
      </c>
      <c r="F821" s="45" t="str">
        <f>IF($D821="","",IFERROR(INDEX(CARDS!$C$5:$C$34,MATCH($D821,CARDS!$A$5:$A$34,0)),"⚠ Card ID?"))</f>
        <v/>
      </c>
      <c r="G821" s="37" t="n"/>
      <c r="H821" s="37" t="n"/>
      <c r="I821" s="41" t="n"/>
      <c r="J821" s="45" t="str">
        <f>IF($I821="","",IFERROR(INDEX(MCC_MASTER!$B$5:$B$504,MATCH($I821,MCC_MASTER!$A$5:$A$504,0)),"⚠ MCC chưa có"))</f>
        <v/>
      </c>
      <c r="K821" s="45" t="str">
        <f>IF($I821="","",IFERROR(IF(INDEX(MCC_MASTER!$C$5:$C$504,MATCH($I821,MCC_MASTER!$A$5:$A$504,0))="","Chưa phân loại",INDEX(MCC_MASTER!$C$5:$C$504,MATCH($I821,MCC_MASTER!$A$5:$A$504,0))),"Chưa phân loại"))</f>
        <v/>
      </c>
      <c r="L821" s="40" t="n"/>
      <c r="M821" s="48" t="str">
        <f>IF(OR($B821="",$D821=""),"",IF($AC821=0,0,IF(ISNUMBER(INDEX(CASHBACK_RULES!$L$5:$L$304,$AC821)),MAX(0,MIN($L821,INDEX(CASHBACK_RULES!$L$5:$L$304,$AC821)-$AH821)),MAX(0,$L821))))</f>
        <v/>
      </c>
      <c r="N821" s="49" t="str">
        <f>IF(OR($B821="",$D821=""),"",IF($AC821&gt;0,INDEX(CASHBACK_RULES!$I$5:$I$304,$AC821),0))</f>
        <v/>
      </c>
      <c r="O821" s="48" t="str">
        <f>IF(OR($B821="",$D821=""),"",ROUND($M821*$N821,0))</f>
        <v/>
      </c>
      <c r="P821" s="48" t="str">
        <f>IF($AC821&gt;0,IF(ISNUMBER(INDEX(CASHBACK_RULES!$J$5:$J$304,$AC821)),INDEX(CASHBACK_RULES!$J$5:$J$304,$AC821),"∞"),"")</f>
        <v/>
      </c>
      <c r="Q821" s="48" t="str">
        <f>IF(OR($B821="",$D821=""),"",IF($AC821=0,0,MAX(0,MIN($O821,IF(ISNUMBER($P821),$P821-$AF821,1E+15),IF(ISNUMBER($AA821),$AA821-$AG821,1E+15)))))</f>
        <v/>
      </c>
      <c r="R821" s="48" t="str">
        <f>IF(OR($B821="",$D821=""),"",IF($AC821=0,"",IF(AND(NOT(ISNUMBER($P821)),NOT(ISNUMBER($AA821))),"∞",MAX(0,MIN(IF(ISNUMBER($P821),$P821-$AF821-$Q821,1E+15),IF(ISNUMBER($AA821),$AA821-$AG821-$Q821,1E+15))))))</f>
        <v/>
      </c>
      <c r="S821" s="47" t="str">
        <f>IF($AD821="","",YEAR($AD821)*100+MONTH($AD821))</f>
        <v/>
      </c>
      <c r="T821" s="50" t="str">
        <f>IF($AD821="","",IFERROR(IF(INDEX(CARDS!$I$5:$I$34,MATCH($D821,CARDS!$A$5:$A$34,0))="","",IF(INDEX(CARDS!$I$5:$I$34,MATCH($D821,CARDS!$A$5:$A$34,0))&gt;INDEX(CARDS!$H$5:$H$34,MATCH($D821,CARDS!$A$5:$A$34,0)),DATE(YEAR($AD821),MONTH($AD821),MIN(INDEX(CARDS!$I$5:$I$34,MATCH($D821,CARDS!$A$5:$A$34,0)),DAY(EOMONTH($AD821,0)))),DATE(YEAR($AD821),MONTH($AD821)+1,MIN(INDEX(CARDS!$I$5:$I$34,MATCH($D821,CARDS!$A$5:$A$34,0)),DAY(EOMONTH($AD821,1)))))),""))</f>
        <v/>
      </c>
      <c r="U821" s="38" t="n"/>
      <c r="V821" s="37" t="n"/>
      <c r="W821" s="38" t="n"/>
      <c r="X821" s="38" t="n"/>
      <c r="Y821" s="44" t="str">
        <f>IF($AC821&gt;0,INDEX(CASHBACK_RULES!$A$5:$A$304,$AC821),"")</f>
        <v/>
      </c>
      <c r="Z821" s="45" t="str">
        <f>IF($AC821&gt;0,INDEX(CASHBACK_RULES!$E$5:$E$304,$AC821)&amp;"","")</f>
        <v/>
      </c>
      <c r="AA821" s="48" t="str">
        <f>IF($AC821&gt;0,IF(ISNUMBER(INDEX(CASHBACK_RULES!$K$5:$K$304,$AC821)),INDEX(CASHBACK_RULES!$K$5:$K$304,$AC821),"∞"),"")</f>
        <v/>
      </c>
      <c r="AB821" s="44" t="str">
        <f>IF(OR($B821="",$D821=""),"",IF($U821="Cancelled","Đã hủy",IF($AC821=0,"Không được hoàn",IF($Q821=0,IF(OR($O821&gt;0,$M821&lt;$L821),"Đã đạt cap","Không được hoàn"),IF(OR($Q821&lt;$O821,$M821&lt;$L821),"Hoàn một phần","Được hoàn")))))</f>
        <v/>
      </c>
      <c r="AC821" s="43">
        <f>IF(OR($B821="",$D821="",$I821="",$L821=""),0,IF($U821="Cancelled",0,IF($W821&lt;&gt;"",IFERROR(IF(INDEX(CASHBACK_RULES!$B$5:$B$304,MATCH($W821,CASHBACK_RULES!$A$5:$A$304,0))=$D821,MATCH($W821,CASHBACK_RULES!$A$5:$A$304,0),0),0),IFERROR(MATCH(1,INDEX((CASHBACK_RULES!$B$5:$B$304=$D821)*(CASHBACK_RULES!$G$5:$G$304=$I821)*(((CASHBACK_RULES!$N$5:$N$304="")+(CASHBACK_RULES!$N$5:$N$304&lt;=$B821))&gt;0)*(((CASHBACK_RULES!$O$5:$O$304="")+(CASHBACK_RULES!$O$5:$O$304&gt;=$B821))&gt;0)*(((CASHBACK_RULES!$M$5:$M$304="")+(CASHBACK_RULES!$M$5:$M$304&lt;=$L821))&gt;0),0),0),0))))</f>
        <v>0</v>
      </c>
      <c r="AD821" s="51" t="str">
        <f>IF(OR($B821="",$D821=""),"",IFERROR(IF(INDEX(CARDS!$H$5:$H$34,MATCH($D821,CARDS!$A$5:$A$34,0))="","",IF(DAY($B821)&lt;=INDEX(CARDS!$H$5:$H$34,MATCH($D821,CARDS!$A$5:$A$34,0)),DATE(YEAR($B821),MONTH($B821),MIN(INDEX(CARDS!$H$5:$H$34,MATCH($D821,CARDS!$A$5:$A$34,0)),DAY(EOMONTH($B821,0)))),DATE(YEAR($B821),MONTH($B821)+1,MIN(INDEX(CARDS!$H$5:$H$34,MATCH($D821,CARDS!$A$5:$A$34,0)),DAY(EOMONTH($B821,1)))))),""))</f>
        <v/>
      </c>
      <c r="AE821" s="52" t="str">
        <f>IF($C821="","",$C821&amp;"|"&amp;COUNTIF($C$5:$C821,$C821))</f>
        <v/>
      </c>
      <c r="AF821" s="53">
        <f>IF($AC821&gt;0,SUMIFS(Q$4:Q820,$D$4:$D820,$D821,$Z$4:$Z820,$Z821,$C$4:$C820,$C821),0)</f>
        <v>0</v>
      </c>
      <c r="AG821" s="53">
        <f>IF($AC821&gt;0,SUMIFS(Q$4:Q820,$D$4:$D820,$D821,$C$4:$C820,$C821),0)</f>
        <v>0</v>
      </c>
      <c r="AH821" s="53">
        <f>IF($AC821&gt;0,SUMIFS(M$4:M820,$D$4:$D820,$D821,$Z$4:$Z820,$Z821,$C$4:$C820,$C821),0)</f>
        <v>0</v>
      </c>
      <c r="AI821" s="43">
        <f>IF(OR($C821="",$I821=""),0,IF(COUNTIFS($C$5:$C821,$C821,$I$5:$I821,$I821)=1,1,0))</f>
        <v>0</v>
      </c>
      <c r="AJ821" s="43" t="str">
        <f>IF($AI821=1,SUMIFS($AI$4:$AI820,$C$4:$C820,$C821)+1,"")</f>
        <v/>
      </c>
      <c r="AK821" s="43">
        <f>IF(OR($C821="",$K821=""),0,IF(COUNTIFS($C$5:$C821,$C821,$K$5:$K821,$K821)=1,1,0))</f>
        <v>0</v>
      </c>
      <c r="AL821" s="43" t="str">
        <f>IF($AK821=1,SUMIFS($AK$4:$AK820,$C$4:$C820,$C821)+1,"")</f>
        <v/>
      </c>
      <c r="AM821" s="43">
        <f>IF(OR($C821="",$G821=""),0,IF(COUNTIFS($C$5:$C821,$C821,$G$5:$G821,$G821)=1,1,0))</f>
        <v>0</v>
      </c>
      <c r="AN821" s="43" t="str">
        <f>IF($AM821=1,SUMIFS($AM$4:$AM820,$C$4:$C820,$C821)+1,"")</f>
        <v/>
      </c>
    </row>
    <row r="822">
      <c r="A822" s="44" t="str">
        <f>IF(OR($B822="",$D822=""),"","TX"&amp;TEXT(ROW()-4,"0000"))</f>
        <v/>
      </c>
      <c r="B822" s="42" t="n"/>
      <c r="C822" s="47" t="str">
        <f>IF($B822="","",YEAR($B822)*100+MONTH($B822))</f>
        <v/>
      </c>
      <c r="D822" s="37" t="n"/>
      <c r="E822" s="45" t="str">
        <f>IF($D822="","",IFERROR(INDEX(CARDS!$B$5:$B$34,MATCH($D822,CARDS!$A$5:$A$34,0)),"⚠ Card ID?"))</f>
        <v/>
      </c>
      <c r="F822" s="45" t="str">
        <f>IF($D822="","",IFERROR(INDEX(CARDS!$C$5:$C$34,MATCH($D822,CARDS!$A$5:$A$34,0)),"⚠ Card ID?"))</f>
        <v/>
      </c>
      <c r="G822" s="37" t="n"/>
      <c r="H822" s="37" t="n"/>
      <c r="I822" s="41" t="n"/>
      <c r="J822" s="45" t="str">
        <f>IF($I822="","",IFERROR(INDEX(MCC_MASTER!$B$5:$B$504,MATCH($I822,MCC_MASTER!$A$5:$A$504,0)),"⚠ MCC chưa có"))</f>
        <v/>
      </c>
      <c r="K822" s="45" t="str">
        <f>IF($I822="","",IFERROR(IF(INDEX(MCC_MASTER!$C$5:$C$504,MATCH($I822,MCC_MASTER!$A$5:$A$504,0))="","Chưa phân loại",INDEX(MCC_MASTER!$C$5:$C$504,MATCH($I822,MCC_MASTER!$A$5:$A$504,0))),"Chưa phân loại"))</f>
        <v/>
      </c>
      <c r="L822" s="40" t="n"/>
      <c r="M822" s="48" t="str">
        <f>IF(OR($B822="",$D822=""),"",IF($AC822=0,0,IF(ISNUMBER(INDEX(CASHBACK_RULES!$L$5:$L$304,$AC822)),MAX(0,MIN($L822,INDEX(CASHBACK_RULES!$L$5:$L$304,$AC822)-$AH822)),MAX(0,$L822))))</f>
        <v/>
      </c>
      <c r="N822" s="49" t="str">
        <f>IF(OR($B822="",$D822=""),"",IF($AC822&gt;0,INDEX(CASHBACK_RULES!$I$5:$I$304,$AC822),0))</f>
        <v/>
      </c>
      <c r="O822" s="48" t="str">
        <f>IF(OR($B822="",$D822=""),"",ROUND($M822*$N822,0))</f>
        <v/>
      </c>
      <c r="P822" s="48" t="str">
        <f>IF($AC822&gt;0,IF(ISNUMBER(INDEX(CASHBACK_RULES!$J$5:$J$304,$AC822)),INDEX(CASHBACK_RULES!$J$5:$J$304,$AC822),"∞"),"")</f>
        <v/>
      </c>
      <c r="Q822" s="48" t="str">
        <f>IF(OR($B822="",$D822=""),"",IF($AC822=0,0,MAX(0,MIN($O822,IF(ISNUMBER($P822),$P822-$AF822,1E+15),IF(ISNUMBER($AA822),$AA822-$AG822,1E+15)))))</f>
        <v/>
      </c>
      <c r="R822" s="48" t="str">
        <f>IF(OR($B822="",$D822=""),"",IF($AC822=0,"",IF(AND(NOT(ISNUMBER($P822)),NOT(ISNUMBER($AA822))),"∞",MAX(0,MIN(IF(ISNUMBER($P822),$P822-$AF822-$Q822,1E+15),IF(ISNUMBER($AA822),$AA822-$AG822-$Q822,1E+15))))))</f>
        <v/>
      </c>
      <c r="S822" s="47" t="str">
        <f>IF($AD822="","",YEAR($AD822)*100+MONTH($AD822))</f>
        <v/>
      </c>
      <c r="T822" s="50" t="str">
        <f>IF($AD822="","",IFERROR(IF(INDEX(CARDS!$I$5:$I$34,MATCH($D822,CARDS!$A$5:$A$34,0))="","",IF(INDEX(CARDS!$I$5:$I$34,MATCH($D822,CARDS!$A$5:$A$34,0))&gt;INDEX(CARDS!$H$5:$H$34,MATCH($D822,CARDS!$A$5:$A$34,0)),DATE(YEAR($AD822),MONTH($AD822),MIN(INDEX(CARDS!$I$5:$I$34,MATCH($D822,CARDS!$A$5:$A$34,0)),DAY(EOMONTH($AD822,0)))),DATE(YEAR($AD822),MONTH($AD822)+1,MIN(INDEX(CARDS!$I$5:$I$34,MATCH($D822,CARDS!$A$5:$A$34,0)),DAY(EOMONTH($AD822,1)))))),""))</f>
        <v/>
      </c>
      <c r="U822" s="38" t="n"/>
      <c r="V822" s="37" t="n"/>
      <c r="W822" s="38" t="n"/>
      <c r="X822" s="38" t="n"/>
      <c r="Y822" s="44" t="str">
        <f>IF($AC822&gt;0,INDEX(CASHBACK_RULES!$A$5:$A$304,$AC822),"")</f>
        <v/>
      </c>
      <c r="Z822" s="45" t="str">
        <f>IF($AC822&gt;0,INDEX(CASHBACK_RULES!$E$5:$E$304,$AC822)&amp;"","")</f>
        <v/>
      </c>
      <c r="AA822" s="48" t="str">
        <f>IF($AC822&gt;0,IF(ISNUMBER(INDEX(CASHBACK_RULES!$K$5:$K$304,$AC822)),INDEX(CASHBACK_RULES!$K$5:$K$304,$AC822),"∞"),"")</f>
        <v/>
      </c>
      <c r="AB822" s="44" t="str">
        <f>IF(OR($B822="",$D822=""),"",IF($U822="Cancelled","Đã hủy",IF($AC822=0,"Không được hoàn",IF($Q822=0,IF(OR($O822&gt;0,$M822&lt;$L822),"Đã đạt cap","Không được hoàn"),IF(OR($Q822&lt;$O822,$M822&lt;$L822),"Hoàn một phần","Được hoàn")))))</f>
        <v/>
      </c>
      <c r="AC822" s="43">
        <f>IF(OR($B822="",$D822="",$I822="",$L822=""),0,IF($U822="Cancelled",0,IF($W822&lt;&gt;"",IFERROR(IF(INDEX(CASHBACK_RULES!$B$5:$B$304,MATCH($W822,CASHBACK_RULES!$A$5:$A$304,0))=$D822,MATCH($W822,CASHBACK_RULES!$A$5:$A$304,0),0),0),IFERROR(MATCH(1,INDEX((CASHBACK_RULES!$B$5:$B$304=$D822)*(CASHBACK_RULES!$G$5:$G$304=$I822)*(((CASHBACK_RULES!$N$5:$N$304="")+(CASHBACK_RULES!$N$5:$N$304&lt;=$B822))&gt;0)*(((CASHBACK_RULES!$O$5:$O$304="")+(CASHBACK_RULES!$O$5:$O$304&gt;=$B822))&gt;0)*(((CASHBACK_RULES!$M$5:$M$304="")+(CASHBACK_RULES!$M$5:$M$304&lt;=$L822))&gt;0),0),0),0))))</f>
        <v>0</v>
      </c>
      <c r="AD822" s="51" t="str">
        <f>IF(OR($B822="",$D822=""),"",IFERROR(IF(INDEX(CARDS!$H$5:$H$34,MATCH($D822,CARDS!$A$5:$A$34,0))="","",IF(DAY($B822)&lt;=INDEX(CARDS!$H$5:$H$34,MATCH($D822,CARDS!$A$5:$A$34,0)),DATE(YEAR($B822),MONTH($B822),MIN(INDEX(CARDS!$H$5:$H$34,MATCH($D822,CARDS!$A$5:$A$34,0)),DAY(EOMONTH($B822,0)))),DATE(YEAR($B822),MONTH($B822)+1,MIN(INDEX(CARDS!$H$5:$H$34,MATCH($D822,CARDS!$A$5:$A$34,0)),DAY(EOMONTH($B822,1)))))),""))</f>
        <v/>
      </c>
      <c r="AE822" s="52" t="str">
        <f>IF($C822="","",$C822&amp;"|"&amp;COUNTIF($C$5:$C822,$C822))</f>
        <v/>
      </c>
      <c r="AF822" s="53">
        <f>IF($AC822&gt;0,SUMIFS(Q$4:Q821,$D$4:$D821,$D822,$Z$4:$Z821,$Z822,$C$4:$C821,$C822),0)</f>
        <v>0</v>
      </c>
      <c r="AG822" s="53">
        <f>IF($AC822&gt;0,SUMIFS(Q$4:Q821,$D$4:$D821,$D822,$C$4:$C821,$C822),0)</f>
        <v>0</v>
      </c>
      <c r="AH822" s="53">
        <f>IF($AC822&gt;0,SUMIFS(M$4:M821,$D$4:$D821,$D822,$Z$4:$Z821,$Z822,$C$4:$C821,$C822),0)</f>
        <v>0</v>
      </c>
      <c r="AI822" s="43">
        <f>IF(OR($C822="",$I822=""),0,IF(COUNTIFS($C$5:$C822,$C822,$I$5:$I822,$I822)=1,1,0))</f>
        <v>0</v>
      </c>
      <c r="AJ822" s="43" t="str">
        <f>IF($AI822=1,SUMIFS($AI$4:$AI821,$C$4:$C821,$C822)+1,"")</f>
        <v/>
      </c>
      <c r="AK822" s="43">
        <f>IF(OR($C822="",$K822=""),0,IF(COUNTIFS($C$5:$C822,$C822,$K$5:$K822,$K822)=1,1,0))</f>
        <v>0</v>
      </c>
      <c r="AL822" s="43" t="str">
        <f>IF($AK822=1,SUMIFS($AK$4:$AK821,$C$4:$C821,$C822)+1,"")</f>
        <v/>
      </c>
      <c r="AM822" s="43">
        <f>IF(OR($C822="",$G822=""),0,IF(COUNTIFS($C$5:$C822,$C822,$G$5:$G822,$G822)=1,1,0))</f>
        <v>0</v>
      </c>
      <c r="AN822" s="43" t="str">
        <f>IF($AM822=1,SUMIFS($AM$4:$AM821,$C$4:$C821,$C822)+1,"")</f>
        <v/>
      </c>
    </row>
    <row r="823">
      <c r="A823" s="44" t="str">
        <f>IF(OR($B823="",$D823=""),"","TX"&amp;TEXT(ROW()-4,"0000"))</f>
        <v/>
      </c>
      <c r="B823" s="42" t="n"/>
      <c r="C823" s="47" t="str">
        <f>IF($B823="","",YEAR($B823)*100+MONTH($B823))</f>
        <v/>
      </c>
      <c r="D823" s="37" t="n"/>
      <c r="E823" s="45" t="str">
        <f>IF($D823="","",IFERROR(INDEX(CARDS!$B$5:$B$34,MATCH($D823,CARDS!$A$5:$A$34,0)),"⚠ Card ID?"))</f>
        <v/>
      </c>
      <c r="F823" s="45" t="str">
        <f>IF($D823="","",IFERROR(INDEX(CARDS!$C$5:$C$34,MATCH($D823,CARDS!$A$5:$A$34,0)),"⚠ Card ID?"))</f>
        <v/>
      </c>
      <c r="G823" s="37" t="n"/>
      <c r="H823" s="37" t="n"/>
      <c r="I823" s="41" t="n"/>
      <c r="J823" s="45" t="str">
        <f>IF($I823="","",IFERROR(INDEX(MCC_MASTER!$B$5:$B$504,MATCH($I823,MCC_MASTER!$A$5:$A$504,0)),"⚠ MCC chưa có"))</f>
        <v/>
      </c>
      <c r="K823" s="45" t="str">
        <f>IF($I823="","",IFERROR(IF(INDEX(MCC_MASTER!$C$5:$C$504,MATCH($I823,MCC_MASTER!$A$5:$A$504,0))="","Chưa phân loại",INDEX(MCC_MASTER!$C$5:$C$504,MATCH($I823,MCC_MASTER!$A$5:$A$504,0))),"Chưa phân loại"))</f>
        <v/>
      </c>
      <c r="L823" s="40" t="n"/>
      <c r="M823" s="48" t="str">
        <f>IF(OR($B823="",$D823=""),"",IF($AC823=0,0,IF(ISNUMBER(INDEX(CASHBACK_RULES!$L$5:$L$304,$AC823)),MAX(0,MIN($L823,INDEX(CASHBACK_RULES!$L$5:$L$304,$AC823)-$AH823)),MAX(0,$L823))))</f>
        <v/>
      </c>
      <c r="N823" s="49" t="str">
        <f>IF(OR($B823="",$D823=""),"",IF($AC823&gt;0,INDEX(CASHBACK_RULES!$I$5:$I$304,$AC823),0))</f>
        <v/>
      </c>
      <c r="O823" s="48" t="str">
        <f>IF(OR($B823="",$D823=""),"",ROUND($M823*$N823,0))</f>
        <v/>
      </c>
      <c r="P823" s="48" t="str">
        <f>IF($AC823&gt;0,IF(ISNUMBER(INDEX(CASHBACK_RULES!$J$5:$J$304,$AC823)),INDEX(CASHBACK_RULES!$J$5:$J$304,$AC823),"∞"),"")</f>
        <v/>
      </c>
      <c r="Q823" s="48" t="str">
        <f>IF(OR($B823="",$D823=""),"",IF($AC823=0,0,MAX(0,MIN($O823,IF(ISNUMBER($P823),$P823-$AF823,1E+15),IF(ISNUMBER($AA823),$AA823-$AG823,1E+15)))))</f>
        <v/>
      </c>
      <c r="R823" s="48" t="str">
        <f>IF(OR($B823="",$D823=""),"",IF($AC823=0,"",IF(AND(NOT(ISNUMBER($P823)),NOT(ISNUMBER($AA823))),"∞",MAX(0,MIN(IF(ISNUMBER($P823),$P823-$AF823-$Q823,1E+15),IF(ISNUMBER($AA823),$AA823-$AG823-$Q823,1E+15))))))</f>
        <v/>
      </c>
      <c r="S823" s="47" t="str">
        <f>IF($AD823="","",YEAR($AD823)*100+MONTH($AD823))</f>
        <v/>
      </c>
      <c r="T823" s="50" t="str">
        <f>IF($AD823="","",IFERROR(IF(INDEX(CARDS!$I$5:$I$34,MATCH($D823,CARDS!$A$5:$A$34,0))="","",IF(INDEX(CARDS!$I$5:$I$34,MATCH($D823,CARDS!$A$5:$A$34,0))&gt;INDEX(CARDS!$H$5:$H$34,MATCH($D823,CARDS!$A$5:$A$34,0)),DATE(YEAR($AD823),MONTH($AD823),MIN(INDEX(CARDS!$I$5:$I$34,MATCH($D823,CARDS!$A$5:$A$34,0)),DAY(EOMONTH($AD823,0)))),DATE(YEAR($AD823),MONTH($AD823)+1,MIN(INDEX(CARDS!$I$5:$I$34,MATCH($D823,CARDS!$A$5:$A$34,0)),DAY(EOMONTH($AD823,1)))))),""))</f>
        <v/>
      </c>
      <c r="U823" s="38" t="n"/>
      <c r="V823" s="37" t="n"/>
      <c r="W823" s="38" t="n"/>
      <c r="X823" s="38" t="n"/>
      <c r="Y823" s="44" t="str">
        <f>IF($AC823&gt;0,INDEX(CASHBACK_RULES!$A$5:$A$304,$AC823),"")</f>
        <v/>
      </c>
      <c r="Z823" s="45" t="str">
        <f>IF($AC823&gt;0,INDEX(CASHBACK_RULES!$E$5:$E$304,$AC823)&amp;"","")</f>
        <v/>
      </c>
      <c r="AA823" s="48" t="str">
        <f>IF($AC823&gt;0,IF(ISNUMBER(INDEX(CASHBACK_RULES!$K$5:$K$304,$AC823)),INDEX(CASHBACK_RULES!$K$5:$K$304,$AC823),"∞"),"")</f>
        <v/>
      </c>
      <c r="AB823" s="44" t="str">
        <f>IF(OR($B823="",$D823=""),"",IF($U823="Cancelled","Đã hủy",IF($AC823=0,"Không được hoàn",IF($Q823=0,IF(OR($O823&gt;0,$M823&lt;$L823),"Đã đạt cap","Không được hoàn"),IF(OR($Q823&lt;$O823,$M823&lt;$L823),"Hoàn một phần","Được hoàn")))))</f>
        <v/>
      </c>
      <c r="AC823" s="43">
        <f>IF(OR($B823="",$D823="",$I823="",$L823=""),0,IF($U823="Cancelled",0,IF($W823&lt;&gt;"",IFERROR(IF(INDEX(CASHBACK_RULES!$B$5:$B$304,MATCH($W823,CASHBACK_RULES!$A$5:$A$304,0))=$D823,MATCH($W823,CASHBACK_RULES!$A$5:$A$304,0),0),0),IFERROR(MATCH(1,INDEX((CASHBACK_RULES!$B$5:$B$304=$D823)*(CASHBACK_RULES!$G$5:$G$304=$I823)*(((CASHBACK_RULES!$N$5:$N$304="")+(CASHBACK_RULES!$N$5:$N$304&lt;=$B823))&gt;0)*(((CASHBACK_RULES!$O$5:$O$304="")+(CASHBACK_RULES!$O$5:$O$304&gt;=$B823))&gt;0)*(((CASHBACK_RULES!$M$5:$M$304="")+(CASHBACK_RULES!$M$5:$M$304&lt;=$L823))&gt;0),0),0),0))))</f>
        <v>0</v>
      </c>
      <c r="AD823" s="51" t="str">
        <f>IF(OR($B823="",$D823=""),"",IFERROR(IF(INDEX(CARDS!$H$5:$H$34,MATCH($D823,CARDS!$A$5:$A$34,0))="","",IF(DAY($B823)&lt;=INDEX(CARDS!$H$5:$H$34,MATCH($D823,CARDS!$A$5:$A$34,0)),DATE(YEAR($B823),MONTH($B823),MIN(INDEX(CARDS!$H$5:$H$34,MATCH($D823,CARDS!$A$5:$A$34,0)),DAY(EOMONTH($B823,0)))),DATE(YEAR($B823),MONTH($B823)+1,MIN(INDEX(CARDS!$H$5:$H$34,MATCH($D823,CARDS!$A$5:$A$34,0)),DAY(EOMONTH($B823,1)))))),""))</f>
        <v/>
      </c>
      <c r="AE823" s="52" t="str">
        <f>IF($C823="","",$C823&amp;"|"&amp;COUNTIF($C$5:$C823,$C823))</f>
        <v/>
      </c>
      <c r="AF823" s="53">
        <f>IF($AC823&gt;0,SUMIFS(Q$4:Q822,$D$4:$D822,$D823,$Z$4:$Z822,$Z823,$C$4:$C822,$C823),0)</f>
        <v>0</v>
      </c>
      <c r="AG823" s="53">
        <f>IF($AC823&gt;0,SUMIFS(Q$4:Q822,$D$4:$D822,$D823,$C$4:$C822,$C823),0)</f>
        <v>0</v>
      </c>
      <c r="AH823" s="53">
        <f>IF($AC823&gt;0,SUMIFS(M$4:M822,$D$4:$D822,$D823,$Z$4:$Z822,$Z823,$C$4:$C822,$C823),0)</f>
        <v>0</v>
      </c>
      <c r="AI823" s="43">
        <f>IF(OR($C823="",$I823=""),0,IF(COUNTIFS($C$5:$C823,$C823,$I$5:$I823,$I823)=1,1,0))</f>
        <v>0</v>
      </c>
      <c r="AJ823" s="43" t="str">
        <f>IF($AI823=1,SUMIFS($AI$4:$AI822,$C$4:$C822,$C823)+1,"")</f>
        <v/>
      </c>
      <c r="AK823" s="43">
        <f>IF(OR($C823="",$K823=""),0,IF(COUNTIFS($C$5:$C823,$C823,$K$5:$K823,$K823)=1,1,0))</f>
        <v>0</v>
      </c>
      <c r="AL823" s="43" t="str">
        <f>IF($AK823=1,SUMIFS($AK$4:$AK822,$C$4:$C822,$C823)+1,"")</f>
        <v/>
      </c>
      <c r="AM823" s="43">
        <f>IF(OR($C823="",$G823=""),0,IF(COUNTIFS($C$5:$C823,$C823,$G$5:$G823,$G823)=1,1,0))</f>
        <v>0</v>
      </c>
      <c r="AN823" s="43" t="str">
        <f>IF($AM823=1,SUMIFS($AM$4:$AM822,$C$4:$C822,$C823)+1,"")</f>
        <v/>
      </c>
    </row>
    <row r="824">
      <c r="A824" s="44" t="str">
        <f>IF(OR($B824="",$D824=""),"","TX"&amp;TEXT(ROW()-4,"0000"))</f>
        <v/>
      </c>
      <c r="B824" s="42" t="n"/>
      <c r="C824" s="47" t="str">
        <f>IF($B824="","",YEAR($B824)*100+MONTH($B824))</f>
        <v/>
      </c>
      <c r="D824" s="37" t="n"/>
      <c r="E824" s="45" t="str">
        <f>IF($D824="","",IFERROR(INDEX(CARDS!$B$5:$B$34,MATCH($D824,CARDS!$A$5:$A$34,0)),"⚠ Card ID?"))</f>
        <v/>
      </c>
      <c r="F824" s="45" t="str">
        <f>IF($D824="","",IFERROR(INDEX(CARDS!$C$5:$C$34,MATCH($D824,CARDS!$A$5:$A$34,0)),"⚠ Card ID?"))</f>
        <v/>
      </c>
      <c r="G824" s="37" t="n"/>
      <c r="H824" s="37" t="n"/>
      <c r="I824" s="41" t="n"/>
      <c r="J824" s="45" t="str">
        <f>IF($I824="","",IFERROR(INDEX(MCC_MASTER!$B$5:$B$504,MATCH($I824,MCC_MASTER!$A$5:$A$504,0)),"⚠ MCC chưa có"))</f>
        <v/>
      </c>
      <c r="K824" s="45" t="str">
        <f>IF($I824="","",IFERROR(IF(INDEX(MCC_MASTER!$C$5:$C$504,MATCH($I824,MCC_MASTER!$A$5:$A$504,0))="","Chưa phân loại",INDEX(MCC_MASTER!$C$5:$C$504,MATCH($I824,MCC_MASTER!$A$5:$A$504,0))),"Chưa phân loại"))</f>
        <v/>
      </c>
      <c r="L824" s="40" t="n"/>
      <c r="M824" s="48" t="str">
        <f>IF(OR($B824="",$D824=""),"",IF($AC824=0,0,IF(ISNUMBER(INDEX(CASHBACK_RULES!$L$5:$L$304,$AC824)),MAX(0,MIN($L824,INDEX(CASHBACK_RULES!$L$5:$L$304,$AC824)-$AH824)),MAX(0,$L824))))</f>
        <v/>
      </c>
      <c r="N824" s="49" t="str">
        <f>IF(OR($B824="",$D824=""),"",IF($AC824&gt;0,INDEX(CASHBACK_RULES!$I$5:$I$304,$AC824),0))</f>
        <v/>
      </c>
      <c r="O824" s="48" t="str">
        <f>IF(OR($B824="",$D824=""),"",ROUND($M824*$N824,0))</f>
        <v/>
      </c>
      <c r="P824" s="48" t="str">
        <f>IF($AC824&gt;0,IF(ISNUMBER(INDEX(CASHBACK_RULES!$J$5:$J$304,$AC824)),INDEX(CASHBACK_RULES!$J$5:$J$304,$AC824),"∞"),"")</f>
        <v/>
      </c>
      <c r="Q824" s="48" t="str">
        <f>IF(OR($B824="",$D824=""),"",IF($AC824=0,0,MAX(0,MIN($O824,IF(ISNUMBER($P824),$P824-$AF824,1E+15),IF(ISNUMBER($AA824),$AA824-$AG824,1E+15)))))</f>
        <v/>
      </c>
      <c r="R824" s="48" t="str">
        <f>IF(OR($B824="",$D824=""),"",IF($AC824=0,"",IF(AND(NOT(ISNUMBER($P824)),NOT(ISNUMBER($AA824))),"∞",MAX(0,MIN(IF(ISNUMBER($P824),$P824-$AF824-$Q824,1E+15),IF(ISNUMBER($AA824),$AA824-$AG824-$Q824,1E+15))))))</f>
        <v/>
      </c>
      <c r="S824" s="47" t="str">
        <f>IF($AD824="","",YEAR($AD824)*100+MONTH($AD824))</f>
        <v/>
      </c>
      <c r="T824" s="50" t="str">
        <f>IF($AD824="","",IFERROR(IF(INDEX(CARDS!$I$5:$I$34,MATCH($D824,CARDS!$A$5:$A$34,0))="","",IF(INDEX(CARDS!$I$5:$I$34,MATCH($D824,CARDS!$A$5:$A$34,0))&gt;INDEX(CARDS!$H$5:$H$34,MATCH($D824,CARDS!$A$5:$A$34,0)),DATE(YEAR($AD824),MONTH($AD824),MIN(INDEX(CARDS!$I$5:$I$34,MATCH($D824,CARDS!$A$5:$A$34,0)),DAY(EOMONTH($AD824,0)))),DATE(YEAR($AD824),MONTH($AD824)+1,MIN(INDEX(CARDS!$I$5:$I$34,MATCH($D824,CARDS!$A$5:$A$34,0)),DAY(EOMONTH($AD824,1)))))),""))</f>
        <v/>
      </c>
      <c r="U824" s="38" t="n"/>
      <c r="V824" s="37" t="n"/>
      <c r="W824" s="38" t="n"/>
      <c r="X824" s="38" t="n"/>
      <c r="Y824" s="44" t="str">
        <f>IF($AC824&gt;0,INDEX(CASHBACK_RULES!$A$5:$A$304,$AC824),"")</f>
        <v/>
      </c>
      <c r="Z824" s="45" t="str">
        <f>IF($AC824&gt;0,INDEX(CASHBACK_RULES!$E$5:$E$304,$AC824)&amp;"","")</f>
        <v/>
      </c>
      <c r="AA824" s="48" t="str">
        <f>IF($AC824&gt;0,IF(ISNUMBER(INDEX(CASHBACK_RULES!$K$5:$K$304,$AC824)),INDEX(CASHBACK_RULES!$K$5:$K$304,$AC824),"∞"),"")</f>
        <v/>
      </c>
      <c r="AB824" s="44" t="str">
        <f>IF(OR($B824="",$D824=""),"",IF($U824="Cancelled","Đã hủy",IF($AC824=0,"Không được hoàn",IF($Q824=0,IF(OR($O824&gt;0,$M824&lt;$L824),"Đã đạt cap","Không được hoàn"),IF(OR($Q824&lt;$O824,$M824&lt;$L824),"Hoàn một phần","Được hoàn")))))</f>
        <v/>
      </c>
      <c r="AC824" s="43">
        <f>IF(OR($B824="",$D824="",$I824="",$L824=""),0,IF($U824="Cancelled",0,IF($W824&lt;&gt;"",IFERROR(IF(INDEX(CASHBACK_RULES!$B$5:$B$304,MATCH($W824,CASHBACK_RULES!$A$5:$A$304,0))=$D824,MATCH($W824,CASHBACK_RULES!$A$5:$A$304,0),0),0),IFERROR(MATCH(1,INDEX((CASHBACK_RULES!$B$5:$B$304=$D824)*(CASHBACK_RULES!$G$5:$G$304=$I824)*(((CASHBACK_RULES!$N$5:$N$304="")+(CASHBACK_RULES!$N$5:$N$304&lt;=$B824))&gt;0)*(((CASHBACK_RULES!$O$5:$O$304="")+(CASHBACK_RULES!$O$5:$O$304&gt;=$B824))&gt;0)*(((CASHBACK_RULES!$M$5:$M$304="")+(CASHBACK_RULES!$M$5:$M$304&lt;=$L824))&gt;0),0),0),0))))</f>
        <v>0</v>
      </c>
      <c r="AD824" s="51" t="str">
        <f>IF(OR($B824="",$D824=""),"",IFERROR(IF(INDEX(CARDS!$H$5:$H$34,MATCH($D824,CARDS!$A$5:$A$34,0))="","",IF(DAY($B824)&lt;=INDEX(CARDS!$H$5:$H$34,MATCH($D824,CARDS!$A$5:$A$34,0)),DATE(YEAR($B824),MONTH($B824),MIN(INDEX(CARDS!$H$5:$H$34,MATCH($D824,CARDS!$A$5:$A$34,0)),DAY(EOMONTH($B824,0)))),DATE(YEAR($B824),MONTH($B824)+1,MIN(INDEX(CARDS!$H$5:$H$34,MATCH($D824,CARDS!$A$5:$A$34,0)),DAY(EOMONTH($B824,1)))))),""))</f>
        <v/>
      </c>
      <c r="AE824" s="52" t="str">
        <f>IF($C824="","",$C824&amp;"|"&amp;COUNTIF($C$5:$C824,$C824))</f>
        <v/>
      </c>
      <c r="AF824" s="53">
        <f>IF($AC824&gt;0,SUMIFS(Q$4:Q823,$D$4:$D823,$D824,$Z$4:$Z823,$Z824,$C$4:$C823,$C824),0)</f>
        <v>0</v>
      </c>
      <c r="AG824" s="53">
        <f>IF($AC824&gt;0,SUMIFS(Q$4:Q823,$D$4:$D823,$D824,$C$4:$C823,$C824),0)</f>
        <v>0</v>
      </c>
      <c r="AH824" s="53">
        <f>IF($AC824&gt;0,SUMIFS(M$4:M823,$D$4:$D823,$D824,$Z$4:$Z823,$Z824,$C$4:$C823,$C824),0)</f>
        <v>0</v>
      </c>
      <c r="AI824" s="43">
        <f>IF(OR($C824="",$I824=""),0,IF(COUNTIFS($C$5:$C824,$C824,$I$5:$I824,$I824)=1,1,0))</f>
        <v>0</v>
      </c>
      <c r="AJ824" s="43" t="str">
        <f>IF($AI824=1,SUMIFS($AI$4:$AI823,$C$4:$C823,$C824)+1,"")</f>
        <v/>
      </c>
      <c r="AK824" s="43">
        <f>IF(OR($C824="",$K824=""),0,IF(COUNTIFS($C$5:$C824,$C824,$K$5:$K824,$K824)=1,1,0))</f>
        <v>0</v>
      </c>
      <c r="AL824" s="43" t="str">
        <f>IF($AK824=1,SUMIFS($AK$4:$AK823,$C$4:$C823,$C824)+1,"")</f>
        <v/>
      </c>
      <c r="AM824" s="43">
        <f>IF(OR($C824="",$G824=""),0,IF(COUNTIFS($C$5:$C824,$C824,$G$5:$G824,$G824)=1,1,0))</f>
        <v>0</v>
      </c>
      <c r="AN824" s="43" t="str">
        <f>IF($AM824=1,SUMIFS($AM$4:$AM823,$C$4:$C823,$C824)+1,"")</f>
        <v/>
      </c>
    </row>
    <row r="825">
      <c r="A825" s="44" t="str">
        <f>IF(OR($B825="",$D825=""),"","TX"&amp;TEXT(ROW()-4,"0000"))</f>
        <v/>
      </c>
      <c r="B825" s="42" t="n"/>
      <c r="C825" s="47" t="str">
        <f>IF($B825="","",YEAR($B825)*100+MONTH($B825))</f>
        <v/>
      </c>
      <c r="D825" s="37" t="n"/>
      <c r="E825" s="45" t="str">
        <f>IF($D825="","",IFERROR(INDEX(CARDS!$B$5:$B$34,MATCH($D825,CARDS!$A$5:$A$34,0)),"⚠ Card ID?"))</f>
        <v/>
      </c>
      <c r="F825" s="45" t="str">
        <f>IF($D825="","",IFERROR(INDEX(CARDS!$C$5:$C$34,MATCH($D825,CARDS!$A$5:$A$34,0)),"⚠ Card ID?"))</f>
        <v/>
      </c>
      <c r="G825" s="37" t="n"/>
      <c r="H825" s="37" t="n"/>
      <c r="I825" s="41" t="n"/>
      <c r="J825" s="45" t="str">
        <f>IF($I825="","",IFERROR(INDEX(MCC_MASTER!$B$5:$B$504,MATCH($I825,MCC_MASTER!$A$5:$A$504,0)),"⚠ MCC chưa có"))</f>
        <v/>
      </c>
      <c r="K825" s="45" t="str">
        <f>IF($I825="","",IFERROR(IF(INDEX(MCC_MASTER!$C$5:$C$504,MATCH($I825,MCC_MASTER!$A$5:$A$504,0))="","Chưa phân loại",INDEX(MCC_MASTER!$C$5:$C$504,MATCH($I825,MCC_MASTER!$A$5:$A$504,0))),"Chưa phân loại"))</f>
        <v/>
      </c>
      <c r="L825" s="40" t="n"/>
      <c r="M825" s="48" t="str">
        <f>IF(OR($B825="",$D825=""),"",IF($AC825=0,0,IF(ISNUMBER(INDEX(CASHBACK_RULES!$L$5:$L$304,$AC825)),MAX(0,MIN($L825,INDEX(CASHBACK_RULES!$L$5:$L$304,$AC825)-$AH825)),MAX(0,$L825))))</f>
        <v/>
      </c>
      <c r="N825" s="49" t="str">
        <f>IF(OR($B825="",$D825=""),"",IF($AC825&gt;0,INDEX(CASHBACK_RULES!$I$5:$I$304,$AC825),0))</f>
        <v/>
      </c>
      <c r="O825" s="48" t="str">
        <f>IF(OR($B825="",$D825=""),"",ROUND($M825*$N825,0))</f>
        <v/>
      </c>
      <c r="P825" s="48" t="str">
        <f>IF($AC825&gt;0,IF(ISNUMBER(INDEX(CASHBACK_RULES!$J$5:$J$304,$AC825)),INDEX(CASHBACK_RULES!$J$5:$J$304,$AC825),"∞"),"")</f>
        <v/>
      </c>
      <c r="Q825" s="48" t="str">
        <f>IF(OR($B825="",$D825=""),"",IF($AC825=0,0,MAX(0,MIN($O825,IF(ISNUMBER($P825),$P825-$AF825,1E+15),IF(ISNUMBER($AA825),$AA825-$AG825,1E+15)))))</f>
        <v/>
      </c>
      <c r="R825" s="48" t="str">
        <f>IF(OR($B825="",$D825=""),"",IF($AC825=0,"",IF(AND(NOT(ISNUMBER($P825)),NOT(ISNUMBER($AA825))),"∞",MAX(0,MIN(IF(ISNUMBER($P825),$P825-$AF825-$Q825,1E+15),IF(ISNUMBER($AA825),$AA825-$AG825-$Q825,1E+15))))))</f>
        <v/>
      </c>
      <c r="S825" s="47" t="str">
        <f>IF($AD825="","",YEAR($AD825)*100+MONTH($AD825))</f>
        <v/>
      </c>
      <c r="T825" s="50" t="str">
        <f>IF($AD825="","",IFERROR(IF(INDEX(CARDS!$I$5:$I$34,MATCH($D825,CARDS!$A$5:$A$34,0))="","",IF(INDEX(CARDS!$I$5:$I$34,MATCH($D825,CARDS!$A$5:$A$34,0))&gt;INDEX(CARDS!$H$5:$H$34,MATCH($D825,CARDS!$A$5:$A$34,0)),DATE(YEAR($AD825),MONTH($AD825),MIN(INDEX(CARDS!$I$5:$I$34,MATCH($D825,CARDS!$A$5:$A$34,0)),DAY(EOMONTH($AD825,0)))),DATE(YEAR($AD825),MONTH($AD825)+1,MIN(INDEX(CARDS!$I$5:$I$34,MATCH($D825,CARDS!$A$5:$A$34,0)),DAY(EOMONTH($AD825,1)))))),""))</f>
        <v/>
      </c>
      <c r="U825" s="38" t="n"/>
      <c r="V825" s="37" t="n"/>
      <c r="W825" s="38" t="n"/>
      <c r="X825" s="38" t="n"/>
      <c r="Y825" s="44" t="str">
        <f>IF($AC825&gt;0,INDEX(CASHBACK_RULES!$A$5:$A$304,$AC825),"")</f>
        <v/>
      </c>
      <c r="Z825" s="45" t="str">
        <f>IF($AC825&gt;0,INDEX(CASHBACK_RULES!$E$5:$E$304,$AC825)&amp;"","")</f>
        <v/>
      </c>
      <c r="AA825" s="48" t="str">
        <f>IF($AC825&gt;0,IF(ISNUMBER(INDEX(CASHBACK_RULES!$K$5:$K$304,$AC825)),INDEX(CASHBACK_RULES!$K$5:$K$304,$AC825),"∞"),"")</f>
        <v/>
      </c>
      <c r="AB825" s="44" t="str">
        <f>IF(OR($B825="",$D825=""),"",IF($U825="Cancelled","Đã hủy",IF($AC825=0,"Không được hoàn",IF($Q825=0,IF(OR($O825&gt;0,$M825&lt;$L825),"Đã đạt cap","Không được hoàn"),IF(OR($Q825&lt;$O825,$M825&lt;$L825),"Hoàn một phần","Được hoàn")))))</f>
        <v/>
      </c>
      <c r="AC825" s="43">
        <f>IF(OR($B825="",$D825="",$I825="",$L825=""),0,IF($U825="Cancelled",0,IF($W825&lt;&gt;"",IFERROR(IF(INDEX(CASHBACK_RULES!$B$5:$B$304,MATCH($W825,CASHBACK_RULES!$A$5:$A$304,0))=$D825,MATCH($W825,CASHBACK_RULES!$A$5:$A$304,0),0),0),IFERROR(MATCH(1,INDEX((CASHBACK_RULES!$B$5:$B$304=$D825)*(CASHBACK_RULES!$G$5:$G$304=$I825)*(((CASHBACK_RULES!$N$5:$N$304="")+(CASHBACK_RULES!$N$5:$N$304&lt;=$B825))&gt;0)*(((CASHBACK_RULES!$O$5:$O$304="")+(CASHBACK_RULES!$O$5:$O$304&gt;=$B825))&gt;0)*(((CASHBACK_RULES!$M$5:$M$304="")+(CASHBACK_RULES!$M$5:$M$304&lt;=$L825))&gt;0),0),0),0))))</f>
        <v>0</v>
      </c>
      <c r="AD825" s="51" t="str">
        <f>IF(OR($B825="",$D825=""),"",IFERROR(IF(INDEX(CARDS!$H$5:$H$34,MATCH($D825,CARDS!$A$5:$A$34,0))="","",IF(DAY($B825)&lt;=INDEX(CARDS!$H$5:$H$34,MATCH($D825,CARDS!$A$5:$A$34,0)),DATE(YEAR($B825),MONTH($B825),MIN(INDEX(CARDS!$H$5:$H$34,MATCH($D825,CARDS!$A$5:$A$34,0)),DAY(EOMONTH($B825,0)))),DATE(YEAR($B825),MONTH($B825)+1,MIN(INDEX(CARDS!$H$5:$H$34,MATCH($D825,CARDS!$A$5:$A$34,0)),DAY(EOMONTH($B825,1)))))),""))</f>
        <v/>
      </c>
      <c r="AE825" s="52" t="str">
        <f>IF($C825="","",$C825&amp;"|"&amp;COUNTIF($C$5:$C825,$C825))</f>
        <v/>
      </c>
      <c r="AF825" s="53">
        <f>IF($AC825&gt;0,SUMIFS(Q$4:Q824,$D$4:$D824,$D825,$Z$4:$Z824,$Z825,$C$4:$C824,$C825),0)</f>
        <v>0</v>
      </c>
      <c r="AG825" s="53">
        <f>IF($AC825&gt;0,SUMIFS(Q$4:Q824,$D$4:$D824,$D825,$C$4:$C824,$C825),0)</f>
        <v>0</v>
      </c>
      <c r="AH825" s="53">
        <f>IF($AC825&gt;0,SUMIFS(M$4:M824,$D$4:$D824,$D825,$Z$4:$Z824,$Z825,$C$4:$C824,$C825),0)</f>
        <v>0</v>
      </c>
      <c r="AI825" s="43">
        <f>IF(OR($C825="",$I825=""),0,IF(COUNTIFS($C$5:$C825,$C825,$I$5:$I825,$I825)=1,1,0))</f>
        <v>0</v>
      </c>
      <c r="AJ825" s="43" t="str">
        <f>IF($AI825=1,SUMIFS($AI$4:$AI824,$C$4:$C824,$C825)+1,"")</f>
        <v/>
      </c>
      <c r="AK825" s="43">
        <f>IF(OR($C825="",$K825=""),0,IF(COUNTIFS($C$5:$C825,$C825,$K$5:$K825,$K825)=1,1,0))</f>
        <v>0</v>
      </c>
      <c r="AL825" s="43" t="str">
        <f>IF($AK825=1,SUMIFS($AK$4:$AK824,$C$4:$C824,$C825)+1,"")</f>
        <v/>
      </c>
      <c r="AM825" s="43">
        <f>IF(OR($C825="",$G825=""),0,IF(COUNTIFS($C$5:$C825,$C825,$G$5:$G825,$G825)=1,1,0))</f>
        <v>0</v>
      </c>
      <c r="AN825" s="43" t="str">
        <f>IF($AM825=1,SUMIFS($AM$4:$AM824,$C$4:$C824,$C825)+1,"")</f>
        <v/>
      </c>
    </row>
    <row r="826">
      <c r="A826" s="44" t="str">
        <f>IF(OR($B826="",$D826=""),"","TX"&amp;TEXT(ROW()-4,"0000"))</f>
        <v/>
      </c>
      <c r="B826" s="42" t="n"/>
      <c r="C826" s="47" t="str">
        <f>IF($B826="","",YEAR($B826)*100+MONTH($B826))</f>
        <v/>
      </c>
      <c r="D826" s="37" t="n"/>
      <c r="E826" s="45" t="str">
        <f>IF($D826="","",IFERROR(INDEX(CARDS!$B$5:$B$34,MATCH($D826,CARDS!$A$5:$A$34,0)),"⚠ Card ID?"))</f>
        <v/>
      </c>
      <c r="F826" s="45" t="str">
        <f>IF($D826="","",IFERROR(INDEX(CARDS!$C$5:$C$34,MATCH($D826,CARDS!$A$5:$A$34,0)),"⚠ Card ID?"))</f>
        <v/>
      </c>
      <c r="G826" s="37" t="n"/>
      <c r="H826" s="37" t="n"/>
      <c r="I826" s="41" t="n"/>
      <c r="J826" s="45" t="str">
        <f>IF($I826="","",IFERROR(INDEX(MCC_MASTER!$B$5:$B$504,MATCH($I826,MCC_MASTER!$A$5:$A$504,0)),"⚠ MCC chưa có"))</f>
        <v/>
      </c>
      <c r="K826" s="45" t="str">
        <f>IF($I826="","",IFERROR(IF(INDEX(MCC_MASTER!$C$5:$C$504,MATCH($I826,MCC_MASTER!$A$5:$A$504,0))="","Chưa phân loại",INDEX(MCC_MASTER!$C$5:$C$504,MATCH($I826,MCC_MASTER!$A$5:$A$504,0))),"Chưa phân loại"))</f>
        <v/>
      </c>
      <c r="L826" s="40" t="n"/>
      <c r="M826" s="48" t="str">
        <f>IF(OR($B826="",$D826=""),"",IF($AC826=0,0,IF(ISNUMBER(INDEX(CASHBACK_RULES!$L$5:$L$304,$AC826)),MAX(0,MIN($L826,INDEX(CASHBACK_RULES!$L$5:$L$304,$AC826)-$AH826)),MAX(0,$L826))))</f>
        <v/>
      </c>
      <c r="N826" s="49" t="str">
        <f>IF(OR($B826="",$D826=""),"",IF($AC826&gt;0,INDEX(CASHBACK_RULES!$I$5:$I$304,$AC826),0))</f>
        <v/>
      </c>
      <c r="O826" s="48" t="str">
        <f>IF(OR($B826="",$D826=""),"",ROUND($M826*$N826,0))</f>
        <v/>
      </c>
      <c r="P826" s="48" t="str">
        <f>IF($AC826&gt;0,IF(ISNUMBER(INDEX(CASHBACK_RULES!$J$5:$J$304,$AC826)),INDEX(CASHBACK_RULES!$J$5:$J$304,$AC826),"∞"),"")</f>
        <v/>
      </c>
      <c r="Q826" s="48" t="str">
        <f>IF(OR($B826="",$D826=""),"",IF($AC826=0,0,MAX(0,MIN($O826,IF(ISNUMBER($P826),$P826-$AF826,1E+15),IF(ISNUMBER($AA826),$AA826-$AG826,1E+15)))))</f>
        <v/>
      </c>
      <c r="R826" s="48" t="str">
        <f>IF(OR($B826="",$D826=""),"",IF($AC826=0,"",IF(AND(NOT(ISNUMBER($P826)),NOT(ISNUMBER($AA826))),"∞",MAX(0,MIN(IF(ISNUMBER($P826),$P826-$AF826-$Q826,1E+15),IF(ISNUMBER($AA826),$AA826-$AG826-$Q826,1E+15))))))</f>
        <v/>
      </c>
      <c r="S826" s="47" t="str">
        <f>IF($AD826="","",YEAR($AD826)*100+MONTH($AD826))</f>
        <v/>
      </c>
      <c r="T826" s="50" t="str">
        <f>IF($AD826="","",IFERROR(IF(INDEX(CARDS!$I$5:$I$34,MATCH($D826,CARDS!$A$5:$A$34,0))="","",IF(INDEX(CARDS!$I$5:$I$34,MATCH($D826,CARDS!$A$5:$A$34,0))&gt;INDEX(CARDS!$H$5:$H$34,MATCH($D826,CARDS!$A$5:$A$34,0)),DATE(YEAR($AD826),MONTH($AD826),MIN(INDEX(CARDS!$I$5:$I$34,MATCH($D826,CARDS!$A$5:$A$34,0)),DAY(EOMONTH($AD826,0)))),DATE(YEAR($AD826),MONTH($AD826)+1,MIN(INDEX(CARDS!$I$5:$I$34,MATCH($D826,CARDS!$A$5:$A$34,0)),DAY(EOMONTH($AD826,1)))))),""))</f>
        <v/>
      </c>
      <c r="U826" s="38" t="n"/>
      <c r="V826" s="37" t="n"/>
      <c r="W826" s="38" t="n"/>
      <c r="X826" s="38" t="n"/>
      <c r="Y826" s="44" t="str">
        <f>IF($AC826&gt;0,INDEX(CASHBACK_RULES!$A$5:$A$304,$AC826),"")</f>
        <v/>
      </c>
      <c r="Z826" s="45" t="str">
        <f>IF($AC826&gt;0,INDEX(CASHBACK_RULES!$E$5:$E$304,$AC826)&amp;"","")</f>
        <v/>
      </c>
      <c r="AA826" s="48" t="str">
        <f>IF($AC826&gt;0,IF(ISNUMBER(INDEX(CASHBACK_RULES!$K$5:$K$304,$AC826)),INDEX(CASHBACK_RULES!$K$5:$K$304,$AC826),"∞"),"")</f>
        <v/>
      </c>
      <c r="AB826" s="44" t="str">
        <f>IF(OR($B826="",$D826=""),"",IF($U826="Cancelled","Đã hủy",IF($AC826=0,"Không được hoàn",IF($Q826=0,IF(OR($O826&gt;0,$M826&lt;$L826),"Đã đạt cap","Không được hoàn"),IF(OR($Q826&lt;$O826,$M826&lt;$L826),"Hoàn một phần","Được hoàn")))))</f>
        <v/>
      </c>
      <c r="AC826" s="43">
        <f>IF(OR($B826="",$D826="",$I826="",$L826=""),0,IF($U826="Cancelled",0,IF($W826&lt;&gt;"",IFERROR(IF(INDEX(CASHBACK_RULES!$B$5:$B$304,MATCH($W826,CASHBACK_RULES!$A$5:$A$304,0))=$D826,MATCH($W826,CASHBACK_RULES!$A$5:$A$304,0),0),0),IFERROR(MATCH(1,INDEX((CASHBACK_RULES!$B$5:$B$304=$D826)*(CASHBACK_RULES!$G$5:$G$304=$I826)*(((CASHBACK_RULES!$N$5:$N$304="")+(CASHBACK_RULES!$N$5:$N$304&lt;=$B826))&gt;0)*(((CASHBACK_RULES!$O$5:$O$304="")+(CASHBACK_RULES!$O$5:$O$304&gt;=$B826))&gt;0)*(((CASHBACK_RULES!$M$5:$M$304="")+(CASHBACK_RULES!$M$5:$M$304&lt;=$L826))&gt;0),0),0),0))))</f>
        <v>0</v>
      </c>
      <c r="AD826" s="51" t="str">
        <f>IF(OR($B826="",$D826=""),"",IFERROR(IF(INDEX(CARDS!$H$5:$H$34,MATCH($D826,CARDS!$A$5:$A$34,0))="","",IF(DAY($B826)&lt;=INDEX(CARDS!$H$5:$H$34,MATCH($D826,CARDS!$A$5:$A$34,0)),DATE(YEAR($B826),MONTH($B826),MIN(INDEX(CARDS!$H$5:$H$34,MATCH($D826,CARDS!$A$5:$A$34,0)),DAY(EOMONTH($B826,0)))),DATE(YEAR($B826),MONTH($B826)+1,MIN(INDEX(CARDS!$H$5:$H$34,MATCH($D826,CARDS!$A$5:$A$34,0)),DAY(EOMONTH($B826,1)))))),""))</f>
        <v/>
      </c>
      <c r="AE826" s="52" t="str">
        <f>IF($C826="","",$C826&amp;"|"&amp;COUNTIF($C$5:$C826,$C826))</f>
        <v/>
      </c>
      <c r="AF826" s="53">
        <f>IF($AC826&gt;0,SUMIFS(Q$4:Q825,$D$4:$D825,$D826,$Z$4:$Z825,$Z826,$C$4:$C825,$C826),0)</f>
        <v>0</v>
      </c>
      <c r="AG826" s="53">
        <f>IF($AC826&gt;0,SUMIFS(Q$4:Q825,$D$4:$D825,$D826,$C$4:$C825,$C826),0)</f>
        <v>0</v>
      </c>
      <c r="AH826" s="53">
        <f>IF($AC826&gt;0,SUMIFS(M$4:M825,$D$4:$D825,$D826,$Z$4:$Z825,$Z826,$C$4:$C825,$C826),0)</f>
        <v>0</v>
      </c>
      <c r="AI826" s="43">
        <f>IF(OR($C826="",$I826=""),0,IF(COUNTIFS($C$5:$C826,$C826,$I$5:$I826,$I826)=1,1,0))</f>
        <v>0</v>
      </c>
      <c r="AJ826" s="43" t="str">
        <f>IF($AI826=1,SUMIFS($AI$4:$AI825,$C$4:$C825,$C826)+1,"")</f>
        <v/>
      </c>
      <c r="AK826" s="43">
        <f>IF(OR($C826="",$K826=""),0,IF(COUNTIFS($C$5:$C826,$C826,$K$5:$K826,$K826)=1,1,0))</f>
        <v>0</v>
      </c>
      <c r="AL826" s="43" t="str">
        <f>IF($AK826=1,SUMIFS($AK$4:$AK825,$C$4:$C825,$C826)+1,"")</f>
        <v/>
      </c>
      <c r="AM826" s="43">
        <f>IF(OR($C826="",$G826=""),0,IF(COUNTIFS($C$5:$C826,$C826,$G$5:$G826,$G826)=1,1,0))</f>
        <v>0</v>
      </c>
      <c r="AN826" s="43" t="str">
        <f>IF($AM826=1,SUMIFS($AM$4:$AM825,$C$4:$C825,$C826)+1,"")</f>
        <v/>
      </c>
    </row>
    <row r="827">
      <c r="A827" s="44" t="str">
        <f>IF(OR($B827="",$D827=""),"","TX"&amp;TEXT(ROW()-4,"0000"))</f>
        <v/>
      </c>
      <c r="B827" s="42" t="n"/>
      <c r="C827" s="47" t="str">
        <f>IF($B827="","",YEAR($B827)*100+MONTH($B827))</f>
        <v/>
      </c>
      <c r="D827" s="37" t="n"/>
      <c r="E827" s="45" t="str">
        <f>IF($D827="","",IFERROR(INDEX(CARDS!$B$5:$B$34,MATCH($D827,CARDS!$A$5:$A$34,0)),"⚠ Card ID?"))</f>
        <v/>
      </c>
      <c r="F827" s="45" t="str">
        <f>IF($D827="","",IFERROR(INDEX(CARDS!$C$5:$C$34,MATCH($D827,CARDS!$A$5:$A$34,0)),"⚠ Card ID?"))</f>
        <v/>
      </c>
      <c r="G827" s="37" t="n"/>
      <c r="H827" s="37" t="n"/>
      <c r="I827" s="41" t="n"/>
      <c r="J827" s="45" t="str">
        <f>IF($I827="","",IFERROR(INDEX(MCC_MASTER!$B$5:$B$504,MATCH($I827,MCC_MASTER!$A$5:$A$504,0)),"⚠ MCC chưa có"))</f>
        <v/>
      </c>
      <c r="K827" s="45" t="str">
        <f>IF($I827="","",IFERROR(IF(INDEX(MCC_MASTER!$C$5:$C$504,MATCH($I827,MCC_MASTER!$A$5:$A$504,0))="","Chưa phân loại",INDEX(MCC_MASTER!$C$5:$C$504,MATCH($I827,MCC_MASTER!$A$5:$A$504,0))),"Chưa phân loại"))</f>
        <v/>
      </c>
      <c r="L827" s="40" t="n"/>
      <c r="M827" s="48" t="str">
        <f>IF(OR($B827="",$D827=""),"",IF($AC827=0,0,IF(ISNUMBER(INDEX(CASHBACK_RULES!$L$5:$L$304,$AC827)),MAX(0,MIN($L827,INDEX(CASHBACK_RULES!$L$5:$L$304,$AC827)-$AH827)),MAX(0,$L827))))</f>
        <v/>
      </c>
      <c r="N827" s="49" t="str">
        <f>IF(OR($B827="",$D827=""),"",IF($AC827&gt;0,INDEX(CASHBACK_RULES!$I$5:$I$304,$AC827),0))</f>
        <v/>
      </c>
      <c r="O827" s="48" t="str">
        <f>IF(OR($B827="",$D827=""),"",ROUND($M827*$N827,0))</f>
        <v/>
      </c>
      <c r="P827" s="48" t="str">
        <f>IF($AC827&gt;0,IF(ISNUMBER(INDEX(CASHBACK_RULES!$J$5:$J$304,$AC827)),INDEX(CASHBACK_RULES!$J$5:$J$304,$AC827),"∞"),"")</f>
        <v/>
      </c>
      <c r="Q827" s="48" t="str">
        <f>IF(OR($B827="",$D827=""),"",IF($AC827=0,0,MAX(0,MIN($O827,IF(ISNUMBER($P827),$P827-$AF827,1E+15),IF(ISNUMBER($AA827),$AA827-$AG827,1E+15)))))</f>
        <v/>
      </c>
      <c r="R827" s="48" t="str">
        <f>IF(OR($B827="",$D827=""),"",IF($AC827=0,"",IF(AND(NOT(ISNUMBER($P827)),NOT(ISNUMBER($AA827))),"∞",MAX(0,MIN(IF(ISNUMBER($P827),$P827-$AF827-$Q827,1E+15),IF(ISNUMBER($AA827),$AA827-$AG827-$Q827,1E+15))))))</f>
        <v/>
      </c>
      <c r="S827" s="47" t="str">
        <f>IF($AD827="","",YEAR($AD827)*100+MONTH($AD827))</f>
        <v/>
      </c>
      <c r="T827" s="50" t="str">
        <f>IF($AD827="","",IFERROR(IF(INDEX(CARDS!$I$5:$I$34,MATCH($D827,CARDS!$A$5:$A$34,0))="","",IF(INDEX(CARDS!$I$5:$I$34,MATCH($D827,CARDS!$A$5:$A$34,0))&gt;INDEX(CARDS!$H$5:$H$34,MATCH($D827,CARDS!$A$5:$A$34,0)),DATE(YEAR($AD827),MONTH($AD827),MIN(INDEX(CARDS!$I$5:$I$34,MATCH($D827,CARDS!$A$5:$A$34,0)),DAY(EOMONTH($AD827,0)))),DATE(YEAR($AD827),MONTH($AD827)+1,MIN(INDEX(CARDS!$I$5:$I$34,MATCH($D827,CARDS!$A$5:$A$34,0)),DAY(EOMONTH($AD827,1)))))),""))</f>
        <v/>
      </c>
      <c r="U827" s="38" t="n"/>
      <c r="V827" s="37" t="n"/>
      <c r="W827" s="38" t="n"/>
      <c r="X827" s="38" t="n"/>
      <c r="Y827" s="44" t="str">
        <f>IF($AC827&gt;0,INDEX(CASHBACK_RULES!$A$5:$A$304,$AC827),"")</f>
        <v/>
      </c>
      <c r="Z827" s="45" t="str">
        <f>IF($AC827&gt;0,INDEX(CASHBACK_RULES!$E$5:$E$304,$AC827)&amp;"","")</f>
        <v/>
      </c>
      <c r="AA827" s="48" t="str">
        <f>IF($AC827&gt;0,IF(ISNUMBER(INDEX(CASHBACK_RULES!$K$5:$K$304,$AC827)),INDEX(CASHBACK_RULES!$K$5:$K$304,$AC827),"∞"),"")</f>
        <v/>
      </c>
      <c r="AB827" s="44" t="str">
        <f>IF(OR($B827="",$D827=""),"",IF($U827="Cancelled","Đã hủy",IF($AC827=0,"Không được hoàn",IF($Q827=0,IF(OR($O827&gt;0,$M827&lt;$L827),"Đã đạt cap","Không được hoàn"),IF(OR($Q827&lt;$O827,$M827&lt;$L827),"Hoàn một phần","Được hoàn")))))</f>
        <v/>
      </c>
      <c r="AC827" s="43">
        <f>IF(OR($B827="",$D827="",$I827="",$L827=""),0,IF($U827="Cancelled",0,IF($W827&lt;&gt;"",IFERROR(IF(INDEX(CASHBACK_RULES!$B$5:$B$304,MATCH($W827,CASHBACK_RULES!$A$5:$A$304,0))=$D827,MATCH($W827,CASHBACK_RULES!$A$5:$A$304,0),0),0),IFERROR(MATCH(1,INDEX((CASHBACK_RULES!$B$5:$B$304=$D827)*(CASHBACK_RULES!$G$5:$G$304=$I827)*(((CASHBACK_RULES!$N$5:$N$304="")+(CASHBACK_RULES!$N$5:$N$304&lt;=$B827))&gt;0)*(((CASHBACK_RULES!$O$5:$O$304="")+(CASHBACK_RULES!$O$5:$O$304&gt;=$B827))&gt;0)*(((CASHBACK_RULES!$M$5:$M$304="")+(CASHBACK_RULES!$M$5:$M$304&lt;=$L827))&gt;0),0),0),0))))</f>
        <v>0</v>
      </c>
      <c r="AD827" s="51" t="str">
        <f>IF(OR($B827="",$D827=""),"",IFERROR(IF(INDEX(CARDS!$H$5:$H$34,MATCH($D827,CARDS!$A$5:$A$34,0))="","",IF(DAY($B827)&lt;=INDEX(CARDS!$H$5:$H$34,MATCH($D827,CARDS!$A$5:$A$34,0)),DATE(YEAR($B827),MONTH($B827),MIN(INDEX(CARDS!$H$5:$H$34,MATCH($D827,CARDS!$A$5:$A$34,0)),DAY(EOMONTH($B827,0)))),DATE(YEAR($B827),MONTH($B827)+1,MIN(INDEX(CARDS!$H$5:$H$34,MATCH($D827,CARDS!$A$5:$A$34,0)),DAY(EOMONTH($B827,1)))))),""))</f>
        <v/>
      </c>
      <c r="AE827" s="52" t="str">
        <f>IF($C827="","",$C827&amp;"|"&amp;COUNTIF($C$5:$C827,$C827))</f>
        <v/>
      </c>
      <c r="AF827" s="53">
        <f>IF($AC827&gt;0,SUMIFS(Q$4:Q826,$D$4:$D826,$D827,$Z$4:$Z826,$Z827,$C$4:$C826,$C827),0)</f>
        <v>0</v>
      </c>
      <c r="AG827" s="53">
        <f>IF($AC827&gt;0,SUMIFS(Q$4:Q826,$D$4:$D826,$D827,$C$4:$C826,$C827),0)</f>
        <v>0</v>
      </c>
      <c r="AH827" s="53">
        <f>IF($AC827&gt;0,SUMIFS(M$4:M826,$D$4:$D826,$D827,$Z$4:$Z826,$Z827,$C$4:$C826,$C827),0)</f>
        <v>0</v>
      </c>
      <c r="AI827" s="43">
        <f>IF(OR($C827="",$I827=""),0,IF(COUNTIFS($C$5:$C827,$C827,$I$5:$I827,$I827)=1,1,0))</f>
        <v>0</v>
      </c>
      <c r="AJ827" s="43" t="str">
        <f>IF($AI827=1,SUMIFS($AI$4:$AI826,$C$4:$C826,$C827)+1,"")</f>
        <v/>
      </c>
      <c r="AK827" s="43">
        <f>IF(OR($C827="",$K827=""),0,IF(COUNTIFS($C$5:$C827,$C827,$K$5:$K827,$K827)=1,1,0))</f>
        <v>0</v>
      </c>
      <c r="AL827" s="43" t="str">
        <f>IF($AK827=1,SUMIFS($AK$4:$AK826,$C$4:$C826,$C827)+1,"")</f>
        <v/>
      </c>
      <c r="AM827" s="43">
        <f>IF(OR($C827="",$G827=""),0,IF(COUNTIFS($C$5:$C827,$C827,$G$5:$G827,$G827)=1,1,0))</f>
        <v>0</v>
      </c>
      <c r="AN827" s="43" t="str">
        <f>IF($AM827=1,SUMIFS($AM$4:$AM826,$C$4:$C826,$C827)+1,"")</f>
        <v/>
      </c>
    </row>
    <row r="828">
      <c r="A828" s="44" t="str">
        <f>IF(OR($B828="",$D828=""),"","TX"&amp;TEXT(ROW()-4,"0000"))</f>
        <v/>
      </c>
      <c r="B828" s="42" t="n"/>
      <c r="C828" s="47" t="str">
        <f>IF($B828="","",YEAR($B828)*100+MONTH($B828))</f>
        <v/>
      </c>
      <c r="D828" s="37" t="n"/>
      <c r="E828" s="45" t="str">
        <f>IF($D828="","",IFERROR(INDEX(CARDS!$B$5:$B$34,MATCH($D828,CARDS!$A$5:$A$34,0)),"⚠ Card ID?"))</f>
        <v/>
      </c>
      <c r="F828" s="45" t="str">
        <f>IF($D828="","",IFERROR(INDEX(CARDS!$C$5:$C$34,MATCH($D828,CARDS!$A$5:$A$34,0)),"⚠ Card ID?"))</f>
        <v/>
      </c>
      <c r="G828" s="37" t="n"/>
      <c r="H828" s="37" t="n"/>
      <c r="I828" s="41" t="n"/>
      <c r="J828" s="45" t="str">
        <f>IF($I828="","",IFERROR(INDEX(MCC_MASTER!$B$5:$B$504,MATCH($I828,MCC_MASTER!$A$5:$A$504,0)),"⚠ MCC chưa có"))</f>
        <v/>
      </c>
      <c r="K828" s="45" t="str">
        <f>IF($I828="","",IFERROR(IF(INDEX(MCC_MASTER!$C$5:$C$504,MATCH($I828,MCC_MASTER!$A$5:$A$504,0))="","Chưa phân loại",INDEX(MCC_MASTER!$C$5:$C$504,MATCH($I828,MCC_MASTER!$A$5:$A$504,0))),"Chưa phân loại"))</f>
        <v/>
      </c>
      <c r="L828" s="40" t="n"/>
      <c r="M828" s="48" t="str">
        <f>IF(OR($B828="",$D828=""),"",IF($AC828=0,0,IF(ISNUMBER(INDEX(CASHBACK_RULES!$L$5:$L$304,$AC828)),MAX(0,MIN($L828,INDEX(CASHBACK_RULES!$L$5:$L$304,$AC828)-$AH828)),MAX(0,$L828))))</f>
        <v/>
      </c>
      <c r="N828" s="49" t="str">
        <f>IF(OR($B828="",$D828=""),"",IF($AC828&gt;0,INDEX(CASHBACK_RULES!$I$5:$I$304,$AC828),0))</f>
        <v/>
      </c>
      <c r="O828" s="48" t="str">
        <f>IF(OR($B828="",$D828=""),"",ROUND($M828*$N828,0))</f>
        <v/>
      </c>
      <c r="P828" s="48" t="str">
        <f>IF($AC828&gt;0,IF(ISNUMBER(INDEX(CASHBACK_RULES!$J$5:$J$304,$AC828)),INDEX(CASHBACK_RULES!$J$5:$J$304,$AC828),"∞"),"")</f>
        <v/>
      </c>
      <c r="Q828" s="48" t="str">
        <f>IF(OR($B828="",$D828=""),"",IF($AC828=0,0,MAX(0,MIN($O828,IF(ISNUMBER($P828),$P828-$AF828,1E+15),IF(ISNUMBER($AA828),$AA828-$AG828,1E+15)))))</f>
        <v/>
      </c>
      <c r="R828" s="48" t="str">
        <f>IF(OR($B828="",$D828=""),"",IF($AC828=0,"",IF(AND(NOT(ISNUMBER($P828)),NOT(ISNUMBER($AA828))),"∞",MAX(0,MIN(IF(ISNUMBER($P828),$P828-$AF828-$Q828,1E+15),IF(ISNUMBER($AA828),$AA828-$AG828-$Q828,1E+15))))))</f>
        <v/>
      </c>
      <c r="S828" s="47" t="str">
        <f>IF($AD828="","",YEAR($AD828)*100+MONTH($AD828))</f>
        <v/>
      </c>
      <c r="T828" s="50" t="str">
        <f>IF($AD828="","",IFERROR(IF(INDEX(CARDS!$I$5:$I$34,MATCH($D828,CARDS!$A$5:$A$34,0))="","",IF(INDEX(CARDS!$I$5:$I$34,MATCH($D828,CARDS!$A$5:$A$34,0))&gt;INDEX(CARDS!$H$5:$H$34,MATCH($D828,CARDS!$A$5:$A$34,0)),DATE(YEAR($AD828),MONTH($AD828),MIN(INDEX(CARDS!$I$5:$I$34,MATCH($D828,CARDS!$A$5:$A$34,0)),DAY(EOMONTH($AD828,0)))),DATE(YEAR($AD828),MONTH($AD828)+1,MIN(INDEX(CARDS!$I$5:$I$34,MATCH($D828,CARDS!$A$5:$A$34,0)),DAY(EOMONTH($AD828,1)))))),""))</f>
        <v/>
      </c>
      <c r="U828" s="38" t="n"/>
      <c r="V828" s="37" t="n"/>
      <c r="W828" s="38" t="n"/>
      <c r="X828" s="38" t="n"/>
      <c r="Y828" s="44" t="str">
        <f>IF($AC828&gt;0,INDEX(CASHBACK_RULES!$A$5:$A$304,$AC828),"")</f>
        <v/>
      </c>
      <c r="Z828" s="45" t="str">
        <f>IF($AC828&gt;0,INDEX(CASHBACK_RULES!$E$5:$E$304,$AC828)&amp;"","")</f>
        <v/>
      </c>
      <c r="AA828" s="48" t="str">
        <f>IF($AC828&gt;0,IF(ISNUMBER(INDEX(CASHBACK_RULES!$K$5:$K$304,$AC828)),INDEX(CASHBACK_RULES!$K$5:$K$304,$AC828),"∞"),"")</f>
        <v/>
      </c>
      <c r="AB828" s="44" t="str">
        <f>IF(OR($B828="",$D828=""),"",IF($U828="Cancelled","Đã hủy",IF($AC828=0,"Không được hoàn",IF($Q828=0,IF(OR($O828&gt;0,$M828&lt;$L828),"Đã đạt cap","Không được hoàn"),IF(OR($Q828&lt;$O828,$M828&lt;$L828),"Hoàn một phần","Được hoàn")))))</f>
        <v/>
      </c>
      <c r="AC828" s="43">
        <f>IF(OR($B828="",$D828="",$I828="",$L828=""),0,IF($U828="Cancelled",0,IF($W828&lt;&gt;"",IFERROR(IF(INDEX(CASHBACK_RULES!$B$5:$B$304,MATCH($W828,CASHBACK_RULES!$A$5:$A$304,0))=$D828,MATCH($W828,CASHBACK_RULES!$A$5:$A$304,0),0),0),IFERROR(MATCH(1,INDEX((CASHBACK_RULES!$B$5:$B$304=$D828)*(CASHBACK_RULES!$G$5:$G$304=$I828)*(((CASHBACK_RULES!$N$5:$N$304="")+(CASHBACK_RULES!$N$5:$N$304&lt;=$B828))&gt;0)*(((CASHBACK_RULES!$O$5:$O$304="")+(CASHBACK_RULES!$O$5:$O$304&gt;=$B828))&gt;0)*(((CASHBACK_RULES!$M$5:$M$304="")+(CASHBACK_RULES!$M$5:$M$304&lt;=$L828))&gt;0),0),0),0))))</f>
        <v>0</v>
      </c>
      <c r="AD828" s="51" t="str">
        <f>IF(OR($B828="",$D828=""),"",IFERROR(IF(INDEX(CARDS!$H$5:$H$34,MATCH($D828,CARDS!$A$5:$A$34,0))="","",IF(DAY($B828)&lt;=INDEX(CARDS!$H$5:$H$34,MATCH($D828,CARDS!$A$5:$A$34,0)),DATE(YEAR($B828),MONTH($B828),MIN(INDEX(CARDS!$H$5:$H$34,MATCH($D828,CARDS!$A$5:$A$34,0)),DAY(EOMONTH($B828,0)))),DATE(YEAR($B828),MONTH($B828)+1,MIN(INDEX(CARDS!$H$5:$H$34,MATCH($D828,CARDS!$A$5:$A$34,0)),DAY(EOMONTH($B828,1)))))),""))</f>
        <v/>
      </c>
      <c r="AE828" s="52" t="str">
        <f>IF($C828="","",$C828&amp;"|"&amp;COUNTIF($C$5:$C828,$C828))</f>
        <v/>
      </c>
      <c r="AF828" s="53">
        <f>IF($AC828&gt;0,SUMIFS(Q$4:Q827,$D$4:$D827,$D828,$Z$4:$Z827,$Z828,$C$4:$C827,$C828),0)</f>
        <v>0</v>
      </c>
      <c r="AG828" s="53">
        <f>IF($AC828&gt;0,SUMIFS(Q$4:Q827,$D$4:$D827,$D828,$C$4:$C827,$C828),0)</f>
        <v>0</v>
      </c>
      <c r="AH828" s="53">
        <f>IF($AC828&gt;0,SUMIFS(M$4:M827,$D$4:$D827,$D828,$Z$4:$Z827,$Z828,$C$4:$C827,$C828),0)</f>
        <v>0</v>
      </c>
      <c r="AI828" s="43">
        <f>IF(OR($C828="",$I828=""),0,IF(COUNTIFS($C$5:$C828,$C828,$I$5:$I828,$I828)=1,1,0))</f>
        <v>0</v>
      </c>
      <c r="AJ828" s="43" t="str">
        <f>IF($AI828=1,SUMIFS($AI$4:$AI827,$C$4:$C827,$C828)+1,"")</f>
        <v/>
      </c>
      <c r="AK828" s="43">
        <f>IF(OR($C828="",$K828=""),0,IF(COUNTIFS($C$5:$C828,$C828,$K$5:$K828,$K828)=1,1,0))</f>
        <v>0</v>
      </c>
      <c r="AL828" s="43" t="str">
        <f>IF($AK828=1,SUMIFS($AK$4:$AK827,$C$4:$C827,$C828)+1,"")</f>
        <v/>
      </c>
      <c r="AM828" s="43">
        <f>IF(OR($C828="",$G828=""),0,IF(COUNTIFS($C$5:$C828,$C828,$G$5:$G828,$G828)=1,1,0))</f>
        <v>0</v>
      </c>
      <c r="AN828" s="43" t="str">
        <f>IF($AM828=1,SUMIFS($AM$4:$AM827,$C$4:$C827,$C828)+1,"")</f>
        <v/>
      </c>
    </row>
    <row r="829">
      <c r="A829" s="44" t="str">
        <f>IF(OR($B829="",$D829=""),"","TX"&amp;TEXT(ROW()-4,"0000"))</f>
        <v/>
      </c>
      <c r="B829" s="42" t="n"/>
      <c r="C829" s="47" t="str">
        <f>IF($B829="","",YEAR($B829)*100+MONTH($B829))</f>
        <v/>
      </c>
      <c r="D829" s="37" t="n"/>
      <c r="E829" s="45" t="str">
        <f>IF($D829="","",IFERROR(INDEX(CARDS!$B$5:$B$34,MATCH($D829,CARDS!$A$5:$A$34,0)),"⚠ Card ID?"))</f>
        <v/>
      </c>
      <c r="F829" s="45" t="str">
        <f>IF($D829="","",IFERROR(INDEX(CARDS!$C$5:$C$34,MATCH($D829,CARDS!$A$5:$A$34,0)),"⚠ Card ID?"))</f>
        <v/>
      </c>
      <c r="G829" s="37" t="n"/>
      <c r="H829" s="37" t="n"/>
      <c r="I829" s="41" t="n"/>
      <c r="J829" s="45" t="str">
        <f>IF($I829="","",IFERROR(INDEX(MCC_MASTER!$B$5:$B$504,MATCH($I829,MCC_MASTER!$A$5:$A$504,0)),"⚠ MCC chưa có"))</f>
        <v/>
      </c>
      <c r="K829" s="45" t="str">
        <f>IF($I829="","",IFERROR(IF(INDEX(MCC_MASTER!$C$5:$C$504,MATCH($I829,MCC_MASTER!$A$5:$A$504,0))="","Chưa phân loại",INDEX(MCC_MASTER!$C$5:$C$504,MATCH($I829,MCC_MASTER!$A$5:$A$504,0))),"Chưa phân loại"))</f>
        <v/>
      </c>
      <c r="L829" s="40" t="n"/>
      <c r="M829" s="48" t="str">
        <f>IF(OR($B829="",$D829=""),"",IF($AC829=0,0,IF(ISNUMBER(INDEX(CASHBACK_RULES!$L$5:$L$304,$AC829)),MAX(0,MIN($L829,INDEX(CASHBACK_RULES!$L$5:$L$304,$AC829)-$AH829)),MAX(0,$L829))))</f>
        <v/>
      </c>
      <c r="N829" s="49" t="str">
        <f>IF(OR($B829="",$D829=""),"",IF($AC829&gt;0,INDEX(CASHBACK_RULES!$I$5:$I$304,$AC829),0))</f>
        <v/>
      </c>
      <c r="O829" s="48" t="str">
        <f>IF(OR($B829="",$D829=""),"",ROUND($M829*$N829,0))</f>
        <v/>
      </c>
      <c r="P829" s="48" t="str">
        <f>IF($AC829&gt;0,IF(ISNUMBER(INDEX(CASHBACK_RULES!$J$5:$J$304,$AC829)),INDEX(CASHBACK_RULES!$J$5:$J$304,$AC829),"∞"),"")</f>
        <v/>
      </c>
      <c r="Q829" s="48" t="str">
        <f>IF(OR($B829="",$D829=""),"",IF($AC829=0,0,MAX(0,MIN($O829,IF(ISNUMBER($P829),$P829-$AF829,1E+15),IF(ISNUMBER($AA829),$AA829-$AG829,1E+15)))))</f>
        <v/>
      </c>
      <c r="R829" s="48" t="str">
        <f>IF(OR($B829="",$D829=""),"",IF($AC829=0,"",IF(AND(NOT(ISNUMBER($P829)),NOT(ISNUMBER($AA829))),"∞",MAX(0,MIN(IF(ISNUMBER($P829),$P829-$AF829-$Q829,1E+15),IF(ISNUMBER($AA829),$AA829-$AG829-$Q829,1E+15))))))</f>
        <v/>
      </c>
      <c r="S829" s="47" t="str">
        <f>IF($AD829="","",YEAR($AD829)*100+MONTH($AD829))</f>
        <v/>
      </c>
      <c r="T829" s="50" t="str">
        <f>IF($AD829="","",IFERROR(IF(INDEX(CARDS!$I$5:$I$34,MATCH($D829,CARDS!$A$5:$A$34,0))="","",IF(INDEX(CARDS!$I$5:$I$34,MATCH($D829,CARDS!$A$5:$A$34,0))&gt;INDEX(CARDS!$H$5:$H$34,MATCH($D829,CARDS!$A$5:$A$34,0)),DATE(YEAR($AD829),MONTH($AD829),MIN(INDEX(CARDS!$I$5:$I$34,MATCH($D829,CARDS!$A$5:$A$34,0)),DAY(EOMONTH($AD829,0)))),DATE(YEAR($AD829),MONTH($AD829)+1,MIN(INDEX(CARDS!$I$5:$I$34,MATCH($D829,CARDS!$A$5:$A$34,0)),DAY(EOMONTH($AD829,1)))))),""))</f>
        <v/>
      </c>
      <c r="U829" s="38" t="n"/>
      <c r="V829" s="37" t="n"/>
      <c r="W829" s="38" t="n"/>
      <c r="X829" s="38" t="n"/>
      <c r="Y829" s="44" t="str">
        <f>IF($AC829&gt;0,INDEX(CASHBACK_RULES!$A$5:$A$304,$AC829),"")</f>
        <v/>
      </c>
      <c r="Z829" s="45" t="str">
        <f>IF($AC829&gt;0,INDEX(CASHBACK_RULES!$E$5:$E$304,$AC829)&amp;"","")</f>
        <v/>
      </c>
      <c r="AA829" s="48" t="str">
        <f>IF($AC829&gt;0,IF(ISNUMBER(INDEX(CASHBACK_RULES!$K$5:$K$304,$AC829)),INDEX(CASHBACK_RULES!$K$5:$K$304,$AC829),"∞"),"")</f>
        <v/>
      </c>
      <c r="AB829" s="44" t="str">
        <f>IF(OR($B829="",$D829=""),"",IF($U829="Cancelled","Đã hủy",IF($AC829=0,"Không được hoàn",IF($Q829=0,IF(OR($O829&gt;0,$M829&lt;$L829),"Đã đạt cap","Không được hoàn"),IF(OR($Q829&lt;$O829,$M829&lt;$L829),"Hoàn một phần","Được hoàn")))))</f>
        <v/>
      </c>
      <c r="AC829" s="43">
        <f>IF(OR($B829="",$D829="",$I829="",$L829=""),0,IF($U829="Cancelled",0,IF($W829&lt;&gt;"",IFERROR(IF(INDEX(CASHBACK_RULES!$B$5:$B$304,MATCH($W829,CASHBACK_RULES!$A$5:$A$304,0))=$D829,MATCH($W829,CASHBACK_RULES!$A$5:$A$304,0),0),0),IFERROR(MATCH(1,INDEX((CASHBACK_RULES!$B$5:$B$304=$D829)*(CASHBACK_RULES!$G$5:$G$304=$I829)*(((CASHBACK_RULES!$N$5:$N$304="")+(CASHBACK_RULES!$N$5:$N$304&lt;=$B829))&gt;0)*(((CASHBACK_RULES!$O$5:$O$304="")+(CASHBACK_RULES!$O$5:$O$304&gt;=$B829))&gt;0)*(((CASHBACK_RULES!$M$5:$M$304="")+(CASHBACK_RULES!$M$5:$M$304&lt;=$L829))&gt;0),0),0),0))))</f>
        <v>0</v>
      </c>
      <c r="AD829" s="51" t="str">
        <f>IF(OR($B829="",$D829=""),"",IFERROR(IF(INDEX(CARDS!$H$5:$H$34,MATCH($D829,CARDS!$A$5:$A$34,0))="","",IF(DAY($B829)&lt;=INDEX(CARDS!$H$5:$H$34,MATCH($D829,CARDS!$A$5:$A$34,0)),DATE(YEAR($B829),MONTH($B829),MIN(INDEX(CARDS!$H$5:$H$34,MATCH($D829,CARDS!$A$5:$A$34,0)),DAY(EOMONTH($B829,0)))),DATE(YEAR($B829),MONTH($B829)+1,MIN(INDEX(CARDS!$H$5:$H$34,MATCH($D829,CARDS!$A$5:$A$34,0)),DAY(EOMONTH($B829,1)))))),""))</f>
        <v/>
      </c>
      <c r="AE829" s="52" t="str">
        <f>IF($C829="","",$C829&amp;"|"&amp;COUNTIF($C$5:$C829,$C829))</f>
        <v/>
      </c>
      <c r="AF829" s="53">
        <f>IF($AC829&gt;0,SUMIFS(Q$4:Q828,$D$4:$D828,$D829,$Z$4:$Z828,$Z829,$C$4:$C828,$C829),0)</f>
        <v>0</v>
      </c>
      <c r="AG829" s="53">
        <f>IF($AC829&gt;0,SUMIFS(Q$4:Q828,$D$4:$D828,$D829,$C$4:$C828,$C829),0)</f>
        <v>0</v>
      </c>
      <c r="AH829" s="53">
        <f>IF($AC829&gt;0,SUMIFS(M$4:M828,$D$4:$D828,$D829,$Z$4:$Z828,$Z829,$C$4:$C828,$C829),0)</f>
        <v>0</v>
      </c>
      <c r="AI829" s="43">
        <f>IF(OR($C829="",$I829=""),0,IF(COUNTIFS($C$5:$C829,$C829,$I$5:$I829,$I829)=1,1,0))</f>
        <v>0</v>
      </c>
      <c r="AJ829" s="43" t="str">
        <f>IF($AI829=1,SUMIFS($AI$4:$AI828,$C$4:$C828,$C829)+1,"")</f>
        <v/>
      </c>
      <c r="AK829" s="43">
        <f>IF(OR($C829="",$K829=""),0,IF(COUNTIFS($C$5:$C829,$C829,$K$5:$K829,$K829)=1,1,0))</f>
        <v>0</v>
      </c>
      <c r="AL829" s="43" t="str">
        <f>IF($AK829=1,SUMIFS($AK$4:$AK828,$C$4:$C828,$C829)+1,"")</f>
        <v/>
      </c>
      <c r="AM829" s="43">
        <f>IF(OR($C829="",$G829=""),0,IF(COUNTIFS($C$5:$C829,$C829,$G$5:$G829,$G829)=1,1,0))</f>
        <v>0</v>
      </c>
      <c r="AN829" s="43" t="str">
        <f>IF($AM829=1,SUMIFS($AM$4:$AM828,$C$4:$C828,$C829)+1,"")</f>
        <v/>
      </c>
    </row>
    <row r="830">
      <c r="A830" s="44" t="str">
        <f>IF(OR($B830="",$D830=""),"","TX"&amp;TEXT(ROW()-4,"0000"))</f>
        <v/>
      </c>
      <c r="B830" s="42" t="n"/>
      <c r="C830" s="47" t="str">
        <f>IF($B830="","",YEAR($B830)*100+MONTH($B830))</f>
        <v/>
      </c>
      <c r="D830" s="37" t="n"/>
      <c r="E830" s="45" t="str">
        <f>IF($D830="","",IFERROR(INDEX(CARDS!$B$5:$B$34,MATCH($D830,CARDS!$A$5:$A$34,0)),"⚠ Card ID?"))</f>
        <v/>
      </c>
      <c r="F830" s="45" t="str">
        <f>IF($D830="","",IFERROR(INDEX(CARDS!$C$5:$C$34,MATCH($D830,CARDS!$A$5:$A$34,0)),"⚠ Card ID?"))</f>
        <v/>
      </c>
      <c r="G830" s="37" t="n"/>
      <c r="H830" s="37" t="n"/>
      <c r="I830" s="41" t="n"/>
      <c r="J830" s="45" t="str">
        <f>IF($I830="","",IFERROR(INDEX(MCC_MASTER!$B$5:$B$504,MATCH($I830,MCC_MASTER!$A$5:$A$504,0)),"⚠ MCC chưa có"))</f>
        <v/>
      </c>
      <c r="K830" s="45" t="str">
        <f>IF($I830="","",IFERROR(IF(INDEX(MCC_MASTER!$C$5:$C$504,MATCH($I830,MCC_MASTER!$A$5:$A$504,0))="","Chưa phân loại",INDEX(MCC_MASTER!$C$5:$C$504,MATCH($I830,MCC_MASTER!$A$5:$A$504,0))),"Chưa phân loại"))</f>
        <v/>
      </c>
      <c r="L830" s="40" t="n"/>
      <c r="M830" s="48" t="str">
        <f>IF(OR($B830="",$D830=""),"",IF($AC830=0,0,IF(ISNUMBER(INDEX(CASHBACK_RULES!$L$5:$L$304,$AC830)),MAX(0,MIN($L830,INDEX(CASHBACK_RULES!$L$5:$L$304,$AC830)-$AH830)),MAX(0,$L830))))</f>
        <v/>
      </c>
      <c r="N830" s="49" t="str">
        <f>IF(OR($B830="",$D830=""),"",IF($AC830&gt;0,INDEX(CASHBACK_RULES!$I$5:$I$304,$AC830),0))</f>
        <v/>
      </c>
      <c r="O830" s="48" t="str">
        <f>IF(OR($B830="",$D830=""),"",ROUND($M830*$N830,0))</f>
        <v/>
      </c>
      <c r="P830" s="48" t="str">
        <f>IF($AC830&gt;0,IF(ISNUMBER(INDEX(CASHBACK_RULES!$J$5:$J$304,$AC830)),INDEX(CASHBACK_RULES!$J$5:$J$304,$AC830),"∞"),"")</f>
        <v/>
      </c>
      <c r="Q830" s="48" t="str">
        <f>IF(OR($B830="",$D830=""),"",IF($AC830=0,0,MAX(0,MIN($O830,IF(ISNUMBER($P830),$P830-$AF830,1E+15),IF(ISNUMBER($AA830),$AA830-$AG830,1E+15)))))</f>
        <v/>
      </c>
      <c r="R830" s="48" t="str">
        <f>IF(OR($B830="",$D830=""),"",IF($AC830=0,"",IF(AND(NOT(ISNUMBER($P830)),NOT(ISNUMBER($AA830))),"∞",MAX(0,MIN(IF(ISNUMBER($P830),$P830-$AF830-$Q830,1E+15),IF(ISNUMBER($AA830),$AA830-$AG830-$Q830,1E+15))))))</f>
        <v/>
      </c>
      <c r="S830" s="47" t="str">
        <f>IF($AD830="","",YEAR($AD830)*100+MONTH($AD830))</f>
        <v/>
      </c>
      <c r="T830" s="50" t="str">
        <f>IF($AD830="","",IFERROR(IF(INDEX(CARDS!$I$5:$I$34,MATCH($D830,CARDS!$A$5:$A$34,0))="","",IF(INDEX(CARDS!$I$5:$I$34,MATCH($D830,CARDS!$A$5:$A$34,0))&gt;INDEX(CARDS!$H$5:$H$34,MATCH($D830,CARDS!$A$5:$A$34,0)),DATE(YEAR($AD830),MONTH($AD830),MIN(INDEX(CARDS!$I$5:$I$34,MATCH($D830,CARDS!$A$5:$A$34,0)),DAY(EOMONTH($AD830,0)))),DATE(YEAR($AD830),MONTH($AD830)+1,MIN(INDEX(CARDS!$I$5:$I$34,MATCH($D830,CARDS!$A$5:$A$34,0)),DAY(EOMONTH($AD830,1)))))),""))</f>
        <v/>
      </c>
      <c r="U830" s="38" t="n"/>
      <c r="V830" s="37" t="n"/>
      <c r="W830" s="38" t="n"/>
      <c r="X830" s="38" t="n"/>
      <c r="Y830" s="44" t="str">
        <f>IF($AC830&gt;0,INDEX(CASHBACK_RULES!$A$5:$A$304,$AC830),"")</f>
        <v/>
      </c>
      <c r="Z830" s="45" t="str">
        <f>IF($AC830&gt;0,INDEX(CASHBACK_RULES!$E$5:$E$304,$AC830)&amp;"","")</f>
        <v/>
      </c>
      <c r="AA830" s="48" t="str">
        <f>IF($AC830&gt;0,IF(ISNUMBER(INDEX(CASHBACK_RULES!$K$5:$K$304,$AC830)),INDEX(CASHBACK_RULES!$K$5:$K$304,$AC830),"∞"),"")</f>
        <v/>
      </c>
      <c r="AB830" s="44" t="str">
        <f>IF(OR($B830="",$D830=""),"",IF($U830="Cancelled","Đã hủy",IF($AC830=0,"Không được hoàn",IF($Q830=0,IF(OR($O830&gt;0,$M830&lt;$L830),"Đã đạt cap","Không được hoàn"),IF(OR($Q830&lt;$O830,$M830&lt;$L830),"Hoàn một phần","Được hoàn")))))</f>
        <v/>
      </c>
      <c r="AC830" s="43">
        <f>IF(OR($B830="",$D830="",$I830="",$L830=""),0,IF($U830="Cancelled",0,IF($W830&lt;&gt;"",IFERROR(IF(INDEX(CASHBACK_RULES!$B$5:$B$304,MATCH($W830,CASHBACK_RULES!$A$5:$A$304,0))=$D830,MATCH($W830,CASHBACK_RULES!$A$5:$A$304,0),0),0),IFERROR(MATCH(1,INDEX((CASHBACK_RULES!$B$5:$B$304=$D830)*(CASHBACK_RULES!$G$5:$G$304=$I830)*(((CASHBACK_RULES!$N$5:$N$304="")+(CASHBACK_RULES!$N$5:$N$304&lt;=$B830))&gt;0)*(((CASHBACK_RULES!$O$5:$O$304="")+(CASHBACK_RULES!$O$5:$O$304&gt;=$B830))&gt;0)*(((CASHBACK_RULES!$M$5:$M$304="")+(CASHBACK_RULES!$M$5:$M$304&lt;=$L830))&gt;0),0),0),0))))</f>
        <v>0</v>
      </c>
      <c r="AD830" s="51" t="str">
        <f>IF(OR($B830="",$D830=""),"",IFERROR(IF(INDEX(CARDS!$H$5:$H$34,MATCH($D830,CARDS!$A$5:$A$34,0))="","",IF(DAY($B830)&lt;=INDEX(CARDS!$H$5:$H$34,MATCH($D830,CARDS!$A$5:$A$34,0)),DATE(YEAR($B830),MONTH($B830),MIN(INDEX(CARDS!$H$5:$H$34,MATCH($D830,CARDS!$A$5:$A$34,0)),DAY(EOMONTH($B830,0)))),DATE(YEAR($B830),MONTH($B830)+1,MIN(INDEX(CARDS!$H$5:$H$34,MATCH($D830,CARDS!$A$5:$A$34,0)),DAY(EOMONTH($B830,1)))))),""))</f>
        <v/>
      </c>
      <c r="AE830" s="52" t="str">
        <f>IF($C830="","",$C830&amp;"|"&amp;COUNTIF($C$5:$C830,$C830))</f>
        <v/>
      </c>
      <c r="AF830" s="53">
        <f>IF($AC830&gt;0,SUMIFS(Q$4:Q829,$D$4:$D829,$D830,$Z$4:$Z829,$Z830,$C$4:$C829,$C830),0)</f>
        <v>0</v>
      </c>
      <c r="AG830" s="53">
        <f>IF($AC830&gt;0,SUMIFS(Q$4:Q829,$D$4:$D829,$D830,$C$4:$C829,$C830),0)</f>
        <v>0</v>
      </c>
      <c r="AH830" s="53">
        <f>IF($AC830&gt;0,SUMIFS(M$4:M829,$D$4:$D829,$D830,$Z$4:$Z829,$Z830,$C$4:$C829,$C830),0)</f>
        <v>0</v>
      </c>
      <c r="AI830" s="43">
        <f>IF(OR($C830="",$I830=""),0,IF(COUNTIFS($C$5:$C830,$C830,$I$5:$I830,$I830)=1,1,0))</f>
        <v>0</v>
      </c>
      <c r="AJ830" s="43" t="str">
        <f>IF($AI830=1,SUMIFS($AI$4:$AI829,$C$4:$C829,$C830)+1,"")</f>
        <v/>
      </c>
      <c r="AK830" s="43">
        <f>IF(OR($C830="",$K830=""),0,IF(COUNTIFS($C$5:$C830,$C830,$K$5:$K830,$K830)=1,1,0))</f>
        <v>0</v>
      </c>
      <c r="AL830" s="43" t="str">
        <f>IF($AK830=1,SUMIFS($AK$4:$AK829,$C$4:$C829,$C830)+1,"")</f>
        <v/>
      </c>
      <c r="AM830" s="43">
        <f>IF(OR($C830="",$G830=""),0,IF(COUNTIFS($C$5:$C830,$C830,$G$5:$G830,$G830)=1,1,0))</f>
        <v>0</v>
      </c>
      <c r="AN830" s="43" t="str">
        <f>IF($AM830=1,SUMIFS($AM$4:$AM829,$C$4:$C829,$C830)+1,"")</f>
        <v/>
      </c>
    </row>
    <row r="831">
      <c r="A831" s="44" t="str">
        <f>IF(OR($B831="",$D831=""),"","TX"&amp;TEXT(ROW()-4,"0000"))</f>
        <v/>
      </c>
      <c r="B831" s="42" t="n"/>
      <c r="C831" s="47" t="str">
        <f>IF($B831="","",YEAR($B831)*100+MONTH($B831))</f>
        <v/>
      </c>
      <c r="D831" s="37" t="n"/>
      <c r="E831" s="45" t="str">
        <f>IF($D831="","",IFERROR(INDEX(CARDS!$B$5:$B$34,MATCH($D831,CARDS!$A$5:$A$34,0)),"⚠ Card ID?"))</f>
        <v/>
      </c>
      <c r="F831" s="45" t="str">
        <f>IF($D831="","",IFERROR(INDEX(CARDS!$C$5:$C$34,MATCH($D831,CARDS!$A$5:$A$34,0)),"⚠ Card ID?"))</f>
        <v/>
      </c>
      <c r="G831" s="37" t="n"/>
      <c r="H831" s="37" t="n"/>
      <c r="I831" s="41" t="n"/>
      <c r="J831" s="45" t="str">
        <f>IF($I831="","",IFERROR(INDEX(MCC_MASTER!$B$5:$B$504,MATCH($I831,MCC_MASTER!$A$5:$A$504,0)),"⚠ MCC chưa có"))</f>
        <v/>
      </c>
      <c r="K831" s="45" t="str">
        <f>IF($I831="","",IFERROR(IF(INDEX(MCC_MASTER!$C$5:$C$504,MATCH($I831,MCC_MASTER!$A$5:$A$504,0))="","Chưa phân loại",INDEX(MCC_MASTER!$C$5:$C$504,MATCH($I831,MCC_MASTER!$A$5:$A$504,0))),"Chưa phân loại"))</f>
        <v/>
      </c>
      <c r="L831" s="40" t="n"/>
      <c r="M831" s="48" t="str">
        <f>IF(OR($B831="",$D831=""),"",IF($AC831=0,0,IF(ISNUMBER(INDEX(CASHBACK_RULES!$L$5:$L$304,$AC831)),MAX(0,MIN($L831,INDEX(CASHBACK_RULES!$L$5:$L$304,$AC831)-$AH831)),MAX(0,$L831))))</f>
        <v/>
      </c>
      <c r="N831" s="49" t="str">
        <f>IF(OR($B831="",$D831=""),"",IF($AC831&gt;0,INDEX(CASHBACK_RULES!$I$5:$I$304,$AC831),0))</f>
        <v/>
      </c>
      <c r="O831" s="48" t="str">
        <f>IF(OR($B831="",$D831=""),"",ROUND($M831*$N831,0))</f>
        <v/>
      </c>
      <c r="P831" s="48" t="str">
        <f>IF($AC831&gt;0,IF(ISNUMBER(INDEX(CASHBACK_RULES!$J$5:$J$304,$AC831)),INDEX(CASHBACK_RULES!$J$5:$J$304,$AC831),"∞"),"")</f>
        <v/>
      </c>
      <c r="Q831" s="48" t="str">
        <f>IF(OR($B831="",$D831=""),"",IF($AC831=0,0,MAX(0,MIN($O831,IF(ISNUMBER($P831),$P831-$AF831,1E+15),IF(ISNUMBER($AA831),$AA831-$AG831,1E+15)))))</f>
        <v/>
      </c>
      <c r="R831" s="48" t="str">
        <f>IF(OR($B831="",$D831=""),"",IF($AC831=0,"",IF(AND(NOT(ISNUMBER($P831)),NOT(ISNUMBER($AA831))),"∞",MAX(0,MIN(IF(ISNUMBER($P831),$P831-$AF831-$Q831,1E+15),IF(ISNUMBER($AA831),$AA831-$AG831-$Q831,1E+15))))))</f>
        <v/>
      </c>
      <c r="S831" s="47" t="str">
        <f>IF($AD831="","",YEAR($AD831)*100+MONTH($AD831))</f>
        <v/>
      </c>
      <c r="T831" s="50" t="str">
        <f>IF($AD831="","",IFERROR(IF(INDEX(CARDS!$I$5:$I$34,MATCH($D831,CARDS!$A$5:$A$34,0))="","",IF(INDEX(CARDS!$I$5:$I$34,MATCH($D831,CARDS!$A$5:$A$34,0))&gt;INDEX(CARDS!$H$5:$H$34,MATCH($D831,CARDS!$A$5:$A$34,0)),DATE(YEAR($AD831),MONTH($AD831),MIN(INDEX(CARDS!$I$5:$I$34,MATCH($D831,CARDS!$A$5:$A$34,0)),DAY(EOMONTH($AD831,0)))),DATE(YEAR($AD831),MONTH($AD831)+1,MIN(INDEX(CARDS!$I$5:$I$34,MATCH($D831,CARDS!$A$5:$A$34,0)),DAY(EOMONTH($AD831,1)))))),""))</f>
        <v/>
      </c>
      <c r="U831" s="38" t="n"/>
      <c r="V831" s="37" t="n"/>
      <c r="W831" s="38" t="n"/>
      <c r="X831" s="38" t="n"/>
      <c r="Y831" s="44" t="str">
        <f>IF($AC831&gt;0,INDEX(CASHBACK_RULES!$A$5:$A$304,$AC831),"")</f>
        <v/>
      </c>
      <c r="Z831" s="45" t="str">
        <f>IF($AC831&gt;0,INDEX(CASHBACK_RULES!$E$5:$E$304,$AC831)&amp;"","")</f>
        <v/>
      </c>
      <c r="AA831" s="48" t="str">
        <f>IF($AC831&gt;0,IF(ISNUMBER(INDEX(CASHBACK_RULES!$K$5:$K$304,$AC831)),INDEX(CASHBACK_RULES!$K$5:$K$304,$AC831),"∞"),"")</f>
        <v/>
      </c>
      <c r="AB831" s="44" t="str">
        <f>IF(OR($B831="",$D831=""),"",IF($U831="Cancelled","Đã hủy",IF($AC831=0,"Không được hoàn",IF($Q831=0,IF(OR($O831&gt;0,$M831&lt;$L831),"Đã đạt cap","Không được hoàn"),IF(OR($Q831&lt;$O831,$M831&lt;$L831),"Hoàn một phần","Được hoàn")))))</f>
        <v/>
      </c>
      <c r="AC831" s="43">
        <f>IF(OR($B831="",$D831="",$I831="",$L831=""),0,IF($U831="Cancelled",0,IF($W831&lt;&gt;"",IFERROR(IF(INDEX(CASHBACK_RULES!$B$5:$B$304,MATCH($W831,CASHBACK_RULES!$A$5:$A$304,0))=$D831,MATCH($W831,CASHBACK_RULES!$A$5:$A$304,0),0),0),IFERROR(MATCH(1,INDEX((CASHBACK_RULES!$B$5:$B$304=$D831)*(CASHBACK_RULES!$G$5:$G$304=$I831)*(((CASHBACK_RULES!$N$5:$N$304="")+(CASHBACK_RULES!$N$5:$N$304&lt;=$B831))&gt;0)*(((CASHBACK_RULES!$O$5:$O$304="")+(CASHBACK_RULES!$O$5:$O$304&gt;=$B831))&gt;0)*(((CASHBACK_RULES!$M$5:$M$304="")+(CASHBACK_RULES!$M$5:$M$304&lt;=$L831))&gt;0),0),0),0))))</f>
        <v>0</v>
      </c>
      <c r="AD831" s="51" t="str">
        <f>IF(OR($B831="",$D831=""),"",IFERROR(IF(INDEX(CARDS!$H$5:$H$34,MATCH($D831,CARDS!$A$5:$A$34,0))="","",IF(DAY($B831)&lt;=INDEX(CARDS!$H$5:$H$34,MATCH($D831,CARDS!$A$5:$A$34,0)),DATE(YEAR($B831),MONTH($B831),MIN(INDEX(CARDS!$H$5:$H$34,MATCH($D831,CARDS!$A$5:$A$34,0)),DAY(EOMONTH($B831,0)))),DATE(YEAR($B831),MONTH($B831)+1,MIN(INDEX(CARDS!$H$5:$H$34,MATCH($D831,CARDS!$A$5:$A$34,0)),DAY(EOMONTH($B831,1)))))),""))</f>
        <v/>
      </c>
      <c r="AE831" s="52" t="str">
        <f>IF($C831="","",$C831&amp;"|"&amp;COUNTIF($C$5:$C831,$C831))</f>
        <v/>
      </c>
      <c r="AF831" s="53">
        <f>IF($AC831&gt;0,SUMIFS(Q$4:Q830,$D$4:$D830,$D831,$Z$4:$Z830,$Z831,$C$4:$C830,$C831),0)</f>
        <v>0</v>
      </c>
      <c r="AG831" s="53">
        <f>IF($AC831&gt;0,SUMIFS(Q$4:Q830,$D$4:$D830,$D831,$C$4:$C830,$C831),0)</f>
        <v>0</v>
      </c>
      <c r="AH831" s="53">
        <f>IF($AC831&gt;0,SUMIFS(M$4:M830,$D$4:$D830,$D831,$Z$4:$Z830,$Z831,$C$4:$C830,$C831),0)</f>
        <v>0</v>
      </c>
      <c r="AI831" s="43">
        <f>IF(OR($C831="",$I831=""),0,IF(COUNTIFS($C$5:$C831,$C831,$I$5:$I831,$I831)=1,1,0))</f>
        <v>0</v>
      </c>
      <c r="AJ831" s="43" t="str">
        <f>IF($AI831=1,SUMIFS($AI$4:$AI830,$C$4:$C830,$C831)+1,"")</f>
        <v/>
      </c>
      <c r="AK831" s="43">
        <f>IF(OR($C831="",$K831=""),0,IF(COUNTIFS($C$5:$C831,$C831,$K$5:$K831,$K831)=1,1,0))</f>
        <v>0</v>
      </c>
      <c r="AL831" s="43" t="str">
        <f>IF($AK831=1,SUMIFS($AK$4:$AK830,$C$4:$C830,$C831)+1,"")</f>
        <v/>
      </c>
      <c r="AM831" s="43">
        <f>IF(OR($C831="",$G831=""),0,IF(COUNTIFS($C$5:$C831,$C831,$G$5:$G831,$G831)=1,1,0))</f>
        <v>0</v>
      </c>
      <c r="AN831" s="43" t="str">
        <f>IF($AM831=1,SUMIFS($AM$4:$AM830,$C$4:$C830,$C831)+1,"")</f>
        <v/>
      </c>
    </row>
    <row r="832">
      <c r="A832" s="44" t="str">
        <f>IF(OR($B832="",$D832=""),"","TX"&amp;TEXT(ROW()-4,"0000"))</f>
        <v/>
      </c>
      <c r="B832" s="42" t="n"/>
      <c r="C832" s="47" t="str">
        <f>IF($B832="","",YEAR($B832)*100+MONTH($B832))</f>
        <v/>
      </c>
      <c r="D832" s="37" t="n"/>
      <c r="E832" s="45" t="str">
        <f>IF($D832="","",IFERROR(INDEX(CARDS!$B$5:$B$34,MATCH($D832,CARDS!$A$5:$A$34,0)),"⚠ Card ID?"))</f>
        <v/>
      </c>
      <c r="F832" s="45" t="str">
        <f>IF($D832="","",IFERROR(INDEX(CARDS!$C$5:$C$34,MATCH($D832,CARDS!$A$5:$A$34,0)),"⚠ Card ID?"))</f>
        <v/>
      </c>
      <c r="G832" s="37" t="n"/>
      <c r="H832" s="37" t="n"/>
      <c r="I832" s="41" t="n"/>
      <c r="J832" s="45" t="str">
        <f>IF($I832="","",IFERROR(INDEX(MCC_MASTER!$B$5:$B$504,MATCH($I832,MCC_MASTER!$A$5:$A$504,0)),"⚠ MCC chưa có"))</f>
        <v/>
      </c>
      <c r="K832" s="45" t="str">
        <f>IF($I832="","",IFERROR(IF(INDEX(MCC_MASTER!$C$5:$C$504,MATCH($I832,MCC_MASTER!$A$5:$A$504,0))="","Chưa phân loại",INDEX(MCC_MASTER!$C$5:$C$504,MATCH($I832,MCC_MASTER!$A$5:$A$504,0))),"Chưa phân loại"))</f>
        <v/>
      </c>
      <c r="L832" s="40" t="n"/>
      <c r="M832" s="48" t="str">
        <f>IF(OR($B832="",$D832=""),"",IF($AC832=0,0,IF(ISNUMBER(INDEX(CASHBACK_RULES!$L$5:$L$304,$AC832)),MAX(0,MIN($L832,INDEX(CASHBACK_RULES!$L$5:$L$304,$AC832)-$AH832)),MAX(0,$L832))))</f>
        <v/>
      </c>
      <c r="N832" s="49" t="str">
        <f>IF(OR($B832="",$D832=""),"",IF($AC832&gt;0,INDEX(CASHBACK_RULES!$I$5:$I$304,$AC832),0))</f>
        <v/>
      </c>
      <c r="O832" s="48" t="str">
        <f>IF(OR($B832="",$D832=""),"",ROUND($M832*$N832,0))</f>
        <v/>
      </c>
      <c r="P832" s="48" t="str">
        <f>IF($AC832&gt;0,IF(ISNUMBER(INDEX(CASHBACK_RULES!$J$5:$J$304,$AC832)),INDEX(CASHBACK_RULES!$J$5:$J$304,$AC832),"∞"),"")</f>
        <v/>
      </c>
      <c r="Q832" s="48" t="str">
        <f>IF(OR($B832="",$D832=""),"",IF($AC832=0,0,MAX(0,MIN($O832,IF(ISNUMBER($P832),$P832-$AF832,1E+15),IF(ISNUMBER($AA832),$AA832-$AG832,1E+15)))))</f>
        <v/>
      </c>
      <c r="R832" s="48" t="str">
        <f>IF(OR($B832="",$D832=""),"",IF($AC832=0,"",IF(AND(NOT(ISNUMBER($P832)),NOT(ISNUMBER($AA832))),"∞",MAX(0,MIN(IF(ISNUMBER($P832),$P832-$AF832-$Q832,1E+15),IF(ISNUMBER($AA832),$AA832-$AG832-$Q832,1E+15))))))</f>
        <v/>
      </c>
      <c r="S832" s="47" t="str">
        <f>IF($AD832="","",YEAR($AD832)*100+MONTH($AD832))</f>
        <v/>
      </c>
      <c r="T832" s="50" t="str">
        <f>IF($AD832="","",IFERROR(IF(INDEX(CARDS!$I$5:$I$34,MATCH($D832,CARDS!$A$5:$A$34,0))="","",IF(INDEX(CARDS!$I$5:$I$34,MATCH($D832,CARDS!$A$5:$A$34,0))&gt;INDEX(CARDS!$H$5:$H$34,MATCH($D832,CARDS!$A$5:$A$34,0)),DATE(YEAR($AD832),MONTH($AD832),MIN(INDEX(CARDS!$I$5:$I$34,MATCH($D832,CARDS!$A$5:$A$34,0)),DAY(EOMONTH($AD832,0)))),DATE(YEAR($AD832),MONTH($AD832)+1,MIN(INDEX(CARDS!$I$5:$I$34,MATCH($D832,CARDS!$A$5:$A$34,0)),DAY(EOMONTH($AD832,1)))))),""))</f>
        <v/>
      </c>
      <c r="U832" s="38" t="n"/>
      <c r="V832" s="37" t="n"/>
      <c r="W832" s="38" t="n"/>
      <c r="X832" s="38" t="n"/>
      <c r="Y832" s="44" t="str">
        <f>IF($AC832&gt;0,INDEX(CASHBACK_RULES!$A$5:$A$304,$AC832),"")</f>
        <v/>
      </c>
      <c r="Z832" s="45" t="str">
        <f>IF($AC832&gt;0,INDEX(CASHBACK_RULES!$E$5:$E$304,$AC832)&amp;"","")</f>
        <v/>
      </c>
      <c r="AA832" s="48" t="str">
        <f>IF($AC832&gt;0,IF(ISNUMBER(INDEX(CASHBACK_RULES!$K$5:$K$304,$AC832)),INDEX(CASHBACK_RULES!$K$5:$K$304,$AC832),"∞"),"")</f>
        <v/>
      </c>
      <c r="AB832" s="44" t="str">
        <f>IF(OR($B832="",$D832=""),"",IF($U832="Cancelled","Đã hủy",IF($AC832=0,"Không được hoàn",IF($Q832=0,IF(OR($O832&gt;0,$M832&lt;$L832),"Đã đạt cap","Không được hoàn"),IF(OR($Q832&lt;$O832,$M832&lt;$L832),"Hoàn một phần","Được hoàn")))))</f>
        <v/>
      </c>
      <c r="AC832" s="43">
        <f>IF(OR($B832="",$D832="",$I832="",$L832=""),0,IF($U832="Cancelled",0,IF($W832&lt;&gt;"",IFERROR(IF(INDEX(CASHBACK_RULES!$B$5:$B$304,MATCH($W832,CASHBACK_RULES!$A$5:$A$304,0))=$D832,MATCH($W832,CASHBACK_RULES!$A$5:$A$304,0),0),0),IFERROR(MATCH(1,INDEX((CASHBACK_RULES!$B$5:$B$304=$D832)*(CASHBACK_RULES!$G$5:$G$304=$I832)*(((CASHBACK_RULES!$N$5:$N$304="")+(CASHBACK_RULES!$N$5:$N$304&lt;=$B832))&gt;0)*(((CASHBACK_RULES!$O$5:$O$304="")+(CASHBACK_RULES!$O$5:$O$304&gt;=$B832))&gt;0)*(((CASHBACK_RULES!$M$5:$M$304="")+(CASHBACK_RULES!$M$5:$M$304&lt;=$L832))&gt;0),0),0),0))))</f>
        <v>0</v>
      </c>
      <c r="AD832" s="51" t="str">
        <f>IF(OR($B832="",$D832=""),"",IFERROR(IF(INDEX(CARDS!$H$5:$H$34,MATCH($D832,CARDS!$A$5:$A$34,0))="","",IF(DAY($B832)&lt;=INDEX(CARDS!$H$5:$H$34,MATCH($D832,CARDS!$A$5:$A$34,0)),DATE(YEAR($B832),MONTH($B832),MIN(INDEX(CARDS!$H$5:$H$34,MATCH($D832,CARDS!$A$5:$A$34,0)),DAY(EOMONTH($B832,0)))),DATE(YEAR($B832),MONTH($B832)+1,MIN(INDEX(CARDS!$H$5:$H$34,MATCH($D832,CARDS!$A$5:$A$34,0)),DAY(EOMONTH($B832,1)))))),""))</f>
        <v/>
      </c>
      <c r="AE832" s="52" t="str">
        <f>IF($C832="","",$C832&amp;"|"&amp;COUNTIF($C$5:$C832,$C832))</f>
        <v/>
      </c>
      <c r="AF832" s="53">
        <f>IF($AC832&gt;0,SUMIFS(Q$4:Q831,$D$4:$D831,$D832,$Z$4:$Z831,$Z832,$C$4:$C831,$C832),0)</f>
        <v>0</v>
      </c>
      <c r="AG832" s="53">
        <f>IF($AC832&gt;0,SUMIFS(Q$4:Q831,$D$4:$D831,$D832,$C$4:$C831,$C832),0)</f>
        <v>0</v>
      </c>
      <c r="AH832" s="53">
        <f>IF($AC832&gt;0,SUMIFS(M$4:M831,$D$4:$D831,$D832,$Z$4:$Z831,$Z832,$C$4:$C831,$C832),0)</f>
        <v>0</v>
      </c>
      <c r="AI832" s="43">
        <f>IF(OR($C832="",$I832=""),0,IF(COUNTIFS($C$5:$C832,$C832,$I$5:$I832,$I832)=1,1,0))</f>
        <v>0</v>
      </c>
      <c r="AJ832" s="43" t="str">
        <f>IF($AI832=1,SUMIFS($AI$4:$AI831,$C$4:$C831,$C832)+1,"")</f>
        <v/>
      </c>
      <c r="AK832" s="43">
        <f>IF(OR($C832="",$K832=""),0,IF(COUNTIFS($C$5:$C832,$C832,$K$5:$K832,$K832)=1,1,0))</f>
        <v>0</v>
      </c>
      <c r="AL832" s="43" t="str">
        <f>IF($AK832=1,SUMIFS($AK$4:$AK831,$C$4:$C831,$C832)+1,"")</f>
        <v/>
      </c>
      <c r="AM832" s="43">
        <f>IF(OR($C832="",$G832=""),0,IF(COUNTIFS($C$5:$C832,$C832,$G$5:$G832,$G832)=1,1,0))</f>
        <v>0</v>
      </c>
      <c r="AN832" s="43" t="str">
        <f>IF($AM832=1,SUMIFS($AM$4:$AM831,$C$4:$C831,$C832)+1,"")</f>
        <v/>
      </c>
    </row>
    <row r="833">
      <c r="A833" s="44" t="str">
        <f>IF(OR($B833="",$D833=""),"","TX"&amp;TEXT(ROW()-4,"0000"))</f>
        <v/>
      </c>
      <c r="B833" s="42" t="n"/>
      <c r="C833" s="47" t="str">
        <f>IF($B833="","",YEAR($B833)*100+MONTH($B833))</f>
        <v/>
      </c>
      <c r="D833" s="37" t="n"/>
      <c r="E833" s="45" t="str">
        <f>IF($D833="","",IFERROR(INDEX(CARDS!$B$5:$B$34,MATCH($D833,CARDS!$A$5:$A$34,0)),"⚠ Card ID?"))</f>
        <v/>
      </c>
      <c r="F833" s="45" t="str">
        <f>IF($D833="","",IFERROR(INDEX(CARDS!$C$5:$C$34,MATCH($D833,CARDS!$A$5:$A$34,0)),"⚠ Card ID?"))</f>
        <v/>
      </c>
      <c r="G833" s="37" t="n"/>
      <c r="H833" s="37" t="n"/>
      <c r="I833" s="41" t="n"/>
      <c r="J833" s="45" t="str">
        <f>IF($I833="","",IFERROR(INDEX(MCC_MASTER!$B$5:$B$504,MATCH($I833,MCC_MASTER!$A$5:$A$504,0)),"⚠ MCC chưa có"))</f>
        <v/>
      </c>
      <c r="K833" s="45" t="str">
        <f>IF($I833="","",IFERROR(IF(INDEX(MCC_MASTER!$C$5:$C$504,MATCH($I833,MCC_MASTER!$A$5:$A$504,0))="","Chưa phân loại",INDEX(MCC_MASTER!$C$5:$C$504,MATCH($I833,MCC_MASTER!$A$5:$A$504,0))),"Chưa phân loại"))</f>
        <v/>
      </c>
      <c r="L833" s="40" t="n"/>
      <c r="M833" s="48" t="str">
        <f>IF(OR($B833="",$D833=""),"",IF($AC833=0,0,IF(ISNUMBER(INDEX(CASHBACK_RULES!$L$5:$L$304,$AC833)),MAX(0,MIN($L833,INDEX(CASHBACK_RULES!$L$5:$L$304,$AC833)-$AH833)),MAX(0,$L833))))</f>
        <v/>
      </c>
      <c r="N833" s="49" t="str">
        <f>IF(OR($B833="",$D833=""),"",IF($AC833&gt;0,INDEX(CASHBACK_RULES!$I$5:$I$304,$AC833),0))</f>
        <v/>
      </c>
      <c r="O833" s="48" t="str">
        <f>IF(OR($B833="",$D833=""),"",ROUND($M833*$N833,0))</f>
        <v/>
      </c>
      <c r="P833" s="48" t="str">
        <f>IF($AC833&gt;0,IF(ISNUMBER(INDEX(CASHBACK_RULES!$J$5:$J$304,$AC833)),INDEX(CASHBACK_RULES!$J$5:$J$304,$AC833),"∞"),"")</f>
        <v/>
      </c>
      <c r="Q833" s="48" t="str">
        <f>IF(OR($B833="",$D833=""),"",IF($AC833=0,0,MAX(0,MIN($O833,IF(ISNUMBER($P833),$P833-$AF833,1E+15),IF(ISNUMBER($AA833),$AA833-$AG833,1E+15)))))</f>
        <v/>
      </c>
      <c r="R833" s="48" t="str">
        <f>IF(OR($B833="",$D833=""),"",IF($AC833=0,"",IF(AND(NOT(ISNUMBER($P833)),NOT(ISNUMBER($AA833))),"∞",MAX(0,MIN(IF(ISNUMBER($P833),$P833-$AF833-$Q833,1E+15),IF(ISNUMBER($AA833),$AA833-$AG833-$Q833,1E+15))))))</f>
        <v/>
      </c>
      <c r="S833" s="47" t="str">
        <f>IF($AD833="","",YEAR($AD833)*100+MONTH($AD833))</f>
        <v/>
      </c>
      <c r="T833" s="50" t="str">
        <f>IF($AD833="","",IFERROR(IF(INDEX(CARDS!$I$5:$I$34,MATCH($D833,CARDS!$A$5:$A$34,0))="","",IF(INDEX(CARDS!$I$5:$I$34,MATCH($D833,CARDS!$A$5:$A$34,0))&gt;INDEX(CARDS!$H$5:$H$34,MATCH($D833,CARDS!$A$5:$A$34,0)),DATE(YEAR($AD833),MONTH($AD833),MIN(INDEX(CARDS!$I$5:$I$34,MATCH($D833,CARDS!$A$5:$A$34,0)),DAY(EOMONTH($AD833,0)))),DATE(YEAR($AD833),MONTH($AD833)+1,MIN(INDEX(CARDS!$I$5:$I$34,MATCH($D833,CARDS!$A$5:$A$34,0)),DAY(EOMONTH($AD833,1)))))),""))</f>
        <v/>
      </c>
      <c r="U833" s="38" t="n"/>
      <c r="V833" s="37" t="n"/>
      <c r="W833" s="38" t="n"/>
      <c r="X833" s="38" t="n"/>
      <c r="Y833" s="44" t="str">
        <f>IF($AC833&gt;0,INDEX(CASHBACK_RULES!$A$5:$A$304,$AC833),"")</f>
        <v/>
      </c>
      <c r="Z833" s="45" t="str">
        <f>IF($AC833&gt;0,INDEX(CASHBACK_RULES!$E$5:$E$304,$AC833)&amp;"","")</f>
        <v/>
      </c>
      <c r="AA833" s="48" t="str">
        <f>IF($AC833&gt;0,IF(ISNUMBER(INDEX(CASHBACK_RULES!$K$5:$K$304,$AC833)),INDEX(CASHBACK_RULES!$K$5:$K$304,$AC833),"∞"),"")</f>
        <v/>
      </c>
      <c r="AB833" s="44" t="str">
        <f>IF(OR($B833="",$D833=""),"",IF($U833="Cancelled","Đã hủy",IF($AC833=0,"Không được hoàn",IF($Q833=0,IF(OR($O833&gt;0,$M833&lt;$L833),"Đã đạt cap","Không được hoàn"),IF(OR($Q833&lt;$O833,$M833&lt;$L833),"Hoàn một phần","Được hoàn")))))</f>
        <v/>
      </c>
      <c r="AC833" s="43">
        <f>IF(OR($B833="",$D833="",$I833="",$L833=""),0,IF($U833="Cancelled",0,IF($W833&lt;&gt;"",IFERROR(IF(INDEX(CASHBACK_RULES!$B$5:$B$304,MATCH($W833,CASHBACK_RULES!$A$5:$A$304,0))=$D833,MATCH($W833,CASHBACK_RULES!$A$5:$A$304,0),0),0),IFERROR(MATCH(1,INDEX((CASHBACK_RULES!$B$5:$B$304=$D833)*(CASHBACK_RULES!$G$5:$G$304=$I833)*(((CASHBACK_RULES!$N$5:$N$304="")+(CASHBACK_RULES!$N$5:$N$304&lt;=$B833))&gt;0)*(((CASHBACK_RULES!$O$5:$O$304="")+(CASHBACK_RULES!$O$5:$O$304&gt;=$B833))&gt;0)*(((CASHBACK_RULES!$M$5:$M$304="")+(CASHBACK_RULES!$M$5:$M$304&lt;=$L833))&gt;0),0),0),0))))</f>
        <v>0</v>
      </c>
      <c r="AD833" s="51" t="str">
        <f>IF(OR($B833="",$D833=""),"",IFERROR(IF(INDEX(CARDS!$H$5:$H$34,MATCH($D833,CARDS!$A$5:$A$34,0))="","",IF(DAY($B833)&lt;=INDEX(CARDS!$H$5:$H$34,MATCH($D833,CARDS!$A$5:$A$34,0)),DATE(YEAR($B833),MONTH($B833),MIN(INDEX(CARDS!$H$5:$H$34,MATCH($D833,CARDS!$A$5:$A$34,0)),DAY(EOMONTH($B833,0)))),DATE(YEAR($B833),MONTH($B833)+1,MIN(INDEX(CARDS!$H$5:$H$34,MATCH($D833,CARDS!$A$5:$A$34,0)),DAY(EOMONTH($B833,1)))))),""))</f>
        <v/>
      </c>
      <c r="AE833" s="52" t="str">
        <f>IF($C833="","",$C833&amp;"|"&amp;COUNTIF($C$5:$C833,$C833))</f>
        <v/>
      </c>
      <c r="AF833" s="53">
        <f>IF($AC833&gt;0,SUMIFS(Q$4:Q832,$D$4:$D832,$D833,$Z$4:$Z832,$Z833,$C$4:$C832,$C833),0)</f>
        <v>0</v>
      </c>
      <c r="AG833" s="53">
        <f>IF($AC833&gt;0,SUMIFS(Q$4:Q832,$D$4:$D832,$D833,$C$4:$C832,$C833),0)</f>
        <v>0</v>
      </c>
      <c r="AH833" s="53">
        <f>IF($AC833&gt;0,SUMIFS(M$4:M832,$D$4:$D832,$D833,$Z$4:$Z832,$Z833,$C$4:$C832,$C833),0)</f>
        <v>0</v>
      </c>
      <c r="AI833" s="43">
        <f>IF(OR($C833="",$I833=""),0,IF(COUNTIFS($C$5:$C833,$C833,$I$5:$I833,$I833)=1,1,0))</f>
        <v>0</v>
      </c>
      <c r="AJ833" s="43" t="str">
        <f>IF($AI833=1,SUMIFS($AI$4:$AI832,$C$4:$C832,$C833)+1,"")</f>
        <v/>
      </c>
      <c r="AK833" s="43">
        <f>IF(OR($C833="",$K833=""),0,IF(COUNTIFS($C$5:$C833,$C833,$K$5:$K833,$K833)=1,1,0))</f>
        <v>0</v>
      </c>
      <c r="AL833" s="43" t="str">
        <f>IF($AK833=1,SUMIFS($AK$4:$AK832,$C$4:$C832,$C833)+1,"")</f>
        <v/>
      </c>
      <c r="AM833" s="43">
        <f>IF(OR($C833="",$G833=""),0,IF(COUNTIFS($C$5:$C833,$C833,$G$5:$G833,$G833)=1,1,0))</f>
        <v>0</v>
      </c>
      <c r="AN833" s="43" t="str">
        <f>IF($AM833=1,SUMIFS($AM$4:$AM832,$C$4:$C832,$C833)+1,"")</f>
        <v/>
      </c>
    </row>
    <row r="834">
      <c r="A834" s="44" t="str">
        <f>IF(OR($B834="",$D834=""),"","TX"&amp;TEXT(ROW()-4,"0000"))</f>
        <v/>
      </c>
      <c r="B834" s="42" t="n"/>
      <c r="C834" s="47" t="str">
        <f>IF($B834="","",YEAR($B834)*100+MONTH($B834))</f>
        <v/>
      </c>
      <c r="D834" s="37" t="n"/>
      <c r="E834" s="45" t="str">
        <f>IF($D834="","",IFERROR(INDEX(CARDS!$B$5:$B$34,MATCH($D834,CARDS!$A$5:$A$34,0)),"⚠ Card ID?"))</f>
        <v/>
      </c>
      <c r="F834" s="45" t="str">
        <f>IF($D834="","",IFERROR(INDEX(CARDS!$C$5:$C$34,MATCH($D834,CARDS!$A$5:$A$34,0)),"⚠ Card ID?"))</f>
        <v/>
      </c>
      <c r="G834" s="37" t="n"/>
      <c r="H834" s="37" t="n"/>
      <c r="I834" s="41" t="n"/>
      <c r="J834" s="45" t="str">
        <f>IF($I834="","",IFERROR(INDEX(MCC_MASTER!$B$5:$B$504,MATCH($I834,MCC_MASTER!$A$5:$A$504,0)),"⚠ MCC chưa có"))</f>
        <v/>
      </c>
      <c r="K834" s="45" t="str">
        <f>IF($I834="","",IFERROR(IF(INDEX(MCC_MASTER!$C$5:$C$504,MATCH($I834,MCC_MASTER!$A$5:$A$504,0))="","Chưa phân loại",INDEX(MCC_MASTER!$C$5:$C$504,MATCH($I834,MCC_MASTER!$A$5:$A$504,0))),"Chưa phân loại"))</f>
        <v/>
      </c>
      <c r="L834" s="40" t="n"/>
      <c r="M834" s="48" t="str">
        <f>IF(OR($B834="",$D834=""),"",IF($AC834=0,0,IF(ISNUMBER(INDEX(CASHBACK_RULES!$L$5:$L$304,$AC834)),MAX(0,MIN($L834,INDEX(CASHBACK_RULES!$L$5:$L$304,$AC834)-$AH834)),MAX(0,$L834))))</f>
        <v/>
      </c>
      <c r="N834" s="49" t="str">
        <f>IF(OR($B834="",$D834=""),"",IF($AC834&gt;0,INDEX(CASHBACK_RULES!$I$5:$I$304,$AC834),0))</f>
        <v/>
      </c>
      <c r="O834" s="48" t="str">
        <f>IF(OR($B834="",$D834=""),"",ROUND($M834*$N834,0))</f>
        <v/>
      </c>
      <c r="P834" s="48" t="str">
        <f>IF($AC834&gt;0,IF(ISNUMBER(INDEX(CASHBACK_RULES!$J$5:$J$304,$AC834)),INDEX(CASHBACK_RULES!$J$5:$J$304,$AC834),"∞"),"")</f>
        <v/>
      </c>
      <c r="Q834" s="48" t="str">
        <f>IF(OR($B834="",$D834=""),"",IF($AC834=0,0,MAX(0,MIN($O834,IF(ISNUMBER($P834),$P834-$AF834,1E+15),IF(ISNUMBER($AA834),$AA834-$AG834,1E+15)))))</f>
        <v/>
      </c>
      <c r="R834" s="48" t="str">
        <f>IF(OR($B834="",$D834=""),"",IF($AC834=0,"",IF(AND(NOT(ISNUMBER($P834)),NOT(ISNUMBER($AA834))),"∞",MAX(0,MIN(IF(ISNUMBER($P834),$P834-$AF834-$Q834,1E+15),IF(ISNUMBER($AA834),$AA834-$AG834-$Q834,1E+15))))))</f>
        <v/>
      </c>
      <c r="S834" s="47" t="str">
        <f>IF($AD834="","",YEAR($AD834)*100+MONTH($AD834))</f>
        <v/>
      </c>
      <c r="T834" s="50" t="str">
        <f>IF($AD834="","",IFERROR(IF(INDEX(CARDS!$I$5:$I$34,MATCH($D834,CARDS!$A$5:$A$34,0))="","",IF(INDEX(CARDS!$I$5:$I$34,MATCH($D834,CARDS!$A$5:$A$34,0))&gt;INDEX(CARDS!$H$5:$H$34,MATCH($D834,CARDS!$A$5:$A$34,0)),DATE(YEAR($AD834),MONTH($AD834),MIN(INDEX(CARDS!$I$5:$I$34,MATCH($D834,CARDS!$A$5:$A$34,0)),DAY(EOMONTH($AD834,0)))),DATE(YEAR($AD834),MONTH($AD834)+1,MIN(INDEX(CARDS!$I$5:$I$34,MATCH($D834,CARDS!$A$5:$A$34,0)),DAY(EOMONTH($AD834,1)))))),""))</f>
        <v/>
      </c>
      <c r="U834" s="38" t="n"/>
      <c r="V834" s="37" t="n"/>
      <c r="W834" s="38" t="n"/>
      <c r="X834" s="38" t="n"/>
      <c r="Y834" s="44" t="str">
        <f>IF($AC834&gt;0,INDEX(CASHBACK_RULES!$A$5:$A$304,$AC834),"")</f>
        <v/>
      </c>
      <c r="Z834" s="45" t="str">
        <f>IF($AC834&gt;0,INDEX(CASHBACK_RULES!$E$5:$E$304,$AC834)&amp;"","")</f>
        <v/>
      </c>
      <c r="AA834" s="48" t="str">
        <f>IF($AC834&gt;0,IF(ISNUMBER(INDEX(CASHBACK_RULES!$K$5:$K$304,$AC834)),INDEX(CASHBACK_RULES!$K$5:$K$304,$AC834),"∞"),"")</f>
        <v/>
      </c>
      <c r="AB834" s="44" t="str">
        <f>IF(OR($B834="",$D834=""),"",IF($U834="Cancelled","Đã hủy",IF($AC834=0,"Không được hoàn",IF($Q834=0,IF(OR($O834&gt;0,$M834&lt;$L834),"Đã đạt cap","Không được hoàn"),IF(OR($Q834&lt;$O834,$M834&lt;$L834),"Hoàn một phần","Được hoàn")))))</f>
        <v/>
      </c>
      <c r="AC834" s="43">
        <f>IF(OR($B834="",$D834="",$I834="",$L834=""),0,IF($U834="Cancelled",0,IF($W834&lt;&gt;"",IFERROR(IF(INDEX(CASHBACK_RULES!$B$5:$B$304,MATCH($W834,CASHBACK_RULES!$A$5:$A$304,0))=$D834,MATCH($W834,CASHBACK_RULES!$A$5:$A$304,0),0),0),IFERROR(MATCH(1,INDEX((CASHBACK_RULES!$B$5:$B$304=$D834)*(CASHBACK_RULES!$G$5:$G$304=$I834)*(((CASHBACK_RULES!$N$5:$N$304="")+(CASHBACK_RULES!$N$5:$N$304&lt;=$B834))&gt;0)*(((CASHBACK_RULES!$O$5:$O$304="")+(CASHBACK_RULES!$O$5:$O$304&gt;=$B834))&gt;0)*(((CASHBACK_RULES!$M$5:$M$304="")+(CASHBACK_RULES!$M$5:$M$304&lt;=$L834))&gt;0),0),0),0))))</f>
        <v>0</v>
      </c>
      <c r="AD834" s="51" t="str">
        <f>IF(OR($B834="",$D834=""),"",IFERROR(IF(INDEX(CARDS!$H$5:$H$34,MATCH($D834,CARDS!$A$5:$A$34,0))="","",IF(DAY($B834)&lt;=INDEX(CARDS!$H$5:$H$34,MATCH($D834,CARDS!$A$5:$A$34,0)),DATE(YEAR($B834),MONTH($B834),MIN(INDEX(CARDS!$H$5:$H$34,MATCH($D834,CARDS!$A$5:$A$34,0)),DAY(EOMONTH($B834,0)))),DATE(YEAR($B834),MONTH($B834)+1,MIN(INDEX(CARDS!$H$5:$H$34,MATCH($D834,CARDS!$A$5:$A$34,0)),DAY(EOMONTH($B834,1)))))),""))</f>
        <v/>
      </c>
      <c r="AE834" s="52" t="str">
        <f>IF($C834="","",$C834&amp;"|"&amp;COUNTIF($C$5:$C834,$C834))</f>
        <v/>
      </c>
      <c r="AF834" s="53">
        <f>IF($AC834&gt;0,SUMIFS(Q$4:Q833,$D$4:$D833,$D834,$Z$4:$Z833,$Z834,$C$4:$C833,$C834),0)</f>
        <v>0</v>
      </c>
      <c r="AG834" s="53">
        <f>IF($AC834&gt;0,SUMIFS(Q$4:Q833,$D$4:$D833,$D834,$C$4:$C833,$C834),0)</f>
        <v>0</v>
      </c>
      <c r="AH834" s="53">
        <f>IF($AC834&gt;0,SUMIFS(M$4:M833,$D$4:$D833,$D834,$Z$4:$Z833,$Z834,$C$4:$C833,$C834),0)</f>
        <v>0</v>
      </c>
      <c r="AI834" s="43">
        <f>IF(OR($C834="",$I834=""),0,IF(COUNTIFS($C$5:$C834,$C834,$I$5:$I834,$I834)=1,1,0))</f>
        <v>0</v>
      </c>
      <c r="AJ834" s="43" t="str">
        <f>IF($AI834=1,SUMIFS($AI$4:$AI833,$C$4:$C833,$C834)+1,"")</f>
        <v/>
      </c>
      <c r="AK834" s="43">
        <f>IF(OR($C834="",$K834=""),0,IF(COUNTIFS($C$5:$C834,$C834,$K$5:$K834,$K834)=1,1,0))</f>
        <v>0</v>
      </c>
      <c r="AL834" s="43" t="str">
        <f>IF($AK834=1,SUMIFS($AK$4:$AK833,$C$4:$C833,$C834)+1,"")</f>
        <v/>
      </c>
      <c r="AM834" s="43">
        <f>IF(OR($C834="",$G834=""),0,IF(COUNTIFS($C$5:$C834,$C834,$G$5:$G834,$G834)=1,1,0))</f>
        <v>0</v>
      </c>
      <c r="AN834" s="43" t="str">
        <f>IF($AM834=1,SUMIFS($AM$4:$AM833,$C$4:$C833,$C834)+1,"")</f>
        <v/>
      </c>
    </row>
    <row r="835">
      <c r="A835" s="44" t="str">
        <f>IF(OR($B835="",$D835=""),"","TX"&amp;TEXT(ROW()-4,"0000"))</f>
        <v/>
      </c>
      <c r="B835" s="42" t="n"/>
      <c r="C835" s="47" t="str">
        <f>IF($B835="","",YEAR($B835)*100+MONTH($B835))</f>
        <v/>
      </c>
      <c r="D835" s="37" t="n"/>
      <c r="E835" s="45" t="str">
        <f>IF($D835="","",IFERROR(INDEX(CARDS!$B$5:$B$34,MATCH($D835,CARDS!$A$5:$A$34,0)),"⚠ Card ID?"))</f>
        <v/>
      </c>
      <c r="F835" s="45" t="str">
        <f>IF($D835="","",IFERROR(INDEX(CARDS!$C$5:$C$34,MATCH($D835,CARDS!$A$5:$A$34,0)),"⚠ Card ID?"))</f>
        <v/>
      </c>
      <c r="G835" s="37" t="n"/>
      <c r="H835" s="37" t="n"/>
      <c r="I835" s="41" t="n"/>
      <c r="J835" s="45" t="str">
        <f>IF($I835="","",IFERROR(INDEX(MCC_MASTER!$B$5:$B$504,MATCH($I835,MCC_MASTER!$A$5:$A$504,0)),"⚠ MCC chưa có"))</f>
        <v/>
      </c>
      <c r="K835" s="45" t="str">
        <f>IF($I835="","",IFERROR(IF(INDEX(MCC_MASTER!$C$5:$C$504,MATCH($I835,MCC_MASTER!$A$5:$A$504,0))="","Chưa phân loại",INDEX(MCC_MASTER!$C$5:$C$504,MATCH($I835,MCC_MASTER!$A$5:$A$504,0))),"Chưa phân loại"))</f>
        <v/>
      </c>
      <c r="L835" s="40" t="n"/>
      <c r="M835" s="48" t="str">
        <f>IF(OR($B835="",$D835=""),"",IF($AC835=0,0,IF(ISNUMBER(INDEX(CASHBACK_RULES!$L$5:$L$304,$AC835)),MAX(0,MIN($L835,INDEX(CASHBACK_RULES!$L$5:$L$304,$AC835)-$AH835)),MAX(0,$L835))))</f>
        <v/>
      </c>
      <c r="N835" s="49" t="str">
        <f>IF(OR($B835="",$D835=""),"",IF($AC835&gt;0,INDEX(CASHBACK_RULES!$I$5:$I$304,$AC835),0))</f>
        <v/>
      </c>
      <c r="O835" s="48" t="str">
        <f>IF(OR($B835="",$D835=""),"",ROUND($M835*$N835,0))</f>
        <v/>
      </c>
      <c r="P835" s="48" t="str">
        <f>IF($AC835&gt;0,IF(ISNUMBER(INDEX(CASHBACK_RULES!$J$5:$J$304,$AC835)),INDEX(CASHBACK_RULES!$J$5:$J$304,$AC835),"∞"),"")</f>
        <v/>
      </c>
      <c r="Q835" s="48" t="str">
        <f>IF(OR($B835="",$D835=""),"",IF($AC835=0,0,MAX(0,MIN($O835,IF(ISNUMBER($P835),$P835-$AF835,1E+15),IF(ISNUMBER($AA835),$AA835-$AG835,1E+15)))))</f>
        <v/>
      </c>
      <c r="R835" s="48" t="str">
        <f>IF(OR($B835="",$D835=""),"",IF($AC835=0,"",IF(AND(NOT(ISNUMBER($P835)),NOT(ISNUMBER($AA835))),"∞",MAX(0,MIN(IF(ISNUMBER($P835),$P835-$AF835-$Q835,1E+15),IF(ISNUMBER($AA835),$AA835-$AG835-$Q835,1E+15))))))</f>
        <v/>
      </c>
      <c r="S835" s="47" t="str">
        <f>IF($AD835="","",YEAR($AD835)*100+MONTH($AD835))</f>
        <v/>
      </c>
      <c r="T835" s="50" t="str">
        <f>IF($AD835="","",IFERROR(IF(INDEX(CARDS!$I$5:$I$34,MATCH($D835,CARDS!$A$5:$A$34,0))="","",IF(INDEX(CARDS!$I$5:$I$34,MATCH($D835,CARDS!$A$5:$A$34,0))&gt;INDEX(CARDS!$H$5:$H$34,MATCH($D835,CARDS!$A$5:$A$34,0)),DATE(YEAR($AD835),MONTH($AD835),MIN(INDEX(CARDS!$I$5:$I$34,MATCH($D835,CARDS!$A$5:$A$34,0)),DAY(EOMONTH($AD835,0)))),DATE(YEAR($AD835),MONTH($AD835)+1,MIN(INDEX(CARDS!$I$5:$I$34,MATCH($D835,CARDS!$A$5:$A$34,0)),DAY(EOMONTH($AD835,1)))))),""))</f>
        <v/>
      </c>
      <c r="U835" s="38" t="n"/>
      <c r="V835" s="37" t="n"/>
      <c r="W835" s="38" t="n"/>
      <c r="X835" s="38" t="n"/>
      <c r="Y835" s="44" t="str">
        <f>IF($AC835&gt;0,INDEX(CASHBACK_RULES!$A$5:$A$304,$AC835),"")</f>
        <v/>
      </c>
      <c r="Z835" s="45" t="str">
        <f>IF($AC835&gt;0,INDEX(CASHBACK_RULES!$E$5:$E$304,$AC835)&amp;"","")</f>
        <v/>
      </c>
      <c r="AA835" s="48" t="str">
        <f>IF($AC835&gt;0,IF(ISNUMBER(INDEX(CASHBACK_RULES!$K$5:$K$304,$AC835)),INDEX(CASHBACK_RULES!$K$5:$K$304,$AC835),"∞"),"")</f>
        <v/>
      </c>
      <c r="AB835" s="44" t="str">
        <f>IF(OR($B835="",$D835=""),"",IF($U835="Cancelled","Đã hủy",IF($AC835=0,"Không được hoàn",IF($Q835=0,IF(OR($O835&gt;0,$M835&lt;$L835),"Đã đạt cap","Không được hoàn"),IF(OR($Q835&lt;$O835,$M835&lt;$L835),"Hoàn một phần","Được hoàn")))))</f>
        <v/>
      </c>
      <c r="AC835" s="43">
        <f>IF(OR($B835="",$D835="",$I835="",$L835=""),0,IF($U835="Cancelled",0,IF($W835&lt;&gt;"",IFERROR(IF(INDEX(CASHBACK_RULES!$B$5:$B$304,MATCH($W835,CASHBACK_RULES!$A$5:$A$304,0))=$D835,MATCH($W835,CASHBACK_RULES!$A$5:$A$304,0),0),0),IFERROR(MATCH(1,INDEX((CASHBACK_RULES!$B$5:$B$304=$D835)*(CASHBACK_RULES!$G$5:$G$304=$I835)*(((CASHBACK_RULES!$N$5:$N$304="")+(CASHBACK_RULES!$N$5:$N$304&lt;=$B835))&gt;0)*(((CASHBACK_RULES!$O$5:$O$304="")+(CASHBACK_RULES!$O$5:$O$304&gt;=$B835))&gt;0)*(((CASHBACK_RULES!$M$5:$M$304="")+(CASHBACK_RULES!$M$5:$M$304&lt;=$L835))&gt;0),0),0),0))))</f>
        <v>0</v>
      </c>
      <c r="AD835" s="51" t="str">
        <f>IF(OR($B835="",$D835=""),"",IFERROR(IF(INDEX(CARDS!$H$5:$H$34,MATCH($D835,CARDS!$A$5:$A$34,0))="","",IF(DAY($B835)&lt;=INDEX(CARDS!$H$5:$H$34,MATCH($D835,CARDS!$A$5:$A$34,0)),DATE(YEAR($B835),MONTH($B835),MIN(INDEX(CARDS!$H$5:$H$34,MATCH($D835,CARDS!$A$5:$A$34,0)),DAY(EOMONTH($B835,0)))),DATE(YEAR($B835),MONTH($B835)+1,MIN(INDEX(CARDS!$H$5:$H$34,MATCH($D835,CARDS!$A$5:$A$34,0)),DAY(EOMONTH($B835,1)))))),""))</f>
        <v/>
      </c>
      <c r="AE835" s="52" t="str">
        <f>IF($C835="","",$C835&amp;"|"&amp;COUNTIF($C$5:$C835,$C835))</f>
        <v/>
      </c>
      <c r="AF835" s="53">
        <f>IF($AC835&gt;0,SUMIFS(Q$4:Q834,$D$4:$D834,$D835,$Z$4:$Z834,$Z835,$C$4:$C834,$C835),0)</f>
        <v>0</v>
      </c>
      <c r="AG835" s="53">
        <f>IF($AC835&gt;0,SUMIFS(Q$4:Q834,$D$4:$D834,$D835,$C$4:$C834,$C835),0)</f>
        <v>0</v>
      </c>
      <c r="AH835" s="53">
        <f>IF($AC835&gt;0,SUMIFS(M$4:M834,$D$4:$D834,$D835,$Z$4:$Z834,$Z835,$C$4:$C834,$C835),0)</f>
        <v>0</v>
      </c>
      <c r="AI835" s="43">
        <f>IF(OR($C835="",$I835=""),0,IF(COUNTIFS($C$5:$C835,$C835,$I$5:$I835,$I835)=1,1,0))</f>
        <v>0</v>
      </c>
      <c r="AJ835" s="43" t="str">
        <f>IF($AI835=1,SUMIFS($AI$4:$AI834,$C$4:$C834,$C835)+1,"")</f>
        <v/>
      </c>
      <c r="AK835" s="43">
        <f>IF(OR($C835="",$K835=""),0,IF(COUNTIFS($C$5:$C835,$C835,$K$5:$K835,$K835)=1,1,0))</f>
        <v>0</v>
      </c>
      <c r="AL835" s="43" t="str">
        <f>IF($AK835=1,SUMIFS($AK$4:$AK834,$C$4:$C834,$C835)+1,"")</f>
        <v/>
      </c>
      <c r="AM835" s="43">
        <f>IF(OR($C835="",$G835=""),0,IF(COUNTIFS($C$5:$C835,$C835,$G$5:$G835,$G835)=1,1,0))</f>
        <v>0</v>
      </c>
      <c r="AN835" s="43" t="str">
        <f>IF($AM835=1,SUMIFS($AM$4:$AM834,$C$4:$C834,$C835)+1,"")</f>
        <v/>
      </c>
    </row>
    <row r="836">
      <c r="A836" s="44" t="str">
        <f>IF(OR($B836="",$D836=""),"","TX"&amp;TEXT(ROW()-4,"0000"))</f>
        <v/>
      </c>
      <c r="B836" s="42" t="n"/>
      <c r="C836" s="47" t="str">
        <f>IF($B836="","",YEAR($B836)*100+MONTH($B836))</f>
        <v/>
      </c>
      <c r="D836" s="37" t="n"/>
      <c r="E836" s="45" t="str">
        <f>IF($D836="","",IFERROR(INDEX(CARDS!$B$5:$B$34,MATCH($D836,CARDS!$A$5:$A$34,0)),"⚠ Card ID?"))</f>
        <v/>
      </c>
      <c r="F836" s="45" t="str">
        <f>IF($D836="","",IFERROR(INDEX(CARDS!$C$5:$C$34,MATCH($D836,CARDS!$A$5:$A$34,0)),"⚠ Card ID?"))</f>
        <v/>
      </c>
      <c r="G836" s="37" t="n"/>
      <c r="H836" s="37" t="n"/>
      <c r="I836" s="41" t="n"/>
      <c r="J836" s="45" t="str">
        <f>IF($I836="","",IFERROR(INDEX(MCC_MASTER!$B$5:$B$504,MATCH($I836,MCC_MASTER!$A$5:$A$504,0)),"⚠ MCC chưa có"))</f>
        <v/>
      </c>
      <c r="K836" s="45" t="str">
        <f>IF($I836="","",IFERROR(IF(INDEX(MCC_MASTER!$C$5:$C$504,MATCH($I836,MCC_MASTER!$A$5:$A$504,0))="","Chưa phân loại",INDEX(MCC_MASTER!$C$5:$C$504,MATCH($I836,MCC_MASTER!$A$5:$A$504,0))),"Chưa phân loại"))</f>
        <v/>
      </c>
      <c r="L836" s="40" t="n"/>
      <c r="M836" s="48" t="str">
        <f>IF(OR($B836="",$D836=""),"",IF($AC836=0,0,IF(ISNUMBER(INDEX(CASHBACK_RULES!$L$5:$L$304,$AC836)),MAX(0,MIN($L836,INDEX(CASHBACK_RULES!$L$5:$L$304,$AC836)-$AH836)),MAX(0,$L836))))</f>
        <v/>
      </c>
      <c r="N836" s="49" t="str">
        <f>IF(OR($B836="",$D836=""),"",IF($AC836&gt;0,INDEX(CASHBACK_RULES!$I$5:$I$304,$AC836),0))</f>
        <v/>
      </c>
      <c r="O836" s="48" t="str">
        <f>IF(OR($B836="",$D836=""),"",ROUND($M836*$N836,0))</f>
        <v/>
      </c>
      <c r="P836" s="48" t="str">
        <f>IF($AC836&gt;0,IF(ISNUMBER(INDEX(CASHBACK_RULES!$J$5:$J$304,$AC836)),INDEX(CASHBACK_RULES!$J$5:$J$304,$AC836),"∞"),"")</f>
        <v/>
      </c>
      <c r="Q836" s="48" t="str">
        <f>IF(OR($B836="",$D836=""),"",IF($AC836=0,0,MAX(0,MIN($O836,IF(ISNUMBER($P836),$P836-$AF836,1E+15),IF(ISNUMBER($AA836),$AA836-$AG836,1E+15)))))</f>
        <v/>
      </c>
      <c r="R836" s="48" t="str">
        <f>IF(OR($B836="",$D836=""),"",IF($AC836=0,"",IF(AND(NOT(ISNUMBER($P836)),NOT(ISNUMBER($AA836))),"∞",MAX(0,MIN(IF(ISNUMBER($P836),$P836-$AF836-$Q836,1E+15),IF(ISNUMBER($AA836),$AA836-$AG836-$Q836,1E+15))))))</f>
        <v/>
      </c>
      <c r="S836" s="47" t="str">
        <f>IF($AD836="","",YEAR($AD836)*100+MONTH($AD836))</f>
        <v/>
      </c>
      <c r="T836" s="50" t="str">
        <f>IF($AD836="","",IFERROR(IF(INDEX(CARDS!$I$5:$I$34,MATCH($D836,CARDS!$A$5:$A$34,0))="","",IF(INDEX(CARDS!$I$5:$I$34,MATCH($D836,CARDS!$A$5:$A$34,0))&gt;INDEX(CARDS!$H$5:$H$34,MATCH($D836,CARDS!$A$5:$A$34,0)),DATE(YEAR($AD836),MONTH($AD836),MIN(INDEX(CARDS!$I$5:$I$34,MATCH($D836,CARDS!$A$5:$A$34,0)),DAY(EOMONTH($AD836,0)))),DATE(YEAR($AD836),MONTH($AD836)+1,MIN(INDEX(CARDS!$I$5:$I$34,MATCH($D836,CARDS!$A$5:$A$34,0)),DAY(EOMONTH($AD836,1)))))),""))</f>
        <v/>
      </c>
      <c r="U836" s="38" t="n"/>
      <c r="V836" s="37" t="n"/>
      <c r="W836" s="38" t="n"/>
      <c r="X836" s="38" t="n"/>
      <c r="Y836" s="44" t="str">
        <f>IF($AC836&gt;0,INDEX(CASHBACK_RULES!$A$5:$A$304,$AC836),"")</f>
        <v/>
      </c>
      <c r="Z836" s="45" t="str">
        <f>IF($AC836&gt;0,INDEX(CASHBACK_RULES!$E$5:$E$304,$AC836)&amp;"","")</f>
        <v/>
      </c>
      <c r="AA836" s="48" t="str">
        <f>IF($AC836&gt;0,IF(ISNUMBER(INDEX(CASHBACK_RULES!$K$5:$K$304,$AC836)),INDEX(CASHBACK_RULES!$K$5:$K$304,$AC836),"∞"),"")</f>
        <v/>
      </c>
      <c r="AB836" s="44" t="str">
        <f>IF(OR($B836="",$D836=""),"",IF($U836="Cancelled","Đã hủy",IF($AC836=0,"Không được hoàn",IF($Q836=0,IF(OR($O836&gt;0,$M836&lt;$L836),"Đã đạt cap","Không được hoàn"),IF(OR($Q836&lt;$O836,$M836&lt;$L836),"Hoàn một phần","Được hoàn")))))</f>
        <v/>
      </c>
      <c r="AC836" s="43">
        <f>IF(OR($B836="",$D836="",$I836="",$L836=""),0,IF($U836="Cancelled",0,IF($W836&lt;&gt;"",IFERROR(IF(INDEX(CASHBACK_RULES!$B$5:$B$304,MATCH($W836,CASHBACK_RULES!$A$5:$A$304,0))=$D836,MATCH($W836,CASHBACK_RULES!$A$5:$A$304,0),0),0),IFERROR(MATCH(1,INDEX((CASHBACK_RULES!$B$5:$B$304=$D836)*(CASHBACK_RULES!$G$5:$G$304=$I836)*(((CASHBACK_RULES!$N$5:$N$304="")+(CASHBACK_RULES!$N$5:$N$304&lt;=$B836))&gt;0)*(((CASHBACK_RULES!$O$5:$O$304="")+(CASHBACK_RULES!$O$5:$O$304&gt;=$B836))&gt;0)*(((CASHBACK_RULES!$M$5:$M$304="")+(CASHBACK_RULES!$M$5:$M$304&lt;=$L836))&gt;0),0),0),0))))</f>
        <v>0</v>
      </c>
      <c r="AD836" s="51" t="str">
        <f>IF(OR($B836="",$D836=""),"",IFERROR(IF(INDEX(CARDS!$H$5:$H$34,MATCH($D836,CARDS!$A$5:$A$34,0))="","",IF(DAY($B836)&lt;=INDEX(CARDS!$H$5:$H$34,MATCH($D836,CARDS!$A$5:$A$34,0)),DATE(YEAR($B836),MONTH($B836),MIN(INDEX(CARDS!$H$5:$H$34,MATCH($D836,CARDS!$A$5:$A$34,0)),DAY(EOMONTH($B836,0)))),DATE(YEAR($B836),MONTH($B836)+1,MIN(INDEX(CARDS!$H$5:$H$34,MATCH($D836,CARDS!$A$5:$A$34,0)),DAY(EOMONTH($B836,1)))))),""))</f>
        <v/>
      </c>
      <c r="AE836" s="52" t="str">
        <f>IF($C836="","",$C836&amp;"|"&amp;COUNTIF($C$5:$C836,$C836))</f>
        <v/>
      </c>
      <c r="AF836" s="53">
        <f>IF($AC836&gt;0,SUMIFS(Q$4:Q835,$D$4:$D835,$D836,$Z$4:$Z835,$Z836,$C$4:$C835,$C836),0)</f>
        <v>0</v>
      </c>
      <c r="AG836" s="53">
        <f>IF($AC836&gt;0,SUMIFS(Q$4:Q835,$D$4:$D835,$D836,$C$4:$C835,$C836),0)</f>
        <v>0</v>
      </c>
      <c r="AH836" s="53">
        <f>IF($AC836&gt;0,SUMIFS(M$4:M835,$D$4:$D835,$D836,$Z$4:$Z835,$Z836,$C$4:$C835,$C836),0)</f>
        <v>0</v>
      </c>
      <c r="AI836" s="43">
        <f>IF(OR($C836="",$I836=""),0,IF(COUNTIFS($C$5:$C836,$C836,$I$5:$I836,$I836)=1,1,0))</f>
        <v>0</v>
      </c>
      <c r="AJ836" s="43" t="str">
        <f>IF($AI836=1,SUMIFS($AI$4:$AI835,$C$4:$C835,$C836)+1,"")</f>
        <v/>
      </c>
      <c r="AK836" s="43">
        <f>IF(OR($C836="",$K836=""),0,IF(COUNTIFS($C$5:$C836,$C836,$K$5:$K836,$K836)=1,1,0))</f>
        <v>0</v>
      </c>
      <c r="AL836" s="43" t="str">
        <f>IF($AK836=1,SUMIFS($AK$4:$AK835,$C$4:$C835,$C836)+1,"")</f>
        <v/>
      </c>
      <c r="AM836" s="43">
        <f>IF(OR($C836="",$G836=""),0,IF(COUNTIFS($C$5:$C836,$C836,$G$5:$G836,$G836)=1,1,0))</f>
        <v>0</v>
      </c>
      <c r="AN836" s="43" t="str">
        <f>IF($AM836=1,SUMIFS($AM$4:$AM835,$C$4:$C835,$C836)+1,"")</f>
        <v/>
      </c>
    </row>
    <row r="837">
      <c r="A837" s="44" t="str">
        <f>IF(OR($B837="",$D837=""),"","TX"&amp;TEXT(ROW()-4,"0000"))</f>
        <v/>
      </c>
      <c r="B837" s="42" t="n"/>
      <c r="C837" s="47" t="str">
        <f>IF($B837="","",YEAR($B837)*100+MONTH($B837))</f>
        <v/>
      </c>
      <c r="D837" s="37" t="n"/>
      <c r="E837" s="45" t="str">
        <f>IF($D837="","",IFERROR(INDEX(CARDS!$B$5:$B$34,MATCH($D837,CARDS!$A$5:$A$34,0)),"⚠ Card ID?"))</f>
        <v/>
      </c>
      <c r="F837" s="45" t="str">
        <f>IF($D837="","",IFERROR(INDEX(CARDS!$C$5:$C$34,MATCH($D837,CARDS!$A$5:$A$34,0)),"⚠ Card ID?"))</f>
        <v/>
      </c>
      <c r="G837" s="37" t="n"/>
      <c r="H837" s="37" t="n"/>
      <c r="I837" s="41" t="n"/>
      <c r="J837" s="45" t="str">
        <f>IF($I837="","",IFERROR(INDEX(MCC_MASTER!$B$5:$B$504,MATCH($I837,MCC_MASTER!$A$5:$A$504,0)),"⚠ MCC chưa có"))</f>
        <v/>
      </c>
      <c r="K837" s="45" t="str">
        <f>IF($I837="","",IFERROR(IF(INDEX(MCC_MASTER!$C$5:$C$504,MATCH($I837,MCC_MASTER!$A$5:$A$504,0))="","Chưa phân loại",INDEX(MCC_MASTER!$C$5:$C$504,MATCH($I837,MCC_MASTER!$A$5:$A$504,0))),"Chưa phân loại"))</f>
        <v/>
      </c>
      <c r="L837" s="40" t="n"/>
      <c r="M837" s="48" t="str">
        <f>IF(OR($B837="",$D837=""),"",IF($AC837=0,0,IF(ISNUMBER(INDEX(CASHBACK_RULES!$L$5:$L$304,$AC837)),MAX(0,MIN($L837,INDEX(CASHBACK_RULES!$L$5:$L$304,$AC837)-$AH837)),MAX(0,$L837))))</f>
        <v/>
      </c>
      <c r="N837" s="49" t="str">
        <f>IF(OR($B837="",$D837=""),"",IF($AC837&gt;0,INDEX(CASHBACK_RULES!$I$5:$I$304,$AC837),0))</f>
        <v/>
      </c>
      <c r="O837" s="48" t="str">
        <f>IF(OR($B837="",$D837=""),"",ROUND($M837*$N837,0))</f>
        <v/>
      </c>
      <c r="P837" s="48" t="str">
        <f>IF($AC837&gt;0,IF(ISNUMBER(INDEX(CASHBACK_RULES!$J$5:$J$304,$AC837)),INDEX(CASHBACK_RULES!$J$5:$J$304,$AC837),"∞"),"")</f>
        <v/>
      </c>
      <c r="Q837" s="48" t="str">
        <f>IF(OR($B837="",$D837=""),"",IF($AC837=0,0,MAX(0,MIN($O837,IF(ISNUMBER($P837),$P837-$AF837,1E+15),IF(ISNUMBER($AA837),$AA837-$AG837,1E+15)))))</f>
        <v/>
      </c>
      <c r="R837" s="48" t="str">
        <f>IF(OR($B837="",$D837=""),"",IF($AC837=0,"",IF(AND(NOT(ISNUMBER($P837)),NOT(ISNUMBER($AA837))),"∞",MAX(0,MIN(IF(ISNUMBER($P837),$P837-$AF837-$Q837,1E+15),IF(ISNUMBER($AA837),$AA837-$AG837-$Q837,1E+15))))))</f>
        <v/>
      </c>
      <c r="S837" s="47" t="str">
        <f>IF($AD837="","",YEAR($AD837)*100+MONTH($AD837))</f>
        <v/>
      </c>
      <c r="T837" s="50" t="str">
        <f>IF($AD837="","",IFERROR(IF(INDEX(CARDS!$I$5:$I$34,MATCH($D837,CARDS!$A$5:$A$34,0))="","",IF(INDEX(CARDS!$I$5:$I$34,MATCH($D837,CARDS!$A$5:$A$34,0))&gt;INDEX(CARDS!$H$5:$H$34,MATCH($D837,CARDS!$A$5:$A$34,0)),DATE(YEAR($AD837),MONTH($AD837),MIN(INDEX(CARDS!$I$5:$I$34,MATCH($D837,CARDS!$A$5:$A$34,0)),DAY(EOMONTH($AD837,0)))),DATE(YEAR($AD837),MONTH($AD837)+1,MIN(INDEX(CARDS!$I$5:$I$34,MATCH($D837,CARDS!$A$5:$A$34,0)),DAY(EOMONTH($AD837,1)))))),""))</f>
        <v/>
      </c>
      <c r="U837" s="38" t="n"/>
      <c r="V837" s="37" t="n"/>
      <c r="W837" s="38" t="n"/>
      <c r="X837" s="38" t="n"/>
      <c r="Y837" s="44" t="str">
        <f>IF($AC837&gt;0,INDEX(CASHBACK_RULES!$A$5:$A$304,$AC837),"")</f>
        <v/>
      </c>
      <c r="Z837" s="45" t="str">
        <f>IF($AC837&gt;0,INDEX(CASHBACK_RULES!$E$5:$E$304,$AC837)&amp;"","")</f>
        <v/>
      </c>
      <c r="AA837" s="48" t="str">
        <f>IF($AC837&gt;0,IF(ISNUMBER(INDEX(CASHBACK_RULES!$K$5:$K$304,$AC837)),INDEX(CASHBACK_RULES!$K$5:$K$304,$AC837),"∞"),"")</f>
        <v/>
      </c>
      <c r="AB837" s="44" t="str">
        <f>IF(OR($B837="",$D837=""),"",IF($U837="Cancelled","Đã hủy",IF($AC837=0,"Không được hoàn",IF($Q837=0,IF(OR($O837&gt;0,$M837&lt;$L837),"Đã đạt cap","Không được hoàn"),IF(OR($Q837&lt;$O837,$M837&lt;$L837),"Hoàn một phần","Được hoàn")))))</f>
        <v/>
      </c>
      <c r="AC837" s="43">
        <f>IF(OR($B837="",$D837="",$I837="",$L837=""),0,IF($U837="Cancelled",0,IF($W837&lt;&gt;"",IFERROR(IF(INDEX(CASHBACK_RULES!$B$5:$B$304,MATCH($W837,CASHBACK_RULES!$A$5:$A$304,0))=$D837,MATCH($W837,CASHBACK_RULES!$A$5:$A$304,0),0),0),IFERROR(MATCH(1,INDEX((CASHBACK_RULES!$B$5:$B$304=$D837)*(CASHBACK_RULES!$G$5:$G$304=$I837)*(((CASHBACK_RULES!$N$5:$N$304="")+(CASHBACK_RULES!$N$5:$N$304&lt;=$B837))&gt;0)*(((CASHBACK_RULES!$O$5:$O$304="")+(CASHBACK_RULES!$O$5:$O$304&gt;=$B837))&gt;0)*(((CASHBACK_RULES!$M$5:$M$304="")+(CASHBACK_RULES!$M$5:$M$304&lt;=$L837))&gt;0),0),0),0))))</f>
        <v>0</v>
      </c>
      <c r="AD837" s="51" t="str">
        <f>IF(OR($B837="",$D837=""),"",IFERROR(IF(INDEX(CARDS!$H$5:$H$34,MATCH($D837,CARDS!$A$5:$A$34,0))="","",IF(DAY($B837)&lt;=INDEX(CARDS!$H$5:$H$34,MATCH($D837,CARDS!$A$5:$A$34,0)),DATE(YEAR($B837),MONTH($B837),MIN(INDEX(CARDS!$H$5:$H$34,MATCH($D837,CARDS!$A$5:$A$34,0)),DAY(EOMONTH($B837,0)))),DATE(YEAR($B837),MONTH($B837)+1,MIN(INDEX(CARDS!$H$5:$H$34,MATCH($D837,CARDS!$A$5:$A$34,0)),DAY(EOMONTH($B837,1)))))),""))</f>
        <v/>
      </c>
      <c r="AE837" s="52" t="str">
        <f>IF($C837="","",$C837&amp;"|"&amp;COUNTIF($C$5:$C837,$C837))</f>
        <v/>
      </c>
      <c r="AF837" s="53">
        <f>IF($AC837&gt;0,SUMIFS(Q$4:Q836,$D$4:$D836,$D837,$Z$4:$Z836,$Z837,$C$4:$C836,$C837),0)</f>
        <v>0</v>
      </c>
      <c r="AG837" s="53">
        <f>IF($AC837&gt;0,SUMIFS(Q$4:Q836,$D$4:$D836,$D837,$C$4:$C836,$C837),0)</f>
        <v>0</v>
      </c>
      <c r="AH837" s="53">
        <f>IF($AC837&gt;0,SUMIFS(M$4:M836,$D$4:$D836,$D837,$Z$4:$Z836,$Z837,$C$4:$C836,$C837),0)</f>
        <v>0</v>
      </c>
      <c r="AI837" s="43">
        <f>IF(OR($C837="",$I837=""),0,IF(COUNTIFS($C$5:$C837,$C837,$I$5:$I837,$I837)=1,1,0))</f>
        <v>0</v>
      </c>
      <c r="AJ837" s="43" t="str">
        <f>IF($AI837=1,SUMIFS($AI$4:$AI836,$C$4:$C836,$C837)+1,"")</f>
        <v/>
      </c>
      <c r="AK837" s="43">
        <f>IF(OR($C837="",$K837=""),0,IF(COUNTIFS($C$5:$C837,$C837,$K$5:$K837,$K837)=1,1,0))</f>
        <v>0</v>
      </c>
      <c r="AL837" s="43" t="str">
        <f>IF($AK837=1,SUMIFS($AK$4:$AK836,$C$4:$C836,$C837)+1,"")</f>
        <v/>
      </c>
      <c r="AM837" s="43">
        <f>IF(OR($C837="",$G837=""),0,IF(COUNTIFS($C$5:$C837,$C837,$G$5:$G837,$G837)=1,1,0))</f>
        <v>0</v>
      </c>
      <c r="AN837" s="43" t="str">
        <f>IF($AM837=1,SUMIFS($AM$4:$AM836,$C$4:$C836,$C837)+1,"")</f>
        <v/>
      </c>
    </row>
    <row r="838">
      <c r="A838" s="44" t="str">
        <f>IF(OR($B838="",$D838=""),"","TX"&amp;TEXT(ROW()-4,"0000"))</f>
        <v/>
      </c>
      <c r="B838" s="42" t="n"/>
      <c r="C838" s="47" t="str">
        <f>IF($B838="","",YEAR($B838)*100+MONTH($B838))</f>
        <v/>
      </c>
      <c r="D838" s="37" t="n"/>
      <c r="E838" s="45" t="str">
        <f>IF($D838="","",IFERROR(INDEX(CARDS!$B$5:$B$34,MATCH($D838,CARDS!$A$5:$A$34,0)),"⚠ Card ID?"))</f>
        <v/>
      </c>
      <c r="F838" s="45" t="str">
        <f>IF($D838="","",IFERROR(INDEX(CARDS!$C$5:$C$34,MATCH($D838,CARDS!$A$5:$A$34,0)),"⚠ Card ID?"))</f>
        <v/>
      </c>
      <c r="G838" s="37" t="n"/>
      <c r="H838" s="37" t="n"/>
      <c r="I838" s="41" t="n"/>
      <c r="J838" s="45" t="str">
        <f>IF($I838="","",IFERROR(INDEX(MCC_MASTER!$B$5:$B$504,MATCH($I838,MCC_MASTER!$A$5:$A$504,0)),"⚠ MCC chưa có"))</f>
        <v/>
      </c>
      <c r="K838" s="45" t="str">
        <f>IF($I838="","",IFERROR(IF(INDEX(MCC_MASTER!$C$5:$C$504,MATCH($I838,MCC_MASTER!$A$5:$A$504,0))="","Chưa phân loại",INDEX(MCC_MASTER!$C$5:$C$504,MATCH($I838,MCC_MASTER!$A$5:$A$504,0))),"Chưa phân loại"))</f>
        <v/>
      </c>
      <c r="L838" s="40" t="n"/>
      <c r="M838" s="48" t="str">
        <f>IF(OR($B838="",$D838=""),"",IF($AC838=0,0,IF(ISNUMBER(INDEX(CASHBACK_RULES!$L$5:$L$304,$AC838)),MAX(0,MIN($L838,INDEX(CASHBACK_RULES!$L$5:$L$304,$AC838)-$AH838)),MAX(0,$L838))))</f>
        <v/>
      </c>
      <c r="N838" s="49" t="str">
        <f>IF(OR($B838="",$D838=""),"",IF($AC838&gt;0,INDEX(CASHBACK_RULES!$I$5:$I$304,$AC838),0))</f>
        <v/>
      </c>
      <c r="O838" s="48" t="str">
        <f>IF(OR($B838="",$D838=""),"",ROUND($M838*$N838,0))</f>
        <v/>
      </c>
      <c r="P838" s="48" t="str">
        <f>IF($AC838&gt;0,IF(ISNUMBER(INDEX(CASHBACK_RULES!$J$5:$J$304,$AC838)),INDEX(CASHBACK_RULES!$J$5:$J$304,$AC838),"∞"),"")</f>
        <v/>
      </c>
      <c r="Q838" s="48" t="str">
        <f>IF(OR($B838="",$D838=""),"",IF($AC838=0,0,MAX(0,MIN($O838,IF(ISNUMBER($P838),$P838-$AF838,1E+15),IF(ISNUMBER($AA838),$AA838-$AG838,1E+15)))))</f>
        <v/>
      </c>
      <c r="R838" s="48" t="str">
        <f>IF(OR($B838="",$D838=""),"",IF($AC838=0,"",IF(AND(NOT(ISNUMBER($P838)),NOT(ISNUMBER($AA838))),"∞",MAX(0,MIN(IF(ISNUMBER($P838),$P838-$AF838-$Q838,1E+15),IF(ISNUMBER($AA838),$AA838-$AG838-$Q838,1E+15))))))</f>
        <v/>
      </c>
      <c r="S838" s="47" t="str">
        <f>IF($AD838="","",YEAR($AD838)*100+MONTH($AD838))</f>
        <v/>
      </c>
      <c r="T838" s="50" t="str">
        <f>IF($AD838="","",IFERROR(IF(INDEX(CARDS!$I$5:$I$34,MATCH($D838,CARDS!$A$5:$A$34,0))="","",IF(INDEX(CARDS!$I$5:$I$34,MATCH($D838,CARDS!$A$5:$A$34,0))&gt;INDEX(CARDS!$H$5:$H$34,MATCH($D838,CARDS!$A$5:$A$34,0)),DATE(YEAR($AD838),MONTH($AD838),MIN(INDEX(CARDS!$I$5:$I$34,MATCH($D838,CARDS!$A$5:$A$34,0)),DAY(EOMONTH($AD838,0)))),DATE(YEAR($AD838),MONTH($AD838)+1,MIN(INDEX(CARDS!$I$5:$I$34,MATCH($D838,CARDS!$A$5:$A$34,0)),DAY(EOMONTH($AD838,1)))))),""))</f>
        <v/>
      </c>
      <c r="U838" s="38" t="n"/>
      <c r="V838" s="37" t="n"/>
      <c r="W838" s="38" t="n"/>
      <c r="X838" s="38" t="n"/>
      <c r="Y838" s="44" t="str">
        <f>IF($AC838&gt;0,INDEX(CASHBACK_RULES!$A$5:$A$304,$AC838),"")</f>
        <v/>
      </c>
      <c r="Z838" s="45" t="str">
        <f>IF($AC838&gt;0,INDEX(CASHBACK_RULES!$E$5:$E$304,$AC838)&amp;"","")</f>
        <v/>
      </c>
      <c r="AA838" s="48" t="str">
        <f>IF($AC838&gt;0,IF(ISNUMBER(INDEX(CASHBACK_RULES!$K$5:$K$304,$AC838)),INDEX(CASHBACK_RULES!$K$5:$K$304,$AC838),"∞"),"")</f>
        <v/>
      </c>
      <c r="AB838" s="44" t="str">
        <f>IF(OR($B838="",$D838=""),"",IF($U838="Cancelled","Đã hủy",IF($AC838=0,"Không được hoàn",IF($Q838=0,IF(OR($O838&gt;0,$M838&lt;$L838),"Đã đạt cap","Không được hoàn"),IF(OR($Q838&lt;$O838,$M838&lt;$L838),"Hoàn một phần","Được hoàn")))))</f>
        <v/>
      </c>
      <c r="AC838" s="43">
        <f>IF(OR($B838="",$D838="",$I838="",$L838=""),0,IF($U838="Cancelled",0,IF($W838&lt;&gt;"",IFERROR(IF(INDEX(CASHBACK_RULES!$B$5:$B$304,MATCH($W838,CASHBACK_RULES!$A$5:$A$304,0))=$D838,MATCH($W838,CASHBACK_RULES!$A$5:$A$304,0),0),0),IFERROR(MATCH(1,INDEX((CASHBACK_RULES!$B$5:$B$304=$D838)*(CASHBACK_RULES!$G$5:$G$304=$I838)*(((CASHBACK_RULES!$N$5:$N$304="")+(CASHBACK_RULES!$N$5:$N$304&lt;=$B838))&gt;0)*(((CASHBACK_RULES!$O$5:$O$304="")+(CASHBACK_RULES!$O$5:$O$304&gt;=$B838))&gt;0)*(((CASHBACK_RULES!$M$5:$M$304="")+(CASHBACK_RULES!$M$5:$M$304&lt;=$L838))&gt;0),0),0),0))))</f>
        <v>0</v>
      </c>
      <c r="AD838" s="51" t="str">
        <f>IF(OR($B838="",$D838=""),"",IFERROR(IF(INDEX(CARDS!$H$5:$H$34,MATCH($D838,CARDS!$A$5:$A$34,0))="","",IF(DAY($B838)&lt;=INDEX(CARDS!$H$5:$H$34,MATCH($D838,CARDS!$A$5:$A$34,0)),DATE(YEAR($B838),MONTH($B838),MIN(INDEX(CARDS!$H$5:$H$34,MATCH($D838,CARDS!$A$5:$A$34,0)),DAY(EOMONTH($B838,0)))),DATE(YEAR($B838),MONTH($B838)+1,MIN(INDEX(CARDS!$H$5:$H$34,MATCH($D838,CARDS!$A$5:$A$34,0)),DAY(EOMONTH($B838,1)))))),""))</f>
        <v/>
      </c>
      <c r="AE838" s="52" t="str">
        <f>IF($C838="","",$C838&amp;"|"&amp;COUNTIF($C$5:$C838,$C838))</f>
        <v/>
      </c>
      <c r="AF838" s="53">
        <f>IF($AC838&gt;0,SUMIFS(Q$4:Q837,$D$4:$D837,$D838,$Z$4:$Z837,$Z838,$C$4:$C837,$C838),0)</f>
        <v>0</v>
      </c>
      <c r="AG838" s="53">
        <f>IF($AC838&gt;0,SUMIFS(Q$4:Q837,$D$4:$D837,$D838,$C$4:$C837,$C838),0)</f>
        <v>0</v>
      </c>
      <c r="AH838" s="53">
        <f>IF($AC838&gt;0,SUMIFS(M$4:M837,$D$4:$D837,$D838,$Z$4:$Z837,$Z838,$C$4:$C837,$C838),0)</f>
        <v>0</v>
      </c>
      <c r="AI838" s="43">
        <f>IF(OR($C838="",$I838=""),0,IF(COUNTIFS($C$5:$C838,$C838,$I$5:$I838,$I838)=1,1,0))</f>
        <v>0</v>
      </c>
      <c r="AJ838" s="43" t="str">
        <f>IF($AI838=1,SUMIFS($AI$4:$AI837,$C$4:$C837,$C838)+1,"")</f>
        <v/>
      </c>
      <c r="AK838" s="43">
        <f>IF(OR($C838="",$K838=""),0,IF(COUNTIFS($C$5:$C838,$C838,$K$5:$K838,$K838)=1,1,0))</f>
        <v>0</v>
      </c>
      <c r="AL838" s="43" t="str">
        <f>IF($AK838=1,SUMIFS($AK$4:$AK837,$C$4:$C837,$C838)+1,"")</f>
        <v/>
      </c>
      <c r="AM838" s="43">
        <f>IF(OR($C838="",$G838=""),0,IF(COUNTIFS($C$5:$C838,$C838,$G$5:$G838,$G838)=1,1,0))</f>
        <v>0</v>
      </c>
      <c r="AN838" s="43" t="str">
        <f>IF($AM838=1,SUMIFS($AM$4:$AM837,$C$4:$C837,$C838)+1,"")</f>
        <v/>
      </c>
    </row>
    <row r="839">
      <c r="A839" s="44" t="str">
        <f>IF(OR($B839="",$D839=""),"","TX"&amp;TEXT(ROW()-4,"0000"))</f>
        <v/>
      </c>
      <c r="B839" s="42" t="n"/>
      <c r="C839" s="47" t="str">
        <f>IF($B839="","",YEAR($B839)*100+MONTH($B839))</f>
        <v/>
      </c>
      <c r="D839" s="37" t="n"/>
      <c r="E839" s="45" t="str">
        <f>IF($D839="","",IFERROR(INDEX(CARDS!$B$5:$B$34,MATCH($D839,CARDS!$A$5:$A$34,0)),"⚠ Card ID?"))</f>
        <v/>
      </c>
      <c r="F839" s="45" t="str">
        <f>IF($D839="","",IFERROR(INDEX(CARDS!$C$5:$C$34,MATCH($D839,CARDS!$A$5:$A$34,0)),"⚠ Card ID?"))</f>
        <v/>
      </c>
      <c r="G839" s="37" t="n"/>
      <c r="H839" s="37" t="n"/>
      <c r="I839" s="41" t="n"/>
      <c r="J839" s="45" t="str">
        <f>IF($I839="","",IFERROR(INDEX(MCC_MASTER!$B$5:$B$504,MATCH($I839,MCC_MASTER!$A$5:$A$504,0)),"⚠ MCC chưa có"))</f>
        <v/>
      </c>
      <c r="K839" s="45" t="str">
        <f>IF($I839="","",IFERROR(IF(INDEX(MCC_MASTER!$C$5:$C$504,MATCH($I839,MCC_MASTER!$A$5:$A$504,0))="","Chưa phân loại",INDEX(MCC_MASTER!$C$5:$C$504,MATCH($I839,MCC_MASTER!$A$5:$A$504,0))),"Chưa phân loại"))</f>
        <v/>
      </c>
      <c r="L839" s="40" t="n"/>
      <c r="M839" s="48" t="str">
        <f>IF(OR($B839="",$D839=""),"",IF($AC839=0,0,IF(ISNUMBER(INDEX(CASHBACK_RULES!$L$5:$L$304,$AC839)),MAX(0,MIN($L839,INDEX(CASHBACK_RULES!$L$5:$L$304,$AC839)-$AH839)),MAX(0,$L839))))</f>
        <v/>
      </c>
      <c r="N839" s="49" t="str">
        <f>IF(OR($B839="",$D839=""),"",IF($AC839&gt;0,INDEX(CASHBACK_RULES!$I$5:$I$304,$AC839),0))</f>
        <v/>
      </c>
      <c r="O839" s="48" t="str">
        <f>IF(OR($B839="",$D839=""),"",ROUND($M839*$N839,0))</f>
        <v/>
      </c>
      <c r="P839" s="48" t="str">
        <f>IF($AC839&gt;0,IF(ISNUMBER(INDEX(CASHBACK_RULES!$J$5:$J$304,$AC839)),INDEX(CASHBACK_RULES!$J$5:$J$304,$AC839),"∞"),"")</f>
        <v/>
      </c>
      <c r="Q839" s="48" t="str">
        <f>IF(OR($B839="",$D839=""),"",IF($AC839=0,0,MAX(0,MIN($O839,IF(ISNUMBER($P839),$P839-$AF839,1E+15),IF(ISNUMBER($AA839),$AA839-$AG839,1E+15)))))</f>
        <v/>
      </c>
      <c r="R839" s="48" t="str">
        <f>IF(OR($B839="",$D839=""),"",IF($AC839=0,"",IF(AND(NOT(ISNUMBER($P839)),NOT(ISNUMBER($AA839))),"∞",MAX(0,MIN(IF(ISNUMBER($P839),$P839-$AF839-$Q839,1E+15),IF(ISNUMBER($AA839),$AA839-$AG839-$Q839,1E+15))))))</f>
        <v/>
      </c>
      <c r="S839" s="47" t="str">
        <f>IF($AD839="","",YEAR($AD839)*100+MONTH($AD839))</f>
        <v/>
      </c>
      <c r="T839" s="50" t="str">
        <f>IF($AD839="","",IFERROR(IF(INDEX(CARDS!$I$5:$I$34,MATCH($D839,CARDS!$A$5:$A$34,0))="","",IF(INDEX(CARDS!$I$5:$I$34,MATCH($D839,CARDS!$A$5:$A$34,0))&gt;INDEX(CARDS!$H$5:$H$34,MATCH($D839,CARDS!$A$5:$A$34,0)),DATE(YEAR($AD839),MONTH($AD839),MIN(INDEX(CARDS!$I$5:$I$34,MATCH($D839,CARDS!$A$5:$A$34,0)),DAY(EOMONTH($AD839,0)))),DATE(YEAR($AD839),MONTH($AD839)+1,MIN(INDEX(CARDS!$I$5:$I$34,MATCH($D839,CARDS!$A$5:$A$34,0)),DAY(EOMONTH($AD839,1)))))),""))</f>
        <v/>
      </c>
      <c r="U839" s="38" t="n"/>
      <c r="V839" s="37" t="n"/>
      <c r="W839" s="38" t="n"/>
      <c r="X839" s="38" t="n"/>
      <c r="Y839" s="44" t="str">
        <f>IF($AC839&gt;0,INDEX(CASHBACK_RULES!$A$5:$A$304,$AC839),"")</f>
        <v/>
      </c>
      <c r="Z839" s="45" t="str">
        <f>IF($AC839&gt;0,INDEX(CASHBACK_RULES!$E$5:$E$304,$AC839)&amp;"","")</f>
        <v/>
      </c>
      <c r="AA839" s="48" t="str">
        <f>IF($AC839&gt;0,IF(ISNUMBER(INDEX(CASHBACK_RULES!$K$5:$K$304,$AC839)),INDEX(CASHBACK_RULES!$K$5:$K$304,$AC839),"∞"),"")</f>
        <v/>
      </c>
      <c r="AB839" s="44" t="str">
        <f>IF(OR($B839="",$D839=""),"",IF($U839="Cancelled","Đã hủy",IF($AC839=0,"Không được hoàn",IF($Q839=0,IF(OR($O839&gt;0,$M839&lt;$L839),"Đã đạt cap","Không được hoàn"),IF(OR($Q839&lt;$O839,$M839&lt;$L839),"Hoàn một phần","Được hoàn")))))</f>
        <v/>
      </c>
      <c r="AC839" s="43">
        <f>IF(OR($B839="",$D839="",$I839="",$L839=""),0,IF($U839="Cancelled",0,IF($W839&lt;&gt;"",IFERROR(IF(INDEX(CASHBACK_RULES!$B$5:$B$304,MATCH($W839,CASHBACK_RULES!$A$5:$A$304,0))=$D839,MATCH($W839,CASHBACK_RULES!$A$5:$A$304,0),0),0),IFERROR(MATCH(1,INDEX((CASHBACK_RULES!$B$5:$B$304=$D839)*(CASHBACK_RULES!$G$5:$G$304=$I839)*(((CASHBACK_RULES!$N$5:$N$304="")+(CASHBACK_RULES!$N$5:$N$304&lt;=$B839))&gt;0)*(((CASHBACK_RULES!$O$5:$O$304="")+(CASHBACK_RULES!$O$5:$O$304&gt;=$B839))&gt;0)*(((CASHBACK_RULES!$M$5:$M$304="")+(CASHBACK_RULES!$M$5:$M$304&lt;=$L839))&gt;0),0),0),0))))</f>
        <v>0</v>
      </c>
      <c r="AD839" s="51" t="str">
        <f>IF(OR($B839="",$D839=""),"",IFERROR(IF(INDEX(CARDS!$H$5:$H$34,MATCH($D839,CARDS!$A$5:$A$34,0))="","",IF(DAY($B839)&lt;=INDEX(CARDS!$H$5:$H$34,MATCH($D839,CARDS!$A$5:$A$34,0)),DATE(YEAR($B839),MONTH($B839),MIN(INDEX(CARDS!$H$5:$H$34,MATCH($D839,CARDS!$A$5:$A$34,0)),DAY(EOMONTH($B839,0)))),DATE(YEAR($B839),MONTH($B839)+1,MIN(INDEX(CARDS!$H$5:$H$34,MATCH($D839,CARDS!$A$5:$A$34,0)),DAY(EOMONTH($B839,1)))))),""))</f>
        <v/>
      </c>
      <c r="AE839" s="52" t="str">
        <f>IF($C839="","",$C839&amp;"|"&amp;COUNTIF($C$5:$C839,$C839))</f>
        <v/>
      </c>
      <c r="AF839" s="53">
        <f>IF($AC839&gt;0,SUMIFS(Q$4:Q838,$D$4:$D838,$D839,$Z$4:$Z838,$Z839,$C$4:$C838,$C839),0)</f>
        <v>0</v>
      </c>
      <c r="AG839" s="53">
        <f>IF($AC839&gt;0,SUMIFS(Q$4:Q838,$D$4:$D838,$D839,$C$4:$C838,$C839),0)</f>
        <v>0</v>
      </c>
      <c r="AH839" s="53">
        <f>IF($AC839&gt;0,SUMIFS(M$4:M838,$D$4:$D838,$D839,$Z$4:$Z838,$Z839,$C$4:$C838,$C839),0)</f>
        <v>0</v>
      </c>
      <c r="AI839" s="43">
        <f>IF(OR($C839="",$I839=""),0,IF(COUNTIFS($C$5:$C839,$C839,$I$5:$I839,$I839)=1,1,0))</f>
        <v>0</v>
      </c>
      <c r="AJ839" s="43" t="str">
        <f>IF($AI839=1,SUMIFS($AI$4:$AI838,$C$4:$C838,$C839)+1,"")</f>
        <v/>
      </c>
      <c r="AK839" s="43">
        <f>IF(OR($C839="",$K839=""),0,IF(COUNTIFS($C$5:$C839,$C839,$K$5:$K839,$K839)=1,1,0))</f>
        <v>0</v>
      </c>
      <c r="AL839" s="43" t="str">
        <f>IF($AK839=1,SUMIFS($AK$4:$AK838,$C$4:$C838,$C839)+1,"")</f>
        <v/>
      </c>
      <c r="AM839" s="43">
        <f>IF(OR($C839="",$G839=""),0,IF(COUNTIFS($C$5:$C839,$C839,$G$5:$G839,$G839)=1,1,0))</f>
        <v>0</v>
      </c>
      <c r="AN839" s="43" t="str">
        <f>IF($AM839=1,SUMIFS($AM$4:$AM838,$C$4:$C838,$C839)+1,"")</f>
        <v/>
      </c>
    </row>
    <row r="840">
      <c r="A840" s="44" t="str">
        <f>IF(OR($B840="",$D840=""),"","TX"&amp;TEXT(ROW()-4,"0000"))</f>
        <v/>
      </c>
      <c r="B840" s="42" t="n"/>
      <c r="C840" s="47" t="str">
        <f>IF($B840="","",YEAR($B840)*100+MONTH($B840))</f>
        <v/>
      </c>
      <c r="D840" s="37" t="n"/>
      <c r="E840" s="45" t="str">
        <f>IF($D840="","",IFERROR(INDEX(CARDS!$B$5:$B$34,MATCH($D840,CARDS!$A$5:$A$34,0)),"⚠ Card ID?"))</f>
        <v/>
      </c>
      <c r="F840" s="45" t="str">
        <f>IF($D840="","",IFERROR(INDEX(CARDS!$C$5:$C$34,MATCH($D840,CARDS!$A$5:$A$34,0)),"⚠ Card ID?"))</f>
        <v/>
      </c>
      <c r="G840" s="37" t="n"/>
      <c r="H840" s="37" t="n"/>
      <c r="I840" s="41" t="n"/>
      <c r="J840" s="45" t="str">
        <f>IF($I840="","",IFERROR(INDEX(MCC_MASTER!$B$5:$B$504,MATCH($I840,MCC_MASTER!$A$5:$A$504,0)),"⚠ MCC chưa có"))</f>
        <v/>
      </c>
      <c r="K840" s="45" t="str">
        <f>IF($I840="","",IFERROR(IF(INDEX(MCC_MASTER!$C$5:$C$504,MATCH($I840,MCC_MASTER!$A$5:$A$504,0))="","Chưa phân loại",INDEX(MCC_MASTER!$C$5:$C$504,MATCH($I840,MCC_MASTER!$A$5:$A$504,0))),"Chưa phân loại"))</f>
        <v/>
      </c>
      <c r="L840" s="40" t="n"/>
      <c r="M840" s="48" t="str">
        <f>IF(OR($B840="",$D840=""),"",IF($AC840=0,0,IF(ISNUMBER(INDEX(CASHBACK_RULES!$L$5:$L$304,$AC840)),MAX(0,MIN($L840,INDEX(CASHBACK_RULES!$L$5:$L$304,$AC840)-$AH840)),MAX(0,$L840))))</f>
        <v/>
      </c>
      <c r="N840" s="49" t="str">
        <f>IF(OR($B840="",$D840=""),"",IF($AC840&gt;0,INDEX(CASHBACK_RULES!$I$5:$I$304,$AC840),0))</f>
        <v/>
      </c>
      <c r="O840" s="48" t="str">
        <f>IF(OR($B840="",$D840=""),"",ROUND($M840*$N840,0))</f>
        <v/>
      </c>
      <c r="P840" s="48" t="str">
        <f>IF($AC840&gt;0,IF(ISNUMBER(INDEX(CASHBACK_RULES!$J$5:$J$304,$AC840)),INDEX(CASHBACK_RULES!$J$5:$J$304,$AC840),"∞"),"")</f>
        <v/>
      </c>
      <c r="Q840" s="48" t="str">
        <f>IF(OR($B840="",$D840=""),"",IF($AC840=0,0,MAX(0,MIN($O840,IF(ISNUMBER($P840),$P840-$AF840,1E+15),IF(ISNUMBER($AA840),$AA840-$AG840,1E+15)))))</f>
        <v/>
      </c>
      <c r="R840" s="48" t="str">
        <f>IF(OR($B840="",$D840=""),"",IF($AC840=0,"",IF(AND(NOT(ISNUMBER($P840)),NOT(ISNUMBER($AA840))),"∞",MAX(0,MIN(IF(ISNUMBER($P840),$P840-$AF840-$Q840,1E+15),IF(ISNUMBER($AA840),$AA840-$AG840-$Q840,1E+15))))))</f>
        <v/>
      </c>
      <c r="S840" s="47" t="str">
        <f>IF($AD840="","",YEAR($AD840)*100+MONTH($AD840))</f>
        <v/>
      </c>
      <c r="T840" s="50" t="str">
        <f>IF($AD840="","",IFERROR(IF(INDEX(CARDS!$I$5:$I$34,MATCH($D840,CARDS!$A$5:$A$34,0))="","",IF(INDEX(CARDS!$I$5:$I$34,MATCH($D840,CARDS!$A$5:$A$34,0))&gt;INDEX(CARDS!$H$5:$H$34,MATCH($D840,CARDS!$A$5:$A$34,0)),DATE(YEAR($AD840),MONTH($AD840),MIN(INDEX(CARDS!$I$5:$I$34,MATCH($D840,CARDS!$A$5:$A$34,0)),DAY(EOMONTH($AD840,0)))),DATE(YEAR($AD840),MONTH($AD840)+1,MIN(INDEX(CARDS!$I$5:$I$34,MATCH($D840,CARDS!$A$5:$A$34,0)),DAY(EOMONTH($AD840,1)))))),""))</f>
        <v/>
      </c>
      <c r="U840" s="38" t="n"/>
      <c r="V840" s="37" t="n"/>
      <c r="W840" s="38" t="n"/>
      <c r="X840" s="38" t="n"/>
      <c r="Y840" s="44" t="str">
        <f>IF($AC840&gt;0,INDEX(CASHBACK_RULES!$A$5:$A$304,$AC840),"")</f>
        <v/>
      </c>
      <c r="Z840" s="45" t="str">
        <f>IF($AC840&gt;0,INDEX(CASHBACK_RULES!$E$5:$E$304,$AC840)&amp;"","")</f>
        <v/>
      </c>
      <c r="AA840" s="48" t="str">
        <f>IF($AC840&gt;0,IF(ISNUMBER(INDEX(CASHBACK_RULES!$K$5:$K$304,$AC840)),INDEX(CASHBACK_RULES!$K$5:$K$304,$AC840),"∞"),"")</f>
        <v/>
      </c>
      <c r="AB840" s="44" t="str">
        <f>IF(OR($B840="",$D840=""),"",IF($U840="Cancelled","Đã hủy",IF($AC840=0,"Không được hoàn",IF($Q840=0,IF(OR($O840&gt;0,$M840&lt;$L840),"Đã đạt cap","Không được hoàn"),IF(OR($Q840&lt;$O840,$M840&lt;$L840),"Hoàn một phần","Được hoàn")))))</f>
        <v/>
      </c>
      <c r="AC840" s="43">
        <f>IF(OR($B840="",$D840="",$I840="",$L840=""),0,IF($U840="Cancelled",0,IF($W840&lt;&gt;"",IFERROR(IF(INDEX(CASHBACK_RULES!$B$5:$B$304,MATCH($W840,CASHBACK_RULES!$A$5:$A$304,0))=$D840,MATCH($W840,CASHBACK_RULES!$A$5:$A$304,0),0),0),IFERROR(MATCH(1,INDEX((CASHBACK_RULES!$B$5:$B$304=$D840)*(CASHBACK_RULES!$G$5:$G$304=$I840)*(((CASHBACK_RULES!$N$5:$N$304="")+(CASHBACK_RULES!$N$5:$N$304&lt;=$B840))&gt;0)*(((CASHBACK_RULES!$O$5:$O$304="")+(CASHBACK_RULES!$O$5:$O$304&gt;=$B840))&gt;0)*(((CASHBACK_RULES!$M$5:$M$304="")+(CASHBACK_RULES!$M$5:$M$304&lt;=$L840))&gt;0),0),0),0))))</f>
        <v>0</v>
      </c>
      <c r="AD840" s="51" t="str">
        <f>IF(OR($B840="",$D840=""),"",IFERROR(IF(INDEX(CARDS!$H$5:$H$34,MATCH($D840,CARDS!$A$5:$A$34,0))="","",IF(DAY($B840)&lt;=INDEX(CARDS!$H$5:$H$34,MATCH($D840,CARDS!$A$5:$A$34,0)),DATE(YEAR($B840),MONTH($B840),MIN(INDEX(CARDS!$H$5:$H$34,MATCH($D840,CARDS!$A$5:$A$34,0)),DAY(EOMONTH($B840,0)))),DATE(YEAR($B840),MONTH($B840)+1,MIN(INDEX(CARDS!$H$5:$H$34,MATCH($D840,CARDS!$A$5:$A$34,0)),DAY(EOMONTH($B840,1)))))),""))</f>
        <v/>
      </c>
      <c r="AE840" s="52" t="str">
        <f>IF($C840="","",$C840&amp;"|"&amp;COUNTIF($C$5:$C840,$C840))</f>
        <v/>
      </c>
      <c r="AF840" s="53">
        <f>IF($AC840&gt;0,SUMIFS(Q$4:Q839,$D$4:$D839,$D840,$Z$4:$Z839,$Z840,$C$4:$C839,$C840),0)</f>
        <v>0</v>
      </c>
      <c r="AG840" s="53">
        <f>IF($AC840&gt;0,SUMIFS(Q$4:Q839,$D$4:$D839,$D840,$C$4:$C839,$C840),0)</f>
        <v>0</v>
      </c>
      <c r="AH840" s="53">
        <f>IF($AC840&gt;0,SUMIFS(M$4:M839,$D$4:$D839,$D840,$Z$4:$Z839,$Z840,$C$4:$C839,$C840),0)</f>
        <v>0</v>
      </c>
      <c r="AI840" s="43">
        <f>IF(OR($C840="",$I840=""),0,IF(COUNTIFS($C$5:$C840,$C840,$I$5:$I840,$I840)=1,1,0))</f>
        <v>0</v>
      </c>
      <c r="AJ840" s="43" t="str">
        <f>IF($AI840=1,SUMIFS($AI$4:$AI839,$C$4:$C839,$C840)+1,"")</f>
        <v/>
      </c>
      <c r="AK840" s="43">
        <f>IF(OR($C840="",$K840=""),0,IF(COUNTIFS($C$5:$C840,$C840,$K$5:$K840,$K840)=1,1,0))</f>
        <v>0</v>
      </c>
      <c r="AL840" s="43" t="str">
        <f>IF($AK840=1,SUMIFS($AK$4:$AK839,$C$4:$C839,$C840)+1,"")</f>
        <v/>
      </c>
      <c r="AM840" s="43">
        <f>IF(OR($C840="",$G840=""),0,IF(COUNTIFS($C$5:$C840,$C840,$G$5:$G840,$G840)=1,1,0))</f>
        <v>0</v>
      </c>
      <c r="AN840" s="43" t="str">
        <f>IF($AM840=1,SUMIFS($AM$4:$AM839,$C$4:$C839,$C840)+1,"")</f>
        <v/>
      </c>
    </row>
    <row r="841">
      <c r="A841" s="44" t="str">
        <f>IF(OR($B841="",$D841=""),"","TX"&amp;TEXT(ROW()-4,"0000"))</f>
        <v/>
      </c>
      <c r="B841" s="42" t="n"/>
      <c r="C841" s="47" t="str">
        <f>IF($B841="","",YEAR($B841)*100+MONTH($B841))</f>
        <v/>
      </c>
      <c r="D841" s="37" t="n"/>
      <c r="E841" s="45" t="str">
        <f>IF($D841="","",IFERROR(INDEX(CARDS!$B$5:$B$34,MATCH($D841,CARDS!$A$5:$A$34,0)),"⚠ Card ID?"))</f>
        <v/>
      </c>
      <c r="F841" s="45" t="str">
        <f>IF($D841="","",IFERROR(INDEX(CARDS!$C$5:$C$34,MATCH($D841,CARDS!$A$5:$A$34,0)),"⚠ Card ID?"))</f>
        <v/>
      </c>
      <c r="G841" s="37" t="n"/>
      <c r="H841" s="37" t="n"/>
      <c r="I841" s="41" t="n"/>
      <c r="J841" s="45" t="str">
        <f>IF($I841="","",IFERROR(INDEX(MCC_MASTER!$B$5:$B$504,MATCH($I841,MCC_MASTER!$A$5:$A$504,0)),"⚠ MCC chưa có"))</f>
        <v/>
      </c>
      <c r="K841" s="45" t="str">
        <f>IF($I841="","",IFERROR(IF(INDEX(MCC_MASTER!$C$5:$C$504,MATCH($I841,MCC_MASTER!$A$5:$A$504,0))="","Chưa phân loại",INDEX(MCC_MASTER!$C$5:$C$504,MATCH($I841,MCC_MASTER!$A$5:$A$504,0))),"Chưa phân loại"))</f>
        <v/>
      </c>
      <c r="L841" s="40" t="n"/>
      <c r="M841" s="48" t="str">
        <f>IF(OR($B841="",$D841=""),"",IF($AC841=0,0,IF(ISNUMBER(INDEX(CASHBACK_RULES!$L$5:$L$304,$AC841)),MAX(0,MIN($L841,INDEX(CASHBACK_RULES!$L$5:$L$304,$AC841)-$AH841)),MAX(0,$L841))))</f>
        <v/>
      </c>
      <c r="N841" s="49" t="str">
        <f>IF(OR($B841="",$D841=""),"",IF($AC841&gt;0,INDEX(CASHBACK_RULES!$I$5:$I$304,$AC841),0))</f>
        <v/>
      </c>
      <c r="O841" s="48" t="str">
        <f>IF(OR($B841="",$D841=""),"",ROUND($M841*$N841,0))</f>
        <v/>
      </c>
      <c r="P841" s="48" t="str">
        <f>IF($AC841&gt;0,IF(ISNUMBER(INDEX(CASHBACK_RULES!$J$5:$J$304,$AC841)),INDEX(CASHBACK_RULES!$J$5:$J$304,$AC841),"∞"),"")</f>
        <v/>
      </c>
      <c r="Q841" s="48" t="str">
        <f>IF(OR($B841="",$D841=""),"",IF($AC841=0,0,MAX(0,MIN($O841,IF(ISNUMBER($P841),$P841-$AF841,1E+15),IF(ISNUMBER($AA841),$AA841-$AG841,1E+15)))))</f>
        <v/>
      </c>
      <c r="R841" s="48" t="str">
        <f>IF(OR($B841="",$D841=""),"",IF($AC841=0,"",IF(AND(NOT(ISNUMBER($P841)),NOT(ISNUMBER($AA841))),"∞",MAX(0,MIN(IF(ISNUMBER($P841),$P841-$AF841-$Q841,1E+15),IF(ISNUMBER($AA841),$AA841-$AG841-$Q841,1E+15))))))</f>
        <v/>
      </c>
      <c r="S841" s="47" t="str">
        <f>IF($AD841="","",YEAR($AD841)*100+MONTH($AD841))</f>
        <v/>
      </c>
      <c r="T841" s="50" t="str">
        <f>IF($AD841="","",IFERROR(IF(INDEX(CARDS!$I$5:$I$34,MATCH($D841,CARDS!$A$5:$A$34,0))="","",IF(INDEX(CARDS!$I$5:$I$34,MATCH($D841,CARDS!$A$5:$A$34,0))&gt;INDEX(CARDS!$H$5:$H$34,MATCH($D841,CARDS!$A$5:$A$34,0)),DATE(YEAR($AD841),MONTH($AD841),MIN(INDEX(CARDS!$I$5:$I$34,MATCH($D841,CARDS!$A$5:$A$34,0)),DAY(EOMONTH($AD841,0)))),DATE(YEAR($AD841),MONTH($AD841)+1,MIN(INDEX(CARDS!$I$5:$I$34,MATCH($D841,CARDS!$A$5:$A$34,0)),DAY(EOMONTH($AD841,1)))))),""))</f>
        <v/>
      </c>
      <c r="U841" s="38" t="n"/>
      <c r="V841" s="37" t="n"/>
      <c r="W841" s="38" t="n"/>
      <c r="X841" s="38" t="n"/>
      <c r="Y841" s="44" t="str">
        <f>IF($AC841&gt;0,INDEX(CASHBACK_RULES!$A$5:$A$304,$AC841),"")</f>
        <v/>
      </c>
      <c r="Z841" s="45" t="str">
        <f>IF($AC841&gt;0,INDEX(CASHBACK_RULES!$E$5:$E$304,$AC841)&amp;"","")</f>
        <v/>
      </c>
      <c r="AA841" s="48" t="str">
        <f>IF($AC841&gt;0,IF(ISNUMBER(INDEX(CASHBACK_RULES!$K$5:$K$304,$AC841)),INDEX(CASHBACK_RULES!$K$5:$K$304,$AC841),"∞"),"")</f>
        <v/>
      </c>
      <c r="AB841" s="44" t="str">
        <f>IF(OR($B841="",$D841=""),"",IF($U841="Cancelled","Đã hủy",IF($AC841=0,"Không được hoàn",IF($Q841=0,IF(OR($O841&gt;0,$M841&lt;$L841),"Đã đạt cap","Không được hoàn"),IF(OR($Q841&lt;$O841,$M841&lt;$L841),"Hoàn một phần","Được hoàn")))))</f>
        <v/>
      </c>
      <c r="AC841" s="43">
        <f>IF(OR($B841="",$D841="",$I841="",$L841=""),0,IF($U841="Cancelled",0,IF($W841&lt;&gt;"",IFERROR(IF(INDEX(CASHBACK_RULES!$B$5:$B$304,MATCH($W841,CASHBACK_RULES!$A$5:$A$304,0))=$D841,MATCH($W841,CASHBACK_RULES!$A$5:$A$304,0),0),0),IFERROR(MATCH(1,INDEX((CASHBACK_RULES!$B$5:$B$304=$D841)*(CASHBACK_RULES!$G$5:$G$304=$I841)*(((CASHBACK_RULES!$N$5:$N$304="")+(CASHBACK_RULES!$N$5:$N$304&lt;=$B841))&gt;0)*(((CASHBACK_RULES!$O$5:$O$304="")+(CASHBACK_RULES!$O$5:$O$304&gt;=$B841))&gt;0)*(((CASHBACK_RULES!$M$5:$M$304="")+(CASHBACK_RULES!$M$5:$M$304&lt;=$L841))&gt;0),0),0),0))))</f>
        <v>0</v>
      </c>
      <c r="AD841" s="51" t="str">
        <f>IF(OR($B841="",$D841=""),"",IFERROR(IF(INDEX(CARDS!$H$5:$H$34,MATCH($D841,CARDS!$A$5:$A$34,0))="","",IF(DAY($B841)&lt;=INDEX(CARDS!$H$5:$H$34,MATCH($D841,CARDS!$A$5:$A$34,0)),DATE(YEAR($B841),MONTH($B841),MIN(INDEX(CARDS!$H$5:$H$34,MATCH($D841,CARDS!$A$5:$A$34,0)),DAY(EOMONTH($B841,0)))),DATE(YEAR($B841),MONTH($B841)+1,MIN(INDEX(CARDS!$H$5:$H$34,MATCH($D841,CARDS!$A$5:$A$34,0)),DAY(EOMONTH($B841,1)))))),""))</f>
        <v/>
      </c>
      <c r="AE841" s="52" t="str">
        <f>IF($C841="","",$C841&amp;"|"&amp;COUNTIF($C$5:$C841,$C841))</f>
        <v/>
      </c>
      <c r="AF841" s="53">
        <f>IF($AC841&gt;0,SUMIFS(Q$4:Q840,$D$4:$D840,$D841,$Z$4:$Z840,$Z841,$C$4:$C840,$C841),0)</f>
        <v>0</v>
      </c>
      <c r="AG841" s="53">
        <f>IF($AC841&gt;0,SUMIFS(Q$4:Q840,$D$4:$D840,$D841,$C$4:$C840,$C841),0)</f>
        <v>0</v>
      </c>
      <c r="AH841" s="53">
        <f>IF($AC841&gt;0,SUMIFS(M$4:M840,$D$4:$D840,$D841,$Z$4:$Z840,$Z841,$C$4:$C840,$C841),0)</f>
        <v>0</v>
      </c>
      <c r="AI841" s="43">
        <f>IF(OR($C841="",$I841=""),0,IF(COUNTIFS($C$5:$C841,$C841,$I$5:$I841,$I841)=1,1,0))</f>
        <v>0</v>
      </c>
      <c r="AJ841" s="43" t="str">
        <f>IF($AI841=1,SUMIFS($AI$4:$AI840,$C$4:$C840,$C841)+1,"")</f>
        <v/>
      </c>
      <c r="AK841" s="43">
        <f>IF(OR($C841="",$K841=""),0,IF(COUNTIFS($C$5:$C841,$C841,$K$5:$K841,$K841)=1,1,0))</f>
        <v>0</v>
      </c>
      <c r="AL841" s="43" t="str">
        <f>IF($AK841=1,SUMIFS($AK$4:$AK840,$C$4:$C840,$C841)+1,"")</f>
        <v/>
      </c>
      <c r="AM841" s="43">
        <f>IF(OR($C841="",$G841=""),0,IF(COUNTIFS($C$5:$C841,$C841,$G$5:$G841,$G841)=1,1,0))</f>
        <v>0</v>
      </c>
      <c r="AN841" s="43" t="str">
        <f>IF($AM841=1,SUMIFS($AM$4:$AM840,$C$4:$C840,$C841)+1,"")</f>
        <v/>
      </c>
    </row>
    <row r="842">
      <c r="A842" s="44" t="str">
        <f>IF(OR($B842="",$D842=""),"","TX"&amp;TEXT(ROW()-4,"0000"))</f>
        <v/>
      </c>
      <c r="B842" s="42" t="n"/>
      <c r="C842" s="47" t="str">
        <f>IF($B842="","",YEAR($B842)*100+MONTH($B842))</f>
        <v/>
      </c>
      <c r="D842" s="37" t="n"/>
      <c r="E842" s="45" t="str">
        <f>IF($D842="","",IFERROR(INDEX(CARDS!$B$5:$B$34,MATCH($D842,CARDS!$A$5:$A$34,0)),"⚠ Card ID?"))</f>
        <v/>
      </c>
      <c r="F842" s="45" t="str">
        <f>IF($D842="","",IFERROR(INDEX(CARDS!$C$5:$C$34,MATCH($D842,CARDS!$A$5:$A$34,0)),"⚠ Card ID?"))</f>
        <v/>
      </c>
      <c r="G842" s="37" t="n"/>
      <c r="H842" s="37" t="n"/>
      <c r="I842" s="41" t="n"/>
      <c r="J842" s="45" t="str">
        <f>IF($I842="","",IFERROR(INDEX(MCC_MASTER!$B$5:$B$504,MATCH($I842,MCC_MASTER!$A$5:$A$504,0)),"⚠ MCC chưa có"))</f>
        <v/>
      </c>
      <c r="K842" s="45" t="str">
        <f>IF($I842="","",IFERROR(IF(INDEX(MCC_MASTER!$C$5:$C$504,MATCH($I842,MCC_MASTER!$A$5:$A$504,0))="","Chưa phân loại",INDEX(MCC_MASTER!$C$5:$C$504,MATCH($I842,MCC_MASTER!$A$5:$A$504,0))),"Chưa phân loại"))</f>
        <v/>
      </c>
      <c r="L842" s="40" t="n"/>
      <c r="M842" s="48" t="str">
        <f>IF(OR($B842="",$D842=""),"",IF($AC842=0,0,IF(ISNUMBER(INDEX(CASHBACK_RULES!$L$5:$L$304,$AC842)),MAX(0,MIN($L842,INDEX(CASHBACK_RULES!$L$5:$L$304,$AC842)-$AH842)),MAX(0,$L842))))</f>
        <v/>
      </c>
      <c r="N842" s="49" t="str">
        <f>IF(OR($B842="",$D842=""),"",IF($AC842&gt;0,INDEX(CASHBACK_RULES!$I$5:$I$304,$AC842),0))</f>
        <v/>
      </c>
      <c r="O842" s="48" t="str">
        <f>IF(OR($B842="",$D842=""),"",ROUND($M842*$N842,0))</f>
        <v/>
      </c>
      <c r="P842" s="48" t="str">
        <f>IF($AC842&gt;0,IF(ISNUMBER(INDEX(CASHBACK_RULES!$J$5:$J$304,$AC842)),INDEX(CASHBACK_RULES!$J$5:$J$304,$AC842),"∞"),"")</f>
        <v/>
      </c>
      <c r="Q842" s="48" t="str">
        <f>IF(OR($B842="",$D842=""),"",IF($AC842=0,0,MAX(0,MIN($O842,IF(ISNUMBER($P842),$P842-$AF842,1E+15),IF(ISNUMBER($AA842),$AA842-$AG842,1E+15)))))</f>
        <v/>
      </c>
      <c r="R842" s="48" t="str">
        <f>IF(OR($B842="",$D842=""),"",IF($AC842=0,"",IF(AND(NOT(ISNUMBER($P842)),NOT(ISNUMBER($AA842))),"∞",MAX(0,MIN(IF(ISNUMBER($P842),$P842-$AF842-$Q842,1E+15),IF(ISNUMBER($AA842),$AA842-$AG842-$Q842,1E+15))))))</f>
        <v/>
      </c>
      <c r="S842" s="47" t="str">
        <f>IF($AD842="","",YEAR($AD842)*100+MONTH($AD842))</f>
        <v/>
      </c>
      <c r="T842" s="50" t="str">
        <f>IF($AD842="","",IFERROR(IF(INDEX(CARDS!$I$5:$I$34,MATCH($D842,CARDS!$A$5:$A$34,0))="","",IF(INDEX(CARDS!$I$5:$I$34,MATCH($D842,CARDS!$A$5:$A$34,0))&gt;INDEX(CARDS!$H$5:$H$34,MATCH($D842,CARDS!$A$5:$A$34,0)),DATE(YEAR($AD842),MONTH($AD842),MIN(INDEX(CARDS!$I$5:$I$34,MATCH($D842,CARDS!$A$5:$A$34,0)),DAY(EOMONTH($AD842,0)))),DATE(YEAR($AD842),MONTH($AD842)+1,MIN(INDEX(CARDS!$I$5:$I$34,MATCH($D842,CARDS!$A$5:$A$34,0)),DAY(EOMONTH($AD842,1)))))),""))</f>
        <v/>
      </c>
      <c r="U842" s="38" t="n"/>
      <c r="V842" s="37" t="n"/>
      <c r="W842" s="38" t="n"/>
      <c r="X842" s="38" t="n"/>
      <c r="Y842" s="44" t="str">
        <f>IF($AC842&gt;0,INDEX(CASHBACK_RULES!$A$5:$A$304,$AC842),"")</f>
        <v/>
      </c>
      <c r="Z842" s="45" t="str">
        <f>IF($AC842&gt;0,INDEX(CASHBACK_RULES!$E$5:$E$304,$AC842)&amp;"","")</f>
        <v/>
      </c>
      <c r="AA842" s="48" t="str">
        <f>IF($AC842&gt;0,IF(ISNUMBER(INDEX(CASHBACK_RULES!$K$5:$K$304,$AC842)),INDEX(CASHBACK_RULES!$K$5:$K$304,$AC842),"∞"),"")</f>
        <v/>
      </c>
      <c r="AB842" s="44" t="str">
        <f>IF(OR($B842="",$D842=""),"",IF($U842="Cancelled","Đã hủy",IF($AC842=0,"Không được hoàn",IF($Q842=0,IF(OR($O842&gt;0,$M842&lt;$L842),"Đã đạt cap","Không được hoàn"),IF(OR($Q842&lt;$O842,$M842&lt;$L842),"Hoàn một phần","Được hoàn")))))</f>
        <v/>
      </c>
      <c r="AC842" s="43">
        <f>IF(OR($B842="",$D842="",$I842="",$L842=""),0,IF($U842="Cancelled",0,IF($W842&lt;&gt;"",IFERROR(IF(INDEX(CASHBACK_RULES!$B$5:$B$304,MATCH($W842,CASHBACK_RULES!$A$5:$A$304,0))=$D842,MATCH($W842,CASHBACK_RULES!$A$5:$A$304,0),0),0),IFERROR(MATCH(1,INDEX((CASHBACK_RULES!$B$5:$B$304=$D842)*(CASHBACK_RULES!$G$5:$G$304=$I842)*(((CASHBACK_RULES!$N$5:$N$304="")+(CASHBACK_RULES!$N$5:$N$304&lt;=$B842))&gt;0)*(((CASHBACK_RULES!$O$5:$O$304="")+(CASHBACK_RULES!$O$5:$O$304&gt;=$B842))&gt;0)*(((CASHBACK_RULES!$M$5:$M$304="")+(CASHBACK_RULES!$M$5:$M$304&lt;=$L842))&gt;0),0),0),0))))</f>
        <v>0</v>
      </c>
      <c r="AD842" s="51" t="str">
        <f>IF(OR($B842="",$D842=""),"",IFERROR(IF(INDEX(CARDS!$H$5:$H$34,MATCH($D842,CARDS!$A$5:$A$34,0))="","",IF(DAY($B842)&lt;=INDEX(CARDS!$H$5:$H$34,MATCH($D842,CARDS!$A$5:$A$34,0)),DATE(YEAR($B842),MONTH($B842),MIN(INDEX(CARDS!$H$5:$H$34,MATCH($D842,CARDS!$A$5:$A$34,0)),DAY(EOMONTH($B842,0)))),DATE(YEAR($B842),MONTH($B842)+1,MIN(INDEX(CARDS!$H$5:$H$34,MATCH($D842,CARDS!$A$5:$A$34,0)),DAY(EOMONTH($B842,1)))))),""))</f>
        <v/>
      </c>
      <c r="AE842" s="52" t="str">
        <f>IF($C842="","",$C842&amp;"|"&amp;COUNTIF($C$5:$C842,$C842))</f>
        <v/>
      </c>
      <c r="AF842" s="53">
        <f>IF($AC842&gt;0,SUMIFS(Q$4:Q841,$D$4:$D841,$D842,$Z$4:$Z841,$Z842,$C$4:$C841,$C842),0)</f>
        <v>0</v>
      </c>
      <c r="AG842" s="53">
        <f>IF($AC842&gt;0,SUMIFS(Q$4:Q841,$D$4:$D841,$D842,$C$4:$C841,$C842),0)</f>
        <v>0</v>
      </c>
      <c r="AH842" s="53">
        <f>IF($AC842&gt;0,SUMIFS(M$4:M841,$D$4:$D841,$D842,$Z$4:$Z841,$Z842,$C$4:$C841,$C842),0)</f>
        <v>0</v>
      </c>
      <c r="AI842" s="43">
        <f>IF(OR($C842="",$I842=""),0,IF(COUNTIFS($C$5:$C842,$C842,$I$5:$I842,$I842)=1,1,0))</f>
        <v>0</v>
      </c>
      <c r="AJ842" s="43" t="str">
        <f>IF($AI842=1,SUMIFS($AI$4:$AI841,$C$4:$C841,$C842)+1,"")</f>
        <v/>
      </c>
      <c r="AK842" s="43">
        <f>IF(OR($C842="",$K842=""),0,IF(COUNTIFS($C$5:$C842,$C842,$K$5:$K842,$K842)=1,1,0))</f>
        <v>0</v>
      </c>
      <c r="AL842" s="43" t="str">
        <f>IF($AK842=1,SUMIFS($AK$4:$AK841,$C$4:$C841,$C842)+1,"")</f>
        <v/>
      </c>
      <c r="AM842" s="43">
        <f>IF(OR($C842="",$G842=""),0,IF(COUNTIFS($C$5:$C842,$C842,$G$5:$G842,$G842)=1,1,0))</f>
        <v>0</v>
      </c>
      <c r="AN842" s="43" t="str">
        <f>IF($AM842=1,SUMIFS($AM$4:$AM841,$C$4:$C841,$C842)+1,"")</f>
        <v/>
      </c>
    </row>
    <row r="843">
      <c r="A843" s="44" t="str">
        <f>IF(OR($B843="",$D843=""),"","TX"&amp;TEXT(ROW()-4,"0000"))</f>
        <v/>
      </c>
      <c r="B843" s="42" t="n"/>
      <c r="C843" s="47" t="str">
        <f>IF($B843="","",YEAR($B843)*100+MONTH($B843))</f>
        <v/>
      </c>
      <c r="D843" s="37" t="n"/>
      <c r="E843" s="45" t="str">
        <f>IF($D843="","",IFERROR(INDEX(CARDS!$B$5:$B$34,MATCH($D843,CARDS!$A$5:$A$34,0)),"⚠ Card ID?"))</f>
        <v/>
      </c>
      <c r="F843" s="45" t="str">
        <f>IF($D843="","",IFERROR(INDEX(CARDS!$C$5:$C$34,MATCH($D843,CARDS!$A$5:$A$34,0)),"⚠ Card ID?"))</f>
        <v/>
      </c>
      <c r="G843" s="37" t="n"/>
      <c r="H843" s="37" t="n"/>
      <c r="I843" s="41" t="n"/>
      <c r="J843" s="45" t="str">
        <f>IF($I843="","",IFERROR(INDEX(MCC_MASTER!$B$5:$B$504,MATCH($I843,MCC_MASTER!$A$5:$A$504,0)),"⚠ MCC chưa có"))</f>
        <v/>
      </c>
      <c r="K843" s="45" t="str">
        <f>IF($I843="","",IFERROR(IF(INDEX(MCC_MASTER!$C$5:$C$504,MATCH($I843,MCC_MASTER!$A$5:$A$504,0))="","Chưa phân loại",INDEX(MCC_MASTER!$C$5:$C$504,MATCH($I843,MCC_MASTER!$A$5:$A$504,0))),"Chưa phân loại"))</f>
        <v/>
      </c>
      <c r="L843" s="40" t="n"/>
      <c r="M843" s="48" t="str">
        <f>IF(OR($B843="",$D843=""),"",IF($AC843=0,0,IF(ISNUMBER(INDEX(CASHBACK_RULES!$L$5:$L$304,$AC843)),MAX(0,MIN($L843,INDEX(CASHBACK_RULES!$L$5:$L$304,$AC843)-$AH843)),MAX(0,$L843))))</f>
        <v/>
      </c>
      <c r="N843" s="49" t="str">
        <f>IF(OR($B843="",$D843=""),"",IF($AC843&gt;0,INDEX(CASHBACK_RULES!$I$5:$I$304,$AC843),0))</f>
        <v/>
      </c>
      <c r="O843" s="48" t="str">
        <f>IF(OR($B843="",$D843=""),"",ROUND($M843*$N843,0))</f>
        <v/>
      </c>
      <c r="P843" s="48" t="str">
        <f>IF($AC843&gt;0,IF(ISNUMBER(INDEX(CASHBACK_RULES!$J$5:$J$304,$AC843)),INDEX(CASHBACK_RULES!$J$5:$J$304,$AC843),"∞"),"")</f>
        <v/>
      </c>
      <c r="Q843" s="48" t="str">
        <f>IF(OR($B843="",$D843=""),"",IF($AC843=0,0,MAX(0,MIN($O843,IF(ISNUMBER($P843),$P843-$AF843,1E+15),IF(ISNUMBER($AA843),$AA843-$AG843,1E+15)))))</f>
        <v/>
      </c>
      <c r="R843" s="48" t="str">
        <f>IF(OR($B843="",$D843=""),"",IF($AC843=0,"",IF(AND(NOT(ISNUMBER($P843)),NOT(ISNUMBER($AA843))),"∞",MAX(0,MIN(IF(ISNUMBER($P843),$P843-$AF843-$Q843,1E+15),IF(ISNUMBER($AA843),$AA843-$AG843-$Q843,1E+15))))))</f>
        <v/>
      </c>
      <c r="S843" s="47" t="str">
        <f>IF($AD843="","",YEAR($AD843)*100+MONTH($AD843))</f>
        <v/>
      </c>
      <c r="T843" s="50" t="str">
        <f>IF($AD843="","",IFERROR(IF(INDEX(CARDS!$I$5:$I$34,MATCH($D843,CARDS!$A$5:$A$34,0))="","",IF(INDEX(CARDS!$I$5:$I$34,MATCH($D843,CARDS!$A$5:$A$34,0))&gt;INDEX(CARDS!$H$5:$H$34,MATCH($D843,CARDS!$A$5:$A$34,0)),DATE(YEAR($AD843),MONTH($AD843),MIN(INDEX(CARDS!$I$5:$I$34,MATCH($D843,CARDS!$A$5:$A$34,0)),DAY(EOMONTH($AD843,0)))),DATE(YEAR($AD843),MONTH($AD843)+1,MIN(INDEX(CARDS!$I$5:$I$34,MATCH($D843,CARDS!$A$5:$A$34,0)),DAY(EOMONTH($AD843,1)))))),""))</f>
        <v/>
      </c>
      <c r="U843" s="38" t="n"/>
      <c r="V843" s="37" t="n"/>
      <c r="W843" s="38" t="n"/>
      <c r="X843" s="38" t="n"/>
      <c r="Y843" s="44" t="str">
        <f>IF($AC843&gt;0,INDEX(CASHBACK_RULES!$A$5:$A$304,$AC843),"")</f>
        <v/>
      </c>
      <c r="Z843" s="45" t="str">
        <f>IF($AC843&gt;0,INDEX(CASHBACK_RULES!$E$5:$E$304,$AC843)&amp;"","")</f>
        <v/>
      </c>
      <c r="AA843" s="48" t="str">
        <f>IF($AC843&gt;0,IF(ISNUMBER(INDEX(CASHBACK_RULES!$K$5:$K$304,$AC843)),INDEX(CASHBACK_RULES!$K$5:$K$304,$AC843),"∞"),"")</f>
        <v/>
      </c>
      <c r="AB843" s="44" t="str">
        <f>IF(OR($B843="",$D843=""),"",IF($U843="Cancelled","Đã hủy",IF($AC843=0,"Không được hoàn",IF($Q843=0,IF(OR($O843&gt;0,$M843&lt;$L843),"Đã đạt cap","Không được hoàn"),IF(OR($Q843&lt;$O843,$M843&lt;$L843),"Hoàn một phần","Được hoàn")))))</f>
        <v/>
      </c>
      <c r="AC843" s="43">
        <f>IF(OR($B843="",$D843="",$I843="",$L843=""),0,IF($U843="Cancelled",0,IF($W843&lt;&gt;"",IFERROR(IF(INDEX(CASHBACK_RULES!$B$5:$B$304,MATCH($W843,CASHBACK_RULES!$A$5:$A$304,0))=$D843,MATCH($W843,CASHBACK_RULES!$A$5:$A$304,0),0),0),IFERROR(MATCH(1,INDEX((CASHBACK_RULES!$B$5:$B$304=$D843)*(CASHBACK_RULES!$G$5:$G$304=$I843)*(((CASHBACK_RULES!$N$5:$N$304="")+(CASHBACK_RULES!$N$5:$N$304&lt;=$B843))&gt;0)*(((CASHBACK_RULES!$O$5:$O$304="")+(CASHBACK_RULES!$O$5:$O$304&gt;=$B843))&gt;0)*(((CASHBACK_RULES!$M$5:$M$304="")+(CASHBACK_RULES!$M$5:$M$304&lt;=$L843))&gt;0),0),0),0))))</f>
        <v>0</v>
      </c>
      <c r="AD843" s="51" t="str">
        <f>IF(OR($B843="",$D843=""),"",IFERROR(IF(INDEX(CARDS!$H$5:$H$34,MATCH($D843,CARDS!$A$5:$A$34,0))="","",IF(DAY($B843)&lt;=INDEX(CARDS!$H$5:$H$34,MATCH($D843,CARDS!$A$5:$A$34,0)),DATE(YEAR($B843),MONTH($B843),MIN(INDEX(CARDS!$H$5:$H$34,MATCH($D843,CARDS!$A$5:$A$34,0)),DAY(EOMONTH($B843,0)))),DATE(YEAR($B843),MONTH($B843)+1,MIN(INDEX(CARDS!$H$5:$H$34,MATCH($D843,CARDS!$A$5:$A$34,0)),DAY(EOMONTH($B843,1)))))),""))</f>
        <v/>
      </c>
      <c r="AE843" s="52" t="str">
        <f>IF($C843="","",$C843&amp;"|"&amp;COUNTIF($C$5:$C843,$C843))</f>
        <v/>
      </c>
      <c r="AF843" s="53">
        <f>IF($AC843&gt;0,SUMIFS(Q$4:Q842,$D$4:$D842,$D843,$Z$4:$Z842,$Z843,$C$4:$C842,$C843),0)</f>
        <v>0</v>
      </c>
      <c r="AG843" s="53">
        <f>IF($AC843&gt;0,SUMIFS(Q$4:Q842,$D$4:$D842,$D843,$C$4:$C842,$C843),0)</f>
        <v>0</v>
      </c>
      <c r="AH843" s="53">
        <f>IF($AC843&gt;0,SUMIFS(M$4:M842,$D$4:$D842,$D843,$Z$4:$Z842,$Z843,$C$4:$C842,$C843),0)</f>
        <v>0</v>
      </c>
      <c r="AI843" s="43">
        <f>IF(OR($C843="",$I843=""),0,IF(COUNTIFS($C$5:$C843,$C843,$I$5:$I843,$I843)=1,1,0))</f>
        <v>0</v>
      </c>
      <c r="AJ843" s="43" t="str">
        <f>IF($AI843=1,SUMIFS($AI$4:$AI842,$C$4:$C842,$C843)+1,"")</f>
        <v/>
      </c>
      <c r="AK843" s="43">
        <f>IF(OR($C843="",$K843=""),0,IF(COUNTIFS($C$5:$C843,$C843,$K$5:$K843,$K843)=1,1,0))</f>
        <v>0</v>
      </c>
      <c r="AL843" s="43" t="str">
        <f>IF($AK843=1,SUMIFS($AK$4:$AK842,$C$4:$C842,$C843)+1,"")</f>
        <v/>
      </c>
      <c r="AM843" s="43">
        <f>IF(OR($C843="",$G843=""),0,IF(COUNTIFS($C$5:$C843,$C843,$G$5:$G843,$G843)=1,1,0))</f>
        <v>0</v>
      </c>
      <c r="AN843" s="43" t="str">
        <f>IF($AM843=1,SUMIFS($AM$4:$AM842,$C$4:$C842,$C843)+1,"")</f>
        <v/>
      </c>
    </row>
    <row r="844">
      <c r="A844" s="44" t="str">
        <f>IF(OR($B844="",$D844=""),"","TX"&amp;TEXT(ROW()-4,"0000"))</f>
        <v/>
      </c>
      <c r="B844" s="42" t="n"/>
      <c r="C844" s="47" t="str">
        <f>IF($B844="","",YEAR($B844)*100+MONTH($B844))</f>
        <v/>
      </c>
      <c r="D844" s="37" t="n"/>
      <c r="E844" s="45" t="str">
        <f>IF($D844="","",IFERROR(INDEX(CARDS!$B$5:$B$34,MATCH($D844,CARDS!$A$5:$A$34,0)),"⚠ Card ID?"))</f>
        <v/>
      </c>
      <c r="F844" s="45" t="str">
        <f>IF($D844="","",IFERROR(INDEX(CARDS!$C$5:$C$34,MATCH($D844,CARDS!$A$5:$A$34,0)),"⚠ Card ID?"))</f>
        <v/>
      </c>
      <c r="G844" s="37" t="n"/>
      <c r="H844" s="37" t="n"/>
      <c r="I844" s="41" t="n"/>
      <c r="J844" s="45" t="str">
        <f>IF($I844="","",IFERROR(INDEX(MCC_MASTER!$B$5:$B$504,MATCH($I844,MCC_MASTER!$A$5:$A$504,0)),"⚠ MCC chưa có"))</f>
        <v/>
      </c>
      <c r="K844" s="45" t="str">
        <f>IF($I844="","",IFERROR(IF(INDEX(MCC_MASTER!$C$5:$C$504,MATCH($I844,MCC_MASTER!$A$5:$A$504,0))="","Chưa phân loại",INDEX(MCC_MASTER!$C$5:$C$504,MATCH($I844,MCC_MASTER!$A$5:$A$504,0))),"Chưa phân loại"))</f>
        <v/>
      </c>
      <c r="L844" s="40" t="n"/>
      <c r="M844" s="48" t="str">
        <f>IF(OR($B844="",$D844=""),"",IF($AC844=0,0,IF(ISNUMBER(INDEX(CASHBACK_RULES!$L$5:$L$304,$AC844)),MAX(0,MIN($L844,INDEX(CASHBACK_RULES!$L$5:$L$304,$AC844)-$AH844)),MAX(0,$L844))))</f>
        <v/>
      </c>
      <c r="N844" s="49" t="str">
        <f>IF(OR($B844="",$D844=""),"",IF($AC844&gt;0,INDEX(CASHBACK_RULES!$I$5:$I$304,$AC844),0))</f>
        <v/>
      </c>
      <c r="O844" s="48" t="str">
        <f>IF(OR($B844="",$D844=""),"",ROUND($M844*$N844,0))</f>
        <v/>
      </c>
      <c r="P844" s="48" t="str">
        <f>IF($AC844&gt;0,IF(ISNUMBER(INDEX(CASHBACK_RULES!$J$5:$J$304,$AC844)),INDEX(CASHBACK_RULES!$J$5:$J$304,$AC844),"∞"),"")</f>
        <v/>
      </c>
      <c r="Q844" s="48" t="str">
        <f>IF(OR($B844="",$D844=""),"",IF($AC844=0,0,MAX(0,MIN($O844,IF(ISNUMBER($P844),$P844-$AF844,1E+15),IF(ISNUMBER($AA844),$AA844-$AG844,1E+15)))))</f>
        <v/>
      </c>
      <c r="R844" s="48" t="str">
        <f>IF(OR($B844="",$D844=""),"",IF($AC844=0,"",IF(AND(NOT(ISNUMBER($P844)),NOT(ISNUMBER($AA844))),"∞",MAX(0,MIN(IF(ISNUMBER($P844),$P844-$AF844-$Q844,1E+15),IF(ISNUMBER($AA844),$AA844-$AG844-$Q844,1E+15))))))</f>
        <v/>
      </c>
      <c r="S844" s="47" t="str">
        <f>IF($AD844="","",YEAR($AD844)*100+MONTH($AD844))</f>
        <v/>
      </c>
      <c r="T844" s="50" t="str">
        <f>IF($AD844="","",IFERROR(IF(INDEX(CARDS!$I$5:$I$34,MATCH($D844,CARDS!$A$5:$A$34,0))="","",IF(INDEX(CARDS!$I$5:$I$34,MATCH($D844,CARDS!$A$5:$A$34,0))&gt;INDEX(CARDS!$H$5:$H$34,MATCH($D844,CARDS!$A$5:$A$34,0)),DATE(YEAR($AD844),MONTH($AD844),MIN(INDEX(CARDS!$I$5:$I$34,MATCH($D844,CARDS!$A$5:$A$34,0)),DAY(EOMONTH($AD844,0)))),DATE(YEAR($AD844),MONTH($AD844)+1,MIN(INDEX(CARDS!$I$5:$I$34,MATCH($D844,CARDS!$A$5:$A$34,0)),DAY(EOMONTH($AD844,1)))))),""))</f>
        <v/>
      </c>
      <c r="U844" s="38" t="n"/>
      <c r="V844" s="37" t="n"/>
      <c r="W844" s="38" t="n"/>
      <c r="X844" s="38" t="n"/>
      <c r="Y844" s="44" t="str">
        <f>IF($AC844&gt;0,INDEX(CASHBACK_RULES!$A$5:$A$304,$AC844),"")</f>
        <v/>
      </c>
      <c r="Z844" s="45" t="str">
        <f>IF($AC844&gt;0,INDEX(CASHBACK_RULES!$E$5:$E$304,$AC844)&amp;"","")</f>
        <v/>
      </c>
      <c r="AA844" s="48" t="str">
        <f>IF($AC844&gt;0,IF(ISNUMBER(INDEX(CASHBACK_RULES!$K$5:$K$304,$AC844)),INDEX(CASHBACK_RULES!$K$5:$K$304,$AC844),"∞"),"")</f>
        <v/>
      </c>
      <c r="AB844" s="44" t="str">
        <f>IF(OR($B844="",$D844=""),"",IF($U844="Cancelled","Đã hủy",IF($AC844=0,"Không được hoàn",IF($Q844=0,IF(OR($O844&gt;0,$M844&lt;$L844),"Đã đạt cap","Không được hoàn"),IF(OR($Q844&lt;$O844,$M844&lt;$L844),"Hoàn một phần","Được hoàn")))))</f>
        <v/>
      </c>
      <c r="AC844" s="43">
        <f>IF(OR($B844="",$D844="",$I844="",$L844=""),0,IF($U844="Cancelled",0,IF($W844&lt;&gt;"",IFERROR(IF(INDEX(CASHBACK_RULES!$B$5:$B$304,MATCH($W844,CASHBACK_RULES!$A$5:$A$304,0))=$D844,MATCH($W844,CASHBACK_RULES!$A$5:$A$304,0),0),0),IFERROR(MATCH(1,INDEX((CASHBACK_RULES!$B$5:$B$304=$D844)*(CASHBACK_RULES!$G$5:$G$304=$I844)*(((CASHBACK_RULES!$N$5:$N$304="")+(CASHBACK_RULES!$N$5:$N$304&lt;=$B844))&gt;0)*(((CASHBACK_RULES!$O$5:$O$304="")+(CASHBACK_RULES!$O$5:$O$304&gt;=$B844))&gt;0)*(((CASHBACK_RULES!$M$5:$M$304="")+(CASHBACK_RULES!$M$5:$M$304&lt;=$L844))&gt;0),0),0),0))))</f>
        <v>0</v>
      </c>
      <c r="AD844" s="51" t="str">
        <f>IF(OR($B844="",$D844=""),"",IFERROR(IF(INDEX(CARDS!$H$5:$H$34,MATCH($D844,CARDS!$A$5:$A$34,0))="","",IF(DAY($B844)&lt;=INDEX(CARDS!$H$5:$H$34,MATCH($D844,CARDS!$A$5:$A$34,0)),DATE(YEAR($B844),MONTH($B844),MIN(INDEX(CARDS!$H$5:$H$34,MATCH($D844,CARDS!$A$5:$A$34,0)),DAY(EOMONTH($B844,0)))),DATE(YEAR($B844),MONTH($B844)+1,MIN(INDEX(CARDS!$H$5:$H$34,MATCH($D844,CARDS!$A$5:$A$34,0)),DAY(EOMONTH($B844,1)))))),""))</f>
        <v/>
      </c>
      <c r="AE844" s="52" t="str">
        <f>IF($C844="","",$C844&amp;"|"&amp;COUNTIF($C$5:$C844,$C844))</f>
        <v/>
      </c>
      <c r="AF844" s="53">
        <f>IF($AC844&gt;0,SUMIFS(Q$4:Q843,$D$4:$D843,$D844,$Z$4:$Z843,$Z844,$C$4:$C843,$C844),0)</f>
        <v>0</v>
      </c>
      <c r="AG844" s="53">
        <f>IF($AC844&gt;0,SUMIFS(Q$4:Q843,$D$4:$D843,$D844,$C$4:$C843,$C844),0)</f>
        <v>0</v>
      </c>
      <c r="AH844" s="53">
        <f>IF($AC844&gt;0,SUMIFS(M$4:M843,$D$4:$D843,$D844,$Z$4:$Z843,$Z844,$C$4:$C843,$C844),0)</f>
        <v>0</v>
      </c>
      <c r="AI844" s="43">
        <f>IF(OR($C844="",$I844=""),0,IF(COUNTIFS($C$5:$C844,$C844,$I$5:$I844,$I844)=1,1,0))</f>
        <v>0</v>
      </c>
      <c r="AJ844" s="43" t="str">
        <f>IF($AI844=1,SUMIFS($AI$4:$AI843,$C$4:$C843,$C844)+1,"")</f>
        <v/>
      </c>
      <c r="AK844" s="43">
        <f>IF(OR($C844="",$K844=""),0,IF(COUNTIFS($C$5:$C844,$C844,$K$5:$K844,$K844)=1,1,0))</f>
        <v>0</v>
      </c>
      <c r="AL844" s="43" t="str">
        <f>IF($AK844=1,SUMIFS($AK$4:$AK843,$C$4:$C843,$C844)+1,"")</f>
        <v/>
      </c>
      <c r="AM844" s="43">
        <f>IF(OR($C844="",$G844=""),0,IF(COUNTIFS($C$5:$C844,$C844,$G$5:$G844,$G844)=1,1,0))</f>
        <v>0</v>
      </c>
      <c r="AN844" s="43" t="str">
        <f>IF($AM844=1,SUMIFS($AM$4:$AM843,$C$4:$C843,$C844)+1,"")</f>
        <v/>
      </c>
    </row>
    <row r="845">
      <c r="A845" s="44" t="str">
        <f>IF(OR($B845="",$D845=""),"","TX"&amp;TEXT(ROW()-4,"0000"))</f>
        <v/>
      </c>
      <c r="B845" s="42" t="n"/>
      <c r="C845" s="47" t="str">
        <f>IF($B845="","",YEAR($B845)*100+MONTH($B845))</f>
        <v/>
      </c>
      <c r="D845" s="37" t="n"/>
      <c r="E845" s="45" t="str">
        <f>IF($D845="","",IFERROR(INDEX(CARDS!$B$5:$B$34,MATCH($D845,CARDS!$A$5:$A$34,0)),"⚠ Card ID?"))</f>
        <v/>
      </c>
      <c r="F845" s="45" t="str">
        <f>IF($D845="","",IFERROR(INDEX(CARDS!$C$5:$C$34,MATCH($D845,CARDS!$A$5:$A$34,0)),"⚠ Card ID?"))</f>
        <v/>
      </c>
      <c r="G845" s="37" t="n"/>
      <c r="H845" s="37" t="n"/>
      <c r="I845" s="41" t="n"/>
      <c r="J845" s="45" t="str">
        <f>IF($I845="","",IFERROR(INDEX(MCC_MASTER!$B$5:$B$504,MATCH($I845,MCC_MASTER!$A$5:$A$504,0)),"⚠ MCC chưa có"))</f>
        <v/>
      </c>
      <c r="K845" s="45" t="str">
        <f>IF($I845="","",IFERROR(IF(INDEX(MCC_MASTER!$C$5:$C$504,MATCH($I845,MCC_MASTER!$A$5:$A$504,0))="","Chưa phân loại",INDEX(MCC_MASTER!$C$5:$C$504,MATCH($I845,MCC_MASTER!$A$5:$A$504,0))),"Chưa phân loại"))</f>
        <v/>
      </c>
      <c r="L845" s="40" t="n"/>
      <c r="M845" s="48" t="str">
        <f>IF(OR($B845="",$D845=""),"",IF($AC845=0,0,IF(ISNUMBER(INDEX(CASHBACK_RULES!$L$5:$L$304,$AC845)),MAX(0,MIN($L845,INDEX(CASHBACK_RULES!$L$5:$L$304,$AC845)-$AH845)),MAX(0,$L845))))</f>
        <v/>
      </c>
      <c r="N845" s="49" t="str">
        <f>IF(OR($B845="",$D845=""),"",IF($AC845&gt;0,INDEX(CASHBACK_RULES!$I$5:$I$304,$AC845),0))</f>
        <v/>
      </c>
      <c r="O845" s="48" t="str">
        <f>IF(OR($B845="",$D845=""),"",ROUND($M845*$N845,0))</f>
        <v/>
      </c>
      <c r="P845" s="48" t="str">
        <f>IF($AC845&gt;0,IF(ISNUMBER(INDEX(CASHBACK_RULES!$J$5:$J$304,$AC845)),INDEX(CASHBACK_RULES!$J$5:$J$304,$AC845),"∞"),"")</f>
        <v/>
      </c>
      <c r="Q845" s="48" t="str">
        <f>IF(OR($B845="",$D845=""),"",IF($AC845=0,0,MAX(0,MIN($O845,IF(ISNUMBER($P845),$P845-$AF845,1E+15),IF(ISNUMBER($AA845),$AA845-$AG845,1E+15)))))</f>
        <v/>
      </c>
      <c r="R845" s="48" t="str">
        <f>IF(OR($B845="",$D845=""),"",IF($AC845=0,"",IF(AND(NOT(ISNUMBER($P845)),NOT(ISNUMBER($AA845))),"∞",MAX(0,MIN(IF(ISNUMBER($P845),$P845-$AF845-$Q845,1E+15),IF(ISNUMBER($AA845),$AA845-$AG845-$Q845,1E+15))))))</f>
        <v/>
      </c>
      <c r="S845" s="47" t="str">
        <f>IF($AD845="","",YEAR($AD845)*100+MONTH($AD845))</f>
        <v/>
      </c>
      <c r="T845" s="50" t="str">
        <f>IF($AD845="","",IFERROR(IF(INDEX(CARDS!$I$5:$I$34,MATCH($D845,CARDS!$A$5:$A$34,0))="","",IF(INDEX(CARDS!$I$5:$I$34,MATCH($D845,CARDS!$A$5:$A$34,0))&gt;INDEX(CARDS!$H$5:$H$34,MATCH($D845,CARDS!$A$5:$A$34,0)),DATE(YEAR($AD845),MONTH($AD845),MIN(INDEX(CARDS!$I$5:$I$34,MATCH($D845,CARDS!$A$5:$A$34,0)),DAY(EOMONTH($AD845,0)))),DATE(YEAR($AD845),MONTH($AD845)+1,MIN(INDEX(CARDS!$I$5:$I$34,MATCH($D845,CARDS!$A$5:$A$34,0)),DAY(EOMONTH($AD845,1)))))),""))</f>
        <v/>
      </c>
      <c r="U845" s="38" t="n"/>
      <c r="V845" s="37" t="n"/>
      <c r="W845" s="38" t="n"/>
      <c r="X845" s="38" t="n"/>
      <c r="Y845" s="44" t="str">
        <f>IF($AC845&gt;0,INDEX(CASHBACK_RULES!$A$5:$A$304,$AC845),"")</f>
        <v/>
      </c>
      <c r="Z845" s="45" t="str">
        <f>IF($AC845&gt;0,INDEX(CASHBACK_RULES!$E$5:$E$304,$AC845)&amp;"","")</f>
        <v/>
      </c>
      <c r="AA845" s="48" t="str">
        <f>IF($AC845&gt;0,IF(ISNUMBER(INDEX(CASHBACK_RULES!$K$5:$K$304,$AC845)),INDEX(CASHBACK_RULES!$K$5:$K$304,$AC845),"∞"),"")</f>
        <v/>
      </c>
      <c r="AB845" s="44" t="str">
        <f>IF(OR($B845="",$D845=""),"",IF($U845="Cancelled","Đã hủy",IF($AC845=0,"Không được hoàn",IF($Q845=0,IF(OR($O845&gt;0,$M845&lt;$L845),"Đã đạt cap","Không được hoàn"),IF(OR($Q845&lt;$O845,$M845&lt;$L845),"Hoàn một phần","Được hoàn")))))</f>
        <v/>
      </c>
      <c r="AC845" s="43">
        <f>IF(OR($B845="",$D845="",$I845="",$L845=""),0,IF($U845="Cancelled",0,IF($W845&lt;&gt;"",IFERROR(IF(INDEX(CASHBACK_RULES!$B$5:$B$304,MATCH($W845,CASHBACK_RULES!$A$5:$A$304,0))=$D845,MATCH($W845,CASHBACK_RULES!$A$5:$A$304,0),0),0),IFERROR(MATCH(1,INDEX((CASHBACK_RULES!$B$5:$B$304=$D845)*(CASHBACK_RULES!$G$5:$G$304=$I845)*(((CASHBACK_RULES!$N$5:$N$304="")+(CASHBACK_RULES!$N$5:$N$304&lt;=$B845))&gt;0)*(((CASHBACK_RULES!$O$5:$O$304="")+(CASHBACK_RULES!$O$5:$O$304&gt;=$B845))&gt;0)*(((CASHBACK_RULES!$M$5:$M$304="")+(CASHBACK_RULES!$M$5:$M$304&lt;=$L845))&gt;0),0),0),0))))</f>
        <v>0</v>
      </c>
      <c r="AD845" s="51" t="str">
        <f>IF(OR($B845="",$D845=""),"",IFERROR(IF(INDEX(CARDS!$H$5:$H$34,MATCH($D845,CARDS!$A$5:$A$34,0))="","",IF(DAY($B845)&lt;=INDEX(CARDS!$H$5:$H$34,MATCH($D845,CARDS!$A$5:$A$34,0)),DATE(YEAR($B845),MONTH($B845),MIN(INDEX(CARDS!$H$5:$H$34,MATCH($D845,CARDS!$A$5:$A$34,0)),DAY(EOMONTH($B845,0)))),DATE(YEAR($B845),MONTH($B845)+1,MIN(INDEX(CARDS!$H$5:$H$34,MATCH($D845,CARDS!$A$5:$A$34,0)),DAY(EOMONTH($B845,1)))))),""))</f>
        <v/>
      </c>
      <c r="AE845" s="52" t="str">
        <f>IF($C845="","",$C845&amp;"|"&amp;COUNTIF($C$5:$C845,$C845))</f>
        <v/>
      </c>
      <c r="AF845" s="53">
        <f>IF($AC845&gt;0,SUMIFS(Q$4:Q844,$D$4:$D844,$D845,$Z$4:$Z844,$Z845,$C$4:$C844,$C845),0)</f>
        <v>0</v>
      </c>
      <c r="AG845" s="53">
        <f>IF($AC845&gt;0,SUMIFS(Q$4:Q844,$D$4:$D844,$D845,$C$4:$C844,$C845),0)</f>
        <v>0</v>
      </c>
      <c r="AH845" s="53">
        <f>IF($AC845&gt;0,SUMIFS(M$4:M844,$D$4:$D844,$D845,$Z$4:$Z844,$Z845,$C$4:$C844,$C845),0)</f>
        <v>0</v>
      </c>
      <c r="AI845" s="43">
        <f>IF(OR($C845="",$I845=""),0,IF(COUNTIFS($C$5:$C845,$C845,$I$5:$I845,$I845)=1,1,0))</f>
        <v>0</v>
      </c>
      <c r="AJ845" s="43" t="str">
        <f>IF($AI845=1,SUMIFS($AI$4:$AI844,$C$4:$C844,$C845)+1,"")</f>
        <v/>
      </c>
      <c r="AK845" s="43">
        <f>IF(OR($C845="",$K845=""),0,IF(COUNTIFS($C$5:$C845,$C845,$K$5:$K845,$K845)=1,1,0))</f>
        <v>0</v>
      </c>
      <c r="AL845" s="43" t="str">
        <f>IF($AK845=1,SUMIFS($AK$4:$AK844,$C$4:$C844,$C845)+1,"")</f>
        <v/>
      </c>
      <c r="AM845" s="43">
        <f>IF(OR($C845="",$G845=""),0,IF(COUNTIFS($C$5:$C845,$C845,$G$5:$G845,$G845)=1,1,0))</f>
        <v>0</v>
      </c>
      <c r="AN845" s="43" t="str">
        <f>IF($AM845=1,SUMIFS($AM$4:$AM844,$C$4:$C844,$C845)+1,"")</f>
        <v/>
      </c>
    </row>
    <row r="846">
      <c r="A846" s="44" t="str">
        <f>IF(OR($B846="",$D846=""),"","TX"&amp;TEXT(ROW()-4,"0000"))</f>
        <v/>
      </c>
      <c r="B846" s="42" t="n"/>
      <c r="C846" s="47" t="str">
        <f>IF($B846="","",YEAR($B846)*100+MONTH($B846))</f>
        <v/>
      </c>
      <c r="D846" s="37" t="n"/>
      <c r="E846" s="45" t="str">
        <f>IF($D846="","",IFERROR(INDEX(CARDS!$B$5:$B$34,MATCH($D846,CARDS!$A$5:$A$34,0)),"⚠ Card ID?"))</f>
        <v/>
      </c>
      <c r="F846" s="45" t="str">
        <f>IF($D846="","",IFERROR(INDEX(CARDS!$C$5:$C$34,MATCH($D846,CARDS!$A$5:$A$34,0)),"⚠ Card ID?"))</f>
        <v/>
      </c>
      <c r="G846" s="37" t="n"/>
      <c r="H846" s="37" t="n"/>
      <c r="I846" s="41" t="n"/>
      <c r="J846" s="45" t="str">
        <f>IF($I846="","",IFERROR(INDEX(MCC_MASTER!$B$5:$B$504,MATCH($I846,MCC_MASTER!$A$5:$A$504,0)),"⚠ MCC chưa có"))</f>
        <v/>
      </c>
      <c r="K846" s="45" t="str">
        <f>IF($I846="","",IFERROR(IF(INDEX(MCC_MASTER!$C$5:$C$504,MATCH($I846,MCC_MASTER!$A$5:$A$504,0))="","Chưa phân loại",INDEX(MCC_MASTER!$C$5:$C$504,MATCH($I846,MCC_MASTER!$A$5:$A$504,0))),"Chưa phân loại"))</f>
        <v/>
      </c>
      <c r="L846" s="40" t="n"/>
      <c r="M846" s="48" t="str">
        <f>IF(OR($B846="",$D846=""),"",IF($AC846=0,0,IF(ISNUMBER(INDEX(CASHBACK_RULES!$L$5:$L$304,$AC846)),MAX(0,MIN($L846,INDEX(CASHBACK_RULES!$L$5:$L$304,$AC846)-$AH846)),MAX(0,$L846))))</f>
        <v/>
      </c>
      <c r="N846" s="49" t="str">
        <f>IF(OR($B846="",$D846=""),"",IF($AC846&gt;0,INDEX(CASHBACK_RULES!$I$5:$I$304,$AC846),0))</f>
        <v/>
      </c>
      <c r="O846" s="48" t="str">
        <f>IF(OR($B846="",$D846=""),"",ROUND($M846*$N846,0))</f>
        <v/>
      </c>
      <c r="P846" s="48" t="str">
        <f>IF($AC846&gt;0,IF(ISNUMBER(INDEX(CASHBACK_RULES!$J$5:$J$304,$AC846)),INDEX(CASHBACK_RULES!$J$5:$J$304,$AC846),"∞"),"")</f>
        <v/>
      </c>
      <c r="Q846" s="48" t="str">
        <f>IF(OR($B846="",$D846=""),"",IF($AC846=0,0,MAX(0,MIN($O846,IF(ISNUMBER($P846),$P846-$AF846,1E+15),IF(ISNUMBER($AA846),$AA846-$AG846,1E+15)))))</f>
        <v/>
      </c>
      <c r="R846" s="48" t="str">
        <f>IF(OR($B846="",$D846=""),"",IF($AC846=0,"",IF(AND(NOT(ISNUMBER($P846)),NOT(ISNUMBER($AA846))),"∞",MAX(0,MIN(IF(ISNUMBER($P846),$P846-$AF846-$Q846,1E+15),IF(ISNUMBER($AA846),$AA846-$AG846-$Q846,1E+15))))))</f>
        <v/>
      </c>
      <c r="S846" s="47" t="str">
        <f>IF($AD846="","",YEAR($AD846)*100+MONTH($AD846))</f>
        <v/>
      </c>
      <c r="T846" s="50" t="str">
        <f>IF($AD846="","",IFERROR(IF(INDEX(CARDS!$I$5:$I$34,MATCH($D846,CARDS!$A$5:$A$34,0))="","",IF(INDEX(CARDS!$I$5:$I$34,MATCH($D846,CARDS!$A$5:$A$34,0))&gt;INDEX(CARDS!$H$5:$H$34,MATCH($D846,CARDS!$A$5:$A$34,0)),DATE(YEAR($AD846),MONTH($AD846),MIN(INDEX(CARDS!$I$5:$I$34,MATCH($D846,CARDS!$A$5:$A$34,0)),DAY(EOMONTH($AD846,0)))),DATE(YEAR($AD846),MONTH($AD846)+1,MIN(INDEX(CARDS!$I$5:$I$34,MATCH($D846,CARDS!$A$5:$A$34,0)),DAY(EOMONTH($AD846,1)))))),""))</f>
        <v/>
      </c>
      <c r="U846" s="38" t="n"/>
      <c r="V846" s="37" t="n"/>
      <c r="W846" s="38" t="n"/>
      <c r="X846" s="38" t="n"/>
      <c r="Y846" s="44" t="str">
        <f>IF($AC846&gt;0,INDEX(CASHBACK_RULES!$A$5:$A$304,$AC846),"")</f>
        <v/>
      </c>
      <c r="Z846" s="45" t="str">
        <f>IF($AC846&gt;0,INDEX(CASHBACK_RULES!$E$5:$E$304,$AC846)&amp;"","")</f>
        <v/>
      </c>
      <c r="AA846" s="48" t="str">
        <f>IF($AC846&gt;0,IF(ISNUMBER(INDEX(CASHBACK_RULES!$K$5:$K$304,$AC846)),INDEX(CASHBACK_RULES!$K$5:$K$304,$AC846),"∞"),"")</f>
        <v/>
      </c>
      <c r="AB846" s="44" t="str">
        <f>IF(OR($B846="",$D846=""),"",IF($U846="Cancelled","Đã hủy",IF($AC846=0,"Không được hoàn",IF($Q846=0,IF(OR($O846&gt;0,$M846&lt;$L846),"Đã đạt cap","Không được hoàn"),IF(OR($Q846&lt;$O846,$M846&lt;$L846),"Hoàn một phần","Được hoàn")))))</f>
        <v/>
      </c>
      <c r="AC846" s="43">
        <f>IF(OR($B846="",$D846="",$I846="",$L846=""),0,IF($U846="Cancelled",0,IF($W846&lt;&gt;"",IFERROR(IF(INDEX(CASHBACK_RULES!$B$5:$B$304,MATCH($W846,CASHBACK_RULES!$A$5:$A$304,0))=$D846,MATCH($W846,CASHBACK_RULES!$A$5:$A$304,0),0),0),IFERROR(MATCH(1,INDEX((CASHBACK_RULES!$B$5:$B$304=$D846)*(CASHBACK_RULES!$G$5:$G$304=$I846)*(((CASHBACK_RULES!$N$5:$N$304="")+(CASHBACK_RULES!$N$5:$N$304&lt;=$B846))&gt;0)*(((CASHBACK_RULES!$O$5:$O$304="")+(CASHBACK_RULES!$O$5:$O$304&gt;=$B846))&gt;0)*(((CASHBACK_RULES!$M$5:$M$304="")+(CASHBACK_RULES!$M$5:$M$304&lt;=$L846))&gt;0),0),0),0))))</f>
        <v>0</v>
      </c>
      <c r="AD846" s="51" t="str">
        <f>IF(OR($B846="",$D846=""),"",IFERROR(IF(INDEX(CARDS!$H$5:$H$34,MATCH($D846,CARDS!$A$5:$A$34,0))="","",IF(DAY($B846)&lt;=INDEX(CARDS!$H$5:$H$34,MATCH($D846,CARDS!$A$5:$A$34,0)),DATE(YEAR($B846),MONTH($B846),MIN(INDEX(CARDS!$H$5:$H$34,MATCH($D846,CARDS!$A$5:$A$34,0)),DAY(EOMONTH($B846,0)))),DATE(YEAR($B846),MONTH($B846)+1,MIN(INDEX(CARDS!$H$5:$H$34,MATCH($D846,CARDS!$A$5:$A$34,0)),DAY(EOMONTH($B846,1)))))),""))</f>
        <v/>
      </c>
      <c r="AE846" s="52" t="str">
        <f>IF($C846="","",$C846&amp;"|"&amp;COUNTIF($C$5:$C846,$C846))</f>
        <v/>
      </c>
      <c r="AF846" s="53">
        <f>IF($AC846&gt;0,SUMIFS(Q$4:Q845,$D$4:$D845,$D846,$Z$4:$Z845,$Z846,$C$4:$C845,$C846),0)</f>
        <v>0</v>
      </c>
      <c r="AG846" s="53">
        <f>IF($AC846&gt;0,SUMIFS(Q$4:Q845,$D$4:$D845,$D846,$C$4:$C845,$C846),0)</f>
        <v>0</v>
      </c>
      <c r="AH846" s="53">
        <f>IF($AC846&gt;0,SUMIFS(M$4:M845,$D$4:$D845,$D846,$Z$4:$Z845,$Z846,$C$4:$C845,$C846),0)</f>
        <v>0</v>
      </c>
      <c r="AI846" s="43">
        <f>IF(OR($C846="",$I846=""),0,IF(COUNTIFS($C$5:$C846,$C846,$I$5:$I846,$I846)=1,1,0))</f>
        <v>0</v>
      </c>
      <c r="AJ846" s="43" t="str">
        <f>IF($AI846=1,SUMIFS($AI$4:$AI845,$C$4:$C845,$C846)+1,"")</f>
        <v/>
      </c>
      <c r="AK846" s="43">
        <f>IF(OR($C846="",$K846=""),0,IF(COUNTIFS($C$5:$C846,$C846,$K$5:$K846,$K846)=1,1,0))</f>
        <v>0</v>
      </c>
      <c r="AL846" s="43" t="str">
        <f>IF($AK846=1,SUMIFS($AK$4:$AK845,$C$4:$C845,$C846)+1,"")</f>
        <v/>
      </c>
      <c r="AM846" s="43">
        <f>IF(OR($C846="",$G846=""),0,IF(COUNTIFS($C$5:$C846,$C846,$G$5:$G846,$G846)=1,1,0))</f>
        <v>0</v>
      </c>
      <c r="AN846" s="43" t="str">
        <f>IF($AM846=1,SUMIFS($AM$4:$AM845,$C$4:$C845,$C846)+1,"")</f>
        <v/>
      </c>
    </row>
    <row r="847">
      <c r="A847" s="44" t="str">
        <f>IF(OR($B847="",$D847=""),"","TX"&amp;TEXT(ROW()-4,"0000"))</f>
        <v/>
      </c>
      <c r="B847" s="42" t="n"/>
      <c r="C847" s="47" t="str">
        <f>IF($B847="","",YEAR($B847)*100+MONTH($B847))</f>
        <v/>
      </c>
      <c r="D847" s="37" t="n"/>
      <c r="E847" s="45" t="str">
        <f>IF($D847="","",IFERROR(INDEX(CARDS!$B$5:$B$34,MATCH($D847,CARDS!$A$5:$A$34,0)),"⚠ Card ID?"))</f>
        <v/>
      </c>
      <c r="F847" s="45" t="str">
        <f>IF($D847="","",IFERROR(INDEX(CARDS!$C$5:$C$34,MATCH($D847,CARDS!$A$5:$A$34,0)),"⚠ Card ID?"))</f>
        <v/>
      </c>
      <c r="G847" s="37" t="n"/>
      <c r="H847" s="37" t="n"/>
      <c r="I847" s="41" t="n"/>
      <c r="J847" s="45" t="str">
        <f>IF($I847="","",IFERROR(INDEX(MCC_MASTER!$B$5:$B$504,MATCH($I847,MCC_MASTER!$A$5:$A$504,0)),"⚠ MCC chưa có"))</f>
        <v/>
      </c>
      <c r="K847" s="45" t="str">
        <f>IF($I847="","",IFERROR(IF(INDEX(MCC_MASTER!$C$5:$C$504,MATCH($I847,MCC_MASTER!$A$5:$A$504,0))="","Chưa phân loại",INDEX(MCC_MASTER!$C$5:$C$504,MATCH($I847,MCC_MASTER!$A$5:$A$504,0))),"Chưa phân loại"))</f>
        <v/>
      </c>
      <c r="L847" s="40" t="n"/>
      <c r="M847" s="48" t="str">
        <f>IF(OR($B847="",$D847=""),"",IF($AC847=0,0,IF(ISNUMBER(INDEX(CASHBACK_RULES!$L$5:$L$304,$AC847)),MAX(0,MIN($L847,INDEX(CASHBACK_RULES!$L$5:$L$304,$AC847)-$AH847)),MAX(0,$L847))))</f>
        <v/>
      </c>
      <c r="N847" s="49" t="str">
        <f>IF(OR($B847="",$D847=""),"",IF($AC847&gt;0,INDEX(CASHBACK_RULES!$I$5:$I$304,$AC847),0))</f>
        <v/>
      </c>
      <c r="O847" s="48" t="str">
        <f>IF(OR($B847="",$D847=""),"",ROUND($M847*$N847,0))</f>
        <v/>
      </c>
      <c r="P847" s="48" t="str">
        <f>IF($AC847&gt;0,IF(ISNUMBER(INDEX(CASHBACK_RULES!$J$5:$J$304,$AC847)),INDEX(CASHBACK_RULES!$J$5:$J$304,$AC847),"∞"),"")</f>
        <v/>
      </c>
      <c r="Q847" s="48" t="str">
        <f>IF(OR($B847="",$D847=""),"",IF($AC847=0,0,MAX(0,MIN($O847,IF(ISNUMBER($P847),$P847-$AF847,1E+15),IF(ISNUMBER($AA847),$AA847-$AG847,1E+15)))))</f>
        <v/>
      </c>
      <c r="R847" s="48" t="str">
        <f>IF(OR($B847="",$D847=""),"",IF($AC847=0,"",IF(AND(NOT(ISNUMBER($P847)),NOT(ISNUMBER($AA847))),"∞",MAX(0,MIN(IF(ISNUMBER($P847),$P847-$AF847-$Q847,1E+15),IF(ISNUMBER($AA847),$AA847-$AG847-$Q847,1E+15))))))</f>
        <v/>
      </c>
      <c r="S847" s="47" t="str">
        <f>IF($AD847="","",YEAR($AD847)*100+MONTH($AD847))</f>
        <v/>
      </c>
      <c r="T847" s="50" t="str">
        <f>IF($AD847="","",IFERROR(IF(INDEX(CARDS!$I$5:$I$34,MATCH($D847,CARDS!$A$5:$A$34,0))="","",IF(INDEX(CARDS!$I$5:$I$34,MATCH($D847,CARDS!$A$5:$A$34,0))&gt;INDEX(CARDS!$H$5:$H$34,MATCH($D847,CARDS!$A$5:$A$34,0)),DATE(YEAR($AD847),MONTH($AD847),MIN(INDEX(CARDS!$I$5:$I$34,MATCH($D847,CARDS!$A$5:$A$34,0)),DAY(EOMONTH($AD847,0)))),DATE(YEAR($AD847),MONTH($AD847)+1,MIN(INDEX(CARDS!$I$5:$I$34,MATCH($D847,CARDS!$A$5:$A$34,0)),DAY(EOMONTH($AD847,1)))))),""))</f>
        <v/>
      </c>
      <c r="U847" s="38" t="n"/>
      <c r="V847" s="37" t="n"/>
      <c r="W847" s="38" t="n"/>
      <c r="X847" s="38" t="n"/>
      <c r="Y847" s="44" t="str">
        <f>IF($AC847&gt;0,INDEX(CASHBACK_RULES!$A$5:$A$304,$AC847),"")</f>
        <v/>
      </c>
      <c r="Z847" s="45" t="str">
        <f>IF($AC847&gt;0,INDEX(CASHBACK_RULES!$E$5:$E$304,$AC847)&amp;"","")</f>
        <v/>
      </c>
      <c r="AA847" s="48" t="str">
        <f>IF($AC847&gt;0,IF(ISNUMBER(INDEX(CASHBACK_RULES!$K$5:$K$304,$AC847)),INDEX(CASHBACK_RULES!$K$5:$K$304,$AC847),"∞"),"")</f>
        <v/>
      </c>
      <c r="AB847" s="44" t="str">
        <f>IF(OR($B847="",$D847=""),"",IF($U847="Cancelled","Đã hủy",IF($AC847=0,"Không được hoàn",IF($Q847=0,IF(OR($O847&gt;0,$M847&lt;$L847),"Đã đạt cap","Không được hoàn"),IF(OR($Q847&lt;$O847,$M847&lt;$L847),"Hoàn một phần","Được hoàn")))))</f>
        <v/>
      </c>
      <c r="AC847" s="43">
        <f>IF(OR($B847="",$D847="",$I847="",$L847=""),0,IF($U847="Cancelled",0,IF($W847&lt;&gt;"",IFERROR(IF(INDEX(CASHBACK_RULES!$B$5:$B$304,MATCH($W847,CASHBACK_RULES!$A$5:$A$304,0))=$D847,MATCH($W847,CASHBACK_RULES!$A$5:$A$304,0),0),0),IFERROR(MATCH(1,INDEX((CASHBACK_RULES!$B$5:$B$304=$D847)*(CASHBACK_RULES!$G$5:$G$304=$I847)*(((CASHBACK_RULES!$N$5:$N$304="")+(CASHBACK_RULES!$N$5:$N$304&lt;=$B847))&gt;0)*(((CASHBACK_RULES!$O$5:$O$304="")+(CASHBACK_RULES!$O$5:$O$304&gt;=$B847))&gt;0)*(((CASHBACK_RULES!$M$5:$M$304="")+(CASHBACK_RULES!$M$5:$M$304&lt;=$L847))&gt;0),0),0),0))))</f>
        <v>0</v>
      </c>
      <c r="AD847" s="51" t="str">
        <f>IF(OR($B847="",$D847=""),"",IFERROR(IF(INDEX(CARDS!$H$5:$H$34,MATCH($D847,CARDS!$A$5:$A$34,0))="","",IF(DAY($B847)&lt;=INDEX(CARDS!$H$5:$H$34,MATCH($D847,CARDS!$A$5:$A$34,0)),DATE(YEAR($B847),MONTH($B847),MIN(INDEX(CARDS!$H$5:$H$34,MATCH($D847,CARDS!$A$5:$A$34,0)),DAY(EOMONTH($B847,0)))),DATE(YEAR($B847),MONTH($B847)+1,MIN(INDEX(CARDS!$H$5:$H$34,MATCH($D847,CARDS!$A$5:$A$34,0)),DAY(EOMONTH($B847,1)))))),""))</f>
        <v/>
      </c>
      <c r="AE847" s="52" t="str">
        <f>IF($C847="","",$C847&amp;"|"&amp;COUNTIF($C$5:$C847,$C847))</f>
        <v/>
      </c>
      <c r="AF847" s="53">
        <f>IF($AC847&gt;0,SUMIFS(Q$4:Q846,$D$4:$D846,$D847,$Z$4:$Z846,$Z847,$C$4:$C846,$C847),0)</f>
        <v>0</v>
      </c>
      <c r="AG847" s="53">
        <f>IF($AC847&gt;0,SUMIFS(Q$4:Q846,$D$4:$D846,$D847,$C$4:$C846,$C847),0)</f>
        <v>0</v>
      </c>
      <c r="AH847" s="53">
        <f>IF($AC847&gt;0,SUMIFS(M$4:M846,$D$4:$D846,$D847,$Z$4:$Z846,$Z847,$C$4:$C846,$C847),0)</f>
        <v>0</v>
      </c>
      <c r="AI847" s="43">
        <f>IF(OR($C847="",$I847=""),0,IF(COUNTIFS($C$5:$C847,$C847,$I$5:$I847,$I847)=1,1,0))</f>
        <v>0</v>
      </c>
      <c r="AJ847" s="43" t="str">
        <f>IF($AI847=1,SUMIFS($AI$4:$AI846,$C$4:$C846,$C847)+1,"")</f>
        <v/>
      </c>
      <c r="AK847" s="43">
        <f>IF(OR($C847="",$K847=""),0,IF(COUNTIFS($C$5:$C847,$C847,$K$5:$K847,$K847)=1,1,0))</f>
        <v>0</v>
      </c>
      <c r="AL847" s="43" t="str">
        <f>IF($AK847=1,SUMIFS($AK$4:$AK846,$C$4:$C846,$C847)+1,"")</f>
        <v/>
      </c>
      <c r="AM847" s="43">
        <f>IF(OR($C847="",$G847=""),0,IF(COUNTIFS($C$5:$C847,$C847,$G$5:$G847,$G847)=1,1,0))</f>
        <v>0</v>
      </c>
      <c r="AN847" s="43" t="str">
        <f>IF($AM847=1,SUMIFS($AM$4:$AM846,$C$4:$C846,$C847)+1,"")</f>
        <v/>
      </c>
    </row>
    <row r="848">
      <c r="A848" s="44" t="str">
        <f>IF(OR($B848="",$D848=""),"","TX"&amp;TEXT(ROW()-4,"0000"))</f>
        <v/>
      </c>
      <c r="B848" s="42" t="n"/>
      <c r="C848" s="47" t="str">
        <f>IF($B848="","",YEAR($B848)*100+MONTH($B848))</f>
        <v/>
      </c>
      <c r="D848" s="37" t="n"/>
      <c r="E848" s="45" t="str">
        <f>IF($D848="","",IFERROR(INDEX(CARDS!$B$5:$B$34,MATCH($D848,CARDS!$A$5:$A$34,0)),"⚠ Card ID?"))</f>
        <v/>
      </c>
      <c r="F848" s="45" t="str">
        <f>IF($D848="","",IFERROR(INDEX(CARDS!$C$5:$C$34,MATCH($D848,CARDS!$A$5:$A$34,0)),"⚠ Card ID?"))</f>
        <v/>
      </c>
      <c r="G848" s="37" t="n"/>
      <c r="H848" s="37" t="n"/>
      <c r="I848" s="41" t="n"/>
      <c r="J848" s="45" t="str">
        <f>IF($I848="","",IFERROR(INDEX(MCC_MASTER!$B$5:$B$504,MATCH($I848,MCC_MASTER!$A$5:$A$504,0)),"⚠ MCC chưa có"))</f>
        <v/>
      </c>
      <c r="K848" s="45" t="str">
        <f>IF($I848="","",IFERROR(IF(INDEX(MCC_MASTER!$C$5:$C$504,MATCH($I848,MCC_MASTER!$A$5:$A$504,0))="","Chưa phân loại",INDEX(MCC_MASTER!$C$5:$C$504,MATCH($I848,MCC_MASTER!$A$5:$A$504,0))),"Chưa phân loại"))</f>
        <v/>
      </c>
      <c r="L848" s="40" t="n"/>
      <c r="M848" s="48" t="str">
        <f>IF(OR($B848="",$D848=""),"",IF($AC848=0,0,IF(ISNUMBER(INDEX(CASHBACK_RULES!$L$5:$L$304,$AC848)),MAX(0,MIN($L848,INDEX(CASHBACK_RULES!$L$5:$L$304,$AC848)-$AH848)),MAX(0,$L848))))</f>
        <v/>
      </c>
      <c r="N848" s="49" t="str">
        <f>IF(OR($B848="",$D848=""),"",IF($AC848&gt;0,INDEX(CASHBACK_RULES!$I$5:$I$304,$AC848),0))</f>
        <v/>
      </c>
      <c r="O848" s="48" t="str">
        <f>IF(OR($B848="",$D848=""),"",ROUND($M848*$N848,0))</f>
        <v/>
      </c>
      <c r="P848" s="48" t="str">
        <f>IF($AC848&gt;0,IF(ISNUMBER(INDEX(CASHBACK_RULES!$J$5:$J$304,$AC848)),INDEX(CASHBACK_RULES!$J$5:$J$304,$AC848),"∞"),"")</f>
        <v/>
      </c>
      <c r="Q848" s="48" t="str">
        <f>IF(OR($B848="",$D848=""),"",IF($AC848=0,0,MAX(0,MIN($O848,IF(ISNUMBER($P848),$P848-$AF848,1E+15),IF(ISNUMBER($AA848),$AA848-$AG848,1E+15)))))</f>
        <v/>
      </c>
      <c r="R848" s="48" t="str">
        <f>IF(OR($B848="",$D848=""),"",IF($AC848=0,"",IF(AND(NOT(ISNUMBER($P848)),NOT(ISNUMBER($AA848))),"∞",MAX(0,MIN(IF(ISNUMBER($P848),$P848-$AF848-$Q848,1E+15),IF(ISNUMBER($AA848),$AA848-$AG848-$Q848,1E+15))))))</f>
        <v/>
      </c>
      <c r="S848" s="47" t="str">
        <f>IF($AD848="","",YEAR($AD848)*100+MONTH($AD848))</f>
        <v/>
      </c>
      <c r="T848" s="50" t="str">
        <f>IF($AD848="","",IFERROR(IF(INDEX(CARDS!$I$5:$I$34,MATCH($D848,CARDS!$A$5:$A$34,0))="","",IF(INDEX(CARDS!$I$5:$I$34,MATCH($D848,CARDS!$A$5:$A$34,0))&gt;INDEX(CARDS!$H$5:$H$34,MATCH($D848,CARDS!$A$5:$A$34,0)),DATE(YEAR($AD848),MONTH($AD848),MIN(INDEX(CARDS!$I$5:$I$34,MATCH($D848,CARDS!$A$5:$A$34,0)),DAY(EOMONTH($AD848,0)))),DATE(YEAR($AD848),MONTH($AD848)+1,MIN(INDEX(CARDS!$I$5:$I$34,MATCH($D848,CARDS!$A$5:$A$34,0)),DAY(EOMONTH($AD848,1)))))),""))</f>
        <v/>
      </c>
      <c r="U848" s="38" t="n"/>
      <c r="V848" s="37" t="n"/>
      <c r="W848" s="38" t="n"/>
      <c r="X848" s="38" t="n"/>
      <c r="Y848" s="44" t="str">
        <f>IF($AC848&gt;0,INDEX(CASHBACK_RULES!$A$5:$A$304,$AC848),"")</f>
        <v/>
      </c>
      <c r="Z848" s="45" t="str">
        <f>IF($AC848&gt;0,INDEX(CASHBACK_RULES!$E$5:$E$304,$AC848)&amp;"","")</f>
        <v/>
      </c>
      <c r="AA848" s="48" t="str">
        <f>IF($AC848&gt;0,IF(ISNUMBER(INDEX(CASHBACK_RULES!$K$5:$K$304,$AC848)),INDEX(CASHBACK_RULES!$K$5:$K$304,$AC848),"∞"),"")</f>
        <v/>
      </c>
      <c r="AB848" s="44" t="str">
        <f>IF(OR($B848="",$D848=""),"",IF($U848="Cancelled","Đã hủy",IF($AC848=0,"Không được hoàn",IF($Q848=0,IF(OR($O848&gt;0,$M848&lt;$L848),"Đã đạt cap","Không được hoàn"),IF(OR($Q848&lt;$O848,$M848&lt;$L848),"Hoàn một phần","Được hoàn")))))</f>
        <v/>
      </c>
      <c r="AC848" s="43">
        <f>IF(OR($B848="",$D848="",$I848="",$L848=""),0,IF($U848="Cancelled",0,IF($W848&lt;&gt;"",IFERROR(IF(INDEX(CASHBACK_RULES!$B$5:$B$304,MATCH($W848,CASHBACK_RULES!$A$5:$A$304,0))=$D848,MATCH($W848,CASHBACK_RULES!$A$5:$A$304,0),0),0),IFERROR(MATCH(1,INDEX((CASHBACK_RULES!$B$5:$B$304=$D848)*(CASHBACK_RULES!$G$5:$G$304=$I848)*(((CASHBACK_RULES!$N$5:$N$304="")+(CASHBACK_RULES!$N$5:$N$304&lt;=$B848))&gt;0)*(((CASHBACK_RULES!$O$5:$O$304="")+(CASHBACK_RULES!$O$5:$O$304&gt;=$B848))&gt;0)*(((CASHBACK_RULES!$M$5:$M$304="")+(CASHBACK_RULES!$M$5:$M$304&lt;=$L848))&gt;0),0),0),0))))</f>
        <v>0</v>
      </c>
      <c r="AD848" s="51" t="str">
        <f>IF(OR($B848="",$D848=""),"",IFERROR(IF(INDEX(CARDS!$H$5:$H$34,MATCH($D848,CARDS!$A$5:$A$34,0))="","",IF(DAY($B848)&lt;=INDEX(CARDS!$H$5:$H$34,MATCH($D848,CARDS!$A$5:$A$34,0)),DATE(YEAR($B848),MONTH($B848),MIN(INDEX(CARDS!$H$5:$H$34,MATCH($D848,CARDS!$A$5:$A$34,0)),DAY(EOMONTH($B848,0)))),DATE(YEAR($B848),MONTH($B848)+1,MIN(INDEX(CARDS!$H$5:$H$34,MATCH($D848,CARDS!$A$5:$A$34,0)),DAY(EOMONTH($B848,1)))))),""))</f>
        <v/>
      </c>
      <c r="AE848" s="52" t="str">
        <f>IF($C848="","",$C848&amp;"|"&amp;COUNTIF($C$5:$C848,$C848))</f>
        <v/>
      </c>
      <c r="AF848" s="53">
        <f>IF($AC848&gt;0,SUMIFS(Q$4:Q847,$D$4:$D847,$D848,$Z$4:$Z847,$Z848,$C$4:$C847,$C848),0)</f>
        <v>0</v>
      </c>
      <c r="AG848" s="53">
        <f>IF($AC848&gt;0,SUMIFS(Q$4:Q847,$D$4:$D847,$D848,$C$4:$C847,$C848),0)</f>
        <v>0</v>
      </c>
      <c r="AH848" s="53">
        <f>IF($AC848&gt;0,SUMIFS(M$4:M847,$D$4:$D847,$D848,$Z$4:$Z847,$Z848,$C$4:$C847,$C848),0)</f>
        <v>0</v>
      </c>
      <c r="AI848" s="43">
        <f>IF(OR($C848="",$I848=""),0,IF(COUNTIFS($C$5:$C848,$C848,$I$5:$I848,$I848)=1,1,0))</f>
        <v>0</v>
      </c>
      <c r="AJ848" s="43" t="str">
        <f>IF($AI848=1,SUMIFS($AI$4:$AI847,$C$4:$C847,$C848)+1,"")</f>
        <v/>
      </c>
      <c r="AK848" s="43">
        <f>IF(OR($C848="",$K848=""),0,IF(COUNTIFS($C$5:$C848,$C848,$K$5:$K848,$K848)=1,1,0))</f>
        <v>0</v>
      </c>
      <c r="AL848" s="43" t="str">
        <f>IF($AK848=1,SUMIFS($AK$4:$AK847,$C$4:$C847,$C848)+1,"")</f>
        <v/>
      </c>
      <c r="AM848" s="43">
        <f>IF(OR($C848="",$G848=""),0,IF(COUNTIFS($C$5:$C848,$C848,$G$5:$G848,$G848)=1,1,0))</f>
        <v>0</v>
      </c>
      <c r="AN848" s="43" t="str">
        <f>IF($AM848=1,SUMIFS($AM$4:$AM847,$C$4:$C847,$C848)+1,"")</f>
        <v/>
      </c>
    </row>
    <row r="849">
      <c r="A849" s="44" t="str">
        <f>IF(OR($B849="",$D849=""),"","TX"&amp;TEXT(ROW()-4,"0000"))</f>
        <v/>
      </c>
      <c r="B849" s="42" t="n"/>
      <c r="C849" s="47" t="str">
        <f>IF($B849="","",YEAR($B849)*100+MONTH($B849))</f>
        <v/>
      </c>
      <c r="D849" s="37" t="n"/>
      <c r="E849" s="45" t="str">
        <f>IF($D849="","",IFERROR(INDEX(CARDS!$B$5:$B$34,MATCH($D849,CARDS!$A$5:$A$34,0)),"⚠ Card ID?"))</f>
        <v/>
      </c>
      <c r="F849" s="45" t="str">
        <f>IF($D849="","",IFERROR(INDEX(CARDS!$C$5:$C$34,MATCH($D849,CARDS!$A$5:$A$34,0)),"⚠ Card ID?"))</f>
        <v/>
      </c>
      <c r="G849" s="37" t="n"/>
      <c r="H849" s="37" t="n"/>
      <c r="I849" s="41" t="n"/>
      <c r="J849" s="45" t="str">
        <f>IF($I849="","",IFERROR(INDEX(MCC_MASTER!$B$5:$B$504,MATCH($I849,MCC_MASTER!$A$5:$A$504,0)),"⚠ MCC chưa có"))</f>
        <v/>
      </c>
      <c r="K849" s="45" t="str">
        <f>IF($I849="","",IFERROR(IF(INDEX(MCC_MASTER!$C$5:$C$504,MATCH($I849,MCC_MASTER!$A$5:$A$504,0))="","Chưa phân loại",INDEX(MCC_MASTER!$C$5:$C$504,MATCH($I849,MCC_MASTER!$A$5:$A$504,0))),"Chưa phân loại"))</f>
        <v/>
      </c>
      <c r="L849" s="40" t="n"/>
      <c r="M849" s="48" t="str">
        <f>IF(OR($B849="",$D849=""),"",IF($AC849=0,0,IF(ISNUMBER(INDEX(CASHBACK_RULES!$L$5:$L$304,$AC849)),MAX(0,MIN($L849,INDEX(CASHBACK_RULES!$L$5:$L$304,$AC849)-$AH849)),MAX(0,$L849))))</f>
        <v/>
      </c>
      <c r="N849" s="49" t="str">
        <f>IF(OR($B849="",$D849=""),"",IF($AC849&gt;0,INDEX(CASHBACK_RULES!$I$5:$I$304,$AC849),0))</f>
        <v/>
      </c>
      <c r="O849" s="48" t="str">
        <f>IF(OR($B849="",$D849=""),"",ROUND($M849*$N849,0))</f>
        <v/>
      </c>
      <c r="P849" s="48" t="str">
        <f>IF($AC849&gt;0,IF(ISNUMBER(INDEX(CASHBACK_RULES!$J$5:$J$304,$AC849)),INDEX(CASHBACK_RULES!$J$5:$J$304,$AC849),"∞"),"")</f>
        <v/>
      </c>
      <c r="Q849" s="48" t="str">
        <f>IF(OR($B849="",$D849=""),"",IF($AC849=0,0,MAX(0,MIN($O849,IF(ISNUMBER($P849),$P849-$AF849,1E+15),IF(ISNUMBER($AA849),$AA849-$AG849,1E+15)))))</f>
        <v/>
      </c>
      <c r="R849" s="48" t="str">
        <f>IF(OR($B849="",$D849=""),"",IF($AC849=0,"",IF(AND(NOT(ISNUMBER($P849)),NOT(ISNUMBER($AA849))),"∞",MAX(0,MIN(IF(ISNUMBER($P849),$P849-$AF849-$Q849,1E+15),IF(ISNUMBER($AA849),$AA849-$AG849-$Q849,1E+15))))))</f>
        <v/>
      </c>
      <c r="S849" s="47" t="str">
        <f>IF($AD849="","",YEAR($AD849)*100+MONTH($AD849))</f>
        <v/>
      </c>
      <c r="T849" s="50" t="str">
        <f>IF($AD849="","",IFERROR(IF(INDEX(CARDS!$I$5:$I$34,MATCH($D849,CARDS!$A$5:$A$34,0))="","",IF(INDEX(CARDS!$I$5:$I$34,MATCH($D849,CARDS!$A$5:$A$34,0))&gt;INDEX(CARDS!$H$5:$H$34,MATCH($D849,CARDS!$A$5:$A$34,0)),DATE(YEAR($AD849),MONTH($AD849),MIN(INDEX(CARDS!$I$5:$I$34,MATCH($D849,CARDS!$A$5:$A$34,0)),DAY(EOMONTH($AD849,0)))),DATE(YEAR($AD849),MONTH($AD849)+1,MIN(INDEX(CARDS!$I$5:$I$34,MATCH($D849,CARDS!$A$5:$A$34,0)),DAY(EOMONTH($AD849,1)))))),""))</f>
        <v/>
      </c>
      <c r="U849" s="38" t="n"/>
      <c r="V849" s="37" t="n"/>
      <c r="W849" s="38" t="n"/>
      <c r="X849" s="38" t="n"/>
      <c r="Y849" s="44" t="str">
        <f>IF($AC849&gt;0,INDEX(CASHBACK_RULES!$A$5:$A$304,$AC849),"")</f>
        <v/>
      </c>
      <c r="Z849" s="45" t="str">
        <f>IF($AC849&gt;0,INDEX(CASHBACK_RULES!$E$5:$E$304,$AC849)&amp;"","")</f>
        <v/>
      </c>
      <c r="AA849" s="48" t="str">
        <f>IF($AC849&gt;0,IF(ISNUMBER(INDEX(CASHBACK_RULES!$K$5:$K$304,$AC849)),INDEX(CASHBACK_RULES!$K$5:$K$304,$AC849),"∞"),"")</f>
        <v/>
      </c>
      <c r="AB849" s="44" t="str">
        <f>IF(OR($B849="",$D849=""),"",IF($U849="Cancelled","Đã hủy",IF($AC849=0,"Không được hoàn",IF($Q849=0,IF(OR($O849&gt;0,$M849&lt;$L849),"Đã đạt cap","Không được hoàn"),IF(OR($Q849&lt;$O849,$M849&lt;$L849),"Hoàn một phần","Được hoàn")))))</f>
        <v/>
      </c>
      <c r="AC849" s="43">
        <f>IF(OR($B849="",$D849="",$I849="",$L849=""),0,IF($U849="Cancelled",0,IF($W849&lt;&gt;"",IFERROR(IF(INDEX(CASHBACK_RULES!$B$5:$B$304,MATCH($W849,CASHBACK_RULES!$A$5:$A$304,0))=$D849,MATCH($W849,CASHBACK_RULES!$A$5:$A$304,0),0),0),IFERROR(MATCH(1,INDEX((CASHBACK_RULES!$B$5:$B$304=$D849)*(CASHBACK_RULES!$G$5:$G$304=$I849)*(((CASHBACK_RULES!$N$5:$N$304="")+(CASHBACK_RULES!$N$5:$N$304&lt;=$B849))&gt;0)*(((CASHBACK_RULES!$O$5:$O$304="")+(CASHBACK_RULES!$O$5:$O$304&gt;=$B849))&gt;0)*(((CASHBACK_RULES!$M$5:$M$304="")+(CASHBACK_RULES!$M$5:$M$304&lt;=$L849))&gt;0),0),0),0))))</f>
        <v>0</v>
      </c>
      <c r="AD849" s="51" t="str">
        <f>IF(OR($B849="",$D849=""),"",IFERROR(IF(INDEX(CARDS!$H$5:$H$34,MATCH($D849,CARDS!$A$5:$A$34,0))="","",IF(DAY($B849)&lt;=INDEX(CARDS!$H$5:$H$34,MATCH($D849,CARDS!$A$5:$A$34,0)),DATE(YEAR($B849),MONTH($B849),MIN(INDEX(CARDS!$H$5:$H$34,MATCH($D849,CARDS!$A$5:$A$34,0)),DAY(EOMONTH($B849,0)))),DATE(YEAR($B849),MONTH($B849)+1,MIN(INDEX(CARDS!$H$5:$H$34,MATCH($D849,CARDS!$A$5:$A$34,0)),DAY(EOMONTH($B849,1)))))),""))</f>
        <v/>
      </c>
      <c r="AE849" s="52" t="str">
        <f>IF($C849="","",$C849&amp;"|"&amp;COUNTIF($C$5:$C849,$C849))</f>
        <v/>
      </c>
      <c r="AF849" s="53">
        <f>IF($AC849&gt;0,SUMIFS(Q$4:Q848,$D$4:$D848,$D849,$Z$4:$Z848,$Z849,$C$4:$C848,$C849),0)</f>
        <v>0</v>
      </c>
      <c r="AG849" s="53">
        <f>IF($AC849&gt;0,SUMIFS(Q$4:Q848,$D$4:$D848,$D849,$C$4:$C848,$C849),0)</f>
        <v>0</v>
      </c>
      <c r="AH849" s="53">
        <f>IF($AC849&gt;0,SUMIFS(M$4:M848,$D$4:$D848,$D849,$Z$4:$Z848,$Z849,$C$4:$C848,$C849),0)</f>
        <v>0</v>
      </c>
      <c r="AI849" s="43">
        <f>IF(OR($C849="",$I849=""),0,IF(COUNTIFS($C$5:$C849,$C849,$I$5:$I849,$I849)=1,1,0))</f>
        <v>0</v>
      </c>
      <c r="AJ849" s="43" t="str">
        <f>IF($AI849=1,SUMIFS($AI$4:$AI848,$C$4:$C848,$C849)+1,"")</f>
        <v/>
      </c>
      <c r="AK849" s="43">
        <f>IF(OR($C849="",$K849=""),0,IF(COUNTIFS($C$5:$C849,$C849,$K$5:$K849,$K849)=1,1,0))</f>
        <v>0</v>
      </c>
      <c r="AL849" s="43" t="str">
        <f>IF($AK849=1,SUMIFS($AK$4:$AK848,$C$4:$C848,$C849)+1,"")</f>
        <v/>
      </c>
      <c r="AM849" s="43">
        <f>IF(OR($C849="",$G849=""),0,IF(COUNTIFS($C$5:$C849,$C849,$G$5:$G849,$G849)=1,1,0))</f>
        <v>0</v>
      </c>
      <c r="AN849" s="43" t="str">
        <f>IF($AM849=1,SUMIFS($AM$4:$AM848,$C$4:$C848,$C849)+1,"")</f>
        <v/>
      </c>
    </row>
    <row r="850">
      <c r="A850" s="44" t="str">
        <f>IF(OR($B850="",$D850=""),"","TX"&amp;TEXT(ROW()-4,"0000"))</f>
        <v/>
      </c>
      <c r="B850" s="42" t="n"/>
      <c r="C850" s="47" t="str">
        <f>IF($B850="","",YEAR($B850)*100+MONTH($B850))</f>
        <v/>
      </c>
      <c r="D850" s="37" t="n"/>
      <c r="E850" s="45" t="str">
        <f>IF($D850="","",IFERROR(INDEX(CARDS!$B$5:$B$34,MATCH($D850,CARDS!$A$5:$A$34,0)),"⚠ Card ID?"))</f>
        <v/>
      </c>
      <c r="F850" s="45" t="str">
        <f>IF($D850="","",IFERROR(INDEX(CARDS!$C$5:$C$34,MATCH($D850,CARDS!$A$5:$A$34,0)),"⚠ Card ID?"))</f>
        <v/>
      </c>
      <c r="G850" s="37" t="n"/>
      <c r="H850" s="37" t="n"/>
      <c r="I850" s="41" t="n"/>
      <c r="J850" s="45" t="str">
        <f>IF($I850="","",IFERROR(INDEX(MCC_MASTER!$B$5:$B$504,MATCH($I850,MCC_MASTER!$A$5:$A$504,0)),"⚠ MCC chưa có"))</f>
        <v/>
      </c>
      <c r="K850" s="45" t="str">
        <f>IF($I850="","",IFERROR(IF(INDEX(MCC_MASTER!$C$5:$C$504,MATCH($I850,MCC_MASTER!$A$5:$A$504,0))="","Chưa phân loại",INDEX(MCC_MASTER!$C$5:$C$504,MATCH($I850,MCC_MASTER!$A$5:$A$504,0))),"Chưa phân loại"))</f>
        <v/>
      </c>
      <c r="L850" s="40" t="n"/>
      <c r="M850" s="48" t="str">
        <f>IF(OR($B850="",$D850=""),"",IF($AC850=0,0,IF(ISNUMBER(INDEX(CASHBACK_RULES!$L$5:$L$304,$AC850)),MAX(0,MIN($L850,INDEX(CASHBACK_RULES!$L$5:$L$304,$AC850)-$AH850)),MAX(0,$L850))))</f>
        <v/>
      </c>
      <c r="N850" s="49" t="str">
        <f>IF(OR($B850="",$D850=""),"",IF($AC850&gt;0,INDEX(CASHBACK_RULES!$I$5:$I$304,$AC850),0))</f>
        <v/>
      </c>
      <c r="O850" s="48" t="str">
        <f>IF(OR($B850="",$D850=""),"",ROUND($M850*$N850,0))</f>
        <v/>
      </c>
      <c r="P850" s="48" t="str">
        <f>IF($AC850&gt;0,IF(ISNUMBER(INDEX(CASHBACK_RULES!$J$5:$J$304,$AC850)),INDEX(CASHBACK_RULES!$J$5:$J$304,$AC850),"∞"),"")</f>
        <v/>
      </c>
      <c r="Q850" s="48" t="str">
        <f>IF(OR($B850="",$D850=""),"",IF($AC850=0,0,MAX(0,MIN($O850,IF(ISNUMBER($P850),$P850-$AF850,1E+15),IF(ISNUMBER($AA850),$AA850-$AG850,1E+15)))))</f>
        <v/>
      </c>
      <c r="R850" s="48" t="str">
        <f>IF(OR($B850="",$D850=""),"",IF($AC850=0,"",IF(AND(NOT(ISNUMBER($P850)),NOT(ISNUMBER($AA850))),"∞",MAX(0,MIN(IF(ISNUMBER($P850),$P850-$AF850-$Q850,1E+15),IF(ISNUMBER($AA850),$AA850-$AG850-$Q850,1E+15))))))</f>
        <v/>
      </c>
      <c r="S850" s="47" t="str">
        <f>IF($AD850="","",YEAR($AD850)*100+MONTH($AD850))</f>
        <v/>
      </c>
      <c r="T850" s="50" t="str">
        <f>IF($AD850="","",IFERROR(IF(INDEX(CARDS!$I$5:$I$34,MATCH($D850,CARDS!$A$5:$A$34,0))="","",IF(INDEX(CARDS!$I$5:$I$34,MATCH($D850,CARDS!$A$5:$A$34,0))&gt;INDEX(CARDS!$H$5:$H$34,MATCH($D850,CARDS!$A$5:$A$34,0)),DATE(YEAR($AD850),MONTH($AD850),MIN(INDEX(CARDS!$I$5:$I$34,MATCH($D850,CARDS!$A$5:$A$34,0)),DAY(EOMONTH($AD850,0)))),DATE(YEAR($AD850),MONTH($AD850)+1,MIN(INDEX(CARDS!$I$5:$I$34,MATCH($D850,CARDS!$A$5:$A$34,0)),DAY(EOMONTH($AD850,1)))))),""))</f>
        <v/>
      </c>
      <c r="U850" s="38" t="n"/>
      <c r="V850" s="37" t="n"/>
      <c r="W850" s="38" t="n"/>
      <c r="X850" s="38" t="n"/>
      <c r="Y850" s="44" t="str">
        <f>IF($AC850&gt;0,INDEX(CASHBACK_RULES!$A$5:$A$304,$AC850),"")</f>
        <v/>
      </c>
      <c r="Z850" s="45" t="str">
        <f>IF($AC850&gt;0,INDEX(CASHBACK_RULES!$E$5:$E$304,$AC850)&amp;"","")</f>
        <v/>
      </c>
      <c r="AA850" s="48" t="str">
        <f>IF($AC850&gt;0,IF(ISNUMBER(INDEX(CASHBACK_RULES!$K$5:$K$304,$AC850)),INDEX(CASHBACK_RULES!$K$5:$K$304,$AC850),"∞"),"")</f>
        <v/>
      </c>
      <c r="AB850" s="44" t="str">
        <f>IF(OR($B850="",$D850=""),"",IF($U850="Cancelled","Đã hủy",IF($AC850=0,"Không được hoàn",IF($Q850=0,IF(OR($O850&gt;0,$M850&lt;$L850),"Đã đạt cap","Không được hoàn"),IF(OR($Q850&lt;$O850,$M850&lt;$L850),"Hoàn một phần","Được hoàn")))))</f>
        <v/>
      </c>
      <c r="AC850" s="43">
        <f>IF(OR($B850="",$D850="",$I850="",$L850=""),0,IF($U850="Cancelled",0,IF($W850&lt;&gt;"",IFERROR(IF(INDEX(CASHBACK_RULES!$B$5:$B$304,MATCH($W850,CASHBACK_RULES!$A$5:$A$304,0))=$D850,MATCH($W850,CASHBACK_RULES!$A$5:$A$304,0),0),0),IFERROR(MATCH(1,INDEX((CASHBACK_RULES!$B$5:$B$304=$D850)*(CASHBACK_RULES!$G$5:$G$304=$I850)*(((CASHBACK_RULES!$N$5:$N$304="")+(CASHBACK_RULES!$N$5:$N$304&lt;=$B850))&gt;0)*(((CASHBACK_RULES!$O$5:$O$304="")+(CASHBACK_RULES!$O$5:$O$304&gt;=$B850))&gt;0)*(((CASHBACK_RULES!$M$5:$M$304="")+(CASHBACK_RULES!$M$5:$M$304&lt;=$L850))&gt;0),0),0),0))))</f>
        <v>0</v>
      </c>
      <c r="AD850" s="51" t="str">
        <f>IF(OR($B850="",$D850=""),"",IFERROR(IF(INDEX(CARDS!$H$5:$H$34,MATCH($D850,CARDS!$A$5:$A$34,0))="","",IF(DAY($B850)&lt;=INDEX(CARDS!$H$5:$H$34,MATCH($D850,CARDS!$A$5:$A$34,0)),DATE(YEAR($B850),MONTH($B850),MIN(INDEX(CARDS!$H$5:$H$34,MATCH($D850,CARDS!$A$5:$A$34,0)),DAY(EOMONTH($B850,0)))),DATE(YEAR($B850),MONTH($B850)+1,MIN(INDEX(CARDS!$H$5:$H$34,MATCH($D850,CARDS!$A$5:$A$34,0)),DAY(EOMONTH($B850,1)))))),""))</f>
        <v/>
      </c>
      <c r="AE850" s="52" t="str">
        <f>IF($C850="","",$C850&amp;"|"&amp;COUNTIF($C$5:$C850,$C850))</f>
        <v/>
      </c>
      <c r="AF850" s="53">
        <f>IF($AC850&gt;0,SUMIFS(Q$4:Q849,$D$4:$D849,$D850,$Z$4:$Z849,$Z850,$C$4:$C849,$C850),0)</f>
        <v>0</v>
      </c>
      <c r="AG850" s="53">
        <f>IF($AC850&gt;0,SUMIFS(Q$4:Q849,$D$4:$D849,$D850,$C$4:$C849,$C850),0)</f>
        <v>0</v>
      </c>
      <c r="AH850" s="53">
        <f>IF($AC850&gt;0,SUMIFS(M$4:M849,$D$4:$D849,$D850,$Z$4:$Z849,$Z850,$C$4:$C849,$C850),0)</f>
        <v>0</v>
      </c>
      <c r="AI850" s="43">
        <f>IF(OR($C850="",$I850=""),0,IF(COUNTIFS($C$5:$C850,$C850,$I$5:$I850,$I850)=1,1,0))</f>
        <v>0</v>
      </c>
      <c r="AJ850" s="43" t="str">
        <f>IF($AI850=1,SUMIFS($AI$4:$AI849,$C$4:$C849,$C850)+1,"")</f>
        <v/>
      </c>
      <c r="AK850" s="43">
        <f>IF(OR($C850="",$K850=""),0,IF(COUNTIFS($C$5:$C850,$C850,$K$5:$K850,$K850)=1,1,0))</f>
        <v>0</v>
      </c>
      <c r="AL850" s="43" t="str">
        <f>IF($AK850=1,SUMIFS($AK$4:$AK849,$C$4:$C849,$C850)+1,"")</f>
        <v/>
      </c>
      <c r="AM850" s="43">
        <f>IF(OR($C850="",$G850=""),0,IF(COUNTIFS($C$5:$C850,$C850,$G$5:$G850,$G850)=1,1,0))</f>
        <v>0</v>
      </c>
      <c r="AN850" s="43" t="str">
        <f>IF($AM850=1,SUMIFS($AM$4:$AM849,$C$4:$C849,$C850)+1,"")</f>
        <v/>
      </c>
    </row>
    <row r="851">
      <c r="A851" s="44" t="str">
        <f>IF(OR($B851="",$D851=""),"","TX"&amp;TEXT(ROW()-4,"0000"))</f>
        <v/>
      </c>
      <c r="B851" s="42" t="n"/>
      <c r="C851" s="47" t="str">
        <f>IF($B851="","",YEAR($B851)*100+MONTH($B851))</f>
        <v/>
      </c>
      <c r="D851" s="37" t="n"/>
      <c r="E851" s="45" t="str">
        <f>IF($D851="","",IFERROR(INDEX(CARDS!$B$5:$B$34,MATCH($D851,CARDS!$A$5:$A$34,0)),"⚠ Card ID?"))</f>
        <v/>
      </c>
      <c r="F851" s="45" t="str">
        <f>IF($D851="","",IFERROR(INDEX(CARDS!$C$5:$C$34,MATCH($D851,CARDS!$A$5:$A$34,0)),"⚠ Card ID?"))</f>
        <v/>
      </c>
      <c r="G851" s="37" t="n"/>
      <c r="H851" s="37" t="n"/>
      <c r="I851" s="41" t="n"/>
      <c r="J851" s="45" t="str">
        <f>IF($I851="","",IFERROR(INDEX(MCC_MASTER!$B$5:$B$504,MATCH($I851,MCC_MASTER!$A$5:$A$504,0)),"⚠ MCC chưa có"))</f>
        <v/>
      </c>
      <c r="K851" s="45" t="str">
        <f>IF($I851="","",IFERROR(IF(INDEX(MCC_MASTER!$C$5:$C$504,MATCH($I851,MCC_MASTER!$A$5:$A$504,0))="","Chưa phân loại",INDEX(MCC_MASTER!$C$5:$C$504,MATCH($I851,MCC_MASTER!$A$5:$A$504,0))),"Chưa phân loại"))</f>
        <v/>
      </c>
      <c r="L851" s="40" t="n"/>
      <c r="M851" s="48" t="str">
        <f>IF(OR($B851="",$D851=""),"",IF($AC851=0,0,IF(ISNUMBER(INDEX(CASHBACK_RULES!$L$5:$L$304,$AC851)),MAX(0,MIN($L851,INDEX(CASHBACK_RULES!$L$5:$L$304,$AC851)-$AH851)),MAX(0,$L851))))</f>
        <v/>
      </c>
      <c r="N851" s="49" t="str">
        <f>IF(OR($B851="",$D851=""),"",IF($AC851&gt;0,INDEX(CASHBACK_RULES!$I$5:$I$304,$AC851),0))</f>
        <v/>
      </c>
      <c r="O851" s="48" t="str">
        <f>IF(OR($B851="",$D851=""),"",ROUND($M851*$N851,0))</f>
        <v/>
      </c>
      <c r="P851" s="48" t="str">
        <f>IF($AC851&gt;0,IF(ISNUMBER(INDEX(CASHBACK_RULES!$J$5:$J$304,$AC851)),INDEX(CASHBACK_RULES!$J$5:$J$304,$AC851),"∞"),"")</f>
        <v/>
      </c>
      <c r="Q851" s="48" t="str">
        <f>IF(OR($B851="",$D851=""),"",IF($AC851=0,0,MAX(0,MIN($O851,IF(ISNUMBER($P851),$P851-$AF851,1E+15),IF(ISNUMBER($AA851),$AA851-$AG851,1E+15)))))</f>
        <v/>
      </c>
      <c r="R851" s="48" t="str">
        <f>IF(OR($B851="",$D851=""),"",IF($AC851=0,"",IF(AND(NOT(ISNUMBER($P851)),NOT(ISNUMBER($AA851))),"∞",MAX(0,MIN(IF(ISNUMBER($P851),$P851-$AF851-$Q851,1E+15),IF(ISNUMBER($AA851),$AA851-$AG851-$Q851,1E+15))))))</f>
        <v/>
      </c>
      <c r="S851" s="47" t="str">
        <f>IF($AD851="","",YEAR($AD851)*100+MONTH($AD851))</f>
        <v/>
      </c>
      <c r="T851" s="50" t="str">
        <f>IF($AD851="","",IFERROR(IF(INDEX(CARDS!$I$5:$I$34,MATCH($D851,CARDS!$A$5:$A$34,0))="","",IF(INDEX(CARDS!$I$5:$I$34,MATCH($D851,CARDS!$A$5:$A$34,0))&gt;INDEX(CARDS!$H$5:$H$34,MATCH($D851,CARDS!$A$5:$A$34,0)),DATE(YEAR($AD851),MONTH($AD851),MIN(INDEX(CARDS!$I$5:$I$34,MATCH($D851,CARDS!$A$5:$A$34,0)),DAY(EOMONTH($AD851,0)))),DATE(YEAR($AD851),MONTH($AD851)+1,MIN(INDEX(CARDS!$I$5:$I$34,MATCH($D851,CARDS!$A$5:$A$34,0)),DAY(EOMONTH($AD851,1)))))),""))</f>
        <v/>
      </c>
      <c r="U851" s="38" t="n"/>
      <c r="V851" s="37" t="n"/>
      <c r="W851" s="38" t="n"/>
      <c r="X851" s="38" t="n"/>
      <c r="Y851" s="44" t="str">
        <f>IF($AC851&gt;0,INDEX(CASHBACK_RULES!$A$5:$A$304,$AC851),"")</f>
        <v/>
      </c>
      <c r="Z851" s="45" t="str">
        <f>IF($AC851&gt;0,INDEX(CASHBACK_RULES!$E$5:$E$304,$AC851)&amp;"","")</f>
        <v/>
      </c>
      <c r="AA851" s="48" t="str">
        <f>IF($AC851&gt;0,IF(ISNUMBER(INDEX(CASHBACK_RULES!$K$5:$K$304,$AC851)),INDEX(CASHBACK_RULES!$K$5:$K$304,$AC851),"∞"),"")</f>
        <v/>
      </c>
      <c r="AB851" s="44" t="str">
        <f>IF(OR($B851="",$D851=""),"",IF($U851="Cancelled","Đã hủy",IF($AC851=0,"Không được hoàn",IF($Q851=0,IF(OR($O851&gt;0,$M851&lt;$L851),"Đã đạt cap","Không được hoàn"),IF(OR($Q851&lt;$O851,$M851&lt;$L851),"Hoàn một phần","Được hoàn")))))</f>
        <v/>
      </c>
      <c r="AC851" s="43">
        <f>IF(OR($B851="",$D851="",$I851="",$L851=""),0,IF($U851="Cancelled",0,IF($W851&lt;&gt;"",IFERROR(IF(INDEX(CASHBACK_RULES!$B$5:$B$304,MATCH($W851,CASHBACK_RULES!$A$5:$A$304,0))=$D851,MATCH($W851,CASHBACK_RULES!$A$5:$A$304,0),0),0),IFERROR(MATCH(1,INDEX((CASHBACK_RULES!$B$5:$B$304=$D851)*(CASHBACK_RULES!$G$5:$G$304=$I851)*(((CASHBACK_RULES!$N$5:$N$304="")+(CASHBACK_RULES!$N$5:$N$304&lt;=$B851))&gt;0)*(((CASHBACK_RULES!$O$5:$O$304="")+(CASHBACK_RULES!$O$5:$O$304&gt;=$B851))&gt;0)*(((CASHBACK_RULES!$M$5:$M$304="")+(CASHBACK_RULES!$M$5:$M$304&lt;=$L851))&gt;0),0),0),0))))</f>
        <v>0</v>
      </c>
      <c r="AD851" s="51" t="str">
        <f>IF(OR($B851="",$D851=""),"",IFERROR(IF(INDEX(CARDS!$H$5:$H$34,MATCH($D851,CARDS!$A$5:$A$34,0))="","",IF(DAY($B851)&lt;=INDEX(CARDS!$H$5:$H$34,MATCH($D851,CARDS!$A$5:$A$34,0)),DATE(YEAR($B851),MONTH($B851),MIN(INDEX(CARDS!$H$5:$H$34,MATCH($D851,CARDS!$A$5:$A$34,0)),DAY(EOMONTH($B851,0)))),DATE(YEAR($B851),MONTH($B851)+1,MIN(INDEX(CARDS!$H$5:$H$34,MATCH($D851,CARDS!$A$5:$A$34,0)),DAY(EOMONTH($B851,1)))))),""))</f>
        <v/>
      </c>
      <c r="AE851" s="52" t="str">
        <f>IF($C851="","",$C851&amp;"|"&amp;COUNTIF($C$5:$C851,$C851))</f>
        <v/>
      </c>
      <c r="AF851" s="53">
        <f>IF($AC851&gt;0,SUMIFS(Q$4:Q850,$D$4:$D850,$D851,$Z$4:$Z850,$Z851,$C$4:$C850,$C851),0)</f>
        <v>0</v>
      </c>
      <c r="AG851" s="53">
        <f>IF($AC851&gt;0,SUMIFS(Q$4:Q850,$D$4:$D850,$D851,$C$4:$C850,$C851),0)</f>
        <v>0</v>
      </c>
      <c r="AH851" s="53">
        <f>IF($AC851&gt;0,SUMIFS(M$4:M850,$D$4:$D850,$D851,$Z$4:$Z850,$Z851,$C$4:$C850,$C851),0)</f>
        <v>0</v>
      </c>
      <c r="AI851" s="43">
        <f>IF(OR($C851="",$I851=""),0,IF(COUNTIFS($C$5:$C851,$C851,$I$5:$I851,$I851)=1,1,0))</f>
        <v>0</v>
      </c>
      <c r="AJ851" s="43" t="str">
        <f>IF($AI851=1,SUMIFS($AI$4:$AI850,$C$4:$C850,$C851)+1,"")</f>
        <v/>
      </c>
      <c r="AK851" s="43">
        <f>IF(OR($C851="",$K851=""),0,IF(COUNTIFS($C$5:$C851,$C851,$K$5:$K851,$K851)=1,1,0))</f>
        <v>0</v>
      </c>
      <c r="AL851" s="43" t="str">
        <f>IF($AK851=1,SUMIFS($AK$4:$AK850,$C$4:$C850,$C851)+1,"")</f>
        <v/>
      </c>
      <c r="AM851" s="43">
        <f>IF(OR($C851="",$G851=""),0,IF(COUNTIFS($C$5:$C851,$C851,$G$5:$G851,$G851)=1,1,0))</f>
        <v>0</v>
      </c>
      <c r="AN851" s="43" t="str">
        <f>IF($AM851=1,SUMIFS($AM$4:$AM850,$C$4:$C850,$C851)+1,"")</f>
        <v/>
      </c>
    </row>
    <row r="852">
      <c r="A852" s="44" t="str">
        <f>IF(OR($B852="",$D852=""),"","TX"&amp;TEXT(ROW()-4,"0000"))</f>
        <v/>
      </c>
      <c r="B852" s="42" t="n"/>
      <c r="C852" s="47" t="str">
        <f>IF($B852="","",YEAR($B852)*100+MONTH($B852))</f>
        <v/>
      </c>
      <c r="D852" s="37" t="n"/>
      <c r="E852" s="45" t="str">
        <f>IF($D852="","",IFERROR(INDEX(CARDS!$B$5:$B$34,MATCH($D852,CARDS!$A$5:$A$34,0)),"⚠ Card ID?"))</f>
        <v/>
      </c>
      <c r="F852" s="45" t="str">
        <f>IF($D852="","",IFERROR(INDEX(CARDS!$C$5:$C$34,MATCH($D852,CARDS!$A$5:$A$34,0)),"⚠ Card ID?"))</f>
        <v/>
      </c>
      <c r="G852" s="37" t="n"/>
      <c r="H852" s="37" t="n"/>
      <c r="I852" s="41" t="n"/>
      <c r="J852" s="45" t="str">
        <f>IF($I852="","",IFERROR(INDEX(MCC_MASTER!$B$5:$B$504,MATCH($I852,MCC_MASTER!$A$5:$A$504,0)),"⚠ MCC chưa có"))</f>
        <v/>
      </c>
      <c r="K852" s="45" t="str">
        <f>IF($I852="","",IFERROR(IF(INDEX(MCC_MASTER!$C$5:$C$504,MATCH($I852,MCC_MASTER!$A$5:$A$504,0))="","Chưa phân loại",INDEX(MCC_MASTER!$C$5:$C$504,MATCH($I852,MCC_MASTER!$A$5:$A$504,0))),"Chưa phân loại"))</f>
        <v/>
      </c>
      <c r="L852" s="40" t="n"/>
      <c r="M852" s="48" t="str">
        <f>IF(OR($B852="",$D852=""),"",IF($AC852=0,0,IF(ISNUMBER(INDEX(CASHBACK_RULES!$L$5:$L$304,$AC852)),MAX(0,MIN($L852,INDEX(CASHBACK_RULES!$L$5:$L$304,$AC852)-$AH852)),MAX(0,$L852))))</f>
        <v/>
      </c>
      <c r="N852" s="49" t="str">
        <f>IF(OR($B852="",$D852=""),"",IF($AC852&gt;0,INDEX(CASHBACK_RULES!$I$5:$I$304,$AC852),0))</f>
        <v/>
      </c>
      <c r="O852" s="48" t="str">
        <f>IF(OR($B852="",$D852=""),"",ROUND($M852*$N852,0))</f>
        <v/>
      </c>
      <c r="P852" s="48" t="str">
        <f>IF($AC852&gt;0,IF(ISNUMBER(INDEX(CASHBACK_RULES!$J$5:$J$304,$AC852)),INDEX(CASHBACK_RULES!$J$5:$J$304,$AC852),"∞"),"")</f>
        <v/>
      </c>
      <c r="Q852" s="48" t="str">
        <f>IF(OR($B852="",$D852=""),"",IF($AC852=0,0,MAX(0,MIN($O852,IF(ISNUMBER($P852),$P852-$AF852,1E+15),IF(ISNUMBER($AA852),$AA852-$AG852,1E+15)))))</f>
        <v/>
      </c>
      <c r="R852" s="48" t="str">
        <f>IF(OR($B852="",$D852=""),"",IF($AC852=0,"",IF(AND(NOT(ISNUMBER($P852)),NOT(ISNUMBER($AA852))),"∞",MAX(0,MIN(IF(ISNUMBER($P852),$P852-$AF852-$Q852,1E+15),IF(ISNUMBER($AA852),$AA852-$AG852-$Q852,1E+15))))))</f>
        <v/>
      </c>
      <c r="S852" s="47" t="str">
        <f>IF($AD852="","",YEAR($AD852)*100+MONTH($AD852))</f>
        <v/>
      </c>
      <c r="T852" s="50" t="str">
        <f>IF($AD852="","",IFERROR(IF(INDEX(CARDS!$I$5:$I$34,MATCH($D852,CARDS!$A$5:$A$34,0))="","",IF(INDEX(CARDS!$I$5:$I$34,MATCH($D852,CARDS!$A$5:$A$34,0))&gt;INDEX(CARDS!$H$5:$H$34,MATCH($D852,CARDS!$A$5:$A$34,0)),DATE(YEAR($AD852),MONTH($AD852),MIN(INDEX(CARDS!$I$5:$I$34,MATCH($D852,CARDS!$A$5:$A$34,0)),DAY(EOMONTH($AD852,0)))),DATE(YEAR($AD852),MONTH($AD852)+1,MIN(INDEX(CARDS!$I$5:$I$34,MATCH($D852,CARDS!$A$5:$A$34,0)),DAY(EOMONTH($AD852,1)))))),""))</f>
        <v/>
      </c>
      <c r="U852" s="38" t="n"/>
      <c r="V852" s="37" t="n"/>
      <c r="W852" s="38" t="n"/>
      <c r="X852" s="38" t="n"/>
      <c r="Y852" s="44" t="str">
        <f>IF($AC852&gt;0,INDEX(CASHBACK_RULES!$A$5:$A$304,$AC852),"")</f>
        <v/>
      </c>
      <c r="Z852" s="45" t="str">
        <f>IF($AC852&gt;0,INDEX(CASHBACK_RULES!$E$5:$E$304,$AC852)&amp;"","")</f>
        <v/>
      </c>
      <c r="AA852" s="48" t="str">
        <f>IF($AC852&gt;0,IF(ISNUMBER(INDEX(CASHBACK_RULES!$K$5:$K$304,$AC852)),INDEX(CASHBACK_RULES!$K$5:$K$304,$AC852),"∞"),"")</f>
        <v/>
      </c>
      <c r="AB852" s="44" t="str">
        <f>IF(OR($B852="",$D852=""),"",IF($U852="Cancelled","Đã hủy",IF($AC852=0,"Không được hoàn",IF($Q852=0,IF(OR($O852&gt;0,$M852&lt;$L852),"Đã đạt cap","Không được hoàn"),IF(OR($Q852&lt;$O852,$M852&lt;$L852),"Hoàn một phần","Được hoàn")))))</f>
        <v/>
      </c>
      <c r="AC852" s="43">
        <f>IF(OR($B852="",$D852="",$I852="",$L852=""),0,IF($U852="Cancelled",0,IF($W852&lt;&gt;"",IFERROR(IF(INDEX(CASHBACK_RULES!$B$5:$B$304,MATCH($W852,CASHBACK_RULES!$A$5:$A$304,0))=$D852,MATCH($W852,CASHBACK_RULES!$A$5:$A$304,0),0),0),IFERROR(MATCH(1,INDEX((CASHBACK_RULES!$B$5:$B$304=$D852)*(CASHBACK_RULES!$G$5:$G$304=$I852)*(((CASHBACK_RULES!$N$5:$N$304="")+(CASHBACK_RULES!$N$5:$N$304&lt;=$B852))&gt;0)*(((CASHBACK_RULES!$O$5:$O$304="")+(CASHBACK_RULES!$O$5:$O$304&gt;=$B852))&gt;0)*(((CASHBACK_RULES!$M$5:$M$304="")+(CASHBACK_RULES!$M$5:$M$304&lt;=$L852))&gt;0),0),0),0))))</f>
        <v>0</v>
      </c>
      <c r="AD852" s="51" t="str">
        <f>IF(OR($B852="",$D852=""),"",IFERROR(IF(INDEX(CARDS!$H$5:$H$34,MATCH($D852,CARDS!$A$5:$A$34,0))="","",IF(DAY($B852)&lt;=INDEX(CARDS!$H$5:$H$34,MATCH($D852,CARDS!$A$5:$A$34,0)),DATE(YEAR($B852),MONTH($B852),MIN(INDEX(CARDS!$H$5:$H$34,MATCH($D852,CARDS!$A$5:$A$34,0)),DAY(EOMONTH($B852,0)))),DATE(YEAR($B852),MONTH($B852)+1,MIN(INDEX(CARDS!$H$5:$H$34,MATCH($D852,CARDS!$A$5:$A$34,0)),DAY(EOMONTH($B852,1)))))),""))</f>
        <v/>
      </c>
      <c r="AE852" s="52" t="str">
        <f>IF($C852="","",$C852&amp;"|"&amp;COUNTIF($C$5:$C852,$C852))</f>
        <v/>
      </c>
      <c r="AF852" s="53">
        <f>IF($AC852&gt;0,SUMIFS(Q$4:Q851,$D$4:$D851,$D852,$Z$4:$Z851,$Z852,$C$4:$C851,$C852),0)</f>
        <v>0</v>
      </c>
      <c r="AG852" s="53">
        <f>IF($AC852&gt;0,SUMIFS(Q$4:Q851,$D$4:$D851,$D852,$C$4:$C851,$C852),0)</f>
        <v>0</v>
      </c>
      <c r="AH852" s="53">
        <f>IF($AC852&gt;0,SUMIFS(M$4:M851,$D$4:$D851,$D852,$Z$4:$Z851,$Z852,$C$4:$C851,$C852),0)</f>
        <v>0</v>
      </c>
      <c r="AI852" s="43">
        <f>IF(OR($C852="",$I852=""),0,IF(COUNTIFS($C$5:$C852,$C852,$I$5:$I852,$I852)=1,1,0))</f>
        <v>0</v>
      </c>
      <c r="AJ852" s="43" t="str">
        <f>IF($AI852=1,SUMIFS($AI$4:$AI851,$C$4:$C851,$C852)+1,"")</f>
        <v/>
      </c>
      <c r="AK852" s="43">
        <f>IF(OR($C852="",$K852=""),0,IF(COUNTIFS($C$5:$C852,$C852,$K$5:$K852,$K852)=1,1,0))</f>
        <v>0</v>
      </c>
      <c r="AL852" s="43" t="str">
        <f>IF($AK852=1,SUMIFS($AK$4:$AK851,$C$4:$C851,$C852)+1,"")</f>
        <v/>
      </c>
      <c r="AM852" s="43">
        <f>IF(OR($C852="",$G852=""),0,IF(COUNTIFS($C$5:$C852,$C852,$G$5:$G852,$G852)=1,1,0))</f>
        <v>0</v>
      </c>
      <c r="AN852" s="43" t="str">
        <f>IF($AM852=1,SUMIFS($AM$4:$AM851,$C$4:$C851,$C852)+1,"")</f>
        <v/>
      </c>
    </row>
    <row r="853">
      <c r="A853" s="44" t="str">
        <f>IF(OR($B853="",$D853=""),"","TX"&amp;TEXT(ROW()-4,"0000"))</f>
        <v/>
      </c>
      <c r="B853" s="42" t="n"/>
      <c r="C853" s="47" t="str">
        <f>IF($B853="","",YEAR($B853)*100+MONTH($B853))</f>
        <v/>
      </c>
      <c r="D853" s="37" t="n"/>
      <c r="E853" s="45" t="str">
        <f>IF($D853="","",IFERROR(INDEX(CARDS!$B$5:$B$34,MATCH($D853,CARDS!$A$5:$A$34,0)),"⚠ Card ID?"))</f>
        <v/>
      </c>
      <c r="F853" s="45" t="str">
        <f>IF($D853="","",IFERROR(INDEX(CARDS!$C$5:$C$34,MATCH($D853,CARDS!$A$5:$A$34,0)),"⚠ Card ID?"))</f>
        <v/>
      </c>
      <c r="G853" s="37" t="n"/>
      <c r="H853" s="37" t="n"/>
      <c r="I853" s="41" t="n"/>
      <c r="J853" s="45" t="str">
        <f>IF($I853="","",IFERROR(INDEX(MCC_MASTER!$B$5:$B$504,MATCH($I853,MCC_MASTER!$A$5:$A$504,0)),"⚠ MCC chưa có"))</f>
        <v/>
      </c>
      <c r="K853" s="45" t="str">
        <f>IF($I853="","",IFERROR(IF(INDEX(MCC_MASTER!$C$5:$C$504,MATCH($I853,MCC_MASTER!$A$5:$A$504,0))="","Chưa phân loại",INDEX(MCC_MASTER!$C$5:$C$504,MATCH($I853,MCC_MASTER!$A$5:$A$504,0))),"Chưa phân loại"))</f>
        <v/>
      </c>
      <c r="L853" s="40" t="n"/>
      <c r="M853" s="48" t="str">
        <f>IF(OR($B853="",$D853=""),"",IF($AC853=0,0,IF(ISNUMBER(INDEX(CASHBACK_RULES!$L$5:$L$304,$AC853)),MAX(0,MIN($L853,INDEX(CASHBACK_RULES!$L$5:$L$304,$AC853)-$AH853)),MAX(0,$L853))))</f>
        <v/>
      </c>
      <c r="N853" s="49" t="str">
        <f>IF(OR($B853="",$D853=""),"",IF($AC853&gt;0,INDEX(CASHBACK_RULES!$I$5:$I$304,$AC853),0))</f>
        <v/>
      </c>
      <c r="O853" s="48" t="str">
        <f>IF(OR($B853="",$D853=""),"",ROUND($M853*$N853,0))</f>
        <v/>
      </c>
      <c r="P853" s="48" t="str">
        <f>IF($AC853&gt;0,IF(ISNUMBER(INDEX(CASHBACK_RULES!$J$5:$J$304,$AC853)),INDEX(CASHBACK_RULES!$J$5:$J$304,$AC853),"∞"),"")</f>
        <v/>
      </c>
      <c r="Q853" s="48" t="str">
        <f>IF(OR($B853="",$D853=""),"",IF($AC853=0,0,MAX(0,MIN($O853,IF(ISNUMBER($P853),$P853-$AF853,1E+15),IF(ISNUMBER($AA853),$AA853-$AG853,1E+15)))))</f>
        <v/>
      </c>
      <c r="R853" s="48" t="str">
        <f>IF(OR($B853="",$D853=""),"",IF($AC853=0,"",IF(AND(NOT(ISNUMBER($P853)),NOT(ISNUMBER($AA853))),"∞",MAX(0,MIN(IF(ISNUMBER($P853),$P853-$AF853-$Q853,1E+15),IF(ISNUMBER($AA853),$AA853-$AG853-$Q853,1E+15))))))</f>
        <v/>
      </c>
      <c r="S853" s="47" t="str">
        <f>IF($AD853="","",YEAR($AD853)*100+MONTH($AD853))</f>
        <v/>
      </c>
      <c r="T853" s="50" t="str">
        <f>IF($AD853="","",IFERROR(IF(INDEX(CARDS!$I$5:$I$34,MATCH($D853,CARDS!$A$5:$A$34,0))="","",IF(INDEX(CARDS!$I$5:$I$34,MATCH($D853,CARDS!$A$5:$A$34,0))&gt;INDEX(CARDS!$H$5:$H$34,MATCH($D853,CARDS!$A$5:$A$34,0)),DATE(YEAR($AD853),MONTH($AD853),MIN(INDEX(CARDS!$I$5:$I$34,MATCH($D853,CARDS!$A$5:$A$34,0)),DAY(EOMONTH($AD853,0)))),DATE(YEAR($AD853),MONTH($AD853)+1,MIN(INDEX(CARDS!$I$5:$I$34,MATCH($D853,CARDS!$A$5:$A$34,0)),DAY(EOMONTH($AD853,1)))))),""))</f>
        <v/>
      </c>
      <c r="U853" s="38" t="n"/>
      <c r="V853" s="37" t="n"/>
      <c r="W853" s="38" t="n"/>
      <c r="X853" s="38" t="n"/>
      <c r="Y853" s="44" t="str">
        <f>IF($AC853&gt;0,INDEX(CASHBACK_RULES!$A$5:$A$304,$AC853),"")</f>
        <v/>
      </c>
      <c r="Z853" s="45" t="str">
        <f>IF($AC853&gt;0,INDEX(CASHBACK_RULES!$E$5:$E$304,$AC853)&amp;"","")</f>
        <v/>
      </c>
      <c r="AA853" s="48" t="str">
        <f>IF($AC853&gt;0,IF(ISNUMBER(INDEX(CASHBACK_RULES!$K$5:$K$304,$AC853)),INDEX(CASHBACK_RULES!$K$5:$K$304,$AC853),"∞"),"")</f>
        <v/>
      </c>
      <c r="AB853" s="44" t="str">
        <f>IF(OR($B853="",$D853=""),"",IF($U853="Cancelled","Đã hủy",IF($AC853=0,"Không được hoàn",IF($Q853=0,IF(OR($O853&gt;0,$M853&lt;$L853),"Đã đạt cap","Không được hoàn"),IF(OR($Q853&lt;$O853,$M853&lt;$L853),"Hoàn một phần","Được hoàn")))))</f>
        <v/>
      </c>
      <c r="AC853" s="43">
        <f>IF(OR($B853="",$D853="",$I853="",$L853=""),0,IF($U853="Cancelled",0,IF($W853&lt;&gt;"",IFERROR(IF(INDEX(CASHBACK_RULES!$B$5:$B$304,MATCH($W853,CASHBACK_RULES!$A$5:$A$304,0))=$D853,MATCH($W853,CASHBACK_RULES!$A$5:$A$304,0),0),0),IFERROR(MATCH(1,INDEX((CASHBACK_RULES!$B$5:$B$304=$D853)*(CASHBACK_RULES!$G$5:$G$304=$I853)*(((CASHBACK_RULES!$N$5:$N$304="")+(CASHBACK_RULES!$N$5:$N$304&lt;=$B853))&gt;0)*(((CASHBACK_RULES!$O$5:$O$304="")+(CASHBACK_RULES!$O$5:$O$304&gt;=$B853))&gt;0)*(((CASHBACK_RULES!$M$5:$M$304="")+(CASHBACK_RULES!$M$5:$M$304&lt;=$L853))&gt;0),0),0),0))))</f>
        <v>0</v>
      </c>
      <c r="AD853" s="51" t="str">
        <f>IF(OR($B853="",$D853=""),"",IFERROR(IF(INDEX(CARDS!$H$5:$H$34,MATCH($D853,CARDS!$A$5:$A$34,0))="","",IF(DAY($B853)&lt;=INDEX(CARDS!$H$5:$H$34,MATCH($D853,CARDS!$A$5:$A$34,0)),DATE(YEAR($B853),MONTH($B853),MIN(INDEX(CARDS!$H$5:$H$34,MATCH($D853,CARDS!$A$5:$A$34,0)),DAY(EOMONTH($B853,0)))),DATE(YEAR($B853),MONTH($B853)+1,MIN(INDEX(CARDS!$H$5:$H$34,MATCH($D853,CARDS!$A$5:$A$34,0)),DAY(EOMONTH($B853,1)))))),""))</f>
        <v/>
      </c>
      <c r="AE853" s="52" t="str">
        <f>IF($C853="","",$C853&amp;"|"&amp;COUNTIF($C$5:$C853,$C853))</f>
        <v/>
      </c>
      <c r="AF853" s="53">
        <f>IF($AC853&gt;0,SUMIFS(Q$4:Q852,$D$4:$D852,$D853,$Z$4:$Z852,$Z853,$C$4:$C852,$C853),0)</f>
        <v>0</v>
      </c>
      <c r="AG853" s="53">
        <f>IF($AC853&gt;0,SUMIFS(Q$4:Q852,$D$4:$D852,$D853,$C$4:$C852,$C853),0)</f>
        <v>0</v>
      </c>
      <c r="AH853" s="53">
        <f>IF($AC853&gt;0,SUMIFS(M$4:M852,$D$4:$D852,$D853,$Z$4:$Z852,$Z853,$C$4:$C852,$C853),0)</f>
        <v>0</v>
      </c>
      <c r="AI853" s="43">
        <f>IF(OR($C853="",$I853=""),0,IF(COUNTIFS($C$5:$C853,$C853,$I$5:$I853,$I853)=1,1,0))</f>
        <v>0</v>
      </c>
      <c r="AJ853" s="43" t="str">
        <f>IF($AI853=1,SUMIFS($AI$4:$AI852,$C$4:$C852,$C853)+1,"")</f>
        <v/>
      </c>
      <c r="AK853" s="43">
        <f>IF(OR($C853="",$K853=""),0,IF(COUNTIFS($C$5:$C853,$C853,$K$5:$K853,$K853)=1,1,0))</f>
        <v>0</v>
      </c>
      <c r="AL853" s="43" t="str">
        <f>IF($AK853=1,SUMIFS($AK$4:$AK852,$C$4:$C852,$C853)+1,"")</f>
        <v/>
      </c>
      <c r="AM853" s="43">
        <f>IF(OR($C853="",$G853=""),0,IF(COUNTIFS($C$5:$C853,$C853,$G$5:$G853,$G853)=1,1,0))</f>
        <v>0</v>
      </c>
      <c r="AN853" s="43" t="str">
        <f>IF($AM853=1,SUMIFS($AM$4:$AM852,$C$4:$C852,$C853)+1,"")</f>
        <v/>
      </c>
    </row>
    <row r="854">
      <c r="A854" s="44" t="str">
        <f>IF(OR($B854="",$D854=""),"","TX"&amp;TEXT(ROW()-4,"0000"))</f>
        <v/>
      </c>
      <c r="B854" s="42" t="n"/>
      <c r="C854" s="47" t="str">
        <f>IF($B854="","",YEAR($B854)*100+MONTH($B854))</f>
        <v/>
      </c>
      <c r="D854" s="37" t="n"/>
      <c r="E854" s="45" t="str">
        <f>IF($D854="","",IFERROR(INDEX(CARDS!$B$5:$B$34,MATCH($D854,CARDS!$A$5:$A$34,0)),"⚠ Card ID?"))</f>
        <v/>
      </c>
      <c r="F854" s="45" t="str">
        <f>IF($D854="","",IFERROR(INDEX(CARDS!$C$5:$C$34,MATCH($D854,CARDS!$A$5:$A$34,0)),"⚠ Card ID?"))</f>
        <v/>
      </c>
      <c r="G854" s="37" t="n"/>
      <c r="H854" s="37" t="n"/>
      <c r="I854" s="41" t="n"/>
      <c r="J854" s="45" t="str">
        <f>IF($I854="","",IFERROR(INDEX(MCC_MASTER!$B$5:$B$504,MATCH($I854,MCC_MASTER!$A$5:$A$504,0)),"⚠ MCC chưa có"))</f>
        <v/>
      </c>
      <c r="K854" s="45" t="str">
        <f>IF($I854="","",IFERROR(IF(INDEX(MCC_MASTER!$C$5:$C$504,MATCH($I854,MCC_MASTER!$A$5:$A$504,0))="","Chưa phân loại",INDEX(MCC_MASTER!$C$5:$C$504,MATCH($I854,MCC_MASTER!$A$5:$A$504,0))),"Chưa phân loại"))</f>
        <v/>
      </c>
      <c r="L854" s="40" t="n"/>
      <c r="M854" s="48" t="str">
        <f>IF(OR($B854="",$D854=""),"",IF($AC854=0,0,IF(ISNUMBER(INDEX(CASHBACK_RULES!$L$5:$L$304,$AC854)),MAX(0,MIN($L854,INDEX(CASHBACK_RULES!$L$5:$L$304,$AC854)-$AH854)),MAX(0,$L854))))</f>
        <v/>
      </c>
      <c r="N854" s="49" t="str">
        <f>IF(OR($B854="",$D854=""),"",IF($AC854&gt;0,INDEX(CASHBACK_RULES!$I$5:$I$304,$AC854),0))</f>
        <v/>
      </c>
      <c r="O854" s="48" t="str">
        <f>IF(OR($B854="",$D854=""),"",ROUND($M854*$N854,0))</f>
        <v/>
      </c>
      <c r="P854" s="48" t="str">
        <f>IF($AC854&gt;0,IF(ISNUMBER(INDEX(CASHBACK_RULES!$J$5:$J$304,$AC854)),INDEX(CASHBACK_RULES!$J$5:$J$304,$AC854),"∞"),"")</f>
        <v/>
      </c>
      <c r="Q854" s="48" t="str">
        <f>IF(OR($B854="",$D854=""),"",IF($AC854=0,0,MAX(0,MIN($O854,IF(ISNUMBER($P854),$P854-$AF854,1E+15),IF(ISNUMBER($AA854),$AA854-$AG854,1E+15)))))</f>
        <v/>
      </c>
      <c r="R854" s="48" t="str">
        <f>IF(OR($B854="",$D854=""),"",IF($AC854=0,"",IF(AND(NOT(ISNUMBER($P854)),NOT(ISNUMBER($AA854))),"∞",MAX(0,MIN(IF(ISNUMBER($P854),$P854-$AF854-$Q854,1E+15),IF(ISNUMBER($AA854),$AA854-$AG854-$Q854,1E+15))))))</f>
        <v/>
      </c>
      <c r="S854" s="47" t="str">
        <f>IF($AD854="","",YEAR($AD854)*100+MONTH($AD854))</f>
        <v/>
      </c>
      <c r="T854" s="50" t="str">
        <f>IF($AD854="","",IFERROR(IF(INDEX(CARDS!$I$5:$I$34,MATCH($D854,CARDS!$A$5:$A$34,0))="","",IF(INDEX(CARDS!$I$5:$I$34,MATCH($D854,CARDS!$A$5:$A$34,0))&gt;INDEX(CARDS!$H$5:$H$34,MATCH($D854,CARDS!$A$5:$A$34,0)),DATE(YEAR($AD854),MONTH($AD854),MIN(INDEX(CARDS!$I$5:$I$34,MATCH($D854,CARDS!$A$5:$A$34,0)),DAY(EOMONTH($AD854,0)))),DATE(YEAR($AD854),MONTH($AD854)+1,MIN(INDEX(CARDS!$I$5:$I$34,MATCH($D854,CARDS!$A$5:$A$34,0)),DAY(EOMONTH($AD854,1)))))),""))</f>
        <v/>
      </c>
      <c r="U854" s="38" t="n"/>
      <c r="V854" s="37" t="n"/>
      <c r="W854" s="38" t="n"/>
      <c r="X854" s="38" t="n"/>
      <c r="Y854" s="44" t="str">
        <f>IF($AC854&gt;0,INDEX(CASHBACK_RULES!$A$5:$A$304,$AC854),"")</f>
        <v/>
      </c>
      <c r="Z854" s="45" t="str">
        <f>IF($AC854&gt;0,INDEX(CASHBACK_RULES!$E$5:$E$304,$AC854)&amp;"","")</f>
        <v/>
      </c>
      <c r="AA854" s="48" t="str">
        <f>IF($AC854&gt;0,IF(ISNUMBER(INDEX(CASHBACK_RULES!$K$5:$K$304,$AC854)),INDEX(CASHBACK_RULES!$K$5:$K$304,$AC854),"∞"),"")</f>
        <v/>
      </c>
      <c r="AB854" s="44" t="str">
        <f>IF(OR($B854="",$D854=""),"",IF($U854="Cancelled","Đã hủy",IF($AC854=0,"Không được hoàn",IF($Q854=0,IF(OR($O854&gt;0,$M854&lt;$L854),"Đã đạt cap","Không được hoàn"),IF(OR($Q854&lt;$O854,$M854&lt;$L854),"Hoàn một phần","Được hoàn")))))</f>
        <v/>
      </c>
      <c r="AC854" s="43">
        <f>IF(OR($B854="",$D854="",$I854="",$L854=""),0,IF($U854="Cancelled",0,IF($W854&lt;&gt;"",IFERROR(IF(INDEX(CASHBACK_RULES!$B$5:$B$304,MATCH($W854,CASHBACK_RULES!$A$5:$A$304,0))=$D854,MATCH($W854,CASHBACK_RULES!$A$5:$A$304,0),0),0),IFERROR(MATCH(1,INDEX((CASHBACK_RULES!$B$5:$B$304=$D854)*(CASHBACK_RULES!$G$5:$G$304=$I854)*(((CASHBACK_RULES!$N$5:$N$304="")+(CASHBACK_RULES!$N$5:$N$304&lt;=$B854))&gt;0)*(((CASHBACK_RULES!$O$5:$O$304="")+(CASHBACK_RULES!$O$5:$O$304&gt;=$B854))&gt;0)*(((CASHBACK_RULES!$M$5:$M$304="")+(CASHBACK_RULES!$M$5:$M$304&lt;=$L854))&gt;0),0),0),0))))</f>
        <v>0</v>
      </c>
      <c r="AD854" s="51" t="str">
        <f>IF(OR($B854="",$D854=""),"",IFERROR(IF(INDEX(CARDS!$H$5:$H$34,MATCH($D854,CARDS!$A$5:$A$34,0))="","",IF(DAY($B854)&lt;=INDEX(CARDS!$H$5:$H$34,MATCH($D854,CARDS!$A$5:$A$34,0)),DATE(YEAR($B854),MONTH($B854),MIN(INDEX(CARDS!$H$5:$H$34,MATCH($D854,CARDS!$A$5:$A$34,0)),DAY(EOMONTH($B854,0)))),DATE(YEAR($B854),MONTH($B854)+1,MIN(INDEX(CARDS!$H$5:$H$34,MATCH($D854,CARDS!$A$5:$A$34,0)),DAY(EOMONTH($B854,1)))))),""))</f>
        <v/>
      </c>
      <c r="AE854" s="52" t="str">
        <f>IF($C854="","",$C854&amp;"|"&amp;COUNTIF($C$5:$C854,$C854))</f>
        <v/>
      </c>
      <c r="AF854" s="53">
        <f>IF($AC854&gt;0,SUMIFS(Q$4:Q853,$D$4:$D853,$D854,$Z$4:$Z853,$Z854,$C$4:$C853,$C854),0)</f>
        <v>0</v>
      </c>
      <c r="AG854" s="53">
        <f>IF($AC854&gt;0,SUMIFS(Q$4:Q853,$D$4:$D853,$D854,$C$4:$C853,$C854),0)</f>
        <v>0</v>
      </c>
      <c r="AH854" s="53">
        <f>IF($AC854&gt;0,SUMIFS(M$4:M853,$D$4:$D853,$D854,$Z$4:$Z853,$Z854,$C$4:$C853,$C854),0)</f>
        <v>0</v>
      </c>
      <c r="AI854" s="43">
        <f>IF(OR($C854="",$I854=""),0,IF(COUNTIFS($C$5:$C854,$C854,$I$5:$I854,$I854)=1,1,0))</f>
        <v>0</v>
      </c>
      <c r="AJ854" s="43" t="str">
        <f>IF($AI854=1,SUMIFS($AI$4:$AI853,$C$4:$C853,$C854)+1,"")</f>
        <v/>
      </c>
      <c r="AK854" s="43">
        <f>IF(OR($C854="",$K854=""),0,IF(COUNTIFS($C$5:$C854,$C854,$K$5:$K854,$K854)=1,1,0))</f>
        <v>0</v>
      </c>
      <c r="AL854" s="43" t="str">
        <f>IF($AK854=1,SUMIFS($AK$4:$AK853,$C$4:$C853,$C854)+1,"")</f>
        <v/>
      </c>
      <c r="AM854" s="43">
        <f>IF(OR($C854="",$G854=""),0,IF(COUNTIFS($C$5:$C854,$C854,$G$5:$G854,$G854)=1,1,0))</f>
        <v>0</v>
      </c>
      <c r="AN854" s="43" t="str">
        <f>IF($AM854=1,SUMIFS($AM$4:$AM853,$C$4:$C853,$C854)+1,"")</f>
        <v/>
      </c>
    </row>
    <row r="855">
      <c r="A855" s="44" t="str">
        <f>IF(OR($B855="",$D855=""),"","TX"&amp;TEXT(ROW()-4,"0000"))</f>
        <v/>
      </c>
      <c r="B855" s="42" t="n"/>
      <c r="C855" s="47" t="str">
        <f>IF($B855="","",YEAR($B855)*100+MONTH($B855))</f>
        <v/>
      </c>
      <c r="D855" s="37" t="n"/>
      <c r="E855" s="45" t="str">
        <f>IF($D855="","",IFERROR(INDEX(CARDS!$B$5:$B$34,MATCH($D855,CARDS!$A$5:$A$34,0)),"⚠ Card ID?"))</f>
        <v/>
      </c>
      <c r="F855" s="45" t="str">
        <f>IF($D855="","",IFERROR(INDEX(CARDS!$C$5:$C$34,MATCH($D855,CARDS!$A$5:$A$34,0)),"⚠ Card ID?"))</f>
        <v/>
      </c>
      <c r="G855" s="37" t="n"/>
      <c r="H855" s="37" t="n"/>
      <c r="I855" s="41" t="n"/>
      <c r="J855" s="45" t="str">
        <f>IF($I855="","",IFERROR(INDEX(MCC_MASTER!$B$5:$B$504,MATCH($I855,MCC_MASTER!$A$5:$A$504,0)),"⚠ MCC chưa có"))</f>
        <v/>
      </c>
      <c r="K855" s="45" t="str">
        <f>IF($I855="","",IFERROR(IF(INDEX(MCC_MASTER!$C$5:$C$504,MATCH($I855,MCC_MASTER!$A$5:$A$504,0))="","Chưa phân loại",INDEX(MCC_MASTER!$C$5:$C$504,MATCH($I855,MCC_MASTER!$A$5:$A$504,0))),"Chưa phân loại"))</f>
        <v/>
      </c>
      <c r="L855" s="40" t="n"/>
      <c r="M855" s="48" t="str">
        <f>IF(OR($B855="",$D855=""),"",IF($AC855=0,0,IF(ISNUMBER(INDEX(CASHBACK_RULES!$L$5:$L$304,$AC855)),MAX(0,MIN($L855,INDEX(CASHBACK_RULES!$L$5:$L$304,$AC855)-$AH855)),MAX(0,$L855))))</f>
        <v/>
      </c>
      <c r="N855" s="49" t="str">
        <f>IF(OR($B855="",$D855=""),"",IF($AC855&gt;0,INDEX(CASHBACK_RULES!$I$5:$I$304,$AC855),0))</f>
        <v/>
      </c>
      <c r="O855" s="48" t="str">
        <f>IF(OR($B855="",$D855=""),"",ROUND($M855*$N855,0))</f>
        <v/>
      </c>
      <c r="P855" s="48" t="str">
        <f>IF($AC855&gt;0,IF(ISNUMBER(INDEX(CASHBACK_RULES!$J$5:$J$304,$AC855)),INDEX(CASHBACK_RULES!$J$5:$J$304,$AC855),"∞"),"")</f>
        <v/>
      </c>
      <c r="Q855" s="48" t="str">
        <f>IF(OR($B855="",$D855=""),"",IF($AC855=0,0,MAX(0,MIN($O855,IF(ISNUMBER($P855),$P855-$AF855,1E+15),IF(ISNUMBER($AA855),$AA855-$AG855,1E+15)))))</f>
        <v/>
      </c>
      <c r="R855" s="48" t="str">
        <f>IF(OR($B855="",$D855=""),"",IF($AC855=0,"",IF(AND(NOT(ISNUMBER($P855)),NOT(ISNUMBER($AA855))),"∞",MAX(0,MIN(IF(ISNUMBER($P855),$P855-$AF855-$Q855,1E+15),IF(ISNUMBER($AA855),$AA855-$AG855-$Q855,1E+15))))))</f>
        <v/>
      </c>
      <c r="S855" s="47" t="str">
        <f>IF($AD855="","",YEAR($AD855)*100+MONTH($AD855))</f>
        <v/>
      </c>
      <c r="T855" s="50" t="str">
        <f>IF($AD855="","",IFERROR(IF(INDEX(CARDS!$I$5:$I$34,MATCH($D855,CARDS!$A$5:$A$34,0))="","",IF(INDEX(CARDS!$I$5:$I$34,MATCH($D855,CARDS!$A$5:$A$34,0))&gt;INDEX(CARDS!$H$5:$H$34,MATCH($D855,CARDS!$A$5:$A$34,0)),DATE(YEAR($AD855),MONTH($AD855),MIN(INDEX(CARDS!$I$5:$I$34,MATCH($D855,CARDS!$A$5:$A$34,0)),DAY(EOMONTH($AD855,0)))),DATE(YEAR($AD855),MONTH($AD855)+1,MIN(INDEX(CARDS!$I$5:$I$34,MATCH($D855,CARDS!$A$5:$A$34,0)),DAY(EOMONTH($AD855,1)))))),""))</f>
        <v/>
      </c>
      <c r="U855" s="38" t="n"/>
      <c r="V855" s="37" t="n"/>
      <c r="W855" s="38" t="n"/>
      <c r="X855" s="38" t="n"/>
      <c r="Y855" s="44" t="str">
        <f>IF($AC855&gt;0,INDEX(CASHBACK_RULES!$A$5:$A$304,$AC855),"")</f>
        <v/>
      </c>
      <c r="Z855" s="45" t="str">
        <f>IF($AC855&gt;0,INDEX(CASHBACK_RULES!$E$5:$E$304,$AC855)&amp;"","")</f>
        <v/>
      </c>
      <c r="AA855" s="48" t="str">
        <f>IF($AC855&gt;0,IF(ISNUMBER(INDEX(CASHBACK_RULES!$K$5:$K$304,$AC855)),INDEX(CASHBACK_RULES!$K$5:$K$304,$AC855),"∞"),"")</f>
        <v/>
      </c>
      <c r="AB855" s="44" t="str">
        <f>IF(OR($B855="",$D855=""),"",IF($U855="Cancelled","Đã hủy",IF($AC855=0,"Không được hoàn",IF($Q855=0,IF(OR($O855&gt;0,$M855&lt;$L855),"Đã đạt cap","Không được hoàn"),IF(OR($Q855&lt;$O855,$M855&lt;$L855),"Hoàn một phần","Được hoàn")))))</f>
        <v/>
      </c>
      <c r="AC855" s="43">
        <f>IF(OR($B855="",$D855="",$I855="",$L855=""),0,IF($U855="Cancelled",0,IF($W855&lt;&gt;"",IFERROR(IF(INDEX(CASHBACK_RULES!$B$5:$B$304,MATCH($W855,CASHBACK_RULES!$A$5:$A$304,0))=$D855,MATCH($W855,CASHBACK_RULES!$A$5:$A$304,0),0),0),IFERROR(MATCH(1,INDEX((CASHBACK_RULES!$B$5:$B$304=$D855)*(CASHBACK_RULES!$G$5:$G$304=$I855)*(((CASHBACK_RULES!$N$5:$N$304="")+(CASHBACK_RULES!$N$5:$N$304&lt;=$B855))&gt;0)*(((CASHBACK_RULES!$O$5:$O$304="")+(CASHBACK_RULES!$O$5:$O$304&gt;=$B855))&gt;0)*(((CASHBACK_RULES!$M$5:$M$304="")+(CASHBACK_RULES!$M$5:$M$304&lt;=$L855))&gt;0),0),0),0))))</f>
        <v>0</v>
      </c>
      <c r="AD855" s="51" t="str">
        <f>IF(OR($B855="",$D855=""),"",IFERROR(IF(INDEX(CARDS!$H$5:$H$34,MATCH($D855,CARDS!$A$5:$A$34,0))="","",IF(DAY($B855)&lt;=INDEX(CARDS!$H$5:$H$34,MATCH($D855,CARDS!$A$5:$A$34,0)),DATE(YEAR($B855),MONTH($B855),MIN(INDEX(CARDS!$H$5:$H$34,MATCH($D855,CARDS!$A$5:$A$34,0)),DAY(EOMONTH($B855,0)))),DATE(YEAR($B855),MONTH($B855)+1,MIN(INDEX(CARDS!$H$5:$H$34,MATCH($D855,CARDS!$A$5:$A$34,0)),DAY(EOMONTH($B855,1)))))),""))</f>
        <v/>
      </c>
      <c r="AE855" s="52" t="str">
        <f>IF($C855="","",$C855&amp;"|"&amp;COUNTIF($C$5:$C855,$C855))</f>
        <v/>
      </c>
      <c r="AF855" s="53">
        <f>IF($AC855&gt;0,SUMIFS(Q$4:Q854,$D$4:$D854,$D855,$Z$4:$Z854,$Z855,$C$4:$C854,$C855),0)</f>
        <v>0</v>
      </c>
      <c r="AG855" s="53">
        <f>IF($AC855&gt;0,SUMIFS(Q$4:Q854,$D$4:$D854,$D855,$C$4:$C854,$C855),0)</f>
        <v>0</v>
      </c>
      <c r="AH855" s="53">
        <f>IF($AC855&gt;0,SUMIFS(M$4:M854,$D$4:$D854,$D855,$Z$4:$Z854,$Z855,$C$4:$C854,$C855),0)</f>
        <v>0</v>
      </c>
      <c r="AI855" s="43">
        <f>IF(OR($C855="",$I855=""),0,IF(COUNTIFS($C$5:$C855,$C855,$I$5:$I855,$I855)=1,1,0))</f>
        <v>0</v>
      </c>
      <c r="AJ855" s="43" t="str">
        <f>IF($AI855=1,SUMIFS($AI$4:$AI854,$C$4:$C854,$C855)+1,"")</f>
        <v/>
      </c>
      <c r="AK855" s="43">
        <f>IF(OR($C855="",$K855=""),0,IF(COUNTIFS($C$5:$C855,$C855,$K$5:$K855,$K855)=1,1,0))</f>
        <v>0</v>
      </c>
      <c r="AL855" s="43" t="str">
        <f>IF($AK855=1,SUMIFS($AK$4:$AK854,$C$4:$C854,$C855)+1,"")</f>
        <v/>
      </c>
      <c r="AM855" s="43">
        <f>IF(OR($C855="",$G855=""),0,IF(COUNTIFS($C$5:$C855,$C855,$G$5:$G855,$G855)=1,1,0))</f>
        <v>0</v>
      </c>
      <c r="AN855" s="43" t="str">
        <f>IF($AM855=1,SUMIFS($AM$4:$AM854,$C$4:$C854,$C855)+1,"")</f>
        <v/>
      </c>
    </row>
    <row r="856">
      <c r="A856" s="44" t="str">
        <f>IF(OR($B856="",$D856=""),"","TX"&amp;TEXT(ROW()-4,"0000"))</f>
        <v/>
      </c>
      <c r="B856" s="42" t="n"/>
      <c r="C856" s="47" t="str">
        <f>IF($B856="","",YEAR($B856)*100+MONTH($B856))</f>
        <v/>
      </c>
      <c r="D856" s="37" t="n"/>
      <c r="E856" s="45" t="str">
        <f>IF($D856="","",IFERROR(INDEX(CARDS!$B$5:$B$34,MATCH($D856,CARDS!$A$5:$A$34,0)),"⚠ Card ID?"))</f>
        <v/>
      </c>
      <c r="F856" s="45" t="str">
        <f>IF($D856="","",IFERROR(INDEX(CARDS!$C$5:$C$34,MATCH($D856,CARDS!$A$5:$A$34,0)),"⚠ Card ID?"))</f>
        <v/>
      </c>
      <c r="G856" s="37" t="n"/>
      <c r="H856" s="37" t="n"/>
      <c r="I856" s="41" t="n"/>
      <c r="J856" s="45" t="str">
        <f>IF($I856="","",IFERROR(INDEX(MCC_MASTER!$B$5:$B$504,MATCH($I856,MCC_MASTER!$A$5:$A$504,0)),"⚠ MCC chưa có"))</f>
        <v/>
      </c>
      <c r="K856" s="45" t="str">
        <f>IF($I856="","",IFERROR(IF(INDEX(MCC_MASTER!$C$5:$C$504,MATCH($I856,MCC_MASTER!$A$5:$A$504,0))="","Chưa phân loại",INDEX(MCC_MASTER!$C$5:$C$504,MATCH($I856,MCC_MASTER!$A$5:$A$504,0))),"Chưa phân loại"))</f>
        <v/>
      </c>
      <c r="L856" s="40" t="n"/>
      <c r="M856" s="48" t="str">
        <f>IF(OR($B856="",$D856=""),"",IF($AC856=0,0,IF(ISNUMBER(INDEX(CASHBACK_RULES!$L$5:$L$304,$AC856)),MAX(0,MIN($L856,INDEX(CASHBACK_RULES!$L$5:$L$304,$AC856)-$AH856)),MAX(0,$L856))))</f>
        <v/>
      </c>
      <c r="N856" s="49" t="str">
        <f>IF(OR($B856="",$D856=""),"",IF($AC856&gt;0,INDEX(CASHBACK_RULES!$I$5:$I$304,$AC856),0))</f>
        <v/>
      </c>
      <c r="O856" s="48" t="str">
        <f>IF(OR($B856="",$D856=""),"",ROUND($M856*$N856,0))</f>
        <v/>
      </c>
      <c r="P856" s="48" t="str">
        <f>IF($AC856&gt;0,IF(ISNUMBER(INDEX(CASHBACK_RULES!$J$5:$J$304,$AC856)),INDEX(CASHBACK_RULES!$J$5:$J$304,$AC856),"∞"),"")</f>
        <v/>
      </c>
      <c r="Q856" s="48" t="str">
        <f>IF(OR($B856="",$D856=""),"",IF($AC856=0,0,MAX(0,MIN($O856,IF(ISNUMBER($P856),$P856-$AF856,1E+15),IF(ISNUMBER($AA856),$AA856-$AG856,1E+15)))))</f>
        <v/>
      </c>
      <c r="R856" s="48" t="str">
        <f>IF(OR($B856="",$D856=""),"",IF($AC856=0,"",IF(AND(NOT(ISNUMBER($P856)),NOT(ISNUMBER($AA856))),"∞",MAX(0,MIN(IF(ISNUMBER($P856),$P856-$AF856-$Q856,1E+15),IF(ISNUMBER($AA856),$AA856-$AG856-$Q856,1E+15))))))</f>
        <v/>
      </c>
      <c r="S856" s="47" t="str">
        <f>IF($AD856="","",YEAR($AD856)*100+MONTH($AD856))</f>
        <v/>
      </c>
      <c r="T856" s="50" t="str">
        <f>IF($AD856="","",IFERROR(IF(INDEX(CARDS!$I$5:$I$34,MATCH($D856,CARDS!$A$5:$A$34,0))="","",IF(INDEX(CARDS!$I$5:$I$34,MATCH($D856,CARDS!$A$5:$A$34,0))&gt;INDEX(CARDS!$H$5:$H$34,MATCH($D856,CARDS!$A$5:$A$34,0)),DATE(YEAR($AD856),MONTH($AD856),MIN(INDEX(CARDS!$I$5:$I$34,MATCH($D856,CARDS!$A$5:$A$34,0)),DAY(EOMONTH($AD856,0)))),DATE(YEAR($AD856),MONTH($AD856)+1,MIN(INDEX(CARDS!$I$5:$I$34,MATCH($D856,CARDS!$A$5:$A$34,0)),DAY(EOMONTH($AD856,1)))))),""))</f>
        <v/>
      </c>
      <c r="U856" s="38" t="n"/>
      <c r="V856" s="37" t="n"/>
      <c r="W856" s="38" t="n"/>
      <c r="X856" s="38" t="n"/>
      <c r="Y856" s="44" t="str">
        <f>IF($AC856&gt;0,INDEX(CASHBACK_RULES!$A$5:$A$304,$AC856),"")</f>
        <v/>
      </c>
      <c r="Z856" s="45" t="str">
        <f>IF($AC856&gt;0,INDEX(CASHBACK_RULES!$E$5:$E$304,$AC856)&amp;"","")</f>
        <v/>
      </c>
      <c r="AA856" s="48" t="str">
        <f>IF($AC856&gt;0,IF(ISNUMBER(INDEX(CASHBACK_RULES!$K$5:$K$304,$AC856)),INDEX(CASHBACK_RULES!$K$5:$K$304,$AC856),"∞"),"")</f>
        <v/>
      </c>
      <c r="AB856" s="44" t="str">
        <f>IF(OR($B856="",$D856=""),"",IF($U856="Cancelled","Đã hủy",IF($AC856=0,"Không được hoàn",IF($Q856=0,IF(OR($O856&gt;0,$M856&lt;$L856),"Đã đạt cap","Không được hoàn"),IF(OR($Q856&lt;$O856,$M856&lt;$L856),"Hoàn một phần","Được hoàn")))))</f>
        <v/>
      </c>
      <c r="AC856" s="43">
        <f>IF(OR($B856="",$D856="",$I856="",$L856=""),0,IF($U856="Cancelled",0,IF($W856&lt;&gt;"",IFERROR(IF(INDEX(CASHBACK_RULES!$B$5:$B$304,MATCH($W856,CASHBACK_RULES!$A$5:$A$304,0))=$D856,MATCH($W856,CASHBACK_RULES!$A$5:$A$304,0),0),0),IFERROR(MATCH(1,INDEX((CASHBACK_RULES!$B$5:$B$304=$D856)*(CASHBACK_RULES!$G$5:$G$304=$I856)*(((CASHBACK_RULES!$N$5:$N$304="")+(CASHBACK_RULES!$N$5:$N$304&lt;=$B856))&gt;0)*(((CASHBACK_RULES!$O$5:$O$304="")+(CASHBACK_RULES!$O$5:$O$304&gt;=$B856))&gt;0)*(((CASHBACK_RULES!$M$5:$M$304="")+(CASHBACK_RULES!$M$5:$M$304&lt;=$L856))&gt;0),0),0),0))))</f>
        <v>0</v>
      </c>
      <c r="AD856" s="51" t="str">
        <f>IF(OR($B856="",$D856=""),"",IFERROR(IF(INDEX(CARDS!$H$5:$H$34,MATCH($D856,CARDS!$A$5:$A$34,0))="","",IF(DAY($B856)&lt;=INDEX(CARDS!$H$5:$H$34,MATCH($D856,CARDS!$A$5:$A$34,0)),DATE(YEAR($B856),MONTH($B856),MIN(INDEX(CARDS!$H$5:$H$34,MATCH($D856,CARDS!$A$5:$A$34,0)),DAY(EOMONTH($B856,0)))),DATE(YEAR($B856),MONTH($B856)+1,MIN(INDEX(CARDS!$H$5:$H$34,MATCH($D856,CARDS!$A$5:$A$34,0)),DAY(EOMONTH($B856,1)))))),""))</f>
        <v/>
      </c>
      <c r="AE856" s="52" t="str">
        <f>IF($C856="","",$C856&amp;"|"&amp;COUNTIF($C$5:$C856,$C856))</f>
        <v/>
      </c>
      <c r="AF856" s="53">
        <f>IF($AC856&gt;0,SUMIFS(Q$4:Q855,$D$4:$D855,$D856,$Z$4:$Z855,$Z856,$C$4:$C855,$C856),0)</f>
        <v>0</v>
      </c>
      <c r="AG856" s="53">
        <f>IF($AC856&gt;0,SUMIFS(Q$4:Q855,$D$4:$D855,$D856,$C$4:$C855,$C856),0)</f>
        <v>0</v>
      </c>
      <c r="AH856" s="53">
        <f>IF($AC856&gt;0,SUMIFS(M$4:M855,$D$4:$D855,$D856,$Z$4:$Z855,$Z856,$C$4:$C855,$C856),0)</f>
        <v>0</v>
      </c>
      <c r="AI856" s="43">
        <f>IF(OR($C856="",$I856=""),0,IF(COUNTIFS($C$5:$C856,$C856,$I$5:$I856,$I856)=1,1,0))</f>
        <v>0</v>
      </c>
      <c r="AJ856" s="43" t="str">
        <f>IF($AI856=1,SUMIFS($AI$4:$AI855,$C$4:$C855,$C856)+1,"")</f>
        <v/>
      </c>
      <c r="AK856" s="43">
        <f>IF(OR($C856="",$K856=""),0,IF(COUNTIFS($C$5:$C856,$C856,$K$5:$K856,$K856)=1,1,0))</f>
        <v>0</v>
      </c>
      <c r="AL856" s="43" t="str">
        <f>IF($AK856=1,SUMIFS($AK$4:$AK855,$C$4:$C855,$C856)+1,"")</f>
        <v/>
      </c>
      <c r="AM856" s="43">
        <f>IF(OR($C856="",$G856=""),0,IF(COUNTIFS($C$5:$C856,$C856,$G$5:$G856,$G856)=1,1,0))</f>
        <v>0</v>
      </c>
      <c r="AN856" s="43" t="str">
        <f>IF($AM856=1,SUMIFS($AM$4:$AM855,$C$4:$C855,$C856)+1,"")</f>
        <v/>
      </c>
    </row>
    <row r="857">
      <c r="A857" s="44" t="str">
        <f>IF(OR($B857="",$D857=""),"","TX"&amp;TEXT(ROW()-4,"0000"))</f>
        <v/>
      </c>
      <c r="B857" s="42" t="n"/>
      <c r="C857" s="47" t="str">
        <f>IF($B857="","",YEAR($B857)*100+MONTH($B857))</f>
        <v/>
      </c>
      <c r="D857" s="37" t="n"/>
      <c r="E857" s="45" t="str">
        <f>IF($D857="","",IFERROR(INDEX(CARDS!$B$5:$B$34,MATCH($D857,CARDS!$A$5:$A$34,0)),"⚠ Card ID?"))</f>
        <v/>
      </c>
      <c r="F857" s="45" t="str">
        <f>IF($D857="","",IFERROR(INDEX(CARDS!$C$5:$C$34,MATCH($D857,CARDS!$A$5:$A$34,0)),"⚠ Card ID?"))</f>
        <v/>
      </c>
      <c r="G857" s="37" t="n"/>
      <c r="H857" s="37" t="n"/>
      <c r="I857" s="41" t="n"/>
      <c r="J857" s="45" t="str">
        <f>IF($I857="","",IFERROR(INDEX(MCC_MASTER!$B$5:$B$504,MATCH($I857,MCC_MASTER!$A$5:$A$504,0)),"⚠ MCC chưa có"))</f>
        <v/>
      </c>
      <c r="K857" s="45" t="str">
        <f>IF($I857="","",IFERROR(IF(INDEX(MCC_MASTER!$C$5:$C$504,MATCH($I857,MCC_MASTER!$A$5:$A$504,0))="","Chưa phân loại",INDEX(MCC_MASTER!$C$5:$C$504,MATCH($I857,MCC_MASTER!$A$5:$A$504,0))),"Chưa phân loại"))</f>
        <v/>
      </c>
      <c r="L857" s="40" t="n"/>
      <c r="M857" s="48" t="str">
        <f>IF(OR($B857="",$D857=""),"",IF($AC857=0,0,IF(ISNUMBER(INDEX(CASHBACK_RULES!$L$5:$L$304,$AC857)),MAX(0,MIN($L857,INDEX(CASHBACK_RULES!$L$5:$L$304,$AC857)-$AH857)),MAX(0,$L857))))</f>
        <v/>
      </c>
      <c r="N857" s="49" t="str">
        <f>IF(OR($B857="",$D857=""),"",IF($AC857&gt;0,INDEX(CASHBACK_RULES!$I$5:$I$304,$AC857),0))</f>
        <v/>
      </c>
      <c r="O857" s="48" t="str">
        <f>IF(OR($B857="",$D857=""),"",ROUND($M857*$N857,0))</f>
        <v/>
      </c>
      <c r="P857" s="48" t="str">
        <f>IF($AC857&gt;0,IF(ISNUMBER(INDEX(CASHBACK_RULES!$J$5:$J$304,$AC857)),INDEX(CASHBACK_RULES!$J$5:$J$304,$AC857),"∞"),"")</f>
        <v/>
      </c>
      <c r="Q857" s="48" t="str">
        <f>IF(OR($B857="",$D857=""),"",IF($AC857=0,0,MAX(0,MIN($O857,IF(ISNUMBER($P857),$P857-$AF857,1E+15),IF(ISNUMBER($AA857),$AA857-$AG857,1E+15)))))</f>
        <v/>
      </c>
      <c r="R857" s="48" t="str">
        <f>IF(OR($B857="",$D857=""),"",IF($AC857=0,"",IF(AND(NOT(ISNUMBER($P857)),NOT(ISNUMBER($AA857))),"∞",MAX(0,MIN(IF(ISNUMBER($P857),$P857-$AF857-$Q857,1E+15),IF(ISNUMBER($AA857),$AA857-$AG857-$Q857,1E+15))))))</f>
        <v/>
      </c>
      <c r="S857" s="47" t="str">
        <f>IF($AD857="","",YEAR($AD857)*100+MONTH($AD857))</f>
        <v/>
      </c>
      <c r="T857" s="50" t="str">
        <f>IF($AD857="","",IFERROR(IF(INDEX(CARDS!$I$5:$I$34,MATCH($D857,CARDS!$A$5:$A$34,0))="","",IF(INDEX(CARDS!$I$5:$I$34,MATCH($D857,CARDS!$A$5:$A$34,0))&gt;INDEX(CARDS!$H$5:$H$34,MATCH($D857,CARDS!$A$5:$A$34,0)),DATE(YEAR($AD857),MONTH($AD857),MIN(INDEX(CARDS!$I$5:$I$34,MATCH($D857,CARDS!$A$5:$A$34,0)),DAY(EOMONTH($AD857,0)))),DATE(YEAR($AD857),MONTH($AD857)+1,MIN(INDEX(CARDS!$I$5:$I$34,MATCH($D857,CARDS!$A$5:$A$34,0)),DAY(EOMONTH($AD857,1)))))),""))</f>
        <v/>
      </c>
      <c r="U857" s="38" t="n"/>
      <c r="V857" s="37" t="n"/>
      <c r="W857" s="38" t="n"/>
      <c r="X857" s="38" t="n"/>
      <c r="Y857" s="44" t="str">
        <f>IF($AC857&gt;0,INDEX(CASHBACK_RULES!$A$5:$A$304,$AC857),"")</f>
        <v/>
      </c>
      <c r="Z857" s="45" t="str">
        <f>IF($AC857&gt;0,INDEX(CASHBACK_RULES!$E$5:$E$304,$AC857)&amp;"","")</f>
        <v/>
      </c>
      <c r="AA857" s="48" t="str">
        <f>IF($AC857&gt;0,IF(ISNUMBER(INDEX(CASHBACK_RULES!$K$5:$K$304,$AC857)),INDEX(CASHBACK_RULES!$K$5:$K$304,$AC857),"∞"),"")</f>
        <v/>
      </c>
      <c r="AB857" s="44" t="str">
        <f>IF(OR($B857="",$D857=""),"",IF($U857="Cancelled","Đã hủy",IF($AC857=0,"Không được hoàn",IF($Q857=0,IF(OR($O857&gt;0,$M857&lt;$L857),"Đã đạt cap","Không được hoàn"),IF(OR($Q857&lt;$O857,$M857&lt;$L857),"Hoàn một phần","Được hoàn")))))</f>
        <v/>
      </c>
      <c r="AC857" s="43">
        <f>IF(OR($B857="",$D857="",$I857="",$L857=""),0,IF($U857="Cancelled",0,IF($W857&lt;&gt;"",IFERROR(IF(INDEX(CASHBACK_RULES!$B$5:$B$304,MATCH($W857,CASHBACK_RULES!$A$5:$A$304,0))=$D857,MATCH($W857,CASHBACK_RULES!$A$5:$A$304,0),0),0),IFERROR(MATCH(1,INDEX((CASHBACK_RULES!$B$5:$B$304=$D857)*(CASHBACK_RULES!$G$5:$G$304=$I857)*(((CASHBACK_RULES!$N$5:$N$304="")+(CASHBACK_RULES!$N$5:$N$304&lt;=$B857))&gt;0)*(((CASHBACK_RULES!$O$5:$O$304="")+(CASHBACK_RULES!$O$5:$O$304&gt;=$B857))&gt;0)*(((CASHBACK_RULES!$M$5:$M$304="")+(CASHBACK_RULES!$M$5:$M$304&lt;=$L857))&gt;0),0),0),0))))</f>
        <v>0</v>
      </c>
      <c r="AD857" s="51" t="str">
        <f>IF(OR($B857="",$D857=""),"",IFERROR(IF(INDEX(CARDS!$H$5:$H$34,MATCH($D857,CARDS!$A$5:$A$34,0))="","",IF(DAY($B857)&lt;=INDEX(CARDS!$H$5:$H$34,MATCH($D857,CARDS!$A$5:$A$34,0)),DATE(YEAR($B857),MONTH($B857),MIN(INDEX(CARDS!$H$5:$H$34,MATCH($D857,CARDS!$A$5:$A$34,0)),DAY(EOMONTH($B857,0)))),DATE(YEAR($B857),MONTH($B857)+1,MIN(INDEX(CARDS!$H$5:$H$34,MATCH($D857,CARDS!$A$5:$A$34,0)),DAY(EOMONTH($B857,1)))))),""))</f>
        <v/>
      </c>
      <c r="AE857" s="52" t="str">
        <f>IF($C857="","",$C857&amp;"|"&amp;COUNTIF($C$5:$C857,$C857))</f>
        <v/>
      </c>
      <c r="AF857" s="53">
        <f>IF($AC857&gt;0,SUMIFS(Q$4:Q856,$D$4:$D856,$D857,$Z$4:$Z856,$Z857,$C$4:$C856,$C857),0)</f>
        <v>0</v>
      </c>
      <c r="AG857" s="53">
        <f>IF($AC857&gt;0,SUMIFS(Q$4:Q856,$D$4:$D856,$D857,$C$4:$C856,$C857),0)</f>
        <v>0</v>
      </c>
      <c r="AH857" s="53">
        <f>IF($AC857&gt;0,SUMIFS(M$4:M856,$D$4:$D856,$D857,$Z$4:$Z856,$Z857,$C$4:$C856,$C857),0)</f>
        <v>0</v>
      </c>
      <c r="AI857" s="43">
        <f>IF(OR($C857="",$I857=""),0,IF(COUNTIFS($C$5:$C857,$C857,$I$5:$I857,$I857)=1,1,0))</f>
        <v>0</v>
      </c>
      <c r="AJ857" s="43" t="str">
        <f>IF($AI857=1,SUMIFS($AI$4:$AI856,$C$4:$C856,$C857)+1,"")</f>
        <v/>
      </c>
      <c r="AK857" s="43">
        <f>IF(OR($C857="",$K857=""),0,IF(COUNTIFS($C$5:$C857,$C857,$K$5:$K857,$K857)=1,1,0))</f>
        <v>0</v>
      </c>
      <c r="AL857" s="43" t="str">
        <f>IF($AK857=1,SUMIFS($AK$4:$AK856,$C$4:$C856,$C857)+1,"")</f>
        <v/>
      </c>
      <c r="AM857" s="43">
        <f>IF(OR($C857="",$G857=""),0,IF(COUNTIFS($C$5:$C857,$C857,$G$5:$G857,$G857)=1,1,0))</f>
        <v>0</v>
      </c>
      <c r="AN857" s="43" t="str">
        <f>IF($AM857=1,SUMIFS($AM$4:$AM856,$C$4:$C856,$C857)+1,"")</f>
        <v/>
      </c>
    </row>
    <row r="858">
      <c r="A858" s="44" t="str">
        <f>IF(OR($B858="",$D858=""),"","TX"&amp;TEXT(ROW()-4,"0000"))</f>
        <v/>
      </c>
      <c r="B858" s="42" t="n"/>
      <c r="C858" s="47" t="str">
        <f>IF($B858="","",YEAR($B858)*100+MONTH($B858))</f>
        <v/>
      </c>
      <c r="D858" s="37" t="n"/>
      <c r="E858" s="45" t="str">
        <f>IF($D858="","",IFERROR(INDEX(CARDS!$B$5:$B$34,MATCH($D858,CARDS!$A$5:$A$34,0)),"⚠ Card ID?"))</f>
        <v/>
      </c>
      <c r="F858" s="45" t="str">
        <f>IF($D858="","",IFERROR(INDEX(CARDS!$C$5:$C$34,MATCH($D858,CARDS!$A$5:$A$34,0)),"⚠ Card ID?"))</f>
        <v/>
      </c>
      <c r="G858" s="37" t="n"/>
      <c r="H858" s="37" t="n"/>
      <c r="I858" s="41" t="n"/>
      <c r="J858" s="45" t="str">
        <f>IF($I858="","",IFERROR(INDEX(MCC_MASTER!$B$5:$B$504,MATCH($I858,MCC_MASTER!$A$5:$A$504,0)),"⚠ MCC chưa có"))</f>
        <v/>
      </c>
      <c r="K858" s="45" t="str">
        <f>IF($I858="","",IFERROR(IF(INDEX(MCC_MASTER!$C$5:$C$504,MATCH($I858,MCC_MASTER!$A$5:$A$504,0))="","Chưa phân loại",INDEX(MCC_MASTER!$C$5:$C$504,MATCH($I858,MCC_MASTER!$A$5:$A$504,0))),"Chưa phân loại"))</f>
        <v/>
      </c>
      <c r="L858" s="40" t="n"/>
      <c r="M858" s="48" t="str">
        <f>IF(OR($B858="",$D858=""),"",IF($AC858=0,0,IF(ISNUMBER(INDEX(CASHBACK_RULES!$L$5:$L$304,$AC858)),MAX(0,MIN($L858,INDEX(CASHBACK_RULES!$L$5:$L$304,$AC858)-$AH858)),MAX(0,$L858))))</f>
        <v/>
      </c>
      <c r="N858" s="49" t="str">
        <f>IF(OR($B858="",$D858=""),"",IF($AC858&gt;0,INDEX(CASHBACK_RULES!$I$5:$I$304,$AC858),0))</f>
        <v/>
      </c>
      <c r="O858" s="48" t="str">
        <f>IF(OR($B858="",$D858=""),"",ROUND($M858*$N858,0))</f>
        <v/>
      </c>
      <c r="P858" s="48" t="str">
        <f>IF($AC858&gt;0,IF(ISNUMBER(INDEX(CASHBACK_RULES!$J$5:$J$304,$AC858)),INDEX(CASHBACK_RULES!$J$5:$J$304,$AC858),"∞"),"")</f>
        <v/>
      </c>
      <c r="Q858" s="48" t="str">
        <f>IF(OR($B858="",$D858=""),"",IF($AC858=0,0,MAX(0,MIN($O858,IF(ISNUMBER($P858),$P858-$AF858,1E+15),IF(ISNUMBER($AA858),$AA858-$AG858,1E+15)))))</f>
        <v/>
      </c>
      <c r="R858" s="48" t="str">
        <f>IF(OR($B858="",$D858=""),"",IF($AC858=0,"",IF(AND(NOT(ISNUMBER($P858)),NOT(ISNUMBER($AA858))),"∞",MAX(0,MIN(IF(ISNUMBER($P858),$P858-$AF858-$Q858,1E+15),IF(ISNUMBER($AA858),$AA858-$AG858-$Q858,1E+15))))))</f>
        <v/>
      </c>
      <c r="S858" s="47" t="str">
        <f>IF($AD858="","",YEAR($AD858)*100+MONTH($AD858))</f>
        <v/>
      </c>
      <c r="T858" s="50" t="str">
        <f>IF($AD858="","",IFERROR(IF(INDEX(CARDS!$I$5:$I$34,MATCH($D858,CARDS!$A$5:$A$34,0))="","",IF(INDEX(CARDS!$I$5:$I$34,MATCH($D858,CARDS!$A$5:$A$34,0))&gt;INDEX(CARDS!$H$5:$H$34,MATCH($D858,CARDS!$A$5:$A$34,0)),DATE(YEAR($AD858),MONTH($AD858),MIN(INDEX(CARDS!$I$5:$I$34,MATCH($D858,CARDS!$A$5:$A$34,0)),DAY(EOMONTH($AD858,0)))),DATE(YEAR($AD858),MONTH($AD858)+1,MIN(INDEX(CARDS!$I$5:$I$34,MATCH($D858,CARDS!$A$5:$A$34,0)),DAY(EOMONTH($AD858,1)))))),""))</f>
        <v/>
      </c>
      <c r="U858" s="38" t="n"/>
      <c r="V858" s="37" t="n"/>
      <c r="W858" s="38" t="n"/>
      <c r="X858" s="38" t="n"/>
      <c r="Y858" s="44" t="str">
        <f>IF($AC858&gt;0,INDEX(CASHBACK_RULES!$A$5:$A$304,$AC858),"")</f>
        <v/>
      </c>
      <c r="Z858" s="45" t="str">
        <f>IF($AC858&gt;0,INDEX(CASHBACK_RULES!$E$5:$E$304,$AC858)&amp;"","")</f>
        <v/>
      </c>
      <c r="AA858" s="48" t="str">
        <f>IF($AC858&gt;0,IF(ISNUMBER(INDEX(CASHBACK_RULES!$K$5:$K$304,$AC858)),INDEX(CASHBACK_RULES!$K$5:$K$304,$AC858),"∞"),"")</f>
        <v/>
      </c>
      <c r="AB858" s="44" t="str">
        <f>IF(OR($B858="",$D858=""),"",IF($U858="Cancelled","Đã hủy",IF($AC858=0,"Không được hoàn",IF($Q858=0,IF(OR($O858&gt;0,$M858&lt;$L858),"Đã đạt cap","Không được hoàn"),IF(OR($Q858&lt;$O858,$M858&lt;$L858),"Hoàn một phần","Được hoàn")))))</f>
        <v/>
      </c>
      <c r="AC858" s="43">
        <f>IF(OR($B858="",$D858="",$I858="",$L858=""),0,IF($U858="Cancelled",0,IF($W858&lt;&gt;"",IFERROR(IF(INDEX(CASHBACK_RULES!$B$5:$B$304,MATCH($W858,CASHBACK_RULES!$A$5:$A$304,0))=$D858,MATCH($W858,CASHBACK_RULES!$A$5:$A$304,0),0),0),IFERROR(MATCH(1,INDEX((CASHBACK_RULES!$B$5:$B$304=$D858)*(CASHBACK_RULES!$G$5:$G$304=$I858)*(((CASHBACK_RULES!$N$5:$N$304="")+(CASHBACK_RULES!$N$5:$N$304&lt;=$B858))&gt;0)*(((CASHBACK_RULES!$O$5:$O$304="")+(CASHBACK_RULES!$O$5:$O$304&gt;=$B858))&gt;0)*(((CASHBACK_RULES!$M$5:$M$304="")+(CASHBACK_RULES!$M$5:$M$304&lt;=$L858))&gt;0),0),0),0))))</f>
        <v>0</v>
      </c>
      <c r="AD858" s="51" t="str">
        <f>IF(OR($B858="",$D858=""),"",IFERROR(IF(INDEX(CARDS!$H$5:$H$34,MATCH($D858,CARDS!$A$5:$A$34,0))="","",IF(DAY($B858)&lt;=INDEX(CARDS!$H$5:$H$34,MATCH($D858,CARDS!$A$5:$A$34,0)),DATE(YEAR($B858),MONTH($B858),MIN(INDEX(CARDS!$H$5:$H$34,MATCH($D858,CARDS!$A$5:$A$34,0)),DAY(EOMONTH($B858,0)))),DATE(YEAR($B858),MONTH($B858)+1,MIN(INDEX(CARDS!$H$5:$H$34,MATCH($D858,CARDS!$A$5:$A$34,0)),DAY(EOMONTH($B858,1)))))),""))</f>
        <v/>
      </c>
      <c r="AE858" s="52" t="str">
        <f>IF($C858="","",$C858&amp;"|"&amp;COUNTIF($C$5:$C858,$C858))</f>
        <v/>
      </c>
      <c r="AF858" s="53">
        <f>IF($AC858&gt;0,SUMIFS(Q$4:Q857,$D$4:$D857,$D858,$Z$4:$Z857,$Z858,$C$4:$C857,$C858),0)</f>
        <v>0</v>
      </c>
      <c r="AG858" s="53">
        <f>IF($AC858&gt;0,SUMIFS(Q$4:Q857,$D$4:$D857,$D858,$C$4:$C857,$C858),0)</f>
        <v>0</v>
      </c>
      <c r="AH858" s="53">
        <f>IF($AC858&gt;0,SUMIFS(M$4:M857,$D$4:$D857,$D858,$Z$4:$Z857,$Z858,$C$4:$C857,$C858),0)</f>
        <v>0</v>
      </c>
      <c r="AI858" s="43">
        <f>IF(OR($C858="",$I858=""),0,IF(COUNTIFS($C$5:$C858,$C858,$I$5:$I858,$I858)=1,1,0))</f>
        <v>0</v>
      </c>
      <c r="AJ858" s="43" t="str">
        <f>IF($AI858=1,SUMIFS($AI$4:$AI857,$C$4:$C857,$C858)+1,"")</f>
        <v/>
      </c>
      <c r="AK858" s="43">
        <f>IF(OR($C858="",$K858=""),0,IF(COUNTIFS($C$5:$C858,$C858,$K$5:$K858,$K858)=1,1,0))</f>
        <v>0</v>
      </c>
      <c r="AL858" s="43" t="str">
        <f>IF($AK858=1,SUMIFS($AK$4:$AK857,$C$4:$C857,$C858)+1,"")</f>
        <v/>
      </c>
      <c r="AM858" s="43">
        <f>IF(OR($C858="",$G858=""),0,IF(COUNTIFS($C$5:$C858,$C858,$G$5:$G858,$G858)=1,1,0))</f>
        <v>0</v>
      </c>
      <c r="AN858" s="43" t="str">
        <f>IF($AM858=1,SUMIFS($AM$4:$AM857,$C$4:$C857,$C858)+1,"")</f>
        <v/>
      </c>
    </row>
    <row r="859">
      <c r="A859" s="44" t="str">
        <f>IF(OR($B859="",$D859=""),"","TX"&amp;TEXT(ROW()-4,"0000"))</f>
        <v/>
      </c>
      <c r="B859" s="42" t="n"/>
      <c r="C859" s="47" t="str">
        <f>IF($B859="","",YEAR($B859)*100+MONTH($B859))</f>
        <v/>
      </c>
      <c r="D859" s="37" t="n"/>
      <c r="E859" s="45" t="str">
        <f>IF($D859="","",IFERROR(INDEX(CARDS!$B$5:$B$34,MATCH($D859,CARDS!$A$5:$A$34,0)),"⚠ Card ID?"))</f>
        <v/>
      </c>
      <c r="F859" s="45" t="str">
        <f>IF($D859="","",IFERROR(INDEX(CARDS!$C$5:$C$34,MATCH($D859,CARDS!$A$5:$A$34,0)),"⚠ Card ID?"))</f>
        <v/>
      </c>
      <c r="G859" s="37" t="n"/>
      <c r="H859" s="37" t="n"/>
      <c r="I859" s="41" t="n"/>
      <c r="J859" s="45" t="str">
        <f>IF($I859="","",IFERROR(INDEX(MCC_MASTER!$B$5:$B$504,MATCH($I859,MCC_MASTER!$A$5:$A$504,0)),"⚠ MCC chưa có"))</f>
        <v/>
      </c>
      <c r="K859" s="45" t="str">
        <f>IF($I859="","",IFERROR(IF(INDEX(MCC_MASTER!$C$5:$C$504,MATCH($I859,MCC_MASTER!$A$5:$A$504,0))="","Chưa phân loại",INDEX(MCC_MASTER!$C$5:$C$504,MATCH($I859,MCC_MASTER!$A$5:$A$504,0))),"Chưa phân loại"))</f>
        <v/>
      </c>
      <c r="L859" s="40" t="n"/>
      <c r="M859" s="48" t="str">
        <f>IF(OR($B859="",$D859=""),"",IF($AC859=0,0,IF(ISNUMBER(INDEX(CASHBACK_RULES!$L$5:$L$304,$AC859)),MAX(0,MIN($L859,INDEX(CASHBACK_RULES!$L$5:$L$304,$AC859)-$AH859)),MAX(0,$L859))))</f>
        <v/>
      </c>
      <c r="N859" s="49" t="str">
        <f>IF(OR($B859="",$D859=""),"",IF($AC859&gt;0,INDEX(CASHBACK_RULES!$I$5:$I$304,$AC859),0))</f>
        <v/>
      </c>
      <c r="O859" s="48" t="str">
        <f>IF(OR($B859="",$D859=""),"",ROUND($M859*$N859,0))</f>
        <v/>
      </c>
      <c r="P859" s="48" t="str">
        <f>IF($AC859&gt;0,IF(ISNUMBER(INDEX(CASHBACK_RULES!$J$5:$J$304,$AC859)),INDEX(CASHBACK_RULES!$J$5:$J$304,$AC859),"∞"),"")</f>
        <v/>
      </c>
      <c r="Q859" s="48" t="str">
        <f>IF(OR($B859="",$D859=""),"",IF($AC859=0,0,MAX(0,MIN($O859,IF(ISNUMBER($P859),$P859-$AF859,1E+15),IF(ISNUMBER($AA859),$AA859-$AG859,1E+15)))))</f>
        <v/>
      </c>
      <c r="R859" s="48" t="str">
        <f>IF(OR($B859="",$D859=""),"",IF($AC859=0,"",IF(AND(NOT(ISNUMBER($P859)),NOT(ISNUMBER($AA859))),"∞",MAX(0,MIN(IF(ISNUMBER($P859),$P859-$AF859-$Q859,1E+15),IF(ISNUMBER($AA859),$AA859-$AG859-$Q859,1E+15))))))</f>
        <v/>
      </c>
      <c r="S859" s="47" t="str">
        <f>IF($AD859="","",YEAR($AD859)*100+MONTH($AD859))</f>
        <v/>
      </c>
      <c r="T859" s="50" t="str">
        <f>IF($AD859="","",IFERROR(IF(INDEX(CARDS!$I$5:$I$34,MATCH($D859,CARDS!$A$5:$A$34,0))="","",IF(INDEX(CARDS!$I$5:$I$34,MATCH($D859,CARDS!$A$5:$A$34,0))&gt;INDEX(CARDS!$H$5:$H$34,MATCH($D859,CARDS!$A$5:$A$34,0)),DATE(YEAR($AD859),MONTH($AD859),MIN(INDEX(CARDS!$I$5:$I$34,MATCH($D859,CARDS!$A$5:$A$34,0)),DAY(EOMONTH($AD859,0)))),DATE(YEAR($AD859),MONTH($AD859)+1,MIN(INDEX(CARDS!$I$5:$I$34,MATCH($D859,CARDS!$A$5:$A$34,0)),DAY(EOMONTH($AD859,1)))))),""))</f>
        <v/>
      </c>
      <c r="U859" s="38" t="n"/>
      <c r="V859" s="37" t="n"/>
      <c r="W859" s="38" t="n"/>
      <c r="X859" s="38" t="n"/>
      <c r="Y859" s="44" t="str">
        <f>IF($AC859&gt;0,INDEX(CASHBACK_RULES!$A$5:$A$304,$AC859),"")</f>
        <v/>
      </c>
      <c r="Z859" s="45" t="str">
        <f>IF($AC859&gt;0,INDEX(CASHBACK_RULES!$E$5:$E$304,$AC859)&amp;"","")</f>
        <v/>
      </c>
      <c r="AA859" s="48" t="str">
        <f>IF($AC859&gt;0,IF(ISNUMBER(INDEX(CASHBACK_RULES!$K$5:$K$304,$AC859)),INDEX(CASHBACK_RULES!$K$5:$K$304,$AC859),"∞"),"")</f>
        <v/>
      </c>
      <c r="AB859" s="44" t="str">
        <f>IF(OR($B859="",$D859=""),"",IF($U859="Cancelled","Đã hủy",IF($AC859=0,"Không được hoàn",IF($Q859=0,IF(OR($O859&gt;0,$M859&lt;$L859),"Đã đạt cap","Không được hoàn"),IF(OR($Q859&lt;$O859,$M859&lt;$L859),"Hoàn một phần","Được hoàn")))))</f>
        <v/>
      </c>
      <c r="AC859" s="43">
        <f>IF(OR($B859="",$D859="",$I859="",$L859=""),0,IF($U859="Cancelled",0,IF($W859&lt;&gt;"",IFERROR(IF(INDEX(CASHBACK_RULES!$B$5:$B$304,MATCH($W859,CASHBACK_RULES!$A$5:$A$304,0))=$D859,MATCH($W859,CASHBACK_RULES!$A$5:$A$304,0),0),0),IFERROR(MATCH(1,INDEX((CASHBACK_RULES!$B$5:$B$304=$D859)*(CASHBACK_RULES!$G$5:$G$304=$I859)*(((CASHBACK_RULES!$N$5:$N$304="")+(CASHBACK_RULES!$N$5:$N$304&lt;=$B859))&gt;0)*(((CASHBACK_RULES!$O$5:$O$304="")+(CASHBACK_RULES!$O$5:$O$304&gt;=$B859))&gt;0)*(((CASHBACK_RULES!$M$5:$M$304="")+(CASHBACK_RULES!$M$5:$M$304&lt;=$L859))&gt;0),0),0),0))))</f>
        <v>0</v>
      </c>
      <c r="AD859" s="51" t="str">
        <f>IF(OR($B859="",$D859=""),"",IFERROR(IF(INDEX(CARDS!$H$5:$H$34,MATCH($D859,CARDS!$A$5:$A$34,0))="","",IF(DAY($B859)&lt;=INDEX(CARDS!$H$5:$H$34,MATCH($D859,CARDS!$A$5:$A$34,0)),DATE(YEAR($B859),MONTH($B859),MIN(INDEX(CARDS!$H$5:$H$34,MATCH($D859,CARDS!$A$5:$A$34,0)),DAY(EOMONTH($B859,0)))),DATE(YEAR($B859),MONTH($B859)+1,MIN(INDEX(CARDS!$H$5:$H$34,MATCH($D859,CARDS!$A$5:$A$34,0)),DAY(EOMONTH($B859,1)))))),""))</f>
        <v/>
      </c>
      <c r="AE859" s="52" t="str">
        <f>IF($C859="","",$C859&amp;"|"&amp;COUNTIF($C$5:$C859,$C859))</f>
        <v/>
      </c>
      <c r="AF859" s="53">
        <f>IF($AC859&gt;0,SUMIFS(Q$4:Q858,$D$4:$D858,$D859,$Z$4:$Z858,$Z859,$C$4:$C858,$C859),0)</f>
        <v>0</v>
      </c>
      <c r="AG859" s="53">
        <f>IF($AC859&gt;0,SUMIFS(Q$4:Q858,$D$4:$D858,$D859,$C$4:$C858,$C859),0)</f>
        <v>0</v>
      </c>
      <c r="AH859" s="53">
        <f>IF($AC859&gt;0,SUMIFS(M$4:M858,$D$4:$D858,$D859,$Z$4:$Z858,$Z859,$C$4:$C858,$C859),0)</f>
        <v>0</v>
      </c>
      <c r="AI859" s="43">
        <f>IF(OR($C859="",$I859=""),0,IF(COUNTIFS($C$5:$C859,$C859,$I$5:$I859,$I859)=1,1,0))</f>
        <v>0</v>
      </c>
      <c r="AJ859" s="43" t="str">
        <f>IF($AI859=1,SUMIFS($AI$4:$AI858,$C$4:$C858,$C859)+1,"")</f>
        <v/>
      </c>
      <c r="AK859" s="43">
        <f>IF(OR($C859="",$K859=""),0,IF(COUNTIFS($C$5:$C859,$C859,$K$5:$K859,$K859)=1,1,0))</f>
        <v>0</v>
      </c>
      <c r="AL859" s="43" t="str">
        <f>IF($AK859=1,SUMIFS($AK$4:$AK858,$C$4:$C858,$C859)+1,"")</f>
        <v/>
      </c>
      <c r="AM859" s="43">
        <f>IF(OR($C859="",$G859=""),0,IF(COUNTIFS($C$5:$C859,$C859,$G$5:$G859,$G859)=1,1,0))</f>
        <v>0</v>
      </c>
      <c r="AN859" s="43" t="str">
        <f>IF($AM859=1,SUMIFS($AM$4:$AM858,$C$4:$C858,$C859)+1,"")</f>
        <v/>
      </c>
    </row>
    <row r="860">
      <c r="A860" s="44" t="str">
        <f>IF(OR($B860="",$D860=""),"","TX"&amp;TEXT(ROW()-4,"0000"))</f>
        <v/>
      </c>
      <c r="B860" s="42" t="n"/>
      <c r="C860" s="47" t="str">
        <f>IF($B860="","",YEAR($B860)*100+MONTH($B860))</f>
        <v/>
      </c>
      <c r="D860" s="37" t="n"/>
      <c r="E860" s="45" t="str">
        <f>IF($D860="","",IFERROR(INDEX(CARDS!$B$5:$B$34,MATCH($D860,CARDS!$A$5:$A$34,0)),"⚠ Card ID?"))</f>
        <v/>
      </c>
      <c r="F860" s="45" t="str">
        <f>IF($D860="","",IFERROR(INDEX(CARDS!$C$5:$C$34,MATCH($D860,CARDS!$A$5:$A$34,0)),"⚠ Card ID?"))</f>
        <v/>
      </c>
      <c r="G860" s="37" t="n"/>
      <c r="H860" s="37" t="n"/>
      <c r="I860" s="41" t="n"/>
      <c r="J860" s="45" t="str">
        <f>IF($I860="","",IFERROR(INDEX(MCC_MASTER!$B$5:$B$504,MATCH($I860,MCC_MASTER!$A$5:$A$504,0)),"⚠ MCC chưa có"))</f>
        <v/>
      </c>
      <c r="K860" s="45" t="str">
        <f>IF($I860="","",IFERROR(IF(INDEX(MCC_MASTER!$C$5:$C$504,MATCH($I860,MCC_MASTER!$A$5:$A$504,0))="","Chưa phân loại",INDEX(MCC_MASTER!$C$5:$C$504,MATCH($I860,MCC_MASTER!$A$5:$A$504,0))),"Chưa phân loại"))</f>
        <v/>
      </c>
      <c r="L860" s="40" t="n"/>
      <c r="M860" s="48" t="str">
        <f>IF(OR($B860="",$D860=""),"",IF($AC860=0,0,IF(ISNUMBER(INDEX(CASHBACK_RULES!$L$5:$L$304,$AC860)),MAX(0,MIN($L860,INDEX(CASHBACK_RULES!$L$5:$L$304,$AC860)-$AH860)),MAX(0,$L860))))</f>
        <v/>
      </c>
      <c r="N860" s="49" t="str">
        <f>IF(OR($B860="",$D860=""),"",IF($AC860&gt;0,INDEX(CASHBACK_RULES!$I$5:$I$304,$AC860),0))</f>
        <v/>
      </c>
      <c r="O860" s="48" t="str">
        <f>IF(OR($B860="",$D860=""),"",ROUND($M860*$N860,0))</f>
        <v/>
      </c>
      <c r="P860" s="48" t="str">
        <f>IF($AC860&gt;0,IF(ISNUMBER(INDEX(CASHBACK_RULES!$J$5:$J$304,$AC860)),INDEX(CASHBACK_RULES!$J$5:$J$304,$AC860),"∞"),"")</f>
        <v/>
      </c>
      <c r="Q860" s="48" t="str">
        <f>IF(OR($B860="",$D860=""),"",IF($AC860=0,0,MAX(0,MIN($O860,IF(ISNUMBER($P860),$P860-$AF860,1E+15),IF(ISNUMBER($AA860),$AA860-$AG860,1E+15)))))</f>
        <v/>
      </c>
      <c r="R860" s="48" t="str">
        <f>IF(OR($B860="",$D860=""),"",IF($AC860=0,"",IF(AND(NOT(ISNUMBER($P860)),NOT(ISNUMBER($AA860))),"∞",MAX(0,MIN(IF(ISNUMBER($P860),$P860-$AF860-$Q860,1E+15),IF(ISNUMBER($AA860),$AA860-$AG860-$Q860,1E+15))))))</f>
        <v/>
      </c>
      <c r="S860" s="47" t="str">
        <f>IF($AD860="","",YEAR($AD860)*100+MONTH($AD860))</f>
        <v/>
      </c>
      <c r="T860" s="50" t="str">
        <f>IF($AD860="","",IFERROR(IF(INDEX(CARDS!$I$5:$I$34,MATCH($D860,CARDS!$A$5:$A$34,0))="","",IF(INDEX(CARDS!$I$5:$I$34,MATCH($D860,CARDS!$A$5:$A$34,0))&gt;INDEX(CARDS!$H$5:$H$34,MATCH($D860,CARDS!$A$5:$A$34,0)),DATE(YEAR($AD860),MONTH($AD860),MIN(INDEX(CARDS!$I$5:$I$34,MATCH($D860,CARDS!$A$5:$A$34,0)),DAY(EOMONTH($AD860,0)))),DATE(YEAR($AD860),MONTH($AD860)+1,MIN(INDEX(CARDS!$I$5:$I$34,MATCH($D860,CARDS!$A$5:$A$34,0)),DAY(EOMONTH($AD860,1)))))),""))</f>
        <v/>
      </c>
      <c r="U860" s="38" t="n"/>
      <c r="V860" s="37" t="n"/>
      <c r="W860" s="38" t="n"/>
      <c r="X860" s="38" t="n"/>
      <c r="Y860" s="44" t="str">
        <f>IF($AC860&gt;0,INDEX(CASHBACK_RULES!$A$5:$A$304,$AC860),"")</f>
        <v/>
      </c>
      <c r="Z860" s="45" t="str">
        <f>IF($AC860&gt;0,INDEX(CASHBACK_RULES!$E$5:$E$304,$AC860)&amp;"","")</f>
        <v/>
      </c>
      <c r="AA860" s="48" t="str">
        <f>IF($AC860&gt;0,IF(ISNUMBER(INDEX(CASHBACK_RULES!$K$5:$K$304,$AC860)),INDEX(CASHBACK_RULES!$K$5:$K$304,$AC860),"∞"),"")</f>
        <v/>
      </c>
      <c r="AB860" s="44" t="str">
        <f>IF(OR($B860="",$D860=""),"",IF($U860="Cancelled","Đã hủy",IF($AC860=0,"Không được hoàn",IF($Q860=0,IF(OR($O860&gt;0,$M860&lt;$L860),"Đã đạt cap","Không được hoàn"),IF(OR($Q860&lt;$O860,$M860&lt;$L860),"Hoàn một phần","Được hoàn")))))</f>
        <v/>
      </c>
      <c r="AC860" s="43">
        <f>IF(OR($B860="",$D860="",$I860="",$L860=""),0,IF($U860="Cancelled",0,IF($W860&lt;&gt;"",IFERROR(IF(INDEX(CASHBACK_RULES!$B$5:$B$304,MATCH($W860,CASHBACK_RULES!$A$5:$A$304,0))=$D860,MATCH($W860,CASHBACK_RULES!$A$5:$A$304,0),0),0),IFERROR(MATCH(1,INDEX((CASHBACK_RULES!$B$5:$B$304=$D860)*(CASHBACK_RULES!$G$5:$G$304=$I860)*(((CASHBACK_RULES!$N$5:$N$304="")+(CASHBACK_RULES!$N$5:$N$304&lt;=$B860))&gt;0)*(((CASHBACK_RULES!$O$5:$O$304="")+(CASHBACK_RULES!$O$5:$O$304&gt;=$B860))&gt;0)*(((CASHBACK_RULES!$M$5:$M$304="")+(CASHBACK_RULES!$M$5:$M$304&lt;=$L860))&gt;0),0),0),0))))</f>
        <v>0</v>
      </c>
      <c r="AD860" s="51" t="str">
        <f>IF(OR($B860="",$D860=""),"",IFERROR(IF(INDEX(CARDS!$H$5:$H$34,MATCH($D860,CARDS!$A$5:$A$34,0))="","",IF(DAY($B860)&lt;=INDEX(CARDS!$H$5:$H$34,MATCH($D860,CARDS!$A$5:$A$34,0)),DATE(YEAR($B860),MONTH($B860),MIN(INDEX(CARDS!$H$5:$H$34,MATCH($D860,CARDS!$A$5:$A$34,0)),DAY(EOMONTH($B860,0)))),DATE(YEAR($B860),MONTH($B860)+1,MIN(INDEX(CARDS!$H$5:$H$34,MATCH($D860,CARDS!$A$5:$A$34,0)),DAY(EOMONTH($B860,1)))))),""))</f>
        <v/>
      </c>
      <c r="AE860" s="52" t="str">
        <f>IF($C860="","",$C860&amp;"|"&amp;COUNTIF($C$5:$C860,$C860))</f>
        <v/>
      </c>
      <c r="AF860" s="53">
        <f>IF($AC860&gt;0,SUMIFS(Q$4:Q859,$D$4:$D859,$D860,$Z$4:$Z859,$Z860,$C$4:$C859,$C860),0)</f>
        <v>0</v>
      </c>
      <c r="AG860" s="53">
        <f>IF($AC860&gt;0,SUMIFS(Q$4:Q859,$D$4:$D859,$D860,$C$4:$C859,$C860),0)</f>
        <v>0</v>
      </c>
      <c r="AH860" s="53">
        <f>IF($AC860&gt;0,SUMIFS(M$4:M859,$D$4:$D859,$D860,$Z$4:$Z859,$Z860,$C$4:$C859,$C860),0)</f>
        <v>0</v>
      </c>
      <c r="AI860" s="43">
        <f>IF(OR($C860="",$I860=""),0,IF(COUNTIFS($C$5:$C860,$C860,$I$5:$I860,$I860)=1,1,0))</f>
        <v>0</v>
      </c>
      <c r="AJ860" s="43" t="str">
        <f>IF($AI860=1,SUMIFS($AI$4:$AI859,$C$4:$C859,$C860)+1,"")</f>
        <v/>
      </c>
      <c r="AK860" s="43">
        <f>IF(OR($C860="",$K860=""),0,IF(COUNTIFS($C$5:$C860,$C860,$K$5:$K860,$K860)=1,1,0))</f>
        <v>0</v>
      </c>
      <c r="AL860" s="43" t="str">
        <f>IF($AK860=1,SUMIFS($AK$4:$AK859,$C$4:$C859,$C860)+1,"")</f>
        <v/>
      </c>
      <c r="AM860" s="43">
        <f>IF(OR($C860="",$G860=""),0,IF(COUNTIFS($C$5:$C860,$C860,$G$5:$G860,$G860)=1,1,0))</f>
        <v>0</v>
      </c>
      <c r="AN860" s="43" t="str">
        <f>IF($AM860=1,SUMIFS($AM$4:$AM859,$C$4:$C859,$C860)+1,"")</f>
        <v/>
      </c>
    </row>
    <row r="861">
      <c r="A861" s="44" t="str">
        <f>IF(OR($B861="",$D861=""),"","TX"&amp;TEXT(ROW()-4,"0000"))</f>
        <v/>
      </c>
      <c r="B861" s="42" t="n"/>
      <c r="C861" s="47" t="str">
        <f>IF($B861="","",YEAR($B861)*100+MONTH($B861))</f>
        <v/>
      </c>
      <c r="D861" s="37" t="n"/>
      <c r="E861" s="45" t="str">
        <f>IF($D861="","",IFERROR(INDEX(CARDS!$B$5:$B$34,MATCH($D861,CARDS!$A$5:$A$34,0)),"⚠ Card ID?"))</f>
        <v/>
      </c>
      <c r="F861" s="45" t="str">
        <f>IF($D861="","",IFERROR(INDEX(CARDS!$C$5:$C$34,MATCH($D861,CARDS!$A$5:$A$34,0)),"⚠ Card ID?"))</f>
        <v/>
      </c>
      <c r="G861" s="37" t="n"/>
      <c r="H861" s="37" t="n"/>
      <c r="I861" s="41" t="n"/>
      <c r="J861" s="45" t="str">
        <f>IF($I861="","",IFERROR(INDEX(MCC_MASTER!$B$5:$B$504,MATCH($I861,MCC_MASTER!$A$5:$A$504,0)),"⚠ MCC chưa có"))</f>
        <v/>
      </c>
      <c r="K861" s="45" t="str">
        <f>IF($I861="","",IFERROR(IF(INDEX(MCC_MASTER!$C$5:$C$504,MATCH($I861,MCC_MASTER!$A$5:$A$504,0))="","Chưa phân loại",INDEX(MCC_MASTER!$C$5:$C$504,MATCH($I861,MCC_MASTER!$A$5:$A$504,0))),"Chưa phân loại"))</f>
        <v/>
      </c>
      <c r="L861" s="40" t="n"/>
      <c r="M861" s="48" t="str">
        <f>IF(OR($B861="",$D861=""),"",IF($AC861=0,0,IF(ISNUMBER(INDEX(CASHBACK_RULES!$L$5:$L$304,$AC861)),MAX(0,MIN($L861,INDEX(CASHBACK_RULES!$L$5:$L$304,$AC861)-$AH861)),MAX(0,$L861))))</f>
        <v/>
      </c>
      <c r="N861" s="49" t="str">
        <f>IF(OR($B861="",$D861=""),"",IF($AC861&gt;0,INDEX(CASHBACK_RULES!$I$5:$I$304,$AC861),0))</f>
        <v/>
      </c>
      <c r="O861" s="48" t="str">
        <f>IF(OR($B861="",$D861=""),"",ROUND($M861*$N861,0))</f>
        <v/>
      </c>
      <c r="P861" s="48" t="str">
        <f>IF($AC861&gt;0,IF(ISNUMBER(INDEX(CASHBACK_RULES!$J$5:$J$304,$AC861)),INDEX(CASHBACK_RULES!$J$5:$J$304,$AC861),"∞"),"")</f>
        <v/>
      </c>
      <c r="Q861" s="48" t="str">
        <f>IF(OR($B861="",$D861=""),"",IF($AC861=0,0,MAX(0,MIN($O861,IF(ISNUMBER($P861),$P861-$AF861,1E+15),IF(ISNUMBER($AA861),$AA861-$AG861,1E+15)))))</f>
        <v/>
      </c>
      <c r="R861" s="48" t="str">
        <f>IF(OR($B861="",$D861=""),"",IF($AC861=0,"",IF(AND(NOT(ISNUMBER($P861)),NOT(ISNUMBER($AA861))),"∞",MAX(0,MIN(IF(ISNUMBER($P861),$P861-$AF861-$Q861,1E+15),IF(ISNUMBER($AA861),$AA861-$AG861-$Q861,1E+15))))))</f>
        <v/>
      </c>
      <c r="S861" s="47" t="str">
        <f>IF($AD861="","",YEAR($AD861)*100+MONTH($AD861))</f>
        <v/>
      </c>
      <c r="T861" s="50" t="str">
        <f>IF($AD861="","",IFERROR(IF(INDEX(CARDS!$I$5:$I$34,MATCH($D861,CARDS!$A$5:$A$34,0))="","",IF(INDEX(CARDS!$I$5:$I$34,MATCH($D861,CARDS!$A$5:$A$34,0))&gt;INDEX(CARDS!$H$5:$H$34,MATCH($D861,CARDS!$A$5:$A$34,0)),DATE(YEAR($AD861),MONTH($AD861),MIN(INDEX(CARDS!$I$5:$I$34,MATCH($D861,CARDS!$A$5:$A$34,0)),DAY(EOMONTH($AD861,0)))),DATE(YEAR($AD861),MONTH($AD861)+1,MIN(INDEX(CARDS!$I$5:$I$34,MATCH($D861,CARDS!$A$5:$A$34,0)),DAY(EOMONTH($AD861,1)))))),""))</f>
        <v/>
      </c>
      <c r="U861" s="38" t="n"/>
      <c r="V861" s="37" t="n"/>
      <c r="W861" s="38" t="n"/>
      <c r="X861" s="38" t="n"/>
      <c r="Y861" s="44" t="str">
        <f>IF($AC861&gt;0,INDEX(CASHBACK_RULES!$A$5:$A$304,$AC861),"")</f>
        <v/>
      </c>
      <c r="Z861" s="45" t="str">
        <f>IF($AC861&gt;0,INDEX(CASHBACK_RULES!$E$5:$E$304,$AC861)&amp;"","")</f>
        <v/>
      </c>
      <c r="AA861" s="48" t="str">
        <f>IF($AC861&gt;0,IF(ISNUMBER(INDEX(CASHBACK_RULES!$K$5:$K$304,$AC861)),INDEX(CASHBACK_RULES!$K$5:$K$304,$AC861),"∞"),"")</f>
        <v/>
      </c>
      <c r="AB861" s="44" t="str">
        <f>IF(OR($B861="",$D861=""),"",IF($U861="Cancelled","Đã hủy",IF($AC861=0,"Không được hoàn",IF($Q861=0,IF(OR($O861&gt;0,$M861&lt;$L861),"Đã đạt cap","Không được hoàn"),IF(OR($Q861&lt;$O861,$M861&lt;$L861),"Hoàn một phần","Được hoàn")))))</f>
        <v/>
      </c>
      <c r="AC861" s="43">
        <f>IF(OR($B861="",$D861="",$I861="",$L861=""),0,IF($U861="Cancelled",0,IF($W861&lt;&gt;"",IFERROR(IF(INDEX(CASHBACK_RULES!$B$5:$B$304,MATCH($W861,CASHBACK_RULES!$A$5:$A$304,0))=$D861,MATCH($W861,CASHBACK_RULES!$A$5:$A$304,0),0),0),IFERROR(MATCH(1,INDEX((CASHBACK_RULES!$B$5:$B$304=$D861)*(CASHBACK_RULES!$G$5:$G$304=$I861)*(((CASHBACK_RULES!$N$5:$N$304="")+(CASHBACK_RULES!$N$5:$N$304&lt;=$B861))&gt;0)*(((CASHBACK_RULES!$O$5:$O$304="")+(CASHBACK_RULES!$O$5:$O$304&gt;=$B861))&gt;0)*(((CASHBACK_RULES!$M$5:$M$304="")+(CASHBACK_RULES!$M$5:$M$304&lt;=$L861))&gt;0),0),0),0))))</f>
        <v>0</v>
      </c>
      <c r="AD861" s="51" t="str">
        <f>IF(OR($B861="",$D861=""),"",IFERROR(IF(INDEX(CARDS!$H$5:$H$34,MATCH($D861,CARDS!$A$5:$A$34,0))="","",IF(DAY($B861)&lt;=INDEX(CARDS!$H$5:$H$34,MATCH($D861,CARDS!$A$5:$A$34,0)),DATE(YEAR($B861),MONTH($B861),MIN(INDEX(CARDS!$H$5:$H$34,MATCH($D861,CARDS!$A$5:$A$34,0)),DAY(EOMONTH($B861,0)))),DATE(YEAR($B861),MONTH($B861)+1,MIN(INDEX(CARDS!$H$5:$H$34,MATCH($D861,CARDS!$A$5:$A$34,0)),DAY(EOMONTH($B861,1)))))),""))</f>
        <v/>
      </c>
      <c r="AE861" s="52" t="str">
        <f>IF($C861="","",$C861&amp;"|"&amp;COUNTIF($C$5:$C861,$C861))</f>
        <v/>
      </c>
      <c r="AF861" s="53">
        <f>IF($AC861&gt;0,SUMIFS(Q$4:Q860,$D$4:$D860,$D861,$Z$4:$Z860,$Z861,$C$4:$C860,$C861),0)</f>
        <v>0</v>
      </c>
      <c r="AG861" s="53">
        <f>IF($AC861&gt;0,SUMIFS(Q$4:Q860,$D$4:$D860,$D861,$C$4:$C860,$C861),0)</f>
        <v>0</v>
      </c>
      <c r="AH861" s="53">
        <f>IF($AC861&gt;0,SUMIFS(M$4:M860,$D$4:$D860,$D861,$Z$4:$Z860,$Z861,$C$4:$C860,$C861),0)</f>
        <v>0</v>
      </c>
      <c r="AI861" s="43">
        <f>IF(OR($C861="",$I861=""),0,IF(COUNTIFS($C$5:$C861,$C861,$I$5:$I861,$I861)=1,1,0))</f>
        <v>0</v>
      </c>
      <c r="AJ861" s="43" t="str">
        <f>IF($AI861=1,SUMIFS($AI$4:$AI860,$C$4:$C860,$C861)+1,"")</f>
        <v/>
      </c>
      <c r="AK861" s="43">
        <f>IF(OR($C861="",$K861=""),0,IF(COUNTIFS($C$5:$C861,$C861,$K$5:$K861,$K861)=1,1,0))</f>
        <v>0</v>
      </c>
      <c r="AL861" s="43" t="str">
        <f>IF($AK861=1,SUMIFS($AK$4:$AK860,$C$4:$C860,$C861)+1,"")</f>
        <v/>
      </c>
      <c r="AM861" s="43">
        <f>IF(OR($C861="",$G861=""),0,IF(COUNTIFS($C$5:$C861,$C861,$G$5:$G861,$G861)=1,1,0))</f>
        <v>0</v>
      </c>
      <c r="AN861" s="43" t="str">
        <f>IF($AM861=1,SUMIFS($AM$4:$AM860,$C$4:$C860,$C861)+1,"")</f>
        <v/>
      </c>
    </row>
    <row r="862">
      <c r="A862" s="44" t="str">
        <f>IF(OR($B862="",$D862=""),"","TX"&amp;TEXT(ROW()-4,"0000"))</f>
        <v/>
      </c>
      <c r="B862" s="42" t="n"/>
      <c r="C862" s="47" t="str">
        <f>IF($B862="","",YEAR($B862)*100+MONTH($B862))</f>
        <v/>
      </c>
      <c r="D862" s="37" t="n"/>
      <c r="E862" s="45" t="str">
        <f>IF($D862="","",IFERROR(INDEX(CARDS!$B$5:$B$34,MATCH($D862,CARDS!$A$5:$A$34,0)),"⚠ Card ID?"))</f>
        <v/>
      </c>
      <c r="F862" s="45" t="str">
        <f>IF($D862="","",IFERROR(INDEX(CARDS!$C$5:$C$34,MATCH($D862,CARDS!$A$5:$A$34,0)),"⚠ Card ID?"))</f>
        <v/>
      </c>
      <c r="G862" s="37" t="n"/>
      <c r="H862" s="37" t="n"/>
      <c r="I862" s="41" t="n"/>
      <c r="J862" s="45" t="str">
        <f>IF($I862="","",IFERROR(INDEX(MCC_MASTER!$B$5:$B$504,MATCH($I862,MCC_MASTER!$A$5:$A$504,0)),"⚠ MCC chưa có"))</f>
        <v/>
      </c>
      <c r="K862" s="45" t="str">
        <f>IF($I862="","",IFERROR(IF(INDEX(MCC_MASTER!$C$5:$C$504,MATCH($I862,MCC_MASTER!$A$5:$A$504,0))="","Chưa phân loại",INDEX(MCC_MASTER!$C$5:$C$504,MATCH($I862,MCC_MASTER!$A$5:$A$504,0))),"Chưa phân loại"))</f>
        <v/>
      </c>
      <c r="L862" s="40" t="n"/>
      <c r="M862" s="48" t="str">
        <f>IF(OR($B862="",$D862=""),"",IF($AC862=0,0,IF(ISNUMBER(INDEX(CASHBACK_RULES!$L$5:$L$304,$AC862)),MAX(0,MIN($L862,INDEX(CASHBACK_RULES!$L$5:$L$304,$AC862)-$AH862)),MAX(0,$L862))))</f>
        <v/>
      </c>
      <c r="N862" s="49" t="str">
        <f>IF(OR($B862="",$D862=""),"",IF($AC862&gt;0,INDEX(CASHBACK_RULES!$I$5:$I$304,$AC862),0))</f>
        <v/>
      </c>
      <c r="O862" s="48" t="str">
        <f>IF(OR($B862="",$D862=""),"",ROUND($M862*$N862,0))</f>
        <v/>
      </c>
      <c r="P862" s="48" t="str">
        <f>IF($AC862&gt;0,IF(ISNUMBER(INDEX(CASHBACK_RULES!$J$5:$J$304,$AC862)),INDEX(CASHBACK_RULES!$J$5:$J$304,$AC862),"∞"),"")</f>
        <v/>
      </c>
      <c r="Q862" s="48" t="str">
        <f>IF(OR($B862="",$D862=""),"",IF($AC862=0,0,MAX(0,MIN($O862,IF(ISNUMBER($P862),$P862-$AF862,1E+15),IF(ISNUMBER($AA862),$AA862-$AG862,1E+15)))))</f>
        <v/>
      </c>
      <c r="R862" s="48" t="str">
        <f>IF(OR($B862="",$D862=""),"",IF($AC862=0,"",IF(AND(NOT(ISNUMBER($P862)),NOT(ISNUMBER($AA862))),"∞",MAX(0,MIN(IF(ISNUMBER($P862),$P862-$AF862-$Q862,1E+15),IF(ISNUMBER($AA862),$AA862-$AG862-$Q862,1E+15))))))</f>
        <v/>
      </c>
      <c r="S862" s="47" t="str">
        <f>IF($AD862="","",YEAR($AD862)*100+MONTH($AD862))</f>
        <v/>
      </c>
      <c r="T862" s="50" t="str">
        <f>IF($AD862="","",IFERROR(IF(INDEX(CARDS!$I$5:$I$34,MATCH($D862,CARDS!$A$5:$A$34,0))="","",IF(INDEX(CARDS!$I$5:$I$34,MATCH($D862,CARDS!$A$5:$A$34,0))&gt;INDEX(CARDS!$H$5:$H$34,MATCH($D862,CARDS!$A$5:$A$34,0)),DATE(YEAR($AD862),MONTH($AD862),MIN(INDEX(CARDS!$I$5:$I$34,MATCH($D862,CARDS!$A$5:$A$34,0)),DAY(EOMONTH($AD862,0)))),DATE(YEAR($AD862),MONTH($AD862)+1,MIN(INDEX(CARDS!$I$5:$I$34,MATCH($D862,CARDS!$A$5:$A$34,0)),DAY(EOMONTH($AD862,1)))))),""))</f>
        <v/>
      </c>
      <c r="U862" s="38" t="n"/>
      <c r="V862" s="37" t="n"/>
      <c r="W862" s="38" t="n"/>
      <c r="X862" s="38" t="n"/>
      <c r="Y862" s="44" t="str">
        <f>IF($AC862&gt;0,INDEX(CASHBACK_RULES!$A$5:$A$304,$AC862),"")</f>
        <v/>
      </c>
      <c r="Z862" s="45" t="str">
        <f>IF($AC862&gt;0,INDEX(CASHBACK_RULES!$E$5:$E$304,$AC862)&amp;"","")</f>
        <v/>
      </c>
      <c r="AA862" s="48" t="str">
        <f>IF($AC862&gt;0,IF(ISNUMBER(INDEX(CASHBACK_RULES!$K$5:$K$304,$AC862)),INDEX(CASHBACK_RULES!$K$5:$K$304,$AC862),"∞"),"")</f>
        <v/>
      </c>
      <c r="AB862" s="44" t="str">
        <f>IF(OR($B862="",$D862=""),"",IF($U862="Cancelled","Đã hủy",IF($AC862=0,"Không được hoàn",IF($Q862=0,IF(OR($O862&gt;0,$M862&lt;$L862),"Đã đạt cap","Không được hoàn"),IF(OR($Q862&lt;$O862,$M862&lt;$L862),"Hoàn một phần","Được hoàn")))))</f>
        <v/>
      </c>
      <c r="AC862" s="43">
        <f>IF(OR($B862="",$D862="",$I862="",$L862=""),0,IF($U862="Cancelled",0,IF($W862&lt;&gt;"",IFERROR(IF(INDEX(CASHBACK_RULES!$B$5:$B$304,MATCH($W862,CASHBACK_RULES!$A$5:$A$304,0))=$D862,MATCH($W862,CASHBACK_RULES!$A$5:$A$304,0),0),0),IFERROR(MATCH(1,INDEX((CASHBACK_RULES!$B$5:$B$304=$D862)*(CASHBACK_RULES!$G$5:$G$304=$I862)*(((CASHBACK_RULES!$N$5:$N$304="")+(CASHBACK_RULES!$N$5:$N$304&lt;=$B862))&gt;0)*(((CASHBACK_RULES!$O$5:$O$304="")+(CASHBACK_RULES!$O$5:$O$304&gt;=$B862))&gt;0)*(((CASHBACK_RULES!$M$5:$M$304="")+(CASHBACK_RULES!$M$5:$M$304&lt;=$L862))&gt;0),0),0),0))))</f>
        <v>0</v>
      </c>
      <c r="AD862" s="51" t="str">
        <f>IF(OR($B862="",$D862=""),"",IFERROR(IF(INDEX(CARDS!$H$5:$H$34,MATCH($D862,CARDS!$A$5:$A$34,0))="","",IF(DAY($B862)&lt;=INDEX(CARDS!$H$5:$H$34,MATCH($D862,CARDS!$A$5:$A$34,0)),DATE(YEAR($B862),MONTH($B862),MIN(INDEX(CARDS!$H$5:$H$34,MATCH($D862,CARDS!$A$5:$A$34,0)),DAY(EOMONTH($B862,0)))),DATE(YEAR($B862),MONTH($B862)+1,MIN(INDEX(CARDS!$H$5:$H$34,MATCH($D862,CARDS!$A$5:$A$34,0)),DAY(EOMONTH($B862,1)))))),""))</f>
        <v/>
      </c>
      <c r="AE862" s="52" t="str">
        <f>IF($C862="","",$C862&amp;"|"&amp;COUNTIF($C$5:$C862,$C862))</f>
        <v/>
      </c>
      <c r="AF862" s="53">
        <f>IF($AC862&gt;0,SUMIFS(Q$4:Q861,$D$4:$D861,$D862,$Z$4:$Z861,$Z862,$C$4:$C861,$C862),0)</f>
        <v>0</v>
      </c>
      <c r="AG862" s="53">
        <f>IF($AC862&gt;0,SUMIFS(Q$4:Q861,$D$4:$D861,$D862,$C$4:$C861,$C862),0)</f>
        <v>0</v>
      </c>
      <c r="AH862" s="53">
        <f>IF($AC862&gt;0,SUMIFS(M$4:M861,$D$4:$D861,$D862,$Z$4:$Z861,$Z862,$C$4:$C861,$C862),0)</f>
        <v>0</v>
      </c>
      <c r="AI862" s="43">
        <f>IF(OR($C862="",$I862=""),0,IF(COUNTIFS($C$5:$C862,$C862,$I$5:$I862,$I862)=1,1,0))</f>
        <v>0</v>
      </c>
      <c r="AJ862" s="43" t="str">
        <f>IF($AI862=1,SUMIFS($AI$4:$AI861,$C$4:$C861,$C862)+1,"")</f>
        <v/>
      </c>
      <c r="AK862" s="43">
        <f>IF(OR($C862="",$K862=""),0,IF(COUNTIFS($C$5:$C862,$C862,$K$5:$K862,$K862)=1,1,0))</f>
        <v>0</v>
      </c>
      <c r="AL862" s="43" t="str">
        <f>IF($AK862=1,SUMIFS($AK$4:$AK861,$C$4:$C861,$C862)+1,"")</f>
        <v/>
      </c>
      <c r="AM862" s="43">
        <f>IF(OR($C862="",$G862=""),0,IF(COUNTIFS($C$5:$C862,$C862,$G$5:$G862,$G862)=1,1,0))</f>
        <v>0</v>
      </c>
      <c r="AN862" s="43" t="str">
        <f>IF($AM862=1,SUMIFS($AM$4:$AM861,$C$4:$C861,$C862)+1,"")</f>
        <v/>
      </c>
    </row>
    <row r="863">
      <c r="A863" s="44" t="str">
        <f>IF(OR($B863="",$D863=""),"","TX"&amp;TEXT(ROW()-4,"0000"))</f>
        <v/>
      </c>
      <c r="B863" s="42" t="n"/>
      <c r="C863" s="47" t="str">
        <f>IF($B863="","",YEAR($B863)*100+MONTH($B863))</f>
        <v/>
      </c>
      <c r="D863" s="37" t="n"/>
      <c r="E863" s="45" t="str">
        <f>IF($D863="","",IFERROR(INDEX(CARDS!$B$5:$B$34,MATCH($D863,CARDS!$A$5:$A$34,0)),"⚠ Card ID?"))</f>
        <v/>
      </c>
      <c r="F863" s="45" t="str">
        <f>IF($D863="","",IFERROR(INDEX(CARDS!$C$5:$C$34,MATCH($D863,CARDS!$A$5:$A$34,0)),"⚠ Card ID?"))</f>
        <v/>
      </c>
      <c r="G863" s="37" t="n"/>
      <c r="H863" s="37" t="n"/>
      <c r="I863" s="41" t="n"/>
      <c r="J863" s="45" t="str">
        <f>IF($I863="","",IFERROR(INDEX(MCC_MASTER!$B$5:$B$504,MATCH($I863,MCC_MASTER!$A$5:$A$504,0)),"⚠ MCC chưa có"))</f>
        <v/>
      </c>
      <c r="K863" s="45" t="str">
        <f>IF($I863="","",IFERROR(IF(INDEX(MCC_MASTER!$C$5:$C$504,MATCH($I863,MCC_MASTER!$A$5:$A$504,0))="","Chưa phân loại",INDEX(MCC_MASTER!$C$5:$C$504,MATCH($I863,MCC_MASTER!$A$5:$A$504,0))),"Chưa phân loại"))</f>
        <v/>
      </c>
      <c r="L863" s="40" t="n"/>
      <c r="M863" s="48" t="str">
        <f>IF(OR($B863="",$D863=""),"",IF($AC863=0,0,IF(ISNUMBER(INDEX(CASHBACK_RULES!$L$5:$L$304,$AC863)),MAX(0,MIN($L863,INDEX(CASHBACK_RULES!$L$5:$L$304,$AC863)-$AH863)),MAX(0,$L863))))</f>
        <v/>
      </c>
      <c r="N863" s="49" t="str">
        <f>IF(OR($B863="",$D863=""),"",IF($AC863&gt;0,INDEX(CASHBACK_RULES!$I$5:$I$304,$AC863),0))</f>
        <v/>
      </c>
      <c r="O863" s="48" t="str">
        <f>IF(OR($B863="",$D863=""),"",ROUND($M863*$N863,0))</f>
        <v/>
      </c>
      <c r="P863" s="48" t="str">
        <f>IF($AC863&gt;0,IF(ISNUMBER(INDEX(CASHBACK_RULES!$J$5:$J$304,$AC863)),INDEX(CASHBACK_RULES!$J$5:$J$304,$AC863),"∞"),"")</f>
        <v/>
      </c>
      <c r="Q863" s="48" t="str">
        <f>IF(OR($B863="",$D863=""),"",IF($AC863=0,0,MAX(0,MIN($O863,IF(ISNUMBER($P863),$P863-$AF863,1E+15),IF(ISNUMBER($AA863),$AA863-$AG863,1E+15)))))</f>
        <v/>
      </c>
      <c r="R863" s="48" t="str">
        <f>IF(OR($B863="",$D863=""),"",IF($AC863=0,"",IF(AND(NOT(ISNUMBER($P863)),NOT(ISNUMBER($AA863))),"∞",MAX(0,MIN(IF(ISNUMBER($P863),$P863-$AF863-$Q863,1E+15),IF(ISNUMBER($AA863),$AA863-$AG863-$Q863,1E+15))))))</f>
        <v/>
      </c>
      <c r="S863" s="47" t="str">
        <f>IF($AD863="","",YEAR($AD863)*100+MONTH($AD863))</f>
        <v/>
      </c>
      <c r="T863" s="50" t="str">
        <f>IF($AD863="","",IFERROR(IF(INDEX(CARDS!$I$5:$I$34,MATCH($D863,CARDS!$A$5:$A$34,0))="","",IF(INDEX(CARDS!$I$5:$I$34,MATCH($D863,CARDS!$A$5:$A$34,0))&gt;INDEX(CARDS!$H$5:$H$34,MATCH($D863,CARDS!$A$5:$A$34,0)),DATE(YEAR($AD863),MONTH($AD863),MIN(INDEX(CARDS!$I$5:$I$34,MATCH($D863,CARDS!$A$5:$A$34,0)),DAY(EOMONTH($AD863,0)))),DATE(YEAR($AD863),MONTH($AD863)+1,MIN(INDEX(CARDS!$I$5:$I$34,MATCH($D863,CARDS!$A$5:$A$34,0)),DAY(EOMONTH($AD863,1)))))),""))</f>
        <v/>
      </c>
      <c r="U863" s="38" t="n"/>
      <c r="V863" s="37" t="n"/>
      <c r="W863" s="38" t="n"/>
      <c r="X863" s="38" t="n"/>
      <c r="Y863" s="44" t="str">
        <f>IF($AC863&gt;0,INDEX(CASHBACK_RULES!$A$5:$A$304,$AC863),"")</f>
        <v/>
      </c>
      <c r="Z863" s="45" t="str">
        <f>IF($AC863&gt;0,INDEX(CASHBACK_RULES!$E$5:$E$304,$AC863)&amp;"","")</f>
        <v/>
      </c>
      <c r="AA863" s="48" t="str">
        <f>IF($AC863&gt;0,IF(ISNUMBER(INDEX(CASHBACK_RULES!$K$5:$K$304,$AC863)),INDEX(CASHBACK_RULES!$K$5:$K$304,$AC863),"∞"),"")</f>
        <v/>
      </c>
      <c r="AB863" s="44" t="str">
        <f>IF(OR($B863="",$D863=""),"",IF($U863="Cancelled","Đã hủy",IF($AC863=0,"Không được hoàn",IF($Q863=0,IF(OR($O863&gt;0,$M863&lt;$L863),"Đã đạt cap","Không được hoàn"),IF(OR($Q863&lt;$O863,$M863&lt;$L863),"Hoàn một phần","Được hoàn")))))</f>
        <v/>
      </c>
      <c r="AC863" s="43">
        <f>IF(OR($B863="",$D863="",$I863="",$L863=""),0,IF($U863="Cancelled",0,IF($W863&lt;&gt;"",IFERROR(IF(INDEX(CASHBACK_RULES!$B$5:$B$304,MATCH($W863,CASHBACK_RULES!$A$5:$A$304,0))=$D863,MATCH($W863,CASHBACK_RULES!$A$5:$A$304,0),0),0),IFERROR(MATCH(1,INDEX((CASHBACK_RULES!$B$5:$B$304=$D863)*(CASHBACK_RULES!$G$5:$G$304=$I863)*(((CASHBACK_RULES!$N$5:$N$304="")+(CASHBACK_RULES!$N$5:$N$304&lt;=$B863))&gt;0)*(((CASHBACK_RULES!$O$5:$O$304="")+(CASHBACK_RULES!$O$5:$O$304&gt;=$B863))&gt;0)*(((CASHBACK_RULES!$M$5:$M$304="")+(CASHBACK_RULES!$M$5:$M$304&lt;=$L863))&gt;0),0),0),0))))</f>
        <v>0</v>
      </c>
      <c r="AD863" s="51" t="str">
        <f>IF(OR($B863="",$D863=""),"",IFERROR(IF(INDEX(CARDS!$H$5:$H$34,MATCH($D863,CARDS!$A$5:$A$34,0))="","",IF(DAY($B863)&lt;=INDEX(CARDS!$H$5:$H$34,MATCH($D863,CARDS!$A$5:$A$34,0)),DATE(YEAR($B863),MONTH($B863),MIN(INDEX(CARDS!$H$5:$H$34,MATCH($D863,CARDS!$A$5:$A$34,0)),DAY(EOMONTH($B863,0)))),DATE(YEAR($B863),MONTH($B863)+1,MIN(INDEX(CARDS!$H$5:$H$34,MATCH($D863,CARDS!$A$5:$A$34,0)),DAY(EOMONTH($B863,1)))))),""))</f>
        <v/>
      </c>
      <c r="AE863" s="52" t="str">
        <f>IF($C863="","",$C863&amp;"|"&amp;COUNTIF($C$5:$C863,$C863))</f>
        <v/>
      </c>
      <c r="AF863" s="53">
        <f>IF($AC863&gt;0,SUMIFS(Q$4:Q862,$D$4:$D862,$D863,$Z$4:$Z862,$Z863,$C$4:$C862,$C863),0)</f>
        <v>0</v>
      </c>
      <c r="AG863" s="53">
        <f>IF($AC863&gt;0,SUMIFS(Q$4:Q862,$D$4:$D862,$D863,$C$4:$C862,$C863),0)</f>
        <v>0</v>
      </c>
      <c r="AH863" s="53">
        <f>IF($AC863&gt;0,SUMIFS(M$4:M862,$D$4:$D862,$D863,$Z$4:$Z862,$Z863,$C$4:$C862,$C863),0)</f>
        <v>0</v>
      </c>
      <c r="AI863" s="43">
        <f>IF(OR($C863="",$I863=""),0,IF(COUNTIFS($C$5:$C863,$C863,$I$5:$I863,$I863)=1,1,0))</f>
        <v>0</v>
      </c>
      <c r="AJ863" s="43" t="str">
        <f>IF($AI863=1,SUMIFS($AI$4:$AI862,$C$4:$C862,$C863)+1,"")</f>
        <v/>
      </c>
      <c r="AK863" s="43">
        <f>IF(OR($C863="",$K863=""),0,IF(COUNTIFS($C$5:$C863,$C863,$K$5:$K863,$K863)=1,1,0))</f>
        <v>0</v>
      </c>
      <c r="AL863" s="43" t="str">
        <f>IF($AK863=1,SUMIFS($AK$4:$AK862,$C$4:$C862,$C863)+1,"")</f>
        <v/>
      </c>
      <c r="AM863" s="43">
        <f>IF(OR($C863="",$G863=""),0,IF(COUNTIFS($C$5:$C863,$C863,$G$5:$G863,$G863)=1,1,0))</f>
        <v>0</v>
      </c>
      <c r="AN863" s="43" t="str">
        <f>IF($AM863=1,SUMIFS($AM$4:$AM862,$C$4:$C862,$C863)+1,"")</f>
        <v/>
      </c>
    </row>
    <row r="864">
      <c r="A864" s="44" t="str">
        <f>IF(OR($B864="",$D864=""),"","TX"&amp;TEXT(ROW()-4,"0000"))</f>
        <v/>
      </c>
      <c r="B864" s="42" t="n"/>
      <c r="C864" s="47" t="str">
        <f>IF($B864="","",YEAR($B864)*100+MONTH($B864))</f>
        <v/>
      </c>
      <c r="D864" s="37" t="n"/>
      <c r="E864" s="45" t="str">
        <f>IF($D864="","",IFERROR(INDEX(CARDS!$B$5:$B$34,MATCH($D864,CARDS!$A$5:$A$34,0)),"⚠ Card ID?"))</f>
        <v/>
      </c>
      <c r="F864" s="45" t="str">
        <f>IF($D864="","",IFERROR(INDEX(CARDS!$C$5:$C$34,MATCH($D864,CARDS!$A$5:$A$34,0)),"⚠ Card ID?"))</f>
        <v/>
      </c>
      <c r="G864" s="37" t="n"/>
      <c r="H864" s="37" t="n"/>
      <c r="I864" s="41" t="n"/>
      <c r="J864" s="45" t="str">
        <f>IF($I864="","",IFERROR(INDEX(MCC_MASTER!$B$5:$B$504,MATCH($I864,MCC_MASTER!$A$5:$A$504,0)),"⚠ MCC chưa có"))</f>
        <v/>
      </c>
      <c r="K864" s="45" t="str">
        <f>IF($I864="","",IFERROR(IF(INDEX(MCC_MASTER!$C$5:$C$504,MATCH($I864,MCC_MASTER!$A$5:$A$504,0))="","Chưa phân loại",INDEX(MCC_MASTER!$C$5:$C$504,MATCH($I864,MCC_MASTER!$A$5:$A$504,0))),"Chưa phân loại"))</f>
        <v/>
      </c>
      <c r="L864" s="40" t="n"/>
      <c r="M864" s="48" t="str">
        <f>IF(OR($B864="",$D864=""),"",IF($AC864=0,0,IF(ISNUMBER(INDEX(CASHBACK_RULES!$L$5:$L$304,$AC864)),MAX(0,MIN($L864,INDEX(CASHBACK_RULES!$L$5:$L$304,$AC864)-$AH864)),MAX(0,$L864))))</f>
        <v/>
      </c>
      <c r="N864" s="49" t="str">
        <f>IF(OR($B864="",$D864=""),"",IF($AC864&gt;0,INDEX(CASHBACK_RULES!$I$5:$I$304,$AC864),0))</f>
        <v/>
      </c>
      <c r="O864" s="48" t="str">
        <f>IF(OR($B864="",$D864=""),"",ROUND($M864*$N864,0))</f>
        <v/>
      </c>
      <c r="P864" s="48" t="str">
        <f>IF($AC864&gt;0,IF(ISNUMBER(INDEX(CASHBACK_RULES!$J$5:$J$304,$AC864)),INDEX(CASHBACK_RULES!$J$5:$J$304,$AC864),"∞"),"")</f>
        <v/>
      </c>
      <c r="Q864" s="48" t="str">
        <f>IF(OR($B864="",$D864=""),"",IF($AC864=0,0,MAX(0,MIN($O864,IF(ISNUMBER($P864),$P864-$AF864,1E+15),IF(ISNUMBER($AA864),$AA864-$AG864,1E+15)))))</f>
        <v/>
      </c>
      <c r="R864" s="48" t="str">
        <f>IF(OR($B864="",$D864=""),"",IF($AC864=0,"",IF(AND(NOT(ISNUMBER($P864)),NOT(ISNUMBER($AA864))),"∞",MAX(0,MIN(IF(ISNUMBER($P864),$P864-$AF864-$Q864,1E+15),IF(ISNUMBER($AA864),$AA864-$AG864-$Q864,1E+15))))))</f>
        <v/>
      </c>
      <c r="S864" s="47" t="str">
        <f>IF($AD864="","",YEAR($AD864)*100+MONTH($AD864))</f>
        <v/>
      </c>
      <c r="T864" s="50" t="str">
        <f>IF($AD864="","",IFERROR(IF(INDEX(CARDS!$I$5:$I$34,MATCH($D864,CARDS!$A$5:$A$34,0))="","",IF(INDEX(CARDS!$I$5:$I$34,MATCH($D864,CARDS!$A$5:$A$34,0))&gt;INDEX(CARDS!$H$5:$H$34,MATCH($D864,CARDS!$A$5:$A$34,0)),DATE(YEAR($AD864),MONTH($AD864),MIN(INDEX(CARDS!$I$5:$I$34,MATCH($D864,CARDS!$A$5:$A$34,0)),DAY(EOMONTH($AD864,0)))),DATE(YEAR($AD864),MONTH($AD864)+1,MIN(INDEX(CARDS!$I$5:$I$34,MATCH($D864,CARDS!$A$5:$A$34,0)),DAY(EOMONTH($AD864,1)))))),""))</f>
        <v/>
      </c>
      <c r="U864" s="38" t="n"/>
      <c r="V864" s="37" t="n"/>
      <c r="W864" s="38" t="n"/>
      <c r="X864" s="38" t="n"/>
      <c r="Y864" s="44" t="str">
        <f>IF($AC864&gt;0,INDEX(CASHBACK_RULES!$A$5:$A$304,$AC864),"")</f>
        <v/>
      </c>
      <c r="Z864" s="45" t="str">
        <f>IF($AC864&gt;0,INDEX(CASHBACK_RULES!$E$5:$E$304,$AC864)&amp;"","")</f>
        <v/>
      </c>
      <c r="AA864" s="48" t="str">
        <f>IF($AC864&gt;0,IF(ISNUMBER(INDEX(CASHBACK_RULES!$K$5:$K$304,$AC864)),INDEX(CASHBACK_RULES!$K$5:$K$304,$AC864),"∞"),"")</f>
        <v/>
      </c>
      <c r="AB864" s="44" t="str">
        <f>IF(OR($B864="",$D864=""),"",IF($U864="Cancelled","Đã hủy",IF($AC864=0,"Không được hoàn",IF($Q864=0,IF(OR($O864&gt;0,$M864&lt;$L864),"Đã đạt cap","Không được hoàn"),IF(OR($Q864&lt;$O864,$M864&lt;$L864),"Hoàn một phần","Được hoàn")))))</f>
        <v/>
      </c>
      <c r="AC864" s="43">
        <f>IF(OR($B864="",$D864="",$I864="",$L864=""),0,IF($U864="Cancelled",0,IF($W864&lt;&gt;"",IFERROR(IF(INDEX(CASHBACK_RULES!$B$5:$B$304,MATCH($W864,CASHBACK_RULES!$A$5:$A$304,0))=$D864,MATCH($W864,CASHBACK_RULES!$A$5:$A$304,0),0),0),IFERROR(MATCH(1,INDEX((CASHBACK_RULES!$B$5:$B$304=$D864)*(CASHBACK_RULES!$G$5:$G$304=$I864)*(((CASHBACK_RULES!$N$5:$N$304="")+(CASHBACK_RULES!$N$5:$N$304&lt;=$B864))&gt;0)*(((CASHBACK_RULES!$O$5:$O$304="")+(CASHBACK_RULES!$O$5:$O$304&gt;=$B864))&gt;0)*(((CASHBACK_RULES!$M$5:$M$304="")+(CASHBACK_RULES!$M$5:$M$304&lt;=$L864))&gt;0),0),0),0))))</f>
        <v>0</v>
      </c>
      <c r="AD864" s="51" t="str">
        <f>IF(OR($B864="",$D864=""),"",IFERROR(IF(INDEX(CARDS!$H$5:$H$34,MATCH($D864,CARDS!$A$5:$A$34,0))="","",IF(DAY($B864)&lt;=INDEX(CARDS!$H$5:$H$34,MATCH($D864,CARDS!$A$5:$A$34,0)),DATE(YEAR($B864),MONTH($B864),MIN(INDEX(CARDS!$H$5:$H$34,MATCH($D864,CARDS!$A$5:$A$34,0)),DAY(EOMONTH($B864,0)))),DATE(YEAR($B864),MONTH($B864)+1,MIN(INDEX(CARDS!$H$5:$H$34,MATCH($D864,CARDS!$A$5:$A$34,0)),DAY(EOMONTH($B864,1)))))),""))</f>
        <v/>
      </c>
      <c r="AE864" s="52" t="str">
        <f>IF($C864="","",$C864&amp;"|"&amp;COUNTIF($C$5:$C864,$C864))</f>
        <v/>
      </c>
      <c r="AF864" s="53">
        <f>IF($AC864&gt;0,SUMIFS(Q$4:Q863,$D$4:$D863,$D864,$Z$4:$Z863,$Z864,$C$4:$C863,$C864),0)</f>
        <v>0</v>
      </c>
      <c r="AG864" s="53">
        <f>IF($AC864&gt;0,SUMIFS(Q$4:Q863,$D$4:$D863,$D864,$C$4:$C863,$C864),0)</f>
        <v>0</v>
      </c>
      <c r="AH864" s="53">
        <f>IF($AC864&gt;0,SUMIFS(M$4:M863,$D$4:$D863,$D864,$Z$4:$Z863,$Z864,$C$4:$C863,$C864),0)</f>
        <v>0</v>
      </c>
      <c r="AI864" s="43">
        <f>IF(OR($C864="",$I864=""),0,IF(COUNTIFS($C$5:$C864,$C864,$I$5:$I864,$I864)=1,1,0))</f>
        <v>0</v>
      </c>
      <c r="AJ864" s="43" t="str">
        <f>IF($AI864=1,SUMIFS($AI$4:$AI863,$C$4:$C863,$C864)+1,"")</f>
        <v/>
      </c>
      <c r="AK864" s="43">
        <f>IF(OR($C864="",$K864=""),0,IF(COUNTIFS($C$5:$C864,$C864,$K$5:$K864,$K864)=1,1,0))</f>
        <v>0</v>
      </c>
      <c r="AL864" s="43" t="str">
        <f>IF($AK864=1,SUMIFS($AK$4:$AK863,$C$4:$C863,$C864)+1,"")</f>
        <v/>
      </c>
      <c r="AM864" s="43">
        <f>IF(OR($C864="",$G864=""),0,IF(COUNTIFS($C$5:$C864,$C864,$G$5:$G864,$G864)=1,1,0))</f>
        <v>0</v>
      </c>
      <c r="AN864" s="43" t="str">
        <f>IF($AM864=1,SUMIFS($AM$4:$AM863,$C$4:$C863,$C864)+1,"")</f>
        <v/>
      </c>
    </row>
    <row r="865">
      <c r="A865" s="44" t="str">
        <f>IF(OR($B865="",$D865=""),"","TX"&amp;TEXT(ROW()-4,"0000"))</f>
        <v/>
      </c>
      <c r="B865" s="42" t="n"/>
      <c r="C865" s="47" t="str">
        <f>IF($B865="","",YEAR($B865)*100+MONTH($B865))</f>
        <v/>
      </c>
      <c r="D865" s="37" t="n"/>
      <c r="E865" s="45" t="str">
        <f>IF($D865="","",IFERROR(INDEX(CARDS!$B$5:$B$34,MATCH($D865,CARDS!$A$5:$A$34,0)),"⚠ Card ID?"))</f>
        <v/>
      </c>
      <c r="F865" s="45" t="str">
        <f>IF($D865="","",IFERROR(INDEX(CARDS!$C$5:$C$34,MATCH($D865,CARDS!$A$5:$A$34,0)),"⚠ Card ID?"))</f>
        <v/>
      </c>
      <c r="G865" s="37" t="n"/>
      <c r="H865" s="37" t="n"/>
      <c r="I865" s="41" t="n"/>
      <c r="J865" s="45" t="str">
        <f>IF($I865="","",IFERROR(INDEX(MCC_MASTER!$B$5:$B$504,MATCH($I865,MCC_MASTER!$A$5:$A$504,0)),"⚠ MCC chưa có"))</f>
        <v/>
      </c>
      <c r="K865" s="45" t="str">
        <f>IF($I865="","",IFERROR(IF(INDEX(MCC_MASTER!$C$5:$C$504,MATCH($I865,MCC_MASTER!$A$5:$A$504,0))="","Chưa phân loại",INDEX(MCC_MASTER!$C$5:$C$504,MATCH($I865,MCC_MASTER!$A$5:$A$504,0))),"Chưa phân loại"))</f>
        <v/>
      </c>
      <c r="L865" s="40" t="n"/>
      <c r="M865" s="48" t="str">
        <f>IF(OR($B865="",$D865=""),"",IF($AC865=0,0,IF(ISNUMBER(INDEX(CASHBACK_RULES!$L$5:$L$304,$AC865)),MAX(0,MIN($L865,INDEX(CASHBACK_RULES!$L$5:$L$304,$AC865)-$AH865)),MAX(0,$L865))))</f>
        <v/>
      </c>
      <c r="N865" s="49" t="str">
        <f>IF(OR($B865="",$D865=""),"",IF($AC865&gt;0,INDEX(CASHBACK_RULES!$I$5:$I$304,$AC865),0))</f>
        <v/>
      </c>
      <c r="O865" s="48" t="str">
        <f>IF(OR($B865="",$D865=""),"",ROUND($M865*$N865,0))</f>
        <v/>
      </c>
      <c r="P865" s="48" t="str">
        <f>IF($AC865&gt;0,IF(ISNUMBER(INDEX(CASHBACK_RULES!$J$5:$J$304,$AC865)),INDEX(CASHBACK_RULES!$J$5:$J$304,$AC865),"∞"),"")</f>
        <v/>
      </c>
      <c r="Q865" s="48" t="str">
        <f>IF(OR($B865="",$D865=""),"",IF($AC865=0,0,MAX(0,MIN($O865,IF(ISNUMBER($P865),$P865-$AF865,1E+15),IF(ISNUMBER($AA865),$AA865-$AG865,1E+15)))))</f>
        <v/>
      </c>
      <c r="R865" s="48" t="str">
        <f>IF(OR($B865="",$D865=""),"",IF($AC865=0,"",IF(AND(NOT(ISNUMBER($P865)),NOT(ISNUMBER($AA865))),"∞",MAX(0,MIN(IF(ISNUMBER($P865),$P865-$AF865-$Q865,1E+15),IF(ISNUMBER($AA865),$AA865-$AG865-$Q865,1E+15))))))</f>
        <v/>
      </c>
      <c r="S865" s="47" t="str">
        <f>IF($AD865="","",YEAR($AD865)*100+MONTH($AD865))</f>
        <v/>
      </c>
      <c r="T865" s="50" t="str">
        <f>IF($AD865="","",IFERROR(IF(INDEX(CARDS!$I$5:$I$34,MATCH($D865,CARDS!$A$5:$A$34,0))="","",IF(INDEX(CARDS!$I$5:$I$34,MATCH($D865,CARDS!$A$5:$A$34,0))&gt;INDEX(CARDS!$H$5:$H$34,MATCH($D865,CARDS!$A$5:$A$34,0)),DATE(YEAR($AD865),MONTH($AD865),MIN(INDEX(CARDS!$I$5:$I$34,MATCH($D865,CARDS!$A$5:$A$34,0)),DAY(EOMONTH($AD865,0)))),DATE(YEAR($AD865),MONTH($AD865)+1,MIN(INDEX(CARDS!$I$5:$I$34,MATCH($D865,CARDS!$A$5:$A$34,0)),DAY(EOMONTH($AD865,1)))))),""))</f>
        <v/>
      </c>
      <c r="U865" s="38" t="n"/>
      <c r="V865" s="37" t="n"/>
      <c r="W865" s="38" t="n"/>
      <c r="X865" s="38" t="n"/>
      <c r="Y865" s="44" t="str">
        <f>IF($AC865&gt;0,INDEX(CASHBACK_RULES!$A$5:$A$304,$AC865),"")</f>
        <v/>
      </c>
      <c r="Z865" s="45" t="str">
        <f>IF($AC865&gt;0,INDEX(CASHBACK_RULES!$E$5:$E$304,$AC865)&amp;"","")</f>
        <v/>
      </c>
      <c r="AA865" s="48" t="str">
        <f>IF($AC865&gt;0,IF(ISNUMBER(INDEX(CASHBACK_RULES!$K$5:$K$304,$AC865)),INDEX(CASHBACK_RULES!$K$5:$K$304,$AC865),"∞"),"")</f>
        <v/>
      </c>
      <c r="AB865" s="44" t="str">
        <f>IF(OR($B865="",$D865=""),"",IF($U865="Cancelled","Đã hủy",IF($AC865=0,"Không được hoàn",IF($Q865=0,IF(OR($O865&gt;0,$M865&lt;$L865),"Đã đạt cap","Không được hoàn"),IF(OR($Q865&lt;$O865,$M865&lt;$L865),"Hoàn một phần","Được hoàn")))))</f>
        <v/>
      </c>
      <c r="AC865" s="43">
        <f>IF(OR($B865="",$D865="",$I865="",$L865=""),0,IF($U865="Cancelled",0,IF($W865&lt;&gt;"",IFERROR(IF(INDEX(CASHBACK_RULES!$B$5:$B$304,MATCH($W865,CASHBACK_RULES!$A$5:$A$304,0))=$D865,MATCH($W865,CASHBACK_RULES!$A$5:$A$304,0),0),0),IFERROR(MATCH(1,INDEX((CASHBACK_RULES!$B$5:$B$304=$D865)*(CASHBACK_RULES!$G$5:$G$304=$I865)*(((CASHBACK_RULES!$N$5:$N$304="")+(CASHBACK_RULES!$N$5:$N$304&lt;=$B865))&gt;0)*(((CASHBACK_RULES!$O$5:$O$304="")+(CASHBACK_RULES!$O$5:$O$304&gt;=$B865))&gt;0)*(((CASHBACK_RULES!$M$5:$M$304="")+(CASHBACK_RULES!$M$5:$M$304&lt;=$L865))&gt;0),0),0),0))))</f>
        <v>0</v>
      </c>
      <c r="AD865" s="51" t="str">
        <f>IF(OR($B865="",$D865=""),"",IFERROR(IF(INDEX(CARDS!$H$5:$H$34,MATCH($D865,CARDS!$A$5:$A$34,0))="","",IF(DAY($B865)&lt;=INDEX(CARDS!$H$5:$H$34,MATCH($D865,CARDS!$A$5:$A$34,0)),DATE(YEAR($B865),MONTH($B865),MIN(INDEX(CARDS!$H$5:$H$34,MATCH($D865,CARDS!$A$5:$A$34,0)),DAY(EOMONTH($B865,0)))),DATE(YEAR($B865),MONTH($B865)+1,MIN(INDEX(CARDS!$H$5:$H$34,MATCH($D865,CARDS!$A$5:$A$34,0)),DAY(EOMONTH($B865,1)))))),""))</f>
        <v/>
      </c>
      <c r="AE865" s="52" t="str">
        <f>IF($C865="","",$C865&amp;"|"&amp;COUNTIF($C$5:$C865,$C865))</f>
        <v/>
      </c>
      <c r="AF865" s="53">
        <f>IF($AC865&gt;0,SUMIFS(Q$4:Q864,$D$4:$D864,$D865,$Z$4:$Z864,$Z865,$C$4:$C864,$C865),0)</f>
        <v>0</v>
      </c>
      <c r="AG865" s="53">
        <f>IF($AC865&gt;0,SUMIFS(Q$4:Q864,$D$4:$D864,$D865,$C$4:$C864,$C865),0)</f>
        <v>0</v>
      </c>
      <c r="AH865" s="53">
        <f>IF($AC865&gt;0,SUMIFS(M$4:M864,$D$4:$D864,$D865,$Z$4:$Z864,$Z865,$C$4:$C864,$C865),0)</f>
        <v>0</v>
      </c>
      <c r="AI865" s="43">
        <f>IF(OR($C865="",$I865=""),0,IF(COUNTIFS($C$5:$C865,$C865,$I$5:$I865,$I865)=1,1,0))</f>
        <v>0</v>
      </c>
      <c r="AJ865" s="43" t="str">
        <f>IF($AI865=1,SUMIFS($AI$4:$AI864,$C$4:$C864,$C865)+1,"")</f>
        <v/>
      </c>
      <c r="AK865" s="43">
        <f>IF(OR($C865="",$K865=""),0,IF(COUNTIFS($C$5:$C865,$C865,$K$5:$K865,$K865)=1,1,0))</f>
        <v>0</v>
      </c>
      <c r="AL865" s="43" t="str">
        <f>IF($AK865=1,SUMIFS($AK$4:$AK864,$C$4:$C864,$C865)+1,"")</f>
        <v/>
      </c>
      <c r="AM865" s="43">
        <f>IF(OR($C865="",$G865=""),0,IF(COUNTIFS($C$5:$C865,$C865,$G$5:$G865,$G865)=1,1,0))</f>
        <v>0</v>
      </c>
      <c r="AN865" s="43" t="str">
        <f>IF($AM865=1,SUMIFS($AM$4:$AM864,$C$4:$C864,$C865)+1,"")</f>
        <v/>
      </c>
    </row>
    <row r="866">
      <c r="A866" s="44" t="str">
        <f>IF(OR($B866="",$D866=""),"","TX"&amp;TEXT(ROW()-4,"0000"))</f>
        <v/>
      </c>
      <c r="B866" s="42" t="n"/>
      <c r="C866" s="47" t="str">
        <f>IF($B866="","",YEAR($B866)*100+MONTH($B866))</f>
        <v/>
      </c>
      <c r="D866" s="37" t="n"/>
      <c r="E866" s="45" t="str">
        <f>IF($D866="","",IFERROR(INDEX(CARDS!$B$5:$B$34,MATCH($D866,CARDS!$A$5:$A$34,0)),"⚠ Card ID?"))</f>
        <v/>
      </c>
      <c r="F866" s="45" t="str">
        <f>IF($D866="","",IFERROR(INDEX(CARDS!$C$5:$C$34,MATCH($D866,CARDS!$A$5:$A$34,0)),"⚠ Card ID?"))</f>
        <v/>
      </c>
      <c r="G866" s="37" t="n"/>
      <c r="H866" s="37" t="n"/>
      <c r="I866" s="41" t="n"/>
      <c r="J866" s="45" t="str">
        <f>IF($I866="","",IFERROR(INDEX(MCC_MASTER!$B$5:$B$504,MATCH($I866,MCC_MASTER!$A$5:$A$504,0)),"⚠ MCC chưa có"))</f>
        <v/>
      </c>
      <c r="K866" s="45" t="str">
        <f>IF($I866="","",IFERROR(IF(INDEX(MCC_MASTER!$C$5:$C$504,MATCH($I866,MCC_MASTER!$A$5:$A$504,0))="","Chưa phân loại",INDEX(MCC_MASTER!$C$5:$C$504,MATCH($I866,MCC_MASTER!$A$5:$A$504,0))),"Chưa phân loại"))</f>
        <v/>
      </c>
      <c r="L866" s="40" t="n"/>
      <c r="M866" s="48" t="str">
        <f>IF(OR($B866="",$D866=""),"",IF($AC866=0,0,IF(ISNUMBER(INDEX(CASHBACK_RULES!$L$5:$L$304,$AC866)),MAX(0,MIN($L866,INDEX(CASHBACK_RULES!$L$5:$L$304,$AC866)-$AH866)),MAX(0,$L866))))</f>
        <v/>
      </c>
      <c r="N866" s="49" t="str">
        <f>IF(OR($B866="",$D866=""),"",IF($AC866&gt;0,INDEX(CASHBACK_RULES!$I$5:$I$304,$AC866),0))</f>
        <v/>
      </c>
      <c r="O866" s="48" t="str">
        <f>IF(OR($B866="",$D866=""),"",ROUND($M866*$N866,0))</f>
        <v/>
      </c>
      <c r="P866" s="48" t="str">
        <f>IF($AC866&gt;0,IF(ISNUMBER(INDEX(CASHBACK_RULES!$J$5:$J$304,$AC866)),INDEX(CASHBACK_RULES!$J$5:$J$304,$AC866),"∞"),"")</f>
        <v/>
      </c>
      <c r="Q866" s="48" t="str">
        <f>IF(OR($B866="",$D866=""),"",IF($AC866=0,0,MAX(0,MIN($O866,IF(ISNUMBER($P866),$P866-$AF866,1E+15),IF(ISNUMBER($AA866),$AA866-$AG866,1E+15)))))</f>
        <v/>
      </c>
      <c r="R866" s="48" t="str">
        <f>IF(OR($B866="",$D866=""),"",IF($AC866=0,"",IF(AND(NOT(ISNUMBER($P866)),NOT(ISNUMBER($AA866))),"∞",MAX(0,MIN(IF(ISNUMBER($P866),$P866-$AF866-$Q866,1E+15),IF(ISNUMBER($AA866),$AA866-$AG866-$Q866,1E+15))))))</f>
        <v/>
      </c>
      <c r="S866" s="47" t="str">
        <f>IF($AD866="","",YEAR($AD866)*100+MONTH($AD866))</f>
        <v/>
      </c>
      <c r="T866" s="50" t="str">
        <f>IF($AD866="","",IFERROR(IF(INDEX(CARDS!$I$5:$I$34,MATCH($D866,CARDS!$A$5:$A$34,0))="","",IF(INDEX(CARDS!$I$5:$I$34,MATCH($D866,CARDS!$A$5:$A$34,0))&gt;INDEX(CARDS!$H$5:$H$34,MATCH($D866,CARDS!$A$5:$A$34,0)),DATE(YEAR($AD866),MONTH($AD866),MIN(INDEX(CARDS!$I$5:$I$34,MATCH($D866,CARDS!$A$5:$A$34,0)),DAY(EOMONTH($AD866,0)))),DATE(YEAR($AD866),MONTH($AD866)+1,MIN(INDEX(CARDS!$I$5:$I$34,MATCH($D866,CARDS!$A$5:$A$34,0)),DAY(EOMONTH($AD866,1)))))),""))</f>
        <v/>
      </c>
      <c r="U866" s="38" t="n"/>
      <c r="V866" s="37" t="n"/>
      <c r="W866" s="38" t="n"/>
      <c r="X866" s="38" t="n"/>
      <c r="Y866" s="44" t="str">
        <f>IF($AC866&gt;0,INDEX(CASHBACK_RULES!$A$5:$A$304,$AC866),"")</f>
        <v/>
      </c>
      <c r="Z866" s="45" t="str">
        <f>IF($AC866&gt;0,INDEX(CASHBACK_RULES!$E$5:$E$304,$AC866)&amp;"","")</f>
        <v/>
      </c>
      <c r="AA866" s="48" t="str">
        <f>IF($AC866&gt;0,IF(ISNUMBER(INDEX(CASHBACK_RULES!$K$5:$K$304,$AC866)),INDEX(CASHBACK_RULES!$K$5:$K$304,$AC866),"∞"),"")</f>
        <v/>
      </c>
      <c r="AB866" s="44" t="str">
        <f>IF(OR($B866="",$D866=""),"",IF($U866="Cancelled","Đã hủy",IF($AC866=0,"Không được hoàn",IF($Q866=0,IF(OR($O866&gt;0,$M866&lt;$L866),"Đã đạt cap","Không được hoàn"),IF(OR($Q866&lt;$O866,$M866&lt;$L866),"Hoàn một phần","Được hoàn")))))</f>
        <v/>
      </c>
      <c r="AC866" s="43">
        <f>IF(OR($B866="",$D866="",$I866="",$L866=""),0,IF($U866="Cancelled",0,IF($W866&lt;&gt;"",IFERROR(IF(INDEX(CASHBACK_RULES!$B$5:$B$304,MATCH($W866,CASHBACK_RULES!$A$5:$A$304,0))=$D866,MATCH($W866,CASHBACK_RULES!$A$5:$A$304,0),0),0),IFERROR(MATCH(1,INDEX((CASHBACK_RULES!$B$5:$B$304=$D866)*(CASHBACK_RULES!$G$5:$G$304=$I866)*(((CASHBACK_RULES!$N$5:$N$304="")+(CASHBACK_RULES!$N$5:$N$304&lt;=$B866))&gt;0)*(((CASHBACK_RULES!$O$5:$O$304="")+(CASHBACK_RULES!$O$5:$O$304&gt;=$B866))&gt;0)*(((CASHBACK_RULES!$M$5:$M$304="")+(CASHBACK_RULES!$M$5:$M$304&lt;=$L866))&gt;0),0),0),0))))</f>
        <v>0</v>
      </c>
      <c r="AD866" s="51" t="str">
        <f>IF(OR($B866="",$D866=""),"",IFERROR(IF(INDEX(CARDS!$H$5:$H$34,MATCH($D866,CARDS!$A$5:$A$34,0))="","",IF(DAY($B866)&lt;=INDEX(CARDS!$H$5:$H$34,MATCH($D866,CARDS!$A$5:$A$34,0)),DATE(YEAR($B866),MONTH($B866),MIN(INDEX(CARDS!$H$5:$H$34,MATCH($D866,CARDS!$A$5:$A$34,0)),DAY(EOMONTH($B866,0)))),DATE(YEAR($B866),MONTH($B866)+1,MIN(INDEX(CARDS!$H$5:$H$34,MATCH($D866,CARDS!$A$5:$A$34,0)),DAY(EOMONTH($B866,1)))))),""))</f>
        <v/>
      </c>
      <c r="AE866" s="52" t="str">
        <f>IF($C866="","",$C866&amp;"|"&amp;COUNTIF($C$5:$C866,$C866))</f>
        <v/>
      </c>
      <c r="AF866" s="53">
        <f>IF($AC866&gt;0,SUMIFS(Q$4:Q865,$D$4:$D865,$D866,$Z$4:$Z865,$Z866,$C$4:$C865,$C866),0)</f>
        <v>0</v>
      </c>
      <c r="AG866" s="53">
        <f>IF($AC866&gt;0,SUMIFS(Q$4:Q865,$D$4:$D865,$D866,$C$4:$C865,$C866),0)</f>
        <v>0</v>
      </c>
      <c r="AH866" s="53">
        <f>IF($AC866&gt;0,SUMIFS(M$4:M865,$D$4:$D865,$D866,$Z$4:$Z865,$Z866,$C$4:$C865,$C866),0)</f>
        <v>0</v>
      </c>
      <c r="AI866" s="43">
        <f>IF(OR($C866="",$I866=""),0,IF(COUNTIFS($C$5:$C866,$C866,$I$5:$I866,$I866)=1,1,0))</f>
        <v>0</v>
      </c>
      <c r="AJ866" s="43" t="str">
        <f>IF($AI866=1,SUMIFS($AI$4:$AI865,$C$4:$C865,$C866)+1,"")</f>
        <v/>
      </c>
      <c r="AK866" s="43">
        <f>IF(OR($C866="",$K866=""),0,IF(COUNTIFS($C$5:$C866,$C866,$K$5:$K866,$K866)=1,1,0))</f>
        <v>0</v>
      </c>
      <c r="AL866" s="43" t="str">
        <f>IF($AK866=1,SUMIFS($AK$4:$AK865,$C$4:$C865,$C866)+1,"")</f>
        <v/>
      </c>
      <c r="AM866" s="43">
        <f>IF(OR($C866="",$G866=""),0,IF(COUNTIFS($C$5:$C866,$C866,$G$5:$G866,$G866)=1,1,0))</f>
        <v>0</v>
      </c>
      <c r="AN866" s="43" t="str">
        <f>IF($AM866=1,SUMIFS($AM$4:$AM865,$C$4:$C865,$C866)+1,"")</f>
        <v/>
      </c>
    </row>
    <row r="867">
      <c r="A867" s="44" t="str">
        <f>IF(OR($B867="",$D867=""),"","TX"&amp;TEXT(ROW()-4,"0000"))</f>
        <v/>
      </c>
      <c r="B867" s="42" t="n"/>
      <c r="C867" s="47" t="str">
        <f>IF($B867="","",YEAR($B867)*100+MONTH($B867))</f>
        <v/>
      </c>
      <c r="D867" s="37" t="n"/>
      <c r="E867" s="45" t="str">
        <f>IF($D867="","",IFERROR(INDEX(CARDS!$B$5:$B$34,MATCH($D867,CARDS!$A$5:$A$34,0)),"⚠ Card ID?"))</f>
        <v/>
      </c>
      <c r="F867" s="45" t="str">
        <f>IF($D867="","",IFERROR(INDEX(CARDS!$C$5:$C$34,MATCH($D867,CARDS!$A$5:$A$34,0)),"⚠ Card ID?"))</f>
        <v/>
      </c>
      <c r="G867" s="37" t="n"/>
      <c r="H867" s="37" t="n"/>
      <c r="I867" s="41" t="n"/>
      <c r="J867" s="45" t="str">
        <f>IF($I867="","",IFERROR(INDEX(MCC_MASTER!$B$5:$B$504,MATCH($I867,MCC_MASTER!$A$5:$A$504,0)),"⚠ MCC chưa có"))</f>
        <v/>
      </c>
      <c r="K867" s="45" t="str">
        <f>IF($I867="","",IFERROR(IF(INDEX(MCC_MASTER!$C$5:$C$504,MATCH($I867,MCC_MASTER!$A$5:$A$504,0))="","Chưa phân loại",INDEX(MCC_MASTER!$C$5:$C$504,MATCH($I867,MCC_MASTER!$A$5:$A$504,0))),"Chưa phân loại"))</f>
        <v/>
      </c>
      <c r="L867" s="40" t="n"/>
      <c r="M867" s="48" t="str">
        <f>IF(OR($B867="",$D867=""),"",IF($AC867=0,0,IF(ISNUMBER(INDEX(CASHBACK_RULES!$L$5:$L$304,$AC867)),MAX(0,MIN($L867,INDEX(CASHBACK_RULES!$L$5:$L$304,$AC867)-$AH867)),MAX(0,$L867))))</f>
        <v/>
      </c>
      <c r="N867" s="49" t="str">
        <f>IF(OR($B867="",$D867=""),"",IF($AC867&gt;0,INDEX(CASHBACK_RULES!$I$5:$I$304,$AC867),0))</f>
        <v/>
      </c>
      <c r="O867" s="48" t="str">
        <f>IF(OR($B867="",$D867=""),"",ROUND($M867*$N867,0))</f>
        <v/>
      </c>
      <c r="P867" s="48" t="str">
        <f>IF($AC867&gt;0,IF(ISNUMBER(INDEX(CASHBACK_RULES!$J$5:$J$304,$AC867)),INDEX(CASHBACK_RULES!$J$5:$J$304,$AC867),"∞"),"")</f>
        <v/>
      </c>
      <c r="Q867" s="48" t="str">
        <f>IF(OR($B867="",$D867=""),"",IF($AC867=0,0,MAX(0,MIN($O867,IF(ISNUMBER($P867),$P867-$AF867,1E+15),IF(ISNUMBER($AA867),$AA867-$AG867,1E+15)))))</f>
        <v/>
      </c>
      <c r="R867" s="48" t="str">
        <f>IF(OR($B867="",$D867=""),"",IF($AC867=0,"",IF(AND(NOT(ISNUMBER($P867)),NOT(ISNUMBER($AA867))),"∞",MAX(0,MIN(IF(ISNUMBER($P867),$P867-$AF867-$Q867,1E+15),IF(ISNUMBER($AA867),$AA867-$AG867-$Q867,1E+15))))))</f>
        <v/>
      </c>
      <c r="S867" s="47" t="str">
        <f>IF($AD867="","",YEAR($AD867)*100+MONTH($AD867))</f>
        <v/>
      </c>
      <c r="T867" s="50" t="str">
        <f>IF($AD867="","",IFERROR(IF(INDEX(CARDS!$I$5:$I$34,MATCH($D867,CARDS!$A$5:$A$34,0))="","",IF(INDEX(CARDS!$I$5:$I$34,MATCH($D867,CARDS!$A$5:$A$34,0))&gt;INDEX(CARDS!$H$5:$H$34,MATCH($D867,CARDS!$A$5:$A$34,0)),DATE(YEAR($AD867),MONTH($AD867),MIN(INDEX(CARDS!$I$5:$I$34,MATCH($D867,CARDS!$A$5:$A$34,0)),DAY(EOMONTH($AD867,0)))),DATE(YEAR($AD867),MONTH($AD867)+1,MIN(INDEX(CARDS!$I$5:$I$34,MATCH($D867,CARDS!$A$5:$A$34,0)),DAY(EOMONTH($AD867,1)))))),""))</f>
        <v/>
      </c>
      <c r="U867" s="38" t="n"/>
      <c r="V867" s="37" t="n"/>
      <c r="W867" s="38" t="n"/>
      <c r="X867" s="38" t="n"/>
      <c r="Y867" s="44" t="str">
        <f>IF($AC867&gt;0,INDEX(CASHBACK_RULES!$A$5:$A$304,$AC867),"")</f>
        <v/>
      </c>
      <c r="Z867" s="45" t="str">
        <f>IF($AC867&gt;0,INDEX(CASHBACK_RULES!$E$5:$E$304,$AC867)&amp;"","")</f>
        <v/>
      </c>
      <c r="AA867" s="48" t="str">
        <f>IF($AC867&gt;0,IF(ISNUMBER(INDEX(CASHBACK_RULES!$K$5:$K$304,$AC867)),INDEX(CASHBACK_RULES!$K$5:$K$304,$AC867),"∞"),"")</f>
        <v/>
      </c>
      <c r="AB867" s="44" t="str">
        <f>IF(OR($B867="",$D867=""),"",IF($U867="Cancelled","Đã hủy",IF($AC867=0,"Không được hoàn",IF($Q867=0,IF(OR($O867&gt;0,$M867&lt;$L867),"Đã đạt cap","Không được hoàn"),IF(OR($Q867&lt;$O867,$M867&lt;$L867),"Hoàn một phần","Được hoàn")))))</f>
        <v/>
      </c>
      <c r="AC867" s="43">
        <f>IF(OR($B867="",$D867="",$I867="",$L867=""),0,IF($U867="Cancelled",0,IF($W867&lt;&gt;"",IFERROR(IF(INDEX(CASHBACK_RULES!$B$5:$B$304,MATCH($W867,CASHBACK_RULES!$A$5:$A$304,0))=$D867,MATCH($W867,CASHBACK_RULES!$A$5:$A$304,0),0),0),IFERROR(MATCH(1,INDEX((CASHBACK_RULES!$B$5:$B$304=$D867)*(CASHBACK_RULES!$G$5:$G$304=$I867)*(((CASHBACK_RULES!$N$5:$N$304="")+(CASHBACK_RULES!$N$5:$N$304&lt;=$B867))&gt;0)*(((CASHBACK_RULES!$O$5:$O$304="")+(CASHBACK_RULES!$O$5:$O$304&gt;=$B867))&gt;0)*(((CASHBACK_RULES!$M$5:$M$304="")+(CASHBACK_RULES!$M$5:$M$304&lt;=$L867))&gt;0),0),0),0))))</f>
        <v>0</v>
      </c>
      <c r="AD867" s="51" t="str">
        <f>IF(OR($B867="",$D867=""),"",IFERROR(IF(INDEX(CARDS!$H$5:$H$34,MATCH($D867,CARDS!$A$5:$A$34,0))="","",IF(DAY($B867)&lt;=INDEX(CARDS!$H$5:$H$34,MATCH($D867,CARDS!$A$5:$A$34,0)),DATE(YEAR($B867),MONTH($B867),MIN(INDEX(CARDS!$H$5:$H$34,MATCH($D867,CARDS!$A$5:$A$34,0)),DAY(EOMONTH($B867,0)))),DATE(YEAR($B867),MONTH($B867)+1,MIN(INDEX(CARDS!$H$5:$H$34,MATCH($D867,CARDS!$A$5:$A$34,0)),DAY(EOMONTH($B867,1)))))),""))</f>
        <v/>
      </c>
      <c r="AE867" s="52" t="str">
        <f>IF($C867="","",$C867&amp;"|"&amp;COUNTIF($C$5:$C867,$C867))</f>
        <v/>
      </c>
      <c r="AF867" s="53">
        <f>IF($AC867&gt;0,SUMIFS(Q$4:Q866,$D$4:$D866,$D867,$Z$4:$Z866,$Z867,$C$4:$C866,$C867),0)</f>
        <v>0</v>
      </c>
      <c r="AG867" s="53">
        <f>IF($AC867&gt;0,SUMIFS(Q$4:Q866,$D$4:$D866,$D867,$C$4:$C866,$C867),0)</f>
        <v>0</v>
      </c>
      <c r="AH867" s="53">
        <f>IF($AC867&gt;0,SUMIFS(M$4:M866,$D$4:$D866,$D867,$Z$4:$Z866,$Z867,$C$4:$C866,$C867),0)</f>
        <v>0</v>
      </c>
      <c r="AI867" s="43">
        <f>IF(OR($C867="",$I867=""),0,IF(COUNTIFS($C$5:$C867,$C867,$I$5:$I867,$I867)=1,1,0))</f>
        <v>0</v>
      </c>
      <c r="AJ867" s="43" t="str">
        <f>IF($AI867=1,SUMIFS($AI$4:$AI866,$C$4:$C866,$C867)+1,"")</f>
        <v/>
      </c>
      <c r="AK867" s="43">
        <f>IF(OR($C867="",$K867=""),0,IF(COUNTIFS($C$5:$C867,$C867,$K$5:$K867,$K867)=1,1,0))</f>
        <v>0</v>
      </c>
      <c r="AL867" s="43" t="str">
        <f>IF($AK867=1,SUMIFS($AK$4:$AK866,$C$4:$C866,$C867)+1,"")</f>
        <v/>
      </c>
      <c r="AM867" s="43">
        <f>IF(OR($C867="",$G867=""),0,IF(COUNTIFS($C$5:$C867,$C867,$G$5:$G867,$G867)=1,1,0))</f>
        <v>0</v>
      </c>
      <c r="AN867" s="43" t="str">
        <f>IF($AM867=1,SUMIFS($AM$4:$AM866,$C$4:$C866,$C867)+1,"")</f>
        <v/>
      </c>
    </row>
    <row r="868">
      <c r="A868" s="44" t="str">
        <f>IF(OR($B868="",$D868=""),"","TX"&amp;TEXT(ROW()-4,"0000"))</f>
        <v/>
      </c>
      <c r="B868" s="42" t="n"/>
      <c r="C868" s="47" t="str">
        <f>IF($B868="","",YEAR($B868)*100+MONTH($B868))</f>
        <v/>
      </c>
      <c r="D868" s="37" t="n"/>
      <c r="E868" s="45" t="str">
        <f>IF($D868="","",IFERROR(INDEX(CARDS!$B$5:$B$34,MATCH($D868,CARDS!$A$5:$A$34,0)),"⚠ Card ID?"))</f>
        <v/>
      </c>
      <c r="F868" s="45" t="str">
        <f>IF($D868="","",IFERROR(INDEX(CARDS!$C$5:$C$34,MATCH($D868,CARDS!$A$5:$A$34,0)),"⚠ Card ID?"))</f>
        <v/>
      </c>
      <c r="G868" s="37" t="n"/>
      <c r="H868" s="37" t="n"/>
      <c r="I868" s="41" t="n"/>
      <c r="J868" s="45" t="str">
        <f>IF($I868="","",IFERROR(INDEX(MCC_MASTER!$B$5:$B$504,MATCH($I868,MCC_MASTER!$A$5:$A$504,0)),"⚠ MCC chưa có"))</f>
        <v/>
      </c>
      <c r="K868" s="45" t="str">
        <f>IF($I868="","",IFERROR(IF(INDEX(MCC_MASTER!$C$5:$C$504,MATCH($I868,MCC_MASTER!$A$5:$A$504,0))="","Chưa phân loại",INDEX(MCC_MASTER!$C$5:$C$504,MATCH($I868,MCC_MASTER!$A$5:$A$504,0))),"Chưa phân loại"))</f>
        <v/>
      </c>
      <c r="L868" s="40" t="n"/>
      <c r="M868" s="48" t="str">
        <f>IF(OR($B868="",$D868=""),"",IF($AC868=0,0,IF(ISNUMBER(INDEX(CASHBACK_RULES!$L$5:$L$304,$AC868)),MAX(0,MIN($L868,INDEX(CASHBACK_RULES!$L$5:$L$304,$AC868)-$AH868)),MAX(0,$L868))))</f>
        <v/>
      </c>
      <c r="N868" s="49" t="str">
        <f>IF(OR($B868="",$D868=""),"",IF($AC868&gt;0,INDEX(CASHBACK_RULES!$I$5:$I$304,$AC868),0))</f>
        <v/>
      </c>
      <c r="O868" s="48" t="str">
        <f>IF(OR($B868="",$D868=""),"",ROUND($M868*$N868,0))</f>
        <v/>
      </c>
      <c r="P868" s="48" t="str">
        <f>IF($AC868&gt;0,IF(ISNUMBER(INDEX(CASHBACK_RULES!$J$5:$J$304,$AC868)),INDEX(CASHBACK_RULES!$J$5:$J$304,$AC868),"∞"),"")</f>
        <v/>
      </c>
      <c r="Q868" s="48" t="str">
        <f>IF(OR($B868="",$D868=""),"",IF($AC868=0,0,MAX(0,MIN($O868,IF(ISNUMBER($P868),$P868-$AF868,1E+15),IF(ISNUMBER($AA868),$AA868-$AG868,1E+15)))))</f>
        <v/>
      </c>
      <c r="R868" s="48" t="str">
        <f>IF(OR($B868="",$D868=""),"",IF($AC868=0,"",IF(AND(NOT(ISNUMBER($P868)),NOT(ISNUMBER($AA868))),"∞",MAX(0,MIN(IF(ISNUMBER($P868),$P868-$AF868-$Q868,1E+15),IF(ISNUMBER($AA868),$AA868-$AG868-$Q868,1E+15))))))</f>
        <v/>
      </c>
      <c r="S868" s="47" t="str">
        <f>IF($AD868="","",YEAR($AD868)*100+MONTH($AD868))</f>
        <v/>
      </c>
      <c r="T868" s="50" t="str">
        <f>IF($AD868="","",IFERROR(IF(INDEX(CARDS!$I$5:$I$34,MATCH($D868,CARDS!$A$5:$A$34,0))="","",IF(INDEX(CARDS!$I$5:$I$34,MATCH($D868,CARDS!$A$5:$A$34,0))&gt;INDEX(CARDS!$H$5:$H$34,MATCH($D868,CARDS!$A$5:$A$34,0)),DATE(YEAR($AD868),MONTH($AD868),MIN(INDEX(CARDS!$I$5:$I$34,MATCH($D868,CARDS!$A$5:$A$34,0)),DAY(EOMONTH($AD868,0)))),DATE(YEAR($AD868),MONTH($AD868)+1,MIN(INDEX(CARDS!$I$5:$I$34,MATCH($D868,CARDS!$A$5:$A$34,0)),DAY(EOMONTH($AD868,1)))))),""))</f>
        <v/>
      </c>
      <c r="U868" s="38" t="n"/>
      <c r="V868" s="37" t="n"/>
      <c r="W868" s="38" t="n"/>
      <c r="X868" s="38" t="n"/>
      <c r="Y868" s="44" t="str">
        <f>IF($AC868&gt;0,INDEX(CASHBACK_RULES!$A$5:$A$304,$AC868),"")</f>
        <v/>
      </c>
      <c r="Z868" s="45" t="str">
        <f>IF($AC868&gt;0,INDEX(CASHBACK_RULES!$E$5:$E$304,$AC868)&amp;"","")</f>
        <v/>
      </c>
      <c r="AA868" s="48" t="str">
        <f>IF($AC868&gt;0,IF(ISNUMBER(INDEX(CASHBACK_RULES!$K$5:$K$304,$AC868)),INDEX(CASHBACK_RULES!$K$5:$K$304,$AC868),"∞"),"")</f>
        <v/>
      </c>
      <c r="AB868" s="44" t="str">
        <f>IF(OR($B868="",$D868=""),"",IF($U868="Cancelled","Đã hủy",IF($AC868=0,"Không được hoàn",IF($Q868=0,IF(OR($O868&gt;0,$M868&lt;$L868),"Đã đạt cap","Không được hoàn"),IF(OR($Q868&lt;$O868,$M868&lt;$L868),"Hoàn một phần","Được hoàn")))))</f>
        <v/>
      </c>
      <c r="AC868" s="43">
        <f>IF(OR($B868="",$D868="",$I868="",$L868=""),0,IF($U868="Cancelled",0,IF($W868&lt;&gt;"",IFERROR(IF(INDEX(CASHBACK_RULES!$B$5:$B$304,MATCH($W868,CASHBACK_RULES!$A$5:$A$304,0))=$D868,MATCH($W868,CASHBACK_RULES!$A$5:$A$304,0),0),0),IFERROR(MATCH(1,INDEX((CASHBACK_RULES!$B$5:$B$304=$D868)*(CASHBACK_RULES!$G$5:$G$304=$I868)*(((CASHBACK_RULES!$N$5:$N$304="")+(CASHBACK_RULES!$N$5:$N$304&lt;=$B868))&gt;0)*(((CASHBACK_RULES!$O$5:$O$304="")+(CASHBACK_RULES!$O$5:$O$304&gt;=$B868))&gt;0)*(((CASHBACK_RULES!$M$5:$M$304="")+(CASHBACK_RULES!$M$5:$M$304&lt;=$L868))&gt;0),0),0),0))))</f>
        <v>0</v>
      </c>
      <c r="AD868" s="51" t="str">
        <f>IF(OR($B868="",$D868=""),"",IFERROR(IF(INDEX(CARDS!$H$5:$H$34,MATCH($D868,CARDS!$A$5:$A$34,0))="","",IF(DAY($B868)&lt;=INDEX(CARDS!$H$5:$H$34,MATCH($D868,CARDS!$A$5:$A$34,0)),DATE(YEAR($B868),MONTH($B868),MIN(INDEX(CARDS!$H$5:$H$34,MATCH($D868,CARDS!$A$5:$A$34,0)),DAY(EOMONTH($B868,0)))),DATE(YEAR($B868),MONTH($B868)+1,MIN(INDEX(CARDS!$H$5:$H$34,MATCH($D868,CARDS!$A$5:$A$34,0)),DAY(EOMONTH($B868,1)))))),""))</f>
        <v/>
      </c>
      <c r="AE868" s="52" t="str">
        <f>IF($C868="","",$C868&amp;"|"&amp;COUNTIF($C$5:$C868,$C868))</f>
        <v/>
      </c>
      <c r="AF868" s="53">
        <f>IF($AC868&gt;0,SUMIFS(Q$4:Q867,$D$4:$D867,$D868,$Z$4:$Z867,$Z868,$C$4:$C867,$C868),0)</f>
        <v>0</v>
      </c>
      <c r="AG868" s="53">
        <f>IF($AC868&gt;0,SUMIFS(Q$4:Q867,$D$4:$D867,$D868,$C$4:$C867,$C868),0)</f>
        <v>0</v>
      </c>
      <c r="AH868" s="53">
        <f>IF($AC868&gt;0,SUMIFS(M$4:M867,$D$4:$D867,$D868,$Z$4:$Z867,$Z868,$C$4:$C867,$C868),0)</f>
        <v>0</v>
      </c>
      <c r="AI868" s="43">
        <f>IF(OR($C868="",$I868=""),0,IF(COUNTIFS($C$5:$C868,$C868,$I$5:$I868,$I868)=1,1,0))</f>
        <v>0</v>
      </c>
      <c r="AJ868" s="43" t="str">
        <f>IF($AI868=1,SUMIFS($AI$4:$AI867,$C$4:$C867,$C868)+1,"")</f>
        <v/>
      </c>
      <c r="AK868" s="43">
        <f>IF(OR($C868="",$K868=""),0,IF(COUNTIFS($C$5:$C868,$C868,$K$5:$K868,$K868)=1,1,0))</f>
        <v>0</v>
      </c>
      <c r="AL868" s="43" t="str">
        <f>IF($AK868=1,SUMIFS($AK$4:$AK867,$C$4:$C867,$C868)+1,"")</f>
        <v/>
      </c>
      <c r="AM868" s="43">
        <f>IF(OR($C868="",$G868=""),0,IF(COUNTIFS($C$5:$C868,$C868,$G$5:$G868,$G868)=1,1,0))</f>
        <v>0</v>
      </c>
      <c r="AN868" s="43" t="str">
        <f>IF($AM868=1,SUMIFS($AM$4:$AM867,$C$4:$C867,$C868)+1,"")</f>
        <v/>
      </c>
    </row>
    <row r="869">
      <c r="A869" s="44" t="str">
        <f>IF(OR($B869="",$D869=""),"","TX"&amp;TEXT(ROW()-4,"0000"))</f>
        <v/>
      </c>
      <c r="B869" s="42" t="n"/>
      <c r="C869" s="47" t="str">
        <f>IF($B869="","",YEAR($B869)*100+MONTH($B869))</f>
        <v/>
      </c>
      <c r="D869" s="37" t="n"/>
      <c r="E869" s="45" t="str">
        <f>IF($D869="","",IFERROR(INDEX(CARDS!$B$5:$B$34,MATCH($D869,CARDS!$A$5:$A$34,0)),"⚠ Card ID?"))</f>
        <v/>
      </c>
      <c r="F869" s="45" t="str">
        <f>IF($D869="","",IFERROR(INDEX(CARDS!$C$5:$C$34,MATCH($D869,CARDS!$A$5:$A$34,0)),"⚠ Card ID?"))</f>
        <v/>
      </c>
      <c r="G869" s="37" t="n"/>
      <c r="H869" s="37" t="n"/>
      <c r="I869" s="41" t="n"/>
      <c r="J869" s="45" t="str">
        <f>IF($I869="","",IFERROR(INDEX(MCC_MASTER!$B$5:$B$504,MATCH($I869,MCC_MASTER!$A$5:$A$504,0)),"⚠ MCC chưa có"))</f>
        <v/>
      </c>
      <c r="K869" s="45" t="str">
        <f>IF($I869="","",IFERROR(IF(INDEX(MCC_MASTER!$C$5:$C$504,MATCH($I869,MCC_MASTER!$A$5:$A$504,0))="","Chưa phân loại",INDEX(MCC_MASTER!$C$5:$C$504,MATCH($I869,MCC_MASTER!$A$5:$A$504,0))),"Chưa phân loại"))</f>
        <v/>
      </c>
      <c r="L869" s="40" t="n"/>
      <c r="M869" s="48" t="str">
        <f>IF(OR($B869="",$D869=""),"",IF($AC869=0,0,IF(ISNUMBER(INDEX(CASHBACK_RULES!$L$5:$L$304,$AC869)),MAX(0,MIN($L869,INDEX(CASHBACK_RULES!$L$5:$L$304,$AC869)-$AH869)),MAX(0,$L869))))</f>
        <v/>
      </c>
      <c r="N869" s="49" t="str">
        <f>IF(OR($B869="",$D869=""),"",IF($AC869&gt;0,INDEX(CASHBACK_RULES!$I$5:$I$304,$AC869),0))</f>
        <v/>
      </c>
      <c r="O869" s="48" t="str">
        <f>IF(OR($B869="",$D869=""),"",ROUND($M869*$N869,0))</f>
        <v/>
      </c>
      <c r="P869" s="48" t="str">
        <f>IF($AC869&gt;0,IF(ISNUMBER(INDEX(CASHBACK_RULES!$J$5:$J$304,$AC869)),INDEX(CASHBACK_RULES!$J$5:$J$304,$AC869),"∞"),"")</f>
        <v/>
      </c>
      <c r="Q869" s="48" t="str">
        <f>IF(OR($B869="",$D869=""),"",IF($AC869=0,0,MAX(0,MIN($O869,IF(ISNUMBER($P869),$P869-$AF869,1E+15),IF(ISNUMBER($AA869),$AA869-$AG869,1E+15)))))</f>
        <v/>
      </c>
      <c r="R869" s="48" t="str">
        <f>IF(OR($B869="",$D869=""),"",IF($AC869=0,"",IF(AND(NOT(ISNUMBER($P869)),NOT(ISNUMBER($AA869))),"∞",MAX(0,MIN(IF(ISNUMBER($P869),$P869-$AF869-$Q869,1E+15),IF(ISNUMBER($AA869),$AA869-$AG869-$Q869,1E+15))))))</f>
        <v/>
      </c>
      <c r="S869" s="47" t="str">
        <f>IF($AD869="","",YEAR($AD869)*100+MONTH($AD869))</f>
        <v/>
      </c>
      <c r="T869" s="50" t="str">
        <f>IF($AD869="","",IFERROR(IF(INDEX(CARDS!$I$5:$I$34,MATCH($D869,CARDS!$A$5:$A$34,0))="","",IF(INDEX(CARDS!$I$5:$I$34,MATCH($D869,CARDS!$A$5:$A$34,0))&gt;INDEX(CARDS!$H$5:$H$34,MATCH($D869,CARDS!$A$5:$A$34,0)),DATE(YEAR($AD869),MONTH($AD869),MIN(INDEX(CARDS!$I$5:$I$34,MATCH($D869,CARDS!$A$5:$A$34,0)),DAY(EOMONTH($AD869,0)))),DATE(YEAR($AD869),MONTH($AD869)+1,MIN(INDEX(CARDS!$I$5:$I$34,MATCH($D869,CARDS!$A$5:$A$34,0)),DAY(EOMONTH($AD869,1)))))),""))</f>
        <v/>
      </c>
      <c r="U869" s="38" t="n"/>
      <c r="V869" s="37" t="n"/>
      <c r="W869" s="38" t="n"/>
      <c r="X869" s="38" t="n"/>
      <c r="Y869" s="44" t="str">
        <f>IF($AC869&gt;0,INDEX(CASHBACK_RULES!$A$5:$A$304,$AC869),"")</f>
        <v/>
      </c>
      <c r="Z869" s="45" t="str">
        <f>IF($AC869&gt;0,INDEX(CASHBACK_RULES!$E$5:$E$304,$AC869)&amp;"","")</f>
        <v/>
      </c>
      <c r="AA869" s="48" t="str">
        <f>IF($AC869&gt;0,IF(ISNUMBER(INDEX(CASHBACK_RULES!$K$5:$K$304,$AC869)),INDEX(CASHBACK_RULES!$K$5:$K$304,$AC869),"∞"),"")</f>
        <v/>
      </c>
      <c r="AB869" s="44" t="str">
        <f>IF(OR($B869="",$D869=""),"",IF($U869="Cancelled","Đã hủy",IF($AC869=0,"Không được hoàn",IF($Q869=0,IF(OR($O869&gt;0,$M869&lt;$L869),"Đã đạt cap","Không được hoàn"),IF(OR($Q869&lt;$O869,$M869&lt;$L869),"Hoàn một phần","Được hoàn")))))</f>
        <v/>
      </c>
      <c r="AC869" s="43">
        <f>IF(OR($B869="",$D869="",$I869="",$L869=""),0,IF($U869="Cancelled",0,IF($W869&lt;&gt;"",IFERROR(IF(INDEX(CASHBACK_RULES!$B$5:$B$304,MATCH($W869,CASHBACK_RULES!$A$5:$A$304,0))=$D869,MATCH($W869,CASHBACK_RULES!$A$5:$A$304,0),0),0),IFERROR(MATCH(1,INDEX((CASHBACK_RULES!$B$5:$B$304=$D869)*(CASHBACK_RULES!$G$5:$G$304=$I869)*(((CASHBACK_RULES!$N$5:$N$304="")+(CASHBACK_RULES!$N$5:$N$304&lt;=$B869))&gt;0)*(((CASHBACK_RULES!$O$5:$O$304="")+(CASHBACK_RULES!$O$5:$O$304&gt;=$B869))&gt;0)*(((CASHBACK_RULES!$M$5:$M$304="")+(CASHBACK_RULES!$M$5:$M$304&lt;=$L869))&gt;0),0),0),0))))</f>
        <v>0</v>
      </c>
      <c r="AD869" s="51" t="str">
        <f>IF(OR($B869="",$D869=""),"",IFERROR(IF(INDEX(CARDS!$H$5:$H$34,MATCH($D869,CARDS!$A$5:$A$34,0))="","",IF(DAY($B869)&lt;=INDEX(CARDS!$H$5:$H$34,MATCH($D869,CARDS!$A$5:$A$34,0)),DATE(YEAR($B869),MONTH($B869),MIN(INDEX(CARDS!$H$5:$H$34,MATCH($D869,CARDS!$A$5:$A$34,0)),DAY(EOMONTH($B869,0)))),DATE(YEAR($B869),MONTH($B869)+1,MIN(INDEX(CARDS!$H$5:$H$34,MATCH($D869,CARDS!$A$5:$A$34,0)),DAY(EOMONTH($B869,1)))))),""))</f>
        <v/>
      </c>
      <c r="AE869" s="52" t="str">
        <f>IF($C869="","",$C869&amp;"|"&amp;COUNTIF($C$5:$C869,$C869))</f>
        <v/>
      </c>
      <c r="AF869" s="53">
        <f>IF($AC869&gt;0,SUMIFS(Q$4:Q868,$D$4:$D868,$D869,$Z$4:$Z868,$Z869,$C$4:$C868,$C869),0)</f>
        <v>0</v>
      </c>
      <c r="AG869" s="53">
        <f>IF($AC869&gt;0,SUMIFS(Q$4:Q868,$D$4:$D868,$D869,$C$4:$C868,$C869),0)</f>
        <v>0</v>
      </c>
      <c r="AH869" s="53">
        <f>IF($AC869&gt;0,SUMIFS(M$4:M868,$D$4:$D868,$D869,$Z$4:$Z868,$Z869,$C$4:$C868,$C869),0)</f>
        <v>0</v>
      </c>
      <c r="AI869" s="43">
        <f>IF(OR($C869="",$I869=""),0,IF(COUNTIFS($C$5:$C869,$C869,$I$5:$I869,$I869)=1,1,0))</f>
        <v>0</v>
      </c>
      <c r="AJ869" s="43" t="str">
        <f>IF($AI869=1,SUMIFS($AI$4:$AI868,$C$4:$C868,$C869)+1,"")</f>
        <v/>
      </c>
      <c r="AK869" s="43">
        <f>IF(OR($C869="",$K869=""),0,IF(COUNTIFS($C$5:$C869,$C869,$K$5:$K869,$K869)=1,1,0))</f>
        <v>0</v>
      </c>
      <c r="AL869" s="43" t="str">
        <f>IF($AK869=1,SUMIFS($AK$4:$AK868,$C$4:$C868,$C869)+1,"")</f>
        <v/>
      </c>
      <c r="AM869" s="43">
        <f>IF(OR($C869="",$G869=""),0,IF(COUNTIFS($C$5:$C869,$C869,$G$5:$G869,$G869)=1,1,0))</f>
        <v>0</v>
      </c>
      <c r="AN869" s="43" t="str">
        <f>IF($AM869=1,SUMIFS($AM$4:$AM868,$C$4:$C868,$C869)+1,"")</f>
        <v/>
      </c>
    </row>
    <row r="870">
      <c r="A870" s="44" t="str">
        <f>IF(OR($B870="",$D870=""),"","TX"&amp;TEXT(ROW()-4,"0000"))</f>
        <v/>
      </c>
      <c r="B870" s="42" t="n"/>
      <c r="C870" s="47" t="str">
        <f>IF($B870="","",YEAR($B870)*100+MONTH($B870))</f>
        <v/>
      </c>
      <c r="D870" s="37" t="n"/>
      <c r="E870" s="45" t="str">
        <f>IF($D870="","",IFERROR(INDEX(CARDS!$B$5:$B$34,MATCH($D870,CARDS!$A$5:$A$34,0)),"⚠ Card ID?"))</f>
        <v/>
      </c>
      <c r="F870" s="45" t="str">
        <f>IF($D870="","",IFERROR(INDEX(CARDS!$C$5:$C$34,MATCH($D870,CARDS!$A$5:$A$34,0)),"⚠ Card ID?"))</f>
        <v/>
      </c>
      <c r="G870" s="37" t="n"/>
      <c r="H870" s="37" t="n"/>
      <c r="I870" s="41" t="n"/>
      <c r="J870" s="45" t="str">
        <f>IF($I870="","",IFERROR(INDEX(MCC_MASTER!$B$5:$B$504,MATCH($I870,MCC_MASTER!$A$5:$A$504,0)),"⚠ MCC chưa có"))</f>
        <v/>
      </c>
      <c r="K870" s="45" t="str">
        <f>IF($I870="","",IFERROR(IF(INDEX(MCC_MASTER!$C$5:$C$504,MATCH($I870,MCC_MASTER!$A$5:$A$504,0))="","Chưa phân loại",INDEX(MCC_MASTER!$C$5:$C$504,MATCH($I870,MCC_MASTER!$A$5:$A$504,0))),"Chưa phân loại"))</f>
        <v/>
      </c>
      <c r="L870" s="40" t="n"/>
      <c r="M870" s="48" t="str">
        <f>IF(OR($B870="",$D870=""),"",IF($AC870=0,0,IF(ISNUMBER(INDEX(CASHBACK_RULES!$L$5:$L$304,$AC870)),MAX(0,MIN($L870,INDEX(CASHBACK_RULES!$L$5:$L$304,$AC870)-$AH870)),MAX(0,$L870))))</f>
        <v/>
      </c>
      <c r="N870" s="49" t="str">
        <f>IF(OR($B870="",$D870=""),"",IF($AC870&gt;0,INDEX(CASHBACK_RULES!$I$5:$I$304,$AC870),0))</f>
        <v/>
      </c>
      <c r="O870" s="48" t="str">
        <f>IF(OR($B870="",$D870=""),"",ROUND($M870*$N870,0))</f>
        <v/>
      </c>
      <c r="P870" s="48" t="str">
        <f>IF($AC870&gt;0,IF(ISNUMBER(INDEX(CASHBACK_RULES!$J$5:$J$304,$AC870)),INDEX(CASHBACK_RULES!$J$5:$J$304,$AC870),"∞"),"")</f>
        <v/>
      </c>
      <c r="Q870" s="48" t="str">
        <f>IF(OR($B870="",$D870=""),"",IF($AC870=0,0,MAX(0,MIN($O870,IF(ISNUMBER($P870),$P870-$AF870,1E+15),IF(ISNUMBER($AA870),$AA870-$AG870,1E+15)))))</f>
        <v/>
      </c>
      <c r="R870" s="48" t="str">
        <f>IF(OR($B870="",$D870=""),"",IF($AC870=0,"",IF(AND(NOT(ISNUMBER($P870)),NOT(ISNUMBER($AA870))),"∞",MAX(0,MIN(IF(ISNUMBER($P870),$P870-$AF870-$Q870,1E+15),IF(ISNUMBER($AA870),$AA870-$AG870-$Q870,1E+15))))))</f>
        <v/>
      </c>
      <c r="S870" s="47" t="str">
        <f>IF($AD870="","",YEAR($AD870)*100+MONTH($AD870))</f>
        <v/>
      </c>
      <c r="T870" s="50" t="str">
        <f>IF($AD870="","",IFERROR(IF(INDEX(CARDS!$I$5:$I$34,MATCH($D870,CARDS!$A$5:$A$34,0))="","",IF(INDEX(CARDS!$I$5:$I$34,MATCH($D870,CARDS!$A$5:$A$34,0))&gt;INDEX(CARDS!$H$5:$H$34,MATCH($D870,CARDS!$A$5:$A$34,0)),DATE(YEAR($AD870),MONTH($AD870),MIN(INDEX(CARDS!$I$5:$I$34,MATCH($D870,CARDS!$A$5:$A$34,0)),DAY(EOMONTH($AD870,0)))),DATE(YEAR($AD870),MONTH($AD870)+1,MIN(INDEX(CARDS!$I$5:$I$34,MATCH($D870,CARDS!$A$5:$A$34,0)),DAY(EOMONTH($AD870,1)))))),""))</f>
        <v/>
      </c>
      <c r="U870" s="38" t="n"/>
      <c r="V870" s="37" t="n"/>
      <c r="W870" s="38" t="n"/>
      <c r="X870" s="38" t="n"/>
      <c r="Y870" s="44" t="str">
        <f>IF($AC870&gt;0,INDEX(CASHBACK_RULES!$A$5:$A$304,$AC870),"")</f>
        <v/>
      </c>
      <c r="Z870" s="45" t="str">
        <f>IF($AC870&gt;0,INDEX(CASHBACK_RULES!$E$5:$E$304,$AC870)&amp;"","")</f>
        <v/>
      </c>
      <c r="AA870" s="48" t="str">
        <f>IF($AC870&gt;0,IF(ISNUMBER(INDEX(CASHBACK_RULES!$K$5:$K$304,$AC870)),INDEX(CASHBACK_RULES!$K$5:$K$304,$AC870),"∞"),"")</f>
        <v/>
      </c>
      <c r="AB870" s="44" t="str">
        <f>IF(OR($B870="",$D870=""),"",IF($U870="Cancelled","Đã hủy",IF($AC870=0,"Không được hoàn",IF($Q870=0,IF(OR($O870&gt;0,$M870&lt;$L870),"Đã đạt cap","Không được hoàn"),IF(OR($Q870&lt;$O870,$M870&lt;$L870),"Hoàn một phần","Được hoàn")))))</f>
        <v/>
      </c>
      <c r="AC870" s="43">
        <f>IF(OR($B870="",$D870="",$I870="",$L870=""),0,IF($U870="Cancelled",0,IF($W870&lt;&gt;"",IFERROR(IF(INDEX(CASHBACK_RULES!$B$5:$B$304,MATCH($W870,CASHBACK_RULES!$A$5:$A$304,0))=$D870,MATCH($W870,CASHBACK_RULES!$A$5:$A$304,0),0),0),IFERROR(MATCH(1,INDEX((CASHBACK_RULES!$B$5:$B$304=$D870)*(CASHBACK_RULES!$G$5:$G$304=$I870)*(((CASHBACK_RULES!$N$5:$N$304="")+(CASHBACK_RULES!$N$5:$N$304&lt;=$B870))&gt;0)*(((CASHBACK_RULES!$O$5:$O$304="")+(CASHBACK_RULES!$O$5:$O$304&gt;=$B870))&gt;0)*(((CASHBACK_RULES!$M$5:$M$304="")+(CASHBACK_RULES!$M$5:$M$304&lt;=$L870))&gt;0),0),0),0))))</f>
        <v>0</v>
      </c>
      <c r="AD870" s="51" t="str">
        <f>IF(OR($B870="",$D870=""),"",IFERROR(IF(INDEX(CARDS!$H$5:$H$34,MATCH($D870,CARDS!$A$5:$A$34,0))="","",IF(DAY($B870)&lt;=INDEX(CARDS!$H$5:$H$34,MATCH($D870,CARDS!$A$5:$A$34,0)),DATE(YEAR($B870),MONTH($B870),MIN(INDEX(CARDS!$H$5:$H$34,MATCH($D870,CARDS!$A$5:$A$34,0)),DAY(EOMONTH($B870,0)))),DATE(YEAR($B870),MONTH($B870)+1,MIN(INDEX(CARDS!$H$5:$H$34,MATCH($D870,CARDS!$A$5:$A$34,0)),DAY(EOMONTH($B870,1)))))),""))</f>
        <v/>
      </c>
      <c r="AE870" s="52" t="str">
        <f>IF($C870="","",$C870&amp;"|"&amp;COUNTIF($C$5:$C870,$C870))</f>
        <v/>
      </c>
      <c r="AF870" s="53">
        <f>IF($AC870&gt;0,SUMIFS(Q$4:Q869,$D$4:$D869,$D870,$Z$4:$Z869,$Z870,$C$4:$C869,$C870),0)</f>
        <v>0</v>
      </c>
      <c r="AG870" s="53">
        <f>IF($AC870&gt;0,SUMIFS(Q$4:Q869,$D$4:$D869,$D870,$C$4:$C869,$C870),0)</f>
        <v>0</v>
      </c>
      <c r="AH870" s="53">
        <f>IF($AC870&gt;0,SUMIFS(M$4:M869,$D$4:$D869,$D870,$Z$4:$Z869,$Z870,$C$4:$C869,$C870),0)</f>
        <v>0</v>
      </c>
      <c r="AI870" s="43">
        <f>IF(OR($C870="",$I870=""),0,IF(COUNTIFS($C$5:$C870,$C870,$I$5:$I870,$I870)=1,1,0))</f>
        <v>0</v>
      </c>
      <c r="AJ870" s="43" t="str">
        <f>IF($AI870=1,SUMIFS($AI$4:$AI869,$C$4:$C869,$C870)+1,"")</f>
        <v/>
      </c>
      <c r="AK870" s="43">
        <f>IF(OR($C870="",$K870=""),0,IF(COUNTIFS($C$5:$C870,$C870,$K$5:$K870,$K870)=1,1,0))</f>
        <v>0</v>
      </c>
      <c r="AL870" s="43" t="str">
        <f>IF($AK870=1,SUMIFS($AK$4:$AK869,$C$4:$C869,$C870)+1,"")</f>
        <v/>
      </c>
      <c r="AM870" s="43">
        <f>IF(OR($C870="",$G870=""),0,IF(COUNTIFS($C$5:$C870,$C870,$G$5:$G870,$G870)=1,1,0))</f>
        <v>0</v>
      </c>
      <c r="AN870" s="43" t="str">
        <f>IF($AM870=1,SUMIFS($AM$4:$AM869,$C$4:$C869,$C870)+1,"")</f>
        <v/>
      </c>
    </row>
    <row r="871">
      <c r="A871" s="44" t="str">
        <f>IF(OR($B871="",$D871=""),"","TX"&amp;TEXT(ROW()-4,"0000"))</f>
        <v/>
      </c>
      <c r="B871" s="42" t="n"/>
      <c r="C871" s="47" t="str">
        <f>IF($B871="","",YEAR($B871)*100+MONTH($B871))</f>
        <v/>
      </c>
      <c r="D871" s="37" t="n"/>
      <c r="E871" s="45" t="str">
        <f>IF($D871="","",IFERROR(INDEX(CARDS!$B$5:$B$34,MATCH($D871,CARDS!$A$5:$A$34,0)),"⚠ Card ID?"))</f>
        <v/>
      </c>
      <c r="F871" s="45" t="str">
        <f>IF($D871="","",IFERROR(INDEX(CARDS!$C$5:$C$34,MATCH($D871,CARDS!$A$5:$A$34,0)),"⚠ Card ID?"))</f>
        <v/>
      </c>
      <c r="G871" s="37" t="n"/>
      <c r="H871" s="37" t="n"/>
      <c r="I871" s="41" t="n"/>
      <c r="J871" s="45" t="str">
        <f>IF($I871="","",IFERROR(INDEX(MCC_MASTER!$B$5:$B$504,MATCH($I871,MCC_MASTER!$A$5:$A$504,0)),"⚠ MCC chưa có"))</f>
        <v/>
      </c>
      <c r="K871" s="45" t="str">
        <f>IF($I871="","",IFERROR(IF(INDEX(MCC_MASTER!$C$5:$C$504,MATCH($I871,MCC_MASTER!$A$5:$A$504,0))="","Chưa phân loại",INDEX(MCC_MASTER!$C$5:$C$504,MATCH($I871,MCC_MASTER!$A$5:$A$504,0))),"Chưa phân loại"))</f>
        <v/>
      </c>
      <c r="L871" s="40" t="n"/>
      <c r="M871" s="48" t="str">
        <f>IF(OR($B871="",$D871=""),"",IF($AC871=0,0,IF(ISNUMBER(INDEX(CASHBACK_RULES!$L$5:$L$304,$AC871)),MAX(0,MIN($L871,INDEX(CASHBACK_RULES!$L$5:$L$304,$AC871)-$AH871)),MAX(0,$L871))))</f>
        <v/>
      </c>
      <c r="N871" s="49" t="str">
        <f>IF(OR($B871="",$D871=""),"",IF($AC871&gt;0,INDEX(CASHBACK_RULES!$I$5:$I$304,$AC871),0))</f>
        <v/>
      </c>
      <c r="O871" s="48" t="str">
        <f>IF(OR($B871="",$D871=""),"",ROUND($M871*$N871,0))</f>
        <v/>
      </c>
      <c r="P871" s="48" t="str">
        <f>IF($AC871&gt;0,IF(ISNUMBER(INDEX(CASHBACK_RULES!$J$5:$J$304,$AC871)),INDEX(CASHBACK_RULES!$J$5:$J$304,$AC871),"∞"),"")</f>
        <v/>
      </c>
      <c r="Q871" s="48" t="str">
        <f>IF(OR($B871="",$D871=""),"",IF($AC871=0,0,MAX(0,MIN($O871,IF(ISNUMBER($P871),$P871-$AF871,1E+15),IF(ISNUMBER($AA871),$AA871-$AG871,1E+15)))))</f>
        <v/>
      </c>
      <c r="R871" s="48" t="str">
        <f>IF(OR($B871="",$D871=""),"",IF($AC871=0,"",IF(AND(NOT(ISNUMBER($P871)),NOT(ISNUMBER($AA871))),"∞",MAX(0,MIN(IF(ISNUMBER($P871),$P871-$AF871-$Q871,1E+15),IF(ISNUMBER($AA871),$AA871-$AG871-$Q871,1E+15))))))</f>
        <v/>
      </c>
      <c r="S871" s="47" t="str">
        <f>IF($AD871="","",YEAR($AD871)*100+MONTH($AD871))</f>
        <v/>
      </c>
      <c r="T871" s="50" t="str">
        <f>IF($AD871="","",IFERROR(IF(INDEX(CARDS!$I$5:$I$34,MATCH($D871,CARDS!$A$5:$A$34,0))="","",IF(INDEX(CARDS!$I$5:$I$34,MATCH($D871,CARDS!$A$5:$A$34,0))&gt;INDEX(CARDS!$H$5:$H$34,MATCH($D871,CARDS!$A$5:$A$34,0)),DATE(YEAR($AD871),MONTH($AD871),MIN(INDEX(CARDS!$I$5:$I$34,MATCH($D871,CARDS!$A$5:$A$34,0)),DAY(EOMONTH($AD871,0)))),DATE(YEAR($AD871),MONTH($AD871)+1,MIN(INDEX(CARDS!$I$5:$I$34,MATCH($D871,CARDS!$A$5:$A$34,0)),DAY(EOMONTH($AD871,1)))))),""))</f>
        <v/>
      </c>
      <c r="U871" s="38" t="n"/>
      <c r="V871" s="37" t="n"/>
      <c r="W871" s="38" t="n"/>
      <c r="X871" s="38" t="n"/>
      <c r="Y871" s="44" t="str">
        <f>IF($AC871&gt;0,INDEX(CASHBACK_RULES!$A$5:$A$304,$AC871),"")</f>
        <v/>
      </c>
      <c r="Z871" s="45" t="str">
        <f>IF($AC871&gt;0,INDEX(CASHBACK_RULES!$E$5:$E$304,$AC871)&amp;"","")</f>
        <v/>
      </c>
      <c r="AA871" s="48" t="str">
        <f>IF($AC871&gt;0,IF(ISNUMBER(INDEX(CASHBACK_RULES!$K$5:$K$304,$AC871)),INDEX(CASHBACK_RULES!$K$5:$K$304,$AC871),"∞"),"")</f>
        <v/>
      </c>
      <c r="AB871" s="44" t="str">
        <f>IF(OR($B871="",$D871=""),"",IF($U871="Cancelled","Đã hủy",IF($AC871=0,"Không được hoàn",IF($Q871=0,IF(OR($O871&gt;0,$M871&lt;$L871),"Đã đạt cap","Không được hoàn"),IF(OR($Q871&lt;$O871,$M871&lt;$L871),"Hoàn một phần","Được hoàn")))))</f>
        <v/>
      </c>
      <c r="AC871" s="43">
        <f>IF(OR($B871="",$D871="",$I871="",$L871=""),0,IF($U871="Cancelled",0,IF($W871&lt;&gt;"",IFERROR(IF(INDEX(CASHBACK_RULES!$B$5:$B$304,MATCH($W871,CASHBACK_RULES!$A$5:$A$304,0))=$D871,MATCH($W871,CASHBACK_RULES!$A$5:$A$304,0),0),0),IFERROR(MATCH(1,INDEX((CASHBACK_RULES!$B$5:$B$304=$D871)*(CASHBACK_RULES!$G$5:$G$304=$I871)*(((CASHBACK_RULES!$N$5:$N$304="")+(CASHBACK_RULES!$N$5:$N$304&lt;=$B871))&gt;0)*(((CASHBACK_RULES!$O$5:$O$304="")+(CASHBACK_RULES!$O$5:$O$304&gt;=$B871))&gt;0)*(((CASHBACK_RULES!$M$5:$M$304="")+(CASHBACK_RULES!$M$5:$M$304&lt;=$L871))&gt;0),0),0),0))))</f>
        <v>0</v>
      </c>
      <c r="AD871" s="51" t="str">
        <f>IF(OR($B871="",$D871=""),"",IFERROR(IF(INDEX(CARDS!$H$5:$H$34,MATCH($D871,CARDS!$A$5:$A$34,0))="","",IF(DAY($B871)&lt;=INDEX(CARDS!$H$5:$H$34,MATCH($D871,CARDS!$A$5:$A$34,0)),DATE(YEAR($B871),MONTH($B871),MIN(INDEX(CARDS!$H$5:$H$34,MATCH($D871,CARDS!$A$5:$A$34,0)),DAY(EOMONTH($B871,0)))),DATE(YEAR($B871),MONTH($B871)+1,MIN(INDEX(CARDS!$H$5:$H$34,MATCH($D871,CARDS!$A$5:$A$34,0)),DAY(EOMONTH($B871,1)))))),""))</f>
        <v/>
      </c>
      <c r="AE871" s="52" t="str">
        <f>IF($C871="","",$C871&amp;"|"&amp;COUNTIF($C$5:$C871,$C871))</f>
        <v/>
      </c>
      <c r="AF871" s="53">
        <f>IF($AC871&gt;0,SUMIFS(Q$4:Q870,$D$4:$D870,$D871,$Z$4:$Z870,$Z871,$C$4:$C870,$C871),0)</f>
        <v>0</v>
      </c>
      <c r="AG871" s="53">
        <f>IF($AC871&gt;0,SUMIFS(Q$4:Q870,$D$4:$D870,$D871,$C$4:$C870,$C871),0)</f>
        <v>0</v>
      </c>
      <c r="AH871" s="53">
        <f>IF($AC871&gt;0,SUMIFS(M$4:M870,$D$4:$D870,$D871,$Z$4:$Z870,$Z871,$C$4:$C870,$C871),0)</f>
        <v>0</v>
      </c>
      <c r="AI871" s="43">
        <f>IF(OR($C871="",$I871=""),0,IF(COUNTIFS($C$5:$C871,$C871,$I$5:$I871,$I871)=1,1,0))</f>
        <v>0</v>
      </c>
      <c r="AJ871" s="43" t="str">
        <f>IF($AI871=1,SUMIFS($AI$4:$AI870,$C$4:$C870,$C871)+1,"")</f>
        <v/>
      </c>
      <c r="AK871" s="43">
        <f>IF(OR($C871="",$K871=""),0,IF(COUNTIFS($C$5:$C871,$C871,$K$5:$K871,$K871)=1,1,0))</f>
        <v>0</v>
      </c>
      <c r="AL871" s="43" t="str">
        <f>IF($AK871=1,SUMIFS($AK$4:$AK870,$C$4:$C870,$C871)+1,"")</f>
        <v/>
      </c>
      <c r="AM871" s="43">
        <f>IF(OR($C871="",$G871=""),0,IF(COUNTIFS($C$5:$C871,$C871,$G$5:$G871,$G871)=1,1,0))</f>
        <v>0</v>
      </c>
      <c r="AN871" s="43" t="str">
        <f>IF($AM871=1,SUMIFS($AM$4:$AM870,$C$4:$C870,$C871)+1,"")</f>
        <v/>
      </c>
    </row>
    <row r="872">
      <c r="A872" s="44" t="str">
        <f>IF(OR($B872="",$D872=""),"","TX"&amp;TEXT(ROW()-4,"0000"))</f>
        <v/>
      </c>
      <c r="B872" s="42" t="n"/>
      <c r="C872" s="47" t="str">
        <f>IF($B872="","",YEAR($B872)*100+MONTH($B872))</f>
        <v/>
      </c>
      <c r="D872" s="37" t="n"/>
      <c r="E872" s="45" t="str">
        <f>IF($D872="","",IFERROR(INDEX(CARDS!$B$5:$B$34,MATCH($D872,CARDS!$A$5:$A$34,0)),"⚠ Card ID?"))</f>
        <v/>
      </c>
      <c r="F872" s="45" t="str">
        <f>IF($D872="","",IFERROR(INDEX(CARDS!$C$5:$C$34,MATCH($D872,CARDS!$A$5:$A$34,0)),"⚠ Card ID?"))</f>
        <v/>
      </c>
      <c r="G872" s="37" t="n"/>
      <c r="H872" s="37" t="n"/>
      <c r="I872" s="41" t="n"/>
      <c r="J872" s="45" t="str">
        <f>IF($I872="","",IFERROR(INDEX(MCC_MASTER!$B$5:$B$504,MATCH($I872,MCC_MASTER!$A$5:$A$504,0)),"⚠ MCC chưa có"))</f>
        <v/>
      </c>
      <c r="K872" s="45" t="str">
        <f>IF($I872="","",IFERROR(IF(INDEX(MCC_MASTER!$C$5:$C$504,MATCH($I872,MCC_MASTER!$A$5:$A$504,0))="","Chưa phân loại",INDEX(MCC_MASTER!$C$5:$C$504,MATCH($I872,MCC_MASTER!$A$5:$A$504,0))),"Chưa phân loại"))</f>
        <v/>
      </c>
      <c r="L872" s="40" t="n"/>
      <c r="M872" s="48" t="str">
        <f>IF(OR($B872="",$D872=""),"",IF($AC872=0,0,IF(ISNUMBER(INDEX(CASHBACK_RULES!$L$5:$L$304,$AC872)),MAX(0,MIN($L872,INDEX(CASHBACK_RULES!$L$5:$L$304,$AC872)-$AH872)),MAX(0,$L872))))</f>
        <v/>
      </c>
      <c r="N872" s="49" t="str">
        <f>IF(OR($B872="",$D872=""),"",IF($AC872&gt;0,INDEX(CASHBACK_RULES!$I$5:$I$304,$AC872),0))</f>
        <v/>
      </c>
      <c r="O872" s="48" t="str">
        <f>IF(OR($B872="",$D872=""),"",ROUND($M872*$N872,0))</f>
        <v/>
      </c>
      <c r="P872" s="48" t="str">
        <f>IF($AC872&gt;0,IF(ISNUMBER(INDEX(CASHBACK_RULES!$J$5:$J$304,$AC872)),INDEX(CASHBACK_RULES!$J$5:$J$304,$AC872),"∞"),"")</f>
        <v/>
      </c>
      <c r="Q872" s="48" t="str">
        <f>IF(OR($B872="",$D872=""),"",IF($AC872=0,0,MAX(0,MIN($O872,IF(ISNUMBER($P872),$P872-$AF872,1E+15),IF(ISNUMBER($AA872),$AA872-$AG872,1E+15)))))</f>
        <v/>
      </c>
      <c r="R872" s="48" t="str">
        <f>IF(OR($B872="",$D872=""),"",IF($AC872=0,"",IF(AND(NOT(ISNUMBER($P872)),NOT(ISNUMBER($AA872))),"∞",MAX(0,MIN(IF(ISNUMBER($P872),$P872-$AF872-$Q872,1E+15),IF(ISNUMBER($AA872),$AA872-$AG872-$Q872,1E+15))))))</f>
        <v/>
      </c>
      <c r="S872" s="47" t="str">
        <f>IF($AD872="","",YEAR($AD872)*100+MONTH($AD872))</f>
        <v/>
      </c>
      <c r="T872" s="50" t="str">
        <f>IF($AD872="","",IFERROR(IF(INDEX(CARDS!$I$5:$I$34,MATCH($D872,CARDS!$A$5:$A$34,0))="","",IF(INDEX(CARDS!$I$5:$I$34,MATCH($D872,CARDS!$A$5:$A$34,0))&gt;INDEX(CARDS!$H$5:$H$34,MATCH($D872,CARDS!$A$5:$A$34,0)),DATE(YEAR($AD872),MONTH($AD872),MIN(INDEX(CARDS!$I$5:$I$34,MATCH($D872,CARDS!$A$5:$A$34,0)),DAY(EOMONTH($AD872,0)))),DATE(YEAR($AD872),MONTH($AD872)+1,MIN(INDEX(CARDS!$I$5:$I$34,MATCH($D872,CARDS!$A$5:$A$34,0)),DAY(EOMONTH($AD872,1)))))),""))</f>
        <v/>
      </c>
      <c r="U872" s="38" t="n"/>
      <c r="V872" s="37" t="n"/>
      <c r="W872" s="38" t="n"/>
      <c r="X872" s="38" t="n"/>
      <c r="Y872" s="44" t="str">
        <f>IF($AC872&gt;0,INDEX(CASHBACK_RULES!$A$5:$A$304,$AC872),"")</f>
        <v/>
      </c>
      <c r="Z872" s="45" t="str">
        <f>IF($AC872&gt;0,INDEX(CASHBACK_RULES!$E$5:$E$304,$AC872)&amp;"","")</f>
        <v/>
      </c>
      <c r="AA872" s="48" t="str">
        <f>IF($AC872&gt;0,IF(ISNUMBER(INDEX(CASHBACK_RULES!$K$5:$K$304,$AC872)),INDEX(CASHBACK_RULES!$K$5:$K$304,$AC872),"∞"),"")</f>
        <v/>
      </c>
      <c r="AB872" s="44" t="str">
        <f>IF(OR($B872="",$D872=""),"",IF($U872="Cancelled","Đã hủy",IF($AC872=0,"Không được hoàn",IF($Q872=0,IF(OR($O872&gt;0,$M872&lt;$L872),"Đã đạt cap","Không được hoàn"),IF(OR($Q872&lt;$O872,$M872&lt;$L872),"Hoàn một phần","Được hoàn")))))</f>
        <v/>
      </c>
      <c r="AC872" s="43">
        <f>IF(OR($B872="",$D872="",$I872="",$L872=""),0,IF($U872="Cancelled",0,IF($W872&lt;&gt;"",IFERROR(IF(INDEX(CASHBACK_RULES!$B$5:$B$304,MATCH($W872,CASHBACK_RULES!$A$5:$A$304,0))=$D872,MATCH($W872,CASHBACK_RULES!$A$5:$A$304,0),0),0),IFERROR(MATCH(1,INDEX((CASHBACK_RULES!$B$5:$B$304=$D872)*(CASHBACK_RULES!$G$5:$G$304=$I872)*(((CASHBACK_RULES!$N$5:$N$304="")+(CASHBACK_RULES!$N$5:$N$304&lt;=$B872))&gt;0)*(((CASHBACK_RULES!$O$5:$O$304="")+(CASHBACK_RULES!$O$5:$O$304&gt;=$B872))&gt;0)*(((CASHBACK_RULES!$M$5:$M$304="")+(CASHBACK_RULES!$M$5:$M$304&lt;=$L872))&gt;0),0),0),0))))</f>
        <v>0</v>
      </c>
      <c r="AD872" s="51" t="str">
        <f>IF(OR($B872="",$D872=""),"",IFERROR(IF(INDEX(CARDS!$H$5:$H$34,MATCH($D872,CARDS!$A$5:$A$34,0))="","",IF(DAY($B872)&lt;=INDEX(CARDS!$H$5:$H$34,MATCH($D872,CARDS!$A$5:$A$34,0)),DATE(YEAR($B872),MONTH($B872),MIN(INDEX(CARDS!$H$5:$H$34,MATCH($D872,CARDS!$A$5:$A$34,0)),DAY(EOMONTH($B872,0)))),DATE(YEAR($B872),MONTH($B872)+1,MIN(INDEX(CARDS!$H$5:$H$34,MATCH($D872,CARDS!$A$5:$A$34,0)),DAY(EOMONTH($B872,1)))))),""))</f>
        <v/>
      </c>
      <c r="AE872" s="52" t="str">
        <f>IF($C872="","",$C872&amp;"|"&amp;COUNTIF($C$5:$C872,$C872))</f>
        <v/>
      </c>
      <c r="AF872" s="53">
        <f>IF($AC872&gt;0,SUMIFS(Q$4:Q871,$D$4:$D871,$D872,$Z$4:$Z871,$Z872,$C$4:$C871,$C872),0)</f>
        <v>0</v>
      </c>
      <c r="AG872" s="53">
        <f>IF($AC872&gt;0,SUMIFS(Q$4:Q871,$D$4:$D871,$D872,$C$4:$C871,$C872),0)</f>
        <v>0</v>
      </c>
      <c r="AH872" s="53">
        <f>IF($AC872&gt;0,SUMIFS(M$4:M871,$D$4:$D871,$D872,$Z$4:$Z871,$Z872,$C$4:$C871,$C872),0)</f>
        <v>0</v>
      </c>
      <c r="AI872" s="43">
        <f>IF(OR($C872="",$I872=""),0,IF(COUNTIFS($C$5:$C872,$C872,$I$5:$I872,$I872)=1,1,0))</f>
        <v>0</v>
      </c>
      <c r="AJ872" s="43" t="str">
        <f>IF($AI872=1,SUMIFS($AI$4:$AI871,$C$4:$C871,$C872)+1,"")</f>
        <v/>
      </c>
      <c r="AK872" s="43">
        <f>IF(OR($C872="",$K872=""),0,IF(COUNTIFS($C$5:$C872,$C872,$K$5:$K872,$K872)=1,1,0))</f>
        <v>0</v>
      </c>
      <c r="AL872" s="43" t="str">
        <f>IF($AK872=1,SUMIFS($AK$4:$AK871,$C$4:$C871,$C872)+1,"")</f>
        <v/>
      </c>
      <c r="AM872" s="43">
        <f>IF(OR($C872="",$G872=""),0,IF(COUNTIFS($C$5:$C872,$C872,$G$5:$G872,$G872)=1,1,0))</f>
        <v>0</v>
      </c>
      <c r="AN872" s="43" t="str">
        <f>IF($AM872=1,SUMIFS($AM$4:$AM871,$C$4:$C871,$C872)+1,"")</f>
        <v/>
      </c>
    </row>
    <row r="873">
      <c r="A873" s="44" t="str">
        <f>IF(OR($B873="",$D873=""),"","TX"&amp;TEXT(ROW()-4,"0000"))</f>
        <v/>
      </c>
      <c r="B873" s="42" t="n"/>
      <c r="C873" s="47" t="str">
        <f>IF($B873="","",YEAR($B873)*100+MONTH($B873))</f>
        <v/>
      </c>
      <c r="D873" s="37" t="n"/>
      <c r="E873" s="45" t="str">
        <f>IF($D873="","",IFERROR(INDEX(CARDS!$B$5:$B$34,MATCH($D873,CARDS!$A$5:$A$34,0)),"⚠ Card ID?"))</f>
        <v/>
      </c>
      <c r="F873" s="45" t="str">
        <f>IF($D873="","",IFERROR(INDEX(CARDS!$C$5:$C$34,MATCH($D873,CARDS!$A$5:$A$34,0)),"⚠ Card ID?"))</f>
        <v/>
      </c>
      <c r="G873" s="37" t="n"/>
      <c r="H873" s="37" t="n"/>
      <c r="I873" s="41" t="n"/>
      <c r="J873" s="45" t="str">
        <f>IF($I873="","",IFERROR(INDEX(MCC_MASTER!$B$5:$B$504,MATCH($I873,MCC_MASTER!$A$5:$A$504,0)),"⚠ MCC chưa có"))</f>
        <v/>
      </c>
      <c r="K873" s="45" t="str">
        <f>IF($I873="","",IFERROR(IF(INDEX(MCC_MASTER!$C$5:$C$504,MATCH($I873,MCC_MASTER!$A$5:$A$504,0))="","Chưa phân loại",INDEX(MCC_MASTER!$C$5:$C$504,MATCH($I873,MCC_MASTER!$A$5:$A$504,0))),"Chưa phân loại"))</f>
        <v/>
      </c>
      <c r="L873" s="40" t="n"/>
      <c r="M873" s="48" t="str">
        <f>IF(OR($B873="",$D873=""),"",IF($AC873=0,0,IF(ISNUMBER(INDEX(CASHBACK_RULES!$L$5:$L$304,$AC873)),MAX(0,MIN($L873,INDEX(CASHBACK_RULES!$L$5:$L$304,$AC873)-$AH873)),MAX(0,$L873))))</f>
        <v/>
      </c>
      <c r="N873" s="49" t="str">
        <f>IF(OR($B873="",$D873=""),"",IF($AC873&gt;0,INDEX(CASHBACK_RULES!$I$5:$I$304,$AC873),0))</f>
        <v/>
      </c>
      <c r="O873" s="48" t="str">
        <f>IF(OR($B873="",$D873=""),"",ROUND($M873*$N873,0))</f>
        <v/>
      </c>
      <c r="P873" s="48" t="str">
        <f>IF($AC873&gt;0,IF(ISNUMBER(INDEX(CASHBACK_RULES!$J$5:$J$304,$AC873)),INDEX(CASHBACK_RULES!$J$5:$J$304,$AC873),"∞"),"")</f>
        <v/>
      </c>
      <c r="Q873" s="48" t="str">
        <f>IF(OR($B873="",$D873=""),"",IF($AC873=0,0,MAX(0,MIN($O873,IF(ISNUMBER($P873),$P873-$AF873,1E+15),IF(ISNUMBER($AA873),$AA873-$AG873,1E+15)))))</f>
        <v/>
      </c>
      <c r="R873" s="48" t="str">
        <f>IF(OR($B873="",$D873=""),"",IF($AC873=0,"",IF(AND(NOT(ISNUMBER($P873)),NOT(ISNUMBER($AA873))),"∞",MAX(0,MIN(IF(ISNUMBER($P873),$P873-$AF873-$Q873,1E+15),IF(ISNUMBER($AA873),$AA873-$AG873-$Q873,1E+15))))))</f>
        <v/>
      </c>
      <c r="S873" s="47" t="str">
        <f>IF($AD873="","",YEAR($AD873)*100+MONTH($AD873))</f>
        <v/>
      </c>
      <c r="T873" s="50" t="str">
        <f>IF($AD873="","",IFERROR(IF(INDEX(CARDS!$I$5:$I$34,MATCH($D873,CARDS!$A$5:$A$34,0))="","",IF(INDEX(CARDS!$I$5:$I$34,MATCH($D873,CARDS!$A$5:$A$34,0))&gt;INDEX(CARDS!$H$5:$H$34,MATCH($D873,CARDS!$A$5:$A$34,0)),DATE(YEAR($AD873),MONTH($AD873),MIN(INDEX(CARDS!$I$5:$I$34,MATCH($D873,CARDS!$A$5:$A$34,0)),DAY(EOMONTH($AD873,0)))),DATE(YEAR($AD873),MONTH($AD873)+1,MIN(INDEX(CARDS!$I$5:$I$34,MATCH($D873,CARDS!$A$5:$A$34,0)),DAY(EOMONTH($AD873,1)))))),""))</f>
        <v/>
      </c>
      <c r="U873" s="38" t="n"/>
      <c r="V873" s="37" t="n"/>
      <c r="W873" s="38" t="n"/>
      <c r="X873" s="38" t="n"/>
      <c r="Y873" s="44" t="str">
        <f>IF($AC873&gt;0,INDEX(CASHBACK_RULES!$A$5:$A$304,$AC873),"")</f>
        <v/>
      </c>
      <c r="Z873" s="45" t="str">
        <f>IF($AC873&gt;0,INDEX(CASHBACK_RULES!$E$5:$E$304,$AC873)&amp;"","")</f>
        <v/>
      </c>
      <c r="AA873" s="48" t="str">
        <f>IF($AC873&gt;0,IF(ISNUMBER(INDEX(CASHBACK_RULES!$K$5:$K$304,$AC873)),INDEX(CASHBACK_RULES!$K$5:$K$304,$AC873),"∞"),"")</f>
        <v/>
      </c>
      <c r="AB873" s="44" t="str">
        <f>IF(OR($B873="",$D873=""),"",IF($U873="Cancelled","Đã hủy",IF($AC873=0,"Không được hoàn",IF($Q873=0,IF(OR($O873&gt;0,$M873&lt;$L873),"Đã đạt cap","Không được hoàn"),IF(OR($Q873&lt;$O873,$M873&lt;$L873),"Hoàn một phần","Được hoàn")))))</f>
        <v/>
      </c>
      <c r="AC873" s="43">
        <f>IF(OR($B873="",$D873="",$I873="",$L873=""),0,IF($U873="Cancelled",0,IF($W873&lt;&gt;"",IFERROR(IF(INDEX(CASHBACK_RULES!$B$5:$B$304,MATCH($W873,CASHBACK_RULES!$A$5:$A$304,0))=$D873,MATCH($W873,CASHBACK_RULES!$A$5:$A$304,0),0),0),IFERROR(MATCH(1,INDEX((CASHBACK_RULES!$B$5:$B$304=$D873)*(CASHBACK_RULES!$G$5:$G$304=$I873)*(((CASHBACK_RULES!$N$5:$N$304="")+(CASHBACK_RULES!$N$5:$N$304&lt;=$B873))&gt;0)*(((CASHBACK_RULES!$O$5:$O$304="")+(CASHBACK_RULES!$O$5:$O$304&gt;=$B873))&gt;0)*(((CASHBACK_RULES!$M$5:$M$304="")+(CASHBACK_RULES!$M$5:$M$304&lt;=$L873))&gt;0),0),0),0))))</f>
        <v>0</v>
      </c>
      <c r="AD873" s="51" t="str">
        <f>IF(OR($B873="",$D873=""),"",IFERROR(IF(INDEX(CARDS!$H$5:$H$34,MATCH($D873,CARDS!$A$5:$A$34,0))="","",IF(DAY($B873)&lt;=INDEX(CARDS!$H$5:$H$34,MATCH($D873,CARDS!$A$5:$A$34,0)),DATE(YEAR($B873),MONTH($B873),MIN(INDEX(CARDS!$H$5:$H$34,MATCH($D873,CARDS!$A$5:$A$34,0)),DAY(EOMONTH($B873,0)))),DATE(YEAR($B873),MONTH($B873)+1,MIN(INDEX(CARDS!$H$5:$H$34,MATCH($D873,CARDS!$A$5:$A$34,0)),DAY(EOMONTH($B873,1)))))),""))</f>
        <v/>
      </c>
      <c r="AE873" s="52" t="str">
        <f>IF($C873="","",$C873&amp;"|"&amp;COUNTIF($C$5:$C873,$C873))</f>
        <v/>
      </c>
      <c r="AF873" s="53">
        <f>IF($AC873&gt;0,SUMIFS(Q$4:Q872,$D$4:$D872,$D873,$Z$4:$Z872,$Z873,$C$4:$C872,$C873),0)</f>
        <v>0</v>
      </c>
      <c r="AG873" s="53">
        <f>IF($AC873&gt;0,SUMIFS(Q$4:Q872,$D$4:$D872,$D873,$C$4:$C872,$C873),0)</f>
        <v>0</v>
      </c>
      <c r="AH873" s="53">
        <f>IF($AC873&gt;0,SUMIFS(M$4:M872,$D$4:$D872,$D873,$Z$4:$Z872,$Z873,$C$4:$C872,$C873),0)</f>
        <v>0</v>
      </c>
      <c r="AI873" s="43">
        <f>IF(OR($C873="",$I873=""),0,IF(COUNTIFS($C$5:$C873,$C873,$I$5:$I873,$I873)=1,1,0))</f>
        <v>0</v>
      </c>
      <c r="AJ873" s="43" t="str">
        <f>IF($AI873=1,SUMIFS($AI$4:$AI872,$C$4:$C872,$C873)+1,"")</f>
        <v/>
      </c>
      <c r="AK873" s="43">
        <f>IF(OR($C873="",$K873=""),0,IF(COUNTIFS($C$5:$C873,$C873,$K$5:$K873,$K873)=1,1,0))</f>
        <v>0</v>
      </c>
      <c r="AL873" s="43" t="str">
        <f>IF($AK873=1,SUMIFS($AK$4:$AK872,$C$4:$C872,$C873)+1,"")</f>
        <v/>
      </c>
      <c r="AM873" s="43">
        <f>IF(OR($C873="",$G873=""),0,IF(COUNTIFS($C$5:$C873,$C873,$G$5:$G873,$G873)=1,1,0))</f>
        <v>0</v>
      </c>
      <c r="AN873" s="43" t="str">
        <f>IF($AM873=1,SUMIFS($AM$4:$AM872,$C$4:$C872,$C873)+1,"")</f>
        <v/>
      </c>
    </row>
    <row r="874">
      <c r="A874" s="44" t="str">
        <f>IF(OR($B874="",$D874=""),"","TX"&amp;TEXT(ROW()-4,"0000"))</f>
        <v/>
      </c>
      <c r="B874" s="42" t="n"/>
      <c r="C874" s="47" t="str">
        <f>IF($B874="","",YEAR($B874)*100+MONTH($B874))</f>
        <v/>
      </c>
      <c r="D874" s="37" t="n"/>
      <c r="E874" s="45" t="str">
        <f>IF($D874="","",IFERROR(INDEX(CARDS!$B$5:$B$34,MATCH($D874,CARDS!$A$5:$A$34,0)),"⚠ Card ID?"))</f>
        <v/>
      </c>
      <c r="F874" s="45" t="str">
        <f>IF($D874="","",IFERROR(INDEX(CARDS!$C$5:$C$34,MATCH($D874,CARDS!$A$5:$A$34,0)),"⚠ Card ID?"))</f>
        <v/>
      </c>
      <c r="G874" s="37" t="n"/>
      <c r="H874" s="37" t="n"/>
      <c r="I874" s="41" t="n"/>
      <c r="J874" s="45" t="str">
        <f>IF($I874="","",IFERROR(INDEX(MCC_MASTER!$B$5:$B$504,MATCH($I874,MCC_MASTER!$A$5:$A$504,0)),"⚠ MCC chưa có"))</f>
        <v/>
      </c>
      <c r="K874" s="45" t="str">
        <f>IF($I874="","",IFERROR(IF(INDEX(MCC_MASTER!$C$5:$C$504,MATCH($I874,MCC_MASTER!$A$5:$A$504,0))="","Chưa phân loại",INDEX(MCC_MASTER!$C$5:$C$504,MATCH($I874,MCC_MASTER!$A$5:$A$504,0))),"Chưa phân loại"))</f>
        <v/>
      </c>
      <c r="L874" s="40" t="n"/>
      <c r="M874" s="48" t="str">
        <f>IF(OR($B874="",$D874=""),"",IF($AC874=0,0,IF(ISNUMBER(INDEX(CASHBACK_RULES!$L$5:$L$304,$AC874)),MAX(0,MIN($L874,INDEX(CASHBACK_RULES!$L$5:$L$304,$AC874)-$AH874)),MAX(0,$L874))))</f>
        <v/>
      </c>
      <c r="N874" s="49" t="str">
        <f>IF(OR($B874="",$D874=""),"",IF($AC874&gt;0,INDEX(CASHBACK_RULES!$I$5:$I$304,$AC874),0))</f>
        <v/>
      </c>
      <c r="O874" s="48" t="str">
        <f>IF(OR($B874="",$D874=""),"",ROUND($M874*$N874,0))</f>
        <v/>
      </c>
      <c r="P874" s="48" t="str">
        <f>IF($AC874&gt;0,IF(ISNUMBER(INDEX(CASHBACK_RULES!$J$5:$J$304,$AC874)),INDEX(CASHBACK_RULES!$J$5:$J$304,$AC874),"∞"),"")</f>
        <v/>
      </c>
      <c r="Q874" s="48" t="str">
        <f>IF(OR($B874="",$D874=""),"",IF($AC874=0,0,MAX(0,MIN($O874,IF(ISNUMBER($P874),$P874-$AF874,1E+15),IF(ISNUMBER($AA874),$AA874-$AG874,1E+15)))))</f>
        <v/>
      </c>
      <c r="R874" s="48" t="str">
        <f>IF(OR($B874="",$D874=""),"",IF($AC874=0,"",IF(AND(NOT(ISNUMBER($P874)),NOT(ISNUMBER($AA874))),"∞",MAX(0,MIN(IF(ISNUMBER($P874),$P874-$AF874-$Q874,1E+15),IF(ISNUMBER($AA874),$AA874-$AG874-$Q874,1E+15))))))</f>
        <v/>
      </c>
      <c r="S874" s="47" t="str">
        <f>IF($AD874="","",YEAR($AD874)*100+MONTH($AD874))</f>
        <v/>
      </c>
      <c r="T874" s="50" t="str">
        <f>IF($AD874="","",IFERROR(IF(INDEX(CARDS!$I$5:$I$34,MATCH($D874,CARDS!$A$5:$A$34,0))="","",IF(INDEX(CARDS!$I$5:$I$34,MATCH($D874,CARDS!$A$5:$A$34,0))&gt;INDEX(CARDS!$H$5:$H$34,MATCH($D874,CARDS!$A$5:$A$34,0)),DATE(YEAR($AD874),MONTH($AD874),MIN(INDEX(CARDS!$I$5:$I$34,MATCH($D874,CARDS!$A$5:$A$34,0)),DAY(EOMONTH($AD874,0)))),DATE(YEAR($AD874),MONTH($AD874)+1,MIN(INDEX(CARDS!$I$5:$I$34,MATCH($D874,CARDS!$A$5:$A$34,0)),DAY(EOMONTH($AD874,1)))))),""))</f>
        <v/>
      </c>
      <c r="U874" s="38" t="n"/>
      <c r="V874" s="37" t="n"/>
      <c r="W874" s="38" t="n"/>
      <c r="X874" s="38" t="n"/>
      <c r="Y874" s="44" t="str">
        <f>IF($AC874&gt;0,INDEX(CASHBACK_RULES!$A$5:$A$304,$AC874),"")</f>
        <v/>
      </c>
      <c r="Z874" s="45" t="str">
        <f>IF($AC874&gt;0,INDEX(CASHBACK_RULES!$E$5:$E$304,$AC874)&amp;"","")</f>
        <v/>
      </c>
      <c r="AA874" s="48" t="str">
        <f>IF($AC874&gt;0,IF(ISNUMBER(INDEX(CASHBACK_RULES!$K$5:$K$304,$AC874)),INDEX(CASHBACK_RULES!$K$5:$K$304,$AC874),"∞"),"")</f>
        <v/>
      </c>
      <c r="AB874" s="44" t="str">
        <f>IF(OR($B874="",$D874=""),"",IF($U874="Cancelled","Đã hủy",IF($AC874=0,"Không được hoàn",IF($Q874=0,IF(OR($O874&gt;0,$M874&lt;$L874),"Đã đạt cap","Không được hoàn"),IF(OR($Q874&lt;$O874,$M874&lt;$L874),"Hoàn một phần","Được hoàn")))))</f>
        <v/>
      </c>
      <c r="AC874" s="43">
        <f>IF(OR($B874="",$D874="",$I874="",$L874=""),0,IF($U874="Cancelled",0,IF($W874&lt;&gt;"",IFERROR(IF(INDEX(CASHBACK_RULES!$B$5:$B$304,MATCH($W874,CASHBACK_RULES!$A$5:$A$304,0))=$D874,MATCH($W874,CASHBACK_RULES!$A$5:$A$304,0),0),0),IFERROR(MATCH(1,INDEX((CASHBACK_RULES!$B$5:$B$304=$D874)*(CASHBACK_RULES!$G$5:$G$304=$I874)*(((CASHBACK_RULES!$N$5:$N$304="")+(CASHBACK_RULES!$N$5:$N$304&lt;=$B874))&gt;0)*(((CASHBACK_RULES!$O$5:$O$304="")+(CASHBACK_RULES!$O$5:$O$304&gt;=$B874))&gt;0)*(((CASHBACK_RULES!$M$5:$M$304="")+(CASHBACK_RULES!$M$5:$M$304&lt;=$L874))&gt;0),0),0),0))))</f>
        <v>0</v>
      </c>
      <c r="AD874" s="51" t="str">
        <f>IF(OR($B874="",$D874=""),"",IFERROR(IF(INDEX(CARDS!$H$5:$H$34,MATCH($D874,CARDS!$A$5:$A$34,0))="","",IF(DAY($B874)&lt;=INDEX(CARDS!$H$5:$H$34,MATCH($D874,CARDS!$A$5:$A$34,0)),DATE(YEAR($B874),MONTH($B874),MIN(INDEX(CARDS!$H$5:$H$34,MATCH($D874,CARDS!$A$5:$A$34,0)),DAY(EOMONTH($B874,0)))),DATE(YEAR($B874),MONTH($B874)+1,MIN(INDEX(CARDS!$H$5:$H$34,MATCH($D874,CARDS!$A$5:$A$34,0)),DAY(EOMONTH($B874,1)))))),""))</f>
        <v/>
      </c>
      <c r="AE874" s="52" t="str">
        <f>IF($C874="","",$C874&amp;"|"&amp;COUNTIF($C$5:$C874,$C874))</f>
        <v/>
      </c>
      <c r="AF874" s="53">
        <f>IF($AC874&gt;0,SUMIFS(Q$4:Q873,$D$4:$D873,$D874,$Z$4:$Z873,$Z874,$C$4:$C873,$C874),0)</f>
        <v>0</v>
      </c>
      <c r="AG874" s="53">
        <f>IF($AC874&gt;0,SUMIFS(Q$4:Q873,$D$4:$D873,$D874,$C$4:$C873,$C874),0)</f>
        <v>0</v>
      </c>
      <c r="AH874" s="53">
        <f>IF($AC874&gt;0,SUMIFS(M$4:M873,$D$4:$D873,$D874,$Z$4:$Z873,$Z874,$C$4:$C873,$C874),0)</f>
        <v>0</v>
      </c>
      <c r="AI874" s="43">
        <f>IF(OR($C874="",$I874=""),0,IF(COUNTIFS($C$5:$C874,$C874,$I$5:$I874,$I874)=1,1,0))</f>
        <v>0</v>
      </c>
      <c r="AJ874" s="43" t="str">
        <f>IF($AI874=1,SUMIFS($AI$4:$AI873,$C$4:$C873,$C874)+1,"")</f>
        <v/>
      </c>
      <c r="AK874" s="43">
        <f>IF(OR($C874="",$K874=""),0,IF(COUNTIFS($C$5:$C874,$C874,$K$5:$K874,$K874)=1,1,0))</f>
        <v>0</v>
      </c>
      <c r="AL874" s="43" t="str">
        <f>IF($AK874=1,SUMIFS($AK$4:$AK873,$C$4:$C873,$C874)+1,"")</f>
        <v/>
      </c>
      <c r="AM874" s="43">
        <f>IF(OR($C874="",$G874=""),0,IF(COUNTIFS($C$5:$C874,$C874,$G$5:$G874,$G874)=1,1,0))</f>
        <v>0</v>
      </c>
      <c r="AN874" s="43" t="str">
        <f>IF($AM874=1,SUMIFS($AM$4:$AM873,$C$4:$C873,$C874)+1,"")</f>
        <v/>
      </c>
    </row>
    <row r="875">
      <c r="A875" s="44" t="str">
        <f>IF(OR($B875="",$D875=""),"","TX"&amp;TEXT(ROW()-4,"0000"))</f>
        <v/>
      </c>
      <c r="B875" s="42" t="n"/>
      <c r="C875" s="47" t="str">
        <f>IF($B875="","",YEAR($B875)*100+MONTH($B875))</f>
        <v/>
      </c>
      <c r="D875" s="37" t="n"/>
      <c r="E875" s="45" t="str">
        <f>IF($D875="","",IFERROR(INDEX(CARDS!$B$5:$B$34,MATCH($D875,CARDS!$A$5:$A$34,0)),"⚠ Card ID?"))</f>
        <v/>
      </c>
      <c r="F875" s="45" t="str">
        <f>IF($D875="","",IFERROR(INDEX(CARDS!$C$5:$C$34,MATCH($D875,CARDS!$A$5:$A$34,0)),"⚠ Card ID?"))</f>
        <v/>
      </c>
      <c r="G875" s="37" t="n"/>
      <c r="H875" s="37" t="n"/>
      <c r="I875" s="41" t="n"/>
      <c r="J875" s="45" t="str">
        <f>IF($I875="","",IFERROR(INDEX(MCC_MASTER!$B$5:$B$504,MATCH($I875,MCC_MASTER!$A$5:$A$504,0)),"⚠ MCC chưa có"))</f>
        <v/>
      </c>
      <c r="K875" s="45" t="str">
        <f>IF($I875="","",IFERROR(IF(INDEX(MCC_MASTER!$C$5:$C$504,MATCH($I875,MCC_MASTER!$A$5:$A$504,0))="","Chưa phân loại",INDEX(MCC_MASTER!$C$5:$C$504,MATCH($I875,MCC_MASTER!$A$5:$A$504,0))),"Chưa phân loại"))</f>
        <v/>
      </c>
      <c r="L875" s="40" t="n"/>
      <c r="M875" s="48" t="str">
        <f>IF(OR($B875="",$D875=""),"",IF($AC875=0,0,IF(ISNUMBER(INDEX(CASHBACK_RULES!$L$5:$L$304,$AC875)),MAX(0,MIN($L875,INDEX(CASHBACK_RULES!$L$5:$L$304,$AC875)-$AH875)),MAX(0,$L875))))</f>
        <v/>
      </c>
      <c r="N875" s="49" t="str">
        <f>IF(OR($B875="",$D875=""),"",IF($AC875&gt;0,INDEX(CASHBACK_RULES!$I$5:$I$304,$AC875),0))</f>
        <v/>
      </c>
      <c r="O875" s="48" t="str">
        <f>IF(OR($B875="",$D875=""),"",ROUND($M875*$N875,0))</f>
        <v/>
      </c>
      <c r="P875" s="48" t="str">
        <f>IF($AC875&gt;0,IF(ISNUMBER(INDEX(CASHBACK_RULES!$J$5:$J$304,$AC875)),INDEX(CASHBACK_RULES!$J$5:$J$304,$AC875),"∞"),"")</f>
        <v/>
      </c>
      <c r="Q875" s="48" t="str">
        <f>IF(OR($B875="",$D875=""),"",IF($AC875=0,0,MAX(0,MIN($O875,IF(ISNUMBER($P875),$P875-$AF875,1E+15),IF(ISNUMBER($AA875),$AA875-$AG875,1E+15)))))</f>
        <v/>
      </c>
      <c r="R875" s="48" t="str">
        <f>IF(OR($B875="",$D875=""),"",IF($AC875=0,"",IF(AND(NOT(ISNUMBER($P875)),NOT(ISNUMBER($AA875))),"∞",MAX(0,MIN(IF(ISNUMBER($P875),$P875-$AF875-$Q875,1E+15),IF(ISNUMBER($AA875),$AA875-$AG875-$Q875,1E+15))))))</f>
        <v/>
      </c>
      <c r="S875" s="47" t="str">
        <f>IF($AD875="","",YEAR($AD875)*100+MONTH($AD875))</f>
        <v/>
      </c>
      <c r="T875" s="50" t="str">
        <f>IF($AD875="","",IFERROR(IF(INDEX(CARDS!$I$5:$I$34,MATCH($D875,CARDS!$A$5:$A$34,0))="","",IF(INDEX(CARDS!$I$5:$I$34,MATCH($D875,CARDS!$A$5:$A$34,0))&gt;INDEX(CARDS!$H$5:$H$34,MATCH($D875,CARDS!$A$5:$A$34,0)),DATE(YEAR($AD875),MONTH($AD875),MIN(INDEX(CARDS!$I$5:$I$34,MATCH($D875,CARDS!$A$5:$A$34,0)),DAY(EOMONTH($AD875,0)))),DATE(YEAR($AD875),MONTH($AD875)+1,MIN(INDEX(CARDS!$I$5:$I$34,MATCH($D875,CARDS!$A$5:$A$34,0)),DAY(EOMONTH($AD875,1)))))),""))</f>
        <v/>
      </c>
      <c r="U875" s="38" t="n"/>
      <c r="V875" s="37" t="n"/>
      <c r="W875" s="38" t="n"/>
      <c r="X875" s="38" t="n"/>
      <c r="Y875" s="44" t="str">
        <f>IF($AC875&gt;0,INDEX(CASHBACK_RULES!$A$5:$A$304,$AC875),"")</f>
        <v/>
      </c>
      <c r="Z875" s="45" t="str">
        <f>IF($AC875&gt;0,INDEX(CASHBACK_RULES!$E$5:$E$304,$AC875)&amp;"","")</f>
        <v/>
      </c>
      <c r="AA875" s="48" t="str">
        <f>IF($AC875&gt;0,IF(ISNUMBER(INDEX(CASHBACK_RULES!$K$5:$K$304,$AC875)),INDEX(CASHBACK_RULES!$K$5:$K$304,$AC875),"∞"),"")</f>
        <v/>
      </c>
      <c r="AB875" s="44" t="str">
        <f>IF(OR($B875="",$D875=""),"",IF($U875="Cancelled","Đã hủy",IF($AC875=0,"Không được hoàn",IF($Q875=0,IF(OR($O875&gt;0,$M875&lt;$L875),"Đã đạt cap","Không được hoàn"),IF(OR($Q875&lt;$O875,$M875&lt;$L875),"Hoàn một phần","Được hoàn")))))</f>
        <v/>
      </c>
      <c r="AC875" s="43">
        <f>IF(OR($B875="",$D875="",$I875="",$L875=""),0,IF($U875="Cancelled",0,IF($W875&lt;&gt;"",IFERROR(IF(INDEX(CASHBACK_RULES!$B$5:$B$304,MATCH($W875,CASHBACK_RULES!$A$5:$A$304,0))=$D875,MATCH($W875,CASHBACK_RULES!$A$5:$A$304,0),0),0),IFERROR(MATCH(1,INDEX((CASHBACK_RULES!$B$5:$B$304=$D875)*(CASHBACK_RULES!$G$5:$G$304=$I875)*(((CASHBACK_RULES!$N$5:$N$304="")+(CASHBACK_RULES!$N$5:$N$304&lt;=$B875))&gt;0)*(((CASHBACK_RULES!$O$5:$O$304="")+(CASHBACK_RULES!$O$5:$O$304&gt;=$B875))&gt;0)*(((CASHBACK_RULES!$M$5:$M$304="")+(CASHBACK_RULES!$M$5:$M$304&lt;=$L875))&gt;0),0),0),0))))</f>
        <v>0</v>
      </c>
      <c r="AD875" s="51" t="str">
        <f>IF(OR($B875="",$D875=""),"",IFERROR(IF(INDEX(CARDS!$H$5:$H$34,MATCH($D875,CARDS!$A$5:$A$34,0))="","",IF(DAY($B875)&lt;=INDEX(CARDS!$H$5:$H$34,MATCH($D875,CARDS!$A$5:$A$34,0)),DATE(YEAR($B875),MONTH($B875),MIN(INDEX(CARDS!$H$5:$H$34,MATCH($D875,CARDS!$A$5:$A$34,0)),DAY(EOMONTH($B875,0)))),DATE(YEAR($B875),MONTH($B875)+1,MIN(INDEX(CARDS!$H$5:$H$34,MATCH($D875,CARDS!$A$5:$A$34,0)),DAY(EOMONTH($B875,1)))))),""))</f>
        <v/>
      </c>
      <c r="AE875" s="52" t="str">
        <f>IF($C875="","",$C875&amp;"|"&amp;COUNTIF($C$5:$C875,$C875))</f>
        <v/>
      </c>
      <c r="AF875" s="53">
        <f>IF($AC875&gt;0,SUMIFS(Q$4:Q874,$D$4:$D874,$D875,$Z$4:$Z874,$Z875,$C$4:$C874,$C875),0)</f>
        <v>0</v>
      </c>
      <c r="AG875" s="53">
        <f>IF($AC875&gt;0,SUMIFS(Q$4:Q874,$D$4:$D874,$D875,$C$4:$C874,$C875),0)</f>
        <v>0</v>
      </c>
      <c r="AH875" s="53">
        <f>IF($AC875&gt;0,SUMIFS(M$4:M874,$D$4:$D874,$D875,$Z$4:$Z874,$Z875,$C$4:$C874,$C875),0)</f>
        <v>0</v>
      </c>
      <c r="AI875" s="43">
        <f>IF(OR($C875="",$I875=""),0,IF(COUNTIFS($C$5:$C875,$C875,$I$5:$I875,$I875)=1,1,0))</f>
        <v>0</v>
      </c>
      <c r="AJ875" s="43" t="str">
        <f>IF($AI875=1,SUMIFS($AI$4:$AI874,$C$4:$C874,$C875)+1,"")</f>
        <v/>
      </c>
      <c r="AK875" s="43">
        <f>IF(OR($C875="",$K875=""),0,IF(COUNTIFS($C$5:$C875,$C875,$K$5:$K875,$K875)=1,1,0))</f>
        <v>0</v>
      </c>
      <c r="AL875" s="43" t="str">
        <f>IF($AK875=1,SUMIFS($AK$4:$AK874,$C$4:$C874,$C875)+1,"")</f>
        <v/>
      </c>
      <c r="AM875" s="43">
        <f>IF(OR($C875="",$G875=""),0,IF(COUNTIFS($C$5:$C875,$C875,$G$5:$G875,$G875)=1,1,0))</f>
        <v>0</v>
      </c>
      <c r="AN875" s="43" t="str">
        <f>IF($AM875=1,SUMIFS($AM$4:$AM874,$C$4:$C874,$C875)+1,"")</f>
        <v/>
      </c>
    </row>
    <row r="876">
      <c r="A876" s="44" t="str">
        <f>IF(OR($B876="",$D876=""),"","TX"&amp;TEXT(ROW()-4,"0000"))</f>
        <v/>
      </c>
      <c r="B876" s="42" t="n"/>
      <c r="C876" s="47" t="str">
        <f>IF($B876="","",YEAR($B876)*100+MONTH($B876))</f>
        <v/>
      </c>
      <c r="D876" s="37" t="n"/>
      <c r="E876" s="45" t="str">
        <f>IF($D876="","",IFERROR(INDEX(CARDS!$B$5:$B$34,MATCH($D876,CARDS!$A$5:$A$34,0)),"⚠ Card ID?"))</f>
        <v/>
      </c>
      <c r="F876" s="45" t="str">
        <f>IF($D876="","",IFERROR(INDEX(CARDS!$C$5:$C$34,MATCH($D876,CARDS!$A$5:$A$34,0)),"⚠ Card ID?"))</f>
        <v/>
      </c>
      <c r="G876" s="37" t="n"/>
      <c r="H876" s="37" t="n"/>
      <c r="I876" s="41" t="n"/>
      <c r="J876" s="45" t="str">
        <f>IF($I876="","",IFERROR(INDEX(MCC_MASTER!$B$5:$B$504,MATCH($I876,MCC_MASTER!$A$5:$A$504,0)),"⚠ MCC chưa có"))</f>
        <v/>
      </c>
      <c r="K876" s="45" t="str">
        <f>IF($I876="","",IFERROR(IF(INDEX(MCC_MASTER!$C$5:$C$504,MATCH($I876,MCC_MASTER!$A$5:$A$504,0))="","Chưa phân loại",INDEX(MCC_MASTER!$C$5:$C$504,MATCH($I876,MCC_MASTER!$A$5:$A$504,0))),"Chưa phân loại"))</f>
        <v/>
      </c>
      <c r="L876" s="40" t="n"/>
      <c r="M876" s="48" t="str">
        <f>IF(OR($B876="",$D876=""),"",IF($AC876=0,0,IF(ISNUMBER(INDEX(CASHBACK_RULES!$L$5:$L$304,$AC876)),MAX(0,MIN($L876,INDEX(CASHBACK_RULES!$L$5:$L$304,$AC876)-$AH876)),MAX(0,$L876))))</f>
        <v/>
      </c>
      <c r="N876" s="49" t="str">
        <f>IF(OR($B876="",$D876=""),"",IF($AC876&gt;0,INDEX(CASHBACK_RULES!$I$5:$I$304,$AC876),0))</f>
        <v/>
      </c>
      <c r="O876" s="48" t="str">
        <f>IF(OR($B876="",$D876=""),"",ROUND($M876*$N876,0))</f>
        <v/>
      </c>
      <c r="P876" s="48" t="str">
        <f>IF($AC876&gt;0,IF(ISNUMBER(INDEX(CASHBACK_RULES!$J$5:$J$304,$AC876)),INDEX(CASHBACK_RULES!$J$5:$J$304,$AC876),"∞"),"")</f>
        <v/>
      </c>
      <c r="Q876" s="48" t="str">
        <f>IF(OR($B876="",$D876=""),"",IF($AC876=0,0,MAX(0,MIN($O876,IF(ISNUMBER($P876),$P876-$AF876,1E+15),IF(ISNUMBER($AA876),$AA876-$AG876,1E+15)))))</f>
        <v/>
      </c>
      <c r="R876" s="48" t="str">
        <f>IF(OR($B876="",$D876=""),"",IF($AC876=0,"",IF(AND(NOT(ISNUMBER($P876)),NOT(ISNUMBER($AA876))),"∞",MAX(0,MIN(IF(ISNUMBER($P876),$P876-$AF876-$Q876,1E+15),IF(ISNUMBER($AA876),$AA876-$AG876-$Q876,1E+15))))))</f>
        <v/>
      </c>
      <c r="S876" s="47" t="str">
        <f>IF($AD876="","",YEAR($AD876)*100+MONTH($AD876))</f>
        <v/>
      </c>
      <c r="T876" s="50" t="str">
        <f>IF($AD876="","",IFERROR(IF(INDEX(CARDS!$I$5:$I$34,MATCH($D876,CARDS!$A$5:$A$34,0))="","",IF(INDEX(CARDS!$I$5:$I$34,MATCH($D876,CARDS!$A$5:$A$34,0))&gt;INDEX(CARDS!$H$5:$H$34,MATCH($D876,CARDS!$A$5:$A$34,0)),DATE(YEAR($AD876),MONTH($AD876),MIN(INDEX(CARDS!$I$5:$I$34,MATCH($D876,CARDS!$A$5:$A$34,0)),DAY(EOMONTH($AD876,0)))),DATE(YEAR($AD876),MONTH($AD876)+1,MIN(INDEX(CARDS!$I$5:$I$34,MATCH($D876,CARDS!$A$5:$A$34,0)),DAY(EOMONTH($AD876,1)))))),""))</f>
        <v/>
      </c>
      <c r="U876" s="38" t="n"/>
      <c r="V876" s="37" t="n"/>
      <c r="W876" s="38" t="n"/>
      <c r="X876" s="38" t="n"/>
      <c r="Y876" s="44" t="str">
        <f>IF($AC876&gt;0,INDEX(CASHBACK_RULES!$A$5:$A$304,$AC876),"")</f>
        <v/>
      </c>
      <c r="Z876" s="45" t="str">
        <f>IF($AC876&gt;0,INDEX(CASHBACK_RULES!$E$5:$E$304,$AC876)&amp;"","")</f>
        <v/>
      </c>
      <c r="AA876" s="48" t="str">
        <f>IF($AC876&gt;0,IF(ISNUMBER(INDEX(CASHBACK_RULES!$K$5:$K$304,$AC876)),INDEX(CASHBACK_RULES!$K$5:$K$304,$AC876),"∞"),"")</f>
        <v/>
      </c>
      <c r="AB876" s="44" t="str">
        <f>IF(OR($B876="",$D876=""),"",IF($U876="Cancelled","Đã hủy",IF($AC876=0,"Không được hoàn",IF($Q876=0,IF(OR($O876&gt;0,$M876&lt;$L876),"Đã đạt cap","Không được hoàn"),IF(OR($Q876&lt;$O876,$M876&lt;$L876),"Hoàn một phần","Được hoàn")))))</f>
        <v/>
      </c>
      <c r="AC876" s="43">
        <f>IF(OR($B876="",$D876="",$I876="",$L876=""),0,IF($U876="Cancelled",0,IF($W876&lt;&gt;"",IFERROR(IF(INDEX(CASHBACK_RULES!$B$5:$B$304,MATCH($W876,CASHBACK_RULES!$A$5:$A$304,0))=$D876,MATCH($W876,CASHBACK_RULES!$A$5:$A$304,0),0),0),IFERROR(MATCH(1,INDEX((CASHBACK_RULES!$B$5:$B$304=$D876)*(CASHBACK_RULES!$G$5:$G$304=$I876)*(((CASHBACK_RULES!$N$5:$N$304="")+(CASHBACK_RULES!$N$5:$N$304&lt;=$B876))&gt;0)*(((CASHBACK_RULES!$O$5:$O$304="")+(CASHBACK_RULES!$O$5:$O$304&gt;=$B876))&gt;0)*(((CASHBACK_RULES!$M$5:$M$304="")+(CASHBACK_RULES!$M$5:$M$304&lt;=$L876))&gt;0),0),0),0))))</f>
        <v>0</v>
      </c>
      <c r="AD876" s="51" t="str">
        <f>IF(OR($B876="",$D876=""),"",IFERROR(IF(INDEX(CARDS!$H$5:$H$34,MATCH($D876,CARDS!$A$5:$A$34,0))="","",IF(DAY($B876)&lt;=INDEX(CARDS!$H$5:$H$34,MATCH($D876,CARDS!$A$5:$A$34,0)),DATE(YEAR($B876),MONTH($B876),MIN(INDEX(CARDS!$H$5:$H$34,MATCH($D876,CARDS!$A$5:$A$34,0)),DAY(EOMONTH($B876,0)))),DATE(YEAR($B876),MONTH($B876)+1,MIN(INDEX(CARDS!$H$5:$H$34,MATCH($D876,CARDS!$A$5:$A$34,0)),DAY(EOMONTH($B876,1)))))),""))</f>
        <v/>
      </c>
      <c r="AE876" s="52" t="str">
        <f>IF($C876="","",$C876&amp;"|"&amp;COUNTIF($C$5:$C876,$C876))</f>
        <v/>
      </c>
      <c r="AF876" s="53">
        <f>IF($AC876&gt;0,SUMIFS(Q$4:Q875,$D$4:$D875,$D876,$Z$4:$Z875,$Z876,$C$4:$C875,$C876),0)</f>
        <v>0</v>
      </c>
      <c r="AG876" s="53">
        <f>IF($AC876&gt;0,SUMIFS(Q$4:Q875,$D$4:$D875,$D876,$C$4:$C875,$C876),0)</f>
        <v>0</v>
      </c>
      <c r="AH876" s="53">
        <f>IF($AC876&gt;0,SUMIFS(M$4:M875,$D$4:$D875,$D876,$Z$4:$Z875,$Z876,$C$4:$C875,$C876),0)</f>
        <v>0</v>
      </c>
      <c r="AI876" s="43">
        <f>IF(OR($C876="",$I876=""),0,IF(COUNTIFS($C$5:$C876,$C876,$I$5:$I876,$I876)=1,1,0))</f>
        <v>0</v>
      </c>
      <c r="AJ876" s="43" t="str">
        <f>IF($AI876=1,SUMIFS($AI$4:$AI875,$C$4:$C875,$C876)+1,"")</f>
        <v/>
      </c>
      <c r="AK876" s="43">
        <f>IF(OR($C876="",$K876=""),0,IF(COUNTIFS($C$5:$C876,$C876,$K$5:$K876,$K876)=1,1,0))</f>
        <v>0</v>
      </c>
      <c r="AL876" s="43" t="str">
        <f>IF($AK876=1,SUMIFS($AK$4:$AK875,$C$4:$C875,$C876)+1,"")</f>
        <v/>
      </c>
      <c r="AM876" s="43">
        <f>IF(OR($C876="",$G876=""),0,IF(COUNTIFS($C$5:$C876,$C876,$G$5:$G876,$G876)=1,1,0))</f>
        <v>0</v>
      </c>
      <c r="AN876" s="43" t="str">
        <f>IF($AM876=1,SUMIFS($AM$4:$AM875,$C$4:$C875,$C876)+1,"")</f>
        <v/>
      </c>
    </row>
    <row r="877">
      <c r="A877" s="44" t="str">
        <f>IF(OR($B877="",$D877=""),"","TX"&amp;TEXT(ROW()-4,"0000"))</f>
        <v/>
      </c>
      <c r="B877" s="42" t="n"/>
      <c r="C877" s="47" t="str">
        <f>IF($B877="","",YEAR($B877)*100+MONTH($B877))</f>
        <v/>
      </c>
      <c r="D877" s="37" t="n"/>
      <c r="E877" s="45" t="str">
        <f>IF($D877="","",IFERROR(INDEX(CARDS!$B$5:$B$34,MATCH($D877,CARDS!$A$5:$A$34,0)),"⚠ Card ID?"))</f>
        <v/>
      </c>
      <c r="F877" s="45" t="str">
        <f>IF($D877="","",IFERROR(INDEX(CARDS!$C$5:$C$34,MATCH($D877,CARDS!$A$5:$A$34,0)),"⚠ Card ID?"))</f>
        <v/>
      </c>
      <c r="G877" s="37" t="n"/>
      <c r="H877" s="37" t="n"/>
      <c r="I877" s="41" t="n"/>
      <c r="J877" s="45" t="str">
        <f>IF($I877="","",IFERROR(INDEX(MCC_MASTER!$B$5:$B$504,MATCH($I877,MCC_MASTER!$A$5:$A$504,0)),"⚠ MCC chưa có"))</f>
        <v/>
      </c>
      <c r="K877" s="45" t="str">
        <f>IF($I877="","",IFERROR(IF(INDEX(MCC_MASTER!$C$5:$C$504,MATCH($I877,MCC_MASTER!$A$5:$A$504,0))="","Chưa phân loại",INDEX(MCC_MASTER!$C$5:$C$504,MATCH($I877,MCC_MASTER!$A$5:$A$504,0))),"Chưa phân loại"))</f>
        <v/>
      </c>
      <c r="L877" s="40" t="n"/>
      <c r="M877" s="48" t="str">
        <f>IF(OR($B877="",$D877=""),"",IF($AC877=0,0,IF(ISNUMBER(INDEX(CASHBACK_RULES!$L$5:$L$304,$AC877)),MAX(0,MIN($L877,INDEX(CASHBACK_RULES!$L$5:$L$304,$AC877)-$AH877)),MAX(0,$L877))))</f>
        <v/>
      </c>
      <c r="N877" s="49" t="str">
        <f>IF(OR($B877="",$D877=""),"",IF($AC877&gt;0,INDEX(CASHBACK_RULES!$I$5:$I$304,$AC877),0))</f>
        <v/>
      </c>
      <c r="O877" s="48" t="str">
        <f>IF(OR($B877="",$D877=""),"",ROUND($M877*$N877,0))</f>
        <v/>
      </c>
      <c r="P877" s="48" t="str">
        <f>IF($AC877&gt;0,IF(ISNUMBER(INDEX(CASHBACK_RULES!$J$5:$J$304,$AC877)),INDEX(CASHBACK_RULES!$J$5:$J$304,$AC877),"∞"),"")</f>
        <v/>
      </c>
      <c r="Q877" s="48" t="str">
        <f>IF(OR($B877="",$D877=""),"",IF($AC877=0,0,MAX(0,MIN($O877,IF(ISNUMBER($P877),$P877-$AF877,1E+15),IF(ISNUMBER($AA877),$AA877-$AG877,1E+15)))))</f>
        <v/>
      </c>
      <c r="R877" s="48" t="str">
        <f>IF(OR($B877="",$D877=""),"",IF($AC877=0,"",IF(AND(NOT(ISNUMBER($P877)),NOT(ISNUMBER($AA877))),"∞",MAX(0,MIN(IF(ISNUMBER($P877),$P877-$AF877-$Q877,1E+15),IF(ISNUMBER($AA877),$AA877-$AG877-$Q877,1E+15))))))</f>
        <v/>
      </c>
      <c r="S877" s="47" t="str">
        <f>IF($AD877="","",YEAR($AD877)*100+MONTH($AD877))</f>
        <v/>
      </c>
      <c r="T877" s="50" t="str">
        <f>IF($AD877="","",IFERROR(IF(INDEX(CARDS!$I$5:$I$34,MATCH($D877,CARDS!$A$5:$A$34,0))="","",IF(INDEX(CARDS!$I$5:$I$34,MATCH($D877,CARDS!$A$5:$A$34,0))&gt;INDEX(CARDS!$H$5:$H$34,MATCH($D877,CARDS!$A$5:$A$34,0)),DATE(YEAR($AD877),MONTH($AD877),MIN(INDEX(CARDS!$I$5:$I$34,MATCH($D877,CARDS!$A$5:$A$34,0)),DAY(EOMONTH($AD877,0)))),DATE(YEAR($AD877),MONTH($AD877)+1,MIN(INDEX(CARDS!$I$5:$I$34,MATCH($D877,CARDS!$A$5:$A$34,0)),DAY(EOMONTH($AD877,1)))))),""))</f>
        <v/>
      </c>
      <c r="U877" s="38" t="n"/>
      <c r="V877" s="37" t="n"/>
      <c r="W877" s="38" t="n"/>
      <c r="X877" s="38" t="n"/>
      <c r="Y877" s="44" t="str">
        <f>IF($AC877&gt;0,INDEX(CASHBACK_RULES!$A$5:$A$304,$AC877),"")</f>
        <v/>
      </c>
      <c r="Z877" s="45" t="str">
        <f>IF($AC877&gt;0,INDEX(CASHBACK_RULES!$E$5:$E$304,$AC877)&amp;"","")</f>
        <v/>
      </c>
      <c r="AA877" s="48" t="str">
        <f>IF($AC877&gt;0,IF(ISNUMBER(INDEX(CASHBACK_RULES!$K$5:$K$304,$AC877)),INDEX(CASHBACK_RULES!$K$5:$K$304,$AC877),"∞"),"")</f>
        <v/>
      </c>
      <c r="AB877" s="44" t="str">
        <f>IF(OR($B877="",$D877=""),"",IF($U877="Cancelled","Đã hủy",IF($AC877=0,"Không được hoàn",IF($Q877=0,IF(OR($O877&gt;0,$M877&lt;$L877),"Đã đạt cap","Không được hoàn"),IF(OR($Q877&lt;$O877,$M877&lt;$L877),"Hoàn một phần","Được hoàn")))))</f>
        <v/>
      </c>
      <c r="AC877" s="43">
        <f>IF(OR($B877="",$D877="",$I877="",$L877=""),0,IF($U877="Cancelled",0,IF($W877&lt;&gt;"",IFERROR(IF(INDEX(CASHBACK_RULES!$B$5:$B$304,MATCH($W877,CASHBACK_RULES!$A$5:$A$304,0))=$D877,MATCH($W877,CASHBACK_RULES!$A$5:$A$304,0),0),0),IFERROR(MATCH(1,INDEX((CASHBACK_RULES!$B$5:$B$304=$D877)*(CASHBACK_RULES!$G$5:$G$304=$I877)*(((CASHBACK_RULES!$N$5:$N$304="")+(CASHBACK_RULES!$N$5:$N$304&lt;=$B877))&gt;0)*(((CASHBACK_RULES!$O$5:$O$304="")+(CASHBACK_RULES!$O$5:$O$304&gt;=$B877))&gt;0)*(((CASHBACK_RULES!$M$5:$M$304="")+(CASHBACK_RULES!$M$5:$M$304&lt;=$L877))&gt;0),0),0),0))))</f>
        <v>0</v>
      </c>
      <c r="AD877" s="51" t="str">
        <f>IF(OR($B877="",$D877=""),"",IFERROR(IF(INDEX(CARDS!$H$5:$H$34,MATCH($D877,CARDS!$A$5:$A$34,0))="","",IF(DAY($B877)&lt;=INDEX(CARDS!$H$5:$H$34,MATCH($D877,CARDS!$A$5:$A$34,0)),DATE(YEAR($B877),MONTH($B877),MIN(INDEX(CARDS!$H$5:$H$34,MATCH($D877,CARDS!$A$5:$A$34,0)),DAY(EOMONTH($B877,0)))),DATE(YEAR($B877),MONTH($B877)+1,MIN(INDEX(CARDS!$H$5:$H$34,MATCH($D877,CARDS!$A$5:$A$34,0)),DAY(EOMONTH($B877,1)))))),""))</f>
        <v/>
      </c>
      <c r="AE877" s="52" t="str">
        <f>IF($C877="","",$C877&amp;"|"&amp;COUNTIF($C$5:$C877,$C877))</f>
        <v/>
      </c>
      <c r="AF877" s="53">
        <f>IF($AC877&gt;0,SUMIFS(Q$4:Q876,$D$4:$D876,$D877,$Z$4:$Z876,$Z877,$C$4:$C876,$C877),0)</f>
        <v>0</v>
      </c>
      <c r="AG877" s="53">
        <f>IF($AC877&gt;0,SUMIFS(Q$4:Q876,$D$4:$D876,$D877,$C$4:$C876,$C877),0)</f>
        <v>0</v>
      </c>
      <c r="AH877" s="53">
        <f>IF($AC877&gt;0,SUMIFS(M$4:M876,$D$4:$D876,$D877,$Z$4:$Z876,$Z877,$C$4:$C876,$C877),0)</f>
        <v>0</v>
      </c>
      <c r="AI877" s="43">
        <f>IF(OR($C877="",$I877=""),0,IF(COUNTIFS($C$5:$C877,$C877,$I$5:$I877,$I877)=1,1,0))</f>
        <v>0</v>
      </c>
      <c r="AJ877" s="43" t="str">
        <f>IF($AI877=1,SUMIFS($AI$4:$AI876,$C$4:$C876,$C877)+1,"")</f>
        <v/>
      </c>
      <c r="AK877" s="43">
        <f>IF(OR($C877="",$K877=""),0,IF(COUNTIFS($C$5:$C877,$C877,$K$5:$K877,$K877)=1,1,0))</f>
        <v>0</v>
      </c>
      <c r="AL877" s="43" t="str">
        <f>IF($AK877=1,SUMIFS($AK$4:$AK876,$C$4:$C876,$C877)+1,"")</f>
        <v/>
      </c>
      <c r="AM877" s="43">
        <f>IF(OR($C877="",$G877=""),0,IF(COUNTIFS($C$5:$C877,$C877,$G$5:$G877,$G877)=1,1,0))</f>
        <v>0</v>
      </c>
      <c r="AN877" s="43" t="str">
        <f>IF($AM877=1,SUMIFS($AM$4:$AM876,$C$4:$C876,$C877)+1,"")</f>
        <v/>
      </c>
    </row>
    <row r="878">
      <c r="A878" s="44" t="str">
        <f>IF(OR($B878="",$D878=""),"","TX"&amp;TEXT(ROW()-4,"0000"))</f>
        <v/>
      </c>
      <c r="B878" s="42" t="n"/>
      <c r="C878" s="47" t="str">
        <f>IF($B878="","",YEAR($B878)*100+MONTH($B878))</f>
        <v/>
      </c>
      <c r="D878" s="37" t="n"/>
      <c r="E878" s="45" t="str">
        <f>IF($D878="","",IFERROR(INDEX(CARDS!$B$5:$B$34,MATCH($D878,CARDS!$A$5:$A$34,0)),"⚠ Card ID?"))</f>
        <v/>
      </c>
      <c r="F878" s="45" t="str">
        <f>IF($D878="","",IFERROR(INDEX(CARDS!$C$5:$C$34,MATCH($D878,CARDS!$A$5:$A$34,0)),"⚠ Card ID?"))</f>
        <v/>
      </c>
      <c r="G878" s="37" t="n"/>
      <c r="H878" s="37" t="n"/>
      <c r="I878" s="41" t="n"/>
      <c r="J878" s="45" t="str">
        <f>IF($I878="","",IFERROR(INDEX(MCC_MASTER!$B$5:$B$504,MATCH($I878,MCC_MASTER!$A$5:$A$504,0)),"⚠ MCC chưa có"))</f>
        <v/>
      </c>
      <c r="K878" s="45" t="str">
        <f>IF($I878="","",IFERROR(IF(INDEX(MCC_MASTER!$C$5:$C$504,MATCH($I878,MCC_MASTER!$A$5:$A$504,0))="","Chưa phân loại",INDEX(MCC_MASTER!$C$5:$C$504,MATCH($I878,MCC_MASTER!$A$5:$A$504,0))),"Chưa phân loại"))</f>
        <v/>
      </c>
      <c r="L878" s="40" t="n"/>
      <c r="M878" s="48" t="str">
        <f>IF(OR($B878="",$D878=""),"",IF($AC878=0,0,IF(ISNUMBER(INDEX(CASHBACK_RULES!$L$5:$L$304,$AC878)),MAX(0,MIN($L878,INDEX(CASHBACK_RULES!$L$5:$L$304,$AC878)-$AH878)),MAX(0,$L878))))</f>
        <v/>
      </c>
      <c r="N878" s="49" t="str">
        <f>IF(OR($B878="",$D878=""),"",IF($AC878&gt;0,INDEX(CASHBACK_RULES!$I$5:$I$304,$AC878),0))</f>
        <v/>
      </c>
      <c r="O878" s="48" t="str">
        <f>IF(OR($B878="",$D878=""),"",ROUND($M878*$N878,0))</f>
        <v/>
      </c>
      <c r="P878" s="48" t="str">
        <f>IF($AC878&gt;0,IF(ISNUMBER(INDEX(CASHBACK_RULES!$J$5:$J$304,$AC878)),INDEX(CASHBACK_RULES!$J$5:$J$304,$AC878),"∞"),"")</f>
        <v/>
      </c>
      <c r="Q878" s="48" t="str">
        <f>IF(OR($B878="",$D878=""),"",IF($AC878=0,0,MAX(0,MIN($O878,IF(ISNUMBER($P878),$P878-$AF878,1E+15),IF(ISNUMBER($AA878),$AA878-$AG878,1E+15)))))</f>
        <v/>
      </c>
      <c r="R878" s="48" t="str">
        <f>IF(OR($B878="",$D878=""),"",IF($AC878=0,"",IF(AND(NOT(ISNUMBER($P878)),NOT(ISNUMBER($AA878))),"∞",MAX(0,MIN(IF(ISNUMBER($P878),$P878-$AF878-$Q878,1E+15),IF(ISNUMBER($AA878),$AA878-$AG878-$Q878,1E+15))))))</f>
        <v/>
      </c>
      <c r="S878" s="47" t="str">
        <f>IF($AD878="","",YEAR($AD878)*100+MONTH($AD878))</f>
        <v/>
      </c>
      <c r="T878" s="50" t="str">
        <f>IF($AD878="","",IFERROR(IF(INDEX(CARDS!$I$5:$I$34,MATCH($D878,CARDS!$A$5:$A$34,0))="","",IF(INDEX(CARDS!$I$5:$I$34,MATCH($D878,CARDS!$A$5:$A$34,0))&gt;INDEX(CARDS!$H$5:$H$34,MATCH($D878,CARDS!$A$5:$A$34,0)),DATE(YEAR($AD878),MONTH($AD878),MIN(INDEX(CARDS!$I$5:$I$34,MATCH($D878,CARDS!$A$5:$A$34,0)),DAY(EOMONTH($AD878,0)))),DATE(YEAR($AD878),MONTH($AD878)+1,MIN(INDEX(CARDS!$I$5:$I$34,MATCH($D878,CARDS!$A$5:$A$34,0)),DAY(EOMONTH($AD878,1)))))),""))</f>
        <v/>
      </c>
      <c r="U878" s="38" t="n"/>
      <c r="V878" s="37" t="n"/>
      <c r="W878" s="38" t="n"/>
      <c r="X878" s="38" t="n"/>
      <c r="Y878" s="44" t="str">
        <f>IF($AC878&gt;0,INDEX(CASHBACK_RULES!$A$5:$A$304,$AC878),"")</f>
        <v/>
      </c>
      <c r="Z878" s="45" t="str">
        <f>IF($AC878&gt;0,INDEX(CASHBACK_RULES!$E$5:$E$304,$AC878)&amp;"","")</f>
        <v/>
      </c>
      <c r="AA878" s="48" t="str">
        <f>IF($AC878&gt;0,IF(ISNUMBER(INDEX(CASHBACK_RULES!$K$5:$K$304,$AC878)),INDEX(CASHBACK_RULES!$K$5:$K$304,$AC878),"∞"),"")</f>
        <v/>
      </c>
      <c r="AB878" s="44" t="str">
        <f>IF(OR($B878="",$D878=""),"",IF($U878="Cancelled","Đã hủy",IF($AC878=0,"Không được hoàn",IF($Q878=0,IF(OR($O878&gt;0,$M878&lt;$L878),"Đã đạt cap","Không được hoàn"),IF(OR($Q878&lt;$O878,$M878&lt;$L878),"Hoàn một phần","Được hoàn")))))</f>
        <v/>
      </c>
      <c r="AC878" s="43">
        <f>IF(OR($B878="",$D878="",$I878="",$L878=""),0,IF($U878="Cancelled",0,IF($W878&lt;&gt;"",IFERROR(IF(INDEX(CASHBACK_RULES!$B$5:$B$304,MATCH($W878,CASHBACK_RULES!$A$5:$A$304,0))=$D878,MATCH($W878,CASHBACK_RULES!$A$5:$A$304,0),0),0),IFERROR(MATCH(1,INDEX((CASHBACK_RULES!$B$5:$B$304=$D878)*(CASHBACK_RULES!$G$5:$G$304=$I878)*(((CASHBACK_RULES!$N$5:$N$304="")+(CASHBACK_RULES!$N$5:$N$304&lt;=$B878))&gt;0)*(((CASHBACK_RULES!$O$5:$O$304="")+(CASHBACK_RULES!$O$5:$O$304&gt;=$B878))&gt;0)*(((CASHBACK_RULES!$M$5:$M$304="")+(CASHBACK_RULES!$M$5:$M$304&lt;=$L878))&gt;0),0),0),0))))</f>
        <v>0</v>
      </c>
      <c r="AD878" s="51" t="str">
        <f>IF(OR($B878="",$D878=""),"",IFERROR(IF(INDEX(CARDS!$H$5:$H$34,MATCH($D878,CARDS!$A$5:$A$34,0))="","",IF(DAY($B878)&lt;=INDEX(CARDS!$H$5:$H$34,MATCH($D878,CARDS!$A$5:$A$34,0)),DATE(YEAR($B878),MONTH($B878),MIN(INDEX(CARDS!$H$5:$H$34,MATCH($D878,CARDS!$A$5:$A$34,0)),DAY(EOMONTH($B878,0)))),DATE(YEAR($B878),MONTH($B878)+1,MIN(INDEX(CARDS!$H$5:$H$34,MATCH($D878,CARDS!$A$5:$A$34,0)),DAY(EOMONTH($B878,1)))))),""))</f>
        <v/>
      </c>
      <c r="AE878" s="52" t="str">
        <f>IF($C878="","",$C878&amp;"|"&amp;COUNTIF($C$5:$C878,$C878))</f>
        <v/>
      </c>
      <c r="AF878" s="53">
        <f>IF($AC878&gt;0,SUMIFS(Q$4:Q877,$D$4:$D877,$D878,$Z$4:$Z877,$Z878,$C$4:$C877,$C878),0)</f>
        <v>0</v>
      </c>
      <c r="AG878" s="53">
        <f>IF($AC878&gt;0,SUMIFS(Q$4:Q877,$D$4:$D877,$D878,$C$4:$C877,$C878),0)</f>
        <v>0</v>
      </c>
      <c r="AH878" s="53">
        <f>IF($AC878&gt;0,SUMIFS(M$4:M877,$D$4:$D877,$D878,$Z$4:$Z877,$Z878,$C$4:$C877,$C878),0)</f>
        <v>0</v>
      </c>
      <c r="AI878" s="43">
        <f>IF(OR($C878="",$I878=""),0,IF(COUNTIFS($C$5:$C878,$C878,$I$5:$I878,$I878)=1,1,0))</f>
        <v>0</v>
      </c>
      <c r="AJ878" s="43" t="str">
        <f>IF($AI878=1,SUMIFS($AI$4:$AI877,$C$4:$C877,$C878)+1,"")</f>
        <v/>
      </c>
      <c r="AK878" s="43">
        <f>IF(OR($C878="",$K878=""),0,IF(COUNTIFS($C$5:$C878,$C878,$K$5:$K878,$K878)=1,1,0))</f>
        <v>0</v>
      </c>
      <c r="AL878" s="43" t="str">
        <f>IF($AK878=1,SUMIFS($AK$4:$AK877,$C$4:$C877,$C878)+1,"")</f>
        <v/>
      </c>
      <c r="AM878" s="43">
        <f>IF(OR($C878="",$G878=""),0,IF(COUNTIFS($C$5:$C878,$C878,$G$5:$G878,$G878)=1,1,0))</f>
        <v>0</v>
      </c>
      <c r="AN878" s="43" t="str">
        <f>IF($AM878=1,SUMIFS($AM$4:$AM877,$C$4:$C877,$C878)+1,"")</f>
        <v/>
      </c>
    </row>
    <row r="879">
      <c r="A879" s="44" t="str">
        <f>IF(OR($B879="",$D879=""),"","TX"&amp;TEXT(ROW()-4,"0000"))</f>
        <v/>
      </c>
      <c r="B879" s="42" t="n"/>
      <c r="C879" s="47" t="str">
        <f>IF($B879="","",YEAR($B879)*100+MONTH($B879))</f>
        <v/>
      </c>
      <c r="D879" s="37" t="n"/>
      <c r="E879" s="45" t="str">
        <f>IF($D879="","",IFERROR(INDEX(CARDS!$B$5:$B$34,MATCH($D879,CARDS!$A$5:$A$34,0)),"⚠ Card ID?"))</f>
        <v/>
      </c>
      <c r="F879" s="45" t="str">
        <f>IF($D879="","",IFERROR(INDEX(CARDS!$C$5:$C$34,MATCH($D879,CARDS!$A$5:$A$34,0)),"⚠ Card ID?"))</f>
        <v/>
      </c>
      <c r="G879" s="37" t="n"/>
      <c r="H879" s="37" t="n"/>
      <c r="I879" s="41" t="n"/>
      <c r="J879" s="45" t="str">
        <f>IF($I879="","",IFERROR(INDEX(MCC_MASTER!$B$5:$B$504,MATCH($I879,MCC_MASTER!$A$5:$A$504,0)),"⚠ MCC chưa có"))</f>
        <v/>
      </c>
      <c r="K879" s="45" t="str">
        <f>IF($I879="","",IFERROR(IF(INDEX(MCC_MASTER!$C$5:$C$504,MATCH($I879,MCC_MASTER!$A$5:$A$504,0))="","Chưa phân loại",INDEX(MCC_MASTER!$C$5:$C$504,MATCH($I879,MCC_MASTER!$A$5:$A$504,0))),"Chưa phân loại"))</f>
        <v/>
      </c>
      <c r="L879" s="40" t="n"/>
      <c r="M879" s="48" t="str">
        <f>IF(OR($B879="",$D879=""),"",IF($AC879=0,0,IF(ISNUMBER(INDEX(CASHBACK_RULES!$L$5:$L$304,$AC879)),MAX(0,MIN($L879,INDEX(CASHBACK_RULES!$L$5:$L$304,$AC879)-$AH879)),MAX(0,$L879))))</f>
        <v/>
      </c>
      <c r="N879" s="49" t="str">
        <f>IF(OR($B879="",$D879=""),"",IF($AC879&gt;0,INDEX(CASHBACK_RULES!$I$5:$I$304,$AC879),0))</f>
        <v/>
      </c>
      <c r="O879" s="48" t="str">
        <f>IF(OR($B879="",$D879=""),"",ROUND($M879*$N879,0))</f>
        <v/>
      </c>
      <c r="P879" s="48" t="str">
        <f>IF($AC879&gt;0,IF(ISNUMBER(INDEX(CASHBACK_RULES!$J$5:$J$304,$AC879)),INDEX(CASHBACK_RULES!$J$5:$J$304,$AC879),"∞"),"")</f>
        <v/>
      </c>
      <c r="Q879" s="48" t="str">
        <f>IF(OR($B879="",$D879=""),"",IF($AC879=0,0,MAX(0,MIN($O879,IF(ISNUMBER($P879),$P879-$AF879,1E+15),IF(ISNUMBER($AA879),$AA879-$AG879,1E+15)))))</f>
        <v/>
      </c>
      <c r="R879" s="48" t="str">
        <f>IF(OR($B879="",$D879=""),"",IF($AC879=0,"",IF(AND(NOT(ISNUMBER($P879)),NOT(ISNUMBER($AA879))),"∞",MAX(0,MIN(IF(ISNUMBER($P879),$P879-$AF879-$Q879,1E+15),IF(ISNUMBER($AA879),$AA879-$AG879-$Q879,1E+15))))))</f>
        <v/>
      </c>
      <c r="S879" s="47" t="str">
        <f>IF($AD879="","",YEAR($AD879)*100+MONTH($AD879))</f>
        <v/>
      </c>
      <c r="T879" s="50" t="str">
        <f>IF($AD879="","",IFERROR(IF(INDEX(CARDS!$I$5:$I$34,MATCH($D879,CARDS!$A$5:$A$34,0))="","",IF(INDEX(CARDS!$I$5:$I$34,MATCH($D879,CARDS!$A$5:$A$34,0))&gt;INDEX(CARDS!$H$5:$H$34,MATCH($D879,CARDS!$A$5:$A$34,0)),DATE(YEAR($AD879),MONTH($AD879),MIN(INDEX(CARDS!$I$5:$I$34,MATCH($D879,CARDS!$A$5:$A$34,0)),DAY(EOMONTH($AD879,0)))),DATE(YEAR($AD879),MONTH($AD879)+1,MIN(INDEX(CARDS!$I$5:$I$34,MATCH($D879,CARDS!$A$5:$A$34,0)),DAY(EOMONTH($AD879,1)))))),""))</f>
        <v/>
      </c>
      <c r="U879" s="38" t="n"/>
      <c r="V879" s="37" t="n"/>
      <c r="W879" s="38" t="n"/>
      <c r="X879" s="38" t="n"/>
      <c r="Y879" s="44" t="str">
        <f>IF($AC879&gt;0,INDEX(CASHBACK_RULES!$A$5:$A$304,$AC879),"")</f>
        <v/>
      </c>
      <c r="Z879" s="45" t="str">
        <f>IF($AC879&gt;0,INDEX(CASHBACK_RULES!$E$5:$E$304,$AC879)&amp;"","")</f>
        <v/>
      </c>
      <c r="AA879" s="48" t="str">
        <f>IF($AC879&gt;0,IF(ISNUMBER(INDEX(CASHBACK_RULES!$K$5:$K$304,$AC879)),INDEX(CASHBACK_RULES!$K$5:$K$304,$AC879),"∞"),"")</f>
        <v/>
      </c>
      <c r="AB879" s="44" t="str">
        <f>IF(OR($B879="",$D879=""),"",IF($U879="Cancelled","Đã hủy",IF($AC879=0,"Không được hoàn",IF($Q879=0,IF(OR($O879&gt;0,$M879&lt;$L879),"Đã đạt cap","Không được hoàn"),IF(OR($Q879&lt;$O879,$M879&lt;$L879),"Hoàn một phần","Được hoàn")))))</f>
        <v/>
      </c>
      <c r="AC879" s="43">
        <f>IF(OR($B879="",$D879="",$I879="",$L879=""),0,IF($U879="Cancelled",0,IF($W879&lt;&gt;"",IFERROR(IF(INDEX(CASHBACK_RULES!$B$5:$B$304,MATCH($W879,CASHBACK_RULES!$A$5:$A$304,0))=$D879,MATCH($W879,CASHBACK_RULES!$A$5:$A$304,0),0),0),IFERROR(MATCH(1,INDEX((CASHBACK_RULES!$B$5:$B$304=$D879)*(CASHBACK_RULES!$G$5:$G$304=$I879)*(((CASHBACK_RULES!$N$5:$N$304="")+(CASHBACK_RULES!$N$5:$N$304&lt;=$B879))&gt;0)*(((CASHBACK_RULES!$O$5:$O$304="")+(CASHBACK_RULES!$O$5:$O$304&gt;=$B879))&gt;0)*(((CASHBACK_RULES!$M$5:$M$304="")+(CASHBACK_RULES!$M$5:$M$304&lt;=$L879))&gt;0),0),0),0))))</f>
        <v>0</v>
      </c>
      <c r="AD879" s="51" t="str">
        <f>IF(OR($B879="",$D879=""),"",IFERROR(IF(INDEX(CARDS!$H$5:$H$34,MATCH($D879,CARDS!$A$5:$A$34,0))="","",IF(DAY($B879)&lt;=INDEX(CARDS!$H$5:$H$34,MATCH($D879,CARDS!$A$5:$A$34,0)),DATE(YEAR($B879),MONTH($B879),MIN(INDEX(CARDS!$H$5:$H$34,MATCH($D879,CARDS!$A$5:$A$34,0)),DAY(EOMONTH($B879,0)))),DATE(YEAR($B879),MONTH($B879)+1,MIN(INDEX(CARDS!$H$5:$H$34,MATCH($D879,CARDS!$A$5:$A$34,0)),DAY(EOMONTH($B879,1)))))),""))</f>
        <v/>
      </c>
      <c r="AE879" s="52" t="str">
        <f>IF($C879="","",$C879&amp;"|"&amp;COUNTIF($C$5:$C879,$C879))</f>
        <v/>
      </c>
      <c r="AF879" s="53">
        <f>IF($AC879&gt;0,SUMIFS(Q$4:Q878,$D$4:$D878,$D879,$Z$4:$Z878,$Z879,$C$4:$C878,$C879),0)</f>
        <v>0</v>
      </c>
      <c r="AG879" s="53">
        <f>IF($AC879&gt;0,SUMIFS(Q$4:Q878,$D$4:$D878,$D879,$C$4:$C878,$C879),0)</f>
        <v>0</v>
      </c>
      <c r="AH879" s="53">
        <f>IF($AC879&gt;0,SUMIFS(M$4:M878,$D$4:$D878,$D879,$Z$4:$Z878,$Z879,$C$4:$C878,$C879),0)</f>
        <v>0</v>
      </c>
      <c r="AI879" s="43">
        <f>IF(OR($C879="",$I879=""),0,IF(COUNTIFS($C$5:$C879,$C879,$I$5:$I879,$I879)=1,1,0))</f>
        <v>0</v>
      </c>
      <c r="AJ879" s="43" t="str">
        <f>IF($AI879=1,SUMIFS($AI$4:$AI878,$C$4:$C878,$C879)+1,"")</f>
        <v/>
      </c>
      <c r="AK879" s="43">
        <f>IF(OR($C879="",$K879=""),0,IF(COUNTIFS($C$5:$C879,$C879,$K$5:$K879,$K879)=1,1,0))</f>
        <v>0</v>
      </c>
      <c r="AL879" s="43" t="str">
        <f>IF($AK879=1,SUMIFS($AK$4:$AK878,$C$4:$C878,$C879)+1,"")</f>
        <v/>
      </c>
      <c r="AM879" s="43">
        <f>IF(OR($C879="",$G879=""),0,IF(COUNTIFS($C$5:$C879,$C879,$G$5:$G879,$G879)=1,1,0))</f>
        <v>0</v>
      </c>
      <c r="AN879" s="43" t="str">
        <f>IF($AM879=1,SUMIFS($AM$4:$AM878,$C$4:$C878,$C879)+1,"")</f>
        <v/>
      </c>
    </row>
    <row r="880">
      <c r="A880" s="44" t="str">
        <f>IF(OR($B880="",$D880=""),"","TX"&amp;TEXT(ROW()-4,"0000"))</f>
        <v/>
      </c>
      <c r="B880" s="42" t="n"/>
      <c r="C880" s="47" t="str">
        <f>IF($B880="","",YEAR($B880)*100+MONTH($B880))</f>
        <v/>
      </c>
      <c r="D880" s="37" t="n"/>
      <c r="E880" s="45" t="str">
        <f>IF($D880="","",IFERROR(INDEX(CARDS!$B$5:$B$34,MATCH($D880,CARDS!$A$5:$A$34,0)),"⚠ Card ID?"))</f>
        <v/>
      </c>
      <c r="F880" s="45" t="str">
        <f>IF($D880="","",IFERROR(INDEX(CARDS!$C$5:$C$34,MATCH($D880,CARDS!$A$5:$A$34,0)),"⚠ Card ID?"))</f>
        <v/>
      </c>
      <c r="G880" s="37" t="n"/>
      <c r="H880" s="37" t="n"/>
      <c r="I880" s="41" t="n"/>
      <c r="J880" s="45" t="str">
        <f>IF($I880="","",IFERROR(INDEX(MCC_MASTER!$B$5:$B$504,MATCH($I880,MCC_MASTER!$A$5:$A$504,0)),"⚠ MCC chưa có"))</f>
        <v/>
      </c>
      <c r="K880" s="45" t="str">
        <f>IF($I880="","",IFERROR(IF(INDEX(MCC_MASTER!$C$5:$C$504,MATCH($I880,MCC_MASTER!$A$5:$A$504,0))="","Chưa phân loại",INDEX(MCC_MASTER!$C$5:$C$504,MATCH($I880,MCC_MASTER!$A$5:$A$504,0))),"Chưa phân loại"))</f>
        <v/>
      </c>
      <c r="L880" s="40" t="n"/>
      <c r="M880" s="48" t="str">
        <f>IF(OR($B880="",$D880=""),"",IF($AC880=0,0,IF(ISNUMBER(INDEX(CASHBACK_RULES!$L$5:$L$304,$AC880)),MAX(0,MIN($L880,INDEX(CASHBACK_RULES!$L$5:$L$304,$AC880)-$AH880)),MAX(0,$L880))))</f>
        <v/>
      </c>
      <c r="N880" s="49" t="str">
        <f>IF(OR($B880="",$D880=""),"",IF($AC880&gt;0,INDEX(CASHBACK_RULES!$I$5:$I$304,$AC880),0))</f>
        <v/>
      </c>
      <c r="O880" s="48" t="str">
        <f>IF(OR($B880="",$D880=""),"",ROUND($M880*$N880,0))</f>
        <v/>
      </c>
      <c r="P880" s="48" t="str">
        <f>IF($AC880&gt;0,IF(ISNUMBER(INDEX(CASHBACK_RULES!$J$5:$J$304,$AC880)),INDEX(CASHBACK_RULES!$J$5:$J$304,$AC880),"∞"),"")</f>
        <v/>
      </c>
      <c r="Q880" s="48" t="str">
        <f>IF(OR($B880="",$D880=""),"",IF($AC880=0,0,MAX(0,MIN($O880,IF(ISNUMBER($P880),$P880-$AF880,1E+15),IF(ISNUMBER($AA880),$AA880-$AG880,1E+15)))))</f>
        <v/>
      </c>
      <c r="R880" s="48" t="str">
        <f>IF(OR($B880="",$D880=""),"",IF($AC880=0,"",IF(AND(NOT(ISNUMBER($P880)),NOT(ISNUMBER($AA880))),"∞",MAX(0,MIN(IF(ISNUMBER($P880),$P880-$AF880-$Q880,1E+15),IF(ISNUMBER($AA880),$AA880-$AG880-$Q880,1E+15))))))</f>
        <v/>
      </c>
      <c r="S880" s="47" t="str">
        <f>IF($AD880="","",YEAR($AD880)*100+MONTH($AD880))</f>
        <v/>
      </c>
      <c r="T880" s="50" t="str">
        <f>IF($AD880="","",IFERROR(IF(INDEX(CARDS!$I$5:$I$34,MATCH($D880,CARDS!$A$5:$A$34,0))="","",IF(INDEX(CARDS!$I$5:$I$34,MATCH($D880,CARDS!$A$5:$A$34,0))&gt;INDEX(CARDS!$H$5:$H$34,MATCH($D880,CARDS!$A$5:$A$34,0)),DATE(YEAR($AD880),MONTH($AD880),MIN(INDEX(CARDS!$I$5:$I$34,MATCH($D880,CARDS!$A$5:$A$34,0)),DAY(EOMONTH($AD880,0)))),DATE(YEAR($AD880),MONTH($AD880)+1,MIN(INDEX(CARDS!$I$5:$I$34,MATCH($D880,CARDS!$A$5:$A$34,0)),DAY(EOMONTH($AD880,1)))))),""))</f>
        <v/>
      </c>
      <c r="U880" s="38" t="n"/>
      <c r="V880" s="37" t="n"/>
      <c r="W880" s="38" t="n"/>
      <c r="X880" s="38" t="n"/>
      <c r="Y880" s="44" t="str">
        <f>IF($AC880&gt;0,INDEX(CASHBACK_RULES!$A$5:$A$304,$AC880),"")</f>
        <v/>
      </c>
      <c r="Z880" s="45" t="str">
        <f>IF($AC880&gt;0,INDEX(CASHBACK_RULES!$E$5:$E$304,$AC880)&amp;"","")</f>
        <v/>
      </c>
      <c r="AA880" s="48" t="str">
        <f>IF($AC880&gt;0,IF(ISNUMBER(INDEX(CASHBACK_RULES!$K$5:$K$304,$AC880)),INDEX(CASHBACK_RULES!$K$5:$K$304,$AC880),"∞"),"")</f>
        <v/>
      </c>
      <c r="AB880" s="44" t="str">
        <f>IF(OR($B880="",$D880=""),"",IF($U880="Cancelled","Đã hủy",IF($AC880=0,"Không được hoàn",IF($Q880=0,IF(OR($O880&gt;0,$M880&lt;$L880),"Đã đạt cap","Không được hoàn"),IF(OR($Q880&lt;$O880,$M880&lt;$L880),"Hoàn một phần","Được hoàn")))))</f>
        <v/>
      </c>
      <c r="AC880" s="43">
        <f>IF(OR($B880="",$D880="",$I880="",$L880=""),0,IF($U880="Cancelled",0,IF($W880&lt;&gt;"",IFERROR(IF(INDEX(CASHBACK_RULES!$B$5:$B$304,MATCH($W880,CASHBACK_RULES!$A$5:$A$304,0))=$D880,MATCH($W880,CASHBACK_RULES!$A$5:$A$304,0),0),0),IFERROR(MATCH(1,INDEX((CASHBACK_RULES!$B$5:$B$304=$D880)*(CASHBACK_RULES!$G$5:$G$304=$I880)*(((CASHBACK_RULES!$N$5:$N$304="")+(CASHBACK_RULES!$N$5:$N$304&lt;=$B880))&gt;0)*(((CASHBACK_RULES!$O$5:$O$304="")+(CASHBACK_RULES!$O$5:$O$304&gt;=$B880))&gt;0)*(((CASHBACK_RULES!$M$5:$M$304="")+(CASHBACK_RULES!$M$5:$M$304&lt;=$L880))&gt;0),0),0),0))))</f>
        <v>0</v>
      </c>
      <c r="AD880" s="51" t="str">
        <f>IF(OR($B880="",$D880=""),"",IFERROR(IF(INDEX(CARDS!$H$5:$H$34,MATCH($D880,CARDS!$A$5:$A$34,0))="","",IF(DAY($B880)&lt;=INDEX(CARDS!$H$5:$H$34,MATCH($D880,CARDS!$A$5:$A$34,0)),DATE(YEAR($B880),MONTH($B880),MIN(INDEX(CARDS!$H$5:$H$34,MATCH($D880,CARDS!$A$5:$A$34,0)),DAY(EOMONTH($B880,0)))),DATE(YEAR($B880),MONTH($B880)+1,MIN(INDEX(CARDS!$H$5:$H$34,MATCH($D880,CARDS!$A$5:$A$34,0)),DAY(EOMONTH($B880,1)))))),""))</f>
        <v/>
      </c>
      <c r="AE880" s="52" t="str">
        <f>IF($C880="","",$C880&amp;"|"&amp;COUNTIF($C$5:$C880,$C880))</f>
        <v/>
      </c>
      <c r="AF880" s="53">
        <f>IF($AC880&gt;0,SUMIFS(Q$4:Q879,$D$4:$D879,$D880,$Z$4:$Z879,$Z880,$C$4:$C879,$C880),0)</f>
        <v>0</v>
      </c>
      <c r="AG880" s="53">
        <f>IF($AC880&gt;0,SUMIFS(Q$4:Q879,$D$4:$D879,$D880,$C$4:$C879,$C880),0)</f>
        <v>0</v>
      </c>
      <c r="AH880" s="53">
        <f>IF($AC880&gt;0,SUMIFS(M$4:M879,$D$4:$D879,$D880,$Z$4:$Z879,$Z880,$C$4:$C879,$C880),0)</f>
        <v>0</v>
      </c>
      <c r="AI880" s="43">
        <f>IF(OR($C880="",$I880=""),0,IF(COUNTIFS($C$5:$C880,$C880,$I$5:$I880,$I880)=1,1,0))</f>
        <v>0</v>
      </c>
      <c r="AJ880" s="43" t="str">
        <f>IF($AI880=1,SUMIFS($AI$4:$AI879,$C$4:$C879,$C880)+1,"")</f>
        <v/>
      </c>
      <c r="AK880" s="43">
        <f>IF(OR($C880="",$K880=""),0,IF(COUNTIFS($C$5:$C880,$C880,$K$5:$K880,$K880)=1,1,0))</f>
        <v>0</v>
      </c>
      <c r="AL880" s="43" t="str">
        <f>IF($AK880=1,SUMIFS($AK$4:$AK879,$C$4:$C879,$C880)+1,"")</f>
        <v/>
      </c>
      <c r="AM880" s="43">
        <f>IF(OR($C880="",$G880=""),0,IF(COUNTIFS($C$5:$C880,$C880,$G$5:$G880,$G880)=1,1,0))</f>
        <v>0</v>
      </c>
      <c r="AN880" s="43" t="str">
        <f>IF($AM880=1,SUMIFS($AM$4:$AM879,$C$4:$C879,$C880)+1,"")</f>
        <v/>
      </c>
    </row>
    <row r="881">
      <c r="A881" s="44" t="str">
        <f>IF(OR($B881="",$D881=""),"","TX"&amp;TEXT(ROW()-4,"0000"))</f>
        <v/>
      </c>
      <c r="B881" s="42" t="n"/>
      <c r="C881" s="47" t="str">
        <f>IF($B881="","",YEAR($B881)*100+MONTH($B881))</f>
        <v/>
      </c>
      <c r="D881" s="37" t="n"/>
      <c r="E881" s="45" t="str">
        <f>IF($D881="","",IFERROR(INDEX(CARDS!$B$5:$B$34,MATCH($D881,CARDS!$A$5:$A$34,0)),"⚠ Card ID?"))</f>
        <v/>
      </c>
      <c r="F881" s="45" t="str">
        <f>IF($D881="","",IFERROR(INDEX(CARDS!$C$5:$C$34,MATCH($D881,CARDS!$A$5:$A$34,0)),"⚠ Card ID?"))</f>
        <v/>
      </c>
      <c r="G881" s="37" t="n"/>
      <c r="H881" s="37" t="n"/>
      <c r="I881" s="41" t="n"/>
      <c r="J881" s="45" t="str">
        <f>IF($I881="","",IFERROR(INDEX(MCC_MASTER!$B$5:$B$504,MATCH($I881,MCC_MASTER!$A$5:$A$504,0)),"⚠ MCC chưa có"))</f>
        <v/>
      </c>
      <c r="K881" s="45" t="str">
        <f>IF($I881="","",IFERROR(IF(INDEX(MCC_MASTER!$C$5:$C$504,MATCH($I881,MCC_MASTER!$A$5:$A$504,0))="","Chưa phân loại",INDEX(MCC_MASTER!$C$5:$C$504,MATCH($I881,MCC_MASTER!$A$5:$A$504,0))),"Chưa phân loại"))</f>
        <v/>
      </c>
      <c r="L881" s="40" t="n"/>
      <c r="M881" s="48" t="str">
        <f>IF(OR($B881="",$D881=""),"",IF($AC881=0,0,IF(ISNUMBER(INDEX(CASHBACK_RULES!$L$5:$L$304,$AC881)),MAX(0,MIN($L881,INDEX(CASHBACK_RULES!$L$5:$L$304,$AC881)-$AH881)),MAX(0,$L881))))</f>
        <v/>
      </c>
      <c r="N881" s="49" t="str">
        <f>IF(OR($B881="",$D881=""),"",IF($AC881&gt;0,INDEX(CASHBACK_RULES!$I$5:$I$304,$AC881),0))</f>
        <v/>
      </c>
      <c r="O881" s="48" t="str">
        <f>IF(OR($B881="",$D881=""),"",ROUND($M881*$N881,0))</f>
        <v/>
      </c>
      <c r="P881" s="48" t="str">
        <f>IF($AC881&gt;0,IF(ISNUMBER(INDEX(CASHBACK_RULES!$J$5:$J$304,$AC881)),INDEX(CASHBACK_RULES!$J$5:$J$304,$AC881),"∞"),"")</f>
        <v/>
      </c>
      <c r="Q881" s="48" t="str">
        <f>IF(OR($B881="",$D881=""),"",IF($AC881=0,0,MAX(0,MIN($O881,IF(ISNUMBER($P881),$P881-$AF881,1E+15),IF(ISNUMBER($AA881),$AA881-$AG881,1E+15)))))</f>
        <v/>
      </c>
      <c r="R881" s="48" t="str">
        <f>IF(OR($B881="",$D881=""),"",IF($AC881=0,"",IF(AND(NOT(ISNUMBER($P881)),NOT(ISNUMBER($AA881))),"∞",MAX(0,MIN(IF(ISNUMBER($P881),$P881-$AF881-$Q881,1E+15),IF(ISNUMBER($AA881),$AA881-$AG881-$Q881,1E+15))))))</f>
        <v/>
      </c>
      <c r="S881" s="47" t="str">
        <f>IF($AD881="","",YEAR($AD881)*100+MONTH($AD881))</f>
        <v/>
      </c>
      <c r="T881" s="50" t="str">
        <f>IF($AD881="","",IFERROR(IF(INDEX(CARDS!$I$5:$I$34,MATCH($D881,CARDS!$A$5:$A$34,0))="","",IF(INDEX(CARDS!$I$5:$I$34,MATCH($D881,CARDS!$A$5:$A$34,0))&gt;INDEX(CARDS!$H$5:$H$34,MATCH($D881,CARDS!$A$5:$A$34,0)),DATE(YEAR($AD881),MONTH($AD881),MIN(INDEX(CARDS!$I$5:$I$34,MATCH($D881,CARDS!$A$5:$A$34,0)),DAY(EOMONTH($AD881,0)))),DATE(YEAR($AD881),MONTH($AD881)+1,MIN(INDEX(CARDS!$I$5:$I$34,MATCH($D881,CARDS!$A$5:$A$34,0)),DAY(EOMONTH($AD881,1)))))),""))</f>
        <v/>
      </c>
      <c r="U881" s="38" t="n"/>
      <c r="V881" s="37" t="n"/>
      <c r="W881" s="38" t="n"/>
      <c r="X881" s="38" t="n"/>
      <c r="Y881" s="44" t="str">
        <f>IF($AC881&gt;0,INDEX(CASHBACK_RULES!$A$5:$A$304,$AC881),"")</f>
        <v/>
      </c>
      <c r="Z881" s="45" t="str">
        <f>IF($AC881&gt;0,INDEX(CASHBACK_RULES!$E$5:$E$304,$AC881)&amp;"","")</f>
        <v/>
      </c>
      <c r="AA881" s="48" t="str">
        <f>IF($AC881&gt;0,IF(ISNUMBER(INDEX(CASHBACK_RULES!$K$5:$K$304,$AC881)),INDEX(CASHBACK_RULES!$K$5:$K$304,$AC881),"∞"),"")</f>
        <v/>
      </c>
      <c r="AB881" s="44" t="str">
        <f>IF(OR($B881="",$D881=""),"",IF($U881="Cancelled","Đã hủy",IF($AC881=0,"Không được hoàn",IF($Q881=0,IF(OR($O881&gt;0,$M881&lt;$L881),"Đã đạt cap","Không được hoàn"),IF(OR($Q881&lt;$O881,$M881&lt;$L881),"Hoàn một phần","Được hoàn")))))</f>
        <v/>
      </c>
      <c r="AC881" s="43">
        <f>IF(OR($B881="",$D881="",$I881="",$L881=""),0,IF($U881="Cancelled",0,IF($W881&lt;&gt;"",IFERROR(IF(INDEX(CASHBACK_RULES!$B$5:$B$304,MATCH($W881,CASHBACK_RULES!$A$5:$A$304,0))=$D881,MATCH($W881,CASHBACK_RULES!$A$5:$A$304,0),0),0),IFERROR(MATCH(1,INDEX((CASHBACK_RULES!$B$5:$B$304=$D881)*(CASHBACK_RULES!$G$5:$G$304=$I881)*(((CASHBACK_RULES!$N$5:$N$304="")+(CASHBACK_RULES!$N$5:$N$304&lt;=$B881))&gt;0)*(((CASHBACK_RULES!$O$5:$O$304="")+(CASHBACK_RULES!$O$5:$O$304&gt;=$B881))&gt;0)*(((CASHBACK_RULES!$M$5:$M$304="")+(CASHBACK_RULES!$M$5:$M$304&lt;=$L881))&gt;0),0),0),0))))</f>
        <v>0</v>
      </c>
      <c r="AD881" s="51" t="str">
        <f>IF(OR($B881="",$D881=""),"",IFERROR(IF(INDEX(CARDS!$H$5:$H$34,MATCH($D881,CARDS!$A$5:$A$34,0))="","",IF(DAY($B881)&lt;=INDEX(CARDS!$H$5:$H$34,MATCH($D881,CARDS!$A$5:$A$34,0)),DATE(YEAR($B881),MONTH($B881),MIN(INDEX(CARDS!$H$5:$H$34,MATCH($D881,CARDS!$A$5:$A$34,0)),DAY(EOMONTH($B881,0)))),DATE(YEAR($B881),MONTH($B881)+1,MIN(INDEX(CARDS!$H$5:$H$34,MATCH($D881,CARDS!$A$5:$A$34,0)),DAY(EOMONTH($B881,1)))))),""))</f>
        <v/>
      </c>
      <c r="AE881" s="52" t="str">
        <f>IF($C881="","",$C881&amp;"|"&amp;COUNTIF($C$5:$C881,$C881))</f>
        <v/>
      </c>
      <c r="AF881" s="53">
        <f>IF($AC881&gt;0,SUMIFS(Q$4:Q880,$D$4:$D880,$D881,$Z$4:$Z880,$Z881,$C$4:$C880,$C881),0)</f>
        <v>0</v>
      </c>
      <c r="AG881" s="53">
        <f>IF($AC881&gt;0,SUMIFS(Q$4:Q880,$D$4:$D880,$D881,$C$4:$C880,$C881),0)</f>
        <v>0</v>
      </c>
      <c r="AH881" s="53">
        <f>IF($AC881&gt;0,SUMIFS(M$4:M880,$D$4:$D880,$D881,$Z$4:$Z880,$Z881,$C$4:$C880,$C881),0)</f>
        <v>0</v>
      </c>
      <c r="AI881" s="43">
        <f>IF(OR($C881="",$I881=""),0,IF(COUNTIFS($C$5:$C881,$C881,$I$5:$I881,$I881)=1,1,0))</f>
        <v>0</v>
      </c>
      <c r="AJ881" s="43" t="str">
        <f>IF($AI881=1,SUMIFS($AI$4:$AI880,$C$4:$C880,$C881)+1,"")</f>
        <v/>
      </c>
      <c r="AK881" s="43">
        <f>IF(OR($C881="",$K881=""),0,IF(COUNTIFS($C$5:$C881,$C881,$K$5:$K881,$K881)=1,1,0))</f>
        <v>0</v>
      </c>
      <c r="AL881" s="43" t="str">
        <f>IF($AK881=1,SUMIFS($AK$4:$AK880,$C$4:$C880,$C881)+1,"")</f>
        <v/>
      </c>
      <c r="AM881" s="43">
        <f>IF(OR($C881="",$G881=""),0,IF(COUNTIFS($C$5:$C881,$C881,$G$5:$G881,$G881)=1,1,0))</f>
        <v>0</v>
      </c>
      <c r="AN881" s="43" t="str">
        <f>IF($AM881=1,SUMIFS($AM$4:$AM880,$C$4:$C880,$C881)+1,"")</f>
        <v/>
      </c>
    </row>
    <row r="882">
      <c r="A882" s="44" t="str">
        <f>IF(OR($B882="",$D882=""),"","TX"&amp;TEXT(ROW()-4,"0000"))</f>
        <v/>
      </c>
      <c r="B882" s="42" t="n"/>
      <c r="C882" s="47" t="str">
        <f>IF($B882="","",YEAR($B882)*100+MONTH($B882))</f>
        <v/>
      </c>
      <c r="D882" s="37" t="n"/>
      <c r="E882" s="45" t="str">
        <f>IF($D882="","",IFERROR(INDEX(CARDS!$B$5:$B$34,MATCH($D882,CARDS!$A$5:$A$34,0)),"⚠ Card ID?"))</f>
        <v/>
      </c>
      <c r="F882" s="45" t="str">
        <f>IF($D882="","",IFERROR(INDEX(CARDS!$C$5:$C$34,MATCH($D882,CARDS!$A$5:$A$34,0)),"⚠ Card ID?"))</f>
        <v/>
      </c>
      <c r="G882" s="37" t="n"/>
      <c r="H882" s="37" t="n"/>
      <c r="I882" s="41" t="n"/>
      <c r="J882" s="45" t="str">
        <f>IF($I882="","",IFERROR(INDEX(MCC_MASTER!$B$5:$B$504,MATCH($I882,MCC_MASTER!$A$5:$A$504,0)),"⚠ MCC chưa có"))</f>
        <v/>
      </c>
      <c r="K882" s="45" t="str">
        <f>IF($I882="","",IFERROR(IF(INDEX(MCC_MASTER!$C$5:$C$504,MATCH($I882,MCC_MASTER!$A$5:$A$504,0))="","Chưa phân loại",INDEX(MCC_MASTER!$C$5:$C$504,MATCH($I882,MCC_MASTER!$A$5:$A$504,0))),"Chưa phân loại"))</f>
        <v/>
      </c>
      <c r="L882" s="40" t="n"/>
      <c r="M882" s="48" t="str">
        <f>IF(OR($B882="",$D882=""),"",IF($AC882=0,0,IF(ISNUMBER(INDEX(CASHBACK_RULES!$L$5:$L$304,$AC882)),MAX(0,MIN($L882,INDEX(CASHBACK_RULES!$L$5:$L$304,$AC882)-$AH882)),MAX(0,$L882))))</f>
        <v/>
      </c>
      <c r="N882" s="49" t="str">
        <f>IF(OR($B882="",$D882=""),"",IF($AC882&gt;0,INDEX(CASHBACK_RULES!$I$5:$I$304,$AC882),0))</f>
        <v/>
      </c>
      <c r="O882" s="48" t="str">
        <f>IF(OR($B882="",$D882=""),"",ROUND($M882*$N882,0))</f>
        <v/>
      </c>
      <c r="P882" s="48" t="str">
        <f>IF($AC882&gt;0,IF(ISNUMBER(INDEX(CASHBACK_RULES!$J$5:$J$304,$AC882)),INDEX(CASHBACK_RULES!$J$5:$J$304,$AC882),"∞"),"")</f>
        <v/>
      </c>
      <c r="Q882" s="48" t="str">
        <f>IF(OR($B882="",$D882=""),"",IF($AC882=0,0,MAX(0,MIN($O882,IF(ISNUMBER($P882),$P882-$AF882,1E+15),IF(ISNUMBER($AA882),$AA882-$AG882,1E+15)))))</f>
        <v/>
      </c>
      <c r="R882" s="48" t="str">
        <f>IF(OR($B882="",$D882=""),"",IF($AC882=0,"",IF(AND(NOT(ISNUMBER($P882)),NOT(ISNUMBER($AA882))),"∞",MAX(0,MIN(IF(ISNUMBER($P882),$P882-$AF882-$Q882,1E+15),IF(ISNUMBER($AA882),$AA882-$AG882-$Q882,1E+15))))))</f>
        <v/>
      </c>
      <c r="S882" s="47" t="str">
        <f>IF($AD882="","",YEAR($AD882)*100+MONTH($AD882))</f>
        <v/>
      </c>
      <c r="T882" s="50" t="str">
        <f>IF($AD882="","",IFERROR(IF(INDEX(CARDS!$I$5:$I$34,MATCH($D882,CARDS!$A$5:$A$34,0))="","",IF(INDEX(CARDS!$I$5:$I$34,MATCH($D882,CARDS!$A$5:$A$34,0))&gt;INDEX(CARDS!$H$5:$H$34,MATCH($D882,CARDS!$A$5:$A$34,0)),DATE(YEAR($AD882),MONTH($AD882),MIN(INDEX(CARDS!$I$5:$I$34,MATCH($D882,CARDS!$A$5:$A$34,0)),DAY(EOMONTH($AD882,0)))),DATE(YEAR($AD882),MONTH($AD882)+1,MIN(INDEX(CARDS!$I$5:$I$34,MATCH($D882,CARDS!$A$5:$A$34,0)),DAY(EOMONTH($AD882,1)))))),""))</f>
        <v/>
      </c>
      <c r="U882" s="38" t="n"/>
      <c r="V882" s="37" t="n"/>
      <c r="W882" s="38" t="n"/>
      <c r="X882" s="38" t="n"/>
      <c r="Y882" s="44" t="str">
        <f>IF($AC882&gt;0,INDEX(CASHBACK_RULES!$A$5:$A$304,$AC882),"")</f>
        <v/>
      </c>
      <c r="Z882" s="45" t="str">
        <f>IF($AC882&gt;0,INDEX(CASHBACK_RULES!$E$5:$E$304,$AC882)&amp;"","")</f>
        <v/>
      </c>
      <c r="AA882" s="48" t="str">
        <f>IF($AC882&gt;0,IF(ISNUMBER(INDEX(CASHBACK_RULES!$K$5:$K$304,$AC882)),INDEX(CASHBACK_RULES!$K$5:$K$304,$AC882),"∞"),"")</f>
        <v/>
      </c>
      <c r="AB882" s="44" t="str">
        <f>IF(OR($B882="",$D882=""),"",IF($U882="Cancelled","Đã hủy",IF($AC882=0,"Không được hoàn",IF($Q882=0,IF(OR($O882&gt;0,$M882&lt;$L882),"Đã đạt cap","Không được hoàn"),IF(OR($Q882&lt;$O882,$M882&lt;$L882),"Hoàn một phần","Được hoàn")))))</f>
        <v/>
      </c>
      <c r="AC882" s="43">
        <f>IF(OR($B882="",$D882="",$I882="",$L882=""),0,IF($U882="Cancelled",0,IF($W882&lt;&gt;"",IFERROR(IF(INDEX(CASHBACK_RULES!$B$5:$B$304,MATCH($W882,CASHBACK_RULES!$A$5:$A$304,0))=$D882,MATCH($W882,CASHBACK_RULES!$A$5:$A$304,0),0),0),IFERROR(MATCH(1,INDEX((CASHBACK_RULES!$B$5:$B$304=$D882)*(CASHBACK_RULES!$G$5:$G$304=$I882)*(((CASHBACK_RULES!$N$5:$N$304="")+(CASHBACK_RULES!$N$5:$N$304&lt;=$B882))&gt;0)*(((CASHBACK_RULES!$O$5:$O$304="")+(CASHBACK_RULES!$O$5:$O$304&gt;=$B882))&gt;0)*(((CASHBACK_RULES!$M$5:$M$304="")+(CASHBACK_RULES!$M$5:$M$304&lt;=$L882))&gt;0),0),0),0))))</f>
        <v>0</v>
      </c>
      <c r="AD882" s="51" t="str">
        <f>IF(OR($B882="",$D882=""),"",IFERROR(IF(INDEX(CARDS!$H$5:$H$34,MATCH($D882,CARDS!$A$5:$A$34,0))="","",IF(DAY($B882)&lt;=INDEX(CARDS!$H$5:$H$34,MATCH($D882,CARDS!$A$5:$A$34,0)),DATE(YEAR($B882),MONTH($B882),MIN(INDEX(CARDS!$H$5:$H$34,MATCH($D882,CARDS!$A$5:$A$34,0)),DAY(EOMONTH($B882,0)))),DATE(YEAR($B882),MONTH($B882)+1,MIN(INDEX(CARDS!$H$5:$H$34,MATCH($D882,CARDS!$A$5:$A$34,0)),DAY(EOMONTH($B882,1)))))),""))</f>
        <v/>
      </c>
      <c r="AE882" s="52" t="str">
        <f>IF($C882="","",$C882&amp;"|"&amp;COUNTIF($C$5:$C882,$C882))</f>
        <v/>
      </c>
      <c r="AF882" s="53">
        <f>IF($AC882&gt;0,SUMIFS(Q$4:Q881,$D$4:$D881,$D882,$Z$4:$Z881,$Z882,$C$4:$C881,$C882),0)</f>
        <v>0</v>
      </c>
      <c r="AG882" s="53">
        <f>IF($AC882&gt;0,SUMIFS(Q$4:Q881,$D$4:$D881,$D882,$C$4:$C881,$C882),0)</f>
        <v>0</v>
      </c>
      <c r="AH882" s="53">
        <f>IF($AC882&gt;0,SUMIFS(M$4:M881,$D$4:$D881,$D882,$Z$4:$Z881,$Z882,$C$4:$C881,$C882),0)</f>
        <v>0</v>
      </c>
      <c r="AI882" s="43">
        <f>IF(OR($C882="",$I882=""),0,IF(COUNTIFS($C$5:$C882,$C882,$I$5:$I882,$I882)=1,1,0))</f>
        <v>0</v>
      </c>
      <c r="AJ882" s="43" t="str">
        <f>IF($AI882=1,SUMIFS($AI$4:$AI881,$C$4:$C881,$C882)+1,"")</f>
        <v/>
      </c>
      <c r="AK882" s="43">
        <f>IF(OR($C882="",$K882=""),0,IF(COUNTIFS($C$5:$C882,$C882,$K$5:$K882,$K882)=1,1,0))</f>
        <v>0</v>
      </c>
      <c r="AL882" s="43" t="str">
        <f>IF($AK882=1,SUMIFS($AK$4:$AK881,$C$4:$C881,$C882)+1,"")</f>
        <v/>
      </c>
      <c r="AM882" s="43">
        <f>IF(OR($C882="",$G882=""),0,IF(COUNTIFS($C$5:$C882,$C882,$G$5:$G882,$G882)=1,1,0))</f>
        <v>0</v>
      </c>
      <c r="AN882" s="43" t="str">
        <f>IF($AM882=1,SUMIFS($AM$4:$AM881,$C$4:$C881,$C882)+1,"")</f>
        <v/>
      </c>
    </row>
    <row r="883">
      <c r="A883" s="44" t="str">
        <f>IF(OR($B883="",$D883=""),"","TX"&amp;TEXT(ROW()-4,"0000"))</f>
        <v/>
      </c>
      <c r="B883" s="42" t="n"/>
      <c r="C883" s="47" t="str">
        <f>IF($B883="","",YEAR($B883)*100+MONTH($B883))</f>
        <v/>
      </c>
      <c r="D883" s="37" t="n"/>
      <c r="E883" s="45" t="str">
        <f>IF($D883="","",IFERROR(INDEX(CARDS!$B$5:$B$34,MATCH($D883,CARDS!$A$5:$A$34,0)),"⚠ Card ID?"))</f>
        <v/>
      </c>
      <c r="F883" s="45" t="str">
        <f>IF($D883="","",IFERROR(INDEX(CARDS!$C$5:$C$34,MATCH($D883,CARDS!$A$5:$A$34,0)),"⚠ Card ID?"))</f>
        <v/>
      </c>
      <c r="G883" s="37" t="n"/>
      <c r="H883" s="37" t="n"/>
      <c r="I883" s="41" t="n"/>
      <c r="J883" s="45" t="str">
        <f>IF($I883="","",IFERROR(INDEX(MCC_MASTER!$B$5:$B$504,MATCH($I883,MCC_MASTER!$A$5:$A$504,0)),"⚠ MCC chưa có"))</f>
        <v/>
      </c>
      <c r="K883" s="45" t="str">
        <f>IF($I883="","",IFERROR(IF(INDEX(MCC_MASTER!$C$5:$C$504,MATCH($I883,MCC_MASTER!$A$5:$A$504,0))="","Chưa phân loại",INDEX(MCC_MASTER!$C$5:$C$504,MATCH($I883,MCC_MASTER!$A$5:$A$504,0))),"Chưa phân loại"))</f>
        <v/>
      </c>
      <c r="L883" s="40" t="n"/>
      <c r="M883" s="48" t="str">
        <f>IF(OR($B883="",$D883=""),"",IF($AC883=0,0,IF(ISNUMBER(INDEX(CASHBACK_RULES!$L$5:$L$304,$AC883)),MAX(0,MIN($L883,INDEX(CASHBACK_RULES!$L$5:$L$304,$AC883)-$AH883)),MAX(0,$L883))))</f>
        <v/>
      </c>
      <c r="N883" s="49" t="str">
        <f>IF(OR($B883="",$D883=""),"",IF($AC883&gt;0,INDEX(CASHBACK_RULES!$I$5:$I$304,$AC883),0))</f>
        <v/>
      </c>
      <c r="O883" s="48" t="str">
        <f>IF(OR($B883="",$D883=""),"",ROUND($M883*$N883,0))</f>
        <v/>
      </c>
      <c r="P883" s="48" t="str">
        <f>IF($AC883&gt;0,IF(ISNUMBER(INDEX(CASHBACK_RULES!$J$5:$J$304,$AC883)),INDEX(CASHBACK_RULES!$J$5:$J$304,$AC883),"∞"),"")</f>
        <v/>
      </c>
      <c r="Q883" s="48" t="str">
        <f>IF(OR($B883="",$D883=""),"",IF($AC883=0,0,MAX(0,MIN($O883,IF(ISNUMBER($P883),$P883-$AF883,1E+15),IF(ISNUMBER($AA883),$AA883-$AG883,1E+15)))))</f>
        <v/>
      </c>
      <c r="R883" s="48" t="str">
        <f>IF(OR($B883="",$D883=""),"",IF($AC883=0,"",IF(AND(NOT(ISNUMBER($P883)),NOT(ISNUMBER($AA883))),"∞",MAX(0,MIN(IF(ISNUMBER($P883),$P883-$AF883-$Q883,1E+15),IF(ISNUMBER($AA883),$AA883-$AG883-$Q883,1E+15))))))</f>
        <v/>
      </c>
      <c r="S883" s="47" t="str">
        <f>IF($AD883="","",YEAR($AD883)*100+MONTH($AD883))</f>
        <v/>
      </c>
      <c r="T883" s="50" t="str">
        <f>IF($AD883="","",IFERROR(IF(INDEX(CARDS!$I$5:$I$34,MATCH($D883,CARDS!$A$5:$A$34,0))="","",IF(INDEX(CARDS!$I$5:$I$34,MATCH($D883,CARDS!$A$5:$A$34,0))&gt;INDEX(CARDS!$H$5:$H$34,MATCH($D883,CARDS!$A$5:$A$34,0)),DATE(YEAR($AD883),MONTH($AD883),MIN(INDEX(CARDS!$I$5:$I$34,MATCH($D883,CARDS!$A$5:$A$34,0)),DAY(EOMONTH($AD883,0)))),DATE(YEAR($AD883),MONTH($AD883)+1,MIN(INDEX(CARDS!$I$5:$I$34,MATCH($D883,CARDS!$A$5:$A$34,0)),DAY(EOMONTH($AD883,1)))))),""))</f>
        <v/>
      </c>
      <c r="U883" s="38" t="n"/>
      <c r="V883" s="37" t="n"/>
      <c r="W883" s="38" t="n"/>
      <c r="X883" s="38" t="n"/>
      <c r="Y883" s="44" t="str">
        <f>IF($AC883&gt;0,INDEX(CASHBACK_RULES!$A$5:$A$304,$AC883),"")</f>
        <v/>
      </c>
      <c r="Z883" s="45" t="str">
        <f>IF($AC883&gt;0,INDEX(CASHBACK_RULES!$E$5:$E$304,$AC883)&amp;"","")</f>
        <v/>
      </c>
      <c r="AA883" s="48" t="str">
        <f>IF($AC883&gt;0,IF(ISNUMBER(INDEX(CASHBACK_RULES!$K$5:$K$304,$AC883)),INDEX(CASHBACK_RULES!$K$5:$K$304,$AC883),"∞"),"")</f>
        <v/>
      </c>
      <c r="AB883" s="44" t="str">
        <f>IF(OR($B883="",$D883=""),"",IF($U883="Cancelled","Đã hủy",IF($AC883=0,"Không được hoàn",IF($Q883=0,IF(OR($O883&gt;0,$M883&lt;$L883),"Đã đạt cap","Không được hoàn"),IF(OR($Q883&lt;$O883,$M883&lt;$L883),"Hoàn một phần","Được hoàn")))))</f>
        <v/>
      </c>
      <c r="AC883" s="43">
        <f>IF(OR($B883="",$D883="",$I883="",$L883=""),0,IF($U883="Cancelled",0,IF($W883&lt;&gt;"",IFERROR(IF(INDEX(CASHBACK_RULES!$B$5:$B$304,MATCH($W883,CASHBACK_RULES!$A$5:$A$304,0))=$D883,MATCH($W883,CASHBACK_RULES!$A$5:$A$304,0),0),0),IFERROR(MATCH(1,INDEX((CASHBACK_RULES!$B$5:$B$304=$D883)*(CASHBACK_RULES!$G$5:$G$304=$I883)*(((CASHBACK_RULES!$N$5:$N$304="")+(CASHBACK_RULES!$N$5:$N$304&lt;=$B883))&gt;0)*(((CASHBACK_RULES!$O$5:$O$304="")+(CASHBACK_RULES!$O$5:$O$304&gt;=$B883))&gt;0)*(((CASHBACK_RULES!$M$5:$M$304="")+(CASHBACK_RULES!$M$5:$M$304&lt;=$L883))&gt;0),0),0),0))))</f>
        <v>0</v>
      </c>
      <c r="AD883" s="51" t="str">
        <f>IF(OR($B883="",$D883=""),"",IFERROR(IF(INDEX(CARDS!$H$5:$H$34,MATCH($D883,CARDS!$A$5:$A$34,0))="","",IF(DAY($B883)&lt;=INDEX(CARDS!$H$5:$H$34,MATCH($D883,CARDS!$A$5:$A$34,0)),DATE(YEAR($B883),MONTH($B883),MIN(INDEX(CARDS!$H$5:$H$34,MATCH($D883,CARDS!$A$5:$A$34,0)),DAY(EOMONTH($B883,0)))),DATE(YEAR($B883),MONTH($B883)+1,MIN(INDEX(CARDS!$H$5:$H$34,MATCH($D883,CARDS!$A$5:$A$34,0)),DAY(EOMONTH($B883,1)))))),""))</f>
        <v/>
      </c>
      <c r="AE883" s="52" t="str">
        <f>IF($C883="","",$C883&amp;"|"&amp;COUNTIF($C$5:$C883,$C883))</f>
        <v/>
      </c>
      <c r="AF883" s="53">
        <f>IF($AC883&gt;0,SUMIFS(Q$4:Q882,$D$4:$D882,$D883,$Z$4:$Z882,$Z883,$C$4:$C882,$C883),0)</f>
        <v>0</v>
      </c>
      <c r="AG883" s="53">
        <f>IF($AC883&gt;0,SUMIFS(Q$4:Q882,$D$4:$D882,$D883,$C$4:$C882,$C883),0)</f>
        <v>0</v>
      </c>
      <c r="AH883" s="53">
        <f>IF($AC883&gt;0,SUMIFS(M$4:M882,$D$4:$D882,$D883,$Z$4:$Z882,$Z883,$C$4:$C882,$C883),0)</f>
        <v>0</v>
      </c>
      <c r="AI883" s="43">
        <f>IF(OR($C883="",$I883=""),0,IF(COUNTIFS($C$5:$C883,$C883,$I$5:$I883,$I883)=1,1,0))</f>
        <v>0</v>
      </c>
      <c r="AJ883" s="43" t="str">
        <f>IF($AI883=1,SUMIFS($AI$4:$AI882,$C$4:$C882,$C883)+1,"")</f>
        <v/>
      </c>
      <c r="AK883" s="43">
        <f>IF(OR($C883="",$K883=""),0,IF(COUNTIFS($C$5:$C883,$C883,$K$5:$K883,$K883)=1,1,0))</f>
        <v>0</v>
      </c>
      <c r="AL883" s="43" t="str">
        <f>IF($AK883=1,SUMIFS($AK$4:$AK882,$C$4:$C882,$C883)+1,"")</f>
        <v/>
      </c>
      <c r="AM883" s="43">
        <f>IF(OR($C883="",$G883=""),0,IF(COUNTIFS($C$5:$C883,$C883,$G$5:$G883,$G883)=1,1,0))</f>
        <v>0</v>
      </c>
      <c r="AN883" s="43" t="str">
        <f>IF($AM883=1,SUMIFS($AM$4:$AM882,$C$4:$C882,$C883)+1,"")</f>
        <v/>
      </c>
    </row>
    <row r="884">
      <c r="A884" s="44" t="str">
        <f>IF(OR($B884="",$D884=""),"","TX"&amp;TEXT(ROW()-4,"0000"))</f>
        <v/>
      </c>
      <c r="B884" s="42" t="n"/>
      <c r="C884" s="47" t="str">
        <f>IF($B884="","",YEAR($B884)*100+MONTH($B884))</f>
        <v/>
      </c>
      <c r="D884" s="37" t="n"/>
      <c r="E884" s="45" t="str">
        <f>IF($D884="","",IFERROR(INDEX(CARDS!$B$5:$B$34,MATCH($D884,CARDS!$A$5:$A$34,0)),"⚠ Card ID?"))</f>
        <v/>
      </c>
      <c r="F884" s="45" t="str">
        <f>IF($D884="","",IFERROR(INDEX(CARDS!$C$5:$C$34,MATCH($D884,CARDS!$A$5:$A$34,0)),"⚠ Card ID?"))</f>
        <v/>
      </c>
      <c r="G884" s="37" t="n"/>
      <c r="H884" s="37" t="n"/>
      <c r="I884" s="41" t="n"/>
      <c r="J884" s="45" t="str">
        <f>IF($I884="","",IFERROR(INDEX(MCC_MASTER!$B$5:$B$504,MATCH($I884,MCC_MASTER!$A$5:$A$504,0)),"⚠ MCC chưa có"))</f>
        <v/>
      </c>
      <c r="K884" s="45" t="str">
        <f>IF($I884="","",IFERROR(IF(INDEX(MCC_MASTER!$C$5:$C$504,MATCH($I884,MCC_MASTER!$A$5:$A$504,0))="","Chưa phân loại",INDEX(MCC_MASTER!$C$5:$C$504,MATCH($I884,MCC_MASTER!$A$5:$A$504,0))),"Chưa phân loại"))</f>
        <v/>
      </c>
      <c r="L884" s="40" t="n"/>
      <c r="M884" s="48" t="str">
        <f>IF(OR($B884="",$D884=""),"",IF($AC884=0,0,IF(ISNUMBER(INDEX(CASHBACK_RULES!$L$5:$L$304,$AC884)),MAX(0,MIN($L884,INDEX(CASHBACK_RULES!$L$5:$L$304,$AC884)-$AH884)),MAX(0,$L884))))</f>
        <v/>
      </c>
      <c r="N884" s="49" t="str">
        <f>IF(OR($B884="",$D884=""),"",IF($AC884&gt;0,INDEX(CASHBACK_RULES!$I$5:$I$304,$AC884),0))</f>
        <v/>
      </c>
      <c r="O884" s="48" t="str">
        <f>IF(OR($B884="",$D884=""),"",ROUND($M884*$N884,0))</f>
        <v/>
      </c>
      <c r="P884" s="48" t="str">
        <f>IF($AC884&gt;0,IF(ISNUMBER(INDEX(CASHBACK_RULES!$J$5:$J$304,$AC884)),INDEX(CASHBACK_RULES!$J$5:$J$304,$AC884),"∞"),"")</f>
        <v/>
      </c>
      <c r="Q884" s="48" t="str">
        <f>IF(OR($B884="",$D884=""),"",IF($AC884=0,0,MAX(0,MIN($O884,IF(ISNUMBER($P884),$P884-$AF884,1E+15),IF(ISNUMBER($AA884),$AA884-$AG884,1E+15)))))</f>
        <v/>
      </c>
      <c r="R884" s="48" t="str">
        <f>IF(OR($B884="",$D884=""),"",IF($AC884=0,"",IF(AND(NOT(ISNUMBER($P884)),NOT(ISNUMBER($AA884))),"∞",MAX(0,MIN(IF(ISNUMBER($P884),$P884-$AF884-$Q884,1E+15),IF(ISNUMBER($AA884),$AA884-$AG884-$Q884,1E+15))))))</f>
        <v/>
      </c>
      <c r="S884" s="47" t="str">
        <f>IF($AD884="","",YEAR($AD884)*100+MONTH($AD884))</f>
        <v/>
      </c>
      <c r="T884" s="50" t="str">
        <f>IF($AD884="","",IFERROR(IF(INDEX(CARDS!$I$5:$I$34,MATCH($D884,CARDS!$A$5:$A$34,0))="","",IF(INDEX(CARDS!$I$5:$I$34,MATCH($D884,CARDS!$A$5:$A$34,0))&gt;INDEX(CARDS!$H$5:$H$34,MATCH($D884,CARDS!$A$5:$A$34,0)),DATE(YEAR($AD884),MONTH($AD884),MIN(INDEX(CARDS!$I$5:$I$34,MATCH($D884,CARDS!$A$5:$A$34,0)),DAY(EOMONTH($AD884,0)))),DATE(YEAR($AD884),MONTH($AD884)+1,MIN(INDEX(CARDS!$I$5:$I$34,MATCH($D884,CARDS!$A$5:$A$34,0)),DAY(EOMONTH($AD884,1)))))),""))</f>
        <v/>
      </c>
      <c r="U884" s="38" t="n"/>
      <c r="V884" s="37" t="n"/>
      <c r="W884" s="38" t="n"/>
      <c r="X884" s="38" t="n"/>
      <c r="Y884" s="44" t="str">
        <f>IF($AC884&gt;0,INDEX(CASHBACK_RULES!$A$5:$A$304,$AC884),"")</f>
        <v/>
      </c>
      <c r="Z884" s="45" t="str">
        <f>IF($AC884&gt;0,INDEX(CASHBACK_RULES!$E$5:$E$304,$AC884)&amp;"","")</f>
        <v/>
      </c>
      <c r="AA884" s="48" t="str">
        <f>IF($AC884&gt;0,IF(ISNUMBER(INDEX(CASHBACK_RULES!$K$5:$K$304,$AC884)),INDEX(CASHBACK_RULES!$K$5:$K$304,$AC884),"∞"),"")</f>
        <v/>
      </c>
      <c r="AB884" s="44" t="str">
        <f>IF(OR($B884="",$D884=""),"",IF($U884="Cancelled","Đã hủy",IF($AC884=0,"Không được hoàn",IF($Q884=0,IF(OR($O884&gt;0,$M884&lt;$L884),"Đã đạt cap","Không được hoàn"),IF(OR($Q884&lt;$O884,$M884&lt;$L884),"Hoàn một phần","Được hoàn")))))</f>
        <v/>
      </c>
      <c r="AC884" s="43">
        <f>IF(OR($B884="",$D884="",$I884="",$L884=""),0,IF($U884="Cancelled",0,IF($W884&lt;&gt;"",IFERROR(IF(INDEX(CASHBACK_RULES!$B$5:$B$304,MATCH($W884,CASHBACK_RULES!$A$5:$A$304,0))=$D884,MATCH($W884,CASHBACK_RULES!$A$5:$A$304,0),0),0),IFERROR(MATCH(1,INDEX((CASHBACK_RULES!$B$5:$B$304=$D884)*(CASHBACK_RULES!$G$5:$G$304=$I884)*(((CASHBACK_RULES!$N$5:$N$304="")+(CASHBACK_RULES!$N$5:$N$304&lt;=$B884))&gt;0)*(((CASHBACK_RULES!$O$5:$O$304="")+(CASHBACK_RULES!$O$5:$O$304&gt;=$B884))&gt;0)*(((CASHBACK_RULES!$M$5:$M$304="")+(CASHBACK_RULES!$M$5:$M$304&lt;=$L884))&gt;0),0),0),0))))</f>
        <v>0</v>
      </c>
      <c r="AD884" s="51" t="str">
        <f>IF(OR($B884="",$D884=""),"",IFERROR(IF(INDEX(CARDS!$H$5:$H$34,MATCH($D884,CARDS!$A$5:$A$34,0))="","",IF(DAY($B884)&lt;=INDEX(CARDS!$H$5:$H$34,MATCH($D884,CARDS!$A$5:$A$34,0)),DATE(YEAR($B884),MONTH($B884),MIN(INDEX(CARDS!$H$5:$H$34,MATCH($D884,CARDS!$A$5:$A$34,0)),DAY(EOMONTH($B884,0)))),DATE(YEAR($B884),MONTH($B884)+1,MIN(INDEX(CARDS!$H$5:$H$34,MATCH($D884,CARDS!$A$5:$A$34,0)),DAY(EOMONTH($B884,1)))))),""))</f>
        <v/>
      </c>
      <c r="AE884" s="52" t="str">
        <f>IF($C884="","",$C884&amp;"|"&amp;COUNTIF($C$5:$C884,$C884))</f>
        <v/>
      </c>
      <c r="AF884" s="53">
        <f>IF($AC884&gt;0,SUMIFS(Q$4:Q883,$D$4:$D883,$D884,$Z$4:$Z883,$Z884,$C$4:$C883,$C884),0)</f>
        <v>0</v>
      </c>
      <c r="AG884" s="53">
        <f>IF($AC884&gt;0,SUMIFS(Q$4:Q883,$D$4:$D883,$D884,$C$4:$C883,$C884),0)</f>
        <v>0</v>
      </c>
      <c r="AH884" s="53">
        <f>IF($AC884&gt;0,SUMIFS(M$4:M883,$D$4:$D883,$D884,$Z$4:$Z883,$Z884,$C$4:$C883,$C884),0)</f>
        <v>0</v>
      </c>
      <c r="AI884" s="43">
        <f>IF(OR($C884="",$I884=""),0,IF(COUNTIFS($C$5:$C884,$C884,$I$5:$I884,$I884)=1,1,0))</f>
        <v>0</v>
      </c>
      <c r="AJ884" s="43" t="str">
        <f>IF($AI884=1,SUMIFS($AI$4:$AI883,$C$4:$C883,$C884)+1,"")</f>
        <v/>
      </c>
      <c r="AK884" s="43">
        <f>IF(OR($C884="",$K884=""),0,IF(COUNTIFS($C$5:$C884,$C884,$K$5:$K884,$K884)=1,1,0))</f>
        <v>0</v>
      </c>
      <c r="AL884" s="43" t="str">
        <f>IF($AK884=1,SUMIFS($AK$4:$AK883,$C$4:$C883,$C884)+1,"")</f>
        <v/>
      </c>
      <c r="AM884" s="43">
        <f>IF(OR($C884="",$G884=""),0,IF(COUNTIFS($C$5:$C884,$C884,$G$5:$G884,$G884)=1,1,0))</f>
        <v>0</v>
      </c>
      <c r="AN884" s="43" t="str">
        <f>IF($AM884=1,SUMIFS($AM$4:$AM883,$C$4:$C883,$C884)+1,"")</f>
        <v/>
      </c>
    </row>
    <row r="885">
      <c r="A885" s="44" t="str">
        <f>IF(OR($B885="",$D885=""),"","TX"&amp;TEXT(ROW()-4,"0000"))</f>
        <v/>
      </c>
      <c r="B885" s="42" t="n"/>
      <c r="C885" s="47" t="str">
        <f>IF($B885="","",YEAR($B885)*100+MONTH($B885))</f>
        <v/>
      </c>
      <c r="D885" s="37" t="n"/>
      <c r="E885" s="45" t="str">
        <f>IF($D885="","",IFERROR(INDEX(CARDS!$B$5:$B$34,MATCH($D885,CARDS!$A$5:$A$34,0)),"⚠ Card ID?"))</f>
        <v/>
      </c>
      <c r="F885" s="45" t="str">
        <f>IF($D885="","",IFERROR(INDEX(CARDS!$C$5:$C$34,MATCH($D885,CARDS!$A$5:$A$34,0)),"⚠ Card ID?"))</f>
        <v/>
      </c>
      <c r="G885" s="37" t="n"/>
      <c r="H885" s="37" t="n"/>
      <c r="I885" s="41" t="n"/>
      <c r="J885" s="45" t="str">
        <f>IF($I885="","",IFERROR(INDEX(MCC_MASTER!$B$5:$B$504,MATCH($I885,MCC_MASTER!$A$5:$A$504,0)),"⚠ MCC chưa có"))</f>
        <v/>
      </c>
      <c r="K885" s="45" t="str">
        <f>IF($I885="","",IFERROR(IF(INDEX(MCC_MASTER!$C$5:$C$504,MATCH($I885,MCC_MASTER!$A$5:$A$504,0))="","Chưa phân loại",INDEX(MCC_MASTER!$C$5:$C$504,MATCH($I885,MCC_MASTER!$A$5:$A$504,0))),"Chưa phân loại"))</f>
        <v/>
      </c>
      <c r="L885" s="40" t="n"/>
      <c r="M885" s="48" t="str">
        <f>IF(OR($B885="",$D885=""),"",IF($AC885=0,0,IF(ISNUMBER(INDEX(CASHBACK_RULES!$L$5:$L$304,$AC885)),MAX(0,MIN($L885,INDEX(CASHBACK_RULES!$L$5:$L$304,$AC885)-$AH885)),MAX(0,$L885))))</f>
        <v/>
      </c>
      <c r="N885" s="49" t="str">
        <f>IF(OR($B885="",$D885=""),"",IF($AC885&gt;0,INDEX(CASHBACK_RULES!$I$5:$I$304,$AC885),0))</f>
        <v/>
      </c>
      <c r="O885" s="48" t="str">
        <f>IF(OR($B885="",$D885=""),"",ROUND($M885*$N885,0))</f>
        <v/>
      </c>
      <c r="P885" s="48" t="str">
        <f>IF($AC885&gt;0,IF(ISNUMBER(INDEX(CASHBACK_RULES!$J$5:$J$304,$AC885)),INDEX(CASHBACK_RULES!$J$5:$J$304,$AC885),"∞"),"")</f>
        <v/>
      </c>
      <c r="Q885" s="48" t="str">
        <f>IF(OR($B885="",$D885=""),"",IF($AC885=0,0,MAX(0,MIN($O885,IF(ISNUMBER($P885),$P885-$AF885,1E+15),IF(ISNUMBER($AA885),$AA885-$AG885,1E+15)))))</f>
        <v/>
      </c>
      <c r="R885" s="48" t="str">
        <f>IF(OR($B885="",$D885=""),"",IF($AC885=0,"",IF(AND(NOT(ISNUMBER($P885)),NOT(ISNUMBER($AA885))),"∞",MAX(0,MIN(IF(ISNUMBER($P885),$P885-$AF885-$Q885,1E+15),IF(ISNUMBER($AA885),$AA885-$AG885-$Q885,1E+15))))))</f>
        <v/>
      </c>
      <c r="S885" s="47" t="str">
        <f>IF($AD885="","",YEAR($AD885)*100+MONTH($AD885))</f>
        <v/>
      </c>
      <c r="T885" s="50" t="str">
        <f>IF($AD885="","",IFERROR(IF(INDEX(CARDS!$I$5:$I$34,MATCH($D885,CARDS!$A$5:$A$34,0))="","",IF(INDEX(CARDS!$I$5:$I$34,MATCH($D885,CARDS!$A$5:$A$34,0))&gt;INDEX(CARDS!$H$5:$H$34,MATCH($D885,CARDS!$A$5:$A$34,0)),DATE(YEAR($AD885),MONTH($AD885),MIN(INDEX(CARDS!$I$5:$I$34,MATCH($D885,CARDS!$A$5:$A$34,0)),DAY(EOMONTH($AD885,0)))),DATE(YEAR($AD885),MONTH($AD885)+1,MIN(INDEX(CARDS!$I$5:$I$34,MATCH($D885,CARDS!$A$5:$A$34,0)),DAY(EOMONTH($AD885,1)))))),""))</f>
        <v/>
      </c>
      <c r="U885" s="38" t="n"/>
      <c r="V885" s="37" t="n"/>
      <c r="W885" s="38" t="n"/>
      <c r="X885" s="38" t="n"/>
      <c r="Y885" s="44" t="str">
        <f>IF($AC885&gt;0,INDEX(CASHBACK_RULES!$A$5:$A$304,$AC885),"")</f>
        <v/>
      </c>
      <c r="Z885" s="45" t="str">
        <f>IF($AC885&gt;0,INDEX(CASHBACK_RULES!$E$5:$E$304,$AC885)&amp;"","")</f>
        <v/>
      </c>
      <c r="AA885" s="48" t="str">
        <f>IF($AC885&gt;0,IF(ISNUMBER(INDEX(CASHBACK_RULES!$K$5:$K$304,$AC885)),INDEX(CASHBACK_RULES!$K$5:$K$304,$AC885),"∞"),"")</f>
        <v/>
      </c>
      <c r="AB885" s="44" t="str">
        <f>IF(OR($B885="",$D885=""),"",IF($U885="Cancelled","Đã hủy",IF($AC885=0,"Không được hoàn",IF($Q885=0,IF(OR($O885&gt;0,$M885&lt;$L885),"Đã đạt cap","Không được hoàn"),IF(OR($Q885&lt;$O885,$M885&lt;$L885),"Hoàn một phần","Được hoàn")))))</f>
        <v/>
      </c>
      <c r="AC885" s="43">
        <f>IF(OR($B885="",$D885="",$I885="",$L885=""),0,IF($U885="Cancelled",0,IF($W885&lt;&gt;"",IFERROR(IF(INDEX(CASHBACK_RULES!$B$5:$B$304,MATCH($W885,CASHBACK_RULES!$A$5:$A$304,0))=$D885,MATCH($W885,CASHBACK_RULES!$A$5:$A$304,0),0),0),IFERROR(MATCH(1,INDEX((CASHBACK_RULES!$B$5:$B$304=$D885)*(CASHBACK_RULES!$G$5:$G$304=$I885)*(((CASHBACK_RULES!$N$5:$N$304="")+(CASHBACK_RULES!$N$5:$N$304&lt;=$B885))&gt;0)*(((CASHBACK_RULES!$O$5:$O$304="")+(CASHBACK_RULES!$O$5:$O$304&gt;=$B885))&gt;0)*(((CASHBACK_RULES!$M$5:$M$304="")+(CASHBACK_RULES!$M$5:$M$304&lt;=$L885))&gt;0),0),0),0))))</f>
        <v>0</v>
      </c>
      <c r="AD885" s="51" t="str">
        <f>IF(OR($B885="",$D885=""),"",IFERROR(IF(INDEX(CARDS!$H$5:$H$34,MATCH($D885,CARDS!$A$5:$A$34,0))="","",IF(DAY($B885)&lt;=INDEX(CARDS!$H$5:$H$34,MATCH($D885,CARDS!$A$5:$A$34,0)),DATE(YEAR($B885),MONTH($B885),MIN(INDEX(CARDS!$H$5:$H$34,MATCH($D885,CARDS!$A$5:$A$34,0)),DAY(EOMONTH($B885,0)))),DATE(YEAR($B885),MONTH($B885)+1,MIN(INDEX(CARDS!$H$5:$H$34,MATCH($D885,CARDS!$A$5:$A$34,0)),DAY(EOMONTH($B885,1)))))),""))</f>
        <v/>
      </c>
      <c r="AE885" s="52" t="str">
        <f>IF($C885="","",$C885&amp;"|"&amp;COUNTIF($C$5:$C885,$C885))</f>
        <v/>
      </c>
      <c r="AF885" s="53">
        <f>IF($AC885&gt;0,SUMIFS(Q$4:Q884,$D$4:$D884,$D885,$Z$4:$Z884,$Z885,$C$4:$C884,$C885),0)</f>
        <v>0</v>
      </c>
      <c r="AG885" s="53">
        <f>IF($AC885&gt;0,SUMIFS(Q$4:Q884,$D$4:$D884,$D885,$C$4:$C884,$C885),0)</f>
        <v>0</v>
      </c>
      <c r="AH885" s="53">
        <f>IF($AC885&gt;0,SUMIFS(M$4:M884,$D$4:$D884,$D885,$Z$4:$Z884,$Z885,$C$4:$C884,$C885),0)</f>
        <v>0</v>
      </c>
      <c r="AI885" s="43">
        <f>IF(OR($C885="",$I885=""),0,IF(COUNTIFS($C$5:$C885,$C885,$I$5:$I885,$I885)=1,1,0))</f>
        <v>0</v>
      </c>
      <c r="AJ885" s="43" t="str">
        <f>IF($AI885=1,SUMIFS($AI$4:$AI884,$C$4:$C884,$C885)+1,"")</f>
        <v/>
      </c>
      <c r="AK885" s="43">
        <f>IF(OR($C885="",$K885=""),0,IF(COUNTIFS($C$5:$C885,$C885,$K$5:$K885,$K885)=1,1,0))</f>
        <v>0</v>
      </c>
      <c r="AL885" s="43" t="str">
        <f>IF($AK885=1,SUMIFS($AK$4:$AK884,$C$4:$C884,$C885)+1,"")</f>
        <v/>
      </c>
      <c r="AM885" s="43">
        <f>IF(OR($C885="",$G885=""),0,IF(COUNTIFS($C$5:$C885,$C885,$G$5:$G885,$G885)=1,1,0))</f>
        <v>0</v>
      </c>
      <c r="AN885" s="43" t="str">
        <f>IF($AM885=1,SUMIFS($AM$4:$AM884,$C$4:$C884,$C885)+1,"")</f>
        <v/>
      </c>
    </row>
    <row r="886">
      <c r="A886" s="44" t="str">
        <f>IF(OR($B886="",$D886=""),"","TX"&amp;TEXT(ROW()-4,"0000"))</f>
        <v/>
      </c>
      <c r="B886" s="42" t="n"/>
      <c r="C886" s="47" t="str">
        <f>IF($B886="","",YEAR($B886)*100+MONTH($B886))</f>
        <v/>
      </c>
      <c r="D886" s="37" t="n"/>
      <c r="E886" s="45" t="str">
        <f>IF($D886="","",IFERROR(INDEX(CARDS!$B$5:$B$34,MATCH($D886,CARDS!$A$5:$A$34,0)),"⚠ Card ID?"))</f>
        <v/>
      </c>
      <c r="F886" s="45" t="str">
        <f>IF($D886="","",IFERROR(INDEX(CARDS!$C$5:$C$34,MATCH($D886,CARDS!$A$5:$A$34,0)),"⚠ Card ID?"))</f>
        <v/>
      </c>
      <c r="G886" s="37" t="n"/>
      <c r="H886" s="37" t="n"/>
      <c r="I886" s="41" t="n"/>
      <c r="J886" s="45" t="str">
        <f>IF($I886="","",IFERROR(INDEX(MCC_MASTER!$B$5:$B$504,MATCH($I886,MCC_MASTER!$A$5:$A$504,0)),"⚠ MCC chưa có"))</f>
        <v/>
      </c>
      <c r="K886" s="45" t="str">
        <f>IF($I886="","",IFERROR(IF(INDEX(MCC_MASTER!$C$5:$C$504,MATCH($I886,MCC_MASTER!$A$5:$A$504,0))="","Chưa phân loại",INDEX(MCC_MASTER!$C$5:$C$504,MATCH($I886,MCC_MASTER!$A$5:$A$504,0))),"Chưa phân loại"))</f>
        <v/>
      </c>
      <c r="L886" s="40" t="n"/>
      <c r="M886" s="48" t="str">
        <f>IF(OR($B886="",$D886=""),"",IF($AC886=0,0,IF(ISNUMBER(INDEX(CASHBACK_RULES!$L$5:$L$304,$AC886)),MAX(0,MIN($L886,INDEX(CASHBACK_RULES!$L$5:$L$304,$AC886)-$AH886)),MAX(0,$L886))))</f>
        <v/>
      </c>
      <c r="N886" s="49" t="str">
        <f>IF(OR($B886="",$D886=""),"",IF($AC886&gt;0,INDEX(CASHBACK_RULES!$I$5:$I$304,$AC886),0))</f>
        <v/>
      </c>
      <c r="O886" s="48" t="str">
        <f>IF(OR($B886="",$D886=""),"",ROUND($M886*$N886,0))</f>
        <v/>
      </c>
      <c r="P886" s="48" t="str">
        <f>IF($AC886&gt;0,IF(ISNUMBER(INDEX(CASHBACK_RULES!$J$5:$J$304,$AC886)),INDEX(CASHBACK_RULES!$J$5:$J$304,$AC886),"∞"),"")</f>
        <v/>
      </c>
      <c r="Q886" s="48" t="str">
        <f>IF(OR($B886="",$D886=""),"",IF($AC886=0,0,MAX(0,MIN($O886,IF(ISNUMBER($P886),$P886-$AF886,1E+15),IF(ISNUMBER($AA886),$AA886-$AG886,1E+15)))))</f>
        <v/>
      </c>
      <c r="R886" s="48" t="str">
        <f>IF(OR($B886="",$D886=""),"",IF($AC886=0,"",IF(AND(NOT(ISNUMBER($P886)),NOT(ISNUMBER($AA886))),"∞",MAX(0,MIN(IF(ISNUMBER($P886),$P886-$AF886-$Q886,1E+15),IF(ISNUMBER($AA886),$AA886-$AG886-$Q886,1E+15))))))</f>
        <v/>
      </c>
      <c r="S886" s="47" t="str">
        <f>IF($AD886="","",YEAR($AD886)*100+MONTH($AD886))</f>
        <v/>
      </c>
      <c r="T886" s="50" t="str">
        <f>IF($AD886="","",IFERROR(IF(INDEX(CARDS!$I$5:$I$34,MATCH($D886,CARDS!$A$5:$A$34,0))="","",IF(INDEX(CARDS!$I$5:$I$34,MATCH($D886,CARDS!$A$5:$A$34,0))&gt;INDEX(CARDS!$H$5:$H$34,MATCH($D886,CARDS!$A$5:$A$34,0)),DATE(YEAR($AD886),MONTH($AD886),MIN(INDEX(CARDS!$I$5:$I$34,MATCH($D886,CARDS!$A$5:$A$34,0)),DAY(EOMONTH($AD886,0)))),DATE(YEAR($AD886),MONTH($AD886)+1,MIN(INDEX(CARDS!$I$5:$I$34,MATCH($D886,CARDS!$A$5:$A$34,0)),DAY(EOMONTH($AD886,1)))))),""))</f>
        <v/>
      </c>
      <c r="U886" s="38" t="n"/>
      <c r="V886" s="37" t="n"/>
      <c r="W886" s="38" t="n"/>
      <c r="X886" s="38" t="n"/>
      <c r="Y886" s="44" t="str">
        <f>IF($AC886&gt;0,INDEX(CASHBACK_RULES!$A$5:$A$304,$AC886),"")</f>
        <v/>
      </c>
      <c r="Z886" s="45" t="str">
        <f>IF($AC886&gt;0,INDEX(CASHBACK_RULES!$E$5:$E$304,$AC886)&amp;"","")</f>
        <v/>
      </c>
      <c r="AA886" s="48" t="str">
        <f>IF($AC886&gt;0,IF(ISNUMBER(INDEX(CASHBACK_RULES!$K$5:$K$304,$AC886)),INDEX(CASHBACK_RULES!$K$5:$K$304,$AC886),"∞"),"")</f>
        <v/>
      </c>
      <c r="AB886" s="44" t="str">
        <f>IF(OR($B886="",$D886=""),"",IF($U886="Cancelled","Đã hủy",IF($AC886=0,"Không được hoàn",IF($Q886=0,IF(OR($O886&gt;0,$M886&lt;$L886),"Đã đạt cap","Không được hoàn"),IF(OR($Q886&lt;$O886,$M886&lt;$L886),"Hoàn một phần","Được hoàn")))))</f>
        <v/>
      </c>
      <c r="AC886" s="43">
        <f>IF(OR($B886="",$D886="",$I886="",$L886=""),0,IF($U886="Cancelled",0,IF($W886&lt;&gt;"",IFERROR(IF(INDEX(CASHBACK_RULES!$B$5:$B$304,MATCH($W886,CASHBACK_RULES!$A$5:$A$304,0))=$D886,MATCH($W886,CASHBACK_RULES!$A$5:$A$304,0),0),0),IFERROR(MATCH(1,INDEX((CASHBACK_RULES!$B$5:$B$304=$D886)*(CASHBACK_RULES!$G$5:$G$304=$I886)*(((CASHBACK_RULES!$N$5:$N$304="")+(CASHBACK_RULES!$N$5:$N$304&lt;=$B886))&gt;0)*(((CASHBACK_RULES!$O$5:$O$304="")+(CASHBACK_RULES!$O$5:$O$304&gt;=$B886))&gt;0)*(((CASHBACK_RULES!$M$5:$M$304="")+(CASHBACK_RULES!$M$5:$M$304&lt;=$L886))&gt;0),0),0),0))))</f>
        <v>0</v>
      </c>
      <c r="AD886" s="51" t="str">
        <f>IF(OR($B886="",$D886=""),"",IFERROR(IF(INDEX(CARDS!$H$5:$H$34,MATCH($D886,CARDS!$A$5:$A$34,0))="","",IF(DAY($B886)&lt;=INDEX(CARDS!$H$5:$H$34,MATCH($D886,CARDS!$A$5:$A$34,0)),DATE(YEAR($B886),MONTH($B886),MIN(INDEX(CARDS!$H$5:$H$34,MATCH($D886,CARDS!$A$5:$A$34,0)),DAY(EOMONTH($B886,0)))),DATE(YEAR($B886),MONTH($B886)+1,MIN(INDEX(CARDS!$H$5:$H$34,MATCH($D886,CARDS!$A$5:$A$34,0)),DAY(EOMONTH($B886,1)))))),""))</f>
        <v/>
      </c>
      <c r="AE886" s="52" t="str">
        <f>IF($C886="","",$C886&amp;"|"&amp;COUNTIF($C$5:$C886,$C886))</f>
        <v/>
      </c>
      <c r="AF886" s="53">
        <f>IF($AC886&gt;0,SUMIFS(Q$4:Q885,$D$4:$D885,$D886,$Z$4:$Z885,$Z886,$C$4:$C885,$C886),0)</f>
        <v>0</v>
      </c>
      <c r="AG886" s="53">
        <f>IF($AC886&gt;0,SUMIFS(Q$4:Q885,$D$4:$D885,$D886,$C$4:$C885,$C886),0)</f>
        <v>0</v>
      </c>
      <c r="AH886" s="53">
        <f>IF($AC886&gt;0,SUMIFS(M$4:M885,$D$4:$D885,$D886,$Z$4:$Z885,$Z886,$C$4:$C885,$C886),0)</f>
        <v>0</v>
      </c>
      <c r="AI886" s="43">
        <f>IF(OR($C886="",$I886=""),0,IF(COUNTIFS($C$5:$C886,$C886,$I$5:$I886,$I886)=1,1,0))</f>
        <v>0</v>
      </c>
      <c r="AJ886" s="43" t="str">
        <f>IF($AI886=1,SUMIFS($AI$4:$AI885,$C$4:$C885,$C886)+1,"")</f>
        <v/>
      </c>
      <c r="AK886" s="43">
        <f>IF(OR($C886="",$K886=""),0,IF(COUNTIFS($C$5:$C886,$C886,$K$5:$K886,$K886)=1,1,0))</f>
        <v>0</v>
      </c>
      <c r="AL886" s="43" t="str">
        <f>IF($AK886=1,SUMIFS($AK$4:$AK885,$C$4:$C885,$C886)+1,"")</f>
        <v/>
      </c>
      <c r="AM886" s="43">
        <f>IF(OR($C886="",$G886=""),0,IF(COUNTIFS($C$5:$C886,$C886,$G$5:$G886,$G886)=1,1,0))</f>
        <v>0</v>
      </c>
      <c r="AN886" s="43" t="str">
        <f>IF($AM886=1,SUMIFS($AM$4:$AM885,$C$4:$C885,$C886)+1,"")</f>
        <v/>
      </c>
    </row>
    <row r="887">
      <c r="A887" s="44" t="str">
        <f>IF(OR($B887="",$D887=""),"","TX"&amp;TEXT(ROW()-4,"0000"))</f>
        <v/>
      </c>
      <c r="B887" s="42" t="n"/>
      <c r="C887" s="47" t="str">
        <f>IF($B887="","",YEAR($B887)*100+MONTH($B887))</f>
        <v/>
      </c>
      <c r="D887" s="37" t="n"/>
      <c r="E887" s="45" t="str">
        <f>IF($D887="","",IFERROR(INDEX(CARDS!$B$5:$B$34,MATCH($D887,CARDS!$A$5:$A$34,0)),"⚠ Card ID?"))</f>
        <v/>
      </c>
      <c r="F887" s="45" t="str">
        <f>IF($D887="","",IFERROR(INDEX(CARDS!$C$5:$C$34,MATCH($D887,CARDS!$A$5:$A$34,0)),"⚠ Card ID?"))</f>
        <v/>
      </c>
      <c r="G887" s="37" t="n"/>
      <c r="H887" s="37" t="n"/>
      <c r="I887" s="41" t="n"/>
      <c r="J887" s="45" t="str">
        <f>IF($I887="","",IFERROR(INDEX(MCC_MASTER!$B$5:$B$504,MATCH($I887,MCC_MASTER!$A$5:$A$504,0)),"⚠ MCC chưa có"))</f>
        <v/>
      </c>
      <c r="K887" s="45" t="str">
        <f>IF($I887="","",IFERROR(IF(INDEX(MCC_MASTER!$C$5:$C$504,MATCH($I887,MCC_MASTER!$A$5:$A$504,0))="","Chưa phân loại",INDEX(MCC_MASTER!$C$5:$C$504,MATCH($I887,MCC_MASTER!$A$5:$A$504,0))),"Chưa phân loại"))</f>
        <v/>
      </c>
      <c r="L887" s="40" t="n"/>
      <c r="M887" s="48" t="str">
        <f>IF(OR($B887="",$D887=""),"",IF($AC887=0,0,IF(ISNUMBER(INDEX(CASHBACK_RULES!$L$5:$L$304,$AC887)),MAX(0,MIN($L887,INDEX(CASHBACK_RULES!$L$5:$L$304,$AC887)-$AH887)),MAX(0,$L887))))</f>
        <v/>
      </c>
      <c r="N887" s="49" t="str">
        <f>IF(OR($B887="",$D887=""),"",IF($AC887&gt;0,INDEX(CASHBACK_RULES!$I$5:$I$304,$AC887),0))</f>
        <v/>
      </c>
      <c r="O887" s="48" t="str">
        <f>IF(OR($B887="",$D887=""),"",ROUND($M887*$N887,0))</f>
        <v/>
      </c>
      <c r="P887" s="48" t="str">
        <f>IF($AC887&gt;0,IF(ISNUMBER(INDEX(CASHBACK_RULES!$J$5:$J$304,$AC887)),INDEX(CASHBACK_RULES!$J$5:$J$304,$AC887),"∞"),"")</f>
        <v/>
      </c>
      <c r="Q887" s="48" t="str">
        <f>IF(OR($B887="",$D887=""),"",IF($AC887=0,0,MAX(0,MIN($O887,IF(ISNUMBER($P887),$P887-$AF887,1E+15),IF(ISNUMBER($AA887),$AA887-$AG887,1E+15)))))</f>
        <v/>
      </c>
      <c r="R887" s="48" t="str">
        <f>IF(OR($B887="",$D887=""),"",IF($AC887=0,"",IF(AND(NOT(ISNUMBER($P887)),NOT(ISNUMBER($AA887))),"∞",MAX(0,MIN(IF(ISNUMBER($P887),$P887-$AF887-$Q887,1E+15),IF(ISNUMBER($AA887),$AA887-$AG887-$Q887,1E+15))))))</f>
        <v/>
      </c>
      <c r="S887" s="47" t="str">
        <f>IF($AD887="","",YEAR($AD887)*100+MONTH($AD887))</f>
        <v/>
      </c>
      <c r="T887" s="50" t="str">
        <f>IF($AD887="","",IFERROR(IF(INDEX(CARDS!$I$5:$I$34,MATCH($D887,CARDS!$A$5:$A$34,0))="","",IF(INDEX(CARDS!$I$5:$I$34,MATCH($D887,CARDS!$A$5:$A$34,0))&gt;INDEX(CARDS!$H$5:$H$34,MATCH($D887,CARDS!$A$5:$A$34,0)),DATE(YEAR($AD887),MONTH($AD887),MIN(INDEX(CARDS!$I$5:$I$34,MATCH($D887,CARDS!$A$5:$A$34,0)),DAY(EOMONTH($AD887,0)))),DATE(YEAR($AD887),MONTH($AD887)+1,MIN(INDEX(CARDS!$I$5:$I$34,MATCH($D887,CARDS!$A$5:$A$34,0)),DAY(EOMONTH($AD887,1)))))),""))</f>
        <v/>
      </c>
      <c r="U887" s="38" t="n"/>
      <c r="V887" s="37" t="n"/>
      <c r="W887" s="38" t="n"/>
      <c r="X887" s="38" t="n"/>
      <c r="Y887" s="44" t="str">
        <f>IF($AC887&gt;0,INDEX(CASHBACK_RULES!$A$5:$A$304,$AC887),"")</f>
        <v/>
      </c>
      <c r="Z887" s="45" t="str">
        <f>IF($AC887&gt;0,INDEX(CASHBACK_RULES!$E$5:$E$304,$AC887)&amp;"","")</f>
        <v/>
      </c>
      <c r="AA887" s="48" t="str">
        <f>IF($AC887&gt;0,IF(ISNUMBER(INDEX(CASHBACK_RULES!$K$5:$K$304,$AC887)),INDEX(CASHBACK_RULES!$K$5:$K$304,$AC887),"∞"),"")</f>
        <v/>
      </c>
      <c r="AB887" s="44" t="str">
        <f>IF(OR($B887="",$D887=""),"",IF($U887="Cancelled","Đã hủy",IF($AC887=0,"Không được hoàn",IF($Q887=0,IF(OR($O887&gt;0,$M887&lt;$L887),"Đã đạt cap","Không được hoàn"),IF(OR($Q887&lt;$O887,$M887&lt;$L887),"Hoàn một phần","Được hoàn")))))</f>
        <v/>
      </c>
      <c r="AC887" s="43">
        <f>IF(OR($B887="",$D887="",$I887="",$L887=""),0,IF($U887="Cancelled",0,IF($W887&lt;&gt;"",IFERROR(IF(INDEX(CASHBACK_RULES!$B$5:$B$304,MATCH($W887,CASHBACK_RULES!$A$5:$A$304,0))=$D887,MATCH($W887,CASHBACK_RULES!$A$5:$A$304,0),0),0),IFERROR(MATCH(1,INDEX((CASHBACK_RULES!$B$5:$B$304=$D887)*(CASHBACK_RULES!$G$5:$G$304=$I887)*(((CASHBACK_RULES!$N$5:$N$304="")+(CASHBACK_RULES!$N$5:$N$304&lt;=$B887))&gt;0)*(((CASHBACK_RULES!$O$5:$O$304="")+(CASHBACK_RULES!$O$5:$O$304&gt;=$B887))&gt;0)*(((CASHBACK_RULES!$M$5:$M$304="")+(CASHBACK_RULES!$M$5:$M$304&lt;=$L887))&gt;0),0),0),0))))</f>
        <v>0</v>
      </c>
      <c r="AD887" s="51" t="str">
        <f>IF(OR($B887="",$D887=""),"",IFERROR(IF(INDEX(CARDS!$H$5:$H$34,MATCH($D887,CARDS!$A$5:$A$34,0))="","",IF(DAY($B887)&lt;=INDEX(CARDS!$H$5:$H$34,MATCH($D887,CARDS!$A$5:$A$34,0)),DATE(YEAR($B887),MONTH($B887),MIN(INDEX(CARDS!$H$5:$H$34,MATCH($D887,CARDS!$A$5:$A$34,0)),DAY(EOMONTH($B887,0)))),DATE(YEAR($B887),MONTH($B887)+1,MIN(INDEX(CARDS!$H$5:$H$34,MATCH($D887,CARDS!$A$5:$A$34,0)),DAY(EOMONTH($B887,1)))))),""))</f>
        <v/>
      </c>
      <c r="AE887" s="52" t="str">
        <f>IF($C887="","",$C887&amp;"|"&amp;COUNTIF($C$5:$C887,$C887))</f>
        <v/>
      </c>
      <c r="AF887" s="53">
        <f>IF($AC887&gt;0,SUMIFS(Q$4:Q886,$D$4:$D886,$D887,$Z$4:$Z886,$Z887,$C$4:$C886,$C887),0)</f>
        <v>0</v>
      </c>
      <c r="AG887" s="53">
        <f>IF($AC887&gt;0,SUMIFS(Q$4:Q886,$D$4:$D886,$D887,$C$4:$C886,$C887),0)</f>
        <v>0</v>
      </c>
      <c r="AH887" s="53">
        <f>IF($AC887&gt;0,SUMIFS(M$4:M886,$D$4:$D886,$D887,$Z$4:$Z886,$Z887,$C$4:$C886,$C887),0)</f>
        <v>0</v>
      </c>
      <c r="AI887" s="43">
        <f>IF(OR($C887="",$I887=""),0,IF(COUNTIFS($C$5:$C887,$C887,$I$5:$I887,$I887)=1,1,0))</f>
        <v>0</v>
      </c>
      <c r="AJ887" s="43" t="str">
        <f>IF($AI887=1,SUMIFS($AI$4:$AI886,$C$4:$C886,$C887)+1,"")</f>
        <v/>
      </c>
      <c r="AK887" s="43">
        <f>IF(OR($C887="",$K887=""),0,IF(COUNTIFS($C$5:$C887,$C887,$K$5:$K887,$K887)=1,1,0))</f>
        <v>0</v>
      </c>
      <c r="AL887" s="43" t="str">
        <f>IF($AK887=1,SUMIFS($AK$4:$AK886,$C$4:$C886,$C887)+1,"")</f>
        <v/>
      </c>
      <c r="AM887" s="43">
        <f>IF(OR($C887="",$G887=""),0,IF(COUNTIFS($C$5:$C887,$C887,$G$5:$G887,$G887)=1,1,0))</f>
        <v>0</v>
      </c>
      <c r="AN887" s="43" t="str">
        <f>IF($AM887=1,SUMIFS($AM$4:$AM886,$C$4:$C886,$C887)+1,"")</f>
        <v/>
      </c>
    </row>
    <row r="888">
      <c r="A888" s="44" t="str">
        <f>IF(OR($B888="",$D888=""),"","TX"&amp;TEXT(ROW()-4,"0000"))</f>
        <v/>
      </c>
      <c r="B888" s="42" t="n"/>
      <c r="C888" s="47" t="str">
        <f>IF($B888="","",YEAR($B888)*100+MONTH($B888))</f>
        <v/>
      </c>
      <c r="D888" s="37" t="n"/>
      <c r="E888" s="45" t="str">
        <f>IF($D888="","",IFERROR(INDEX(CARDS!$B$5:$B$34,MATCH($D888,CARDS!$A$5:$A$34,0)),"⚠ Card ID?"))</f>
        <v/>
      </c>
      <c r="F888" s="45" t="str">
        <f>IF($D888="","",IFERROR(INDEX(CARDS!$C$5:$C$34,MATCH($D888,CARDS!$A$5:$A$34,0)),"⚠ Card ID?"))</f>
        <v/>
      </c>
      <c r="G888" s="37" t="n"/>
      <c r="H888" s="37" t="n"/>
      <c r="I888" s="41" t="n"/>
      <c r="J888" s="45" t="str">
        <f>IF($I888="","",IFERROR(INDEX(MCC_MASTER!$B$5:$B$504,MATCH($I888,MCC_MASTER!$A$5:$A$504,0)),"⚠ MCC chưa có"))</f>
        <v/>
      </c>
      <c r="K888" s="45" t="str">
        <f>IF($I888="","",IFERROR(IF(INDEX(MCC_MASTER!$C$5:$C$504,MATCH($I888,MCC_MASTER!$A$5:$A$504,0))="","Chưa phân loại",INDEX(MCC_MASTER!$C$5:$C$504,MATCH($I888,MCC_MASTER!$A$5:$A$504,0))),"Chưa phân loại"))</f>
        <v/>
      </c>
      <c r="L888" s="40" t="n"/>
      <c r="M888" s="48" t="str">
        <f>IF(OR($B888="",$D888=""),"",IF($AC888=0,0,IF(ISNUMBER(INDEX(CASHBACK_RULES!$L$5:$L$304,$AC888)),MAX(0,MIN($L888,INDEX(CASHBACK_RULES!$L$5:$L$304,$AC888)-$AH888)),MAX(0,$L888))))</f>
        <v/>
      </c>
      <c r="N888" s="49" t="str">
        <f>IF(OR($B888="",$D888=""),"",IF($AC888&gt;0,INDEX(CASHBACK_RULES!$I$5:$I$304,$AC888),0))</f>
        <v/>
      </c>
      <c r="O888" s="48" t="str">
        <f>IF(OR($B888="",$D888=""),"",ROUND($M888*$N888,0))</f>
        <v/>
      </c>
      <c r="P888" s="48" t="str">
        <f>IF($AC888&gt;0,IF(ISNUMBER(INDEX(CASHBACK_RULES!$J$5:$J$304,$AC888)),INDEX(CASHBACK_RULES!$J$5:$J$304,$AC888),"∞"),"")</f>
        <v/>
      </c>
      <c r="Q888" s="48" t="str">
        <f>IF(OR($B888="",$D888=""),"",IF($AC888=0,0,MAX(0,MIN($O888,IF(ISNUMBER($P888),$P888-$AF888,1E+15),IF(ISNUMBER($AA888),$AA888-$AG888,1E+15)))))</f>
        <v/>
      </c>
      <c r="R888" s="48" t="str">
        <f>IF(OR($B888="",$D888=""),"",IF($AC888=0,"",IF(AND(NOT(ISNUMBER($P888)),NOT(ISNUMBER($AA888))),"∞",MAX(0,MIN(IF(ISNUMBER($P888),$P888-$AF888-$Q888,1E+15),IF(ISNUMBER($AA888),$AA888-$AG888-$Q888,1E+15))))))</f>
        <v/>
      </c>
      <c r="S888" s="47" t="str">
        <f>IF($AD888="","",YEAR($AD888)*100+MONTH($AD888))</f>
        <v/>
      </c>
      <c r="T888" s="50" t="str">
        <f>IF($AD888="","",IFERROR(IF(INDEX(CARDS!$I$5:$I$34,MATCH($D888,CARDS!$A$5:$A$34,0))="","",IF(INDEX(CARDS!$I$5:$I$34,MATCH($D888,CARDS!$A$5:$A$34,0))&gt;INDEX(CARDS!$H$5:$H$34,MATCH($D888,CARDS!$A$5:$A$34,0)),DATE(YEAR($AD888),MONTH($AD888),MIN(INDEX(CARDS!$I$5:$I$34,MATCH($D888,CARDS!$A$5:$A$34,0)),DAY(EOMONTH($AD888,0)))),DATE(YEAR($AD888),MONTH($AD888)+1,MIN(INDEX(CARDS!$I$5:$I$34,MATCH($D888,CARDS!$A$5:$A$34,0)),DAY(EOMONTH($AD888,1)))))),""))</f>
        <v/>
      </c>
      <c r="U888" s="38" t="n"/>
      <c r="V888" s="37" t="n"/>
      <c r="W888" s="38" t="n"/>
      <c r="X888" s="38" t="n"/>
      <c r="Y888" s="44" t="str">
        <f>IF($AC888&gt;0,INDEX(CASHBACK_RULES!$A$5:$A$304,$AC888),"")</f>
        <v/>
      </c>
      <c r="Z888" s="45" t="str">
        <f>IF($AC888&gt;0,INDEX(CASHBACK_RULES!$E$5:$E$304,$AC888)&amp;"","")</f>
        <v/>
      </c>
      <c r="AA888" s="48" t="str">
        <f>IF($AC888&gt;0,IF(ISNUMBER(INDEX(CASHBACK_RULES!$K$5:$K$304,$AC888)),INDEX(CASHBACK_RULES!$K$5:$K$304,$AC888),"∞"),"")</f>
        <v/>
      </c>
      <c r="AB888" s="44" t="str">
        <f>IF(OR($B888="",$D888=""),"",IF($U888="Cancelled","Đã hủy",IF($AC888=0,"Không được hoàn",IF($Q888=0,IF(OR($O888&gt;0,$M888&lt;$L888),"Đã đạt cap","Không được hoàn"),IF(OR($Q888&lt;$O888,$M888&lt;$L888),"Hoàn một phần","Được hoàn")))))</f>
        <v/>
      </c>
      <c r="AC888" s="43">
        <f>IF(OR($B888="",$D888="",$I888="",$L888=""),0,IF($U888="Cancelled",0,IF($W888&lt;&gt;"",IFERROR(IF(INDEX(CASHBACK_RULES!$B$5:$B$304,MATCH($W888,CASHBACK_RULES!$A$5:$A$304,0))=$D888,MATCH($W888,CASHBACK_RULES!$A$5:$A$304,0),0),0),IFERROR(MATCH(1,INDEX((CASHBACK_RULES!$B$5:$B$304=$D888)*(CASHBACK_RULES!$G$5:$G$304=$I888)*(((CASHBACK_RULES!$N$5:$N$304="")+(CASHBACK_RULES!$N$5:$N$304&lt;=$B888))&gt;0)*(((CASHBACK_RULES!$O$5:$O$304="")+(CASHBACK_RULES!$O$5:$O$304&gt;=$B888))&gt;0)*(((CASHBACK_RULES!$M$5:$M$304="")+(CASHBACK_RULES!$M$5:$M$304&lt;=$L888))&gt;0),0),0),0))))</f>
        <v>0</v>
      </c>
      <c r="AD888" s="51" t="str">
        <f>IF(OR($B888="",$D888=""),"",IFERROR(IF(INDEX(CARDS!$H$5:$H$34,MATCH($D888,CARDS!$A$5:$A$34,0))="","",IF(DAY($B888)&lt;=INDEX(CARDS!$H$5:$H$34,MATCH($D888,CARDS!$A$5:$A$34,0)),DATE(YEAR($B888),MONTH($B888),MIN(INDEX(CARDS!$H$5:$H$34,MATCH($D888,CARDS!$A$5:$A$34,0)),DAY(EOMONTH($B888,0)))),DATE(YEAR($B888),MONTH($B888)+1,MIN(INDEX(CARDS!$H$5:$H$34,MATCH($D888,CARDS!$A$5:$A$34,0)),DAY(EOMONTH($B888,1)))))),""))</f>
        <v/>
      </c>
      <c r="AE888" s="52" t="str">
        <f>IF($C888="","",$C888&amp;"|"&amp;COUNTIF($C$5:$C888,$C888))</f>
        <v/>
      </c>
      <c r="AF888" s="53">
        <f>IF($AC888&gt;0,SUMIFS(Q$4:Q887,$D$4:$D887,$D888,$Z$4:$Z887,$Z888,$C$4:$C887,$C888),0)</f>
        <v>0</v>
      </c>
      <c r="AG888" s="53">
        <f>IF($AC888&gt;0,SUMIFS(Q$4:Q887,$D$4:$D887,$D888,$C$4:$C887,$C888),0)</f>
        <v>0</v>
      </c>
      <c r="AH888" s="53">
        <f>IF($AC888&gt;0,SUMIFS(M$4:M887,$D$4:$D887,$D888,$Z$4:$Z887,$Z888,$C$4:$C887,$C888),0)</f>
        <v>0</v>
      </c>
      <c r="AI888" s="43">
        <f>IF(OR($C888="",$I888=""),0,IF(COUNTIFS($C$5:$C888,$C888,$I$5:$I888,$I888)=1,1,0))</f>
        <v>0</v>
      </c>
      <c r="AJ888" s="43" t="str">
        <f>IF($AI888=1,SUMIFS($AI$4:$AI887,$C$4:$C887,$C888)+1,"")</f>
        <v/>
      </c>
      <c r="AK888" s="43">
        <f>IF(OR($C888="",$K888=""),0,IF(COUNTIFS($C$5:$C888,$C888,$K$5:$K888,$K888)=1,1,0))</f>
        <v>0</v>
      </c>
      <c r="AL888" s="43" t="str">
        <f>IF($AK888=1,SUMIFS($AK$4:$AK887,$C$4:$C887,$C888)+1,"")</f>
        <v/>
      </c>
      <c r="AM888" s="43">
        <f>IF(OR($C888="",$G888=""),0,IF(COUNTIFS($C$5:$C888,$C888,$G$5:$G888,$G888)=1,1,0))</f>
        <v>0</v>
      </c>
      <c r="AN888" s="43" t="str">
        <f>IF($AM888=1,SUMIFS($AM$4:$AM887,$C$4:$C887,$C888)+1,"")</f>
        <v/>
      </c>
    </row>
    <row r="889">
      <c r="A889" s="44" t="str">
        <f>IF(OR($B889="",$D889=""),"","TX"&amp;TEXT(ROW()-4,"0000"))</f>
        <v/>
      </c>
      <c r="B889" s="42" t="n"/>
      <c r="C889" s="47" t="str">
        <f>IF($B889="","",YEAR($B889)*100+MONTH($B889))</f>
        <v/>
      </c>
      <c r="D889" s="37" t="n"/>
      <c r="E889" s="45" t="str">
        <f>IF($D889="","",IFERROR(INDEX(CARDS!$B$5:$B$34,MATCH($D889,CARDS!$A$5:$A$34,0)),"⚠ Card ID?"))</f>
        <v/>
      </c>
      <c r="F889" s="45" t="str">
        <f>IF($D889="","",IFERROR(INDEX(CARDS!$C$5:$C$34,MATCH($D889,CARDS!$A$5:$A$34,0)),"⚠ Card ID?"))</f>
        <v/>
      </c>
      <c r="G889" s="37" t="n"/>
      <c r="H889" s="37" t="n"/>
      <c r="I889" s="41" t="n"/>
      <c r="J889" s="45" t="str">
        <f>IF($I889="","",IFERROR(INDEX(MCC_MASTER!$B$5:$B$504,MATCH($I889,MCC_MASTER!$A$5:$A$504,0)),"⚠ MCC chưa có"))</f>
        <v/>
      </c>
      <c r="K889" s="45" t="str">
        <f>IF($I889="","",IFERROR(IF(INDEX(MCC_MASTER!$C$5:$C$504,MATCH($I889,MCC_MASTER!$A$5:$A$504,0))="","Chưa phân loại",INDEX(MCC_MASTER!$C$5:$C$504,MATCH($I889,MCC_MASTER!$A$5:$A$504,0))),"Chưa phân loại"))</f>
        <v/>
      </c>
      <c r="L889" s="40" t="n"/>
      <c r="M889" s="48" t="str">
        <f>IF(OR($B889="",$D889=""),"",IF($AC889=0,0,IF(ISNUMBER(INDEX(CASHBACK_RULES!$L$5:$L$304,$AC889)),MAX(0,MIN($L889,INDEX(CASHBACK_RULES!$L$5:$L$304,$AC889)-$AH889)),MAX(0,$L889))))</f>
        <v/>
      </c>
      <c r="N889" s="49" t="str">
        <f>IF(OR($B889="",$D889=""),"",IF($AC889&gt;0,INDEX(CASHBACK_RULES!$I$5:$I$304,$AC889),0))</f>
        <v/>
      </c>
      <c r="O889" s="48" t="str">
        <f>IF(OR($B889="",$D889=""),"",ROUND($M889*$N889,0))</f>
        <v/>
      </c>
      <c r="P889" s="48" t="str">
        <f>IF($AC889&gt;0,IF(ISNUMBER(INDEX(CASHBACK_RULES!$J$5:$J$304,$AC889)),INDEX(CASHBACK_RULES!$J$5:$J$304,$AC889),"∞"),"")</f>
        <v/>
      </c>
      <c r="Q889" s="48" t="str">
        <f>IF(OR($B889="",$D889=""),"",IF($AC889=0,0,MAX(0,MIN($O889,IF(ISNUMBER($P889),$P889-$AF889,1E+15),IF(ISNUMBER($AA889),$AA889-$AG889,1E+15)))))</f>
        <v/>
      </c>
      <c r="R889" s="48" t="str">
        <f>IF(OR($B889="",$D889=""),"",IF($AC889=0,"",IF(AND(NOT(ISNUMBER($P889)),NOT(ISNUMBER($AA889))),"∞",MAX(0,MIN(IF(ISNUMBER($P889),$P889-$AF889-$Q889,1E+15),IF(ISNUMBER($AA889),$AA889-$AG889-$Q889,1E+15))))))</f>
        <v/>
      </c>
      <c r="S889" s="47" t="str">
        <f>IF($AD889="","",YEAR($AD889)*100+MONTH($AD889))</f>
        <v/>
      </c>
      <c r="T889" s="50" t="str">
        <f>IF($AD889="","",IFERROR(IF(INDEX(CARDS!$I$5:$I$34,MATCH($D889,CARDS!$A$5:$A$34,0))="","",IF(INDEX(CARDS!$I$5:$I$34,MATCH($D889,CARDS!$A$5:$A$34,0))&gt;INDEX(CARDS!$H$5:$H$34,MATCH($D889,CARDS!$A$5:$A$34,0)),DATE(YEAR($AD889),MONTH($AD889),MIN(INDEX(CARDS!$I$5:$I$34,MATCH($D889,CARDS!$A$5:$A$34,0)),DAY(EOMONTH($AD889,0)))),DATE(YEAR($AD889),MONTH($AD889)+1,MIN(INDEX(CARDS!$I$5:$I$34,MATCH($D889,CARDS!$A$5:$A$34,0)),DAY(EOMONTH($AD889,1)))))),""))</f>
        <v/>
      </c>
      <c r="U889" s="38" t="n"/>
      <c r="V889" s="37" t="n"/>
      <c r="W889" s="38" t="n"/>
      <c r="X889" s="38" t="n"/>
      <c r="Y889" s="44" t="str">
        <f>IF($AC889&gt;0,INDEX(CASHBACK_RULES!$A$5:$A$304,$AC889),"")</f>
        <v/>
      </c>
      <c r="Z889" s="45" t="str">
        <f>IF($AC889&gt;0,INDEX(CASHBACK_RULES!$E$5:$E$304,$AC889)&amp;"","")</f>
        <v/>
      </c>
      <c r="AA889" s="48" t="str">
        <f>IF($AC889&gt;0,IF(ISNUMBER(INDEX(CASHBACK_RULES!$K$5:$K$304,$AC889)),INDEX(CASHBACK_RULES!$K$5:$K$304,$AC889),"∞"),"")</f>
        <v/>
      </c>
      <c r="AB889" s="44" t="str">
        <f>IF(OR($B889="",$D889=""),"",IF($U889="Cancelled","Đã hủy",IF($AC889=0,"Không được hoàn",IF($Q889=0,IF(OR($O889&gt;0,$M889&lt;$L889),"Đã đạt cap","Không được hoàn"),IF(OR($Q889&lt;$O889,$M889&lt;$L889),"Hoàn một phần","Được hoàn")))))</f>
        <v/>
      </c>
      <c r="AC889" s="43">
        <f>IF(OR($B889="",$D889="",$I889="",$L889=""),0,IF($U889="Cancelled",0,IF($W889&lt;&gt;"",IFERROR(IF(INDEX(CASHBACK_RULES!$B$5:$B$304,MATCH($W889,CASHBACK_RULES!$A$5:$A$304,0))=$D889,MATCH($W889,CASHBACK_RULES!$A$5:$A$304,0),0),0),IFERROR(MATCH(1,INDEX((CASHBACK_RULES!$B$5:$B$304=$D889)*(CASHBACK_RULES!$G$5:$G$304=$I889)*(((CASHBACK_RULES!$N$5:$N$304="")+(CASHBACK_RULES!$N$5:$N$304&lt;=$B889))&gt;0)*(((CASHBACK_RULES!$O$5:$O$304="")+(CASHBACK_RULES!$O$5:$O$304&gt;=$B889))&gt;0)*(((CASHBACK_RULES!$M$5:$M$304="")+(CASHBACK_RULES!$M$5:$M$304&lt;=$L889))&gt;0),0),0),0))))</f>
        <v>0</v>
      </c>
      <c r="AD889" s="51" t="str">
        <f>IF(OR($B889="",$D889=""),"",IFERROR(IF(INDEX(CARDS!$H$5:$H$34,MATCH($D889,CARDS!$A$5:$A$34,0))="","",IF(DAY($B889)&lt;=INDEX(CARDS!$H$5:$H$34,MATCH($D889,CARDS!$A$5:$A$34,0)),DATE(YEAR($B889),MONTH($B889),MIN(INDEX(CARDS!$H$5:$H$34,MATCH($D889,CARDS!$A$5:$A$34,0)),DAY(EOMONTH($B889,0)))),DATE(YEAR($B889),MONTH($B889)+1,MIN(INDEX(CARDS!$H$5:$H$34,MATCH($D889,CARDS!$A$5:$A$34,0)),DAY(EOMONTH($B889,1)))))),""))</f>
        <v/>
      </c>
      <c r="AE889" s="52" t="str">
        <f>IF($C889="","",$C889&amp;"|"&amp;COUNTIF($C$5:$C889,$C889))</f>
        <v/>
      </c>
      <c r="AF889" s="53">
        <f>IF($AC889&gt;0,SUMIFS(Q$4:Q888,$D$4:$D888,$D889,$Z$4:$Z888,$Z889,$C$4:$C888,$C889),0)</f>
        <v>0</v>
      </c>
      <c r="AG889" s="53">
        <f>IF($AC889&gt;0,SUMIFS(Q$4:Q888,$D$4:$D888,$D889,$C$4:$C888,$C889),0)</f>
        <v>0</v>
      </c>
      <c r="AH889" s="53">
        <f>IF($AC889&gt;0,SUMIFS(M$4:M888,$D$4:$D888,$D889,$Z$4:$Z888,$Z889,$C$4:$C888,$C889),0)</f>
        <v>0</v>
      </c>
      <c r="AI889" s="43">
        <f>IF(OR($C889="",$I889=""),0,IF(COUNTIFS($C$5:$C889,$C889,$I$5:$I889,$I889)=1,1,0))</f>
        <v>0</v>
      </c>
      <c r="AJ889" s="43" t="str">
        <f>IF($AI889=1,SUMIFS($AI$4:$AI888,$C$4:$C888,$C889)+1,"")</f>
        <v/>
      </c>
      <c r="AK889" s="43">
        <f>IF(OR($C889="",$K889=""),0,IF(COUNTIFS($C$5:$C889,$C889,$K$5:$K889,$K889)=1,1,0))</f>
        <v>0</v>
      </c>
      <c r="AL889" s="43" t="str">
        <f>IF($AK889=1,SUMIFS($AK$4:$AK888,$C$4:$C888,$C889)+1,"")</f>
        <v/>
      </c>
      <c r="AM889" s="43">
        <f>IF(OR($C889="",$G889=""),0,IF(COUNTIFS($C$5:$C889,$C889,$G$5:$G889,$G889)=1,1,0))</f>
        <v>0</v>
      </c>
      <c r="AN889" s="43" t="str">
        <f>IF($AM889=1,SUMIFS($AM$4:$AM888,$C$4:$C888,$C889)+1,"")</f>
        <v/>
      </c>
    </row>
    <row r="890">
      <c r="A890" s="44" t="str">
        <f>IF(OR($B890="",$D890=""),"","TX"&amp;TEXT(ROW()-4,"0000"))</f>
        <v/>
      </c>
      <c r="B890" s="42" t="n"/>
      <c r="C890" s="47" t="str">
        <f>IF($B890="","",YEAR($B890)*100+MONTH($B890))</f>
        <v/>
      </c>
      <c r="D890" s="37" t="n"/>
      <c r="E890" s="45" t="str">
        <f>IF($D890="","",IFERROR(INDEX(CARDS!$B$5:$B$34,MATCH($D890,CARDS!$A$5:$A$34,0)),"⚠ Card ID?"))</f>
        <v/>
      </c>
      <c r="F890" s="45" t="str">
        <f>IF($D890="","",IFERROR(INDEX(CARDS!$C$5:$C$34,MATCH($D890,CARDS!$A$5:$A$34,0)),"⚠ Card ID?"))</f>
        <v/>
      </c>
      <c r="G890" s="37" t="n"/>
      <c r="H890" s="37" t="n"/>
      <c r="I890" s="41" t="n"/>
      <c r="J890" s="45" t="str">
        <f>IF($I890="","",IFERROR(INDEX(MCC_MASTER!$B$5:$B$504,MATCH($I890,MCC_MASTER!$A$5:$A$504,0)),"⚠ MCC chưa có"))</f>
        <v/>
      </c>
      <c r="K890" s="45" t="str">
        <f>IF($I890="","",IFERROR(IF(INDEX(MCC_MASTER!$C$5:$C$504,MATCH($I890,MCC_MASTER!$A$5:$A$504,0))="","Chưa phân loại",INDEX(MCC_MASTER!$C$5:$C$504,MATCH($I890,MCC_MASTER!$A$5:$A$504,0))),"Chưa phân loại"))</f>
        <v/>
      </c>
      <c r="L890" s="40" t="n"/>
      <c r="M890" s="48" t="str">
        <f>IF(OR($B890="",$D890=""),"",IF($AC890=0,0,IF(ISNUMBER(INDEX(CASHBACK_RULES!$L$5:$L$304,$AC890)),MAX(0,MIN($L890,INDEX(CASHBACK_RULES!$L$5:$L$304,$AC890)-$AH890)),MAX(0,$L890))))</f>
        <v/>
      </c>
      <c r="N890" s="49" t="str">
        <f>IF(OR($B890="",$D890=""),"",IF($AC890&gt;0,INDEX(CASHBACK_RULES!$I$5:$I$304,$AC890),0))</f>
        <v/>
      </c>
      <c r="O890" s="48" t="str">
        <f>IF(OR($B890="",$D890=""),"",ROUND($M890*$N890,0))</f>
        <v/>
      </c>
      <c r="P890" s="48" t="str">
        <f>IF($AC890&gt;0,IF(ISNUMBER(INDEX(CASHBACK_RULES!$J$5:$J$304,$AC890)),INDEX(CASHBACK_RULES!$J$5:$J$304,$AC890),"∞"),"")</f>
        <v/>
      </c>
      <c r="Q890" s="48" t="str">
        <f>IF(OR($B890="",$D890=""),"",IF($AC890=0,0,MAX(0,MIN($O890,IF(ISNUMBER($P890),$P890-$AF890,1E+15),IF(ISNUMBER($AA890),$AA890-$AG890,1E+15)))))</f>
        <v/>
      </c>
      <c r="R890" s="48" t="str">
        <f>IF(OR($B890="",$D890=""),"",IF($AC890=0,"",IF(AND(NOT(ISNUMBER($P890)),NOT(ISNUMBER($AA890))),"∞",MAX(0,MIN(IF(ISNUMBER($P890),$P890-$AF890-$Q890,1E+15),IF(ISNUMBER($AA890),$AA890-$AG890-$Q890,1E+15))))))</f>
        <v/>
      </c>
      <c r="S890" s="47" t="str">
        <f>IF($AD890="","",YEAR($AD890)*100+MONTH($AD890))</f>
        <v/>
      </c>
      <c r="T890" s="50" t="str">
        <f>IF($AD890="","",IFERROR(IF(INDEX(CARDS!$I$5:$I$34,MATCH($D890,CARDS!$A$5:$A$34,0))="","",IF(INDEX(CARDS!$I$5:$I$34,MATCH($D890,CARDS!$A$5:$A$34,0))&gt;INDEX(CARDS!$H$5:$H$34,MATCH($D890,CARDS!$A$5:$A$34,0)),DATE(YEAR($AD890),MONTH($AD890),MIN(INDEX(CARDS!$I$5:$I$34,MATCH($D890,CARDS!$A$5:$A$34,0)),DAY(EOMONTH($AD890,0)))),DATE(YEAR($AD890),MONTH($AD890)+1,MIN(INDEX(CARDS!$I$5:$I$34,MATCH($D890,CARDS!$A$5:$A$34,0)),DAY(EOMONTH($AD890,1)))))),""))</f>
        <v/>
      </c>
      <c r="U890" s="38" t="n"/>
      <c r="V890" s="37" t="n"/>
      <c r="W890" s="38" t="n"/>
      <c r="X890" s="38" t="n"/>
      <c r="Y890" s="44" t="str">
        <f>IF($AC890&gt;0,INDEX(CASHBACK_RULES!$A$5:$A$304,$AC890),"")</f>
        <v/>
      </c>
      <c r="Z890" s="45" t="str">
        <f>IF($AC890&gt;0,INDEX(CASHBACK_RULES!$E$5:$E$304,$AC890)&amp;"","")</f>
        <v/>
      </c>
      <c r="AA890" s="48" t="str">
        <f>IF($AC890&gt;0,IF(ISNUMBER(INDEX(CASHBACK_RULES!$K$5:$K$304,$AC890)),INDEX(CASHBACK_RULES!$K$5:$K$304,$AC890),"∞"),"")</f>
        <v/>
      </c>
      <c r="AB890" s="44" t="str">
        <f>IF(OR($B890="",$D890=""),"",IF($U890="Cancelled","Đã hủy",IF($AC890=0,"Không được hoàn",IF($Q890=0,IF(OR($O890&gt;0,$M890&lt;$L890),"Đã đạt cap","Không được hoàn"),IF(OR($Q890&lt;$O890,$M890&lt;$L890),"Hoàn một phần","Được hoàn")))))</f>
        <v/>
      </c>
      <c r="AC890" s="43">
        <f>IF(OR($B890="",$D890="",$I890="",$L890=""),0,IF($U890="Cancelled",0,IF($W890&lt;&gt;"",IFERROR(IF(INDEX(CASHBACK_RULES!$B$5:$B$304,MATCH($W890,CASHBACK_RULES!$A$5:$A$304,0))=$D890,MATCH($W890,CASHBACK_RULES!$A$5:$A$304,0),0),0),IFERROR(MATCH(1,INDEX((CASHBACK_RULES!$B$5:$B$304=$D890)*(CASHBACK_RULES!$G$5:$G$304=$I890)*(((CASHBACK_RULES!$N$5:$N$304="")+(CASHBACK_RULES!$N$5:$N$304&lt;=$B890))&gt;0)*(((CASHBACK_RULES!$O$5:$O$304="")+(CASHBACK_RULES!$O$5:$O$304&gt;=$B890))&gt;0)*(((CASHBACK_RULES!$M$5:$M$304="")+(CASHBACK_RULES!$M$5:$M$304&lt;=$L890))&gt;0),0),0),0))))</f>
        <v>0</v>
      </c>
      <c r="AD890" s="51" t="str">
        <f>IF(OR($B890="",$D890=""),"",IFERROR(IF(INDEX(CARDS!$H$5:$H$34,MATCH($D890,CARDS!$A$5:$A$34,0))="","",IF(DAY($B890)&lt;=INDEX(CARDS!$H$5:$H$34,MATCH($D890,CARDS!$A$5:$A$34,0)),DATE(YEAR($B890),MONTH($B890),MIN(INDEX(CARDS!$H$5:$H$34,MATCH($D890,CARDS!$A$5:$A$34,0)),DAY(EOMONTH($B890,0)))),DATE(YEAR($B890),MONTH($B890)+1,MIN(INDEX(CARDS!$H$5:$H$34,MATCH($D890,CARDS!$A$5:$A$34,0)),DAY(EOMONTH($B890,1)))))),""))</f>
        <v/>
      </c>
      <c r="AE890" s="52" t="str">
        <f>IF($C890="","",$C890&amp;"|"&amp;COUNTIF($C$5:$C890,$C890))</f>
        <v/>
      </c>
      <c r="AF890" s="53">
        <f>IF($AC890&gt;0,SUMIFS(Q$4:Q889,$D$4:$D889,$D890,$Z$4:$Z889,$Z890,$C$4:$C889,$C890),0)</f>
        <v>0</v>
      </c>
      <c r="AG890" s="53">
        <f>IF($AC890&gt;0,SUMIFS(Q$4:Q889,$D$4:$D889,$D890,$C$4:$C889,$C890),0)</f>
        <v>0</v>
      </c>
      <c r="AH890" s="53">
        <f>IF($AC890&gt;0,SUMIFS(M$4:M889,$D$4:$D889,$D890,$Z$4:$Z889,$Z890,$C$4:$C889,$C890),0)</f>
        <v>0</v>
      </c>
      <c r="AI890" s="43">
        <f>IF(OR($C890="",$I890=""),0,IF(COUNTIFS($C$5:$C890,$C890,$I$5:$I890,$I890)=1,1,0))</f>
        <v>0</v>
      </c>
      <c r="AJ890" s="43" t="str">
        <f>IF($AI890=1,SUMIFS($AI$4:$AI889,$C$4:$C889,$C890)+1,"")</f>
        <v/>
      </c>
      <c r="AK890" s="43">
        <f>IF(OR($C890="",$K890=""),0,IF(COUNTIFS($C$5:$C890,$C890,$K$5:$K890,$K890)=1,1,0))</f>
        <v>0</v>
      </c>
      <c r="AL890" s="43" t="str">
        <f>IF($AK890=1,SUMIFS($AK$4:$AK889,$C$4:$C889,$C890)+1,"")</f>
        <v/>
      </c>
      <c r="AM890" s="43">
        <f>IF(OR($C890="",$G890=""),0,IF(COUNTIFS($C$5:$C890,$C890,$G$5:$G890,$G890)=1,1,0))</f>
        <v>0</v>
      </c>
      <c r="AN890" s="43" t="str">
        <f>IF($AM890=1,SUMIFS($AM$4:$AM889,$C$4:$C889,$C890)+1,"")</f>
        <v/>
      </c>
    </row>
    <row r="891">
      <c r="A891" s="44" t="str">
        <f>IF(OR($B891="",$D891=""),"","TX"&amp;TEXT(ROW()-4,"0000"))</f>
        <v/>
      </c>
      <c r="B891" s="42" t="n"/>
      <c r="C891" s="47" t="str">
        <f>IF($B891="","",YEAR($B891)*100+MONTH($B891))</f>
        <v/>
      </c>
      <c r="D891" s="37" t="n"/>
      <c r="E891" s="45" t="str">
        <f>IF($D891="","",IFERROR(INDEX(CARDS!$B$5:$B$34,MATCH($D891,CARDS!$A$5:$A$34,0)),"⚠ Card ID?"))</f>
        <v/>
      </c>
      <c r="F891" s="45" t="str">
        <f>IF($D891="","",IFERROR(INDEX(CARDS!$C$5:$C$34,MATCH($D891,CARDS!$A$5:$A$34,0)),"⚠ Card ID?"))</f>
        <v/>
      </c>
      <c r="G891" s="37" t="n"/>
      <c r="H891" s="37" t="n"/>
      <c r="I891" s="41" t="n"/>
      <c r="J891" s="45" t="str">
        <f>IF($I891="","",IFERROR(INDEX(MCC_MASTER!$B$5:$B$504,MATCH($I891,MCC_MASTER!$A$5:$A$504,0)),"⚠ MCC chưa có"))</f>
        <v/>
      </c>
      <c r="K891" s="45" t="str">
        <f>IF($I891="","",IFERROR(IF(INDEX(MCC_MASTER!$C$5:$C$504,MATCH($I891,MCC_MASTER!$A$5:$A$504,0))="","Chưa phân loại",INDEX(MCC_MASTER!$C$5:$C$504,MATCH($I891,MCC_MASTER!$A$5:$A$504,0))),"Chưa phân loại"))</f>
        <v/>
      </c>
      <c r="L891" s="40" t="n"/>
      <c r="M891" s="48" t="str">
        <f>IF(OR($B891="",$D891=""),"",IF($AC891=0,0,IF(ISNUMBER(INDEX(CASHBACK_RULES!$L$5:$L$304,$AC891)),MAX(0,MIN($L891,INDEX(CASHBACK_RULES!$L$5:$L$304,$AC891)-$AH891)),MAX(0,$L891))))</f>
        <v/>
      </c>
      <c r="N891" s="49" t="str">
        <f>IF(OR($B891="",$D891=""),"",IF($AC891&gt;0,INDEX(CASHBACK_RULES!$I$5:$I$304,$AC891),0))</f>
        <v/>
      </c>
      <c r="O891" s="48" t="str">
        <f>IF(OR($B891="",$D891=""),"",ROUND($M891*$N891,0))</f>
        <v/>
      </c>
      <c r="P891" s="48" t="str">
        <f>IF($AC891&gt;0,IF(ISNUMBER(INDEX(CASHBACK_RULES!$J$5:$J$304,$AC891)),INDEX(CASHBACK_RULES!$J$5:$J$304,$AC891),"∞"),"")</f>
        <v/>
      </c>
      <c r="Q891" s="48" t="str">
        <f>IF(OR($B891="",$D891=""),"",IF($AC891=0,0,MAX(0,MIN($O891,IF(ISNUMBER($P891),$P891-$AF891,1E+15),IF(ISNUMBER($AA891),$AA891-$AG891,1E+15)))))</f>
        <v/>
      </c>
      <c r="R891" s="48" t="str">
        <f>IF(OR($B891="",$D891=""),"",IF($AC891=0,"",IF(AND(NOT(ISNUMBER($P891)),NOT(ISNUMBER($AA891))),"∞",MAX(0,MIN(IF(ISNUMBER($P891),$P891-$AF891-$Q891,1E+15),IF(ISNUMBER($AA891),$AA891-$AG891-$Q891,1E+15))))))</f>
        <v/>
      </c>
      <c r="S891" s="47" t="str">
        <f>IF($AD891="","",YEAR($AD891)*100+MONTH($AD891))</f>
        <v/>
      </c>
      <c r="T891" s="50" t="str">
        <f>IF($AD891="","",IFERROR(IF(INDEX(CARDS!$I$5:$I$34,MATCH($D891,CARDS!$A$5:$A$34,0))="","",IF(INDEX(CARDS!$I$5:$I$34,MATCH($D891,CARDS!$A$5:$A$34,0))&gt;INDEX(CARDS!$H$5:$H$34,MATCH($D891,CARDS!$A$5:$A$34,0)),DATE(YEAR($AD891),MONTH($AD891),MIN(INDEX(CARDS!$I$5:$I$34,MATCH($D891,CARDS!$A$5:$A$34,0)),DAY(EOMONTH($AD891,0)))),DATE(YEAR($AD891),MONTH($AD891)+1,MIN(INDEX(CARDS!$I$5:$I$34,MATCH($D891,CARDS!$A$5:$A$34,0)),DAY(EOMONTH($AD891,1)))))),""))</f>
        <v/>
      </c>
      <c r="U891" s="38" t="n"/>
      <c r="V891" s="37" t="n"/>
      <c r="W891" s="38" t="n"/>
      <c r="X891" s="38" t="n"/>
      <c r="Y891" s="44" t="str">
        <f>IF($AC891&gt;0,INDEX(CASHBACK_RULES!$A$5:$A$304,$AC891),"")</f>
        <v/>
      </c>
      <c r="Z891" s="45" t="str">
        <f>IF($AC891&gt;0,INDEX(CASHBACK_RULES!$E$5:$E$304,$AC891)&amp;"","")</f>
        <v/>
      </c>
      <c r="AA891" s="48" t="str">
        <f>IF($AC891&gt;0,IF(ISNUMBER(INDEX(CASHBACK_RULES!$K$5:$K$304,$AC891)),INDEX(CASHBACK_RULES!$K$5:$K$304,$AC891),"∞"),"")</f>
        <v/>
      </c>
      <c r="AB891" s="44" t="str">
        <f>IF(OR($B891="",$D891=""),"",IF($U891="Cancelled","Đã hủy",IF($AC891=0,"Không được hoàn",IF($Q891=0,IF(OR($O891&gt;0,$M891&lt;$L891),"Đã đạt cap","Không được hoàn"),IF(OR($Q891&lt;$O891,$M891&lt;$L891),"Hoàn một phần","Được hoàn")))))</f>
        <v/>
      </c>
      <c r="AC891" s="43">
        <f>IF(OR($B891="",$D891="",$I891="",$L891=""),0,IF($U891="Cancelled",0,IF($W891&lt;&gt;"",IFERROR(IF(INDEX(CASHBACK_RULES!$B$5:$B$304,MATCH($W891,CASHBACK_RULES!$A$5:$A$304,0))=$D891,MATCH($W891,CASHBACK_RULES!$A$5:$A$304,0),0),0),IFERROR(MATCH(1,INDEX((CASHBACK_RULES!$B$5:$B$304=$D891)*(CASHBACK_RULES!$G$5:$G$304=$I891)*(((CASHBACK_RULES!$N$5:$N$304="")+(CASHBACK_RULES!$N$5:$N$304&lt;=$B891))&gt;0)*(((CASHBACK_RULES!$O$5:$O$304="")+(CASHBACK_RULES!$O$5:$O$304&gt;=$B891))&gt;0)*(((CASHBACK_RULES!$M$5:$M$304="")+(CASHBACK_RULES!$M$5:$M$304&lt;=$L891))&gt;0),0),0),0))))</f>
        <v>0</v>
      </c>
      <c r="AD891" s="51" t="str">
        <f>IF(OR($B891="",$D891=""),"",IFERROR(IF(INDEX(CARDS!$H$5:$H$34,MATCH($D891,CARDS!$A$5:$A$34,0))="","",IF(DAY($B891)&lt;=INDEX(CARDS!$H$5:$H$34,MATCH($D891,CARDS!$A$5:$A$34,0)),DATE(YEAR($B891),MONTH($B891),MIN(INDEX(CARDS!$H$5:$H$34,MATCH($D891,CARDS!$A$5:$A$34,0)),DAY(EOMONTH($B891,0)))),DATE(YEAR($B891),MONTH($B891)+1,MIN(INDEX(CARDS!$H$5:$H$34,MATCH($D891,CARDS!$A$5:$A$34,0)),DAY(EOMONTH($B891,1)))))),""))</f>
        <v/>
      </c>
      <c r="AE891" s="52" t="str">
        <f>IF($C891="","",$C891&amp;"|"&amp;COUNTIF($C$5:$C891,$C891))</f>
        <v/>
      </c>
      <c r="AF891" s="53">
        <f>IF($AC891&gt;0,SUMIFS(Q$4:Q890,$D$4:$D890,$D891,$Z$4:$Z890,$Z891,$C$4:$C890,$C891),0)</f>
        <v>0</v>
      </c>
      <c r="AG891" s="53">
        <f>IF($AC891&gt;0,SUMIFS(Q$4:Q890,$D$4:$D890,$D891,$C$4:$C890,$C891),0)</f>
        <v>0</v>
      </c>
      <c r="AH891" s="53">
        <f>IF($AC891&gt;0,SUMIFS(M$4:M890,$D$4:$D890,$D891,$Z$4:$Z890,$Z891,$C$4:$C890,$C891),0)</f>
        <v>0</v>
      </c>
      <c r="AI891" s="43">
        <f>IF(OR($C891="",$I891=""),0,IF(COUNTIFS($C$5:$C891,$C891,$I$5:$I891,$I891)=1,1,0))</f>
        <v>0</v>
      </c>
      <c r="AJ891" s="43" t="str">
        <f>IF($AI891=1,SUMIFS($AI$4:$AI890,$C$4:$C890,$C891)+1,"")</f>
        <v/>
      </c>
      <c r="AK891" s="43">
        <f>IF(OR($C891="",$K891=""),0,IF(COUNTIFS($C$5:$C891,$C891,$K$5:$K891,$K891)=1,1,0))</f>
        <v>0</v>
      </c>
      <c r="AL891" s="43" t="str">
        <f>IF($AK891=1,SUMIFS($AK$4:$AK890,$C$4:$C890,$C891)+1,"")</f>
        <v/>
      </c>
      <c r="AM891" s="43">
        <f>IF(OR($C891="",$G891=""),0,IF(COUNTIFS($C$5:$C891,$C891,$G$5:$G891,$G891)=1,1,0))</f>
        <v>0</v>
      </c>
      <c r="AN891" s="43" t="str">
        <f>IF($AM891=1,SUMIFS($AM$4:$AM890,$C$4:$C890,$C891)+1,"")</f>
        <v/>
      </c>
    </row>
    <row r="892">
      <c r="A892" s="44" t="str">
        <f>IF(OR($B892="",$D892=""),"","TX"&amp;TEXT(ROW()-4,"0000"))</f>
        <v/>
      </c>
      <c r="B892" s="42" t="n"/>
      <c r="C892" s="47" t="str">
        <f>IF($B892="","",YEAR($B892)*100+MONTH($B892))</f>
        <v/>
      </c>
      <c r="D892" s="37" t="n"/>
      <c r="E892" s="45" t="str">
        <f>IF($D892="","",IFERROR(INDEX(CARDS!$B$5:$B$34,MATCH($D892,CARDS!$A$5:$A$34,0)),"⚠ Card ID?"))</f>
        <v/>
      </c>
      <c r="F892" s="45" t="str">
        <f>IF($D892="","",IFERROR(INDEX(CARDS!$C$5:$C$34,MATCH($D892,CARDS!$A$5:$A$34,0)),"⚠ Card ID?"))</f>
        <v/>
      </c>
      <c r="G892" s="37" t="n"/>
      <c r="H892" s="37" t="n"/>
      <c r="I892" s="41" t="n"/>
      <c r="J892" s="45" t="str">
        <f>IF($I892="","",IFERROR(INDEX(MCC_MASTER!$B$5:$B$504,MATCH($I892,MCC_MASTER!$A$5:$A$504,0)),"⚠ MCC chưa có"))</f>
        <v/>
      </c>
      <c r="K892" s="45" t="str">
        <f>IF($I892="","",IFERROR(IF(INDEX(MCC_MASTER!$C$5:$C$504,MATCH($I892,MCC_MASTER!$A$5:$A$504,0))="","Chưa phân loại",INDEX(MCC_MASTER!$C$5:$C$504,MATCH($I892,MCC_MASTER!$A$5:$A$504,0))),"Chưa phân loại"))</f>
        <v/>
      </c>
      <c r="L892" s="40" t="n"/>
      <c r="M892" s="48" t="str">
        <f>IF(OR($B892="",$D892=""),"",IF($AC892=0,0,IF(ISNUMBER(INDEX(CASHBACK_RULES!$L$5:$L$304,$AC892)),MAX(0,MIN($L892,INDEX(CASHBACK_RULES!$L$5:$L$304,$AC892)-$AH892)),MAX(0,$L892))))</f>
        <v/>
      </c>
      <c r="N892" s="49" t="str">
        <f>IF(OR($B892="",$D892=""),"",IF($AC892&gt;0,INDEX(CASHBACK_RULES!$I$5:$I$304,$AC892),0))</f>
        <v/>
      </c>
      <c r="O892" s="48" t="str">
        <f>IF(OR($B892="",$D892=""),"",ROUND($M892*$N892,0))</f>
        <v/>
      </c>
      <c r="P892" s="48" t="str">
        <f>IF($AC892&gt;0,IF(ISNUMBER(INDEX(CASHBACK_RULES!$J$5:$J$304,$AC892)),INDEX(CASHBACK_RULES!$J$5:$J$304,$AC892),"∞"),"")</f>
        <v/>
      </c>
      <c r="Q892" s="48" t="str">
        <f>IF(OR($B892="",$D892=""),"",IF($AC892=0,0,MAX(0,MIN($O892,IF(ISNUMBER($P892),$P892-$AF892,1E+15),IF(ISNUMBER($AA892),$AA892-$AG892,1E+15)))))</f>
        <v/>
      </c>
      <c r="R892" s="48" t="str">
        <f>IF(OR($B892="",$D892=""),"",IF($AC892=0,"",IF(AND(NOT(ISNUMBER($P892)),NOT(ISNUMBER($AA892))),"∞",MAX(0,MIN(IF(ISNUMBER($P892),$P892-$AF892-$Q892,1E+15),IF(ISNUMBER($AA892),$AA892-$AG892-$Q892,1E+15))))))</f>
        <v/>
      </c>
      <c r="S892" s="47" t="str">
        <f>IF($AD892="","",YEAR($AD892)*100+MONTH($AD892))</f>
        <v/>
      </c>
      <c r="T892" s="50" t="str">
        <f>IF($AD892="","",IFERROR(IF(INDEX(CARDS!$I$5:$I$34,MATCH($D892,CARDS!$A$5:$A$34,0))="","",IF(INDEX(CARDS!$I$5:$I$34,MATCH($D892,CARDS!$A$5:$A$34,0))&gt;INDEX(CARDS!$H$5:$H$34,MATCH($D892,CARDS!$A$5:$A$34,0)),DATE(YEAR($AD892),MONTH($AD892),MIN(INDEX(CARDS!$I$5:$I$34,MATCH($D892,CARDS!$A$5:$A$34,0)),DAY(EOMONTH($AD892,0)))),DATE(YEAR($AD892),MONTH($AD892)+1,MIN(INDEX(CARDS!$I$5:$I$34,MATCH($D892,CARDS!$A$5:$A$34,0)),DAY(EOMONTH($AD892,1)))))),""))</f>
        <v/>
      </c>
      <c r="U892" s="38" t="n"/>
      <c r="V892" s="37" t="n"/>
      <c r="W892" s="38" t="n"/>
      <c r="X892" s="38" t="n"/>
      <c r="Y892" s="44" t="str">
        <f>IF($AC892&gt;0,INDEX(CASHBACK_RULES!$A$5:$A$304,$AC892),"")</f>
        <v/>
      </c>
      <c r="Z892" s="45" t="str">
        <f>IF($AC892&gt;0,INDEX(CASHBACK_RULES!$E$5:$E$304,$AC892)&amp;"","")</f>
        <v/>
      </c>
      <c r="AA892" s="48" t="str">
        <f>IF($AC892&gt;0,IF(ISNUMBER(INDEX(CASHBACK_RULES!$K$5:$K$304,$AC892)),INDEX(CASHBACK_RULES!$K$5:$K$304,$AC892),"∞"),"")</f>
        <v/>
      </c>
      <c r="AB892" s="44" t="str">
        <f>IF(OR($B892="",$D892=""),"",IF($U892="Cancelled","Đã hủy",IF($AC892=0,"Không được hoàn",IF($Q892=0,IF(OR($O892&gt;0,$M892&lt;$L892),"Đã đạt cap","Không được hoàn"),IF(OR($Q892&lt;$O892,$M892&lt;$L892),"Hoàn một phần","Được hoàn")))))</f>
        <v/>
      </c>
      <c r="AC892" s="43">
        <f>IF(OR($B892="",$D892="",$I892="",$L892=""),0,IF($U892="Cancelled",0,IF($W892&lt;&gt;"",IFERROR(IF(INDEX(CASHBACK_RULES!$B$5:$B$304,MATCH($W892,CASHBACK_RULES!$A$5:$A$304,0))=$D892,MATCH($W892,CASHBACK_RULES!$A$5:$A$304,0),0),0),IFERROR(MATCH(1,INDEX((CASHBACK_RULES!$B$5:$B$304=$D892)*(CASHBACK_RULES!$G$5:$G$304=$I892)*(((CASHBACK_RULES!$N$5:$N$304="")+(CASHBACK_RULES!$N$5:$N$304&lt;=$B892))&gt;0)*(((CASHBACK_RULES!$O$5:$O$304="")+(CASHBACK_RULES!$O$5:$O$304&gt;=$B892))&gt;0)*(((CASHBACK_RULES!$M$5:$M$304="")+(CASHBACK_RULES!$M$5:$M$304&lt;=$L892))&gt;0),0),0),0))))</f>
        <v>0</v>
      </c>
      <c r="AD892" s="51" t="str">
        <f>IF(OR($B892="",$D892=""),"",IFERROR(IF(INDEX(CARDS!$H$5:$H$34,MATCH($D892,CARDS!$A$5:$A$34,0))="","",IF(DAY($B892)&lt;=INDEX(CARDS!$H$5:$H$34,MATCH($D892,CARDS!$A$5:$A$34,0)),DATE(YEAR($B892),MONTH($B892),MIN(INDEX(CARDS!$H$5:$H$34,MATCH($D892,CARDS!$A$5:$A$34,0)),DAY(EOMONTH($B892,0)))),DATE(YEAR($B892),MONTH($B892)+1,MIN(INDEX(CARDS!$H$5:$H$34,MATCH($D892,CARDS!$A$5:$A$34,0)),DAY(EOMONTH($B892,1)))))),""))</f>
        <v/>
      </c>
      <c r="AE892" s="52" t="str">
        <f>IF($C892="","",$C892&amp;"|"&amp;COUNTIF($C$5:$C892,$C892))</f>
        <v/>
      </c>
      <c r="AF892" s="53">
        <f>IF($AC892&gt;0,SUMIFS(Q$4:Q891,$D$4:$D891,$D892,$Z$4:$Z891,$Z892,$C$4:$C891,$C892),0)</f>
        <v>0</v>
      </c>
      <c r="AG892" s="53">
        <f>IF($AC892&gt;0,SUMIFS(Q$4:Q891,$D$4:$D891,$D892,$C$4:$C891,$C892),0)</f>
        <v>0</v>
      </c>
      <c r="AH892" s="53">
        <f>IF($AC892&gt;0,SUMIFS(M$4:M891,$D$4:$D891,$D892,$Z$4:$Z891,$Z892,$C$4:$C891,$C892),0)</f>
        <v>0</v>
      </c>
      <c r="AI892" s="43">
        <f>IF(OR($C892="",$I892=""),0,IF(COUNTIFS($C$5:$C892,$C892,$I$5:$I892,$I892)=1,1,0))</f>
        <v>0</v>
      </c>
      <c r="AJ892" s="43" t="str">
        <f>IF($AI892=1,SUMIFS($AI$4:$AI891,$C$4:$C891,$C892)+1,"")</f>
        <v/>
      </c>
      <c r="AK892" s="43">
        <f>IF(OR($C892="",$K892=""),0,IF(COUNTIFS($C$5:$C892,$C892,$K$5:$K892,$K892)=1,1,0))</f>
        <v>0</v>
      </c>
      <c r="AL892" s="43" t="str">
        <f>IF($AK892=1,SUMIFS($AK$4:$AK891,$C$4:$C891,$C892)+1,"")</f>
        <v/>
      </c>
      <c r="AM892" s="43">
        <f>IF(OR($C892="",$G892=""),0,IF(COUNTIFS($C$5:$C892,$C892,$G$5:$G892,$G892)=1,1,0))</f>
        <v>0</v>
      </c>
      <c r="AN892" s="43" t="str">
        <f>IF($AM892=1,SUMIFS($AM$4:$AM891,$C$4:$C891,$C892)+1,"")</f>
        <v/>
      </c>
    </row>
    <row r="893">
      <c r="A893" s="44" t="str">
        <f>IF(OR($B893="",$D893=""),"","TX"&amp;TEXT(ROW()-4,"0000"))</f>
        <v/>
      </c>
      <c r="B893" s="42" t="n"/>
      <c r="C893" s="47" t="str">
        <f>IF($B893="","",YEAR($B893)*100+MONTH($B893))</f>
        <v/>
      </c>
      <c r="D893" s="37" t="n"/>
      <c r="E893" s="45" t="str">
        <f>IF($D893="","",IFERROR(INDEX(CARDS!$B$5:$B$34,MATCH($D893,CARDS!$A$5:$A$34,0)),"⚠ Card ID?"))</f>
        <v/>
      </c>
      <c r="F893" s="45" t="str">
        <f>IF($D893="","",IFERROR(INDEX(CARDS!$C$5:$C$34,MATCH($D893,CARDS!$A$5:$A$34,0)),"⚠ Card ID?"))</f>
        <v/>
      </c>
      <c r="G893" s="37" t="n"/>
      <c r="H893" s="37" t="n"/>
      <c r="I893" s="41" t="n"/>
      <c r="J893" s="45" t="str">
        <f>IF($I893="","",IFERROR(INDEX(MCC_MASTER!$B$5:$B$504,MATCH($I893,MCC_MASTER!$A$5:$A$504,0)),"⚠ MCC chưa có"))</f>
        <v/>
      </c>
      <c r="K893" s="45" t="str">
        <f>IF($I893="","",IFERROR(IF(INDEX(MCC_MASTER!$C$5:$C$504,MATCH($I893,MCC_MASTER!$A$5:$A$504,0))="","Chưa phân loại",INDEX(MCC_MASTER!$C$5:$C$504,MATCH($I893,MCC_MASTER!$A$5:$A$504,0))),"Chưa phân loại"))</f>
        <v/>
      </c>
      <c r="L893" s="40" t="n"/>
      <c r="M893" s="48" t="str">
        <f>IF(OR($B893="",$D893=""),"",IF($AC893=0,0,IF(ISNUMBER(INDEX(CASHBACK_RULES!$L$5:$L$304,$AC893)),MAX(0,MIN($L893,INDEX(CASHBACK_RULES!$L$5:$L$304,$AC893)-$AH893)),MAX(0,$L893))))</f>
        <v/>
      </c>
      <c r="N893" s="49" t="str">
        <f>IF(OR($B893="",$D893=""),"",IF($AC893&gt;0,INDEX(CASHBACK_RULES!$I$5:$I$304,$AC893),0))</f>
        <v/>
      </c>
      <c r="O893" s="48" t="str">
        <f>IF(OR($B893="",$D893=""),"",ROUND($M893*$N893,0))</f>
        <v/>
      </c>
      <c r="P893" s="48" t="str">
        <f>IF($AC893&gt;0,IF(ISNUMBER(INDEX(CASHBACK_RULES!$J$5:$J$304,$AC893)),INDEX(CASHBACK_RULES!$J$5:$J$304,$AC893),"∞"),"")</f>
        <v/>
      </c>
      <c r="Q893" s="48" t="str">
        <f>IF(OR($B893="",$D893=""),"",IF($AC893=0,0,MAX(0,MIN($O893,IF(ISNUMBER($P893),$P893-$AF893,1E+15),IF(ISNUMBER($AA893),$AA893-$AG893,1E+15)))))</f>
        <v/>
      </c>
      <c r="R893" s="48" t="str">
        <f>IF(OR($B893="",$D893=""),"",IF($AC893=0,"",IF(AND(NOT(ISNUMBER($P893)),NOT(ISNUMBER($AA893))),"∞",MAX(0,MIN(IF(ISNUMBER($P893),$P893-$AF893-$Q893,1E+15),IF(ISNUMBER($AA893),$AA893-$AG893-$Q893,1E+15))))))</f>
        <v/>
      </c>
      <c r="S893" s="47" t="str">
        <f>IF($AD893="","",YEAR($AD893)*100+MONTH($AD893))</f>
        <v/>
      </c>
      <c r="T893" s="50" t="str">
        <f>IF($AD893="","",IFERROR(IF(INDEX(CARDS!$I$5:$I$34,MATCH($D893,CARDS!$A$5:$A$34,0))="","",IF(INDEX(CARDS!$I$5:$I$34,MATCH($D893,CARDS!$A$5:$A$34,0))&gt;INDEX(CARDS!$H$5:$H$34,MATCH($D893,CARDS!$A$5:$A$34,0)),DATE(YEAR($AD893),MONTH($AD893),MIN(INDEX(CARDS!$I$5:$I$34,MATCH($D893,CARDS!$A$5:$A$34,0)),DAY(EOMONTH($AD893,0)))),DATE(YEAR($AD893),MONTH($AD893)+1,MIN(INDEX(CARDS!$I$5:$I$34,MATCH($D893,CARDS!$A$5:$A$34,0)),DAY(EOMONTH($AD893,1)))))),""))</f>
        <v/>
      </c>
      <c r="U893" s="38" t="n"/>
      <c r="V893" s="37" t="n"/>
      <c r="W893" s="38" t="n"/>
      <c r="X893" s="38" t="n"/>
      <c r="Y893" s="44" t="str">
        <f>IF($AC893&gt;0,INDEX(CASHBACK_RULES!$A$5:$A$304,$AC893),"")</f>
        <v/>
      </c>
      <c r="Z893" s="45" t="str">
        <f>IF($AC893&gt;0,INDEX(CASHBACK_RULES!$E$5:$E$304,$AC893)&amp;"","")</f>
        <v/>
      </c>
      <c r="AA893" s="48" t="str">
        <f>IF($AC893&gt;0,IF(ISNUMBER(INDEX(CASHBACK_RULES!$K$5:$K$304,$AC893)),INDEX(CASHBACK_RULES!$K$5:$K$304,$AC893),"∞"),"")</f>
        <v/>
      </c>
      <c r="AB893" s="44" t="str">
        <f>IF(OR($B893="",$D893=""),"",IF($U893="Cancelled","Đã hủy",IF($AC893=0,"Không được hoàn",IF($Q893=0,IF(OR($O893&gt;0,$M893&lt;$L893),"Đã đạt cap","Không được hoàn"),IF(OR($Q893&lt;$O893,$M893&lt;$L893),"Hoàn một phần","Được hoàn")))))</f>
        <v/>
      </c>
      <c r="AC893" s="43">
        <f>IF(OR($B893="",$D893="",$I893="",$L893=""),0,IF($U893="Cancelled",0,IF($W893&lt;&gt;"",IFERROR(IF(INDEX(CASHBACK_RULES!$B$5:$B$304,MATCH($W893,CASHBACK_RULES!$A$5:$A$304,0))=$D893,MATCH($W893,CASHBACK_RULES!$A$5:$A$304,0),0),0),IFERROR(MATCH(1,INDEX((CASHBACK_RULES!$B$5:$B$304=$D893)*(CASHBACK_RULES!$G$5:$G$304=$I893)*(((CASHBACK_RULES!$N$5:$N$304="")+(CASHBACK_RULES!$N$5:$N$304&lt;=$B893))&gt;0)*(((CASHBACK_RULES!$O$5:$O$304="")+(CASHBACK_RULES!$O$5:$O$304&gt;=$B893))&gt;0)*(((CASHBACK_RULES!$M$5:$M$304="")+(CASHBACK_RULES!$M$5:$M$304&lt;=$L893))&gt;0),0),0),0))))</f>
        <v>0</v>
      </c>
      <c r="AD893" s="51" t="str">
        <f>IF(OR($B893="",$D893=""),"",IFERROR(IF(INDEX(CARDS!$H$5:$H$34,MATCH($D893,CARDS!$A$5:$A$34,0))="","",IF(DAY($B893)&lt;=INDEX(CARDS!$H$5:$H$34,MATCH($D893,CARDS!$A$5:$A$34,0)),DATE(YEAR($B893),MONTH($B893),MIN(INDEX(CARDS!$H$5:$H$34,MATCH($D893,CARDS!$A$5:$A$34,0)),DAY(EOMONTH($B893,0)))),DATE(YEAR($B893),MONTH($B893)+1,MIN(INDEX(CARDS!$H$5:$H$34,MATCH($D893,CARDS!$A$5:$A$34,0)),DAY(EOMONTH($B893,1)))))),""))</f>
        <v/>
      </c>
      <c r="AE893" s="52" t="str">
        <f>IF($C893="","",$C893&amp;"|"&amp;COUNTIF($C$5:$C893,$C893))</f>
        <v/>
      </c>
      <c r="AF893" s="53">
        <f>IF($AC893&gt;0,SUMIFS(Q$4:Q892,$D$4:$D892,$D893,$Z$4:$Z892,$Z893,$C$4:$C892,$C893),0)</f>
        <v>0</v>
      </c>
      <c r="AG893" s="53">
        <f>IF($AC893&gt;0,SUMIFS(Q$4:Q892,$D$4:$D892,$D893,$C$4:$C892,$C893),0)</f>
        <v>0</v>
      </c>
      <c r="AH893" s="53">
        <f>IF($AC893&gt;0,SUMIFS(M$4:M892,$D$4:$D892,$D893,$Z$4:$Z892,$Z893,$C$4:$C892,$C893),0)</f>
        <v>0</v>
      </c>
      <c r="AI893" s="43">
        <f>IF(OR($C893="",$I893=""),0,IF(COUNTIFS($C$5:$C893,$C893,$I$5:$I893,$I893)=1,1,0))</f>
        <v>0</v>
      </c>
      <c r="AJ893" s="43" t="str">
        <f>IF($AI893=1,SUMIFS($AI$4:$AI892,$C$4:$C892,$C893)+1,"")</f>
        <v/>
      </c>
      <c r="AK893" s="43">
        <f>IF(OR($C893="",$K893=""),0,IF(COUNTIFS($C$5:$C893,$C893,$K$5:$K893,$K893)=1,1,0))</f>
        <v>0</v>
      </c>
      <c r="AL893" s="43" t="str">
        <f>IF($AK893=1,SUMIFS($AK$4:$AK892,$C$4:$C892,$C893)+1,"")</f>
        <v/>
      </c>
      <c r="AM893" s="43">
        <f>IF(OR($C893="",$G893=""),0,IF(COUNTIFS($C$5:$C893,$C893,$G$5:$G893,$G893)=1,1,0))</f>
        <v>0</v>
      </c>
      <c r="AN893" s="43" t="str">
        <f>IF($AM893=1,SUMIFS($AM$4:$AM892,$C$4:$C892,$C893)+1,"")</f>
        <v/>
      </c>
    </row>
    <row r="894">
      <c r="A894" s="44" t="str">
        <f>IF(OR($B894="",$D894=""),"","TX"&amp;TEXT(ROW()-4,"0000"))</f>
        <v/>
      </c>
      <c r="B894" s="42" t="n"/>
      <c r="C894" s="47" t="str">
        <f>IF($B894="","",YEAR($B894)*100+MONTH($B894))</f>
        <v/>
      </c>
      <c r="D894" s="37" t="n"/>
      <c r="E894" s="45" t="str">
        <f>IF($D894="","",IFERROR(INDEX(CARDS!$B$5:$B$34,MATCH($D894,CARDS!$A$5:$A$34,0)),"⚠ Card ID?"))</f>
        <v/>
      </c>
      <c r="F894" s="45" t="str">
        <f>IF($D894="","",IFERROR(INDEX(CARDS!$C$5:$C$34,MATCH($D894,CARDS!$A$5:$A$34,0)),"⚠ Card ID?"))</f>
        <v/>
      </c>
      <c r="G894" s="37" t="n"/>
      <c r="H894" s="37" t="n"/>
      <c r="I894" s="41" t="n"/>
      <c r="J894" s="45" t="str">
        <f>IF($I894="","",IFERROR(INDEX(MCC_MASTER!$B$5:$B$504,MATCH($I894,MCC_MASTER!$A$5:$A$504,0)),"⚠ MCC chưa có"))</f>
        <v/>
      </c>
      <c r="K894" s="45" t="str">
        <f>IF($I894="","",IFERROR(IF(INDEX(MCC_MASTER!$C$5:$C$504,MATCH($I894,MCC_MASTER!$A$5:$A$504,0))="","Chưa phân loại",INDEX(MCC_MASTER!$C$5:$C$504,MATCH($I894,MCC_MASTER!$A$5:$A$504,0))),"Chưa phân loại"))</f>
        <v/>
      </c>
      <c r="L894" s="40" t="n"/>
      <c r="M894" s="48" t="str">
        <f>IF(OR($B894="",$D894=""),"",IF($AC894=0,0,IF(ISNUMBER(INDEX(CASHBACK_RULES!$L$5:$L$304,$AC894)),MAX(0,MIN($L894,INDEX(CASHBACK_RULES!$L$5:$L$304,$AC894)-$AH894)),MAX(0,$L894))))</f>
        <v/>
      </c>
      <c r="N894" s="49" t="str">
        <f>IF(OR($B894="",$D894=""),"",IF($AC894&gt;0,INDEX(CASHBACK_RULES!$I$5:$I$304,$AC894),0))</f>
        <v/>
      </c>
      <c r="O894" s="48" t="str">
        <f>IF(OR($B894="",$D894=""),"",ROUND($M894*$N894,0))</f>
        <v/>
      </c>
      <c r="P894" s="48" t="str">
        <f>IF($AC894&gt;0,IF(ISNUMBER(INDEX(CASHBACK_RULES!$J$5:$J$304,$AC894)),INDEX(CASHBACK_RULES!$J$5:$J$304,$AC894),"∞"),"")</f>
        <v/>
      </c>
      <c r="Q894" s="48" t="str">
        <f>IF(OR($B894="",$D894=""),"",IF($AC894=0,0,MAX(0,MIN($O894,IF(ISNUMBER($P894),$P894-$AF894,1E+15),IF(ISNUMBER($AA894),$AA894-$AG894,1E+15)))))</f>
        <v/>
      </c>
      <c r="R894" s="48" t="str">
        <f>IF(OR($B894="",$D894=""),"",IF($AC894=0,"",IF(AND(NOT(ISNUMBER($P894)),NOT(ISNUMBER($AA894))),"∞",MAX(0,MIN(IF(ISNUMBER($P894),$P894-$AF894-$Q894,1E+15),IF(ISNUMBER($AA894),$AA894-$AG894-$Q894,1E+15))))))</f>
        <v/>
      </c>
      <c r="S894" s="47" t="str">
        <f>IF($AD894="","",YEAR($AD894)*100+MONTH($AD894))</f>
        <v/>
      </c>
      <c r="T894" s="50" t="str">
        <f>IF($AD894="","",IFERROR(IF(INDEX(CARDS!$I$5:$I$34,MATCH($D894,CARDS!$A$5:$A$34,0))="","",IF(INDEX(CARDS!$I$5:$I$34,MATCH($D894,CARDS!$A$5:$A$34,0))&gt;INDEX(CARDS!$H$5:$H$34,MATCH($D894,CARDS!$A$5:$A$34,0)),DATE(YEAR($AD894),MONTH($AD894),MIN(INDEX(CARDS!$I$5:$I$34,MATCH($D894,CARDS!$A$5:$A$34,0)),DAY(EOMONTH($AD894,0)))),DATE(YEAR($AD894),MONTH($AD894)+1,MIN(INDEX(CARDS!$I$5:$I$34,MATCH($D894,CARDS!$A$5:$A$34,0)),DAY(EOMONTH($AD894,1)))))),""))</f>
        <v/>
      </c>
      <c r="U894" s="38" t="n"/>
      <c r="V894" s="37" t="n"/>
      <c r="W894" s="38" t="n"/>
      <c r="X894" s="38" t="n"/>
      <c r="Y894" s="44" t="str">
        <f>IF($AC894&gt;0,INDEX(CASHBACK_RULES!$A$5:$A$304,$AC894),"")</f>
        <v/>
      </c>
      <c r="Z894" s="45" t="str">
        <f>IF($AC894&gt;0,INDEX(CASHBACK_RULES!$E$5:$E$304,$AC894)&amp;"","")</f>
        <v/>
      </c>
      <c r="AA894" s="48" t="str">
        <f>IF($AC894&gt;0,IF(ISNUMBER(INDEX(CASHBACK_RULES!$K$5:$K$304,$AC894)),INDEX(CASHBACK_RULES!$K$5:$K$304,$AC894),"∞"),"")</f>
        <v/>
      </c>
      <c r="AB894" s="44" t="str">
        <f>IF(OR($B894="",$D894=""),"",IF($U894="Cancelled","Đã hủy",IF($AC894=0,"Không được hoàn",IF($Q894=0,IF(OR($O894&gt;0,$M894&lt;$L894),"Đã đạt cap","Không được hoàn"),IF(OR($Q894&lt;$O894,$M894&lt;$L894),"Hoàn một phần","Được hoàn")))))</f>
        <v/>
      </c>
      <c r="AC894" s="43">
        <f>IF(OR($B894="",$D894="",$I894="",$L894=""),0,IF($U894="Cancelled",0,IF($W894&lt;&gt;"",IFERROR(IF(INDEX(CASHBACK_RULES!$B$5:$B$304,MATCH($W894,CASHBACK_RULES!$A$5:$A$304,0))=$D894,MATCH($W894,CASHBACK_RULES!$A$5:$A$304,0),0),0),IFERROR(MATCH(1,INDEX((CASHBACK_RULES!$B$5:$B$304=$D894)*(CASHBACK_RULES!$G$5:$G$304=$I894)*(((CASHBACK_RULES!$N$5:$N$304="")+(CASHBACK_RULES!$N$5:$N$304&lt;=$B894))&gt;0)*(((CASHBACK_RULES!$O$5:$O$304="")+(CASHBACK_RULES!$O$5:$O$304&gt;=$B894))&gt;0)*(((CASHBACK_RULES!$M$5:$M$304="")+(CASHBACK_RULES!$M$5:$M$304&lt;=$L894))&gt;0),0),0),0))))</f>
        <v>0</v>
      </c>
      <c r="AD894" s="51" t="str">
        <f>IF(OR($B894="",$D894=""),"",IFERROR(IF(INDEX(CARDS!$H$5:$H$34,MATCH($D894,CARDS!$A$5:$A$34,0))="","",IF(DAY($B894)&lt;=INDEX(CARDS!$H$5:$H$34,MATCH($D894,CARDS!$A$5:$A$34,0)),DATE(YEAR($B894),MONTH($B894),MIN(INDEX(CARDS!$H$5:$H$34,MATCH($D894,CARDS!$A$5:$A$34,0)),DAY(EOMONTH($B894,0)))),DATE(YEAR($B894),MONTH($B894)+1,MIN(INDEX(CARDS!$H$5:$H$34,MATCH($D894,CARDS!$A$5:$A$34,0)),DAY(EOMONTH($B894,1)))))),""))</f>
        <v/>
      </c>
      <c r="AE894" s="52" t="str">
        <f>IF($C894="","",$C894&amp;"|"&amp;COUNTIF($C$5:$C894,$C894))</f>
        <v/>
      </c>
      <c r="AF894" s="53">
        <f>IF($AC894&gt;0,SUMIFS(Q$4:Q893,$D$4:$D893,$D894,$Z$4:$Z893,$Z894,$C$4:$C893,$C894),0)</f>
        <v>0</v>
      </c>
      <c r="AG894" s="53">
        <f>IF($AC894&gt;0,SUMIFS(Q$4:Q893,$D$4:$D893,$D894,$C$4:$C893,$C894),0)</f>
        <v>0</v>
      </c>
      <c r="AH894" s="53">
        <f>IF($AC894&gt;0,SUMIFS(M$4:M893,$D$4:$D893,$D894,$Z$4:$Z893,$Z894,$C$4:$C893,$C894),0)</f>
        <v>0</v>
      </c>
      <c r="AI894" s="43">
        <f>IF(OR($C894="",$I894=""),0,IF(COUNTIFS($C$5:$C894,$C894,$I$5:$I894,$I894)=1,1,0))</f>
        <v>0</v>
      </c>
      <c r="AJ894" s="43" t="str">
        <f>IF($AI894=1,SUMIFS($AI$4:$AI893,$C$4:$C893,$C894)+1,"")</f>
        <v/>
      </c>
      <c r="AK894" s="43">
        <f>IF(OR($C894="",$K894=""),0,IF(COUNTIFS($C$5:$C894,$C894,$K$5:$K894,$K894)=1,1,0))</f>
        <v>0</v>
      </c>
      <c r="AL894" s="43" t="str">
        <f>IF($AK894=1,SUMIFS($AK$4:$AK893,$C$4:$C893,$C894)+1,"")</f>
        <v/>
      </c>
      <c r="AM894" s="43">
        <f>IF(OR($C894="",$G894=""),0,IF(COUNTIFS($C$5:$C894,$C894,$G$5:$G894,$G894)=1,1,0))</f>
        <v>0</v>
      </c>
      <c r="AN894" s="43" t="str">
        <f>IF($AM894=1,SUMIFS($AM$4:$AM893,$C$4:$C893,$C894)+1,"")</f>
        <v/>
      </c>
    </row>
    <row r="895">
      <c r="A895" s="44" t="str">
        <f>IF(OR($B895="",$D895=""),"","TX"&amp;TEXT(ROW()-4,"0000"))</f>
        <v/>
      </c>
      <c r="B895" s="42" t="n"/>
      <c r="C895" s="47" t="str">
        <f>IF($B895="","",YEAR($B895)*100+MONTH($B895))</f>
        <v/>
      </c>
      <c r="D895" s="37" t="n"/>
      <c r="E895" s="45" t="str">
        <f>IF($D895="","",IFERROR(INDEX(CARDS!$B$5:$B$34,MATCH($D895,CARDS!$A$5:$A$34,0)),"⚠ Card ID?"))</f>
        <v/>
      </c>
      <c r="F895" s="45" t="str">
        <f>IF($D895="","",IFERROR(INDEX(CARDS!$C$5:$C$34,MATCH($D895,CARDS!$A$5:$A$34,0)),"⚠ Card ID?"))</f>
        <v/>
      </c>
      <c r="G895" s="37" t="n"/>
      <c r="H895" s="37" t="n"/>
      <c r="I895" s="41" t="n"/>
      <c r="J895" s="45" t="str">
        <f>IF($I895="","",IFERROR(INDEX(MCC_MASTER!$B$5:$B$504,MATCH($I895,MCC_MASTER!$A$5:$A$504,0)),"⚠ MCC chưa có"))</f>
        <v/>
      </c>
      <c r="K895" s="45" t="str">
        <f>IF($I895="","",IFERROR(IF(INDEX(MCC_MASTER!$C$5:$C$504,MATCH($I895,MCC_MASTER!$A$5:$A$504,0))="","Chưa phân loại",INDEX(MCC_MASTER!$C$5:$C$504,MATCH($I895,MCC_MASTER!$A$5:$A$504,0))),"Chưa phân loại"))</f>
        <v/>
      </c>
      <c r="L895" s="40" t="n"/>
      <c r="M895" s="48" t="str">
        <f>IF(OR($B895="",$D895=""),"",IF($AC895=0,0,IF(ISNUMBER(INDEX(CASHBACK_RULES!$L$5:$L$304,$AC895)),MAX(0,MIN($L895,INDEX(CASHBACK_RULES!$L$5:$L$304,$AC895)-$AH895)),MAX(0,$L895))))</f>
        <v/>
      </c>
      <c r="N895" s="49" t="str">
        <f>IF(OR($B895="",$D895=""),"",IF($AC895&gt;0,INDEX(CASHBACK_RULES!$I$5:$I$304,$AC895),0))</f>
        <v/>
      </c>
      <c r="O895" s="48" t="str">
        <f>IF(OR($B895="",$D895=""),"",ROUND($M895*$N895,0))</f>
        <v/>
      </c>
      <c r="P895" s="48" t="str">
        <f>IF($AC895&gt;0,IF(ISNUMBER(INDEX(CASHBACK_RULES!$J$5:$J$304,$AC895)),INDEX(CASHBACK_RULES!$J$5:$J$304,$AC895),"∞"),"")</f>
        <v/>
      </c>
      <c r="Q895" s="48" t="str">
        <f>IF(OR($B895="",$D895=""),"",IF($AC895=0,0,MAX(0,MIN($O895,IF(ISNUMBER($P895),$P895-$AF895,1E+15),IF(ISNUMBER($AA895),$AA895-$AG895,1E+15)))))</f>
        <v/>
      </c>
      <c r="R895" s="48" t="str">
        <f>IF(OR($B895="",$D895=""),"",IF($AC895=0,"",IF(AND(NOT(ISNUMBER($P895)),NOT(ISNUMBER($AA895))),"∞",MAX(0,MIN(IF(ISNUMBER($P895),$P895-$AF895-$Q895,1E+15),IF(ISNUMBER($AA895),$AA895-$AG895-$Q895,1E+15))))))</f>
        <v/>
      </c>
      <c r="S895" s="47" t="str">
        <f>IF($AD895="","",YEAR($AD895)*100+MONTH($AD895))</f>
        <v/>
      </c>
      <c r="T895" s="50" t="str">
        <f>IF($AD895="","",IFERROR(IF(INDEX(CARDS!$I$5:$I$34,MATCH($D895,CARDS!$A$5:$A$34,0))="","",IF(INDEX(CARDS!$I$5:$I$34,MATCH($D895,CARDS!$A$5:$A$34,0))&gt;INDEX(CARDS!$H$5:$H$34,MATCH($D895,CARDS!$A$5:$A$34,0)),DATE(YEAR($AD895),MONTH($AD895),MIN(INDEX(CARDS!$I$5:$I$34,MATCH($D895,CARDS!$A$5:$A$34,0)),DAY(EOMONTH($AD895,0)))),DATE(YEAR($AD895),MONTH($AD895)+1,MIN(INDEX(CARDS!$I$5:$I$34,MATCH($D895,CARDS!$A$5:$A$34,0)),DAY(EOMONTH($AD895,1)))))),""))</f>
        <v/>
      </c>
      <c r="U895" s="38" t="n"/>
      <c r="V895" s="37" t="n"/>
      <c r="W895" s="38" t="n"/>
      <c r="X895" s="38" t="n"/>
      <c r="Y895" s="44" t="str">
        <f>IF($AC895&gt;0,INDEX(CASHBACK_RULES!$A$5:$A$304,$AC895),"")</f>
        <v/>
      </c>
      <c r="Z895" s="45" t="str">
        <f>IF($AC895&gt;0,INDEX(CASHBACK_RULES!$E$5:$E$304,$AC895)&amp;"","")</f>
        <v/>
      </c>
      <c r="AA895" s="48" t="str">
        <f>IF($AC895&gt;0,IF(ISNUMBER(INDEX(CASHBACK_RULES!$K$5:$K$304,$AC895)),INDEX(CASHBACK_RULES!$K$5:$K$304,$AC895),"∞"),"")</f>
        <v/>
      </c>
      <c r="AB895" s="44" t="str">
        <f>IF(OR($B895="",$D895=""),"",IF($U895="Cancelled","Đã hủy",IF($AC895=0,"Không được hoàn",IF($Q895=0,IF(OR($O895&gt;0,$M895&lt;$L895),"Đã đạt cap","Không được hoàn"),IF(OR($Q895&lt;$O895,$M895&lt;$L895),"Hoàn một phần","Được hoàn")))))</f>
        <v/>
      </c>
      <c r="AC895" s="43">
        <f>IF(OR($B895="",$D895="",$I895="",$L895=""),0,IF($U895="Cancelled",0,IF($W895&lt;&gt;"",IFERROR(IF(INDEX(CASHBACK_RULES!$B$5:$B$304,MATCH($W895,CASHBACK_RULES!$A$5:$A$304,0))=$D895,MATCH($W895,CASHBACK_RULES!$A$5:$A$304,0),0),0),IFERROR(MATCH(1,INDEX((CASHBACK_RULES!$B$5:$B$304=$D895)*(CASHBACK_RULES!$G$5:$G$304=$I895)*(((CASHBACK_RULES!$N$5:$N$304="")+(CASHBACK_RULES!$N$5:$N$304&lt;=$B895))&gt;0)*(((CASHBACK_RULES!$O$5:$O$304="")+(CASHBACK_RULES!$O$5:$O$304&gt;=$B895))&gt;0)*(((CASHBACK_RULES!$M$5:$M$304="")+(CASHBACK_RULES!$M$5:$M$304&lt;=$L895))&gt;0),0),0),0))))</f>
        <v>0</v>
      </c>
      <c r="AD895" s="51" t="str">
        <f>IF(OR($B895="",$D895=""),"",IFERROR(IF(INDEX(CARDS!$H$5:$H$34,MATCH($D895,CARDS!$A$5:$A$34,0))="","",IF(DAY($B895)&lt;=INDEX(CARDS!$H$5:$H$34,MATCH($D895,CARDS!$A$5:$A$34,0)),DATE(YEAR($B895),MONTH($B895),MIN(INDEX(CARDS!$H$5:$H$34,MATCH($D895,CARDS!$A$5:$A$34,0)),DAY(EOMONTH($B895,0)))),DATE(YEAR($B895),MONTH($B895)+1,MIN(INDEX(CARDS!$H$5:$H$34,MATCH($D895,CARDS!$A$5:$A$34,0)),DAY(EOMONTH($B895,1)))))),""))</f>
        <v/>
      </c>
      <c r="AE895" s="52" t="str">
        <f>IF($C895="","",$C895&amp;"|"&amp;COUNTIF($C$5:$C895,$C895))</f>
        <v/>
      </c>
      <c r="AF895" s="53">
        <f>IF($AC895&gt;0,SUMIFS(Q$4:Q894,$D$4:$D894,$D895,$Z$4:$Z894,$Z895,$C$4:$C894,$C895),0)</f>
        <v>0</v>
      </c>
      <c r="AG895" s="53">
        <f>IF($AC895&gt;0,SUMIFS(Q$4:Q894,$D$4:$D894,$D895,$C$4:$C894,$C895),0)</f>
        <v>0</v>
      </c>
      <c r="AH895" s="53">
        <f>IF($AC895&gt;0,SUMIFS(M$4:M894,$D$4:$D894,$D895,$Z$4:$Z894,$Z895,$C$4:$C894,$C895),0)</f>
        <v>0</v>
      </c>
      <c r="AI895" s="43">
        <f>IF(OR($C895="",$I895=""),0,IF(COUNTIFS($C$5:$C895,$C895,$I$5:$I895,$I895)=1,1,0))</f>
        <v>0</v>
      </c>
      <c r="AJ895" s="43" t="str">
        <f>IF($AI895=1,SUMIFS($AI$4:$AI894,$C$4:$C894,$C895)+1,"")</f>
        <v/>
      </c>
      <c r="AK895" s="43">
        <f>IF(OR($C895="",$K895=""),0,IF(COUNTIFS($C$5:$C895,$C895,$K$5:$K895,$K895)=1,1,0))</f>
        <v>0</v>
      </c>
      <c r="AL895" s="43" t="str">
        <f>IF($AK895=1,SUMIFS($AK$4:$AK894,$C$4:$C894,$C895)+1,"")</f>
        <v/>
      </c>
      <c r="AM895" s="43">
        <f>IF(OR($C895="",$G895=""),0,IF(COUNTIFS($C$5:$C895,$C895,$G$5:$G895,$G895)=1,1,0))</f>
        <v>0</v>
      </c>
      <c r="AN895" s="43" t="str">
        <f>IF($AM895=1,SUMIFS($AM$4:$AM894,$C$4:$C894,$C895)+1,"")</f>
        <v/>
      </c>
    </row>
    <row r="896">
      <c r="A896" s="44" t="str">
        <f>IF(OR($B896="",$D896=""),"","TX"&amp;TEXT(ROW()-4,"0000"))</f>
        <v/>
      </c>
      <c r="B896" s="42" t="n"/>
      <c r="C896" s="47" t="str">
        <f>IF($B896="","",YEAR($B896)*100+MONTH($B896))</f>
        <v/>
      </c>
      <c r="D896" s="37" t="n"/>
      <c r="E896" s="45" t="str">
        <f>IF($D896="","",IFERROR(INDEX(CARDS!$B$5:$B$34,MATCH($D896,CARDS!$A$5:$A$34,0)),"⚠ Card ID?"))</f>
        <v/>
      </c>
      <c r="F896" s="45" t="str">
        <f>IF($D896="","",IFERROR(INDEX(CARDS!$C$5:$C$34,MATCH($D896,CARDS!$A$5:$A$34,0)),"⚠ Card ID?"))</f>
        <v/>
      </c>
      <c r="G896" s="37" t="n"/>
      <c r="H896" s="37" t="n"/>
      <c r="I896" s="41" t="n"/>
      <c r="J896" s="45" t="str">
        <f>IF($I896="","",IFERROR(INDEX(MCC_MASTER!$B$5:$B$504,MATCH($I896,MCC_MASTER!$A$5:$A$504,0)),"⚠ MCC chưa có"))</f>
        <v/>
      </c>
      <c r="K896" s="45" t="str">
        <f>IF($I896="","",IFERROR(IF(INDEX(MCC_MASTER!$C$5:$C$504,MATCH($I896,MCC_MASTER!$A$5:$A$504,0))="","Chưa phân loại",INDEX(MCC_MASTER!$C$5:$C$504,MATCH($I896,MCC_MASTER!$A$5:$A$504,0))),"Chưa phân loại"))</f>
        <v/>
      </c>
      <c r="L896" s="40" t="n"/>
      <c r="M896" s="48" t="str">
        <f>IF(OR($B896="",$D896=""),"",IF($AC896=0,0,IF(ISNUMBER(INDEX(CASHBACK_RULES!$L$5:$L$304,$AC896)),MAX(0,MIN($L896,INDEX(CASHBACK_RULES!$L$5:$L$304,$AC896)-$AH896)),MAX(0,$L896))))</f>
        <v/>
      </c>
      <c r="N896" s="49" t="str">
        <f>IF(OR($B896="",$D896=""),"",IF($AC896&gt;0,INDEX(CASHBACK_RULES!$I$5:$I$304,$AC896),0))</f>
        <v/>
      </c>
      <c r="O896" s="48" t="str">
        <f>IF(OR($B896="",$D896=""),"",ROUND($M896*$N896,0))</f>
        <v/>
      </c>
      <c r="P896" s="48" t="str">
        <f>IF($AC896&gt;0,IF(ISNUMBER(INDEX(CASHBACK_RULES!$J$5:$J$304,$AC896)),INDEX(CASHBACK_RULES!$J$5:$J$304,$AC896),"∞"),"")</f>
        <v/>
      </c>
      <c r="Q896" s="48" t="str">
        <f>IF(OR($B896="",$D896=""),"",IF($AC896=0,0,MAX(0,MIN($O896,IF(ISNUMBER($P896),$P896-$AF896,1E+15),IF(ISNUMBER($AA896),$AA896-$AG896,1E+15)))))</f>
        <v/>
      </c>
      <c r="R896" s="48" t="str">
        <f>IF(OR($B896="",$D896=""),"",IF($AC896=0,"",IF(AND(NOT(ISNUMBER($P896)),NOT(ISNUMBER($AA896))),"∞",MAX(0,MIN(IF(ISNUMBER($P896),$P896-$AF896-$Q896,1E+15),IF(ISNUMBER($AA896),$AA896-$AG896-$Q896,1E+15))))))</f>
        <v/>
      </c>
      <c r="S896" s="47" t="str">
        <f>IF($AD896="","",YEAR($AD896)*100+MONTH($AD896))</f>
        <v/>
      </c>
      <c r="T896" s="50" t="str">
        <f>IF($AD896="","",IFERROR(IF(INDEX(CARDS!$I$5:$I$34,MATCH($D896,CARDS!$A$5:$A$34,0))="","",IF(INDEX(CARDS!$I$5:$I$34,MATCH($D896,CARDS!$A$5:$A$34,0))&gt;INDEX(CARDS!$H$5:$H$34,MATCH($D896,CARDS!$A$5:$A$34,0)),DATE(YEAR($AD896),MONTH($AD896),MIN(INDEX(CARDS!$I$5:$I$34,MATCH($D896,CARDS!$A$5:$A$34,0)),DAY(EOMONTH($AD896,0)))),DATE(YEAR($AD896),MONTH($AD896)+1,MIN(INDEX(CARDS!$I$5:$I$34,MATCH($D896,CARDS!$A$5:$A$34,0)),DAY(EOMONTH($AD896,1)))))),""))</f>
        <v/>
      </c>
      <c r="U896" s="38" t="n"/>
      <c r="V896" s="37" t="n"/>
      <c r="W896" s="38" t="n"/>
      <c r="X896" s="38" t="n"/>
      <c r="Y896" s="44" t="str">
        <f>IF($AC896&gt;0,INDEX(CASHBACK_RULES!$A$5:$A$304,$AC896),"")</f>
        <v/>
      </c>
      <c r="Z896" s="45" t="str">
        <f>IF($AC896&gt;0,INDEX(CASHBACK_RULES!$E$5:$E$304,$AC896)&amp;"","")</f>
        <v/>
      </c>
      <c r="AA896" s="48" t="str">
        <f>IF($AC896&gt;0,IF(ISNUMBER(INDEX(CASHBACK_RULES!$K$5:$K$304,$AC896)),INDEX(CASHBACK_RULES!$K$5:$K$304,$AC896),"∞"),"")</f>
        <v/>
      </c>
      <c r="AB896" s="44" t="str">
        <f>IF(OR($B896="",$D896=""),"",IF($U896="Cancelled","Đã hủy",IF($AC896=0,"Không được hoàn",IF($Q896=0,IF(OR($O896&gt;0,$M896&lt;$L896),"Đã đạt cap","Không được hoàn"),IF(OR($Q896&lt;$O896,$M896&lt;$L896),"Hoàn một phần","Được hoàn")))))</f>
        <v/>
      </c>
      <c r="AC896" s="43">
        <f>IF(OR($B896="",$D896="",$I896="",$L896=""),0,IF($U896="Cancelled",0,IF($W896&lt;&gt;"",IFERROR(IF(INDEX(CASHBACK_RULES!$B$5:$B$304,MATCH($W896,CASHBACK_RULES!$A$5:$A$304,0))=$D896,MATCH($W896,CASHBACK_RULES!$A$5:$A$304,0),0),0),IFERROR(MATCH(1,INDEX((CASHBACK_RULES!$B$5:$B$304=$D896)*(CASHBACK_RULES!$G$5:$G$304=$I896)*(((CASHBACK_RULES!$N$5:$N$304="")+(CASHBACK_RULES!$N$5:$N$304&lt;=$B896))&gt;0)*(((CASHBACK_RULES!$O$5:$O$304="")+(CASHBACK_RULES!$O$5:$O$304&gt;=$B896))&gt;0)*(((CASHBACK_RULES!$M$5:$M$304="")+(CASHBACK_RULES!$M$5:$M$304&lt;=$L896))&gt;0),0),0),0))))</f>
        <v>0</v>
      </c>
      <c r="AD896" s="51" t="str">
        <f>IF(OR($B896="",$D896=""),"",IFERROR(IF(INDEX(CARDS!$H$5:$H$34,MATCH($D896,CARDS!$A$5:$A$34,0))="","",IF(DAY($B896)&lt;=INDEX(CARDS!$H$5:$H$34,MATCH($D896,CARDS!$A$5:$A$34,0)),DATE(YEAR($B896),MONTH($B896),MIN(INDEX(CARDS!$H$5:$H$34,MATCH($D896,CARDS!$A$5:$A$34,0)),DAY(EOMONTH($B896,0)))),DATE(YEAR($B896),MONTH($B896)+1,MIN(INDEX(CARDS!$H$5:$H$34,MATCH($D896,CARDS!$A$5:$A$34,0)),DAY(EOMONTH($B896,1)))))),""))</f>
        <v/>
      </c>
      <c r="AE896" s="52" t="str">
        <f>IF($C896="","",$C896&amp;"|"&amp;COUNTIF($C$5:$C896,$C896))</f>
        <v/>
      </c>
      <c r="AF896" s="53">
        <f>IF($AC896&gt;0,SUMIFS(Q$4:Q895,$D$4:$D895,$D896,$Z$4:$Z895,$Z896,$C$4:$C895,$C896),0)</f>
        <v>0</v>
      </c>
      <c r="AG896" s="53">
        <f>IF($AC896&gt;0,SUMIFS(Q$4:Q895,$D$4:$D895,$D896,$C$4:$C895,$C896),0)</f>
        <v>0</v>
      </c>
      <c r="AH896" s="53">
        <f>IF($AC896&gt;0,SUMIFS(M$4:M895,$D$4:$D895,$D896,$Z$4:$Z895,$Z896,$C$4:$C895,$C896),0)</f>
        <v>0</v>
      </c>
      <c r="AI896" s="43">
        <f>IF(OR($C896="",$I896=""),0,IF(COUNTIFS($C$5:$C896,$C896,$I$5:$I896,$I896)=1,1,0))</f>
        <v>0</v>
      </c>
      <c r="AJ896" s="43" t="str">
        <f>IF($AI896=1,SUMIFS($AI$4:$AI895,$C$4:$C895,$C896)+1,"")</f>
        <v/>
      </c>
      <c r="AK896" s="43">
        <f>IF(OR($C896="",$K896=""),0,IF(COUNTIFS($C$5:$C896,$C896,$K$5:$K896,$K896)=1,1,0))</f>
        <v>0</v>
      </c>
      <c r="AL896" s="43" t="str">
        <f>IF($AK896=1,SUMIFS($AK$4:$AK895,$C$4:$C895,$C896)+1,"")</f>
        <v/>
      </c>
      <c r="AM896" s="43">
        <f>IF(OR($C896="",$G896=""),0,IF(COUNTIFS($C$5:$C896,$C896,$G$5:$G896,$G896)=1,1,0))</f>
        <v>0</v>
      </c>
      <c r="AN896" s="43" t="str">
        <f>IF($AM896=1,SUMIFS($AM$4:$AM895,$C$4:$C895,$C896)+1,"")</f>
        <v/>
      </c>
    </row>
    <row r="897">
      <c r="A897" s="44" t="str">
        <f>IF(OR($B897="",$D897=""),"","TX"&amp;TEXT(ROW()-4,"0000"))</f>
        <v/>
      </c>
      <c r="B897" s="42" t="n"/>
      <c r="C897" s="47" t="str">
        <f>IF($B897="","",YEAR($B897)*100+MONTH($B897))</f>
        <v/>
      </c>
      <c r="D897" s="37" t="n"/>
      <c r="E897" s="45" t="str">
        <f>IF($D897="","",IFERROR(INDEX(CARDS!$B$5:$B$34,MATCH($D897,CARDS!$A$5:$A$34,0)),"⚠ Card ID?"))</f>
        <v/>
      </c>
      <c r="F897" s="45" t="str">
        <f>IF($D897="","",IFERROR(INDEX(CARDS!$C$5:$C$34,MATCH($D897,CARDS!$A$5:$A$34,0)),"⚠ Card ID?"))</f>
        <v/>
      </c>
      <c r="G897" s="37" t="n"/>
      <c r="H897" s="37" t="n"/>
      <c r="I897" s="41" t="n"/>
      <c r="J897" s="45" t="str">
        <f>IF($I897="","",IFERROR(INDEX(MCC_MASTER!$B$5:$B$504,MATCH($I897,MCC_MASTER!$A$5:$A$504,0)),"⚠ MCC chưa có"))</f>
        <v/>
      </c>
      <c r="K897" s="45" t="str">
        <f>IF($I897="","",IFERROR(IF(INDEX(MCC_MASTER!$C$5:$C$504,MATCH($I897,MCC_MASTER!$A$5:$A$504,0))="","Chưa phân loại",INDEX(MCC_MASTER!$C$5:$C$504,MATCH($I897,MCC_MASTER!$A$5:$A$504,0))),"Chưa phân loại"))</f>
        <v/>
      </c>
      <c r="L897" s="40" t="n"/>
      <c r="M897" s="48" t="str">
        <f>IF(OR($B897="",$D897=""),"",IF($AC897=0,0,IF(ISNUMBER(INDEX(CASHBACK_RULES!$L$5:$L$304,$AC897)),MAX(0,MIN($L897,INDEX(CASHBACK_RULES!$L$5:$L$304,$AC897)-$AH897)),MAX(0,$L897))))</f>
        <v/>
      </c>
      <c r="N897" s="49" t="str">
        <f>IF(OR($B897="",$D897=""),"",IF($AC897&gt;0,INDEX(CASHBACK_RULES!$I$5:$I$304,$AC897),0))</f>
        <v/>
      </c>
      <c r="O897" s="48" t="str">
        <f>IF(OR($B897="",$D897=""),"",ROUND($M897*$N897,0))</f>
        <v/>
      </c>
      <c r="P897" s="48" t="str">
        <f>IF($AC897&gt;0,IF(ISNUMBER(INDEX(CASHBACK_RULES!$J$5:$J$304,$AC897)),INDEX(CASHBACK_RULES!$J$5:$J$304,$AC897),"∞"),"")</f>
        <v/>
      </c>
      <c r="Q897" s="48" t="str">
        <f>IF(OR($B897="",$D897=""),"",IF($AC897=0,0,MAX(0,MIN($O897,IF(ISNUMBER($P897),$P897-$AF897,1E+15),IF(ISNUMBER($AA897),$AA897-$AG897,1E+15)))))</f>
        <v/>
      </c>
      <c r="R897" s="48" t="str">
        <f>IF(OR($B897="",$D897=""),"",IF($AC897=0,"",IF(AND(NOT(ISNUMBER($P897)),NOT(ISNUMBER($AA897))),"∞",MAX(0,MIN(IF(ISNUMBER($P897),$P897-$AF897-$Q897,1E+15),IF(ISNUMBER($AA897),$AA897-$AG897-$Q897,1E+15))))))</f>
        <v/>
      </c>
      <c r="S897" s="47" t="str">
        <f>IF($AD897="","",YEAR($AD897)*100+MONTH($AD897))</f>
        <v/>
      </c>
      <c r="T897" s="50" t="str">
        <f>IF($AD897="","",IFERROR(IF(INDEX(CARDS!$I$5:$I$34,MATCH($D897,CARDS!$A$5:$A$34,0))="","",IF(INDEX(CARDS!$I$5:$I$34,MATCH($D897,CARDS!$A$5:$A$34,0))&gt;INDEX(CARDS!$H$5:$H$34,MATCH($D897,CARDS!$A$5:$A$34,0)),DATE(YEAR($AD897),MONTH($AD897),MIN(INDEX(CARDS!$I$5:$I$34,MATCH($D897,CARDS!$A$5:$A$34,0)),DAY(EOMONTH($AD897,0)))),DATE(YEAR($AD897),MONTH($AD897)+1,MIN(INDEX(CARDS!$I$5:$I$34,MATCH($D897,CARDS!$A$5:$A$34,0)),DAY(EOMONTH($AD897,1)))))),""))</f>
        <v/>
      </c>
      <c r="U897" s="38" t="n"/>
      <c r="V897" s="37" t="n"/>
      <c r="W897" s="38" t="n"/>
      <c r="X897" s="38" t="n"/>
      <c r="Y897" s="44" t="str">
        <f>IF($AC897&gt;0,INDEX(CASHBACK_RULES!$A$5:$A$304,$AC897),"")</f>
        <v/>
      </c>
      <c r="Z897" s="45" t="str">
        <f>IF($AC897&gt;0,INDEX(CASHBACK_RULES!$E$5:$E$304,$AC897)&amp;"","")</f>
        <v/>
      </c>
      <c r="AA897" s="48" t="str">
        <f>IF($AC897&gt;0,IF(ISNUMBER(INDEX(CASHBACK_RULES!$K$5:$K$304,$AC897)),INDEX(CASHBACK_RULES!$K$5:$K$304,$AC897),"∞"),"")</f>
        <v/>
      </c>
      <c r="AB897" s="44" t="str">
        <f>IF(OR($B897="",$D897=""),"",IF($U897="Cancelled","Đã hủy",IF($AC897=0,"Không được hoàn",IF($Q897=0,IF(OR($O897&gt;0,$M897&lt;$L897),"Đã đạt cap","Không được hoàn"),IF(OR($Q897&lt;$O897,$M897&lt;$L897),"Hoàn một phần","Được hoàn")))))</f>
        <v/>
      </c>
      <c r="AC897" s="43">
        <f>IF(OR($B897="",$D897="",$I897="",$L897=""),0,IF($U897="Cancelled",0,IF($W897&lt;&gt;"",IFERROR(IF(INDEX(CASHBACK_RULES!$B$5:$B$304,MATCH($W897,CASHBACK_RULES!$A$5:$A$304,0))=$D897,MATCH($W897,CASHBACK_RULES!$A$5:$A$304,0),0),0),IFERROR(MATCH(1,INDEX((CASHBACK_RULES!$B$5:$B$304=$D897)*(CASHBACK_RULES!$G$5:$G$304=$I897)*(((CASHBACK_RULES!$N$5:$N$304="")+(CASHBACK_RULES!$N$5:$N$304&lt;=$B897))&gt;0)*(((CASHBACK_RULES!$O$5:$O$304="")+(CASHBACK_RULES!$O$5:$O$304&gt;=$B897))&gt;0)*(((CASHBACK_RULES!$M$5:$M$304="")+(CASHBACK_RULES!$M$5:$M$304&lt;=$L897))&gt;0),0),0),0))))</f>
        <v>0</v>
      </c>
      <c r="AD897" s="51" t="str">
        <f>IF(OR($B897="",$D897=""),"",IFERROR(IF(INDEX(CARDS!$H$5:$H$34,MATCH($D897,CARDS!$A$5:$A$34,0))="","",IF(DAY($B897)&lt;=INDEX(CARDS!$H$5:$H$34,MATCH($D897,CARDS!$A$5:$A$34,0)),DATE(YEAR($B897),MONTH($B897),MIN(INDEX(CARDS!$H$5:$H$34,MATCH($D897,CARDS!$A$5:$A$34,0)),DAY(EOMONTH($B897,0)))),DATE(YEAR($B897),MONTH($B897)+1,MIN(INDEX(CARDS!$H$5:$H$34,MATCH($D897,CARDS!$A$5:$A$34,0)),DAY(EOMONTH($B897,1)))))),""))</f>
        <v/>
      </c>
      <c r="AE897" s="52" t="str">
        <f>IF($C897="","",$C897&amp;"|"&amp;COUNTIF($C$5:$C897,$C897))</f>
        <v/>
      </c>
      <c r="AF897" s="53">
        <f>IF($AC897&gt;0,SUMIFS(Q$4:Q896,$D$4:$D896,$D897,$Z$4:$Z896,$Z897,$C$4:$C896,$C897),0)</f>
        <v>0</v>
      </c>
      <c r="AG897" s="53">
        <f>IF($AC897&gt;0,SUMIFS(Q$4:Q896,$D$4:$D896,$D897,$C$4:$C896,$C897),0)</f>
        <v>0</v>
      </c>
      <c r="AH897" s="53">
        <f>IF($AC897&gt;0,SUMIFS(M$4:M896,$D$4:$D896,$D897,$Z$4:$Z896,$Z897,$C$4:$C896,$C897),0)</f>
        <v>0</v>
      </c>
      <c r="AI897" s="43">
        <f>IF(OR($C897="",$I897=""),0,IF(COUNTIFS($C$5:$C897,$C897,$I$5:$I897,$I897)=1,1,0))</f>
        <v>0</v>
      </c>
      <c r="AJ897" s="43" t="str">
        <f>IF($AI897=1,SUMIFS($AI$4:$AI896,$C$4:$C896,$C897)+1,"")</f>
        <v/>
      </c>
      <c r="AK897" s="43">
        <f>IF(OR($C897="",$K897=""),0,IF(COUNTIFS($C$5:$C897,$C897,$K$5:$K897,$K897)=1,1,0))</f>
        <v>0</v>
      </c>
      <c r="AL897" s="43" t="str">
        <f>IF($AK897=1,SUMIFS($AK$4:$AK896,$C$4:$C896,$C897)+1,"")</f>
        <v/>
      </c>
      <c r="AM897" s="43">
        <f>IF(OR($C897="",$G897=""),0,IF(COUNTIFS($C$5:$C897,$C897,$G$5:$G897,$G897)=1,1,0))</f>
        <v>0</v>
      </c>
      <c r="AN897" s="43" t="str">
        <f>IF($AM897=1,SUMIFS($AM$4:$AM896,$C$4:$C896,$C897)+1,"")</f>
        <v/>
      </c>
    </row>
    <row r="898">
      <c r="A898" s="44" t="str">
        <f>IF(OR($B898="",$D898=""),"","TX"&amp;TEXT(ROW()-4,"0000"))</f>
        <v/>
      </c>
      <c r="B898" s="42" t="n"/>
      <c r="C898" s="47" t="str">
        <f>IF($B898="","",YEAR($B898)*100+MONTH($B898))</f>
        <v/>
      </c>
      <c r="D898" s="37" t="n"/>
      <c r="E898" s="45" t="str">
        <f>IF($D898="","",IFERROR(INDEX(CARDS!$B$5:$B$34,MATCH($D898,CARDS!$A$5:$A$34,0)),"⚠ Card ID?"))</f>
        <v/>
      </c>
      <c r="F898" s="45" t="str">
        <f>IF($D898="","",IFERROR(INDEX(CARDS!$C$5:$C$34,MATCH($D898,CARDS!$A$5:$A$34,0)),"⚠ Card ID?"))</f>
        <v/>
      </c>
      <c r="G898" s="37" t="n"/>
      <c r="H898" s="37" t="n"/>
      <c r="I898" s="41" t="n"/>
      <c r="J898" s="45" t="str">
        <f>IF($I898="","",IFERROR(INDEX(MCC_MASTER!$B$5:$B$504,MATCH($I898,MCC_MASTER!$A$5:$A$504,0)),"⚠ MCC chưa có"))</f>
        <v/>
      </c>
      <c r="K898" s="45" t="str">
        <f>IF($I898="","",IFERROR(IF(INDEX(MCC_MASTER!$C$5:$C$504,MATCH($I898,MCC_MASTER!$A$5:$A$504,0))="","Chưa phân loại",INDEX(MCC_MASTER!$C$5:$C$504,MATCH($I898,MCC_MASTER!$A$5:$A$504,0))),"Chưa phân loại"))</f>
        <v/>
      </c>
      <c r="L898" s="40" t="n"/>
      <c r="M898" s="48" t="str">
        <f>IF(OR($B898="",$D898=""),"",IF($AC898=0,0,IF(ISNUMBER(INDEX(CASHBACK_RULES!$L$5:$L$304,$AC898)),MAX(0,MIN($L898,INDEX(CASHBACK_RULES!$L$5:$L$304,$AC898)-$AH898)),MAX(0,$L898))))</f>
        <v/>
      </c>
      <c r="N898" s="49" t="str">
        <f>IF(OR($B898="",$D898=""),"",IF($AC898&gt;0,INDEX(CASHBACK_RULES!$I$5:$I$304,$AC898),0))</f>
        <v/>
      </c>
      <c r="O898" s="48" t="str">
        <f>IF(OR($B898="",$D898=""),"",ROUND($M898*$N898,0))</f>
        <v/>
      </c>
      <c r="P898" s="48" t="str">
        <f>IF($AC898&gt;0,IF(ISNUMBER(INDEX(CASHBACK_RULES!$J$5:$J$304,$AC898)),INDEX(CASHBACK_RULES!$J$5:$J$304,$AC898),"∞"),"")</f>
        <v/>
      </c>
      <c r="Q898" s="48" t="str">
        <f>IF(OR($B898="",$D898=""),"",IF($AC898=0,0,MAX(0,MIN($O898,IF(ISNUMBER($P898),$P898-$AF898,1E+15),IF(ISNUMBER($AA898),$AA898-$AG898,1E+15)))))</f>
        <v/>
      </c>
      <c r="R898" s="48" t="str">
        <f>IF(OR($B898="",$D898=""),"",IF($AC898=0,"",IF(AND(NOT(ISNUMBER($P898)),NOT(ISNUMBER($AA898))),"∞",MAX(0,MIN(IF(ISNUMBER($P898),$P898-$AF898-$Q898,1E+15),IF(ISNUMBER($AA898),$AA898-$AG898-$Q898,1E+15))))))</f>
        <v/>
      </c>
      <c r="S898" s="47" t="str">
        <f>IF($AD898="","",YEAR($AD898)*100+MONTH($AD898))</f>
        <v/>
      </c>
      <c r="T898" s="50" t="str">
        <f>IF($AD898="","",IFERROR(IF(INDEX(CARDS!$I$5:$I$34,MATCH($D898,CARDS!$A$5:$A$34,0))="","",IF(INDEX(CARDS!$I$5:$I$34,MATCH($D898,CARDS!$A$5:$A$34,0))&gt;INDEX(CARDS!$H$5:$H$34,MATCH($D898,CARDS!$A$5:$A$34,0)),DATE(YEAR($AD898),MONTH($AD898),MIN(INDEX(CARDS!$I$5:$I$34,MATCH($D898,CARDS!$A$5:$A$34,0)),DAY(EOMONTH($AD898,0)))),DATE(YEAR($AD898),MONTH($AD898)+1,MIN(INDEX(CARDS!$I$5:$I$34,MATCH($D898,CARDS!$A$5:$A$34,0)),DAY(EOMONTH($AD898,1)))))),""))</f>
        <v/>
      </c>
      <c r="U898" s="38" t="n"/>
      <c r="V898" s="37" t="n"/>
      <c r="W898" s="38" t="n"/>
      <c r="X898" s="38" t="n"/>
      <c r="Y898" s="44" t="str">
        <f>IF($AC898&gt;0,INDEX(CASHBACK_RULES!$A$5:$A$304,$AC898),"")</f>
        <v/>
      </c>
      <c r="Z898" s="45" t="str">
        <f>IF($AC898&gt;0,INDEX(CASHBACK_RULES!$E$5:$E$304,$AC898)&amp;"","")</f>
        <v/>
      </c>
      <c r="AA898" s="48" t="str">
        <f>IF($AC898&gt;0,IF(ISNUMBER(INDEX(CASHBACK_RULES!$K$5:$K$304,$AC898)),INDEX(CASHBACK_RULES!$K$5:$K$304,$AC898),"∞"),"")</f>
        <v/>
      </c>
      <c r="AB898" s="44" t="str">
        <f>IF(OR($B898="",$D898=""),"",IF($U898="Cancelled","Đã hủy",IF($AC898=0,"Không được hoàn",IF($Q898=0,IF(OR($O898&gt;0,$M898&lt;$L898),"Đã đạt cap","Không được hoàn"),IF(OR($Q898&lt;$O898,$M898&lt;$L898),"Hoàn một phần","Được hoàn")))))</f>
        <v/>
      </c>
      <c r="AC898" s="43">
        <f>IF(OR($B898="",$D898="",$I898="",$L898=""),0,IF($U898="Cancelled",0,IF($W898&lt;&gt;"",IFERROR(IF(INDEX(CASHBACK_RULES!$B$5:$B$304,MATCH($W898,CASHBACK_RULES!$A$5:$A$304,0))=$D898,MATCH($W898,CASHBACK_RULES!$A$5:$A$304,0),0),0),IFERROR(MATCH(1,INDEX((CASHBACK_RULES!$B$5:$B$304=$D898)*(CASHBACK_RULES!$G$5:$G$304=$I898)*(((CASHBACK_RULES!$N$5:$N$304="")+(CASHBACK_RULES!$N$5:$N$304&lt;=$B898))&gt;0)*(((CASHBACK_RULES!$O$5:$O$304="")+(CASHBACK_RULES!$O$5:$O$304&gt;=$B898))&gt;0)*(((CASHBACK_RULES!$M$5:$M$304="")+(CASHBACK_RULES!$M$5:$M$304&lt;=$L898))&gt;0),0),0),0))))</f>
        <v>0</v>
      </c>
      <c r="AD898" s="51" t="str">
        <f>IF(OR($B898="",$D898=""),"",IFERROR(IF(INDEX(CARDS!$H$5:$H$34,MATCH($D898,CARDS!$A$5:$A$34,0))="","",IF(DAY($B898)&lt;=INDEX(CARDS!$H$5:$H$34,MATCH($D898,CARDS!$A$5:$A$34,0)),DATE(YEAR($B898),MONTH($B898),MIN(INDEX(CARDS!$H$5:$H$34,MATCH($D898,CARDS!$A$5:$A$34,0)),DAY(EOMONTH($B898,0)))),DATE(YEAR($B898),MONTH($B898)+1,MIN(INDEX(CARDS!$H$5:$H$34,MATCH($D898,CARDS!$A$5:$A$34,0)),DAY(EOMONTH($B898,1)))))),""))</f>
        <v/>
      </c>
      <c r="AE898" s="52" t="str">
        <f>IF($C898="","",$C898&amp;"|"&amp;COUNTIF($C$5:$C898,$C898))</f>
        <v/>
      </c>
      <c r="AF898" s="53">
        <f>IF($AC898&gt;0,SUMIFS(Q$4:Q897,$D$4:$D897,$D898,$Z$4:$Z897,$Z898,$C$4:$C897,$C898),0)</f>
        <v>0</v>
      </c>
      <c r="AG898" s="53">
        <f>IF($AC898&gt;0,SUMIFS(Q$4:Q897,$D$4:$D897,$D898,$C$4:$C897,$C898),0)</f>
        <v>0</v>
      </c>
      <c r="AH898" s="53">
        <f>IF($AC898&gt;0,SUMIFS(M$4:M897,$D$4:$D897,$D898,$Z$4:$Z897,$Z898,$C$4:$C897,$C898),0)</f>
        <v>0</v>
      </c>
      <c r="AI898" s="43">
        <f>IF(OR($C898="",$I898=""),0,IF(COUNTIFS($C$5:$C898,$C898,$I$5:$I898,$I898)=1,1,0))</f>
        <v>0</v>
      </c>
      <c r="AJ898" s="43" t="str">
        <f>IF($AI898=1,SUMIFS($AI$4:$AI897,$C$4:$C897,$C898)+1,"")</f>
        <v/>
      </c>
      <c r="AK898" s="43">
        <f>IF(OR($C898="",$K898=""),0,IF(COUNTIFS($C$5:$C898,$C898,$K$5:$K898,$K898)=1,1,0))</f>
        <v>0</v>
      </c>
      <c r="AL898" s="43" t="str">
        <f>IF($AK898=1,SUMIFS($AK$4:$AK897,$C$4:$C897,$C898)+1,"")</f>
        <v/>
      </c>
      <c r="AM898" s="43">
        <f>IF(OR($C898="",$G898=""),0,IF(COUNTIFS($C$5:$C898,$C898,$G$5:$G898,$G898)=1,1,0))</f>
        <v>0</v>
      </c>
      <c r="AN898" s="43" t="str">
        <f>IF($AM898=1,SUMIFS($AM$4:$AM897,$C$4:$C897,$C898)+1,"")</f>
        <v/>
      </c>
    </row>
    <row r="899">
      <c r="A899" s="44" t="str">
        <f>IF(OR($B899="",$D899=""),"","TX"&amp;TEXT(ROW()-4,"0000"))</f>
        <v/>
      </c>
      <c r="B899" s="42" t="n"/>
      <c r="C899" s="47" t="str">
        <f>IF($B899="","",YEAR($B899)*100+MONTH($B899))</f>
        <v/>
      </c>
      <c r="D899" s="37" t="n"/>
      <c r="E899" s="45" t="str">
        <f>IF($D899="","",IFERROR(INDEX(CARDS!$B$5:$B$34,MATCH($D899,CARDS!$A$5:$A$34,0)),"⚠ Card ID?"))</f>
        <v/>
      </c>
      <c r="F899" s="45" t="str">
        <f>IF($D899="","",IFERROR(INDEX(CARDS!$C$5:$C$34,MATCH($D899,CARDS!$A$5:$A$34,0)),"⚠ Card ID?"))</f>
        <v/>
      </c>
      <c r="G899" s="37" t="n"/>
      <c r="H899" s="37" t="n"/>
      <c r="I899" s="41" t="n"/>
      <c r="J899" s="45" t="str">
        <f>IF($I899="","",IFERROR(INDEX(MCC_MASTER!$B$5:$B$504,MATCH($I899,MCC_MASTER!$A$5:$A$504,0)),"⚠ MCC chưa có"))</f>
        <v/>
      </c>
      <c r="K899" s="45" t="str">
        <f>IF($I899="","",IFERROR(IF(INDEX(MCC_MASTER!$C$5:$C$504,MATCH($I899,MCC_MASTER!$A$5:$A$504,0))="","Chưa phân loại",INDEX(MCC_MASTER!$C$5:$C$504,MATCH($I899,MCC_MASTER!$A$5:$A$504,0))),"Chưa phân loại"))</f>
        <v/>
      </c>
      <c r="L899" s="40" t="n"/>
      <c r="M899" s="48" t="str">
        <f>IF(OR($B899="",$D899=""),"",IF($AC899=0,0,IF(ISNUMBER(INDEX(CASHBACK_RULES!$L$5:$L$304,$AC899)),MAX(0,MIN($L899,INDEX(CASHBACK_RULES!$L$5:$L$304,$AC899)-$AH899)),MAX(0,$L899))))</f>
        <v/>
      </c>
      <c r="N899" s="49" t="str">
        <f>IF(OR($B899="",$D899=""),"",IF($AC899&gt;0,INDEX(CASHBACK_RULES!$I$5:$I$304,$AC899),0))</f>
        <v/>
      </c>
      <c r="O899" s="48" t="str">
        <f>IF(OR($B899="",$D899=""),"",ROUND($M899*$N899,0))</f>
        <v/>
      </c>
      <c r="P899" s="48" t="str">
        <f>IF($AC899&gt;0,IF(ISNUMBER(INDEX(CASHBACK_RULES!$J$5:$J$304,$AC899)),INDEX(CASHBACK_RULES!$J$5:$J$304,$AC899),"∞"),"")</f>
        <v/>
      </c>
      <c r="Q899" s="48" t="str">
        <f>IF(OR($B899="",$D899=""),"",IF($AC899=0,0,MAX(0,MIN($O899,IF(ISNUMBER($P899),$P899-$AF899,1E+15),IF(ISNUMBER($AA899),$AA899-$AG899,1E+15)))))</f>
        <v/>
      </c>
      <c r="R899" s="48" t="str">
        <f>IF(OR($B899="",$D899=""),"",IF($AC899=0,"",IF(AND(NOT(ISNUMBER($P899)),NOT(ISNUMBER($AA899))),"∞",MAX(0,MIN(IF(ISNUMBER($P899),$P899-$AF899-$Q899,1E+15),IF(ISNUMBER($AA899),$AA899-$AG899-$Q899,1E+15))))))</f>
        <v/>
      </c>
      <c r="S899" s="47" t="str">
        <f>IF($AD899="","",YEAR($AD899)*100+MONTH($AD899))</f>
        <v/>
      </c>
      <c r="T899" s="50" t="str">
        <f>IF($AD899="","",IFERROR(IF(INDEX(CARDS!$I$5:$I$34,MATCH($D899,CARDS!$A$5:$A$34,0))="","",IF(INDEX(CARDS!$I$5:$I$34,MATCH($D899,CARDS!$A$5:$A$34,0))&gt;INDEX(CARDS!$H$5:$H$34,MATCH($D899,CARDS!$A$5:$A$34,0)),DATE(YEAR($AD899),MONTH($AD899),MIN(INDEX(CARDS!$I$5:$I$34,MATCH($D899,CARDS!$A$5:$A$34,0)),DAY(EOMONTH($AD899,0)))),DATE(YEAR($AD899),MONTH($AD899)+1,MIN(INDEX(CARDS!$I$5:$I$34,MATCH($D899,CARDS!$A$5:$A$34,0)),DAY(EOMONTH($AD899,1)))))),""))</f>
        <v/>
      </c>
      <c r="U899" s="38" t="n"/>
      <c r="V899" s="37" t="n"/>
      <c r="W899" s="38" t="n"/>
      <c r="X899" s="38" t="n"/>
      <c r="Y899" s="44" t="str">
        <f>IF($AC899&gt;0,INDEX(CASHBACK_RULES!$A$5:$A$304,$AC899),"")</f>
        <v/>
      </c>
      <c r="Z899" s="45" t="str">
        <f>IF($AC899&gt;0,INDEX(CASHBACK_RULES!$E$5:$E$304,$AC899)&amp;"","")</f>
        <v/>
      </c>
      <c r="AA899" s="48" t="str">
        <f>IF($AC899&gt;0,IF(ISNUMBER(INDEX(CASHBACK_RULES!$K$5:$K$304,$AC899)),INDEX(CASHBACK_RULES!$K$5:$K$304,$AC899),"∞"),"")</f>
        <v/>
      </c>
      <c r="AB899" s="44" t="str">
        <f>IF(OR($B899="",$D899=""),"",IF($U899="Cancelled","Đã hủy",IF($AC899=0,"Không được hoàn",IF($Q899=0,IF(OR($O899&gt;0,$M899&lt;$L899),"Đã đạt cap","Không được hoàn"),IF(OR($Q899&lt;$O899,$M899&lt;$L899),"Hoàn một phần","Được hoàn")))))</f>
        <v/>
      </c>
      <c r="AC899" s="43">
        <f>IF(OR($B899="",$D899="",$I899="",$L899=""),0,IF($U899="Cancelled",0,IF($W899&lt;&gt;"",IFERROR(IF(INDEX(CASHBACK_RULES!$B$5:$B$304,MATCH($W899,CASHBACK_RULES!$A$5:$A$304,0))=$D899,MATCH($W899,CASHBACK_RULES!$A$5:$A$304,0),0),0),IFERROR(MATCH(1,INDEX((CASHBACK_RULES!$B$5:$B$304=$D899)*(CASHBACK_RULES!$G$5:$G$304=$I899)*(((CASHBACK_RULES!$N$5:$N$304="")+(CASHBACK_RULES!$N$5:$N$304&lt;=$B899))&gt;0)*(((CASHBACK_RULES!$O$5:$O$304="")+(CASHBACK_RULES!$O$5:$O$304&gt;=$B899))&gt;0)*(((CASHBACK_RULES!$M$5:$M$304="")+(CASHBACK_RULES!$M$5:$M$304&lt;=$L899))&gt;0),0),0),0))))</f>
        <v>0</v>
      </c>
      <c r="AD899" s="51" t="str">
        <f>IF(OR($B899="",$D899=""),"",IFERROR(IF(INDEX(CARDS!$H$5:$H$34,MATCH($D899,CARDS!$A$5:$A$34,0))="","",IF(DAY($B899)&lt;=INDEX(CARDS!$H$5:$H$34,MATCH($D899,CARDS!$A$5:$A$34,0)),DATE(YEAR($B899),MONTH($B899),MIN(INDEX(CARDS!$H$5:$H$34,MATCH($D899,CARDS!$A$5:$A$34,0)),DAY(EOMONTH($B899,0)))),DATE(YEAR($B899),MONTH($B899)+1,MIN(INDEX(CARDS!$H$5:$H$34,MATCH($D899,CARDS!$A$5:$A$34,0)),DAY(EOMONTH($B899,1)))))),""))</f>
        <v/>
      </c>
      <c r="AE899" s="52" t="str">
        <f>IF($C899="","",$C899&amp;"|"&amp;COUNTIF($C$5:$C899,$C899))</f>
        <v/>
      </c>
      <c r="AF899" s="53">
        <f>IF($AC899&gt;0,SUMIFS(Q$4:Q898,$D$4:$D898,$D899,$Z$4:$Z898,$Z899,$C$4:$C898,$C899),0)</f>
        <v>0</v>
      </c>
      <c r="AG899" s="53">
        <f>IF($AC899&gt;0,SUMIFS(Q$4:Q898,$D$4:$D898,$D899,$C$4:$C898,$C899),0)</f>
        <v>0</v>
      </c>
      <c r="AH899" s="53">
        <f>IF($AC899&gt;0,SUMIFS(M$4:M898,$D$4:$D898,$D899,$Z$4:$Z898,$Z899,$C$4:$C898,$C899),0)</f>
        <v>0</v>
      </c>
      <c r="AI899" s="43">
        <f>IF(OR($C899="",$I899=""),0,IF(COUNTIFS($C$5:$C899,$C899,$I$5:$I899,$I899)=1,1,0))</f>
        <v>0</v>
      </c>
      <c r="AJ899" s="43" t="str">
        <f>IF($AI899=1,SUMIFS($AI$4:$AI898,$C$4:$C898,$C899)+1,"")</f>
        <v/>
      </c>
      <c r="AK899" s="43">
        <f>IF(OR($C899="",$K899=""),0,IF(COUNTIFS($C$5:$C899,$C899,$K$5:$K899,$K899)=1,1,0))</f>
        <v>0</v>
      </c>
      <c r="AL899" s="43" t="str">
        <f>IF($AK899=1,SUMIFS($AK$4:$AK898,$C$4:$C898,$C899)+1,"")</f>
        <v/>
      </c>
      <c r="AM899" s="43">
        <f>IF(OR($C899="",$G899=""),0,IF(COUNTIFS($C$5:$C899,$C899,$G$5:$G899,$G899)=1,1,0))</f>
        <v>0</v>
      </c>
      <c r="AN899" s="43" t="str">
        <f>IF($AM899=1,SUMIFS($AM$4:$AM898,$C$4:$C898,$C899)+1,"")</f>
        <v/>
      </c>
    </row>
    <row r="900">
      <c r="A900" s="44" t="str">
        <f>IF(OR($B900="",$D900=""),"","TX"&amp;TEXT(ROW()-4,"0000"))</f>
        <v/>
      </c>
      <c r="B900" s="42" t="n"/>
      <c r="C900" s="47" t="str">
        <f>IF($B900="","",YEAR($B900)*100+MONTH($B900))</f>
        <v/>
      </c>
      <c r="D900" s="37" t="n"/>
      <c r="E900" s="45" t="str">
        <f>IF($D900="","",IFERROR(INDEX(CARDS!$B$5:$B$34,MATCH($D900,CARDS!$A$5:$A$34,0)),"⚠ Card ID?"))</f>
        <v/>
      </c>
      <c r="F900" s="45" t="str">
        <f>IF($D900="","",IFERROR(INDEX(CARDS!$C$5:$C$34,MATCH($D900,CARDS!$A$5:$A$34,0)),"⚠ Card ID?"))</f>
        <v/>
      </c>
      <c r="G900" s="37" t="n"/>
      <c r="H900" s="37" t="n"/>
      <c r="I900" s="41" t="n"/>
      <c r="J900" s="45" t="str">
        <f>IF($I900="","",IFERROR(INDEX(MCC_MASTER!$B$5:$B$504,MATCH($I900,MCC_MASTER!$A$5:$A$504,0)),"⚠ MCC chưa có"))</f>
        <v/>
      </c>
      <c r="K900" s="45" t="str">
        <f>IF($I900="","",IFERROR(IF(INDEX(MCC_MASTER!$C$5:$C$504,MATCH($I900,MCC_MASTER!$A$5:$A$504,0))="","Chưa phân loại",INDEX(MCC_MASTER!$C$5:$C$504,MATCH($I900,MCC_MASTER!$A$5:$A$504,0))),"Chưa phân loại"))</f>
        <v/>
      </c>
      <c r="L900" s="40" t="n"/>
      <c r="M900" s="48" t="str">
        <f>IF(OR($B900="",$D900=""),"",IF($AC900=0,0,IF(ISNUMBER(INDEX(CASHBACK_RULES!$L$5:$L$304,$AC900)),MAX(0,MIN($L900,INDEX(CASHBACK_RULES!$L$5:$L$304,$AC900)-$AH900)),MAX(0,$L900))))</f>
        <v/>
      </c>
      <c r="N900" s="49" t="str">
        <f>IF(OR($B900="",$D900=""),"",IF($AC900&gt;0,INDEX(CASHBACK_RULES!$I$5:$I$304,$AC900),0))</f>
        <v/>
      </c>
      <c r="O900" s="48" t="str">
        <f>IF(OR($B900="",$D900=""),"",ROUND($M900*$N900,0))</f>
        <v/>
      </c>
      <c r="P900" s="48" t="str">
        <f>IF($AC900&gt;0,IF(ISNUMBER(INDEX(CASHBACK_RULES!$J$5:$J$304,$AC900)),INDEX(CASHBACK_RULES!$J$5:$J$304,$AC900),"∞"),"")</f>
        <v/>
      </c>
      <c r="Q900" s="48" t="str">
        <f>IF(OR($B900="",$D900=""),"",IF($AC900=0,0,MAX(0,MIN($O900,IF(ISNUMBER($P900),$P900-$AF900,1E+15),IF(ISNUMBER($AA900),$AA900-$AG900,1E+15)))))</f>
        <v/>
      </c>
      <c r="R900" s="48" t="str">
        <f>IF(OR($B900="",$D900=""),"",IF($AC900=0,"",IF(AND(NOT(ISNUMBER($P900)),NOT(ISNUMBER($AA900))),"∞",MAX(0,MIN(IF(ISNUMBER($P900),$P900-$AF900-$Q900,1E+15),IF(ISNUMBER($AA900),$AA900-$AG900-$Q900,1E+15))))))</f>
        <v/>
      </c>
      <c r="S900" s="47" t="str">
        <f>IF($AD900="","",YEAR($AD900)*100+MONTH($AD900))</f>
        <v/>
      </c>
      <c r="T900" s="50" t="str">
        <f>IF($AD900="","",IFERROR(IF(INDEX(CARDS!$I$5:$I$34,MATCH($D900,CARDS!$A$5:$A$34,0))="","",IF(INDEX(CARDS!$I$5:$I$34,MATCH($D900,CARDS!$A$5:$A$34,0))&gt;INDEX(CARDS!$H$5:$H$34,MATCH($D900,CARDS!$A$5:$A$34,0)),DATE(YEAR($AD900),MONTH($AD900),MIN(INDEX(CARDS!$I$5:$I$34,MATCH($D900,CARDS!$A$5:$A$34,0)),DAY(EOMONTH($AD900,0)))),DATE(YEAR($AD900),MONTH($AD900)+1,MIN(INDEX(CARDS!$I$5:$I$34,MATCH($D900,CARDS!$A$5:$A$34,0)),DAY(EOMONTH($AD900,1)))))),""))</f>
        <v/>
      </c>
      <c r="U900" s="38" t="n"/>
      <c r="V900" s="37" t="n"/>
      <c r="W900" s="38" t="n"/>
      <c r="X900" s="38" t="n"/>
      <c r="Y900" s="44" t="str">
        <f>IF($AC900&gt;0,INDEX(CASHBACK_RULES!$A$5:$A$304,$AC900),"")</f>
        <v/>
      </c>
      <c r="Z900" s="45" t="str">
        <f>IF($AC900&gt;0,INDEX(CASHBACK_RULES!$E$5:$E$304,$AC900)&amp;"","")</f>
        <v/>
      </c>
      <c r="AA900" s="48" t="str">
        <f>IF($AC900&gt;0,IF(ISNUMBER(INDEX(CASHBACK_RULES!$K$5:$K$304,$AC900)),INDEX(CASHBACK_RULES!$K$5:$K$304,$AC900),"∞"),"")</f>
        <v/>
      </c>
      <c r="AB900" s="44" t="str">
        <f>IF(OR($B900="",$D900=""),"",IF($U900="Cancelled","Đã hủy",IF($AC900=0,"Không được hoàn",IF($Q900=0,IF(OR($O900&gt;0,$M900&lt;$L900),"Đã đạt cap","Không được hoàn"),IF(OR($Q900&lt;$O900,$M900&lt;$L900),"Hoàn một phần","Được hoàn")))))</f>
        <v/>
      </c>
      <c r="AC900" s="43">
        <f>IF(OR($B900="",$D900="",$I900="",$L900=""),0,IF($U900="Cancelled",0,IF($W900&lt;&gt;"",IFERROR(IF(INDEX(CASHBACK_RULES!$B$5:$B$304,MATCH($W900,CASHBACK_RULES!$A$5:$A$304,0))=$D900,MATCH($W900,CASHBACK_RULES!$A$5:$A$304,0),0),0),IFERROR(MATCH(1,INDEX((CASHBACK_RULES!$B$5:$B$304=$D900)*(CASHBACK_RULES!$G$5:$G$304=$I900)*(((CASHBACK_RULES!$N$5:$N$304="")+(CASHBACK_RULES!$N$5:$N$304&lt;=$B900))&gt;0)*(((CASHBACK_RULES!$O$5:$O$304="")+(CASHBACK_RULES!$O$5:$O$304&gt;=$B900))&gt;0)*(((CASHBACK_RULES!$M$5:$M$304="")+(CASHBACK_RULES!$M$5:$M$304&lt;=$L900))&gt;0),0),0),0))))</f>
        <v>0</v>
      </c>
      <c r="AD900" s="51" t="str">
        <f>IF(OR($B900="",$D900=""),"",IFERROR(IF(INDEX(CARDS!$H$5:$H$34,MATCH($D900,CARDS!$A$5:$A$34,0))="","",IF(DAY($B900)&lt;=INDEX(CARDS!$H$5:$H$34,MATCH($D900,CARDS!$A$5:$A$34,0)),DATE(YEAR($B900),MONTH($B900),MIN(INDEX(CARDS!$H$5:$H$34,MATCH($D900,CARDS!$A$5:$A$34,0)),DAY(EOMONTH($B900,0)))),DATE(YEAR($B900),MONTH($B900)+1,MIN(INDEX(CARDS!$H$5:$H$34,MATCH($D900,CARDS!$A$5:$A$34,0)),DAY(EOMONTH($B900,1)))))),""))</f>
        <v/>
      </c>
      <c r="AE900" s="52" t="str">
        <f>IF($C900="","",$C900&amp;"|"&amp;COUNTIF($C$5:$C900,$C900))</f>
        <v/>
      </c>
      <c r="AF900" s="53">
        <f>IF($AC900&gt;0,SUMIFS(Q$4:Q899,$D$4:$D899,$D900,$Z$4:$Z899,$Z900,$C$4:$C899,$C900),0)</f>
        <v>0</v>
      </c>
      <c r="AG900" s="53">
        <f>IF($AC900&gt;0,SUMIFS(Q$4:Q899,$D$4:$D899,$D900,$C$4:$C899,$C900),0)</f>
        <v>0</v>
      </c>
      <c r="AH900" s="53">
        <f>IF($AC900&gt;0,SUMIFS(M$4:M899,$D$4:$D899,$D900,$Z$4:$Z899,$Z900,$C$4:$C899,$C900),0)</f>
        <v>0</v>
      </c>
      <c r="AI900" s="43">
        <f>IF(OR($C900="",$I900=""),0,IF(COUNTIFS($C$5:$C900,$C900,$I$5:$I900,$I900)=1,1,0))</f>
        <v>0</v>
      </c>
      <c r="AJ900" s="43" t="str">
        <f>IF($AI900=1,SUMIFS($AI$4:$AI899,$C$4:$C899,$C900)+1,"")</f>
        <v/>
      </c>
      <c r="AK900" s="43">
        <f>IF(OR($C900="",$K900=""),0,IF(COUNTIFS($C$5:$C900,$C900,$K$5:$K900,$K900)=1,1,0))</f>
        <v>0</v>
      </c>
      <c r="AL900" s="43" t="str">
        <f>IF($AK900=1,SUMIFS($AK$4:$AK899,$C$4:$C899,$C900)+1,"")</f>
        <v/>
      </c>
      <c r="AM900" s="43">
        <f>IF(OR($C900="",$G900=""),0,IF(COUNTIFS($C$5:$C900,$C900,$G$5:$G900,$G900)=1,1,0))</f>
        <v>0</v>
      </c>
      <c r="AN900" s="43" t="str">
        <f>IF($AM900=1,SUMIFS($AM$4:$AM899,$C$4:$C899,$C900)+1,"")</f>
        <v/>
      </c>
    </row>
    <row r="901">
      <c r="A901" s="44" t="str">
        <f>IF(OR($B901="",$D901=""),"","TX"&amp;TEXT(ROW()-4,"0000"))</f>
        <v/>
      </c>
      <c r="B901" s="42" t="n"/>
      <c r="C901" s="47" t="str">
        <f>IF($B901="","",YEAR($B901)*100+MONTH($B901))</f>
        <v/>
      </c>
      <c r="D901" s="37" t="n"/>
      <c r="E901" s="45" t="str">
        <f>IF($D901="","",IFERROR(INDEX(CARDS!$B$5:$B$34,MATCH($D901,CARDS!$A$5:$A$34,0)),"⚠ Card ID?"))</f>
        <v/>
      </c>
      <c r="F901" s="45" t="str">
        <f>IF($D901="","",IFERROR(INDEX(CARDS!$C$5:$C$34,MATCH($D901,CARDS!$A$5:$A$34,0)),"⚠ Card ID?"))</f>
        <v/>
      </c>
      <c r="G901" s="37" t="n"/>
      <c r="H901" s="37" t="n"/>
      <c r="I901" s="41" t="n"/>
      <c r="J901" s="45" t="str">
        <f>IF($I901="","",IFERROR(INDEX(MCC_MASTER!$B$5:$B$504,MATCH($I901,MCC_MASTER!$A$5:$A$504,0)),"⚠ MCC chưa có"))</f>
        <v/>
      </c>
      <c r="K901" s="45" t="str">
        <f>IF($I901="","",IFERROR(IF(INDEX(MCC_MASTER!$C$5:$C$504,MATCH($I901,MCC_MASTER!$A$5:$A$504,0))="","Chưa phân loại",INDEX(MCC_MASTER!$C$5:$C$504,MATCH($I901,MCC_MASTER!$A$5:$A$504,0))),"Chưa phân loại"))</f>
        <v/>
      </c>
      <c r="L901" s="40" t="n"/>
      <c r="M901" s="48" t="str">
        <f>IF(OR($B901="",$D901=""),"",IF($AC901=0,0,IF(ISNUMBER(INDEX(CASHBACK_RULES!$L$5:$L$304,$AC901)),MAX(0,MIN($L901,INDEX(CASHBACK_RULES!$L$5:$L$304,$AC901)-$AH901)),MAX(0,$L901))))</f>
        <v/>
      </c>
      <c r="N901" s="49" t="str">
        <f>IF(OR($B901="",$D901=""),"",IF($AC901&gt;0,INDEX(CASHBACK_RULES!$I$5:$I$304,$AC901),0))</f>
        <v/>
      </c>
      <c r="O901" s="48" t="str">
        <f>IF(OR($B901="",$D901=""),"",ROUND($M901*$N901,0))</f>
        <v/>
      </c>
      <c r="P901" s="48" t="str">
        <f>IF($AC901&gt;0,IF(ISNUMBER(INDEX(CASHBACK_RULES!$J$5:$J$304,$AC901)),INDEX(CASHBACK_RULES!$J$5:$J$304,$AC901),"∞"),"")</f>
        <v/>
      </c>
      <c r="Q901" s="48" t="str">
        <f>IF(OR($B901="",$D901=""),"",IF($AC901=0,0,MAX(0,MIN($O901,IF(ISNUMBER($P901),$P901-$AF901,1E+15),IF(ISNUMBER($AA901),$AA901-$AG901,1E+15)))))</f>
        <v/>
      </c>
      <c r="R901" s="48" t="str">
        <f>IF(OR($B901="",$D901=""),"",IF($AC901=0,"",IF(AND(NOT(ISNUMBER($P901)),NOT(ISNUMBER($AA901))),"∞",MAX(0,MIN(IF(ISNUMBER($P901),$P901-$AF901-$Q901,1E+15),IF(ISNUMBER($AA901),$AA901-$AG901-$Q901,1E+15))))))</f>
        <v/>
      </c>
      <c r="S901" s="47" t="str">
        <f>IF($AD901="","",YEAR($AD901)*100+MONTH($AD901))</f>
        <v/>
      </c>
      <c r="T901" s="50" t="str">
        <f>IF($AD901="","",IFERROR(IF(INDEX(CARDS!$I$5:$I$34,MATCH($D901,CARDS!$A$5:$A$34,0))="","",IF(INDEX(CARDS!$I$5:$I$34,MATCH($D901,CARDS!$A$5:$A$34,0))&gt;INDEX(CARDS!$H$5:$H$34,MATCH($D901,CARDS!$A$5:$A$34,0)),DATE(YEAR($AD901),MONTH($AD901),MIN(INDEX(CARDS!$I$5:$I$34,MATCH($D901,CARDS!$A$5:$A$34,0)),DAY(EOMONTH($AD901,0)))),DATE(YEAR($AD901),MONTH($AD901)+1,MIN(INDEX(CARDS!$I$5:$I$34,MATCH($D901,CARDS!$A$5:$A$34,0)),DAY(EOMONTH($AD901,1)))))),""))</f>
        <v/>
      </c>
      <c r="U901" s="38" t="n"/>
      <c r="V901" s="37" t="n"/>
      <c r="W901" s="38" t="n"/>
      <c r="X901" s="38" t="n"/>
      <c r="Y901" s="44" t="str">
        <f>IF($AC901&gt;0,INDEX(CASHBACK_RULES!$A$5:$A$304,$AC901),"")</f>
        <v/>
      </c>
      <c r="Z901" s="45" t="str">
        <f>IF($AC901&gt;0,INDEX(CASHBACK_RULES!$E$5:$E$304,$AC901)&amp;"","")</f>
        <v/>
      </c>
      <c r="AA901" s="48" t="str">
        <f>IF($AC901&gt;0,IF(ISNUMBER(INDEX(CASHBACK_RULES!$K$5:$K$304,$AC901)),INDEX(CASHBACK_RULES!$K$5:$K$304,$AC901),"∞"),"")</f>
        <v/>
      </c>
      <c r="AB901" s="44" t="str">
        <f>IF(OR($B901="",$D901=""),"",IF($U901="Cancelled","Đã hủy",IF($AC901=0,"Không được hoàn",IF($Q901=0,IF(OR($O901&gt;0,$M901&lt;$L901),"Đã đạt cap","Không được hoàn"),IF(OR($Q901&lt;$O901,$M901&lt;$L901),"Hoàn một phần","Được hoàn")))))</f>
        <v/>
      </c>
      <c r="AC901" s="43">
        <f>IF(OR($B901="",$D901="",$I901="",$L901=""),0,IF($U901="Cancelled",0,IF($W901&lt;&gt;"",IFERROR(IF(INDEX(CASHBACK_RULES!$B$5:$B$304,MATCH($W901,CASHBACK_RULES!$A$5:$A$304,0))=$D901,MATCH($W901,CASHBACK_RULES!$A$5:$A$304,0),0),0),IFERROR(MATCH(1,INDEX((CASHBACK_RULES!$B$5:$B$304=$D901)*(CASHBACK_RULES!$G$5:$G$304=$I901)*(((CASHBACK_RULES!$N$5:$N$304="")+(CASHBACK_RULES!$N$5:$N$304&lt;=$B901))&gt;0)*(((CASHBACK_RULES!$O$5:$O$304="")+(CASHBACK_RULES!$O$5:$O$304&gt;=$B901))&gt;0)*(((CASHBACK_RULES!$M$5:$M$304="")+(CASHBACK_RULES!$M$5:$M$304&lt;=$L901))&gt;0),0),0),0))))</f>
        <v>0</v>
      </c>
      <c r="AD901" s="51" t="str">
        <f>IF(OR($B901="",$D901=""),"",IFERROR(IF(INDEX(CARDS!$H$5:$H$34,MATCH($D901,CARDS!$A$5:$A$34,0))="","",IF(DAY($B901)&lt;=INDEX(CARDS!$H$5:$H$34,MATCH($D901,CARDS!$A$5:$A$34,0)),DATE(YEAR($B901),MONTH($B901),MIN(INDEX(CARDS!$H$5:$H$34,MATCH($D901,CARDS!$A$5:$A$34,0)),DAY(EOMONTH($B901,0)))),DATE(YEAR($B901),MONTH($B901)+1,MIN(INDEX(CARDS!$H$5:$H$34,MATCH($D901,CARDS!$A$5:$A$34,0)),DAY(EOMONTH($B901,1)))))),""))</f>
        <v/>
      </c>
      <c r="AE901" s="52" t="str">
        <f>IF($C901="","",$C901&amp;"|"&amp;COUNTIF($C$5:$C901,$C901))</f>
        <v/>
      </c>
      <c r="AF901" s="53">
        <f>IF($AC901&gt;0,SUMIFS(Q$4:Q900,$D$4:$D900,$D901,$Z$4:$Z900,$Z901,$C$4:$C900,$C901),0)</f>
        <v>0</v>
      </c>
      <c r="AG901" s="53">
        <f>IF($AC901&gt;0,SUMIFS(Q$4:Q900,$D$4:$D900,$D901,$C$4:$C900,$C901),0)</f>
        <v>0</v>
      </c>
      <c r="AH901" s="53">
        <f>IF($AC901&gt;0,SUMIFS(M$4:M900,$D$4:$D900,$D901,$Z$4:$Z900,$Z901,$C$4:$C900,$C901),0)</f>
        <v>0</v>
      </c>
      <c r="AI901" s="43">
        <f>IF(OR($C901="",$I901=""),0,IF(COUNTIFS($C$5:$C901,$C901,$I$5:$I901,$I901)=1,1,0))</f>
        <v>0</v>
      </c>
      <c r="AJ901" s="43" t="str">
        <f>IF($AI901=1,SUMIFS($AI$4:$AI900,$C$4:$C900,$C901)+1,"")</f>
        <v/>
      </c>
      <c r="AK901" s="43">
        <f>IF(OR($C901="",$K901=""),0,IF(COUNTIFS($C$5:$C901,$C901,$K$5:$K901,$K901)=1,1,0))</f>
        <v>0</v>
      </c>
      <c r="AL901" s="43" t="str">
        <f>IF($AK901=1,SUMIFS($AK$4:$AK900,$C$4:$C900,$C901)+1,"")</f>
        <v/>
      </c>
      <c r="AM901" s="43">
        <f>IF(OR($C901="",$G901=""),0,IF(COUNTIFS($C$5:$C901,$C901,$G$5:$G901,$G901)=1,1,0))</f>
        <v>0</v>
      </c>
      <c r="AN901" s="43" t="str">
        <f>IF($AM901=1,SUMIFS($AM$4:$AM900,$C$4:$C900,$C901)+1,"")</f>
        <v/>
      </c>
    </row>
    <row r="902">
      <c r="A902" s="44" t="str">
        <f>IF(OR($B902="",$D902=""),"","TX"&amp;TEXT(ROW()-4,"0000"))</f>
        <v/>
      </c>
      <c r="B902" s="42" t="n"/>
      <c r="C902" s="47" t="str">
        <f>IF($B902="","",YEAR($B902)*100+MONTH($B902))</f>
        <v/>
      </c>
      <c r="D902" s="37" t="n"/>
      <c r="E902" s="45" t="str">
        <f>IF($D902="","",IFERROR(INDEX(CARDS!$B$5:$B$34,MATCH($D902,CARDS!$A$5:$A$34,0)),"⚠ Card ID?"))</f>
        <v/>
      </c>
      <c r="F902" s="45" t="str">
        <f>IF($D902="","",IFERROR(INDEX(CARDS!$C$5:$C$34,MATCH($D902,CARDS!$A$5:$A$34,0)),"⚠ Card ID?"))</f>
        <v/>
      </c>
      <c r="G902" s="37" t="n"/>
      <c r="H902" s="37" t="n"/>
      <c r="I902" s="41" t="n"/>
      <c r="J902" s="45" t="str">
        <f>IF($I902="","",IFERROR(INDEX(MCC_MASTER!$B$5:$B$504,MATCH($I902,MCC_MASTER!$A$5:$A$504,0)),"⚠ MCC chưa có"))</f>
        <v/>
      </c>
      <c r="K902" s="45" t="str">
        <f>IF($I902="","",IFERROR(IF(INDEX(MCC_MASTER!$C$5:$C$504,MATCH($I902,MCC_MASTER!$A$5:$A$504,0))="","Chưa phân loại",INDEX(MCC_MASTER!$C$5:$C$504,MATCH($I902,MCC_MASTER!$A$5:$A$504,0))),"Chưa phân loại"))</f>
        <v/>
      </c>
      <c r="L902" s="40" t="n"/>
      <c r="M902" s="48" t="str">
        <f>IF(OR($B902="",$D902=""),"",IF($AC902=0,0,IF(ISNUMBER(INDEX(CASHBACK_RULES!$L$5:$L$304,$AC902)),MAX(0,MIN($L902,INDEX(CASHBACK_RULES!$L$5:$L$304,$AC902)-$AH902)),MAX(0,$L902))))</f>
        <v/>
      </c>
      <c r="N902" s="49" t="str">
        <f>IF(OR($B902="",$D902=""),"",IF($AC902&gt;0,INDEX(CASHBACK_RULES!$I$5:$I$304,$AC902),0))</f>
        <v/>
      </c>
      <c r="O902" s="48" t="str">
        <f>IF(OR($B902="",$D902=""),"",ROUND($M902*$N902,0))</f>
        <v/>
      </c>
      <c r="P902" s="48" t="str">
        <f>IF($AC902&gt;0,IF(ISNUMBER(INDEX(CASHBACK_RULES!$J$5:$J$304,$AC902)),INDEX(CASHBACK_RULES!$J$5:$J$304,$AC902),"∞"),"")</f>
        <v/>
      </c>
      <c r="Q902" s="48" t="str">
        <f>IF(OR($B902="",$D902=""),"",IF($AC902=0,0,MAX(0,MIN($O902,IF(ISNUMBER($P902),$P902-$AF902,1E+15),IF(ISNUMBER($AA902),$AA902-$AG902,1E+15)))))</f>
        <v/>
      </c>
      <c r="R902" s="48" t="str">
        <f>IF(OR($B902="",$D902=""),"",IF($AC902=0,"",IF(AND(NOT(ISNUMBER($P902)),NOT(ISNUMBER($AA902))),"∞",MAX(0,MIN(IF(ISNUMBER($P902),$P902-$AF902-$Q902,1E+15),IF(ISNUMBER($AA902),$AA902-$AG902-$Q902,1E+15))))))</f>
        <v/>
      </c>
      <c r="S902" s="47" t="str">
        <f>IF($AD902="","",YEAR($AD902)*100+MONTH($AD902))</f>
        <v/>
      </c>
      <c r="T902" s="50" t="str">
        <f>IF($AD902="","",IFERROR(IF(INDEX(CARDS!$I$5:$I$34,MATCH($D902,CARDS!$A$5:$A$34,0))="","",IF(INDEX(CARDS!$I$5:$I$34,MATCH($D902,CARDS!$A$5:$A$34,0))&gt;INDEX(CARDS!$H$5:$H$34,MATCH($D902,CARDS!$A$5:$A$34,0)),DATE(YEAR($AD902),MONTH($AD902),MIN(INDEX(CARDS!$I$5:$I$34,MATCH($D902,CARDS!$A$5:$A$34,0)),DAY(EOMONTH($AD902,0)))),DATE(YEAR($AD902),MONTH($AD902)+1,MIN(INDEX(CARDS!$I$5:$I$34,MATCH($D902,CARDS!$A$5:$A$34,0)),DAY(EOMONTH($AD902,1)))))),""))</f>
        <v/>
      </c>
      <c r="U902" s="38" t="n"/>
      <c r="V902" s="37" t="n"/>
      <c r="W902" s="38" t="n"/>
      <c r="X902" s="38" t="n"/>
      <c r="Y902" s="44" t="str">
        <f>IF($AC902&gt;0,INDEX(CASHBACK_RULES!$A$5:$A$304,$AC902),"")</f>
        <v/>
      </c>
      <c r="Z902" s="45" t="str">
        <f>IF($AC902&gt;0,INDEX(CASHBACK_RULES!$E$5:$E$304,$AC902)&amp;"","")</f>
        <v/>
      </c>
      <c r="AA902" s="48" t="str">
        <f>IF($AC902&gt;0,IF(ISNUMBER(INDEX(CASHBACK_RULES!$K$5:$K$304,$AC902)),INDEX(CASHBACK_RULES!$K$5:$K$304,$AC902),"∞"),"")</f>
        <v/>
      </c>
      <c r="AB902" s="44" t="str">
        <f>IF(OR($B902="",$D902=""),"",IF($U902="Cancelled","Đã hủy",IF($AC902=0,"Không được hoàn",IF($Q902=0,IF(OR($O902&gt;0,$M902&lt;$L902),"Đã đạt cap","Không được hoàn"),IF(OR($Q902&lt;$O902,$M902&lt;$L902),"Hoàn một phần","Được hoàn")))))</f>
        <v/>
      </c>
      <c r="AC902" s="43">
        <f>IF(OR($B902="",$D902="",$I902="",$L902=""),0,IF($U902="Cancelled",0,IF($W902&lt;&gt;"",IFERROR(IF(INDEX(CASHBACK_RULES!$B$5:$B$304,MATCH($W902,CASHBACK_RULES!$A$5:$A$304,0))=$D902,MATCH($W902,CASHBACK_RULES!$A$5:$A$304,0),0),0),IFERROR(MATCH(1,INDEX((CASHBACK_RULES!$B$5:$B$304=$D902)*(CASHBACK_RULES!$G$5:$G$304=$I902)*(((CASHBACK_RULES!$N$5:$N$304="")+(CASHBACK_RULES!$N$5:$N$304&lt;=$B902))&gt;0)*(((CASHBACK_RULES!$O$5:$O$304="")+(CASHBACK_RULES!$O$5:$O$304&gt;=$B902))&gt;0)*(((CASHBACK_RULES!$M$5:$M$304="")+(CASHBACK_RULES!$M$5:$M$304&lt;=$L902))&gt;0),0),0),0))))</f>
        <v>0</v>
      </c>
      <c r="AD902" s="51" t="str">
        <f>IF(OR($B902="",$D902=""),"",IFERROR(IF(INDEX(CARDS!$H$5:$H$34,MATCH($D902,CARDS!$A$5:$A$34,0))="","",IF(DAY($B902)&lt;=INDEX(CARDS!$H$5:$H$34,MATCH($D902,CARDS!$A$5:$A$34,0)),DATE(YEAR($B902),MONTH($B902),MIN(INDEX(CARDS!$H$5:$H$34,MATCH($D902,CARDS!$A$5:$A$34,0)),DAY(EOMONTH($B902,0)))),DATE(YEAR($B902),MONTH($B902)+1,MIN(INDEX(CARDS!$H$5:$H$34,MATCH($D902,CARDS!$A$5:$A$34,0)),DAY(EOMONTH($B902,1)))))),""))</f>
        <v/>
      </c>
      <c r="AE902" s="52" t="str">
        <f>IF($C902="","",$C902&amp;"|"&amp;COUNTIF($C$5:$C902,$C902))</f>
        <v/>
      </c>
      <c r="AF902" s="53">
        <f>IF($AC902&gt;0,SUMIFS(Q$4:Q901,$D$4:$D901,$D902,$Z$4:$Z901,$Z902,$C$4:$C901,$C902),0)</f>
        <v>0</v>
      </c>
      <c r="AG902" s="53">
        <f>IF($AC902&gt;0,SUMIFS(Q$4:Q901,$D$4:$D901,$D902,$C$4:$C901,$C902),0)</f>
        <v>0</v>
      </c>
      <c r="AH902" s="53">
        <f>IF($AC902&gt;0,SUMIFS(M$4:M901,$D$4:$D901,$D902,$Z$4:$Z901,$Z902,$C$4:$C901,$C902),0)</f>
        <v>0</v>
      </c>
      <c r="AI902" s="43">
        <f>IF(OR($C902="",$I902=""),0,IF(COUNTIFS($C$5:$C902,$C902,$I$5:$I902,$I902)=1,1,0))</f>
        <v>0</v>
      </c>
      <c r="AJ902" s="43" t="str">
        <f>IF($AI902=1,SUMIFS($AI$4:$AI901,$C$4:$C901,$C902)+1,"")</f>
        <v/>
      </c>
      <c r="AK902" s="43">
        <f>IF(OR($C902="",$K902=""),0,IF(COUNTIFS($C$5:$C902,$C902,$K$5:$K902,$K902)=1,1,0))</f>
        <v>0</v>
      </c>
      <c r="AL902" s="43" t="str">
        <f>IF($AK902=1,SUMIFS($AK$4:$AK901,$C$4:$C901,$C902)+1,"")</f>
        <v/>
      </c>
      <c r="AM902" s="43">
        <f>IF(OR($C902="",$G902=""),0,IF(COUNTIFS($C$5:$C902,$C902,$G$5:$G902,$G902)=1,1,0))</f>
        <v>0</v>
      </c>
      <c r="AN902" s="43" t="str">
        <f>IF($AM902=1,SUMIFS($AM$4:$AM901,$C$4:$C901,$C902)+1,"")</f>
        <v/>
      </c>
    </row>
    <row r="903">
      <c r="A903" s="44" t="str">
        <f>IF(OR($B903="",$D903=""),"","TX"&amp;TEXT(ROW()-4,"0000"))</f>
        <v/>
      </c>
      <c r="B903" s="42" t="n"/>
      <c r="C903" s="47" t="str">
        <f>IF($B903="","",YEAR($B903)*100+MONTH($B903))</f>
        <v/>
      </c>
      <c r="D903" s="37" t="n"/>
      <c r="E903" s="45" t="str">
        <f>IF($D903="","",IFERROR(INDEX(CARDS!$B$5:$B$34,MATCH($D903,CARDS!$A$5:$A$34,0)),"⚠ Card ID?"))</f>
        <v/>
      </c>
      <c r="F903" s="45" t="str">
        <f>IF($D903="","",IFERROR(INDEX(CARDS!$C$5:$C$34,MATCH($D903,CARDS!$A$5:$A$34,0)),"⚠ Card ID?"))</f>
        <v/>
      </c>
      <c r="G903" s="37" t="n"/>
      <c r="H903" s="37" t="n"/>
      <c r="I903" s="41" t="n"/>
      <c r="J903" s="45" t="str">
        <f>IF($I903="","",IFERROR(INDEX(MCC_MASTER!$B$5:$B$504,MATCH($I903,MCC_MASTER!$A$5:$A$504,0)),"⚠ MCC chưa có"))</f>
        <v/>
      </c>
      <c r="K903" s="45" t="str">
        <f>IF($I903="","",IFERROR(IF(INDEX(MCC_MASTER!$C$5:$C$504,MATCH($I903,MCC_MASTER!$A$5:$A$504,0))="","Chưa phân loại",INDEX(MCC_MASTER!$C$5:$C$504,MATCH($I903,MCC_MASTER!$A$5:$A$504,0))),"Chưa phân loại"))</f>
        <v/>
      </c>
      <c r="L903" s="40" t="n"/>
      <c r="M903" s="48" t="str">
        <f>IF(OR($B903="",$D903=""),"",IF($AC903=0,0,IF(ISNUMBER(INDEX(CASHBACK_RULES!$L$5:$L$304,$AC903)),MAX(0,MIN($L903,INDEX(CASHBACK_RULES!$L$5:$L$304,$AC903)-$AH903)),MAX(0,$L903))))</f>
        <v/>
      </c>
      <c r="N903" s="49" t="str">
        <f>IF(OR($B903="",$D903=""),"",IF($AC903&gt;0,INDEX(CASHBACK_RULES!$I$5:$I$304,$AC903),0))</f>
        <v/>
      </c>
      <c r="O903" s="48" t="str">
        <f>IF(OR($B903="",$D903=""),"",ROUND($M903*$N903,0))</f>
        <v/>
      </c>
      <c r="P903" s="48" t="str">
        <f>IF($AC903&gt;0,IF(ISNUMBER(INDEX(CASHBACK_RULES!$J$5:$J$304,$AC903)),INDEX(CASHBACK_RULES!$J$5:$J$304,$AC903),"∞"),"")</f>
        <v/>
      </c>
      <c r="Q903" s="48" t="str">
        <f>IF(OR($B903="",$D903=""),"",IF($AC903=0,0,MAX(0,MIN($O903,IF(ISNUMBER($P903),$P903-$AF903,1E+15),IF(ISNUMBER($AA903),$AA903-$AG903,1E+15)))))</f>
        <v/>
      </c>
      <c r="R903" s="48" t="str">
        <f>IF(OR($B903="",$D903=""),"",IF($AC903=0,"",IF(AND(NOT(ISNUMBER($P903)),NOT(ISNUMBER($AA903))),"∞",MAX(0,MIN(IF(ISNUMBER($P903),$P903-$AF903-$Q903,1E+15),IF(ISNUMBER($AA903),$AA903-$AG903-$Q903,1E+15))))))</f>
        <v/>
      </c>
      <c r="S903" s="47" t="str">
        <f>IF($AD903="","",YEAR($AD903)*100+MONTH($AD903))</f>
        <v/>
      </c>
      <c r="T903" s="50" t="str">
        <f>IF($AD903="","",IFERROR(IF(INDEX(CARDS!$I$5:$I$34,MATCH($D903,CARDS!$A$5:$A$34,0))="","",IF(INDEX(CARDS!$I$5:$I$34,MATCH($D903,CARDS!$A$5:$A$34,0))&gt;INDEX(CARDS!$H$5:$H$34,MATCH($D903,CARDS!$A$5:$A$34,0)),DATE(YEAR($AD903),MONTH($AD903),MIN(INDEX(CARDS!$I$5:$I$34,MATCH($D903,CARDS!$A$5:$A$34,0)),DAY(EOMONTH($AD903,0)))),DATE(YEAR($AD903),MONTH($AD903)+1,MIN(INDEX(CARDS!$I$5:$I$34,MATCH($D903,CARDS!$A$5:$A$34,0)),DAY(EOMONTH($AD903,1)))))),""))</f>
        <v/>
      </c>
      <c r="U903" s="38" t="n"/>
      <c r="V903" s="37" t="n"/>
      <c r="W903" s="38" t="n"/>
      <c r="X903" s="38" t="n"/>
      <c r="Y903" s="44" t="str">
        <f>IF($AC903&gt;0,INDEX(CASHBACK_RULES!$A$5:$A$304,$AC903),"")</f>
        <v/>
      </c>
      <c r="Z903" s="45" t="str">
        <f>IF($AC903&gt;0,INDEX(CASHBACK_RULES!$E$5:$E$304,$AC903)&amp;"","")</f>
        <v/>
      </c>
      <c r="AA903" s="48" t="str">
        <f>IF($AC903&gt;0,IF(ISNUMBER(INDEX(CASHBACK_RULES!$K$5:$K$304,$AC903)),INDEX(CASHBACK_RULES!$K$5:$K$304,$AC903),"∞"),"")</f>
        <v/>
      </c>
      <c r="AB903" s="44" t="str">
        <f>IF(OR($B903="",$D903=""),"",IF($U903="Cancelled","Đã hủy",IF($AC903=0,"Không được hoàn",IF($Q903=0,IF(OR($O903&gt;0,$M903&lt;$L903),"Đã đạt cap","Không được hoàn"),IF(OR($Q903&lt;$O903,$M903&lt;$L903),"Hoàn một phần","Được hoàn")))))</f>
        <v/>
      </c>
      <c r="AC903" s="43">
        <f>IF(OR($B903="",$D903="",$I903="",$L903=""),0,IF($U903="Cancelled",0,IF($W903&lt;&gt;"",IFERROR(IF(INDEX(CASHBACK_RULES!$B$5:$B$304,MATCH($W903,CASHBACK_RULES!$A$5:$A$304,0))=$D903,MATCH($W903,CASHBACK_RULES!$A$5:$A$304,0),0),0),IFERROR(MATCH(1,INDEX((CASHBACK_RULES!$B$5:$B$304=$D903)*(CASHBACK_RULES!$G$5:$G$304=$I903)*(((CASHBACK_RULES!$N$5:$N$304="")+(CASHBACK_RULES!$N$5:$N$304&lt;=$B903))&gt;0)*(((CASHBACK_RULES!$O$5:$O$304="")+(CASHBACK_RULES!$O$5:$O$304&gt;=$B903))&gt;0)*(((CASHBACK_RULES!$M$5:$M$304="")+(CASHBACK_RULES!$M$5:$M$304&lt;=$L903))&gt;0),0),0),0))))</f>
        <v>0</v>
      </c>
      <c r="AD903" s="51" t="str">
        <f>IF(OR($B903="",$D903=""),"",IFERROR(IF(INDEX(CARDS!$H$5:$H$34,MATCH($D903,CARDS!$A$5:$A$34,0))="","",IF(DAY($B903)&lt;=INDEX(CARDS!$H$5:$H$34,MATCH($D903,CARDS!$A$5:$A$34,0)),DATE(YEAR($B903),MONTH($B903),MIN(INDEX(CARDS!$H$5:$H$34,MATCH($D903,CARDS!$A$5:$A$34,0)),DAY(EOMONTH($B903,0)))),DATE(YEAR($B903),MONTH($B903)+1,MIN(INDEX(CARDS!$H$5:$H$34,MATCH($D903,CARDS!$A$5:$A$34,0)),DAY(EOMONTH($B903,1)))))),""))</f>
        <v/>
      </c>
      <c r="AE903" s="52" t="str">
        <f>IF($C903="","",$C903&amp;"|"&amp;COUNTIF($C$5:$C903,$C903))</f>
        <v/>
      </c>
      <c r="AF903" s="53">
        <f>IF($AC903&gt;0,SUMIFS(Q$4:Q902,$D$4:$D902,$D903,$Z$4:$Z902,$Z903,$C$4:$C902,$C903),0)</f>
        <v>0</v>
      </c>
      <c r="AG903" s="53">
        <f>IF($AC903&gt;0,SUMIFS(Q$4:Q902,$D$4:$D902,$D903,$C$4:$C902,$C903),0)</f>
        <v>0</v>
      </c>
      <c r="AH903" s="53">
        <f>IF($AC903&gt;0,SUMIFS(M$4:M902,$D$4:$D902,$D903,$Z$4:$Z902,$Z903,$C$4:$C902,$C903),0)</f>
        <v>0</v>
      </c>
      <c r="AI903" s="43">
        <f>IF(OR($C903="",$I903=""),0,IF(COUNTIFS($C$5:$C903,$C903,$I$5:$I903,$I903)=1,1,0))</f>
        <v>0</v>
      </c>
      <c r="AJ903" s="43" t="str">
        <f>IF($AI903=1,SUMIFS($AI$4:$AI902,$C$4:$C902,$C903)+1,"")</f>
        <v/>
      </c>
      <c r="AK903" s="43">
        <f>IF(OR($C903="",$K903=""),0,IF(COUNTIFS($C$5:$C903,$C903,$K$5:$K903,$K903)=1,1,0))</f>
        <v>0</v>
      </c>
      <c r="AL903" s="43" t="str">
        <f>IF($AK903=1,SUMIFS($AK$4:$AK902,$C$4:$C902,$C903)+1,"")</f>
        <v/>
      </c>
      <c r="AM903" s="43">
        <f>IF(OR($C903="",$G903=""),0,IF(COUNTIFS($C$5:$C903,$C903,$G$5:$G903,$G903)=1,1,0))</f>
        <v>0</v>
      </c>
      <c r="AN903" s="43" t="str">
        <f>IF($AM903=1,SUMIFS($AM$4:$AM902,$C$4:$C902,$C903)+1,"")</f>
        <v/>
      </c>
    </row>
    <row r="904">
      <c r="A904" s="44" t="str">
        <f>IF(OR($B904="",$D904=""),"","TX"&amp;TEXT(ROW()-4,"0000"))</f>
        <v/>
      </c>
      <c r="B904" s="42" t="n"/>
      <c r="C904" s="47" t="str">
        <f>IF($B904="","",YEAR($B904)*100+MONTH($B904))</f>
        <v/>
      </c>
      <c r="D904" s="37" t="n"/>
      <c r="E904" s="45" t="str">
        <f>IF($D904="","",IFERROR(INDEX(CARDS!$B$5:$B$34,MATCH($D904,CARDS!$A$5:$A$34,0)),"⚠ Card ID?"))</f>
        <v/>
      </c>
      <c r="F904" s="45" t="str">
        <f>IF($D904="","",IFERROR(INDEX(CARDS!$C$5:$C$34,MATCH($D904,CARDS!$A$5:$A$34,0)),"⚠ Card ID?"))</f>
        <v/>
      </c>
      <c r="G904" s="37" t="n"/>
      <c r="H904" s="37" t="n"/>
      <c r="I904" s="41" t="n"/>
      <c r="J904" s="45" t="str">
        <f>IF($I904="","",IFERROR(INDEX(MCC_MASTER!$B$5:$B$504,MATCH($I904,MCC_MASTER!$A$5:$A$504,0)),"⚠ MCC chưa có"))</f>
        <v/>
      </c>
      <c r="K904" s="45" t="str">
        <f>IF($I904="","",IFERROR(IF(INDEX(MCC_MASTER!$C$5:$C$504,MATCH($I904,MCC_MASTER!$A$5:$A$504,0))="","Chưa phân loại",INDEX(MCC_MASTER!$C$5:$C$504,MATCH($I904,MCC_MASTER!$A$5:$A$504,0))),"Chưa phân loại"))</f>
        <v/>
      </c>
      <c r="L904" s="40" t="n"/>
      <c r="M904" s="48" t="str">
        <f>IF(OR($B904="",$D904=""),"",IF($AC904=0,0,IF(ISNUMBER(INDEX(CASHBACK_RULES!$L$5:$L$304,$AC904)),MAX(0,MIN($L904,INDEX(CASHBACK_RULES!$L$5:$L$304,$AC904)-$AH904)),MAX(0,$L904))))</f>
        <v/>
      </c>
      <c r="N904" s="49" t="str">
        <f>IF(OR($B904="",$D904=""),"",IF($AC904&gt;0,INDEX(CASHBACK_RULES!$I$5:$I$304,$AC904),0))</f>
        <v/>
      </c>
      <c r="O904" s="48" t="str">
        <f>IF(OR($B904="",$D904=""),"",ROUND($M904*$N904,0))</f>
        <v/>
      </c>
      <c r="P904" s="48" t="str">
        <f>IF($AC904&gt;0,IF(ISNUMBER(INDEX(CASHBACK_RULES!$J$5:$J$304,$AC904)),INDEX(CASHBACK_RULES!$J$5:$J$304,$AC904),"∞"),"")</f>
        <v/>
      </c>
      <c r="Q904" s="48" t="str">
        <f>IF(OR($B904="",$D904=""),"",IF($AC904=0,0,MAX(0,MIN($O904,IF(ISNUMBER($P904),$P904-$AF904,1E+15),IF(ISNUMBER($AA904),$AA904-$AG904,1E+15)))))</f>
        <v/>
      </c>
      <c r="R904" s="48" t="str">
        <f>IF(OR($B904="",$D904=""),"",IF($AC904=0,"",IF(AND(NOT(ISNUMBER($P904)),NOT(ISNUMBER($AA904))),"∞",MAX(0,MIN(IF(ISNUMBER($P904),$P904-$AF904-$Q904,1E+15),IF(ISNUMBER($AA904),$AA904-$AG904-$Q904,1E+15))))))</f>
        <v/>
      </c>
      <c r="S904" s="47" t="str">
        <f>IF($AD904="","",YEAR($AD904)*100+MONTH($AD904))</f>
        <v/>
      </c>
      <c r="T904" s="50" t="str">
        <f>IF($AD904="","",IFERROR(IF(INDEX(CARDS!$I$5:$I$34,MATCH($D904,CARDS!$A$5:$A$34,0))="","",IF(INDEX(CARDS!$I$5:$I$34,MATCH($D904,CARDS!$A$5:$A$34,0))&gt;INDEX(CARDS!$H$5:$H$34,MATCH($D904,CARDS!$A$5:$A$34,0)),DATE(YEAR($AD904),MONTH($AD904),MIN(INDEX(CARDS!$I$5:$I$34,MATCH($D904,CARDS!$A$5:$A$34,0)),DAY(EOMONTH($AD904,0)))),DATE(YEAR($AD904),MONTH($AD904)+1,MIN(INDEX(CARDS!$I$5:$I$34,MATCH($D904,CARDS!$A$5:$A$34,0)),DAY(EOMONTH($AD904,1)))))),""))</f>
        <v/>
      </c>
      <c r="U904" s="38" t="n"/>
      <c r="V904" s="37" t="n"/>
      <c r="W904" s="38" t="n"/>
      <c r="X904" s="38" t="n"/>
      <c r="Y904" s="44" t="str">
        <f>IF($AC904&gt;0,INDEX(CASHBACK_RULES!$A$5:$A$304,$AC904),"")</f>
        <v/>
      </c>
      <c r="Z904" s="45" t="str">
        <f>IF($AC904&gt;0,INDEX(CASHBACK_RULES!$E$5:$E$304,$AC904)&amp;"","")</f>
        <v/>
      </c>
      <c r="AA904" s="48" t="str">
        <f>IF($AC904&gt;0,IF(ISNUMBER(INDEX(CASHBACK_RULES!$K$5:$K$304,$AC904)),INDEX(CASHBACK_RULES!$K$5:$K$304,$AC904),"∞"),"")</f>
        <v/>
      </c>
      <c r="AB904" s="44" t="str">
        <f>IF(OR($B904="",$D904=""),"",IF($U904="Cancelled","Đã hủy",IF($AC904=0,"Không được hoàn",IF($Q904=0,IF(OR($O904&gt;0,$M904&lt;$L904),"Đã đạt cap","Không được hoàn"),IF(OR($Q904&lt;$O904,$M904&lt;$L904),"Hoàn một phần","Được hoàn")))))</f>
        <v/>
      </c>
      <c r="AC904" s="43">
        <f>IF(OR($B904="",$D904="",$I904="",$L904=""),0,IF($U904="Cancelled",0,IF($W904&lt;&gt;"",IFERROR(IF(INDEX(CASHBACK_RULES!$B$5:$B$304,MATCH($W904,CASHBACK_RULES!$A$5:$A$304,0))=$D904,MATCH($W904,CASHBACK_RULES!$A$5:$A$304,0),0),0),IFERROR(MATCH(1,INDEX((CASHBACK_RULES!$B$5:$B$304=$D904)*(CASHBACK_RULES!$G$5:$G$304=$I904)*(((CASHBACK_RULES!$N$5:$N$304="")+(CASHBACK_RULES!$N$5:$N$304&lt;=$B904))&gt;0)*(((CASHBACK_RULES!$O$5:$O$304="")+(CASHBACK_RULES!$O$5:$O$304&gt;=$B904))&gt;0)*(((CASHBACK_RULES!$M$5:$M$304="")+(CASHBACK_RULES!$M$5:$M$304&lt;=$L904))&gt;0),0),0),0))))</f>
        <v>0</v>
      </c>
      <c r="AD904" s="51" t="str">
        <f>IF(OR($B904="",$D904=""),"",IFERROR(IF(INDEX(CARDS!$H$5:$H$34,MATCH($D904,CARDS!$A$5:$A$34,0))="","",IF(DAY($B904)&lt;=INDEX(CARDS!$H$5:$H$34,MATCH($D904,CARDS!$A$5:$A$34,0)),DATE(YEAR($B904),MONTH($B904),MIN(INDEX(CARDS!$H$5:$H$34,MATCH($D904,CARDS!$A$5:$A$34,0)),DAY(EOMONTH($B904,0)))),DATE(YEAR($B904),MONTH($B904)+1,MIN(INDEX(CARDS!$H$5:$H$34,MATCH($D904,CARDS!$A$5:$A$34,0)),DAY(EOMONTH($B904,1)))))),""))</f>
        <v/>
      </c>
      <c r="AE904" s="52" t="str">
        <f>IF($C904="","",$C904&amp;"|"&amp;COUNTIF($C$5:$C904,$C904))</f>
        <v/>
      </c>
      <c r="AF904" s="53">
        <f>IF($AC904&gt;0,SUMIFS(Q$4:Q903,$D$4:$D903,$D904,$Z$4:$Z903,$Z904,$C$4:$C903,$C904),0)</f>
        <v>0</v>
      </c>
      <c r="AG904" s="53">
        <f>IF($AC904&gt;0,SUMIFS(Q$4:Q903,$D$4:$D903,$D904,$C$4:$C903,$C904),0)</f>
        <v>0</v>
      </c>
      <c r="AH904" s="53">
        <f>IF($AC904&gt;0,SUMIFS(M$4:M903,$D$4:$D903,$D904,$Z$4:$Z903,$Z904,$C$4:$C903,$C904),0)</f>
        <v>0</v>
      </c>
      <c r="AI904" s="43">
        <f>IF(OR($C904="",$I904=""),0,IF(COUNTIFS($C$5:$C904,$C904,$I$5:$I904,$I904)=1,1,0))</f>
        <v>0</v>
      </c>
      <c r="AJ904" s="43" t="str">
        <f>IF($AI904=1,SUMIFS($AI$4:$AI903,$C$4:$C903,$C904)+1,"")</f>
        <v/>
      </c>
      <c r="AK904" s="43">
        <f>IF(OR($C904="",$K904=""),0,IF(COUNTIFS($C$5:$C904,$C904,$K$5:$K904,$K904)=1,1,0))</f>
        <v>0</v>
      </c>
      <c r="AL904" s="43" t="str">
        <f>IF($AK904=1,SUMIFS($AK$4:$AK903,$C$4:$C903,$C904)+1,"")</f>
        <v/>
      </c>
      <c r="AM904" s="43">
        <f>IF(OR($C904="",$G904=""),0,IF(COUNTIFS($C$5:$C904,$C904,$G$5:$G904,$G904)=1,1,0))</f>
        <v>0</v>
      </c>
      <c r="AN904" s="43" t="str">
        <f>IF($AM904=1,SUMIFS($AM$4:$AM903,$C$4:$C903,$C904)+1,"")</f>
        <v/>
      </c>
    </row>
    <row r="905">
      <c r="A905" s="44" t="str">
        <f>IF(OR($B905="",$D905=""),"","TX"&amp;TEXT(ROW()-4,"0000"))</f>
        <v/>
      </c>
      <c r="B905" s="42" t="n"/>
      <c r="C905" s="47" t="str">
        <f>IF($B905="","",YEAR($B905)*100+MONTH($B905))</f>
        <v/>
      </c>
      <c r="D905" s="37" t="n"/>
      <c r="E905" s="45" t="str">
        <f>IF($D905="","",IFERROR(INDEX(CARDS!$B$5:$B$34,MATCH($D905,CARDS!$A$5:$A$34,0)),"⚠ Card ID?"))</f>
        <v/>
      </c>
      <c r="F905" s="45" t="str">
        <f>IF($D905="","",IFERROR(INDEX(CARDS!$C$5:$C$34,MATCH($D905,CARDS!$A$5:$A$34,0)),"⚠ Card ID?"))</f>
        <v/>
      </c>
      <c r="G905" s="37" t="n"/>
      <c r="H905" s="37" t="n"/>
      <c r="I905" s="41" t="n"/>
      <c r="J905" s="45" t="str">
        <f>IF($I905="","",IFERROR(INDEX(MCC_MASTER!$B$5:$B$504,MATCH($I905,MCC_MASTER!$A$5:$A$504,0)),"⚠ MCC chưa có"))</f>
        <v/>
      </c>
      <c r="K905" s="45" t="str">
        <f>IF($I905="","",IFERROR(IF(INDEX(MCC_MASTER!$C$5:$C$504,MATCH($I905,MCC_MASTER!$A$5:$A$504,0))="","Chưa phân loại",INDEX(MCC_MASTER!$C$5:$C$504,MATCH($I905,MCC_MASTER!$A$5:$A$504,0))),"Chưa phân loại"))</f>
        <v/>
      </c>
      <c r="L905" s="40" t="n"/>
      <c r="M905" s="48" t="str">
        <f>IF(OR($B905="",$D905=""),"",IF($AC905=0,0,IF(ISNUMBER(INDEX(CASHBACK_RULES!$L$5:$L$304,$AC905)),MAX(0,MIN($L905,INDEX(CASHBACK_RULES!$L$5:$L$304,$AC905)-$AH905)),MAX(0,$L905))))</f>
        <v/>
      </c>
      <c r="N905" s="49" t="str">
        <f>IF(OR($B905="",$D905=""),"",IF($AC905&gt;0,INDEX(CASHBACK_RULES!$I$5:$I$304,$AC905),0))</f>
        <v/>
      </c>
      <c r="O905" s="48" t="str">
        <f>IF(OR($B905="",$D905=""),"",ROUND($M905*$N905,0))</f>
        <v/>
      </c>
      <c r="P905" s="48" t="str">
        <f>IF($AC905&gt;0,IF(ISNUMBER(INDEX(CASHBACK_RULES!$J$5:$J$304,$AC905)),INDEX(CASHBACK_RULES!$J$5:$J$304,$AC905),"∞"),"")</f>
        <v/>
      </c>
      <c r="Q905" s="48" t="str">
        <f>IF(OR($B905="",$D905=""),"",IF($AC905=0,0,MAX(0,MIN($O905,IF(ISNUMBER($P905),$P905-$AF905,1E+15),IF(ISNUMBER($AA905),$AA905-$AG905,1E+15)))))</f>
        <v/>
      </c>
      <c r="R905" s="48" t="str">
        <f>IF(OR($B905="",$D905=""),"",IF($AC905=0,"",IF(AND(NOT(ISNUMBER($P905)),NOT(ISNUMBER($AA905))),"∞",MAX(0,MIN(IF(ISNUMBER($P905),$P905-$AF905-$Q905,1E+15),IF(ISNUMBER($AA905),$AA905-$AG905-$Q905,1E+15))))))</f>
        <v/>
      </c>
      <c r="S905" s="47" t="str">
        <f>IF($AD905="","",YEAR($AD905)*100+MONTH($AD905))</f>
        <v/>
      </c>
      <c r="T905" s="50" t="str">
        <f>IF($AD905="","",IFERROR(IF(INDEX(CARDS!$I$5:$I$34,MATCH($D905,CARDS!$A$5:$A$34,0))="","",IF(INDEX(CARDS!$I$5:$I$34,MATCH($D905,CARDS!$A$5:$A$34,0))&gt;INDEX(CARDS!$H$5:$H$34,MATCH($D905,CARDS!$A$5:$A$34,0)),DATE(YEAR($AD905),MONTH($AD905),MIN(INDEX(CARDS!$I$5:$I$34,MATCH($D905,CARDS!$A$5:$A$34,0)),DAY(EOMONTH($AD905,0)))),DATE(YEAR($AD905),MONTH($AD905)+1,MIN(INDEX(CARDS!$I$5:$I$34,MATCH($D905,CARDS!$A$5:$A$34,0)),DAY(EOMONTH($AD905,1)))))),""))</f>
        <v/>
      </c>
      <c r="U905" s="38" t="n"/>
      <c r="V905" s="37" t="n"/>
      <c r="W905" s="38" t="n"/>
      <c r="X905" s="38" t="n"/>
      <c r="Y905" s="44" t="str">
        <f>IF($AC905&gt;0,INDEX(CASHBACK_RULES!$A$5:$A$304,$AC905),"")</f>
        <v/>
      </c>
      <c r="Z905" s="45" t="str">
        <f>IF($AC905&gt;0,INDEX(CASHBACK_RULES!$E$5:$E$304,$AC905)&amp;"","")</f>
        <v/>
      </c>
      <c r="AA905" s="48" t="str">
        <f>IF($AC905&gt;0,IF(ISNUMBER(INDEX(CASHBACK_RULES!$K$5:$K$304,$AC905)),INDEX(CASHBACK_RULES!$K$5:$K$304,$AC905),"∞"),"")</f>
        <v/>
      </c>
      <c r="AB905" s="44" t="str">
        <f>IF(OR($B905="",$D905=""),"",IF($U905="Cancelled","Đã hủy",IF($AC905=0,"Không được hoàn",IF($Q905=0,IF(OR($O905&gt;0,$M905&lt;$L905),"Đã đạt cap","Không được hoàn"),IF(OR($Q905&lt;$O905,$M905&lt;$L905),"Hoàn một phần","Được hoàn")))))</f>
        <v/>
      </c>
      <c r="AC905" s="43">
        <f>IF(OR($B905="",$D905="",$I905="",$L905=""),0,IF($U905="Cancelled",0,IF($W905&lt;&gt;"",IFERROR(IF(INDEX(CASHBACK_RULES!$B$5:$B$304,MATCH($W905,CASHBACK_RULES!$A$5:$A$304,0))=$D905,MATCH($W905,CASHBACK_RULES!$A$5:$A$304,0),0),0),IFERROR(MATCH(1,INDEX((CASHBACK_RULES!$B$5:$B$304=$D905)*(CASHBACK_RULES!$G$5:$G$304=$I905)*(((CASHBACK_RULES!$N$5:$N$304="")+(CASHBACK_RULES!$N$5:$N$304&lt;=$B905))&gt;0)*(((CASHBACK_RULES!$O$5:$O$304="")+(CASHBACK_RULES!$O$5:$O$304&gt;=$B905))&gt;0)*(((CASHBACK_RULES!$M$5:$M$304="")+(CASHBACK_RULES!$M$5:$M$304&lt;=$L905))&gt;0),0),0),0))))</f>
        <v>0</v>
      </c>
      <c r="AD905" s="51" t="str">
        <f>IF(OR($B905="",$D905=""),"",IFERROR(IF(INDEX(CARDS!$H$5:$H$34,MATCH($D905,CARDS!$A$5:$A$34,0))="","",IF(DAY($B905)&lt;=INDEX(CARDS!$H$5:$H$34,MATCH($D905,CARDS!$A$5:$A$34,0)),DATE(YEAR($B905),MONTH($B905),MIN(INDEX(CARDS!$H$5:$H$34,MATCH($D905,CARDS!$A$5:$A$34,0)),DAY(EOMONTH($B905,0)))),DATE(YEAR($B905),MONTH($B905)+1,MIN(INDEX(CARDS!$H$5:$H$34,MATCH($D905,CARDS!$A$5:$A$34,0)),DAY(EOMONTH($B905,1)))))),""))</f>
        <v/>
      </c>
      <c r="AE905" s="52" t="str">
        <f>IF($C905="","",$C905&amp;"|"&amp;COUNTIF($C$5:$C905,$C905))</f>
        <v/>
      </c>
      <c r="AF905" s="53">
        <f>IF($AC905&gt;0,SUMIFS(Q$4:Q904,$D$4:$D904,$D905,$Z$4:$Z904,$Z905,$C$4:$C904,$C905),0)</f>
        <v>0</v>
      </c>
      <c r="AG905" s="53">
        <f>IF($AC905&gt;0,SUMIFS(Q$4:Q904,$D$4:$D904,$D905,$C$4:$C904,$C905),0)</f>
        <v>0</v>
      </c>
      <c r="AH905" s="53">
        <f>IF($AC905&gt;0,SUMIFS(M$4:M904,$D$4:$D904,$D905,$Z$4:$Z904,$Z905,$C$4:$C904,$C905),0)</f>
        <v>0</v>
      </c>
      <c r="AI905" s="43">
        <f>IF(OR($C905="",$I905=""),0,IF(COUNTIFS($C$5:$C905,$C905,$I$5:$I905,$I905)=1,1,0))</f>
        <v>0</v>
      </c>
      <c r="AJ905" s="43" t="str">
        <f>IF($AI905=1,SUMIFS($AI$4:$AI904,$C$4:$C904,$C905)+1,"")</f>
        <v/>
      </c>
      <c r="AK905" s="43">
        <f>IF(OR($C905="",$K905=""),0,IF(COUNTIFS($C$5:$C905,$C905,$K$5:$K905,$K905)=1,1,0))</f>
        <v>0</v>
      </c>
      <c r="AL905" s="43" t="str">
        <f>IF($AK905=1,SUMIFS($AK$4:$AK904,$C$4:$C904,$C905)+1,"")</f>
        <v/>
      </c>
      <c r="AM905" s="43">
        <f>IF(OR($C905="",$G905=""),0,IF(COUNTIFS($C$5:$C905,$C905,$G$5:$G905,$G905)=1,1,0))</f>
        <v>0</v>
      </c>
      <c r="AN905" s="43" t="str">
        <f>IF($AM905=1,SUMIFS($AM$4:$AM904,$C$4:$C904,$C905)+1,"")</f>
        <v/>
      </c>
    </row>
    <row r="906">
      <c r="A906" s="44" t="str">
        <f>IF(OR($B906="",$D906=""),"","TX"&amp;TEXT(ROW()-4,"0000"))</f>
        <v/>
      </c>
      <c r="B906" s="42" t="n"/>
      <c r="C906" s="47" t="str">
        <f>IF($B906="","",YEAR($B906)*100+MONTH($B906))</f>
        <v/>
      </c>
      <c r="D906" s="37" t="n"/>
      <c r="E906" s="45" t="str">
        <f>IF($D906="","",IFERROR(INDEX(CARDS!$B$5:$B$34,MATCH($D906,CARDS!$A$5:$A$34,0)),"⚠ Card ID?"))</f>
        <v/>
      </c>
      <c r="F906" s="45" t="str">
        <f>IF($D906="","",IFERROR(INDEX(CARDS!$C$5:$C$34,MATCH($D906,CARDS!$A$5:$A$34,0)),"⚠ Card ID?"))</f>
        <v/>
      </c>
      <c r="G906" s="37" t="n"/>
      <c r="H906" s="37" t="n"/>
      <c r="I906" s="41" t="n"/>
      <c r="J906" s="45" t="str">
        <f>IF($I906="","",IFERROR(INDEX(MCC_MASTER!$B$5:$B$504,MATCH($I906,MCC_MASTER!$A$5:$A$504,0)),"⚠ MCC chưa có"))</f>
        <v/>
      </c>
      <c r="K906" s="45" t="str">
        <f>IF($I906="","",IFERROR(IF(INDEX(MCC_MASTER!$C$5:$C$504,MATCH($I906,MCC_MASTER!$A$5:$A$504,0))="","Chưa phân loại",INDEX(MCC_MASTER!$C$5:$C$504,MATCH($I906,MCC_MASTER!$A$5:$A$504,0))),"Chưa phân loại"))</f>
        <v/>
      </c>
      <c r="L906" s="40" t="n"/>
      <c r="M906" s="48" t="str">
        <f>IF(OR($B906="",$D906=""),"",IF($AC906=0,0,IF(ISNUMBER(INDEX(CASHBACK_RULES!$L$5:$L$304,$AC906)),MAX(0,MIN($L906,INDEX(CASHBACK_RULES!$L$5:$L$304,$AC906)-$AH906)),MAX(0,$L906))))</f>
        <v/>
      </c>
      <c r="N906" s="49" t="str">
        <f>IF(OR($B906="",$D906=""),"",IF($AC906&gt;0,INDEX(CASHBACK_RULES!$I$5:$I$304,$AC906),0))</f>
        <v/>
      </c>
      <c r="O906" s="48" t="str">
        <f>IF(OR($B906="",$D906=""),"",ROUND($M906*$N906,0))</f>
        <v/>
      </c>
      <c r="P906" s="48" t="str">
        <f>IF($AC906&gt;0,IF(ISNUMBER(INDEX(CASHBACK_RULES!$J$5:$J$304,$AC906)),INDEX(CASHBACK_RULES!$J$5:$J$304,$AC906),"∞"),"")</f>
        <v/>
      </c>
      <c r="Q906" s="48" t="str">
        <f>IF(OR($B906="",$D906=""),"",IF($AC906=0,0,MAX(0,MIN($O906,IF(ISNUMBER($P906),$P906-$AF906,1E+15),IF(ISNUMBER($AA906),$AA906-$AG906,1E+15)))))</f>
        <v/>
      </c>
      <c r="R906" s="48" t="str">
        <f>IF(OR($B906="",$D906=""),"",IF($AC906=0,"",IF(AND(NOT(ISNUMBER($P906)),NOT(ISNUMBER($AA906))),"∞",MAX(0,MIN(IF(ISNUMBER($P906),$P906-$AF906-$Q906,1E+15),IF(ISNUMBER($AA906),$AA906-$AG906-$Q906,1E+15))))))</f>
        <v/>
      </c>
      <c r="S906" s="47" t="str">
        <f>IF($AD906="","",YEAR($AD906)*100+MONTH($AD906))</f>
        <v/>
      </c>
      <c r="T906" s="50" t="str">
        <f>IF($AD906="","",IFERROR(IF(INDEX(CARDS!$I$5:$I$34,MATCH($D906,CARDS!$A$5:$A$34,0))="","",IF(INDEX(CARDS!$I$5:$I$34,MATCH($D906,CARDS!$A$5:$A$34,0))&gt;INDEX(CARDS!$H$5:$H$34,MATCH($D906,CARDS!$A$5:$A$34,0)),DATE(YEAR($AD906),MONTH($AD906),MIN(INDEX(CARDS!$I$5:$I$34,MATCH($D906,CARDS!$A$5:$A$34,0)),DAY(EOMONTH($AD906,0)))),DATE(YEAR($AD906),MONTH($AD906)+1,MIN(INDEX(CARDS!$I$5:$I$34,MATCH($D906,CARDS!$A$5:$A$34,0)),DAY(EOMONTH($AD906,1)))))),""))</f>
        <v/>
      </c>
      <c r="U906" s="38" t="n"/>
      <c r="V906" s="37" t="n"/>
      <c r="W906" s="38" t="n"/>
      <c r="X906" s="38" t="n"/>
      <c r="Y906" s="44" t="str">
        <f>IF($AC906&gt;0,INDEX(CASHBACK_RULES!$A$5:$A$304,$AC906),"")</f>
        <v/>
      </c>
      <c r="Z906" s="45" t="str">
        <f>IF($AC906&gt;0,INDEX(CASHBACK_RULES!$E$5:$E$304,$AC906)&amp;"","")</f>
        <v/>
      </c>
      <c r="AA906" s="48" t="str">
        <f>IF($AC906&gt;0,IF(ISNUMBER(INDEX(CASHBACK_RULES!$K$5:$K$304,$AC906)),INDEX(CASHBACK_RULES!$K$5:$K$304,$AC906),"∞"),"")</f>
        <v/>
      </c>
      <c r="AB906" s="44" t="str">
        <f>IF(OR($B906="",$D906=""),"",IF($U906="Cancelled","Đã hủy",IF($AC906=0,"Không được hoàn",IF($Q906=0,IF(OR($O906&gt;0,$M906&lt;$L906),"Đã đạt cap","Không được hoàn"),IF(OR($Q906&lt;$O906,$M906&lt;$L906),"Hoàn một phần","Được hoàn")))))</f>
        <v/>
      </c>
      <c r="AC906" s="43">
        <f>IF(OR($B906="",$D906="",$I906="",$L906=""),0,IF($U906="Cancelled",0,IF($W906&lt;&gt;"",IFERROR(IF(INDEX(CASHBACK_RULES!$B$5:$B$304,MATCH($W906,CASHBACK_RULES!$A$5:$A$304,0))=$D906,MATCH($W906,CASHBACK_RULES!$A$5:$A$304,0),0),0),IFERROR(MATCH(1,INDEX((CASHBACK_RULES!$B$5:$B$304=$D906)*(CASHBACK_RULES!$G$5:$G$304=$I906)*(((CASHBACK_RULES!$N$5:$N$304="")+(CASHBACK_RULES!$N$5:$N$304&lt;=$B906))&gt;0)*(((CASHBACK_RULES!$O$5:$O$304="")+(CASHBACK_RULES!$O$5:$O$304&gt;=$B906))&gt;0)*(((CASHBACK_RULES!$M$5:$M$304="")+(CASHBACK_RULES!$M$5:$M$304&lt;=$L906))&gt;0),0),0),0))))</f>
        <v>0</v>
      </c>
      <c r="AD906" s="51" t="str">
        <f>IF(OR($B906="",$D906=""),"",IFERROR(IF(INDEX(CARDS!$H$5:$H$34,MATCH($D906,CARDS!$A$5:$A$34,0))="","",IF(DAY($B906)&lt;=INDEX(CARDS!$H$5:$H$34,MATCH($D906,CARDS!$A$5:$A$34,0)),DATE(YEAR($B906),MONTH($B906),MIN(INDEX(CARDS!$H$5:$H$34,MATCH($D906,CARDS!$A$5:$A$34,0)),DAY(EOMONTH($B906,0)))),DATE(YEAR($B906),MONTH($B906)+1,MIN(INDEX(CARDS!$H$5:$H$34,MATCH($D906,CARDS!$A$5:$A$34,0)),DAY(EOMONTH($B906,1)))))),""))</f>
        <v/>
      </c>
      <c r="AE906" s="52" t="str">
        <f>IF($C906="","",$C906&amp;"|"&amp;COUNTIF($C$5:$C906,$C906))</f>
        <v/>
      </c>
      <c r="AF906" s="53">
        <f>IF($AC906&gt;0,SUMIFS(Q$4:Q905,$D$4:$D905,$D906,$Z$4:$Z905,$Z906,$C$4:$C905,$C906),0)</f>
        <v>0</v>
      </c>
      <c r="AG906" s="53">
        <f>IF($AC906&gt;0,SUMIFS(Q$4:Q905,$D$4:$D905,$D906,$C$4:$C905,$C906),0)</f>
        <v>0</v>
      </c>
      <c r="AH906" s="53">
        <f>IF($AC906&gt;0,SUMIFS(M$4:M905,$D$4:$D905,$D906,$Z$4:$Z905,$Z906,$C$4:$C905,$C906),0)</f>
        <v>0</v>
      </c>
      <c r="AI906" s="43">
        <f>IF(OR($C906="",$I906=""),0,IF(COUNTIFS($C$5:$C906,$C906,$I$5:$I906,$I906)=1,1,0))</f>
        <v>0</v>
      </c>
      <c r="AJ906" s="43" t="str">
        <f>IF($AI906=1,SUMIFS($AI$4:$AI905,$C$4:$C905,$C906)+1,"")</f>
        <v/>
      </c>
      <c r="AK906" s="43">
        <f>IF(OR($C906="",$K906=""),0,IF(COUNTIFS($C$5:$C906,$C906,$K$5:$K906,$K906)=1,1,0))</f>
        <v>0</v>
      </c>
      <c r="AL906" s="43" t="str">
        <f>IF($AK906=1,SUMIFS($AK$4:$AK905,$C$4:$C905,$C906)+1,"")</f>
        <v/>
      </c>
      <c r="AM906" s="43">
        <f>IF(OR($C906="",$G906=""),0,IF(COUNTIFS($C$5:$C906,$C906,$G$5:$G906,$G906)=1,1,0))</f>
        <v>0</v>
      </c>
      <c r="AN906" s="43" t="str">
        <f>IF($AM906=1,SUMIFS($AM$4:$AM905,$C$4:$C905,$C906)+1,"")</f>
        <v/>
      </c>
    </row>
    <row r="907">
      <c r="A907" s="44" t="str">
        <f>IF(OR($B907="",$D907=""),"","TX"&amp;TEXT(ROW()-4,"0000"))</f>
        <v/>
      </c>
      <c r="B907" s="42" t="n"/>
      <c r="C907" s="47" t="str">
        <f>IF($B907="","",YEAR($B907)*100+MONTH($B907))</f>
        <v/>
      </c>
      <c r="D907" s="37" t="n"/>
      <c r="E907" s="45" t="str">
        <f>IF($D907="","",IFERROR(INDEX(CARDS!$B$5:$B$34,MATCH($D907,CARDS!$A$5:$A$34,0)),"⚠ Card ID?"))</f>
        <v/>
      </c>
      <c r="F907" s="45" t="str">
        <f>IF($D907="","",IFERROR(INDEX(CARDS!$C$5:$C$34,MATCH($D907,CARDS!$A$5:$A$34,0)),"⚠ Card ID?"))</f>
        <v/>
      </c>
      <c r="G907" s="37" t="n"/>
      <c r="H907" s="37" t="n"/>
      <c r="I907" s="41" t="n"/>
      <c r="J907" s="45" t="str">
        <f>IF($I907="","",IFERROR(INDEX(MCC_MASTER!$B$5:$B$504,MATCH($I907,MCC_MASTER!$A$5:$A$504,0)),"⚠ MCC chưa có"))</f>
        <v/>
      </c>
      <c r="K907" s="45" t="str">
        <f>IF($I907="","",IFERROR(IF(INDEX(MCC_MASTER!$C$5:$C$504,MATCH($I907,MCC_MASTER!$A$5:$A$504,0))="","Chưa phân loại",INDEX(MCC_MASTER!$C$5:$C$504,MATCH($I907,MCC_MASTER!$A$5:$A$504,0))),"Chưa phân loại"))</f>
        <v/>
      </c>
      <c r="L907" s="40" t="n"/>
      <c r="M907" s="48" t="str">
        <f>IF(OR($B907="",$D907=""),"",IF($AC907=0,0,IF(ISNUMBER(INDEX(CASHBACK_RULES!$L$5:$L$304,$AC907)),MAX(0,MIN($L907,INDEX(CASHBACK_RULES!$L$5:$L$304,$AC907)-$AH907)),MAX(0,$L907))))</f>
        <v/>
      </c>
      <c r="N907" s="49" t="str">
        <f>IF(OR($B907="",$D907=""),"",IF($AC907&gt;0,INDEX(CASHBACK_RULES!$I$5:$I$304,$AC907),0))</f>
        <v/>
      </c>
      <c r="O907" s="48" t="str">
        <f>IF(OR($B907="",$D907=""),"",ROUND($M907*$N907,0))</f>
        <v/>
      </c>
      <c r="P907" s="48" t="str">
        <f>IF($AC907&gt;0,IF(ISNUMBER(INDEX(CASHBACK_RULES!$J$5:$J$304,$AC907)),INDEX(CASHBACK_RULES!$J$5:$J$304,$AC907),"∞"),"")</f>
        <v/>
      </c>
      <c r="Q907" s="48" t="str">
        <f>IF(OR($B907="",$D907=""),"",IF($AC907=0,0,MAX(0,MIN($O907,IF(ISNUMBER($P907),$P907-$AF907,1E+15),IF(ISNUMBER($AA907),$AA907-$AG907,1E+15)))))</f>
        <v/>
      </c>
      <c r="R907" s="48" t="str">
        <f>IF(OR($B907="",$D907=""),"",IF($AC907=0,"",IF(AND(NOT(ISNUMBER($P907)),NOT(ISNUMBER($AA907))),"∞",MAX(0,MIN(IF(ISNUMBER($P907),$P907-$AF907-$Q907,1E+15),IF(ISNUMBER($AA907),$AA907-$AG907-$Q907,1E+15))))))</f>
        <v/>
      </c>
      <c r="S907" s="47" t="str">
        <f>IF($AD907="","",YEAR($AD907)*100+MONTH($AD907))</f>
        <v/>
      </c>
      <c r="T907" s="50" t="str">
        <f>IF($AD907="","",IFERROR(IF(INDEX(CARDS!$I$5:$I$34,MATCH($D907,CARDS!$A$5:$A$34,0))="","",IF(INDEX(CARDS!$I$5:$I$34,MATCH($D907,CARDS!$A$5:$A$34,0))&gt;INDEX(CARDS!$H$5:$H$34,MATCH($D907,CARDS!$A$5:$A$34,0)),DATE(YEAR($AD907),MONTH($AD907),MIN(INDEX(CARDS!$I$5:$I$34,MATCH($D907,CARDS!$A$5:$A$34,0)),DAY(EOMONTH($AD907,0)))),DATE(YEAR($AD907),MONTH($AD907)+1,MIN(INDEX(CARDS!$I$5:$I$34,MATCH($D907,CARDS!$A$5:$A$34,0)),DAY(EOMONTH($AD907,1)))))),""))</f>
        <v/>
      </c>
      <c r="U907" s="38" t="n"/>
      <c r="V907" s="37" t="n"/>
      <c r="W907" s="38" t="n"/>
      <c r="X907" s="38" t="n"/>
      <c r="Y907" s="44" t="str">
        <f>IF($AC907&gt;0,INDEX(CASHBACK_RULES!$A$5:$A$304,$AC907),"")</f>
        <v/>
      </c>
      <c r="Z907" s="45" t="str">
        <f>IF($AC907&gt;0,INDEX(CASHBACK_RULES!$E$5:$E$304,$AC907)&amp;"","")</f>
        <v/>
      </c>
      <c r="AA907" s="48" t="str">
        <f>IF($AC907&gt;0,IF(ISNUMBER(INDEX(CASHBACK_RULES!$K$5:$K$304,$AC907)),INDEX(CASHBACK_RULES!$K$5:$K$304,$AC907),"∞"),"")</f>
        <v/>
      </c>
      <c r="AB907" s="44" t="str">
        <f>IF(OR($B907="",$D907=""),"",IF($U907="Cancelled","Đã hủy",IF($AC907=0,"Không được hoàn",IF($Q907=0,IF(OR($O907&gt;0,$M907&lt;$L907),"Đã đạt cap","Không được hoàn"),IF(OR($Q907&lt;$O907,$M907&lt;$L907),"Hoàn một phần","Được hoàn")))))</f>
        <v/>
      </c>
      <c r="AC907" s="43">
        <f>IF(OR($B907="",$D907="",$I907="",$L907=""),0,IF($U907="Cancelled",0,IF($W907&lt;&gt;"",IFERROR(IF(INDEX(CASHBACK_RULES!$B$5:$B$304,MATCH($W907,CASHBACK_RULES!$A$5:$A$304,0))=$D907,MATCH($W907,CASHBACK_RULES!$A$5:$A$304,0),0),0),IFERROR(MATCH(1,INDEX((CASHBACK_RULES!$B$5:$B$304=$D907)*(CASHBACK_RULES!$G$5:$G$304=$I907)*(((CASHBACK_RULES!$N$5:$N$304="")+(CASHBACK_RULES!$N$5:$N$304&lt;=$B907))&gt;0)*(((CASHBACK_RULES!$O$5:$O$304="")+(CASHBACK_RULES!$O$5:$O$304&gt;=$B907))&gt;0)*(((CASHBACK_RULES!$M$5:$M$304="")+(CASHBACK_RULES!$M$5:$M$304&lt;=$L907))&gt;0),0),0),0))))</f>
        <v>0</v>
      </c>
      <c r="AD907" s="51" t="str">
        <f>IF(OR($B907="",$D907=""),"",IFERROR(IF(INDEX(CARDS!$H$5:$H$34,MATCH($D907,CARDS!$A$5:$A$34,0))="","",IF(DAY($B907)&lt;=INDEX(CARDS!$H$5:$H$34,MATCH($D907,CARDS!$A$5:$A$34,0)),DATE(YEAR($B907),MONTH($B907),MIN(INDEX(CARDS!$H$5:$H$34,MATCH($D907,CARDS!$A$5:$A$34,0)),DAY(EOMONTH($B907,0)))),DATE(YEAR($B907),MONTH($B907)+1,MIN(INDEX(CARDS!$H$5:$H$34,MATCH($D907,CARDS!$A$5:$A$34,0)),DAY(EOMONTH($B907,1)))))),""))</f>
        <v/>
      </c>
      <c r="AE907" s="52" t="str">
        <f>IF($C907="","",$C907&amp;"|"&amp;COUNTIF($C$5:$C907,$C907))</f>
        <v/>
      </c>
      <c r="AF907" s="53">
        <f>IF($AC907&gt;0,SUMIFS(Q$4:Q906,$D$4:$D906,$D907,$Z$4:$Z906,$Z907,$C$4:$C906,$C907),0)</f>
        <v>0</v>
      </c>
      <c r="AG907" s="53">
        <f>IF($AC907&gt;0,SUMIFS(Q$4:Q906,$D$4:$D906,$D907,$C$4:$C906,$C907),0)</f>
        <v>0</v>
      </c>
      <c r="AH907" s="53">
        <f>IF($AC907&gt;0,SUMIFS(M$4:M906,$D$4:$D906,$D907,$Z$4:$Z906,$Z907,$C$4:$C906,$C907),0)</f>
        <v>0</v>
      </c>
      <c r="AI907" s="43">
        <f>IF(OR($C907="",$I907=""),0,IF(COUNTIFS($C$5:$C907,$C907,$I$5:$I907,$I907)=1,1,0))</f>
        <v>0</v>
      </c>
      <c r="AJ907" s="43" t="str">
        <f>IF($AI907=1,SUMIFS($AI$4:$AI906,$C$4:$C906,$C907)+1,"")</f>
        <v/>
      </c>
      <c r="AK907" s="43">
        <f>IF(OR($C907="",$K907=""),0,IF(COUNTIFS($C$5:$C907,$C907,$K$5:$K907,$K907)=1,1,0))</f>
        <v>0</v>
      </c>
      <c r="AL907" s="43" t="str">
        <f>IF($AK907=1,SUMIFS($AK$4:$AK906,$C$4:$C906,$C907)+1,"")</f>
        <v/>
      </c>
      <c r="AM907" s="43">
        <f>IF(OR($C907="",$G907=""),0,IF(COUNTIFS($C$5:$C907,$C907,$G$5:$G907,$G907)=1,1,0))</f>
        <v>0</v>
      </c>
      <c r="AN907" s="43" t="str">
        <f>IF($AM907=1,SUMIFS($AM$4:$AM906,$C$4:$C906,$C907)+1,"")</f>
        <v/>
      </c>
    </row>
    <row r="908">
      <c r="A908" s="44" t="str">
        <f>IF(OR($B908="",$D908=""),"","TX"&amp;TEXT(ROW()-4,"0000"))</f>
        <v/>
      </c>
      <c r="B908" s="42" t="n"/>
      <c r="C908" s="47" t="str">
        <f>IF($B908="","",YEAR($B908)*100+MONTH($B908))</f>
        <v/>
      </c>
      <c r="D908" s="37" t="n"/>
      <c r="E908" s="45" t="str">
        <f>IF($D908="","",IFERROR(INDEX(CARDS!$B$5:$B$34,MATCH($D908,CARDS!$A$5:$A$34,0)),"⚠ Card ID?"))</f>
        <v/>
      </c>
      <c r="F908" s="45" t="str">
        <f>IF($D908="","",IFERROR(INDEX(CARDS!$C$5:$C$34,MATCH($D908,CARDS!$A$5:$A$34,0)),"⚠ Card ID?"))</f>
        <v/>
      </c>
      <c r="G908" s="37" t="n"/>
      <c r="H908" s="37" t="n"/>
      <c r="I908" s="41" t="n"/>
      <c r="J908" s="45" t="str">
        <f>IF($I908="","",IFERROR(INDEX(MCC_MASTER!$B$5:$B$504,MATCH($I908,MCC_MASTER!$A$5:$A$504,0)),"⚠ MCC chưa có"))</f>
        <v/>
      </c>
      <c r="K908" s="45" t="str">
        <f>IF($I908="","",IFERROR(IF(INDEX(MCC_MASTER!$C$5:$C$504,MATCH($I908,MCC_MASTER!$A$5:$A$504,0))="","Chưa phân loại",INDEX(MCC_MASTER!$C$5:$C$504,MATCH($I908,MCC_MASTER!$A$5:$A$504,0))),"Chưa phân loại"))</f>
        <v/>
      </c>
      <c r="L908" s="40" t="n"/>
      <c r="M908" s="48" t="str">
        <f>IF(OR($B908="",$D908=""),"",IF($AC908=0,0,IF(ISNUMBER(INDEX(CASHBACK_RULES!$L$5:$L$304,$AC908)),MAX(0,MIN($L908,INDEX(CASHBACK_RULES!$L$5:$L$304,$AC908)-$AH908)),MAX(0,$L908))))</f>
        <v/>
      </c>
      <c r="N908" s="49" t="str">
        <f>IF(OR($B908="",$D908=""),"",IF($AC908&gt;0,INDEX(CASHBACK_RULES!$I$5:$I$304,$AC908),0))</f>
        <v/>
      </c>
      <c r="O908" s="48" t="str">
        <f>IF(OR($B908="",$D908=""),"",ROUND($M908*$N908,0))</f>
        <v/>
      </c>
      <c r="P908" s="48" t="str">
        <f>IF($AC908&gt;0,IF(ISNUMBER(INDEX(CASHBACK_RULES!$J$5:$J$304,$AC908)),INDEX(CASHBACK_RULES!$J$5:$J$304,$AC908),"∞"),"")</f>
        <v/>
      </c>
      <c r="Q908" s="48" t="str">
        <f>IF(OR($B908="",$D908=""),"",IF($AC908=0,0,MAX(0,MIN($O908,IF(ISNUMBER($P908),$P908-$AF908,1E+15),IF(ISNUMBER($AA908),$AA908-$AG908,1E+15)))))</f>
        <v/>
      </c>
      <c r="R908" s="48" t="str">
        <f>IF(OR($B908="",$D908=""),"",IF($AC908=0,"",IF(AND(NOT(ISNUMBER($P908)),NOT(ISNUMBER($AA908))),"∞",MAX(0,MIN(IF(ISNUMBER($P908),$P908-$AF908-$Q908,1E+15),IF(ISNUMBER($AA908),$AA908-$AG908-$Q908,1E+15))))))</f>
        <v/>
      </c>
      <c r="S908" s="47" t="str">
        <f>IF($AD908="","",YEAR($AD908)*100+MONTH($AD908))</f>
        <v/>
      </c>
      <c r="T908" s="50" t="str">
        <f>IF($AD908="","",IFERROR(IF(INDEX(CARDS!$I$5:$I$34,MATCH($D908,CARDS!$A$5:$A$34,0))="","",IF(INDEX(CARDS!$I$5:$I$34,MATCH($D908,CARDS!$A$5:$A$34,0))&gt;INDEX(CARDS!$H$5:$H$34,MATCH($D908,CARDS!$A$5:$A$34,0)),DATE(YEAR($AD908),MONTH($AD908),MIN(INDEX(CARDS!$I$5:$I$34,MATCH($D908,CARDS!$A$5:$A$34,0)),DAY(EOMONTH($AD908,0)))),DATE(YEAR($AD908),MONTH($AD908)+1,MIN(INDEX(CARDS!$I$5:$I$34,MATCH($D908,CARDS!$A$5:$A$34,0)),DAY(EOMONTH($AD908,1)))))),""))</f>
        <v/>
      </c>
      <c r="U908" s="38" t="n"/>
      <c r="V908" s="37" t="n"/>
      <c r="W908" s="38" t="n"/>
      <c r="X908" s="38" t="n"/>
      <c r="Y908" s="44" t="str">
        <f>IF($AC908&gt;0,INDEX(CASHBACK_RULES!$A$5:$A$304,$AC908),"")</f>
        <v/>
      </c>
      <c r="Z908" s="45" t="str">
        <f>IF($AC908&gt;0,INDEX(CASHBACK_RULES!$E$5:$E$304,$AC908)&amp;"","")</f>
        <v/>
      </c>
      <c r="AA908" s="48" t="str">
        <f>IF($AC908&gt;0,IF(ISNUMBER(INDEX(CASHBACK_RULES!$K$5:$K$304,$AC908)),INDEX(CASHBACK_RULES!$K$5:$K$304,$AC908),"∞"),"")</f>
        <v/>
      </c>
      <c r="AB908" s="44" t="str">
        <f>IF(OR($B908="",$D908=""),"",IF($U908="Cancelled","Đã hủy",IF($AC908=0,"Không được hoàn",IF($Q908=0,IF(OR($O908&gt;0,$M908&lt;$L908),"Đã đạt cap","Không được hoàn"),IF(OR($Q908&lt;$O908,$M908&lt;$L908),"Hoàn một phần","Được hoàn")))))</f>
        <v/>
      </c>
      <c r="AC908" s="43">
        <f>IF(OR($B908="",$D908="",$I908="",$L908=""),0,IF($U908="Cancelled",0,IF($W908&lt;&gt;"",IFERROR(IF(INDEX(CASHBACK_RULES!$B$5:$B$304,MATCH($W908,CASHBACK_RULES!$A$5:$A$304,0))=$D908,MATCH($W908,CASHBACK_RULES!$A$5:$A$304,0),0),0),IFERROR(MATCH(1,INDEX((CASHBACK_RULES!$B$5:$B$304=$D908)*(CASHBACK_RULES!$G$5:$G$304=$I908)*(((CASHBACK_RULES!$N$5:$N$304="")+(CASHBACK_RULES!$N$5:$N$304&lt;=$B908))&gt;0)*(((CASHBACK_RULES!$O$5:$O$304="")+(CASHBACK_RULES!$O$5:$O$304&gt;=$B908))&gt;0)*(((CASHBACK_RULES!$M$5:$M$304="")+(CASHBACK_RULES!$M$5:$M$304&lt;=$L908))&gt;0),0),0),0))))</f>
        <v>0</v>
      </c>
      <c r="AD908" s="51" t="str">
        <f>IF(OR($B908="",$D908=""),"",IFERROR(IF(INDEX(CARDS!$H$5:$H$34,MATCH($D908,CARDS!$A$5:$A$34,0))="","",IF(DAY($B908)&lt;=INDEX(CARDS!$H$5:$H$34,MATCH($D908,CARDS!$A$5:$A$34,0)),DATE(YEAR($B908),MONTH($B908),MIN(INDEX(CARDS!$H$5:$H$34,MATCH($D908,CARDS!$A$5:$A$34,0)),DAY(EOMONTH($B908,0)))),DATE(YEAR($B908),MONTH($B908)+1,MIN(INDEX(CARDS!$H$5:$H$34,MATCH($D908,CARDS!$A$5:$A$34,0)),DAY(EOMONTH($B908,1)))))),""))</f>
        <v/>
      </c>
      <c r="AE908" s="52" t="str">
        <f>IF($C908="","",$C908&amp;"|"&amp;COUNTIF($C$5:$C908,$C908))</f>
        <v/>
      </c>
      <c r="AF908" s="53">
        <f>IF($AC908&gt;0,SUMIFS(Q$4:Q907,$D$4:$D907,$D908,$Z$4:$Z907,$Z908,$C$4:$C907,$C908),0)</f>
        <v>0</v>
      </c>
      <c r="AG908" s="53">
        <f>IF($AC908&gt;0,SUMIFS(Q$4:Q907,$D$4:$D907,$D908,$C$4:$C907,$C908),0)</f>
        <v>0</v>
      </c>
      <c r="AH908" s="53">
        <f>IF($AC908&gt;0,SUMIFS(M$4:M907,$D$4:$D907,$D908,$Z$4:$Z907,$Z908,$C$4:$C907,$C908),0)</f>
        <v>0</v>
      </c>
      <c r="AI908" s="43">
        <f>IF(OR($C908="",$I908=""),0,IF(COUNTIFS($C$5:$C908,$C908,$I$5:$I908,$I908)=1,1,0))</f>
        <v>0</v>
      </c>
      <c r="AJ908" s="43" t="str">
        <f>IF($AI908=1,SUMIFS($AI$4:$AI907,$C$4:$C907,$C908)+1,"")</f>
        <v/>
      </c>
      <c r="AK908" s="43">
        <f>IF(OR($C908="",$K908=""),0,IF(COUNTIFS($C$5:$C908,$C908,$K$5:$K908,$K908)=1,1,0))</f>
        <v>0</v>
      </c>
      <c r="AL908" s="43" t="str">
        <f>IF($AK908=1,SUMIFS($AK$4:$AK907,$C$4:$C907,$C908)+1,"")</f>
        <v/>
      </c>
      <c r="AM908" s="43">
        <f>IF(OR($C908="",$G908=""),0,IF(COUNTIFS($C$5:$C908,$C908,$G$5:$G908,$G908)=1,1,0))</f>
        <v>0</v>
      </c>
      <c r="AN908" s="43" t="str">
        <f>IF($AM908=1,SUMIFS($AM$4:$AM907,$C$4:$C907,$C908)+1,"")</f>
        <v/>
      </c>
    </row>
    <row r="909">
      <c r="A909" s="44" t="str">
        <f>IF(OR($B909="",$D909=""),"","TX"&amp;TEXT(ROW()-4,"0000"))</f>
        <v/>
      </c>
      <c r="B909" s="42" t="n"/>
      <c r="C909" s="47" t="str">
        <f>IF($B909="","",YEAR($B909)*100+MONTH($B909))</f>
        <v/>
      </c>
      <c r="D909" s="37" t="n"/>
      <c r="E909" s="45" t="str">
        <f>IF($D909="","",IFERROR(INDEX(CARDS!$B$5:$B$34,MATCH($D909,CARDS!$A$5:$A$34,0)),"⚠ Card ID?"))</f>
        <v/>
      </c>
      <c r="F909" s="45" t="str">
        <f>IF($D909="","",IFERROR(INDEX(CARDS!$C$5:$C$34,MATCH($D909,CARDS!$A$5:$A$34,0)),"⚠ Card ID?"))</f>
        <v/>
      </c>
      <c r="G909" s="37" t="n"/>
      <c r="H909" s="37" t="n"/>
      <c r="I909" s="41" t="n"/>
      <c r="J909" s="45" t="str">
        <f>IF($I909="","",IFERROR(INDEX(MCC_MASTER!$B$5:$B$504,MATCH($I909,MCC_MASTER!$A$5:$A$504,0)),"⚠ MCC chưa có"))</f>
        <v/>
      </c>
      <c r="K909" s="45" t="str">
        <f>IF($I909="","",IFERROR(IF(INDEX(MCC_MASTER!$C$5:$C$504,MATCH($I909,MCC_MASTER!$A$5:$A$504,0))="","Chưa phân loại",INDEX(MCC_MASTER!$C$5:$C$504,MATCH($I909,MCC_MASTER!$A$5:$A$504,0))),"Chưa phân loại"))</f>
        <v/>
      </c>
      <c r="L909" s="40" t="n"/>
      <c r="M909" s="48" t="str">
        <f>IF(OR($B909="",$D909=""),"",IF($AC909=0,0,IF(ISNUMBER(INDEX(CASHBACK_RULES!$L$5:$L$304,$AC909)),MAX(0,MIN($L909,INDEX(CASHBACK_RULES!$L$5:$L$304,$AC909)-$AH909)),MAX(0,$L909))))</f>
        <v/>
      </c>
      <c r="N909" s="49" t="str">
        <f>IF(OR($B909="",$D909=""),"",IF($AC909&gt;0,INDEX(CASHBACK_RULES!$I$5:$I$304,$AC909),0))</f>
        <v/>
      </c>
      <c r="O909" s="48" t="str">
        <f>IF(OR($B909="",$D909=""),"",ROUND($M909*$N909,0))</f>
        <v/>
      </c>
      <c r="P909" s="48" t="str">
        <f>IF($AC909&gt;0,IF(ISNUMBER(INDEX(CASHBACK_RULES!$J$5:$J$304,$AC909)),INDEX(CASHBACK_RULES!$J$5:$J$304,$AC909),"∞"),"")</f>
        <v/>
      </c>
      <c r="Q909" s="48" t="str">
        <f>IF(OR($B909="",$D909=""),"",IF($AC909=0,0,MAX(0,MIN($O909,IF(ISNUMBER($P909),$P909-$AF909,1E+15),IF(ISNUMBER($AA909),$AA909-$AG909,1E+15)))))</f>
        <v/>
      </c>
      <c r="R909" s="48" t="str">
        <f>IF(OR($B909="",$D909=""),"",IF($AC909=0,"",IF(AND(NOT(ISNUMBER($P909)),NOT(ISNUMBER($AA909))),"∞",MAX(0,MIN(IF(ISNUMBER($P909),$P909-$AF909-$Q909,1E+15),IF(ISNUMBER($AA909),$AA909-$AG909-$Q909,1E+15))))))</f>
        <v/>
      </c>
      <c r="S909" s="47" t="str">
        <f>IF($AD909="","",YEAR($AD909)*100+MONTH($AD909))</f>
        <v/>
      </c>
      <c r="T909" s="50" t="str">
        <f>IF($AD909="","",IFERROR(IF(INDEX(CARDS!$I$5:$I$34,MATCH($D909,CARDS!$A$5:$A$34,0))="","",IF(INDEX(CARDS!$I$5:$I$34,MATCH($D909,CARDS!$A$5:$A$34,0))&gt;INDEX(CARDS!$H$5:$H$34,MATCH($D909,CARDS!$A$5:$A$34,0)),DATE(YEAR($AD909),MONTH($AD909),MIN(INDEX(CARDS!$I$5:$I$34,MATCH($D909,CARDS!$A$5:$A$34,0)),DAY(EOMONTH($AD909,0)))),DATE(YEAR($AD909),MONTH($AD909)+1,MIN(INDEX(CARDS!$I$5:$I$34,MATCH($D909,CARDS!$A$5:$A$34,0)),DAY(EOMONTH($AD909,1)))))),""))</f>
        <v/>
      </c>
      <c r="U909" s="38" t="n"/>
      <c r="V909" s="37" t="n"/>
      <c r="W909" s="38" t="n"/>
      <c r="X909" s="38" t="n"/>
      <c r="Y909" s="44" t="str">
        <f>IF($AC909&gt;0,INDEX(CASHBACK_RULES!$A$5:$A$304,$AC909),"")</f>
        <v/>
      </c>
      <c r="Z909" s="45" t="str">
        <f>IF($AC909&gt;0,INDEX(CASHBACK_RULES!$E$5:$E$304,$AC909)&amp;"","")</f>
        <v/>
      </c>
      <c r="AA909" s="48" t="str">
        <f>IF($AC909&gt;0,IF(ISNUMBER(INDEX(CASHBACK_RULES!$K$5:$K$304,$AC909)),INDEX(CASHBACK_RULES!$K$5:$K$304,$AC909),"∞"),"")</f>
        <v/>
      </c>
      <c r="AB909" s="44" t="str">
        <f>IF(OR($B909="",$D909=""),"",IF($U909="Cancelled","Đã hủy",IF($AC909=0,"Không được hoàn",IF($Q909=0,IF(OR($O909&gt;0,$M909&lt;$L909),"Đã đạt cap","Không được hoàn"),IF(OR($Q909&lt;$O909,$M909&lt;$L909),"Hoàn một phần","Được hoàn")))))</f>
        <v/>
      </c>
      <c r="AC909" s="43">
        <f>IF(OR($B909="",$D909="",$I909="",$L909=""),0,IF($U909="Cancelled",0,IF($W909&lt;&gt;"",IFERROR(IF(INDEX(CASHBACK_RULES!$B$5:$B$304,MATCH($W909,CASHBACK_RULES!$A$5:$A$304,0))=$D909,MATCH($W909,CASHBACK_RULES!$A$5:$A$304,0),0),0),IFERROR(MATCH(1,INDEX((CASHBACK_RULES!$B$5:$B$304=$D909)*(CASHBACK_RULES!$G$5:$G$304=$I909)*(((CASHBACK_RULES!$N$5:$N$304="")+(CASHBACK_RULES!$N$5:$N$304&lt;=$B909))&gt;0)*(((CASHBACK_RULES!$O$5:$O$304="")+(CASHBACK_RULES!$O$5:$O$304&gt;=$B909))&gt;0)*(((CASHBACK_RULES!$M$5:$M$304="")+(CASHBACK_RULES!$M$5:$M$304&lt;=$L909))&gt;0),0),0),0))))</f>
        <v>0</v>
      </c>
      <c r="AD909" s="51" t="str">
        <f>IF(OR($B909="",$D909=""),"",IFERROR(IF(INDEX(CARDS!$H$5:$H$34,MATCH($D909,CARDS!$A$5:$A$34,0))="","",IF(DAY($B909)&lt;=INDEX(CARDS!$H$5:$H$34,MATCH($D909,CARDS!$A$5:$A$34,0)),DATE(YEAR($B909),MONTH($B909),MIN(INDEX(CARDS!$H$5:$H$34,MATCH($D909,CARDS!$A$5:$A$34,0)),DAY(EOMONTH($B909,0)))),DATE(YEAR($B909),MONTH($B909)+1,MIN(INDEX(CARDS!$H$5:$H$34,MATCH($D909,CARDS!$A$5:$A$34,0)),DAY(EOMONTH($B909,1)))))),""))</f>
        <v/>
      </c>
      <c r="AE909" s="52" t="str">
        <f>IF($C909="","",$C909&amp;"|"&amp;COUNTIF($C$5:$C909,$C909))</f>
        <v/>
      </c>
      <c r="AF909" s="53">
        <f>IF($AC909&gt;0,SUMIFS(Q$4:Q908,$D$4:$D908,$D909,$Z$4:$Z908,$Z909,$C$4:$C908,$C909),0)</f>
        <v>0</v>
      </c>
      <c r="AG909" s="53">
        <f>IF($AC909&gt;0,SUMIFS(Q$4:Q908,$D$4:$D908,$D909,$C$4:$C908,$C909),0)</f>
        <v>0</v>
      </c>
      <c r="AH909" s="53">
        <f>IF($AC909&gt;0,SUMIFS(M$4:M908,$D$4:$D908,$D909,$Z$4:$Z908,$Z909,$C$4:$C908,$C909),0)</f>
        <v>0</v>
      </c>
      <c r="AI909" s="43">
        <f>IF(OR($C909="",$I909=""),0,IF(COUNTIFS($C$5:$C909,$C909,$I$5:$I909,$I909)=1,1,0))</f>
        <v>0</v>
      </c>
      <c r="AJ909" s="43" t="str">
        <f>IF($AI909=1,SUMIFS($AI$4:$AI908,$C$4:$C908,$C909)+1,"")</f>
        <v/>
      </c>
      <c r="AK909" s="43">
        <f>IF(OR($C909="",$K909=""),0,IF(COUNTIFS($C$5:$C909,$C909,$K$5:$K909,$K909)=1,1,0))</f>
        <v>0</v>
      </c>
      <c r="AL909" s="43" t="str">
        <f>IF($AK909=1,SUMIFS($AK$4:$AK908,$C$4:$C908,$C909)+1,"")</f>
        <v/>
      </c>
      <c r="AM909" s="43">
        <f>IF(OR($C909="",$G909=""),0,IF(COUNTIFS($C$5:$C909,$C909,$G$5:$G909,$G909)=1,1,0))</f>
        <v>0</v>
      </c>
      <c r="AN909" s="43" t="str">
        <f>IF($AM909=1,SUMIFS($AM$4:$AM908,$C$4:$C908,$C909)+1,"")</f>
        <v/>
      </c>
    </row>
    <row r="910">
      <c r="A910" s="44" t="str">
        <f>IF(OR($B910="",$D910=""),"","TX"&amp;TEXT(ROW()-4,"0000"))</f>
        <v/>
      </c>
      <c r="B910" s="42" t="n"/>
      <c r="C910" s="47" t="str">
        <f>IF($B910="","",YEAR($B910)*100+MONTH($B910))</f>
        <v/>
      </c>
      <c r="D910" s="37" t="n"/>
      <c r="E910" s="45" t="str">
        <f>IF($D910="","",IFERROR(INDEX(CARDS!$B$5:$B$34,MATCH($D910,CARDS!$A$5:$A$34,0)),"⚠ Card ID?"))</f>
        <v/>
      </c>
      <c r="F910" s="45" t="str">
        <f>IF($D910="","",IFERROR(INDEX(CARDS!$C$5:$C$34,MATCH($D910,CARDS!$A$5:$A$34,0)),"⚠ Card ID?"))</f>
        <v/>
      </c>
      <c r="G910" s="37" t="n"/>
      <c r="H910" s="37" t="n"/>
      <c r="I910" s="41" t="n"/>
      <c r="J910" s="45" t="str">
        <f>IF($I910="","",IFERROR(INDEX(MCC_MASTER!$B$5:$B$504,MATCH($I910,MCC_MASTER!$A$5:$A$504,0)),"⚠ MCC chưa có"))</f>
        <v/>
      </c>
      <c r="K910" s="45" t="str">
        <f>IF($I910="","",IFERROR(IF(INDEX(MCC_MASTER!$C$5:$C$504,MATCH($I910,MCC_MASTER!$A$5:$A$504,0))="","Chưa phân loại",INDEX(MCC_MASTER!$C$5:$C$504,MATCH($I910,MCC_MASTER!$A$5:$A$504,0))),"Chưa phân loại"))</f>
        <v/>
      </c>
      <c r="L910" s="40" t="n"/>
      <c r="M910" s="48" t="str">
        <f>IF(OR($B910="",$D910=""),"",IF($AC910=0,0,IF(ISNUMBER(INDEX(CASHBACK_RULES!$L$5:$L$304,$AC910)),MAX(0,MIN($L910,INDEX(CASHBACK_RULES!$L$5:$L$304,$AC910)-$AH910)),MAX(0,$L910))))</f>
        <v/>
      </c>
      <c r="N910" s="49" t="str">
        <f>IF(OR($B910="",$D910=""),"",IF($AC910&gt;0,INDEX(CASHBACK_RULES!$I$5:$I$304,$AC910),0))</f>
        <v/>
      </c>
      <c r="O910" s="48" t="str">
        <f>IF(OR($B910="",$D910=""),"",ROUND($M910*$N910,0))</f>
        <v/>
      </c>
      <c r="P910" s="48" t="str">
        <f>IF($AC910&gt;0,IF(ISNUMBER(INDEX(CASHBACK_RULES!$J$5:$J$304,$AC910)),INDEX(CASHBACK_RULES!$J$5:$J$304,$AC910),"∞"),"")</f>
        <v/>
      </c>
      <c r="Q910" s="48" t="str">
        <f>IF(OR($B910="",$D910=""),"",IF($AC910=0,0,MAX(0,MIN($O910,IF(ISNUMBER($P910),$P910-$AF910,1E+15),IF(ISNUMBER($AA910),$AA910-$AG910,1E+15)))))</f>
        <v/>
      </c>
      <c r="R910" s="48" t="str">
        <f>IF(OR($B910="",$D910=""),"",IF($AC910=0,"",IF(AND(NOT(ISNUMBER($P910)),NOT(ISNUMBER($AA910))),"∞",MAX(0,MIN(IF(ISNUMBER($P910),$P910-$AF910-$Q910,1E+15),IF(ISNUMBER($AA910),$AA910-$AG910-$Q910,1E+15))))))</f>
        <v/>
      </c>
      <c r="S910" s="47" t="str">
        <f>IF($AD910="","",YEAR($AD910)*100+MONTH($AD910))</f>
        <v/>
      </c>
      <c r="T910" s="50" t="str">
        <f>IF($AD910="","",IFERROR(IF(INDEX(CARDS!$I$5:$I$34,MATCH($D910,CARDS!$A$5:$A$34,0))="","",IF(INDEX(CARDS!$I$5:$I$34,MATCH($D910,CARDS!$A$5:$A$34,0))&gt;INDEX(CARDS!$H$5:$H$34,MATCH($D910,CARDS!$A$5:$A$34,0)),DATE(YEAR($AD910),MONTH($AD910),MIN(INDEX(CARDS!$I$5:$I$34,MATCH($D910,CARDS!$A$5:$A$34,0)),DAY(EOMONTH($AD910,0)))),DATE(YEAR($AD910),MONTH($AD910)+1,MIN(INDEX(CARDS!$I$5:$I$34,MATCH($D910,CARDS!$A$5:$A$34,0)),DAY(EOMONTH($AD910,1)))))),""))</f>
        <v/>
      </c>
      <c r="U910" s="38" t="n"/>
      <c r="V910" s="37" t="n"/>
      <c r="W910" s="38" t="n"/>
      <c r="X910" s="38" t="n"/>
      <c r="Y910" s="44" t="str">
        <f>IF($AC910&gt;0,INDEX(CASHBACK_RULES!$A$5:$A$304,$AC910),"")</f>
        <v/>
      </c>
      <c r="Z910" s="45" t="str">
        <f>IF($AC910&gt;0,INDEX(CASHBACK_RULES!$E$5:$E$304,$AC910)&amp;"","")</f>
        <v/>
      </c>
      <c r="AA910" s="48" t="str">
        <f>IF($AC910&gt;0,IF(ISNUMBER(INDEX(CASHBACK_RULES!$K$5:$K$304,$AC910)),INDEX(CASHBACK_RULES!$K$5:$K$304,$AC910),"∞"),"")</f>
        <v/>
      </c>
      <c r="AB910" s="44" t="str">
        <f>IF(OR($B910="",$D910=""),"",IF($U910="Cancelled","Đã hủy",IF($AC910=0,"Không được hoàn",IF($Q910=0,IF(OR($O910&gt;0,$M910&lt;$L910),"Đã đạt cap","Không được hoàn"),IF(OR($Q910&lt;$O910,$M910&lt;$L910),"Hoàn một phần","Được hoàn")))))</f>
        <v/>
      </c>
      <c r="AC910" s="43">
        <f>IF(OR($B910="",$D910="",$I910="",$L910=""),0,IF($U910="Cancelled",0,IF($W910&lt;&gt;"",IFERROR(IF(INDEX(CASHBACK_RULES!$B$5:$B$304,MATCH($W910,CASHBACK_RULES!$A$5:$A$304,0))=$D910,MATCH($W910,CASHBACK_RULES!$A$5:$A$304,0),0),0),IFERROR(MATCH(1,INDEX((CASHBACK_RULES!$B$5:$B$304=$D910)*(CASHBACK_RULES!$G$5:$G$304=$I910)*(((CASHBACK_RULES!$N$5:$N$304="")+(CASHBACK_RULES!$N$5:$N$304&lt;=$B910))&gt;0)*(((CASHBACK_RULES!$O$5:$O$304="")+(CASHBACK_RULES!$O$5:$O$304&gt;=$B910))&gt;0)*(((CASHBACK_RULES!$M$5:$M$304="")+(CASHBACK_RULES!$M$5:$M$304&lt;=$L910))&gt;0),0),0),0))))</f>
        <v>0</v>
      </c>
      <c r="AD910" s="51" t="str">
        <f>IF(OR($B910="",$D910=""),"",IFERROR(IF(INDEX(CARDS!$H$5:$H$34,MATCH($D910,CARDS!$A$5:$A$34,0))="","",IF(DAY($B910)&lt;=INDEX(CARDS!$H$5:$H$34,MATCH($D910,CARDS!$A$5:$A$34,0)),DATE(YEAR($B910),MONTH($B910),MIN(INDEX(CARDS!$H$5:$H$34,MATCH($D910,CARDS!$A$5:$A$34,0)),DAY(EOMONTH($B910,0)))),DATE(YEAR($B910),MONTH($B910)+1,MIN(INDEX(CARDS!$H$5:$H$34,MATCH($D910,CARDS!$A$5:$A$34,0)),DAY(EOMONTH($B910,1)))))),""))</f>
        <v/>
      </c>
      <c r="AE910" s="52" t="str">
        <f>IF($C910="","",$C910&amp;"|"&amp;COUNTIF($C$5:$C910,$C910))</f>
        <v/>
      </c>
      <c r="AF910" s="53">
        <f>IF($AC910&gt;0,SUMIFS(Q$4:Q909,$D$4:$D909,$D910,$Z$4:$Z909,$Z910,$C$4:$C909,$C910),0)</f>
        <v>0</v>
      </c>
      <c r="AG910" s="53">
        <f>IF($AC910&gt;0,SUMIFS(Q$4:Q909,$D$4:$D909,$D910,$C$4:$C909,$C910),0)</f>
        <v>0</v>
      </c>
      <c r="AH910" s="53">
        <f>IF($AC910&gt;0,SUMIFS(M$4:M909,$D$4:$D909,$D910,$Z$4:$Z909,$Z910,$C$4:$C909,$C910),0)</f>
        <v>0</v>
      </c>
      <c r="AI910" s="43">
        <f>IF(OR($C910="",$I910=""),0,IF(COUNTIFS($C$5:$C910,$C910,$I$5:$I910,$I910)=1,1,0))</f>
        <v>0</v>
      </c>
      <c r="AJ910" s="43" t="str">
        <f>IF($AI910=1,SUMIFS($AI$4:$AI909,$C$4:$C909,$C910)+1,"")</f>
        <v/>
      </c>
      <c r="AK910" s="43">
        <f>IF(OR($C910="",$K910=""),0,IF(COUNTIFS($C$5:$C910,$C910,$K$5:$K910,$K910)=1,1,0))</f>
        <v>0</v>
      </c>
      <c r="AL910" s="43" t="str">
        <f>IF($AK910=1,SUMIFS($AK$4:$AK909,$C$4:$C909,$C910)+1,"")</f>
        <v/>
      </c>
      <c r="AM910" s="43">
        <f>IF(OR($C910="",$G910=""),0,IF(COUNTIFS($C$5:$C910,$C910,$G$5:$G910,$G910)=1,1,0))</f>
        <v>0</v>
      </c>
      <c r="AN910" s="43" t="str">
        <f>IF($AM910=1,SUMIFS($AM$4:$AM909,$C$4:$C909,$C910)+1,"")</f>
        <v/>
      </c>
    </row>
    <row r="911">
      <c r="A911" s="44" t="str">
        <f>IF(OR($B911="",$D911=""),"","TX"&amp;TEXT(ROW()-4,"0000"))</f>
        <v/>
      </c>
      <c r="B911" s="42" t="n"/>
      <c r="C911" s="47" t="str">
        <f>IF($B911="","",YEAR($B911)*100+MONTH($B911))</f>
        <v/>
      </c>
      <c r="D911" s="37" t="n"/>
      <c r="E911" s="45" t="str">
        <f>IF($D911="","",IFERROR(INDEX(CARDS!$B$5:$B$34,MATCH($D911,CARDS!$A$5:$A$34,0)),"⚠ Card ID?"))</f>
        <v/>
      </c>
      <c r="F911" s="45" t="str">
        <f>IF($D911="","",IFERROR(INDEX(CARDS!$C$5:$C$34,MATCH($D911,CARDS!$A$5:$A$34,0)),"⚠ Card ID?"))</f>
        <v/>
      </c>
      <c r="G911" s="37" t="n"/>
      <c r="H911" s="37" t="n"/>
      <c r="I911" s="41" t="n"/>
      <c r="J911" s="45" t="str">
        <f>IF($I911="","",IFERROR(INDEX(MCC_MASTER!$B$5:$B$504,MATCH($I911,MCC_MASTER!$A$5:$A$504,0)),"⚠ MCC chưa có"))</f>
        <v/>
      </c>
      <c r="K911" s="45" t="str">
        <f>IF($I911="","",IFERROR(IF(INDEX(MCC_MASTER!$C$5:$C$504,MATCH($I911,MCC_MASTER!$A$5:$A$504,0))="","Chưa phân loại",INDEX(MCC_MASTER!$C$5:$C$504,MATCH($I911,MCC_MASTER!$A$5:$A$504,0))),"Chưa phân loại"))</f>
        <v/>
      </c>
      <c r="L911" s="40" t="n"/>
      <c r="M911" s="48" t="str">
        <f>IF(OR($B911="",$D911=""),"",IF($AC911=0,0,IF(ISNUMBER(INDEX(CASHBACK_RULES!$L$5:$L$304,$AC911)),MAX(0,MIN($L911,INDEX(CASHBACK_RULES!$L$5:$L$304,$AC911)-$AH911)),MAX(0,$L911))))</f>
        <v/>
      </c>
      <c r="N911" s="49" t="str">
        <f>IF(OR($B911="",$D911=""),"",IF($AC911&gt;0,INDEX(CASHBACK_RULES!$I$5:$I$304,$AC911),0))</f>
        <v/>
      </c>
      <c r="O911" s="48" t="str">
        <f>IF(OR($B911="",$D911=""),"",ROUND($M911*$N911,0))</f>
        <v/>
      </c>
      <c r="P911" s="48" t="str">
        <f>IF($AC911&gt;0,IF(ISNUMBER(INDEX(CASHBACK_RULES!$J$5:$J$304,$AC911)),INDEX(CASHBACK_RULES!$J$5:$J$304,$AC911),"∞"),"")</f>
        <v/>
      </c>
      <c r="Q911" s="48" t="str">
        <f>IF(OR($B911="",$D911=""),"",IF($AC911=0,0,MAX(0,MIN($O911,IF(ISNUMBER($P911),$P911-$AF911,1E+15),IF(ISNUMBER($AA911),$AA911-$AG911,1E+15)))))</f>
        <v/>
      </c>
      <c r="R911" s="48" t="str">
        <f>IF(OR($B911="",$D911=""),"",IF($AC911=0,"",IF(AND(NOT(ISNUMBER($P911)),NOT(ISNUMBER($AA911))),"∞",MAX(0,MIN(IF(ISNUMBER($P911),$P911-$AF911-$Q911,1E+15),IF(ISNUMBER($AA911),$AA911-$AG911-$Q911,1E+15))))))</f>
        <v/>
      </c>
      <c r="S911" s="47" t="str">
        <f>IF($AD911="","",YEAR($AD911)*100+MONTH($AD911))</f>
        <v/>
      </c>
      <c r="T911" s="50" t="str">
        <f>IF($AD911="","",IFERROR(IF(INDEX(CARDS!$I$5:$I$34,MATCH($D911,CARDS!$A$5:$A$34,0))="","",IF(INDEX(CARDS!$I$5:$I$34,MATCH($D911,CARDS!$A$5:$A$34,0))&gt;INDEX(CARDS!$H$5:$H$34,MATCH($D911,CARDS!$A$5:$A$34,0)),DATE(YEAR($AD911),MONTH($AD911),MIN(INDEX(CARDS!$I$5:$I$34,MATCH($D911,CARDS!$A$5:$A$34,0)),DAY(EOMONTH($AD911,0)))),DATE(YEAR($AD911),MONTH($AD911)+1,MIN(INDEX(CARDS!$I$5:$I$34,MATCH($D911,CARDS!$A$5:$A$34,0)),DAY(EOMONTH($AD911,1)))))),""))</f>
        <v/>
      </c>
      <c r="U911" s="38" t="n"/>
      <c r="V911" s="37" t="n"/>
      <c r="W911" s="38" t="n"/>
      <c r="X911" s="38" t="n"/>
      <c r="Y911" s="44" t="str">
        <f>IF($AC911&gt;0,INDEX(CASHBACK_RULES!$A$5:$A$304,$AC911),"")</f>
        <v/>
      </c>
      <c r="Z911" s="45" t="str">
        <f>IF($AC911&gt;0,INDEX(CASHBACK_RULES!$E$5:$E$304,$AC911)&amp;"","")</f>
        <v/>
      </c>
      <c r="AA911" s="48" t="str">
        <f>IF($AC911&gt;0,IF(ISNUMBER(INDEX(CASHBACK_RULES!$K$5:$K$304,$AC911)),INDEX(CASHBACK_RULES!$K$5:$K$304,$AC911),"∞"),"")</f>
        <v/>
      </c>
      <c r="AB911" s="44" t="str">
        <f>IF(OR($B911="",$D911=""),"",IF($U911="Cancelled","Đã hủy",IF($AC911=0,"Không được hoàn",IF($Q911=0,IF(OR($O911&gt;0,$M911&lt;$L911),"Đã đạt cap","Không được hoàn"),IF(OR($Q911&lt;$O911,$M911&lt;$L911),"Hoàn một phần","Được hoàn")))))</f>
        <v/>
      </c>
      <c r="AC911" s="43">
        <f>IF(OR($B911="",$D911="",$I911="",$L911=""),0,IF($U911="Cancelled",0,IF($W911&lt;&gt;"",IFERROR(IF(INDEX(CASHBACK_RULES!$B$5:$B$304,MATCH($W911,CASHBACK_RULES!$A$5:$A$304,0))=$D911,MATCH($W911,CASHBACK_RULES!$A$5:$A$304,0),0),0),IFERROR(MATCH(1,INDEX((CASHBACK_RULES!$B$5:$B$304=$D911)*(CASHBACK_RULES!$G$5:$G$304=$I911)*(((CASHBACK_RULES!$N$5:$N$304="")+(CASHBACK_RULES!$N$5:$N$304&lt;=$B911))&gt;0)*(((CASHBACK_RULES!$O$5:$O$304="")+(CASHBACK_RULES!$O$5:$O$304&gt;=$B911))&gt;0)*(((CASHBACK_RULES!$M$5:$M$304="")+(CASHBACK_RULES!$M$5:$M$304&lt;=$L911))&gt;0),0),0),0))))</f>
        <v>0</v>
      </c>
      <c r="AD911" s="51" t="str">
        <f>IF(OR($B911="",$D911=""),"",IFERROR(IF(INDEX(CARDS!$H$5:$H$34,MATCH($D911,CARDS!$A$5:$A$34,0))="","",IF(DAY($B911)&lt;=INDEX(CARDS!$H$5:$H$34,MATCH($D911,CARDS!$A$5:$A$34,0)),DATE(YEAR($B911),MONTH($B911),MIN(INDEX(CARDS!$H$5:$H$34,MATCH($D911,CARDS!$A$5:$A$34,0)),DAY(EOMONTH($B911,0)))),DATE(YEAR($B911),MONTH($B911)+1,MIN(INDEX(CARDS!$H$5:$H$34,MATCH($D911,CARDS!$A$5:$A$34,0)),DAY(EOMONTH($B911,1)))))),""))</f>
        <v/>
      </c>
      <c r="AE911" s="52" t="str">
        <f>IF($C911="","",$C911&amp;"|"&amp;COUNTIF($C$5:$C911,$C911))</f>
        <v/>
      </c>
      <c r="AF911" s="53">
        <f>IF($AC911&gt;0,SUMIFS(Q$4:Q910,$D$4:$D910,$D911,$Z$4:$Z910,$Z911,$C$4:$C910,$C911),0)</f>
        <v>0</v>
      </c>
      <c r="AG911" s="53">
        <f>IF($AC911&gt;0,SUMIFS(Q$4:Q910,$D$4:$D910,$D911,$C$4:$C910,$C911),0)</f>
        <v>0</v>
      </c>
      <c r="AH911" s="53">
        <f>IF($AC911&gt;0,SUMIFS(M$4:M910,$D$4:$D910,$D911,$Z$4:$Z910,$Z911,$C$4:$C910,$C911),0)</f>
        <v>0</v>
      </c>
      <c r="AI911" s="43">
        <f>IF(OR($C911="",$I911=""),0,IF(COUNTIFS($C$5:$C911,$C911,$I$5:$I911,$I911)=1,1,0))</f>
        <v>0</v>
      </c>
      <c r="AJ911" s="43" t="str">
        <f>IF($AI911=1,SUMIFS($AI$4:$AI910,$C$4:$C910,$C911)+1,"")</f>
        <v/>
      </c>
      <c r="AK911" s="43">
        <f>IF(OR($C911="",$K911=""),0,IF(COUNTIFS($C$5:$C911,$C911,$K$5:$K911,$K911)=1,1,0))</f>
        <v>0</v>
      </c>
      <c r="AL911" s="43" t="str">
        <f>IF($AK911=1,SUMIFS($AK$4:$AK910,$C$4:$C910,$C911)+1,"")</f>
        <v/>
      </c>
      <c r="AM911" s="43">
        <f>IF(OR($C911="",$G911=""),0,IF(COUNTIFS($C$5:$C911,$C911,$G$5:$G911,$G911)=1,1,0))</f>
        <v>0</v>
      </c>
      <c r="AN911" s="43" t="str">
        <f>IF($AM911=1,SUMIFS($AM$4:$AM910,$C$4:$C910,$C911)+1,"")</f>
        <v/>
      </c>
    </row>
    <row r="912">
      <c r="A912" s="44" t="str">
        <f>IF(OR($B912="",$D912=""),"","TX"&amp;TEXT(ROW()-4,"0000"))</f>
        <v/>
      </c>
      <c r="B912" s="42" t="n"/>
      <c r="C912" s="47" t="str">
        <f>IF($B912="","",YEAR($B912)*100+MONTH($B912))</f>
        <v/>
      </c>
      <c r="D912" s="37" t="n"/>
      <c r="E912" s="45" t="str">
        <f>IF($D912="","",IFERROR(INDEX(CARDS!$B$5:$B$34,MATCH($D912,CARDS!$A$5:$A$34,0)),"⚠ Card ID?"))</f>
        <v/>
      </c>
      <c r="F912" s="45" t="str">
        <f>IF($D912="","",IFERROR(INDEX(CARDS!$C$5:$C$34,MATCH($D912,CARDS!$A$5:$A$34,0)),"⚠ Card ID?"))</f>
        <v/>
      </c>
      <c r="G912" s="37" t="n"/>
      <c r="H912" s="37" t="n"/>
      <c r="I912" s="41" t="n"/>
      <c r="J912" s="45" t="str">
        <f>IF($I912="","",IFERROR(INDEX(MCC_MASTER!$B$5:$B$504,MATCH($I912,MCC_MASTER!$A$5:$A$504,0)),"⚠ MCC chưa có"))</f>
        <v/>
      </c>
      <c r="K912" s="45" t="str">
        <f>IF($I912="","",IFERROR(IF(INDEX(MCC_MASTER!$C$5:$C$504,MATCH($I912,MCC_MASTER!$A$5:$A$504,0))="","Chưa phân loại",INDEX(MCC_MASTER!$C$5:$C$504,MATCH($I912,MCC_MASTER!$A$5:$A$504,0))),"Chưa phân loại"))</f>
        <v/>
      </c>
      <c r="L912" s="40" t="n"/>
      <c r="M912" s="48" t="str">
        <f>IF(OR($B912="",$D912=""),"",IF($AC912=0,0,IF(ISNUMBER(INDEX(CASHBACK_RULES!$L$5:$L$304,$AC912)),MAX(0,MIN($L912,INDEX(CASHBACK_RULES!$L$5:$L$304,$AC912)-$AH912)),MAX(0,$L912))))</f>
        <v/>
      </c>
      <c r="N912" s="49" t="str">
        <f>IF(OR($B912="",$D912=""),"",IF($AC912&gt;0,INDEX(CASHBACK_RULES!$I$5:$I$304,$AC912),0))</f>
        <v/>
      </c>
      <c r="O912" s="48" t="str">
        <f>IF(OR($B912="",$D912=""),"",ROUND($M912*$N912,0))</f>
        <v/>
      </c>
      <c r="P912" s="48" t="str">
        <f>IF($AC912&gt;0,IF(ISNUMBER(INDEX(CASHBACK_RULES!$J$5:$J$304,$AC912)),INDEX(CASHBACK_RULES!$J$5:$J$304,$AC912),"∞"),"")</f>
        <v/>
      </c>
      <c r="Q912" s="48" t="str">
        <f>IF(OR($B912="",$D912=""),"",IF($AC912=0,0,MAX(0,MIN($O912,IF(ISNUMBER($P912),$P912-$AF912,1E+15),IF(ISNUMBER($AA912),$AA912-$AG912,1E+15)))))</f>
        <v/>
      </c>
      <c r="R912" s="48" t="str">
        <f>IF(OR($B912="",$D912=""),"",IF($AC912=0,"",IF(AND(NOT(ISNUMBER($P912)),NOT(ISNUMBER($AA912))),"∞",MAX(0,MIN(IF(ISNUMBER($P912),$P912-$AF912-$Q912,1E+15),IF(ISNUMBER($AA912),$AA912-$AG912-$Q912,1E+15))))))</f>
        <v/>
      </c>
      <c r="S912" s="47" t="str">
        <f>IF($AD912="","",YEAR($AD912)*100+MONTH($AD912))</f>
        <v/>
      </c>
      <c r="T912" s="50" t="str">
        <f>IF($AD912="","",IFERROR(IF(INDEX(CARDS!$I$5:$I$34,MATCH($D912,CARDS!$A$5:$A$34,0))="","",IF(INDEX(CARDS!$I$5:$I$34,MATCH($D912,CARDS!$A$5:$A$34,0))&gt;INDEX(CARDS!$H$5:$H$34,MATCH($D912,CARDS!$A$5:$A$34,0)),DATE(YEAR($AD912),MONTH($AD912),MIN(INDEX(CARDS!$I$5:$I$34,MATCH($D912,CARDS!$A$5:$A$34,0)),DAY(EOMONTH($AD912,0)))),DATE(YEAR($AD912),MONTH($AD912)+1,MIN(INDEX(CARDS!$I$5:$I$34,MATCH($D912,CARDS!$A$5:$A$34,0)),DAY(EOMONTH($AD912,1)))))),""))</f>
        <v/>
      </c>
      <c r="U912" s="38" t="n"/>
      <c r="V912" s="37" t="n"/>
      <c r="W912" s="38" t="n"/>
      <c r="X912" s="38" t="n"/>
      <c r="Y912" s="44" t="str">
        <f>IF($AC912&gt;0,INDEX(CASHBACK_RULES!$A$5:$A$304,$AC912),"")</f>
        <v/>
      </c>
      <c r="Z912" s="45" t="str">
        <f>IF($AC912&gt;0,INDEX(CASHBACK_RULES!$E$5:$E$304,$AC912)&amp;"","")</f>
        <v/>
      </c>
      <c r="AA912" s="48" t="str">
        <f>IF($AC912&gt;0,IF(ISNUMBER(INDEX(CASHBACK_RULES!$K$5:$K$304,$AC912)),INDEX(CASHBACK_RULES!$K$5:$K$304,$AC912),"∞"),"")</f>
        <v/>
      </c>
      <c r="AB912" s="44" t="str">
        <f>IF(OR($B912="",$D912=""),"",IF($U912="Cancelled","Đã hủy",IF($AC912=0,"Không được hoàn",IF($Q912=0,IF(OR($O912&gt;0,$M912&lt;$L912),"Đã đạt cap","Không được hoàn"),IF(OR($Q912&lt;$O912,$M912&lt;$L912),"Hoàn một phần","Được hoàn")))))</f>
        <v/>
      </c>
      <c r="AC912" s="43">
        <f>IF(OR($B912="",$D912="",$I912="",$L912=""),0,IF($U912="Cancelled",0,IF($W912&lt;&gt;"",IFERROR(IF(INDEX(CASHBACK_RULES!$B$5:$B$304,MATCH($W912,CASHBACK_RULES!$A$5:$A$304,0))=$D912,MATCH($W912,CASHBACK_RULES!$A$5:$A$304,0),0),0),IFERROR(MATCH(1,INDEX((CASHBACK_RULES!$B$5:$B$304=$D912)*(CASHBACK_RULES!$G$5:$G$304=$I912)*(((CASHBACK_RULES!$N$5:$N$304="")+(CASHBACK_RULES!$N$5:$N$304&lt;=$B912))&gt;0)*(((CASHBACK_RULES!$O$5:$O$304="")+(CASHBACK_RULES!$O$5:$O$304&gt;=$B912))&gt;0)*(((CASHBACK_RULES!$M$5:$M$304="")+(CASHBACK_RULES!$M$5:$M$304&lt;=$L912))&gt;0),0),0),0))))</f>
        <v>0</v>
      </c>
      <c r="AD912" s="51" t="str">
        <f>IF(OR($B912="",$D912=""),"",IFERROR(IF(INDEX(CARDS!$H$5:$H$34,MATCH($D912,CARDS!$A$5:$A$34,0))="","",IF(DAY($B912)&lt;=INDEX(CARDS!$H$5:$H$34,MATCH($D912,CARDS!$A$5:$A$34,0)),DATE(YEAR($B912),MONTH($B912),MIN(INDEX(CARDS!$H$5:$H$34,MATCH($D912,CARDS!$A$5:$A$34,0)),DAY(EOMONTH($B912,0)))),DATE(YEAR($B912),MONTH($B912)+1,MIN(INDEX(CARDS!$H$5:$H$34,MATCH($D912,CARDS!$A$5:$A$34,0)),DAY(EOMONTH($B912,1)))))),""))</f>
        <v/>
      </c>
      <c r="AE912" s="52" t="str">
        <f>IF($C912="","",$C912&amp;"|"&amp;COUNTIF($C$5:$C912,$C912))</f>
        <v/>
      </c>
      <c r="AF912" s="53">
        <f>IF($AC912&gt;0,SUMIFS(Q$4:Q911,$D$4:$D911,$D912,$Z$4:$Z911,$Z912,$C$4:$C911,$C912),0)</f>
        <v>0</v>
      </c>
      <c r="AG912" s="53">
        <f>IF($AC912&gt;0,SUMIFS(Q$4:Q911,$D$4:$D911,$D912,$C$4:$C911,$C912),0)</f>
        <v>0</v>
      </c>
      <c r="AH912" s="53">
        <f>IF($AC912&gt;0,SUMIFS(M$4:M911,$D$4:$D911,$D912,$Z$4:$Z911,$Z912,$C$4:$C911,$C912),0)</f>
        <v>0</v>
      </c>
      <c r="AI912" s="43">
        <f>IF(OR($C912="",$I912=""),0,IF(COUNTIFS($C$5:$C912,$C912,$I$5:$I912,$I912)=1,1,0))</f>
        <v>0</v>
      </c>
      <c r="AJ912" s="43" t="str">
        <f>IF($AI912=1,SUMIFS($AI$4:$AI911,$C$4:$C911,$C912)+1,"")</f>
        <v/>
      </c>
      <c r="AK912" s="43">
        <f>IF(OR($C912="",$K912=""),0,IF(COUNTIFS($C$5:$C912,$C912,$K$5:$K912,$K912)=1,1,0))</f>
        <v>0</v>
      </c>
      <c r="AL912" s="43" t="str">
        <f>IF($AK912=1,SUMIFS($AK$4:$AK911,$C$4:$C911,$C912)+1,"")</f>
        <v/>
      </c>
      <c r="AM912" s="43">
        <f>IF(OR($C912="",$G912=""),0,IF(COUNTIFS($C$5:$C912,$C912,$G$5:$G912,$G912)=1,1,0))</f>
        <v>0</v>
      </c>
      <c r="AN912" s="43" t="str">
        <f>IF($AM912=1,SUMIFS($AM$4:$AM911,$C$4:$C911,$C912)+1,"")</f>
        <v/>
      </c>
    </row>
    <row r="913">
      <c r="A913" s="44" t="str">
        <f>IF(OR($B913="",$D913=""),"","TX"&amp;TEXT(ROW()-4,"0000"))</f>
        <v/>
      </c>
      <c r="B913" s="42" t="n"/>
      <c r="C913" s="47" t="str">
        <f>IF($B913="","",YEAR($B913)*100+MONTH($B913))</f>
        <v/>
      </c>
      <c r="D913" s="37" t="n"/>
      <c r="E913" s="45" t="str">
        <f>IF($D913="","",IFERROR(INDEX(CARDS!$B$5:$B$34,MATCH($D913,CARDS!$A$5:$A$34,0)),"⚠ Card ID?"))</f>
        <v/>
      </c>
      <c r="F913" s="45" t="str">
        <f>IF($D913="","",IFERROR(INDEX(CARDS!$C$5:$C$34,MATCH($D913,CARDS!$A$5:$A$34,0)),"⚠ Card ID?"))</f>
        <v/>
      </c>
      <c r="G913" s="37" t="n"/>
      <c r="H913" s="37" t="n"/>
      <c r="I913" s="41" t="n"/>
      <c r="J913" s="45" t="str">
        <f>IF($I913="","",IFERROR(INDEX(MCC_MASTER!$B$5:$B$504,MATCH($I913,MCC_MASTER!$A$5:$A$504,0)),"⚠ MCC chưa có"))</f>
        <v/>
      </c>
      <c r="K913" s="45" t="str">
        <f>IF($I913="","",IFERROR(IF(INDEX(MCC_MASTER!$C$5:$C$504,MATCH($I913,MCC_MASTER!$A$5:$A$504,0))="","Chưa phân loại",INDEX(MCC_MASTER!$C$5:$C$504,MATCH($I913,MCC_MASTER!$A$5:$A$504,0))),"Chưa phân loại"))</f>
        <v/>
      </c>
      <c r="L913" s="40" t="n"/>
      <c r="M913" s="48" t="str">
        <f>IF(OR($B913="",$D913=""),"",IF($AC913=0,0,IF(ISNUMBER(INDEX(CASHBACK_RULES!$L$5:$L$304,$AC913)),MAX(0,MIN($L913,INDEX(CASHBACK_RULES!$L$5:$L$304,$AC913)-$AH913)),MAX(0,$L913))))</f>
        <v/>
      </c>
      <c r="N913" s="49" t="str">
        <f>IF(OR($B913="",$D913=""),"",IF($AC913&gt;0,INDEX(CASHBACK_RULES!$I$5:$I$304,$AC913),0))</f>
        <v/>
      </c>
      <c r="O913" s="48" t="str">
        <f>IF(OR($B913="",$D913=""),"",ROUND($M913*$N913,0))</f>
        <v/>
      </c>
      <c r="P913" s="48" t="str">
        <f>IF($AC913&gt;0,IF(ISNUMBER(INDEX(CASHBACK_RULES!$J$5:$J$304,$AC913)),INDEX(CASHBACK_RULES!$J$5:$J$304,$AC913),"∞"),"")</f>
        <v/>
      </c>
      <c r="Q913" s="48" t="str">
        <f>IF(OR($B913="",$D913=""),"",IF($AC913=0,0,MAX(0,MIN($O913,IF(ISNUMBER($P913),$P913-$AF913,1E+15),IF(ISNUMBER($AA913),$AA913-$AG913,1E+15)))))</f>
        <v/>
      </c>
      <c r="R913" s="48" t="str">
        <f>IF(OR($B913="",$D913=""),"",IF($AC913=0,"",IF(AND(NOT(ISNUMBER($P913)),NOT(ISNUMBER($AA913))),"∞",MAX(0,MIN(IF(ISNUMBER($P913),$P913-$AF913-$Q913,1E+15),IF(ISNUMBER($AA913),$AA913-$AG913-$Q913,1E+15))))))</f>
        <v/>
      </c>
      <c r="S913" s="47" t="str">
        <f>IF($AD913="","",YEAR($AD913)*100+MONTH($AD913))</f>
        <v/>
      </c>
      <c r="T913" s="50" t="str">
        <f>IF($AD913="","",IFERROR(IF(INDEX(CARDS!$I$5:$I$34,MATCH($D913,CARDS!$A$5:$A$34,0))="","",IF(INDEX(CARDS!$I$5:$I$34,MATCH($D913,CARDS!$A$5:$A$34,0))&gt;INDEX(CARDS!$H$5:$H$34,MATCH($D913,CARDS!$A$5:$A$34,0)),DATE(YEAR($AD913),MONTH($AD913),MIN(INDEX(CARDS!$I$5:$I$34,MATCH($D913,CARDS!$A$5:$A$34,0)),DAY(EOMONTH($AD913,0)))),DATE(YEAR($AD913),MONTH($AD913)+1,MIN(INDEX(CARDS!$I$5:$I$34,MATCH($D913,CARDS!$A$5:$A$34,0)),DAY(EOMONTH($AD913,1)))))),""))</f>
        <v/>
      </c>
      <c r="U913" s="38" t="n"/>
      <c r="V913" s="37" t="n"/>
      <c r="W913" s="38" t="n"/>
      <c r="X913" s="38" t="n"/>
      <c r="Y913" s="44" t="str">
        <f>IF($AC913&gt;0,INDEX(CASHBACK_RULES!$A$5:$A$304,$AC913),"")</f>
        <v/>
      </c>
      <c r="Z913" s="45" t="str">
        <f>IF($AC913&gt;0,INDEX(CASHBACK_RULES!$E$5:$E$304,$AC913)&amp;"","")</f>
        <v/>
      </c>
      <c r="AA913" s="48" t="str">
        <f>IF($AC913&gt;0,IF(ISNUMBER(INDEX(CASHBACK_RULES!$K$5:$K$304,$AC913)),INDEX(CASHBACK_RULES!$K$5:$K$304,$AC913),"∞"),"")</f>
        <v/>
      </c>
      <c r="AB913" s="44" t="str">
        <f>IF(OR($B913="",$D913=""),"",IF($U913="Cancelled","Đã hủy",IF($AC913=0,"Không được hoàn",IF($Q913=0,IF(OR($O913&gt;0,$M913&lt;$L913),"Đã đạt cap","Không được hoàn"),IF(OR($Q913&lt;$O913,$M913&lt;$L913),"Hoàn một phần","Được hoàn")))))</f>
        <v/>
      </c>
      <c r="AC913" s="43">
        <f>IF(OR($B913="",$D913="",$I913="",$L913=""),0,IF($U913="Cancelled",0,IF($W913&lt;&gt;"",IFERROR(IF(INDEX(CASHBACK_RULES!$B$5:$B$304,MATCH($W913,CASHBACK_RULES!$A$5:$A$304,0))=$D913,MATCH($W913,CASHBACK_RULES!$A$5:$A$304,0),0),0),IFERROR(MATCH(1,INDEX((CASHBACK_RULES!$B$5:$B$304=$D913)*(CASHBACK_RULES!$G$5:$G$304=$I913)*(((CASHBACK_RULES!$N$5:$N$304="")+(CASHBACK_RULES!$N$5:$N$304&lt;=$B913))&gt;0)*(((CASHBACK_RULES!$O$5:$O$304="")+(CASHBACK_RULES!$O$5:$O$304&gt;=$B913))&gt;0)*(((CASHBACK_RULES!$M$5:$M$304="")+(CASHBACK_RULES!$M$5:$M$304&lt;=$L913))&gt;0),0),0),0))))</f>
        <v>0</v>
      </c>
      <c r="AD913" s="51" t="str">
        <f>IF(OR($B913="",$D913=""),"",IFERROR(IF(INDEX(CARDS!$H$5:$H$34,MATCH($D913,CARDS!$A$5:$A$34,0))="","",IF(DAY($B913)&lt;=INDEX(CARDS!$H$5:$H$34,MATCH($D913,CARDS!$A$5:$A$34,0)),DATE(YEAR($B913),MONTH($B913),MIN(INDEX(CARDS!$H$5:$H$34,MATCH($D913,CARDS!$A$5:$A$34,0)),DAY(EOMONTH($B913,0)))),DATE(YEAR($B913),MONTH($B913)+1,MIN(INDEX(CARDS!$H$5:$H$34,MATCH($D913,CARDS!$A$5:$A$34,0)),DAY(EOMONTH($B913,1)))))),""))</f>
        <v/>
      </c>
      <c r="AE913" s="52" t="str">
        <f>IF($C913="","",$C913&amp;"|"&amp;COUNTIF($C$5:$C913,$C913))</f>
        <v/>
      </c>
      <c r="AF913" s="53">
        <f>IF($AC913&gt;0,SUMIFS(Q$4:Q912,$D$4:$D912,$D913,$Z$4:$Z912,$Z913,$C$4:$C912,$C913),0)</f>
        <v>0</v>
      </c>
      <c r="AG913" s="53">
        <f>IF($AC913&gt;0,SUMIFS(Q$4:Q912,$D$4:$D912,$D913,$C$4:$C912,$C913),0)</f>
        <v>0</v>
      </c>
      <c r="AH913" s="53">
        <f>IF($AC913&gt;0,SUMIFS(M$4:M912,$D$4:$D912,$D913,$Z$4:$Z912,$Z913,$C$4:$C912,$C913),0)</f>
        <v>0</v>
      </c>
      <c r="AI913" s="43">
        <f>IF(OR($C913="",$I913=""),0,IF(COUNTIFS($C$5:$C913,$C913,$I$5:$I913,$I913)=1,1,0))</f>
        <v>0</v>
      </c>
      <c r="AJ913" s="43" t="str">
        <f>IF($AI913=1,SUMIFS($AI$4:$AI912,$C$4:$C912,$C913)+1,"")</f>
        <v/>
      </c>
      <c r="AK913" s="43">
        <f>IF(OR($C913="",$K913=""),0,IF(COUNTIFS($C$5:$C913,$C913,$K$5:$K913,$K913)=1,1,0))</f>
        <v>0</v>
      </c>
      <c r="AL913" s="43" t="str">
        <f>IF($AK913=1,SUMIFS($AK$4:$AK912,$C$4:$C912,$C913)+1,"")</f>
        <v/>
      </c>
      <c r="AM913" s="43">
        <f>IF(OR($C913="",$G913=""),0,IF(COUNTIFS($C$5:$C913,$C913,$G$5:$G913,$G913)=1,1,0))</f>
        <v>0</v>
      </c>
      <c r="AN913" s="43" t="str">
        <f>IF($AM913=1,SUMIFS($AM$4:$AM912,$C$4:$C912,$C913)+1,"")</f>
        <v/>
      </c>
    </row>
    <row r="914">
      <c r="A914" s="44" t="str">
        <f>IF(OR($B914="",$D914=""),"","TX"&amp;TEXT(ROW()-4,"0000"))</f>
        <v/>
      </c>
      <c r="B914" s="42" t="n"/>
      <c r="C914" s="47" t="str">
        <f>IF($B914="","",YEAR($B914)*100+MONTH($B914))</f>
        <v/>
      </c>
      <c r="D914" s="37" t="n"/>
      <c r="E914" s="45" t="str">
        <f>IF($D914="","",IFERROR(INDEX(CARDS!$B$5:$B$34,MATCH($D914,CARDS!$A$5:$A$34,0)),"⚠ Card ID?"))</f>
        <v/>
      </c>
      <c r="F914" s="45" t="str">
        <f>IF($D914="","",IFERROR(INDEX(CARDS!$C$5:$C$34,MATCH($D914,CARDS!$A$5:$A$34,0)),"⚠ Card ID?"))</f>
        <v/>
      </c>
      <c r="G914" s="37" t="n"/>
      <c r="H914" s="37" t="n"/>
      <c r="I914" s="41" t="n"/>
      <c r="J914" s="45" t="str">
        <f>IF($I914="","",IFERROR(INDEX(MCC_MASTER!$B$5:$B$504,MATCH($I914,MCC_MASTER!$A$5:$A$504,0)),"⚠ MCC chưa có"))</f>
        <v/>
      </c>
      <c r="K914" s="45" t="str">
        <f>IF($I914="","",IFERROR(IF(INDEX(MCC_MASTER!$C$5:$C$504,MATCH($I914,MCC_MASTER!$A$5:$A$504,0))="","Chưa phân loại",INDEX(MCC_MASTER!$C$5:$C$504,MATCH($I914,MCC_MASTER!$A$5:$A$504,0))),"Chưa phân loại"))</f>
        <v/>
      </c>
      <c r="L914" s="40" t="n"/>
      <c r="M914" s="48" t="str">
        <f>IF(OR($B914="",$D914=""),"",IF($AC914=0,0,IF(ISNUMBER(INDEX(CASHBACK_RULES!$L$5:$L$304,$AC914)),MAX(0,MIN($L914,INDEX(CASHBACK_RULES!$L$5:$L$304,$AC914)-$AH914)),MAX(0,$L914))))</f>
        <v/>
      </c>
      <c r="N914" s="49" t="str">
        <f>IF(OR($B914="",$D914=""),"",IF($AC914&gt;0,INDEX(CASHBACK_RULES!$I$5:$I$304,$AC914),0))</f>
        <v/>
      </c>
      <c r="O914" s="48" t="str">
        <f>IF(OR($B914="",$D914=""),"",ROUND($M914*$N914,0))</f>
        <v/>
      </c>
      <c r="P914" s="48" t="str">
        <f>IF($AC914&gt;0,IF(ISNUMBER(INDEX(CASHBACK_RULES!$J$5:$J$304,$AC914)),INDEX(CASHBACK_RULES!$J$5:$J$304,$AC914),"∞"),"")</f>
        <v/>
      </c>
      <c r="Q914" s="48" t="str">
        <f>IF(OR($B914="",$D914=""),"",IF($AC914=0,0,MAX(0,MIN($O914,IF(ISNUMBER($P914),$P914-$AF914,1E+15),IF(ISNUMBER($AA914),$AA914-$AG914,1E+15)))))</f>
        <v/>
      </c>
      <c r="R914" s="48" t="str">
        <f>IF(OR($B914="",$D914=""),"",IF($AC914=0,"",IF(AND(NOT(ISNUMBER($P914)),NOT(ISNUMBER($AA914))),"∞",MAX(0,MIN(IF(ISNUMBER($P914),$P914-$AF914-$Q914,1E+15),IF(ISNUMBER($AA914),$AA914-$AG914-$Q914,1E+15))))))</f>
        <v/>
      </c>
      <c r="S914" s="47" t="str">
        <f>IF($AD914="","",YEAR($AD914)*100+MONTH($AD914))</f>
        <v/>
      </c>
      <c r="T914" s="50" t="str">
        <f>IF($AD914="","",IFERROR(IF(INDEX(CARDS!$I$5:$I$34,MATCH($D914,CARDS!$A$5:$A$34,0))="","",IF(INDEX(CARDS!$I$5:$I$34,MATCH($D914,CARDS!$A$5:$A$34,0))&gt;INDEX(CARDS!$H$5:$H$34,MATCH($D914,CARDS!$A$5:$A$34,0)),DATE(YEAR($AD914),MONTH($AD914),MIN(INDEX(CARDS!$I$5:$I$34,MATCH($D914,CARDS!$A$5:$A$34,0)),DAY(EOMONTH($AD914,0)))),DATE(YEAR($AD914),MONTH($AD914)+1,MIN(INDEX(CARDS!$I$5:$I$34,MATCH($D914,CARDS!$A$5:$A$34,0)),DAY(EOMONTH($AD914,1)))))),""))</f>
        <v/>
      </c>
      <c r="U914" s="38" t="n"/>
      <c r="V914" s="37" t="n"/>
      <c r="W914" s="38" t="n"/>
      <c r="X914" s="38" t="n"/>
      <c r="Y914" s="44" t="str">
        <f>IF($AC914&gt;0,INDEX(CASHBACK_RULES!$A$5:$A$304,$AC914),"")</f>
        <v/>
      </c>
      <c r="Z914" s="45" t="str">
        <f>IF($AC914&gt;0,INDEX(CASHBACK_RULES!$E$5:$E$304,$AC914)&amp;"","")</f>
        <v/>
      </c>
      <c r="AA914" s="48" t="str">
        <f>IF($AC914&gt;0,IF(ISNUMBER(INDEX(CASHBACK_RULES!$K$5:$K$304,$AC914)),INDEX(CASHBACK_RULES!$K$5:$K$304,$AC914),"∞"),"")</f>
        <v/>
      </c>
      <c r="AB914" s="44" t="str">
        <f>IF(OR($B914="",$D914=""),"",IF($U914="Cancelled","Đã hủy",IF($AC914=0,"Không được hoàn",IF($Q914=0,IF(OR($O914&gt;0,$M914&lt;$L914),"Đã đạt cap","Không được hoàn"),IF(OR($Q914&lt;$O914,$M914&lt;$L914),"Hoàn một phần","Được hoàn")))))</f>
        <v/>
      </c>
      <c r="AC914" s="43">
        <f>IF(OR($B914="",$D914="",$I914="",$L914=""),0,IF($U914="Cancelled",0,IF($W914&lt;&gt;"",IFERROR(IF(INDEX(CASHBACK_RULES!$B$5:$B$304,MATCH($W914,CASHBACK_RULES!$A$5:$A$304,0))=$D914,MATCH($W914,CASHBACK_RULES!$A$5:$A$304,0),0),0),IFERROR(MATCH(1,INDEX((CASHBACK_RULES!$B$5:$B$304=$D914)*(CASHBACK_RULES!$G$5:$G$304=$I914)*(((CASHBACK_RULES!$N$5:$N$304="")+(CASHBACK_RULES!$N$5:$N$304&lt;=$B914))&gt;0)*(((CASHBACK_RULES!$O$5:$O$304="")+(CASHBACK_RULES!$O$5:$O$304&gt;=$B914))&gt;0)*(((CASHBACK_RULES!$M$5:$M$304="")+(CASHBACK_RULES!$M$5:$M$304&lt;=$L914))&gt;0),0),0),0))))</f>
        <v>0</v>
      </c>
      <c r="AD914" s="51" t="str">
        <f>IF(OR($B914="",$D914=""),"",IFERROR(IF(INDEX(CARDS!$H$5:$H$34,MATCH($D914,CARDS!$A$5:$A$34,0))="","",IF(DAY($B914)&lt;=INDEX(CARDS!$H$5:$H$34,MATCH($D914,CARDS!$A$5:$A$34,0)),DATE(YEAR($B914),MONTH($B914),MIN(INDEX(CARDS!$H$5:$H$34,MATCH($D914,CARDS!$A$5:$A$34,0)),DAY(EOMONTH($B914,0)))),DATE(YEAR($B914),MONTH($B914)+1,MIN(INDEX(CARDS!$H$5:$H$34,MATCH($D914,CARDS!$A$5:$A$34,0)),DAY(EOMONTH($B914,1)))))),""))</f>
        <v/>
      </c>
      <c r="AE914" s="52" t="str">
        <f>IF($C914="","",$C914&amp;"|"&amp;COUNTIF($C$5:$C914,$C914))</f>
        <v/>
      </c>
      <c r="AF914" s="53">
        <f>IF($AC914&gt;0,SUMIFS(Q$4:Q913,$D$4:$D913,$D914,$Z$4:$Z913,$Z914,$C$4:$C913,$C914),0)</f>
        <v>0</v>
      </c>
      <c r="AG914" s="53">
        <f>IF($AC914&gt;0,SUMIFS(Q$4:Q913,$D$4:$D913,$D914,$C$4:$C913,$C914),0)</f>
        <v>0</v>
      </c>
      <c r="AH914" s="53">
        <f>IF($AC914&gt;0,SUMIFS(M$4:M913,$D$4:$D913,$D914,$Z$4:$Z913,$Z914,$C$4:$C913,$C914),0)</f>
        <v>0</v>
      </c>
      <c r="AI914" s="43">
        <f>IF(OR($C914="",$I914=""),0,IF(COUNTIFS($C$5:$C914,$C914,$I$5:$I914,$I914)=1,1,0))</f>
        <v>0</v>
      </c>
      <c r="AJ914" s="43" t="str">
        <f>IF($AI914=1,SUMIFS($AI$4:$AI913,$C$4:$C913,$C914)+1,"")</f>
        <v/>
      </c>
      <c r="AK914" s="43">
        <f>IF(OR($C914="",$K914=""),0,IF(COUNTIFS($C$5:$C914,$C914,$K$5:$K914,$K914)=1,1,0))</f>
        <v>0</v>
      </c>
      <c r="AL914" s="43" t="str">
        <f>IF($AK914=1,SUMIFS($AK$4:$AK913,$C$4:$C913,$C914)+1,"")</f>
        <v/>
      </c>
      <c r="AM914" s="43">
        <f>IF(OR($C914="",$G914=""),0,IF(COUNTIFS($C$5:$C914,$C914,$G$5:$G914,$G914)=1,1,0))</f>
        <v>0</v>
      </c>
      <c r="AN914" s="43" t="str">
        <f>IF($AM914=1,SUMIFS($AM$4:$AM913,$C$4:$C913,$C914)+1,"")</f>
        <v/>
      </c>
    </row>
    <row r="915">
      <c r="A915" s="44" t="str">
        <f>IF(OR($B915="",$D915=""),"","TX"&amp;TEXT(ROW()-4,"0000"))</f>
        <v/>
      </c>
      <c r="B915" s="42" t="n"/>
      <c r="C915" s="47" t="str">
        <f>IF($B915="","",YEAR($B915)*100+MONTH($B915))</f>
        <v/>
      </c>
      <c r="D915" s="37" t="n"/>
      <c r="E915" s="45" t="str">
        <f>IF($D915="","",IFERROR(INDEX(CARDS!$B$5:$B$34,MATCH($D915,CARDS!$A$5:$A$34,0)),"⚠ Card ID?"))</f>
        <v/>
      </c>
      <c r="F915" s="45" t="str">
        <f>IF($D915="","",IFERROR(INDEX(CARDS!$C$5:$C$34,MATCH($D915,CARDS!$A$5:$A$34,0)),"⚠ Card ID?"))</f>
        <v/>
      </c>
      <c r="G915" s="37" t="n"/>
      <c r="H915" s="37" t="n"/>
      <c r="I915" s="41" t="n"/>
      <c r="J915" s="45" t="str">
        <f>IF($I915="","",IFERROR(INDEX(MCC_MASTER!$B$5:$B$504,MATCH($I915,MCC_MASTER!$A$5:$A$504,0)),"⚠ MCC chưa có"))</f>
        <v/>
      </c>
      <c r="K915" s="45" t="str">
        <f>IF($I915="","",IFERROR(IF(INDEX(MCC_MASTER!$C$5:$C$504,MATCH($I915,MCC_MASTER!$A$5:$A$504,0))="","Chưa phân loại",INDEX(MCC_MASTER!$C$5:$C$504,MATCH($I915,MCC_MASTER!$A$5:$A$504,0))),"Chưa phân loại"))</f>
        <v/>
      </c>
      <c r="L915" s="40" t="n"/>
      <c r="M915" s="48" t="str">
        <f>IF(OR($B915="",$D915=""),"",IF($AC915=0,0,IF(ISNUMBER(INDEX(CASHBACK_RULES!$L$5:$L$304,$AC915)),MAX(0,MIN($L915,INDEX(CASHBACK_RULES!$L$5:$L$304,$AC915)-$AH915)),MAX(0,$L915))))</f>
        <v/>
      </c>
      <c r="N915" s="49" t="str">
        <f>IF(OR($B915="",$D915=""),"",IF($AC915&gt;0,INDEX(CASHBACK_RULES!$I$5:$I$304,$AC915),0))</f>
        <v/>
      </c>
      <c r="O915" s="48" t="str">
        <f>IF(OR($B915="",$D915=""),"",ROUND($M915*$N915,0))</f>
        <v/>
      </c>
      <c r="P915" s="48" t="str">
        <f>IF($AC915&gt;0,IF(ISNUMBER(INDEX(CASHBACK_RULES!$J$5:$J$304,$AC915)),INDEX(CASHBACK_RULES!$J$5:$J$304,$AC915),"∞"),"")</f>
        <v/>
      </c>
      <c r="Q915" s="48" t="str">
        <f>IF(OR($B915="",$D915=""),"",IF($AC915=0,0,MAX(0,MIN($O915,IF(ISNUMBER($P915),$P915-$AF915,1E+15),IF(ISNUMBER($AA915),$AA915-$AG915,1E+15)))))</f>
        <v/>
      </c>
      <c r="R915" s="48" t="str">
        <f>IF(OR($B915="",$D915=""),"",IF($AC915=0,"",IF(AND(NOT(ISNUMBER($P915)),NOT(ISNUMBER($AA915))),"∞",MAX(0,MIN(IF(ISNUMBER($P915),$P915-$AF915-$Q915,1E+15),IF(ISNUMBER($AA915),$AA915-$AG915-$Q915,1E+15))))))</f>
        <v/>
      </c>
      <c r="S915" s="47" t="str">
        <f>IF($AD915="","",YEAR($AD915)*100+MONTH($AD915))</f>
        <v/>
      </c>
      <c r="T915" s="50" t="str">
        <f>IF($AD915="","",IFERROR(IF(INDEX(CARDS!$I$5:$I$34,MATCH($D915,CARDS!$A$5:$A$34,0))="","",IF(INDEX(CARDS!$I$5:$I$34,MATCH($D915,CARDS!$A$5:$A$34,0))&gt;INDEX(CARDS!$H$5:$H$34,MATCH($D915,CARDS!$A$5:$A$34,0)),DATE(YEAR($AD915),MONTH($AD915),MIN(INDEX(CARDS!$I$5:$I$34,MATCH($D915,CARDS!$A$5:$A$34,0)),DAY(EOMONTH($AD915,0)))),DATE(YEAR($AD915),MONTH($AD915)+1,MIN(INDEX(CARDS!$I$5:$I$34,MATCH($D915,CARDS!$A$5:$A$34,0)),DAY(EOMONTH($AD915,1)))))),""))</f>
        <v/>
      </c>
      <c r="U915" s="38" t="n"/>
      <c r="V915" s="37" t="n"/>
      <c r="W915" s="38" t="n"/>
      <c r="X915" s="38" t="n"/>
      <c r="Y915" s="44" t="str">
        <f>IF($AC915&gt;0,INDEX(CASHBACK_RULES!$A$5:$A$304,$AC915),"")</f>
        <v/>
      </c>
      <c r="Z915" s="45" t="str">
        <f>IF($AC915&gt;0,INDEX(CASHBACK_RULES!$E$5:$E$304,$AC915)&amp;"","")</f>
        <v/>
      </c>
      <c r="AA915" s="48" t="str">
        <f>IF($AC915&gt;0,IF(ISNUMBER(INDEX(CASHBACK_RULES!$K$5:$K$304,$AC915)),INDEX(CASHBACK_RULES!$K$5:$K$304,$AC915),"∞"),"")</f>
        <v/>
      </c>
      <c r="AB915" s="44" t="str">
        <f>IF(OR($B915="",$D915=""),"",IF($U915="Cancelled","Đã hủy",IF($AC915=0,"Không được hoàn",IF($Q915=0,IF(OR($O915&gt;0,$M915&lt;$L915),"Đã đạt cap","Không được hoàn"),IF(OR($Q915&lt;$O915,$M915&lt;$L915),"Hoàn một phần","Được hoàn")))))</f>
        <v/>
      </c>
      <c r="AC915" s="43">
        <f>IF(OR($B915="",$D915="",$I915="",$L915=""),0,IF($U915="Cancelled",0,IF($W915&lt;&gt;"",IFERROR(IF(INDEX(CASHBACK_RULES!$B$5:$B$304,MATCH($W915,CASHBACK_RULES!$A$5:$A$304,0))=$D915,MATCH($W915,CASHBACK_RULES!$A$5:$A$304,0),0),0),IFERROR(MATCH(1,INDEX((CASHBACK_RULES!$B$5:$B$304=$D915)*(CASHBACK_RULES!$G$5:$G$304=$I915)*(((CASHBACK_RULES!$N$5:$N$304="")+(CASHBACK_RULES!$N$5:$N$304&lt;=$B915))&gt;0)*(((CASHBACK_RULES!$O$5:$O$304="")+(CASHBACK_RULES!$O$5:$O$304&gt;=$B915))&gt;0)*(((CASHBACK_RULES!$M$5:$M$304="")+(CASHBACK_RULES!$M$5:$M$304&lt;=$L915))&gt;0),0),0),0))))</f>
        <v>0</v>
      </c>
      <c r="AD915" s="51" t="str">
        <f>IF(OR($B915="",$D915=""),"",IFERROR(IF(INDEX(CARDS!$H$5:$H$34,MATCH($D915,CARDS!$A$5:$A$34,0))="","",IF(DAY($B915)&lt;=INDEX(CARDS!$H$5:$H$34,MATCH($D915,CARDS!$A$5:$A$34,0)),DATE(YEAR($B915),MONTH($B915),MIN(INDEX(CARDS!$H$5:$H$34,MATCH($D915,CARDS!$A$5:$A$34,0)),DAY(EOMONTH($B915,0)))),DATE(YEAR($B915),MONTH($B915)+1,MIN(INDEX(CARDS!$H$5:$H$34,MATCH($D915,CARDS!$A$5:$A$34,0)),DAY(EOMONTH($B915,1)))))),""))</f>
        <v/>
      </c>
      <c r="AE915" s="52" t="str">
        <f>IF($C915="","",$C915&amp;"|"&amp;COUNTIF($C$5:$C915,$C915))</f>
        <v/>
      </c>
      <c r="AF915" s="53">
        <f>IF($AC915&gt;0,SUMIFS(Q$4:Q914,$D$4:$D914,$D915,$Z$4:$Z914,$Z915,$C$4:$C914,$C915),0)</f>
        <v>0</v>
      </c>
      <c r="AG915" s="53">
        <f>IF($AC915&gt;0,SUMIFS(Q$4:Q914,$D$4:$D914,$D915,$C$4:$C914,$C915),0)</f>
        <v>0</v>
      </c>
      <c r="AH915" s="53">
        <f>IF($AC915&gt;0,SUMIFS(M$4:M914,$D$4:$D914,$D915,$Z$4:$Z914,$Z915,$C$4:$C914,$C915),0)</f>
        <v>0</v>
      </c>
      <c r="AI915" s="43">
        <f>IF(OR($C915="",$I915=""),0,IF(COUNTIFS($C$5:$C915,$C915,$I$5:$I915,$I915)=1,1,0))</f>
        <v>0</v>
      </c>
      <c r="AJ915" s="43" t="str">
        <f>IF($AI915=1,SUMIFS($AI$4:$AI914,$C$4:$C914,$C915)+1,"")</f>
        <v/>
      </c>
      <c r="AK915" s="43">
        <f>IF(OR($C915="",$K915=""),0,IF(COUNTIFS($C$5:$C915,$C915,$K$5:$K915,$K915)=1,1,0))</f>
        <v>0</v>
      </c>
      <c r="AL915" s="43" t="str">
        <f>IF($AK915=1,SUMIFS($AK$4:$AK914,$C$4:$C914,$C915)+1,"")</f>
        <v/>
      </c>
      <c r="AM915" s="43">
        <f>IF(OR($C915="",$G915=""),0,IF(COUNTIFS($C$5:$C915,$C915,$G$5:$G915,$G915)=1,1,0))</f>
        <v>0</v>
      </c>
      <c r="AN915" s="43" t="str">
        <f>IF($AM915=1,SUMIFS($AM$4:$AM914,$C$4:$C914,$C915)+1,"")</f>
        <v/>
      </c>
    </row>
    <row r="916">
      <c r="A916" s="44" t="str">
        <f>IF(OR($B916="",$D916=""),"","TX"&amp;TEXT(ROW()-4,"0000"))</f>
        <v/>
      </c>
      <c r="B916" s="42" t="n"/>
      <c r="C916" s="47" t="str">
        <f>IF($B916="","",YEAR($B916)*100+MONTH($B916))</f>
        <v/>
      </c>
      <c r="D916" s="37" t="n"/>
      <c r="E916" s="45" t="str">
        <f>IF($D916="","",IFERROR(INDEX(CARDS!$B$5:$B$34,MATCH($D916,CARDS!$A$5:$A$34,0)),"⚠ Card ID?"))</f>
        <v/>
      </c>
      <c r="F916" s="45" t="str">
        <f>IF($D916="","",IFERROR(INDEX(CARDS!$C$5:$C$34,MATCH($D916,CARDS!$A$5:$A$34,0)),"⚠ Card ID?"))</f>
        <v/>
      </c>
      <c r="G916" s="37" t="n"/>
      <c r="H916" s="37" t="n"/>
      <c r="I916" s="41" t="n"/>
      <c r="J916" s="45" t="str">
        <f>IF($I916="","",IFERROR(INDEX(MCC_MASTER!$B$5:$B$504,MATCH($I916,MCC_MASTER!$A$5:$A$504,0)),"⚠ MCC chưa có"))</f>
        <v/>
      </c>
      <c r="K916" s="45" t="str">
        <f>IF($I916="","",IFERROR(IF(INDEX(MCC_MASTER!$C$5:$C$504,MATCH($I916,MCC_MASTER!$A$5:$A$504,0))="","Chưa phân loại",INDEX(MCC_MASTER!$C$5:$C$504,MATCH($I916,MCC_MASTER!$A$5:$A$504,0))),"Chưa phân loại"))</f>
        <v/>
      </c>
      <c r="L916" s="40" t="n"/>
      <c r="M916" s="48" t="str">
        <f>IF(OR($B916="",$D916=""),"",IF($AC916=0,0,IF(ISNUMBER(INDEX(CASHBACK_RULES!$L$5:$L$304,$AC916)),MAX(0,MIN($L916,INDEX(CASHBACK_RULES!$L$5:$L$304,$AC916)-$AH916)),MAX(0,$L916))))</f>
        <v/>
      </c>
      <c r="N916" s="49" t="str">
        <f>IF(OR($B916="",$D916=""),"",IF($AC916&gt;0,INDEX(CASHBACK_RULES!$I$5:$I$304,$AC916),0))</f>
        <v/>
      </c>
      <c r="O916" s="48" t="str">
        <f>IF(OR($B916="",$D916=""),"",ROUND($M916*$N916,0))</f>
        <v/>
      </c>
      <c r="P916" s="48" t="str">
        <f>IF($AC916&gt;0,IF(ISNUMBER(INDEX(CASHBACK_RULES!$J$5:$J$304,$AC916)),INDEX(CASHBACK_RULES!$J$5:$J$304,$AC916),"∞"),"")</f>
        <v/>
      </c>
      <c r="Q916" s="48" t="str">
        <f>IF(OR($B916="",$D916=""),"",IF($AC916=0,0,MAX(0,MIN($O916,IF(ISNUMBER($P916),$P916-$AF916,1E+15),IF(ISNUMBER($AA916),$AA916-$AG916,1E+15)))))</f>
        <v/>
      </c>
      <c r="R916" s="48" t="str">
        <f>IF(OR($B916="",$D916=""),"",IF($AC916=0,"",IF(AND(NOT(ISNUMBER($P916)),NOT(ISNUMBER($AA916))),"∞",MAX(0,MIN(IF(ISNUMBER($P916),$P916-$AF916-$Q916,1E+15),IF(ISNUMBER($AA916),$AA916-$AG916-$Q916,1E+15))))))</f>
        <v/>
      </c>
      <c r="S916" s="47" t="str">
        <f>IF($AD916="","",YEAR($AD916)*100+MONTH($AD916))</f>
        <v/>
      </c>
      <c r="T916" s="50" t="str">
        <f>IF($AD916="","",IFERROR(IF(INDEX(CARDS!$I$5:$I$34,MATCH($D916,CARDS!$A$5:$A$34,0))="","",IF(INDEX(CARDS!$I$5:$I$34,MATCH($D916,CARDS!$A$5:$A$34,0))&gt;INDEX(CARDS!$H$5:$H$34,MATCH($D916,CARDS!$A$5:$A$34,0)),DATE(YEAR($AD916),MONTH($AD916),MIN(INDEX(CARDS!$I$5:$I$34,MATCH($D916,CARDS!$A$5:$A$34,0)),DAY(EOMONTH($AD916,0)))),DATE(YEAR($AD916),MONTH($AD916)+1,MIN(INDEX(CARDS!$I$5:$I$34,MATCH($D916,CARDS!$A$5:$A$34,0)),DAY(EOMONTH($AD916,1)))))),""))</f>
        <v/>
      </c>
      <c r="U916" s="38" t="n"/>
      <c r="V916" s="37" t="n"/>
      <c r="W916" s="38" t="n"/>
      <c r="X916" s="38" t="n"/>
      <c r="Y916" s="44" t="str">
        <f>IF($AC916&gt;0,INDEX(CASHBACK_RULES!$A$5:$A$304,$AC916),"")</f>
        <v/>
      </c>
      <c r="Z916" s="45" t="str">
        <f>IF($AC916&gt;0,INDEX(CASHBACK_RULES!$E$5:$E$304,$AC916)&amp;"","")</f>
        <v/>
      </c>
      <c r="AA916" s="48" t="str">
        <f>IF($AC916&gt;0,IF(ISNUMBER(INDEX(CASHBACK_RULES!$K$5:$K$304,$AC916)),INDEX(CASHBACK_RULES!$K$5:$K$304,$AC916),"∞"),"")</f>
        <v/>
      </c>
      <c r="AB916" s="44" t="str">
        <f>IF(OR($B916="",$D916=""),"",IF($U916="Cancelled","Đã hủy",IF($AC916=0,"Không được hoàn",IF($Q916=0,IF(OR($O916&gt;0,$M916&lt;$L916),"Đã đạt cap","Không được hoàn"),IF(OR($Q916&lt;$O916,$M916&lt;$L916),"Hoàn một phần","Được hoàn")))))</f>
        <v/>
      </c>
      <c r="AC916" s="43">
        <f>IF(OR($B916="",$D916="",$I916="",$L916=""),0,IF($U916="Cancelled",0,IF($W916&lt;&gt;"",IFERROR(IF(INDEX(CASHBACK_RULES!$B$5:$B$304,MATCH($W916,CASHBACK_RULES!$A$5:$A$304,0))=$D916,MATCH($W916,CASHBACK_RULES!$A$5:$A$304,0),0),0),IFERROR(MATCH(1,INDEX((CASHBACK_RULES!$B$5:$B$304=$D916)*(CASHBACK_RULES!$G$5:$G$304=$I916)*(((CASHBACK_RULES!$N$5:$N$304="")+(CASHBACK_RULES!$N$5:$N$304&lt;=$B916))&gt;0)*(((CASHBACK_RULES!$O$5:$O$304="")+(CASHBACK_RULES!$O$5:$O$304&gt;=$B916))&gt;0)*(((CASHBACK_RULES!$M$5:$M$304="")+(CASHBACK_RULES!$M$5:$M$304&lt;=$L916))&gt;0),0),0),0))))</f>
        <v>0</v>
      </c>
      <c r="AD916" s="51" t="str">
        <f>IF(OR($B916="",$D916=""),"",IFERROR(IF(INDEX(CARDS!$H$5:$H$34,MATCH($D916,CARDS!$A$5:$A$34,0))="","",IF(DAY($B916)&lt;=INDEX(CARDS!$H$5:$H$34,MATCH($D916,CARDS!$A$5:$A$34,0)),DATE(YEAR($B916),MONTH($B916),MIN(INDEX(CARDS!$H$5:$H$34,MATCH($D916,CARDS!$A$5:$A$34,0)),DAY(EOMONTH($B916,0)))),DATE(YEAR($B916),MONTH($B916)+1,MIN(INDEX(CARDS!$H$5:$H$34,MATCH($D916,CARDS!$A$5:$A$34,0)),DAY(EOMONTH($B916,1)))))),""))</f>
        <v/>
      </c>
      <c r="AE916" s="52" t="str">
        <f>IF($C916="","",$C916&amp;"|"&amp;COUNTIF($C$5:$C916,$C916))</f>
        <v/>
      </c>
      <c r="AF916" s="53">
        <f>IF($AC916&gt;0,SUMIFS(Q$4:Q915,$D$4:$D915,$D916,$Z$4:$Z915,$Z916,$C$4:$C915,$C916),0)</f>
        <v>0</v>
      </c>
      <c r="AG916" s="53">
        <f>IF($AC916&gt;0,SUMIFS(Q$4:Q915,$D$4:$D915,$D916,$C$4:$C915,$C916),0)</f>
        <v>0</v>
      </c>
      <c r="AH916" s="53">
        <f>IF($AC916&gt;0,SUMIFS(M$4:M915,$D$4:$D915,$D916,$Z$4:$Z915,$Z916,$C$4:$C915,$C916),0)</f>
        <v>0</v>
      </c>
      <c r="AI916" s="43">
        <f>IF(OR($C916="",$I916=""),0,IF(COUNTIFS($C$5:$C916,$C916,$I$5:$I916,$I916)=1,1,0))</f>
        <v>0</v>
      </c>
      <c r="AJ916" s="43" t="str">
        <f>IF($AI916=1,SUMIFS($AI$4:$AI915,$C$4:$C915,$C916)+1,"")</f>
        <v/>
      </c>
      <c r="AK916" s="43">
        <f>IF(OR($C916="",$K916=""),0,IF(COUNTIFS($C$5:$C916,$C916,$K$5:$K916,$K916)=1,1,0))</f>
        <v>0</v>
      </c>
      <c r="AL916" s="43" t="str">
        <f>IF($AK916=1,SUMIFS($AK$4:$AK915,$C$4:$C915,$C916)+1,"")</f>
        <v/>
      </c>
      <c r="AM916" s="43">
        <f>IF(OR($C916="",$G916=""),0,IF(COUNTIFS($C$5:$C916,$C916,$G$5:$G916,$G916)=1,1,0))</f>
        <v>0</v>
      </c>
      <c r="AN916" s="43" t="str">
        <f>IF($AM916=1,SUMIFS($AM$4:$AM915,$C$4:$C915,$C916)+1,"")</f>
        <v/>
      </c>
    </row>
    <row r="917">
      <c r="A917" s="44" t="str">
        <f>IF(OR($B917="",$D917=""),"","TX"&amp;TEXT(ROW()-4,"0000"))</f>
        <v/>
      </c>
      <c r="B917" s="42" t="n"/>
      <c r="C917" s="47" t="str">
        <f>IF($B917="","",YEAR($B917)*100+MONTH($B917))</f>
        <v/>
      </c>
      <c r="D917" s="37" t="n"/>
      <c r="E917" s="45" t="str">
        <f>IF($D917="","",IFERROR(INDEX(CARDS!$B$5:$B$34,MATCH($D917,CARDS!$A$5:$A$34,0)),"⚠ Card ID?"))</f>
        <v/>
      </c>
      <c r="F917" s="45" t="str">
        <f>IF($D917="","",IFERROR(INDEX(CARDS!$C$5:$C$34,MATCH($D917,CARDS!$A$5:$A$34,0)),"⚠ Card ID?"))</f>
        <v/>
      </c>
      <c r="G917" s="37" t="n"/>
      <c r="H917" s="37" t="n"/>
      <c r="I917" s="41" t="n"/>
      <c r="J917" s="45" t="str">
        <f>IF($I917="","",IFERROR(INDEX(MCC_MASTER!$B$5:$B$504,MATCH($I917,MCC_MASTER!$A$5:$A$504,0)),"⚠ MCC chưa có"))</f>
        <v/>
      </c>
      <c r="K917" s="45" t="str">
        <f>IF($I917="","",IFERROR(IF(INDEX(MCC_MASTER!$C$5:$C$504,MATCH($I917,MCC_MASTER!$A$5:$A$504,0))="","Chưa phân loại",INDEX(MCC_MASTER!$C$5:$C$504,MATCH($I917,MCC_MASTER!$A$5:$A$504,0))),"Chưa phân loại"))</f>
        <v/>
      </c>
      <c r="L917" s="40" t="n"/>
      <c r="M917" s="48" t="str">
        <f>IF(OR($B917="",$D917=""),"",IF($AC917=0,0,IF(ISNUMBER(INDEX(CASHBACK_RULES!$L$5:$L$304,$AC917)),MAX(0,MIN($L917,INDEX(CASHBACK_RULES!$L$5:$L$304,$AC917)-$AH917)),MAX(0,$L917))))</f>
        <v/>
      </c>
      <c r="N917" s="49" t="str">
        <f>IF(OR($B917="",$D917=""),"",IF($AC917&gt;0,INDEX(CASHBACK_RULES!$I$5:$I$304,$AC917),0))</f>
        <v/>
      </c>
      <c r="O917" s="48" t="str">
        <f>IF(OR($B917="",$D917=""),"",ROUND($M917*$N917,0))</f>
        <v/>
      </c>
      <c r="P917" s="48" t="str">
        <f>IF($AC917&gt;0,IF(ISNUMBER(INDEX(CASHBACK_RULES!$J$5:$J$304,$AC917)),INDEX(CASHBACK_RULES!$J$5:$J$304,$AC917),"∞"),"")</f>
        <v/>
      </c>
      <c r="Q917" s="48" t="str">
        <f>IF(OR($B917="",$D917=""),"",IF($AC917=0,0,MAX(0,MIN($O917,IF(ISNUMBER($P917),$P917-$AF917,1E+15),IF(ISNUMBER($AA917),$AA917-$AG917,1E+15)))))</f>
        <v/>
      </c>
      <c r="R917" s="48" t="str">
        <f>IF(OR($B917="",$D917=""),"",IF($AC917=0,"",IF(AND(NOT(ISNUMBER($P917)),NOT(ISNUMBER($AA917))),"∞",MAX(0,MIN(IF(ISNUMBER($P917),$P917-$AF917-$Q917,1E+15),IF(ISNUMBER($AA917),$AA917-$AG917-$Q917,1E+15))))))</f>
        <v/>
      </c>
      <c r="S917" s="47" t="str">
        <f>IF($AD917="","",YEAR($AD917)*100+MONTH($AD917))</f>
        <v/>
      </c>
      <c r="T917" s="50" t="str">
        <f>IF($AD917="","",IFERROR(IF(INDEX(CARDS!$I$5:$I$34,MATCH($D917,CARDS!$A$5:$A$34,0))="","",IF(INDEX(CARDS!$I$5:$I$34,MATCH($D917,CARDS!$A$5:$A$34,0))&gt;INDEX(CARDS!$H$5:$H$34,MATCH($D917,CARDS!$A$5:$A$34,0)),DATE(YEAR($AD917),MONTH($AD917),MIN(INDEX(CARDS!$I$5:$I$34,MATCH($D917,CARDS!$A$5:$A$34,0)),DAY(EOMONTH($AD917,0)))),DATE(YEAR($AD917),MONTH($AD917)+1,MIN(INDEX(CARDS!$I$5:$I$34,MATCH($D917,CARDS!$A$5:$A$34,0)),DAY(EOMONTH($AD917,1)))))),""))</f>
        <v/>
      </c>
      <c r="U917" s="38" t="n"/>
      <c r="V917" s="37" t="n"/>
      <c r="W917" s="38" t="n"/>
      <c r="X917" s="38" t="n"/>
      <c r="Y917" s="44" t="str">
        <f>IF($AC917&gt;0,INDEX(CASHBACK_RULES!$A$5:$A$304,$AC917),"")</f>
        <v/>
      </c>
      <c r="Z917" s="45" t="str">
        <f>IF($AC917&gt;0,INDEX(CASHBACK_RULES!$E$5:$E$304,$AC917)&amp;"","")</f>
        <v/>
      </c>
      <c r="AA917" s="48" t="str">
        <f>IF($AC917&gt;0,IF(ISNUMBER(INDEX(CASHBACK_RULES!$K$5:$K$304,$AC917)),INDEX(CASHBACK_RULES!$K$5:$K$304,$AC917),"∞"),"")</f>
        <v/>
      </c>
      <c r="AB917" s="44" t="str">
        <f>IF(OR($B917="",$D917=""),"",IF($U917="Cancelled","Đã hủy",IF($AC917=0,"Không được hoàn",IF($Q917=0,IF(OR($O917&gt;0,$M917&lt;$L917),"Đã đạt cap","Không được hoàn"),IF(OR($Q917&lt;$O917,$M917&lt;$L917),"Hoàn một phần","Được hoàn")))))</f>
        <v/>
      </c>
      <c r="AC917" s="43">
        <f>IF(OR($B917="",$D917="",$I917="",$L917=""),0,IF($U917="Cancelled",0,IF($W917&lt;&gt;"",IFERROR(IF(INDEX(CASHBACK_RULES!$B$5:$B$304,MATCH($W917,CASHBACK_RULES!$A$5:$A$304,0))=$D917,MATCH($W917,CASHBACK_RULES!$A$5:$A$304,0),0),0),IFERROR(MATCH(1,INDEX((CASHBACK_RULES!$B$5:$B$304=$D917)*(CASHBACK_RULES!$G$5:$G$304=$I917)*(((CASHBACK_RULES!$N$5:$N$304="")+(CASHBACK_RULES!$N$5:$N$304&lt;=$B917))&gt;0)*(((CASHBACK_RULES!$O$5:$O$304="")+(CASHBACK_RULES!$O$5:$O$304&gt;=$B917))&gt;0)*(((CASHBACK_RULES!$M$5:$M$304="")+(CASHBACK_RULES!$M$5:$M$304&lt;=$L917))&gt;0),0),0),0))))</f>
        <v>0</v>
      </c>
      <c r="AD917" s="51" t="str">
        <f>IF(OR($B917="",$D917=""),"",IFERROR(IF(INDEX(CARDS!$H$5:$H$34,MATCH($D917,CARDS!$A$5:$A$34,0))="","",IF(DAY($B917)&lt;=INDEX(CARDS!$H$5:$H$34,MATCH($D917,CARDS!$A$5:$A$34,0)),DATE(YEAR($B917),MONTH($B917),MIN(INDEX(CARDS!$H$5:$H$34,MATCH($D917,CARDS!$A$5:$A$34,0)),DAY(EOMONTH($B917,0)))),DATE(YEAR($B917),MONTH($B917)+1,MIN(INDEX(CARDS!$H$5:$H$34,MATCH($D917,CARDS!$A$5:$A$34,0)),DAY(EOMONTH($B917,1)))))),""))</f>
        <v/>
      </c>
      <c r="AE917" s="52" t="str">
        <f>IF($C917="","",$C917&amp;"|"&amp;COUNTIF($C$5:$C917,$C917))</f>
        <v/>
      </c>
      <c r="AF917" s="53">
        <f>IF($AC917&gt;0,SUMIFS(Q$4:Q916,$D$4:$D916,$D917,$Z$4:$Z916,$Z917,$C$4:$C916,$C917),0)</f>
        <v>0</v>
      </c>
      <c r="AG917" s="53">
        <f>IF($AC917&gt;0,SUMIFS(Q$4:Q916,$D$4:$D916,$D917,$C$4:$C916,$C917),0)</f>
        <v>0</v>
      </c>
      <c r="AH917" s="53">
        <f>IF($AC917&gt;0,SUMIFS(M$4:M916,$D$4:$D916,$D917,$Z$4:$Z916,$Z917,$C$4:$C916,$C917),0)</f>
        <v>0</v>
      </c>
      <c r="AI917" s="43">
        <f>IF(OR($C917="",$I917=""),0,IF(COUNTIFS($C$5:$C917,$C917,$I$5:$I917,$I917)=1,1,0))</f>
        <v>0</v>
      </c>
      <c r="AJ917" s="43" t="str">
        <f>IF($AI917=1,SUMIFS($AI$4:$AI916,$C$4:$C916,$C917)+1,"")</f>
        <v/>
      </c>
      <c r="AK917" s="43">
        <f>IF(OR($C917="",$K917=""),0,IF(COUNTIFS($C$5:$C917,$C917,$K$5:$K917,$K917)=1,1,0))</f>
        <v>0</v>
      </c>
      <c r="AL917" s="43" t="str">
        <f>IF($AK917=1,SUMIFS($AK$4:$AK916,$C$4:$C916,$C917)+1,"")</f>
        <v/>
      </c>
      <c r="AM917" s="43">
        <f>IF(OR($C917="",$G917=""),0,IF(COUNTIFS($C$5:$C917,$C917,$G$5:$G917,$G917)=1,1,0))</f>
        <v>0</v>
      </c>
      <c r="AN917" s="43" t="str">
        <f>IF($AM917=1,SUMIFS($AM$4:$AM916,$C$4:$C916,$C917)+1,"")</f>
        <v/>
      </c>
    </row>
    <row r="918">
      <c r="A918" s="44" t="str">
        <f>IF(OR($B918="",$D918=""),"","TX"&amp;TEXT(ROW()-4,"0000"))</f>
        <v/>
      </c>
      <c r="B918" s="42" t="n"/>
      <c r="C918" s="47" t="str">
        <f>IF($B918="","",YEAR($B918)*100+MONTH($B918))</f>
        <v/>
      </c>
      <c r="D918" s="37" t="n"/>
      <c r="E918" s="45" t="str">
        <f>IF($D918="","",IFERROR(INDEX(CARDS!$B$5:$B$34,MATCH($D918,CARDS!$A$5:$A$34,0)),"⚠ Card ID?"))</f>
        <v/>
      </c>
      <c r="F918" s="45" t="str">
        <f>IF($D918="","",IFERROR(INDEX(CARDS!$C$5:$C$34,MATCH($D918,CARDS!$A$5:$A$34,0)),"⚠ Card ID?"))</f>
        <v/>
      </c>
      <c r="G918" s="37" t="n"/>
      <c r="H918" s="37" t="n"/>
      <c r="I918" s="41" t="n"/>
      <c r="J918" s="45" t="str">
        <f>IF($I918="","",IFERROR(INDEX(MCC_MASTER!$B$5:$B$504,MATCH($I918,MCC_MASTER!$A$5:$A$504,0)),"⚠ MCC chưa có"))</f>
        <v/>
      </c>
      <c r="K918" s="45" t="str">
        <f>IF($I918="","",IFERROR(IF(INDEX(MCC_MASTER!$C$5:$C$504,MATCH($I918,MCC_MASTER!$A$5:$A$504,0))="","Chưa phân loại",INDEX(MCC_MASTER!$C$5:$C$504,MATCH($I918,MCC_MASTER!$A$5:$A$504,0))),"Chưa phân loại"))</f>
        <v/>
      </c>
      <c r="L918" s="40" t="n"/>
      <c r="M918" s="48" t="str">
        <f>IF(OR($B918="",$D918=""),"",IF($AC918=0,0,IF(ISNUMBER(INDEX(CASHBACK_RULES!$L$5:$L$304,$AC918)),MAX(0,MIN($L918,INDEX(CASHBACK_RULES!$L$5:$L$304,$AC918)-$AH918)),MAX(0,$L918))))</f>
        <v/>
      </c>
      <c r="N918" s="49" t="str">
        <f>IF(OR($B918="",$D918=""),"",IF($AC918&gt;0,INDEX(CASHBACK_RULES!$I$5:$I$304,$AC918),0))</f>
        <v/>
      </c>
      <c r="O918" s="48" t="str">
        <f>IF(OR($B918="",$D918=""),"",ROUND($M918*$N918,0))</f>
        <v/>
      </c>
      <c r="P918" s="48" t="str">
        <f>IF($AC918&gt;0,IF(ISNUMBER(INDEX(CASHBACK_RULES!$J$5:$J$304,$AC918)),INDEX(CASHBACK_RULES!$J$5:$J$304,$AC918),"∞"),"")</f>
        <v/>
      </c>
      <c r="Q918" s="48" t="str">
        <f>IF(OR($B918="",$D918=""),"",IF($AC918=0,0,MAX(0,MIN($O918,IF(ISNUMBER($P918),$P918-$AF918,1E+15),IF(ISNUMBER($AA918),$AA918-$AG918,1E+15)))))</f>
        <v/>
      </c>
      <c r="R918" s="48" t="str">
        <f>IF(OR($B918="",$D918=""),"",IF($AC918=0,"",IF(AND(NOT(ISNUMBER($P918)),NOT(ISNUMBER($AA918))),"∞",MAX(0,MIN(IF(ISNUMBER($P918),$P918-$AF918-$Q918,1E+15),IF(ISNUMBER($AA918),$AA918-$AG918-$Q918,1E+15))))))</f>
        <v/>
      </c>
      <c r="S918" s="47" t="str">
        <f>IF($AD918="","",YEAR($AD918)*100+MONTH($AD918))</f>
        <v/>
      </c>
      <c r="T918" s="50" t="str">
        <f>IF($AD918="","",IFERROR(IF(INDEX(CARDS!$I$5:$I$34,MATCH($D918,CARDS!$A$5:$A$34,0))="","",IF(INDEX(CARDS!$I$5:$I$34,MATCH($D918,CARDS!$A$5:$A$34,0))&gt;INDEX(CARDS!$H$5:$H$34,MATCH($D918,CARDS!$A$5:$A$34,0)),DATE(YEAR($AD918),MONTH($AD918),MIN(INDEX(CARDS!$I$5:$I$34,MATCH($D918,CARDS!$A$5:$A$34,0)),DAY(EOMONTH($AD918,0)))),DATE(YEAR($AD918),MONTH($AD918)+1,MIN(INDEX(CARDS!$I$5:$I$34,MATCH($D918,CARDS!$A$5:$A$34,0)),DAY(EOMONTH($AD918,1)))))),""))</f>
        <v/>
      </c>
      <c r="U918" s="38" t="n"/>
      <c r="V918" s="37" t="n"/>
      <c r="W918" s="38" t="n"/>
      <c r="X918" s="38" t="n"/>
      <c r="Y918" s="44" t="str">
        <f>IF($AC918&gt;0,INDEX(CASHBACK_RULES!$A$5:$A$304,$AC918),"")</f>
        <v/>
      </c>
      <c r="Z918" s="45" t="str">
        <f>IF($AC918&gt;0,INDEX(CASHBACK_RULES!$E$5:$E$304,$AC918)&amp;"","")</f>
        <v/>
      </c>
      <c r="AA918" s="48" t="str">
        <f>IF($AC918&gt;0,IF(ISNUMBER(INDEX(CASHBACK_RULES!$K$5:$K$304,$AC918)),INDEX(CASHBACK_RULES!$K$5:$K$304,$AC918),"∞"),"")</f>
        <v/>
      </c>
      <c r="AB918" s="44" t="str">
        <f>IF(OR($B918="",$D918=""),"",IF($U918="Cancelled","Đã hủy",IF($AC918=0,"Không được hoàn",IF($Q918=0,IF(OR($O918&gt;0,$M918&lt;$L918),"Đã đạt cap","Không được hoàn"),IF(OR($Q918&lt;$O918,$M918&lt;$L918),"Hoàn một phần","Được hoàn")))))</f>
        <v/>
      </c>
      <c r="AC918" s="43">
        <f>IF(OR($B918="",$D918="",$I918="",$L918=""),0,IF($U918="Cancelled",0,IF($W918&lt;&gt;"",IFERROR(IF(INDEX(CASHBACK_RULES!$B$5:$B$304,MATCH($W918,CASHBACK_RULES!$A$5:$A$304,0))=$D918,MATCH($W918,CASHBACK_RULES!$A$5:$A$304,0),0),0),IFERROR(MATCH(1,INDEX((CASHBACK_RULES!$B$5:$B$304=$D918)*(CASHBACK_RULES!$G$5:$G$304=$I918)*(((CASHBACK_RULES!$N$5:$N$304="")+(CASHBACK_RULES!$N$5:$N$304&lt;=$B918))&gt;0)*(((CASHBACK_RULES!$O$5:$O$304="")+(CASHBACK_RULES!$O$5:$O$304&gt;=$B918))&gt;0)*(((CASHBACK_RULES!$M$5:$M$304="")+(CASHBACK_RULES!$M$5:$M$304&lt;=$L918))&gt;0),0),0),0))))</f>
        <v>0</v>
      </c>
      <c r="AD918" s="51" t="str">
        <f>IF(OR($B918="",$D918=""),"",IFERROR(IF(INDEX(CARDS!$H$5:$H$34,MATCH($D918,CARDS!$A$5:$A$34,0))="","",IF(DAY($B918)&lt;=INDEX(CARDS!$H$5:$H$34,MATCH($D918,CARDS!$A$5:$A$34,0)),DATE(YEAR($B918),MONTH($B918),MIN(INDEX(CARDS!$H$5:$H$34,MATCH($D918,CARDS!$A$5:$A$34,0)),DAY(EOMONTH($B918,0)))),DATE(YEAR($B918),MONTH($B918)+1,MIN(INDEX(CARDS!$H$5:$H$34,MATCH($D918,CARDS!$A$5:$A$34,0)),DAY(EOMONTH($B918,1)))))),""))</f>
        <v/>
      </c>
      <c r="AE918" s="52" t="str">
        <f>IF($C918="","",$C918&amp;"|"&amp;COUNTIF($C$5:$C918,$C918))</f>
        <v/>
      </c>
      <c r="AF918" s="53">
        <f>IF($AC918&gt;0,SUMIFS(Q$4:Q917,$D$4:$D917,$D918,$Z$4:$Z917,$Z918,$C$4:$C917,$C918),0)</f>
        <v>0</v>
      </c>
      <c r="AG918" s="53">
        <f>IF($AC918&gt;0,SUMIFS(Q$4:Q917,$D$4:$D917,$D918,$C$4:$C917,$C918),0)</f>
        <v>0</v>
      </c>
      <c r="AH918" s="53">
        <f>IF($AC918&gt;0,SUMIFS(M$4:M917,$D$4:$D917,$D918,$Z$4:$Z917,$Z918,$C$4:$C917,$C918),0)</f>
        <v>0</v>
      </c>
      <c r="AI918" s="43">
        <f>IF(OR($C918="",$I918=""),0,IF(COUNTIFS($C$5:$C918,$C918,$I$5:$I918,$I918)=1,1,0))</f>
        <v>0</v>
      </c>
      <c r="AJ918" s="43" t="str">
        <f>IF($AI918=1,SUMIFS($AI$4:$AI917,$C$4:$C917,$C918)+1,"")</f>
        <v/>
      </c>
      <c r="AK918" s="43">
        <f>IF(OR($C918="",$K918=""),0,IF(COUNTIFS($C$5:$C918,$C918,$K$5:$K918,$K918)=1,1,0))</f>
        <v>0</v>
      </c>
      <c r="AL918" s="43" t="str">
        <f>IF($AK918=1,SUMIFS($AK$4:$AK917,$C$4:$C917,$C918)+1,"")</f>
        <v/>
      </c>
      <c r="AM918" s="43">
        <f>IF(OR($C918="",$G918=""),0,IF(COUNTIFS($C$5:$C918,$C918,$G$5:$G918,$G918)=1,1,0))</f>
        <v>0</v>
      </c>
      <c r="AN918" s="43" t="str">
        <f>IF($AM918=1,SUMIFS($AM$4:$AM917,$C$4:$C917,$C918)+1,"")</f>
        <v/>
      </c>
    </row>
    <row r="919">
      <c r="A919" s="44" t="str">
        <f>IF(OR($B919="",$D919=""),"","TX"&amp;TEXT(ROW()-4,"0000"))</f>
        <v/>
      </c>
      <c r="B919" s="42" t="n"/>
      <c r="C919" s="47" t="str">
        <f>IF($B919="","",YEAR($B919)*100+MONTH($B919))</f>
        <v/>
      </c>
      <c r="D919" s="37" t="n"/>
      <c r="E919" s="45" t="str">
        <f>IF($D919="","",IFERROR(INDEX(CARDS!$B$5:$B$34,MATCH($D919,CARDS!$A$5:$A$34,0)),"⚠ Card ID?"))</f>
        <v/>
      </c>
      <c r="F919" s="45" t="str">
        <f>IF($D919="","",IFERROR(INDEX(CARDS!$C$5:$C$34,MATCH($D919,CARDS!$A$5:$A$34,0)),"⚠ Card ID?"))</f>
        <v/>
      </c>
      <c r="G919" s="37" t="n"/>
      <c r="H919" s="37" t="n"/>
      <c r="I919" s="41" t="n"/>
      <c r="J919" s="45" t="str">
        <f>IF($I919="","",IFERROR(INDEX(MCC_MASTER!$B$5:$B$504,MATCH($I919,MCC_MASTER!$A$5:$A$504,0)),"⚠ MCC chưa có"))</f>
        <v/>
      </c>
      <c r="K919" s="45" t="str">
        <f>IF($I919="","",IFERROR(IF(INDEX(MCC_MASTER!$C$5:$C$504,MATCH($I919,MCC_MASTER!$A$5:$A$504,0))="","Chưa phân loại",INDEX(MCC_MASTER!$C$5:$C$504,MATCH($I919,MCC_MASTER!$A$5:$A$504,0))),"Chưa phân loại"))</f>
        <v/>
      </c>
      <c r="L919" s="40" t="n"/>
      <c r="M919" s="48" t="str">
        <f>IF(OR($B919="",$D919=""),"",IF($AC919=0,0,IF(ISNUMBER(INDEX(CASHBACK_RULES!$L$5:$L$304,$AC919)),MAX(0,MIN($L919,INDEX(CASHBACK_RULES!$L$5:$L$304,$AC919)-$AH919)),MAX(0,$L919))))</f>
        <v/>
      </c>
      <c r="N919" s="49" t="str">
        <f>IF(OR($B919="",$D919=""),"",IF($AC919&gt;0,INDEX(CASHBACK_RULES!$I$5:$I$304,$AC919),0))</f>
        <v/>
      </c>
      <c r="O919" s="48" t="str">
        <f>IF(OR($B919="",$D919=""),"",ROUND($M919*$N919,0))</f>
        <v/>
      </c>
      <c r="P919" s="48" t="str">
        <f>IF($AC919&gt;0,IF(ISNUMBER(INDEX(CASHBACK_RULES!$J$5:$J$304,$AC919)),INDEX(CASHBACK_RULES!$J$5:$J$304,$AC919),"∞"),"")</f>
        <v/>
      </c>
      <c r="Q919" s="48" t="str">
        <f>IF(OR($B919="",$D919=""),"",IF($AC919=0,0,MAX(0,MIN($O919,IF(ISNUMBER($P919),$P919-$AF919,1E+15),IF(ISNUMBER($AA919),$AA919-$AG919,1E+15)))))</f>
        <v/>
      </c>
      <c r="R919" s="48" t="str">
        <f>IF(OR($B919="",$D919=""),"",IF($AC919=0,"",IF(AND(NOT(ISNUMBER($P919)),NOT(ISNUMBER($AA919))),"∞",MAX(0,MIN(IF(ISNUMBER($P919),$P919-$AF919-$Q919,1E+15),IF(ISNUMBER($AA919),$AA919-$AG919-$Q919,1E+15))))))</f>
        <v/>
      </c>
      <c r="S919" s="47" t="str">
        <f>IF($AD919="","",YEAR($AD919)*100+MONTH($AD919))</f>
        <v/>
      </c>
      <c r="T919" s="50" t="str">
        <f>IF($AD919="","",IFERROR(IF(INDEX(CARDS!$I$5:$I$34,MATCH($D919,CARDS!$A$5:$A$34,0))="","",IF(INDEX(CARDS!$I$5:$I$34,MATCH($D919,CARDS!$A$5:$A$34,0))&gt;INDEX(CARDS!$H$5:$H$34,MATCH($D919,CARDS!$A$5:$A$34,0)),DATE(YEAR($AD919),MONTH($AD919),MIN(INDEX(CARDS!$I$5:$I$34,MATCH($D919,CARDS!$A$5:$A$34,0)),DAY(EOMONTH($AD919,0)))),DATE(YEAR($AD919),MONTH($AD919)+1,MIN(INDEX(CARDS!$I$5:$I$34,MATCH($D919,CARDS!$A$5:$A$34,0)),DAY(EOMONTH($AD919,1)))))),""))</f>
        <v/>
      </c>
      <c r="U919" s="38" t="n"/>
      <c r="V919" s="37" t="n"/>
      <c r="W919" s="38" t="n"/>
      <c r="X919" s="38" t="n"/>
      <c r="Y919" s="44" t="str">
        <f>IF($AC919&gt;0,INDEX(CASHBACK_RULES!$A$5:$A$304,$AC919),"")</f>
        <v/>
      </c>
      <c r="Z919" s="45" t="str">
        <f>IF($AC919&gt;0,INDEX(CASHBACK_RULES!$E$5:$E$304,$AC919)&amp;"","")</f>
        <v/>
      </c>
      <c r="AA919" s="48" t="str">
        <f>IF($AC919&gt;0,IF(ISNUMBER(INDEX(CASHBACK_RULES!$K$5:$K$304,$AC919)),INDEX(CASHBACK_RULES!$K$5:$K$304,$AC919),"∞"),"")</f>
        <v/>
      </c>
      <c r="AB919" s="44" t="str">
        <f>IF(OR($B919="",$D919=""),"",IF($U919="Cancelled","Đã hủy",IF($AC919=0,"Không được hoàn",IF($Q919=0,IF(OR($O919&gt;0,$M919&lt;$L919),"Đã đạt cap","Không được hoàn"),IF(OR($Q919&lt;$O919,$M919&lt;$L919),"Hoàn một phần","Được hoàn")))))</f>
        <v/>
      </c>
      <c r="AC919" s="43">
        <f>IF(OR($B919="",$D919="",$I919="",$L919=""),0,IF($U919="Cancelled",0,IF($W919&lt;&gt;"",IFERROR(IF(INDEX(CASHBACK_RULES!$B$5:$B$304,MATCH($W919,CASHBACK_RULES!$A$5:$A$304,0))=$D919,MATCH($W919,CASHBACK_RULES!$A$5:$A$304,0),0),0),IFERROR(MATCH(1,INDEX((CASHBACK_RULES!$B$5:$B$304=$D919)*(CASHBACK_RULES!$G$5:$G$304=$I919)*(((CASHBACK_RULES!$N$5:$N$304="")+(CASHBACK_RULES!$N$5:$N$304&lt;=$B919))&gt;0)*(((CASHBACK_RULES!$O$5:$O$304="")+(CASHBACK_RULES!$O$5:$O$304&gt;=$B919))&gt;0)*(((CASHBACK_RULES!$M$5:$M$304="")+(CASHBACK_RULES!$M$5:$M$304&lt;=$L919))&gt;0),0),0),0))))</f>
        <v>0</v>
      </c>
      <c r="AD919" s="51" t="str">
        <f>IF(OR($B919="",$D919=""),"",IFERROR(IF(INDEX(CARDS!$H$5:$H$34,MATCH($D919,CARDS!$A$5:$A$34,0))="","",IF(DAY($B919)&lt;=INDEX(CARDS!$H$5:$H$34,MATCH($D919,CARDS!$A$5:$A$34,0)),DATE(YEAR($B919),MONTH($B919),MIN(INDEX(CARDS!$H$5:$H$34,MATCH($D919,CARDS!$A$5:$A$34,0)),DAY(EOMONTH($B919,0)))),DATE(YEAR($B919),MONTH($B919)+1,MIN(INDEX(CARDS!$H$5:$H$34,MATCH($D919,CARDS!$A$5:$A$34,0)),DAY(EOMONTH($B919,1)))))),""))</f>
        <v/>
      </c>
      <c r="AE919" s="52" t="str">
        <f>IF($C919="","",$C919&amp;"|"&amp;COUNTIF($C$5:$C919,$C919))</f>
        <v/>
      </c>
      <c r="AF919" s="53">
        <f>IF($AC919&gt;0,SUMIFS(Q$4:Q918,$D$4:$D918,$D919,$Z$4:$Z918,$Z919,$C$4:$C918,$C919),0)</f>
        <v>0</v>
      </c>
      <c r="AG919" s="53">
        <f>IF($AC919&gt;0,SUMIFS(Q$4:Q918,$D$4:$D918,$D919,$C$4:$C918,$C919),0)</f>
        <v>0</v>
      </c>
      <c r="AH919" s="53">
        <f>IF($AC919&gt;0,SUMIFS(M$4:M918,$D$4:$D918,$D919,$Z$4:$Z918,$Z919,$C$4:$C918,$C919),0)</f>
        <v>0</v>
      </c>
      <c r="AI919" s="43">
        <f>IF(OR($C919="",$I919=""),0,IF(COUNTIFS($C$5:$C919,$C919,$I$5:$I919,$I919)=1,1,0))</f>
        <v>0</v>
      </c>
      <c r="AJ919" s="43" t="str">
        <f>IF($AI919=1,SUMIFS($AI$4:$AI918,$C$4:$C918,$C919)+1,"")</f>
        <v/>
      </c>
      <c r="AK919" s="43">
        <f>IF(OR($C919="",$K919=""),0,IF(COUNTIFS($C$5:$C919,$C919,$K$5:$K919,$K919)=1,1,0))</f>
        <v>0</v>
      </c>
      <c r="AL919" s="43" t="str">
        <f>IF($AK919=1,SUMIFS($AK$4:$AK918,$C$4:$C918,$C919)+1,"")</f>
        <v/>
      </c>
      <c r="AM919" s="43">
        <f>IF(OR($C919="",$G919=""),0,IF(COUNTIFS($C$5:$C919,$C919,$G$5:$G919,$G919)=1,1,0))</f>
        <v>0</v>
      </c>
      <c r="AN919" s="43" t="str">
        <f>IF($AM919=1,SUMIFS($AM$4:$AM918,$C$4:$C918,$C919)+1,"")</f>
        <v/>
      </c>
    </row>
    <row r="920">
      <c r="A920" s="44" t="str">
        <f>IF(OR($B920="",$D920=""),"","TX"&amp;TEXT(ROW()-4,"0000"))</f>
        <v/>
      </c>
      <c r="B920" s="42" t="n"/>
      <c r="C920" s="47" t="str">
        <f>IF($B920="","",YEAR($B920)*100+MONTH($B920))</f>
        <v/>
      </c>
      <c r="D920" s="37" t="n"/>
      <c r="E920" s="45" t="str">
        <f>IF($D920="","",IFERROR(INDEX(CARDS!$B$5:$B$34,MATCH($D920,CARDS!$A$5:$A$34,0)),"⚠ Card ID?"))</f>
        <v/>
      </c>
      <c r="F920" s="45" t="str">
        <f>IF($D920="","",IFERROR(INDEX(CARDS!$C$5:$C$34,MATCH($D920,CARDS!$A$5:$A$34,0)),"⚠ Card ID?"))</f>
        <v/>
      </c>
      <c r="G920" s="37" t="n"/>
      <c r="H920" s="37" t="n"/>
      <c r="I920" s="41" t="n"/>
      <c r="J920" s="45" t="str">
        <f>IF($I920="","",IFERROR(INDEX(MCC_MASTER!$B$5:$B$504,MATCH($I920,MCC_MASTER!$A$5:$A$504,0)),"⚠ MCC chưa có"))</f>
        <v/>
      </c>
      <c r="K920" s="45" t="str">
        <f>IF($I920="","",IFERROR(IF(INDEX(MCC_MASTER!$C$5:$C$504,MATCH($I920,MCC_MASTER!$A$5:$A$504,0))="","Chưa phân loại",INDEX(MCC_MASTER!$C$5:$C$504,MATCH($I920,MCC_MASTER!$A$5:$A$504,0))),"Chưa phân loại"))</f>
        <v/>
      </c>
      <c r="L920" s="40" t="n"/>
      <c r="M920" s="48" t="str">
        <f>IF(OR($B920="",$D920=""),"",IF($AC920=0,0,IF(ISNUMBER(INDEX(CASHBACK_RULES!$L$5:$L$304,$AC920)),MAX(0,MIN($L920,INDEX(CASHBACK_RULES!$L$5:$L$304,$AC920)-$AH920)),MAX(0,$L920))))</f>
        <v/>
      </c>
      <c r="N920" s="49" t="str">
        <f>IF(OR($B920="",$D920=""),"",IF($AC920&gt;0,INDEX(CASHBACK_RULES!$I$5:$I$304,$AC920),0))</f>
        <v/>
      </c>
      <c r="O920" s="48" t="str">
        <f>IF(OR($B920="",$D920=""),"",ROUND($M920*$N920,0))</f>
        <v/>
      </c>
      <c r="P920" s="48" t="str">
        <f>IF($AC920&gt;0,IF(ISNUMBER(INDEX(CASHBACK_RULES!$J$5:$J$304,$AC920)),INDEX(CASHBACK_RULES!$J$5:$J$304,$AC920),"∞"),"")</f>
        <v/>
      </c>
      <c r="Q920" s="48" t="str">
        <f>IF(OR($B920="",$D920=""),"",IF($AC920=0,0,MAX(0,MIN($O920,IF(ISNUMBER($P920),$P920-$AF920,1E+15),IF(ISNUMBER($AA920),$AA920-$AG920,1E+15)))))</f>
        <v/>
      </c>
      <c r="R920" s="48" t="str">
        <f>IF(OR($B920="",$D920=""),"",IF($AC920=0,"",IF(AND(NOT(ISNUMBER($P920)),NOT(ISNUMBER($AA920))),"∞",MAX(0,MIN(IF(ISNUMBER($P920),$P920-$AF920-$Q920,1E+15),IF(ISNUMBER($AA920),$AA920-$AG920-$Q920,1E+15))))))</f>
        <v/>
      </c>
      <c r="S920" s="47" t="str">
        <f>IF($AD920="","",YEAR($AD920)*100+MONTH($AD920))</f>
        <v/>
      </c>
      <c r="T920" s="50" t="str">
        <f>IF($AD920="","",IFERROR(IF(INDEX(CARDS!$I$5:$I$34,MATCH($D920,CARDS!$A$5:$A$34,0))="","",IF(INDEX(CARDS!$I$5:$I$34,MATCH($D920,CARDS!$A$5:$A$34,0))&gt;INDEX(CARDS!$H$5:$H$34,MATCH($D920,CARDS!$A$5:$A$34,0)),DATE(YEAR($AD920),MONTH($AD920),MIN(INDEX(CARDS!$I$5:$I$34,MATCH($D920,CARDS!$A$5:$A$34,0)),DAY(EOMONTH($AD920,0)))),DATE(YEAR($AD920),MONTH($AD920)+1,MIN(INDEX(CARDS!$I$5:$I$34,MATCH($D920,CARDS!$A$5:$A$34,0)),DAY(EOMONTH($AD920,1)))))),""))</f>
        <v/>
      </c>
      <c r="U920" s="38" t="n"/>
      <c r="V920" s="37" t="n"/>
      <c r="W920" s="38" t="n"/>
      <c r="X920" s="38" t="n"/>
      <c r="Y920" s="44" t="str">
        <f>IF($AC920&gt;0,INDEX(CASHBACK_RULES!$A$5:$A$304,$AC920),"")</f>
        <v/>
      </c>
      <c r="Z920" s="45" t="str">
        <f>IF($AC920&gt;0,INDEX(CASHBACK_RULES!$E$5:$E$304,$AC920)&amp;"","")</f>
        <v/>
      </c>
      <c r="AA920" s="48" t="str">
        <f>IF($AC920&gt;0,IF(ISNUMBER(INDEX(CASHBACK_RULES!$K$5:$K$304,$AC920)),INDEX(CASHBACK_RULES!$K$5:$K$304,$AC920),"∞"),"")</f>
        <v/>
      </c>
      <c r="AB920" s="44" t="str">
        <f>IF(OR($B920="",$D920=""),"",IF($U920="Cancelled","Đã hủy",IF($AC920=0,"Không được hoàn",IF($Q920=0,IF(OR($O920&gt;0,$M920&lt;$L920),"Đã đạt cap","Không được hoàn"),IF(OR($Q920&lt;$O920,$M920&lt;$L920),"Hoàn một phần","Được hoàn")))))</f>
        <v/>
      </c>
      <c r="AC920" s="43">
        <f>IF(OR($B920="",$D920="",$I920="",$L920=""),0,IF($U920="Cancelled",0,IF($W920&lt;&gt;"",IFERROR(IF(INDEX(CASHBACK_RULES!$B$5:$B$304,MATCH($W920,CASHBACK_RULES!$A$5:$A$304,0))=$D920,MATCH($W920,CASHBACK_RULES!$A$5:$A$304,0),0),0),IFERROR(MATCH(1,INDEX((CASHBACK_RULES!$B$5:$B$304=$D920)*(CASHBACK_RULES!$G$5:$G$304=$I920)*(((CASHBACK_RULES!$N$5:$N$304="")+(CASHBACK_RULES!$N$5:$N$304&lt;=$B920))&gt;0)*(((CASHBACK_RULES!$O$5:$O$304="")+(CASHBACK_RULES!$O$5:$O$304&gt;=$B920))&gt;0)*(((CASHBACK_RULES!$M$5:$M$304="")+(CASHBACK_RULES!$M$5:$M$304&lt;=$L920))&gt;0),0),0),0))))</f>
        <v>0</v>
      </c>
      <c r="AD920" s="51" t="str">
        <f>IF(OR($B920="",$D920=""),"",IFERROR(IF(INDEX(CARDS!$H$5:$H$34,MATCH($D920,CARDS!$A$5:$A$34,0))="","",IF(DAY($B920)&lt;=INDEX(CARDS!$H$5:$H$34,MATCH($D920,CARDS!$A$5:$A$34,0)),DATE(YEAR($B920),MONTH($B920),MIN(INDEX(CARDS!$H$5:$H$34,MATCH($D920,CARDS!$A$5:$A$34,0)),DAY(EOMONTH($B920,0)))),DATE(YEAR($B920),MONTH($B920)+1,MIN(INDEX(CARDS!$H$5:$H$34,MATCH($D920,CARDS!$A$5:$A$34,0)),DAY(EOMONTH($B920,1)))))),""))</f>
        <v/>
      </c>
      <c r="AE920" s="52" t="str">
        <f>IF($C920="","",$C920&amp;"|"&amp;COUNTIF($C$5:$C920,$C920))</f>
        <v/>
      </c>
      <c r="AF920" s="53">
        <f>IF($AC920&gt;0,SUMIFS(Q$4:Q919,$D$4:$D919,$D920,$Z$4:$Z919,$Z920,$C$4:$C919,$C920),0)</f>
        <v>0</v>
      </c>
      <c r="AG920" s="53">
        <f>IF($AC920&gt;0,SUMIFS(Q$4:Q919,$D$4:$D919,$D920,$C$4:$C919,$C920),0)</f>
        <v>0</v>
      </c>
      <c r="AH920" s="53">
        <f>IF($AC920&gt;0,SUMIFS(M$4:M919,$D$4:$D919,$D920,$Z$4:$Z919,$Z920,$C$4:$C919,$C920),0)</f>
        <v>0</v>
      </c>
      <c r="AI920" s="43">
        <f>IF(OR($C920="",$I920=""),0,IF(COUNTIFS($C$5:$C920,$C920,$I$5:$I920,$I920)=1,1,0))</f>
        <v>0</v>
      </c>
      <c r="AJ920" s="43" t="str">
        <f>IF($AI920=1,SUMIFS($AI$4:$AI919,$C$4:$C919,$C920)+1,"")</f>
        <v/>
      </c>
      <c r="AK920" s="43">
        <f>IF(OR($C920="",$K920=""),0,IF(COUNTIFS($C$5:$C920,$C920,$K$5:$K920,$K920)=1,1,0))</f>
        <v>0</v>
      </c>
      <c r="AL920" s="43" t="str">
        <f>IF($AK920=1,SUMIFS($AK$4:$AK919,$C$4:$C919,$C920)+1,"")</f>
        <v/>
      </c>
      <c r="AM920" s="43">
        <f>IF(OR($C920="",$G920=""),0,IF(COUNTIFS($C$5:$C920,$C920,$G$5:$G920,$G920)=1,1,0))</f>
        <v>0</v>
      </c>
      <c r="AN920" s="43" t="str">
        <f>IF($AM920=1,SUMIFS($AM$4:$AM919,$C$4:$C919,$C920)+1,"")</f>
        <v/>
      </c>
    </row>
    <row r="921">
      <c r="A921" s="44" t="str">
        <f>IF(OR($B921="",$D921=""),"","TX"&amp;TEXT(ROW()-4,"0000"))</f>
        <v/>
      </c>
      <c r="B921" s="42" t="n"/>
      <c r="C921" s="47" t="str">
        <f>IF($B921="","",YEAR($B921)*100+MONTH($B921))</f>
        <v/>
      </c>
      <c r="D921" s="37" t="n"/>
      <c r="E921" s="45" t="str">
        <f>IF($D921="","",IFERROR(INDEX(CARDS!$B$5:$B$34,MATCH($D921,CARDS!$A$5:$A$34,0)),"⚠ Card ID?"))</f>
        <v/>
      </c>
      <c r="F921" s="45" t="str">
        <f>IF($D921="","",IFERROR(INDEX(CARDS!$C$5:$C$34,MATCH($D921,CARDS!$A$5:$A$34,0)),"⚠ Card ID?"))</f>
        <v/>
      </c>
      <c r="G921" s="37" t="n"/>
      <c r="H921" s="37" t="n"/>
      <c r="I921" s="41" t="n"/>
      <c r="J921" s="45" t="str">
        <f>IF($I921="","",IFERROR(INDEX(MCC_MASTER!$B$5:$B$504,MATCH($I921,MCC_MASTER!$A$5:$A$504,0)),"⚠ MCC chưa có"))</f>
        <v/>
      </c>
      <c r="K921" s="45" t="str">
        <f>IF($I921="","",IFERROR(IF(INDEX(MCC_MASTER!$C$5:$C$504,MATCH($I921,MCC_MASTER!$A$5:$A$504,0))="","Chưa phân loại",INDEX(MCC_MASTER!$C$5:$C$504,MATCH($I921,MCC_MASTER!$A$5:$A$504,0))),"Chưa phân loại"))</f>
        <v/>
      </c>
      <c r="L921" s="40" t="n"/>
      <c r="M921" s="48" t="str">
        <f>IF(OR($B921="",$D921=""),"",IF($AC921=0,0,IF(ISNUMBER(INDEX(CASHBACK_RULES!$L$5:$L$304,$AC921)),MAX(0,MIN($L921,INDEX(CASHBACK_RULES!$L$5:$L$304,$AC921)-$AH921)),MAX(0,$L921))))</f>
        <v/>
      </c>
      <c r="N921" s="49" t="str">
        <f>IF(OR($B921="",$D921=""),"",IF($AC921&gt;0,INDEX(CASHBACK_RULES!$I$5:$I$304,$AC921),0))</f>
        <v/>
      </c>
      <c r="O921" s="48" t="str">
        <f>IF(OR($B921="",$D921=""),"",ROUND($M921*$N921,0))</f>
        <v/>
      </c>
      <c r="P921" s="48" t="str">
        <f>IF($AC921&gt;0,IF(ISNUMBER(INDEX(CASHBACK_RULES!$J$5:$J$304,$AC921)),INDEX(CASHBACK_RULES!$J$5:$J$304,$AC921),"∞"),"")</f>
        <v/>
      </c>
      <c r="Q921" s="48" t="str">
        <f>IF(OR($B921="",$D921=""),"",IF($AC921=0,0,MAX(0,MIN($O921,IF(ISNUMBER($P921),$P921-$AF921,1E+15),IF(ISNUMBER($AA921),$AA921-$AG921,1E+15)))))</f>
        <v/>
      </c>
      <c r="R921" s="48" t="str">
        <f>IF(OR($B921="",$D921=""),"",IF($AC921=0,"",IF(AND(NOT(ISNUMBER($P921)),NOT(ISNUMBER($AA921))),"∞",MAX(0,MIN(IF(ISNUMBER($P921),$P921-$AF921-$Q921,1E+15),IF(ISNUMBER($AA921),$AA921-$AG921-$Q921,1E+15))))))</f>
        <v/>
      </c>
      <c r="S921" s="47" t="str">
        <f>IF($AD921="","",YEAR($AD921)*100+MONTH($AD921))</f>
        <v/>
      </c>
      <c r="T921" s="50" t="str">
        <f>IF($AD921="","",IFERROR(IF(INDEX(CARDS!$I$5:$I$34,MATCH($D921,CARDS!$A$5:$A$34,0))="","",IF(INDEX(CARDS!$I$5:$I$34,MATCH($D921,CARDS!$A$5:$A$34,0))&gt;INDEX(CARDS!$H$5:$H$34,MATCH($D921,CARDS!$A$5:$A$34,0)),DATE(YEAR($AD921),MONTH($AD921),MIN(INDEX(CARDS!$I$5:$I$34,MATCH($D921,CARDS!$A$5:$A$34,0)),DAY(EOMONTH($AD921,0)))),DATE(YEAR($AD921),MONTH($AD921)+1,MIN(INDEX(CARDS!$I$5:$I$34,MATCH($D921,CARDS!$A$5:$A$34,0)),DAY(EOMONTH($AD921,1)))))),""))</f>
        <v/>
      </c>
      <c r="U921" s="38" t="n"/>
      <c r="V921" s="37" t="n"/>
      <c r="W921" s="38" t="n"/>
      <c r="X921" s="38" t="n"/>
      <c r="Y921" s="44" t="str">
        <f>IF($AC921&gt;0,INDEX(CASHBACK_RULES!$A$5:$A$304,$AC921),"")</f>
        <v/>
      </c>
      <c r="Z921" s="45" t="str">
        <f>IF($AC921&gt;0,INDEX(CASHBACK_RULES!$E$5:$E$304,$AC921)&amp;"","")</f>
        <v/>
      </c>
      <c r="AA921" s="48" t="str">
        <f>IF($AC921&gt;0,IF(ISNUMBER(INDEX(CASHBACK_RULES!$K$5:$K$304,$AC921)),INDEX(CASHBACK_RULES!$K$5:$K$304,$AC921),"∞"),"")</f>
        <v/>
      </c>
      <c r="AB921" s="44" t="str">
        <f>IF(OR($B921="",$D921=""),"",IF($U921="Cancelled","Đã hủy",IF($AC921=0,"Không được hoàn",IF($Q921=0,IF(OR($O921&gt;0,$M921&lt;$L921),"Đã đạt cap","Không được hoàn"),IF(OR($Q921&lt;$O921,$M921&lt;$L921),"Hoàn một phần","Được hoàn")))))</f>
        <v/>
      </c>
      <c r="AC921" s="43">
        <f>IF(OR($B921="",$D921="",$I921="",$L921=""),0,IF($U921="Cancelled",0,IF($W921&lt;&gt;"",IFERROR(IF(INDEX(CASHBACK_RULES!$B$5:$B$304,MATCH($W921,CASHBACK_RULES!$A$5:$A$304,0))=$D921,MATCH($W921,CASHBACK_RULES!$A$5:$A$304,0),0),0),IFERROR(MATCH(1,INDEX((CASHBACK_RULES!$B$5:$B$304=$D921)*(CASHBACK_RULES!$G$5:$G$304=$I921)*(((CASHBACK_RULES!$N$5:$N$304="")+(CASHBACK_RULES!$N$5:$N$304&lt;=$B921))&gt;0)*(((CASHBACK_RULES!$O$5:$O$304="")+(CASHBACK_RULES!$O$5:$O$304&gt;=$B921))&gt;0)*(((CASHBACK_RULES!$M$5:$M$304="")+(CASHBACK_RULES!$M$5:$M$304&lt;=$L921))&gt;0),0),0),0))))</f>
        <v>0</v>
      </c>
      <c r="AD921" s="51" t="str">
        <f>IF(OR($B921="",$D921=""),"",IFERROR(IF(INDEX(CARDS!$H$5:$H$34,MATCH($D921,CARDS!$A$5:$A$34,0))="","",IF(DAY($B921)&lt;=INDEX(CARDS!$H$5:$H$34,MATCH($D921,CARDS!$A$5:$A$34,0)),DATE(YEAR($B921),MONTH($B921),MIN(INDEX(CARDS!$H$5:$H$34,MATCH($D921,CARDS!$A$5:$A$34,0)),DAY(EOMONTH($B921,0)))),DATE(YEAR($B921),MONTH($B921)+1,MIN(INDEX(CARDS!$H$5:$H$34,MATCH($D921,CARDS!$A$5:$A$34,0)),DAY(EOMONTH($B921,1)))))),""))</f>
        <v/>
      </c>
      <c r="AE921" s="52" t="str">
        <f>IF($C921="","",$C921&amp;"|"&amp;COUNTIF($C$5:$C921,$C921))</f>
        <v/>
      </c>
      <c r="AF921" s="53">
        <f>IF($AC921&gt;0,SUMIFS(Q$4:Q920,$D$4:$D920,$D921,$Z$4:$Z920,$Z921,$C$4:$C920,$C921),0)</f>
        <v>0</v>
      </c>
      <c r="AG921" s="53">
        <f>IF($AC921&gt;0,SUMIFS(Q$4:Q920,$D$4:$D920,$D921,$C$4:$C920,$C921),0)</f>
        <v>0</v>
      </c>
      <c r="AH921" s="53">
        <f>IF($AC921&gt;0,SUMIFS(M$4:M920,$D$4:$D920,$D921,$Z$4:$Z920,$Z921,$C$4:$C920,$C921),0)</f>
        <v>0</v>
      </c>
      <c r="AI921" s="43">
        <f>IF(OR($C921="",$I921=""),0,IF(COUNTIFS($C$5:$C921,$C921,$I$5:$I921,$I921)=1,1,0))</f>
        <v>0</v>
      </c>
      <c r="AJ921" s="43" t="str">
        <f>IF($AI921=1,SUMIFS($AI$4:$AI920,$C$4:$C920,$C921)+1,"")</f>
        <v/>
      </c>
      <c r="AK921" s="43">
        <f>IF(OR($C921="",$K921=""),0,IF(COUNTIFS($C$5:$C921,$C921,$K$5:$K921,$K921)=1,1,0))</f>
        <v>0</v>
      </c>
      <c r="AL921" s="43" t="str">
        <f>IF($AK921=1,SUMIFS($AK$4:$AK920,$C$4:$C920,$C921)+1,"")</f>
        <v/>
      </c>
      <c r="AM921" s="43">
        <f>IF(OR($C921="",$G921=""),0,IF(COUNTIFS($C$5:$C921,$C921,$G$5:$G921,$G921)=1,1,0))</f>
        <v>0</v>
      </c>
      <c r="AN921" s="43" t="str">
        <f>IF($AM921=1,SUMIFS($AM$4:$AM920,$C$4:$C920,$C921)+1,"")</f>
        <v/>
      </c>
    </row>
    <row r="922">
      <c r="A922" s="44" t="str">
        <f>IF(OR($B922="",$D922=""),"","TX"&amp;TEXT(ROW()-4,"0000"))</f>
        <v/>
      </c>
      <c r="B922" s="42" t="n"/>
      <c r="C922" s="47" t="str">
        <f>IF($B922="","",YEAR($B922)*100+MONTH($B922))</f>
        <v/>
      </c>
      <c r="D922" s="37" t="n"/>
      <c r="E922" s="45" t="str">
        <f>IF($D922="","",IFERROR(INDEX(CARDS!$B$5:$B$34,MATCH($D922,CARDS!$A$5:$A$34,0)),"⚠ Card ID?"))</f>
        <v/>
      </c>
      <c r="F922" s="45" t="str">
        <f>IF($D922="","",IFERROR(INDEX(CARDS!$C$5:$C$34,MATCH($D922,CARDS!$A$5:$A$34,0)),"⚠ Card ID?"))</f>
        <v/>
      </c>
      <c r="G922" s="37" t="n"/>
      <c r="H922" s="37" t="n"/>
      <c r="I922" s="41" t="n"/>
      <c r="J922" s="45" t="str">
        <f>IF($I922="","",IFERROR(INDEX(MCC_MASTER!$B$5:$B$504,MATCH($I922,MCC_MASTER!$A$5:$A$504,0)),"⚠ MCC chưa có"))</f>
        <v/>
      </c>
      <c r="K922" s="45" t="str">
        <f>IF($I922="","",IFERROR(IF(INDEX(MCC_MASTER!$C$5:$C$504,MATCH($I922,MCC_MASTER!$A$5:$A$504,0))="","Chưa phân loại",INDEX(MCC_MASTER!$C$5:$C$504,MATCH($I922,MCC_MASTER!$A$5:$A$504,0))),"Chưa phân loại"))</f>
        <v/>
      </c>
      <c r="L922" s="40" t="n"/>
      <c r="M922" s="48" t="str">
        <f>IF(OR($B922="",$D922=""),"",IF($AC922=0,0,IF(ISNUMBER(INDEX(CASHBACK_RULES!$L$5:$L$304,$AC922)),MAX(0,MIN($L922,INDEX(CASHBACK_RULES!$L$5:$L$304,$AC922)-$AH922)),MAX(0,$L922))))</f>
        <v/>
      </c>
      <c r="N922" s="49" t="str">
        <f>IF(OR($B922="",$D922=""),"",IF($AC922&gt;0,INDEX(CASHBACK_RULES!$I$5:$I$304,$AC922),0))</f>
        <v/>
      </c>
      <c r="O922" s="48" t="str">
        <f>IF(OR($B922="",$D922=""),"",ROUND($M922*$N922,0))</f>
        <v/>
      </c>
      <c r="P922" s="48" t="str">
        <f>IF($AC922&gt;0,IF(ISNUMBER(INDEX(CASHBACK_RULES!$J$5:$J$304,$AC922)),INDEX(CASHBACK_RULES!$J$5:$J$304,$AC922),"∞"),"")</f>
        <v/>
      </c>
      <c r="Q922" s="48" t="str">
        <f>IF(OR($B922="",$D922=""),"",IF($AC922=0,0,MAX(0,MIN($O922,IF(ISNUMBER($P922),$P922-$AF922,1E+15),IF(ISNUMBER($AA922),$AA922-$AG922,1E+15)))))</f>
        <v/>
      </c>
      <c r="R922" s="48" t="str">
        <f>IF(OR($B922="",$D922=""),"",IF($AC922=0,"",IF(AND(NOT(ISNUMBER($P922)),NOT(ISNUMBER($AA922))),"∞",MAX(0,MIN(IF(ISNUMBER($P922),$P922-$AF922-$Q922,1E+15),IF(ISNUMBER($AA922),$AA922-$AG922-$Q922,1E+15))))))</f>
        <v/>
      </c>
      <c r="S922" s="47" t="str">
        <f>IF($AD922="","",YEAR($AD922)*100+MONTH($AD922))</f>
        <v/>
      </c>
      <c r="T922" s="50" t="str">
        <f>IF($AD922="","",IFERROR(IF(INDEX(CARDS!$I$5:$I$34,MATCH($D922,CARDS!$A$5:$A$34,0))="","",IF(INDEX(CARDS!$I$5:$I$34,MATCH($D922,CARDS!$A$5:$A$34,0))&gt;INDEX(CARDS!$H$5:$H$34,MATCH($D922,CARDS!$A$5:$A$34,0)),DATE(YEAR($AD922),MONTH($AD922),MIN(INDEX(CARDS!$I$5:$I$34,MATCH($D922,CARDS!$A$5:$A$34,0)),DAY(EOMONTH($AD922,0)))),DATE(YEAR($AD922),MONTH($AD922)+1,MIN(INDEX(CARDS!$I$5:$I$34,MATCH($D922,CARDS!$A$5:$A$34,0)),DAY(EOMONTH($AD922,1)))))),""))</f>
        <v/>
      </c>
      <c r="U922" s="38" t="n"/>
      <c r="V922" s="37" t="n"/>
      <c r="W922" s="38" t="n"/>
      <c r="X922" s="38" t="n"/>
      <c r="Y922" s="44" t="str">
        <f>IF($AC922&gt;0,INDEX(CASHBACK_RULES!$A$5:$A$304,$AC922),"")</f>
        <v/>
      </c>
      <c r="Z922" s="45" t="str">
        <f>IF($AC922&gt;0,INDEX(CASHBACK_RULES!$E$5:$E$304,$AC922)&amp;"","")</f>
        <v/>
      </c>
      <c r="AA922" s="48" t="str">
        <f>IF($AC922&gt;0,IF(ISNUMBER(INDEX(CASHBACK_RULES!$K$5:$K$304,$AC922)),INDEX(CASHBACK_RULES!$K$5:$K$304,$AC922),"∞"),"")</f>
        <v/>
      </c>
      <c r="AB922" s="44" t="str">
        <f>IF(OR($B922="",$D922=""),"",IF($U922="Cancelled","Đã hủy",IF($AC922=0,"Không được hoàn",IF($Q922=0,IF(OR($O922&gt;0,$M922&lt;$L922),"Đã đạt cap","Không được hoàn"),IF(OR($Q922&lt;$O922,$M922&lt;$L922),"Hoàn một phần","Được hoàn")))))</f>
        <v/>
      </c>
      <c r="AC922" s="43">
        <f>IF(OR($B922="",$D922="",$I922="",$L922=""),0,IF($U922="Cancelled",0,IF($W922&lt;&gt;"",IFERROR(IF(INDEX(CASHBACK_RULES!$B$5:$B$304,MATCH($W922,CASHBACK_RULES!$A$5:$A$304,0))=$D922,MATCH($W922,CASHBACK_RULES!$A$5:$A$304,0),0),0),IFERROR(MATCH(1,INDEX((CASHBACK_RULES!$B$5:$B$304=$D922)*(CASHBACK_RULES!$G$5:$G$304=$I922)*(((CASHBACK_RULES!$N$5:$N$304="")+(CASHBACK_RULES!$N$5:$N$304&lt;=$B922))&gt;0)*(((CASHBACK_RULES!$O$5:$O$304="")+(CASHBACK_RULES!$O$5:$O$304&gt;=$B922))&gt;0)*(((CASHBACK_RULES!$M$5:$M$304="")+(CASHBACK_RULES!$M$5:$M$304&lt;=$L922))&gt;0),0),0),0))))</f>
        <v>0</v>
      </c>
      <c r="AD922" s="51" t="str">
        <f>IF(OR($B922="",$D922=""),"",IFERROR(IF(INDEX(CARDS!$H$5:$H$34,MATCH($D922,CARDS!$A$5:$A$34,0))="","",IF(DAY($B922)&lt;=INDEX(CARDS!$H$5:$H$34,MATCH($D922,CARDS!$A$5:$A$34,0)),DATE(YEAR($B922),MONTH($B922),MIN(INDEX(CARDS!$H$5:$H$34,MATCH($D922,CARDS!$A$5:$A$34,0)),DAY(EOMONTH($B922,0)))),DATE(YEAR($B922),MONTH($B922)+1,MIN(INDEX(CARDS!$H$5:$H$34,MATCH($D922,CARDS!$A$5:$A$34,0)),DAY(EOMONTH($B922,1)))))),""))</f>
        <v/>
      </c>
      <c r="AE922" s="52" t="str">
        <f>IF($C922="","",$C922&amp;"|"&amp;COUNTIF($C$5:$C922,$C922))</f>
        <v/>
      </c>
      <c r="AF922" s="53">
        <f>IF($AC922&gt;0,SUMIFS(Q$4:Q921,$D$4:$D921,$D922,$Z$4:$Z921,$Z922,$C$4:$C921,$C922),0)</f>
        <v>0</v>
      </c>
      <c r="AG922" s="53">
        <f>IF($AC922&gt;0,SUMIFS(Q$4:Q921,$D$4:$D921,$D922,$C$4:$C921,$C922),0)</f>
        <v>0</v>
      </c>
      <c r="AH922" s="53">
        <f>IF($AC922&gt;0,SUMIFS(M$4:M921,$D$4:$D921,$D922,$Z$4:$Z921,$Z922,$C$4:$C921,$C922),0)</f>
        <v>0</v>
      </c>
      <c r="AI922" s="43">
        <f>IF(OR($C922="",$I922=""),0,IF(COUNTIFS($C$5:$C922,$C922,$I$5:$I922,$I922)=1,1,0))</f>
        <v>0</v>
      </c>
      <c r="AJ922" s="43" t="str">
        <f>IF($AI922=1,SUMIFS($AI$4:$AI921,$C$4:$C921,$C922)+1,"")</f>
        <v/>
      </c>
      <c r="AK922" s="43">
        <f>IF(OR($C922="",$K922=""),0,IF(COUNTIFS($C$5:$C922,$C922,$K$5:$K922,$K922)=1,1,0))</f>
        <v>0</v>
      </c>
      <c r="AL922" s="43" t="str">
        <f>IF($AK922=1,SUMIFS($AK$4:$AK921,$C$4:$C921,$C922)+1,"")</f>
        <v/>
      </c>
      <c r="AM922" s="43">
        <f>IF(OR($C922="",$G922=""),0,IF(COUNTIFS($C$5:$C922,$C922,$G$5:$G922,$G922)=1,1,0))</f>
        <v>0</v>
      </c>
      <c r="AN922" s="43" t="str">
        <f>IF($AM922=1,SUMIFS($AM$4:$AM921,$C$4:$C921,$C922)+1,"")</f>
        <v/>
      </c>
    </row>
    <row r="923">
      <c r="A923" s="44" t="str">
        <f>IF(OR($B923="",$D923=""),"","TX"&amp;TEXT(ROW()-4,"0000"))</f>
        <v/>
      </c>
      <c r="B923" s="42" t="n"/>
      <c r="C923" s="47" t="str">
        <f>IF($B923="","",YEAR($B923)*100+MONTH($B923))</f>
        <v/>
      </c>
      <c r="D923" s="37" t="n"/>
      <c r="E923" s="45" t="str">
        <f>IF($D923="","",IFERROR(INDEX(CARDS!$B$5:$B$34,MATCH($D923,CARDS!$A$5:$A$34,0)),"⚠ Card ID?"))</f>
        <v/>
      </c>
      <c r="F923" s="45" t="str">
        <f>IF($D923="","",IFERROR(INDEX(CARDS!$C$5:$C$34,MATCH($D923,CARDS!$A$5:$A$34,0)),"⚠ Card ID?"))</f>
        <v/>
      </c>
      <c r="G923" s="37" t="n"/>
      <c r="H923" s="37" t="n"/>
      <c r="I923" s="41" t="n"/>
      <c r="J923" s="45" t="str">
        <f>IF($I923="","",IFERROR(INDEX(MCC_MASTER!$B$5:$B$504,MATCH($I923,MCC_MASTER!$A$5:$A$504,0)),"⚠ MCC chưa có"))</f>
        <v/>
      </c>
      <c r="K923" s="45" t="str">
        <f>IF($I923="","",IFERROR(IF(INDEX(MCC_MASTER!$C$5:$C$504,MATCH($I923,MCC_MASTER!$A$5:$A$504,0))="","Chưa phân loại",INDEX(MCC_MASTER!$C$5:$C$504,MATCH($I923,MCC_MASTER!$A$5:$A$504,0))),"Chưa phân loại"))</f>
        <v/>
      </c>
      <c r="L923" s="40" t="n"/>
      <c r="M923" s="48" t="str">
        <f>IF(OR($B923="",$D923=""),"",IF($AC923=0,0,IF(ISNUMBER(INDEX(CASHBACK_RULES!$L$5:$L$304,$AC923)),MAX(0,MIN($L923,INDEX(CASHBACK_RULES!$L$5:$L$304,$AC923)-$AH923)),MAX(0,$L923))))</f>
        <v/>
      </c>
      <c r="N923" s="49" t="str">
        <f>IF(OR($B923="",$D923=""),"",IF($AC923&gt;0,INDEX(CASHBACK_RULES!$I$5:$I$304,$AC923),0))</f>
        <v/>
      </c>
      <c r="O923" s="48" t="str">
        <f>IF(OR($B923="",$D923=""),"",ROUND($M923*$N923,0))</f>
        <v/>
      </c>
      <c r="P923" s="48" t="str">
        <f>IF($AC923&gt;0,IF(ISNUMBER(INDEX(CASHBACK_RULES!$J$5:$J$304,$AC923)),INDEX(CASHBACK_RULES!$J$5:$J$304,$AC923),"∞"),"")</f>
        <v/>
      </c>
      <c r="Q923" s="48" t="str">
        <f>IF(OR($B923="",$D923=""),"",IF($AC923=0,0,MAX(0,MIN($O923,IF(ISNUMBER($P923),$P923-$AF923,1E+15),IF(ISNUMBER($AA923),$AA923-$AG923,1E+15)))))</f>
        <v/>
      </c>
      <c r="R923" s="48" t="str">
        <f>IF(OR($B923="",$D923=""),"",IF($AC923=0,"",IF(AND(NOT(ISNUMBER($P923)),NOT(ISNUMBER($AA923))),"∞",MAX(0,MIN(IF(ISNUMBER($P923),$P923-$AF923-$Q923,1E+15),IF(ISNUMBER($AA923),$AA923-$AG923-$Q923,1E+15))))))</f>
        <v/>
      </c>
      <c r="S923" s="47" t="str">
        <f>IF($AD923="","",YEAR($AD923)*100+MONTH($AD923))</f>
        <v/>
      </c>
      <c r="T923" s="50" t="str">
        <f>IF($AD923="","",IFERROR(IF(INDEX(CARDS!$I$5:$I$34,MATCH($D923,CARDS!$A$5:$A$34,0))="","",IF(INDEX(CARDS!$I$5:$I$34,MATCH($D923,CARDS!$A$5:$A$34,0))&gt;INDEX(CARDS!$H$5:$H$34,MATCH($D923,CARDS!$A$5:$A$34,0)),DATE(YEAR($AD923),MONTH($AD923),MIN(INDEX(CARDS!$I$5:$I$34,MATCH($D923,CARDS!$A$5:$A$34,0)),DAY(EOMONTH($AD923,0)))),DATE(YEAR($AD923),MONTH($AD923)+1,MIN(INDEX(CARDS!$I$5:$I$34,MATCH($D923,CARDS!$A$5:$A$34,0)),DAY(EOMONTH($AD923,1)))))),""))</f>
        <v/>
      </c>
      <c r="U923" s="38" t="n"/>
      <c r="V923" s="37" t="n"/>
      <c r="W923" s="38" t="n"/>
      <c r="X923" s="38" t="n"/>
      <c r="Y923" s="44" t="str">
        <f>IF($AC923&gt;0,INDEX(CASHBACK_RULES!$A$5:$A$304,$AC923),"")</f>
        <v/>
      </c>
      <c r="Z923" s="45" t="str">
        <f>IF($AC923&gt;0,INDEX(CASHBACK_RULES!$E$5:$E$304,$AC923)&amp;"","")</f>
        <v/>
      </c>
      <c r="AA923" s="48" t="str">
        <f>IF($AC923&gt;0,IF(ISNUMBER(INDEX(CASHBACK_RULES!$K$5:$K$304,$AC923)),INDEX(CASHBACK_RULES!$K$5:$K$304,$AC923),"∞"),"")</f>
        <v/>
      </c>
      <c r="AB923" s="44" t="str">
        <f>IF(OR($B923="",$D923=""),"",IF($U923="Cancelled","Đã hủy",IF($AC923=0,"Không được hoàn",IF($Q923=0,IF(OR($O923&gt;0,$M923&lt;$L923),"Đã đạt cap","Không được hoàn"),IF(OR($Q923&lt;$O923,$M923&lt;$L923),"Hoàn một phần","Được hoàn")))))</f>
        <v/>
      </c>
      <c r="AC923" s="43">
        <f>IF(OR($B923="",$D923="",$I923="",$L923=""),0,IF($U923="Cancelled",0,IF($W923&lt;&gt;"",IFERROR(IF(INDEX(CASHBACK_RULES!$B$5:$B$304,MATCH($W923,CASHBACK_RULES!$A$5:$A$304,0))=$D923,MATCH($W923,CASHBACK_RULES!$A$5:$A$304,0),0),0),IFERROR(MATCH(1,INDEX((CASHBACK_RULES!$B$5:$B$304=$D923)*(CASHBACK_RULES!$G$5:$G$304=$I923)*(((CASHBACK_RULES!$N$5:$N$304="")+(CASHBACK_RULES!$N$5:$N$304&lt;=$B923))&gt;0)*(((CASHBACK_RULES!$O$5:$O$304="")+(CASHBACK_RULES!$O$5:$O$304&gt;=$B923))&gt;0)*(((CASHBACK_RULES!$M$5:$M$304="")+(CASHBACK_RULES!$M$5:$M$304&lt;=$L923))&gt;0),0),0),0))))</f>
        <v>0</v>
      </c>
      <c r="AD923" s="51" t="str">
        <f>IF(OR($B923="",$D923=""),"",IFERROR(IF(INDEX(CARDS!$H$5:$H$34,MATCH($D923,CARDS!$A$5:$A$34,0))="","",IF(DAY($B923)&lt;=INDEX(CARDS!$H$5:$H$34,MATCH($D923,CARDS!$A$5:$A$34,0)),DATE(YEAR($B923),MONTH($B923),MIN(INDEX(CARDS!$H$5:$H$34,MATCH($D923,CARDS!$A$5:$A$34,0)),DAY(EOMONTH($B923,0)))),DATE(YEAR($B923),MONTH($B923)+1,MIN(INDEX(CARDS!$H$5:$H$34,MATCH($D923,CARDS!$A$5:$A$34,0)),DAY(EOMONTH($B923,1)))))),""))</f>
        <v/>
      </c>
      <c r="AE923" s="52" t="str">
        <f>IF($C923="","",$C923&amp;"|"&amp;COUNTIF($C$5:$C923,$C923))</f>
        <v/>
      </c>
      <c r="AF923" s="53">
        <f>IF($AC923&gt;0,SUMIFS(Q$4:Q922,$D$4:$D922,$D923,$Z$4:$Z922,$Z923,$C$4:$C922,$C923),0)</f>
        <v>0</v>
      </c>
      <c r="AG923" s="53">
        <f>IF($AC923&gt;0,SUMIFS(Q$4:Q922,$D$4:$D922,$D923,$C$4:$C922,$C923),0)</f>
        <v>0</v>
      </c>
      <c r="AH923" s="53">
        <f>IF($AC923&gt;0,SUMIFS(M$4:M922,$D$4:$D922,$D923,$Z$4:$Z922,$Z923,$C$4:$C922,$C923),0)</f>
        <v>0</v>
      </c>
      <c r="AI923" s="43">
        <f>IF(OR($C923="",$I923=""),0,IF(COUNTIFS($C$5:$C923,$C923,$I$5:$I923,$I923)=1,1,0))</f>
        <v>0</v>
      </c>
      <c r="AJ923" s="43" t="str">
        <f>IF($AI923=1,SUMIFS($AI$4:$AI922,$C$4:$C922,$C923)+1,"")</f>
        <v/>
      </c>
      <c r="AK923" s="43">
        <f>IF(OR($C923="",$K923=""),0,IF(COUNTIFS($C$5:$C923,$C923,$K$5:$K923,$K923)=1,1,0))</f>
        <v>0</v>
      </c>
      <c r="AL923" s="43" t="str">
        <f>IF($AK923=1,SUMIFS($AK$4:$AK922,$C$4:$C922,$C923)+1,"")</f>
        <v/>
      </c>
      <c r="AM923" s="43">
        <f>IF(OR($C923="",$G923=""),0,IF(COUNTIFS($C$5:$C923,$C923,$G$5:$G923,$G923)=1,1,0))</f>
        <v>0</v>
      </c>
      <c r="AN923" s="43" t="str">
        <f>IF($AM923=1,SUMIFS($AM$4:$AM922,$C$4:$C922,$C923)+1,"")</f>
        <v/>
      </c>
    </row>
    <row r="924">
      <c r="A924" s="44" t="str">
        <f>IF(OR($B924="",$D924=""),"","TX"&amp;TEXT(ROW()-4,"0000"))</f>
        <v/>
      </c>
      <c r="B924" s="42" t="n"/>
      <c r="C924" s="47" t="str">
        <f>IF($B924="","",YEAR($B924)*100+MONTH($B924))</f>
        <v/>
      </c>
      <c r="D924" s="37" t="n"/>
      <c r="E924" s="45" t="str">
        <f>IF($D924="","",IFERROR(INDEX(CARDS!$B$5:$B$34,MATCH($D924,CARDS!$A$5:$A$34,0)),"⚠ Card ID?"))</f>
        <v/>
      </c>
      <c r="F924" s="45" t="str">
        <f>IF($D924="","",IFERROR(INDEX(CARDS!$C$5:$C$34,MATCH($D924,CARDS!$A$5:$A$34,0)),"⚠ Card ID?"))</f>
        <v/>
      </c>
      <c r="G924" s="37" t="n"/>
      <c r="H924" s="37" t="n"/>
      <c r="I924" s="41" t="n"/>
      <c r="J924" s="45" t="str">
        <f>IF($I924="","",IFERROR(INDEX(MCC_MASTER!$B$5:$B$504,MATCH($I924,MCC_MASTER!$A$5:$A$504,0)),"⚠ MCC chưa có"))</f>
        <v/>
      </c>
      <c r="K924" s="45" t="str">
        <f>IF($I924="","",IFERROR(IF(INDEX(MCC_MASTER!$C$5:$C$504,MATCH($I924,MCC_MASTER!$A$5:$A$504,0))="","Chưa phân loại",INDEX(MCC_MASTER!$C$5:$C$504,MATCH($I924,MCC_MASTER!$A$5:$A$504,0))),"Chưa phân loại"))</f>
        <v/>
      </c>
      <c r="L924" s="40" t="n"/>
      <c r="M924" s="48" t="str">
        <f>IF(OR($B924="",$D924=""),"",IF($AC924=0,0,IF(ISNUMBER(INDEX(CASHBACK_RULES!$L$5:$L$304,$AC924)),MAX(0,MIN($L924,INDEX(CASHBACK_RULES!$L$5:$L$304,$AC924)-$AH924)),MAX(0,$L924))))</f>
        <v/>
      </c>
      <c r="N924" s="49" t="str">
        <f>IF(OR($B924="",$D924=""),"",IF($AC924&gt;0,INDEX(CASHBACK_RULES!$I$5:$I$304,$AC924),0))</f>
        <v/>
      </c>
      <c r="O924" s="48" t="str">
        <f>IF(OR($B924="",$D924=""),"",ROUND($M924*$N924,0))</f>
        <v/>
      </c>
      <c r="P924" s="48" t="str">
        <f>IF($AC924&gt;0,IF(ISNUMBER(INDEX(CASHBACK_RULES!$J$5:$J$304,$AC924)),INDEX(CASHBACK_RULES!$J$5:$J$304,$AC924),"∞"),"")</f>
        <v/>
      </c>
      <c r="Q924" s="48" t="str">
        <f>IF(OR($B924="",$D924=""),"",IF($AC924=0,0,MAX(0,MIN($O924,IF(ISNUMBER($P924),$P924-$AF924,1E+15),IF(ISNUMBER($AA924),$AA924-$AG924,1E+15)))))</f>
        <v/>
      </c>
      <c r="R924" s="48" t="str">
        <f>IF(OR($B924="",$D924=""),"",IF($AC924=0,"",IF(AND(NOT(ISNUMBER($P924)),NOT(ISNUMBER($AA924))),"∞",MAX(0,MIN(IF(ISNUMBER($P924),$P924-$AF924-$Q924,1E+15),IF(ISNUMBER($AA924),$AA924-$AG924-$Q924,1E+15))))))</f>
        <v/>
      </c>
      <c r="S924" s="47" t="str">
        <f>IF($AD924="","",YEAR($AD924)*100+MONTH($AD924))</f>
        <v/>
      </c>
      <c r="T924" s="50" t="str">
        <f>IF($AD924="","",IFERROR(IF(INDEX(CARDS!$I$5:$I$34,MATCH($D924,CARDS!$A$5:$A$34,0))="","",IF(INDEX(CARDS!$I$5:$I$34,MATCH($D924,CARDS!$A$5:$A$34,0))&gt;INDEX(CARDS!$H$5:$H$34,MATCH($D924,CARDS!$A$5:$A$34,0)),DATE(YEAR($AD924),MONTH($AD924),MIN(INDEX(CARDS!$I$5:$I$34,MATCH($D924,CARDS!$A$5:$A$34,0)),DAY(EOMONTH($AD924,0)))),DATE(YEAR($AD924),MONTH($AD924)+1,MIN(INDEX(CARDS!$I$5:$I$34,MATCH($D924,CARDS!$A$5:$A$34,0)),DAY(EOMONTH($AD924,1)))))),""))</f>
        <v/>
      </c>
      <c r="U924" s="38" t="n"/>
      <c r="V924" s="37" t="n"/>
      <c r="W924" s="38" t="n"/>
      <c r="X924" s="38" t="n"/>
      <c r="Y924" s="44" t="str">
        <f>IF($AC924&gt;0,INDEX(CASHBACK_RULES!$A$5:$A$304,$AC924),"")</f>
        <v/>
      </c>
      <c r="Z924" s="45" t="str">
        <f>IF($AC924&gt;0,INDEX(CASHBACK_RULES!$E$5:$E$304,$AC924)&amp;"","")</f>
        <v/>
      </c>
      <c r="AA924" s="48" t="str">
        <f>IF($AC924&gt;0,IF(ISNUMBER(INDEX(CASHBACK_RULES!$K$5:$K$304,$AC924)),INDEX(CASHBACK_RULES!$K$5:$K$304,$AC924),"∞"),"")</f>
        <v/>
      </c>
      <c r="AB924" s="44" t="str">
        <f>IF(OR($B924="",$D924=""),"",IF($U924="Cancelled","Đã hủy",IF($AC924=0,"Không được hoàn",IF($Q924=0,IF(OR($O924&gt;0,$M924&lt;$L924),"Đã đạt cap","Không được hoàn"),IF(OR($Q924&lt;$O924,$M924&lt;$L924),"Hoàn một phần","Được hoàn")))))</f>
        <v/>
      </c>
      <c r="AC924" s="43">
        <f>IF(OR($B924="",$D924="",$I924="",$L924=""),0,IF($U924="Cancelled",0,IF($W924&lt;&gt;"",IFERROR(IF(INDEX(CASHBACK_RULES!$B$5:$B$304,MATCH($W924,CASHBACK_RULES!$A$5:$A$304,0))=$D924,MATCH($W924,CASHBACK_RULES!$A$5:$A$304,0),0),0),IFERROR(MATCH(1,INDEX((CASHBACK_RULES!$B$5:$B$304=$D924)*(CASHBACK_RULES!$G$5:$G$304=$I924)*(((CASHBACK_RULES!$N$5:$N$304="")+(CASHBACK_RULES!$N$5:$N$304&lt;=$B924))&gt;0)*(((CASHBACK_RULES!$O$5:$O$304="")+(CASHBACK_RULES!$O$5:$O$304&gt;=$B924))&gt;0)*(((CASHBACK_RULES!$M$5:$M$304="")+(CASHBACK_RULES!$M$5:$M$304&lt;=$L924))&gt;0),0),0),0))))</f>
        <v>0</v>
      </c>
      <c r="AD924" s="51" t="str">
        <f>IF(OR($B924="",$D924=""),"",IFERROR(IF(INDEX(CARDS!$H$5:$H$34,MATCH($D924,CARDS!$A$5:$A$34,0))="","",IF(DAY($B924)&lt;=INDEX(CARDS!$H$5:$H$34,MATCH($D924,CARDS!$A$5:$A$34,0)),DATE(YEAR($B924),MONTH($B924),MIN(INDEX(CARDS!$H$5:$H$34,MATCH($D924,CARDS!$A$5:$A$34,0)),DAY(EOMONTH($B924,0)))),DATE(YEAR($B924),MONTH($B924)+1,MIN(INDEX(CARDS!$H$5:$H$34,MATCH($D924,CARDS!$A$5:$A$34,0)),DAY(EOMONTH($B924,1)))))),""))</f>
        <v/>
      </c>
      <c r="AE924" s="52" t="str">
        <f>IF($C924="","",$C924&amp;"|"&amp;COUNTIF($C$5:$C924,$C924))</f>
        <v/>
      </c>
      <c r="AF924" s="53">
        <f>IF($AC924&gt;0,SUMIFS(Q$4:Q923,$D$4:$D923,$D924,$Z$4:$Z923,$Z924,$C$4:$C923,$C924),0)</f>
        <v>0</v>
      </c>
      <c r="AG924" s="53">
        <f>IF($AC924&gt;0,SUMIFS(Q$4:Q923,$D$4:$D923,$D924,$C$4:$C923,$C924),0)</f>
        <v>0</v>
      </c>
      <c r="AH924" s="53">
        <f>IF($AC924&gt;0,SUMIFS(M$4:M923,$D$4:$D923,$D924,$Z$4:$Z923,$Z924,$C$4:$C923,$C924),0)</f>
        <v>0</v>
      </c>
      <c r="AI924" s="43">
        <f>IF(OR($C924="",$I924=""),0,IF(COUNTIFS($C$5:$C924,$C924,$I$5:$I924,$I924)=1,1,0))</f>
        <v>0</v>
      </c>
      <c r="AJ924" s="43" t="str">
        <f>IF($AI924=1,SUMIFS($AI$4:$AI923,$C$4:$C923,$C924)+1,"")</f>
        <v/>
      </c>
      <c r="AK924" s="43">
        <f>IF(OR($C924="",$K924=""),0,IF(COUNTIFS($C$5:$C924,$C924,$K$5:$K924,$K924)=1,1,0))</f>
        <v>0</v>
      </c>
      <c r="AL924" s="43" t="str">
        <f>IF($AK924=1,SUMIFS($AK$4:$AK923,$C$4:$C923,$C924)+1,"")</f>
        <v/>
      </c>
      <c r="AM924" s="43">
        <f>IF(OR($C924="",$G924=""),0,IF(COUNTIFS($C$5:$C924,$C924,$G$5:$G924,$G924)=1,1,0))</f>
        <v>0</v>
      </c>
      <c r="AN924" s="43" t="str">
        <f>IF($AM924=1,SUMIFS($AM$4:$AM923,$C$4:$C923,$C924)+1,"")</f>
        <v/>
      </c>
    </row>
    <row r="925">
      <c r="A925" s="44" t="str">
        <f>IF(OR($B925="",$D925=""),"","TX"&amp;TEXT(ROW()-4,"0000"))</f>
        <v/>
      </c>
      <c r="B925" s="42" t="n"/>
      <c r="C925" s="47" t="str">
        <f>IF($B925="","",YEAR($B925)*100+MONTH($B925))</f>
        <v/>
      </c>
      <c r="D925" s="37" t="n"/>
      <c r="E925" s="45" t="str">
        <f>IF($D925="","",IFERROR(INDEX(CARDS!$B$5:$B$34,MATCH($D925,CARDS!$A$5:$A$34,0)),"⚠ Card ID?"))</f>
        <v/>
      </c>
      <c r="F925" s="45" t="str">
        <f>IF($D925="","",IFERROR(INDEX(CARDS!$C$5:$C$34,MATCH($D925,CARDS!$A$5:$A$34,0)),"⚠ Card ID?"))</f>
        <v/>
      </c>
      <c r="G925" s="37" t="n"/>
      <c r="H925" s="37" t="n"/>
      <c r="I925" s="41" t="n"/>
      <c r="J925" s="45" t="str">
        <f>IF($I925="","",IFERROR(INDEX(MCC_MASTER!$B$5:$B$504,MATCH($I925,MCC_MASTER!$A$5:$A$504,0)),"⚠ MCC chưa có"))</f>
        <v/>
      </c>
      <c r="K925" s="45" t="str">
        <f>IF($I925="","",IFERROR(IF(INDEX(MCC_MASTER!$C$5:$C$504,MATCH($I925,MCC_MASTER!$A$5:$A$504,0))="","Chưa phân loại",INDEX(MCC_MASTER!$C$5:$C$504,MATCH($I925,MCC_MASTER!$A$5:$A$504,0))),"Chưa phân loại"))</f>
        <v/>
      </c>
      <c r="L925" s="40" t="n"/>
      <c r="M925" s="48" t="str">
        <f>IF(OR($B925="",$D925=""),"",IF($AC925=0,0,IF(ISNUMBER(INDEX(CASHBACK_RULES!$L$5:$L$304,$AC925)),MAX(0,MIN($L925,INDEX(CASHBACK_RULES!$L$5:$L$304,$AC925)-$AH925)),MAX(0,$L925))))</f>
        <v/>
      </c>
      <c r="N925" s="49" t="str">
        <f>IF(OR($B925="",$D925=""),"",IF($AC925&gt;0,INDEX(CASHBACK_RULES!$I$5:$I$304,$AC925),0))</f>
        <v/>
      </c>
      <c r="O925" s="48" t="str">
        <f>IF(OR($B925="",$D925=""),"",ROUND($M925*$N925,0))</f>
        <v/>
      </c>
      <c r="P925" s="48" t="str">
        <f>IF($AC925&gt;0,IF(ISNUMBER(INDEX(CASHBACK_RULES!$J$5:$J$304,$AC925)),INDEX(CASHBACK_RULES!$J$5:$J$304,$AC925),"∞"),"")</f>
        <v/>
      </c>
      <c r="Q925" s="48" t="str">
        <f>IF(OR($B925="",$D925=""),"",IF($AC925=0,0,MAX(0,MIN($O925,IF(ISNUMBER($P925),$P925-$AF925,1E+15),IF(ISNUMBER($AA925),$AA925-$AG925,1E+15)))))</f>
        <v/>
      </c>
      <c r="R925" s="48" t="str">
        <f>IF(OR($B925="",$D925=""),"",IF($AC925=0,"",IF(AND(NOT(ISNUMBER($P925)),NOT(ISNUMBER($AA925))),"∞",MAX(0,MIN(IF(ISNUMBER($P925),$P925-$AF925-$Q925,1E+15),IF(ISNUMBER($AA925),$AA925-$AG925-$Q925,1E+15))))))</f>
        <v/>
      </c>
      <c r="S925" s="47" t="str">
        <f>IF($AD925="","",YEAR($AD925)*100+MONTH($AD925))</f>
        <v/>
      </c>
      <c r="T925" s="50" t="str">
        <f>IF($AD925="","",IFERROR(IF(INDEX(CARDS!$I$5:$I$34,MATCH($D925,CARDS!$A$5:$A$34,0))="","",IF(INDEX(CARDS!$I$5:$I$34,MATCH($D925,CARDS!$A$5:$A$34,0))&gt;INDEX(CARDS!$H$5:$H$34,MATCH($D925,CARDS!$A$5:$A$34,0)),DATE(YEAR($AD925),MONTH($AD925),MIN(INDEX(CARDS!$I$5:$I$34,MATCH($D925,CARDS!$A$5:$A$34,0)),DAY(EOMONTH($AD925,0)))),DATE(YEAR($AD925),MONTH($AD925)+1,MIN(INDEX(CARDS!$I$5:$I$34,MATCH($D925,CARDS!$A$5:$A$34,0)),DAY(EOMONTH($AD925,1)))))),""))</f>
        <v/>
      </c>
      <c r="U925" s="38" t="n"/>
      <c r="V925" s="37" t="n"/>
      <c r="W925" s="38" t="n"/>
      <c r="X925" s="38" t="n"/>
      <c r="Y925" s="44" t="str">
        <f>IF($AC925&gt;0,INDEX(CASHBACK_RULES!$A$5:$A$304,$AC925),"")</f>
        <v/>
      </c>
      <c r="Z925" s="45" t="str">
        <f>IF($AC925&gt;0,INDEX(CASHBACK_RULES!$E$5:$E$304,$AC925)&amp;"","")</f>
        <v/>
      </c>
      <c r="AA925" s="48" t="str">
        <f>IF($AC925&gt;0,IF(ISNUMBER(INDEX(CASHBACK_RULES!$K$5:$K$304,$AC925)),INDEX(CASHBACK_RULES!$K$5:$K$304,$AC925),"∞"),"")</f>
        <v/>
      </c>
      <c r="AB925" s="44" t="str">
        <f>IF(OR($B925="",$D925=""),"",IF($U925="Cancelled","Đã hủy",IF($AC925=0,"Không được hoàn",IF($Q925=0,IF(OR($O925&gt;0,$M925&lt;$L925),"Đã đạt cap","Không được hoàn"),IF(OR($Q925&lt;$O925,$M925&lt;$L925),"Hoàn một phần","Được hoàn")))))</f>
        <v/>
      </c>
      <c r="AC925" s="43">
        <f>IF(OR($B925="",$D925="",$I925="",$L925=""),0,IF($U925="Cancelled",0,IF($W925&lt;&gt;"",IFERROR(IF(INDEX(CASHBACK_RULES!$B$5:$B$304,MATCH($W925,CASHBACK_RULES!$A$5:$A$304,0))=$D925,MATCH($W925,CASHBACK_RULES!$A$5:$A$304,0),0),0),IFERROR(MATCH(1,INDEX((CASHBACK_RULES!$B$5:$B$304=$D925)*(CASHBACK_RULES!$G$5:$G$304=$I925)*(((CASHBACK_RULES!$N$5:$N$304="")+(CASHBACK_RULES!$N$5:$N$304&lt;=$B925))&gt;0)*(((CASHBACK_RULES!$O$5:$O$304="")+(CASHBACK_RULES!$O$5:$O$304&gt;=$B925))&gt;0)*(((CASHBACK_RULES!$M$5:$M$304="")+(CASHBACK_RULES!$M$5:$M$304&lt;=$L925))&gt;0),0),0),0))))</f>
        <v>0</v>
      </c>
      <c r="AD925" s="51" t="str">
        <f>IF(OR($B925="",$D925=""),"",IFERROR(IF(INDEX(CARDS!$H$5:$H$34,MATCH($D925,CARDS!$A$5:$A$34,0))="","",IF(DAY($B925)&lt;=INDEX(CARDS!$H$5:$H$34,MATCH($D925,CARDS!$A$5:$A$34,0)),DATE(YEAR($B925),MONTH($B925),MIN(INDEX(CARDS!$H$5:$H$34,MATCH($D925,CARDS!$A$5:$A$34,0)),DAY(EOMONTH($B925,0)))),DATE(YEAR($B925),MONTH($B925)+1,MIN(INDEX(CARDS!$H$5:$H$34,MATCH($D925,CARDS!$A$5:$A$34,0)),DAY(EOMONTH($B925,1)))))),""))</f>
        <v/>
      </c>
      <c r="AE925" s="52" t="str">
        <f>IF($C925="","",$C925&amp;"|"&amp;COUNTIF($C$5:$C925,$C925))</f>
        <v/>
      </c>
      <c r="AF925" s="53">
        <f>IF($AC925&gt;0,SUMIFS(Q$4:Q924,$D$4:$D924,$D925,$Z$4:$Z924,$Z925,$C$4:$C924,$C925),0)</f>
        <v>0</v>
      </c>
      <c r="AG925" s="53">
        <f>IF($AC925&gt;0,SUMIFS(Q$4:Q924,$D$4:$D924,$D925,$C$4:$C924,$C925),0)</f>
        <v>0</v>
      </c>
      <c r="AH925" s="53">
        <f>IF($AC925&gt;0,SUMIFS(M$4:M924,$D$4:$D924,$D925,$Z$4:$Z924,$Z925,$C$4:$C924,$C925),0)</f>
        <v>0</v>
      </c>
      <c r="AI925" s="43">
        <f>IF(OR($C925="",$I925=""),0,IF(COUNTIFS($C$5:$C925,$C925,$I$5:$I925,$I925)=1,1,0))</f>
        <v>0</v>
      </c>
      <c r="AJ925" s="43" t="str">
        <f>IF($AI925=1,SUMIFS($AI$4:$AI924,$C$4:$C924,$C925)+1,"")</f>
        <v/>
      </c>
      <c r="AK925" s="43">
        <f>IF(OR($C925="",$K925=""),0,IF(COUNTIFS($C$5:$C925,$C925,$K$5:$K925,$K925)=1,1,0))</f>
        <v>0</v>
      </c>
      <c r="AL925" s="43" t="str">
        <f>IF($AK925=1,SUMIFS($AK$4:$AK924,$C$4:$C924,$C925)+1,"")</f>
        <v/>
      </c>
      <c r="AM925" s="43">
        <f>IF(OR($C925="",$G925=""),0,IF(COUNTIFS($C$5:$C925,$C925,$G$5:$G925,$G925)=1,1,0))</f>
        <v>0</v>
      </c>
      <c r="AN925" s="43" t="str">
        <f>IF($AM925=1,SUMIFS($AM$4:$AM924,$C$4:$C924,$C925)+1,"")</f>
        <v/>
      </c>
    </row>
    <row r="926">
      <c r="A926" s="44" t="str">
        <f>IF(OR($B926="",$D926=""),"","TX"&amp;TEXT(ROW()-4,"0000"))</f>
        <v/>
      </c>
      <c r="B926" s="42" t="n"/>
      <c r="C926" s="47" t="str">
        <f>IF($B926="","",YEAR($B926)*100+MONTH($B926))</f>
        <v/>
      </c>
      <c r="D926" s="37" t="n"/>
      <c r="E926" s="45" t="str">
        <f>IF($D926="","",IFERROR(INDEX(CARDS!$B$5:$B$34,MATCH($D926,CARDS!$A$5:$A$34,0)),"⚠ Card ID?"))</f>
        <v/>
      </c>
      <c r="F926" s="45" t="str">
        <f>IF($D926="","",IFERROR(INDEX(CARDS!$C$5:$C$34,MATCH($D926,CARDS!$A$5:$A$34,0)),"⚠ Card ID?"))</f>
        <v/>
      </c>
      <c r="G926" s="37" t="n"/>
      <c r="H926" s="37" t="n"/>
      <c r="I926" s="41" t="n"/>
      <c r="J926" s="45" t="str">
        <f>IF($I926="","",IFERROR(INDEX(MCC_MASTER!$B$5:$B$504,MATCH($I926,MCC_MASTER!$A$5:$A$504,0)),"⚠ MCC chưa có"))</f>
        <v/>
      </c>
      <c r="K926" s="45" t="str">
        <f>IF($I926="","",IFERROR(IF(INDEX(MCC_MASTER!$C$5:$C$504,MATCH($I926,MCC_MASTER!$A$5:$A$504,0))="","Chưa phân loại",INDEX(MCC_MASTER!$C$5:$C$504,MATCH($I926,MCC_MASTER!$A$5:$A$504,0))),"Chưa phân loại"))</f>
        <v/>
      </c>
      <c r="L926" s="40" t="n"/>
      <c r="M926" s="48" t="str">
        <f>IF(OR($B926="",$D926=""),"",IF($AC926=0,0,IF(ISNUMBER(INDEX(CASHBACK_RULES!$L$5:$L$304,$AC926)),MAX(0,MIN($L926,INDEX(CASHBACK_RULES!$L$5:$L$304,$AC926)-$AH926)),MAX(0,$L926))))</f>
        <v/>
      </c>
      <c r="N926" s="49" t="str">
        <f>IF(OR($B926="",$D926=""),"",IF($AC926&gt;0,INDEX(CASHBACK_RULES!$I$5:$I$304,$AC926),0))</f>
        <v/>
      </c>
      <c r="O926" s="48" t="str">
        <f>IF(OR($B926="",$D926=""),"",ROUND($M926*$N926,0))</f>
        <v/>
      </c>
      <c r="P926" s="48" t="str">
        <f>IF($AC926&gt;0,IF(ISNUMBER(INDEX(CASHBACK_RULES!$J$5:$J$304,$AC926)),INDEX(CASHBACK_RULES!$J$5:$J$304,$AC926),"∞"),"")</f>
        <v/>
      </c>
      <c r="Q926" s="48" t="str">
        <f>IF(OR($B926="",$D926=""),"",IF($AC926=0,0,MAX(0,MIN($O926,IF(ISNUMBER($P926),$P926-$AF926,1E+15),IF(ISNUMBER($AA926),$AA926-$AG926,1E+15)))))</f>
        <v/>
      </c>
      <c r="R926" s="48" t="str">
        <f>IF(OR($B926="",$D926=""),"",IF($AC926=0,"",IF(AND(NOT(ISNUMBER($P926)),NOT(ISNUMBER($AA926))),"∞",MAX(0,MIN(IF(ISNUMBER($P926),$P926-$AF926-$Q926,1E+15),IF(ISNUMBER($AA926),$AA926-$AG926-$Q926,1E+15))))))</f>
        <v/>
      </c>
      <c r="S926" s="47" t="str">
        <f>IF($AD926="","",YEAR($AD926)*100+MONTH($AD926))</f>
        <v/>
      </c>
      <c r="T926" s="50" t="str">
        <f>IF($AD926="","",IFERROR(IF(INDEX(CARDS!$I$5:$I$34,MATCH($D926,CARDS!$A$5:$A$34,0))="","",IF(INDEX(CARDS!$I$5:$I$34,MATCH($D926,CARDS!$A$5:$A$34,0))&gt;INDEX(CARDS!$H$5:$H$34,MATCH($D926,CARDS!$A$5:$A$34,0)),DATE(YEAR($AD926),MONTH($AD926),MIN(INDEX(CARDS!$I$5:$I$34,MATCH($D926,CARDS!$A$5:$A$34,0)),DAY(EOMONTH($AD926,0)))),DATE(YEAR($AD926),MONTH($AD926)+1,MIN(INDEX(CARDS!$I$5:$I$34,MATCH($D926,CARDS!$A$5:$A$34,0)),DAY(EOMONTH($AD926,1)))))),""))</f>
        <v/>
      </c>
      <c r="U926" s="38" t="n"/>
      <c r="V926" s="37" t="n"/>
      <c r="W926" s="38" t="n"/>
      <c r="X926" s="38" t="n"/>
      <c r="Y926" s="44" t="str">
        <f>IF($AC926&gt;0,INDEX(CASHBACK_RULES!$A$5:$A$304,$AC926),"")</f>
        <v/>
      </c>
      <c r="Z926" s="45" t="str">
        <f>IF($AC926&gt;0,INDEX(CASHBACK_RULES!$E$5:$E$304,$AC926)&amp;"","")</f>
        <v/>
      </c>
      <c r="AA926" s="48" t="str">
        <f>IF($AC926&gt;0,IF(ISNUMBER(INDEX(CASHBACK_RULES!$K$5:$K$304,$AC926)),INDEX(CASHBACK_RULES!$K$5:$K$304,$AC926),"∞"),"")</f>
        <v/>
      </c>
      <c r="AB926" s="44" t="str">
        <f>IF(OR($B926="",$D926=""),"",IF($U926="Cancelled","Đã hủy",IF($AC926=0,"Không được hoàn",IF($Q926=0,IF(OR($O926&gt;0,$M926&lt;$L926),"Đã đạt cap","Không được hoàn"),IF(OR($Q926&lt;$O926,$M926&lt;$L926),"Hoàn một phần","Được hoàn")))))</f>
        <v/>
      </c>
      <c r="AC926" s="43">
        <f>IF(OR($B926="",$D926="",$I926="",$L926=""),0,IF($U926="Cancelled",0,IF($W926&lt;&gt;"",IFERROR(IF(INDEX(CASHBACK_RULES!$B$5:$B$304,MATCH($W926,CASHBACK_RULES!$A$5:$A$304,0))=$D926,MATCH($W926,CASHBACK_RULES!$A$5:$A$304,0),0),0),IFERROR(MATCH(1,INDEX((CASHBACK_RULES!$B$5:$B$304=$D926)*(CASHBACK_RULES!$G$5:$G$304=$I926)*(((CASHBACK_RULES!$N$5:$N$304="")+(CASHBACK_RULES!$N$5:$N$304&lt;=$B926))&gt;0)*(((CASHBACK_RULES!$O$5:$O$304="")+(CASHBACK_RULES!$O$5:$O$304&gt;=$B926))&gt;0)*(((CASHBACK_RULES!$M$5:$M$304="")+(CASHBACK_RULES!$M$5:$M$304&lt;=$L926))&gt;0),0),0),0))))</f>
        <v>0</v>
      </c>
      <c r="AD926" s="51" t="str">
        <f>IF(OR($B926="",$D926=""),"",IFERROR(IF(INDEX(CARDS!$H$5:$H$34,MATCH($D926,CARDS!$A$5:$A$34,0))="","",IF(DAY($B926)&lt;=INDEX(CARDS!$H$5:$H$34,MATCH($D926,CARDS!$A$5:$A$34,0)),DATE(YEAR($B926),MONTH($B926),MIN(INDEX(CARDS!$H$5:$H$34,MATCH($D926,CARDS!$A$5:$A$34,0)),DAY(EOMONTH($B926,0)))),DATE(YEAR($B926),MONTH($B926)+1,MIN(INDEX(CARDS!$H$5:$H$34,MATCH($D926,CARDS!$A$5:$A$34,0)),DAY(EOMONTH($B926,1)))))),""))</f>
        <v/>
      </c>
      <c r="AE926" s="52" t="str">
        <f>IF($C926="","",$C926&amp;"|"&amp;COUNTIF($C$5:$C926,$C926))</f>
        <v/>
      </c>
      <c r="AF926" s="53">
        <f>IF($AC926&gt;0,SUMIFS(Q$4:Q925,$D$4:$D925,$D926,$Z$4:$Z925,$Z926,$C$4:$C925,$C926),0)</f>
        <v>0</v>
      </c>
      <c r="AG926" s="53">
        <f>IF($AC926&gt;0,SUMIFS(Q$4:Q925,$D$4:$D925,$D926,$C$4:$C925,$C926),0)</f>
        <v>0</v>
      </c>
      <c r="AH926" s="53">
        <f>IF($AC926&gt;0,SUMIFS(M$4:M925,$D$4:$D925,$D926,$Z$4:$Z925,$Z926,$C$4:$C925,$C926),0)</f>
        <v>0</v>
      </c>
      <c r="AI926" s="43">
        <f>IF(OR($C926="",$I926=""),0,IF(COUNTIFS($C$5:$C926,$C926,$I$5:$I926,$I926)=1,1,0))</f>
        <v>0</v>
      </c>
      <c r="AJ926" s="43" t="str">
        <f>IF($AI926=1,SUMIFS($AI$4:$AI925,$C$4:$C925,$C926)+1,"")</f>
        <v/>
      </c>
      <c r="AK926" s="43">
        <f>IF(OR($C926="",$K926=""),0,IF(COUNTIFS($C$5:$C926,$C926,$K$5:$K926,$K926)=1,1,0))</f>
        <v>0</v>
      </c>
      <c r="AL926" s="43" t="str">
        <f>IF($AK926=1,SUMIFS($AK$4:$AK925,$C$4:$C925,$C926)+1,"")</f>
        <v/>
      </c>
      <c r="AM926" s="43">
        <f>IF(OR($C926="",$G926=""),0,IF(COUNTIFS($C$5:$C926,$C926,$G$5:$G926,$G926)=1,1,0))</f>
        <v>0</v>
      </c>
      <c r="AN926" s="43" t="str">
        <f>IF($AM926=1,SUMIFS($AM$4:$AM925,$C$4:$C925,$C926)+1,"")</f>
        <v/>
      </c>
    </row>
    <row r="927">
      <c r="A927" s="44" t="str">
        <f>IF(OR($B927="",$D927=""),"","TX"&amp;TEXT(ROW()-4,"0000"))</f>
        <v/>
      </c>
      <c r="B927" s="42" t="n"/>
      <c r="C927" s="47" t="str">
        <f>IF($B927="","",YEAR($B927)*100+MONTH($B927))</f>
        <v/>
      </c>
      <c r="D927" s="37" t="n"/>
      <c r="E927" s="45" t="str">
        <f>IF($D927="","",IFERROR(INDEX(CARDS!$B$5:$B$34,MATCH($D927,CARDS!$A$5:$A$34,0)),"⚠ Card ID?"))</f>
        <v/>
      </c>
      <c r="F927" s="45" t="str">
        <f>IF($D927="","",IFERROR(INDEX(CARDS!$C$5:$C$34,MATCH($D927,CARDS!$A$5:$A$34,0)),"⚠ Card ID?"))</f>
        <v/>
      </c>
      <c r="G927" s="37" t="n"/>
      <c r="H927" s="37" t="n"/>
      <c r="I927" s="41" t="n"/>
      <c r="J927" s="45" t="str">
        <f>IF($I927="","",IFERROR(INDEX(MCC_MASTER!$B$5:$B$504,MATCH($I927,MCC_MASTER!$A$5:$A$504,0)),"⚠ MCC chưa có"))</f>
        <v/>
      </c>
      <c r="K927" s="45" t="str">
        <f>IF($I927="","",IFERROR(IF(INDEX(MCC_MASTER!$C$5:$C$504,MATCH($I927,MCC_MASTER!$A$5:$A$504,0))="","Chưa phân loại",INDEX(MCC_MASTER!$C$5:$C$504,MATCH($I927,MCC_MASTER!$A$5:$A$504,0))),"Chưa phân loại"))</f>
        <v/>
      </c>
      <c r="L927" s="40" t="n"/>
      <c r="M927" s="48" t="str">
        <f>IF(OR($B927="",$D927=""),"",IF($AC927=0,0,IF(ISNUMBER(INDEX(CASHBACK_RULES!$L$5:$L$304,$AC927)),MAX(0,MIN($L927,INDEX(CASHBACK_RULES!$L$5:$L$304,$AC927)-$AH927)),MAX(0,$L927))))</f>
        <v/>
      </c>
      <c r="N927" s="49" t="str">
        <f>IF(OR($B927="",$D927=""),"",IF($AC927&gt;0,INDEX(CASHBACK_RULES!$I$5:$I$304,$AC927),0))</f>
        <v/>
      </c>
      <c r="O927" s="48" t="str">
        <f>IF(OR($B927="",$D927=""),"",ROUND($M927*$N927,0))</f>
        <v/>
      </c>
      <c r="P927" s="48" t="str">
        <f>IF($AC927&gt;0,IF(ISNUMBER(INDEX(CASHBACK_RULES!$J$5:$J$304,$AC927)),INDEX(CASHBACK_RULES!$J$5:$J$304,$AC927),"∞"),"")</f>
        <v/>
      </c>
      <c r="Q927" s="48" t="str">
        <f>IF(OR($B927="",$D927=""),"",IF($AC927=0,0,MAX(0,MIN($O927,IF(ISNUMBER($P927),$P927-$AF927,1E+15),IF(ISNUMBER($AA927),$AA927-$AG927,1E+15)))))</f>
        <v/>
      </c>
      <c r="R927" s="48" t="str">
        <f>IF(OR($B927="",$D927=""),"",IF($AC927=0,"",IF(AND(NOT(ISNUMBER($P927)),NOT(ISNUMBER($AA927))),"∞",MAX(0,MIN(IF(ISNUMBER($P927),$P927-$AF927-$Q927,1E+15),IF(ISNUMBER($AA927),$AA927-$AG927-$Q927,1E+15))))))</f>
        <v/>
      </c>
      <c r="S927" s="47" t="str">
        <f>IF($AD927="","",YEAR($AD927)*100+MONTH($AD927))</f>
        <v/>
      </c>
      <c r="T927" s="50" t="str">
        <f>IF($AD927="","",IFERROR(IF(INDEX(CARDS!$I$5:$I$34,MATCH($D927,CARDS!$A$5:$A$34,0))="","",IF(INDEX(CARDS!$I$5:$I$34,MATCH($D927,CARDS!$A$5:$A$34,0))&gt;INDEX(CARDS!$H$5:$H$34,MATCH($D927,CARDS!$A$5:$A$34,0)),DATE(YEAR($AD927),MONTH($AD927),MIN(INDEX(CARDS!$I$5:$I$34,MATCH($D927,CARDS!$A$5:$A$34,0)),DAY(EOMONTH($AD927,0)))),DATE(YEAR($AD927),MONTH($AD927)+1,MIN(INDEX(CARDS!$I$5:$I$34,MATCH($D927,CARDS!$A$5:$A$34,0)),DAY(EOMONTH($AD927,1)))))),""))</f>
        <v/>
      </c>
      <c r="U927" s="38" t="n"/>
      <c r="V927" s="37" t="n"/>
      <c r="W927" s="38" t="n"/>
      <c r="X927" s="38" t="n"/>
      <c r="Y927" s="44" t="str">
        <f>IF($AC927&gt;0,INDEX(CASHBACK_RULES!$A$5:$A$304,$AC927),"")</f>
        <v/>
      </c>
      <c r="Z927" s="45" t="str">
        <f>IF($AC927&gt;0,INDEX(CASHBACK_RULES!$E$5:$E$304,$AC927)&amp;"","")</f>
        <v/>
      </c>
      <c r="AA927" s="48" t="str">
        <f>IF($AC927&gt;0,IF(ISNUMBER(INDEX(CASHBACK_RULES!$K$5:$K$304,$AC927)),INDEX(CASHBACK_RULES!$K$5:$K$304,$AC927),"∞"),"")</f>
        <v/>
      </c>
      <c r="AB927" s="44" t="str">
        <f>IF(OR($B927="",$D927=""),"",IF($U927="Cancelled","Đã hủy",IF($AC927=0,"Không được hoàn",IF($Q927=0,IF(OR($O927&gt;0,$M927&lt;$L927),"Đã đạt cap","Không được hoàn"),IF(OR($Q927&lt;$O927,$M927&lt;$L927),"Hoàn một phần","Được hoàn")))))</f>
        <v/>
      </c>
      <c r="AC927" s="43">
        <f>IF(OR($B927="",$D927="",$I927="",$L927=""),0,IF($U927="Cancelled",0,IF($W927&lt;&gt;"",IFERROR(IF(INDEX(CASHBACK_RULES!$B$5:$B$304,MATCH($W927,CASHBACK_RULES!$A$5:$A$304,0))=$D927,MATCH($W927,CASHBACK_RULES!$A$5:$A$304,0),0),0),IFERROR(MATCH(1,INDEX((CASHBACK_RULES!$B$5:$B$304=$D927)*(CASHBACK_RULES!$G$5:$G$304=$I927)*(((CASHBACK_RULES!$N$5:$N$304="")+(CASHBACK_RULES!$N$5:$N$304&lt;=$B927))&gt;0)*(((CASHBACK_RULES!$O$5:$O$304="")+(CASHBACK_RULES!$O$5:$O$304&gt;=$B927))&gt;0)*(((CASHBACK_RULES!$M$5:$M$304="")+(CASHBACK_RULES!$M$5:$M$304&lt;=$L927))&gt;0),0),0),0))))</f>
        <v>0</v>
      </c>
      <c r="AD927" s="51" t="str">
        <f>IF(OR($B927="",$D927=""),"",IFERROR(IF(INDEX(CARDS!$H$5:$H$34,MATCH($D927,CARDS!$A$5:$A$34,0))="","",IF(DAY($B927)&lt;=INDEX(CARDS!$H$5:$H$34,MATCH($D927,CARDS!$A$5:$A$34,0)),DATE(YEAR($B927),MONTH($B927),MIN(INDEX(CARDS!$H$5:$H$34,MATCH($D927,CARDS!$A$5:$A$34,0)),DAY(EOMONTH($B927,0)))),DATE(YEAR($B927),MONTH($B927)+1,MIN(INDEX(CARDS!$H$5:$H$34,MATCH($D927,CARDS!$A$5:$A$34,0)),DAY(EOMONTH($B927,1)))))),""))</f>
        <v/>
      </c>
      <c r="AE927" s="52" t="str">
        <f>IF($C927="","",$C927&amp;"|"&amp;COUNTIF($C$5:$C927,$C927))</f>
        <v/>
      </c>
      <c r="AF927" s="53">
        <f>IF($AC927&gt;0,SUMIFS(Q$4:Q926,$D$4:$D926,$D927,$Z$4:$Z926,$Z927,$C$4:$C926,$C927),0)</f>
        <v>0</v>
      </c>
      <c r="AG927" s="53">
        <f>IF($AC927&gt;0,SUMIFS(Q$4:Q926,$D$4:$D926,$D927,$C$4:$C926,$C927),0)</f>
        <v>0</v>
      </c>
      <c r="AH927" s="53">
        <f>IF($AC927&gt;0,SUMIFS(M$4:M926,$D$4:$D926,$D927,$Z$4:$Z926,$Z927,$C$4:$C926,$C927),0)</f>
        <v>0</v>
      </c>
      <c r="AI927" s="43">
        <f>IF(OR($C927="",$I927=""),0,IF(COUNTIFS($C$5:$C927,$C927,$I$5:$I927,$I927)=1,1,0))</f>
        <v>0</v>
      </c>
      <c r="AJ927" s="43" t="str">
        <f>IF($AI927=1,SUMIFS($AI$4:$AI926,$C$4:$C926,$C927)+1,"")</f>
        <v/>
      </c>
      <c r="AK927" s="43">
        <f>IF(OR($C927="",$K927=""),0,IF(COUNTIFS($C$5:$C927,$C927,$K$5:$K927,$K927)=1,1,0))</f>
        <v>0</v>
      </c>
      <c r="AL927" s="43" t="str">
        <f>IF($AK927=1,SUMIFS($AK$4:$AK926,$C$4:$C926,$C927)+1,"")</f>
        <v/>
      </c>
      <c r="AM927" s="43">
        <f>IF(OR($C927="",$G927=""),0,IF(COUNTIFS($C$5:$C927,$C927,$G$5:$G927,$G927)=1,1,0))</f>
        <v>0</v>
      </c>
      <c r="AN927" s="43" t="str">
        <f>IF($AM927=1,SUMIFS($AM$4:$AM926,$C$4:$C926,$C927)+1,"")</f>
        <v/>
      </c>
    </row>
    <row r="928">
      <c r="A928" s="44" t="str">
        <f>IF(OR($B928="",$D928=""),"","TX"&amp;TEXT(ROW()-4,"0000"))</f>
        <v/>
      </c>
      <c r="B928" s="42" t="n"/>
      <c r="C928" s="47" t="str">
        <f>IF($B928="","",YEAR($B928)*100+MONTH($B928))</f>
        <v/>
      </c>
      <c r="D928" s="37" t="n"/>
      <c r="E928" s="45" t="str">
        <f>IF($D928="","",IFERROR(INDEX(CARDS!$B$5:$B$34,MATCH($D928,CARDS!$A$5:$A$34,0)),"⚠ Card ID?"))</f>
        <v/>
      </c>
      <c r="F928" s="45" t="str">
        <f>IF($D928="","",IFERROR(INDEX(CARDS!$C$5:$C$34,MATCH($D928,CARDS!$A$5:$A$34,0)),"⚠ Card ID?"))</f>
        <v/>
      </c>
      <c r="G928" s="37" t="n"/>
      <c r="H928" s="37" t="n"/>
      <c r="I928" s="41" t="n"/>
      <c r="J928" s="45" t="str">
        <f>IF($I928="","",IFERROR(INDEX(MCC_MASTER!$B$5:$B$504,MATCH($I928,MCC_MASTER!$A$5:$A$504,0)),"⚠ MCC chưa có"))</f>
        <v/>
      </c>
      <c r="K928" s="45" t="str">
        <f>IF($I928="","",IFERROR(IF(INDEX(MCC_MASTER!$C$5:$C$504,MATCH($I928,MCC_MASTER!$A$5:$A$504,0))="","Chưa phân loại",INDEX(MCC_MASTER!$C$5:$C$504,MATCH($I928,MCC_MASTER!$A$5:$A$504,0))),"Chưa phân loại"))</f>
        <v/>
      </c>
      <c r="L928" s="40" t="n"/>
      <c r="M928" s="48" t="str">
        <f>IF(OR($B928="",$D928=""),"",IF($AC928=0,0,IF(ISNUMBER(INDEX(CASHBACK_RULES!$L$5:$L$304,$AC928)),MAX(0,MIN($L928,INDEX(CASHBACK_RULES!$L$5:$L$304,$AC928)-$AH928)),MAX(0,$L928))))</f>
        <v/>
      </c>
      <c r="N928" s="49" t="str">
        <f>IF(OR($B928="",$D928=""),"",IF($AC928&gt;0,INDEX(CASHBACK_RULES!$I$5:$I$304,$AC928),0))</f>
        <v/>
      </c>
      <c r="O928" s="48" t="str">
        <f>IF(OR($B928="",$D928=""),"",ROUND($M928*$N928,0))</f>
        <v/>
      </c>
      <c r="P928" s="48" t="str">
        <f>IF($AC928&gt;0,IF(ISNUMBER(INDEX(CASHBACK_RULES!$J$5:$J$304,$AC928)),INDEX(CASHBACK_RULES!$J$5:$J$304,$AC928),"∞"),"")</f>
        <v/>
      </c>
      <c r="Q928" s="48" t="str">
        <f>IF(OR($B928="",$D928=""),"",IF($AC928=0,0,MAX(0,MIN($O928,IF(ISNUMBER($P928),$P928-$AF928,1E+15),IF(ISNUMBER($AA928),$AA928-$AG928,1E+15)))))</f>
        <v/>
      </c>
      <c r="R928" s="48" t="str">
        <f>IF(OR($B928="",$D928=""),"",IF($AC928=0,"",IF(AND(NOT(ISNUMBER($P928)),NOT(ISNUMBER($AA928))),"∞",MAX(0,MIN(IF(ISNUMBER($P928),$P928-$AF928-$Q928,1E+15),IF(ISNUMBER($AA928),$AA928-$AG928-$Q928,1E+15))))))</f>
        <v/>
      </c>
      <c r="S928" s="47" t="str">
        <f>IF($AD928="","",YEAR($AD928)*100+MONTH($AD928))</f>
        <v/>
      </c>
      <c r="T928" s="50" t="str">
        <f>IF($AD928="","",IFERROR(IF(INDEX(CARDS!$I$5:$I$34,MATCH($D928,CARDS!$A$5:$A$34,0))="","",IF(INDEX(CARDS!$I$5:$I$34,MATCH($D928,CARDS!$A$5:$A$34,0))&gt;INDEX(CARDS!$H$5:$H$34,MATCH($D928,CARDS!$A$5:$A$34,0)),DATE(YEAR($AD928),MONTH($AD928),MIN(INDEX(CARDS!$I$5:$I$34,MATCH($D928,CARDS!$A$5:$A$34,0)),DAY(EOMONTH($AD928,0)))),DATE(YEAR($AD928),MONTH($AD928)+1,MIN(INDEX(CARDS!$I$5:$I$34,MATCH($D928,CARDS!$A$5:$A$34,0)),DAY(EOMONTH($AD928,1)))))),""))</f>
        <v/>
      </c>
      <c r="U928" s="38" t="n"/>
      <c r="V928" s="37" t="n"/>
      <c r="W928" s="38" t="n"/>
      <c r="X928" s="38" t="n"/>
      <c r="Y928" s="44" t="str">
        <f>IF($AC928&gt;0,INDEX(CASHBACK_RULES!$A$5:$A$304,$AC928),"")</f>
        <v/>
      </c>
      <c r="Z928" s="45" t="str">
        <f>IF($AC928&gt;0,INDEX(CASHBACK_RULES!$E$5:$E$304,$AC928)&amp;"","")</f>
        <v/>
      </c>
      <c r="AA928" s="48" t="str">
        <f>IF($AC928&gt;0,IF(ISNUMBER(INDEX(CASHBACK_RULES!$K$5:$K$304,$AC928)),INDEX(CASHBACK_RULES!$K$5:$K$304,$AC928),"∞"),"")</f>
        <v/>
      </c>
      <c r="AB928" s="44" t="str">
        <f>IF(OR($B928="",$D928=""),"",IF($U928="Cancelled","Đã hủy",IF($AC928=0,"Không được hoàn",IF($Q928=0,IF(OR($O928&gt;0,$M928&lt;$L928),"Đã đạt cap","Không được hoàn"),IF(OR($Q928&lt;$O928,$M928&lt;$L928),"Hoàn một phần","Được hoàn")))))</f>
        <v/>
      </c>
      <c r="AC928" s="43">
        <f>IF(OR($B928="",$D928="",$I928="",$L928=""),0,IF($U928="Cancelled",0,IF($W928&lt;&gt;"",IFERROR(IF(INDEX(CASHBACK_RULES!$B$5:$B$304,MATCH($W928,CASHBACK_RULES!$A$5:$A$304,0))=$D928,MATCH($W928,CASHBACK_RULES!$A$5:$A$304,0),0),0),IFERROR(MATCH(1,INDEX((CASHBACK_RULES!$B$5:$B$304=$D928)*(CASHBACK_RULES!$G$5:$G$304=$I928)*(((CASHBACK_RULES!$N$5:$N$304="")+(CASHBACK_RULES!$N$5:$N$304&lt;=$B928))&gt;0)*(((CASHBACK_RULES!$O$5:$O$304="")+(CASHBACK_RULES!$O$5:$O$304&gt;=$B928))&gt;0)*(((CASHBACK_RULES!$M$5:$M$304="")+(CASHBACK_RULES!$M$5:$M$304&lt;=$L928))&gt;0),0),0),0))))</f>
        <v>0</v>
      </c>
      <c r="AD928" s="51" t="str">
        <f>IF(OR($B928="",$D928=""),"",IFERROR(IF(INDEX(CARDS!$H$5:$H$34,MATCH($D928,CARDS!$A$5:$A$34,0))="","",IF(DAY($B928)&lt;=INDEX(CARDS!$H$5:$H$34,MATCH($D928,CARDS!$A$5:$A$34,0)),DATE(YEAR($B928),MONTH($B928),MIN(INDEX(CARDS!$H$5:$H$34,MATCH($D928,CARDS!$A$5:$A$34,0)),DAY(EOMONTH($B928,0)))),DATE(YEAR($B928),MONTH($B928)+1,MIN(INDEX(CARDS!$H$5:$H$34,MATCH($D928,CARDS!$A$5:$A$34,0)),DAY(EOMONTH($B928,1)))))),""))</f>
        <v/>
      </c>
      <c r="AE928" s="52" t="str">
        <f>IF($C928="","",$C928&amp;"|"&amp;COUNTIF($C$5:$C928,$C928))</f>
        <v/>
      </c>
      <c r="AF928" s="53">
        <f>IF($AC928&gt;0,SUMIFS(Q$4:Q927,$D$4:$D927,$D928,$Z$4:$Z927,$Z928,$C$4:$C927,$C928),0)</f>
        <v>0</v>
      </c>
      <c r="AG928" s="53">
        <f>IF($AC928&gt;0,SUMIFS(Q$4:Q927,$D$4:$D927,$D928,$C$4:$C927,$C928),0)</f>
        <v>0</v>
      </c>
      <c r="AH928" s="53">
        <f>IF($AC928&gt;0,SUMIFS(M$4:M927,$D$4:$D927,$D928,$Z$4:$Z927,$Z928,$C$4:$C927,$C928),0)</f>
        <v>0</v>
      </c>
      <c r="AI928" s="43">
        <f>IF(OR($C928="",$I928=""),0,IF(COUNTIFS($C$5:$C928,$C928,$I$5:$I928,$I928)=1,1,0))</f>
        <v>0</v>
      </c>
      <c r="AJ928" s="43" t="str">
        <f>IF($AI928=1,SUMIFS($AI$4:$AI927,$C$4:$C927,$C928)+1,"")</f>
        <v/>
      </c>
      <c r="AK928" s="43">
        <f>IF(OR($C928="",$K928=""),0,IF(COUNTIFS($C$5:$C928,$C928,$K$5:$K928,$K928)=1,1,0))</f>
        <v>0</v>
      </c>
      <c r="AL928" s="43" t="str">
        <f>IF($AK928=1,SUMIFS($AK$4:$AK927,$C$4:$C927,$C928)+1,"")</f>
        <v/>
      </c>
      <c r="AM928" s="43">
        <f>IF(OR($C928="",$G928=""),0,IF(COUNTIFS($C$5:$C928,$C928,$G$5:$G928,$G928)=1,1,0))</f>
        <v>0</v>
      </c>
      <c r="AN928" s="43" t="str">
        <f>IF($AM928=1,SUMIFS($AM$4:$AM927,$C$4:$C927,$C928)+1,"")</f>
        <v/>
      </c>
    </row>
    <row r="929">
      <c r="A929" s="44" t="str">
        <f>IF(OR($B929="",$D929=""),"","TX"&amp;TEXT(ROW()-4,"0000"))</f>
        <v/>
      </c>
      <c r="B929" s="42" t="n"/>
      <c r="C929" s="47" t="str">
        <f>IF($B929="","",YEAR($B929)*100+MONTH($B929))</f>
        <v/>
      </c>
      <c r="D929" s="37" t="n"/>
      <c r="E929" s="45" t="str">
        <f>IF($D929="","",IFERROR(INDEX(CARDS!$B$5:$B$34,MATCH($D929,CARDS!$A$5:$A$34,0)),"⚠ Card ID?"))</f>
        <v/>
      </c>
      <c r="F929" s="45" t="str">
        <f>IF($D929="","",IFERROR(INDEX(CARDS!$C$5:$C$34,MATCH($D929,CARDS!$A$5:$A$34,0)),"⚠ Card ID?"))</f>
        <v/>
      </c>
      <c r="G929" s="37" t="n"/>
      <c r="H929" s="37" t="n"/>
      <c r="I929" s="41" t="n"/>
      <c r="J929" s="45" t="str">
        <f>IF($I929="","",IFERROR(INDEX(MCC_MASTER!$B$5:$B$504,MATCH($I929,MCC_MASTER!$A$5:$A$504,0)),"⚠ MCC chưa có"))</f>
        <v/>
      </c>
      <c r="K929" s="45" t="str">
        <f>IF($I929="","",IFERROR(IF(INDEX(MCC_MASTER!$C$5:$C$504,MATCH($I929,MCC_MASTER!$A$5:$A$504,0))="","Chưa phân loại",INDEX(MCC_MASTER!$C$5:$C$504,MATCH($I929,MCC_MASTER!$A$5:$A$504,0))),"Chưa phân loại"))</f>
        <v/>
      </c>
      <c r="L929" s="40" t="n"/>
      <c r="M929" s="48" t="str">
        <f>IF(OR($B929="",$D929=""),"",IF($AC929=0,0,IF(ISNUMBER(INDEX(CASHBACK_RULES!$L$5:$L$304,$AC929)),MAX(0,MIN($L929,INDEX(CASHBACK_RULES!$L$5:$L$304,$AC929)-$AH929)),MAX(0,$L929))))</f>
        <v/>
      </c>
      <c r="N929" s="49" t="str">
        <f>IF(OR($B929="",$D929=""),"",IF($AC929&gt;0,INDEX(CASHBACK_RULES!$I$5:$I$304,$AC929),0))</f>
        <v/>
      </c>
      <c r="O929" s="48" t="str">
        <f>IF(OR($B929="",$D929=""),"",ROUND($M929*$N929,0))</f>
        <v/>
      </c>
      <c r="P929" s="48" t="str">
        <f>IF($AC929&gt;0,IF(ISNUMBER(INDEX(CASHBACK_RULES!$J$5:$J$304,$AC929)),INDEX(CASHBACK_RULES!$J$5:$J$304,$AC929),"∞"),"")</f>
        <v/>
      </c>
      <c r="Q929" s="48" t="str">
        <f>IF(OR($B929="",$D929=""),"",IF($AC929=0,0,MAX(0,MIN($O929,IF(ISNUMBER($P929),$P929-$AF929,1E+15),IF(ISNUMBER($AA929),$AA929-$AG929,1E+15)))))</f>
        <v/>
      </c>
      <c r="R929" s="48" t="str">
        <f>IF(OR($B929="",$D929=""),"",IF($AC929=0,"",IF(AND(NOT(ISNUMBER($P929)),NOT(ISNUMBER($AA929))),"∞",MAX(0,MIN(IF(ISNUMBER($P929),$P929-$AF929-$Q929,1E+15),IF(ISNUMBER($AA929),$AA929-$AG929-$Q929,1E+15))))))</f>
        <v/>
      </c>
      <c r="S929" s="47" t="str">
        <f>IF($AD929="","",YEAR($AD929)*100+MONTH($AD929))</f>
        <v/>
      </c>
      <c r="T929" s="50" t="str">
        <f>IF($AD929="","",IFERROR(IF(INDEX(CARDS!$I$5:$I$34,MATCH($D929,CARDS!$A$5:$A$34,0))="","",IF(INDEX(CARDS!$I$5:$I$34,MATCH($D929,CARDS!$A$5:$A$34,0))&gt;INDEX(CARDS!$H$5:$H$34,MATCH($D929,CARDS!$A$5:$A$34,0)),DATE(YEAR($AD929),MONTH($AD929),MIN(INDEX(CARDS!$I$5:$I$34,MATCH($D929,CARDS!$A$5:$A$34,0)),DAY(EOMONTH($AD929,0)))),DATE(YEAR($AD929),MONTH($AD929)+1,MIN(INDEX(CARDS!$I$5:$I$34,MATCH($D929,CARDS!$A$5:$A$34,0)),DAY(EOMONTH($AD929,1)))))),""))</f>
        <v/>
      </c>
      <c r="U929" s="38" t="n"/>
      <c r="V929" s="37" t="n"/>
      <c r="W929" s="38" t="n"/>
      <c r="X929" s="38" t="n"/>
      <c r="Y929" s="44" t="str">
        <f>IF($AC929&gt;0,INDEX(CASHBACK_RULES!$A$5:$A$304,$AC929),"")</f>
        <v/>
      </c>
      <c r="Z929" s="45" t="str">
        <f>IF($AC929&gt;0,INDEX(CASHBACK_RULES!$E$5:$E$304,$AC929)&amp;"","")</f>
        <v/>
      </c>
      <c r="AA929" s="48" t="str">
        <f>IF($AC929&gt;0,IF(ISNUMBER(INDEX(CASHBACK_RULES!$K$5:$K$304,$AC929)),INDEX(CASHBACK_RULES!$K$5:$K$304,$AC929),"∞"),"")</f>
        <v/>
      </c>
      <c r="AB929" s="44" t="str">
        <f>IF(OR($B929="",$D929=""),"",IF($U929="Cancelled","Đã hủy",IF($AC929=0,"Không được hoàn",IF($Q929=0,IF(OR($O929&gt;0,$M929&lt;$L929),"Đã đạt cap","Không được hoàn"),IF(OR($Q929&lt;$O929,$M929&lt;$L929),"Hoàn một phần","Được hoàn")))))</f>
        <v/>
      </c>
      <c r="AC929" s="43">
        <f>IF(OR($B929="",$D929="",$I929="",$L929=""),0,IF($U929="Cancelled",0,IF($W929&lt;&gt;"",IFERROR(IF(INDEX(CASHBACK_RULES!$B$5:$B$304,MATCH($W929,CASHBACK_RULES!$A$5:$A$304,0))=$D929,MATCH($W929,CASHBACK_RULES!$A$5:$A$304,0),0),0),IFERROR(MATCH(1,INDEX((CASHBACK_RULES!$B$5:$B$304=$D929)*(CASHBACK_RULES!$G$5:$G$304=$I929)*(((CASHBACK_RULES!$N$5:$N$304="")+(CASHBACK_RULES!$N$5:$N$304&lt;=$B929))&gt;0)*(((CASHBACK_RULES!$O$5:$O$304="")+(CASHBACK_RULES!$O$5:$O$304&gt;=$B929))&gt;0)*(((CASHBACK_RULES!$M$5:$M$304="")+(CASHBACK_RULES!$M$5:$M$304&lt;=$L929))&gt;0),0),0),0))))</f>
        <v>0</v>
      </c>
      <c r="AD929" s="51" t="str">
        <f>IF(OR($B929="",$D929=""),"",IFERROR(IF(INDEX(CARDS!$H$5:$H$34,MATCH($D929,CARDS!$A$5:$A$34,0))="","",IF(DAY($B929)&lt;=INDEX(CARDS!$H$5:$H$34,MATCH($D929,CARDS!$A$5:$A$34,0)),DATE(YEAR($B929),MONTH($B929),MIN(INDEX(CARDS!$H$5:$H$34,MATCH($D929,CARDS!$A$5:$A$34,0)),DAY(EOMONTH($B929,0)))),DATE(YEAR($B929),MONTH($B929)+1,MIN(INDEX(CARDS!$H$5:$H$34,MATCH($D929,CARDS!$A$5:$A$34,0)),DAY(EOMONTH($B929,1)))))),""))</f>
        <v/>
      </c>
      <c r="AE929" s="52" t="str">
        <f>IF($C929="","",$C929&amp;"|"&amp;COUNTIF($C$5:$C929,$C929))</f>
        <v/>
      </c>
      <c r="AF929" s="53">
        <f>IF($AC929&gt;0,SUMIFS(Q$4:Q928,$D$4:$D928,$D929,$Z$4:$Z928,$Z929,$C$4:$C928,$C929),0)</f>
        <v>0</v>
      </c>
      <c r="AG929" s="53">
        <f>IF($AC929&gt;0,SUMIFS(Q$4:Q928,$D$4:$D928,$D929,$C$4:$C928,$C929),0)</f>
        <v>0</v>
      </c>
      <c r="AH929" s="53">
        <f>IF($AC929&gt;0,SUMIFS(M$4:M928,$D$4:$D928,$D929,$Z$4:$Z928,$Z929,$C$4:$C928,$C929),0)</f>
        <v>0</v>
      </c>
      <c r="AI929" s="43">
        <f>IF(OR($C929="",$I929=""),0,IF(COUNTIFS($C$5:$C929,$C929,$I$5:$I929,$I929)=1,1,0))</f>
        <v>0</v>
      </c>
      <c r="AJ929" s="43" t="str">
        <f>IF($AI929=1,SUMIFS($AI$4:$AI928,$C$4:$C928,$C929)+1,"")</f>
        <v/>
      </c>
      <c r="AK929" s="43">
        <f>IF(OR($C929="",$K929=""),0,IF(COUNTIFS($C$5:$C929,$C929,$K$5:$K929,$K929)=1,1,0))</f>
        <v>0</v>
      </c>
      <c r="AL929" s="43" t="str">
        <f>IF($AK929=1,SUMIFS($AK$4:$AK928,$C$4:$C928,$C929)+1,"")</f>
        <v/>
      </c>
      <c r="AM929" s="43">
        <f>IF(OR($C929="",$G929=""),0,IF(COUNTIFS($C$5:$C929,$C929,$G$5:$G929,$G929)=1,1,0))</f>
        <v>0</v>
      </c>
      <c r="AN929" s="43" t="str">
        <f>IF($AM929=1,SUMIFS($AM$4:$AM928,$C$4:$C928,$C929)+1,"")</f>
        <v/>
      </c>
    </row>
    <row r="930">
      <c r="A930" s="44" t="str">
        <f>IF(OR($B930="",$D930=""),"","TX"&amp;TEXT(ROW()-4,"0000"))</f>
        <v/>
      </c>
      <c r="B930" s="42" t="n"/>
      <c r="C930" s="47" t="str">
        <f>IF($B930="","",YEAR($B930)*100+MONTH($B930))</f>
        <v/>
      </c>
      <c r="D930" s="37" t="n"/>
      <c r="E930" s="45" t="str">
        <f>IF($D930="","",IFERROR(INDEX(CARDS!$B$5:$B$34,MATCH($D930,CARDS!$A$5:$A$34,0)),"⚠ Card ID?"))</f>
        <v/>
      </c>
      <c r="F930" s="45" t="str">
        <f>IF($D930="","",IFERROR(INDEX(CARDS!$C$5:$C$34,MATCH($D930,CARDS!$A$5:$A$34,0)),"⚠ Card ID?"))</f>
        <v/>
      </c>
      <c r="G930" s="37" t="n"/>
      <c r="H930" s="37" t="n"/>
      <c r="I930" s="41" t="n"/>
      <c r="J930" s="45" t="str">
        <f>IF($I930="","",IFERROR(INDEX(MCC_MASTER!$B$5:$B$504,MATCH($I930,MCC_MASTER!$A$5:$A$504,0)),"⚠ MCC chưa có"))</f>
        <v/>
      </c>
      <c r="K930" s="45" t="str">
        <f>IF($I930="","",IFERROR(IF(INDEX(MCC_MASTER!$C$5:$C$504,MATCH($I930,MCC_MASTER!$A$5:$A$504,0))="","Chưa phân loại",INDEX(MCC_MASTER!$C$5:$C$504,MATCH($I930,MCC_MASTER!$A$5:$A$504,0))),"Chưa phân loại"))</f>
        <v/>
      </c>
      <c r="L930" s="40" t="n"/>
      <c r="M930" s="48" t="str">
        <f>IF(OR($B930="",$D930=""),"",IF($AC930=0,0,IF(ISNUMBER(INDEX(CASHBACK_RULES!$L$5:$L$304,$AC930)),MAX(0,MIN($L930,INDEX(CASHBACK_RULES!$L$5:$L$304,$AC930)-$AH930)),MAX(0,$L930))))</f>
        <v/>
      </c>
      <c r="N930" s="49" t="str">
        <f>IF(OR($B930="",$D930=""),"",IF($AC930&gt;0,INDEX(CASHBACK_RULES!$I$5:$I$304,$AC930),0))</f>
        <v/>
      </c>
      <c r="O930" s="48" t="str">
        <f>IF(OR($B930="",$D930=""),"",ROUND($M930*$N930,0))</f>
        <v/>
      </c>
      <c r="P930" s="48" t="str">
        <f>IF($AC930&gt;0,IF(ISNUMBER(INDEX(CASHBACK_RULES!$J$5:$J$304,$AC930)),INDEX(CASHBACK_RULES!$J$5:$J$304,$AC930),"∞"),"")</f>
        <v/>
      </c>
      <c r="Q930" s="48" t="str">
        <f>IF(OR($B930="",$D930=""),"",IF($AC930=0,0,MAX(0,MIN($O930,IF(ISNUMBER($P930),$P930-$AF930,1E+15),IF(ISNUMBER($AA930),$AA930-$AG930,1E+15)))))</f>
        <v/>
      </c>
      <c r="R930" s="48" t="str">
        <f>IF(OR($B930="",$D930=""),"",IF($AC930=0,"",IF(AND(NOT(ISNUMBER($P930)),NOT(ISNUMBER($AA930))),"∞",MAX(0,MIN(IF(ISNUMBER($P930),$P930-$AF930-$Q930,1E+15),IF(ISNUMBER($AA930),$AA930-$AG930-$Q930,1E+15))))))</f>
        <v/>
      </c>
      <c r="S930" s="47" t="str">
        <f>IF($AD930="","",YEAR($AD930)*100+MONTH($AD930))</f>
        <v/>
      </c>
      <c r="T930" s="50" t="str">
        <f>IF($AD930="","",IFERROR(IF(INDEX(CARDS!$I$5:$I$34,MATCH($D930,CARDS!$A$5:$A$34,0))="","",IF(INDEX(CARDS!$I$5:$I$34,MATCH($D930,CARDS!$A$5:$A$34,0))&gt;INDEX(CARDS!$H$5:$H$34,MATCH($D930,CARDS!$A$5:$A$34,0)),DATE(YEAR($AD930),MONTH($AD930),MIN(INDEX(CARDS!$I$5:$I$34,MATCH($D930,CARDS!$A$5:$A$34,0)),DAY(EOMONTH($AD930,0)))),DATE(YEAR($AD930),MONTH($AD930)+1,MIN(INDEX(CARDS!$I$5:$I$34,MATCH($D930,CARDS!$A$5:$A$34,0)),DAY(EOMONTH($AD930,1)))))),""))</f>
        <v/>
      </c>
      <c r="U930" s="38" t="n"/>
      <c r="V930" s="37" t="n"/>
      <c r="W930" s="38" t="n"/>
      <c r="X930" s="38" t="n"/>
      <c r="Y930" s="44" t="str">
        <f>IF($AC930&gt;0,INDEX(CASHBACK_RULES!$A$5:$A$304,$AC930),"")</f>
        <v/>
      </c>
      <c r="Z930" s="45" t="str">
        <f>IF($AC930&gt;0,INDEX(CASHBACK_RULES!$E$5:$E$304,$AC930)&amp;"","")</f>
        <v/>
      </c>
      <c r="AA930" s="48" t="str">
        <f>IF($AC930&gt;0,IF(ISNUMBER(INDEX(CASHBACK_RULES!$K$5:$K$304,$AC930)),INDEX(CASHBACK_RULES!$K$5:$K$304,$AC930),"∞"),"")</f>
        <v/>
      </c>
      <c r="AB930" s="44" t="str">
        <f>IF(OR($B930="",$D930=""),"",IF($U930="Cancelled","Đã hủy",IF($AC930=0,"Không được hoàn",IF($Q930=0,IF(OR($O930&gt;0,$M930&lt;$L930),"Đã đạt cap","Không được hoàn"),IF(OR($Q930&lt;$O930,$M930&lt;$L930),"Hoàn một phần","Được hoàn")))))</f>
        <v/>
      </c>
      <c r="AC930" s="43">
        <f>IF(OR($B930="",$D930="",$I930="",$L930=""),0,IF($U930="Cancelled",0,IF($W930&lt;&gt;"",IFERROR(IF(INDEX(CASHBACK_RULES!$B$5:$B$304,MATCH($W930,CASHBACK_RULES!$A$5:$A$304,0))=$D930,MATCH($W930,CASHBACK_RULES!$A$5:$A$304,0),0),0),IFERROR(MATCH(1,INDEX((CASHBACK_RULES!$B$5:$B$304=$D930)*(CASHBACK_RULES!$G$5:$G$304=$I930)*(((CASHBACK_RULES!$N$5:$N$304="")+(CASHBACK_RULES!$N$5:$N$304&lt;=$B930))&gt;0)*(((CASHBACK_RULES!$O$5:$O$304="")+(CASHBACK_RULES!$O$5:$O$304&gt;=$B930))&gt;0)*(((CASHBACK_RULES!$M$5:$M$304="")+(CASHBACK_RULES!$M$5:$M$304&lt;=$L930))&gt;0),0),0),0))))</f>
        <v>0</v>
      </c>
      <c r="AD930" s="51" t="str">
        <f>IF(OR($B930="",$D930=""),"",IFERROR(IF(INDEX(CARDS!$H$5:$H$34,MATCH($D930,CARDS!$A$5:$A$34,0))="","",IF(DAY($B930)&lt;=INDEX(CARDS!$H$5:$H$34,MATCH($D930,CARDS!$A$5:$A$34,0)),DATE(YEAR($B930),MONTH($B930),MIN(INDEX(CARDS!$H$5:$H$34,MATCH($D930,CARDS!$A$5:$A$34,0)),DAY(EOMONTH($B930,0)))),DATE(YEAR($B930),MONTH($B930)+1,MIN(INDEX(CARDS!$H$5:$H$34,MATCH($D930,CARDS!$A$5:$A$34,0)),DAY(EOMONTH($B930,1)))))),""))</f>
        <v/>
      </c>
      <c r="AE930" s="52" t="str">
        <f>IF($C930="","",$C930&amp;"|"&amp;COUNTIF($C$5:$C930,$C930))</f>
        <v/>
      </c>
      <c r="AF930" s="53">
        <f>IF($AC930&gt;0,SUMIFS(Q$4:Q929,$D$4:$D929,$D930,$Z$4:$Z929,$Z930,$C$4:$C929,$C930),0)</f>
        <v>0</v>
      </c>
      <c r="AG930" s="53">
        <f>IF($AC930&gt;0,SUMIFS(Q$4:Q929,$D$4:$D929,$D930,$C$4:$C929,$C930),0)</f>
        <v>0</v>
      </c>
      <c r="AH930" s="53">
        <f>IF($AC930&gt;0,SUMIFS(M$4:M929,$D$4:$D929,$D930,$Z$4:$Z929,$Z930,$C$4:$C929,$C930),0)</f>
        <v>0</v>
      </c>
      <c r="AI930" s="43">
        <f>IF(OR($C930="",$I930=""),0,IF(COUNTIFS($C$5:$C930,$C930,$I$5:$I930,$I930)=1,1,0))</f>
        <v>0</v>
      </c>
      <c r="AJ930" s="43" t="str">
        <f>IF($AI930=1,SUMIFS($AI$4:$AI929,$C$4:$C929,$C930)+1,"")</f>
        <v/>
      </c>
      <c r="AK930" s="43">
        <f>IF(OR($C930="",$K930=""),0,IF(COUNTIFS($C$5:$C930,$C930,$K$5:$K930,$K930)=1,1,0))</f>
        <v>0</v>
      </c>
      <c r="AL930" s="43" t="str">
        <f>IF($AK930=1,SUMIFS($AK$4:$AK929,$C$4:$C929,$C930)+1,"")</f>
        <v/>
      </c>
      <c r="AM930" s="43">
        <f>IF(OR($C930="",$G930=""),0,IF(COUNTIFS($C$5:$C930,$C930,$G$5:$G930,$G930)=1,1,0))</f>
        <v>0</v>
      </c>
      <c r="AN930" s="43" t="str">
        <f>IF($AM930=1,SUMIFS($AM$4:$AM929,$C$4:$C929,$C930)+1,"")</f>
        <v/>
      </c>
    </row>
    <row r="931">
      <c r="A931" s="44" t="str">
        <f>IF(OR($B931="",$D931=""),"","TX"&amp;TEXT(ROW()-4,"0000"))</f>
        <v/>
      </c>
      <c r="B931" s="42" t="n"/>
      <c r="C931" s="47" t="str">
        <f>IF($B931="","",YEAR($B931)*100+MONTH($B931))</f>
        <v/>
      </c>
      <c r="D931" s="37" t="n"/>
      <c r="E931" s="45" t="str">
        <f>IF($D931="","",IFERROR(INDEX(CARDS!$B$5:$B$34,MATCH($D931,CARDS!$A$5:$A$34,0)),"⚠ Card ID?"))</f>
        <v/>
      </c>
      <c r="F931" s="45" t="str">
        <f>IF($D931="","",IFERROR(INDEX(CARDS!$C$5:$C$34,MATCH($D931,CARDS!$A$5:$A$34,0)),"⚠ Card ID?"))</f>
        <v/>
      </c>
      <c r="G931" s="37" t="n"/>
      <c r="H931" s="37" t="n"/>
      <c r="I931" s="41" t="n"/>
      <c r="J931" s="45" t="str">
        <f>IF($I931="","",IFERROR(INDEX(MCC_MASTER!$B$5:$B$504,MATCH($I931,MCC_MASTER!$A$5:$A$504,0)),"⚠ MCC chưa có"))</f>
        <v/>
      </c>
      <c r="K931" s="45" t="str">
        <f>IF($I931="","",IFERROR(IF(INDEX(MCC_MASTER!$C$5:$C$504,MATCH($I931,MCC_MASTER!$A$5:$A$504,0))="","Chưa phân loại",INDEX(MCC_MASTER!$C$5:$C$504,MATCH($I931,MCC_MASTER!$A$5:$A$504,0))),"Chưa phân loại"))</f>
        <v/>
      </c>
      <c r="L931" s="40" t="n"/>
      <c r="M931" s="48" t="str">
        <f>IF(OR($B931="",$D931=""),"",IF($AC931=0,0,IF(ISNUMBER(INDEX(CASHBACK_RULES!$L$5:$L$304,$AC931)),MAX(0,MIN($L931,INDEX(CASHBACK_RULES!$L$5:$L$304,$AC931)-$AH931)),MAX(0,$L931))))</f>
        <v/>
      </c>
      <c r="N931" s="49" t="str">
        <f>IF(OR($B931="",$D931=""),"",IF($AC931&gt;0,INDEX(CASHBACK_RULES!$I$5:$I$304,$AC931),0))</f>
        <v/>
      </c>
      <c r="O931" s="48" t="str">
        <f>IF(OR($B931="",$D931=""),"",ROUND($M931*$N931,0))</f>
        <v/>
      </c>
      <c r="P931" s="48" t="str">
        <f>IF($AC931&gt;0,IF(ISNUMBER(INDEX(CASHBACK_RULES!$J$5:$J$304,$AC931)),INDEX(CASHBACK_RULES!$J$5:$J$304,$AC931),"∞"),"")</f>
        <v/>
      </c>
      <c r="Q931" s="48" t="str">
        <f>IF(OR($B931="",$D931=""),"",IF($AC931=0,0,MAX(0,MIN($O931,IF(ISNUMBER($P931),$P931-$AF931,1E+15),IF(ISNUMBER($AA931),$AA931-$AG931,1E+15)))))</f>
        <v/>
      </c>
      <c r="R931" s="48" t="str">
        <f>IF(OR($B931="",$D931=""),"",IF($AC931=0,"",IF(AND(NOT(ISNUMBER($P931)),NOT(ISNUMBER($AA931))),"∞",MAX(0,MIN(IF(ISNUMBER($P931),$P931-$AF931-$Q931,1E+15),IF(ISNUMBER($AA931),$AA931-$AG931-$Q931,1E+15))))))</f>
        <v/>
      </c>
      <c r="S931" s="47" t="str">
        <f>IF($AD931="","",YEAR($AD931)*100+MONTH($AD931))</f>
        <v/>
      </c>
      <c r="T931" s="50" t="str">
        <f>IF($AD931="","",IFERROR(IF(INDEX(CARDS!$I$5:$I$34,MATCH($D931,CARDS!$A$5:$A$34,0))="","",IF(INDEX(CARDS!$I$5:$I$34,MATCH($D931,CARDS!$A$5:$A$34,0))&gt;INDEX(CARDS!$H$5:$H$34,MATCH($D931,CARDS!$A$5:$A$34,0)),DATE(YEAR($AD931),MONTH($AD931),MIN(INDEX(CARDS!$I$5:$I$34,MATCH($D931,CARDS!$A$5:$A$34,0)),DAY(EOMONTH($AD931,0)))),DATE(YEAR($AD931),MONTH($AD931)+1,MIN(INDEX(CARDS!$I$5:$I$34,MATCH($D931,CARDS!$A$5:$A$34,0)),DAY(EOMONTH($AD931,1)))))),""))</f>
        <v/>
      </c>
      <c r="U931" s="38" t="n"/>
      <c r="V931" s="37" t="n"/>
      <c r="W931" s="38" t="n"/>
      <c r="X931" s="38" t="n"/>
      <c r="Y931" s="44" t="str">
        <f>IF($AC931&gt;0,INDEX(CASHBACK_RULES!$A$5:$A$304,$AC931),"")</f>
        <v/>
      </c>
      <c r="Z931" s="45" t="str">
        <f>IF($AC931&gt;0,INDEX(CASHBACK_RULES!$E$5:$E$304,$AC931)&amp;"","")</f>
        <v/>
      </c>
      <c r="AA931" s="48" t="str">
        <f>IF($AC931&gt;0,IF(ISNUMBER(INDEX(CASHBACK_RULES!$K$5:$K$304,$AC931)),INDEX(CASHBACK_RULES!$K$5:$K$304,$AC931),"∞"),"")</f>
        <v/>
      </c>
      <c r="AB931" s="44" t="str">
        <f>IF(OR($B931="",$D931=""),"",IF($U931="Cancelled","Đã hủy",IF($AC931=0,"Không được hoàn",IF($Q931=0,IF(OR($O931&gt;0,$M931&lt;$L931),"Đã đạt cap","Không được hoàn"),IF(OR($Q931&lt;$O931,$M931&lt;$L931),"Hoàn một phần","Được hoàn")))))</f>
        <v/>
      </c>
      <c r="AC931" s="43">
        <f>IF(OR($B931="",$D931="",$I931="",$L931=""),0,IF($U931="Cancelled",0,IF($W931&lt;&gt;"",IFERROR(IF(INDEX(CASHBACK_RULES!$B$5:$B$304,MATCH($W931,CASHBACK_RULES!$A$5:$A$304,0))=$D931,MATCH($W931,CASHBACK_RULES!$A$5:$A$304,0),0),0),IFERROR(MATCH(1,INDEX((CASHBACK_RULES!$B$5:$B$304=$D931)*(CASHBACK_RULES!$G$5:$G$304=$I931)*(((CASHBACK_RULES!$N$5:$N$304="")+(CASHBACK_RULES!$N$5:$N$304&lt;=$B931))&gt;0)*(((CASHBACK_RULES!$O$5:$O$304="")+(CASHBACK_RULES!$O$5:$O$304&gt;=$B931))&gt;0)*(((CASHBACK_RULES!$M$5:$M$304="")+(CASHBACK_RULES!$M$5:$M$304&lt;=$L931))&gt;0),0),0),0))))</f>
        <v>0</v>
      </c>
      <c r="AD931" s="51" t="str">
        <f>IF(OR($B931="",$D931=""),"",IFERROR(IF(INDEX(CARDS!$H$5:$H$34,MATCH($D931,CARDS!$A$5:$A$34,0))="","",IF(DAY($B931)&lt;=INDEX(CARDS!$H$5:$H$34,MATCH($D931,CARDS!$A$5:$A$34,0)),DATE(YEAR($B931),MONTH($B931),MIN(INDEX(CARDS!$H$5:$H$34,MATCH($D931,CARDS!$A$5:$A$34,0)),DAY(EOMONTH($B931,0)))),DATE(YEAR($B931),MONTH($B931)+1,MIN(INDEX(CARDS!$H$5:$H$34,MATCH($D931,CARDS!$A$5:$A$34,0)),DAY(EOMONTH($B931,1)))))),""))</f>
        <v/>
      </c>
      <c r="AE931" s="52" t="str">
        <f>IF($C931="","",$C931&amp;"|"&amp;COUNTIF($C$5:$C931,$C931))</f>
        <v/>
      </c>
      <c r="AF931" s="53">
        <f>IF($AC931&gt;0,SUMIFS(Q$4:Q930,$D$4:$D930,$D931,$Z$4:$Z930,$Z931,$C$4:$C930,$C931),0)</f>
        <v>0</v>
      </c>
      <c r="AG931" s="53">
        <f>IF($AC931&gt;0,SUMIFS(Q$4:Q930,$D$4:$D930,$D931,$C$4:$C930,$C931),0)</f>
        <v>0</v>
      </c>
      <c r="AH931" s="53">
        <f>IF($AC931&gt;0,SUMIFS(M$4:M930,$D$4:$D930,$D931,$Z$4:$Z930,$Z931,$C$4:$C930,$C931),0)</f>
        <v>0</v>
      </c>
      <c r="AI931" s="43">
        <f>IF(OR($C931="",$I931=""),0,IF(COUNTIFS($C$5:$C931,$C931,$I$5:$I931,$I931)=1,1,0))</f>
        <v>0</v>
      </c>
      <c r="AJ931" s="43" t="str">
        <f>IF($AI931=1,SUMIFS($AI$4:$AI930,$C$4:$C930,$C931)+1,"")</f>
        <v/>
      </c>
      <c r="AK931" s="43">
        <f>IF(OR($C931="",$K931=""),0,IF(COUNTIFS($C$5:$C931,$C931,$K$5:$K931,$K931)=1,1,0))</f>
        <v>0</v>
      </c>
      <c r="AL931" s="43" t="str">
        <f>IF($AK931=1,SUMIFS($AK$4:$AK930,$C$4:$C930,$C931)+1,"")</f>
        <v/>
      </c>
      <c r="AM931" s="43">
        <f>IF(OR($C931="",$G931=""),0,IF(COUNTIFS($C$5:$C931,$C931,$G$5:$G931,$G931)=1,1,0))</f>
        <v>0</v>
      </c>
      <c r="AN931" s="43" t="str">
        <f>IF($AM931=1,SUMIFS($AM$4:$AM930,$C$4:$C930,$C931)+1,"")</f>
        <v/>
      </c>
    </row>
    <row r="932">
      <c r="A932" s="44" t="str">
        <f>IF(OR($B932="",$D932=""),"","TX"&amp;TEXT(ROW()-4,"0000"))</f>
        <v/>
      </c>
      <c r="B932" s="42" t="n"/>
      <c r="C932" s="47" t="str">
        <f>IF($B932="","",YEAR($B932)*100+MONTH($B932))</f>
        <v/>
      </c>
      <c r="D932" s="37" t="n"/>
      <c r="E932" s="45" t="str">
        <f>IF($D932="","",IFERROR(INDEX(CARDS!$B$5:$B$34,MATCH($D932,CARDS!$A$5:$A$34,0)),"⚠ Card ID?"))</f>
        <v/>
      </c>
      <c r="F932" s="45" t="str">
        <f>IF($D932="","",IFERROR(INDEX(CARDS!$C$5:$C$34,MATCH($D932,CARDS!$A$5:$A$34,0)),"⚠ Card ID?"))</f>
        <v/>
      </c>
      <c r="G932" s="37" t="n"/>
      <c r="H932" s="37" t="n"/>
      <c r="I932" s="41" t="n"/>
      <c r="J932" s="45" t="str">
        <f>IF($I932="","",IFERROR(INDEX(MCC_MASTER!$B$5:$B$504,MATCH($I932,MCC_MASTER!$A$5:$A$504,0)),"⚠ MCC chưa có"))</f>
        <v/>
      </c>
      <c r="K932" s="45" t="str">
        <f>IF($I932="","",IFERROR(IF(INDEX(MCC_MASTER!$C$5:$C$504,MATCH($I932,MCC_MASTER!$A$5:$A$504,0))="","Chưa phân loại",INDEX(MCC_MASTER!$C$5:$C$504,MATCH($I932,MCC_MASTER!$A$5:$A$504,0))),"Chưa phân loại"))</f>
        <v/>
      </c>
      <c r="L932" s="40" t="n"/>
      <c r="M932" s="48" t="str">
        <f>IF(OR($B932="",$D932=""),"",IF($AC932=0,0,IF(ISNUMBER(INDEX(CASHBACK_RULES!$L$5:$L$304,$AC932)),MAX(0,MIN($L932,INDEX(CASHBACK_RULES!$L$5:$L$304,$AC932)-$AH932)),MAX(0,$L932))))</f>
        <v/>
      </c>
      <c r="N932" s="49" t="str">
        <f>IF(OR($B932="",$D932=""),"",IF($AC932&gt;0,INDEX(CASHBACK_RULES!$I$5:$I$304,$AC932),0))</f>
        <v/>
      </c>
      <c r="O932" s="48" t="str">
        <f>IF(OR($B932="",$D932=""),"",ROUND($M932*$N932,0))</f>
        <v/>
      </c>
      <c r="P932" s="48" t="str">
        <f>IF($AC932&gt;0,IF(ISNUMBER(INDEX(CASHBACK_RULES!$J$5:$J$304,$AC932)),INDEX(CASHBACK_RULES!$J$5:$J$304,$AC932),"∞"),"")</f>
        <v/>
      </c>
      <c r="Q932" s="48" t="str">
        <f>IF(OR($B932="",$D932=""),"",IF($AC932=0,0,MAX(0,MIN($O932,IF(ISNUMBER($P932),$P932-$AF932,1E+15),IF(ISNUMBER($AA932),$AA932-$AG932,1E+15)))))</f>
        <v/>
      </c>
      <c r="R932" s="48" t="str">
        <f>IF(OR($B932="",$D932=""),"",IF($AC932=0,"",IF(AND(NOT(ISNUMBER($P932)),NOT(ISNUMBER($AA932))),"∞",MAX(0,MIN(IF(ISNUMBER($P932),$P932-$AF932-$Q932,1E+15),IF(ISNUMBER($AA932),$AA932-$AG932-$Q932,1E+15))))))</f>
        <v/>
      </c>
      <c r="S932" s="47" t="str">
        <f>IF($AD932="","",YEAR($AD932)*100+MONTH($AD932))</f>
        <v/>
      </c>
      <c r="T932" s="50" t="str">
        <f>IF($AD932="","",IFERROR(IF(INDEX(CARDS!$I$5:$I$34,MATCH($D932,CARDS!$A$5:$A$34,0))="","",IF(INDEX(CARDS!$I$5:$I$34,MATCH($D932,CARDS!$A$5:$A$34,0))&gt;INDEX(CARDS!$H$5:$H$34,MATCH($D932,CARDS!$A$5:$A$34,0)),DATE(YEAR($AD932),MONTH($AD932),MIN(INDEX(CARDS!$I$5:$I$34,MATCH($D932,CARDS!$A$5:$A$34,0)),DAY(EOMONTH($AD932,0)))),DATE(YEAR($AD932),MONTH($AD932)+1,MIN(INDEX(CARDS!$I$5:$I$34,MATCH($D932,CARDS!$A$5:$A$34,0)),DAY(EOMONTH($AD932,1)))))),""))</f>
        <v/>
      </c>
      <c r="U932" s="38" t="n"/>
      <c r="V932" s="37" t="n"/>
      <c r="W932" s="38" t="n"/>
      <c r="X932" s="38" t="n"/>
      <c r="Y932" s="44" t="str">
        <f>IF($AC932&gt;0,INDEX(CASHBACK_RULES!$A$5:$A$304,$AC932),"")</f>
        <v/>
      </c>
      <c r="Z932" s="45" t="str">
        <f>IF($AC932&gt;0,INDEX(CASHBACK_RULES!$E$5:$E$304,$AC932)&amp;"","")</f>
        <v/>
      </c>
      <c r="AA932" s="48" t="str">
        <f>IF($AC932&gt;0,IF(ISNUMBER(INDEX(CASHBACK_RULES!$K$5:$K$304,$AC932)),INDEX(CASHBACK_RULES!$K$5:$K$304,$AC932),"∞"),"")</f>
        <v/>
      </c>
      <c r="AB932" s="44" t="str">
        <f>IF(OR($B932="",$D932=""),"",IF($U932="Cancelled","Đã hủy",IF($AC932=0,"Không được hoàn",IF($Q932=0,IF(OR($O932&gt;0,$M932&lt;$L932),"Đã đạt cap","Không được hoàn"),IF(OR($Q932&lt;$O932,$M932&lt;$L932),"Hoàn một phần","Được hoàn")))))</f>
        <v/>
      </c>
      <c r="AC932" s="43">
        <f>IF(OR($B932="",$D932="",$I932="",$L932=""),0,IF($U932="Cancelled",0,IF($W932&lt;&gt;"",IFERROR(IF(INDEX(CASHBACK_RULES!$B$5:$B$304,MATCH($W932,CASHBACK_RULES!$A$5:$A$304,0))=$D932,MATCH($W932,CASHBACK_RULES!$A$5:$A$304,0),0),0),IFERROR(MATCH(1,INDEX((CASHBACK_RULES!$B$5:$B$304=$D932)*(CASHBACK_RULES!$G$5:$G$304=$I932)*(((CASHBACK_RULES!$N$5:$N$304="")+(CASHBACK_RULES!$N$5:$N$304&lt;=$B932))&gt;0)*(((CASHBACK_RULES!$O$5:$O$304="")+(CASHBACK_RULES!$O$5:$O$304&gt;=$B932))&gt;0)*(((CASHBACK_RULES!$M$5:$M$304="")+(CASHBACK_RULES!$M$5:$M$304&lt;=$L932))&gt;0),0),0),0))))</f>
        <v>0</v>
      </c>
      <c r="AD932" s="51" t="str">
        <f>IF(OR($B932="",$D932=""),"",IFERROR(IF(INDEX(CARDS!$H$5:$H$34,MATCH($D932,CARDS!$A$5:$A$34,0))="","",IF(DAY($B932)&lt;=INDEX(CARDS!$H$5:$H$34,MATCH($D932,CARDS!$A$5:$A$34,0)),DATE(YEAR($B932),MONTH($B932),MIN(INDEX(CARDS!$H$5:$H$34,MATCH($D932,CARDS!$A$5:$A$34,0)),DAY(EOMONTH($B932,0)))),DATE(YEAR($B932),MONTH($B932)+1,MIN(INDEX(CARDS!$H$5:$H$34,MATCH($D932,CARDS!$A$5:$A$34,0)),DAY(EOMONTH($B932,1)))))),""))</f>
        <v/>
      </c>
      <c r="AE932" s="52" t="str">
        <f>IF($C932="","",$C932&amp;"|"&amp;COUNTIF($C$5:$C932,$C932))</f>
        <v/>
      </c>
      <c r="AF932" s="53">
        <f>IF($AC932&gt;0,SUMIFS(Q$4:Q931,$D$4:$D931,$D932,$Z$4:$Z931,$Z932,$C$4:$C931,$C932),0)</f>
        <v>0</v>
      </c>
      <c r="AG932" s="53">
        <f>IF($AC932&gt;0,SUMIFS(Q$4:Q931,$D$4:$D931,$D932,$C$4:$C931,$C932),0)</f>
        <v>0</v>
      </c>
      <c r="AH932" s="53">
        <f>IF($AC932&gt;0,SUMIFS(M$4:M931,$D$4:$D931,$D932,$Z$4:$Z931,$Z932,$C$4:$C931,$C932),0)</f>
        <v>0</v>
      </c>
      <c r="AI932" s="43">
        <f>IF(OR($C932="",$I932=""),0,IF(COUNTIFS($C$5:$C932,$C932,$I$5:$I932,$I932)=1,1,0))</f>
        <v>0</v>
      </c>
      <c r="AJ932" s="43" t="str">
        <f>IF($AI932=1,SUMIFS($AI$4:$AI931,$C$4:$C931,$C932)+1,"")</f>
        <v/>
      </c>
      <c r="AK932" s="43">
        <f>IF(OR($C932="",$K932=""),0,IF(COUNTIFS($C$5:$C932,$C932,$K$5:$K932,$K932)=1,1,0))</f>
        <v>0</v>
      </c>
      <c r="AL932" s="43" t="str">
        <f>IF($AK932=1,SUMIFS($AK$4:$AK931,$C$4:$C931,$C932)+1,"")</f>
        <v/>
      </c>
      <c r="AM932" s="43">
        <f>IF(OR($C932="",$G932=""),0,IF(COUNTIFS($C$5:$C932,$C932,$G$5:$G932,$G932)=1,1,0))</f>
        <v>0</v>
      </c>
      <c r="AN932" s="43" t="str">
        <f>IF($AM932=1,SUMIFS($AM$4:$AM931,$C$4:$C931,$C932)+1,"")</f>
        <v/>
      </c>
    </row>
    <row r="933">
      <c r="A933" s="44" t="str">
        <f>IF(OR($B933="",$D933=""),"","TX"&amp;TEXT(ROW()-4,"0000"))</f>
        <v/>
      </c>
      <c r="B933" s="42" t="n"/>
      <c r="C933" s="47" t="str">
        <f>IF($B933="","",YEAR($B933)*100+MONTH($B933))</f>
        <v/>
      </c>
      <c r="D933" s="37" t="n"/>
      <c r="E933" s="45" t="str">
        <f>IF($D933="","",IFERROR(INDEX(CARDS!$B$5:$B$34,MATCH($D933,CARDS!$A$5:$A$34,0)),"⚠ Card ID?"))</f>
        <v/>
      </c>
      <c r="F933" s="45" t="str">
        <f>IF($D933="","",IFERROR(INDEX(CARDS!$C$5:$C$34,MATCH($D933,CARDS!$A$5:$A$34,0)),"⚠ Card ID?"))</f>
        <v/>
      </c>
      <c r="G933" s="37" t="n"/>
      <c r="H933" s="37" t="n"/>
      <c r="I933" s="41" t="n"/>
      <c r="J933" s="45" t="str">
        <f>IF($I933="","",IFERROR(INDEX(MCC_MASTER!$B$5:$B$504,MATCH($I933,MCC_MASTER!$A$5:$A$504,0)),"⚠ MCC chưa có"))</f>
        <v/>
      </c>
      <c r="K933" s="45" t="str">
        <f>IF($I933="","",IFERROR(IF(INDEX(MCC_MASTER!$C$5:$C$504,MATCH($I933,MCC_MASTER!$A$5:$A$504,0))="","Chưa phân loại",INDEX(MCC_MASTER!$C$5:$C$504,MATCH($I933,MCC_MASTER!$A$5:$A$504,0))),"Chưa phân loại"))</f>
        <v/>
      </c>
      <c r="L933" s="40" t="n"/>
      <c r="M933" s="48" t="str">
        <f>IF(OR($B933="",$D933=""),"",IF($AC933=0,0,IF(ISNUMBER(INDEX(CASHBACK_RULES!$L$5:$L$304,$AC933)),MAX(0,MIN($L933,INDEX(CASHBACK_RULES!$L$5:$L$304,$AC933)-$AH933)),MAX(0,$L933))))</f>
        <v/>
      </c>
      <c r="N933" s="49" t="str">
        <f>IF(OR($B933="",$D933=""),"",IF($AC933&gt;0,INDEX(CASHBACK_RULES!$I$5:$I$304,$AC933),0))</f>
        <v/>
      </c>
      <c r="O933" s="48" t="str">
        <f>IF(OR($B933="",$D933=""),"",ROUND($M933*$N933,0))</f>
        <v/>
      </c>
      <c r="P933" s="48" t="str">
        <f>IF($AC933&gt;0,IF(ISNUMBER(INDEX(CASHBACK_RULES!$J$5:$J$304,$AC933)),INDEX(CASHBACK_RULES!$J$5:$J$304,$AC933),"∞"),"")</f>
        <v/>
      </c>
      <c r="Q933" s="48" t="str">
        <f>IF(OR($B933="",$D933=""),"",IF($AC933=0,0,MAX(0,MIN($O933,IF(ISNUMBER($P933),$P933-$AF933,1E+15),IF(ISNUMBER($AA933),$AA933-$AG933,1E+15)))))</f>
        <v/>
      </c>
      <c r="R933" s="48" t="str">
        <f>IF(OR($B933="",$D933=""),"",IF($AC933=0,"",IF(AND(NOT(ISNUMBER($P933)),NOT(ISNUMBER($AA933))),"∞",MAX(0,MIN(IF(ISNUMBER($P933),$P933-$AF933-$Q933,1E+15),IF(ISNUMBER($AA933),$AA933-$AG933-$Q933,1E+15))))))</f>
        <v/>
      </c>
      <c r="S933" s="47" t="str">
        <f>IF($AD933="","",YEAR($AD933)*100+MONTH($AD933))</f>
        <v/>
      </c>
      <c r="T933" s="50" t="str">
        <f>IF($AD933="","",IFERROR(IF(INDEX(CARDS!$I$5:$I$34,MATCH($D933,CARDS!$A$5:$A$34,0))="","",IF(INDEX(CARDS!$I$5:$I$34,MATCH($D933,CARDS!$A$5:$A$34,0))&gt;INDEX(CARDS!$H$5:$H$34,MATCH($D933,CARDS!$A$5:$A$34,0)),DATE(YEAR($AD933),MONTH($AD933),MIN(INDEX(CARDS!$I$5:$I$34,MATCH($D933,CARDS!$A$5:$A$34,0)),DAY(EOMONTH($AD933,0)))),DATE(YEAR($AD933),MONTH($AD933)+1,MIN(INDEX(CARDS!$I$5:$I$34,MATCH($D933,CARDS!$A$5:$A$34,0)),DAY(EOMONTH($AD933,1)))))),""))</f>
        <v/>
      </c>
      <c r="U933" s="38" t="n"/>
      <c r="V933" s="37" t="n"/>
      <c r="W933" s="38" t="n"/>
      <c r="X933" s="38" t="n"/>
      <c r="Y933" s="44" t="str">
        <f>IF($AC933&gt;0,INDEX(CASHBACK_RULES!$A$5:$A$304,$AC933),"")</f>
        <v/>
      </c>
      <c r="Z933" s="45" t="str">
        <f>IF($AC933&gt;0,INDEX(CASHBACK_RULES!$E$5:$E$304,$AC933)&amp;"","")</f>
        <v/>
      </c>
      <c r="AA933" s="48" t="str">
        <f>IF($AC933&gt;0,IF(ISNUMBER(INDEX(CASHBACK_RULES!$K$5:$K$304,$AC933)),INDEX(CASHBACK_RULES!$K$5:$K$304,$AC933),"∞"),"")</f>
        <v/>
      </c>
      <c r="AB933" s="44" t="str">
        <f>IF(OR($B933="",$D933=""),"",IF($U933="Cancelled","Đã hủy",IF($AC933=0,"Không được hoàn",IF($Q933=0,IF(OR($O933&gt;0,$M933&lt;$L933),"Đã đạt cap","Không được hoàn"),IF(OR($Q933&lt;$O933,$M933&lt;$L933),"Hoàn một phần","Được hoàn")))))</f>
        <v/>
      </c>
      <c r="AC933" s="43">
        <f>IF(OR($B933="",$D933="",$I933="",$L933=""),0,IF($U933="Cancelled",0,IF($W933&lt;&gt;"",IFERROR(IF(INDEX(CASHBACK_RULES!$B$5:$B$304,MATCH($W933,CASHBACK_RULES!$A$5:$A$304,0))=$D933,MATCH($W933,CASHBACK_RULES!$A$5:$A$304,0),0),0),IFERROR(MATCH(1,INDEX((CASHBACK_RULES!$B$5:$B$304=$D933)*(CASHBACK_RULES!$G$5:$G$304=$I933)*(((CASHBACK_RULES!$N$5:$N$304="")+(CASHBACK_RULES!$N$5:$N$304&lt;=$B933))&gt;0)*(((CASHBACK_RULES!$O$5:$O$304="")+(CASHBACK_RULES!$O$5:$O$304&gt;=$B933))&gt;0)*(((CASHBACK_RULES!$M$5:$M$304="")+(CASHBACK_RULES!$M$5:$M$304&lt;=$L933))&gt;0),0),0),0))))</f>
        <v>0</v>
      </c>
      <c r="AD933" s="51" t="str">
        <f>IF(OR($B933="",$D933=""),"",IFERROR(IF(INDEX(CARDS!$H$5:$H$34,MATCH($D933,CARDS!$A$5:$A$34,0))="","",IF(DAY($B933)&lt;=INDEX(CARDS!$H$5:$H$34,MATCH($D933,CARDS!$A$5:$A$34,0)),DATE(YEAR($B933),MONTH($B933),MIN(INDEX(CARDS!$H$5:$H$34,MATCH($D933,CARDS!$A$5:$A$34,0)),DAY(EOMONTH($B933,0)))),DATE(YEAR($B933),MONTH($B933)+1,MIN(INDEX(CARDS!$H$5:$H$34,MATCH($D933,CARDS!$A$5:$A$34,0)),DAY(EOMONTH($B933,1)))))),""))</f>
        <v/>
      </c>
      <c r="AE933" s="52" t="str">
        <f>IF($C933="","",$C933&amp;"|"&amp;COUNTIF($C$5:$C933,$C933))</f>
        <v/>
      </c>
      <c r="AF933" s="53">
        <f>IF($AC933&gt;0,SUMIFS(Q$4:Q932,$D$4:$D932,$D933,$Z$4:$Z932,$Z933,$C$4:$C932,$C933),0)</f>
        <v>0</v>
      </c>
      <c r="AG933" s="53">
        <f>IF($AC933&gt;0,SUMIFS(Q$4:Q932,$D$4:$D932,$D933,$C$4:$C932,$C933),0)</f>
        <v>0</v>
      </c>
      <c r="AH933" s="53">
        <f>IF($AC933&gt;0,SUMIFS(M$4:M932,$D$4:$D932,$D933,$Z$4:$Z932,$Z933,$C$4:$C932,$C933),0)</f>
        <v>0</v>
      </c>
      <c r="AI933" s="43">
        <f>IF(OR($C933="",$I933=""),0,IF(COUNTIFS($C$5:$C933,$C933,$I$5:$I933,$I933)=1,1,0))</f>
        <v>0</v>
      </c>
      <c r="AJ933" s="43" t="str">
        <f>IF($AI933=1,SUMIFS($AI$4:$AI932,$C$4:$C932,$C933)+1,"")</f>
        <v/>
      </c>
      <c r="AK933" s="43">
        <f>IF(OR($C933="",$K933=""),0,IF(COUNTIFS($C$5:$C933,$C933,$K$5:$K933,$K933)=1,1,0))</f>
        <v>0</v>
      </c>
      <c r="AL933" s="43" t="str">
        <f>IF($AK933=1,SUMIFS($AK$4:$AK932,$C$4:$C932,$C933)+1,"")</f>
        <v/>
      </c>
      <c r="AM933" s="43">
        <f>IF(OR($C933="",$G933=""),0,IF(COUNTIFS($C$5:$C933,$C933,$G$5:$G933,$G933)=1,1,0))</f>
        <v>0</v>
      </c>
      <c r="AN933" s="43" t="str">
        <f>IF($AM933=1,SUMIFS($AM$4:$AM932,$C$4:$C932,$C933)+1,"")</f>
        <v/>
      </c>
    </row>
    <row r="934">
      <c r="A934" s="44" t="str">
        <f>IF(OR($B934="",$D934=""),"","TX"&amp;TEXT(ROW()-4,"0000"))</f>
        <v/>
      </c>
      <c r="B934" s="42" t="n"/>
      <c r="C934" s="47" t="str">
        <f>IF($B934="","",YEAR($B934)*100+MONTH($B934))</f>
        <v/>
      </c>
      <c r="D934" s="37" t="n"/>
      <c r="E934" s="45" t="str">
        <f>IF($D934="","",IFERROR(INDEX(CARDS!$B$5:$B$34,MATCH($D934,CARDS!$A$5:$A$34,0)),"⚠ Card ID?"))</f>
        <v/>
      </c>
      <c r="F934" s="45" t="str">
        <f>IF($D934="","",IFERROR(INDEX(CARDS!$C$5:$C$34,MATCH($D934,CARDS!$A$5:$A$34,0)),"⚠ Card ID?"))</f>
        <v/>
      </c>
      <c r="G934" s="37" t="n"/>
      <c r="H934" s="37" t="n"/>
      <c r="I934" s="41" t="n"/>
      <c r="J934" s="45" t="str">
        <f>IF($I934="","",IFERROR(INDEX(MCC_MASTER!$B$5:$B$504,MATCH($I934,MCC_MASTER!$A$5:$A$504,0)),"⚠ MCC chưa có"))</f>
        <v/>
      </c>
      <c r="K934" s="45" t="str">
        <f>IF($I934="","",IFERROR(IF(INDEX(MCC_MASTER!$C$5:$C$504,MATCH($I934,MCC_MASTER!$A$5:$A$504,0))="","Chưa phân loại",INDEX(MCC_MASTER!$C$5:$C$504,MATCH($I934,MCC_MASTER!$A$5:$A$504,0))),"Chưa phân loại"))</f>
        <v/>
      </c>
      <c r="L934" s="40" t="n"/>
      <c r="M934" s="48" t="str">
        <f>IF(OR($B934="",$D934=""),"",IF($AC934=0,0,IF(ISNUMBER(INDEX(CASHBACK_RULES!$L$5:$L$304,$AC934)),MAX(0,MIN($L934,INDEX(CASHBACK_RULES!$L$5:$L$304,$AC934)-$AH934)),MAX(0,$L934))))</f>
        <v/>
      </c>
      <c r="N934" s="49" t="str">
        <f>IF(OR($B934="",$D934=""),"",IF($AC934&gt;0,INDEX(CASHBACK_RULES!$I$5:$I$304,$AC934),0))</f>
        <v/>
      </c>
      <c r="O934" s="48" t="str">
        <f>IF(OR($B934="",$D934=""),"",ROUND($M934*$N934,0))</f>
        <v/>
      </c>
      <c r="P934" s="48" t="str">
        <f>IF($AC934&gt;0,IF(ISNUMBER(INDEX(CASHBACK_RULES!$J$5:$J$304,$AC934)),INDEX(CASHBACK_RULES!$J$5:$J$304,$AC934),"∞"),"")</f>
        <v/>
      </c>
      <c r="Q934" s="48" t="str">
        <f>IF(OR($B934="",$D934=""),"",IF($AC934=0,0,MAX(0,MIN($O934,IF(ISNUMBER($P934),$P934-$AF934,1E+15),IF(ISNUMBER($AA934),$AA934-$AG934,1E+15)))))</f>
        <v/>
      </c>
      <c r="R934" s="48" t="str">
        <f>IF(OR($B934="",$D934=""),"",IF($AC934=0,"",IF(AND(NOT(ISNUMBER($P934)),NOT(ISNUMBER($AA934))),"∞",MAX(0,MIN(IF(ISNUMBER($P934),$P934-$AF934-$Q934,1E+15),IF(ISNUMBER($AA934),$AA934-$AG934-$Q934,1E+15))))))</f>
        <v/>
      </c>
      <c r="S934" s="47" t="str">
        <f>IF($AD934="","",YEAR($AD934)*100+MONTH($AD934))</f>
        <v/>
      </c>
      <c r="T934" s="50" t="str">
        <f>IF($AD934="","",IFERROR(IF(INDEX(CARDS!$I$5:$I$34,MATCH($D934,CARDS!$A$5:$A$34,0))="","",IF(INDEX(CARDS!$I$5:$I$34,MATCH($D934,CARDS!$A$5:$A$34,0))&gt;INDEX(CARDS!$H$5:$H$34,MATCH($D934,CARDS!$A$5:$A$34,0)),DATE(YEAR($AD934),MONTH($AD934),MIN(INDEX(CARDS!$I$5:$I$34,MATCH($D934,CARDS!$A$5:$A$34,0)),DAY(EOMONTH($AD934,0)))),DATE(YEAR($AD934),MONTH($AD934)+1,MIN(INDEX(CARDS!$I$5:$I$34,MATCH($D934,CARDS!$A$5:$A$34,0)),DAY(EOMONTH($AD934,1)))))),""))</f>
        <v/>
      </c>
      <c r="U934" s="38" t="n"/>
      <c r="V934" s="37" t="n"/>
      <c r="W934" s="38" t="n"/>
      <c r="X934" s="38" t="n"/>
      <c r="Y934" s="44" t="str">
        <f>IF($AC934&gt;0,INDEX(CASHBACK_RULES!$A$5:$A$304,$AC934),"")</f>
        <v/>
      </c>
      <c r="Z934" s="45" t="str">
        <f>IF($AC934&gt;0,INDEX(CASHBACK_RULES!$E$5:$E$304,$AC934)&amp;"","")</f>
        <v/>
      </c>
      <c r="AA934" s="48" t="str">
        <f>IF($AC934&gt;0,IF(ISNUMBER(INDEX(CASHBACK_RULES!$K$5:$K$304,$AC934)),INDEX(CASHBACK_RULES!$K$5:$K$304,$AC934),"∞"),"")</f>
        <v/>
      </c>
      <c r="AB934" s="44" t="str">
        <f>IF(OR($B934="",$D934=""),"",IF($U934="Cancelled","Đã hủy",IF($AC934=0,"Không được hoàn",IF($Q934=0,IF(OR($O934&gt;0,$M934&lt;$L934),"Đã đạt cap","Không được hoàn"),IF(OR($Q934&lt;$O934,$M934&lt;$L934),"Hoàn một phần","Được hoàn")))))</f>
        <v/>
      </c>
      <c r="AC934" s="43">
        <f>IF(OR($B934="",$D934="",$I934="",$L934=""),0,IF($U934="Cancelled",0,IF($W934&lt;&gt;"",IFERROR(IF(INDEX(CASHBACK_RULES!$B$5:$B$304,MATCH($W934,CASHBACK_RULES!$A$5:$A$304,0))=$D934,MATCH($W934,CASHBACK_RULES!$A$5:$A$304,0),0),0),IFERROR(MATCH(1,INDEX((CASHBACK_RULES!$B$5:$B$304=$D934)*(CASHBACK_RULES!$G$5:$G$304=$I934)*(((CASHBACK_RULES!$N$5:$N$304="")+(CASHBACK_RULES!$N$5:$N$304&lt;=$B934))&gt;0)*(((CASHBACK_RULES!$O$5:$O$304="")+(CASHBACK_RULES!$O$5:$O$304&gt;=$B934))&gt;0)*(((CASHBACK_RULES!$M$5:$M$304="")+(CASHBACK_RULES!$M$5:$M$304&lt;=$L934))&gt;0),0),0),0))))</f>
        <v>0</v>
      </c>
      <c r="AD934" s="51" t="str">
        <f>IF(OR($B934="",$D934=""),"",IFERROR(IF(INDEX(CARDS!$H$5:$H$34,MATCH($D934,CARDS!$A$5:$A$34,0))="","",IF(DAY($B934)&lt;=INDEX(CARDS!$H$5:$H$34,MATCH($D934,CARDS!$A$5:$A$34,0)),DATE(YEAR($B934),MONTH($B934),MIN(INDEX(CARDS!$H$5:$H$34,MATCH($D934,CARDS!$A$5:$A$34,0)),DAY(EOMONTH($B934,0)))),DATE(YEAR($B934),MONTH($B934)+1,MIN(INDEX(CARDS!$H$5:$H$34,MATCH($D934,CARDS!$A$5:$A$34,0)),DAY(EOMONTH($B934,1)))))),""))</f>
        <v/>
      </c>
      <c r="AE934" s="52" t="str">
        <f>IF($C934="","",$C934&amp;"|"&amp;COUNTIF($C$5:$C934,$C934))</f>
        <v/>
      </c>
      <c r="AF934" s="53">
        <f>IF($AC934&gt;0,SUMIFS(Q$4:Q933,$D$4:$D933,$D934,$Z$4:$Z933,$Z934,$C$4:$C933,$C934),0)</f>
        <v>0</v>
      </c>
      <c r="AG934" s="53">
        <f>IF($AC934&gt;0,SUMIFS(Q$4:Q933,$D$4:$D933,$D934,$C$4:$C933,$C934),0)</f>
        <v>0</v>
      </c>
      <c r="AH934" s="53">
        <f>IF($AC934&gt;0,SUMIFS(M$4:M933,$D$4:$D933,$D934,$Z$4:$Z933,$Z934,$C$4:$C933,$C934),0)</f>
        <v>0</v>
      </c>
      <c r="AI934" s="43">
        <f>IF(OR($C934="",$I934=""),0,IF(COUNTIFS($C$5:$C934,$C934,$I$5:$I934,$I934)=1,1,0))</f>
        <v>0</v>
      </c>
      <c r="AJ934" s="43" t="str">
        <f>IF($AI934=1,SUMIFS($AI$4:$AI933,$C$4:$C933,$C934)+1,"")</f>
        <v/>
      </c>
      <c r="AK934" s="43">
        <f>IF(OR($C934="",$K934=""),0,IF(COUNTIFS($C$5:$C934,$C934,$K$5:$K934,$K934)=1,1,0))</f>
        <v>0</v>
      </c>
      <c r="AL934" s="43" t="str">
        <f>IF($AK934=1,SUMIFS($AK$4:$AK933,$C$4:$C933,$C934)+1,"")</f>
        <v/>
      </c>
      <c r="AM934" s="43">
        <f>IF(OR($C934="",$G934=""),0,IF(COUNTIFS($C$5:$C934,$C934,$G$5:$G934,$G934)=1,1,0))</f>
        <v>0</v>
      </c>
      <c r="AN934" s="43" t="str">
        <f>IF($AM934=1,SUMIFS($AM$4:$AM933,$C$4:$C933,$C934)+1,"")</f>
        <v/>
      </c>
    </row>
    <row r="935">
      <c r="A935" s="44" t="str">
        <f>IF(OR($B935="",$D935=""),"","TX"&amp;TEXT(ROW()-4,"0000"))</f>
        <v/>
      </c>
      <c r="B935" s="42" t="n"/>
      <c r="C935" s="47" t="str">
        <f>IF($B935="","",YEAR($B935)*100+MONTH($B935))</f>
        <v/>
      </c>
      <c r="D935" s="37" t="n"/>
      <c r="E935" s="45" t="str">
        <f>IF($D935="","",IFERROR(INDEX(CARDS!$B$5:$B$34,MATCH($D935,CARDS!$A$5:$A$34,0)),"⚠ Card ID?"))</f>
        <v/>
      </c>
      <c r="F935" s="45" t="str">
        <f>IF($D935="","",IFERROR(INDEX(CARDS!$C$5:$C$34,MATCH($D935,CARDS!$A$5:$A$34,0)),"⚠ Card ID?"))</f>
        <v/>
      </c>
      <c r="G935" s="37" t="n"/>
      <c r="H935" s="37" t="n"/>
      <c r="I935" s="41" t="n"/>
      <c r="J935" s="45" t="str">
        <f>IF($I935="","",IFERROR(INDEX(MCC_MASTER!$B$5:$B$504,MATCH($I935,MCC_MASTER!$A$5:$A$504,0)),"⚠ MCC chưa có"))</f>
        <v/>
      </c>
      <c r="K935" s="45" t="str">
        <f>IF($I935="","",IFERROR(IF(INDEX(MCC_MASTER!$C$5:$C$504,MATCH($I935,MCC_MASTER!$A$5:$A$504,0))="","Chưa phân loại",INDEX(MCC_MASTER!$C$5:$C$504,MATCH($I935,MCC_MASTER!$A$5:$A$504,0))),"Chưa phân loại"))</f>
        <v/>
      </c>
      <c r="L935" s="40" t="n"/>
      <c r="M935" s="48" t="str">
        <f>IF(OR($B935="",$D935=""),"",IF($AC935=0,0,IF(ISNUMBER(INDEX(CASHBACK_RULES!$L$5:$L$304,$AC935)),MAX(0,MIN($L935,INDEX(CASHBACK_RULES!$L$5:$L$304,$AC935)-$AH935)),MAX(0,$L935))))</f>
        <v/>
      </c>
      <c r="N935" s="49" t="str">
        <f>IF(OR($B935="",$D935=""),"",IF($AC935&gt;0,INDEX(CASHBACK_RULES!$I$5:$I$304,$AC935),0))</f>
        <v/>
      </c>
      <c r="O935" s="48" t="str">
        <f>IF(OR($B935="",$D935=""),"",ROUND($M935*$N935,0))</f>
        <v/>
      </c>
      <c r="P935" s="48" t="str">
        <f>IF($AC935&gt;0,IF(ISNUMBER(INDEX(CASHBACK_RULES!$J$5:$J$304,$AC935)),INDEX(CASHBACK_RULES!$J$5:$J$304,$AC935),"∞"),"")</f>
        <v/>
      </c>
      <c r="Q935" s="48" t="str">
        <f>IF(OR($B935="",$D935=""),"",IF($AC935=0,0,MAX(0,MIN($O935,IF(ISNUMBER($P935),$P935-$AF935,1E+15),IF(ISNUMBER($AA935),$AA935-$AG935,1E+15)))))</f>
        <v/>
      </c>
      <c r="R935" s="48" t="str">
        <f>IF(OR($B935="",$D935=""),"",IF($AC935=0,"",IF(AND(NOT(ISNUMBER($P935)),NOT(ISNUMBER($AA935))),"∞",MAX(0,MIN(IF(ISNUMBER($P935),$P935-$AF935-$Q935,1E+15),IF(ISNUMBER($AA935),$AA935-$AG935-$Q935,1E+15))))))</f>
        <v/>
      </c>
      <c r="S935" s="47" t="str">
        <f>IF($AD935="","",YEAR($AD935)*100+MONTH($AD935))</f>
        <v/>
      </c>
      <c r="T935" s="50" t="str">
        <f>IF($AD935="","",IFERROR(IF(INDEX(CARDS!$I$5:$I$34,MATCH($D935,CARDS!$A$5:$A$34,0))="","",IF(INDEX(CARDS!$I$5:$I$34,MATCH($D935,CARDS!$A$5:$A$34,0))&gt;INDEX(CARDS!$H$5:$H$34,MATCH($D935,CARDS!$A$5:$A$34,0)),DATE(YEAR($AD935),MONTH($AD935),MIN(INDEX(CARDS!$I$5:$I$34,MATCH($D935,CARDS!$A$5:$A$34,0)),DAY(EOMONTH($AD935,0)))),DATE(YEAR($AD935),MONTH($AD935)+1,MIN(INDEX(CARDS!$I$5:$I$34,MATCH($D935,CARDS!$A$5:$A$34,0)),DAY(EOMONTH($AD935,1)))))),""))</f>
        <v/>
      </c>
      <c r="U935" s="38" t="n"/>
      <c r="V935" s="37" t="n"/>
      <c r="W935" s="38" t="n"/>
      <c r="X935" s="38" t="n"/>
      <c r="Y935" s="44" t="str">
        <f>IF($AC935&gt;0,INDEX(CASHBACK_RULES!$A$5:$A$304,$AC935),"")</f>
        <v/>
      </c>
      <c r="Z935" s="45" t="str">
        <f>IF($AC935&gt;0,INDEX(CASHBACK_RULES!$E$5:$E$304,$AC935)&amp;"","")</f>
        <v/>
      </c>
      <c r="AA935" s="48" t="str">
        <f>IF($AC935&gt;0,IF(ISNUMBER(INDEX(CASHBACK_RULES!$K$5:$K$304,$AC935)),INDEX(CASHBACK_RULES!$K$5:$K$304,$AC935),"∞"),"")</f>
        <v/>
      </c>
      <c r="AB935" s="44" t="str">
        <f>IF(OR($B935="",$D935=""),"",IF($U935="Cancelled","Đã hủy",IF($AC935=0,"Không được hoàn",IF($Q935=0,IF(OR($O935&gt;0,$M935&lt;$L935),"Đã đạt cap","Không được hoàn"),IF(OR($Q935&lt;$O935,$M935&lt;$L935),"Hoàn một phần","Được hoàn")))))</f>
        <v/>
      </c>
      <c r="AC935" s="43">
        <f>IF(OR($B935="",$D935="",$I935="",$L935=""),0,IF($U935="Cancelled",0,IF($W935&lt;&gt;"",IFERROR(IF(INDEX(CASHBACK_RULES!$B$5:$B$304,MATCH($W935,CASHBACK_RULES!$A$5:$A$304,0))=$D935,MATCH($W935,CASHBACK_RULES!$A$5:$A$304,0),0),0),IFERROR(MATCH(1,INDEX((CASHBACK_RULES!$B$5:$B$304=$D935)*(CASHBACK_RULES!$G$5:$G$304=$I935)*(((CASHBACK_RULES!$N$5:$N$304="")+(CASHBACK_RULES!$N$5:$N$304&lt;=$B935))&gt;0)*(((CASHBACK_RULES!$O$5:$O$304="")+(CASHBACK_RULES!$O$5:$O$304&gt;=$B935))&gt;0)*(((CASHBACK_RULES!$M$5:$M$304="")+(CASHBACK_RULES!$M$5:$M$304&lt;=$L935))&gt;0),0),0),0))))</f>
        <v>0</v>
      </c>
      <c r="AD935" s="51" t="str">
        <f>IF(OR($B935="",$D935=""),"",IFERROR(IF(INDEX(CARDS!$H$5:$H$34,MATCH($D935,CARDS!$A$5:$A$34,0))="","",IF(DAY($B935)&lt;=INDEX(CARDS!$H$5:$H$34,MATCH($D935,CARDS!$A$5:$A$34,0)),DATE(YEAR($B935),MONTH($B935),MIN(INDEX(CARDS!$H$5:$H$34,MATCH($D935,CARDS!$A$5:$A$34,0)),DAY(EOMONTH($B935,0)))),DATE(YEAR($B935),MONTH($B935)+1,MIN(INDEX(CARDS!$H$5:$H$34,MATCH($D935,CARDS!$A$5:$A$34,0)),DAY(EOMONTH($B935,1)))))),""))</f>
        <v/>
      </c>
      <c r="AE935" s="52" t="str">
        <f>IF($C935="","",$C935&amp;"|"&amp;COUNTIF($C$5:$C935,$C935))</f>
        <v/>
      </c>
      <c r="AF935" s="53">
        <f>IF($AC935&gt;0,SUMIFS(Q$4:Q934,$D$4:$D934,$D935,$Z$4:$Z934,$Z935,$C$4:$C934,$C935),0)</f>
        <v>0</v>
      </c>
      <c r="AG935" s="53">
        <f>IF($AC935&gt;0,SUMIFS(Q$4:Q934,$D$4:$D934,$D935,$C$4:$C934,$C935),0)</f>
        <v>0</v>
      </c>
      <c r="AH935" s="53">
        <f>IF($AC935&gt;0,SUMIFS(M$4:M934,$D$4:$D934,$D935,$Z$4:$Z934,$Z935,$C$4:$C934,$C935),0)</f>
        <v>0</v>
      </c>
      <c r="AI935" s="43">
        <f>IF(OR($C935="",$I935=""),0,IF(COUNTIFS($C$5:$C935,$C935,$I$5:$I935,$I935)=1,1,0))</f>
        <v>0</v>
      </c>
      <c r="AJ935" s="43" t="str">
        <f>IF($AI935=1,SUMIFS($AI$4:$AI934,$C$4:$C934,$C935)+1,"")</f>
        <v/>
      </c>
      <c r="AK935" s="43">
        <f>IF(OR($C935="",$K935=""),0,IF(COUNTIFS($C$5:$C935,$C935,$K$5:$K935,$K935)=1,1,0))</f>
        <v>0</v>
      </c>
      <c r="AL935" s="43" t="str">
        <f>IF($AK935=1,SUMIFS($AK$4:$AK934,$C$4:$C934,$C935)+1,"")</f>
        <v/>
      </c>
      <c r="AM935" s="43">
        <f>IF(OR($C935="",$G935=""),0,IF(COUNTIFS($C$5:$C935,$C935,$G$5:$G935,$G935)=1,1,0))</f>
        <v>0</v>
      </c>
      <c r="AN935" s="43" t="str">
        <f>IF($AM935=1,SUMIFS($AM$4:$AM934,$C$4:$C934,$C935)+1,"")</f>
        <v/>
      </c>
    </row>
    <row r="936">
      <c r="A936" s="44" t="str">
        <f>IF(OR($B936="",$D936=""),"","TX"&amp;TEXT(ROW()-4,"0000"))</f>
        <v/>
      </c>
      <c r="B936" s="42" t="n"/>
      <c r="C936" s="47" t="str">
        <f>IF($B936="","",YEAR($B936)*100+MONTH($B936))</f>
        <v/>
      </c>
      <c r="D936" s="37" t="n"/>
      <c r="E936" s="45" t="str">
        <f>IF($D936="","",IFERROR(INDEX(CARDS!$B$5:$B$34,MATCH($D936,CARDS!$A$5:$A$34,0)),"⚠ Card ID?"))</f>
        <v/>
      </c>
      <c r="F936" s="45" t="str">
        <f>IF($D936="","",IFERROR(INDEX(CARDS!$C$5:$C$34,MATCH($D936,CARDS!$A$5:$A$34,0)),"⚠ Card ID?"))</f>
        <v/>
      </c>
      <c r="G936" s="37" t="n"/>
      <c r="H936" s="37" t="n"/>
      <c r="I936" s="41" t="n"/>
      <c r="J936" s="45" t="str">
        <f>IF($I936="","",IFERROR(INDEX(MCC_MASTER!$B$5:$B$504,MATCH($I936,MCC_MASTER!$A$5:$A$504,0)),"⚠ MCC chưa có"))</f>
        <v/>
      </c>
      <c r="K936" s="45" t="str">
        <f>IF($I936="","",IFERROR(IF(INDEX(MCC_MASTER!$C$5:$C$504,MATCH($I936,MCC_MASTER!$A$5:$A$504,0))="","Chưa phân loại",INDEX(MCC_MASTER!$C$5:$C$504,MATCH($I936,MCC_MASTER!$A$5:$A$504,0))),"Chưa phân loại"))</f>
        <v/>
      </c>
      <c r="L936" s="40" t="n"/>
      <c r="M936" s="48" t="str">
        <f>IF(OR($B936="",$D936=""),"",IF($AC936=0,0,IF(ISNUMBER(INDEX(CASHBACK_RULES!$L$5:$L$304,$AC936)),MAX(0,MIN($L936,INDEX(CASHBACK_RULES!$L$5:$L$304,$AC936)-$AH936)),MAX(0,$L936))))</f>
        <v/>
      </c>
      <c r="N936" s="49" t="str">
        <f>IF(OR($B936="",$D936=""),"",IF($AC936&gt;0,INDEX(CASHBACK_RULES!$I$5:$I$304,$AC936),0))</f>
        <v/>
      </c>
      <c r="O936" s="48" t="str">
        <f>IF(OR($B936="",$D936=""),"",ROUND($M936*$N936,0))</f>
        <v/>
      </c>
      <c r="P936" s="48" t="str">
        <f>IF($AC936&gt;0,IF(ISNUMBER(INDEX(CASHBACK_RULES!$J$5:$J$304,$AC936)),INDEX(CASHBACK_RULES!$J$5:$J$304,$AC936),"∞"),"")</f>
        <v/>
      </c>
      <c r="Q936" s="48" t="str">
        <f>IF(OR($B936="",$D936=""),"",IF($AC936=0,0,MAX(0,MIN($O936,IF(ISNUMBER($P936),$P936-$AF936,1E+15),IF(ISNUMBER($AA936),$AA936-$AG936,1E+15)))))</f>
        <v/>
      </c>
      <c r="R936" s="48" t="str">
        <f>IF(OR($B936="",$D936=""),"",IF($AC936=0,"",IF(AND(NOT(ISNUMBER($P936)),NOT(ISNUMBER($AA936))),"∞",MAX(0,MIN(IF(ISNUMBER($P936),$P936-$AF936-$Q936,1E+15),IF(ISNUMBER($AA936),$AA936-$AG936-$Q936,1E+15))))))</f>
        <v/>
      </c>
      <c r="S936" s="47" t="str">
        <f>IF($AD936="","",YEAR($AD936)*100+MONTH($AD936))</f>
        <v/>
      </c>
      <c r="T936" s="50" t="str">
        <f>IF($AD936="","",IFERROR(IF(INDEX(CARDS!$I$5:$I$34,MATCH($D936,CARDS!$A$5:$A$34,0))="","",IF(INDEX(CARDS!$I$5:$I$34,MATCH($D936,CARDS!$A$5:$A$34,0))&gt;INDEX(CARDS!$H$5:$H$34,MATCH($D936,CARDS!$A$5:$A$34,0)),DATE(YEAR($AD936),MONTH($AD936),MIN(INDEX(CARDS!$I$5:$I$34,MATCH($D936,CARDS!$A$5:$A$34,0)),DAY(EOMONTH($AD936,0)))),DATE(YEAR($AD936),MONTH($AD936)+1,MIN(INDEX(CARDS!$I$5:$I$34,MATCH($D936,CARDS!$A$5:$A$34,0)),DAY(EOMONTH($AD936,1)))))),""))</f>
        <v/>
      </c>
      <c r="U936" s="38" t="n"/>
      <c r="V936" s="37" t="n"/>
      <c r="W936" s="38" t="n"/>
      <c r="X936" s="38" t="n"/>
      <c r="Y936" s="44" t="str">
        <f>IF($AC936&gt;0,INDEX(CASHBACK_RULES!$A$5:$A$304,$AC936),"")</f>
        <v/>
      </c>
      <c r="Z936" s="45" t="str">
        <f>IF($AC936&gt;0,INDEX(CASHBACK_RULES!$E$5:$E$304,$AC936)&amp;"","")</f>
        <v/>
      </c>
      <c r="AA936" s="48" t="str">
        <f>IF($AC936&gt;0,IF(ISNUMBER(INDEX(CASHBACK_RULES!$K$5:$K$304,$AC936)),INDEX(CASHBACK_RULES!$K$5:$K$304,$AC936),"∞"),"")</f>
        <v/>
      </c>
      <c r="AB936" s="44" t="str">
        <f>IF(OR($B936="",$D936=""),"",IF($U936="Cancelled","Đã hủy",IF($AC936=0,"Không được hoàn",IF($Q936=0,IF(OR($O936&gt;0,$M936&lt;$L936),"Đã đạt cap","Không được hoàn"),IF(OR($Q936&lt;$O936,$M936&lt;$L936),"Hoàn một phần","Được hoàn")))))</f>
        <v/>
      </c>
      <c r="AC936" s="43">
        <f>IF(OR($B936="",$D936="",$I936="",$L936=""),0,IF($U936="Cancelled",0,IF($W936&lt;&gt;"",IFERROR(IF(INDEX(CASHBACK_RULES!$B$5:$B$304,MATCH($W936,CASHBACK_RULES!$A$5:$A$304,0))=$D936,MATCH($W936,CASHBACK_RULES!$A$5:$A$304,0),0),0),IFERROR(MATCH(1,INDEX((CASHBACK_RULES!$B$5:$B$304=$D936)*(CASHBACK_RULES!$G$5:$G$304=$I936)*(((CASHBACK_RULES!$N$5:$N$304="")+(CASHBACK_RULES!$N$5:$N$304&lt;=$B936))&gt;0)*(((CASHBACK_RULES!$O$5:$O$304="")+(CASHBACK_RULES!$O$5:$O$304&gt;=$B936))&gt;0)*(((CASHBACK_RULES!$M$5:$M$304="")+(CASHBACK_RULES!$M$5:$M$304&lt;=$L936))&gt;0),0),0),0))))</f>
        <v>0</v>
      </c>
      <c r="AD936" s="51" t="str">
        <f>IF(OR($B936="",$D936=""),"",IFERROR(IF(INDEX(CARDS!$H$5:$H$34,MATCH($D936,CARDS!$A$5:$A$34,0))="","",IF(DAY($B936)&lt;=INDEX(CARDS!$H$5:$H$34,MATCH($D936,CARDS!$A$5:$A$34,0)),DATE(YEAR($B936),MONTH($B936),MIN(INDEX(CARDS!$H$5:$H$34,MATCH($D936,CARDS!$A$5:$A$34,0)),DAY(EOMONTH($B936,0)))),DATE(YEAR($B936),MONTH($B936)+1,MIN(INDEX(CARDS!$H$5:$H$34,MATCH($D936,CARDS!$A$5:$A$34,0)),DAY(EOMONTH($B936,1)))))),""))</f>
        <v/>
      </c>
      <c r="AE936" s="52" t="str">
        <f>IF($C936="","",$C936&amp;"|"&amp;COUNTIF($C$5:$C936,$C936))</f>
        <v/>
      </c>
      <c r="AF936" s="53">
        <f>IF($AC936&gt;0,SUMIFS(Q$4:Q935,$D$4:$D935,$D936,$Z$4:$Z935,$Z936,$C$4:$C935,$C936),0)</f>
        <v>0</v>
      </c>
      <c r="AG936" s="53">
        <f>IF($AC936&gt;0,SUMIFS(Q$4:Q935,$D$4:$D935,$D936,$C$4:$C935,$C936),0)</f>
        <v>0</v>
      </c>
      <c r="AH936" s="53">
        <f>IF($AC936&gt;0,SUMIFS(M$4:M935,$D$4:$D935,$D936,$Z$4:$Z935,$Z936,$C$4:$C935,$C936),0)</f>
        <v>0</v>
      </c>
      <c r="AI936" s="43">
        <f>IF(OR($C936="",$I936=""),0,IF(COUNTIFS($C$5:$C936,$C936,$I$5:$I936,$I936)=1,1,0))</f>
        <v>0</v>
      </c>
      <c r="AJ936" s="43" t="str">
        <f>IF($AI936=1,SUMIFS($AI$4:$AI935,$C$4:$C935,$C936)+1,"")</f>
        <v/>
      </c>
      <c r="AK936" s="43">
        <f>IF(OR($C936="",$K936=""),0,IF(COUNTIFS($C$5:$C936,$C936,$K$5:$K936,$K936)=1,1,0))</f>
        <v>0</v>
      </c>
      <c r="AL936" s="43" t="str">
        <f>IF($AK936=1,SUMIFS($AK$4:$AK935,$C$4:$C935,$C936)+1,"")</f>
        <v/>
      </c>
      <c r="AM936" s="43">
        <f>IF(OR($C936="",$G936=""),0,IF(COUNTIFS($C$5:$C936,$C936,$G$5:$G936,$G936)=1,1,0))</f>
        <v>0</v>
      </c>
      <c r="AN936" s="43" t="str">
        <f>IF($AM936=1,SUMIFS($AM$4:$AM935,$C$4:$C935,$C936)+1,"")</f>
        <v/>
      </c>
    </row>
    <row r="937">
      <c r="A937" s="44" t="str">
        <f>IF(OR($B937="",$D937=""),"","TX"&amp;TEXT(ROW()-4,"0000"))</f>
        <v/>
      </c>
      <c r="B937" s="42" t="n"/>
      <c r="C937" s="47" t="str">
        <f>IF($B937="","",YEAR($B937)*100+MONTH($B937))</f>
        <v/>
      </c>
      <c r="D937" s="37" t="n"/>
      <c r="E937" s="45" t="str">
        <f>IF($D937="","",IFERROR(INDEX(CARDS!$B$5:$B$34,MATCH($D937,CARDS!$A$5:$A$34,0)),"⚠ Card ID?"))</f>
        <v/>
      </c>
      <c r="F937" s="45" t="str">
        <f>IF($D937="","",IFERROR(INDEX(CARDS!$C$5:$C$34,MATCH($D937,CARDS!$A$5:$A$34,0)),"⚠ Card ID?"))</f>
        <v/>
      </c>
      <c r="G937" s="37" t="n"/>
      <c r="H937" s="37" t="n"/>
      <c r="I937" s="41" t="n"/>
      <c r="J937" s="45" t="str">
        <f>IF($I937="","",IFERROR(INDEX(MCC_MASTER!$B$5:$B$504,MATCH($I937,MCC_MASTER!$A$5:$A$504,0)),"⚠ MCC chưa có"))</f>
        <v/>
      </c>
      <c r="K937" s="45" t="str">
        <f>IF($I937="","",IFERROR(IF(INDEX(MCC_MASTER!$C$5:$C$504,MATCH($I937,MCC_MASTER!$A$5:$A$504,0))="","Chưa phân loại",INDEX(MCC_MASTER!$C$5:$C$504,MATCH($I937,MCC_MASTER!$A$5:$A$504,0))),"Chưa phân loại"))</f>
        <v/>
      </c>
      <c r="L937" s="40" t="n"/>
      <c r="M937" s="48" t="str">
        <f>IF(OR($B937="",$D937=""),"",IF($AC937=0,0,IF(ISNUMBER(INDEX(CASHBACK_RULES!$L$5:$L$304,$AC937)),MAX(0,MIN($L937,INDEX(CASHBACK_RULES!$L$5:$L$304,$AC937)-$AH937)),MAX(0,$L937))))</f>
        <v/>
      </c>
      <c r="N937" s="49" t="str">
        <f>IF(OR($B937="",$D937=""),"",IF($AC937&gt;0,INDEX(CASHBACK_RULES!$I$5:$I$304,$AC937),0))</f>
        <v/>
      </c>
      <c r="O937" s="48" t="str">
        <f>IF(OR($B937="",$D937=""),"",ROUND($M937*$N937,0))</f>
        <v/>
      </c>
      <c r="P937" s="48" t="str">
        <f>IF($AC937&gt;0,IF(ISNUMBER(INDEX(CASHBACK_RULES!$J$5:$J$304,$AC937)),INDEX(CASHBACK_RULES!$J$5:$J$304,$AC937),"∞"),"")</f>
        <v/>
      </c>
      <c r="Q937" s="48" t="str">
        <f>IF(OR($B937="",$D937=""),"",IF($AC937=0,0,MAX(0,MIN($O937,IF(ISNUMBER($P937),$P937-$AF937,1E+15),IF(ISNUMBER($AA937),$AA937-$AG937,1E+15)))))</f>
        <v/>
      </c>
      <c r="R937" s="48" t="str">
        <f>IF(OR($B937="",$D937=""),"",IF($AC937=0,"",IF(AND(NOT(ISNUMBER($P937)),NOT(ISNUMBER($AA937))),"∞",MAX(0,MIN(IF(ISNUMBER($P937),$P937-$AF937-$Q937,1E+15),IF(ISNUMBER($AA937),$AA937-$AG937-$Q937,1E+15))))))</f>
        <v/>
      </c>
      <c r="S937" s="47" t="str">
        <f>IF($AD937="","",YEAR($AD937)*100+MONTH($AD937))</f>
        <v/>
      </c>
      <c r="T937" s="50" t="str">
        <f>IF($AD937="","",IFERROR(IF(INDEX(CARDS!$I$5:$I$34,MATCH($D937,CARDS!$A$5:$A$34,0))="","",IF(INDEX(CARDS!$I$5:$I$34,MATCH($D937,CARDS!$A$5:$A$34,0))&gt;INDEX(CARDS!$H$5:$H$34,MATCH($D937,CARDS!$A$5:$A$34,0)),DATE(YEAR($AD937),MONTH($AD937),MIN(INDEX(CARDS!$I$5:$I$34,MATCH($D937,CARDS!$A$5:$A$34,0)),DAY(EOMONTH($AD937,0)))),DATE(YEAR($AD937),MONTH($AD937)+1,MIN(INDEX(CARDS!$I$5:$I$34,MATCH($D937,CARDS!$A$5:$A$34,0)),DAY(EOMONTH($AD937,1)))))),""))</f>
        <v/>
      </c>
      <c r="U937" s="38" t="n"/>
      <c r="V937" s="37" t="n"/>
      <c r="W937" s="38" t="n"/>
      <c r="X937" s="38" t="n"/>
      <c r="Y937" s="44" t="str">
        <f>IF($AC937&gt;0,INDEX(CASHBACK_RULES!$A$5:$A$304,$AC937),"")</f>
        <v/>
      </c>
      <c r="Z937" s="45" t="str">
        <f>IF($AC937&gt;0,INDEX(CASHBACK_RULES!$E$5:$E$304,$AC937)&amp;"","")</f>
        <v/>
      </c>
      <c r="AA937" s="48" t="str">
        <f>IF($AC937&gt;0,IF(ISNUMBER(INDEX(CASHBACK_RULES!$K$5:$K$304,$AC937)),INDEX(CASHBACK_RULES!$K$5:$K$304,$AC937),"∞"),"")</f>
        <v/>
      </c>
      <c r="AB937" s="44" t="str">
        <f>IF(OR($B937="",$D937=""),"",IF($U937="Cancelled","Đã hủy",IF($AC937=0,"Không được hoàn",IF($Q937=0,IF(OR($O937&gt;0,$M937&lt;$L937),"Đã đạt cap","Không được hoàn"),IF(OR($Q937&lt;$O937,$M937&lt;$L937),"Hoàn một phần","Được hoàn")))))</f>
        <v/>
      </c>
      <c r="AC937" s="43">
        <f>IF(OR($B937="",$D937="",$I937="",$L937=""),0,IF($U937="Cancelled",0,IF($W937&lt;&gt;"",IFERROR(IF(INDEX(CASHBACK_RULES!$B$5:$B$304,MATCH($W937,CASHBACK_RULES!$A$5:$A$304,0))=$D937,MATCH($W937,CASHBACK_RULES!$A$5:$A$304,0),0),0),IFERROR(MATCH(1,INDEX((CASHBACK_RULES!$B$5:$B$304=$D937)*(CASHBACK_RULES!$G$5:$G$304=$I937)*(((CASHBACK_RULES!$N$5:$N$304="")+(CASHBACK_RULES!$N$5:$N$304&lt;=$B937))&gt;0)*(((CASHBACK_RULES!$O$5:$O$304="")+(CASHBACK_RULES!$O$5:$O$304&gt;=$B937))&gt;0)*(((CASHBACK_RULES!$M$5:$M$304="")+(CASHBACK_RULES!$M$5:$M$304&lt;=$L937))&gt;0),0),0),0))))</f>
        <v>0</v>
      </c>
      <c r="AD937" s="51" t="str">
        <f>IF(OR($B937="",$D937=""),"",IFERROR(IF(INDEX(CARDS!$H$5:$H$34,MATCH($D937,CARDS!$A$5:$A$34,0))="","",IF(DAY($B937)&lt;=INDEX(CARDS!$H$5:$H$34,MATCH($D937,CARDS!$A$5:$A$34,0)),DATE(YEAR($B937),MONTH($B937),MIN(INDEX(CARDS!$H$5:$H$34,MATCH($D937,CARDS!$A$5:$A$34,0)),DAY(EOMONTH($B937,0)))),DATE(YEAR($B937),MONTH($B937)+1,MIN(INDEX(CARDS!$H$5:$H$34,MATCH($D937,CARDS!$A$5:$A$34,0)),DAY(EOMONTH($B937,1)))))),""))</f>
        <v/>
      </c>
      <c r="AE937" s="52" t="str">
        <f>IF($C937="","",$C937&amp;"|"&amp;COUNTIF($C$5:$C937,$C937))</f>
        <v/>
      </c>
      <c r="AF937" s="53">
        <f>IF($AC937&gt;0,SUMIFS(Q$4:Q936,$D$4:$D936,$D937,$Z$4:$Z936,$Z937,$C$4:$C936,$C937),0)</f>
        <v>0</v>
      </c>
      <c r="AG937" s="53">
        <f>IF($AC937&gt;0,SUMIFS(Q$4:Q936,$D$4:$D936,$D937,$C$4:$C936,$C937),0)</f>
        <v>0</v>
      </c>
      <c r="AH937" s="53">
        <f>IF($AC937&gt;0,SUMIFS(M$4:M936,$D$4:$D936,$D937,$Z$4:$Z936,$Z937,$C$4:$C936,$C937),0)</f>
        <v>0</v>
      </c>
      <c r="AI937" s="43">
        <f>IF(OR($C937="",$I937=""),0,IF(COUNTIFS($C$5:$C937,$C937,$I$5:$I937,$I937)=1,1,0))</f>
        <v>0</v>
      </c>
      <c r="AJ937" s="43" t="str">
        <f>IF($AI937=1,SUMIFS($AI$4:$AI936,$C$4:$C936,$C937)+1,"")</f>
        <v/>
      </c>
      <c r="AK937" s="43">
        <f>IF(OR($C937="",$K937=""),0,IF(COUNTIFS($C$5:$C937,$C937,$K$5:$K937,$K937)=1,1,0))</f>
        <v>0</v>
      </c>
      <c r="AL937" s="43" t="str">
        <f>IF($AK937=1,SUMIFS($AK$4:$AK936,$C$4:$C936,$C937)+1,"")</f>
        <v/>
      </c>
      <c r="AM937" s="43">
        <f>IF(OR($C937="",$G937=""),0,IF(COUNTIFS($C$5:$C937,$C937,$G$5:$G937,$G937)=1,1,0))</f>
        <v>0</v>
      </c>
      <c r="AN937" s="43" t="str">
        <f>IF($AM937=1,SUMIFS($AM$4:$AM936,$C$4:$C936,$C937)+1,"")</f>
        <v/>
      </c>
    </row>
    <row r="938">
      <c r="A938" s="44" t="str">
        <f>IF(OR($B938="",$D938=""),"","TX"&amp;TEXT(ROW()-4,"0000"))</f>
        <v/>
      </c>
      <c r="B938" s="42" t="n"/>
      <c r="C938" s="47" t="str">
        <f>IF($B938="","",YEAR($B938)*100+MONTH($B938))</f>
        <v/>
      </c>
      <c r="D938" s="37" t="n"/>
      <c r="E938" s="45" t="str">
        <f>IF($D938="","",IFERROR(INDEX(CARDS!$B$5:$B$34,MATCH($D938,CARDS!$A$5:$A$34,0)),"⚠ Card ID?"))</f>
        <v/>
      </c>
      <c r="F938" s="45" t="str">
        <f>IF($D938="","",IFERROR(INDEX(CARDS!$C$5:$C$34,MATCH($D938,CARDS!$A$5:$A$34,0)),"⚠ Card ID?"))</f>
        <v/>
      </c>
      <c r="G938" s="37" t="n"/>
      <c r="H938" s="37" t="n"/>
      <c r="I938" s="41" t="n"/>
      <c r="J938" s="45" t="str">
        <f>IF($I938="","",IFERROR(INDEX(MCC_MASTER!$B$5:$B$504,MATCH($I938,MCC_MASTER!$A$5:$A$504,0)),"⚠ MCC chưa có"))</f>
        <v/>
      </c>
      <c r="K938" s="45" t="str">
        <f>IF($I938="","",IFERROR(IF(INDEX(MCC_MASTER!$C$5:$C$504,MATCH($I938,MCC_MASTER!$A$5:$A$504,0))="","Chưa phân loại",INDEX(MCC_MASTER!$C$5:$C$504,MATCH($I938,MCC_MASTER!$A$5:$A$504,0))),"Chưa phân loại"))</f>
        <v/>
      </c>
      <c r="L938" s="40" t="n"/>
      <c r="M938" s="48" t="str">
        <f>IF(OR($B938="",$D938=""),"",IF($AC938=0,0,IF(ISNUMBER(INDEX(CASHBACK_RULES!$L$5:$L$304,$AC938)),MAX(0,MIN($L938,INDEX(CASHBACK_RULES!$L$5:$L$304,$AC938)-$AH938)),MAX(0,$L938))))</f>
        <v/>
      </c>
      <c r="N938" s="49" t="str">
        <f>IF(OR($B938="",$D938=""),"",IF($AC938&gt;0,INDEX(CASHBACK_RULES!$I$5:$I$304,$AC938),0))</f>
        <v/>
      </c>
      <c r="O938" s="48" t="str">
        <f>IF(OR($B938="",$D938=""),"",ROUND($M938*$N938,0))</f>
        <v/>
      </c>
      <c r="P938" s="48" t="str">
        <f>IF($AC938&gt;0,IF(ISNUMBER(INDEX(CASHBACK_RULES!$J$5:$J$304,$AC938)),INDEX(CASHBACK_RULES!$J$5:$J$304,$AC938),"∞"),"")</f>
        <v/>
      </c>
      <c r="Q938" s="48" t="str">
        <f>IF(OR($B938="",$D938=""),"",IF($AC938=0,0,MAX(0,MIN($O938,IF(ISNUMBER($P938),$P938-$AF938,1E+15),IF(ISNUMBER($AA938),$AA938-$AG938,1E+15)))))</f>
        <v/>
      </c>
      <c r="R938" s="48" t="str">
        <f>IF(OR($B938="",$D938=""),"",IF($AC938=0,"",IF(AND(NOT(ISNUMBER($P938)),NOT(ISNUMBER($AA938))),"∞",MAX(0,MIN(IF(ISNUMBER($P938),$P938-$AF938-$Q938,1E+15),IF(ISNUMBER($AA938),$AA938-$AG938-$Q938,1E+15))))))</f>
        <v/>
      </c>
      <c r="S938" s="47" t="str">
        <f>IF($AD938="","",YEAR($AD938)*100+MONTH($AD938))</f>
        <v/>
      </c>
      <c r="T938" s="50" t="str">
        <f>IF($AD938="","",IFERROR(IF(INDEX(CARDS!$I$5:$I$34,MATCH($D938,CARDS!$A$5:$A$34,0))="","",IF(INDEX(CARDS!$I$5:$I$34,MATCH($D938,CARDS!$A$5:$A$34,0))&gt;INDEX(CARDS!$H$5:$H$34,MATCH($D938,CARDS!$A$5:$A$34,0)),DATE(YEAR($AD938),MONTH($AD938),MIN(INDEX(CARDS!$I$5:$I$34,MATCH($D938,CARDS!$A$5:$A$34,0)),DAY(EOMONTH($AD938,0)))),DATE(YEAR($AD938),MONTH($AD938)+1,MIN(INDEX(CARDS!$I$5:$I$34,MATCH($D938,CARDS!$A$5:$A$34,0)),DAY(EOMONTH($AD938,1)))))),""))</f>
        <v/>
      </c>
      <c r="U938" s="38" t="n"/>
      <c r="V938" s="37" t="n"/>
      <c r="W938" s="38" t="n"/>
      <c r="X938" s="38" t="n"/>
      <c r="Y938" s="44" t="str">
        <f>IF($AC938&gt;0,INDEX(CASHBACK_RULES!$A$5:$A$304,$AC938),"")</f>
        <v/>
      </c>
      <c r="Z938" s="45" t="str">
        <f>IF($AC938&gt;0,INDEX(CASHBACK_RULES!$E$5:$E$304,$AC938)&amp;"","")</f>
        <v/>
      </c>
      <c r="AA938" s="48" t="str">
        <f>IF($AC938&gt;0,IF(ISNUMBER(INDEX(CASHBACK_RULES!$K$5:$K$304,$AC938)),INDEX(CASHBACK_RULES!$K$5:$K$304,$AC938),"∞"),"")</f>
        <v/>
      </c>
      <c r="AB938" s="44" t="str">
        <f>IF(OR($B938="",$D938=""),"",IF($U938="Cancelled","Đã hủy",IF($AC938=0,"Không được hoàn",IF($Q938=0,IF(OR($O938&gt;0,$M938&lt;$L938),"Đã đạt cap","Không được hoàn"),IF(OR($Q938&lt;$O938,$M938&lt;$L938),"Hoàn một phần","Được hoàn")))))</f>
        <v/>
      </c>
      <c r="AC938" s="43">
        <f>IF(OR($B938="",$D938="",$I938="",$L938=""),0,IF($U938="Cancelled",0,IF($W938&lt;&gt;"",IFERROR(IF(INDEX(CASHBACK_RULES!$B$5:$B$304,MATCH($W938,CASHBACK_RULES!$A$5:$A$304,0))=$D938,MATCH($W938,CASHBACK_RULES!$A$5:$A$304,0),0),0),IFERROR(MATCH(1,INDEX((CASHBACK_RULES!$B$5:$B$304=$D938)*(CASHBACK_RULES!$G$5:$G$304=$I938)*(((CASHBACK_RULES!$N$5:$N$304="")+(CASHBACK_RULES!$N$5:$N$304&lt;=$B938))&gt;0)*(((CASHBACK_RULES!$O$5:$O$304="")+(CASHBACK_RULES!$O$5:$O$304&gt;=$B938))&gt;0)*(((CASHBACK_RULES!$M$5:$M$304="")+(CASHBACK_RULES!$M$5:$M$304&lt;=$L938))&gt;0),0),0),0))))</f>
        <v>0</v>
      </c>
      <c r="AD938" s="51" t="str">
        <f>IF(OR($B938="",$D938=""),"",IFERROR(IF(INDEX(CARDS!$H$5:$H$34,MATCH($D938,CARDS!$A$5:$A$34,0))="","",IF(DAY($B938)&lt;=INDEX(CARDS!$H$5:$H$34,MATCH($D938,CARDS!$A$5:$A$34,0)),DATE(YEAR($B938),MONTH($B938),MIN(INDEX(CARDS!$H$5:$H$34,MATCH($D938,CARDS!$A$5:$A$34,0)),DAY(EOMONTH($B938,0)))),DATE(YEAR($B938),MONTH($B938)+1,MIN(INDEX(CARDS!$H$5:$H$34,MATCH($D938,CARDS!$A$5:$A$34,0)),DAY(EOMONTH($B938,1)))))),""))</f>
        <v/>
      </c>
      <c r="AE938" s="52" t="str">
        <f>IF($C938="","",$C938&amp;"|"&amp;COUNTIF($C$5:$C938,$C938))</f>
        <v/>
      </c>
      <c r="AF938" s="53">
        <f>IF($AC938&gt;0,SUMIFS(Q$4:Q937,$D$4:$D937,$D938,$Z$4:$Z937,$Z938,$C$4:$C937,$C938),0)</f>
        <v>0</v>
      </c>
      <c r="AG938" s="53">
        <f>IF($AC938&gt;0,SUMIFS(Q$4:Q937,$D$4:$D937,$D938,$C$4:$C937,$C938),0)</f>
        <v>0</v>
      </c>
      <c r="AH938" s="53">
        <f>IF($AC938&gt;0,SUMIFS(M$4:M937,$D$4:$D937,$D938,$Z$4:$Z937,$Z938,$C$4:$C937,$C938),0)</f>
        <v>0</v>
      </c>
      <c r="AI938" s="43">
        <f>IF(OR($C938="",$I938=""),0,IF(COUNTIFS($C$5:$C938,$C938,$I$5:$I938,$I938)=1,1,0))</f>
        <v>0</v>
      </c>
      <c r="AJ938" s="43" t="str">
        <f>IF($AI938=1,SUMIFS($AI$4:$AI937,$C$4:$C937,$C938)+1,"")</f>
        <v/>
      </c>
      <c r="AK938" s="43">
        <f>IF(OR($C938="",$K938=""),0,IF(COUNTIFS($C$5:$C938,$C938,$K$5:$K938,$K938)=1,1,0))</f>
        <v>0</v>
      </c>
      <c r="AL938" s="43" t="str">
        <f>IF($AK938=1,SUMIFS($AK$4:$AK937,$C$4:$C937,$C938)+1,"")</f>
        <v/>
      </c>
      <c r="AM938" s="43">
        <f>IF(OR($C938="",$G938=""),0,IF(COUNTIFS($C$5:$C938,$C938,$G$5:$G938,$G938)=1,1,0))</f>
        <v>0</v>
      </c>
      <c r="AN938" s="43" t="str">
        <f>IF($AM938=1,SUMIFS($AM$4:$AM937,$C$4:$C937,$C938)+1,"")</f>
        <v/>
      </c>
    </row>
    <row r="939">
      <c r="A939" s="44" t="str">
        <f>IF(OR($B939="",$D939=""),"","TX"&amp;TEXT(ROW()-4,"0000"))</f>
        <v/>
      </c>
      <c r="B939" s="42" t="n"/>
      <c r="C939" s="47" t="str">
        <f>IF($B939="","",YEAR($B939)*100+MONTH($B939))</f>
        <v/>
      </c>
      <c r="D939" s="37" t="n"/>
      <c r="E939" s="45" t="str">
        <f>IF($D939="","",IFERROR(INDEX(CARDS!$B$5:$B$34,MATCH($D939,CARDS!$A$5:$A$34,0)),"⚠ Card ID?"))</f>
        <v/>
      </c>
      <c r="F939" s="45" t="str">
        <f>IF($D939="","",IFERROR(INDEX(CARDS!$C$5:$C$34,MATCH($D939,CARDS!$A$5:$A$34,0)),"⚠ Card ID?"))</f>
        <v/>
      </c>
      <c r="G939" s="37" t="n"/>
      <c r="H939" s="37" t="n"/>
      <c r="I939" s="41" t="n"/>
      <c r="J939" s="45" t="str">
        <f>IF($I939="","",IFERROR(INDEX(MCC_MASTER!$B$5:$B$504,MATCH($I939,MCC_MASTER!$A$5:$A$504,0)),"⚠ MCC chưa có"))</f>
        <v/>
      </c>
      <c r="K939" s="45" t="str">
        <f>IF($I939="","",IFERROR(IF(INDEX(MCC_MASTER!$C$5:$C$504,MATCH($I939,MCC_MASTER!$A$5:$A$504,0))="","Chưa phân loại",INDEX(MCC_MASTER!$C$5:$C$504,MATCH($I939,MCC_MASTER!$A$5:$A$504,0))),"Chưa phân loại"))</f>
        <v/>
      </c>
      <c r="L939" s="40" t="n"/>
      <c r="M939" s="48" t="str">
        <f>IF(OR($B939="",$D939=""),"",IF($AC939=0,0,IF(ISNUMBER(INDEX(CASHBACK_RULES!$L$5:$L$304,$AC939)),MAX(0,MIN($L939,INDEX(CASHBACK_RULES!$L$5:$L$304,$AC939)-$AH939)),MAX(0,$L939))))</f>
        <v/>
      </c>
      <c r="N939" s="49" t="str">
        <f>IF(OR($B939="",$D939=""),"",IF($AC939&gt;0,INDEX(CASHBACK_RULES!$I$5:$I$304,$AC939),0))</f>
        <v/>
      </c>
      <c r="O939" s="48" t="str">
        <f>IF(OR($B939="",$D939=""),"",ROUND($M939*$N939,0))</f>
        <v/>
      </c>
      <c r="P939" s="48" t="str">
        <f>IF($AC939&gt;0,IF(ISNUMBER(INDEX(CASHBACK_RULES!$J$5:$J$304,$AC939)),INDEX(CASHBACK_RULES!$J$5:$J$304,$AC939),"∞"),"")</f>
        <v/>
      </c>
      <c r="Q939" s="48" t="str">
        <f>IF(OR($B939="",$D939=""),"",IF($AC939=0,0,MAX(0,MIN($O939,IF(ISNUMBER($P939),$P939-$AF939,1E+15),IF(ISNUMBER($AA939),$AA939-$AG939,1E+15)))))</f>
        <v/>
      </c>
      <c r="R939" s="48" t="str">
        <f>IF(OR($B939="",$D939=""),"",IF($AC939=0,"",IF(AND(NOT(ISNUMBER($P939)),NOT(ISNUMBER($AA939))),"∞",MAX(0,MIN(IF(ISNUMBER($P939),$P939-$AF939-$Q939,1E+15),IF(ISNUMBER($AA939),$AA939-$AG939-$Q939,1E+15))))))</f>
        <v/>
      </c>
      <c r="S939" s="47" t="str">
        <f>IF($AD939="","",YEAR($AD939)*100+MONTH($AD939))</f>
        <v/>
      </c>
      <c r="T939" s="50" t="str">
        <f>IF($AD939="","",IFERROR(IF(INDEX(CARDS!$I$5:$I$34,MATCH($D939,CARDS!$A$5:$A$34,0))="","",IF(INDEX(CARDS!$I$5:$I$34,MATCH($D939,CARDS!$A$5:$A$34,0))&gt;INDEX(CARDS!$H$5:$H$34,MATCH($D939,CARDS!$A$5:$A$34,0)),DATE(YEAR($AD939),MONTH($AD939),MIN(INDEX(CARDS!$I$5:$I$34,MATCH($D939,CARDS!$A$5:$A$34,0)),DAY(EOMONTH($AD939,0)))),DATE(YEAR($AD939),MONTH($AD939)+1,MIN(INDEX(CARDS!$I$5:$I$34,MATCH($D939,CARDS!$A$5:$A$34,0)),DAY(EOMONTH($AD939,1)))))),""))</f>
        <v/>
      </c>
      <c r="U939" s="38" t="n"/>
      <c r="V939" s="37" t="n"/>
      <c r="W939" s="38" t="n"/>
      <c r="X939" s="38" t="n"/>
      <c r="Y939" s="44" t="str">
        <f>IF($AC939&gt;0,INDEX(CASHBACK_RULES!$A$5:$A$304,$AC939),"")</f>
        <v/>
      </c>
      <c r="Z939" s="45" t="str">
        <f>IF($AC939&gt;0,INDEX(CASHBACK_RULES!$E$5:$E$304,$AC939)&amp;"","")</f>
        <v/>
      </c>
      <c r="AA939" s="48" t="str">
        <f>IF($AC939&gt;0,IF(ISNUMBER(INDEX(CASHBACK_RULES!$K$5:$K$304,$AC939)),INDEX(CASHBACK_RULES!$K$5:$K$304,$AC939),"∞"),"")</f>
        <v/>
      </c>
      <c r="AB939" s="44" t="str">
        <f>IF(OR($B939="",$D939=""),"",IF($U939="Cancelled","Đã hủy",IF($AC939=0,"Không được hoàn",IF($Q939=0,IF(OR($O939&gt;0,$M939&lt;$L939),"Đã đạt cap","Không được hoàn"),IF(OR($Q939&lt;$O939,$M939&lt;$L939),"Hoàn một phần","Được hoàn")))))</f>
        <v/>
      </c>
      <c r="AC939" s="43">
        <f>IF(OR($B939="",$D939="",$I939="",$L939=""),0,IF($U939="Cancelled",0,IF($W939&lt;&gt;"",IFERROR(IF(INDEX(CASHBACK_RULES!$B$5:$B$304,MATCH($W939,CASHBACK_RULES!$A$5:$A$304,0))=$D939,MATCH($W939,CASHBACK_RULES!$A$5:$A$304,0),0),0),IFERROR(MATCH(1,INDEX((CASHBACK_RULES!$B$5:$B$304=$D939)*(CASHBACK_RULES!$G$5:$G$304=$I939)*(((CASHBACK_RULES!$N$5:$N$304="")+(CASHBACK_RULES!$N$5:$N$304&lt;=$B939))&gt;0)*(((CASHBACK_RULES!$O$5:$O$304="")+(CASHBACK_RULES!$O$5:$O$304&gt;=$B939))&gt;0)*(((CASHBACK_RULES!$M$5:$M$304="")+(CASHBACK_RULES!$M$5:$M$304&lt;=$L939))&gt;0),0),0),0))))</f>
        <v>0</v>
      </c>
      <c r="AD939" s="51" t="str">
        <f>IF(OR($B939="",$D939=""),"",IFERROR(IF(INDEX(CARDS!$H$5:$H$34,MATCH($D939,CARDS!$A$5:$A$34,0))="","",IF(DAY($B939)&lt;=INDEX(CARDS!$H$5:$H$34,MATCH($D939,CARDS!$A$5:$A$34,0)),DATE(YEAR($B939),MONTH($B939),MIN(INDEX(CARDS!$H$5:$H$34,MATCH($D939,CARDS!$A$5:$A$34,0)),DAY(EOMONTH($B939,0)))),DATE(YEAR($B939),MONTH($B939)+1,MIN(INDEX(CARDS!$H$5:$H$34,MATCH($D939,CARDS!$A$5:$A$34,0)),DAY(EOMONTH($B939,1)))))),""))</f>
        <v/>
      </c>
      <c r="AE939" s="52" t="str">
        <f>IF($C939="","",$C939&amp;"|"&amp;COUNTIF($C$5:$C939,$C939))</f>
        <v/>
      </c>
      <c r="AF939" s="53">
        <f>IF($AC939&gt;0,SUMIFS(Q$4:Q938,$D$4:$D938,$D939,$Z$4:$Z938,$Z939,$C$4:$C938,$C939),0)</f>
        <v>0</v>
      </c>
      <c r="AG939" s="53">
        <f>IF($AC939&gt;0,SUMIFS(Q$4:Q938,$D$4:$D938,$D939,$C$4:$C938,$C939),0)</f>
        <v>0</v>
      </c>
      <c r="AH939" s="53">
        <f>IF($AC939&gt;0,SUMIFS(M$4:M938,$D$4:$D938,$D939,$Z$4:$Z938,$Z939,$C$4:$C938,$C939),0)</f>
        <v>0</v>
      </c>
      <c r="AI939" s="43">
        <f>IF(OR($C939="",$I939=""),0,IF(COUNTIFS($C$5:$C939,$C939,$I$5:$I939,$I939)=1,1,0))</f>
        <v>0</v>
      </c>
      <c r="AJ939" s="43" t="str">
        <f>IF($AI939=1,SUMIFS($AI$4:$AI938,$C$4:$C938,$C939)+1,"")</f>
        <v/>
      </c>
      <c r="AK939" s="43">
        <f>IF(OR($C939="",$K939=""),0,IF(COUNTIFS($C$5:$C939,$C939,$K$5:$K939,$K939)=1,1,0))</f>
        <v>0</v>
      </c>
      <c r="AL939" s="43" t="str">
        <f>IF($AK939=1,SUMIFS($AK$4:$AK938,$C$4:$C938,$C939)+1,"")</f>
        <v/>
      </c>
      <c r="AM939" s="43">
        <f>IF(OR($C939="",$G939=""),0,IF(COUNTIFS($C$5:$C939,$C939,$G$5:$G939,$G939)=1,1,0))</f>
        <v>0</v>
      </c>
      <c r="AN939" s="43" t="str">
        <f>IF($AM939=1,SUMIFS($AM$4:$AM938,$C$4:$C938,$C939)+1,"")</f>
        <v/>
      </c>
    </row>
    <row r="940">
      <c r="A940" s="44" t="str">
        <f>IF(OR($B940="",$D940=""),"","TX"&amp;TEXT(ROW()-4,"0000"))</f>
        <v/>
      </c>
      <c r="B940" s="42" t="n"/>
      <c r="C940" s="47" t="str">
        <f>IF($B940="","",YEAR($B940)*100+MONTH($B940))</f>
        <v/>
      </c>
      <c r="D940" s="37" t="n"/>
      <c r="E940" s="45" t="str">
        <f>IF($D940="","",IFERROR(INDEX(CARDS!$B$5:$B$34,MATCH($D940,CARDS!$A$5:$A$34,0)),"⚠ Card ID?"))</f>
        <v/>
      </c>
      <c r="F940" s="45" t="str">
        <f>IF($D940="","",IFERROR(INDEX(CARDS!$C$5:$C$34,MATCH($D940,CARDS!$A$5:$A$34,0)),"⚠ Card ID?"))</f>
        <v/>
      </c>
      <c r="G940" s="37" t="n"/>
      <c r="H940" s="37" t="n"/>
      <c r="I940" s="41" t="n"/>
      <c r="J940" s="45" t="str">
        <f>IF($I940="","",IFERROR(INDEX(MCC_MASTER!$B$5:$B$504,MATCH($I940,MCC_MASTER!$A$5:$A$504,0)),"⚠ MCC chưa có"))</f>
        <v/>
      </c>
      <c r="K940" s="45" t="str">
        <f>IF($I940="","",IFERROR(IF(INDEX(MCC_MASTER!$C$5:$C$504,MATCH($I940,MCC_MASTER!$A$5:$A$504,0))="","Chưa phân loại",INDEX(MCC_MASTER!$C$5:$C$504,MATCH($I940,MCC_MASTER!$A$5:$A$504,0))),"Chưa phân loại"))</f>
        <v/>
      </c>
      <c r="L940" s="40" t="n"/>
      <c r="M940" s="48" t="str">
        <f>IF(OR($B940="",$D940=""),"",IF($AC940=0,0,IF(ISNUMBER(INDEX(CASHBACK_RULES!$L$5:$L$304,$AC940)),MAX(0,MIN($L940,INDEX(CASHBACK_RULES!$L$5:$L$304,$AC940)-$AH940)),MAX(0,$L940))))</f>
        <v/>
      </c>
      <c r="N940" s="49" t="str">
        <f>IF(OR($B940="",$D940=""),"",IF($AC940&gt;0,INDEX(CASHBACK_RULES!$I$5:$I$304,$AC940),0))</f>
        <v/>
      </c>
      <c r="O940" s="48" t="str">
        <f>IF(OR($B940="",$D940=""),"",ROUND($M940*$N940,0))</f>
        <v/>
      </c>
      <c r="P940" s="48" t="str">
        <f>IF($AC940&gt;0,IF(ISNUMBER(INDEX(CASHBACK_RULES!$J$5:$J$304,$AC940)),INDEX(CASHBACK_RULES!$J$5:$J$304,$AC940),"∞"),"")</f>
        <v/>
      </c>
      <c r="Q940" s="48" t="str">
        <f>IF(OR($B940="",$D940=""),"",IF($AC940=0,0,MAX(0,MIN($O940,IF(ISNUMBER($P940),$P940-$AF940,1E+15),IF(ISNUMBER($AA940),$AA940-$AG940,1E+15)))))</f>
        <v/>
      </c>
      <c r="R940" s="48" t="str">
        <f>IF(OR($B940="",$D940=""),"",IF($AC940=0,"",IF(AND(NOT(ISNUMBER($P940)),NOT(ISNUMBER($AA940))),"∞",MAX(0,MIN(IF(ISNUMBER($P940),$P940-$AF940-$Q940,1E+15),IF(ISNUMBER($AA940),$AA940-$AG940-$Q940,1E+15))))))</f>
        <v/>
      </c>
      <c r="S940" s="47" t="str">
        <f>IF($AD940="","",YEAR($AD940)*100+MONTH($AD940))</f>
        <v/>
      </c>
      <c r="T940" s="50" t="str">
        <f>IF($AD940="","",IFERROR(IF(INDEX(CARDS!$I$5:$I$34,MATCH($D940,CARDS!$A$5:$A$34,0))="","",IF(INDEX(CARDS!$I$5:$I$34,MATCH($D940,CARDS!$A$5:$A$34,0))&gt;INDEX(CARDS!$H$5:$H$34,MATCH($D940,CARDS!$A$5:$A$34,0)),DATE(YEAR($AD940),MONTH($AD940),MIN(INDEX(CARDS!$I$5:$I$34,MATCH($D940,CARDS!$A$5:$A$34,0)),DAY(EOMONTH($AD940,0)))),DATE(YEAR($AD940),MONTH($AD940)+1,MIN(INDEX(CARDS!$I$5:$I$34,MATCH($D940,CARDS!$A$5:$A$34,0)),DAY(EOMONTH($AD940,1)))))),""))</f>
        <v/>
      </c>
      <c r="U940" s="38" t="n"/>
      <c r="V940" s="37" t="n"/>
      <c r="W940" s="38" t="n"/>
      <c r="X940" s="38" t="n"/>
      <c r="Y940" s="44" t="str">
        <f>IF($AC940&gt;0,INDEX(CASHBACK_RULES!$A$5:$A$304,$AC940),"")</f>
        <v/>
      </c>
      <c r="Z940" s="45" t="str">
        <f>IF($AC940&gt;0,INDEX(CASHBACK_RULES!$E$5:$E$304,$AC940)&amp;"","")</f>
        <v/>
      </c>
      <c r="AA940" s="48" t="str">
        <f>IF($AC940&gt;0,IF(ISNUMBER(INDEX(CASHBACK_RULES!$K$5:$K$304,$AC940)),INDEX(CASHBACK_RULES!$K$5:$K$304,$AC940),"∞"),"")</f>
        <v/>
      </c>
      <c r="AB940" s="44" t="str">
        <f>IF(OR($B940="",$D940=""),"",IF($U940="Cancelled","Đã hủy",IF($AC940=0,"Không được hoàn",IF($Q940=0,IF(OR($O940&gt;0,$M940&lt;$L940),"Đã đạt cap","Không được hoàn"),IF(OR($Q940&lt;$O940,$M940&lt;$L940),"Hoàn một phần","Được hoàn")))))</f>
        <v/>
      </c>
      <c r="AC940" s="43">
        <f>IF(OR($B940="",$D940="",$I940="",$L940=""),0,IF($U940="Cancelled",0,IF($W940&lt;&gt;"",IFERROR(IF(INDEX(CASHBACK_RULES!$B$5:$B$304,MATCH($W940,CASHBACK_RULES!$A$5:$A$304,0))=$D940,MATCH($W940,CASHBACK_RULES!$A$5:$A$304,0),0),0),IFERROR(MATCH(1,INDEX((CASHBACK_RULES!$B$5:$B$304=$D940)*(CASHBACK_RULES!$G$5:$G$304=$I940)*(((CASHBACK_RULES!$N$5:$N$304="")+(CASHBACK_RULES!$N$5:$N$304&lt;=$B940))&gt;0)*(((CASHBACK_RULES!$O$5:$O$304="")+(CASHBACK_RULES!$O$5:$O$304&gt;=$B940))&gt;0)*(((CASHBACK_RULES!$M$5:$M$304="")+(CASHBACK_RULES!$M$5:$M$304&lt;=$L940))&gt;0),0),0),0))))</f>
        <v>0</v>
      </c>
      <c r="AD940" s="51" t="str">
        <f>IF(OR($B940="",$D940=""),"",IFERROR(IF(INDEX(CARDS!$H$5:$H$34,MATCH($D940,CARDS!$A$5:$A$34,0))="","",IF(DAY($B940)&lt;=INDEX(CARDS!$H$5:$H$34,MATCH($D940,CARDS!$A$5:$A$34,0)),DATE(YEAR($B940),MONTH($B940),MIN(INDEX(CARDS!$H$5:$H$34,MATCH($D940,CARDS!$A$5:$A$34,0)),DAY(EOMONTH($B940,0)))),DATE(YEAR($B940),MONTH($B940)+1,MIN(INDEX(CARDS!$H$5:$H$34,MATCH($D940,CARDS!$A$5:$A$34,0)),DAY(EOMONTH($B940,1)))))),""))</f>
        <v/>
      </c>
      <c r="AE940" s="52" t="str">
        <f>IF($C940="","",$C940&amp;"|"&amp;COUNTIF($C$5:$C940,$C940))</f>
        <v/>
      </c>
      <c r="AF940" s="53">
        <f>IF($AC940&gt;0,SUMIFS(Q$4:Q939,$D$4:$D939,$D940,$Z$4:$Z939,$Z940,$C$4:$C939,$C940),0)</f>
        <v>0</v>
      </c>
      <c r="AG940" s="53">
        <f>IF($AC940&gt;0,SUMIFS(Q$4:Q939,$D$4:$D939,$D940,$C$4:$C939,$C940),0)</f>
        <v>0</v>
      </c>
      <c r="AH940" s="53">
        <f>IF($AC940&gt;0,SUMIFS(M$4:M939,$D$4:$D939,$D940,$Z$4:$Z939,$Z940,$C$4:$C939,$C940),0)</f>
        <v>0</v>
      </c>
      <c r="AI940" s="43">
        <f>IF(OR($C940="",$I940=""),0,IF(COUNTIFS($C$5:$C940,$C940,$I$5:$I940,$I940)=1,1,0))</f>
        <v>0</v>
      </c>
      <c r="AJ940" s="43" t="str">
        <f>IF($AI940=1,SUMIFS($AI$4:$AI939,$C$4:$C939,$C940)+1,"")</f>
        <v/>
      </c>
      <c r="AK940" s="43">
        <f>IF(OR($C940="",$K940=""),0,IF(COUNTIFS($C$5:$C940,$C940,$K$5:$K940,$K940)=1,1,0))</f>
        <v>0</v>
      </c>
      <c r="AL940" s="43" t="str">
        <f>IF($AK940=1,SUMIFS($AK$4:$AK939,$C$4:$C939,$C940)+1,"")</f>
        <v/>
      </c>
      <c r="AM940" s="43">
        <f>IF(OR($C940="",$G940=""),0,IF(COUNTIFS($C$5:$C940,$C940,$G$5:$G940,$G940)=1,1,0))</f>
        <v>0</v>
      </c>
      <c r="AN940" s="43" t="str">
        <f>IF($AM940=1,SUMIFS($AM$4:$AM939,$C$4:$C939,$C940)+1,"")</f>
        <v/>
      </c>
    </row>
    <row r="941">
      <c r="A941" s="44" t="str">
        <f>IF(OR($B941="",$D941=""),"","TX"&amp;TEXT(ROW()-4,"0000"))</f>
        <v/>
      </c>
      <c r="B941" s="42" t="n"/>
      <c r="C941" s="47" t="str">
        <f>IF($B941="","",YEAR($B941)*100+MONTH($B941))</f>
        <v/>
      </c>
      <c r="D941" s="37" t="n"/>
      <c r="E941" s="45" t="str">
        <f>IF($D941="","",IFERROR(INDEX(CARDS!$B$5:$B$34,MATCH($D941,CARDS!$A$5:$A$34,0)),"⚠ Card ID?"))</f>
        <v/>
      </c>
      <c r="F941" s="45" t="str">
        <f>IF($D941="","",IFERROR(INDEX(CARDS!$C$5:$C$34,MATCH($D941,CARDS!$A$5:$A$34,0)),"⚠ Card ID?"))</f>
        <v/>
      </c>
      <c r="G941" s="37" t="n"/>
      <c r="H941" s="37" t="n"/>
      <c r="I941" s="41" t="n"/>
      <c r="J941" s="45" t="str">
        <f>IF($I941="","",IFERROR(INDEX(MCC_MASTER!$B$5:$B$504,MATCH($I941,MCC_MASTER!$A$5:$A$504,0)),"⚠ MCC chưa có"))</f>
        <v/>
      </c>
      <c r="K941" s="45" t="str">
        <f>IF($I941="","",IFERROR(IF(INDEX(MCC_MASTER!$C$5:$C$504,MATCH($I941,MCC_MASTER!$A$5:$A$504,0))="","Chưa phân loại",INDEX(MCC_MASTER!$C$5:$C$504,MATCH($I941,MCC_MASTER!$A$5:$A$504,0))),"Chưa phân loại"))</f>
        <v/>
      </c>
      <c r="L941" s="40" t="n"/>
      <c r="M941" s="48" t="str">
        <f>IF(OR($B941="",$D941=""),"",IF($AC941=0,0,IF(ISNUMBER(INDEX(CASHBACK_RULES!$L$5:$L$304,$AC941)),MAX(0,MIN($L941,INDEX(CASHBACK_RULES!$L$5:$L$304,$AC941)-$AH941)),MAX(0,$L941))))</f>
        <v/>
      </c>
      <c r="N941" s="49" t="str">
        <f>IF(OR($B941="",$D941=""),"",IF($AC941&gt;0,INDEX(CASHBACK_RULES!$I$5:$I$304,$AC941),0))</f>
        <v/>
      </c>
      <c r="O941" s="48" t="str">
        <f>IF(OR($B941="",$D941=""),"",ROUND($M941*$N941,0))</f>
        <v/>
      </c>
      <c r="P941" s="48" t="str">
        <f>IF($AC941&gt;0,IF(ISNUMBER(INDEX(CASHBACK_RULES!$J$5:$J$304,$AC941)),INDEX(CASHBACK_RULES!$J$5:$J$304,$AC941),"∞"),"")</f>
        <v/>
      </c>
      <c r="Q941" s="48" t="str">
        <f>IF(OR($B941="",$D941=""),"",IF($AC941=0,0,MAX(0,MIN($O941,IF(ISNUMBER($P941),$P941-$AF941,1E+15),IF(ISNUMBER($AA941),$AA941-$AG941,1E+15)))))</f>
        <v/>
      </c>
      <c r="R941" s="48" t="str">
        <f>IF(OR($B941="",$D941=""),"",IF($AC941=0,"",IF(AND(NOT(ISNUMBER($P941)),NOT(ISNUMBER($AA941))),"∞",MAX(0,MIN(IF(ISNUMBER($P941),$P941-$AF941-$Q941,1E+15),IF(ISNUMBER($AA941),$AA941-$AG941-$Q941,1E+15))))))</f>
        <v/>
      </c>
      <c r="S941" s="47" t="str">
        <f>IF($AD941="","",YEAR($AD941)*100+MONTH($AD941))</f>
        <v/>
      </c>
      <c r="T941" s="50" t="str">
        <f>IF($AD941="","",IFERROR(IF(INDEX(CARDS!$I$5:$I$34,MATCH($D941,CARDS!$A$5:$A$34,0))="","",IF(INDEX(CARDS!$I$5:$I$34,MATCH($D941,CARDS!$A$5:$A$34,0))&gt;INDEX(CARDS!$H$5:$H$34,MATCH($D941,CARDS!$A$5:$A$34,0)),DATE(YEAR($AD941),MONTH($AD941),MIN(INDEX(CARDS!$I$5:$I$34,MATCH($D941,CARDS!$A$5:$A$34,0)),DAY(EOMONTH($AD941,0)))),DATE(YEAR($AD941),MONTH($AD941)+1,MIN(INDEX(CARDS!$I$5:$I$34,MATCH($D941,CARDS!$A$5:$A$34,0)),DAY(EOMONTH($AD941,1)))))),""))</f>
        <v/>
      </c>
      <c r="U941" s="38" t="n"/>
      <c r="V941" s="37" t="n"/>
      <c r="W941" s="38" t="n"/>
      <c r="X941" s="38" t="n"/>
      <c r="Y941" s="44" t="str">
        <f>IF($AC941&gt;0,INDEX(CASHBACK_RULES!$A$5:$A$304,$AC941),"")</f>
        <v/>
      </c>
      <c r="Z941" s="45" t="str">
        <f>IF($AC941&gt;0,INDEX(CASHBACK_RULES!$E$5:$E$304,$AC941)&amp;"","")</f>
        <v/>
      </c>
      <c r="AA941" s="48" t="str">
        <f>IF($AC941&gt;0,IF(ISNUMBER(INDEX(CASHBACK_RULES!$K$5:$K$304,$AC941)),INDEX(CASHBACK_RULES!$K$5:$K$304,$AC941),"∞"),"")</f>
        <v/>
      </c>
      <c r="AB941" s="44" t="str">
        <f>IF(OR($B941="",$D941=""),"",IF($U941="Cancelled","Đã hủy",IF($AC941=0,"Không được hoàn",IF($Q941=0,IF(OR($O941&gt;0,$M941&lt;$L941),"Đã đạt cap","Không được hoàn"),IF(OR($Q941&lt;$O941,$M941&lt;$L941),"Hoàn một phần","Được hoàn")))))</f>
        <v/>
      </c>
      <c r="AC941" s="43">
        <f>IF(OR($B941="",$D941="",$I941="",$L941=""),0,IF($U941="Cancelled",0,IF($W941&lt;&gt;"",IFERROR(IF(INDEX(CASHBACK_RULES!$B$5:$B$304,MATCH($W941,CASHBACK_RULES!$A$5:$A$304,0))=$D941,MATCH($W941,CASHBACK_RULES!$A$5:$A$304,0),0),0),IFERROR(MATCH(1,INDEX((CASHBACK_RULES!$B$5:$B$304=$D941)*(CASHBACK_RULES!$G$5:$G$304=$I941)*(((CASHBACK_RULES!$N$5:$N$304="")+(CASHBACK_RULES!$N$5:$N$304&lt;=$B941))&gt;0)*(((CASHBACK_RULES!$O$5:$O$304="")+(CASHBACK_RULES!$O$5:$O$304&gt;=$B941))&gt;0)*(((CASHBACK_RULES!$M$5:$M$304="")+(CASHBACK_RULES!$M$5:$M$304&lt;=$L941))&gt;0),0),0),0))))</f>
        <v>0</v>
      </c>
      <c r="AD941" s="51" t="str">
        <f>IF(OR($B941="",$D941=""),"",IFERROR(IF(INDEX(CARDS!$H$5:$H$34,MATCH($D941,CARDS!$A$5:$A$34,0))="","",IF(DAY($B941)&lt;=INDEX(CARDS!$H$5:$H$34,MATCH($D941,CARDS!$A$5:$A$34,0)),DATE(YEAR($B941),MONTH($B941),MIN(INDEX(CARDS!$H$5:$H$34,MATCH($D941,CARDS!$A$5:$A$34,0)),DAY(EOMONTH($B941,0)))),DATE(YEAR($B941),MONTH($B941)+1,MIN(INDEX(CARDS!$H$5:$H$34,MATCH($D941,CARDS!$A$5:$A$34,0)),DAY(EOMONTH($B941,1)))))),""))</f>
        <v/>
      </c>
      <c r="AE941" s="52" t="str">
        <f>IF($C941="","",$C941&amp;"|"&amp;COUNTIF($C$5:$C941,$C941))</f>
        <v/>
      </c>
      <c r="AF941" s="53">
        <f>IF($AC941&gt;0,SUMIFS(Q$4:Q940,$D$4:$D940,$D941,$Z$4:$Z940,$Z941,$C$4:$C940,$C941),0)</f>
        <v>0</v>
      </c>
      <c r="AG941" s="53">
        <f>IF($AC941&gt;0,SUMIFS(Q$4:Q940,$D$4:$D940,$D941,$C$4:$C940,$C941),0)</f>
        <v>0</v>
      </c>
      <c r="AH941" s="53">
        <f>IF($AC941&gt;0,SUMIFS(M$4:M940,$D$4:$D940,$D941,$Z$4:$Z940,$Z941,$C$4:$C940,$C941),0)</f>
        <v>0</v>
      </c>
      <c r="AI941" s="43">
        <f>IF(OR($C941="",$I941=""),0,IF(COUNTIFS($C$5:$C941,$C941,$I$5:$I941,$I941)=1,1,0))</f>
        <v>0</v>
      </c>
      <c r="AJ941" s="43" t="str">
        <f>IF($AI941=1,SUMIFS($AI$4:$AI940,$C$4:$C940,$C941)+1,"")</f>
        <v/>
      </c>
      <c r="AK941" s="43">
        <f>IF(OR($C941="",$K941=""),0,IF(COUNTIFS($C$5:$C941,$C941,$K$5:$K941,$K941)=1,1,0))</f>
        <v>0</v>
      </c>
      <c r="AL941" s="43" t="str">
        <f>IF($AK941=1,SUMIFS($AK$4:$AK940,$C$4:$C940,$C941)+1,"")</f>
        <v/>
      </c>
      <c r="AM941" s="43">
        <f>IF(OR($C941="",$G941=""),0,IF(COUNTIFS($C$5:$C941,$C941,$G$5:$G941,$G941)=1,1,0))</f>
        <v>0</v>
      </c>
      <c r="AN941" s="43" t="str">
        <f>IF($AM941=1,SUMIFS($AM$4:$AM940,$C$4:$C940,$C941)+1,"")</f>
        <v/>
      </c>
    </row>
    <row r="942">
      <c r="A942" s="44" t="str">
        <f>IF(OR($B942="",$D942=""),"","TX"&amp;TEXT(ROW()-4,"0000"))</f>
        <v/>
      </c>
      <c r="B942" s="42" t="n"/>
      <c r="C942" s="47" t="str">
        <f>IF($B942="","",YEAR($B942)*100+MONTH($B942))</f>
        <v/>
      </c>
      <c r="D942" s="37" t="n"/>
      <c r="E942" s="45" t="str">
        <f>IF($D942="","",IFERROR(INDEX(CARDS!$B$5:$B$34,MATCH($D942,CARDS!$A$5:$A$34,0)),"⚠ Card ID?"))</f>
        <v/>
      </c>
      <c r="F942" s="45" t="str">
        <f>IF($D942="","",IFERROR(INDEX(CARDS!$C$5:$C$34,MATCH($D942,CARDS!$A$5:$A$34,0)),"⚠ Card ID?"))</f>
        <v/>
      </c>
      <c r="G942" s="37" t="n"/>
      <c r="H942" s="37" t="n"/>
      <c r="I942" s="41" t="n"/>
      <c r="J942" s="45" t="str">
        <f>IF($I942="","",IFERROR(INDEX(MCC_MASTER!$B$5:$B$504,MATCH($I942,MCC_MASTER!$A$5:$A$504,0)),"⚠ MCC chưa có"))</f>
        <v/>
      </c>
      <c r="K942" s="45" t="str">
        <f>IF($I942="","",IFERROR(IF(INDEX(MCC_MASTER!$C$5:$C$504,MATCH($I942,MCC_MASTER!$A$5:$A$504,0))="","Chưa phân loại",INDEX(MCC_MASTER!$C$5:$C$504,MATCH($I942,MCC_MASTER!$A$5:$A$504,0))),"Chưa phân loại"))</f>
        <v/>
      </c>
      <c r="L942" s="40" t="n"/>
      <c r="M942" s="48" t="str">
        <f>IF(OR($B942="",$D942=""),"",IF($AC942=0,0,IF(ISNUMBER(INDEX(CASHBACK_RULES!$L$5:$L$304,$AC942)),MAX(0,MIN($L942,INDEX(CASHBACK_RULES!$L$5:$L$304,$AC942)-$AH942)),MAX(0,$L942))))</f>
        <v/>
      </c>
      <c r="N942" s="49" t="str">
        <f>IF(OR($B942="",$D942=""),"",IF($AC942&gt;0,INDEX(CASHBACK_RULES!$I$5:$I$304,$AC942),0))</f>
        <v/>
      </c>
      <c r="O942" s="48" t="str">
        <f>IF(OR($B942="",$D942=""),"",ROUND($M942*$N942,0))</f>
        <v/>
      </c>
      <c r="P942" s="48" t="str">
        <f>IF($AC942&gt;0,IF(ISNUMBER(INDEX(CASHBACK_RULES!$J$5:$J$304,$AC942)),INDEX(CASHBACK_RULES!$J$5:$J$304,$AC942),"∞"),"")</f>
        <v/>
      </c>
      <c r="Q942" s="48" t="str">
        <f>IF(OR($B942="",$D942=""),"",IF($AC942=0,0,MAX(0,MIN($O942,IF(ISNUMBER($P942),$P942-$AF942,1E+15),IF(ISNUMBER($AA942),$AA942-$AG942,1E+15)))))</f>
        <v/>
      </c>
      <c r="R942" s="48" t="str">
        <f>IF(OR($B942="",$D942=""),"",IF($AC942=0,"",IF(AND(NOT(ISNUMBER($P942)),NOT(ISNUMBER($AA942))),"∞",MAX(0,MIN(IF(ISNUMBER($P942),$P942-$AF942-$Q942,1E+15),IF(ISNUMBER($AA942),$AA942-$AG942-$Q942,1E+15))))))</f>
        <v/>
      </c>
      <c r="S942" s="47" t="str">
        <f>IF($AD942="","",YEAR($AD942)*100+MONTH($AD942))</f>
        <v/>
      </c>
      <c r="T942" s="50" t="str">
        <f>IF($AD942="","",IFERROR(IF(INDEX(CARDS!$I$5:$I$34,MATCH($D942,CARDS!$A$5:$A$34,0))="","",IF(INDEX(CARDS!$I$5:$I$34,MATCH($D942,CARDS!$A$5:$A$34,0))&gt;INDEX(CARDS!$H$5:$H$34,MATCH($D942,CARDS!$A$5:$A$34,0)),DATE(YEAR($AD942),MONTH($AD942),MIN(INDEX(CARDS!$I$5:$I$34,MATCH($D942,CARDS!$A$5:$A$34,0)),DAY(EOMONTH($AD942,0)))),DATE(YEAR($AD942),MONTH($AD942)+1,MIN(INDEX(CARDS!$I$5:$I$34,MATCH($D942,CARDS!$A$5:$A$34,0)),DAY(EOMONTH($AD942,1)))))),""))</f>
        <v/>
      </c>
      <c r="U942" s="38" t="n"/>
      <c r="V942" s="37" t="n"/>
      <c r="W942" s="38" t="n"/>
      <c r="X942" s="38" t="n"/>
      <c r="Y942" s="44" t="str">
        <f>IF($AC942&gt;0,INDEX(CASHBACK_RULES!$A$5:$A$304,$AC942),"")</f>
        <v/>
      </c>
      <c r="Z942" s="45" t="str">
        <f>IF($AC942&gt;0,INDEX(CASHBACK_RULES!$E$5:$E$304,$AC942)&amp;"","")</f>
        <v/>
      </c>
      <c r="AA942" s="48" t="str">
        <f>IF($AC942&gt;0,IF(ISNUMBER(INDEX(CASHBACK_RULES!$K$5:$K$304,$AC942)),INDEX(CASHBACK_RULES!$K$5:$K$304,$AC942),"∞"),"")</f>
        <v/>
      </c>
      <c r="AB942" s="44" t="str">
        <f>IF(OR($B942="",$D942=""),"",IF($U942="Cancelled","Đã hủy",IF($AC942=0,"Không được hoàn",IF($Q942=0,IF(OR($O942&gt;0,$M942&lt;$L942),"Đã đạt cap","Không được hoàn"),IF(OR($Q942&lt;$O942,$M942&lt;$L942),"Hoàn một phần","Được hoàn")))))</f>
        <v/>
      </c>
      <c r="AC942" s="43">
        <f>IF(OR($B942="",$D942="",$I942="",$L942=""),0,IF($U942="Cancelled",0,IF($W942&lt;&gt;"",IFERROR(IF(INDEX(CASHBACK_RULES!$B$5:$B$304,MATCH($W942,CASHBACK_RULES!$A$5:$A$304,0))=$D942,MATCH($W942,CASHBACK_RULES!$A$5:$A$304,0),0),0),IFERROR(MATCH(1,INDEX((CASHBACK_RULES!$B$5:$B$304=$D942)*(CASHBACK_RULES!$G$5:$G$304=$I942)*(((CASHBACK_RULES!$N$5:$N$304="")+(CASHBACK_RULES!$N$5:$N$304&lt;=$B942))&gt;0)*(((CASHBACK_RULES!$O$5:$O$304="")+(CASHBACK_RULES!$O$5:$O$304&gt;=$B942))&gt;0)*(((CASHBACK_RULES!$M$5:$M$304="")+(CASHBACK_RULES!$M$5:$M$304&lt;=$L942))&gt;0),0),0),0))))</f>
        <v>0</v>
      </c>
      <c r="AD942" s="51" t="str">
        <f>IF(OR($B942="",$D942=""),"",IFERROR(IF(INDEX(CARDS!$H$5:$H$34,MATCH($D942,CARDS!$A$5:$A$34,0))="","",IF(DAY($B942)&lt;=INDEX(CARDS!$H$5:$H$34,MATCH($D942,CARDS!$A$5:$A$34,0)),DATE(YEAR($B942),MONTH($B942),MIN(INDEX(CARDS!$H$5:$H$34,MATCH($D942,CARDS!$A$5:$A$34,0)),DAY(EOMONTH($B942,0)))),DATE(YEAR($B942),MONTH($B942)+1,MIN(INDEX(CARDS!$H$5:$H$34,MATCH($D942,CARDS!$A$5:$A$34,0)),DAY(EOMONTH($B942,1)))))),""))</f>
        <v/>
      </c>
      <c r="AE942" s="52" t="str">
        <f>IF($C942="","",$C942&amp;"|"&amp;COUNTIF($C$5:$C942,$C942))</f>
        <v/>
      </c>
      <c r="AF942" s="53">
        <f>IF($AC942&gt;0,SUMIFS(Q$4:Q941,$D$4:$D941,$D942,$Z$4:$Z941,$Z942,$C$4:$C941,$C942),0)</f>
        <v>0</v>
      </c>
      <c r="AG942" s="53">
        <f>IF($AC942&gt;0,SUMIFS(Q$4:Q941,$D$4:$D941,$D942,$C$4:$C941,$C942),0)</f>
        <v>0</v>
      </c>
      <c r="AH942" s="53">
        <f>IF($AC942&gt;0,SUMIFS(M$4:M941,$D$4:$D941,$D942,$Z$4:$Z941,$Z942,$C$4:$C941,$C942),0)</f>
        <v>0</v>
      </c>
      <c r="AI942" s="43">
        <f>IF(OR($C942="",$I942=""),0,IF(COUNTIFS($C$5:$C942,$C942,$I$5:$I942,$I942)=1,1,0))</f>
        <v>0</v>
      </c>
      <c r="AJ942" s="43" t="str">
        <f>IF($AI942=1,SUMIFS($AI$4:$AI941,$C$4:$C941,$C942)+1,"")</f>
        <v/>
      </c>
      <c r="AK942" s="43">
        <f>IF(OR($C942="",$K942=""),0,IF(COUNTIFS($C$5:$C942,$C942,$K$5:$K942,$K942)=1,1,0))</f>
        <v>0</v>
      </c>
      <c r="AL942" s="43" t="str">
        <f>IF($AK942=1,SUMIFS($AK$4:$AK941,$C$4:$C941,$C942)+1,"")</f>
        <v/>
      </c>
      <c r="AM942" s="43">
        <f>IF(OR($C942="",$G942=""),0,IF(COUNTIFS($C$5:$C942,$C942,$G$5:$G942,$G942)=1,1,0))</f>
        <v>0</v>
      </c>
      <c r="AN942" s="43" t="str">
        <f>IF($AM942=1,SUMIFS($AM$4:$AM941,$C$4:$C941,$C942)+1,"")</f>
        <v/>
      </c>
    </row>
    <row r="943">
      <c r="A943" s="44" t="str">
        <f>IF(OR($B943="",$D943=""),"","TX"&amp;TEXT(ROW()-4,"0000"))</f>
        <v/>
      </c>
      <c r="B943" s="42" t="n"/>
      <c r="C943" s="47" t="str">
        <f>IF($B943="","",YEAR($B943)*100+MONTH($B943))</f>
        <v/>
      </c>
      <c r="D943" s="37" t="n"/>
      <c r="E943" s="45" t="str">
        <f>IF($D943="","",IFERROR(INDEX(CARDS!$B$5:$B$34,MATCH($D943,CARDS!$A$5:$A$34,0)),"⚠ Card ID?"))</f>
        <v/>
      </c>
      <c r="F943" s="45" t="str">
        <f>IF($D943="","",IFERROR(INDEX(CARDS!$C$5:$C$34,MATCH($D943,CARDS!$A$5:$A$34,0)),"⚠ Card ID?"))</f>
        <v/>
      </c>
      <c r="G943" s="37" t="n"/>
      <c r="H943" s="37" t="n"/>
      <c r="I943" s="41" t="n"/>
      <c r="J943" s="45" t="str">
        <f>IF($I943="","",IFERROR(INDEX(MCC_MASTER!$B$5:$B$504,MATCH($I943,MCC_MASTER!$A$5:$A$504,0)),"⚠ MCC chưa có"))</f>
        <v/>
      </c>
      <c r="K943" s="45" t="str">
        <f>IF($I943="","",IFERROR(IF(INDEX(MCC_MASTER!$C$5:$C$504,MATCH($I943,MCC_MASTER!$A$5:$A$504,0))="","Chưa phân loại",INDEX(MCC_MASTER!$C$5:$C$504,MATCH($I943,MCC_MASTER!$A$5:$A$504,0))),"Chưa phân loại"))</f>
        <v/>
      </c>
      <c r="L943" s="40" t="n"/>
      <c r="M943" s="48" t="str">
        <f>IF(OR($B943="",$D943=""),"",IF($AC943=0,0,IF(ISNUMBER(INDEX(CASHBACK_RULES!$L$5:$L$304,$AC943)),MAX(0,MIN($L943,INDEX(CASHBACK_RULES!$L$5:$L$304,$AC943)-$AH943)),MAX(0,$L943))))</f>
        <v/>
      </c>
      <c r="N943" s="49" t="str">
        <f>IF(OR($B943="",$D943=""),"",IF($AC943&gt;0,INDEX(CASHBACK_RULES!$I$5:$I$304,$AC943),0))</f>
        <v/>
      </c>
      <c r="O943" s="48" t="str">
        <f>IF(OR($B943="",$D943=""),"",ROUND($M943*$N943,0))</f>
        <v/>
      </c>
      <c r="P943" s="48" t="str">
        <f>IF($AC943&gt;0,IF(ISNUMBER(INDEX(CASHBACK_RULES!$J$5:$J$304,$AC943)),INDEX(CASHBACK_RULES!$J$5:$J$304,$AC943),"∞"),"")</f>
        <v/>
      </c>
      <c r="Q943" s="48" t="str">
        <f>IF(OR($B943="",$D943=""),"",IF($AC943=0,0,MAX(0,MIN($O943,IF(ISNUMBER($P943),$P943-$AF943,1E+15),IF(ISNUMBER($AA943),$AA943-$AG943,1E+15)))))</f>
        <v/>
      </c>
      <c r="R943" s="48" t="str">
        <f>IF(OR($B943="",$D943=""),"",IF($AC943=0,"",IF(AND(NOT(ISNUMBER($P943)),NOT(ISNUMBER($AA943))),"∞",MAX(0,MIN(IF(ISNUMBER($P943),$P943-$AF943-$Q943,1E+15),IF(ISNUMBER($AA943),$AA943-$AG943-$Q943,1E+15))))))</f>
        <v/>
      </c>
      <c r="S943" s="47" t="str">
        <f>IF($AD943="","",YEAR($AD943)*100+MONTH($AD943))</f>
        <v/>
      </c>
      <c r="T943" s="50" t="str">
        <f>IF($AD943="","",IFERROR(IF(INDEX(CARDS!$I$5:$I$34,MATCH($D943,CARDS!$A$5:$A$34,0))="","",IF(INDEX(CARDS!$I$5:$I$34,MATCH($D943,CARDS!$A$5:$A$34,0))&gt;INDEX(CARDS!$H$5:$H$34,MATCH($D943,CARDS!$A$5:$A$34,0)),DATE(YEAR($AD943),MONTH($AD943),MIN(INDEX(CARDS!$I$5:$I$34,MATCH($D943,CARDS!$A$5:$A$34,0)),DAY(EOMONTH($AD943,0)))),DATE(YEAR($AD943),MONTH($AD943)+1,MIN(INDEX(CARDS!$I$5:$I$34,MATCH($D943,CARDS!$A$5:$A$34,0)),DAY(EOMONTH($AD943,1)))))),""))</f>
        <v/>
      </c>
      <c r="U943" s="38" t="n"/>
      <c r="V943" s="37" t="n"/>
      <c r="W943" s="38" t="n"/>
      <c r="X943" s="38" t="n"/>
      <c r="Y943" s="44" t="str">
        <f>IF($AC943&gt;0,INDEX(CASHBACK_RULES!$A$5:$A$304,$AC943),"")</f>
        <v/>
      </c>
      <c r="Z943" s="45" t="str">
        <f>IF($AC943&gt;0,INDEX(CASHBACK_RULES!$E$5:$E$304,$AC943)&amp;"","")</f>
        <v/>
      </c>
      <c r="AA943" s="48" t="str">
        <f>IF($AC943&gt;0,IF(ISNUMBER(INDEX(CASHBACK_RULES!$K$5:$K$304,$AC943)),INDEX(CASHBACK_RULES!$K$5:$K$304,$AC943),"∞"),"")</f>
        <v/>
      </c>
      <c r="AB943" s="44" t="str">
        <f>IF(OR($B943="",$D943=""),"",IF($U943="Cancelled","Đã hủy",IF($AC943=0,"Không được hoàn",IF($Q943=0,IF(OR($O943&gt;0,$M943&lt;$L943),"Đã đạt cap","Không được hoàn"),IF(OR($Q943&lt;$O943,$M943&lt;$L943),"Hoàn một phần","Được hoàn")))))</f>
        <v/>
      </c>
      <c r="AC943" s="43">
        <f>IF(OR($B943="",$D943="",$I943="",$L943=""),0,IF($U943="Cancelled",0,IF($W943&lt;&gt;"",IFERROR(IF(INDEX(CASHBACK_RULES!$B$5:$B$304,MATCH($W943,CASHBACK_RULES!$A$5:$A$304,0))=$D943,MATCH($W943,CASHBACK_RULES!$A$5:$A$304,0),0),0),IFERROR(MATCH(1,INDEX((CASHBACK_RULES!$B$5:$B$304=$D943)*(CASHBACK_RULES!$G$5:$G$304=$I943)*(((CASHBACK_RULES!$N$5:$N$304="")+(CASHBACK_RULES!$N$5:$N$304&lt;=$B943))&gt;0)*(((CASHBACK_RULES!$O$5:$O$304="")+(CASHBACK_RULES!$O$5:$O$304&gt;=$B943))&gt;0)*(((CASHBACK_RULES!$M$5:$M$304="")+(CASHBACK_RULES!$M$5:$M$304&lt;=$L943))&gt;0),0),0),0))))</f>
        <v>0</v>
      </c>
      <c r="AD943" s="51" t="str">
        <f>IF(OR($B943="",$D943=""),"",IFERROR(IF(INDEX(CARDS!$H$5:$H$34,MATCH($D943,CARDS!$A$5:$A$34,0))="","",IF(DAY($B943)&lt;=INDEX(CARDS!$H$5:$H$34,MATCH($D943,CARDS!$A$5:$A$34,0)),DATE(YEAR($B943),MONTH($B943),MIN(INDEX(CARDS!$H$5:$H$34,MATCH($D943,CARDS!$A$5:$A$34,0)),DAY(EOMONTH($B943,0)))),DATE(YEAR($B943),MONTH($B943)+1,MIN(INDEX(CARDS!$H$5:$H$34,MATCH($D943,CARDS!$A$5:$A$34,0)),DAY(EOMONTH($B943,1)))))),""))</f>
        <v/>
      </c>
      <c r="AE943" s="52" t="str">
        <f>IF($C943="","",$C943&amp;"|"&amp;COUNTIF($C$5:$C943,$C943))</f>
        <v/>
      </c>
      <c r="AF943" s="53">
        <f>IF($AC943&gt;0,SUMIFS(Q$4:Q942,$D$4:$D942,$D943,$Z$4:$Z942,$Z943,$C$4:$C942,$C943),0)</f>
        <v>0</v>
      </c>
      <c r="AG943" s="53">
        <f>IF($AC943&gt;0,SUMIFS(Q$4:Q942,$D$4:$D942,$D943,$C$4:$C942,$C943),0)</f>
        <v>0</v>
      </c>
      <c r="AH943" s="53">
        <f>IF($AC943&gt;0,SUMIFS(M$4:M942,$D$4:$D942,$D943,$Z$4:$Z942,$Z943,$C$4:$C942,$C943),0)</f>
        <v>0</v>
      </c>
      <c r="AI943" s="43">
        <f>IF(OR($C943="",$I943=""),0,IF(COUNTIFS($C$5:$C943,$C943,$I$5:$I943,$I943)=1,1,0))</f>
        <v>0</v>
      </c>
      <c r="AJ943" s="43" t="str">
        <f>IF($AI943=1,SUMIFS($AI$4:$AI942,$C$4:$C942,$C943)+1,"")</f>
        <v/>
      </c>
      <c r="AK943" s="43">
        <f>IF(OR($C943="",$K943=""),0,IF(COUNTIFS($C$5:$C943,$C943,$K$5:$K943,$K943)=1,1,0))</f>
        <v>0</v>
      </c>
      <c r="AL943" s="43" t="str">
        <f>IF($AK943=1,SUMIFS($AK$4:$AK942,$C$4:$C942,$C943)+1,"")</f>
        <v/>
      </c>
      <c r="AM943" s="43">
        <f>IF(OR($C943="",$G943=""),0,IF(COUNTIFS($C$5:$C943,$C943,$G$5:$G943,$G943)=1,1,0))</f>
        <v>0</v>
      </c>
      <c r="AN943" s="43" t="str">
        <f>IF($AM943=1,SUMIFS($AM$4:$AM942,$C$4:$C942,$C943)+1,"")</f>
        <v/>
      </c>
    </row>
    <row r="944">
      <c r="A944" s="44" t="str">
        <f>IF(OR($B944="",$D944=""),"","TX"&amp;TEXT(ROW()-4,"0000"))</f>
        <v/>
      </c>
      <c r="B944" s="42" t="n"/>
      <c r="C944" s="47" t="str">
        <f>IF($B944="","",YEAR($B944)*100+MONTH($B944))</f>
        <v/>
      </c>
      <c r="D944" s="37" t="n"/>
      <c r="E944" s="45" t="str">
        <f>IF($D944="","",IFERROR(INDEX(CARDS!$B$5:$B$34,MATCH($D944,CARDS!$A$5:$A$34,0)),"⚠ Card ID?"))</f>
        <v/>
      </c>
      <c r="F944" s="45" t="str">
        <f>IF($D944="","",IFERROR(INDEX(CARDS!$C$5:$C$34,MATCH($D944,CARDS!$A$5:$A$34,0)),"⚠ Card ID?"))</f>
        <v/>
      </c>
      <c r="G944" s="37" t="n"/>
      <c r="H944" s="37" t="n"/>
      <c r="I944" s="41" t="n"/>
      <c r="J944" s="45" t="str">
        <f>IF($I944="","",IFERROR(INDEX(MCC_MASTER!$B$5:$B$504,MATCH($I944,MCC_MASTER!$A$5:$A$504,0)),"⚠ MCC chưa có"))</f>
        <v/>
      </c>
      <c r="K944" s="45" t="str">
        <f>IF($I944="","",IFERROR(IF(INDEX(MCC_MASTER!$C$5:$C$504,MATCH($I944,MCC_MASTER!$A$5:$A$504,0))="","Chưa phân loại",INDEX(MCC_MASTER!$C$5:$C$504,MATCH($I944,MCC_MASTER!$A$5:$A$504,0))),"Chưa phân loại"))</f>
        <v/>
      </c>
      <c r="L944" s="40" t="n"/>
      <c r="M944" s="48" t="str">
        <f>IF(OR($B944="",$D944=""),"",IF($AC944=0,0,IF(ISNUMBER(INDEX(CASHBACK_RULES!$L$5:$L$304,$AC944)),MAX(0,MIN($L944,INDEX(CASHBACK_RULES!$L$5:$L$304,$AC944)-$AH944)),MAX(0,$L944))))</f>
        <v/>
      </c>
      <c r="N944" s="49" t="str">
        <f>IF(OR($B944="",$D944=""),"",IF($AC944&gt;0,INDEX(CASHBACK_RULES!$I$5:$I$304,$AC944),0))</f>
        <v/>
      </c>
      <c r="O944" s="48" t="str">
        <f>IF(OR($B944="",$D944=""),"",ROUND($M944*$N944,0))</f>
        <v/>
      </c>
      <c r="P944" s="48" t="str">
        <f>IF($AC944&gt;0,IF(ISNUMBER(INDEX(CASHBACK_RULES!$J$5:$J$304,$AC944)),INDEX(CASHBACK_RULES!$J$5:$J$304,$AC944),"∞"),"")</f>
        <v/>
      </c>
      <c r="Q944" s="48" t="str">
        <f>IF(OR($B944="",$D944=""),"",IF($AC944=0,0,MAX(0,MIN($O944,IF(ISNUMBER($P944),$P944-$AF944,1E+15),IF(ISNUMBER($AA944),$AA944-$AG944,1E+15)))))</f>
        <v/>
      </c>
      <c r="R944" s="48" t="str">
        <f>IF(OR($B944="",$D944=""),"",IF($AC944=0,"",IF(AND(NOT(ISNUMBER($P944)),NOT(ISNUMBER($AA944))),"∞",MAX(0,MIN(IF(ISNUMBER($P944),$P944-$AF944-$Q944,1E+15),IF(ISNUMBER($AA944),$AA944-$AG944-$Q944,1E+15))))))</f>
        <v/>
      </c>
      <c r="S944" s="47" t="str">
        <f>IF($AD944="","",YEAR($AD944)*100+MONTH($AD944))</f>
        <v/>
      </c>
      <c r="T944" s="50" t="str">
        <f>IF($AD944="","",IFERROR(IF(INDEX(CARDS!$I$5:$I$34,MATCH($D944,CARDS!$A$5:$A$34,0))="","",IF(INDEX(CARDS!$I$5:$I$34,MATCH($D944,CARDS!$A$5:$A$34,0))&gt;INDEX(CARDS!$H$5:$H$34,MATCH($D944,CARDS!$A$5:$A$34,0)),DATE(YEAR($AD944),MONTH($AD944),MIN(INDEX(CARDS!$I$5:$I$34,MATCH($D944,CARDS!$A$5:$A$34,0)),DAY(EOMONTH($AD944,0)))),DATE(YEAR($AD944),MONTH($AD944)+1,MIN(INDEX(CARDS!$I$5:$I$34,MATCH($D944,CARDS!$A$5:$A$34,0)),DAY(EOMONTH($AD944,1)))))),""))</f>
        <v/>
      </c>
      <c r="U944" s="38" t="n"/>
      <c r="V944" s="37" t="n"/>
      <c r="W944" s="38" t="n"/>
      <c r="X944" s="38" t="n"/>
      <c r="Y944" s="44" t="str">
        <f>IF($AC944&gt;0,INDEX(CASHBACK_RULES!$A$5:$A$304,$AC944),"")</f>
        <v/>
      </c>
      <c r="Z944" s="45" t="str">
        <f>IF($AC944&gt;0,INDEX(CASHBACK_RULES!$E$5:$E$304,$AC944)&amp;"","")</f>
        <v/>
      </c>
      <c r="AA944" s="48" t="str">
        <f>IF($AC944&gt;0,IF(ISNUMBER(INDEX(CASHBACK_RULES!$K$5:$K$304,$AC944)),INDEX(CASHBACK_RULES!$K$5:$K$304,$AC944),"∞"),"")</f>
        <v/>
      </c>
      <c r="AB944" s="44" t="str">
        <f>IF(OR($B944="",$D944=""),"",IF($U944="Cancelled","Đã hủy",IF($AC944=0,"Không được hoàn",IF($Q944=0,IF(OR($O944&gt;0,$M944&lt;$L944),"Đã đạt cap","Không được hoàn"),IF(OR($Q944&lt;$O944,$M944&lt;$L944),"Hoàn một phần","Được hoàn")))))</f>
        <v/>
      </c>
      <c r="AC944" s="43">
        <f>IF(OR($B944="",$D944="",$I944="",$L944=""),0,IF($U944="Cancelled",0,IF($W944&lt;&gt;"",IFERROR(IF(INDEX(CASHBACK_RULES!$B$5:$B$304,MATCH($W944,CASHBACK_RULES!$A$5:$A$304,0))=$D944,MATCH($W944,CASHBACK_RULES!$A$5:$A$304,0),0),0),IFERROR(MATCH(1,INDEX((CASHBACK_RULES!$B$5:$B$304=$D944)*(CASHBACK_RULES!$G$5:$G$304=$I944)*(((CASHBACK_RULES!$N$5:$N$304="")+(CASHBACK_RULES!$N$5:$N$304&lt;=$B944))&gt;0)*(((CASHBACK_RULES!$O$5:$O$304="")+(CASHBACK_RULES!$O$5:$O$304&gt;=$B944))&gt;0)*(((CASHBACK_RULES!$M$5:$M$304="")+(CASHBACK_RULES!$M$5:$M$304&lt;=$L944))&gt;0),0),0),0))))</f>
        <v>0</v>
      </c>
      <c r="AD944" s="51" t="str">
        <f>IF(OR($B944="",$D944=""),"",IFERROR(IF(INDEX(CARDS!$H$5:$H$34,MATCH($D944,CARDS!$A$5:$A$34,0))="","",IF(DAY($B944)&lt;=INDEX(CARDS!$H$5:$H$34,MATCH($D944,CARDS!$A$5:$A$34,0)),DATE(YEAR($B944),MONTH($B944),MIN(INDEX(CARDS!$H$5:$H$34,MATCH($D944,CARDS!$A$5:$A$34,0)),DAY(EOMONTH($B944,0)))),DATE(YEAR($B944),MONTH($B944)+1,MIN(INDEX(CARDS!$H$5:$H$34,MATCH($D944,CARDS!$A$5:$A$34,0)),DAY(EOMONTH($B944,1)))))),""))</f>
        <v/>
      </c>
      <c r="AE944" s="52" t="str">
        <f>IF($C944="","",$C944&amp;"|"&amp;COUNTIF($C$5:$C944,$C944))</f>
        <v/>
      </c>
      <c r="AF944" s="53">
        <f>IF($AC944&gt;0,SUMIFS(Q$4:Q943,$D$4:$D943,$D944,$Z$4:$Z943,$Z944,$C$4:$C943,$C944),0)</f>
        <v>0</v>
      </c>
      <c r="AG944" s="53">
        <f>IF($AC944&gt;0,SUMIFS(Q$4:Q943,$D$4:$D943,$D944,$C$4:$C943,$C944),0)</f>
        <v>0</v>
      </c>
      <c r="AH944" s="53">
        <f>IF($AC944&gt;0,SUMIFS(M$4:M943,$D$4:$D943,$D944,$Z$4:$Z943,$Z944,$C$4:$C943,$C944),0)</f>
        <v>0</v>
      </c>
      <c r="AI944" s="43">
        <f>IF(OR($C944="",$I944=""),0,IF(COUNTIFS($C$5:$C944,$C944,$I$5:$I944,$I944)=1,1,0))</f>
        <v>0</v>
      </c>
      <c r="AJ944" s="43" t="str">
        <f>IF($AI944=1,SUMIFS($AI$4:$AI943,$C$4:$C943,$C944)+1,"")</f>
        <v/>
      </c>
      <c r="AK944" s="43">
        <f>IF(OR($C944="",$K944=""),0,IF(COUNTIFS($C$5:$C944,$C944,$K$5:$K944,$K944)=1,1,0))</f>
        <v>0</v>
      </c>
      <c r="AL944" s="43" t="str">
        <f>IF($AK944=1,SUMIFS($AK$4:$AK943,$C$4:$C943,$C944)+1,"")</f>
        <v/>
      </c>
      <c r="AM944" s="43">
        <f>IF(OR($C944="",$G944=""),0,IF(COUNTIFS($C$5:$C944,$C944,$G$5:$G944,$G944)=1,1,0))</f>
        <v>0</v>
      </c>
      <c r="AN944" s="43" t="str">
        <f>IF($AM944=1,SUMIFS($AM$4:$AM943,$C$4:$C943,$C944)+1,"")</f>
        <v/>
      </c>
    </row>
    <row r="945">
      <c r="A945" s="44" t="str">
        <f>IF(OR($B945="",$D945=""),"","TX"&amp;TEXT(ROW()-4,"0000"))</f>
        <v/>
      </c>
      <c r="B945" s="42" t="n"/>
      <c r="C945" s="47" t="str">
        <f>IF($B945="","",YEAR($B945)*100+MONTH($B945))</f>
        <v/>
      </c>
      <c r="D945" s="37" t="n"/>
      <c r="E945" s="45" t="str">
        <f>IF($D945="","",IFERROR(INDEX(CARDS!$B$5:$B$34,MATCH($D945,CARDS!$A$5:$A$34,0)),"⚠ Card ID?"))</f>
        <v/>
      </c>
      <c r="F945" s="45" t="str">
        <f>IF($D945="","",IFERROR(INDEX(CARDS!$C$5:$C$34,MATCH($D945,CARDS!$A$5:$A$34,0)),"⚠ Card ID?"))</f>
        <v/>
      </c>
      <c r="G945" s="37" t="n"/>
      <c r="H945" s="37" t="n"/>
      <c r="I945" s="41" t="n"/>
      <c r="J945" s="45" t="str">
        <f>IF($I945="","",IFERROR(INDEX(MCC_MASTER!$B$5:$B$504,MATCH($I945,MCC_MASTER!$A$5:$A$504,0)),"⚠ MCC chưa có"))</f>
        <v/>
      </c>
      <c r="K945" s="45" t="str">
        <f>IF($I945="","",IFERROR(IF(INDEX(MCC_MASTER!$C$5:$C$504,MATCH($I945,MCC_MASTER!$A$5:$A$504,0))="","Chưa phân loại",INDEX(MCC_MASTER!$C$5:$C$504,MATCH($I945,MCC_MASTER!$A$5:$A$504,0))),"Chưa phân loại"))</f>
        <v/>
      </c>
      <c r="L945" s="40" t="n"/>
      <c r="M945" s="48" t="str">
        <f>IF(OR($B945="",$D945=""),"",IF($AC945=0,0,IF(ISNUMBER(INDEX(CASHBACK_RULES!$L$5:$L$304,$AC945)),MAX(0,MIN($L945,INDEX(CASHBACK_RULES!$L$5:$L$304,$AC945)-$AH945)),MAX(0,$L945))))</f>
        <v/>
      </c>
      <c r="N945" s="49" t="str">
        <f>IF(OR($B945="",$D945=""),"",IF($AC945&gt;0,INDEX(CASHBACK_RULES!$I$5:$I$304,$AC945),0))</f>
        <v/>
      </c>
      <c r="O945" s="48" t="str">
        <f>IF(OR($B945="",$D945=""),"",ROUND($M945*$N945,0))</f>
        <v/>
      </c>
      <c r="P945" s="48" t="str">
        <f>IF($AC945&gt;0,IF(ISNUMBER(INDEX(CASHBACK_RULES!$J$5:$J$304,$AC945)),INDEX(CASHBACK_RULES!$J$5:$J$304,$AC945),"∞"),"")</f>
        <v/>
      </c>
      <c r="Q945" s="48" t="str">
        <f>IF(OR($B945="",$D945=""),"",IF($AC945=0,0,MAX(0,MIN($O945,IF(ISNUMBER($P945),$P945-$AF945,1E+15),IF(ISNUMBER($AA945),$AA945-$AG945,1E+15)))))</f>
        <v/>
      </c>
      <c r="R945" s="48" t="str">
        <f>IF(OR($B945="",$D945=""),"",IF($AC945=0,"",IF(AND(NOT(ISNUMBER($P945)),NOT(ISNUMBER($AA945))),"∞",MAX(0,MIN(IF(ISNUMBER($P945),$P945-$AF945-$Q945,1E+15),IF(ISNUMBER($AA945),$AA945-$AG945-$Q945,1E+15))))))</f>
        <v/>
      </c>
      <c r="S945" s="47" t="str">
        <f>IF($AD945="","",YEAR($AD945)*100+MONTH($AD945))</f>
        <v/>
      </c>
      <c r="T945" s="50" t="str">
        <f>IF($AD945="","",IFERROR(IF(INDEX(CARDS!$I$5:$I$34,MATCH($D945,CARDS!$A$5:$A$34,0))="","",IF(INDEX(CARDS!$I$5:$I$34,MATCH($D945,CARDS!$A$5:$A$34,0))&gt;INDEX(CARDS!$H$5:$H$34,MATCH($D945,CARDS!$A$5:$A$34,0)),DATE(YEAR($AD945),MONTH($AD945),MIN(INDEX(CARDS!$I$5:$I$34,MATCH($D945,CARDS!$A$5:$A$34,0)),DAY(EOMONTH($AD945,0)))),DATE(YEAR($AD945),MONTH($AD945)+1,MIN(INDEX(CARDS!$I$5:$I$34,MATCH($D945,CARDS!$A$5:$A$34,0)),DAY(EOMONTH($AD945,1)))))),""))</f>
        <v/>
      </c>
      <c r="U945" s="38" t="n"/>
      <c r="V945" s="37" t="n"/>
      <c r="W945" s="38" t="n"/>
      <c r="X945" s="38" t="n"/>
      <c r="Y945" s="44" t="str">
        <f>IF($AC945&gt;0,INDEX(CASHBACK_RULES!$A$5:$A$304,$AC945),"")</f>
        <v/>
      </c>
      <c r="Z945" s="45" t="str">
        <f>IF($AC945&gt;0,INDEX(CASHBACK_RULES!$E$5:$E$304,$AC945)&amp;"","")</f>
        <v/>
      </c>
      <c r="AA945" s="48" t="str">
        <f>IF($AC945&gt;0,IF(ISNUMBER(INDEX(CASHBACK_RULES!$K$5:$K$304,$AC945)),INDEX(CASHBACK_RULES!$K$5:$K$304,$AC945),"∞"),"")</f>
        <v/>
      </c>
      <c r="AB945" s="44" t="str">
        <f>IF(OR($B945="",$D945=""),"",IF($U945="Cancelled","Đã hủy",IF($AC945=0,"Không được hoàn",IF($Q945=0,IF(OR($O945&gt;0,$M945&lt;$L945),"Đã đạt cap","Không được hoàn"),IF(OR($Q945&lt;$O945,$M945&lt;$L945),"Hoàn một phần","Được hoàn")))))</f>
        <v/>
      </c>
      <c r="AC945" s="43">
        <f>IF(OR($B945="",$D945="",$I945="",$L945=""),0,IF($U945="Cancelled",0,IF($W945&lt;&gt;"",IFERROR(IF(INDEX(CASHBACK_RULES!$B$5:$B$304,MATCH($W945,CASHBACK_RULES!$A$5:$A$304,0))=$D945,MATCH($W945,CASHBACK_RULES!$A$5:$A$304,0),0),0),IFERROR(MATCH(1,INDEX((CASHBACK_RULES!$B$5:$B$304=$D945)*(CASHBACK_RULES!$G$5:$G$304=$I945)*(((CASHBACK_RULES!$N$5:$N$304="")+(CASHBACK_RULES!$N$5:$N$304&lt;=$B945))&gt;0)*(((CASHBACK_RULES!$O$5:$O$304="")+(CASHBACK_RULES!$O$5:$O$304&gt;=$B945))&gt;0)*(((CASHBACK_RULES!$M$5:$M$304="")+(CASHBACK_RULES!$M$5:$M$304&lt;=$L945))&gt;0),0),0),0))))</f>
        <v>0</v>
      </c>
      <c r="AD945" s="51" t="str">
        <f>IF(OR($B945="",$D945=""),"",IFERROR(IF(INDEX(CARDS!$H$5:$H$34,MATCH($D945,CARDS!$A$5:$A$34,0))="","",IF(DAY($B945)&lt;=INDEX(CARDS!$H$5:$H$34,MATCH($D945,CARDS!$A$5:$A$34,0)),DATE(YEAR($B945),MONTH($B945),MIN(INDEX(CARDS!$H$5:$H$34,MATCH($D945,CARDS!$A$5:$A$34,0)),DAY(EOMONTH($B945,0)))),DATE(YEAR($B945),MONTH($B945)+1,MIN(INDEX(CARDS!$H$5:$H$34,MATCH($D945,CARDS!$A$5:$A$34,0)),DAY(EOMONTH($B945,1)))))),""))</f>
        <v/>
      </c>
      <c r="AE945" s="52" t="str">
        <f>IF($C945="","",$C945&amp;"|"&amp;COUNTIF($C$5:$C945,$C945))</f>
        <v/>
      </c>
      <c r="AF945" s="53">
        <f>IF($AC945&gt;0,SUMIFS(Q$4:Q944,$D$4:$D944,$D945,$Z$4:$Z944,$Z945,$C$4:$C944,$C945),0)</f>
        <v>0</v>
      </c>
      <c r="AG945" s="53">
        <f>IF($AC945&gt;0,SUMIFS(Q$4:Q944,$D$4:$D944,$D945,$C$4:$C944,$C945),0)</f>
        <v>0</v>
      </c>
      <c r="AH945" s="53">
        <f>IF($AC945&gt;0,SUMIFS(M$4:M944,$D$4:$D944,$D945,$Z$4:$Z944,$Z945,$C$4:$C944,$C945),0)</f>
        <v>0</v>
      </c>
      <c r="AI945" s="43">
        <f>IF(OR($C945="",$I945=""),0,IF(COUNTIFS($C$5:$C945,$C945,$I$5:$I945,$I945)=1,1,0))</f>
        <v>0</v>
      </c>
      <c r="AJ945" s="43" t="str">
        <f>IF($AI945=1,SUMIFS($AI$4:$AI944,$C$4:$C944,$C945)+1,"")</f>
        <v/>
      </c>
      <c r="AK945" s="43">
        <f>IF(OR($C945="",$K945=""),0,IF(COUNTIFS($C$5:$C945,$C945,$K$5:$K945,$K945)=1,1,0))</f>
        <v>0</v>
      </c>
      <c r="AL945" s="43" t="str">
        <f>IF($AK945=1,SUMIFS($AK$4:$AK944,$C$4:$C944,$C945)+1,"")</f>
        <v/>
      </c>
      <c r="AM945" s="43">
        <f>IF(OR($C945="",$G945=""),0,IF(COUNTIFS($C$5:$C945,$C945,$G$5:$G945,$G945)=1,1,0))</f>
        <v>0</v>
      </c>
      <c r="AN945" s="43" t="str">
        <f>IF($AM945=1,SUMIFS($AM$4:$AM944,$C$4:$C944,$C945)+1,"")</f>
        <v/>
      </c>
    </row>
    <row r="946">
      <c r="A946" s="44" t="str">
        <f>IF(OR($B946="",$D946=""),"","TX"&amp;TEXT(ROW()-4,"0000"))</f>
        <v/>
      </c>
      <c r="B946" s="42" t="n"/>
      <c r="C946" s="47" t="str">
        <f>IF($B946="","",YEAR($B946)*100+MONTH($B946))</f>
        <v/>
      </c>
      <c r="D946" s="37" t="n"/>
      <c r="E946" s="45" t="str">
        <f>IF($D946="","",IFERROR(INDEX(CARDS!$B$5:$B$34,MATCH($D946,CARDS!$A$5:$A$34,0)),"⚠ Card ID?"))</f>
        <v/>
      </c>
      <c r="F946" s="45" t="str">
        <f>IF($D946="","",IFERROR(INDEX(CARDS!$C$5:$C$34,MATCH($D946,CARDS!$A$5:$A$34,0)),"⚠ Card ID?"))</f>
        <v/>
      </c>
      <c r="G946" s="37" t="n"/>
      <c r="H946" s="37" t="n"/>
      <c r="I946" s="41" t="n"/>
      <c r="J946" s="45" t="str">
        <f>IF($I946="","",IFERROR(INDEX(MCC_MASTER!$B$5:$B$504,MATCH($I946,MCC_MASTER!$A$5:$A$504,0)),"⚠ MCC chưa có"))</f>
        <v/>
      </c>
      <c r="K946" s="45" t="str">
        <f>IF($I946="","",IFERROR(IF(INDEX(MCC_MASTER!$C$5:$C$504,MATCH($I946,MCC_MASTER!$A$5:$A$504,0))="","Chưa phân loại",INDEX(MCC_MASTER!$C$5:$C$504,MATCH($I946,MCC_MASTER!$A$5:$A$504,0))),"Chưa phân loại"))</f>
        <v/>
      </c>
      <c r="L946" s="40" t="n"/>
      <c r="M946" s="48" t="str">
        <f>IF(OR($B946="",$D946=""),"",IF($AC946=0,0,IF(ISNUMBER(INDEX(CASHBACK_RULES!$L$5:$L$304,$AC946)),MAX(0,MIN($L946,INDEX(CASHBACK_RULES!$L$5:$L$304,$AC946)-$AH946)),MAX(0,$L946))))</f>
        <v/>
      </c>
      <c r="N946" s="49" t="str">
        <f>IF(OR($B946="",$D946=""),"",IF($AC946&gt;0,INDEX(CASHBACK_RULES!$I$5:$I$304,$AC946),0))</f>
        <v/>
      </c>
      <c r="O946" s="48" t="str">
        <f>IF(OR($B946="",$D946=""),"",ROUND($M946*$N946,0))</f>
        <v/>
      </c>
      <c r="P946" s="48" t="str">
        <f>IF($AC946&gt;0,IF(ISNUMBER(INDEX(CASHBACK_RULES!$J$5:$J$304,$AC946)),INDEX(CASHBACK_RULES!$J$5:$J$304,$AC946),"∞"),"")</f>
        <v/>
      </c>
      <c r="Q946" s="48" t="str">
        <f>IF(OR($B946="",$D946=""),"",IF($AC946=0,0,MAX(0,MIN($O946,IF(ISNUMBER($P946),$P946-$AF946,1E+15),IF(ISNUMBER($AA946),$AA946-$AG946,1E+15)))))</f>
        <v/>
      </c>
      <c r="R946" s="48" t="str">
        <f>IF(OR($B946="",$D946=""),"",IF($AC946=0,"",IF(AND(NOT(ISNUMBER($P946)),NOT(ISNUMBER($AA946))),"∞",MAX(0,MIN(IF(ISNUMBER($P946),$P946-$AF946-$Q946,1E+15),IF(ISNUMBER($AA946),$AA946-$AG946-$Q946,1E+15))))))</f>
        <v/>
      </c>
      <c r="S946" s="47" t="str">
        <f>IF($AD946="","",YEAR($AD946)*100+MONTH($AD946))</f>
        <v/>
      </c>
      <c r="T946" s="50" t="str">
        <f>IF($AD946="","",IFERROR(IF(INDEX(CARDS!$I$5:$I$34,MATCH($D946,CARDS!$A$5:$A$34,0))="","",IF(INDEX(CARDS!$I$5:$I$34,MATCH($D946,CARDS!$A$5:$A$34,0))&gt;INDEX(CARDS!$H$5:$H$34,MATCH($D946,CARDS!$A$5:$A$34,0)),DATE(YEAR($AD946),MONTH($AD946),MIN(INDEX(CARDS!$I$5:$I$34,MATCH($D946,CARDS!$A$5:$A$34,0)),DAY(EOMONTH($AD946,0)))),DATE(YEAR($AD946),MONTH($AD946)+1,MIN(INDEX(CARDS!$I$5:$I$34,MATCH($D946,CARDS!$A$5:$A$34,0)),DAY(EOMONTH($AD946,1)))))),""))</f>
        <v/>
      </c>
      <c r="U946" s="38" t="n"/>
      <c r="V946" s="37" t="n"/>
      <c r="W946" s="38" t="n"/>
      <c r="X946" s="38" t="n"/>
      <c r="Y946" s="44" t="str">
        <f>IF($AC946&gt;0,INDEX(CASHBACK_RULES!$A$5:$A$304,$AC946),"")</f>
        <v/>
      </c>
      <c r="Z946" s="45" t="str">
        <f>IF($AC946&gt;0,INDEX(CASHBACK_RULES!$E$5:$E$304,$AC946)&amp;"","")</f>
        <v/>
      </c>
      <c r="AA946" s="48" t="str">
        <f>IF($AC946&gt;0,IF(ISNUMBER(INDEX(CASHBACK_RULES!$K$5:$K$304,$AC946)),INDEX(CASHBACK_RULES!$K$5:$K$304,$AC946),"∞"),"")</f>
        <v/>
      </c>
      <c r="AB946" s="44" t="str">
        <f>IF(OR($B946="",$D946=""),"",IF($U946="Cancelled","Đã hủy",IF($AC946=0,"Không được hoàn",IF($Q946=0,IF(OR($O946&gt;0,$M946&lt;$L946),"Đã đạt cap","Không được hoàn"),IF(OR($Q946&lt;$O946,$M946&lt;$L946),"Hoàn một phần","Được hoàn")))))</f>
        <v/>
      </c>
      <c r="AC946" s="43">
        <f>IF(OR($B946="",$D946="",$I946="",$L946=""),0,IF($U946="Cancelled",0,IF($W946&lt;&gt;"",IFERROR(IF(INDEX(CASHBACK_RULES!$B$5:$B$304,MATCH($W946,CASHBACK_RULES!$A$5:$A$304,0))=$D946,MATCH($W946,CASHBACK_RULES!$A$5:$A$304,0),0),0),IFERROR(MATCH(1,INDEX((CASHBACK_RULES!$B$5:$B$304=$D946)*(CASHBACK_RULES!$G$5:$G$304=$I946)*(((CASHBACK_RULES!$N$5:$N$304="")+(CASHBACK_RULES!$N$5:$N$304&lt;=$B946))&gt;0)*(((CASHBACK_RULES!$O$5:$O$304="")+(CASHBACK_RULES!$O$5:$O$304&gt;=$B946))&gt;0)*(((CASHBACK_RULES!$M$5:$M$304="")+(CASHBACK_RULES!$M$5:$M$304&lt;=$L946))&gt;0),0),0),0))))</f>
        <v>0</v>
      </c>
      <c r="AD946" s="51" t="str">
        <f>IF(OR($B946="",$D946=""),"",IFERROR(IF(INDEX(CARDS!$H$5:$H$34,MATCH($D946,CARDS!$A$5:$A$34,0))="","",IF(DAY($B946)&lt;=INDEX(CARDS!$H$5:$H$34,MATCH($D946,CARDS!$A$5:$A$34,0)),DATE(YEAR($B946),MONTH($B946),MIN(INDEX(CARDS!$H$5:$H$34,MATCH($D946,CARDS!$A$5:$A$34,0)),DAY(EOMONTH($B946,0)))),DATE(YEAR($B946),MONTH($B946)+1,MIN(INDEX(CARDS!$H$5:$H$34,MATCH($D946,CARDS!$A$5:$A$34,0)),DAY(EOMONTH($B946,1)))))),""))</f>
        <v/>
      </c>
      <c r="AE946" s="52" t="str">
        <f>IF($C946="","",$C946&amp;"|"&amp;COUNTIF($C$5:$C946,$C946))</f>
        <v/>
      </c>
      <c r="AF946" s="53">
        <f>IF($AC946&gt;0,SUMIFS(Q$4:Q945,$D$4:$D945,$D946,$Z$4:$Z945,$Z946,$C$4:$C945,$C946),0)</f>
        <v>0</v>
      </c>
      <c r="AG946" s="53">
        <f>IF($AC946&gt;0,SUMIFS(Q$4:Q945,$D$4:$D945,$D946,$C$4:$C945,$C946),0)</f>
        <v>0</v>
      </c>
      <c r="AH946" s="53">
        <f>IF($AC946&gt;0,SUMIFS(M$4:M945,$D$4:$D945,$D946,$Z$4:$Z945,$Z946,$C$4:$C945,$C946),0)</f>
        <v>0</v>
      </c>
      <c r="AI946" s="43">
        <f>IF(OR($C946="",$I946=""),0,IF(COUNTIFS($C$5:$C946,$C946,$I$5:$I946,$I946)=1,1,0))</f>
        <v>0</v>
      </c>
      <c r="AJ946" s="43" t="str">
        <f>IF($AI946=1,SUMIFS($AI$4:$AI945,$C$4:$C945,$C946)+1,"")</f>
        <v/>
      </c>
      <c r="AK946" s="43">
        <f>IF(OR($C946="",$K946=""),0,IF(COUNTIFS($C$5:$C946,$C946,$K$5:$K946,$K946)=1,1,0))</f>
        <v>0</v>
      </c>
      <c r="AL946" s="43" t="str">
        <f>IF($AK946=1,SUMIFS($AK$4:$AK945,$C$4:$C945,$C946)+1,"")</f>
        <v/>
      </c>
      <c r="AM946" s="43">
        <f>IF(OR($C946="",$G946=""),0,IF(COUNTIFS($C$5:$C946,$C946,$G$5:$G946,$G946)=1,1,0))</f>
        <v>0</v>
      </c>
      <c r="AN946" s="43" t="str">
        <f>IF($AM946=1,SUMIFS($AM$4:$AM945,$C$4:$C945,$C946)+1,"")</f>
        <v/>
      </c>
    </row>
    <row r="947">
      <c r="A947" s="44" t="str">
        <f>IF(OR($B947="",$D947=""),"","TX"&amp;TEXT(ROW()-4,"0000"))</f>
        <v/>
      </c>
      <c r="B947" s="42" t="n"/>
      <c r="C947" s="47" t="str">
        <f>IF($B947="","",YEAR($B947)*100+MONTH($B947))</f>
        <v/>
      </c>
      <c r="D947" s="37" t="n"/>
      <c r="E947" s="45" t="str">
        <f>IF($D947="","",IFERROR(INDEX(CARDS!$B$5:$B$34,MATCH($D947,CARDS!$A$5:$A$34,0)),"⚠ Card ID?"))</f>
        <v/>
      </c>
      <c r="F947" s="45" t="str">
        <f>IF($D947="","",IFERROR(INDEX(CARDS!$C$5:$C$34,MATCH($D947,CARDS!$A$5:$A$34,0)),"⚠ Card ID?"))</f>
        <v/>
      </c>
      <c r="G947" s="37" t="n"/>
      <c r="H947" s="37" t="n"/>
      <c r="I947" s="41" t="n"/>
      <c r="J947" s="45" t="str">
        <f>IF($I947="","",IFERROR(INDEX(MCC_MASTER!$B$5:$B$504,MATCH($I947,MCC_MASTER!$A$5:$A$504,0)),"⚠ MCC chưa có"))</f>
        <v/>
      </c>
      <c r="K947" s="45" t="str">
        <f>IF($I947="","",IFERROR(IF(INDEX(MCC_MASTER!$C$5:$C$504,MATCH($I947,MCC_MASTER!$A$5:$A$504,0))="","Chưa phân loại",INDEX(MCC_MASTER!$C$5:$C$504,MATCH($I947,MCC_MASTER!$A$5:$A$504,0))),"Chưa phân loại"))</f>
        <v/>
      </c>
      <c r="L947" s="40" t="n"/>
      <c r="M947" s="48" t="str">
        <f>IF(OR($B947="",$D947=""),"",IF($AC947=0,0,IF(ISNUMBER(INDEX(CASHBACK_RULES!$L$5:$L$304,$AC947)),MAX(0,MIN($L947,INDEX(CASHBACK_RULES!$L$5:$L$304,$AC947)-$AH947)),MAX(0,$L947))))</f>
        <v/>
      </c>
      <c r="N947" s="49" t="str">
        <f>IF(OR($B947="",$D947=""),"",IF($AC947&gt;0,INDEX(CASHBACK_RULES!$I$5:$I$304,$AC947),0))</f>
        <v/>
      </c>
      <c r="O947" s="48" t="str">
        <f>IF(OR($B947="",$D947=""),"",ROUND($M947*$N947,0))</f>
        <v/>
      </c>
      <c r="P947" s="48" t="str">
        <f>IF($AC947&gt;0,IF(ISNUMBER(INDEX(CASHBACK_RULES!$J$5:$J$304,$AC947)),INDEX(CASHBACK_RULES!$J$5:$J$304,$AC947),"∞"),"")</f>
        <v/>
      </c>
      <c r="Q947" s="48" t="str">
        <f>IF(OR($B947="",$D947=""),"",IF($AC947=0,0,MAX(0,MIN($O947,IF(ISNUMBER($P947),$P947-$AF947,1E+15),IF(ISNUMBER($AA947),$AA947-$AG947,1E+15)))))</f>
        <v/>
      </c>
      <c r="R947" s="48" t="str">
        <f>IF(OR($B947="",$D947=""),"",IF($AC947=0,"",IF(AND(NOT(ISNUMBER($P947)),NOT(ISNUMBER($AA947))),"∞",MAX(0,MIN(IF(ISNUMBER($P947),$P947-$AF947-$Q947,1E+15),IF(ISNUMBER($AA947),$AA947-$AG947-$Q947,1E+15))))))</f>
        <v/>
      </c>
      <c r="S947" s="47" t="str">
        <f>IF($AD947="","",YEAR($AD947)*100+MONTH($AD947))</f>
        <v/>
      </c>
      <c r="T947" s="50" t="str">
        <f>IF($AD947="","",IFERROR(IF(INDEX(CARDS!$I$5:$I$34,MATCH($D947,CARDS!$A$5:$A$34,0))="","",IF(INDEX(CARDS!$I$5:$I$34,MATCH($D947,CARDS!$A$5:$A$34,0))&gt;INDEX(CARDS!$H$5:$H$34,MATCH($D947,CARDS!$A$5:$A$34,0)),DATE(YEAR($AD947),MONTH($AD947),MIN(INDEX(CARDS!$I$5:$I$34,MATCH($D947,CARDS!$A$5:$A$34,0)),DAY(EOMONTH($AD947,0)))),DATE(YEAR($AD947),MONTH($AD947)+1,MIN(INDEX(CARDS!$I$5:$I$34,MATCH($D947,CARDS!$A$5:$A$34,0)),DAY(EOMONTH($AD947,1)))))),""))</f>
        <v/>
      </c>
      <c r="U947" s="38" t="n"/>
      <c r="V947" s="37" t="n"/>
      <c r="W947" s="38" t="n"/>
      <c r="X947" s="38" t="n"/>
      <c r="Y947" s="44" t="str">
        <f>IF($AC947&gt;0,INDEX(CASHBACK_RULES!$A$5:$A$304,$AC947),"")</f>
        <v/>
      </c>
      <c r="Z947" s="45" t="str">
        <f>IF($AC947&gt;0,INDEX(CASHBACK_RULES!$E$5:$E$304,$AC947)&amp;"","")</f>
        <v/>
      </c>
      <c r="AA947" s="48" t="str">
        <f>IF($AC947&gt;0,IF(ISNUMBER(INDEX(CASHBACK_RULES!$K$5:$K$304,$AC947)),INDEX(CASHBACK_RULES!$K$5:$K$304,$AC947),"∞"),"")</f>
        <v/>
      </c>
      <c r="AB947" s="44" t="str">
        <f>IF(OR($B947="",$D947=""),"",IF($U947="Cancelled","Đã hủy",IF($AC947=0,"Không được hoàn",IF($Q947=0,IF(OR($O947&gt;0,$M947&lt;$L947),"Đã đạt cap","Không được hoàn"),IF(OR($Q947&lt;$O947,$M947&lt;$L947),"Hoàn một phần","Được hoàn")))))</f>
        <v/>
      </c>
      <c r="AC947" s="43">
        <f>IF(OR($B947="",$D947="",$I947="",$L947=""),0,IF($U947="Cancelled",0,IF($W947&lt;&gt;"",IFERROR(IF(INDEX(CASHBACK_RULES!$B$5:$B$304,MATCH($W947,CASHBACK_RULES!$A$5:$A$304,0))=$D947,MATCH($W947,CASHBACK_RULES!$A$5:$A$304,0),0),0),IFERROR(MATCH(1,INDEX((CASHBACK_RULES!$B$5:$B$304=$D947)*(CASHBACK_RULES!$G$5:$G$304=$I947)*(((CASHBACK_RULES!$N$5:$N$304="")+(CASHBACK_RULES!$N$5:$N$304&lt;=$B947))&gt;0)*(((CASHBACK_RULES!$O$5:$O$304="")+(CASHBACK_RULES!$O$5:$O$304&gt;=$B947))&gt;0)*(((CASHBACK_RULES!$M$5:$M$304="")+(CASHBACK_RULES!$M$5:$M$304&lt;=$L947))&gt;0),0),0),0))))</f>
        <v>0</v>
      </c>
      <c r="AD947" s="51" t="str">
        <f>IF(OR($B947="",$D947=""),"",IFERROR(IF(INDEX(CARDS!$H$5:$H$34,MATCH($D947,CARDS!$A$5:$A$34,0))="","",IF(DAY($B947)&lt;=INDEX(CARDS!$H$5:$H$34,MATCH($D947,CARDS!$A$5:$A$34,0)),DATE(YEAR($B947),MONTH($B947),MIN(INDEX(CARDS!$H$5:$H$34,MATCH($D947,CARDS!$A$5:$A$34,0)),DAY(EOMONTH($B947,0)))),DATE(YEAR($B947),MONTH($B947)+1,MIN(INDEX(CARDS!$H$5:$H$34,MATCH($D947,CARDS!$A$5:$A$34,0)),DAY(EOMONTH($B947,1)))))),""))</f>
        <v/>
      </c>
      <c r="AE947" s="52" t="str">
        <f>IF($C947="","",$C947&amp;"|"&amp;COUNTIF($C$5:$C947,$C947))</f>
        <v/>
      </c>
      <c r="AF947" s="53">
        <f>IF($AC947&gt;0,SUMIFS(Q$4:Q946,$D$4:$D946,$D947,$Z$4:$Z946,$Z947,$C$4:$C946,$C947),0)</f>
        <v>0</v>
      </c>
      <c r="AG947" s="53">
        <f>IF($AC947&gt;0,SUMIFS(Q$4:Q946,$D$4:$D946,$D947,$C$4:$C946,$C947),0)</f>
        <v>0</v>
      </c>
      <c r="AH947" s="53">
        <f>IF($AC947&gt;0,SUMIFS(M$4:M946,$D$4:$D946,$D947,$Z$4:$Z946,$Z947,$C$4:$C946,$C947),0)</f>
        <v>0</v>
      </c>
      <c r="AI947" s="43">
        <f>IF(OR($C947="",$I947=""),0,IF(COUNTIFS($C$5:$C947,$C947,$I$5:$I947,$I947)=1,1,0))</f>
        <v>0</v>
      </c>
      <c r="AJ947" s="43" t="str">
        <f>IF($AI947=1,SUMIFS($AI$4:$AI946,$C$4:$C946,$C947)+1,"")</f>
        <v/>
      </c>
      <c r="AK947" s="43">
        <f>IF(OR($C947="",$K947=""),0,IF(COUNTIFS($C$5:$C947,$C947,$K$5:$K947,$K947)=1,1,0))</f>
        <v>0</v>
      </c>
      <c r="AL947" s="43" t="str">
        <f>IF($AK947=1,SUMIFS($AK$4:$AK946,$C$4:$C946,$C947)+1,"")</f>
        <v/>
      </c>
      <c r="AM947" s="43">
        <f>IF(OR($C947="",$G947=""),0,IF(COUNTIFS($C$5:$C947,$C947,$G$5:$G947,$G947)=1,1,0))</f>
        <v>0</v>
      </c>
      <c r="AN947" s="43" t="str">
        <f>IF($AM947=1,SUMIFS($AM$4:$AM946,$C$4:$C946,$C947)+1,"")</f>
        <v/>
      </c>
    </row>
    <row r="948">
      <c r="A948" s="44" t="str">
        <f>IF(OR($B948="",$D948=""),"","TX"&amp;TEXT(ROW()-4,"0000"))</f>
        <v/>
      </c>
      <c r="B948" s="42" t="n"/>
      <c r="C948" s="47" t="str">
        <f>IF($B948="","",YEAR($B948)*100+MONTH($B948))</f>
        <v/>
      </c>
      <c r="D948" s="37" t="n"/>
      <c r="E948" s="45" t="str">
        <f>IF($D948="","",IFERROR(INDEX(CARDS!$B$5:$B$34,MATCH($D948,CARDS!$A$5:$A$34,0)),"⚠ Card ID?"))</f>
        <v/>
      </c>
      <c r="F948" s="45" t="str">
        <f>IF($D948="","",IFERROR(INDEX(CARDS!$C$5:$C$34,MATCH($D948,CARDS!$A$5:$A$34,0)),"⚠ Card ID?"))</f>
        <v/>
      </c>
      <c r="G948" s="37" t="n"/>
      <c r="H948" s="37" t="n"/>
      <c r="I948" s="41" t="n"/>
      <c r="J948" s="45" t="str">
        <f>IF($I948="","",IFERROR(INDEX(MCC_MASTER!$B$5:$B$504,MATCH($I948,MCC_MASTER!$A$5:$A$504,0)),"⚠ MCC chưa có"))</f>
        <v/>
      </c>
      <c r="K948" s="45" t="str">
        <f>IF($I948="","",IFERROR(IF(INDEX(MCC_MASTER!$C$5:$C$504,MATCH($I948,MCC_MASTER!$A$5:$A$504,0))="","Chưa phân loại",INDEX(MCC_MASTER!$C$5:$C$504,MATCH($I948,MCC_MASTER!$A$5:$A$504,0))),"Chưa phân loại"))</f>
        <v/>
      </c>
      <c r="L948" s="40" t="n"/>
      <c r="M948" s="48" t="str">
        <f>IF(OR($B948="",$D948=""),"",IF($AC948=0,0,IF(ISNUMBER(INDEX(CASHBACK_RULES!$L$5:$L$304,$AC948)),MAX(0,MIN($L948,INDEX(CASHBACK_RULES!$L$5:$L$304,$AC948)-$AH948)),MAX(0,$L948))))</f>
        <v/>
      </c>
      <c r="N948" s="49" t="str">
        <f>IF(OR($B948="",$D948=""),"",IF($AC948&gt;0,INDEX(CASHBACK_RULES!$I$5:$I$304,$AC948),0))</f>
        <v/>
      </c>
      <c r="O948" s="48" t="str">
        <f>IF(OR($B948="",$D948=""),"",ROUND($M948*$N948,0))</f>
        <v/>
      </c>
      <c r="P948" s="48" t="str">
        <f>IF($AC948&gt;0,IF(ISNUMBER(INDEX(CASHBACK_RULES!$J$5:$J$304,$AC948)),INDEX(CASHBACK_RULES!$J$5:$J$304,$AC948),"∞"),"")</f>
        <v/>
      </c>
      <c r="Q948" s="48" t="str">
        <f>IF(OR($B948="",$D948=""),"",IF($AC948=0,0,MAX(0,MIN($O948,IF(ISNUMBER($P948),$P948-$AF948,1E+15),IF(ISNUMBER($AA948),$AA948-$AG948,1E+15)))))</f>
        <v/>
      </c>
      <c r="R948" s="48" t="str">
        <f>IF(OR($B948="",$D948=""),"",IF($AC948=0,"",IF(AND(NOT(ISNUMBER($P948)),NOT(ISNUMBER($AA948))),"∞",MAX(0,MIN(IF(ISNUMBER($P948),$P948-$AF948-$Q948,1E+15),IF(ISNUMBER($AA948),$AA948-$AG948-$Q948,1E+15))))))</f>
        <v/>
      </c>
      <c r="S948" s="47" t="str">
        <f>IF($AD948="","",YEAR($AD948)*100+MONTH($AD948))</f>
        <v/>
      </c>
      <c r="T948" s="50" t="str">
        <f>IF($AD948="","",IFERROR(IF(INDEX(CARDS!$I$5:$I$34,MATCH($D948,CARDS!$A$5:$A$34,0))="","",IF(INDEX(CARDS!$I$5:$I$34,MATCH($D948,CARDS!$A$5:$A$34,0))&gt;INDEX(CARDS!$H$5:$H$34,MATCH($D948,CARDS!$A$5:$A$34,0)),DATE(YEAR($AD948),MONTH($AD948),MIN(INDEX(CARDS!$I$5:$I$34,MATCH($D948,CARDS!$A$5:$A$34,0)),DAY(EOMONTH($AD948,0)))),DATE(YEAR($AD948),MONTH($AD948)+1,MIN(INDEX(CARDS!$I$5:$I$34,MATCH($D948,CARDS!$A$5:$A$34,0)),DAY(EOMONTH($AD948,1)))))),""))</f>
        <v/>
      </c>
      <c r="U948" s="38" t="n"/>
      <c r="V948" s="37" t="n"/>
      <c r="W948" s="38" t="n"/>
      <c r="X948" s="38" t="n"/>
      <c r="Y948" s="44" t="str">
        <f>IF($AC948&gt;0,INDEX(CASHBACK_RULES!$A$5:$A$304,$AC948),"")</f>
        <v/>
      </c>
      <c r="Z948" s="45" t="str">
        <f>IF($AC948&gt;0,INDEX(CASHBACK_RULES!$E$5:$E$304,$AC948)&amp;"","")</f>
        <v/>
      </c>
      <c r="AA948" s="48" t="str">
        <f>IF($AC948&gt;0,IF(ISNUMBER(INDEX(CASHBACK_RULES!$K$5:$K$304,$AC948)),INDEX(CASHBACK_RULES!$K$5:$K$304,$AC948),"∞"),"")</f>
        <v/>
      </c>
      <c r="AB948" s="44" t="str">
        <f>IF(OR($B948="",$D948=""),"",IF($U948="Cancelled","Đã hủy",IF($AC948=0,"Không được hoàn",IF($Q948=0,IF(OR($O948&gt;0,$M948&lt;$L948),"Đã đạt cap","Không được hoàn"),IF(OR($Q948&lt;$O948,$M948&lt;$L948),"Hoàn một phần","Được hoàn")))))</f>
        <v/>
      </c>
      <c r="AC948" s="43">
        <f>IF(OR($B948="",$D948="",$I948="",$L948=""),0,IF($U948="Cancelled",0,IF($W948&lt;&gt;"",IFERROR(IF(INDEX(CASHBACK_RULES!$B$5:$B$304,MATCH($W948,CASHBACK_RULES!$A$5:$A$304,0))=$D948,MATCH($W948,CASHBACK_RULES!$A$5:$A$304,0),0),0),IFERROR(MATCH(1,INDEX((CASHBACK_RULES!$B$5:$B$304=$D948)*(CASHBACK_RULES!$G$5:$G$304=$I948)*(((CASHBACK_RULES!$N$5:$N$304="")+(CASHBACK_RULES!$N$5:$N$304&lt;=$B948))&gt;0)*(((CASHBACK_RULES!$O$5:$O$304="")+(CASHBACK_RULES!$O$5:$O$304&gt;=$B948))&gt;0)*(((CASHBACK_RULES!$M$5:$M$304="")+(CASHBACK_RULES!$M$5:$M$304&lt;=$L948))&gt;0),0),0),0))))</f>
        <v>0</v>
      </c>
      <c r="AD948" s="51" t="str">
        <f>IF(OR($B948="",$D948=""),"",IFERROR(IF(INDEX(CARDS!$H$5:$H$34,MATCH($D948,CARDS!$A$5:$A$34,0))="","",IF(DAY($B948)&lt;=INDEX(CARDS!$H$5:$H$34,MATCH($D948,CARDS!$A$5:$A$34,0)),DATE(YEAR($B948),MONTH($B948),MIN(INDEX(CARDS!$H$5:$H$34,MATCH($D948,CARDS!$A$5:$A$34,0)),DAY(EOMONTH($B948,0)))),DATE(YEAR($B948),MONTH($B948)+1,MIN(INDEX(CARDS!$H$5:$H$34,MATCH($D948,CARDS!$A$5:$A$34,0)),DAY(EOMONTH($B948,1)))))),""))</f>
        <v/>
      </c>
      <c r="AE948" s="52" t="str">
        <f>IF($C948="","",$C948&amp;"|"&amp;COUNTIF($C$5:$C948,$C948))</f>
        <v/>
      </c>
      <c r="AF948" s="53">
        <f>IF($AC948&gt;0,SUMIFS(Q$4:Q947,$D$4:$D947,$D948,$Z$4:$Z947,$Z948,$C$4:$C947,$C948),0)</f>
        <v>0</v>
      </c>
      <c r="AG948" s="53">
        <f>IF($AC948&gt;0,SUMIFS(Q$4:Q947,$D$4:$D947,$D948,$C$4:$C947,$C948),0)</f>
        <v>0</v>
      </c>
      <c r="AH948" s="53">
        <f>IF($AC948&gt;0,SUMIFS(M$4:M947,$D$4:$D947,$D948,$Z$4:$Z947,$Z948,$C$4:$C947,$C948),0)</f>
        <v>0</v>
      </c>
      <c r="AI948" s="43">
        <f>IF(OR($C948="",$I948=""),0,IF(COUNTIFS($C$5:$C948,$C948,$I$5:$I948,$I948)=1,1,0))</f>
        <v>0</v>
      </c>
      <c r="AJ948" s="43" t="str">
        <f>IF($AI948=1,SUMIFS($AI$4:$AI947,$C$4:$C947,$C948)+1,"")</f>
        <v/>
      </c>
      <c r="AK948" s="43">
        <f>IF(OR($C948="",$K948=""),0,IF(COUNTIFS($C$5:$C948,$C948,$K$5:$K948,$K948)=1,1,0))</f>
        <v>0</v>
      </c>
      <c r="AL948" s="43" t="str">
        <f>IF($AK948=1,SUMIFS($AK$4:$AK947,$C$4:$C947,$C948)+1,"")</f>
        <v/>
      </c>
      <c r="AM948" s="43">
        <f>IF(OR($C948="",$G948=""),0,IF(COUNTIFS($C$5:$C948,$C948,$G$5:$G948,$G948)=1,1,0))</f>
        <v>0</v>
      </c>
      <c r="AN948" s="43" t="str">
        <f>IF($AM948=1,SUMIFS($AM$4:$AM947,$C$4:$C947,$C948)+1,"")</f>
        <v/>
      </c>
    </row>
    <row r="949">
      <c r="A949" s="44" t="str">
        <f>IF(OR($B949="",$D949=""),"","TX"&amp;TEXT(ROW()-4,"0000"))</f>
        <v/>
      </c>
      <c r="B949" s="42" t="n"/>
      <c r="C949" s="47" t="str">
        <f>IF($B949="","",YEAR($B949)*100+MONTH($B949))</f>
        <v/>
      </c>
      <c r="D949" s="37" t="n"/>
      <c r="E949" s="45" t="str">
        <f>IF($D949="","",IFERROR(INDEX(CARDS!$B$5:$B$34,MATCH($D949,CARDS!$A$5:$A$34,0)),"⚠ Card ID?"))</f>
        <v/>
      </c>
      <c r="F949" s="45" t="str">
        <f>IF($D949="","",IFERROR(INDEX(CARDS!$C$5:$C$34,MATCH($D949,CARDS!$A$5:$A$34,0)),"⚠ Card ID?"))</f>
        <v/>
      </c>
      <c r="G949" s="37" t="n"/>
      <c r="H949" s="37" t="n"/>
      <c r="I949" s="41" t="n"/>
      <c r="J949" s="45" t="str">
        <f>IF($I949="","",IFERROR(INDEX(MCC_MASTER!$B$5:$B$504,MATCH($I949,MCC_MASTER!$A$5:$A$504,0)),"⚠ MCC chưa có"))</f>
        <v/>
      </c>
      <c r="K949" s="45" t="str">
        <f>IF($I949="","",IFERROR(IF(INDEX(MCC_MASTER!$C$5:$C$504,MATCH($I949,MCC_MASTER!$A$5:$A$504,0))="","Chưa phân loại",INDEX(MCC_MASTER!$C$5:$C$504,MATCH($I949,MCC_MASTER!$A$5:$A$504,0))),"Chưa phân loại"))</f>
        <v/>
      </c>
      <c r="L949" s="40" t="n"/>
      <c r="M949" s="48" t="str">
        <f>IF(OR($B949="",$D949=""),"",IF($AC949=0,0,IF(ISNUMBER(INDEX(CASHBACK_RULES!$L$5:$L$304,$AC949)),MAX(0,MIN($L949,INDEX(CASHBACK_RULES!$L$5:$L$304,$AC949)-$AH949)),MAX(0,$L949))))</f>
        <v/>
      </c>
      <c r="N949" s="49" t="str">
        <f>IF(OR($B949="",$D949=""),"",IF($AC949&gt;0,INDEX(CASHBACK_RULES!$I$5:$I$304,$AC949),0))</f>
        <v/>
      </c>
      <c r="O949" s="48" t="str">
        <f>IF(OR($B949="",$D949=""),"",ROUND($M949*$N949,0))</f>
        <v/>
      </c>
      <c r="P949" s="48" t="str">
        <f>IF($AC949&gt;0,IF(ISNUMBER(INDEX(CASHBACK_RULES!$J$5:$J$304,$AC949)),INDEX(CASHBACK_RULES!$J$5:$J$304,$AC949),"∞"),"")</f>
        <v/>
      </c>
      <c r="Q949" s="48" t="str">
        <f>IF(OR($B949="",$D949=""),"",IF($AC949=0,0,MAX(0,MIN($O949,IF(ISNUMBER($P949),$P949-$AF949,1E+15),IF(ISNUMBER($AA949),$AA949-$AG949,1E+15)))))</f>
        <v/>
      </c>
      <c r="R949" s="48" t="str">
        <f>IF(OR($B949="",$D949=""),"",IF($AC949=0,"",IF(AND(NOT(ISNUMBER($P949)),NOT(ISNUMBER($AA949))),"∞",MAX(0,MIN(IF(ISNUMBER($P949),$P949-$AF949-$Q949,1E+15),IF(ISNUMBER($AA949),$AA949-$AG949-$Q949,1E+15))))))</f>
        <v/>
      </c>
      <c r="S949" s="47" t="str">
        <f>IF($AD949="","",YEAR($AD949)*100+MONTH($AD949))</f>
        <v/>
      </c>
      <c r="T949" s="50" t="str">
        <f>IF($AD949="","",IFERROR(IF(INDEX(CARDS!$I$5:$I$34,MATCH($D949,CARDS!$A$5:$A$34,0))="","",IF(INDEX(CARDS!$I$5:$I$34,MATCH($D949,CARDS!$A$5:$A$34,0))&gt;INDEX(CARDS!$H$5:$H$34,MATCH($D949,CARDS!$A$5:$A$34,0)),DATE(YEAR($AD949),MONTH($AD949),MIN(INDEX(CARDS!$I$5:$I$34,MATCH($D949,CARDS!$A$5:$A$34,0)),DAY(EOMONTH($AD949,0)))),DATE(YEAR($AD949),MONTH($AD949)+1,MIN(INDEX(CARDS!$I$5:$I$34,MATCH($D949,CARDS!$A$5:$A$34,0)),DAY(EOMONTH($AD949,1)))))),""))</f>
        <v/>
      </c>
      <c r="U949" s="38" t="n"/>
      <c r="V949" s="37" t="n"/>
      <c r="W949" s="38" t="n"/>
      <c r="X949" s="38" t="n"/>
      <c r="Y949" s="44" t="str">
        <f>IF($AC949&gt;0,INDEX(CASHBACK_RULES!$A$5:$A$304,$AC949),"")</f>
        <v/>
      </c>
      <c r="Z949" s="45" t="str">
        <f>IF($AC949&gt;0,INDEX(CASHBACK_RULES!$E$5:$E$304,$AC949)&amp;"","")</f>
        <v/>
      </c>
      <c r="AA949" s="48" t="str">
        <f>IF($AC949&gt;0,IF(ISNUMBER(INDEX(CASHBACK_RULES!$K$5:$K$304,$AC949)),INDEX(CASHBACK_RULES!$K$5:$K$304,$AC949),"∞"),"")</f>
        <v/>
      </c>
      <c r="AB949" s="44" t="str">
        <f>IF(OR($B949="",$D949=""),"",IF($U949="Cancelled","Đã hủy",IF($AC949=0,"Không được hoàn",IF($Q949=0,IF(OR($O949&gt;0,$M949&lt;$L949),"Đã đạt cap","Không được hoàn"),IF(OR($Q949&lt;$O949,$M949&lt;$L949),"Hoàn một phần","Được hoàn")))))</f>
        <v/>
      </c>
      <c r="AC949" s="43">
        <f>IF(OR($B949="",$D949="",$I949="",$L949=""),0,IF($U949="Cancelled",0,IF($W949&lt;&gt;"",IFERROR(IF(INDEX(CASHBACK_RULES!$B$5:$B$304,MATCH($W949,CASHBACK_RULES!$A$5:$A$304,0))=$D949,MATCH($W949,CASHBACK_RULES!$A$5:$A$304,0),0),0),IFERROR(MATCH(1,INDEX((CASHBACK_RULES!$B$5:$B$304=$D949)*(CASHBACK_RULES!$G$5:$G$304=$I949)*(((CASHBACK_RULES!$N$5:$N$304="")+(CASHBACK_RULES!$N$5:$N$304&lt;=$B949))&gt;0)*(((CASHBACK_RULES!$O$5:$O$304="")+(CASHBACK_RULES!$O$5:$O$304&gt;=$B949))&gt;0)*(((CASHBACK_RULES!$M$5:$M$304="")+(CASHBACK_RULES!$M$5:$M$304&lt;=$L949))&gt;0),0),0),0))))</f>
        <v>0</v>
      </c>
      <c r="AD949" s="51" t="str">
        <f>IF(OR($B949="",$D949=""),"",IFERROR(IF(INDEX(CARDS!$H$5:$H$34,MATCH($D949,CARDS!$A$5:$A$34,0))="","",IF(DAY($B949)&lt;=INDEX(CARDS!$H$5:$H$34,MATCH($D949,CARDS!$A$5:$A$34,0)),DATE(YEAR($B949),MONTH($B949),MIN(INDEX(CARDS!$H$5:$H$34,MATCH($D949,CARDS!$A$5:$A$34,0)),DAY(EOMONTH($B949,0)))),DATE(YEAR($B949),MONTH($B949)+1,MIN(INDEX(CARDS!$H$5:$H$34,MATCH($D949,CARDS!$A$5:$A$34,0)),DAY(EOMONTH($B949,1)))))),""))</f>
        <v/>
      </c>
      <c r="AE949" s="52" t="str">
        <f>IF($C949="","",$C949&amp;"|"&amp;COUNTIF($C$5:$C949,$C949))</f>
        <v/>
      </c>
      <c r="AF949" s="53">
        <f>IF($AC949&gt;0,SUMIFS(Q$4:Q948,$D$4:$D948,$D949,$Z$4:$Z948,$Z949,$C$4:$C948,$C949),0)</f>
        <v>0</v>
      </c>
      <c r="AG949" s="53">
        <f>IF($AC949&gt;0,SUMIFS(Q$4:Q948,$D$4:$D948,$D949,$C$4:$C948,$C949),0)</f>
        <v>0</v>
      </c>
      <c r="AH949" s="53">
        <f>IF($AC949&gt;0,SUMIFS(M$4:M948,$D$4:$D948,$D949,$Z$4:$Z948,$Z949,$C$4:$C948,$C949),0)</f>
        <v>0</v>
      </c>
      <c r="AI949" s="43">
        <f>IF(OR($C949="",$I949=""),0,IF(COUNTIFS($C$5:$C949,$C949,$I$5:$I949,$I949)=1,1,0))</f>
        <v>0</v>
      </c>
      <c r="AJ949" s="43" t="str">
        <f>IF($AI949=1,SUMIFS($AI$4:$AI948,$C$4:$C948,$C949)+1,"")</f>
        <v/>
      </c>
      <c r="AK949" s="43">
        <f>IF(OR($C949="",$K949=""),0,IF(COUNTIFS($C$5:$C949,$C949,$K$5:$K949,$K949)=1,1,0))</f>
        <v>0</v>
      </c>
      <c r="AL949" s="43" t="str">
        <f>IF($AK949=1,SUMIFS($AK$4:$AK948,$C$4:$C948,$C949)+1,"")</f>
        <v/>
      </c>
      <c r="AM949" s="43">
        <f>IF(OR($C949="",$G949=""),0,IF(COUNTIFS($C$5:$C949,$C949,$G$5:$G949,$G949)=1,1,0))</f>
        <v>0</v>
      </c>
      <c r="AN949" s="43" t="str">
        <f>IF($AM949=1,SUMIFS($AM$4:$AM948,$C$4:$C948,$C949)+1,"")</f>
        <v/>
      </c>
    </row>
    <row r="950">
      <c r="A950" s="44" t="str">
        <f>IF(OR($B950="",$D950=""),"","TX"&amp;TEXT(ROW()-4,"0000"))</f>
        <v/>
      </c>
      <c r="B950" s="42" t="n"/>
      <c r="C950" s="47" t="str">
        <f>IF($B950="","",YEAR($B950)*100+MONTH($B950))</f>
        <v/>
      </c>
      <c r="D950" s="37" t="n"/>
      <c r="E950" s="45" t="str">
        <f>IF($D950="","",IFERROR(INDEX(CARDS!$B$5:$B$34,MATCH($D950,CARDS!$A$5:$A$34,0)),"⚠ Card ID?"))</f>
        <v/>
      </c>
      <c r="F950" s="45" t="str">
        <f>IF($D950="","",IFERROR(INDEX(CARDS!$C$5:$C$34,MATCH($D950,CARDS!$A$5:$A$34,0)),"⚠ Card ID?"))</f>
        <v/>
      </c>
      <c r="G950" s="37" t="n"/>
      <c r="H950" s="37" t="n"/>
      <c r="I950" s="41" t="n"/>
      <c r="J950" s="45" t="str">
        <f>IF($I950="","",IFERROR(INDEX(MCC_MASTER!$B$5:$B$504,MATCH($I950,MCC_MASTER!$A$5:$A$504,0)),"⚠ MCC chưa có"))</f>
        <v/>
      </c>
      <c r="K950" s="45" t="str">
        <f>IF($I950="","",IFERROR(IF(INDEX(MCC_MASTER!$C$5:$C$504,MATCH($I950,MCC_MASTER!$A$5:$A$504,0))="","Chưa phân loại",INDEX(MCC_MASTER!$C$5:$C$504,MATCH($I950,MCC_MASTER!$A$5:$A$504,0))),"Chưa phân loại"))</f>
        <v/>
      </c>
      <c r="L950" s="40" t="n"/>
      <c r="M950" s="48" t="str">
        <f>IF(OR($B950="",$D950=""),"",IF($AC950=0,0,IF(ISNUMBER(INDEX(CASHBACK_RULES!$L$5:$L$304,$AC950)),MAX(0,MIN($L950,INDEX(CASHBACK_RULES!$L$5:$L$304,$AC950)-$AH950)),MAX(0,$L950))))</f>
        <v/>
      </c>
      <c r="N950" s="49" t="str">
        <f>IF(OR($B950="",$D950=""),"",IF($AC950&gt;0,INDEX(CASHBACK_RULES!$I$5:$I$304,$AC950),0))</f>
        <v/>
      </c>
      <c r="O950" s="48" t="str">
        <f>IF(OR($B950="",$D950=""),"",ROUND($M950*$N950,0))</f>
        <v/>
      </c>
      <c r="P950" s="48" t="str">
        <f>IF($AC950&gt;0,IF(ISNUMBER(INDEX(CASHBACK_RULES!$J$5:$J$304,$AC950)),INDEX(CASHBACK_RULES!$J$5:$J$304,$AC950),"∞"),"")</f>
        <v/>
      </c>
      <c r="Q950" s="48" t="str">
        <f>IF(OR($B950="",$D950=""),"",IF($AC950=0,0,MAX(0,MIN($O950,IF(ISNUMBER($P950),$P950-$AF950,1E+15),IF(ISNUMBER($AA950),$AA950-$AG950,1E+15)))))</f>
        <v/>
      </c>
      <c r="R950" s="48" t="str">
        <f>IF(OR($B950="",$D950=""),"",IF($AC950=0,"",IF(AND(NOT(ISNUMBER($P950)),NOT(ISNUMBER($AA950))),"∞",MAX(0,MIN(IF(ISNUMBER($P950),$P950-$AF950-$Q950,1E+15),IF(ISNUMBER($AA950),$AA950-$AG950-$Q950,1E+15))))))</f>
        <v/>
      </c>
      <c r="S950" s="47" t="str">
        <f>IF($AD950="","",YEAR($AD950)*100+MONTH($AD950))</f>
        <v/>
      </c>
      <c r="T950" s="50" t="str">
        <f>IF($AD950="","",IFERROR(IF(INDEX(CARDS!$I$5:$I$34,MATCH($D950,CARDS!$A$5:$A$34,0))="","",IF(INDEX(CARDS!$I$5:$I$34,MATCH($D950,CARDS!$A$5:$A$34,0))&gt;INDEX(CARDS!$H$5:$H$34,MATCH($D950,CARDS!$A$5:$A$34,0)),DATE(YEAR($AD950),MONTH($AD950),MIN(INDEX(CARDS!$I$5:$I$34,MATCH($D950,CARDS!$A$5:$A$34,0)),DAY(EOMONTH($AD950,0)))),DATE(YEAR($AD950),MONTH($AD950)+1,MIN(INDEX(CARDS!$I$5:$I$34,MATCH($D950,CARDS!$A$5:$A$34,0)),DAY(EOMONTH($AD950,1)))))),""))</f>
        <v/>
      </c>
      <c r="U950" s="38" t="n"/>
      <c r="V950" s="37" t="n"/>
      <c r="W950" s="38" t="n"/>
      <c r="X950" s="38" t="n"/>
      <c r="Y950" s="44" t="str">
        <f>IF($AC950&gt;0,INDEX(CASHBACK_RULES!$A$5:$A$304,$AC950),"")</f>
        <v/>
      </c>
      <c r="Z950" s="45" t="str">
        <f>IF($AC950&gt;0,INDEX(CASHBACK_RULES!$E$5:$E$304,$AC950)&amp;"","")</f>
        <v/>
      </c>
      <c r="AA950" s="48" t="str">
        <f>IF($AC950&gt;0,IF(ISNUMBER(INDEX(CASHBACK_RULES!$K$5:$K$304,$AC950)),INDEX(CASHBACK_RULES!$K$5:$K$304,$AC950),"∞"),"")</f>
        <v/>
      </c>
      <c r="AB950" s="44" t="str">
        <f>IF(OR($B950="",$D950=""),"",IF($U950="Cancelled","Đã hủy",IF($AC950=0,"Không được hoàn",IF($Q950=0,IF(OR($O950&gt;0,$M950&lt;$L950),"Đã đạt cap","Không được hoàn"),IF(OR($Q950&lt;$O950,$M950&lt;$L950),"Hoàn một phần","Được hoàn")))))</f>
        <v/>
      </c>
      <c r="AC950" s="43">
        <f>IF(OR($B950="",$D950="",$I950="",$L950=""),0,IF($U950="Cancelled",0,IF($W950&lt;&gt;"",IFERROR(IF(INDEX(CASHBACK_RULES!$B$5:$B$304,MATCH($W950,CASHBACK_RULES!$A$5:$A$304,0))=$D950,MATCH($W950,CASHBACK_RULES!$A$5:$A$304,0),0),0),IFERROR(MATCH(1,INDEX((CASHBACK_RULES!$B$5:$B$304=$D950)*(CASHBACK_RULES!$G$5:$G$304=$I950)*(((CASHBACK_RULES!$N$5:$N$304="")+(CASHBACK_RULES!$N$5:$N$304&lt;=$B950))&gt;0)*(((CASHBACK_RULES!$O$5:$O$304="")+(CASHBACK_RULES!$O$5:$O$304&gt;=$B950))&gt;0)*(((CASHBACK_RULES!$M$5:$M$304="")+(CASHBACK_RULES!$M$5:$M$304&lt;=$L950))&gt;0),0),0),0))))</f>
        <v>0</v>
      </c>
      <c r="AD950" s="51" t="str">
        <f>IF(OR($B950="",$D950=""),"",IFERROR(IF(INDEX(CARDS!$H$5:$H$34,MATCH($D950,CARDS!$A$5:$A$34,0))="","",IF(DAY($B950)&lt;=INDEX(CARDS!$H$5:$H$34,MATCH($D950,CARDS!$A$5:$A$34,0)),DATE(YEAR($B950),MONTH($B950),MIN(INDEX(CARDS!$H$5:$H$34,MATCH($D950,CARDS!$A$5:$A$34,0)),DAY(EOMONTH($B950,0)))),DATE(YEAR($B950),MONTH($B950)+1,MIN(INDEX(CARDS!$H$5:$H$34,MATCH($D950,CARDS!$A$5:$A$34,0)),DAY(EOMONTH($B950,1)))))),""))</f>
        <v/>
      </c>
      <c r="AE950" s="52" t="str">
        <f>IF($C950="","",$C950&amp;"|"&amp;COUNTIF($C$5:$C950,$C950))</f>
        <v/>
      </c>
      <c r="AF950" s="53">
        <f>IF($AC950&gt;0,SUMIFS(Q$4:Q949,$D$4:$D949,$D950,$Z$4:$Z949,$Z950,$C$4:$C949,$C950),0)</f>
        <v>0</v>
      </c>
      <c r="AG950" s="53">
        <f>IF($AC950&gt;0,SUMIFS(Q$4:Q949,$D$4:$D949,$D950,$C$4:$C949,$C950),0)</f>
        <v>0</v>
      </c>
      <c r="AH950" s="53">
        <f>IF($AC950&gt;0,SUMIFS(M$4:M949,$D$4:$D949,$D950,$Z$4:$Z949,$Z950,$C$4:$C949,$C950),0)</f>
        <v>0</v>
      </c>
      <c r="AI950" s="43">
        <f>IF(OR($C950="",$I950=""),0,IF(COUNTIFS($C$5:$C950,$C950,$I$5:$I950,$I950)=1,1,0))</f>
        <v>0</v>
      </c>
      <c r="AJ950" s="43" t="str">
        <f>IF($AI950=1,SUMIFS($AI$4:$AI949,$C$4:$C949,$C950)+1,"")</f>
        <v/>
      </c>
      <c r="AK950" s="43">
        <f>IF(OR($C950="",$K950=""),0,IF(COUNTIFS($C$5:$C950,$C950,$K$5:$K950,$K950)=1,1,0))</f>
        <v>0</v>
      </c>
      <c r="AL950" s="43" t="str">
        <f>IF($AK950=1,SUMIFS($AK$4:$AK949,$C$4:$C949,$C950)+1,"")</f>
        <v/>
      </c>
      <c r="AM950" s="43">
        <f>IF(OR($C950="",$G950=""),0,IF(COUNTIFS($C$5:$C950,$C950,$G$5:$G950,$G950)=1,1,0))</f>
        <v>0</v>
      </c>
      <c r="AN950" s="43" t="str">
        <f>IF($AM950=1,SUMIFS($AM$4:$AM949,$C$4:$C949,$C950)+1,"")</f>
        <v/>
      </c>
    </row>
    <row r="951">
      <c r="A951" s="44" t="str">
        <f>IF(OR($B951="",$D951=""),"","TX"&amp;TEXT(ROW()-4,"0000"))</f>
        <v/>
      </c>
      <c r="B951" s="42" t="n"/>
      <c r="C951" s="47" t="str">
        <f>IF($B951="","",YEAR($B951)*100+MONTH($B951))</f>
        <v/>
      </c>
      <c r="D951" s="37" t="n"/>
      <c r="E951" s="45" t="str">
        <f>IF($D951="","",IFERROR(INDEX(CARDS!$B$5:$B$34,MATCH($D951,CARDS!$A$5:$A$34,0)),"⚠ Card ID?"))</f>
        <v/>
      </c>
      <c r="F951" s="45" t="str">
        <f>IF($D951="","",IFERROR(INDEX(CARDS!$C$5:$C$34,MATCH($D951,CARDS!$A$5:$A$34,0)),"⚠ Card ID?"))</f>
        <v/>
      </c>
      <c r="G951" s="37" t="n"/>
      <c r="H951" s="37" t="n"/>
      <c r="I951" s="41" t="n"/>
      <c r="J951" s="45" t="str">
        <f>IF($I951="","",IFERROR(INDEX(MCC_MASTER!$B$5:$B$504,MATCH($I951,MCC_MASTER!$A$5:$A$504,0)),"⚠ MCC chưa có"))</f>
        <v/>
      </c>
      <c r="K951" s="45" t="str">
        <f>IF($I951="","",IFERROR(IF(INDEX(MCC_MASTER!$C$5:$C$504,MATCH($I951,MCC_MASTER!$A$5:$A$504,0))="","Chưa phân loại",INDEX(MCC_MASTER!$C$5:$C$504,MATCH($I951,MCC_MASTER!$A$5:$A$504,0))),"Chưa phân loại"))</f>
        <v/>
      </c>
      <c r="L951" s="40" t="n"/>
      <c r="M951" s="48" t="str">
        <f>IF(OR($B951="",$D951=""),"",IF($AC951=0,0,IF(ISNUMBER(INDEX(CASHBACK_RULES!$L$5:$L$304,$AC951)),MAX(0,MIN($L951,INDEX(CASHBACK_RULES!$L$5:$L$304,$AC951)-$AH951)),MAX(0,$L951))))</f>
        <v/>
      </c>
      <c r="N951" s="49" t="str">
        <f>IF(OR($B951="",$D951=""),"",IF($AC951&gt;0,INDEX(CASHBACK_RULES!$I$5:$I$304,$AC951),0))</f>
        <v/>
      </c>
      <c r="O951" s="48" t="str">
        <f>IF(OR($B951="",$D951=""),"",ROUND($M951*$N951,0))</f>
        <v/>
      </c>
      <c r="P951" s="48" t="str">
        <f>IF($AC951&gt;0,IF(ISNUMBER(INDEX(CASHBACK_RULES!$J$5:$J$304,$AC951)),INDEX(CASHBACK_RULES!$J$5:$J$304,$AC951),"∞"),"")</f>
        <v/>
      </c>
      <c r="Q951" s="48" t="str">
        <f>IF(OR($B951="",$D951=""),"",IF($AC951=0,0,MAX(0,MIN($O951,IF(ISNUMBER($P951),$P951-$AF951,1E+15),IF(ISNUMBER($AA951),$AA951-$AG951,1E+15)))))</f>
        <v/>
      </c>
      <c r="R951" s="48" t="str">
        <f>IF(OR($B951="",$D951=""),"",IF($AC951=0,"",IF(AND(NOT(ISNUMBER($P951)),NOT(ISNUMBER($AA951))),"∞",MAX(0,MIN(IF(ISNUMBER($P951),$P951-$AF951-$Q951,1E+15),IF(ISNUMBER($AA951),$AA951-$AG951-$Q951,1E+15))))))</f>
        <v/>
      </c>
      <c r="S951" s="47" t="str">
        <f>IF($AD951="","",YEAR($AD951)*100+MONTH($AD951))</f>
        <v/>
      </c>
      <c r="T951" s="50" t="str">
        <f>IF($AD951="","",IFERROR(IF(INDEX(CARDS!$I$5:$I$34,MATCH($D951,CARDS!$A$5:$A$34,0))="","",IF(INDEX(CARDS!$I$5:$I$34,MATCH($D951,CARDS!$A$5:$A$34,0))&gt;INDEX(CARDS!$H$5:$H$34,MATCH($D951,CARDS!$A$5:$A$34,0)),DATE(YEAR($AD951),MONTH($AD951),MIN(INDEX(CARDS!$I$5:$I$34,MATCH($D951,CARDS!$A$5:$A$34,0)),DAY(EOMONTH($AD951,0)))),DATE(YEAR($AD951),MONTH($AD951)+1,MIN(INDEX(CARDS!$I$5:$I$34,MATCH($D951,CARDS!$A$5:$A$34,0)),DAY(EOMONTH($AD951,1)))))),""))</f>
        <v/>
      </c>
      <c r="U951" s="38" t="n"/>
      <c r="V951" s="37" t="n"/>
      <c r="W951" s="38" t="n"/>
      <c r="X951" s="38" t="n"/>
      <c r="Y951" s="44" t="str">
        <f>IF($AC951&gt;0,INDEX(CASHBACK_RULES!$A$5:$A$304,$AC951),"")</f>
        <v/>
      </c>
      <c r="Z951" s="45" t="str">
        <f>IF($AC951&gt;0,INDEX(CASHBACK_RULES!$E$5:$E$304,$AC951)&amp;"","")</f>
        <v/>
      </c>
      <c r="AA951" s="48" t="str">
        <f>IF($AC951&gt;0,IF(ISNUMBER(INDEX(CASHBACK_RULES!$K$5:$K$304,$AC951)),INDEX(CASHBACK_RULES!$K$5:$K$304,$AC951),"∞"),"")</f>
        <v/>
      </c>
      <c r="AB951" s="44" t="str">
        <f>IF(OR($B951="",$D951=""),"",IF($U951="Cancelled","Đã hủy",IF($AC951=0,"Không được hoàn",IF($Q951=0,IF(OR($O951&gt;0,$M951&lt;$L951),"Đã đạt cap","Không được hoàn"),IF(OR($Q951&lt;$O951,$M951&lt;$L951),"Hoàn một phần","Được hoàn")))))</f>
        <v/>
      </c>
      <c r="AC951" s="43">
        <f>IF(OR($B951="",$D951="",$I951="",$L951=""),0,IF($U951="Cancelled",0,IF($W951&lt;&gt;"",IFERROR(IF(INDEX(CASHBACK_RULES!$B$5:$B$304,MATCH($W951,CASHBACK_RULES!$A$5:$A$304,0))=$D951,MATCH($W951,CASHBACK_RULES!$A$5:$A$304,0),0),0),IFERROR(MATCH(1,INDEX((CASHBACK_RULES!$B$5:$B$304=$D951)*(CASHBACK_RULES!$G$5:$G$304=$I951)*(((CASHBACK_RULES!$N$5:$N$304="")+(CASHBACK_RULES!$N$5:$N$304&lt;=$B951))&gt;0)*(((CASHBACK_RULES!$O$5:$O$304="")+(CASHBACK_RULES!$O$5:$O$304&gt;=$B951))&gt;0)*(((CASHBACK_RULES!$M$5:$M$304="")+(CASHBACK_RULES!$M$5:$M$304&lt;=$L951))&gt;0),0),0),0))))</f>
        <v>0</v>
      </c>
      <c r="AD951" s="51" t="str">
        <f>IF(OR($B951="",$D951=""),"",IFERROR(IF(INDEX(CARDS!$H$5:$H$34,MATCH($D951,CARDS!$A$5:$A$34,0))="","",IF(DAY($B951)&lt;=INDEX(CARDS!$H$5:$H$34,MATCH($D951,CARDS!$A$5:$A$34,0)),DATE(YEAR($B951),MONTH($B951),MIN(INDEX(CARDS!$H$5:$H$34,MATCH($D951,CARDS!$A$5:$A$34,0)),DAY(EOMONTH($B951,0)))),DATE(YEAR($B951),MONTH($B951)+1,MIN(INDEX(CARDS!$H$5:$H$34,MATCH($D951,CARDS!$A$5:$A$34,0)),DAY(EOMONTH($B951,1)))))),""))</f>
        <v/>
      </c>
      <c r="AE951" s="52" t="str">
        <f>IF($C951="","",$C951&amp;"|"&amp;COUNTIF($C$5:$C951,$C951))</f>
        <v/>
      </c>
      <c r="AF951" s="53">
        <f>IF($AC951&gt;0,SUMIFS(Q$4:Q950,$D$4:$D950,$D951,$Z$4:$Z950,$Z951,$C$4:$C950,$C951),0)</f>
        <v>0</v>
      </c>
      <c r="AG951" s="53">
        <f>IF($AC951&gt;0,SUMIFS(Q$4:Q950,$D$4:$D950,$D951,$C$4:$C950,$C951),0)</f>
        <v>0</v>
      </c>
      <c r="AH951" s="53">
        <f>IF($AC951&gt;0,SUMIFS(M$4:M950,$D$4:$D950,$D951,$Z$4:$Z950,$Z951,$C$4:$C950,$C951),0)</f>
        <v>0</v>
      </c>
      <c r="AI951" s="43">
        <f>IF(OR($C951="",$I951=""),0,IF(COUNTIFS($C$5:$C951,$C951,$I$5:$I951,$I951)=1,1,0))</f>
        <v>0</v>
      </c>
      <c r="AJ951" s="43" t="str">
        <f>IF($AI951=1,SUMIFS($AI$4:$AI950,$C$4:$C950,$C951)+1,"")</f>
        <v/>
      </c>
      <c r="AK951" s="43">
        <f>IF(OR($C951="",$K951=""),0,IF(COUNTIFS($C$5:$C951,$C951,$K$5:$K951,$K951)=1,1,0))</f>
        <v>0</v>
      </c>
      <c r="AL951" s="43" t="str">
        <f>IF($AK951=1,SUMIFS($AK$4:$AK950,$C$4:$C950,$C951)+1,"")</f>
        <v/>
      </c>
      <c r="AM951" s="43">
        <f>IF(OR($C951="",$G951=""),0,IF(COUNTIFS($C$5:$C951,$C951,$G$5:$G951,$G951)=1,1,0))</f>
        <v>0</v>
      </c>
      <c r="AN951" s="43" t="str">
        <f>IF($AM951=1,SUMIFS($AM$4:$AM950,$C$4:$C950,$C951)+1,"")</f>
        <v/>
      </c>
    </row>
    <row r="952">
      <c r="A952" s="44" t="str">
        <f>IF(OR($B952="",$D952=""),"","TX"&amp;TEXT(ROW()-4,"0000"))</f>
        <v/>
      </c>
      <c r="B952" s="42" t="n"/>
      <c r="C952" s="47" t="str">
        <f>IF($B952="","",YEAR($B952)*100+MONTH($B952))</f>
        <v/>
      </c>
      <c r="D952" s="37" t="n"/>
      <c r="E952" s="45" t="str">
        <f>IF($D952="","",IFERROR(INDEX(CARDS!$B$5:$B$34,MATCH($D952,CARDS!$A$5:$A$34,0)),"⚠ Card ID?"))</f>
        <v/>
      </c>
      <c r="F952" s="45" t="str">
        <f>IF($D952="","",IFERROR(INDEX(CARDS!$C$5:$C$34,MATCH($D952,CARDS!$A$5:$A$34,0)),"⚠ Card ID?"))</f>
        <v/>
      </c>
      <c r="G952" s="37" t="n"/>
      <c r="H952" s="37" t="n"/>
      <c r="I952" s="41" t="n"/>
      <c r="J952" s="45" t="str">
        <f>IF($I952="","",IFERROR(INDEX(MCC_MASTER!$B$5:$B$504,MATCH($I952,MCC_MASTER!$A$5:$A$504,0)),"⚠ MCC chưa có"))</f>
        <v/>
      </c>
      <c r="K952" s="45" t="str">
        <f>IF($I952="","",IFERROR(IF(INDEX(MCC_MASTER!$C$5:$C$504,MATCH($I952,MCC_MASTER!$A$5:$A$504,0))="","Chưa phân loại",INDEX(MCC_MASTER!$C$5:$C$504,MATCH($I952,MCC_MASTER!$A$5:$A$504,0))),"Chưa phân loại"))</f>
        <v/>
      </c>
      <c r="L952" s="40" t="n"/>
      <c r="M952" s="48" t="str">
        <f>IF(OR($B952="",$D952=""),"",IF($AC952=0,0,IF(ISNUMBER(INDEX(CASHBACK_RULES!$L$5:$L$304,$AC952)),MAX(0,MIN($L952,INDEX(CASHBACK_RULES!$L$5:$L$304,$AC952)-$AH952)),MAX(0,$L952))))</f>
        <v/>
      </c>
      <c r="N952" s="49" t="str">
        <f>IF(OR($B952="",$D952=""),"",IF($AC952&gt;0,INDEX(CASHBACK_RULES!$I$5:$I$304,$AC952),0))</f>
        <v/>
      </c>
      <c r="O952" s="48" t="str">
        <f>IF(OR($B952="",$D952=""),"",ROUND($M952*$N952,0))</f>
        <v/>
      </c>
      <c r="P952" s="48" t="str">
        <f>IF($AC952&gt;0,IF(ISNUMBER(INDEX(CASHBACK_RULES!$J$5:$J$304,$AC952)),INDEX(CASHBACK_RULES!$J$5:$J$304,$AC952),"∞"),"")</f>
        <v/>
      </c>
      <c r="Q952" s="48" t="str">
        <f>IF(OR($B952="",$D952=""),"",IF($AC952=0,0,MAX(0,MIN($O952,IF(ISNUMBER($P952),$P952-$AF952,1E+15),IF(ISNUMBER($AA952),$AA952-$AG952,1E+15)))))</f>
        <v/>
      </c>
      <c r="R952" s="48" t="str">
        <f>IF(OR($B952="",$D952=""),"",IF($AC952=0,"",IF(AND(NOT(ISNUMBER($P952)),NOT(ISNUMBER($AA952))),"∞",MAX(0,MIN(IF(ISNUMBER($P952),$P952-$AF952-$Q952,1E+15),IF(ISNUMBER($AA952),$AA952-$AG952-$Q952,1E+15))))))</f>
        <v/>
      </c>
      <c r="S952" s="47" t="str">
        <f>IF($AD952="","",YEAR($AD952)*100+MONTH($AD952))</f>
        <v/>
      </c>
      <c r="T952" s="50" t="str">
        <f>IF($AD952="","",IFERROR(IF(INDEX(CARDS!$I$5:$I$34,MATCH($D952,CARDS!$A$5:$A$34,0))="","",IF(INDEX(CARDS!$I$5:$I$34,MATCH($D952,CARDS!$A$5:$A$34,0))&gt;INDEX(CARDS!$H$5:$H$34,MATCH($D952,CARDS!$A$5:$A$34,0)),DATE(YEAR($AD952),MONTH($AD952),MIN(INDEX(CARDS!$I$5:$I$34,MATCH($D952,CARDS!$A$5:$A$34,0)),DAY(EOMONTH($AD952,0)))),DATE(YEAR($AD952),MONTH($AD952)+1,MIN(INDEX(CARDS!$I$5:$I$34,MATCH($D952,CARDS!$A$5:$A$34,0)),DAY(EOMONTH($AD952,1)))))),""))</f>
        <v/>
      </c>
      <c r="U952" s="38" t="n"/>
      <c r="V952" s="37" t="n"/>
      <c r="W952" s="38" t="n"/>
      <c r="X952" s="38" t="n"/>
      <c r="Y952" s="44" t="str">
        <f>IF($AC952&gt;0,INDEX(CASHBACK_RULES!$A$5:$A$304,$AC952),"")</f>
        <v/>
      </c>
      <c r="Z952" s="45" t="str">
        <f>IF($AC952&gt;0,INDEX(CASHBACK_RULES!$E$5:$E$304,$AC952)&amp;"","")</f>
        <v/>
      </c>
      <c r="AA952" s="48" t="str">
        <f>IF($AC952&gt;0,IF(ISNUMBER(INDEX(CASHBACK_RULES!$K$5:$K$304,$AC952)),INDEX(CASHBACK_RULES!$K$5:$K$304,$AC952),"∞"),"")</f>
        <v/>
      </c>
      <c r="AB952" s="44" t="str">
        <f>IF(OR($B952="",$D952=""),"",IF($U952="Cancelled","Đã hủy",IF($AC952=0,"Không được hoàn",IF($Q952=0,IF(OR($O952&gt;0,$M952&lt;$L952),"Đã đạt cap","Không được hoàn"),IF(OR($Q952&lt;$O952,$M952&lt;$L952),"Hoàn một phần","Được hoàn")))))</f>
        <v/>
      </c>
      <c r="AC952" s="43">
        <f>IF(OR($B952="",$D952="",$I952="",$L952=""),0,IF($U952="Cancelled",0,IF($W952&lt;&gt;"",IFERROR(IF(INDEX(CASHBACK_RULES!$B$5:$B$304,MATCH($W952,CASHBACK_RULES!$A$5:$A$304,0))=$D952,MATCH($W952,CASHBACK_RULES!$A$5:$A$304,0),0),0),IFERROR(MATCH(1,INDEX((CASHBACK_RULES!$B$5:$B$304=$D952)*(CASHBACK_RULES!$G$5:$G$304=$I952)*(((CASHBACK_RULES!$N$5:$N$304="")+(CASHBACK_RULES!$N$5:$N$304&lt;=$B952))&gt;0)*(((CASHBACK_RULES!$O$5:$O$304="")+(CASHBACK_RULES!$O$5:$O$304&gt;=$B952))&gt;0)*(((CASHBACK_RULES!$M$5:$M$304="")+(CASHBACK_RULES!$M$5:$M$304&lt;=$L952))&gt;0),0),0),0))))</f>
        <v>0</v>
      </c>
      <c r="AD952" s="51" t="str">
        <f>IF(OR($B952="",$D952=""),"",IFERROR(IF(INDEX(CARDS!$H$5:$H$34,MATCH($D952,CARDS!$A$5:$A$34,0))="","",IF(DAY($B952)&lt;=INDEX(CARDS!$H$5:$H$34,MATCH($D952,CARDS!$A$5:$A$34,0)),DATE(YEAR($B952),MONTH($B952),MIN(INDEX(CARDS!$H$5:$H$34,MATCH($D952,CARDS!$A$5:$A$34,0)),DAY(EOMONTH($B952,0)))),DATE(YEAR($B952),MONTH($B952)+1,MIN(INDEX(CARDS!$H$5:$H$34,MATCH($D952,CARDS!$A$5:$A$34,0)),DAY(EOMONTH($B952,1)))))),""))</f>
        <v/>
      </c>
      <c r="AE952" s="52" t="str">
        <f>IF($C952="","",$C952&amp;"|"&amp;COUNTIF($C$5:$C952,$C952))</f>
        <v/>
      </c>
      <c r="AF952" s="53">
        <f>IF($AC952&gt;0,SUMIFS(Q$4:Q951,$D$4:$D951,$D952,$Z$4:$Z951,$Z952,$C$4:$C951,$C952),0)</f>
        <v>0</v>
      </c>
      <c r="AG952" s="53">
        <f>IF($AC952&gt;0,SUMIFS(Q$4:Q951,$D$4:$D951,$D952,$C$4:$C951,$C952),0)</f>
        <v>0</v>
      </c>
      <c r="AH952" s="53">
        <f>IF($AC952&gt;0,SUMIFS(M$4:M951,$D$4:$D951,$D952,$Z$4:$Z951,$Z952,$C$4:$C951,$C952),0)</f>
        <v>0</v>
      </c>
      <c r="AI952" s="43">
        <f>IF(OR($C952="",$I952=""),0,IF(COUNTIFS($C$5:$C952,$C952,$I$5:$I952,$I952)=1,1,0))</f>
        <v>0</v>
      </c>
      <c r="AJ952" s="43" t="str">
        <f>IF($AI952=1,SUMIFS($AI$4:$AI951,$C$4:$C951,$C952)+1,"")</f>
        <v/>
      </c>
      <c r="AK952" s="43">
        <f>IF(OR($C952="",$K952=""),0,IF(COUNTIFS($C$5:$C952,$C952,$K$5:$K952,$K952)=1,1,0))</f>
        <v>0</v>
      </c>
      <c r="AL952" s="43" t="str">
        <f>IF($AK952=1,SUMIFS($AK$4:$AK951,$C$4:$C951,$C952)+1,"")</f>
        <v/>
      </c>
      <c r="AM952" s="43">
        <f>IF(OR($C952="",$G952=""),0,IF(COUNTIFS($C$5:$C952,$C952,$G$5:$G952,$G952)=1,1,0))</f>
        <v>0</v>
      </c>
      <c r="AN952" s="43" t="str">
        <f>IF($AM952=1,SUMIFS($AM$4:$AM951,$C$4:$C951,$C952)+1,"")</f>
        <v/>
      </c>
    </row>
    <row r="953">
      <c r="A953" s="44" t="str">
        <f>IF(OR($B953="",$D953=""),"","TX"&amp;TEXT(ROW()-4,"0000"))</f>
        <v/>
      </c>
      <c r="B953" s="42" t="n"/>
      <c r="C953" s="47" t="str">
        <f>IF($B953="","",YEAR($B953)*100+MONTH($B953))</f>
        <v/>
      </c>
      <c r="D953" s="37" t="n"/>
      <c r="E953" s="45" t="str">
        <f>IF($D953="","",IFERROR(INDEX(CARDS!$B$5:$B$34,MATCH($D953,CARDS!$A$5:$A$34,0)),"⚠ Card ID?"))</f>
        <v/>
      </c>
      <c r="F953" s="45" t="str">
        <f>IF($D953="","",IFERROR(INDEX(CARDS!$C$5:$C$34,MATCH($D953,CARDS!$A$5:$A$34,0)),"⚠ Card ID?"))</f>
        <v/>
      </c>
      <c r="G953" s="37" t="n"/>
      <c r="H953" s="37" t="n"/>
      <c r="I953" s="41" t="n"/>
      <c r="J953" s="45" t="str">
        <f>IF($I953="","",IFERROR(INDEX(MCC_MASTER!$B$5:$B$504,MATCH($I953,MCC_MASTER!$A$5:$A$504,0)),"⚠ MCC chưa có"))</f>
        <v/>
      </c>
      <c r="K953" s="45" t="str">
        <f>IF($I953="","",IFERROR(IF(INDEX(MCC_MASTER!$C$5:$C$504,MATCH($I953,MCC_MASTER!$A$5:$A$504,0))="","Chưa phân loại",INDEX(MCC_MASTER!$C$5:$C$504,MATCH($I953,MCC_MASTER!$A$5:$A$504,0))),"Chưa phân loại"))</f>
        <v/>
      </c>
      <c r="L953" s="40" t="n"/>
      <c r="M953" s="48" t="str">
        <f>IF(OR($B953="",$D953=""),"",IF($AC953=0,0,IF(ISNUMBER(INDEX(CASHBACK_RULES!$L$5:$L$304,$AC953)),MAX(0,MIN($L953,INDEX(CASHBACK_RULES!$L$5:$L$304,$AC953)-$AH953)),MAX(0,$L953))))</f>
        <v/>
      </c>
      <c r="N953" s="49" t="str">
        <f>IF(OR($B953="",$D953=""),"",IF($AC953&gt;0,INDEX(CASHBACK_RULES!$I$5:$I$304,$AC953),0))</f>
        <v/>
      </c>
      <c r="O953" s="48" t="str">
        <f>IF(OR($B953="",$D953=""),"",ROUND($M953*$N953,0))</f>
        <v/>
      </c>
      <c r="P953" s="48" t="str">
        <f>IF($AC953&gt;0,IF(ISNUMBER(INDEX(CASHBACK_RULES!$J$5:$J$304,$AC953)),INDEX(CASHBACK_RULES!$J$5:$J$304,$AC953),"∞"),"")</f>
        <v/>
      </c>
      <c r="Q953" s="48" t="str">
        <f>IF(OR($B953="",$D953=""),"",IF($AC953=0,0,MAX(0,MIN($O953,IF(ISNUMBER($P953),$P953-$AF953,1E+15),IF(ISNUMBER($AA953),$AA953-$AG953,1E+15)))))</f>
        <v/>
      </c>
      <c r="R953" s="48" t="str">
        <f>IF(OR($B953="",$D953=""),"",IF($AC953=0,"",IF(AND(NOT(ISNUMBER($P953)),NOT(ISNUMBER($AA953))),"∞",MAX(0,MIN(IF(ISNUMBER($P953),$P953-$AF953-$Q953,1E+15),IF(ISNUMBER($AA953),$AA953-$AG953-$Q953,1E+15))))))</f>
        <v/>
      </c>
      <c r="S953" s="47" t="str">
        <f>IF($AD953="","",YEAR($AD953)*100+MONTH($AD953))</f>
        <v/>
      </c>
      <c r="T953" s="50" t="str">
        <f>IF($AD953="","",IFERROR(IF(INDEX(CARDS!$I$5:$I$34,MATCH($D953,CARDS!$A$5:$A$34,0))="","",IF(INDEX(CARDS!$I$5:$I$34,MATCH($D953,CARDS!$A$5:$A$34,0))&gt;INDEX(CARDS!$H$5:$H$34,MATCH($D953,CARDS!$A$5:$A$34,0)),DATE(YEAR($AD953),MONTH($AD953),MIN(INDEX(CARDS!$I$5:$I$34,MATCH($D953,CARDS!$A$5:$A$34,0)),DAY(EOMONTH($AD953,0)))),DATE(YEAR($AD953),MONTH($AD953)+1,MIN(INDEX(CARDS!$I$5:$I$34,MATCH($D953,CARDS!$A$5:$A$34,0)),DAY(EOMONTH($AD953,1)))))),""))</f>
        <v/>
      </c>
      <c r="U953" s="38" t="n"/>
      <c r="V953" s="37" t="n"/>
      <c r="W953" s="38" t="n"/>
      <c r="X953" s="38" t="n"/>
      <c r="Y953" s="44" t="str">
        <f>IF($AC953&gt;0,INDEX(CASHBACK_RULES!$A$5:$A$304,$AC953),"")</f>
        <v/>
      </c>
      <c r="Z953" s="45" t="str">
        <f>IF($AC953&gt;0,INDEX(CASHBACK_RULES!$E$5:$E$304,$AC953)&amp;"","")</f>
        <v/>
      </c>
      <c r="AA953" s="48" t="str">
        <f>IF($AC953&gt;0,IF(ISNUMBER(INDEX(CASHBACK_RULES!$K$5:$K$304,$AC953)),INDEX(CASHBACK_RULES!$K$5:$K$304,$AC953),"∞"),"")</f>
        <v/>
      </c>
      <c r="AB953" s="44" t="str">
        <f>IF(OR($B953="",$D953=""),"",IF($U953="Cancelled","Đã hủy",IF($AC953=0,"Không được hoàn",IF($Q953=0,IF(OR($O953&gt;0,$M953&lt;$L953),"Đã đạt cap","Không được hoàn"),IF(OR($Q953&lt;$O953,$M953&lt;$L953),"Hoàn một phần","Được hoàn")))))</f>
        <v/>
      </c>
      <c r="AC953" s="43">
        <f>IF(OR($B953="",$D953="",$I953="",$L953=""),0,IF($U953="Cancelled",0,IF($W953&lt;&gt;"",IFERROR(IF(INDEX(CASHBACK_RULES!$B$5:$B$304,MATCH($W953,CASHBACK_RULES!$A$5:$A$304,0))=$D953,MATCH($W953,CASHBACK_RULES!$A$5:$A$304,0),0),0),IFERROR(MATCH(1,INDEX((CASHBACK_RULES!$B$5:$B$304=$D953)*(CASHBACK_RULES!$G$5:$G$304=$I953)*(((CASHBACK_RULES!$N$5:$N$304="")+(CASHBACK_RULES!$N$5:$N$304&lt;=$B953))&gt;0)*(((CASHBACK_RULES!$O$5:$O$304="")+(CASHBACK_RULES!$O$5:$O$304&gt;=$B953))&gt;0)*(((CASHBACK_RULES!$M$5:$M$304="")+(CASHBACK_RULES!$M$5:$M$304&lt;=$L953))&gt;0),0),0),0))))</f>
        <v>0</v>
      </c>
      <c r="AD953" s="51" t="str">
        <f>IF(OR($B953="",$D953=""),"",IFERROR(IF(INDEX(CARDS!$H$5:$H$34,MATCH($D953,CARDS!$A$5:$A$34,0))="","",IF(DAY($B953)&lt;=INDEX(CARDS!$H$5:$H$34,MATCH($D953,CARDS!$A$5:$A$34,0)),DATE(YEAR($B953),MONTH($B953),MIN(INDEX(CARDS!$H$5:$H$34,MATCH($D953,CARDS!$A$5:$A$34,0)),DAY(EOMONTH($B953,0)))),DATE(YEAR($B953),MONTH($B953)+1,MIN(INDEX(CARDS!$H$5:$H$34,MATCH($D953,CARDS!$A$5:$A$34,0)),DAY(EOMONTH($B953,1)))))),""))</f>
        <v/>
      </c>
      <c r="AE953" s="52" t="str">
        <f>IF($C953="","",$C953&amp;"|"&amp;COUNTIF($C$5:$C953,$C953))</f>
        <v/>
      </c>
      <c r="AF953" s="53">
        <f>IF($AC953&gt;0,SUMIFS(Q$4:Q952,$D$4:$D952,$D953,$Z$4:$Z952,$Z953,$C$4:$C952,$C953),0)</f>
        <v>0</v>
      </c>
      <c r="AG953" s="53">
        <f>IF($AC953&gt;0,SUMIFS(Q$4:Q952,$D$4:$D952,$D953,$C$4:$C952,$C953),0)</f>
        <v>0</v>
      </c>
      <c r="AH953" s="53">
        <f>IF($AC953&gt;0,SUMIFS(M$4:M952,$D$4:$D952,$D953,$Z$4:$Z952,$Z953,$C$4:$C952,$C953),0)</f>
        <v>0</v>
      </c>
      <c r="AI953" s="43">
        <f>IF(OR($C953="",$I953=""),0,IF(COUNTIFS($C$5:$C953,$C953,$I$5:$I953,$I953)=1,1,0))</f>
        <v>0</v>
      </c>
      <c r="AJ953" s="43" t="str">
        <f>IF($AI953=1,SUMIFS($AI$4:$AI952,$C$4:$C952,$C953)+1,"")</f>
        <v/>
      </c>
      <c r="AK953" s="43">
        <f>IF(OR($C953="",$K953=""),0,IF(COUNTIFS($C$5:$C953,$C953,$K$5:$K953,$K953)=1,1,0))</f>
        <v>0</v>
      </c>
      <c r="AL953" s="43" t="str">
        <f>IF($AK953=1,SUMIFS($AK$4:$AK952,$C$4:$C952,$C953)+1,"")</f>
        <v/>
      </c>
      <c r="AM953" s="43">
        <f>IF(OR($C953="",$G953=""),0,IF(COUNTIFS($C$5:$C953,$C953,$G$5:$G953,$G953)=1,1,0))</f>
        <v>0</v>
      </c>
      <c r="AN953" s="43" t="str">
        <f>IF($AM953=1,SUMIFS($AM$4:$AM952,$C$4:$C952,$C953)+1,"")</f>
        <v/>
      </c>
    </row>
    <row r="954">
      <c r="A954" s="44" t="str">
        <f>IF(OR($B954="",$D954=""),"","TX"&amp;TEXT(ROW()-4,"0000"))</f>
        <v/>
      </c>
      <c r="B954" s="42" t="n"/>
      <c r="C954" s="47" t="str">
        <f>IF($B954="","",YEAR($B954)*100+MONTH($B954))</f>
        <v/>
      </c>
      <c r="D954" s="37" t="n"/>
      <c r="E954" s="45" t="str">
        <f>IF($D954="","",IFERROR(INDEX(CARDS!$B$5:$B$34,MATCH($D954,CARDS!$A$5:$A$34,0)),"⚠ Card ID?"))</f>
        <v/>
      </c>
      <c r="F954" s="45" t="str">
        <f>IF($D954="","",IFERROR(INDEX(CARDS!$C$5:$C$34,MATCH($D954,CARDS!$A$5:$A$34,0)),"⚠ Card ID?"))</f>
        <v/>
      </c>
      <c r="G954" s="37" t="n"/>
      <c r="H954" s="37" t="n"/>
      <c r="I954" s="41" t="n"/>
      <c r="J954" s="45" t="str">
        <f>IF($I954="","",IFERROR(INDEX(MCC_MASTER!$B$5:$B$504,MATCH($I954,MCC_MASTER!$A$5:$A$504,0)),"⚠ MCC chưa có"))</f>
        <v/>
      </c>
      <c r="K954" s="45" t="str">
        <f>IF($I954="","",IFERROR(IF(INDEX(MCC_MASTER!$C$5:$C$504,MATCH($I954,MCC_MASTER!$A$5:$A$504,0))="","Chưa phân loại",INDEX(MCC_MASTER!$C$5:$C$504,MATCH($I954,MCC_MASTER!$A$5:$A$504,0))),"Chưa phân loại"))</f>
        <v/>
      </c>
      <c r="L954" s="40" t="n"/>
      <c r="M954" s="48" t="str">
        <f>IF(OR($B954="",$D954=""),"",IF($AC954=0,0,IF(ISNUMBER(INDEX(CASHBACK_RULES!$L$5:$L$304,$AC954)),MAX(0,MIN($L954,INDEX(CASHBACK_RULES!$L$5:$L$304,$AC954)-$AH954)),MAX(0,$L954))))</f>
        <v/>
      </c>
      <c r="N954" s="49" t="str">
        <f>IF(OR($B954="",$D954=""),"",IF($AC954&gt;0,INDEX(CASHBACK_RULES!$I$5:$I$304,$AC954),0))</f>
        <v/>
      </c>
      <c r="O954" s="48" t="str">
        <f>IF(OR($B954="",$D954=""),"",ROUND($M954*$N954,0))</f>
        <v/>
      </c>
      <c r="P954" s="48" t="str">
        <f>IF($AC954&gt;0,IF(ISNUMBER(INDEX(CASHBACK_RULES!$J$5:$J$304,$AC954)),INDEX(CASHBACK_RULES!$J$5:$J$304,$AC954),"∞"),"")</f>
        <v/>
      </c>
      <c r="Q954" s="48" t="str">
        <f>IF(OR($B954="",$D954=""),"",IF($AC954=0,0,MAX(0,MIN($O954,IF(ISNUMBER($P954),$P954-$AF954,1E+15),IF(ISNUMBER($AA954),$AA954-$AG954,1E+15)))))</f>
        <v/>
      </c>
      <c r="R954" s="48" t="str">
        <f>IF(OR($B954="",$D954=""),"",IF($AC954=0,"",IF(AND(NOT(ISNUMBER($P954)),NOT(ISNUMBER($AA954))),"∞",MAX(0,MIN(IF(ISNUMBER($P954),$P954-$AF954-$Q954,1E+15),IF(ISNUMBER($AA954),$AA954-$AG954-$Q954,1E+15))))))</f>
        <v/>
      </c>
      <c r="S954" s="47" t="str">
        <f>IF($AD954="","",YEAR($AD954)*100+MONTH($AD954))</f>
        <v/>
      </c>
      <c r="T954" s="50" t="str">
        <f>IF($AD954="","",IFERROR(IF(INDEX(CARDS!$I$5:$I$34,MATCH($D954,CARDS!$A$5:$A$34,0))="","",IF(INDEX(CARDS!$I$5:$I$34,MATCH($D954,CARDS!$A$5:$A$34,0))&gt;INDEX(CARDS!$H$5:$H$34,MATCH($D954,CARDS!$A$5:$A$34,0)),DATE(YEAR($AD954),MONTH($AD954),MIN(INDEX(CARDS!$I$5:$I$34,MATCH($D954,CARDS!$A$5:$A$34,0)),DAY(EOMONTH($AD954,0)))),DATE(YEAR($AD954),MONTH($AD954)+1,MIN(INDEX(CARDS!$I$5:$I$34,MATCH($D954,CARDS!$A$5:$A$34,0)),DAY(EOMONTH($AD954,1)))))),""))</f>
        <v/>
      </c>
      <c r="U954" s="38" t="n"/>
      <c r="V954" s="37" t="n"/>
      <c r="W954" s="38" t="n"/>
      <c r="X954" s="38" t="n"/>
      <c r="Y954" s="44" t="str">
        <f>IF($AC954&gt;0,INDEX(CASHBACK_RULES!$A$5:$A$304,$AC954),"")</f>
        <v/>
      </c>
      <c r="Z954" s="45" t="str">
        <f>IF($AC954&gt;0,INDEX(CASHBACK_RULES!$E$5:$E$304,$AC954)&amp;"","")</f>
        <v/>
      </c>
      <c r="AA954" s="48" t="str">
        <f>IF($AC954&gt;0,IF(ISNUMBER(INDEX(CASHBACK_RULES!$K$5:$K$304,$AC954)),INDEX(CASHBACK_RULES!$K$5:$K$304,$AC954),"∞"),"")</f>
        <v/>
      </c>
      <c r="AB954" s="44" t="str">
        <f>IF(OR($B954="",$D954=""),"",IF($U954="Cancelled","Đã hủy",IF($AC954=0,"Không được hoàn",IF($Q954=0,IF(OR($O954&gt;0,$M954&lt;$L954),"Đã đạt cap","Không được hoàn"),IF(OR($Q954&lt;$O954,$M954&lt;$L954),"Hoàn một phần","Được hoàn")))))</f>
        <v/>
      </c>
      <c r="AC954" s="43">
        <f>IF(OR($B954="",$D954="",$I954="",$L954=""),0,IF($U954="Cancelled",0,IF($W954&lt;&gt;"",IFERROR(IF(INDEX(CASHBACK_RULES!$B$5:$B$304,MATCH($W954,CASHBACK_RULES!$A$5:$A$304,0))=$D954,MATCH($W954,CASHBACK_RULES!$A$5:$A$304,0),0),0),IFERROR(MATCH(1,INDEX((CASHBACK_RULES!$B$5:$B$304=$D954)*(CASHBACK_RULES!$G$5:$G$304=$I954)*(((CASHBACK_RULES!$N$5:$N$304="")+(CASHBACK_RULES!$N$5:$N$304&lt;=$B954))&gt;0)*(((CASHBACK_RULES!$O$5:$O$304="")+(CASHBACK_RULES!$O$5:$O$304&gt;=$B954))&gt;0)*(((CASHBACK_RULES!$M$5:$M$304="")+(CASHBACK_RULES!$M$5:$M$304&lt;=$L954))&gt;0),0),0),0))))</f>
        <v>0</v>
      </c>
      <c r="AD954" s="51" t="str">
        <f>IF(OR($B954="",$D954=""),"",IFERROR(IF(INDEX(CARDS!$H$5:$H$34,MATCH($D954,CARDS!$A$5:$A$34,0))="","",IF(DAY($B954)&lt;=INDEX(CARDS!$H$5:$H$34,MATCH($D954,CARDS!$A$5:$A$34,0)),DATE(YEAR($B954),MONTH($B954),MIN(INDEX(CARDS!$H$5:$H$34,MATCH($D954,CARDS!$A$5:$A$34,0)),DAY(EOMONTH($B954,0)))),DATE(YEAR($B954),MONTH($B954)+1,MIN(INDEX(CARDS!$H$5:$H$34,MATCH($D954,CARDS!$A$5:$A$34,0)),DAY(EOMONTH($B954,1)))))),""))</f>
        <v/>
      </c>
      <c r="AE954" s="52" t="str">
        <f>IF($C954="","",$C954&amp;"|"&amp;COUNTIF($C$5:$C954,$C954))</f>
        <v/>
      </c>
      <c r="AF954" s="53">
        <f>IF($AC954&gt;0,SUMIFS(Q$4:Q953,$D$4:$D953,$D954,$Z$4:$Z953,$Z954,$C$4:$C953,$C954),0)</f>
        <v>0</v>
      </c>
      <c r="AG954" s="53">
        <f>IF($AC954&gt;0,SUMIFS(Q$4:Q953,$D$4:$D953,$D954,$C$4:$C953,$C954),0)</f>
        <v>0</v>
      </c>
      <c r="AH954" s="53">
        <f>IF($AC954&gt;0,SUMIFS(M$4:M953,$D$4:$D953,$D954,$Z$4:$Z953,$Z954,$C$4:$C953,$C954),0)</f>
        <v>0</v>
      </c>
      <c r="AI954" s="43">
        <f>IF(OR($C954="",$I954=""),0,IF(COUNTIFS($C$5:$C954,$C954,$I$5:$I954,$I954)=1,1,0))</f>
        <v>0</v>
      </c>
      <c r="AJ954" s="43" t="str">
        <f>IF($AI954=1,SUMIFS($AI$4:$AI953,$C$4:$C953,$C954)+1,"")</f>
        <v/>
      </c>
      <c r="AK954" s="43">
        <f>IF(OR($C954="",$K954=""),0,IF(COUNTIFS($C$5:$C954,$C954,$K$5:$K954,$K954)=1,1,0))</f>
        <v>0</v>
      </c>
      <c r="AL954" s="43" t="str">
        <f>IF($AK954=1,SUMIFS($AK$4:$AK953,$C$4:$C953,$C954)+1,"")</f>
        <v/>
      </c>
      <c r="AM954" s="43">
        <f>IF(OR($C954="",$G954=""),0,IF(COUNTIFS($C$5:$C954,$C954,$G$5:$G954,$G954)=1,1,0))</f>
        <v>0</v>
      </c>
      <c r="AN954" s="43" t="str">
        <f>IF($AM954=1,SUMIFS($AM$4:$AM953,$C$4:$C953,$C954)+1,"")</f>
        <v/>
      </c>
    </row>
    <row r="955">
      <c r="A955" s="44" t="str">
        <f>IF(OR($B955="",$D955=""),"","TX"&amp;TEXT(ROW()-4,"0000"))</f>
        <v/>
      </c>
      <c r="B955" s="42" t="n"/>
      <c r="C955" s="47" t="str">
        <f>IF($B955="","",YEAR($B955)*100+MONTH($B955))</f>
        <v/>
      </c>
      <c r="D955" s="37" t="n"/>
      <c r="E955" s="45" t="str">
        <f>IF($D955="","",IFERROR(INDEX(CARDS!$B$5:$B$34,MATCH($D955,CARDS!$A$5:$A$34,0)),"⚠ Card ID?"))</f>
        <v/>
      </c>
      <c r="F955" s="45" t="str">
        <f>IF($D955="","",IFERROR(INDEX(CARDS!$C$5:$C$34,MATCH($D955,CARDS!$A$5:$A$34,0)),"⚠ Card ID?"))</f>
        <v/>
      </c>
      <c r="G955" s="37" t="n"/>
      <c r="H955" s="37" t="n"/>
      <c r="I955" s="41" t="n"/>
      <c r="J955" s="45" t="str">
        <f>IF($I955="","",IFERROR(INDEX(MCC_MASTER!$B$5:$B$504,MATCH($I955,MCC_MASTER!$A$5:$A$504,0)),"⚠ MCC chưa có"))</f>
        <v/>
      </c>
      <c r="K955" s="45" t="str">
        <f>IF($I955="","",IFERROR(IF(INDEX(MCC_MASTER!$C$5:$C$504,MATCH($I955,MCC_MASTER!$A$5:$A$504,0))="","Chưa phân loại",INDEX(MCC_MASTER!$C$5:$C$504,MATCH($I955,MCC_MASTER!$A$5:$A$504,0))),"Chưa phân loại"))</f>
        <v/>
      </c>
      <c r="L955" s="40" t="n"/>
      <c r="M955" s="48" t="str">
        <f>IF(OR($B955="",$D955=""),"",IF($AC955=0,0,IF(ISNUMBER(INDEX(CASHBACK_RULES!$L$5:$L$304,$AC955)),MAX(0,MIN($L955,INDEX(CASHBACK_RULES!$L$5:$L$304,$AC955)-$AH955)),MAX(0,$L955))))</f>
        <v/>
      </c>
      <c r="N955" s="49" t="str">
        <f>IF(OR($B955="",$D955=""),"",IF($AC955&gt;0,INDEX(CASHBACK_RULES!$I$5:$I$304,$AC955),0))</f>
        <v/>
      </c>
      <c r="O955" s="48" t="str">
        <f>IF(OR($B955="",$D955=""),"",ROUND($M955*$N955,0))</f>
        <v/>
      </c>
      <c r="P955" s="48" t="str">
        <f>IF($AC955&gt;0,IF(ISNUMBER(INDEX(CASHBACK_RULES!$J$5:$J$304,$AC955)),INDEX(CASHBACK_RULES!$J$5:$J$304,$AC955),"∞"),"")</f>
        <v/>
      </c>
      <c r="Q955" s="48" t="str">
        <f>IF(OR($B955="",$D955=""),"",IF($AC955=0,0,MAX(0,MIN($O955,IF(ISNUMBER($P955),$P955-$AF955,1E+15),IF(ISNUMBER($AA955),$AA955-$AG955,1E+15)))))</f>
        <v/>
      </c>
      <c r="R955" s="48" t="str">
        <f>IF(OR($B955="",$D955=""),"",IF($AC955=0,"",IF(AND(NOT(ISNUMBER($P955)),NOT(ISNUMBER($AA955))),"∞",MAX(0,MIN(IF(ISNUMBER($P955),$P955-$AF955-$Q955,1E+15),IF(ISNUMBER($AA955),$AA955-$AG955-$Q955,1E+15))))))</f>
        <v/>
      </c>
      <c r="S955" s="47" t="str">
        <f>IF($AD955="","",YEAR($AD955)*100+MONTH($AD955))</f>
        <v/>
      </c>
      <c r="T955" s="50" t="str">
        <f>IF($AD955="","",IFERROR(IF(INDEX(CARDS!$I$5:$I$34,MATCH($D955,CARDS!$A$5:$A$34,0))="","",IF(INDEX(CARDS!$I$5:$I$34,MATCH($D955,CARDS!$A$5:$A$34,0))&gt;INDEX(CARDS!$H$5:$H$34,MATCH($D955,CARDS!$A$5:$A$34,0)),DATE(YEAR($AD955),MONTH($AD955),MIN(INDEX(CARDS!$I$5:$I$34,MATCH($D955,CARDS!$A$5:$A$34,0)),DAY(EOMONTH($AD955,0)))),DATE(YEAR($AD955),MONTH($AD955)+1,MIN(INDEX(CARDS!$I$5:$I$34,MATCH($D955,CARDS!$A$5:$A$34,0)),DAY(EOMONTH($AD955,1)))))),""))</f>
        <v/>
      </c>
      <c r="U955" s="38" t="n"/>
      <c r="V955" s="37" t="n"/>
      <c r="W955" s="38" t="n"/>
      <c r="X955" s="38" t="n"/>
      <c r="Y955" s="44" t="str">
        <f>IF($AC955&gt;0,INDEX(CASHBACK_RULES!$A$5:$A$304,$AC955),"")</f>
        <v/>
      </c>
      <c r="Z955" s="45" t="str">
        <f>IF($AC955&gt;0,INDEX(CASHBACK_RULES!$E$5:$E$304,$AC955)&amp;"","")</f>
        <v/>
      </c>
      <c r="AA955" s="48" t="str">
        <f>IF($AC955&gt;0,IF(ISNUMBER(INDEX(CASHBACK_RULES!$K$5:$K$304,$AC955)),INDEX(CASHBACK_RULES!$K$5:$K$304,$AC955),"∞"),"")</f>
        <v/>
      </c>
      <c r="AB955" s="44" t="str">
        <f>IF(OR($B955="",$D955=""),"",IF($U955="Cancelled","Đã hủy",IF($AC955=0,"Không được hoàn",IF($Q955=0,IF(OR($O955&gt;0,$M955&lt;$L955),"Đã đạt cap","Không được hoàn"),IF(OR($Q955&lt;$O955,$M955&lt;$L955),"Hoàn một phần","Được hoàn")))))</f>
        <v/>
      </c>
      <c r="AC955" s="43">
        <f>IF(OR($B955="",$D955="",$I955="",$L955=""),0,IF($U955="Cancelled",0,IF($W955&lt;&gt;"",IFERROR(IF(INDEX(CASHBACK_RULES!$B$5:$B$304,MATCH($W955,CASHBACK_RULES!$A$5:$A$304,0))=$D955,MATCH($W955,CASHBACK_RULES!$A$5:$A$304,0),0),0),IFERROR(MATCH(1,INDEX((CASHBACK_RULES!$B$5:$B$304=$D955)*(CASHBACK_RULES!$G$5:$G$304=$I955)*(((CASHBACK_RULES!$N$5:$N$304="")+(CASHBACK_RULES!$N$5:$N$304&lt;=$B955))&gt;0)*(((CASHBACK_RULES!$O$5:$O$304="")+(CASHBACK_RULES!$O$5:$O$304&gt;=$B955))&gt;0)*(((CASHBACK_RULES!$M$5:$M$304="")+(CASHBACK_RULES!$M$5:$M$304&lt;=$L955))&gt;0),0),0),0))))</f>
        <v>0</v>
      </c>
      <c r="AD955" s="51" t="str">
        <f>IF(OR($B955="",$D955=""),"",IFERROR(IF(INDEX(CARDS!$H$5:$H$34,MATCH($D955,CARDS!$A$5:$A$34,0))="","",IF(DAY($B955)&lt;=INDEX(CARDS!$H$5:$H$34,MATCH($D955,CARDS!$A$5:$A$34,0)),DATE(YEAR($B955),MONTH($B955),MIN(INDEX(CARDS!$H$5:$H$34,MATCH($D955,CARDS!$A$5:$A$34,0)),DAY(EOMONTH($B955,0)))),DATE(YEAR($B955),MONTH($B955)+1,MIN(INDEX(CARDS!$H$5:$H$34,MATCH($D955,CARDS!$A$5:$A$34,0)),DAY(EOMONTH($B955,1)))))),""))</f>
        <v/>
      </c>
      <c r="AE955" s="52" t="str">
        <f>IF($C955="","",$C955&amp;"|"&amp;COUNTIF($C$5:$C955,$C955))</f>
        <v/>
      </c>
      <c r="AF955" s="53">
        <f>IF($AC955&gt;0,SUMIFS(Q$4:Q954,$D$4:$D954,$D955,$Z$4:$Z954,$Z955,$C$4:$C954,$C955),0)</f>
        <v>0</v>
      </c>
      <c r="AG955" s="53">
        <f>IF($AC955&gt;0,SUMIFS(Q$4:Q954,$D$4:$D954,$D955,$C$4:$C954,$C955),0)</f>
        <v>0</v>
      </c>
      <c r="AH955" s="53">
        <f>IF($AC955&gt;0,SUMIFS(M$4:M954,$D$4:$D954,$D955,$Z$4:$Z954,$Z955,$C$4:$C954,$C955),0)</f>
        <v>0</v>
      </c>
      <c r="AI955" s="43">
        <f>IF(OR($C955="",$I955=""),0,IF(COUNTIFS($C$5:$C955,$C955,$I$5:$I955,$I955)=1,1,0))</f>
        <v>0</v>
      </c>
      <c r="AJ955" s="43" t="str">
        <f>IF($AI955=1,SUMIFS($AI$4:$AI954,$C$4:$C954,$C955)+1,"")</f>
        <v/>
      </c>
      <c r="AK955" s="43">
        <f>IF(OR($C955="",$K955=""),0,IF(COUNTIFS($C$5:$C955,$C955,$K$5:$K955,$K955)=1,1,0))</f>
        <v>0</v>
      </c>
      <c r="AL955" s="43" t="str">
        <f>IF($AK955=1,SUMIFS($AK$4:$AK954,$C$4:$C954,$C955)+1,"")</f>
        <v/>
      </c>
      <c r="AM955" s="43">
        <f>IF(OR($C955="",$G955=""),0,IF(COUNTIFS($C$5:$C955,$C955,$G$5:$G955,$G955)=1,1,0))</f>
        <v>0</v>
      </c>
      <c r="AN955" s="43" t="str">
        <f>IF($AM955=1,SUMIFS($AM$4:$AM954,$C$4:$C954,$C955)+1,"")</f>
        <v/>
      </c>
    </row>
    <row r="956">
      <c r="A956" s="44" t="str">
        <f>IF(OR($B956="",$D956=""),"","TX"&amp;TEXT(ROW()-4,"0000"))</f>
        <v/>
      </c>
      <c r="B956" s="42" t="n"/>
      <c r="C956" s="47" t="str">
        <f>IF($B956="","",YEAR($B956)*100+MONTH($B956))</f>
        <v/>
      </c>
      <c r="D956" s="37" t="n"/>
      <c r="E956" s="45" t="str">
        <f>IF($D956="","",IFERROR(INDEX(CARDS!$B$5:$B$34,MATCH($D956,CARDS!$A$5:$A$34,0)),"⚠ Card ID?"))</f>
        <v/>
      </c>
      <c r="F956" s="45" t="str">
        <f>IF($D956="","",IFERROR(INDEX(CARDS!$C$5:$C$34,MATCH($D956,CARDS!$A$5:$A$34,0)),"⚠ Card ID?"))</f>
        <v/>
      </c>
      <c r="G956" s="37" t="n"/>
      <c r="H956" s="37" t="n"/>
      <c r="I956" s="41" t="n"/>
      <c r="J956" s="45" t="str">
        <f>IF($I956="","",IFERROR(INDEX(MCC_MASTER!$B$5:$B$504,MATCH($I956,MCC_MASTER!$A$5:$A$504,0)),"⚠ MCC chưa có"))</f>
        <v/>
      </c>
      <c r="K956" s="45" t="str">
        <f>IF($I956="","",IFERROR(IF(INDEX(MCC_MASTER!$C$5:$C$504,MATCH($I956,MCC_MASTER!$A$5:$A$504,0))="","Chưa phân loại",INDEX(MCC_MASTER!$C$5:$C$504,MATCH($I956,MCC_MASTER!$A$5:$A$504,0))),"Chưa phân loại"))</f>
        <v/>
      </c>
      <c r="L956" s="40" t="n"/>
      <c r="M956" s="48" t="str">
        <f>IF(OR($B956="",$D956=""),"",IF($AC956=0,0,IF(ISNUMBER(INDEX(CASHBACK_RULES!$L$5:$L$304,$AC956)),MAX(0,MIN($L956,INDEX(CASHBACK_RULES!$L$5:$L$304,$AC956)-$AH956)),MAX(0,$L956))))</f>
        <v/>
      </c>
      <c r="N956" s="49" t="str">
        <f>IF(OR($B956="",$D956=""),"",IF($AC956&gt;0,INDEX(CASHBACK_RULES!$I$5:$I$304,$AC956),0))</f>
        <v/>
      </c>
      <c r="O956" s="48" t="str">
        <f>IF(OR($B956="",$D956=""),"",ROUND($M956*$N956,0))</f>
        <v/>
      </c>
      <c r="P956" s="48" t="str">
        <f>IF($AC956&gt;0,IF(ISNUMBER(INDEX(CASHBACK_RULES!$J$5:$J$304,$AC956)),INDEX(CASHBACK_RULES!$J$5:$J$304,$AC956),"∞"),"")</f>
        <v/>
      </c>
      <c r="Q956" s="48" t="str">
        <f>IF(OR($B956="",$D956=""),"",IF($AC956=0,0,MAX(0,MIN($O956,IF(ISNUMBER($P956),$P956-$AF956,1E+15),IF(ISNUMBER($AA956),$AA956-$AG956,1E+15)))))</f>
        <v/>
      </c>
      <c r="R956" s="48" t="str">
        <f>IF(OR($B956="",$D956=""),"",IF($AC956=0,"",IF(AND(NOT(ISNUMBER($P956)),NOT(ISNUMBER($AA956))),"∞",MAX(0,MIN(IF(ISNUMBER($P956),$P956-$AF956-$Q956,1E+15),IF(ISNUMBER($AA956),$AA956-$AG956-$Q956,1E+15))))))</f>
        <v/>
      </c>
      <c r="S956" s="47" t="str">
        <f>IF($AD956="","",YEAR($AD956)*100+MONTH($AD956))</f>
        <v/>
      </c>
      <c r="T956" s="50" t="str">
        <f>IF($AD956="","",IFERROR(IF(INDEX(CARDS!$I$5:$I$34,MATCH($D956,CARDS!$A$5:$A$34,0))="","",IF(INDEX(CARDS!$I$5:$I$34,MATCH($D956,CARDS!$A$5:$A$34,0))&gt;INDEX(CARDS!$H$5:$H$34,MATCH($D956,CARDS!$A$5:$A$34,0)),DATE(YEAR($AD956),MONTH($AD956),MIN(INDEX(CARDS!$I$5:$I$34,MATCH($D956,CARDS!$A$5:$A$34,0)),DAY(EOMONTH($AD956,0)))),DATE(YEAR($AD956),MONTH($AD956)+1,MIN(INDEX(CARDS!$I$5:$I$34,MATCH($D956,CARDS!$A$5:$A$34,0)),DAY(EOMONTH($AD956,1)))))),""))</f>
        <v/>
      </c>
      <c r="U956" s="38" t="n"/>
      <c r="V956" s="37" t="n"/>
      <c r="W956" s="38" t="n"/>
      <c r="X956" s="38" t="n"/>
      <c r="Y956" s="44" t="str">
        <f>IF($AC956&gt;0,INDEX(CASHBACK_RULES!$A$5:$A$304,$AC956),"")</f>
        <v/>
      </c>
      <c r="Z956" s="45" t="str">
        <f>IF($AC956&gt;0,INDEX(CASHBACK_RULES!$E$5:$E$304,$AC956)&amp;"","")</f>
        <v/>
      </c>
      <c r="AA956" s="48" t="str">
        <f>IF($AC956&gt;0,IF(ISNUMBER(INDEX(CASHBACK_RULES!$K$5:$K$304,$AC956)),INDEX(CASHBACK_RULES!$K$5:$K$304,$AC956),"∞"),"")</f>
        <v/>
      </c>
      <c r="AB956" s="44" t="str">
        <f>IF(OR($B956="",$D956=""),"",IF($U956="Cancelled","Đã hủy",IF($AC956=0,"Không được hoàn",IF($Q956=0,IF(OR($O956&gt;0,$M956&lt;$L956),"Đã đạt cap","Không được hoàn"),IF(OR($Q956&lt;$O956,$M956&lt;$L956),"Hoàn một phần","Được hoàn")))))</f>
        <v/>
      </c>
      <c r="AC956" s="43">
        <f>IF(OR($B956="",$D956="",$I956="",$L956=""),0,IF($U956="Cancelled",0,IF($W956&lt;&gt;"",IFERROR(IF(INDEX(CASHBACK_RULES!$B$5:$B$304,MATCH($W956,CASHBACK_RULES!$A$5:$A$304,0))=$D956,MATCH($W956,CASHBACK_RULES!$A$5:$A$304,0),0),0),IFERROR(MATCH(1,INDEX((CASHBACK_RULES!$B$5:$B$304=$D956)*(CASHBACK_RULES!$G$5:$G$304=$I956)*(((CASHBACK_RULES!$N$5:$N$304="")+(CASHBACK_RULES!$N$5:$N$304&lt;=$B956))&gt;0)*(((CASHBACK_RULES!$O$5:$O$304="")+(CASHBACK_RULES!$O$5:$O$304&gt;=$B956))&gt;0)*(((CASHBACK_RULES!$M$5:$M$304="")+(CASHBACK_RULES!$M$5:$M$304&lt;=$L956))&gt;0),0),0),0))))</f>
        <v>0</v>
      </c>
      <c r="AD956" s="51" t="str">
        <f>IF(OR($B956="",$D956=""),"",IFERROR(IF(INDEX(CARDS!$H$5:$H$34,MATCH($D956,CARDS!$A$5:$A$34,0))="","",IF(DAY($B956)&lt;=INDEX(CARDS!$H$5:$H$34,MATCH($D956,CARDS!$A$5:$A$34,0)),DATE(YEAR($B956),MONTH($B956),MIN(INDEX(CARDS!$H$5:$H$34,MATCH($D956,CARDS!$A$5:$A$34,0)),DAY(EOMONTH($B956,0)))),DATE(YEAR($B956),MONTH($B956)+1,MIN(INDEX(CARDS!$H$5:$H$34,MATCH($D956,CARDS!$A$5:$A$34,0)),DAY(EOMONTH($B956,1)))))),""))</f>
        <v/>
      </c>
      <c r="AE956" s="52" t="str">
        <f>IF($C956="","",$C956&amp;"|"&amp;COUNTIF($C$5:$C956,$C956))</f>
        <v/>
      </c>
      <c r="AF956" s="53">
        <f>IF($AC956&gt;0,SUMIFS(Q$4:Q955,$D$4:$D955,$D956,$Z$4:$Z955,$Z956,$C$4:$C955,$C956),0)</f>
        <v>0</v>
      </c>
      <c r="AG956" s="53">
        <f>IF($AC956&gt;0,SUMIFS(Q$4:Q955,$D$4:$D955,$D956,$C$4:$C955,$C956),0)</f>
        <v>0</v>
      </c>
      <c r="AH956" s="53">
        <f>IF($AC956&gt;0,SUMIFS(M$4:M955,$D$4:$D955,$D956,$Z$4:$Z955,$Z956,$C$4:$C955,$C956),0)</f>
        <v>0</v>
      </c>
      <c r="AI956" s="43">
        <f>IF(OR($C956="",$I956=""),0,IF(COUNTIFS($C$5:$C956,$C956,$I$5:$I956,$I956)=1,1,0))</f>
        <v>0</v>
      </c>
      <c r="AJ956" s="43" t="str">
        <f>IF($AI956=1,SUMIFS($AI$4:$AI955,$C$4:$C955,$C956)+1,"")</f>
        <v/>
      </c>
      <c r="AK956" s="43">
        <f>IF(OR($C956="",$K956=""),0,IF(COUNTIFS($C$5:$C956,$C956,$K$5:$K956,$K956)=1,1,0))</f>
        <v>0</v>
      </c>
      <c r="AL956" s="43" t="str">
        <f>IF($AK956=1,SUMIFS($AK$4:$AK955,$C$4:$C955,$C956)+1,"")</f>
        <v/>
      </c>
      <c r="AM956" s="43">
        <f>IF(OR($C956="",$G956=""),0,IF(COUNTIFS($C$5:$C956,$C956,$G$5:$G956,$G956)=1,1,0))</f>
        <v>0</v>
      </c>
      <c r="AN956" s="43" t="str">
        <f>IF($AM956=1,SUMIFS($AM$4:$AM955,$C$4:$C955,$C956)+1,"")</f>
        <v/>
      </c>
    </row>
    <row r="957">
      <c r="A957" s="44" t="str">
        <f>IF(OR($B957="",$D957=""),"","TX"&amp;TEXT(ROW()-4,"0000"))</f>
        <v/>
      </c>
      <c r="B957" s="42" t="n"/>
      <c r="C957" s="47" t="str">
        <f>IF($B957="","",YEAR($B957)*100+MONTH($B957))</f>
        <v/>
      </c>
      <c r="D957" s="37" t="n"/>
      <c r="E957" s="45" t="str">
        <f>IF($D957="","",IFERROR(INDEX(CARDS!$B$5:$B$34,MATCH($D957,CARDS!$A$5:$A$34,0)),"⚠ Card ID?"))</f>
        <v/>
      </c>
      <c r="F957" s="45" t="str">
        <f>IF($D957="","",IFERROR(INDEX(CARDS!$C$5:$C$34,MATCH($D957,CARDS!$A$5:$A$34,0)),"⚠ Card ID?"))</f>
        <v/>
      </c>
      <c r="G957" s="37" t="n"/>
      <c r="H957" s="37" t="n"/>
      <c r="I957" s="41" t="n"/>
      <c r="J957" s="45" t="str">
        <f>IF($I957="","",IFERROR(INDEX(MCC_MASTER!$B$5:$B$504,MATCH($I957,MCC_MASTER!$A$5:$A$504,0)),"⚠ MCC chưa có"))</f>
        <v/>
      </c>
      <c r="K957" s="45" t="str">
        <f>IF($I957="","",IFERROR(IF(INDEX(MCC_MASTER!$C$5:$C$504,MATCH($I957,MCC_MASTER!$A$5:$A$504,0))="","Chưa phân loại",INDEX(MCC_MASTER!$C$5:$C$504,MATCH($I957,MCC_MASTER!$A$5:$A$504,0))),"Chưa phân loại"))</f>
        <v/>
      </c>
      <c r="L957" s="40" t="n"/>
      <c r="M957" s="48" t="str">
        <f>IF(OR($B957="",$D957=""),"",IF($AC957=0,0,IF(ISNUMBER(INDEX(CASHBACK_RULES!$L$5:$L$304,$AC957)),MAX(0,MIN($L957,INDEX(CASHBACK_RULES!$L$5:$L$304,$AC957)-$AH957)),MAX(0,$L957))))</f>
        <v/>
      </c>
      <c r="N957" s="49" t="str">
        <f>IF(OR($B957="",$D957=""),"",IF($AC957&gt;0,INDEX(CASHBACK_RULES!$I$5:$I$304,$AC957),0))</f>
        <v/>
      </c>
      <c r="O957" s="48" t="str">
        <f>IF(OR($B957="",$D957=""),"",ROUND($M957*$N957,0))</f>
        <v/>
      </c>
      <c r="P957" s="48" t="str">
        <f>IF($AC957&gt;0,IF(ISNUMBER(INDEX(CASHBACK_RULES!$J$5:$J$304,$AC957)),INDEX(CASHBACK_RULES!$J$5:$J$304,$AC957),"∞"),"")</f>
        <v/>
      </c>
      <c r="Q957" s="48" t="str">
        <f>IF(OR($B957="",$D957=""),"",IF($AC957=0,0,MAX(0,MIN($O957,IF(ISNUMBER($P957),$P957-$AF957,1E+15),IF(ISNUMBER($AA957),$AA957-$AG957,1E+15)))))</f>
        <v/>
      </c>
      <c r="R957" s="48" t="str">
        <f>IF(OR($B957="",$D957=""),"",IF($AC957=0,"",IF(AND(NOT(ISNUMBER($P957)),NOT(ISNUMBER($AA957))),"∞",MAX(0,MIN(IF(ISNUMBER($P957),$P957-$AF957-$Q957,1E+15),IF(ISNUMBER($AA957),$AA957-$AG957-$Q957,1E+15))))))</f>
        <v/>
      </c>
      <c r="S957" s="47" t="str">
        <f>IF($AD957="","",YEAR($AD957)*100+MONTH($AD957))</f>
        <v/>
      </c>
      <c r="T957" s="50" t="str">
        <f>IF($AD957="","",IFERROR(IF(INDEX(CARDS!$I$5:$I$34,MATCH($D957,CARDS!$A$5:$A$34,0))="","",IF(INDEX(CARDS!$I$5:$I$34,MATCH($D957,CARDS!$A$5:$A$34,0))&gt;INDEX(CARDS!$H$5:$H$34,MATCH($D957,CARDS!$A$5:$A$34,0)),DATE(YEAR($AD957),MONTH($AD957),MIN(INDEX(CARDS!$I$5:$I$34,MATCH($D957,CARDS!$A$5:$A$34,0)),DAY(EOMONTH($AD957,0)))),DATE(YEAR($AD957),MONTH($AD957)+1,MIN(INDEX(CARDS!$I$5:$I$34,MATCH($D957,CARDS!$A$5:$A$34,0)),DAY(EOMONTH($AD957,1)))))),""))</f>
        <v/>
      </c>
      <c r="U957" s="38" t="n"/>
      <c r="V957" s="37" t="n"/>
      <c r="W957" s="38" t="n"/>
      <c r="X957" s="38" t="n"/>
      <c r="Y957" s="44" t="str">
        <f>IF($AC957&gt;0,INDEX(CASHBACK_RULES!$A$5:$A$304,$AC957),"")</f>
        <v/>
      </c>
      <c r="Z957" s="45" t="str">
        <f>IF($AC957&gt;0,INDEX(CASHBACK_RULES!$E$5:$E$304,$AC957)&amp;"","")</f>
        <v/>
      </c>
      <c r="AA957" s="48" t="str">
        <f>IF($AC957&gt;0,IF(ISNUMBER(INDEX(CASHBACK_RULES!$K$5:$K$304,$AC957)),INDEX(CASHBACK_RULES!$K$5:$K$304,$AC957),"∞"),"")</f>
        <v/>
      </c>
      <c r="AB957" s="44" t="str">
        <f>IF(OR($B957="",$D957=""),"",IF($U957="Cancelled","Đã hủy",IF($AC957=0,"Không được hoàn",IF($Q957=0,IF(OR($O957&gt;0,$M957&lt;$L957),"Đã đạt cap","Không được hoàn"),IF(OR($Q957&lt;$O957,$M957&lt;$L957),"Hoàn một phần","Được hoàn")))))</f>
        <v/>
      </c>
      <c r="AC957" s="43">
        <f>IF(OR($B957="",$D957="",$I957="",$L957=""),0,IF($U957="Cancelled",0,IF($W957&lt;&gt;"",IFERROR(IF(INDEX(CASHBACK_RULES!$B$5:$B$304,MATCH($W957,CASHBACK_RULES!$A$5:$A$304,0))=$D957,MATCH($W957,CASHBACK_RULES!$A$5:$A$304,0),0),0),IFERROR(MATCH(1,INDEX((CASHBACK_RULES!$B$5:$B$304=$D957)*(CASHBACK_RULES!$G$5:$G$304=$I957)*(((CASHBACK_RULES!$N$5:$N$304="")+(CASHBACK_RULES!$N$5:$N$304&lt;=$B957))&gt;0)*(((CASHBACK_RULES!$O$5:$O$304="")+(CASHBACK_RULES!$O$5:$O$304&gt;=$B957))&gt;0)*(((CASHBACK_RULES!$M$5:$M$304="")+(CASHBACK_RULES!$M$5:$M$304&lt;=$L957))&gt;0),0),0),0))))</f>
        <v>0</v>
      </c>
      <c r="AD957" s="51" t="str">
        <f>IF(OR($B957="",$D957=""),"",IFERROR(IF(INDEX(CARDS!$H$5:$H$34,MATCH($D957,CARDS!$A$5:$A$34,0))="","",IF(DAY($B957)&lt;=INDEX(CARDS!$H$5:$H$34,MATCH($D957,CARDS!$A$5:$A$34,0)),DATE(YEAR($B957),MONTH($B957),MIN(INDEX(CARDS!$H$5:$H$34,MATCH($D957,CARDS!$A$5:$A$34,0)),DAY(EOMONTH($B957,0)))),DATE(YEAR($B957),MONTH($B957)+1,MIN(INDEX(CARDS!$H$5:$H$34,MATCH($D957,CARDS!$A$5:$A$34,0)),DAY(EOMONTH($B957,1)))))),""))</f>
        <v/>
      </c>
      <c r="AE957" s="52" t="str">
        <f>IF($C957="","",$C957&amp;"|"&amp;COUNTIF($C$5:$C957,$C957))</f>
        <v/>
      </c>
      <c r="AF957" s="53">
        <f>IF($AC957&gt;0,SUMIFS(Q$4:Q956,$D$4:$D956,$D957,$Z$4:$Z956,$Z957,$C$4:$C956,$C957),0)</f>
        <v>0</v>
      </c>
      <c r="AG957" s="53">
        <f>IF($AC957&gt;0,SUMIFS(Q$4:Q956,$D$4:$D956,$D957,$C$4:$C956,$C957),0)</f>
        <v>0</v>
      </c>
      <c r="AH957" s="53">
        <f>IF($AC957&gt;0,SUMIFS(M$4:M956,$D$4:$D956,$D957,$Z$4:$Z956,$Z957,$C$4:$C956,$C957),0)</f>
        <v>0</v>
      </c>
      <c r="AI957" s="43">
        <f>IF(OR($C957="",$I957=""),0,IF(COUNTIFS($C$5:$C957,$C957,$I$5:$I957,$I957)=1,1,0))</f>
        <v>0</v>
      </c>
      <c r="AJ957" s="43" t="str">
        <f>IF($AI957=1,SUMIFS($AI$4:$AI956,$C$4:$C956,$C957)+1,"")</f>
        <v/>
      </c>
      <c r="AK957" s="43">
        <f>IF(OR($C957="",$K957=""),0,IF(COUNTIFS($C$5:$C957,$C957,$K$5:$K957,$K957)=1,1,0))</f>
        <v>0</v>
      </c>
      <c r="AL957" s="43" t="str">
        <f>IF($AK957=1,SUMIFS($AK$4:$AK956,$C$4:$C956,$C957)+1,"")</f>
        <v/>
      </c>
      <c r="AM957" s="43">
        <f>IF(OR($C957="",$G957=""),0,IF(COUNTIFS($C$5:$C957,$C957,$G$5:$G957,$G957)=1,1,0))</f>
        <v>0</v>
      </c>
      <c r="AN957" s="43" t="str">
        <f>IF($AM957=1,SUMIFS($AM$4:$AM956,$C$4:$C956,$C957)+1,"")</f>
        <v/>
      </c>
    </row>
    <row r="958">
      <c r="A958" s="44" t="str">
        <f>IF(OR($B958="",$D958=""),"","TX"&amp;TEXT(ROW()-4,"0000"))</f>
        <v/>
      </c>
      <c r="B958" s="42" t="n"/>
      <c r="C958" s="47" t="str">
        <f>IF($B958="","",YEAR($B958)*100+MONTH($B958))</f>
        <v/>
      </c>
      <c r="D958" s="37" t="n"/>
      <c r="E958" s="45" t="str">
        <f>IF($D958="","",IFERROR(INDEX(CARDS!$B$5:$B$34,MATCH($D958,CARDS!$A$5:$A$34,0)),"⚠ Card ID?"))</f>
        <v/>
      </c>
      <c r="F958" s="45" t="str">
        <f>IF($D958="","",IFERROR(INDEX(CARDS!$C$5:$C$34,MATCH($D958,CARDS!$A$5:$A$34,0)),"⚠ Card ID?"))</f>
        <v/>
      </c>
      <c r="G958" s="37" t="n"/>
      <c r="H958" s="37" t="n"/>
      <c r="I958" s="41" t="n"/>
      <c r="J958" s="45" t="str">
        <f>IF($I958="","",IFERROR(INDEX(MCC_MASTER!$B$5:$B$504,MATCH($I958,MCC_MASTER!$A$5:$A$504,0)),"⚠ MCC chưa có"))</f>
        <v/>
      </c>
      <c r="K958" s="45" t="str">
        <f>IF($I958="","",IFERROR(IF(INDEX(MCC_MASTER!$C$5:$C$504,MATCH($I958,MCC_MASTER!$A$5:$A$504,0))="","Chưa phân loại",INDEX(MCC_MASTER!$C$5:$C$504,MATCH($I958,MCC_MASTER!$A$5:$A$504,0))),"Chưa phân loại"))</f>
        <v/>
      </c>
      <c r="L958" s="40" t="n"/>
      <c r="M958" s="48" t="str">
        <f>IF(OR($B958="",$D958=""),"",IF($AC958=0,0,IF(ISNUMBER(INDEX(CASHBACK_RULES!$L$5:$L$304,$AC958)),MAX(0,MIN($L958,INDEX(CASHBACK_RULES!$L$5:$L$304,$AC958)-$AH958)),MAX(0,$L958))))</f>
        <v/>
      </c>
      <c r="N958" s="49" t="str">
        <f>IF(OR($B958="",$D958=""),"",IF($AC958&gt;0,INDEX(CASHBACK_RULES!$I$5:$I$304,$AC958),0))</f>
        <v/>
      </c>
      <c r="O958" s="48" t="str">
        <f>IF(OR($B958="",$D958=""),"",ROUND($M958*$N958,0))</f>
        <v/>
      </c>
      <c r="P958" s="48" t="str">
        <f>IF($AC958&gt;0,IF(ISNUMBER(INDEX(CASHBACK_RULES!$J$5:$J$304,$AC958)),INDEX(CASHBACK_RULES!$J$5:$J$304,$AC958),"∞"),"")</f>
        <v/>
      </c>
      <c r="Q958" s="48" t="str">
        <f>IF(OR($B958="",$D958=""),"",IF($AC958=0,0,MAX(0,MIN($O958,IF(ISNUMBER($P958),$P958-$AF958,1E+15),IF(ISNUMBER($AA958),$AA958-$AG958,1E+15)))))</f>
        <v/>
      </c>
      <c r="R958" s="48" t="str">
        <f>IF(OR($B958="",$D958=""),"",IF($AC958=0,"",IF(AND(NOT(ISNUMBER($P958)),NOT(ISNUMBER($AA958))),"∞",MAX(0,MIN(IF(ISNUMBER($P958),$P958-$AF958-$Q958,1E+15),IF(ISNUMBER($AA958),$AA958-$AG958-$Q958,1E+15))))))</f>
        <v/>
      </c>
      <c r="S958" s="47" t="str">
        <f>IF($AD958="","",YEAR($AD958)*100+MONTH($AD958))</f>
        <v/>
      </c>
      <c r="T958" s="50" t="str">
        <f>IF($AD958="","",IFERROR(IF(INDEX(CARDS!$I$5:$I$34,MATCH($D958,CARDS!$A$5:$A$34,0))="","",IF(INDEX(CARDS!$I$5:$I$34,MATCH($D958,CARDS!$A$5:$A$34,0))&gt;INDEX(CARDS!$H$5:$H$34,MATCH($D958,CARDS!$A$5:$A$34,0)),DATE(YEAR($AD958),MONTH($AD958),MIN(INDEX(CARDS!$I$5:$I$34,MATCH($D958,CARDS!$A$5:$A$34,0)),DAY(EOMONTH($AD958,0)))),DATE(YEAR($AD958),MONTH($AD958)+1,MIN(INDEX(CARDS!$I$5:$I$34,MATCH($D958,CARDS!$A$5:$A$34,0)),DAY(EOMONTH($AD958,1)))))),""))</f>
        <v/>
      </c>
      <c r="U958" s="38" t="n"/>
      <c r="V958" s="37" t="n"/>
      <c r="W958" s="38" t="n"/>
      <c r="X958" s="38" t="n"/>
      <c r="Y958" s="44" t="str">
        <f>IF($AC958&gt;0,INDEX(CASHBACK_RULES!$A$5:$A$304,$AC958),"")</f>
        <v/>
      </c>
      <c r="Z958" s="45" t="str">
        <f>IF($AC958&gt;0,INDEX(CASHBACK_RULES!$E$5:$E$304,$AC958)&amp;"","")</f>
        <v/>
      </c>
      <c r="AA958" s="48" t="str">
        <f>IF($AC958&gt;0,IF(ISNUMBER(INDEX(CASHBACK_RULES!$K$5:$K$304,$AC958)),INDEX(CASHBACK_RULES!$K$5:$K$304,$AC958),"∞"),"")</f>
        <v/>
      </c>
      <c r="AB958" s="44" t="str">
        <f>IF(OR($B958="",$D958=""),"",IF($U958="Cancelled","Đã hủy",IF($AC958=0,"Không được hoàn",IF($Q958=0,IF(OR($O958&gt;0,$M958&lt;$L958),"Đã đạt cap","Không được hoàn"),IF(OR($Q958&lt;$O958,$M958&lt;$L958),"Hoàn một phần","Được hoàn")))))</f>
        <v/>
      </c>
      <c r="AC958" s="43">
        <f>IF(OR($B958="",$D958="",$I958="",$L958=""),0,IF($U958="Cancelled",0,IF($W958&lt;&gt;"",IFERROR(IF(INDEX(CASHBACK_RULES!$B$5:$B$304,MATCH($W958,CASHBACK_RULES!$A$5:$A$304,0))=$D958,MATCH($W958,CASHBACK_RULES!$A$5:$A$304,0),0),0),IFERROR(MATCH(1,INDEX((CASHBACK_RULES!$B$5:$B$304=$D958)*(CASHBACK_RULES!$G$5:$G$304=$I958)*(((CASHBACK_RULES!$N$5:$N$304="")+(CASHBACK_RULES!$N$5:$N$304&lt;=$B958))&gt;0)*(((CASHBACK_RULES!$O$5:$O$304="")+(CASHBACK_RULES!$O$5:$O$304&gt;=$B958))&gt;0)*(((CASHBACK_RULES!$M$5:$M$304="")+(CASHBACK_RULES!$M$5:$M$304&lt;=$L958))&gt;0),0),0),0))))</f>
        <v>0</v>
      </c>
      <c r="AD958" s="51" t="str">
        <f>IF(OR($B958="",$D958=""),"",IFERROR(IF(INDEX(CARDS!$H$5:$H$34,MATCH($D958,CARDS!$A$5:$A$34,0))="","",IF(DAY($B958)&lt;=INDEX(CARDS!$H$5:$H$34,MATCH($D958,CARDS!$A$5:$A$34,0)),DATE(YEAR($B958),MONTH($B958),MIN(INDEX(CARDS!$H$5:$H$34,MATCH($D958,CARDS!$A$5:$A$34,0)),DAY(EOMONTH($B958,0)))),DATE(YEAR($B958),MONTH($B958)+1,MIN(INDEX(CARDS!$H$5:$H$34,MATCH($D958,CARDS!$A$5:$A$34,0)),DAY(EOMONTH($B958,1)))))),""))</f>
        <v/>
      </c>
      <c r="AE958" s="52" t="str">
        <f>IF($C958="","",$C958&amp;"|"&amp;COUNTIF($C$5:$C958,$C958))</f>
        <v/>
      </c>
      <c r="AF958" s="53">
        <f>IF($AC958&gt;0,SUMIFS(Q$4:Q957,$D$4:$D957,$D958,$Z$4:$Z957,$Z958,$C$4:$C957,$C958),0)</f>
        <v>0</v>
      </c>
      <c r="AG958" s="53">
        <f>IF($AC958&gt;0,SUMIFS(Q$4:Q957,$D$4:$D957,$D958,$C$4:$C957,$C958),0)</f>
        <v>0</v>
      </c>
      <c r="AH958" s="53">
        <f>IF($AC958&gt;0,SUMIFS(M$4:M957,$D$4:$D957,$D958,$Z$4:$Z957,$Z958,$C$4:$C957,$C958),0)</f>
        <v>0</v>
      </c>
      <c r="AI958" s="43">
        <f>IF(OR($C958="",$I958=""),0,IF(COUNTIFS($C$5:$C958,$C958,$I$5:$I958,$I958)=1,1,0))</f>
        <v>0</v>
      </c>
      <c r="AJ958" s="43" t="str">
        <f>IF($AI958=1,SUMIFS($AI$4:$AI957,$C$4:$C957,$C958)+1,"")</f>
        <v/>
      </c>
      <c r="AK958" s="43">
        <f>IF(OR($C958="",$K958=""),0,IF(COUNTIFS($C$5:$C958,$C958,$K$5:$K958,$K958)=1,1,0))</f>
        <v>0</v>
      </c>
      <c r="AL958" s="43" t="str">
        <f>IF($AK958=1,SUMIFS($AK$4:$AK957,$C$4:$C957,$C958)+1,"")</f>
        <v/>
      </c>
      <c r="AM958" s="43">
        <f>IF(OR($C958="",$G958=""),0,IF(COUNTIFS($C$5:$C958,$C958,$G$5:$G958,$G958)=1,1,0))</f>
        <v>0</v>
      </c>
      <c r="AN958" s="43" t="str">
        <f>IF($AM958=1,SUMIFS($AM$4:$AM957,$C$4:$C957,$C958)+1,"")</f>
        <v/>
      </c>
    </row>
    <row r="959">
      <c r="A959" s="44" t="str">
        <f>IF(OR($B959="",$D959=""),"","TX"&amp;TEXT(ROW()-4,"0000"))</f>
        <v/>
      </c>
      <c r="B959" s="42" t="n"/>
      <c r="C959" s="47" t="str">
        <f>IF($B959="","",YEAR($B959)*100+MONTH($B959))</f>
        <v/>
      </c>
      <c r="D959" s="37" t="n"/>
      <c r="E959" s="45" t="str">
        <f>IF($D959="","",IFERROR(INDEX(CARDS!$B$5:$B$34,MATCH($D959,CARDS!$A$5:$A$34,0)),"⚠ Card ID?"))</f>
        <v/>
      </c>
      <c r="F959" s="45" t="str">
        <f>IF($D959="","",IFERROR(INDEX(CARDS!$C$5:$C$34,MATCH($D959,CARDS!$A$5:$A$34,0)),"⚠ Card ID?"))</f>
        <v/>
      </c>
      <c r="G959" s="37" t="n"/>
      <c r="H959" s="37" t="n"/>
      <c r="I959" s="41" t="n"/>
      <c r="J959" s="45" t="str">
        <f>IF($I959="","",IFERROR(INDEX(MCC_MASTER!$B$5:$B$504,MATCH($I959,MCC_MASTER!$A$5:$A$504,0)),"⚠ MCC chưa có"))</f>
        <v/>
      </c>
      <c r="K959" s="45" t="str">
        <f>IF($I959="","",IFERROR(IF(INDEX(MCC_MASTER!$C$5:$C$504,MATCH($I959,MCC_MASTER!$A$5:$A$504,0))="","Chưa phân loại",INDEX(MCC_MASTER!$C$5:$C$504,MATCH($I959,MCC_MASTER!$A$5:$A$504,0))),"Chưa phân loại"))</f>
        <v/>
      </c>
      <c r="L959" s="40" t="n"/>
      <c r="M959" s="48" t="str">
        <f>IF(OR($B959="",$D959=""),"",IF($AC959=0,0,IF(ISNUMBER(INDEX(CASHBACK_RULES!$L$5:$L$304,$AC959)),MAX(0,MIN($L959,INDEX(CASHBACK_RULES!$L$5:$L$304,$AC959)-$AH959)),MAX(0,$L959))))</f>
        <v/>
      </c>
      <c r="N959" s="49" t="str">
        <f>IF(OR($B959="",$D959=""),"",IF($AC959&gt;0,INDEX(CASHBACK_RULES!$I$5:$I$304,$AC959),0))</f>
        <v/>
      </c>
      <c r="O959" s="48" t="str">
        <f>IF(OR($B959="",$D959=""),"",ROUND($M959*$N959,0))</f>
        <v/>
      </c>
      <c r="P959" s="48" t="str">
        <f>IF($AC959&gt;0,IF(ISNUMBER(INDEX(CASHBACK_RULES!$J$5:$J$304,$AC959)),INDEX(CASHBACK_RULES!$J$5:$J$304,$AC959),"∞"),"")</f>
        <v/>
      </c>
      <c r="Q959" s="48" t="str">
        <f>IF(OR($B959="",$D959=""),"",IF($AC959=0,0,MAX(0,MIN($O959,IF(ISNUMBER($P959),$P959-$AF959,1E+15),IF(ISNUMBER($AA959),$AA959-$AG959,1E+15)))))</f>
        <v/>
      </c>
      <c r="R959" s="48" t="str">
        <f>IF(OR($B959="",$D959=""),"",IF($AC959=0,"",IF(AND(NOT(ISNUMBER($P959)),NOT(ISNUMBER($AA959))),"∞",MAX(0,MIN(IF(ISNUMBER($P959),$P959-$AF959-$Q959,1E+15),IF(ISNUMBER($AA959),$AA959-$AG959-$Q959,1E+15))))))</f>
        <v/>
      </c>
      <c r="S959" s="47" t="str">
        <f>IF($AD959="","",YEAR($AD959)*100+MONTH($AD959))</f>
        <v/>
      </c>
      <c r="T959" s="50" t="str">
        <f>IF($AD959="","",IFERROR(IF(INDEX(CARDS!$I$5:$I$34,MATCH($D959,CARDS!$A$5:$A$34,0))="","",IF(INDEX(CARDS!$I$5:$I$34,MATCH($D959,CARDS!$A$5:$A$34,0))&gt;INDEX(CARDS!$H$5:$H$34,MATCH($D959,CARDS!$A$5:$A$34,0)),DATE(YEAR($AD959),MONTH($AD959),MIN(INDEX(CARDS!$I$5:$I$34,MATCH($D959,CARDS!$A$5:$A$34,0)),DAY(EOMONTH($AD959,0)))),DATE(YEAR($AD959),MONTH($AD959)+1,MIN(INDEX(CARDS!$I$5:$I$34,MATCH($D959,CARDS!$A$5:$A$34,0)),DAY(EOMONTH($AD959,1)))))),""))</f>
        <v/>
      </c>
      <c r="U959" s="38" t="n"/>
      <c r="V959" s="37" t="n"/>
      <c r="W959" s="38" t="n"/>
      <c r="X959" s="38" t="n"/>
      <c r="Y959" s="44" t="str">
        <f>IF($AC959&gt;0,INDEX(CASHBACK_RULES!$A$5:$A$304,$AC959),"")</f>
        <v/>
      </c>
      <c r="Z959" s="45" t="str">
        <f>IF($AC959&gt;0,INDEX(CASHBACK_RULES!$E$5:$E$304,$AC959)&amp;"","")</f>
        <v/>
      </c>
      <c r="AA959" s="48" t="str">
        <f>IF($AC959&gt;0,IF(ISNUMBER(INDEX(CASHBACK_RULES!$K$5:$K$304,$AC959)),INDEX(CASHBACK_RULES!$K$5:$K$304,$AC959),"∞"),"")</f>
        <v/>
      </c>
      <c r="AB959" s="44" t="str">
        <f>IF(OR($B959="",$D959=""),"",IF($U959="Cancelled","Đã hủy",IF($AC959=0,"Không được hoàn",IF($Q959=0,IF(OR($O959&gt;0,$M959&lt;$L959),"Đã đạt cap","Không được hoàn"),IF(OR($Q959&lt;$O959,$M959&lt;$L959),"Hoàn một phần","Được hoàn")))))</f>
        <v/>
      </c>
      <c r="AC959" s="43">
        <f>IF(OR($B959="",$D959="",$I959="",$L959=""),0,IF($U959="Cancelled",0,IF($W959&lt;&gt;"",IFERROR(IF(INDEX(CASHBACK_RULES!$B$5:$B$304,MATCH($W959,CASHBACK_RULES!$A$5:$A$304,0))=$D959,MATCH($W959,CASHBACK_RULES!$A$5:$A$304,0),0),0),IFERROR(MATCH(1,INDEX((CASHBACK_RULES!$B$5:$B$304=$D959)*(CASHBACK_RULES!$G$5:$G$304=$I959)*(((CASHBACK_RULES!$N$5:$N$304="")+(CASHBACK_RULES!$N$5:$N$304&lt;=$B959))&gt;0)*(((CASHBACK_RULES!$O$5:$O$304="")+(CASHBACK_RULES!$O$5:$O$304&gt;=$B959))&gt;0)*(((CASHBACK_RULES!$M$5:$M$304="")+(CASHBACK_RULES!$M$5:$M$304&lt;=$L959))&gt;0),0),0),0))))</f>
        <v>0</v>
      </c>
      <c r="AD959" s="51" t="str">
        <f>IF(OR($B959="",$D959=""),"",IFERROR(IF(INDEX(CARDS!$H$5:$H$34,MATCH($D959,CARDS!$A$5:$A$34,0))="","",IF(DAY($B959)&lt;=INDEX(CARDS!$H$5:$H$34,MATCH($D959,CARDS!$A$5:$A$34,0)),DATE(YEAR($B959),MONTH($B959),MIN(INDEX(CARDS!$H$5:$H$34,MATCH($D959,CARDS!$A$5:$A$34,0)),DAY(EOMONTH($B959,0)))),DATE(YEAR($B959),MONTH($B959)+1,MIN(INDEX(CARDS!$H$5:$H$34,MATCH($D959,CARDS!$A$5:$A$34,0)),DAY(EOMONTH($B959,1)))))),""))</f>
        <v/>
      </c>
      <c r="AE959" s="52" t="str">
        <f>IF($C959="","",$C959&amp;"|"&amp;COUNTIF($C$5:$C959,$C959))</f>
        <v/>
      </c>
      <c r="AF959" s="53">
        <f>IF($AC959&gt;0,SUMIFS(Q$4:Q958,$D$4:$D958,$D959,$Z$4:$Z958,$Z959,$C$4:$C958,$C959),0)</f>
        <v>0</v>
      </c>
      <c r="AG959" s="53">
        <f>IF($AC959&gt;0,SUMIFS(Q$4:Q958,$D$4:$D958,$D959,$C$4:$C958,$C959),0)</f>
        <v>0</v>
      </c>
      <c r="AH959" s="53">
        <f>IF($AC959&gt;0,SUMIFS(M$4:M958,$D$4:$D958,$D959,$Z$4:$Z958,$Z959,$C$4:$C958,$C959),0)</f>
        <v>0</v>
      </c>
      <c r="AI959" s="43">
        <f>IF(OR($C959="",$I959=""),0,IF(COUNTIFS($C$5:$C959,$C959,$I$5:$I959,$I959)=1,1,0))</f>
        <v>0</v>
      </c>
      <c r="AJ959" s="43" t="str">
        <f>IF($AI959=1,SUMIFS($AI$4:$AI958,$C$4:$C958,$C959)+1,"")</f>
        <v/>
      </c>
      <c r="AK959" s="43">
        <f>IF(OR($C959="",$K959=""),0,IF(COUNTIFS($C$5:$C959,$C959,$K$5:$K959,$K959)=1,1,0))</f>
        <v>0</v>
      </c>
      <c r="AL959" s="43" t="str">
        <f>IF($AK959=1,SUMIFS($AK$4:$AK958,$C$4:$C958,$C959)+1,"")</f>
        <v/>
      </c>
      <c r="AM959" s="43">
        <f>IF(OR($C959="",$G959=""),0,IF(COUNTIFS($C$5:$C959,$C959,$G$5:$G959,$G959)=1,1,0))</f>
        <v>0</v>
      </c>
      <c r="AN959" s="43" t="str">
        <f>IF($AM959=1,SUMIFS($AM$4:$AM958,$C$4:$C958,$C959)+1,"")</f>
        <v/>
      </c>
    </row>
    <row r="960">
      <c r="A960" s="44" t="str">
        <f>IF(OR($B960="",$D960=""),"","TX"&amp;TEXT(ROW()-4,"0000"))</f>
        <v/>
      </c>
      <c r="B960" s="42" t="n"/>
      <c r="C960" s="47" t="str">
        <f>IF($B960="","",YEAR($B960)*100+MONTH($B960))</f>
        <v/>
      </c>
      <c r="D960" s="37" t="n"/>
      <c r="E960" s="45" t="str">
        <f>IF($D960="","",IFERROR(INDEX(CARDS!$B$5:$B$34,MATCH($D960,CARDS!$A$5:$A$34,0)),"⚠ Card ID?"))</f>
        <v/>
      </c>
      <c r="F960" s="45" t="str">
        <f>IF($D960="","",IFERROR(INDEX(CARDS!$C$5:$C$34,MATCH($D960,CARDS!$A$5:$A$34,0)),"⚠ Card ID?"))</f>
        <v/>
      </c>
      <c r="G960" s="37" t="n"/>
      <c r="H960" s="37" t="n"/>
      <c r="I960" s="41" t="n"/>
      <c r="J960" s="45" t="str">
        <f>IF($I960="","",IFERROR(INDEX(MCC_MASTER!$B$5:$B$504,MATCH($I960,MCC_MASTER!$A$5:$A$504,0)),"⚠ MCC chưa có"))</f>
        <v/>
      </c>
      <c r="K960" s="45" t="str">
        <f>IF($I960="","",IFERROR(IF(INDEX(MCC_MASTER!$C$5:$C$504,MATCH($I960,MCC_MASTER!$A$5:$A$504,0))="","Chưa phân loại",INDEX(MCC_MASTER!$C$5:$C$504,MATCH($I960,MCC_MASTER!$A$5:$A$504,0))),"Chưa phân loại"))</f>
        <v/>
      </c>
      <c r="L960" s="40" t="n"/>
      <c r="M960" s="48" t="str">
        <f>IF(OR($B960="",$D960=""),"",IF($AC960=0,0,IF(ISNUMBER(INDEX(CASHBACK_RULES!$L$5:$L$304,$AC960)),MAX(0,MIN($L960,INDEX(CASHBACK_RULES!$L$5:$L$304,$AC960)-$AH960)),MAX(0,$L960))))</f>
        <v/>
      </c>
      <c r="N960" s="49" t="str">
        <f>IF(OR($B960="",$D960=""),"",IF($AC960&gt;0,INDEX(CASHBACK_RULES!$I$5:$I$304,$AC960),0))</f>
        <v/>
      </c>
      <c r="O960" s="48" t="str">
        <f>IF(OR($B960="",$D960=""),"",ROUND($M960*$N960,0))</f>
        <v/>
      </c>
      <c r="P960" s="48" t="str">
        <f>IF($AC960&gt;0,IF(ISNUMBER(INDEX(CASHBACK_RULES!$J$5:$J$304,$AC960)),INDEX(CASHBACK_RULES!$J$5:$J$304,$AC960),"∞"),"")</f>
        <v/>
      </c>
      <c r="Q960" s="48" t="str">
        <f>IF(OR($B960="",$D960=""),"",IF($AC960=0,0,MAX(0,MIN($O960,IF(ISNUMBER($P960),$P960-$AF960,1E+15),IF(ISNUMBER($AA960),$AA960-$AG960,1E+15)))))</f>
        <v/>
      </c>
      <c r="R960" s="48" t="str">
        <f>IF(OR($B960="",$D960=""),"",IF($AC960=0,"",IF(AND(NOT(ISNUMBER($P960)),NOT(ISNUMBER($AA960))),"∞",MAX(0,MIN(IF(ISNUMBER($P960),$P960-$AF960-$Q960,1E+15),IF(ISNUMBER($AA960),$AA960-$AG960-$Q960,1E+15))))))</f>
        <v/>
      </c>
      <c r="S960" s="47" t="str">
        <f>IF($AD960="","",YEAR($AD960)*100+MONTH($AD960))</f>
        <v/>
      </c>
      <c r="T960" s="50" t="str">
        <f>IF($AD960="","",IFERROR(IF(INDEX(CARDS!$I$5:$I$34,MATCH($D960,CARDS!$A$5:$A$34,0))="","",IF(INDEX(CARDS!$I$5:$I$34,MATCH($D960,CARDS!$A$5:$A$34,0))&gt;INDEX(CARDS!$H$5:$H$34,MATCH($D960,CARDS!$A$5:$A$34,0)),DATE(YEAR($AD960),MONTH($AD960),MIN(INDEX(CARDS!$I$5:$I$34,MATCH($D960,CARDS!$A$5:$A$34,0)),DAY(EOMONTH($AD960,0)))),DATE(YEAR($AD960),MONTH($AD960)+1,MIN(INDEX(CARDS!$I$5:$I$34,MATCH($D960,CARDS!$A$5:$A$34,0)),DAY(EOMONTH($AD960,1)))))),""))</f>
        <v/>
      </c>
      <c r="U960" s="38" t="n"/>
      <c r="V960" s="37" t="n"/>
      <c r="W960" s="38" t="n"/>
      <c r="X960" s="38" t="n"/>
      <c r="Y960" s="44" t="str">
        <f>IF($AC960&gt;0,INDEX(CASHBACK_RULES!$A$5:$A$304,$AC960),"")</f>
        <v/>
      </c>
      <c r="Z960" s="45" t="str">
        <f>IF($AC960&gt;0,INDEX(CASHBACK_RULES!$E$5:$E$304,$AC960)&amp;"","")</f>
        <v/>
      </c>
      <c r="AA960" s="48" t="str">
        <f>IF($AC960&gt;0,IF(ISNUMBER(INDEX(CASHBACK_RULES!$K$5:$K$304,$AC960)),INDEX(CASHBACK_RULES!$K$5:$K$304,$AC960),"∞"),"")</f>
        <v/>
      </c>
      <c r="AB960" s="44" t="str">
        <f>IF(OR($B960="",$D960=""),"",IF($U960="Cancelled","Đã hủy",IF($AC960=0,"Không được hoàn",IF($Q960=0,IF(OR($O960&gt;0,$M960&lt;$L960),"Đã đạt cap","Không được hoàn"),IF(OR($Q960&lt;$O960,$M960&lt;$L960),"Hoàn một phần","Được hoàn")))))</f>
        <v/>
      </c>
      <c r="AC960" s="43">
        <f>IF(OR($B960="",$D960="",$I960="",$L960=""),0,IF($U960="Cancelled",0,IF($W960&lt;&gt;"",IFERROR(IF(INDEX(CASHBACK_RULES!$B$5:$B$304,MATCH($W960,CASHBACK_RULES!$A$5:$A$304,0))=$D960,MATCH($W960,CASHBACK_RULES!$A$5:$A$304,0),0),0),IFERROR(MATCH(1,INDEX((CASHBACK_RULES!$B$5:$B$304=$D960)*(CASHBACK_RULES!$G$5:$G$304=$I960)*(((CASHBACK_RULES!$N$5:$N$304="")+(CASHBACK_RULES!$N$5:$N$304&lt;=$B960))&gt;0)*(((CASHBACK_RULES!$O$5:$O$304="")+(CASHBACK_RULES!$O$5:$O$304&gt;=$B960))&gt;0)*(((CASHBACK_RULES!$M$5:$M$304="")+(CASHBACK_RULES!$M$5:$M$304&lt;=$L960))&gt;0),0),0),0))))</f>
        <v>0</v>
      </c>
      <c r="AD960" s="51" t="str">
        <f>IF(OR($B960="",$D960=""),"",IFERROR(IF(INDEX(CARDS!$H$5:$H$34,MATCH($D960,CARDS!$A$5:$A$34,0))="","",IF(DAY($B960)&lt;=INDEX(CARDS!$H$5:$H$34,MATCH($D960,CARDS!$A$5:$A$34,0)),DATE(YEAR($B960),MONTH($B960),MIN(INDEX(CARDS!$H$5:$H$34,MATCH($D960,CARDS!$A$5:$A$34,0)),DAY(EOMONTH($B960,0)))),DATE(YEAR($B960),MONTH($B960)+1,MIN(INDEX(CARDS!$H$5:$H$34,MATCH($D960,CARDS!$A$5:$A$34,0)),DAY(EOMONTH($B960,1)))))),""))</f>
        <v/>
      </c>
      <c r="AE960" s="52" t="str">
        <f>IF($C960="","",$C960&amp;"|"&amp;COUNTIF($C$5:$C960,$C960))</f>
        <v/>
      </c>
      <c r="AF960" s="53">
        <f>IF($AC960&gt;0,SUMIFS(Q$4:Q959,$D$4:$D959,$D960,$Z$4:$Z959,$Z960,$C$4:$C959,$C960),0)</f>
        <v>0</v>
      </c>
      <c r="AG960" s="53">
        <f>IF($AC960&gt;0,SUMIFS(Q$4:Q959,$D$4:$D959,$D960,$C$4:$C959,$C960),0)</f>
        <v>0</v>
      </c>
      <c r="AH960" s="53">
        <f>IF($AC960&gt;0,SUMIFS(M$4:M959,$D$4:$D959,$D960,$Z$4:$Z959,$Z960,$C$4:$C959,$C960),0)</f>
        <v>0</v>
      </c>
      <c r="AI960" s="43">
        <f>IF(OR($C960="",$I960=""),0,IF(COUNTIFS($C$5:$C960,$C960,$I$5:$I960,$I960)=1,1,0))</f>
        <v>0</v>
      </c>
      <c r="AJ960" s="43" t="str">
        <f>IF($AI960=1,SUMIFS($AI$4:$AI959,$C$4:$C959,$C960)+1,"")</f>
        <v/>
      </c>
      <c r="AK960" s="43">
        <f>IF(OR($C960="",$K960=""),0,IF(COUNTIFS($C$5:$C960,$C960,$K$5:$K960,$K960)=1,1,0))</f>
        <v>0</v>
      </c>
      <c r="AL960" s="43" t="str">
        <f>IF($AK960=1,SUMIFS($AK$4:$AK959,$C$4:$C959,$C960)+1,"")</f>
        <v/>
      </c>
      <c r="AM960" s="43">
        <f>IF(OR($C960="",$G960=""),0,IF(COUNTIFS($C$5:$C960,$C960,$G$5:$G960,$G960)=1,1,0))</f>
        <v>0</v>
      </c>
      <c r="AN960" s="43" t="str">
        <f>IF($AM960=1,SUMIFS($AM$4:$AM959,$C$4:$C959,$C960)+1,"")</f>
        <v/>
      </c>
    </row>
    <row r="961">
      <c r="A961" s="44" t="str">
        <f>IF(OR($B961="",$D961=""),"","TX"&amp;TEXT(ROW()-4,"0000"))</f>
        <v/>
      </c>
      <c r="B961" s="42" t="n"/>
      <c r="C961" s="47" t="str">
        <f>IF($B961="","",YEAR($B961)*100+MONTH($B961))</f>
        <v/>
      </c>
      <c r="D961" s="37" t="n"/>
      <c r="E961" s="45" t="str">
        <f>IF($D961="","",IFERROR(INDEX(CARDS!$B$5:$B$34,MATCH($D961,CARDS!$A$5:$A$34,0)),"⚠ Card ID?"))</f>
        <v/>
      </c>
      <c r="F961" s="45" t="str">
        <f>IF($D961="","",IFERROR(INDEX(CARDS!$C$5:$C$34,MATCH($D961,CARDS!$A$5:$A$34,0)),"⚠ Card ID?"))</f>
        <v/>
      </c>
      <c r="G961" s="37" t="n"/>
      <c r="H961" s="37" t="n"/>
      <c r="I961" s="41" t="n"/>
      <c r="J961" s="45" t="str">
        <f>IF($I961="","",IFERROR(INDEX(MCC_MASTER!$B$5:$B$504,MATCH($I961,MCC_MASTER!$A$5:$A$504,0)),"⚠ MCC chưa có"))</f>
        <v/>
      </c>
      <c r="K961" s="45" t="str">
        <f>IF($I961="","",IFERROR(IF(INDEX(MCC_MASTER!$C$5:$C$504,MATCH($I961,MCC_MASTER!$A$5:$A$504,0))="","Chưa phân loại",INDEX(MCC_MASTER!$C$5:$C$504,MATCH($I961,MCC_MASTER!$A$5:$A$504,0))),"Chưa phân loại"))</f>
        <v/>
      </c>
      <c r="L961" s="40" t="n"/>
      <c r="M961" s="48" t="str">
        <f>IF(OR($B961="",$D961=""),"",IF($AC961=0,0,IF(ISNUMBER(INDEX(CASHBACK_RULES!$L$5:$L$304,$AC961)),MAX(0,MIN($L961,INDEX(CASHBACK_RULES!$L$5:$L$304,$AC961)-$AH961)),MAX(0,$L961))))</f>
        <v/>
      </c>
      <c r="N961" s="49" t="str">
        <f>IF(OR($B961="",$D961=""),"",IF($AC961&gt;0,INDEX(CASHBACK_RULES!$I$5:$I$304,$AC961),0))</f>
        <v/>
      </c>
      <c r="O961" s="48" t="str">
        <f>IF(OR($B961="",$D961=""),"",ROUND($M961*$N961,0))</f>
        <v/>
      </c>
      <c r="P961" s="48" t="str">
        <f>IF($AC961&gt;0,IF(ISNUMBER(INDEX(CASHBACK_RULES!$J$5:$J$304,$AC961)),INDEX(CASHBACK_RULES!$J$5:$J$304,$AC961),"∞"),"")</f>
        <v/>
      </c>
      <c r="Q961" s="48" t="str">
        <f>IF(OR($B961="",$D961=""),"",IF($AC961=0,0,MAX(0,MIN($O961,IF(ISNUMBER($P961),$P961-$AF961,1E+15),IF(ISNUMBER($AA961),$AA961-$AG961,1E+15)))))</f>
        <v/>
      </c>
      <c r="R961" s="48" t="str">
        <f>IF(OR($B961="",$D961=""),"",IF($AC961=0,"",IF(AND(NOT(ISNUMBER($P961)),NOT(ISNUMBER($AA961))),"∞",MAX(0,MIN(IF(ISNUMBER($P961),$P961-$AF961-$Q961,1E+15),IF(ISNUMBER($AA961),$AA961-$AG961-$Q961,1E+15))))))</f>
        <v/>
      </c>
      <c r="S961" s="47" t="str">
        <f>IF($AD961="","",YEAR($AD961)*100+MONTH($AD961))</f>
        <v/>
      </c>
      <c r="T961" s="50" t="str">
        <f>IF($AD961="","",IFERROR(IF(INDEX(CARDS!$I$5:$I$34,MATCH($D961,CARDS!$A$5:$A$34,0))="","",IF(INDEX(CARDS!$I$5:$I$34,MATCH($D961,CARDS!$A$5:$A$34,0))&gt;INDEX(CARDS!$H$5:$H$34,MATCH($D961,CARDS!$A$5:$A$34,0)),DATE(YEAR($AD961),MONTH($AD961),MIN(INDEX(CARDS!$I$5:$I$34,MATCH($D961,CARDS!$A$5:$A$34,0)),DAY(EOMONTH($AD961,0)))),DATE(YEAR($AD961),MONTH($AD961)+1,MIN(INDEX(CARDS!$I$5:$I$34,MATCH($D961,CARDS!$A$5:$A$34,0)),DAY(EOMONTH($AD961,1)))))),""))</f>
        <v/>
      </c>
      <c r="U961" s="38" t="n"/>
      <c r="V961" s="37" t="n"/>
      <c r="W961" s="38" t="n"/>
      <c r="X961" s="38" t="n"/>
      <c r="Y961" s="44" t="str">
        <f>IF($AC961&gt;0,INDEX(CASHBACK_RULES!$A$5:$A$304,$AC961),"")</f>
        <v/>
      </c>
      <c r="Z961" s="45" t="str">
        <f>IF($AC961&gt;0,INDEX(CASHBACK_RULES!$E$5:$E$304,$AC961)&amp;"","")</f>
        <v/>
      </c>
      <c r="AA961" s="48" t="str">
        <f>IF($AC961&gt;0,IF(ISNUMBER(INDEX(CASHBACK_RULES!$K$5:$K$304,$AC961)),INDEX(CASHBACK_RULES!$K$5:$K$304,$AC961),"∞"),"")</f>
        <v/>
      </c>
      <c r="AB961" s="44" t="str">
        <f>IF(OR($B961="",$D961=""),"",IF($U961="Cancelled","Đã hủy",IF($AC961=0,"Không được hoàn",IF($Q961=0,IF(OR($O961&gt;0,$M961&lt;$L961),"Đã đạt cap","Không được hoàn"),IF(OR($Q961&lt;$O961,$M961&lt;$L961),"Hoàn một phần","Được hoàn")))))</f>
        <v/>
      </c>
      <c r="AC961" s="43">
        <f>IF(OR($B961="",$D961="",$I961="",$L961=""),0,IF($U961="Cancelled",0,IF($W961&lt;&gt;"",IFERROR(IF(INDEX(CASHBACK_RULES!$B$5:$B$304,MATCH($W961,CASHBACK_RULES!$A$5:$A$304,0))=$D961,MATCH($W961,CASHBACK_RULES!$A$5:$A$304,0),0),0),IFERROR(MATCH(1,INDEX((CASHBACK_RULES!$B$5:$B$304=$D961)*(CASHBACK_RULES!$G$5:$G$304=$I961)*(((CASHBACK_RULES!$N$5:$N$304="")+(CASHBACK_RULES!$N$5:$N$304&lt;=$B961))&gt;0)*(((CASHBACK_RULES!$O$5:$O$304="")+(CASHBACK_RULES!$O$5:$O$304&gt;=$B961))&gt;0)*(((CASHBACK_RULES!$M$5:$M$304="")+(CASHBACK_RULES!$M$5:$M$304&lt;=$L961))&gt;0),0),0),0))))</f>
        <v>0</v>
      </c>
      <c r="AD961" s="51" t="str">
        <f>IF(OR($B961="",$D961=""),"",IFERROR(IF(INDEX(CARDS!$H$5:$H$34,MATCH($D961,CARDS!$A$5:$A$34,0))="","",IF(DAY($B961)&lt;=INDEX(CARDS!$H$5:$H$34,MATCH($D961,CARDS!$A$5:$A$34,0)),DATE(YEAR($B961),MONTH($B961),MIN(INDEX(CARDS!$H$5:$H$34,MATCH($D961,CARDS!$A$5:$A$34,0)),DAY(EOMONTH($B961,0)))),DATE(YEAR($B961),MONTH($B961)+1,MIN(INDEX(CARDS!$H$5:$H$34,MATCH($D961,CARDS!$A$5:$A$34,0)),DAY(EOMONTH($B961,1)))))),""))</f>
        <v/>
      </c>
      <c r="AE961" s="52" t="str">
        <f>IF($C961="","",$C961&amp;"|"&amp;COUNTIF($C$5:$C961,$C961))</f>
        <v/>
      </c>
      <c r="AF961" s="53">
        <f>IF($AC961&gt;0,SUMIFS(Q$4:Q960,$D$4:$D960,$D961,$Z$4:$Z960,$Z961,$C$4:$C960,$C961),0)</f>
        <v>0</v>
      </c>
      <c r="AG961" s="53">
        <f>IF($AC961&gt;0,SUMIFS(Q$4:Q960,$D$4:$D960,$D961,$C$4:$C960,$C961),0)</f>
        <v>0</v>
      </c>
      <c r="AH961" s="53">
        <f>IF($AC961&gt;0,SUMIFS(M$4:M960,$D$4:$D960,$D961,$Z$4:$Z960,$Z961,$C$4:$C960,$C961),0)</f>
        <v>0</v>
      </c>
      <c r="AI961" s="43">
        <f>IF(OR($C961="",$I961=""),0,IF(COUNTIFS($C$5:$C961,$C961,$I$5:$I961,$I961)=1,1,0))</f>
        <v>0</v>
      </c>
      <c r="AJ961" s="43" t="str">
        <f>IF($AI961=1,SUMIFS($AI$4:$AI960,$C$4:$C960,$C961)+1,"")</f>
        <v/>
      </c>
      <c r="AK961" s="43">
        <f>IF(OR($C961="",$K961=""),0,IF(COUNTIFS($C$5:$C961,$C961,$K$5:$K961,$K961)=1,1,0))</f>
        <v>0</v>
      </c>
      <c r="AL961" s="43" t="str">
        <f>IF($AK961=1,SUMIFS($AK$4:$AK960,$C$4:$C960,$C961)+1,"")</f>
        <v/>
      </c>
      <c r="AM961" s="43">
        <f>IF(OR($C961="",$G961=""),0,IF(COUNTIFS($C$5:$C961,$C961,$G$5:$G961,$G961)=1,1,0))</f>
        <v>0</v>
      </c>
      <c r="AN961" s="43" t="str">
        <f>IF($AM961=1,SUMIFS($AM$4:$AM960,$C$4:$C960,$C961)+1,"")</f>
        <v/>
      </c>
    </row>
    <row r="962">
      <c r="A962" s="44" t="str">
        <f>IF(OR($B962="",$D962=""),"","TX"&amp;TEXT(ROW()-4,"0000"))</f>
        <v/>
      </c>
      <c r="B962" s="42" t="n"/>
      <c r="C962" s="47" t="str">
        <f>IF($B962="","",YEAR($B962)*100+MONTH($B962))</f>
        <v/>
      </c>
      <c r="D962" s="37" t="n"/>
      <c r="E962" s="45" t="str">
        <f>IF($D962="","",IFERROR(INDEX(CARDS!$B$5:$B$34,MATCH($D962,CARDS!$A$5:$A$34,0)),"⚠ Card ID?"))</f>
        <v/>
      </c>
      <c r="F962" s="45" t="str">
        <f>IF($D962="","",IFERROR(INDEX(CARDS!$C$5:$C$34,MATCH($D962,CARDS!$A$5:$A$34,0)),"⚠ Card ID?"))</f>
        <v/>
      </c>
      <c r="G962" s="37" t="n"/>
      <c r="H962" s="37" t="n"/>
      <c r="I962" s="41" t="n"/>
      <c r="J962" s="45" t="str">
        <f>IF($I962="","",IFERROR(INDEX(MCC_MASTER!$B$5:$B$504,MATCH($I962,MCC_MASTER!$A$5:$A$504,0)),"⚠ MCC chưa có"))</f>
        <v/>
      </c>
      <c r="K962" s="45" t="str">
        <f>IF($I962="","",IFERROR(IF(INDEX(MCC_MASTER!$C$5:$C$504,MATCH($I962,MCC_MASTER!$A$5:$A$504,0))="","Chưa phân loại",INDEX(MCC_MASTER!$C$5:$C$504,MATCH($I962,MCC_MASTER!$A$5:$A$504,0))),"Chưa phân loại"))</f>
        <v/>
      </c>
      <c r="L962" s="40" t="n"/>
      <c r="M962" s="48" t="str">
        <f>IF(OR($B962="",$D962=""),"",IF($AC962=0,0,IF(ISNUMBER(INDEX(CASHBACK_RULES!$L$5:$L$304,$AC962)),MAX(0,MIN($L962,INDEX(CASHBACK_RULES!$L$5:$L$304,$AC962)-$AH962)),MAX(0,$L962))))</f>
        <v/>
      </c>
      <c r="N962" s="49" t="str">
        <f>IF(OR($B962="",$D962=""),"",IF($AC962&gt;0,INDEX(CASHBACK_RULES!$I$5:$I$304,$AC962),0))</f>
        <v/>
      </c>
      <c r="O962" s="48" t="str">
        <f>IF(OR($B962="",$D962=""),"",ROUND($M962*$N962,0))</f>
        <v/>
      </c>
      <c r="P962" s="48" t="str">
        <f>IF($AC962&gt;0,IF(ISNUMBER(INDEX(CASHBACK_RULES!$J$5:$J$304,$AC962)),INDEX(CASHBACK_RULES!$J$5:$J$304,$AC962),"∞"),"")</f>
        <v/>
      </c>
      <c r="Q962" s="48" t="str">
        <f>IF(OR($B962="",$D962=""),"",IF($AC962=0,0,MAX(0,MIN($O962,IF(ISNUMBER($P962),$P962-$AF962,1E+15),IF(ISNUMBER($AA962),$AA962-$AG962,1E+15)))))</f>
        <v/>
      </c>
      <c r="R962" s="48" t="str">
        <f>IF(OR($B962="",$D962=""),"",IF($AC962=0,"",IF(AND(NOT(ISNUMBER($P962)),NOT(ISNUMBER($AA962))),"∞",MAX(0,MIN(IF(ISNUMBER($P962),$P962-$AF962-$Q962,1E+15),IF(ISNUMBER($AA962),$AA962-$AG962-$Q962,1E+15))))))</f>
        <v/>
      </c>
      <c r="S962" s="47" t="str">
        <f>IF($AD962="","",YEAR($AD962)*100+MONTH($AD962))</f>
        <v/>
      </c>
      <c r="T962" s="50" t="str">
        <f>IF($AD962="","",IFERROR(IF(INDEX(CARDS!$I$5:$I$34,MATCH($D962,CARDS!$A$5:$A$34,0))="","",IF(INDEX(CARDS!$I$5:$I$34,MATCH($D962,CARDS!$A$5:$A$34,0))&gt;INDEX(CARDS!$H$5:$H$34,MATCH($D962,CARDS!$A$5:$A$34,0)),DATE(YEAR($AD962),MONTH($AD962),MIN(INDEX(CARDS!$I$5:$I$34,MATCH($D962,CARDS!$A$5:$A$34,0)),DAY(EOMONTH($AD962,0)))),DATE(YEAR($AD962),MONTH($AD962)+1,MIN(INDEX(CARDS!$I$5:$I$34,MATCH($D962,CARDS!$A$5:$A$34,0)),DAY(EOMONTH($AD962,1)))))),""))</f>
        <v/>
      </c>
      <c r="U962" s="38" t="n"/>
      <c r="V962" s="37" t="n"/>
      <c r="W962" s="38" t="n"/>
      <c r="X962" s="38" t="n"/>
      <c r="Y962" s="44" t="str">
        <f>IF($AC962&gt;0,INDEX(CASHBACK_RULES!$A$5:$A$304,$AC962),"")</f>
        <v/>
      </c>
      <c r="Z962" s="45" t="str">
        <f>IF($AC962&gt;0,INDEX(CASHBACK_RULES!$E$5:$E$304,$AC962)&amp;"","")</f>
        <v/>
      </c>
      <c r="AA962" s="48" t="str">
        <f>IF($AC962&gt;0,IF(ISNUMBER(INDEX(CASHBACK_RULES!$K$5:$K$304,$AC962)),INDEX(CASHBACK_RULES!$K$5:$K$304,$AC962),"∞"),"")</f>
        <v/>
      </c>
      <c r="AB962" s="44" t="str">
        <f>IF(OR($B962="",$D962=""),"",IF($U962="Cancelled","Đã hủy",IF($AC962=0,"Không được hoàn",IF($Q962=0,IF(OR($O962&gt;0,$M962&lt;$L962),"Đã đạt cap","Không được hoàn"),IF(OR($Q962&lt;$O962,$M962&lt;$L962),"Hoàn một phần","Được hoàn")))))</f>
        <v/>
      </c>
      <c r="AC962" s="43">
        <f>IF(OR($B962="",$D962="",$I962="",$L962=""),0,IF($U962="Cancelled",0,IF($W962&lt;&gt;"",IFERROR(IF(INDEX(CASHBACK_RULES!$B$5:$B$304,MATCH($W962,CASHBACK_RULES!$A$5:$A$304,0))=$D962,MATCH($W962,CASHBACK_RULES!$A$5:$A$304,0),0),0),IFERROR(MATCH(1,INDEX((CASHBACK_RULES!$B$5:$B$304=$D962)*(CASHBACK_RULES!$G$5:$G$304=$I962)*(((CASHBACK_RULES!$N$5:$N$304="")+(CASHBACK_RULES!$N$5:$N$304&lt;=$B962))&gt;0)*(((CASHBACK_RULES!$O$5:$O$304="")+(CASHBACK_RULES!$O$5:$O$304&gt;=$B962))&gt;0)*(((CASHBACK_RULES!$M$5:$M$304="")+(CASHBACK_RULES!$M$5:$M$304&lt;=$L962))&gt;0),0),0),0))))</f>
        <v>0</v>
      </c>
      <c r="AD962" s="51" t="str">
        <f>IF(OR($B962="",$D962=""),"",IFERROR(IF(INDEX(CARDS!$H$5:$H$34,MATCH($D962,CARDS!$A$5:$A$34,0))="","",IF(DAY($B962)&lt;=INDEX(CARDS!$H$5:$H$34,MATCH($D962,CARDS!$A$5:$A$34,0)),DATE(YEAR($B962),MONTH($B962),MIN(INDEX(CARDS!$H$5:$H$34,MATCH($D962,CARDS!$A$5:$A$34,0)),DAY(EOMONTH($B962,0)))),DATE(YEAR($B962),MONTH($B962)+1,MIN(INDEX(CARDS!$H$5:$H$34,MATCH($D962,CARDS!$A$5:$A$34,0)),DAY(EOMONTH($B962,1)))))),""))</f>
        <v/>
      </c>
      <c r="AE962" s="52" t="str">
        <f>IF($C962="","",$C962&amp;"|"&amp;COUNTIF($C$5:$C962,$C962))</f>
        <v/>
      </c>
      <c r="AF962" s="53">
        <f>IF($AC962&gt;0,SUMIFS(Q$4:Q961,$D$4:$D961,$D962,$Z$4:$Z961,$Z962,$C$4:$C961,$C962),0)</f>
        <v>0</v>
      </c>
      <c r="AG962" s="53">
        <f>IF($AC962&gt;0,SUMIFS(Q$4:Q961,$D$4:$D961,$D962,$C$4:$C961,$C962),0)</f>
        <v>0</v>
      </c>
      <c r="AH962" s="53">
        <f>IF($AC962&gt;0,SUMIFS(M$4:M961,$D$4:$D961,$D962,$Z$4:$Z961,$Z962,$C$4:$C961,$C962),0)</f>
        <v>0</v>
      </c>
      <c r="AI962" s="43">
        <f>IF(OR($C962="",$I962=""),0,IF(COUNTIFS($C$5:$C962,$C962,$I$5:$I962,$I962)=1,1,0))</f>
        <v>0</v>
      </c>
      <c r="AJ962" s="43" t="str">
        <f>IF($AI962=1,SUMIFS($AI$4:$AI961,$C$4:$C961,$C962)+1,"")</f>
        <v/>
      </c>
      <c r="AK962" s="43">
        <f>IF(OR($C962="",$K962=""),0,IF(COUNTIFS($C$5:$C962,$C962,$K$5:$K962,$K962)=1,1,0))</f>
        <v>0</v>
      </c>
      <c r="AL962" s="43" t="str">
        <f>IF($AK962=1,SUMIFS($AK$4:$AK961,$C$4:$C961,$C962)+1,"")</f>
        <v/>
      </c>
      <c r="AM962" s="43">
        <f>IF(OR($C962="",$G962=""),0,IF(COUNTIFS($C$5:$C962,$C962,$G$5:$G962,$G962)=1,1,0))</f>
        <v>0</v>
      </c>
      <c r="AN962" s="43" t="str">
        <f>IF($AM962=1,SUMIFS($AM$4:$AM961,$C$4:$C961,$C962)+1,"")</f>
        <v/>
      </c>
    </row>
    <row r="963">
      <c r="A963" s="44" t="str">
        <f>IF(OR($B963="",$D963=""),"","TX"&amp;TEXT(ROW()-4,"0000"))</f>
        <v/>
      </c>
      <c r="B963" s="42" t="n"/>
      <c r="C963" s="47" t="str">
        <f>IF($B963="","",YEAR($B963)*100+MONTH($B963))</f>
        <v/>
      </c>
      <c r="D963" s="37" t="n"/>
      <c r="E963" s="45" t="str">
        <f>IF($D963="","",IFERROR(INDEX(CARDS!$B$5:$B$34,MATCH($D963,CARDS!$A$5:$A$34,0)),"⚠ Card ID?"))</f>
        <v/>
      </c>
      <c r="F963" s="45" t="str">
        <f>IF($D963="","",IFERROR(INDEX(CARDS!$C$5:$C$34,MATCH($D963,CARDS!$A$5:$A$34,0)),"⚠ Card ID?"))</f>
        <v/>
      </c>
      <c r="G963" s="37" t="n"/>
      <c r="H963" s="37" t="n"/>
      <c r="I963" s="41" t="n"/>
      <c r="J963" s="45" t="str">
        <f>IF($I963="","",IFERROR(INDEX(MCC_MASTER!$B$5:$B$504,MATCH($I963,MCC_MASTER!$A$5:$A$504,0)),"⚠ MCC chưa có"))</f>
        <v/>
      </c>
      <c r="K963" s="45" t="str">
        <f>IF($I963="","",IFERROR(IF(INDEX(MCC_MASTER!$C$5:$C$504,MATCH($I963,MCC_MASTER!$A$5:$A$504,0))="","Chưa phân loại",INDEX(MCC_MASTER!$C$5:$C$504,MATCH($I963,MCC_MASTER!$A$5:$A$504,0))),"Chưa phân loại"))</f>
        <v/>
      </c>
      <c r="L963" s="40" t="n"/>
      <c r="M963" s="48" t="str">
        <f>IF(OR($B963="",$D963=""),"",IF($AC963=0,0,IF(ISNUMBER(INDEX(CASHBACK_RULES!$L$5:$L$304,$AC963)),MAX(0,MIN($L963,INDEX(CASHBACK_RULES!$L$5:$L$304,$AC963)-$AH963)),MAX(0,$L963))))</f>
        <v/>
      </c>
      <c r="N963" s="49" t="str">
        <f>IF(OR($B963="",$D963=""),"",IF($AC963&gt;0,INDEX(CASHBACK_RULES!$I$5:$I$304,$AC963),0))</f>
        <v/>
      </c>
      <c r="O963" s="48" t="str">
        <f>IF(OR($B963="",$D963=""),"",ROUND($M963*$N963,0))</f>
        <v/>
      </c>
      <c r="P963" s="48" t="str">
        <f>IF($AC963&gt;0,IF(ISNUMBER(INDEX(CASHBACK_RULES!$J$5:$J$304,$AC963)),INDEX(CASHBACK_RULES!$J$5:$J$304,$AC963),"∞"),"")</f>
        <v/>
      </c>
      <c r="Q963" s="48" t="str">
        <f>IF(OR($B963="",$D963=""),"",IF($AC963=0,0,MAX(0,MIN($O963,IF(ISNUMBER($P963),$P963-$AF963,1E+15),IF(ISNUMBER($AA963),$AA963-$AG963,1E+15)))))</f>
        <v/>
      </c>
      <c r="R963" s="48" t="str">
        <f>IF(OR($B963="",$D963=""),"",IF($AC963=0,"",IF(AND(NOT(ISNUMBER($P963)),NOT(ISNUMBER($AA963))),"∞",MAX(0,MIN(IF(ISNUMBER($P963),$P963-$AF963-$Q963,1E+15),IF(ISNUMBER($AA963),$AA963-$AG963-$Q963,1E+15))))))</f>
        <v/>
      </c>
      <c r="S963" s="47" t="str">
        <f>IF($AD963="","",YEAR($AD963)*100+MONTH($AD963))</f>
        <v/>
      </c>
      <c r="T963" s="50" t="str">
        <f>IF($AD963="","",IFERROR(IF(INDEX(CARDS!$I$5:$I$34,MATCH($D963,CARDS!$A$5:$A$34,0))="","",IF(INDEX(CARDS!$I$5:$I$34,MATCH($D963,CARDS!$A$5:$A$34,0))&gt;INDEX(CARDS!$H$5:$H$34,MATCH($D963,CARDS!$A$5:$A$34,0)),DATE(YEAR($AD963),MONTH($AD963),MIN(INDEX(CARDS!$I$5:$I$34,MATCH($D963,CARDS!$A$5:$A$34,0)),DAY(EOMONTH($AD963,0)))),DATE(YEAR($AD963),MONTH($AD963)+1,MIN(INDEX(CARDS!$I$5:$I$34,MATCH($D963,CARDS!$A$5:$A$34,0)),DAY(EOMONTH($AD963,1)))))),""))</f>
        <v/>
      </c>
      <c r="U963" s="38" t="n"/>
      <c r="V963" s="37" t="n"/>
      <c r="W963" s="38" t="n"/>
      <c r="X963" s="38" t="n"/>
      <c r="Y963" s="44" t="str">
        <f>IF($AC963&gt;0,INDEX(CASHBACK_RULES!$A$5:$A$304,$AC963),"")</f>
        <v/>
      </c>
      <c r="Z963" s="45" t="str">
        <f>IF($AC963&gt;0,INDEX(CASHBACK_RULES!$E$5:$E$304,$AC963)&amp;"","")</f>
        <v/>
      </c>
      <c r="AA963" s="48" t="str">
        <f>IF($AC963&gt;0,IF(ISNUMBER(INDEX(CASHBACK_RULES!$K$5:$K$304,$AC963)),INDEX(CASHBACK_RULES!$K$5:$K$304,$AC963),"∞"),"")</f>
        <v/>
      </c>
      <c r="AB963" s="44" t="str">
        <f>IF(OR($B963="",$D963=""),"",IF($U963="Cancelled","Đã hủy",IF($AC963=0,"Không được hoàn",IF($Q963=0,IF(OR($O963&gt;0,$M963&lt;$L963),"Đã đạt cap","Không được hoàn"),IF(OR($Q963&lt;$O963,$M963&lt;$L963),"Hoàn một phần","Được hoàn")))))</f>
        <v/>
      </c>
      <c r="AC963" s="43">
        <f>IF(OR($B963="",$D963="",$I963="",$L963=""),0,IF($U963="Cancelled",0,IF($W963&lt;&gt;"",IFERROR(IF(INDEX(CASHBACK_RULES!$B$5:$B$304,MATCH($W963,CASHBACK_RULES!$A$5:$A$304,0))=$D963,MATCH($W963,CASHBACK_RULES!$A$5:$A$304,0),0),0),IFERROR(MATCH(1,INDEX((CASHBACK_RULES!$B$5:$B$304=$D963)*(CASHBACK_RULES!$G$5:$G$304=$I963)*(((CASHBACK_RULES!$N$5:$N$304="")+(CASHBACK_RULES!$N$5:$N$304&lt;=$B963))&gt;0)*(((CASHBACK_RULES!$O$5:$O$304="")+(CASHBACK_RULES!$O$5:$O$304&gt;=$B963))&gt;0)*(((CASHBACK_RULES!$M$5:$M$304="")+(CASHBACK_RULES!$M$5:$M$304&lt;=$L963))&gt;0),0),0),0))))</f>
        <v>0</v>
      </c>
      <c r="AD963" s="51" t="str">
        <f>IF(OR($B963="",$D963=""),"",IFERROR(IF(INDEX(CARDS!$H$5:$H$34,MATCH($D963,CARDS!$A$5:$A$34,0))="","",IF(DAY($B963)&lt;=INDEX(CARDS!$H$5:$H$34,MATCH($D963,CARDS!$A$5:$A$34,0)),DATE(YEAR($B963),MONTH($B963),MIN(INDEX(CARDS!$H$5:$H$34,MATCH($D963,CARDS!$A$5:$A$34,0)),DAY(EOMONTH($B963,0)))),DATE(YEAR($B963),MONTH($B963)+1,MIN(INDEX(CARDS!$H$5:$H$34,MATCH($D963,CARDS!$A$5:$A$34,0)),DAY(EOMONTH($B963,1)))))),""))</f>
        <v/>
      </c>
      <c r="AE963" s="52" t="str">
        <f>IF($C963="","",$C963&amp;"|"&amp;COUNTIF($C$5:$C963,$C963))</f>
        <v/>
      </c>
      <c r="AF963" s="53">
        <f>IF($AC963&gt;0,SUMIFS(Q$4:Q962,$D$4:$D962,$D963,$Z$4:$Z962,$Z963,$C$4:$C962,$C963),0)</f>
        <v>0</v>
      </c>
      <c r="AG963" s="53">
        <f>IF($AC963&gt;0,SUMIFS(Q$4:Q962,$D$4:$D962,$D963,$C$4:$C962,$C963),0)</f>
        <v>0</v>
      </c>
      <c r="AH963" s="53">
        <f>IF($AC963&gt;0,SUMIFS(M$4:M962,$D$4:$D962,$D963,$Z$4:$Z962,$Z963,$C$4:$C962,$C963),0)</f>
        <v>0</v>
      </c>
      <c r="AI963" s="43">
        <f>IF(OR($C963="",$I963=""),0,IF(COUNTIFS($C$5:$C963,$C963,$I$5:$I963,$I963)=1,1,0))</f>
        <v>0</v>
      </c>
      <c r="AJ963" s="43" t="str">
        <f>IF($AI963=1,SUMIFS($AI$4:$AI962,$C$4:$C962,$C963)+1,"")</f>
        <v/>
      </c>
      <c r="AK963" s="43">
        <f>IF(OR($C963="",$K963=""),0,IF(COUNTIFS($C$5:$C963,$C963,$K$5:$K963,$K963)=1,1,0))</f>
        <v>0</v>
      </c>
      <c r="AL963" s="43" t="str">
        <f>IF($AK963=1,SUMIFS($AK$4:$AK962,$C$4:$C962,$C963)+1,"")</f>
        <v/>
      </c>
      <c r="AM963" s="43">
        <f>IF(OR($C963="",$G963=""),0,IF(COUNTIFS($C$5:$C963,$C963,$G$5:$G963,$G963)=1,1,0))</f>
        <v>0</v>
      </c>
      <c r="AN963" s="43" t="str">
        <f>IF($AM963=1,SUMIFS($AM$4:$AM962,$C$4:$C962,$C963)+1,"")</f>
        <v/>
      </c>
    </row>
    <row r="964">
      <c r="A964" s="44" t="str">
        <f>IF(OR($B964="",$D964=""),"","TX"&amp;TEXT(ROW()-4,"0000"))</f>
        <v/>
      </c>
      <c r="B964" s="42" t="n"/>
      <c r="C964" s="47" t="str">
        <f>IF($B964="","",YEAR($B964)*100+MONTH($B964))</f>
        <v/>
      </c>
      <c r="D964" s="37" t="n"/>
      <c r="E964" s="45" t="str">
        <f>IF($D964="","",IFERROR(INDEX(CARDS!$B$5:$B$34,MATCH($D964,CARDS!$A$5:$A$34,0)),"⚠ Card ID?"))</f>
        <v/>
      </c>
      <c r="F964" s="45" t="str">
        <f>IF($D964="","",IFERROR(INDEX(CARDS!$C$5:$C$34,MATCH($D964,CARDS!$A$5:$A$34,0)),"⚠ Card ID?"))</f>
        <v/>
      </c>
      <c r="G964" s="37" t="n"/>
      <c r="H964" s="37" t="n"/>
      <c r="I964" s="41" t="n"/>
      <c r="J964" s="45" t="str">
        <f>IF($I964="","",IFERROR(INDEX(MCC_MASTER!$B$5:$B$504,MATCH($I964,MCC_MASTER!$A$5:$A$504,0)),"⚠ MCC chưa có"))</f>
        <v/>
      </c>
      <c r="K964" s="45" t="str">
        <f>IF($I964="","",IFERROR(IF(INDEX(MCC_MASTER!$C$5:$C$504,MATCH($I964,MCC_MASTER!$A$5:$A$504,0))="","Chưa phân loại",INDEX(MCC_MASTER!$C$5:$C$504,MATCH($I964,MCC_MASTER!$A$5:$A$504,0))),"Chưa phân loại"))</f>
        <v/>
      </c>
      <c r="L964" s="40" t="n"/>
      <c r="M964" s="48" t="str">
        <f>IF(OR($B964="",$D964=""),"",IF($AC964=0,0,IF(ISNUMBER(INDEX(CASHBACK_RULES!$L$5:$L$304,$AC964)),MAX(0,MIN($L964,INDEX(CASHBACK_RULES!$L$5:$L$304,$AC964)-$AH964)),MAX(0,$L964))))</f>
        <v/>
      </c>
      <c r="N964" s="49" t="str">
        <f>IF(OR($B964="",$D964=""),"",IF($AC964&gt;0,INDEX(CASHBACK_RULES!$I$5:$I$304,$AC964),0))</f>
        <v/>
      </c>
      <c r="O964" s="48" t="str">
        <f>IF(OR($B964="",$D964=""),"",ROUND($M964*$N964,0))</f>
        <v/>
      </c>
      <c r="P964" s="48" t="str">
        <f>IF($AC964&gt;0,IF(ISNUMBER(INDEX(CASHBACK_RULES!$J$5:$J$304,$AC964)),INDEX(CASHBACK_RULES!$J$5:$J$304,$AC964),"∞"),"")</f>
        <v/>
      </c>
      <c r="Q964" s="48" t="str">
        <f>IF(OR($B964="",$D964=""),"",IF($AC964=0,0,MAX(0,MIN($O964,IF(ISNUMBER($P964),$P964-$AF964,1E+15),IF(ISNUMBER($AA964),$AA964-$AG964,1E+15)))))</f>
        <v/>
      </c>
      <c r="R964" s="48" t="str">
        <f>IF(OR($B964="",$D964=""),"",IF($AC964=0,"",IF(AND(NOT(ISNUMBER($P964)),NOT(ISNUMBER($AA964))),"∞",MAX(0,MIN(IF(ISNUMBER($P964),$P964-$AF964-$Q964,1E+15),IF(ISNUMBER($AA964),$AA964-$AG964-$Q964,1E+15))))))</f>
        <v/>
      </c>
      <c r="S964" s="47" t="str">
        <f>IF($AD964="","",YEAR($AD964)*100+MONTH($AD964))</f>
        <v/>
      </c>
      <c r="T964" s="50" t="str">
        <f>IF($AD964="","",IFERROR(IF(INDEX(CARDS!$I$5:$I$34,MATCH($D964,CARDS!$A$5:$A$34,0))="","",IF(INDEX(CARDS!$I$5:$I$34,MATCH($D964,CARDS!$A$5:$A$34,0))&gt;INDEX(CARDS!$H$5:$H$34,MATCH($D964,CARDS!$A$5:$A$34,0)),DATE(YEAR($AD964),MONTH($AD964),MIN(INDEX(CARDS!$I$5:$I$34,MATCH($D964,CARDS!$A$5:$A$34,0)),DAY(EOMONTH($AD964,0)))),DATE(YEAR($AD964),MONTH($AD964)+1,MIN(INDEX(CARDS!$I$5:$I$34,MATCH($D964,CARDS!$A$5:$A$34,0)),DAY(EOMONTH($AD964,1)))))),""))</f>
        <v/>
      </c>
      <c r="U964" s="38" t="n"/>
      <c r="V964" s="37" t="n"/>
      <c r="W964" s="38" t="n"/>
      <c r="X964" s="38" t="n"/>
      <c r="Y964" s="44" t="str">
        <f>IF($AC964&gt;0,INDEX(CASHBACK_RULES!$A$5:$A$304,$AC964),"")</f>
        <v/>
      </c>
      <c r="Z964" s="45" t="str">
        <f>IF($AC964&gt;0,INDEX(CASHBACK_RULES!$E$5:$E$304,$AC964)&amp;"","")</f>
        <v/>
      </c>
      <c r="AA964" s="48" t="str">
        <f>IF($AC964&gt;0,IF(ISNUMBER(INDEX(CASHBACK_RULES!$K$5:$K$304,$AC964)),INDEX(CASHBACK_RULES!$K$5:$K$304,$AC964),"∞"),"")</f>
        <v/>
      </c>
      <c r="AB964" s="44" t="str">
        <f>IF(OR($B964="",$D964=""),"",IF($U964="Cancelled","Đã hủy",IF($AC964=0,"Không được hoàn",IF($Q964=0,IF(OR($O964&gt;0,$M964&lt;$L964),"Đã đạt cap","Không được hoàn"),IF(OR($Q964&lt;$O964,$M964&lt;$L964),"Hoàn một phần","Được hoàn")))))</f>
        <v/>
      </c>
      <c r="AC964" s="43">
        <f>IF(OR($B964="",$D964="",$I964="",$L964=""),0,IF($U964="Cancelled",0,IF($W964&lt;&gt;"",IFERROR(IF(INDEX(CASHBACK_RULES!$B$5:$B$304,MATCH($W964,CASHBACK_RULES!$A$5:$A$304,0))=$D964,MATCH($W964,CASHBACK_RULES!$A$5:$A$304,0),0),0),IFERROR(MATCH(1,INDEX((CASHBACK_RULES!$B$5:$B$304=$D964)*(CASHBACK_RULES!$G$5:$G$304=$I964)*(((CASHBACK_RULES!$N$5:$N$304="")+(CASHBACK_RULES!$N$5:$N$304&lt;=$B964))&gt;0)*(((CASHBACK_RULES!$O$5:$O$304="")+(CASHBACK_RULES!$O$5:$O$304&gt;=$B964))&gt;0)*(((CASHBACK_RULES!$M$5:$M$304="")+(CASHBACK_RULES!$M$5:$M$304&lt;=$L964))&gt;0),0),0),0))))</f>
        <v>0</v>
      </c>
      <c r="AD964" s="51" t="str">
        <f>IF(OR($B964="",$D964=""),"",IFERROR(IF(INDEX(CARDS!$H$5:$H$34,MATCH($D964,CARDS!$A$5:$A$34,0))="","",IF(DAY($B964)&lt;=INDEX(CARDS!$H$5:$H$34,MATCH($D964,CARDS!$A$5:$A$34,0)),DATE(YEAR($B964),MONTH($B964),MIN(INDEX(CARDS!$H$5:$H$34,MATCH($D964,CARDS!$A$5:$A$34,0)),DAY(EOMONTH($B964,0)))),DATE(YEAR($B964),MONTH($B964)+1,MIN(INDEX(CARDS!$H$5:$H$34,MATCH($D964,CARDS!$A$5:$A$34,0)),DAY(EOMONTH($B964,1)))))),""))</f>
        <v/>
      </c>
      <c r="AE964" s="52" t="str">
        <f>IF($C964="","",$C964&amp;"|"&amp;COUNTIF($C$5:$C964,$C964))</f>
        <v/>
      </c>
      <c r="AF964" s="53">
        <f>IF($AC964&gt;0,SUMIFS(Q$4:Q963,$D$4:$D963,$D964,$Z$4:$Z963,$Z964,$C$4:$C963,$C964),0)</f>
        <v>0</v>
      </c>
      <c r="AG964" s="53">
        <f>IF($AC964&gt;0,SUMIFS(Q$4:Q963,$D$4:$D963,$D964,$C$4:$C963,$C964),0)</f>
        <v>0</v>
      </c>
      <c r="AH964" s="53">
        <f>IF($AC964&gt;0,SUMIFS(M$4:M963,$D$4:$D963,$D964,$Z$4:$Z963,$Z964,$C$4:$C963,$C964),0)</f>
        <v>0</v>
      </c>
      <c r="AI964" s="43">
        <f>IF(OR($C964="",$I964=""),0,IF(COUNTIFS($C$5:$C964,$C964,$I$5:$I964,$I964)=1,1,0))</f>
        <v>0</v>
      </c>
      <c r="AJ964" s="43" t="str">
        <f>IF($AI964=1,SUMIFS($AI$4:$AI963,$C$4:$C963,$C964)+1,"")</f>
        <v/>
      </c>
      <c r="AK964" s="43">
        <f>IF(OR($C964="",$K964=""),0,IF(COUNTIFS($C$5:$C964,$C964,$K$5:$K964,$K964)=1,1,0))</f>
        <v>0</v>
      </c>
      <c r="AL964" s="43" t="str">
        <f>IF($AK964=1,SUMIFS($AK$4:$AK963,$C$4:$C963,$C964)+1,"")</f>
        <v/>
      </c>
      <c r="AM964" s="43">
        <f>IF(OR($C964="",$G964=""),0,IF(COUNTIFS($C$5:$C964,$C964,$G$5:$G964,$G964)=1,1,0))</f>
        <v>0</v>
      </c>
      <c r="AN964" s="43" t="str">
        <f>IF($AM964=1,SUMIFS($AM$4:$AM963,$C$4:$C963,$C964)+1,"")</f>
        <v/>
      </c>
    </row>
    <row r="965">
      <c r="A965" s="44" t="str">
        <f>IF(OR($B965="",$D965=""),"","TX"&amp;TEXT(ROW()-4,"0000"))</f>
        <v/>
      </c>
      <c r="B965" s="42" t="n"/>
      <c r="C965" s="47" t="str">
        <f>IF($B965="","",YEAR($B965)*100+MONTH($B965))</f>
        <v/>
      </c>
      <c r="D965" s="37" t="n"/>
      <c r="E965" s="45" t="str">
        <f>IF($D965="","",IFERROR(INDEX(CARDS!$B$5:$B$34,MATCH($D965,CARDS!$A$5:$A$34,0)),"⚠ Card ID?"))</f>
        <v/>
      </c>
      <c r="F965" s="45" t="str">
        <f>IF($D965="","",IFERROR(INDEX(CARDS!$C$5:$C$34,MATCH($D965,CARDS!$A$5:$A$34,0)),"⚠ Card ID?"))</f>
        <v/>
      </c>
      <c r="G965" s="37" t="n"/>
      <c r="H965" s="37" t="n"/>
      <c r="I965" s="41" t="n"/>
      <c r="J965" s="45" t="str">
        <f>IF($I965="","",IFERROR(INDEX(MCC_MASTER!$B$5:$B$504,MATCH($I965,MCC_MASTER!$A$5:$A$504,0)),"⚠ MCC chưa có"))</f>
        <v/>
      </c>
      <c r="K965" s="45" t="str">
        <f>IF($I965="","",IFERROR(IF(INDEX(MCC_MASTER!$C$5:$C$504,MATCH($I965,MCC_MASTER!$A$5:$A$504,0))="","Chưa phân loại",INDEX(MCC_MASTER!$C$5:$C$504,MATCH($I965,MCC_MASTER!$A$5:$A$504,0))),"Chưa phân loại"))</f>
        <v/>
      </c>
      <c r="L965" s="40" t="n"/>
      <c r="M965" s="48" t="str">
        <f>IF(OR($B965="",$D965=""),"",IF($AC965=0,0,IF(ISNUMBER(INDEX(CASHBACK_RULES!$L$5:$L$304,$AC965)),MAX(0,MIN($L965,INDEX(CASHBACK_RULES!$L$5:$L$304,$AC965)-$AH965)),MAX(0,$L965))))</f>
        <v/>
      </c>
      <c r="N965" s="49" t="str">
        <f>IF(OR($B965="",$D965=""),"",IF($AC965&gt;0,INDEX(CASHBACK_RULES!$I$5:$I$304,$AC965),0))</f>
        <v/>
      </c>
      <c r="O965" s="48" t="str">
        <f>IF(OR($B965="",$D965=""),"",ROUND($M965*$N965,0))</f>
        <v/>
      </c>
      <c r="P965" s="48" t="str">
        <f>IF($AC965&gt;0,IF(ISNUMBER(INDEX(CASHBACK_RULES!$J$5:$J$304,$AC965)),INDEX(CASHBACK_RULES!$J$5:$J$304,$AC965),"∞"),"")</f>
        <v/>
      </c>
      <c r="Q965" s="48" t="str">
        <f>IF(OR($B965="",$D965=""),"",IF($AC965=0,0,MAX(0,MIN($O965,IF(ISNUMBER($P965),$P965-$AF965,1E+15),IF(ISNUMBER($AA965),$AA965-$AG965,1E+15)))))</f>
        <v/>
      </c>
      <c r="R965" s="48" t="str">
        <f>IF(OR($B965="",$D965=""),"",IF($AC965=0,"",IF(AND(NOT(ISNUMBER($P965)),NOT(ISNUMBER($AA965))),"∞",MAX(0,MIN(IF(ISNUMBER($P965),$P965-$AF965-$Q965,1E+15),IF(ISNUMBER($AA965),$AA965-$AG965-$Q965,1E+15))))))</f>
        <v/>
      </c>
      <c r="S965" s="47" t="str">
        <f>IF($AD965="","",YEAR($AD965)*100+MONTH($AD965))</f>
        <v/>
      </c>
      <c r="T965" s="50" t="str">
        <f>IF($AD965="","",IFERROR(IF(INDEX(CARDS!$I$5:$I$34,MATCH($D965,CARDS!$A$5:$A$34,0))="","",IF(INDEX(CARDS!$I$5:$I$34,MATCH($D965,CARDS!$A$5:$A$34,0))&gt;INDEX(CARDS!$H$5:$H$34,MATCH($D965,CARDS!$A$5:$A$34,0)),DATE(YEAR($AD965),MONTH($AD965),MIN(INDEX(CARDS!$I$5:$I$34,MATCH($D965,CARDS!$A$5:$A$34,0)),DAY(EOMONTH($AD965,0)))),DATE(YEAR($AD965),MONTH($AD965)+1,MIN(INDEX(CARDS!$I$5:$I$34,MATCH($D965,CARDS!$A$5:$A$34,0)),DAY(EOMONTH($AD965,1)))))),""))</f>
        <v/>
      </c>
      <c r="U965" s="38" t="n"/>
      <c r="V965" s="37" t="n"/>
      <c r="W965" s="38" t="n"/>
      <c r="X965" s="38" t="n"/>
      <c r="Y965" s="44" t="str">
        <f>IF($AC965&gt;0,INDEX(CASHBACK_RULES!$A$5:$A$304,$AC965),"")</f>
        <v/>
      </c>
      <c r="Z965" s="45" t="str">
        <f>IF($AC965&gt;0,INDEX(CASHBACK_RULES!$E$5:$E$304,$AC965)&amp;"","")</f>
        <v/>
      </c>
      <c r="AA965" s="48" t="str">
        <f>IF($AC965&gt;0,IF(ISNUMBER(INDEX(CASHBACK_RULES!$K$5:$K$304,$AC965)),INDEX(CASHBACK_RULES!$K$5:$K$304,$AC965),"∞"),"")</f>
        <v/>
      </c>
      <c r="AB965" s="44" t="str">
        <f>IF(OR($B965="",$D965=""),"",IF($U965="Cancelled","Đã hủy",IF($AC965=0,"Không được hoàn",IF($Q965=0,IF(OR($O965&gt;0,$M965&lt;$L965),"Đã đạt cap","Không được hoàn"),IF(OR($Q965&lt;$O965,$M965&lt;$L965),"Hoàn một phần","Được hoàn")))))</f>
        <v/>
      </c>
      <c r="AC965" s="43">
        <f>IF(OR($B965="",$D965="",$I965="",$L965=""),0,IF($U965="Cancelled",0,IF($W965&lt;&gt;"",IFERROR(IF(INDEX(CASHBACK_RULES!$B$5:$B$304,MATCH($W965,CASHBACK_RULES!$A$5:$A$304,0))=$D965,MATCH($W965,CASHBACK_RULES!$A$5:$A$304,0),0),0),IFERROR(MATCH(1,INDEX((CASHBACK_RULES!$B$5:$B$304=$D965)*(CASHBACK_RULES!$G$5:$G$304=$I965)*(((CASHBACK_RULES!$N$5:$N$304="")+(CASHBACK_RULES!$N$5:$N$304&lt;=$B965))&gt;0)*(((CASHBACK_RULES!$O$5:$O$304="")+(CASHBACK_RULES!$O$5:$O$304&gt;=$B965))&gt;0)*(((CASHBACK_RULES!$M$5:$M$304="")+(CASHBACK_RULES!$M$5:$M$304&lt;=$L965))&gt;0),0),0),0))))</f>
        <v>0</v>
      </c>
      <c r="AD965" s="51" t="str">
        <f>IF(OR($B965="",$D965=""),"",IFERROR(IF(INDEX(CARDS!$H$5:$H$34,MATCH($D965,CARDS!$A$5:$A$34,0))="","",IF(DAY($B965)&lt;=INDEX(CARDS!$H$5:$H$34,MATCH($D965,CARDS!$A$5:$A$34,0)),DATE(YEAR($B965),MONTH($B965),MIN(INDEX(CARDS!$H$5:$H$34,MATCH($D965,CARDS!$A$5:$A$34,0)),DAY(EOMONTH($B965,0)))),DATE(YEAR($B965),MONTH($B965)+1,MIN(INDEX(CARDS!$H$5:$H$34,MATCH($D965,CARDS!$A$5:$A$34,0)),DAY(EOMONTH($B965,1)))))),""))</f>
        <v/>
      </c>
      <c r="AE965" s="52" t="str">
        <f>IF($C965="","",$C965&amp;"|"&amp;COUNTIF($C$5:$C965,$C965))</f>
        <v/>
      </c>
      <c r="AF965" s="53">
        <f>IF($AC965&gt;0,SUMIFS(Q$4:Q964,$D$4:$D964,$D965,$Z$4:$Z964,$Z965,$C$4:$C964,$C965),0)</f>
        <v>0</v>
      </c>
      <c r="AG965" s="53">
        <f>IF($AC965&gt;0,SUMIFS(Q$4:Q964,$D$4:$D964,$D965,$C$4:$C964,$C965),0)</f>
        <v>0</v>
      </c>
      <c r="AH965" s="53">
        <f>IF($AC965&gt;0,SUMIFS(M$4:M964,$D$4:$D964,$D965,$Z$4:$Z964,$Z965,$C$4:$C964,$C965),0)</f>
        <v>0</v>
      </c>
      <c r="AI965" s="43">
        <f>IF(OR($C965="",$I965=""),0,IF(COUNTIFS($C$5:$C965,$C965,$I$5:$I965,$I965)=1,1,0))</f>
        <v>0</v>
      </c>
      <c r="AJ965" s="43" t="str">
        <f>IF($AI965=1,SUMIFS($AI$4:$AI964,$C$4:$C964,$C965)+1,"")</f>
        <v/>
      </c>
      <c r="AK965" s="43">
        <f>IF(OR($C965="",$K965=""),0,IF(COUNTIFS($C$5:$C965,$C965,$K$5:$K965,$K965)=1,1,0))</f>
        <v>0</v>
      </c>
      <c r="AL965" s="43" t="str">
        <f>IF($AK965=1,SUMIFS($AK$4:$AK964,$C$4:$C964,$C965)+1,"")</f>
        <v/>
      </c>
      <c r="AM965" s="43">
        <f>IF(OR($C965="",$G965=""),0,IF(COUNTIFS($C$5:$C965,$C965,$G$5:$G965,$G965)=1,1,0))</f>
        <v>0</v>
      </c>
      <c r="AN965" s="43" t="str">
        <f>IF($AM965=1,SUMIFS($AM$4:$AM964,$C$4:$C964,$C965)+1,"")</f>
        <v/>
      </c>
    </row>
    <row r="966">
      <c r="A966" s="44" t="str">
        <f>IF(OR($B966="",$D966=""),"","TX"&amp;TEXT(ROW()-4,"0000"))</f>
        <v/>
      </c>
      <c r="B966" s="42" t="n"/>
      <c r="C966" s="47" t="str">
        <f>IF($B966="","",YEAR($B966)*100+MONTH($B966))</f>
        <v/>
      </c>
      <c r="D966" s="37" t="n"/>
      <c r="E966" s="45" t="str">
        <f>IF($D966="","",IFERROR(INDEX(CARDS!$B$5:$B$34,MATCH($D966,CARDS!$A$5:$A$34,0)),"⚠ Card ID?"))</f>
        <v/>
      </c>
      <c r="F966" s="45" t="str">
        <f>IF($D966="","",IFERROR(INDEX(CARDS!$C$5:$C$34,MATCH($D966,CARDS!$A$5:$A$34,0)),"⚠ Card ID?"))</f>
        <v/>
      </c>
      <c r="G966" s="37" t="n"/>
      <c r="H966" s="37" t="n"/>
      <c r="I966" s="41" t="n"/>
      <c r="J966" s="45" t="str">
        <f>IF($I966="","",IFERROR(INDEX(MCC_MASTER!$B$5:$B$504,MATCH($I966,MCC_MASTER!$A$5:$A$504,0)),"⚠ MCC chưa có"))</f>
        <v/>
      </c>
      <c r="K966" s="45" t="str">
        <f>IF($I966="","",IFERROR(IF(INDEX(MCC_MASTER!$C$5:$C$504,MATCH($I966,MCC_MASTER!$A$5:$A$504,0))="","Chưa phân loại",INDEX(MCC_MASTER!$C$5:$C$504,MATCH($I966,MCC_MASTER!$A$5:$A$504,0))),"Chưa phân loại"))</f>
        <v/>
      </c>
      <c r="L966" s="40" t="n"/>
      <c r="M966" s="48" t="str">
        <f>IF(OR($B966="",$D966=""),"",IF($AC966=0,0,IF(ISNUMBER(INDEX(CASHBACK_RULES!$L$5:$L$304,$AC966)),MAX(0,MIN($L966,INDEX(CASHBACK_RULES!$L$5:$L$304,$AC966)-$AH966)),MAX(0,$L966))))</f>
        <v/>
      </c>
      <c r="N966" s="49" t="str">
        <f>IF(OR($B966="",$D966=""),"",IF($AC966&gt;0,INDEX(CASHBACK_RULES!$I$5:$I$304,$AC966),0))</f>
        <v/>
      </c>
      <c r="O966" s="48" t="str">
        <f>IF(OR($B966="",$D966=""),"",ROUND($M966*$N966,0))</f>
        <v/>
      </c>
      <c r="P966" s="48" t="str">
        <f>IF($AC966&gt;0,IF(ISNUMBER(INDEX(CASHBACK_RULES!$J$5:$J$304,$AC966)),INDEX(CASHBACK_RULES!$J$5:$J$304,$AC966),"∞"),"")</f>
        <v/>
      </c>
      <c r="Q966" s="48" t="str">
        <f>IF(OR($B966="",$D966=""),"",IF($AC966=0,0,MAX(0,MIN($O966,IF(ISNUMBER($P966),$P966-$AF966,1E+15),IF(ISNUMBER($AA966),$AA966-$AG966,1E+15)))))</f>
        <v/>
      </c>
      <c r="R966" s="48" t="str">
        <f>IF(OR($B966="",$D966=""),"",IF($AC966=0,"",IF(AND(NOT(ISNUMBER($P966)),NOT(ISNUMBER($AA966))),"∞",MAX(0,MIN(IF(ISNUMBER($P966),$P966-$AF966-$Q966,1E+15),IF(ISNUMBER($AA966),$AA966-$AG966-$Q966,1E+15))))))</f>
        <v/>
      </c>
      <c r="S966" s="47" t="str">
        <f>IF($AD966="","",YEAR($AD966)*100+MONTH($AD966))</f>
        <v/>
      </c>
      <c r="T966" s="50" t="str">
        <f>IF($AD966="","",IFERROR(IF(INDEX(CARDS!$I$5:$I$34,MATCH($D966,CARDS!$A$5:$A$34,0))="","",IF(INDEX(CARDS!$I$5:$I$34,MATCH($D966,CARDS!$A$5:$A$34,0))&gt;INDEX(CARDS!$H$5:$H$34,MATCH($D966,CARDS!$A$5:$A$34,0)),DATE(YEAR($AD966),MONTH($AD966),MIN(INDEX(CARDS!$I$5:$I$34,MATCH($D966,CARDS!$A$5:$A$34,0)),DAY(EOMONTH($AD966,0)))),DATE(YEAR($AD966),MONTH($AD966)+1,MIN(INDEX(CARDS!$I$5:$I$34,MATCH($D966,CARDS!$A$5:$A$34,0)),DAY(EOMONTH($AD966,1)))))),""))</f>
        <v/>
      </c>
      <c r="U966" s="38" t="n"/>
      <c r="V966" s="37" t="n"/>
      <c r="W966" s="38" t="n"/>
      <c r="X966" s="38" t="n"/>
      <c r="Y966" s="44" t="str">
        <f>IF($AC966&gt;0,INDEX(CASHBACK_RULES!$A$5:$A$304,$AC966),"")</f>
        <v/>
      </c>
      <c r="Z966" s="45" t="str">
        <f>IF($AC966&gt;0,INDEX(CASHBACK_RULES!$E$5:$E$304,$AC966)&amp;"","")</f>
        <v/>
      </c>
      <c r="AA966" s="48" t="str">
        <f>IF($AC966&gt;0,IF(ISNUMBER(INDEX(CASHBACK_RULES!$K$5:$K$304,$AC966)),INDEX(CASHBACK_RULES!$K$5:$K$304,$AC966),"∞"),"")</f>
        <v/>
      </c>
      <c r="AB966" s="44" t="str">
        <f>IF(OR($B966="",$D966=""),"",IF($U966="Cancelled","Đã hủy",IF($AC966=0,"Không được hoàn",IF($Q966=0,IF(OR($O966&gt;0,$M966&lt;$L966),"Đã đạt cap","Không được hoàn"),IF(OR($Q966&lt;$O966,$M966&lt;$L966),"Hoàn một phần","Được hoàn")))))</f>
        <v/>
      </c>
      <c r="AC966" s="43">
        <f>IF(OR($B966="",$D966="",$I966="",$L966=""),0,IF($U966="Cancelled",0,IF($W966&lt;&gt;"",IFERROR(IF(INDEX(CASHBACK_RULES!$B$5:$B$304,MATCH($W966,CASHBACK_RULES!$A$5:$A$304,0))=$D966,MATCH($W966,CASHBACK_RULES!$A$5:$A$304,0),0),0),IFERROR(MATCH(1,INDEX((CASHBACK_RULES!$B$5:$B$304=$D966)*(CASHBACK_RULES!$G$5:$G$304=$I966)*(((CASHBACK_RULES!$N$5:$N$304="")+(CASHBACK_RULES!$N$5:$N$304&lt;=$B966))&gt;0)*(((CASHBACK_RULES!$O$5:$O$304="")+(CASHBACK_RULES!$O$5:$O$304&gt;=$B966))&gt;0)*(((CASHBACK_RULES!$M$5:$M$304="")+(CASHBACK_RULES!$M$5:$M$304&lt;=$L966))&gt;0),0),0),0))))</f>
        <v>0</v>
      </c>
      <c r="AD966" s="51" t="str">
        <f>IF(OR($B966="",$D966=""),"",IFERROR(IF(INDEX(CARDS!$H$5:$H$34,MATCH($D966,CARDS!$A$5:$A$34,0))="","",IF(DAY($B966)&lt;=INDEX(CARDS!$H$5:$H$34,MATCH($D966,CARDS!$A$5:$A$34,0)),DATE(YEAR($B966),MONTH($B966),MIN(INDEX(CARDS!$H$5:$H$34,MATCH($D966,CARDS!$A$5:$A$34,0)),DAY(EOMONTH($B966,0)))),DATE(YEAR($B966),MONTH($B966)+1,MIN(INDEX(CARDS!$H$5:$H$34,MATCH($D966,CARDS!$A$5:$A$34,0)),DAY(EOMONTH($B966,1)))))),""))</f>
        <v/>
      </c>
      <c r="AE966" s="52" t="str">
        <f>IF($C966="","",$C966&amp;"|"&amp;COUNTIF($C$5:$C966,$C966))</f>
        <v/>
      </c>
      <c r="AF966" s="53">
        <f>IF($AC966&gt;0,SUMIFS(Q$4:Q965,$D$4:$D965,$D966,$Z$4:$Z965,$Z966,$C$4:$C965,$C966),0)</f>
        <v>0</v>
      </c>
      <c r="AG966" s="53">
        <f>IF($AC966&gt;0,SUMIFS(Q$4:Q965,$D$4:$D965,$D966,$C$4:$C965,$C966),0)</f>
        <v>0</v>
      </c>
      <c r="AH966" s="53">
        <f>IF($AC966&gt;0,SUMIFS(M$4:M965,$D$4:$D965,$D966,$Z$4:$Z965,$Z966,$C$4:$C965,$C966),0)</f>
        <v>0</v>
      </c>
      <c r="AI966" s="43">
        <f>IF(OR($C966="",$I966=""),0,IF(COUNTIFS($C$5:$C966,$C966,$I$5:$I966,$I966)=1,1,0))</f>
        <v>0</v>
      </c>
      <c r="AJ966" s="43" t="str">
        <f>IF($AI966=1,SUMIFS($AI$4:$AI965,$C$4:$C965,$C966)+1,"")</f>
        <v/>
      </c>
      <c r="AK966" s="43">
        <f>IF(OR($C966="",$K966=""),0,IF(COUNTIFS($C$5:$C966,$C966,$K$5:$K966,$K966)=1,1,0))</f>
        <v>0</v>
      </c>
      <c r="AL966" s="43" t="str">
        <f>IF($AK966=1,SUMIFS($AK$4:$AK965,$C$4:$C965,$C966)+1,"")</f>
        <v/>
      </c>
      <c r="AM966" s="43">
        <f>IF(OR($C966="",$G966=""),0,IF(COUNTIFS($C$5:$C966,$C966,$G$5:$G966,$G966)=1,1,0))</f>
        <v>0</v>
      </c>
      <c r="AN966" s="43" t="str">
        <f>IF($AM966=1,SUMIFS($AM$4:$AM965,$C$4:$C965,$C966)+1,"")</f>
        <v/>
      </c>
    </row>
    <row r="967">
      <c r="A967" s="44" t="str">
        <f>IF(OR($B967="",$D967=""),"","TX"&amp;TEXT(ROW()-4,"0000"))</f>
        <v/>
      </c>
      <c r="B967" s="42" t="n"/>
      <c r="C967" s="47" t="str">
        <f>IF($B967="","",YEAR($B967)*100+MONTH($B967))</f>
        <v/>
      </c>
      <c r="D967" s="37" t="n"/>
      <c r="E967" s="45" t="str">
        <f>IF($D967="","",IFERROR(INDEX(CARDS!$B$5:$B$34,MATCH($D967,CARDS!$A$5:$A$34,0)),"⚠ Card ID?"))</f>
        <v/>
      </c>
      <c r="F967" s="45" t="str">
        <f>IF($D967="","",IFERROR(INDEX(CARDS!$C$5:$C$34,MATCH($D967,CARDS!$A$5:$A$34,0)),"⚠ Card ID?"))</f>
        <v/>
      </c>
      <c r="G967" s="37" t="n"/>
      <c r="H967" s="37" t="n"/>
      <c r="I967" s="41" t="n"/>
      <c r="J967" s="45" t="str">
        <f>IF($I967="","",IFERROR(INDEX(MCC_MASTER!$B$5:$B$504,MATCH($I967,MCC_MASTER!$A$5:$A$504,0)),"⚠ MCC chưa có"))</f>
        <v/>
      </c>
      <c r="K967" s="45" t="str">
        <f>IF($I967="","",IFERROR(IF(INDEX(MCC_MASTER!$C$5:$C$504,MATCH($I967,MCC_MASTER!$A$5:$A$504,0))="","Chưa phân loại",INDEX(MCC_MASTER!$C$5:$C$504,MATCH($I967,MCC_MASTER!$A$5:$A$504,0))),"Chưa phân loại"))</f>
        <v/>
      </c>
      <c r="L967" s="40" t="n"/>
      <c r="M967" s="48" t="str">
        <f>IF(OR($B967="",$D967=""),"",IF($AC967=0,0,IF(ISNUMBER(INDEX(CASHBACK_RULES!$L$5:$L$304,$AC967)),MAX(0,MIN($L967,INDEX(CASHBACK_RULES!$L$5:$L$304,$AC967)-$AH967)),MAX(0,$L967))))</f>
        <v/>
      </c>
      <c r="N967" s="49" t="str">
        <f>IF(OR($B967="",$D967=""),"",IF($AC967&gt;0,INDEX(CASHBACK_RULES!$I$5:$I$304,$AC967),0))</f>
        <v/>
      </c>
      <c r="O967" s="48" t="str">
        <f>IF(OR($B967="",$D967=""),"",ROUND($M967*$N967,0))</f>
        <v/>
      </c>
      <c r="P967" s="48" t="str">
        <f>IF($AC967&gt;0,IF(ISNUMBER(INDEX(CASHBACK_RULES!$J$5:$J$304,$AC967)),INDEX(CASHBACK_RULES!$J$5:$J$304,$AC967),"∞"),"")</f>
        <v/>
      </c>
      <c r="Q967" s="48" t="str">
        <f>IF(OR($B967="",$D967=""),"",IF($AC967=0,0,MAX(0,MIN($O967,IF(ISNUMBER($P967),$P967-$AF967,1E+15),IF(ISNUMBER($AA967),$AA967-$AG967,1E+15)))))</f>
        <v/>
      </c>
      <c r="R967" s="48" t="str">
        <f>IF(OR($B967="",$D967=""),"",IF($AC967=0,"",IF(AND(NOT(ISNUMBER($P967)),NOT(ISNUMBER($AA967))),"∞",MAX(0,MIN(IF(ISNUMBER($P967),$P967-$AF967-$Q967,1E+15),IF(ISNUMBER($AA967),$AA967-$AG967-$Q967,1E+15))))))</f>
        <v/>
      </c>
      <c r="S967" s="47" t="str">
        <f>IF($AD967="","",YEAR($AD967)*100+MONTH($AD967))</f>
        <v/>
      </c>
      <c r="T967" s="50" t="str">
        <f>IF($AD967="","",IFERROR(IF(INDEX(CARDS!$I$5:$I$34,MATCH($D967,CARDS!$A$5:$A$34,0))="","",IF(INDEX(CARDS!$I$5:$I$34,MATCH($D967,CARDS!$A$5:$A$34,0))&gt;INDEX(CARDS!$H$5:$H$34,MATCH($D967,CARDS!$A$5:$A$34,0)),DATE(YEAR($AD967),MONTH($AD967),MIN(INDEX(CARDS!$I$5:$I$34,MATCH($D967,CARDS!$A$5:$A$34,0)),DAY(EOMONTH($AD967,0)))),DATE(YEAR($AD967),MONTH($AD967)+1,MIN(INDEX(CARDS!$I$5:$I$34,MATCH($D967,CARDS!$A$5:$A$34,0)),DAY(EOMONTH($AD967,1)))))),""))</f>
        <v/>
      </c>
      <c r="U967" s="38" t="n"/>
      <c r="V967" s="37" t="n"/>
      <c r="W967" s="38" t="n"/>
      <c r="X967" s="38" t="n"/>
      <c r="Y967" s="44" t="str">
        <f>IF($AC967&gt;0,INDEX(CASHBACK_RULES!$A$5:$A$304,$AC967),"")</f>
        <v/>
      </c>
      <c r="Z967" s="45" t="str">
        <f>IF($AC967&gt;0,INDEX(CASHBACK_RULES!$E$5:$E$304,$AC967)&amp;"","")</f>
        <v/>
      </c>
      <c r="AA967" s="48" t="str">
        <f>IF($AC967&gt;0,IF(ISNUMBER(INDEX(CASHBACK_RULES!$K$5:$K$304,$AC967)),INDEX(CASHBACK_RULES!$K$5:$K$304,$AC967),"∞"),"")</f>
        <v/>
      </c>
      <c r="AB967" s="44" t="str">
        <f>IF(OR($B967="",$D967=""),"",IF($U967="Cancelled","Đã hủy",IF($AC967=0,"Không được hoàn",IF($Q967=0,IF(OR($O967&gt;0,$M967&lt;$L967),"Đã đạt cap","Không được hoàn"),IF(OR($Q967&lt;$O967,$M967&lt;$L967),"Hoàn một phần","Được hoàn")))))</f>
        <v/>
      </c>
      <c r="AC967" s="43">
        <f>IF(OR($B967="",$D967="",$I967="",$L967=""),0,IF($U967="Cancelled",0,IF($W967&lt;&gt;"",IFERROR(IF(INDEX(CASHBACK_RULES!$B$5:$B$304,MATCH($W967,CASHBACK_RULES!$A$5:$A$304,0))=$D967,MATCH($W967,CASHBACK_RULES!$A$5:$A$304,0),0),0),IFERROR(MATCH(1,INDEX((CASHBACK_RULES!$B$5:$B$304=$D967)*(CASHBACK_RULES!$G$5:$G$304=$I967)*(((CASHBACK_RULES!$N$5:$N$304="")+(CASHBACK_RULES!$N$5:$N$304&lt;=$B967))&gt;0)*(((CASHBACK_RULES!$O$5:$O$304="")+(CASHBACK_RULES!$O$5:$O$304&gt;=$B967))&gt;0)*(((CASHBACK_RULES!$M$5:$M$304="")+(CASHBACK_RULES!$M$5:$M$304&lt;=$L967))&gt;0),0),0),0))))</f>
        <v>0</v>
      </c>
      <c r="AD967" s="51" t="str">
        <f>IF(OR($B967="",$D967=""),"",IFERROR(IF(INDEX(CARDS!$H$5:$H$34,MATCH($D967,CARDS!$A$5:$A$34,0))="","",IF(DAY($B967)&lt;=INDEX(CARDS!$H$5:$H$34,MATCH($D967,CARDS!$A$5:$A$34,0)),DATE(YEAR($B967),MONTH($B967),MIN(INDEX(CARDS!$H$5:$H$34,MATCH($D967,CARDS!$A$5:$A$34,0)),DAY(EOMONTH($B967,0)))),DATE(YEAR($B967),MONTH($B967)+1,MIN(INDEX(CARDS!$H$5:$H$34,MATCH($D967,CARDS!$A$5:$A$34,0)),DAY(EOMONTH($B967,1)))))),""))</f>
        <v/>
      </c>
      <c r="AE967" s="52" t="str">
        <f>IF($C967="","",$C967&amp;"|"&amp;COUNTIF($C$5:$C967,$C967))</f>
        <v/>
      </c>
      <c r="AF967" s="53">
        <f>IF($AC967&gt;0,SUMIFS(Q$4:Q966,$D$4:$D966,$D967,$Z$4:$Z966,$Z967,$C$4:$C966,$C967),0)</f>
        <v>0</v>
      </c>
      <c r="AG967" s="53">
        <f>IF($AC967&gt;0,SUMIFS(Q$4:Q966,$D$4:$D966,$D967,$C$4:$C966,$C967),0)</f>
        <v>0</v>
      </c>
      <c r="AH967" s="53">
        <f>IF($AC967&gt;0,SUMIFS(M$4:M966,$D$4:$D966,$D967,$Z$4:$Z966,$Z967,$C$4:$C966,$C967),0)</f>
        <v>0</v>
      </c>
      <c r="AI967" s="43">
        <f>IF(OR($C967="",$I967=""),0,IF(COUNTIFS($C$5:$C967,$C967,$I$5:$I967,$I967)=1,1,0))</f>
        <v>0</v>
      </c>
      <c r="AJ967" s="43" t="str">
        <f>IF($AI967=1,SUMIFS($AI$4:$AI966,$C$4:$C966,$C967)+1,"")</f>
        <v/>
      </c>
      <c r="AK967" s="43">
        <f>IF(OR($C967="",$K967=""),0,IF(COUNTIFS($C$5:$C967,$C967,$K$5:$K967,$K967)=1,1,0))</f>
        <v>0</v>
      </c>
      <c r="AL967" s="43" t="str">
        <f>IF($AK967=1,SUMIFS($AK$4:$AK966,$C$4:$C966,$C967)+1,"")</f>
        <v/>
      </c>
      <c r="AM967" s="43">
        <f>IF(OR($C967="",$G967=""),0,IF(COUNTIFS($C$5:$C967,$C967,$G$5:$G967,$G967)=1,1,0))</f>
        <v>0</v>
      </c>
      <c r="AN967" s="43" t="str">
        <f>IF($AM967=1,SUMIFS($AM$4:$AM966,$C$4:$C966,$C967)+1,"")</f>
        <v/>
      </c>
    </row>
    <row r="968">
      <c r="A968" s="44" t="str">
        <f>IF(OR($B968="",$D968=""),"","TX"&amp;TEXT(ROW()-4,"0000"))</f>
        <v/>
      </c>
      <c r="B968" s="42" t="n"/>
      <c r="C968" s="47" t="str">
        <f>IF($B968="","",YEAR($B968)*100+MONTH($B968))</f>
        <v/>
      </c>
      <c r="D968" s="37" t="n"/>
      <c r="E968" s="45" t="str">
        <f>IF($D968="","",IFERROR(INDEX(CARDS!$B$5:$B$34,MATCH($D968,CARDS!$A$5:$A$34,0)),"⚠ Card ID?"))</f>
        <v/>
      </c>
      <c r="F968" s="45" t="str">
        <f>IF($D968="","",IFERROR(INDEX(CARDS!$C$5:$C$34,MATCH($D968,CARDS!$A$5:$A$34,0)),"⚠ Card ID?"))</f>
        <v/>
      </c>
      <c r="G968" s="37" t="n"/>
      <c r="H968" s="37" t="n"/>
      <c r="I968" s="41" t="n"/>
      <c r="J968" s="45" t="str">
        <f>IF($I968="","",IFERROR(INDEX(MCC_MASTER!$B$5:$B$504,MATCH($I968,MCC_MASTER!$A$5:$A$504,0)),"⚠ MCC chưa có"))</f>
        <v/>
      </c>
      <c r="K968" s="45" t="str">
        <f>IF($I968="","",IFERROR(IF(INDEX(MCC_MASTER!$C$5:$C$504,MATCH($I968,MCC_MASTER!$A$5:$A$504,0))="","Chưa phân loại",INDEX(MCC_MASTER!$C$5:$C$504,MATCH($I968,MCC_MASTER!$A$5:$A$504,0))),"Chưa phân loại"))</f>
        <v/>
      </c>
      <c r="L968" s="40" t="n"/>
      <c r="M968" s="48" t="str">
        <f>IF(OR($B968="",$D968=""),"",IF($AC968=0,0,IF(ISNUMBER(INDEX(CASHBACK_RULES!$L$5:$L$304,$AC968)),MAX(0,MIN($L968,INDEX(CASHBACK_RULES!$L$5:$L$304,$AC968)-$AH968)),MAX(0,$L968))))</f>
        <v/>
      </c>
      <c r="N968" s="49" t="str">
        <f>IF(OR($B968="",$D968=""),"",IF($AC968&gt;0,INDEX(CASHBACK_RULES!$I$5:$I$304,$AC968),0))</f>
        <v/>
      </c>
      <c r="O968" s="48" t="str">
        <f>IF(OR($B968="",$D968=""),"",ROUND($M968*$N968,0))</f>
        <v/>
      </c>
      <c r="P968" s="48" t="str">
        <f>IF($AC968&gt;0,IF(ISNUMBER(INDEX(CASHBACK_RULES!$J$5:$J$304,$AC968)),INDEX(CASHBACK_RULES!$J$5:$J$304,$AC968),"∞"),"")</f>
        <v/>
      </c>
      <c r="Q968" s="48" t="str">
        <f>IF(OR($B968="",$D968=""),"",IF($AC968=0,0,MAX(0,MIN($O968,IF(ISNUMBER($P968),$P968-$AF968,1E+15),IF(ISNUMBER($AA968),$AA968-$AG968,1E+15)))))</f>
        <v/>
      </c>
      <c r="R968" s="48" t="str">
        <f>IF(OR($B968="",$D968=""),"",IF($AC968=0,"",IF(AND(NOT(ISNUMBER($P968)),NOT(ISNUMBER($AA968))),"∞",MAX(0,MIN(IF(ISNUMBER($P968),$P968-$AF968-$Q968,1E+15),IF(ISNUMBER($AA968),$AA968-$AG968-$Q968,1E+15))))))</f>
        <v/>
      </c>
      <c r="S968" s="47" t="str">
        <f>IF($AD968="","",YEAR($AD968)*100+MONTH($AD968))</f>
        <v/>
      </c>
      <c r="T968" s="50" t="str">
        <f>IF($AD968="","",IFERROR(IF(INDEX(CARDS!$I$5:$I$34,MATCH($D968,CARDS!$A$5:$A$34,0))="","",IF(INDEX(CARDS!$I$5:$I$34,MATCH($D968,CARDS!$A$5:$A$34,0))&gt;INDEX(CARDS!$H$5:$H$34,MATCH($D968,CARDS!$A$5:$A$34,0)),DATE(YEAR($AD968),MONTH($AD968),MIN(INDEX(CARDS!$I$5:$I$34,MATCH($D968,CARDS!$A$5:$A$34,0)),DAY(EOMONTH($AD968,0)))),DATE(YEAR($AD968),MONTH($AD968)+1,MIN(INDEX(CARDS!$I$5:$I$34,MATCH($D968,CARDS!$A$5:$A$34,0)),DAY(EOMONTH($AD968,1)))))),""))</f>
        <v/>
      </c>
      <c r="U968" s="38" t="n"/>
      <c r="V968" s="37" t="n"/>
      <c r="W968" s="38" t="n"/>
      <c r="X968" s="38" t="n"/>
      <c r="Y968" s="44" t="str">
        <f>IF($AC968&gt;0,INDEX(CASHBACK_RULES!$A$5:$A$304,$AC968),"")</f>
        <v/>
      </c>
      <c r="Z968" s="45" t="str">
        <f>IF($AC968&gt;0,INDEX(CASHBACK_RULES!$E$5:$E$304,$AC968)&amp;"","")</f>
        <v/>
      </c>
      <c r="AA968" s="48" t="str">
        <f>IF($AC968&gt;0,IF(ISNUMBER(INDEX(CASHBACK_RULES!$K$5:$K$304,$AC968)),INDEX(CASHBACK_RULES!$K$5:$K$304,$AC968),"∞"),"")</f>
        <v/>
      </c>
      <c r="AB968" s="44" t="str">
        <f>IF(OR($B968="",$D968=""),"",IF($U968="Cancelled","Đã hủy",IF($AC968=0,"Không được hoàn",IF($Q968=0,IF(OR($O968&gt;0,$M968&lt;$L968),"Đã đạt cap","Không được hoàn"),IF(OR($Q968&lt;$O968,$M968&lt;$L968),"Hoàn một phần","Được hoàn")))))</f>
        <v/>
      </c>
      <c r="AC968" s="43">
        <f>IF(OR($B968="",$D968="",$I968="",$L968=""),0,IF($U968="Cancelled",0,IF($W968&lt;&gt;"",IFERROR(IF(INDEX(CASHBACK_RULES!$B$5:$B$304,MATCH($W968,CASHBACK_RULES!$A$5:$A$304,0))=$D968,MATCH($W968,CASHBACK_RULES!$A$5:$A$304,0),0),0),IFERROR(MATCH(1,INDEX((CASHBACK_RULES!$B$5:$B$304=$D968)*(CASHBACK_RULES!$G$5:$G$304=$I968)*(((CASHBACK_RULES!$N$5:$N$304="")+(CASHBACK_RULES!$N$5:$N$304&lt;=$B968))&gt;0)*(((CASHBACK_RULES!$O$5:$O$304="")+(CASHBACK_RULES!$O$5:$O$304&gt;=$B968))&gt;0)*(((CASHBACK_RULES!$M$5:$M$304="")+(CASHBACK_RULES!$M$5:$M$304&lt;=$L968))&gt;0),0),0),0))))</f>
        <v>0</v>
      </c>
      <c r="AD968" s="51" t="str">
        <f>IF(OR($B968="",$D968=""),"",IFERROR(IF(INDEX(CARDS!$H$5:$H$34,MATCH($D968,CARDS!$A$5:$A$34,0))="","",IF(DAY($B968)&lt;=INDEX(CARDS!$H$5:$H$34,MATCH($D968,CARDS!$A$5:$A$34,0)),DATE(YEAR($B968),MONTH($B968),MIN(INDEX(CARDS!$H$5:$H$34,MATCH($D968,CARDS!$A$5:$A$34,0)),DAY(EOMONTH($B968,0)))),DATE(YEAR($B968),MONTH($B968)+1,MIN(INDEX(CARDS!$H$5:$H$34,MATCH($D968,CARDS!$A$5:$A$34,0)),DAY(EOMONTH($B968,1)))))),""))</f>
        <v/>
      </c>
      <c r="AE968" s="52" t="str">
        <f>IF($C968="","",$C968&amp;"|"&amp;COUNTIF($C$5:$C968,$C968))</f>
        <v/>
      </c>
      <c r="AF968" s="53">
        <f>IF($AC968&gt;0,SUMIFS(Q$4:Q967,$D$4:$D967,$D968,$Z$4:$Z967,$Z968,$C$4:$C967,$C968),0)</f>
        <v>0</v>
      </c>
      <c r="AG968" s="53">
        <f>IF($AC968&gt;0,SUMIFS(Q$4:Q967,$D$4:$D967,$D968,$C$4:$C967,$C968),0)</f>
        <v>0</v>
      </c>
      <c r="AH968" s="53">
        <f>IF($AC968&gt;0,SUMIFS(M$4:M967,$D$4:$D967,$D968,$Z$4:$Z967,$Z968,$C$4:$C967,$C968),0)</f>
        <v>0</v>
      </c>
      <c r="AI968" s="43">
        <f>IF(OR($C968="",$I968=""),0,IF(COUNTIFS($C$5:$C968,$C968,$I$5:$I968,$I968)=1,1,0))</f>
        <v>0</v>
      </c>
      <c r="AJ968" s="43" t="str">
        <f>IF($AI968=1,SUMIFS($AI$4:$AI967,$C$4:$C967,$C968)+1,"")</f>
        <v/>
      </c>
      <c r="AK968" s="43">
        <f>IF(OR($C968="",$K968=""),0,IF(COUNTIFS($C$5:$C968,$C968,$K$5:$K968,$K968)=1,1,0))</f>
        <v>0</v>
      </c>
      <c r="AL968" s="43" t="str">
        <f>IF($AK968=1,SUMIFS($AK$4:$AK967,$C$4:$C967,$C968)+1,"")</f>
        <v/>
      </c>
      <c r="AM968" s="43">
        <f>IF(OR($C968="",$G968=""),0,IF(COUNTIFS($C$5:$C968,$C968,$G$5:$G968,$G968)=1,1,0))</f>
        <v>0</v>
      </c>
      <c r="AN968" s="43" t="str">
        <f>IF($AM968=1,SUMIFS($AM$4:$AM967,$C$4:$C967,$C968)+1,"")</f>
        <v/>
      </c>
    </row>
    <row r="969">
      <c r="A969" s="44" t="str">
        <f>IF(OR($B969="",$D969=""),"","TX"&amp;TEXT(ROW()-4,"0000"))</f>
        <v/>
      </c>
      <c r="B969" s="42" t="n"/>
      <c r="C969" s="47" t="str">
        <f>IF($B969="","",YEAR($B969)*100+MONTH($B969))</f>
        <v/>
      </c>
      <c r="D969" s="37" t="n"/>
      <c r="E969" s="45" t="str">
        <f>IF($D969="","",IFERROR(INDEX(CARDS!$B$5:$B$34,MATCH($D969,CARDS!$A$5:$A$34,0)),"⚠ Card ID?"))</f>
        <v/>
      </c>
      <c r="F969" s="45" t="str">
        <f>IF($D969="","",IFERROR(INDEX(CARDS!$C$5:$C$34,MATCH($D969,CARDS!$A$5:$A$34,0)),"⚠ Card ID?"))</f>
        <v/>
      </c>
      <c r="G969" s="37" t="n"/>
      <c r="H969" s="37" t="n"/>
      <c r="I969" s="41" t="n"/>
      <c r="J969" s="45" t="str">
        <f>IF($I969="","",IFERROR(INDEX(MCC_MASTER!$B$5:$B$504,MATCH($I969,MCC_MASTER!$A$5:$A$504,0)),"⚠ MCC chưa có"))</f>
        <v/>
      </c>
      <c r="K969" s="45" t="str">
        <f>IF($I969="","",IFERROR(IF(INDEX(MCC_MASTER!$C$5:$C$504,MATCH($I969,MCC_MASTER!$A$5:$A$504,0))="","Chưa phân loại",INDEX(MCC_MASTER!$C$5:$C$504,MATCH($I969,MCC_MASTER!$A$5:$A$504,0))),"Chưa phân loại"))</f>
        <v/>
      </c>
      <c r="L969" s="40" t="n"/>
      <c r="M969" s="48" t="str">
        <f>IF(OR($B969="",$D969=""),"",IF($AC969=0,0,IF(ISNUMBER(INDEX(CASHBACK_RULES!$L$5:$L$304,$AC969)),MAX(0,MIN($L969,INDEX(CASHBACK_RULES!$L$5:$L$304,$AC969)-$AH969)),MAX(0,$L969))))</f>
        <v/>
      </c>
      <c r="N969" s="49" t="str">
        <f>IF(OR($B969="",$D969=""),"",IF($AC969&gt;0,INDEX(CASHBACK_RULES!$I$5:$I$304,$AC969),0))</f>
        <v/>
      </c>
      <c r="O969" s="48" t="str">
        <f>IF(OR($B969="",$D969=""),"",ROUND($M969*$N969,0))</f>
        <v/>
      </c>
      <c r="P969" s="48" t="str">
        <f>IF($AC969&gt;0,IF(ISNUMBER(INDEX(CASHBACK_RULES!$J$5:$J$304,$AC969)),INDEX(CASHBACK_RULES!$J$5:$J$304,$AC969),"∞"),"")</f>
        <v/>
      </c>
      <c r="Q969" s="48" t="str">
        <f>IF(OR($B969="",$D969=""),"",IF($AC969=0,0,MAX(0,MIN($O969,IF(ISNUMBER($P969),$P969-$AF969,1E+15),IF(ISNUMBER($AA969),$AA969-$AG969,1E+15)))))</f>
        <v/>
      </c>
      <c r="R969" s="48" t="str">
        <f>IF(OR($B969="",$D969=""),"",IF($AC969=0,"",IF(AND(NOT(ISNUMBER($P969)),NOT(ISNUMBER($AA969))),"∞",MAX(0,MIN(IF(ISNUMBER($P969),$P969-$AF969-$Q969,1E+15),IF(ISNUMBER($AA969),$AA969-$AG969-$Q969,1E+15))))))</f>
        <v/>
      </c>
      <c r="S969" s="47" t="str">
        <f>IF($AD969="","",YEAR($AD969)*100+MONTH($AD969))</f>
        <v/>
      </c>
      <c r="T969" s="50" t="str">
        <f>IF($AD969="","",IFERROR(IF(INDEX(CARDS!$I$5:$I$34,MATCH($D969,CARDS!$A$5:$A$34,0))="","",IF(INDEX(CARDS!$I$5:$I$34,MATCH($D969,CARDS!$A$5:$A$34,0))&gt;INDEX(CARDS!$H$5:$H$34,MATCH($D969,CARDS!$A$5:$A$34,0)),DATE(YEAR($AD969),MONTH($AD969),MIN(INDEX(CARDS!$I$5:$I$34,MATCH($D969,CARDS!$A$5:$A$34,0)),DAY(EOMONTH($AD969,0)))),DATE(YEAR($AD969),MONTH($AD969)+1,MIN(INDEX(CARDS!$I$5:$I$34,MATCH($D969,CARDS!$A$5:$A$34,0)),DAY(EOMONTH($AD969,1)))))),""))</f>
        <v/>
      </c>
      <c r="U969" s="38" t="n"/>
      <c r="V969" s="37" t="n"/>
      <c r="W969" s="38" t="n"/>
      <c r="X969" s="38" t="n"/>
      <c r="Y969" s="44" t="str">
        <f>IF($AC969&gt;0,INDEX(CASHBACK_RULES!$A$5:$A$304,$AC969),"")</f>
        <v/>
      </c>
      <c r="Z969" s="45" t="str">
        <f>IF($AC969&gt;0,INDEX(CASHBACK_RULES!$E$5:$E$304,$AC969)&amp;"","")</f>
        <v/>
      </c>
      <c r="AA969" s="48" t="str">
        <f>IF($AC969&gt;0,IF(ISNUMBER(INDEX(CASHBACK_RULES!$K$5:$K$304,$AC969)),INDEX(CASHBACK_RULES!$K$5:$K$304,$AC969),"∞"),"")</f>
        <v/>
      </c>
      <c r="AB969" s="44" t="str">
        <f>IF(OR($B969="",$D969=""),"",IF($U969="Cancelled","Đã hủy",IF($AC969=0,"Không được hoàn",IF($Q969=0,IF(OR($O969&gt;0,$M969&lt;$L969),"Đã đạt cap","Không được hoàn"),IF(OR($Q969&lt;$O969,$M969&lt;$L969),"Hoàn một phần","Được hoàn")))))</f>
        <v/>
      </c>
      <c r="AC969" s="43">
        <f>IF(OR($B969="",$D969="",$I969="",$L969=""),0,IF($U969="Cancelled",0,IF($W969&lt;&gt;"",IFERROR(IF(INDEX(CASHBACK_RULES!$B$5:$B$304,MATCH($W969,CASHBACK_RULES!$A$5:$A$304,0))=$D969,MATCH($W969,CASHBACK_RULES!$A$5:$A$304,0),0),0),IFERROR(MATCH(1,INDEX((CASHBACK_RULES!$B$5:$B$304=$D969)*(CASHBACK_RULES!$G$5:$G$304=$I969)*(((CASHBACK_RULES!$N$5:$N$304="")+(CASHBACK_RULES!$N$5:$N$304&lt;=$B969))&gt;0)*(((CASHBACK_RULES!$O$5:$O$304="")+(CASHBACK_RULES!$O$5:$O$304&gt;=$B969))&gt;0)*(((CASHBACK_RULES!$M$5:$M$304="")+(CASHBACK_RULES!$M$5:$M$304&lt;=$L969))&gt;0),0),0),0))))</f>
        <v>0</v>
      </c>
      <c r="AD969" s="51" t="str">
        <f>IF(OR($B969="",$D969=""),"",IFERROR(IF(INDEX(CARDS!$H$5:$H$34,MATCH($D969,CARDS!$A$5:$A$34,0))="","",IF(DAY($B969)&lt;=INDEX(CARDS!$H$5:$H$34,MATCH($D969,CARDS!$A$5:$A$34,0)),DATE(YEAR($B969),MONTH($B969),MIN(INDEX(CARDS!$H$5:$H$34,MATCH($D969,CARDS!$A$5:$A$34,0)),DAY(EOMONTH($B969,0)))),DATE(YEAR($B969),MONTH($B969)+1,MIN(INDEX(CARDS!$H$5:$H$34,MATCH($D969,CARDS!$A$5:$A$34,0)),DAY(EOMONTH($B969,1)))))),""))</f>
        <v/>
      </c>
      <c r="AE969" s="52" t="str">
        <f>IF($C969="","",$C969&amp;"|"&amp;COUNTIF($C$5:$C969,$C969))</f>
        <v/>
      </c>
      <c r="AF969" s="53">
        <f>IF($AC969&gt;0,SUMIFS(Q$4:Q968,$D$4:$D968,$D969,$Z$4:$Z968,$Z969,$C$4:$C968,$C969),0)</f>
        <v>0</v>
      </c>
      <c r="AG969" s="53">
        <f>IF($AC969&gt;0,SUMIFS(Q$4:Q968,$D$4:$D968,$D969,$C$4:$C968,$C969),0)</f>
        <v>0</v>
      </c>
      <c r="AH969" s="53">
        <f>IF($AC969&gt;0,SUMIFS(M$4:M968,$D$4:$D968,$D969,$Z$4:$Z968,$Z969,$C$4:$C968,$C969),0)</f>
        <v>0</v>
      </c>
      <c r="AI969" s="43">
        <f>IF(OR($C969="",$I969=""),0,IF(COUNTIFS($C$5:$C969,$C969,$I$5:$I969,$I969)=1,1,0))</f>
        <v>0</v>
      </c>
      <c r="AJ969" s="43" t="str">
        <f>IF($AI969=1,SUMIFS($AI$4:$AI968,$C$4:$C968,$C969)+1,"")</f>
        <v/>
      </c>
      <c r="AK969" s="43">
        <f>IF(OR($C969="",$K969=""),0,IF(COUNTIFS($C$5:$C969,$C969,$K$5:$K969,$K969)=1,1,0))</f>
        <v>0</v>
      </c>
      <c r="AL969" s="43" t="str">
        <f>IF($AK969=1,SUMIFS($AK$4:$AK968,$C$4:$C968,$C969)+1,"")</f>
        <v/>
      </c>
      <c r="AM969" s="43">
        <f>IF(OR($C969="",$G969=""),0,IF(COUNTIFS($C$5:$C969,$C969,$G$5:$G969,$G969)=1,1,0))</f>
        <v>0</v>
      </c>
      <c r="AN969" s="43" t="str">
        <f>IF($AM969=1,SUMIFS($AM$4:$AM968,$C$4:$C968,$C969)+1,"")</f>
        <v/>
      </c>
    </row>
    <row r="970">
      <c r="A970" s="44" t="str">
        <f>IF(OR($B970="",$D970=""),"","TX"&amp;TEXT(ROW()-4,"0000"))</f>
        <v/>
      </c>
      <c r="B970" s="42" t="n"/>
      <c r="C970" s="47" t="str">
        <f>IF($B970="","",YEAR($B970)*100+MONTH($B970))</f>
        <v/>
      </c>
      <c r="D970" s="37" t="n"/>
      <c r="E970" s="45" t="str">
        <f>IF($D970="","",IFERROR(INDEX(CARDS!$B$5:$B$34,MATCH($D970,CARDS!$A$5:$A$34,0)),"⚠ Card ID?"))</f>
        <v/>
      </c>
      <c r="F970" s="45" t="str">
        <f>IF($D970="","",IFERROR(INDEX(CARDS!$C$5:$C$34,MATCH($D970,CARDS!$A$5:$A$34,0)),"⚠ Card ID?"))</f>
        <v/>
      </c>
      <c r="G970" s="37" t="n"/>
      <c r="H970" s="37" t="n"/>
      <c r="I970" s="41" t="n"/>
      <c r="J970" s="45" t="str">
        <f>IF($I970="","",IFERROR(INDEX(MCC_MASTER!$B$5:$B$504,MATCH($I970,MCC_MASTER!$A$5:$A$504,0)),"⚠ MCC chưa có"))</f>
        <v/>
      </c>
      <c r="K970" s="45" t="str">
        <f>IF($I970="","",IFERROR(IF(INDEX(MCC_MASTER!$C$5:$C$504,MATCH($I970,MCC_MASTER!$A$5:$A$504,0))="","Chưa phân loại",INDEX(MCC_MASTER!$C$5:$C$504,MATCH($I970,MCC_MASTER!$A$5:$A$504,0))),"Chưa phân loại"))</f>
        <v/>
      </c>
      <c r="L970" s="40" t="n"/>
      <c r="M970" s="48" t="str">
        <f>IF(OR($B970="",$D970=""),"",IF($AC970=0,0,IF(ISNUMBER(INDEX(CASHBACK_RULES!$L$5:$L$304,$AC970)),MAX(0,MIN($L970,INDEX(CASHBACK_RULES!$L$5:$L$304,$AC970)-$AH970)),MAX(0,$L970))))</f>
        <v/>
      </c>
      <c r="N970" s="49" t="str">
        <f>IF(OR($B970="",$D970=""),"",IF($AC970&gt;0,INDEX(CASHBACK_RULES!$I$5:$I$304,$AC970),0))</f>
        <v/>
      </c>
      <c r="O970" s="48" t="str">
        <f>IF(OR($B970="",$D970=""),"",ROUND($M970*$N970,0))</f>
        <v/>
      </c>
      <c r="P970" s="48" t="str">
        <f>IF($AC970&gt;0,IF(ISNUMBER(INDEX(CASHBACK_RULES!$J$5:$J$304,$AC970)),INDEX(CASHBACK_RULES!$J$5:$J$304,$AC970),"∞"),"")</f>
        <v/>
      </c>
      <c r="Q970" s="48" t="str">
        <f>IF(OR($B970="",$D970=""),"",IF($AC970=0,0,MAX(0,MIN($O970,IF(ISNUMBER($P970),$P970-$AF970,1E+15),IF(ISNUMBER($AA970),$AA970-$AG970,1E+15)))))</f>
        <v/>
      </c>
      <c r="R970" s="48" t="str">
        <f>IF(OR($B970="",$D970=""),"",IF($AC970=0,"",IF(AND(NOT(ISNUMBER($P970)),NOT(ISNUMBER($AA970))),"∞",MAX(0,MIN(IF(ISNUMBER($P970),$P970-$AF970-$Q970,1E+15),IF(ISNUMBER($AA970),$AA970-$AG970-$Q970,1E+15))))))</f>
        <v/>
      </c>
      <c r="S970" s="47" t="str">
        <f>IF($AD970="","",YEAR($AD970)*100+MONTH($AD970))</f>
        <v/>
      </c>
      <c r="T970" s="50" t="str">
        <f>IF($AD970="","",IFERROR(IF(INDEX(CARDS!$I$5:$I$34,MATCH($D970,CARDS!$A$5:$A$34,0))="","",IF(INDEX(CARDS!$I$5:$I$34,MATCH($D970,CARDS!$A$5:$A$34,0))&gt;INDEX(CARDS!$H$5:$H$34,MATCH($D970,CARDS!$A$5:$A$34,0)),DATE(YEAR($AD970),MONTH($AD970),MIN(INDEX(CARDS!$I$5:$I$34,MATCH($D970,CARDS!$A$5:$A$34,0)),DAY(EOMONTH($AD970,0)))),DATE(YEAR($AD970),MONTH($AD970)+1,MIN(INDEX(CARDS!$I$5:$I$34,MATCH($D970,CARDS!$A$5:$A$34,0)),DAY(EOMONTH($AD970,1)))))),""))</f>
        <v/>
      </c>
      <c r="U970" s="38" t="n"/>
      <c r="V970" s="37" t="n"/>
      <c r="W970" s="38" t="n"/>
      <c r="X970" s="38" t="n"/>
      <c r="Y970" s="44" t="str">
        <f>IF($AC970&gt;0,INDEX(CASHBACK_RULES!$A$5:$A$304,$AC970),"")</f>
        <v/>
      </c>
      <c r="Z970" s="45" t="str">
        <f>IF($AC970&gt;0,INDEX(CASHBACK_RULES!$E$5:$E$304,$AC970)&amp;"","")</f>
        <v/>
      </c>
      <c r="AA970" s="48" t="str">
        <f>IF($AC970&gt;0,IF(ISNUMBER(INDEX(CASHBACK_RULES!$K$5:$K$304,$AC970)),INDEX(CASHBACK_RULES!$K$5:$K$304,$AC970),"∞"),"")</f>
        <v/>
      </c>
      <c r="AB970" s="44" t="str">
        <f>IF(OR($B970="",$D970=""),"",IF($U970="Cancelled","Đã hủy",IF($AC970=0,"Không được hoàn",IF($Q970=0,IF(OR($O970&gt;0,$M970&lt;$L970),"Đã đạt cap","Không được hoàn"),IF(OR($Q970&lt;$O970,$M970&lt;$L970),"Hoàn một phần","Được hoàn")))))</f>
        <v/>
      </c>
      <c r="AC970" s="43">
        <f>IF(OR($B970="",$D970="",$I970="",$L970=""),0,IF($U970="Cancelled",0,IF($W970&lt;&gt;"",IFERROR(IF(INDEX(CASHBACK_RULES!$B$5:$B$304,MATCH($W970,CASHBACK_RULES!$A$5:$A$304,0))=$D970,MATCH($W970,CASHBACK_RULES!$A$5:$A$304,0),0),0),IFERROR(MATCH(1,INDEX((CASHBACK_RULES!$B$5:$B$304=$D970)*(CASHBACK_RULES!$G$5:$G$304=$I970)*(((CASHBACK_RULES!$N$5:$N$304="")+(CASHBACK_RULES!$N$5:$N$304&lt;=$B970))&gt;0)*(((CASHBACK_RULES!$O$5:$O$304="")+(CASHBACK_RULES!$O$5:$O$304&gt;=$B970))&gt;0)*(((CASHBACK_RULES!$M$5:$M$304="")+(CASHBACK_RULES!$M$5:$M$304&lt;=$L970))&gt;0),0),0),0))))</f>
        <v>0</v>
      </c>
      <c r="AD970" s="51" t="str">
        <f>IF(OR($B970="",$D970=""),"",IFERROR(IF(INDEX(CARDS!$H$5:$H$34,MATCH($D970,CARDS!$A$5:$A$34,0))="","",IF(DAY($B970)&lt;=INDEX(CARDS!$H$5:$H$34,MATCH($D970,CARDS!$A$5:$A$34,0)),DATE(YEAR($B970),MONTH($B970),MIN(INDEX(CARDS!$H$5:$H$34,MATCH($D970,CARDS!$A$5:$A$34,0)),DAY(EOMONTH($B970,0)))),DATE(YEAR($B970),MONTH($B970)+1,MIN(INDEX(CARDS!$H$5:$H$34,MATCH($D970,CARDS!$A$5:$A$34,0)),DAY(EOMONTH($B970,1)))))),""))</f>
        <v/>
      </c>
      <c r="AE970" s="52" t="str">
        <f>IF($C970="","",$C970&amp;"|"&amp;COUNTIF($C$5:$C970,$C970))</f>
        <v/>
      </c>
      <c r="AF970" s="53">
        <f>IF($AC970&gt;0,SUMIFS(Q$4:Q969,$D$4:$D969,$D970,$Z$4:$Z969,$Z970,$C$4:$C969,$C970),0)</f>
        <v>0</v>
      </c>
      <c r="AG970" s="53">
        <f>IF($AC970&gt;0,SUMIFS(Q$4:Q969,$D$4:$D969,$D970,$C$4:$C969,$C970),0)</f>
        <v>0</v>
      </c>
      <c r="AH970" s="53">
        <f>IF($AC970&gt;0,SUMIFS(M$4:M969,$D$4:$D969,$D970,$Z$4:$Z969,$Z970,$C$4:$C969,$C970),0)</f>
        <v>0</v>
      </c>
      <c r="AI970" s="43">
        <f>IF(OR($C970="",$I970=""),0,IF(COUNTIFS($C$5:$C970,$C970,$I$5:$I970,$I970)=1,1,0))</f>
        <v>0</v>
      </c>
      <c r="AJ970" s="43" t="str">
        <f>IF($AI970=1,SUMIFS($AI$4:$AI969,$C$4:$C969,$C970)+1,"")</f>
        <v/>
      </c>
      <c r="AK970" s="43">
        <f>IF(OR($C970="",$K970=""),0,IF(COUNTIFS($C$5:$C970,$C970,$K$5:$K970,$K970)=1,1,0))</f>
        <v>0</v>
      </c>
      <c r="AL970" s="43" t="str">
        <f>IF($AK970=1,SUMIFS($AK$4:$AK969,$C$4:$C969,$C970)+1,"")</f>
        <v/>
      </c>
      <c r="AM970" s="43">
        <f>IF(OR($C970="",$G970=""),0,IF(COUNTIFS($C$5:$C970,$C970,$G$5:$G970,$G970)=1,1,0))</f>
        <v>0</v>
      </c>
      <c r="AN970" s="43" t="str">
        <f>IF($AM970=1,SUMIFS($AM$4:$AM969,$C$4:$C969,$C970)+1,"")</f>
        <v/>
      </c>
    </row>
    <row r="971">
      <c r="A971" s="44" t="str">
        <f>IF(OR($B971="",$D971=""),"","TX"&amp;TEXT(ROW()-4,"0000"))</f>
        <v/>
      </c>
      <c r="B971" s="42" t="n"/>
      <c r="C971" s="47" t="str">
        <f>IF($B971="","",YEAR($B971)*100+MONTH($B971))</f>
        <v/>
      </c>
      <c r="D971" s="37" t="n"/>
      <c r="E971" s="45" t="str">
        <f>IF($D971="","",IFERROR(INDEX(CARDS!$B$5:$B$34,MATCH($D971,CARDS!$A$5:$A$34,0)),"⚠ Card ID?"))</f>
        <v/>
      </c>
      <c r="F971" s="45" t="str">
        <f>IF($D971="","",IFERROR(INDEX(CARDS!$C$5:$C$34,MATCH($D971,CARDS!$A$5:$A$34,0)),"⚠ Card ID?"))</f>
        <v/>
      </c>
      <c r="G971" s="37" t="n"/>
      <c r="H971" s="37" t="n"/>
      <c r="I971" s="41" t="n"/>
      <c r="J971" s="45" t="str">
        <f>IF($I971="","",IFERROR(INDEX(MCC_MASTER!$B$5:$B$504,MATCH($I971,MCC_MASTER!$A$5:$A$504,0)),"⚠ MCC chưa có"))</f>
        <v/>
      </c>
      <c r="K971" s="45" t="str">
        <f>IF($I971="","",IFERROR(IF(INDEX(MCC_MASTER!$C$5:$C$504,MATCH($I971,MCC_MASTER!$A$5:$A$504,0))="","Chưa phân loại",INDEX(MCC_MASTER!$C$5:$C$504,MATCH($I971,MCC_MASTER!$A$5:$A$504,0))),"Chưa phân loại"))</f>
        <v/>
      </c>
      <c r="L971" s="40" t="n"/>
      <c r="M971" s="48" t="str">
        <f>IF(OR($B971="",$D971=""),"",IF($AC971=0,0,IF(ISNUMBER(INDEX(CASHBACK_RULES!$L$5:$L$304,$AC971)),MAX(0,MIN($L971,INDEX(CASHBACK_RULES!$L$5:$L$304,$AC971)-$AH971)),MAX(0,$L971))))</f>
        <v/>
      </c>
      <c r="N971" s="49" t="str">
        <f>IF(OR($B971="",$D971=""),"",IF($AC971&gt;0,INDEX(CASHBACK_RULES!$I$5:$I$304,$AC971),0))</f>
        <v/>
      </c>
      <c r="O971" s="48" t="str">
        <f>IF(OR($B971="",$D971=""),"",ROUND($M971*$N971,0))</f>
        <v/>
      </c>
      <c r="P971" s="48" t="str">
        <f>IF($AC971&gt;0,IF(ISNUMBER(INDEX(CASHBACK_RULES!$J$5:$J$304,$AC971)),INDEX(CASHBACK_RULES!$J$5:$J$304,$AC971),"∞"),"")</f>
        <v/>
      </c>
      <c r="Q971" s="48" t="str">
        <f>IF(OR($B971="",$D971=""),"",IF($AC971=0,0,MAX(0,MIN($O971,IF(ISNUMBER($P971),$P971-$AF971,1E+15),IF(ISNUMBER($AA971),$AA971-$AG971,1E+15)))))</f>
        <v/>
      </c>
      <c r="R971" s="48" t="str">
        <f>IF(OR($B971="",$D971=""),"",IF($AC971=0,"",IF(AND(NOT(ISNUMBER($P971)),NOT(ISNUMBER($AA971))),"∞",MAX(0,MIN(IF(ISNUMBER($P971),$P971-$AF971-$Q971,1E+15),IF(ISNUMBER($AA971),$AA971-$AG971-$Q971,1E+15))))))</f>
        <v/>
      </c>
      <c r="S971" s="47" t="str">
        <f>IF($AD971="","",YEAR($AD971)*100+MONTH($AD971))</f>
        <v/>
      </c>
      <c r="T971" s="50" t="str">
        <f>IF($AD971="","",IFERROR(IF(INDEX(CARDS!$I$5:$I$34,MATCH($D971,CARDS!$A$5:$A$34,0))="","",IF(INDEX(CARDS!$I$5:$I$34,MATCH($D971,CARDS!$A$5:$A$34,0))&gt;INDEX(CARDS!$H$5:$H$34,MATCH($D971,CARDS!$A$5:$A$34,0)),DATE(YEAR($AD971),MONTH($AD971),MIN(INDEX(CARDS!$I$5:$I$34,MATCH($D971,CARDS!$A$5:$A$34,0)),DAY(EOMONTH($AD971,0)))),DATE(YEAR($AD971),MONTH($AD971)+1,MIN(INDEX(CARDS!$I$5:$I$34,MATCH($D971,CARDS!$A$5:$A$34,0)),DAY(EOMONTH($AD971,1)))))),""))</f>
        <v/>
      </c>
      <c r="U971" s="38" t="n"/>
      <c r="V971" s="37" t="n"/>
      <c r="W971" s="38" t="n"/>
      <c r="X971" s="38" t="n"/>
      <c r="Y971" s="44" t="str">
        <f>IF($AC971&gt;0,INDEX(CASHBACK_RULES!$A$5:$A$304,$AC971),"")</f>
        <v/>
      </c>
      <c r="Z971" s="45" t="str">
        <f>IF($AC971&gt;0,INDEX(CASHBACK_RULES!$E$5:$E$304,$AC971)&amp;"","")</f>
        <v/>
      </c>
      <c r="AA971" s="48" t="str">
        <f>IF($AC971&gt;0,IF(ISNUMBER(INDEX(CASHBACK_RULES!$K$5:$K$304,$AC971)),INDEX(CASHBACK_RULES!$K$5:$K$304,$AC971),"∞"),"")</f>
        <v/>
      </c>
      <c r="AB971" s="44" t="str">
        <f>IF(OR($B971="",$D971=""),"",IF($U971="Cancelled","Đã hủy",IF($AC971=0,"Không được hoàn",IF($Q971=0,IF(OR($O971&gt;0,$M971&lt;$L971),"Đã đạt cap","Không được hoàn"),IF(OR($Q971&lt;$O971,$M971&lt;$L971),"Hoàn một phần","Được hoàn")))))</f>
        <v/>
      </c>
      <c r="AC971" s="43">
        <f>IF(OR($B971="",$D971="",$I971="",$L971=""),0,IF($U971="Cancelled",0,IF($W971&lt;&gt;"",IFERROR(IF(INDEX(CASHBACK_RULES!$B$5:$B$304,MATCH($W971,CASHBACK_RULES!$A$5:$A$304,0))=$D971,MATCH($W971,CASHBACK_RULES!$A$5:$A$304,0),0),0),IFERROR(MATCH(1,INDEX((CASHBACK_RULES!$B$5:$B$304=$D971)*(CASHBACK_RULES!$G$5:$G$304=$I971)*(((CASHBACK_RULES!$N$5:$N$304="")+(CASHBACK_RULES!$N$5:$N$304&lt;=$B971))&gt;0)*(((CASHBACK_RULES!$O$5:$O$304="")+(CASHBACK_RULES!$O$5:$O$304&gt;=$B971))&gt;0)*(((CASHBACK_RULES!$M$5:$M$304="")+(CASHBACK_RULES!$M$5:$M$304&lt;=$L971))&gt;0),0),0),0))))</f>
        <v>0</v>
      </c>
      <c r="AD971" s="51" t="str">
        <f>IF(OR($B971="",$D971=""),"",IFERROR(IF(INDEX(CARDS!$H$5:$H$34,MATCH($D971,CARDS!$A$5:$A$34,0))="","",IF(DAY($B971)&lt;=INDEX(CARDS!$H$5:$H$34,MATCH($D971,CARDS!$A$5:$A$34,0)),DATE(YEAR($B971),MONTH($B971),MIN(INDEX(CARDS!$H$5:$H$34,MATCH($D971,CARDS!$A$5:$A$34,0)),DAY(EOMONTH($B971,0)))),DATE(YEAR($B971),MONTH($B971)+1,MIN(INDEX(CARDS!$H$5:$H$34,MATCH($D971,CARDS!$A$5:$A$34,0)),DAY(EOMONTH($B971,1)))))),""))</f>
        <v/>
      </c>
      <c r="AE971" s="52" t="str">
        <f>IF($C971="","",$C971&amp;"|"&amp;COUNTIF($C$5:$C971,$C971))</f>
        <v/>
      </c>
      <c r="AF971" s="53">
        <f>IF($AC971&gt;0,SUMIFS(Q$4:Q970,$D$4:$D970,$D971,$Z$4:$Z970,$Z971,$C$4:$C970,$C971),0)</f>
        <v>0</v>
      </c>
      <c r="AG971" s="53">
        <f>IF($AC971&gt;0,SUMIFS(Q$4:Q970,$D$4:$D970,$D971,$C$4:$C970,$C971),0)</f>
        <v>0</v>
      </c>
      <c r="AH971" s="53">
        <f>IF($AC971&gt;0,SUMIFS(M$4:M970,$D$4:$D970,$D971,$Z$4:$Z970,$Z971,$C$4:$C970,$C971),0)</f>
        <v>0</v>
      </c>
      <c r="AI971" s="43">
        <f>IF(OR($C971="",$I971=""),0,IF(COUNTIFS($C$5:$C971,$C971,$I$5:$I971,$I971)=1,1,0))</f>
        <v>0</v>
      </c>
      <c r="AJ971" s="43" t="str">
        <f>IF($AI971=1,SUMIFS($AI$4:$AI970,$C$4:$C970,$C971)+1,"")</f>
        <v/>
      </c>
      <c r="AK971" s="43">
        <f>IF(OR($C971="",$K971=""),0,IF(COUNTIFS($C$5:$C971,$C971,$K$5:$K971,$K971)=1,1,0))</f>
        <v>0</v>
      </c>
      <c r="AL971" s="43" t="str">
        <f>IF($AK971=1,SUMIFS($AK$4:$AK970,$C$4:$C970,$C971)+1,"")</f>
        <v/>
      </c>
      <c r="AM971" s="43">
        <f>IF(OR($C971="",$G971=""),0,IF(COUNTIFS($C$5:$C971,$C971,$G$5:$G971,$G971)=1,1,0))</f>
        <v>0</v>
      </c>
      <c r="AN971" s="43" t="str">
        <f>IF($AM971=1,SUMIFS($AM$4:$AM970,$C$4:$C970,$C971)+1,"")</f>
        <v/>
      </c>
    </row>
    <row r="972">
      <c r="A972" s="44" t="str">
        <f>IF(OR($B972="",$D972=""),"","TX"&amp;TEXT(ROW()-4,"0000"))</f>
        <v/>
      </c>
      <c r="B972" s="42" t="n"/>
      <c r="C972" s="47" t="str">
        <f>IF($B972="","",YEAR($B972)*100+MONTH($B972))</f>
        <v/>
      </c>
      <c r="D972" s="37" t="n"/>
      <c r="E972" s="45" t="str">
        <f>IF($D972="","",IFERROR(INDEX(CARDS!$B$5:$B$34,MATCH($D972,CARDS!$A$5:$A$34,0)),"⚠ Card ID?"))</f>
        <v/>
      </c>
      <c r="F972" s="45" t="str">
        <f>IF($D972="","",IFERROR(INDEX(CARDS!$C$5:$C$34,MATCH($D972,CARDS!$A$5:$A$34,0)),"⚠ Card ID?"))</f>
        <v/>
      </c>
      <c r="G972" s="37" t="n"/>
      <c r="H972" s="37" t="n"/>
      <c r="I972" s="41" t="n"/>
      <c r="J972" s="45" t="str">
        <f>IF($I972="","",IFERROR(INDEX(MCC_MASTER!$B$5:$B$504,MATCH($I972,MCC_MASTER!$A$5:$A$504,0)),"⚠ MCC chưa có"))</f>
        <v/>
      </c>
      <c r="K972" s="45" t="str">
        <f>IF($I972="","",IFERROR(IF(INDEX(MCC_MASTER!$C$5:$C$504,MATCH($I972,MCC_MASTER!$A$5:$A$504,0))="","Chưa phân loại",INDEX(MCC_MASTER!$C$5:$C$504,MATCH($I972,MCC_MASTER!$A$5:$A$504,0))),"Chưa phân loại"))</f>
        <v/>
      </c>
      <c r="L972" s="40" t="n"/>
      <c r="M972" s="48" t="str">
        <f>IF(OR($B972="",$D972=""),"",IF($AC972=0,0,IF(ISNUMBER(INDEX(CASHBACK_RULES!$L$5:$L$304,$AC972)),MAX(0,MIN($L972,INDEX(CASHBACK_RULES!$L$5:$L$304,$AC972)-$AH972)),MAX(0,$L972))))</f>
        <v/>
      </c>
      <c r="N972" s="49" t="str">
        <f>IF(OR($B972="",$D972=""),"",IF($AC972&gt;0,INDEX(CASHBACK_RULES!$I$5:$I$304,$AC972),0))</f>
        <v/>
      </c>
      <c r="O972" s="48" t="str">
        <f>IF(OR($B972="",$D972=""),"",ROUND($M972*$N972,0))</f>
        <v/>
      </c>
      <c r="P972" s="48" t="str">
        <f>IF($AC972&gt;0,IF(ISNUMBER(INDEX(CASHBACK_RULES!$J$5:$J$304,$AC972)),INDEX(CASHBACK_RULES!$J$5:$J$304,$AC972),"∞"),"")</f>
        <v/>
      </c>
      <c r="Q972" s="48" t="str">
        <f>IF(OR($B972="",$D972=""),"",IF($AC972=0,0,MAX(0,MIN($O972,IF(ISNUMBER($P972),$P972-$AF972,1E+15),IF(ISNUMBER($AA972),$AA972-$AG972,1E+15)))))</f>
        <v/>
      </c>
      <c r="R972" s="48" t="str">
        <f>IF(OR($B972="",$D972=""),"",IF($AC972=0,"",IF(AND(NOT(ISNUMBER($P972)),NOT(ISNUMBER($AA972))),"∞",MAX(0,MIN(IF(ISNUMBER($P972),$P972-$AF972-$Q972,1E+15),IF(ISNUMBER($AA972),$AA972-$AG972-$Q972,1E+15))))))</f>
        <v/>
      </c>
      <c r="S972" s="47" t="str">
        <f>IF($AD972="","",YEAR($AD972)*100+MONTH($AD972))</f>
        <v/>
      </c>
      <c r="T972" s="50" t="str">
        <f>IF($AD972="","",IFERROR(IF(INDEX(CARDS!$I$5:$I$34,MATCH($D972,CARDS!$A$5:$A$34,0))="","",IF(INDEX(CARDS!$I$5:$I$34,MATCH($D972,CARDS!$A$5:$A$34,0))&gt;INDEX(CARDS!$H$5:$H$34,MATCH($D972,CARDS!$A$5:$A$34,0)),DATE(YEAR($AD972),MONTH($AD972),MIN(INDEX(CARDS!$I$5:$I$34,MATCH($D972,CARDS!$A$5:$A$34,0)),DAY(EOMONTH($AD972,0)))),DATE(YEAR($AD972),MONTH($AD972)+1,MIN(INDEX(CARDS!$I$5:$I$34,MATCH($D972,CARDS!$A$5:$A$34,0)),DAY(EOMONTH($AD972,1)))))),""))</f>
        <v/>
      </c>
      <c r="U972" s="38" t="n"/>
      <c r="V972" s="37" t="n"/>
      <c r="W972" s="38" t="n"/>
      <c r="X972" s="38" t="n"/>
      <c r="Y972" s="44" t="str">
        <f>IF($AC972&gt;0,INDEX(CASHBACK_RULES!$A$5:$A$304,$AC972),"")</f>
        <v/>
      </c>
      <c r="Z972" s="45" t="str">
        <f>IF($AC972&gt;0,INDEX(CASHBACK_RULES!$E$5:$E$304,$AC972)&amp;"","")</f>
        <v/>
      </c>
      <c r="AA972" s="48" t="str">
        <f>IF($AC972&gt;0,IF(ISNUMBER(INDEX(CASHBACK_RULES!$K$5:$K$304,$AC972)),INDEX(CASHBACK_RULES!$K$5:$K$304,$AC972),"∞"),"")</f>
        <v/>
      </c>
      <c r="AB972" s="44" t="str">
        <f>IF(OR($B972="",$D972=""),"",IF($U972="Cancelled","Đã hủy",IF($AC972=0,"Không được hoàn",IF($Q972=0,IF(OR($O972&gt;0,$M972&lt;$L972),"Đã đạt cap","Không được hoàn"),IF(OR($Q972&lt;$O972,$M972&lt;$L972),"Hoàn một phần","Được hoàn")))))</f>
        <v/>
      </c>
      <c r="AC972" s="43">
        <f>IF(OR($B972="",$D972="",$I972="",$L972=""),0,IF($U972="Cancelled",0,IF($W972&lt;&gt;"",IFERROR(IF(INDEX(CASHBACK_RULES!$B$5:$B$304,MATCH($W972,CASHBACK_RULES!$A$5:$A$304,0))=$D972,MATCH($W972,CASHBACK_RULES!$A$5:$A$304,0),0),0),IFERROR(MATCH(1,INDEX((CASHBACK_RULES!$B$5:$B$304=$D972)*(CASHBACK_RULES!$G$5:$G$304=$I972)*(((CASHBACK_RULES!$N$5:$N$304="")+(CASHBACK_RULES!$N$5:$N$304&lt;=$B972))&gt;0)*(((CASHBACK_RULES!$O$5:$O$304="")+(CASHBACK_RULES!$O$5:$O$304&gt;=$B972))&gt;0)*(((CASHBACK_RULES!$M$5:$M$304="")+(CASHBACK_RULES!$M$5:$M$304&lt;=$L972))&gt;0),0),0),0))))</f>
        <v>0</v>
      </c>
      <c r="AD972" s="51" t="str">
        <f>IF(OR($B972="",$D972=""),"",IFERROR(IF(INDEX(CARDS!$H$5:$H$34,MATCH($D972,CARDS!$A$5:$A$34,0))="","",IF(DAY($B972)&lt;=INDEX(CARDS!$H$5:$H$34,MATCH($D972,CARDS!$A$5:$A$34,0)),DATE(YEAR($B972),MONTH($B972),MIN(INDEX(CARDS!$H$5:$H$34,MATCH($D972,CARDS!$A$5:$A$34,0)),DAY(EOMONTH($B972,0)))),DATE(YEAR($B972),MONTH($B972)+1,MIN(INDEX(CARDS!$H$5:$H$34,MATCH($D972,CARDS!$A$5:$A$34,0)),DAY(EOMONTH($B972,1)))))),""))</f>
        <v/>
      </c>
      <c r="AE972" s="52" t="str">
        <f>IF($C972="","",$C972&amp;"|"&amp;COUNTIF($C$5:$C972,$C972))</f>
        <v/>
      </c>
      <c r="AF972" s="53">
        <f>IF($AC972&gt;0,SUMIFS(Q$4:Q971,$D$4:$D971,$D972,$Z$4:$Z971,$Z972,$C$4:$C971,$C972),0)</f>
        <v>0</v>
      </c>
      <c r="AG972" s="53">
        <f>IF($AC972&gt;0,SUMIFS(Q$4:Q971,$D$4:$D971,$D972,$C$4:$C971,$C972),0)</f>
        <v>0</v>
      </c>
      <c r="AH972" s="53">
        <f>IF($AC972&gt;0,SUMIFS(M$4:M971,$D$4:$D971,$D972,$Z$4:$Z971,$Z972,$C$4:$C971,$C972),0)</f>
        <v>0</v>
      </c>
      <c r="AI972" s="43">
        <f>IF(OR($C972="",$I972=""),0,IF(COUNTIFS($C$5:$C972,$C972,$I$5:$I972,$I972)=1,1,0))</f>
        <v>0</v>
      </c>
      <c r="AJ972" s="43" t="str">
        <f>IF($AI972=1,SUMIFS($AI$4:$AI971,$C$4:$C971,$C972)+1,"")</f>
        <v/>
      </c>
      <c r="AK972" s="43">
        <f>IF(OR($C972="",$K972=""),0,IF(COUNTIFS($C$5:$C972,$C972,$K$5:$K972,$K972)=1,1,0))</f>
        <v>0</v>
      </c>
      <c r="AL972" s="43" t="str">
        <f>IF($AK972=1,SUMIFS($AK$4:$AK971,$C$4:$C971,$C972)+1,"")</f>
        <v/>
      </c>
      <c r="AM972" s="43">
        <f>IF(OR($C972="",$G972=""),0,IF(COUNTIFS($C$5:$C972,$C972,$G$5:$G972,$G972)=1,1,0))</f>
        <v>0</v>
      </c>
      <c r="AN972" s="43" t="str">
        <f>IF($AM972=1,SUMIFS($AM$4:$AM971,$C$4:$C971,$C972)+1,"")</f>
        <v/>
      </c>
    </row>
    <row r="973">
      <c r="A973" s="44" t="str">
        <f>IF(OR($B973="",$D973=""),"","TX"&amp;TEXT(ROW()-4,"0000"))</f>
        <v/>
      </c>
      <c r="B973" s="42" t="n"/>
      <c r="C973" s="47" t="str">
        <f>IF($B973="","",YEAR($B973)*100+MONTH($B973))</f>
        <v/>
      </c>
      <c r="D973" s="37" t="n"/>
      <c r="E973" s="45" t="str">
        <f>IF($D973="","",IFERROR(INDEX(CARDS!$B$5:$B$34,MATCH($D973,CARDS!$A$5:$A$34,0)),"⚠ Card ID?"))</f>
        <v/>
      </c>
      <c r="F973" s="45" t="str">
        <f>IF($D973="","",IFERROR(INDEX(CARDS!$C$5:$C$34,MATCH($D973,CARDS!$A$5:$A$34,0)),"⚠ Card ID?"))</f>
        <v/>
      </c>
      <c r="G973" s="37" t="n"/>
      <c r="H973" s="37" t="n"/>
      <c r="I973" s="41" t="n"/>
      <c r="J973" s="45" t="str">
        <f>IF($I973="","",IFERROR(INDEX(MCC_MASTER!$B$5:$B$504,MATCH($I973,MCC_MASTER!$A$5:$A$504,0)),"⚠ MCC chưa có"))</f>
        <v/>
      </c>
      <c r="K973" s="45" t="str">
        <f>IF($I973="","",IFERROR(IF(INDEX(MCC_MASTER!$C$5:$C$504,MATCH($I973,MCC_MASTER!$A$5:$A$504,0))="","Chưa phân loại",INDEX(MCC_MASTER!$C$5:$C$504,MATCH($I973,MCC_MASTER!$A$5:$A$504,0))),"Chưa phân loại"))</f>
        <v/>
      </c>
      <c r="L973" s="40" t="n"/>
      <c r="M973" s="48" t="str">
        <f>IF(OR($B973="",$D973=""),"",IF($AC973=0,0,IF(ISNUMBER(INDEX(CASHBACK_RULES!$L$5:$L$304,$AC973)),MAX(0,MIN($L973,INDEX(CASHBACK_RULES!$L$5:$L$304,$AC973)-$AH973)),MAX(0,$L973))))</f>
        <v/>
      </c>
      <c r="N973" s="49" t="str">
        <f>IF(OR($B973="",$D973=""),"",IF($AC973&gt;0,INDEX(CASHBACK_RULES!$I$5:$I$304,$AC973),0))</f>
        <v/>
      </c>
      <c r="O973" s="48" t="str">
        <f>IF(OR($B973="",$D973=""),"",ROUND($M973*$N973,0))</f>
        <v/>
      </c>
      <c r="P973" s="48" t="str">
        <f>IF($AC973&gt;0,IF(ISNUMBER(INDEX(CASHBACK_RULES!$J$5:$J$304,$AC973)),INDEX(CASHBACK_RULES!$J$5:$J$304,$AC973),"∞"),"")</f>
        <v/>
      </c>
      <c r="Q973" s="48" t="str">
        <f>IF(OR($B973="",$D973=""),"",IF($AC973=0,0,MAX(0,MIN($O973,IF(ISNUMBER($P973),$P973-$AF973,1E+15),IF(ISNUMBER($AA973),$AA973-$AG973,1E+15)))))</f>
        <v/>
      </c>
      <c r="R973" s="48" t="str">
        <f>IF(OR($B973="",$D973=""),"",IF($AC973=0,"",IF(AND(NOT(ISNUMBER($P973)),NOT(ISNUMBER($AA973))),"∞",MAX(0,MIN(IF(ISNUMBER($P973),$P973-$AF973-$Q973,1E+15),IF(ISNUMBER($AA973),$AA973-$AG973-$Q973,1E+15))))))</f>
        <v/>
      </c>
      <c r="S973" s="47" t="str">
        <f>IF($AD973="","",YEAR($AD973)*100+MONTH($AD973))</f>
        <v/>
      </c>
      <c r="T973" s="50" t="str">
        <f>IF($AD973="","",IFERROR(IF(INDEX(CARDS!$I$5:$I$34,MATCH($D973,CARDS!$A$5:$A$34,0))="","",IF(INDEX(CARDS!$I$5:$I$34,MATCH($D973,CARDS!$A$5:$A$34,0))&gt;INDEX(CARDS!$H$5:$H$34,MATCH($D973,CARDS!$A$5:$A$34,0)),DATE(YEAR($AD973),MONTH($AD973),MIN(INDEX(CARDS!$I$5:$I$34,MATCH($D973,CARDS!$A$5:$A$34,0)),DAY(EOMONTH($AD973,0)))),DATE(YEAR($AD973),MONTH($AD973)+1,MIN(INDEX(CARDS!$I$5:$I$34,MATCH($D973,CARDS!$A$5:$A$34,0)),DAY(EOMONTH($AD973,1)))))),""))</f>
        <v/>
      </c>
      <c r="U973" s="38" t="n"/>
      <c r="V973" s="37" t="n"/>
      <c r="W973" s="38" t="n"/>
      <c r="X973" s="38" t="n"/>
      <c r="Y973" s="44" t="str">
        <f>IF($AC973&gt;0,INDEX(CASHBACK_RULES!$A$5:$A$304,$AC973),"")</f>
        <v/>
      </c>
      <c r="Z973" s="45" t="str">
        <f>IF($AC973&gt;0,INDEX(CASHBACK_RULES!$E$5:$E$304,$AC973)&amp;"","")</f>
        <v/>
      </c>
      <c r="AA973" s="48" t="str">
        <f>IF($AC973&gt;0,IF(ISNUMBER(INDEX(CASHBACK_RULES!$K$5:$K$304,$AC973)),INDEX(CASHBACK_RULES!$K$5:$K$304,$AC973),"∞"),"")</f>
        <v/>
      </c>
      <c r="AB973" s="44" t="str">
        <f>IF(OR($B973="",$D973=""),"",IF($U973="Cancelled","Đã hủy",IF($AC973=0,"Không được hoàn",IF($Q973=0,IF(OR($O973&gt;0,$M973&lt;$L973),"Đã đạt cap","Không được hoàn"),IF(OR($Q973&lt;$O973,$M973&lt;$L973),"Hoàn một phần","Được hoàn")))))</f>
        <v/>
      </c>
      <c r="AC973" s="43">
        <f>IF(OR($B973="",$D973="",$I973="",$L973=""),0,IF($U973="Cancelled",0,IF($W973&lt;&gt;"",IFERROR(IF(INDEX(CASHBACK_RULES!$B$5:$B$304,MATCH($W973,CASHBACK_RULES!$A$5:$A$304,0))=$D973,MATCH($W973,CASHBACK_RULES!$A$5:$A$304,0),0),0),IFERROR(MATCH(1,INDEX((CASHBACK_RULES!$B$5:$B$304=$D973)*(CASHBACK_RULES!$G$5:$G$304=$I973)*(((CASHBACK_RULES!$N$5:$N$304="")+(CASHBACK_RULES!$N$5:$N$304&lt;=$B973))&gt;0)*(((CASHBACK_RULES!$O$5:$O$304="")+(CASHBACK_RULES!$O$5:$O$304&gt;=$B973))&gt;0)*(((CASHBACK_RULES!$M$5:$M$304="")+(CASHBACK_RULES!$M$5:$M$304&lt;=$L973))&gt;0),0),0),0))))</f>
        <v>0</v>
      </c>
      <c r="AD973" s="51" t="str">
        <f>IF(OR($B973="",$D973=""),"",IFERROR(IF(INDEX(CARDS!$H$5:$H$34,MATCH($D973,CARDS!$A$5:$A$34,0))="","",IF(DAY($B973)&lt;=INDEX(CARDS!$H$5:$H$34,MATCH($D973,CARDS!$A$5:$A$34,0)),DATE(YEAR($B973),MONTH($B973),MIN(INDEX(CARDS!$H$5:$H$34,MATCH($D973,CARDS!$A$5:$A$34,0)),DAY(EOMONTH($B973,0)))),DATE(YEAR($B973),MONTH($B973)+1,MIN(INDEX(CARDS!$H$5:$H$34,MATCH($D973,CARDS!$A$5:$A$34,0)),DAY(EOMONTH($B973,1)))))),""))</f>
        <v/>
      </c>
      <c r="AE973" s="52" t="str">
        <f>IF($C973="","",$C973&amp;"|"&amp;COUNTIF($C$5:$C973,$C973))</f>
        <v/>
      </c>
      <c r="AF973" s="53">
        <f>IF($AC973&gt;0,SUMIFS(Q$4:Q972,$D$4:$D972,$D973,$Z$4:$Z972,$Z973,$C$4:$C972,$C973),0)</f>
        <v>0</v>
      </c>
      <c r="AG973" s="53">
        <f>IF($AC973&gt;0,SUMIFS(Q$4:Q972,$D$4:$D972,$D973,$C$4:$C972,$C973),0)</f>
        <v>0</v>
      </c>
      <c r="AH973" s="53">
        <f>IF($AC973&gt;0,SUMIFS(M$4:M972,$D$4:$D972,$D973,$Z$4:$Z972,$Z973,$C$4:$C972,$C973),0)</f>
        <v>0</v>
      </c>
      <c r="AI973" s="43">
        <f>IF(OR($C973="",$I973=""),0,IF(COUNTIFS($C$5:$C973,$C973,$I$5:$I973,$I973)=1,1,0))</f>
        <v>0</v>
      </c>
      <c r="AJ973" s="43" t="str">
        <f>IF($AI973=1,SUMIFS($AI$4:$AI972,$C$4:$C972,$C973)+1,"")</f>
        <v/>
      </c>
      <c r="AK973" s="43">
        <f>IF(OR($C973="",$K973=""),0,IF(COUNTIFS($C$5:$C973,$C973,$K$5:$K973,$K973)=1,1,0))</f>
        <v>0</v>
      </c>
      <c r="AL973" s="43" t="str">
        <f>IF($AK973=1,SUMIFS($AK$4:$AK972,$C$4:$C972,$C973)+1,"")</f>
        <v/>
      </c>
      <c r="AM973" s="43">
        <f>IF(OR($C973="",$G973=""),0,IF(COUNTIFS($C$5:$C973,$C973,$G$5:$G973,$G973)=1,1,0))</f>
        <v>0</v>
      </c>
      <c r="AN973" s="43" t="str">
        <f>IF($AM973=1,SUMIFS($AM$4:$AM972,$C$4:$C972,$C973)+1,"")</f>
        <v/>
      </c>
    </row>
    <row r="974">
      <c r="A974" s="44" t="str">
        <f>IF(OR($B974="",$D974=""),"","TX"&amp;TEXT(ROW()-4,"0000"))</f>
        <v/>
      </c>
      <c r="B974" s="42" t="n"/>
      <c r="C974" s="47" t="str">
        <f>IF($B974="","",YEAR($B974)*100+MONTH($B974))</f>
        <v/>
      </c>
      <c r="D974" s="37" t="n"/>
      <c r="E974" s="45" t="str">
        <f>IF($D974="","",IFERROR(INDEX(CARDS!$B$5:$B$34,MATCH($D974,CARDS!$A$5:$A$34,0)),"⚠ Card ID?"))</f>
        <v/>
      </c>
      <c r="F974" s="45" t="str">
        <f>IF($D974="","",IFERROR(INDEX(CARDS!$C$5:$C$34,MATCH($D974,CARDS!$A$5:$A$34,0)),"⚠ Card ID?"))</f>
        <v/>
      </c>
      <c r="G974" s="37" t="n"/>
      <c r="H974" s="37" t="n"/>
      <c r="I974" s="41" t="n"/>
      <c r="J974" s="45" t="str">
        <f>IF($I974="","",IFERROR(INDEX(MCC_MASTER!$B$5:$B$504,MATCH($I974,MCC_MASTER!$A$5:$A$504,0)),"⚠ MCC chưa có"))</f>
        <v/>
      </c>
      <c r="K974" s="45" t="str">
        <f>IF($I974="","",IFERROR(IF(INDEX(MCC_MASTER!$C$5:$C$504,MATCH($I974,MCC_MASTER!$A$5:$A$504,0))="","Chưa phân loại",INDEX(MCC_MASTER!$C$5:$C$504,MATCH($I974,MCC_MASTER!$A$5:$A$504,0))),"Chưa phân loại"))</f>
        <v/>
      </c>
      <c r="L974" s="40" t="n"/>
      <c r="M974" s="48" t="str">
        <f>IF(OR($B974="",$D974=""),"",IF($AC974=0,0,IF(ISNUMBER(INDEX(CASHBACK_RULES!$L$5:$L$304,$AC974)),MAX(0,MIN($L974,INDEX(CASHBACK_RULES!$L$5:$L$304,$AC974)-$AH974)),MAX(0,$L974))))</f>
        <v/>
      </c>
      <c r="N974" s="49" t="str">
        <f>IF(OR($B974="",$D974=""),"",IF($AC974&gt;0,INDEX(CASHBACK_RULES!$I$5:$I$304,$AC974),0))</f>
        <v/>
      </c>
      <c r="O974" s="48" t="str">
        <f>IF(OR($B974="",$D974=""),"",ROUND($M974*$N974,0))</f>
        <v/>
      </c>
      <c r="P974" s="48" t="str">
        <f>IF($AC974&gt;0,IF(ISNUMBER(INDEX(CASHBACK_RULES!$J$5:$J$304,$AC974)),INDEX(CASHBACK_RULES!$J$5:$J$304,$AC974),"∞"),"")</f>
        <v/>
      </c>
      <c r="Q974" s="48" t="str">
        <f>IF(OR($B974="",$D974=""),"",IF($AC974=0,0,MAX(0,MIN($O974,IF(ISNUMBER($P974),$P974-$AF974,1E+15),IF(ISNUMBER($AA974),$AA974-$AG974,1E+15)))))</f>
        <v/>
      </c>
      <c r="R974" s="48" t="str">
        <f>IF(OR($B974="",$D974=""),"",IF($AC974=0,"",IF(AND(NOT(ISNUMBER($P974)),NOT(ISNUMBER($AA974))),"∞",MAX(0,MIN(IF(ISNUMBER($P974),$P974-$AF974-$Q974,1E+15),IF(ISNUMBER($AA974),$AA974-$AG974-$Q974,1E+15))))))</f>
        <v/>
      </c>
      <c r="S974" s="47" t="str">
        <f>IF($AD974="","",YEAR($AD974)*100+MONTH($AD974))</f>
        <v/>
      </c>
      <c r="T974" s="50" t="str">
        <f>IF($AD974="","",IFERROR(IF(INDEX(CARDS!$I$5:$I$34,MATCH($D974,CARDS!$A$5:$A$34,0))="","",IF(INDEX(CARDS!$I$5:$I$34,MATCH($D974,CARDS!$A$5:$A$34,0))&gt;INDEX(CARDS!$H$5:$H$34,MATCH($D974,CARDS!$A$5:$A$34,0)),DATE(YEAR($AD974),MONTH($AD974),MIN(INDEX(CARDS!$I$5:$I$34,MATCH($D974,CARDS!$A$5:$A$34,0)),DAY(EOMONTH($AD974,0)))),DATE(YEAR($AD974),MONTH($AD974)+1,MIN(INDEX(CARDS!$I$5:$I$34,MATCH($D974,CARDS!$A$5:$A$34,0)),DAY(EOMONTH($AD974,1)))))),""))</f>
        <v/>
      </c>
      <c r="U974" s="38" t="n"/>
      <c r="V974" s="37" t="n"/>
      <c r="W974" s="38" t="n"/>
      <c r="X974" s="38" t="n"/>
      <c r="Y974" s="44" t="str">
        <f>IF($AC974&gt;0,INDEX(CASHBACK_RULES!$A$5:$A$304,$AC974),"")</f>
        <v/>
      </c>
      <c r="Z974" s="45" t="str">
        <f>IF($AC974&gt;0,INDEX(CASHBACK_RULES!$E$5:$E$304,$AC974)&amp;"","")</f>
        <v/>
      </c>
      <c r="AA974" s="48" t="str">
        <f>IF($AC974&gt;0,IF(ISNUMBER(INDEX(CASHBACK_RULES!$K$5:$K$304,$AC974)),INDEX(CASHBACK_RULES!$K$5:$K$304,$AC974),"∞"),"")</f>
        <v/>
      </c>
      <c r="AB974" s="44" t="str">
        <f>IF(OR($B974="",$D974=""),"",IF($U974="Cancelled","Đã hủy",IF($AC974=0,"Không được hoàn",IF($Q974=0,IF(OR($O974&gt;0,$M974&lt;$L974),"Đã đạt cap","Không được hoàn"),IF(OR($Q974&lt;$O974,$M974&lt;$L974),"Hoàn một phần","Được hoàn")))))</f>
        <v/>
      </c>
      <c r="AC974" s="43">
        <f>IF(OR($B974="",$D974="",$I974="",$L974=""),0,IF($U974="Cancelled",0,IF($W974&lt;&gt;"",IFERROR(IF(INDEX(CASHBACK_RULES!$B$5:$B$304,MATCH($W974,CASHBACK_RULES!$A$5:$A$304,0))=$D974,MATCH($W974,CASHBACK_RULES!$A$5:$A$304,0),0),0),IFERROR(MATCH(1,INDEX((CASHBACK_RULES!$B$5:$B$304=$D974)*(CASHBACK_RULES!$G$5:$G$304=$I974)*(((CASHBACK_RULES!$N$5:$N$304="")+(CASHBACK_RULES!$N$5:$N$304&lt;=$B974))&gt;0)*(((CASHBACK_RULES!$O$5:$O$304="")+(CASHBACK_RULES!$O$5:$O$304&gt;=$B974))&gt;0)*(((CASHBACK_RULES!$M$5:$M$304="")+(CASHBACK_RULES!$M$5:$M$304&lt;=$L974))&gt;0),0),0),0))))</f>
        <v>0</v>
      </c>
      <c r="AD974" s="51" t="str">
        <f>IF(OR($B974="",$D974=""),"",IFERROR(IF(INDEX(CARDS!$H$5:$H$34,MATCH($D974,CARDS!$A$5:$A$34,0))="","",IF(DAY($B974)&lt;=INDEX(CARDS!$H$5:$H$34,MATCH($D974,CARDS!$A$5:$A$34,0)),DATE(YEAR($B974),MONTH($B974),MIN(INDEX(CARDS!$H$5:$H$34,MATCH($D974,CARDS!$A$5:$A$34,0)),DAY(EOMONTH($B974,0)))),DATE(YEAR($B974),MONTH($B974)+1,MIN(INDEX(CARDS!$H$5:$H$34,MATCH($D974,CARDS!$A$5:$A$34,0)),DAY(EOMONTH($B974,1)))))),""))</f>
        <v/>
      </c>
      <c r="AE974" s="52" t="str">
        <f>IF($C974="","",$C974&amp;"|"&amp;COUNTIF($C$5:$C974,$C974))</f>
        <v/>
      </c>
      <c r="AF974" s="53">
        <f>IF($AC974&gt;0,SUMIFS(Q$4:Q973,$D$4:$D973,$D974,$Z$4:$Z973,$Z974,$C$4:$C973,$C974),0)</f>
        <v>0</v>
      </c>
      <c r="AG974" s="53">
        <f>IF($AC974&gt;0,SUMIFS(Q$4:Q973,$D$4:$D973,$D974,$C$4:$C973,$C974),0)</f>
        <v>0</v>
      </c>
      <c r="AH974" s="53">
        <f>IF($AC974&gt;0,SUMIFS(M$4:M973,$D$4:$D973,$D974,$Z$4:$Z973,$Z974,$C$4:$C973,$C974),0)</f>
        <v>0</v>
      </c>
      <c r="AI974" s="43">
        <f>IF(OR($C974="",$I974=""),0,IF(COUNTIFS($C$5:$C974,$C974,$I$5:$I974,$I974)=1,1,0))</f>
        <v>0</v>
      </c>
      <c r="AJ974" s="43" t="str">
        <f>IF($AI974=1,SUMIFS($AI$4:$AI973,$C$4:$C973,$C974)+1,"")</f>
        <v/>
      </c>
      <c r="AK974" s="43">
        <f>IF(OR($C974="",$K974=""),0,IF(COUNTIFS($C$5:$C974,$C974,$K$5:$K974,$K974)=1,1,0))</f>
        <v>0</v>
      </c>
      <c r="AL974" s="43" t="str">
        <f>IF($AK974=1,SUMIFS($AK$4:$AK973,$C$4:$C973,$C974)+1,"")</f>
        <v/>
      </c>
      <c r="AM974" s="43">
        <f>IF(OR($C974="",$G974=""),0,IF(COUNTIFS($C$5:$C974,$C974,$G$5:$G974,$G974)=1,1,0))</f>
        <v>0</v>
      </c>
      <c r="AN974" s="43" t="str">
        <f>IF($AM974=1,SUMIFS($AM$4:$AM973,$C$4:$C973,$C974)+1,"")</f>
        <v/>
      </c>
    </row>
    <row r="975">
      <c r="A975" s="44" t="str">
        <f>IF(OR($B975="",$D975=""),"","TX"&amp;TEXT(ROW()-4,"0000"))</f>
        <v/>
      </c>
      <c r="B975" s="42" t="n"/>
      <c r="C975" s="47" t="str">
        <f>IF($B975="","",YEAR($B975)*100+MONTH($B975))</f>
        <v/>
      </c>
      <c r="D975" s="37" t="n"/>
      <c r="E975" s="45" t="str">
        <f>IF($D975="","",IFERROR(INDEX(CARDS!$B$5:$B$34,MATCH($D975,CARDS!$A$5:$A$34,0)),"⚠ Card ID?"))</f>
        <v/>
      </c>
      <c r="F975" s="45" t="str">
        <f>IF($D975="","",IFERROR(INDEX(CARDS!$C$5:$C$34,MATCH($D975,CARDS!$A$5:$A$34,0)),"⚠ Card ID?"))</f>
        <v/>
      </c>
      <c r="G975" s="37" t="n"/>
      <c r="H975" s="37" t="n"/>
      <c r="I975" s="41" t="n"/>
      <c r="J975" s="45" t="str">
        <f>IF($I975="","",IFERROR(INDEX(MCC_MASTER!$B$5:$B$504,MATCH($I975,MCC_MASTER!$A$5:$A$504,0)),"⚠ MCC chưa có"))</f>
        <v/>
      </c>
      <c r="K975" s="45" t="str">
        <f>IF($I975="","",IFERROR(IF(INDEX(MCC_MASTER!$C$5:$C$504,MATCH($I975,MCC_MASTER!$A$5:$A$504,0))="","Chưa phân loại",INDEX(MCC_MASTER!$C$5:$C$504,MATCH($I975,MCC_MASTER!$A$5:$A$504,0))),"Chưa phân loại"))</f>
        <v/>
      </c>
      <c r="L975" s="40" t="n"/>
      <c r="M975" s="48" t="str">
        <f>IF(OR($B975="",$D975=""),"",IF($AC975=0,0,IF(ISNUMBER(INDEX(CASHBACK_RULES!$L$5:$L$304,$AC975)),MAX(0,MIN($L975,INDEX(CASHBACK_RULES!$L$5:$L$304,$AC975)-$AH975)),MAX(0,$L975))))</f>
        <v/>
      </c>
      <c r="N975" s="49" t="str">
        <f>IF(OR($B975="",$D975=""),"",IF($AC975&gt;0,INDEX(CASHBACK_RULES!$I$5:$I$304,$AC975),0))</f>
        <v/>
      </c>
      <c r="O975" s="48" t="str">
        <f>IF(OR($B975="",$D975=""),"",ROUND($M975*$N975,0))</f>
        <v/>
      </c>
      <c r="P975" s="48" t="str">
        <f>IF($AC975&gt;0,IF(ISNUMBER(INDEX(CASHBACK_RULES!$J$5:$J$304,$AC975)),INDEX(CASHBACK_RULES!$J$5:$J$304,$AC975),"∞"),"")</f>
        <v/>
      </c>
      <c r="Q975" s="48" t="str">
        <f>IF(OR($B975="",$D975=""),"",IF($AC975=0,0,MAX(0,MIN($O975,IF(ISNUMBER($P975),$P975-$AF975,1E+15),IF(ISNUMBER($AA975),$AA975-$AG975,1E+15)))))</f>
        <v/>
      </c>
      <c r="R975" s="48" t="str">
        <f>IF(OR($B975="",$D975=""),"",IF($AC975=0,"",IF(AND(NOT(ISNUMBER($P975)),NOT(ISNUMBER($AA975))),"∞",MAX(0,MIN(IF(ISNUMBER($P975),$P975-$AF975-$Q975,1E+15),IF(ISNUMBER($AA975),$AA975-$AG975-$Q975,1E+15))))))</f>
        <v/>
      </c>
      <c r="S975" s="47" t="str">
        <f>IF($AD975="","",YEAR($AD975)*100+MONTH($AD975))</f>
        <v/>
      </c>
      <c r="T975" s="50" t="str">
        <f>IF($AD975="","",IFERROR(IF(INDEX(CARDS!$I$5:$I$34,MATCH($D975,CARDS!$A$5:$A$34,0))="","",IF(INDEX(CARDS!$I$5:$I$34,MATCH($D975,CARDS!$A$5:$A$34,0))&gt;INDEX(CARDS!$H$5:$H$34,MATCH($D975,CARDS!$A$5:$A$34,0)),DATE(YEAR($AD975),MONTH($AD975),MIN(INDEX(CARDS!$I$5:$I$34,MATCH($D975,CARDS!$A$5:$A$34,0)),DAY(EOMONTH($AD975,0)))),DATE(YEAR($AD975),MONTH($AD975)+1,MIN(INDEX(CARDS!$I$5:$I$34,MATCH($D975,CARDS!$A$5:$A$34,0)),DAY(EOMONTH($AD975,1)))))),""))</f>
        <v/>
      </c>
      <c r="U975" s="38" t="n"/>
      <c r="V975" s="37" t="n"/>
      <c r="W975" s="38" t="n"/>
      <c r="X975" s="38" t="n"/>
      <c r="Y975" s="44" t="str">
        <f>IF($AC975&gt;0,INDEX(CASHBACK_RULES!$A$5:$A$304,$AC975),"")</f>
        <v/>
      </c>
      <c r="Z975" s="45" t="str">
        <f>IF($AC975&gt;0,INDEX(CASHBACK_RULES!$E$5:$E$304,$AC975)&amp;"","")</f>
        <v/>
      </c>
      <c r="AA975" s="48" t="str">
        <f>IF($AC975&gt;0,IF(ISNUMBER(INDEX(CASHBACK_RULES!$K$5:$K$304,$AC975)),INDEX(CASHBACK_RULES!$K$5:$K$304,$AC975),"∞"),"")</f>
        <v/>
      </c>
      <c r="AB975" s="44" t="str">
        <f>IF(OR($B975="",$D975=""),"",IF($U975="Cancelled","Đã hủy",IF($AC975=0,"Không được hoàn",IF($Q975=0,IF(OR($O975&gt;0,$M975&lt;$L975),"Đã đạt cap","Không được hoàn"),IF(OR($Q975&lt;$O975,$M975&lt;$L975),"Hoàn một phần","Được hoàn")))))</f>
        <v/>
      </c>
      <c r="AC975" s="43">
        <f>IF(OR($B975="",$D975="",$I975="",$L975=""),0,IF($U975="Cancelled",0,IF($W975&lt;&gt;"",IFERROR(IF(INDEX(CASHBACK_RULES!$B$5:$B$304,MATCH($W975,CASHBACK_RULES!$A$5:$A$304,0))=$D975,MATCH($W975,CASHBACK_RULES!$A$5:$A$304,0),0),0),IFERROR(MATCH(1,INDEX((CASHBACK_RULES!$B$5:$B$304=$D975)*(CASHBACK_RULES!$G$5:$G$304=$I975)*(((CASHBACK_RULES!$N$5:$N$304="")+(CASHBACK_RULES!$N$5:$N$304&lt;=$B975))&gt;0)*(((CASHBACK_RULES!$O$5:$O$304="")+(CASHBACK_RULES!$O$5:$O$304&gt;=$B975))&gt;0)*(((CASHBACK_RULES!$M$5:$M$304="")+(CASHBACK_RULES!$M$5:$M$304&lt;=$L975))&gt;0),0),0),0))))</f>
        <v>0</v>
      </c>
      <c r="AD975" s="51" t="str">
        <f>IF(OR($B975="",$D975=""),"",IFERROR(IF(INDEX(CARDS!$H$5:$H$34,MATCH($D975,CARDS!$A$5:$A$34,0))="","",IF(DAY($B975)&lt;=INDEX(CARDS!$H$5:$H$34,MATCH($D975,CARDS!$A$5:$A$34,0)),DATE(YEAR($B975),MONTH($B975),MIN(INDEX(CARDS!$H$5:$H$34,MATCH($D975,CARDS!$A$5:$A$34,0)),DAY(EOMONTH($B975,0)))),DATE(YEAR($B975),MONTH($B975)+1,MIN(INDEX(CARDS!$H$5:$H$34,MATCH($D975,CARDS!$A$5:$A$34,0)),DAY(EOMONTH($B975,1)))))),""))</f>
        <v/>
      </c>
      <c r="AE975" s="52" t="str">
        <f>IF($C975="","",$C975&amp;"|"&amp;COUNTIF($C$5:$C975,$C975))</f>
        <v/>
      </c>
      <c r="AF975" s="53">
        <f>IF($AC975&gt;0,SUMIFS(Q$4:Q974,$D$4:$D974,$D975,$Z$4:$Z974,$Z975,$C$4:$C974,$C975),0)</f>
        <v>0</v>
      </c>
      <c r="AG975" s="53">
        <f>IF($AC975&gt;0,SUMIFS(Q$4:Q974,$D$4:$D974,$D975,$C$4:$C974,$C975),0)</f>
        <v>0</v>
      </c>
      <c r="AH975" s="53">
        <f>IF($AC975&gt;0,SUMIFS(M$4:M974,$D$4:$D974,$D975,$Z$4:$Z974,$Z975,$C$4:$C974,$C975),0)</f>
        <v>0</v>
      </c>
      <c r="AI975" s="43">
        <f>IF(OR($C975="",$I975=""),0,IF(COUNTIFS($C$5:$C975,$C975,$I$5:$I975,$I975)=1,1,0))</f>
        <v>0</v>
      </c>
      <c r="AJ975" s="43" t="str">
        <f>IF($AI975=1,SUMIFS($AI$4:$AI974,$C$4:$C974,$C975)+1,"")</f>
        <v/>
      </c>
      <c r="AK975" s="43">
        <f>IF(OR($C975="",$K975=""),0,IF(COUNTIFS($C$5:$C975,$C975,$K$5:$K975,$K975)=1,1,0))</f>
        <v>0</v>
      </c>
      <c r="AL975" s="43" t="str">
        <f>IF($AK975=1,SUMIFS($AK$4:$AK974,$C$4:$C974,$C975)+1,"")</f>
        <v/>
      </c>
      <c r="AM975" s="43">
        <f>IF(OR($C975="",$G975=""),0,IF(COUNTIFS($C$5:$C975,$C975,$G$5:$G975,$G975)=1,1,0))</f>
        <v>0</v>
      </c>
      <c r="AN975" s="43" t="str">
        <f>IF($AM975=1,SUMIFS($AM$4:$AM974,$C$4:$C974,$C975)+1,"")</f>
        <v/>
      </c>
    </row>
    <row r="976">
      <c r="A976" s="44" t="str">
        <f>IF(OR($B976="",$D976=""),"","TX"&amp;TEXT(ROW()-4,"0000"))</f>
        <v/>
      </c>
      <c r="B976" s="42" t="n"/>
      <c r="C976" s="47" t="str">
        <f>IF($B976="","",YEAR($B976)*100+MONTH($B976))</f>
        <v/>
      </c>
      <c r="D976" s="37" t="n"/>
      <c r="E976" s="45" t="str">
        <f>IF($D976="","",IFERROR(INDEX(CARDS!$B$5:$B$34,MATCH($D976,CARDS!$A$5:$A$34,0)),"⚠ Card ID?"))</f>
        <v/>
      </c>
      <c r="F976" s="45" t="str">
        <f>IF($D976="","",IFERROR(INDEX(CARDS!$C$5:$C$34,MATCH($D976,CARDS!$A$5:$A$34,0)),"⚠ Card ID?"))</f>
        <v/>
      </c>
      <c r="G976" s="37" t="n"/>
      <c r="H976" s="37" t="n"/>
      <c r="I976" s="41" t="n"/>
      <c r="J976" s="45" t="str">
        <f>IF($I976="","",IFERROR(INDEX(MCC_MASTER!$B$5:$B$504,MATCH($I976,MCC_MASTER!$A$5:$A$504,0)),"⚠ MCC chưa có"))</f>
        <v/>
      </c>
      <c r="K976" s="45" t="str">
        <f>IF($I976="","",IFERROR(IF(INDEX(MCC_MASTER!$C$5:$C$504,MATCH($I976,MCC_MASTER!$A$5:$A$504,0))="","Chưa phân loại",INDEX(MCC_MASTER!$C$5:$C$504,MATCH($I976,MCC_MASTER!$A$5:$A$504,0))),"Chưa phân loại"))</f>
        <v/>
      </c>
      <c r="L976" s="40" t="n"/>
      <c r="M976" s="48" t="str">
        <f>IF(OR($B976="",$D976=""),"",IF($AC976=0,0,IF(ISNUMBER(INDEX(CASHBACK_RULES!$L$5:$L$304,$AC976)),MAX(0,MIN($L976,INDEX(CASHBACK_RULES!$L$5:$L$304,$AC976)-$AH976)),MAX(0,$L976))))</f>
        <v/>
      </c>
      <c r="N976" s="49" t="str">
        <f>IF(OR($B976="",$D976=""),"",IF($AC976&gt;0,INDEX(CASHBACK_RULES!$I$5:$I$304,$AC976),0))</f>
        <v/>
      </c>
      <c r="O976" s="48" t="str">
        <f>IF(OR($B976="",$D976=""),"",ROUND($M976*$N976,0))</f>
        <v/>
      </c>
      <c r="P976" s="48" t="str">
        <f>IF($AC976&gt;0,IF(ISNUMBER(INDEX(CASHBACK_RULES!$J$5:$J$304,$AC976)),INDEX(CASHBACK_RULES!$J$5:$J$304,$AC976),"∞"),"")</f>
        <v/>
      </c>
      <c r="Q976" s="48" t="str">
        <f>IF(OR($B976="",$D976=""),"",IF($AC976=0,0,MAX(0,MIN($O976,IF(ISNUMBER($P976),$P976-$AF976,1E+15),IF(ISNUMBER($AA976),$AA976-$AG976,1E+15)))))</f>
        <v/>
      </c>
      <c r="R976" s="48" t="str">
        <f>IF(OR($B976="",$D976=""),"",IF($AC976=0,"",IF(AND(NOT(ISNUMBER($P976)),NOT(ISNUMBER($AA976))),"∞",MAX(0,MIN(IF(ISNUMBER($P976),$P976-$AF976-$Q976,1E+15),IF(ISNUMBER($AA976),$AA976-$AG976-$Q976,1E+15))))))</f>
        <v/>
      </c>
      <c r="S976" s="47" t="str">
        <f>IF($AD976="","",YEAR($AD976)*100+MONTH($AD976))</f>
        <v/>
      </c>
      <c r="T976" s="50" t="str">
        <f>IF($AD976="","",IFERROR(IF(INDEX(CARDS!$I$5:$I$34,MATCH($D976,CARDS!$A$5:$A$34,0))="","",IF(INDEX(CARDS!$I$5:$I$34,MATCH($D976,CARDS!$A$5:$A$34,0))&gt;INDEX(CARDS!$H$5:$H$34,MATCH($D976,CARDS!$A$5:$A$34,0)),DATE(YEAR($AD976),MONTH($AD976),MIN(INDEX(CARDS!$I$5:$I$34,MATCH($D976,CARDS!$A$5:$A$34,0)),DAY(EOMONTH($AD976,0)))),DATE(YEAR($AD976),MONTH($AD976)+1,MIN(INDEX(CARDS!$I$5:$I$34,MATCH($D976,CARDS!$A$5:$A$34,0)),DAY(EOMONTH($AD976,1)))))),""))</f>
        <v/>
      </c>
      <c r="U976" s="38" t="n"/>
      <c r="V976" s="37" t="n"/>
      <c r="W976" s="38" t="n"/>
      <c r="X976" s="38" t="n"/>
      <c r="Y976" s="44" t="str">
        <f>IF($AC976&gt;0,INDEX(CASHBACK_RULES!$A$5:$A$304,$AC976),"")</f>
        <v/>
      </c>
      <c r="Z976" s="45" t="str">
        <f>IF($AC976&gt;0,INDEX(CASHBACK_RULES!$E$5:$E$304,$AC976)&amp;"","")</f>
        <v/>
      </c>
      <c r="AA976" s="48" t="str">
        <f>IF($AC976&gt;0,IF(ISNUMBER(INDEX(CASHBACK_RULES!$K$5:$K$304,$AC976)),INDEX(CASHBACK_RULES!$K$5:$K$304,$AC976),"∞"),"")</f>
        <v/>
      </c>
      <c r="AB976" s="44" t="str">
        <f>IF(OR($B976="",$D976=""),"",IF($U976="Cancelled","Đã hủy",IF($AC976=0,"Không được hoàn",IF($Q976=0,IF(OR($O976&gt;0,$M976&lt;$L976),"Đã đạt cap","Không được hoàn"),IF(OR($Q976&lt;$O976,$M976&lt;$L976),"Hoàn một phần","Được hoàn")))))</f>
        <v/>
      </c>
      <c r="AC976" s="43">
        <f>IF(OR($B976="",$D976="",$I976="",$L976=""),0,IF($U976="Cancelled",0,IF($W976&lt;&gt;"",IFERROR(IF(INDEX(CASHBACK_RULES!$B$5:$B$304,MATCH($W976,CASHBACK_RULES!$A$5:$A$304,0))=$D976,MATCH($W976,CASHBACK_RULES!$A$5:$A$304,0),0),0),IFERROR(MATCH(1,INDEX((CASHBACK_RULES!$B$5:$B$304=$D976)*(CASHBACK_RULES!$G$5:$G$304=$I976)*(((CASHBACK_RULES!$N$5:$N$304="")+(CASHBACK_RULES!$N$5:$N$304&lt;=$B976))&gt;0)*(((CASHBACK_RULES!$O$5:$O$304="")+(CASHBACK_RULES!$O$5:$O$304&gt;=$B976))&gt;0)*(((CASHBACK_RULES!$M$5:$M$304="")+(CASHBACK_RULES!$M$5:$M$304&lt;=$L976))&gt;0),0),0),0))))</f>
        <v>0</v>
      </c>
      <c r="AD976" s="51" t="str">
        <f>IF(OR($B976="",$D976=""),"",IFERROR(IF(INDEX(CARDS!$H$5:$H$34,MATCH($D976,CARDS!$A$5:$A$34,0))="","",IF(DAY($B976)&lt;=INDEX(CARDS!$H$5:$H$34,MATCH($D976,CARDS!$A$5:$A$34,0)),DATE(YEAR($B976),MONTH($B976),MIN(INDEX(CARDS!$H$5:$H$34,MATCH($D976,CARDS!$A$5:$A$34,0)),DAY(EOMONTH($B976,0)))),DATE(YEAR($B976),MONTH($B976)+1,MIN(INDEX(CARDS!$H$5:$H$34,MATCH($D976,CARDS!$A$5:$A$34,0)),DAY(EOMONTH($B976,1)))))),""))</f>
        <v/>
      </c>
      <c r="AE976" s="52" t="str">
        <f>IF($C976="","",$C976&amp;"|"&amp;COUNTIF($C$5:$C976,$C976))</f>
        <v/>
      </c>
      <c r="AF976" s="53">
        <f>IF($AC976&gt;0,SUMIFS(Q$4:Q975,$D$4:$D975,$D976,$Z$4:$Z975,$Z976,$C$4:$C975,$C976),0)</f>
        <v>0</v>
      </c>
      <c r="AG976" s="53">
        <f>IF($AC976&gt;0,SUMIFS(Q$4:Q975,$D$4:$D975,$D976,$C$4:$C975,$C976),0)</f>
        <v>0</v>
      </c>
      <c r="AH976" s="53">
        <f>IF($AC976&gt;0,SUMIFS(M$4:M975,$D$4:$D975,$D976,$Z$4:$Z975,$Z976,$C$4:$C975,$C976),0)</f>
        <v>0</v>
      </c>
      <c r="AI976" s="43">
        <f>IF(OR($C976="",$I976=""),0,IF(COUNTIFS($C$5:$C976,$C976,$I$5:$I976,$I976)=1,1,0))</f>
        <v>0</v>
      </c>
      <c r="AJ976" s="43" t="str">
        <f>IF($AI976=1,SUMIFS($AI$4:$AI975,$C$4:$C975,$C976)+1,"")</f>
        <v/>
      </c>
      <c r="AK976" s="43">
        <f>IF(OR($C976="",$K976=""),0,IF(COUNTIFS($C$5:$C976,$C976,$K$5:$K976,$K976)=1,1,0))</f>
        <v>0</v>
      </c>
      <c r="AL976" s="43" t="str">
        <f>IF($AK976=1,SUMIFS($AK$4:$AK975,$C$4:$C975,$C976)+1,"")</f>
        <v/>
      </c>
      <c r="AM976" s="43">
        <f>IF(OR($C976="",$G976=""),0,IF(COUNTIFS($C$5:$C976,$C976,$G$5:$G976,$G976)=1,1,0))</f>
        <v>0</v>
      </c>
      <c r="AN976" s="43" t="str">
        <f>IF($AM976=1,SUMIFS($AM$4:$AM975,$C$4:$C975,$C976)+1,"")</f>
        <v/>
      </c>
    </row>
    <row r="977">
      <c r="A977" s="44" t="str">
        <f>IF(OR($B977="",$D977=""),"","TX"&amp;TEXT(ROW()-4,"0000"))</f>
        <v/>
      </c>
      <c r="B977" s="42" t="n"/>
      <c r="C977" s="47" t="str">
        <f>IF($B977="","",YEAR($B977)*100+MONTH($B977))</f>
        <v/>
      </c>
      <c r="D977" s="37" t="n"/>
      <c r="E977" s="45" t="str">
        <f>IF($D977="","",IFERROR(INDEX(CARDS!$B$5:$B$34,MATCH($D977,CARDS!$A$5:$A$34,0)),"⚠ Card ID?"))</f>
        <v/>
      </c>
      <c r="F977" s="45" t="str">
        <f>IF($D977="","",IFERROR(INDEX(CARDS!$C$5:$C$34,MATCH($D977,CARDS!$A$5:$A$34,0)),"⚠ Card ID?"))</f>
        <v/>
      </c>
      <c r="G977" s="37" t="n"/>
      <c r="H977" s="37" t="n"/>
      <c r="I977" s="41" t="n"/>
      <c r="J977" s="45" t="str">
        <f>IF($I977="","",IFERROR(INDEX(MCC_MASTER!$B$5:$B$504,MATCH($I977,MCC_MASTER!$A$5:$A$504,0)),"⚠ MCC chưa có"))</f>
        <v/>
      </c>
      <c r="K977" s="45" t="str">
        <f>IF($I977="","",IFERROR(IF(INDEX(MCC_MASTER!$C$5:$C$504,MATCH($I977,MCC_MASTER!$A$5:$A$504,0))="","Chưa phân loại",INDEX(MCC_MASTER!$C$5:$C$504,MATCH($I977,MCC_MASTER!$A$5:$A$504,0))),"Chưa phân loại"))</f>
        <v/>
      </c>
      <c r="L977" s="40" t="n"/>
      <c r="M977" s="48" t="str">
        <f>IF(OR($B977="",$D977=""),"",IF($AC977=0,0,IF(ISNUMBER(INDEX(CASHBACK_RULES!$L$5:$L$304,$AC977)),MAX(0,MIN($L977,INDEX(CASHBACK_RULES!$L$5:$L$304,$AC977)-$AH977)),MAX(0,$L977))))</f>
        <v/>
      </c>
      <c r="N977" s="49" t="str">
        <f>IF(OR($B977="",$D977=""),"",IF($AC977&gt;0,INDEX(CASHBACK_RULES!$I$5:$I$304,$AC977),0))</f>
        <v/>
      </c>
      <c r="O977" s="48" t="str">
        <f>IF(OR($B977="",$D977=""),"",ROUND($M977*$N977,0))</f>
        <v/>
      </c>
      <c r="P977" s="48" t="str">
        <f>IF($AC977&gt;0,IF(ISNUMBER(INDEX(CASHBACK_RULES!$J$5:$J$304,$AC977)),INDEX(CASHBACK_RULES!$J$5:$J$304,$AC977),"∞"),"")</f>
        <v/>
      </c>
      <c r="Q977" s="48" t="str">
        <f>IF(OR($B977="",$D977=""),"",IF($AC977=0,0,MAX(0,MIN($O977,IF(ISNUMBER($P977),$P977-$AF977,1E+15),IF(ISNUMBER($AA977),$AA977-$AG977,1E+15)))))</f>
        <v/>
      </c>
      <c r="R977" s="48" t="str">
        <f>IF(OR($B977="",$D977=""),"",IF($AC977=0,"",IF(AND(NOT(ISNUMBER($P977)),NOT(ISNUMBER($AA977))),"∞",MAX(0,MIN(IF(ISNUMBER($P977),$P977-$AF977-$Q977,1E+15),IF(ISNUMBER($AA977),$AA977-$AG977-$Q977,1E+15))))))</f>
        <v/>
      </c>
      <c r="S977" s="47" t="str">
        <f>IF($AD977="","",YEAR($AD977)*100+MONTH($AD977))</f>
        <v/>
      </c>
      <c r="T977" s="50" t="str">
        <f>IF($AD977="","",IFERROR(IF(INDEX(CARDS!$I$5:$I$34,MATCH($D977,CARDS!$A$5:$A$34,0))="","",IF(INDEX(CARDS!$I$5:$I$34,MATCH($D977,CARDS!$A$5:$A$34,0))&gt;INDEX(CARDS!$H$5:$H$34,MATCH($D977,CARDS!$A$5:$A$34,0)),DATE(YEAR($AD977),MONTH($AD977),MIN(INDEX(CARDS!$I$5:$I$34,MATCH($D977,CARDS!$A$5:$A$34,0)),DAY(EOMONTH($AD977,0)))),DATE(YEAR($AD977),MONTH($AD977)+1,MIN(INDEX(CARDS!$I$5:$I$34,MATCH($D977,CARDS!$A$5:$A$34,0)),DAY(EOMONTH($AD977,1)))))),""))</f>
        <v/>
      </c>
      <c r="U977" s="38" t="n"/>
      <c r="V977" s="37" t="n"/>
      <c r="W977" s="38" t="n"/>
      <c r="X977" s="38" t="n"/>
      <c r="Y977" s="44" t="str">
        <f>IF($AC977&gt;0,INDEX(CASHBACK_RULES!$A$5:$A$304,$AC977),"")</f>
        <v/>
      </c>
      <c r="Z977" s="45" t="str">
        <f>IF($AC977&gt;0,INDEX(CASHBACK_RULES!$E$5:$E$304,$AC977)&amp;"","")</f>
        <v/>
      </c>
      <c r="AA977" s="48" t="str">
        <f>IF($AC977&gt;0,IF(ISNUMBER(INDEX(CASHBACK_RULES!$K$5:$K$304,$AC977)),INDEX(CASHBACK_RULES!$K$5:$K$304,$AC977),"∞"),"")</f>
        <v/>
      </c>
      <c r="AB977" s="44" t="str">
        <f>IF(OR($B977="",$D977=""),"",IF($U977="Cancelled","Đã hủy",IF($AC977=0,"Không được hoàn",IF($Q977=0,IF(OR($O977&gt;0,$M977&lt;$L977),"Đã đạt cap","Không được hoàn"),IF(OR($Q977&lt;$O977,$M977&lt;$L977),"Hoàn một phần","Được hoàn")))))</f>
        <v/>
      </c>
      <c r="AC977" s="43">
        <f>IF(OR($B977="",$D977="",$I977="",$L977=""),0,IF($U977="Cancelled",0,IF($W977&lt;&gt;"",IFERROR(IF(INDEX(CASHBACK_RULES!$B$5:$B$304,MATCH($W977,CASHBACK_RULES!$A$5:$A$304,0))=$D977,MATCH($W977,CASHBACK_RULES!$A$5:$A$304,0),0),0),IFERROR(MATCH(1,INDEX((CASHBACK_RULES!$B$5:$B$304=$D977)*(CASHBACK_RULES!$G$5:$G$304=$I977)*(((CASHBACK_RULES!$N$5:$N$304="")+(CASHBACK_RULES!$N$5:$N$304&lt;=$B977))&gt;0)*(((CASHBACK_RULES!$O$5:$O$304="")+(CASHBACK_RULES!$O$5:$O$304&gt;=$B977))&gt;0)*(((CASHBACK_RULES!$M$5:$M$304="")+(CASHBACK_RULES!$M$5:$M$304&lt;=$L977))&gt;0),0),0),0))))</f>
        <v>0</v>
      </c>
      <c r="AD977" s="51" t="str">
        <f>IF(OR($B977="",$D977=""),"",IFERROR(IF(INDEX(CARDS!$H$5:$H$34,MATCH($D977,CARDS!$A$5:$A$34,0))="","",IF(DAY($B977)&lt;=INDEX(CARDS!$H$5:$H$34,MATCH($D977,CARDS!$A$5:$A$34,0)),DATE(YEAR($B977),MONTH($B977),MIN(INDEX(CARDS!$H$5:$H$34,MATCH($D977,CARDS!$A$5:$A$34,0)),DAY(EOMONTH($B977,0)))),DATE(YEAR($B977),MONTH($B977)+1,MIN(INDEX(CARDS!$H$5:$H$34,MATCH($D977,CARDS!$A$5:$A$34,0)),DAY(EOMONTH($B977,1)))))),""))</f>
        <v/>
      </c>
      <c r="AE977" s="52" t="str">
        <f>IF($C977="","",$C977&amp;"|"&amp;COUNTIF($C$5:$C977,$C977))</f>
        <v/>
      </c>
      <c r="AF977" s="53">
        <f>IF($AC977&gt;0,SUMIFS(Q$4:Q976,$D$4:$D976,$D977,$Z$4:$Z976,$Z977,$C$4:$C976,$C977),0)</f>
        <v>0</v>
      </c>
      <c r="AG977" s="53">
        <f>IF($AC977&gt;0,SUMIFS(Q$4:Q976,$D$4:$D976,$D977,$C$4:$C976,$C977),0)</f>
        <v>0</v>
      </c>
      <c r="AH977" s="53">
        <f>IF($AC977&gt;0,SUMIFS(M$4:M976,$D$4:$D976,$D977,$Z$4:$Z976,$Z977,$C$4:$C976,$C977),0)</f>
        <v>0</v>
      </c>
      <c r="AI977" s="43">
        <f>IF(OR($C977="",$I977=""),0,IF(COUNTIFS($C$5:$C977,$C977,$I$5:$I977,$I977)=1,1,0))</f>
        <v>0</v>
      </c>
      <c r="AJ977" s="43" t="str">
        <f>IF($AI977=1,SUMIFS($AI$4:$AI976,$C$4:$C976,$C977)+1,"")</f>
        <v/>
      </c>
      <c r="AK977" s="43">
        <f>IF(OR($C977="",$K977=""),0,IF(COUNTIFS($C$5:$C977,$C977,$K$5:$K977,$K977)=1,1,0))</f>
        <v>0</v>
      </c>
      <c r="AL977" s="43" t="str">
        <f>IF($AK977=1,SUMIFS($AK$4:$AK976,$C$4:$C976,$C977)+1,"")</f>
        <v/>
      </c>
      <c r="AM977" s="43">
        <f>IF(OR($C977="",$G977=""),0,IF(COUNTIFS($C$5:$C977,$C977,$G$5:$G977,$G977)=1,1,0))</f>
        <v>0</v>
      </c>
      <c r="AN977" s="43" t="str">
        <f>IF($AM977=1,SUMIFS($AM$4:$AM976,$C$4:$C976,$C977)+1,"")</f>
        <v/>
      </c>
    </row>
    <row r="978">
      <c r="A978" s="44" t="str">
        <f>IF(OR($B978="",$D978=""),"","TX"&amp;TEXT(ROW()-4,"0000"))</f>
        <v/>
      </c>
      <c r="B978" s="42" t="n"/>
      <c r="C978" s="47" t="str">
        <f>IF($B978="","",YEAR($B978)*100+MONTH($B978))</f>
        <v/>
      </c>
      <c r="D978" s="37" t="n"/>
      <c r="E978" s="45" t="str">
        <f>IF($D978="","",IFERROR(INDEX(CARDS!$B$5:$B$34,MATCH($D978,CARDS!$A$5:$A$34,0)),"⚠ Card ID?"))</f>
        <v/>
      </c>
      <c r="F978" s="45" t="str">
        <f>IF($D978="","",IFERROR(INDEX(CARDS!$C$5:$C$34,MATCH($D978,CARDS!$A$5:$A$34,0)),"⚠ Card ID?"))</f>
        <v/>
      </c>
      <c r="G978" s="37" t="n"/>
      <c r="H978" s="37" t="n"/>
      <c r="I978" s="41" t="n"/>
      <c r="J978" s="45" t="str">
        <f>IF($I978="","",IFERROR(INDEX(MCC_MASTER!$B$5:$B$504,MATCH($I978,MCC_MASTER!$A$5:$A$504,0)),"⚠ MCC chưa có"))</f>
        <v/>
      </c>
      <c r="K978" s="45" t="str">
        <f>IF($I978="","",IFERROR(IF(INDEX(MCC_MASTER!$C$5:$C$504,MATCH($I978,MCC_MASTER!$A$5:$A$504,0))="","Chưa phân loại",INDEX(MCC_MASTER!$C$5:$C$504,MATCH($I978,MCC_MASTER!$A$5:$A$504,0))),"Chưa phân loại"))</f>
        <v/>
      </c>
      <c r="L978" s="40" t="n"/>
      <c r="M978" s="48" t="str">
        <f>IF(OR($B978="",$D978=""),"",IF($AC978=0,0,IF(ISNUMBER(INDEX(CASHBACK_RULES!$L$5:$L$304,$AC978)),MAX(0,MIN($L978,INDEX(CASHBACK_RULES!$L$5:$L$304,$AC978)-$AH978)),MAX(0,$L978))))</f>
        <v/>
      </c>
      <c r="N978" s="49" t="str">
        <f>IF(OR($B978="",$D978=""),"",IF($AC978&gt;0,INDEX(CASHBACK_RULES!$I$5:$I$304,$AC978),0))</f>
        <v/>
      </c>
      <c r="O978" s="48" t="str">
        <f>IF(OR($B978="",$D978=""),"",ROUND($M978*$N978,0))</f>
        <v/>
      </c>
      <c r="P978" s="48" t="str">
        <f>IF($AC978&gt;0,IF(ISNUMBER(INDEX(CASHBACK_RULES!$J$5:$J$304,$AC978)),INDEX(CASHBACK_RULES!$J$5:$J$304,$AC978),"∞"),"")</f>
        <v/>
      </c>
      <c r="Q978" s="48" t="str">
        <f>IF(OR($B978="",$D978=""),"",IF($AC978=0,0,MAX(0,MIN($O978,IF(ISNUMBER($P978),$P978-$AF978,1E+15),IF(ISNUMBER($AA978),$AA978-$AG978,1E+15)))))</f>
        <v/>
      </c>
      <c r="R978" s="48" t="str">
        <f>IF(OR($B978="",$D978=""),"",IF($AC978=0,"",IF(AND(NOT(ISNUMBER($P978)),NOT(ISNUMBER($AA978))),"∞",MAX(0,MIN(IF(ISNUMBER($P978),$P978-$AF978-$Q978,1E+15),IF(ISNUMBER($AA978),$AA978-$AG978-$Q978,1E+15))))))</f>
        <v/>
      </c>
      <c r="S978" s="47" t="str">
        <f>IF($AD978="","",YEAR($AD978)*100+MONTH($AD978))</f>
        <v/>
      </c>
      <c r="T978" s="50" t="str">
        <f>IF($AD978="","",IFERROR(IF(INDEX(CARDS!$I$5:$I$34,MATCH($D978,CARDS!$A$5:$A$34,0))="","",IF(INDEX(CARDS!$I$5:$I$34,MATCH($D978,CARDS!$A$5:$A$34,0))&gt;INDEX(CARDS!$H$5:$H$34,MATCH($D978,CARDS!$A$5:$A$34,0)),DATE(YEAR($AD978),MONTH($AD978),MIN(INDEX(CARDS!$I$5:$I$34,MATCH($D978,CARDS!$A$5:$A$34,0)),DAY(EOMONTH($AD978,0)))),DATE(YEAR($AD978),MONTH($AD978)+1,MIN(INDEX(CARDS!$I$5:$I$34,MATCH($D978,CARDS!$A$5:$A$34,0)),DAY(EOMONTH($AD978,1)))))),""))</f>
        <v/>
      </c>
      <c r="U978" s="38" t="n"/>
      <c r="V978" s="37" t="n"/>
      <c r="W978" s="38" t="n"/>
      <c r="X978" s="38" t="n"/>
      <c r="Y978" s="44" t="str">
        <f>IF($AC978&gt;0,INDEX(CASHBACK_RULES!$A$5:$A$304,$AC978),"")</f>
        <v/>
      </c>
      <c r="Z978" s="45" t="str">
        <f>IF($AC978&gt;0,INDEX(CASHBACK_RULES!$E$5:$E$304,$AC978)&amp;"","")</f>
        <v/>
      </c>
      <c r="AA978" s="48" t="str">
        <f>IF($AC978&gt;0,IF(ISNUMBER(INDEX(CASHBACK_RULES!$K$5:$K$304,$AC978)),INDEX(CASHBACK_RULES!$K$5:$K$304,$AC978),"∞"),"")</f>
        <v/>
      </c>
      <c r="AB978" s="44" t="str">
        <f>IF(OR($B978="",$D978=""),"",IF($U978="Cancelled","Đã hủy",IF($AC978=0,"Không được hoàn",IF($Q978=0,IF(OR($O978&gt;0,$M978&lt;$L978),"Đã đạt cap","Không được hoàn"),IF(OR($Q978&lt;$O978,$M978&lt;$L978),"Hoàn một phần","Được hoàn")))))</f>
        <v/>
      </c>
      <c r="AC978" s="43">
        <f>IF(OR($B978="",$D978="",$I978="",$L978=""),0,IF($U978="Cancelled",0,IF($W978&lt;&gt;"",IFERROR(IF(INDEX(CASHBACK_RULES!$B$5:$B$304,MATCH($W978,CASHBACK_RULES!$A$5:$A$304,0))=$D978,MATCH($W978,CASHBACK_RULES!$A$5:$A$304,0),0),0),IFERROR(MATCH(1,INDEX((CASHBACK_RULES!$B$5:$B$304=$D978)*(CASHBACK_RULES!$G$5:$G$304=$I978)*(((CASHBACK_RULES!$N$5:$N$304="")+(CASHBACK_RULES!$N$5:$N$304&lt;=$B978))&gt;0)*(((CASHBACK_RULES!$O$5:$O$304="")+(CASHBACK_RULES!$O$5:$O$304&gt;=$B978))&gt;0)*(((CASHBACK_RULES!$M$5:$M$304="")+(CASHBACK_RULES!$M$5:$M$304&lt;=$L978))&gt;0),0),0),0))))</f>
        <v>0</v>
      </c>
      <c r="AD978" s="51" t="str">
        <f>IF(OR($B978="",$D978=""),"",IFERROR(IF(INDEX(CARDS!$H$5:$H$34,MATCH($D978,CARDS!$A$5:$A$34,0))="","",IF(DAY($B978)&lt;=INDEX(CARDS!$H$5:$H$34,MATCH($D978,CARDS!$A$5:$A$34,0)),DATE(YEAR($B978),MONTH($B978),MIN(INDEX(CARDS!$H$5:$H$34,MATCH($D978,CARDS!$A$5:$A$34,0)),DAY(EOMONTH($B978,0)))),DATE(YEAR($B978),MONTH($B978)+1,MIN(INDEX(CARDS!$H$5:$H$34,MATCH($D978,CARDS!$A$5:$A$34,0)),DAY(EOMONTH($B978,1)))))),""))</f>
        <v/>
      </c>
      <c r="AE978" s="52" t="str">
        <f>IF($C978="","",$C978&amp;"|"&amp;COUNTIF($C$5:$C978,$C978))</f>
        <v/>
      </c>
      <c r="AF978" s="53">
        <f>IF($AC978&gt;0,SUMIFS(Q$4:Q977,$D$4:$D977,$D978,$Z$4:$Z977,$Z978,$C$4:$C977,$C978),0)</f>
        <v>0</v>
      </c>
      <c r="AG978" s="53">
        <f>IF($AC978&gt;0,SUMIFS(Q$4:Q977,$D$4:$D977,$D978,$C$4:$C977,$C978),0)</f>
        <v>0</v>
      </c>
      <c r="AH978" s="53">
        <f>IF($AC978&gt;0,SUMIFS(M$4:M977,$D$4:$D977,$D978,$Z$4:$Z977,$Z978,$C$4:$C977,$C978),0)</f>
        <v>0</v>
      </c>
      <c r="AI978" s="43">
        <f>IF(OR($C978="",$I978=""),0,IF(COUNTIFS($C$5:$C978,$C978,$I$5:$I978,$I978)=1,1,0))</f>
        <v>0</v>
      </c>
      <c r="AJ978" s="43" t="str">
        <f>IF($AI978=1,SUMIFS($AI$4:$AI977,$C$4:$C977,$C978)+1,"")</f>
        <v/>
      </c>
      <c r="AK978" s="43">
        <f>IF(OR($C978="",$K978=""),0,IF(COUNTIFS($C$5:$C978,$C978,$K$5:$K978,$K978)=1,1,0))</f>
        <v>0</v>
      </c>
      <c r="AL978" s="43" t="str">
        <f>IF($AK978=1,SUMIFS($AK$4:$AK977,$C$4:$C977,$C978)+1,"")</f>
        <v/>
      </c>
      <c r="AM978" s="43">
        <f>IF(OR($C978="",$G978=""),0,IF(COUNTIFS($C$5:$C978,$C978,$G$5:$G978,$G978)=1,1,0))</f>
        <v>0</v>
      </c>
      <c r="AN978" s="43" t="str">
        <f>IF($AM978=1,SUMIFS($AM$4:$AM977,$C$4:$C977,$C978)+1,"")</f>
        <v/>
      </c>
    </row>
    <row r="979">
      <c r="A979" s="44" t="str">
        <f>IF(OR($B979="",$D979=""),"","TX"&amp;TEXT(ROW()-4,"0000"))</f>
        <v/>
      </c>
      <c r="B979" s="42" t="n"/>
      <c r="C979" s="47" t="str">
        <f>IF($B979="","",YEAR($B979)*100+MONTH($B979))</f>
        <v/>
      </c>
      <c r="D979" s="37" t="n"/>
      <c r="E979" s="45" t="str">
        <f>IF($D979="","",IFERROR(INDEX(CARDS!$B$5:$B$34,MATCH($D979,CARDS!$A$5:$A$34,0)),"⚠ Card ID?"))</f>
        <v/>
      </c>
      <c r="F979" s="45" t="str">
        <f>IF($D979="","",IFERROR(INDEX(CARDS!$C$5:$C$34,MATCH($D979,CARDS!$A$5:$A$34,0)),"⚠ Card ID?"))</f>
        <v/>
      </c>
      <c r="G979" s="37" t="n"/>
      <c r="H979" s="37" t="n"/>
      <c r="I979" s="41" t="n"/>
      <c r="J979" s="45" t="str">
        <f>IF($I979="","",IFERROR(INDEX(MCC_MASTER!$B$5:$B$504,MATCH($I979,MCC_MASTER!$A$5:$A$504,0)),"⚠ MCC chưa có"))</f>
        <v/>
      </c>
      <c r="K979" s="45" t="str">
        <f>IF($I979="","",IFERROR(IF(INDEX(MCC_MASTER!$C$5:$C$504,MATCH($I979,MCC_MASTER!$A$5:$A$504,0))="","Chưa phân loại",INDEX(MCC_MASTER!$C$5:$C$504,MATCH($I979,MCC_MASTER!$A$5:$A$504,0))),"Chưa phân loại"))</f>
        <v/>
      </c>
      <c r="L979" s="40" t="n"/>
      <c r="M979" s="48" t="str">
        <f>IF(OR($B979="",$D979=""),"",IF($AC979=0,0,IF(ISNUMBER(INDEX(CASHBACK_RULES!$L$5:$L$304,$AC979)),MAX(0,MIN($L979,INDEX(CASHBACK_RULES!$L$5:$L$304,$AC979)-$AH979)),MAX(0,$L979))))</f>
        <v/>
      </c>
      <c r="N979" s="49" t="str">
        <f>IF(OR($B979="",$D979=""),"",IF($AC979&gt;0,INDEX(CASHBACK_RULES!$I$5:$I$304,$AC979),0))</f>
        <v/>
      </c>
      <c r="O979" s="48" t="str">
        <f>IF(OR($B979="",$D979=""),"",ROUND($M979*$N979,0))</f>
        <v/>
      </c>
      <c r="P979" s="48" t="str">
        <f>IF($AC979&gt;0,IF(ISNUMBER(INDEX(CASHBACK_RULES!$J$5:$J$304,$AC979)),INDEX(CASHBACK_RULES!$J$5:$J$304,$AC979),"∞"),"")</f>
        <v/>
      </c>
      <c r="Q979" s="48" t="str">
        <f>IF(OR($B979="",$D979=""),"",IF($AC979=0,0,MAX(0,MIN($O979,IF(ISNUMBER($P979),$P979-$AF979,1E+15),IF(ISNUMBER($AA979),$AA979-$AG979,1E+15)))))</f>
        <v/>
      </c>
      <c r="R979" s="48" t="str">
        <f>IF(OR($B979="",$D979=""),"",IF($AC979=0,"",IF(AND(NOT(ISNUMBER($P979)),NOT(ISNUMBER($AA979))),"∞",MAX(0,MIN(IF(ISNUMBER($P979),$P979-$AF979-$Q979,1E+15),IF(ISNUMBER($AA979),$AA979-$AG979-$Q979,1E+15))))))</f>
        <v/>
      </c>
      <c r="S979" s="47" t="str">
        <f>IF($AD979="","",YEAR($AD979)*100+MONTH($AD979))</f>
        <v/>
      </c>
      <c r="T979" s="50" t="str">
        <f>IF($AD979="","",IFERROR(IF(INDEX(CARDS!$I$5:$I$34,MATCH($D979,CARDS!$A$5:$A$34,0))="","",IF(INDEX(CARDS!$I$5:$I$34,MATCH($D979,CARDS!$A$5:$A$34,0))&gt;INDEX(CARDS!$H$5:$H$34,MATCH($D979,CARDS!$A$5:$A$34,0)),DATE(YEAR($AD979),MONTH($AD979),MIN(INDEX(CARDS!$I$5:$I$34,MATCH($D979,CARDS!$A$5:$A$34,0)),DAY(EOMONTH($AD979,0)))),DATE(YEAR($AD979),MONTH($AD979)+1,MIN(INDEX(CARDS!$I$5:$I$34,MATCH($D979,CARDS!$A$5:$A$34,0)),DAY(EOMONTH($AD979,1)))))),""))</f>
        <v/>
      </c>
      <c r="U979" s="38" t="n"/>
      <c r="V979" s="37" t="n"/>
      <c r="W979" s="38" t="n"/>
      <c r="X979" s="38" t="n"/>
      <c r="Y979" s="44" t="str">
        <f>IF($AC979&gt;0,INDEX(CASHBACK_RULES!$A$5:$A$304,$AC979),"")</f>
        <v/>
      </c>
      <c r="Z979" s="45" t="str">
        <f>IF($AC979&gt;0,INDEX(CASHBACK_RULES!$E$5:$E$304,$AC979)&amp;"","")</f>
        <v/>
      </c>
      <c r="AA979" s="48" t="str">
        <f>IF($AC979&gt;0,IF(ISNUMBER(INDEX(CASHBACK_RULES!$K$5:$K$304,$AC979)),INDEX(CASHBACK_RULES!$K$5:$K$304,$AC979),"∞"),"")</f>
        <v/>
      </c>
      <c r="AB979" s="44" t="str">
        <f>IF(OR($B979="",$D979=""),"",IF($U979="Cancelled","Đã hủy",IF($AC979=0,"Không được hoàn",IF($Q979=0,IF(OR($O979&gt;0,$M979&lt;$L979),"Đã đạt cap","Không được hoàn"),IF(OR($Q979&lt;$O979,$M979&lt;$L979),"Hoàn một phần","Được hoàn")))))</f>
        <v/>
      </c>
      <c r="AC979" s="43">
        <f>IF(OR($B979="",$D979="",$I979="",$L979=""),0,IF($U979="Cancelled",0,IF($W979&lt;&gt;"",IFERROR(IF(INDEX(CASHBACK_RULES!$B$5:$B$304,MATCH($W979,CASHBACK_RULES!$A$5:$A$304,0))=$D979,MATCH($W979,CASHBACK_RULES!$A$5:$A$304,0),0),0),IFERROR(MATCH(1,INDEX((CASHBACK_RULES!$B$5:$B$304=$D979)*(CASHBACK_RULES!$G$5:$G$304=$I979)*(((CASHBACK_RULES!$N$5:$N$304="")+(CASHBACK_RULES!$N$5:$N$304&lt;=$B979))&gt;0)*(((CASHBACK_RULES!$O$5:$O$304="")+(CASHBACK_RULES!$O$5:$O$304&gt;=$B979))&gt;0)*(((CASHBACK_RULES!$M$5:$M$304="")+(CASHBACK_RULES!$M$5:$M$304&lt;=$L979))&gt;0),0),0),0))))</f>
        <v>0</v>
      </c>
      <c r="AD979" s="51" t="str">
        <f>IF(OR($B979="",$D979=""),"",IFERROR(IF(INDEX(CARDS!$H$5:$H$34,MATCH($D979,CARDS!$A$5:$A$34,0))="","",IF(DAY($B979)&lt;=INDEX(CARDS!$H$5:$H$34,MATCH($D979,CARDS!$A$5:$A$34,0)),DATE(YEAR($B979),MONTH($B979),MIN(INDEX(CARDS!$H$5:$H$34,MATCH($D979,CARDS!$A$5:$A$34,0)),DAY(EOMONTH($B979,0)))),DATE(YEAR($B979),MONTH($B979)+1,MIN(INDEX(CARDS!$H$5:$H$34,MATCH($D979,CARDS!$A$5:$A$34,0)),DAY(EOMONTH($B979,1)))))),""))</f>
        <v/>
      </c>
      <c r="AE979" s="52" t="str">
        <f>IF($C979="","",$C979&amp;"|"&amp;COUNTIF($C$5:$C979,$C979))</f>
        <v/>
      </c>
      <c r="AF979" s="53">
        <f>IF($AC979&gt;0,SUMIFS(Q$4:Q978,$D$4:$D978,$D979,$Z$4:$Z978,$Z979,$C$4:$C978,$C979),0)</f>
        <v>0</v>
      </c>
      <c r="AG979" s="53">
        <f>IF($AC979&gt;0,SUMIFS(Q$4:Q978,$D$4:$D978,$D979,$C$4:$C978,$C979),0)</f>
        <v>0</v>
      </c>
      <c r="AH979" s="53">
        <f>IF($AC979&gt;0,SUMIFS(M$4:M978,$D$4:$D978,$D979,$Z$4:$Z978,$Z979,$C$4:$C978,$C979),0)</f>
        <v>0</v>
      </c>
      <c r="AI979" s="43">
        <f>IF(OR($C979="",$I979=""),0,IF(COUNTIFS($C$5:$C979,$C979,$I$5:$I979,$I979)=1,1,0))</f>
        <v>0</v>
      </c>
      <c r="AJ979" s="43" t="str">
        <f>IF($AI979=1,SUMIFS($AI$4:$AI978,$C$4:$C978,$C979)+1,"")</f>
        <v/>
      </c>
      <c r="AK979" s="43">
        <f>IF(OR($C979="",$K979=""),0,IF(COUNTIFS($C$5:$C979,$C979,$K$5:$K979,$K979)=1,1,0))</f>
        <v>0</v>
      </c>
      <c r="AL979" s="43" t="str">
        <f>IF($AK979=1,SUMIFS($AK$4:$AK978,$C$4:$C978,$C979)+1,"")</f>
        <v/>
      </c>
      <c r="AM979" s="43">
        <f>IF(OR($C979="",$G979=""),0,IF(COUNTIFS($C$5:$C979,$C979,$G$5:$G979,$G979)=1,1,0))</f>
        <v>0</v>
      </c>
      <c r="AN979" s="43" t="str">
        <f>IF($AM979=1,SUMIFS($AM$4:$AM978,$C$4:$C978,$C979)+1,"")</f>
        <v/>
      </c>
    </row>
    <row r="980">
      <c r="A980" s="44" t="str">
        <f>IF(OR($B980="",$D980=""),"","TX"&amp;TEXT(ROW()-4,"0000"))</f>
        <v/>
      </c>
      <c r="B980" s="42" t="n"/>
      <c r="C980" s="47" t="str">
        <f>IF($B980="","",YEAR($B980)*100+MONTH($B980))</f>
        <v/>
      </c>
      <c r="D980" s="37" t="n"/>
      <c r="E980" s="45" t="str">
        <f>IF($D980="","",IFERROR(INDEX(CARDS!$B$5:$B$34,MATCH($D980,CARDS!$A$5:$A$34,0)),"⚠ Card ID?"))</f>
        <v/>
      </c>
      <c r="F980" s="45" t="str">
        <f>IF($D980="","",IFERROR(INDEX(CARDS!$C$5:$C$34,MATCH($D980,CARDS!$A$5:$A$34,0)),"⚠ Card ID?"))</f>
        <v/>
      </c>
      <c r="G980" s="37" t="n"/>
      <c r="H980" s="37" t="n"/>
      <c r="I980" s="41" t="n"/>
      <c r="J980" s="45" t="str">
        <f>IF($I980="","",IFERROR(INDEX(MCC_MASTER!$B$5:$B$504,MATCH($I980,MCC_MASTER!$A$5:$A$504,0)),"⚠ MCC chưa có"))</f>
        <v/>
      </c>
      <c r="K980" s="45" t="str">
        <f>IF($I980="","",IFERROR(IF(INDEX(MCC_MASTER!$C$5:$C$504,MATCH($I980,MCC_MASTER!$A$5:$A$504,0))="","Chưa phân loại",INDEX(MCC_MASTER!$C$5:$C$504,MATCH($I980,MCC_MASTER!$A$5:$A$504,0))),"Chưa phân loại"))</f>
        <v/>
      </c>
      <c r="L980" s="40" t="n"/>
      <c r="M980" s="48" t="str">
        <f>IF(OR($B980="",$D980=""),"",IF($AC980=0,0,IF(ISNUMBER(INDEX(CASHBACK_RULES!$L$5:$L$304,$AC980)),MAX(0,MIN($L980,INDEX(CASHBACK_RULES!$L$5:$L$304,$AC980)-$AH980)),MAX(0,$L980))))</f>
        <v/>
      </c>
      <c r="N980" s="49" t="str">
        <f>IF(OR($B980="",$D980=""),"",IF($AC980&gt;0,INDEX(CASHBACK_RULES!$I$5:$I$304,$AC980),0))</f>
        <v/>
      </c>
      <c r="O980" s="48" t="str">
        <f>IF(OR($B980="",$D980=""),"",ROUND($M980*$N980,0))</f>
        <v/>
      </c>
      <c r="P980" s="48" t="str">
        <f>IF($AC980&gt;0,IF(ISNUMBER(INDEX(CASHBACK_RULES!$J$5:$J$304,$AC980)),INDEX(CASHBACK_RULES!$J$5:$J$304,$AC980),"∞"),"")</f>
        <v/>
      </c>
      <c r="Q980" s="48" t="str">
        <f>IF(OR($B980="",$D980=""),"",IF($AC980=0,0,MAX(0,MIN($O980,IF(ISNUMBER($P980),$P980-$AF980,1E+15),IF(ISNUMBER($AA980),$AA980-$AG980,1E+15)))))</f>
        <v/>
      </c>
      <c r="R980" s="48" t="str">
        <f>IF(OR($B980="",$D980=""),"",IF($AC980=0,"",IF(AND(NOT(ISNUMBER($P980)),NOT(ISNUMBER($AA980))),"∞",MAX(0,MIN(IF(ISNUMBER($P980),$P980-$AF980-$Q980,1E+15),IF(ISNUMBER($AA980),$AA980-$AG980-$Q980,1E+15))))))</f>
        <v/>
      </c>
      <c r="S980" s="47" t="str">
        <f>IF($AD980="","",YEAR($AD980)*100+MONTH($AD980))</f>
        <v/>
      </c>
      <c r="T980" s="50" t="str">
        <f>IF($AD980="","",IFERROR(IF(INDEX(CARDS!$I$5:$I$34,MATCH($D980,CARDS!$A$5:$A$34,0))="","",IF(INDEX(CARDS!$I$5:$I$34,MATCH($D980,CARDS!$A$5:$A$34,0))&gt;INDEX(CARDS!$H$5:$H$34,MATCH($D980,CARDS!$A$5:$A$34,0)),DATE(YEAR($AD980),MONTH($AD980),MIN(INDEX(CARDS!$I$5:$I$34,MATCH($D980,CARDS!$A$5:$A$34,0)),DAY(EOMONTH($AD980,0)))),DATE(YEAR($AD980),MONTH($AD980)+1,MIN(INDEX(CARDS!$I$5:$I$34,MATCH($D980,CARDS!$A$5:$A$34,0)),DAY(EOMONTH($AD980,1)))))),""))</f>
        <v/>
      </c>
      <c r="U980" s="38" t="n"/>
      <c r="V980" s="37" t="n"/>
      <c r="W980" s="38" t="n"/>
      <c r="X980" s="38" t="n"/>
      <c r="Y980" s="44" t="str">
        <f>IF($AC980&gt;0,INDEX(CASHBACK_RULES!$A$5:$A$304,$AC980),"")</f>
        <v/>
      </c>
      <c r="Z980" s="45" t="str">
        <f>IF($AC980&gt;0,INDEX(CASHBACK_RULES!$E$5:$E$304,$AC980)&amp;"","")</f>
        <v/>
      </c>
      <c r="AA980" s="48" t="str">
        <f>IF($AC980&gt;0,IF(ISNUMBER(INDEX(CASHBACK_RULES!$K$5:$K$304,$AC980)),INDEX(CASHBACK_RULES!$K$5:$K$304,$AC980),"∞"),"")</f>
        <v/>
      </c>
      <c r="AB980" s="44" t="str">
        <f>IF(OR($B980="",$D980=""),"",IF($U980="Cancelled","Đã hủy",IF($AC980=0,"Không được hoàn",IF($Q980=0,IF(OR($O980&gt;0,$M980&lt;$L980),"Đã đạt cap","Không được hoàn"),IF(OR($Q980&lt;$O980,$M980&lt;$L980),"Hoàn một phần","Được hoàn")))))</f>
        <v/>
      </c>
      <c r="AC980" s="43">
        <f>IF(OR($B980="",$D980="",$I980="",$L980=""),0,IF($U980="Cancelled",0,IF($W980&lt;&gt;"",IFERROR(IF(INDEX(CASHBACK_RULES!$B$5:$B$304,MATCH($W980,CASHBACK_RULES!$A$5:$A$304,0))=$D980,MATCH($W980,CASHBACK_RULES!$A$5:$A$304,0),0),0),IFERROR(MATCH(1,INDEX((CASHBACK_RULES!$B$5:$B$304=$D980)*(CASHBACK_RULES!$G$5:$G$304=$I980)*(((CASHBACK_RULES!$N$5:$N$304="")+(CASHBACK_RULES!$N$5:$N$304&lt;=$B980))&gt;0)*(((CASHBACK_RULES!$O$5:$O$304="")+(CASHBACK_RULES!$O$5:$O$304&gt;=$B980))&gt;0)*(((CASHBACK_RULES!$M$5:$M$304="")+(CASHBACK_RULES!$M$5:$M$304&lt;=$L980))&gt;0),0),0),0))))</f>
        <v>0</v>
      </c>
      <c r="AD980" s="51" t="str">
        <f>IF(OR($B980="",$D980=""),"",IFERROR(IF(INDEX(CARDS!$H$5:$H$34,MATCH($D980,CARDS!$A$5:$A$34,0))="","",IF(DAY($B980)&lt;=INDEX(CARDS!$H$5:$H$34,MATCH($D980,CARDS!$A$5:$A$34,0)),DATE(YEAR($B980),MONTH($B980),MIN(INDEX(CARDS!$H$5:$H$34,MATCH($D980,CARDS!$A$5:$A$34,0)),DAY(EOMONTH($B980,0)))),DATE(YEAR($B980),MONTH($B980)+1,MIN(INDEX(CARDS!$H$5:$H$34,MATCH($D980,CARDS!$A$5:$A$34,0)),DAY(EOMONTH($B980,1)))))),""))</f>
        <v/>
      </c>
      <c r="AE980" s="52" t="str">
        <f>IF($C980="","",$C980&amp;"|"&amp;COUNTIF($C$5:$C980,$C980))</f>
        <v/>
      </c>
      <c r="AF980" s="53">
        <f>IF($AC980&gt;0,SUMIFS(Q$4:Q979,$D$4:$D979,$D980,$Z$4:$Z979,$Z980,$C$4:$C979,$C980),0)</f>
        <v>0</v>
      </c>
      <c r="AG980" s="53">
        <f>IF($AC980&gt;0,SUMIFS(Q$4:Q979,$D$4:$D979,$D980,$C$4:$C979,$C980),0)</f>
        <v>0</v>
      </c>
      <c r="AH980" s="53">
        <f>IF($AC980&gt;0,SUMIFS(M$4:M979,$D$4:$D979,$D980,$Z$4:$Z979,$Z980,$C$4:$C979,$C980),0)</f>
        <v>0</v>
      </c>
      <c r="AI980" s="43">
        <f>IF(OR($C980="",$I980=""),0,IF(COUNTIFS($C$5:$C980,$C980,$I$5:$I980,$I980)=1,1,0))</f>
        <v>0</v>
      </c>
      <c r="AJ980" s="43" t="str">
        <f>IF($AI980=1,SUMIFS($AI$4:$AI979,$C$4:$C979,$C980)+1,"")</f>
        <v/>
      </c>
      <c r="AK980" s="43">
        <f>IF(OR($C980="",$K980=""),0,IF(COUNTIFS($C$5:$C980,$C980,$K$5:$K980,$K980)=1,1,0))</f>
        <v>0</v>
      </c>
      <c r="AL980" s="43" t="str">
        <f>IF($AK980=1,SUMIFS($AK$4:$AK979,$C$4:$C979,$C980)+1,"")</f>
        <v/>
      </c>
      <c r="AM980" s="43">
        <f>IF(OR($C980="",$G980=""),0,IF(COUNTIFS($C$5:$C980,$C980,$G$5:$G980,$G980)=1,1,0))</f>
        <v>0</v>
      </c>
      <c r="AN980" s="43" t="str">
        <f>IF($AM980=1,SUMIFS($AM$4:$AM979,$C$4:$C979,$C980)+1,"")</f>
        <v/>
      </c>
    </row>
    <row r="981">
      <c r="A981" s="44" t="str">
        <f>IF(OR($B981="",$D981=""),"","TX"&amp;TEXT(ROW()-4,"0000"))</f>
        <v/>
      </c>
      <c r="B981" s="42" t="n"/>
      <c r="C981" s="47" t="str">
        <f>IF($B981="","",YEAR($B981)*100+MONTH($B981))</f>
        <v/>
      </c>
      <c r="D981" s="37" t="n"/>
      <c r="E981" s="45" t="str">
        <f>IF($D981="","",IFERROR(INDEX(CARDS!$B$5:$B$34,MATCH($D981,CARDS!$A$5:$A$34,0)),"⚠ Card ID?"))</f>
        <v/>
      </c>
      <c r="F981" s="45" t="str">
        <f>IF($D981="","",IFERROR(INDEX(CARDS!$C$5:$C$34,MATCH($D981,CARDS!$A$5:$A$34,0)),"⚠ Card ID?"))</f>
        <v/>
      </c>
      <c r="G981" s="37" t="n"/>
      <c r="H981" s="37" t="n"/>
      <c r="I981" s="41" t="n"/>
      <c r="J981" s="45" t="str">
        <f>IF($I981="","",IFERROR(INDEX(MCC_MASTER!$B$5:$B$504,MATCH($I981,MCC_MASTER!$A$5:$A$504,0)),"⚠ MCC chưa có"))</f>
        <v/>
      </c>
      <c r="K981" s="45" t="str">
        <f>IF($I981="","",IFERROR(IF(INDEX(MCC_MASTER!$C$5:$C$504,MATCH($I981,MCC_MASTER!$A$5:$A$504,0))="","Chưa phân loại",INDEX(MCC_MASTER!$C$5:$C$504,MATCH($I981,MCC_MASTER!$A$5:$A$504,0))),"Chưa phân loại"))</f>
        <v/>
      </c>
      <c r="L981" s="40" t="n"/>
      <c r="M981" s="48" t="str">
        <f>IF(OR($B981="",$D981=""),"",IF($AC981=0,0,IF(ISNUMBER(INDEX(CASHBACK_RULES!$L$5:$L$304,$AC981)),MAX(0,MIN($L981,INDEX(CASHBACK_RULES!$L$5:$L$304,$AC981)-$AH981)),MAX(0,$L981))))</f>
        <v/>
      </c>
      <c r="N981" s="49" t="str">
        <f>IF(OR($B981="",$D981=""),"",IF($AC981&gt;0,INDEX(CASHBACK_RULES!$I$5:$I$304,$AC981),0))</f>
        <v/>
      </c>
      <c r="O981" s="48" t="str">
        <f>IF(OR($B981="",$D981=""),"",ROUND($M981*$N981,0))</f>
        <v/>
      </c>
      <c r="P981" s="48" t="str">
        <f>IF($AC981&gt;0,IF(ISNUMBER(INDEX(CASHBACK_RULES!$J$5:$J$304,$AC981)),INDEX(CASHBACK_RULES!$J$5:$J$304,$AC981),"∞"),"")</f>
        <v/>
      </c>
      <c r="Q981" s="48" t="str">
        <f>IF(OR($B981="",$D981=""),"",IF($AC981=0,0,MAX(0,MIN($O981,IF(ISNUMBER($P981),$P981-$AF981,1E+15),IF(ISNUMBER($AA981),$AA981-$AG981,1E+15)))))</f>
        <v/>
      </c>
      <c r="R981" s="48" t="str">
        <f>IF(OR($B981="",$D981=""),"",IF($AC981=0,"",IF(AND(NOT(ISNUMBER($P981)),NOT(ISNUMBER($AA981))),"∞",MAX(0,MIN(IF(ISNUMBER($P981),$P981-$AF981-$Q981,1E+15),IF(ISNUMBER($AA981),$AA981-$AG981-$Q981,1E+15))))))</f>
        <v/>
      </c>
      <c r="S981" s="47" t="str">
        <f>IF($AD981="","",YEAR($AD981)*100+MONTH($AD981))</f>
        <v/>
      </c>
      <c r="T981" s="50" t="str">
        <f>IF($AD981="","",IFERROR(IF(INDEX(CARDS!$I$5:$I$34,MATCH($D981,CARDS!$A$5:$A$34,0))="","",IF(INDEX(CARDS!$I$5:$I$34,MATCH($D981,CARDS!$A$5:$A$34,0))&gt;INDEX(CARDS!$H$5:$H$34,MATCH($D981,CARDS!$A$5:$A$34,0)),DATE(YEAR($AD981),MONTH($AD981),MIN(INDEX(CARDS!$I$5:$I$34,MATCH($D981,CARDS!$A$5:$A$34,0)),DAY(EOMONTH($AD981,0)))),DATE(YEAR($AD981),MONTH($AD981)+1,MIN(INDEX(CARDS!$I$5:$I$34,MATCH($D981,CARDS!$A$5:$A$34,0)),DAY(EOMONTH($AD981,1)))))),""))</f>
        <v/>
      </c>
      <c r="U981" s="38" t="n"/>
      <c r="V981" s="37" t="n"/>
      <c r="W981" s="38" t="n"/>
      <c r="X981" s="38" t="n"/>
      <c r="Y981" s="44" t="str">
        <f>IF($AC981&gt;0,INDEX(CASHBACK_RULES!$A$5:$A$304,$AC981),"")</f>
        <v/>
      </c>
      <c r="Z981" s="45" t="str">
        <f>IF($AC981&gt;0,INDEX(CASHBACK_RULES!$E$5:$E$304,$AC981)&amp;"","")</f>
        <v/>
      </c>
      <c r="AA981" s="48" t="str">
        <f>IF($AC981&gt;0,IF(ISNUMBER(INDEX(CASHBACK_RULES!$K$5:$K$304,$AC981)),INDEX(CASHBACK_RULES!$K$5:$K$304,$AC981),"∞"),"")</f>
        <v/>
      </c>
      <c r="AB981" s="44" t="str">
        <f>IF(OR($B981="",$D981=""),"",IF($U981="Cancelled","Đã hủy",IF($AC981=0,"Không được hoàn",IF($Q981=0,IF(OR($O981&gt;0,$M981&lt;$L981),"Đã đạt cap","Không được hoàn"),IF(OR($Q981&lt;$O981,$M981&lt;$L981),"Hoàn một phần","Được hoàn")))))</f>
        <v/>
      </c>
      <c r="AC981" s="43">
        <f>IF(OR($B981="",$D981="",$I981="",$L981=""),0,IF($U981="Cancelled",0,IF($W981&lt;&gt;"",IFERROR(IF(INDEX(CASHBACK_RULES!$B$5:$B$304,MATCH($W981,CASHBACK_RULES!$A$5:$A$304,0))=$D981,MATCH($W981,CASHBACK_RULES!$A$5:$A$304,0),0),0),IFERROR(MATCH(1,INDEX((CASHBACK_RULES!$B$5:$B$304=$D981)*(CASHBACK_RULES!$G$5:$G$304=$I981)*(((CASHBACK_RULES!$N$5:$N$304="")+(CASHBACK_RULES!$N$5:$N$304&lt;=$B981))&gt;0)*(((CASHBACK_RULES!$O$5:$O$304="")+(CASHBACK_RULES!$O$5:$O$304&gt;=$B981))&gt;0)*(((CASHBACK_RULES!$M$5:$M$304="")+(CASHBACK_RULES!$M$5:$M$304&lt;=$L981))&gt;0),0),0),0))))</f>
        <v>0</v>
      </c>
      <c r="AD981" s="51" t="str">
        <f>IF(OR($B981="",$D981=""),"",IFERROR(IF(INDEX(CARDS!$H$5:$H$34,MATCH($D981,CARDS!$A$5:$A$34,0))="","",IF(DAY($B981)&lt;=INDEX(CARDS!$H$5:$H$34,MATCH($D981,CARDS!$A$5:$A$34,0)),DATE(YEAR($B981),MONTH($B981),MIN(INDEX(CARDS!$H$5:$H$34,MATCH($D981,CARDS!$A$5:$A$34,0)),DAY(EOMONTH($B981,0)))),DATE(YEAR($B981),MONTH($B981)+1,MIN(INDEX(CARDS!$H$5:$H$34,MATCH($D981,CARDS!$A$5:$A$34,0)),DAY(EOMONTH($B981,1)))))),""))</f>
        <v/>
      </c>
      <c r="AE981" s="52" t="str">
        <f>IF($C981="","",$C981&amp;"|"&amp;COUNTIF($C$5:$C981,$C981))</f>
        <v/>
      </c>
      <c r="AF981" s="53">
        <f>IF($AC981&gt;0,SUMIFS(Q$4:Q980,$D$4:$D980,$D981,$Z$4:$Z980,$Z981,$C$4:$C980,$C981),0)</f>
        <v>0</v>
      </c>
      <c r="AG981" s="53">
        <f>IF($AC981&gt;0,SUMIFS(Q$4:Q980,$D$4:$D980,$D981,$C$4:$C980,$C981),0)</f>
        <v>0</v>
      </c>
      <c r="AH981" s="53">
        <f>IF($AC981&gt;0,SUMIFS(M$4:M980,$D$4:$D980,$D981,$Z$4:$Z980,$Z981,$C$4:$C980,$C981),0)</f>
        <v>0</v>
      </c>
      <c r="AI981" s="43">
        <f>IF(OR($C981="",$I981=""),0,IF(COUNTIFS($C$5:$C981,$C981,$I$5:$I981,$I981)=1,1,0))</f>
        <v>0</v>
      </c>
      <c r="AJ981" s="43" t="str">
        <f>IF($AI981=1,SUMIFS($AI$4:$AI980,$C$4:$C980,$C981)+1,"")</f>
        <v/>
      </c>
      <c r="AK981" s="43">
        <f>IF(OR($C981="",$K981=""),0,IF(COUNTIFS($C$5:$C981,$C981,$K$5:$K981,$K981)=1,1,0))</f>
        <v>0</v>
      </c>
      <c r="AL981" s="43" t="str">
        <f>IF($AK981=1,SUMIFS($AK$4:$AK980,$C$4:$C980,$C981)+1,"")</f>
        <v/>
      </c>
      <c r="AM981" s="43">
        <f>IF(OR($C981="",$G981=""),0,IF(COUNTIFS($C$5:$C981,$C981,$G$5:$G981,$G981)=1,1,0))</f>
        <v>0</v>
      </c>
      <c r="AN981" s="43" t="str">
        <f>IF($AM981=1,SUMIFS($AM$4:$AM980,$C$4:$C980,$C981)+1,"")</f>
        <v/>
      </c>
    </row>
    <row r="982">
      <c r="A982" s="44" t="str">
        <f>IF(OR($B982="",$D982=""),"","TX"&amp;TEXT(ROW()-4,"0000"))</f>
        <v/>
      </c>
      <c r="B982" s="42" t="n"/>
      <c r="C982" s="47" t="str">
        <f>IF($B982="","",YEAR($B982)*100+MONTH($B982))</f>
        <v/>
      </c>
      <c r="D982" s="37" t="n"/>
      <c r="E982" s="45" t="str">
        <f>IF($D982="","",IFERROR(INDEX(CARDS!$B$5:$B$34,MATCH($D982,CARDS!$A$5:$A$34,0)),"⚠ Card ID?"))</f>
        <v/>
      </c>
      <c r="F982" s="45" t="str">
        <f>IF($D982="","",IFERROR(INDEX(CARDS!$C$5:$C$34,MATCH($D982,CARDS!$A$5:$A$34,0)),"⚠ Card ID?"))</f>
        <v/>
      </c>
      <c r="G982" s="37" t="n"/>
      <c r="H982" s="37" t="n"/>
      <c r="I982" s="41" t="n"/>
      <c r="J982" s="45" t="str">
        <f>IF($I982="","",IFERROR(INDEX(MCC_MASTER!$B$5:$B$504,MATCH($I982,MCC_MASTER!$A$5:$A$504,0)),"⚠ MCC chưa có"))</f>
        <v/>
      </c>
      <c r="K982" s="45" t="str">
        <f>IF($I982="","",IFERROR(IF(INDEX(MCC_MASTER!$C$5:$C$504,MATCH($I982,MCC_MASTER!$A$5:$A$504,0))="","Chưa phân loại",INDEX(MCC_MASTER!$C$5:$C$504,MATCH($I982,MCC_MASTER!$A$5:$A$504,0))),"Chưa phân loại"))</f>
        <v/>
      </c>
      <c r="L982" s="40" t="n"/>
      <c r="M982" s="48" t="str">
        <f>IF(OR($B982="",$D982=""),"",IF($AC982=0,0,IF(ISNUMBER(INDEX(CASHBACK_RULES!$L$5:$L$304,$AC982)),MAX(0,MIN($L982,INDEX(CASHBACK_RULES!$L$5:$L$304,$AC982)-$AH982)),MAX(0,$L982))))</f>
        <v/>
      </c>
      <c r="N982" s="49" t="str">
        <f>IF(OR($B982="",$D982=""),"",IF($AC982&gt;0,INDEX(CASHBACK_RULES!$I$5:$I$304,$AC982),0))</f>
        <v/>
      </c>
      <c r="O982" s="48" t="str">
        <f>IF(OR($B982="",$D982=""),"",ROUND($M982*$N982,0))</f>
        <v/>
      </c>
      <c r="P982" s="48" t="str">
        <f>IF($AC982&gt;0,IF(ISNUMBER(INDEX(CASHBACK_RULES!$J$5:$J$304,$AC982)),INDEX(CASHBACK_RULES!$J$5:$J$304,$AC982),"∞"),"")</f>
        <v/>
      </c>
      <c r="Q982" s="48" t="str">
        <f>IF(OR($B982="",$D982=""),"",IF($AC982=0,0,MAX(0,MIN($O982,IF(ISNUMBER($P982),$P982-$AF982,1E+15),IF(ISNUMBER($AA982),$AA982-$AG982,1E+15)))))</f>
        <v/>
      </c>
      <c r="R982" s="48" t="str">
        <f>IF(OR($B982="",$D982=""),"",IF($AC982=0,"",IF(AND(NOT(ISNUMBER($P982)),NOT(ISNUMBER($AA982))),"∞",MAX(0,MIN(IF(ISNUMBER($P982),$P982-$AF982-$Q982,1E+15),IF(ISNUMBER($AA982),$AA982-$AG982-$Q982,1E+15))))))</f>
        <v/>
      </c>
      <c r="S982" s="47" t="str">
        <f>IF($AD982="","",YEAR($AD982)*100+MONTH($AD982))</f>
        <v/>
      </c>
      <c r="T982" s="50" t="str">
        <f>IF($AD982="","",IFERROR(IF(INDEX(CARDS!$I$5:$I$34,MATCH($D982,CARDS!$A$5:$A$34,0))="","",IF(INDEX(CARDS!$I$5:$I$34,MATCH($D982,CARDS!$A$5:$A$34,0))&gt;INDEX(CARDS!$H$5:$H$34,MATCH($D982,CARDS!$A$5:$A$34,0)),DATE(YEAR($AD982),MONTH($AD982),MIN(INDEX(CARDS!$I$5:$I$34,MATCH($D982,CARDS!$A$5:$A$34,0)),DAY(EOMONTH($AD982,0)))),DATE(YEAR($AD982),MONTH($AD982)+1,MIN(INDEX(CARDS!$I$5:$I$34,MATCH($D982,CARDS!$A$5:$A$34,0)),DAY(EOMONTH($AD982,1)))))),""))</f>
        <v/>
      </c>
      <c r="U982" s="38" t="n"/>
      <c r="V982" s="37" t="n"/>
      <c r="W982" s="38" t="n"/>
      <c r="X982" s="38" t="n"/>
      <c r="Y982" s="44" t="str">
        <f>IF($AC982&gt;0,INDEX(CASHBACK_RULES!$A$5:$A$304,$AC982),"")</f>
        <v/>
      </c>
      <c r="Z982" s="45" t="str">
        <f>IF($AC982&gt;0,INDEX(CASHBACK_RULES!$E$5:$E$304,$AC982)&amp;"","")</f>
        <v/>
      </c>
      <c r="AA982" s="48" t="str">
        <f>IF($AC982&gt;0,IF(ISNUMBER(INDEX(CASHBACK_RULES!$K$5:$K$304,$AC982)),INDEX(CASHBACK_RULES!$K$5:$K$304,$AC982),"∞"),"")</f>
        <v/>
      </c>
      <c r="AB982" s="44" t="str">
        <f>IF(OR($B982="",$D982=""),"",IF($U982="Cancelled","Đã hủy",IF($AC982=0,"Không được hoàn",IF($Q982=0,IF(OR($O982&gt;0,$M982&lt;$L982),"Đã đạt cap","Không được hoàn"),IF(OR($Q982&lt;$O982,$M982&lt;$L982),"Hoàn một phần","Được hoàn")))))</f>
        <v/>
      </c>
      <c r="AC982" s="43">
        <f>IF(OR($B982="",$D982="",$I982="",$L982=""),0,IF($U982="Cancelled",0,IF($W982&lt;&gt;"",IFERROR(IF(INDEX(CASHBACK_RULES!$B$5:$B$304,MATCH($W982,CASHBACK_RULES!$A$5:$A$304,0))=$D982,MATCH($W982,CASHBACK_RULES!$A$5:$A$304,0),0),0),IFERROR(MATCH(1,INDEX((CASHBACK_RULES!$B$5:$B$304=$D982)*(CASHBACK_RULES!$G$5:$G$304=$I982)*(((CASHBACK_RULES!$N$5:$N$304="")+(CASHBACK_RULES!$N$5:$N$304&lt;=$B982))&gt;0)*(((CASHBACK_RULES!$O$5:$O$304="")+(CASHBACK_RULES!$O$5:$O$304&gt;=$B982))&gt;0)*(((CASHBACK_RULES!$M$5:$M$304="")+(CASHBACK_RULES!$M$5:$M$304&lt;=$L982))&gt;0),0),0),0))))</f>
        <v>0</v>
      </c>
      <c r="AD982" s="51" t="str">
        <f>IF(OR($B982="",$D982=""),"",IFERROR(IF(INDEX(CARDS!$H$5:$H$34,MATCH($D982,CARDS!$A$5:$A$34,0))="","",IF(DAY($B982)&lt;=INDEX(CARDS!$H$5:$H$34,MATCH($D982,CARDS!$A$5:$A$34,0)),DATE(YEAR($B982),MONTH($B982),MIN(INDEX(CARDS!$H$5:$H$34,MATCH($D982,CARDS!$A$5:$A$34,0)),DAY(EOMONTH($B982,0)))),DATE(YEAR($B982),MONTH($B982)+1,MIN(INDEX(CARDS!$H$5:$H$34,MATCH($D982,CARDS!$A$5:$A$34,0)),DAY(EOMONTH($B982,1)))))),""))</f>
        <v/>
      </c>
      <c r="AE982" s="52" t="str">
        <f>IF($C982="","",$C982&amp;"|"&amp;COUNTIF($C$5:$C982,$C982))</f>
        <v/>
      </c>
      <c r="AF982" s="53">
        <f>IF($AC982&gt;0,SUMIFS(Q$4:Q981,$D$4:$D981,$D982,$Z$4:$Z981,$Z982,$C$4:$C981,$C982),0)</f>
        <v>0</v>
      </c>
      <c r="AG982" s="53">
        <f>IF($AC982&gt;0,SUMIFS(Q$4:Q981,$D$4:$D981,$D982,$C$4:$C981,$C982),0)</f>
        <v>0</v>
      </c>
      <c r="AH982" s="53">
        <f>IF($AC982&gt;0,SUMIFS(M$4:M981,$D$4:$D981,$D982,$Z$4:$Z981,$Z982,$C$4:$C981,$C982),0)</f>
        <v>0</v>
      </c>
      <c r="AI982" s="43">
        <f>IF(OR($C982="",$I982=""),0,IF(COUNTIFS($C$5:$C982,$C982,$I$5:$I982,$I982)=1,1,0))</f>
        <v>0</v>
      </c>
      <c r="AJ982" s="43" t="str">
        <f>IF($AI982=1,SUMIFS($AI$4:$AI981,$C$4:$C981,$C982)+1,"")</f>
        <v/>
      </c>
      <c r="AK982" s="43">
        <f>IF(OR($C982="",$K982=""),0,IF(COUNTIFS($C$5:$C982,$C982,$K$5:$K982,$K982)=1,1,0))</f>
        <v>0</v>
      </c>
      <c r="AL982" s="43" t="str">
        <f>IF($AK982=1,SUMIFS($AK$4:$AK981,$C$4:$C981,$C982)+1,"")</f>
        <v/>
      </c>
      <c r="AM982" s="43">
        <f>IF(OR($C982="",$G982=""),0,IF(COUNTIFS($C$5:$C982,$C982,$G$5:$G982,$G982)=1,1,0))</f>
        <v>0</v>
      </c>
      <c r="AN982" s="43" t="str">
        <f>IF($AM982=1,SUMIFS($AM$4:$AM981,$C$4:$C981,$C982)+1,"")</f>
        <v/>
      </c>
    </row>
    <row r="983">
      <c r="A983" s="44" t="str">
        <f>IF(OR($B983="",$D983=""),"","TX"&amp;TEXT(ROW()-4,"0000"))</f>
        <v/>
      </c>
      <c r="B983" s="42" t="n"/>
      <c r="C983" s="47" t="str">
        <f>IF($B983="","",YEAR($B983)*100+MONTH($B983))</f>
        <v/>
      </c>
      <c r="D983" s="37" t="n"/>
      <c r="E983" s="45" t="str">
        <f>IF($D983="","",IFERROR(INDEX(CARDS!$B$5:$B$34,MATCH($D983,CARDS!$A$5:$A$34,0)),"⚠ Card ID?"))</f>
        <v/>
      </c>
      <c r="F983" s="45" t="str">
        <f>IF($D983="","",IFERROR(INDEX(CARDS!$C$5:$C$34,MATCH($D983,CARDS!$A$5:$A$34,0)),"⚠ Card ID?"))</f>
        <v/>
      </c>
      <c r="G983" s="37" t="n"/>
      <c r="H983" s="37" t="n"/>
      <c r="I983" s="41" t="n"/>
      <c r="J983" s="45" t="str">
        <f>IF($I983="","",IFERROR(INDEX(MCC_MASTER!$B$5:$B$504,MATCH($I983,MCC_MASTER!$A$5:$A$504,0)),"⚠ MCC chưa có"))</f>
        <v/>
      </c>
      <c r="K983" s="45" t="str">
        <f>IF($I983="","",IFERROR(IF(INDEX(MCC_MASTER!$C$5:$C$504,MATCH($I983,MCC_MASTER!$A$5:$A$504,0))="","Chưa phân loại",INDEX(MCC_MASTER!$C$5:$C$504,MATCH($I983,MCC_MASTER!$A$5:$A$504,0))),"Chưa phân loại"))</f>
        <v/>
      </c>
      <c r="L983" s="40" t="n"/>
      <c r="M983" s="48" t="str">
        <f>IF(OR($B983="",$D983=""),"",IF($AC983=0,0,IF(ISNUMBER(INDEX(CASHBACK_RULES!$L$5:$L$304,$AC983)),MAX(0,MIN($L983,INDEX(CASHBACK_RULES!$L$5:$L$304,$AC983)-$AH983)),MAX(0,$L983))))</f>
        <v/>
      </c>
      <c r="N983" s="49" t="str">
        <f>IF(OR($B983="",$D983=""),"",IF($AC983&gt;0,INDEX(CASHBACK_RULES!$I$5:$I$304,$AC983),0))</f>
        <v/>
      </c>
      <c r="O983" s="48" t="str">
        <f>IF(OR($B983="",$D983=""),"",ROUND($M983*$N983,0))</f>
        <v/>
      </c>
      <c r="P983" s="48" t="str">
        <f>IF($AC983&gt;0,IF(ISNUMBER(INDEX(CASHBACK_RULES!$J$5:$J$304,$AC983)),INDEX(CASHBACK_RULES!$J$5:$J$304,$AC983),"∞"),"")</f>
        <v/>
      </c>
      <c r="Q983" s="48" t="str">
        <f>IF(OR($B983="",$D983=""),"",IF($AC983=0,0,MAX(0,MIN($O983,IF(ISNUMBER($P983),$P983-$AF983,1E+15),IF(ISNUMBER($AA983),$AA983-$AG983,1E+15)))))</f>
        <v/>
      </c>
      <c r="R983" s="48" t="str">
        <f>IF(OR($B983="",$D983=""),"",IF($AC983=0,"",IF(AND(NOT(ISNUMBER($P983)),NOT(ISNUMBER($AA983))),"∞",MAX(0,MIN(IF(ISNUMBER($P983),$P983-$AF983-$Q983,1E+15),IF(ISNUMBER($AA983),$AA983-$AG983-$Q983,1E+15))))))</f>
        <v/>
      </c>
      <c r="S983" s="47" t="str">
        <f>IF($AD983="","",YEAR($AD983)*100+MONTH($AD983))</f>
        <v/>
      </c>
      <c r="T983" s="50" t="str">
        <f>IF($AD983="","",IFERROR(IF(INDEX(CARDS!$I$5:$I$34,MATCH($D983,CARDS!$A$5:$A$34,0))="","",IF(INDEX(CARDS!$I$5:$I$34,MATCH($D983,CARDS!$A$5:$A$34,0))&gt;INDEX(CARDS!$H$5:$H$34,MATCH($D983,CARDS!$A$5:$A$34,0)),DATE(YEAR($AD983),MONTH($AD983),MIN(INDEX(CARDS!$I$5:$I$34,MATCH($D983,CARDS!$A$5:$A$34,0)),DAY(EOMONTH($AD983,0)))),DATE(YEAR($AD983),MONTH($AD983)+1,MIN(INDEX(CARDS!$I$5:$I$34,MATCH($D983,CARDS!$A$5:$A$34,0)),DAY(EOMONTH($AD983,1)))))),""))</f>
        <v/>
      </c>
      <c r="U983" s="38" t="n"/>
      <c r="V983" s="37" t="n"/>
      <c r="W983" s="38" t="n"/>
      <c r="X983" s="38" t="n"/>
      <c r="Y983" s="44" t="str">
        <f>IF($AC983&gt;0,INDEX(CASHBACK_RULES!$A$5:$A$304,$AC983),"")</f>
        <v/>
      </c>
      <c r="Z983" s="45" t="str">
        <f>IF($AC983&gt;0,INDEX(CASHBACK_RULES!$E$5:$E$304,$AC983)&amp;"","")</f>
        <v/>
      </c>
      <c r="AA983" s="48" t="str">
        <f>IF($AC983&gt;0,IF(ISNUMBER(INDEX(CASHBACK_RULES!$K$5:$K$304,$AC983)),INDEX(CASHBACK_RULES!$K$5:$K$304,$AC983),"∞"),"")</f>
        <v/>
      </c>
      <c r="AB983" s="44" t="str">
        <f>IF(OR($B983="",$D983=""),"",IF($U983="Cancelled","Đã hủy",IF($AC983=0,"Không được hoàn",IF($Q983=0,IF(OR($O983&gt;0,$M983&lt;$L983),"Đã đạt cap","Không được hoàn"),IF(OR($Q983&lt;$O983,$M983&lt;$L983),"Hoàn một phần","Được hoàn")))))</f>
        <v/>
      </c>
      <c r="AC983" s="43">
        <f>IF(OR($B983="",$D983="",$I983="",$L983=""),0,IF($U983="Cancelled",0,IF($W983&lt;&gt;"",IFERROR(IF(INDEX(CASHBACK_RULES!$B$5:$B$304,MATCH($W983,CASHBACK_RULES!$A$5:$A$304,0))=$D983,MATCH($W983,CASHBACK_RULES!$A$5:$A$304,0),0),0),IFERROR(MATCH(1,INDEX((CASHBACK_RULES!$B$5:$B$304=$D983)*(CASHBACK_RULES!$G$5:$G$304=$I983)*(((CASHBACK_RULES!$N$5:$N$304="")+(CASHBACK_RULES!$N$5:$N$304&lt;=$B983))&gt;0)*(((CASHBACK_RULES!$O$5:$O$304="")+(CASHBACK_RULES!$O$5:$O$304&gt;=$B983))&gt;0)*(((CASHBACK_RULES!$M$5:$M$304="")+(CASHBACK_RULES!$M$5:$M$304&lt;=$L983))&gt;0),0),0),0))))</f>
        <v>0</v>
      </c>
      <c r="AD983" s="51" t="str">
        <f>IF(OR($B983="",$D983=""),"",IFERROR(IF(INDEX(CARDS!$H$5:$H$34,MATCH($D983,CARDS!$A$5:$A$34,0))="","",IF(DAY($B983)&lt;=INDEX(CARDS!$H$5:$H$34,MATCH($D983,CARDS!$A$5:$A$34,0)),DATE(YEAR($B983),MONTH($B983),MIN(INDEX(CARDS!$H$5:$H$34,MATCH($D983,CARDS!$A$5:$A$34,0)),DAY(EOMONTH($B983,0)))),DATE(YEAR($B983),MONTH($B983)+1,MIN(INDEX(CARDS!$H$5:$H$34,MATCH($D983,CARDS!$A$5:$A$34,0)),DAY(EOMONTH($B983,1)))))),""))</f>
        <v/>
      </c>
      <c r="AE983" s="52" t="str">
        <f>IF($C983="","",$C983&amp;"|"&amp;COUNTIF($C$5:$C983,$C983))</f>
        <v/>
      </c>
      <c r="AF983" s="53">
        <f>IF($AC983&gt;0,SUMIFS(Q$4:Q982,$D$4:$D982,$D983,$Z$4:$Z982,$Z983,$C$4:$C982,$C983),0)</f>
        <v>0</v>
      </c>
      <c r="AG983" s="53">
        <f>IF($AC983&gt;0,SUMIFS(Q$4:Q982,$D$4:$D982,$D983,$C$4:$C982,$C983),0)</f>
        <v>0</v>
      </c>
      <c r="AH983" s="53">
        <f>IF($AC983&gt;0,SUMIFS(M$4:M982,$D$4:$D982,$D983,$Z$4:$Z982,$Z983,$C$4:$C982,$C983),0)</f>
        <v>0</v>
      </c>
      <c r="AI983" s="43">
        <f>IF(OR($C983="",$I983=""),0,IF(COUNTIFS($C$5:$C983,$C983,$I$5:$I983,$I983)=1,1,0))</f>
        <v>0</v>
      </c>
      <c r="AJ983" s="43" t="str">
        <f>IF($AI983=1,SUMIFS($AI$4:$AI982,$C$4:$C982,$C983)+1,"")</f>
        <v/>
      </c>
      <c r="AK983" s="43">
        <f>IF(OR($C983="",$K983=""),0,IF(COUNTIFS($C$5:$C983,$C983,$K$5:$K983,$K983)=1,1,0))</f>
        <v>0</v>
      </c>
      <c r="AL983" s="43" t="str">
        <f>IF($AK983=1,SUMIFS($AK$4:$AK982,$C$4:$C982,$C983)+1,"")</f>
        <v/>
      </c>
      <c r="AM983" s="43">
        <f>IF(OR($C983="",$G983=""),0,IF(COUNTIFS($C$5:$C983,$C983,$G$5:$G983,$G983)=1,1,0))</f>
        <v>0</v>
      </c>
      <c r="AN983" s="43" t="str">
        <f>IF($AM983=1,SUMIFS($AM$4:$AM982,$C$4:$C982,$C983)+1,"")</f>
        <v/>
      </c>
    </row>
    <row r="984">
      <c r="A984" s="44" t="str">
        <f>IF(OR($B984="",$D984=""),"","TX"&amp;TEXT(ROW()-4,"0000"))</f>
        <v/>
      </c>
      <c r="B984" s="42" t="n"/>
      <c r="C984" s="47" t="str">
        <f>IF($B984="","",YEAR($B984)*100+MONTH($B984))</f>
        <v/>
      </c>
      <c r="D984" s="37" t="n"/>
      <c r="E984" s="45" t="str">
        <f>IF($D984="","",IFERROR(INDEX(CARDS!$B$5:$B$34,MATCH($D984,CARDS!$A$5:$A$34,0)),"⚠ Card ID?"))</f>
        <v/>
      </c>
      <c r="F984" s="45" t="str">
        <f>IF($D984="","",IFERROR(INDEX(CARDS!$C$5:$C$34,MATCH($D984,CARDS!$A$5:$A$34,0)),"⚠ Card ID?"))</f>
        <v/>
      </c>
      <c r="G984" s="37" t="n"/>
      <c r="H984" s="37" t="n"/>
      <c r="I984" s="41" t="n"/>
      <c r="J984" s="45" t="str">
        <f>IF($I984="","",IFERROR(INDEX(MCC_MASTER!$B$5:$B$504,MATCH($I984,MCC_MASTER!$A$5:$A$504,0)),"⚠ MCC chưa có"))</f>
        <v/>
      </c>
      <c r="K984" s="45" t="str">
        <f>IF($I984="","",IFERROR(IF(INDEX(MCC_MASTER!$C$5:$C$504,MATCH($I984,MCC_MASTER!$A$5:$A$504,0))="","Chưa phân loại",INDEX(MCC_MASTER!$C$5:$C$504,MATCH($I984,MCC_MASTER!$A$5:$A$504,0))),"Chưa phân loại"))</f>
        <v/>
      </c>
      <c r="L984" s="40" t="n"/>
      <c r="M984" s="48" t="str">
        <f>IF(OR($B984="",$D984=""),"",IF($AC984=0,0,IF(ISNUMBER(INDEX(CASHBACK_RULES!$L$5:$L$304,$AC984)),MAX(0,MIN($L984,INDEX(CASHBACK_RULES!$L$5:$L$304,$AC984)-$AH984)),MAX(0,$L984))))</f>
        <v/>
      </c>
      <c r="N984" s="49" t="str">
        <f>IF(OR($B984="",$D984=""),"",IF($AC984&gt;0,INDEX(CASHBACK_RULES!$I$5:$I$304,$AC984),0))</f>
        <v/>
      </c>
      <c r="O984" s="48" t="str">
        <f>IF(OR($B984="",$D984=""),"",ROUND($M984*$N984,0))</f>
        <v/>
      </c>
      <c r="P984" s="48" t="str">
        <f>IF($AC984&gt;0,IF(ISNUMBER(INDEX(CASHBACK_RULES!$J$5:$J$304,$AC984)),INDEX(CASHBACK_RULES!$J$5:$J$304,$AC984),"∞"),"")</f>
        <v/>
      </c>
      <c r="Q984" s="48" t="str">
        <f>IF(OR($B984="",$D984=""),"",IF($AC984=0,0,MAX(0,MIN($O984,IF(ISNUMBER($P984),$P984-$AF984,1E+15),IF(ISNUMBER($AA984),$AA984-$AG984,1E+15)))))</f>
        <v/>
      </c>
      <c r="R984" s="48" t="str">
        <f>IF(OR($B984="",$D984=""),"",IF($AC984=0,"",IF(AND(NOT(ISNUMBER($P984)),NOT(ISNUMBER($AA984))),"∞",MAX(0,MIN(IF(ISNUMBER($P984),$P984-$AF984-$Q984,1E+15),IF(ISNUMBER($AA984),$AA984-$AG984-$Q984,1E+15))))))</f>
        <v/>
      </c>
      <c r="S984" s="47" t="str">
        <f>IF($AD984="","",YEAR($AD984)*100+MONTH($AD984))</f>
        <v/>
      </c>
      <c r="T984" s="50" t="str">
        <f>IF($AD984="","",IFERROR(IF(INDEX(CARDS!$I$5:$I$34,MATCH($D984,CARDS!$A$5:$A$34,0))="","",IF(INDEX(CARDS!$I$5:$I$34,MATCH($D984,CARDS!$A$5:$A$34,0))&gt;INDEX(CARDS!$H$5:$H$34,MATCH($D984,CARDS!$A$5:$A$34,0)),DATE(YEAR($AD984),MONTH($AD984),MIN(INDEX(CARDS!$I$5:$I$34,MATCH($D984,CARDS!$A$5:$A$34,0)),DAY(EOMONTH($AD984,0)))),DATE(YEAR($AD984),MONTH($AD984)+1,MIN(INDEX(CARDS!$I$5:$I$34,MATCH($D984,CARDS!$A$5:$A$34,0)),DAY(EOMONTH($AD984,1)))))),""))</f>
        <v/>
      </c>
      <c r="U984" s="38" t="n"/>
      <c r="V984" s="37" t="n"/>
      <c r="W984" s="38" t="n"/>
      <c r="X984" s="38" t="n"/>
      <c r="Y984" s="44" t="str">
        <f>IF($AC984&gt;0,INDEX(CASHBACK_RULES!$A$5:$A$304,$AC984),"")</f>
        <v/>
      </c>
      <c r="Z984" s="45" t="str">
        <f>IF($AC984&gt;0,INDEX(CASHBACK_RULES!$E$5:$E$304,$AC984)&amp;"","")</f>
        <v/>
      </c>
      <c r="AA984" s="48" t="str">
        <f>IF($AC984&gt;0,IF(ISNUMBER(INDEX(CASHBACK_RULES!$K$5:$K$304,$AC984)),INDEX(CASHBACK_RULES!$K$5:$K$304,$AC984),"∞"),"")</f>
        <v/>
      </c>
      <c r="AB984" s="44" t="str">
        <f>IF(OR($B984="",$D984=""),"",IF($U984="Cancelled","Đã hủy",IF($AC984=0,"Không được hoàn",IF($Q984=0,IF(OR($O984&gt;0,$M984&lt;$L984),"Đã đạt cap","Không được hoàn"),IF(OR($Q984&lt;$O984,$M984&lt;$L984),"Hoàn một phần","Được hoàn")))))</f>
        <v/>
      </c>
      <c r="AC984" s="43">
        <f>IF(OR($B984="",$D984="",$I984="",$L984=""),0,IF($U984="Cancelled",0,IF($W984&lt;&gt;"",IFERROR(IF(INDEX(CASHBACK_RULES!$B$5:$B$304,MATCH($W984,CASHBACK_RULES!$A$5:$A$304,0))=$D984,MATCH($W984,CASHBACK_RULES!$A$5:$A$304,0),0),0),IFERROR(MATCH(1,INDEX((CASHBACK_RULES!$B$5:$B$304=$D984)*(CASHBACK_RULES!$G$5:$G$304=$I984)*(((CASHBACK_RULES!$N$5:$N$304="")+(CASHBACK_RULES!$N$5:$N$304&lt;=$B984))&gt;0)*(((CASHBACK_RULES!$O$5:$O$304="")+(CASHBACK_RULES!$O$5:$O$304&gt;=$B984))&gt;0)*(((CASHBACK_RULES!$M$5:$M$304="")+(CASHBACK_RULES!$M$5:$M$304&lt;=$L984))&gt;0),0),0),0))))</f>
        <v>0</v>
      </c>
      <c r="AD984" s="51" t="str">
        <f>IF(OR($B984="",$D984=""),"",IFERROR(IF(INDEX(CARDS!$H$5:$H$34,MATCH($D984,CARDS!$A$5:$A$34,0))="","",IF(DAY($B984)&lt;=INDEX(CARDS!$H$5:$H$34,MATCH($D984,CARDS!$A$5:$A$34,0)),DATE(YEAR($B984),MONTH($B984),MIN(INDEX(CARDS!$H$5:$H$34,MATCH($D984,CARDS!$A$5:$A$34,0)),DAY(EOMONTH($B984,0)))),DATE(YEAR($B984),MONTH($B984)+1,MIN(INDEX(CARDS!$H$5:$H$34,MATCH($D984,CARDS!$A$5:$A$34,0)),DAY(EOMONTH($B984,1)))))),""))</f>
        <v/>
      </c>
      <c r="AE984" s="52" t="str">
        <f>IF($C984="","",$C984&amp;"|"&amp;COUNTIF($C$5:$C984,$C984))</f>
        <v/>
      </c>
      <c r="AF984" s="53">
        <f>IF($AC984&gt;0,SUMIFS(Q$4:Q983,$D$4:$D983,$D984,$Z$4:$Z983,$Z984,$C$4:$C983,$C984),0)</f>
        <v>0</v>
      </c>
      <c r="AG984" s="53">
        <f>IF($AC984&gt;0,SUMIFS(Q$4:Q983,$D$4:$D983,$D984,$C$4:$C983,$C984),0)</f>
        <v>0</v>
      </c>
      <c r="AH984" s="53">
        <f>IF($AC984&gt;0,SUMIFS(M$4:M983,$D$4:$D983,$D984,$Z$4:$Z983,$Z984,$C$4:$C983,$C984),0)</f>
        <v>0</v>
      </c>
      <c r="AI984" s="43">
        <f>IF(OR($C984="",$I984=""),0,IF(COUNTIFS($C$5:$C984,$C984,$I$5:$I984,$I984)=1,1,0))</f>
        <v>0</v>
      </c>
      <c r="AJ984" s="43" t="str">
        <f>IF($AI984=1,SUMIFS($AI$4:$AI983,$C$4:$C983,$C984)+1,"")</f>
        <v/>
      </c>
      <c r="AK984" s="43">
        <f>IF(OR($C984="",$K984=""),0,IF(COUNTIFS($C$5:$C984,$C984,$K$5:$K984,$K984)=1,1,0))</f>
        <v>0</v>
      </c>
      <c r="AL984" s="43" t="str">
        <f>IF($AK984=1,SUMIFS($AK$4:$AK983,$C$4:$C983,$C984)+1,"")</f>
        <v/>
      </c>
      <c r="AM984" s="43">
        <f>IF(OR($C984="",$G984=""),0,IF(COUNTIFS($C$5:$C984,$C984,$G$5:$G984,$G984)=1,1,0))</f>
        <v>0</v>
      </c>
      <c r="AN984" s="43" t="str">
        <f>IF($AM984=1,SUMIFS($AM$4:$AM983,$C$4:$C983,$C984)+1,"")</f>
        <v/>
      </c>
    </row>
    <row r="985">
      <c r="A985" s="44" t="str">
        <f>IF(OR($B985="",$D985=""),"","TX"&amp;TEXT(ROW()-4,"0000"))</f>
        <v/>
      </c>
      <c r="B985" s="42" t="n"/>
      <c r="C985" s="47" t="str">
        <f>IF($B985="","",YEAR($B985)*100+MONTH($B985))</f>
        <v/>
      </c>
      <c r="D985" s="37" t="n"/>
      <c r="E985" s="45" t="str">
        <f>IF($D985="","",IFERROR(INDEX(CARDS!$B$5:$B$34,MATCH($D985,CARDS!$A$5:$A$34,0)),"⚠ Card ID?"))</f>
        <v/>
      </c>
      <c r="F985" s="45" t="str">
        <f>IF($D985="","",IFERROR(INDEX(CARDS!$C$5:$C$34,MATCH($D985,CARDS!$A$5:$A$34,0)),"⚠ Card ID?"))</f>
        <v/>
      </c>
      <c r="G985" s="37" t="n"/>
      <c r="H985" s="37" t="n"/>
      <c r="I985" s="41" t="n"/>
      <c r="J985" s="45" t="str">
        <f>IF($I985="","",IFERROR(INDEX(MCC_MASTER!$B$5:$B$504,MATCH($I985,MCC_MASTER!$A$5:$A$504,0)),"⚠ MCC chưa có"))</f>
        <v/>
      </c>
      <c r="K985" s="45" t="str">
        <f>IF($I985="","",IFERROR(IF(INDEX(MCC_MASTER!$C$5:$C$504,MATCH($I985,MCC_MASTER!$A$5:$A$504,0))="","Chưa phân loại",INDEX(MCC_MASTER!$C$5:$C$504,MATCH($I985,MCC_MASTER!$A$5:$A$504,0))),"Chưa phân loại"))</f>
        <v/>
      </c>
      <c r="L985" s="40" t="n"/>
      <c r="M985" s="48" t="str">
        <f>IF(OR($B985="",$D985=""),"",IF($AC985=0,0,IF(ISNUMBER(INDEX(CASHBACK_RULES!$L$5:$L$304,$AC985)),MAX(0,MIN($L985,INDEX(CASHBACK_RULES!$L$5:$L$304,$AC985)-$AH985)),MAX(0,$L985))))</f>
        <v/>
      </c>
      <c r="N985" s="49" t="str">
        <f>IF(OR($B985="",$D985=""),"",IF($AC985&gt;0,INDEX(CASHBACK_RULES!$I$5:$I$304,$AC985),0))</f>
        <v/>
      </c>
      <c r="O985" s="48" t="str">
        <f>IF(OR($B985="",$D985=""),"",ROUND($M985*$N985,0))</f>
        <v/>
      </c>
      <c r="P985" s="48" t="str">
        <f>IF($AC985&gt;0,IF(ISNUMBER(INDEX(CASHBACK_RULES!$J$5:$J$304,$AC985)),INDEX(CASHBACK_RULES!$J$5:$J$304,$AC985),"∞"),"")</f>
        <v/>
      </c>
      <c r="Q985" s="48" t="str">
        <f>IF(OR($B985="",$D985=""),"",IF($AC985=0,0,MAX(0,MIN($O985,IF(ISNUMBER($P985),$P985-$AF985,1E+15),IF(ISNUMBER($AA985),$AA985-$AG985,1E+15)))))</f>
        <v/>
      </c>
      <c r="R985" s="48" t="str">
        <f>IF(OR($B985="",$D985=""),"",IF($AC985=0,"",IF(AND(NOT(ISNUMBER($P985)),NOT(ISNUMBER($AA985))),"∞",MAX(0,MIN(IF(ISNUMBER($P985),$P985-$AF985-$Q985,1E+15),IF(ISNUMBER($AA985),$AA985-$AG985-$Q985,1E+15))))))</f>
        <v/>
      </c>
      <c r="S985" s="47" t="str">
        <f>IF($AD985="","",YEAR($AD985)*100+MONTH($AD985))</f>
        <v/>
      </c>
      <c r="T985" s="50" t="str">
        <f>IF($AD985="","",IFERROR(IF(INDEX(CARDS!$I$5:$I$34,MATCH($D985,CARDS!$A$5:$A$34,0))="","",IF(INDEX(CARDS!$I$5:$I$34,MATCH($D985,CARDS!$A$5:$A$34,0))&gt;INDEX(CARDS!$H$5:$H$34,MATCH($D985,CARDS!$A$5:$A$34,0)),DATE(YEAR($AD985),MONTH($AD985),MIN(INDEX(CARDS!$I$5:$I$34,MATCH($D985,CARDS!$A$5:$A$34,0)),DAY(EOMONTH($AD985,0)))),DATE(YEAR($AD985),MONTH($AD985)+1,MIN(INDEX(CARDS!$I$5:$I$34,MATCH($D985,CARDS!$A$5:$A$34,0)),DAY(EOMONTH($AD985,1)))))),""))</f>
        <v/>
      </c>
      <c r="U985" s="38" t="n"/>
      <c r="V985" s="37" t="n"/>
      <c r="W985" s="38" t="n"/>
      <c r="X985" s="38" t="n"/>
      <c r="Y985" s="44" t="str">
        <f>IF($AC985&gt;0,INDEX(CASHBACK_RULES!$A$5:$A$304,$AC985),"")</f>
        <v/>
      </c>
      <c r="Z985" s="45" t="str">
        <f>IF($AC985&gt;0,INDEX(CASHBACK_RULES!$E$5:$E$304,$AC985)&amp;"","")</f>
        <v/>
      </c>
      <c r="AA985" s="48" t="str">
        <f>IF($AC985&gt;0,IF(ISNUMBER(INDEX(CASHBACK_RULES!$K$5:$K$304,$AC985)),INDEX(CASHBACK_RULES!$K$5:$K$304,$AC985),"∞"),"")</f>
        <v/>
      </c>
      <c r="AB985" s="44" t="str">
        <f>IF(OR($B985="",$D985=""),"",IF($U985="Cancelled","Đã hủy",IF($AC985=0,"Không được hoàn",IF($Q985=0,IF(OR($O985&gt;0,$M985&lt;$L985),"Đã đạt cap","Không được hoàn"),IF(OR($Q985&lt;$O985,$M985&lt;$L985),"Hoàn một phần","Được hoàn")))))</f>
        <v/>
      </c>
      <c r="AC985" s="43">
        <f>IF(OR($B985="",$D985="",$I985="",$L985=""),0,IF($U985="Cancelled",0,IF($W985&lt;&gt;"",IFERROR(IF(INDEX(CASHBACK_RULES!$B$5:$B$304,MATCH($W985,CASHBACK_RULES!$A$5:$A$304,0))=$D985,MATCH($W985,CASHBACK_RULES!$A$5:$A$304,0),0),0),IFERROR(MATCH(1,INDEX((CASHBACK_RULES!$B$5:$B$304=$D985)*(CASHBACK_RULES!$G$5:$G$304=$I985)*(((CASHBACK_RULES!$N$5:$N$304="")+(CASHBACK_RULES!$N$5:$N$304&lt;=$B985))&gt;0)*(((CASHBACK_RULES!$O$5:$O$304="")+(CASHBACK_RULES!$O$5:$O$304&gt;=$B985))&gt;0)*(((CASHBACK_RULES!$M$5:$M$304="")+(CASHBACK_RULES!$M$5:$M$304&lt;=$L985))&gt;0),0),0),0))))</f>
        <v>0</v>
      </c>
      <c r="AD985" s="51" t="str">
        <f>IF(OR($B985="",$D985=""),"",IFERROR(IF(INDEX(CARDS!$H$5:$H$34,MATCH($D985,CARDS!$A$5:$A$34,0))="","",IF(DAY($B985)&lt;=INDEX(CARDS!$H$5:$H$34,MATCH($D985,CARDS!$A$5:$A$34,0)),DATE(YEAR($B985),MONTH($B985),MIN(INDEX(CARDS!$H$5:$H$34,MATCH($D985,CARDS!$A$5:$A$34,0)),DAY(EOMONTH($B985,0)))),DATE(YEAR($B985),MONTH($B985)+1,MIN(INDEX(CARDS!$H$5:$H$34,MATCH($D985,CARDS!$A$5:$A$34,0)),DAY(EOMONTH($B985,1)))))),""))</f>
        <v/>
      </c>
      <c r="AE985" s="52" t="str">
        <f>IF($C985="","",$C985&amp;"|"&amp;COUNTIF($C$5:$C985,$C985))</f>
        <v/>
      </c>
      <c r="AF985" s="53">
        <f>IF($AC985&gt;0,SUMIFS(Q$4:Q984,$D$4:$D984,$D985,$Z$4:$Z984,$Z985,$C$4:$C984,$C985),0)</f>
        <v>0</v>
      </c>
      <c r="AG985" s="53">
        <f>IF($AC985&gt;0,SUMIFS(Q$4:Q984,$D$4:$D984,$D985,$C$4:$C984,$C985),0)</f>
        <v>0</v>
      </c>
      <c r="AH985" s="53">
        <f>IF($AC985&gt;0,SUMIFS(M$4:M984,$D$4:$D984,$D985,$Z$4:$Z984,$Z985,$C$4:$C984,$C985),0)</f>
        <v>0</v>
      </c>
      <c r="AI985" s="43">
        <f>IF(OR($C985="",$I985=""),0,IF(COUNTIFS($C$5:$C985,$C985,$I$5:$I985,$I985)=1,1,0))</f>
        <v>0</v>
      </c>
      <c r="AJ985" s="43" t="str">
        <f>IF($AI985=1,SUMIFS($AI$4:$AI984,$C$4:$C984,$C985)+1,"")</f>
        <v/>
      </c>
      <c r="AK985" s="43">
        <f>IF(OR($C985="",$K985=""),0,IF(COUNTIFS($C$5:$C985,$C985,$K$5:$K985,$K985)=1,1,0))</f>
        <v>0</v>
      </c>
      <c r="AL985" s="43" t="str">
        <f>IF($AK985=1,SUMIFS($AK$4:$AK984,$C$4:$C984,$C985)+1,"")</f>
        <v/>
      </c>
      <c r="AM985" s="43">
        <f>IF(OR($C985="",$G985=""),0,IF(COUNTIFS($C$5:$C985,$C985,$G$5:$G985,$G985)=1,1,0))</f>
        <v>0</v>
      </c>
      <c r="AN985" s="43" t="str">
        <f>IF($AM985=1,SUMIFS($AM$4:$AM984,$C$4:$C984,$C985)+1,"")</f>
        <v/>
      </c>
    </row>
    <row r="986">
      <c r="A986" s="44" t="str">
        <f>IF(OR($B986="",$D986=""),"","TX"&amp;TEXT(ROW()-4,"0000"))</f>
        <v/>
      </c>
      <c r="B986" s="42" t="n"/>
      <c r="C986" s="47" t="str">
        <f>IF($B986="","",YEAR($B986)*100+MONTH($B986))</f>
        <v/>
      </c>
      <c r="D986" s="37" t="n"/>
      <c r="E986" s="45" t="str">
        <f>IF($D986="","",IFERROR(INDEX(CARDS!$B$5:$B$34,MATCH($D986,CARDS!$A$5:$A$34,0)),"⚠ Card ID?"))</f>
        <v/>
      </c>
      <c r="F986" s="45" t="str">
        <f>IF($D986="","",IFERROR(INDEX(CARDS!$C$5:$C$34,MATCH($D986,CARDS!$A$5:$A$34,0)),"⚠ Card ID?"))</f>
        <v/>
      </c>
      <c r="G986" s="37" t="n"/>
      <c r="H986" s="37" t="n"/>
      <c r="I986" s="41" t="n"/>
      <c r="J986" s="45" t="str">
        <f>IF($I986="","",IFERROR(INDEX(MCC_MASTER!$B$5:$B$504,MATCH($I986,MCC_MASTER!$A$5:$A$504,0)),"⚠ MCC chưa có"))</f>
        <v/>
      </c>
      <c r="K986" s="45" t="str">
        <f>IF($I986="","",IFERROR(IF(INDEX(MCC_MASTER!$C$5:$C$504,MATCH($I986,MCC_MASTER!$A$5:$A$504,0))="","Chưa phân loại",INDEX(MCC_MASTER!$C$5:$C$504,MATCH($I986,MCC_MASTER!$A$5:$A$504,0))),"Chưa phân loại"))</f>
        <v/>
      </c>
      <c r="L986" s="40" t="n"/>
      <c r="M986" s="48" t="str">
        <f>IF(OR($B986="",$D986=""),"",IF($AC986=0,0,IF(ISNUMBER(INDEX(CASHBACK_RULES!$L$5:$L$304,$AC986)),MAX(0,MIN($L986,INDEX(CASHBACK_RULES!$L$5:$L$304,$AC986)-$AH986)),MAX(0,$L986))))</f>
        <v/>
      </c>
      <c r="N986" s="49" t="str">
        <f>IF(OR($B986="",$D986=""),"",IF($AC986&gt;0,INDEX(CASHBACK_RULES!$I$5:$I$304,$AC986),0))</f>
        <v/>
      </c>
      <c r="O986" s="48" t="str">
        <f>IF(OR($B986="",$D986=""),"",ROUND($M986*$N986,0))</f>
        <v/>
      </c>
      <c r="P986" s="48" t="str">
        <f>IF($AC986&gt;0,IF(ISNUMBER(INDEX(CASHBACK_RULES!$J$5:$J$304,$AC986)),INDEX(CASHBACK_RULES!$J$5:$J$304,$AC986),"∞"),"")</f>
        <v/>
      </c>
      <c r="Q986" s="48" t="str">
        <f>IF(OR($B986="",$D986=""),"",IF($AC986=0,0,MAX(0,MIN($O986,IF(ISNUMBER($P986),$P986-$AF986,1E+15),IF(ISNUMBER($AA986),$AA986-$AG986,1E+15)))))</f>
        <v/>
      </c>
      <c r="R986" s="48" t="str">
        <f>IF(OR($B986="",$D986=""),"",IF($AC986=0,"",IF(AND(NOT(ISNUMBER($P986)),NOT(ISNUMBER($AA986))),"∞",MAX(0,MIN(IF(ISNUMBER($P986),$P986-$AF986-$Q986,1E+15),IF(ISNUMBER($AA986),$AA986-$AG986-$Q986,1E+15))))))</f>
        <v/>
      </c>
      <c r="S986" s="47" t="str">
        <f>IF($AD986="","",YEAR($AD986)*100+MONTH($AD986))</f>
        <v/>
      </c>
      <c r="T986" s="50" t="str">
        <f>IF($AD986="","",IFERROR(IF(INDEX(CARDS!$I$5:$I$34,MATCH($D986,CARDS!$A$5:$A$34,0))="","",IF(INDEX(CARDS!$I$5:$I$34,MATCH($D986,CARDS!$A$5:$A$34,0))&gt;INDEX(CARDS!$H$5:$H$34,MATCH($D986,CARDS!$A$5:$A$34,0)),DATE(YEAR($AD986),MONTH($AD986),MIN(INDEX(CARDS!$I$5:$I$34,MATCH($D986,CARDS!$A$5:$A$34,0)),DAY(EOMONTH($AD986,0)))),DATE(YEAR($AD986),MONTH($AD986)+1,MIN(INDEX(CARDS!$I$5:$I$34,MATCH($D986,CARDS!$A$5:$A$34,0)),DAY(EOMONTH($AD986,1)))))),""))</f>
        <v/>
      </c>
      <c r="U986" s="38" t="n"/>
      <c r="V986" s="37" t="n"/>
      <c r="W986" s="38" t="n"/>
      <c r="X986" s="38" t="n"/>
      <c r="Y986" s="44" t="str">
        <f>IF($AC986&gt;0,INDEX(CASHBACK_RULES!$A$5:$A$304,$AC986),"")</f>
        <v/>
      </c>
      <c r="Z986" s="45" t="str">
        <f>IF($AC986&gt;0,INDEX(CASHBACK_RULES!$E$5:$E$304,$AC986)&amp;"","")</f>
        <v/>
      </c>
      <c r="AA986" s="48" t="str">
        <f>IF($AC986&gt;0,IF(ISNUMBER(INDEX(CASHBACK_RULES!$K$5:$K$304,$AC986)),INDEX(CASHBACK_RULES!$K$5:$K$304,$AC986),"∞"),"")</f>
        <v/>
      </c>
      <c r="AB986" s="44" t="str">
        <f>IF(OR($B986="",$D986=""),"",IF($U986="Cancelled","Đã hủy",IF($AC986=0,"Không được hoàn",IF($Q986=0,IF(OR($O986&gt;0,$M986&lt;$L986),"Đã đạt cap","Không được hoàn"),IF(OR($Q986&lt;$O986,$M986&lt;$L986),"Hoàn một phần","Được hoàn")))))</f>
        <v/>
      </c>
      <c r="AC986" s="43">
        <f>IF(OR($B986="",$D986="",$I986="",$L986=""),0,IF($U986="Cancelled",0,IF($W986&lt;&gt;"",IFERROR(IF(INDEX(CASHBACK_RULES!$B$5:$B$304,MATCH($W986,CASHBACK_RULES!$A$5:$A$304,0))=$D986,MATCH($W986,CASHBACK_RULES!$A$5:$A$304,0),0),0),IFERROR(MATCH(1,INDEX((CASHBACK_RULES!$B$5:$B$304=$D986)*(CASHBACK_RULES!$G$5:$G$304=$I986)*(((CASHBACK_RULES!$N$5:$N$304="")+(CASHBACK_RULES!$N$5:$N$304&lt;=$B986))&gt;0)*(((CASHBACK_RULES!$O$5:$O$304="")+(CASHBACK_RULES!$O$5:$O$304&gt;=$B986))&gt;0)*(((CASHBACK_RULES!$M$5:$M$304="")+(CASHBACK_RULES!$M$5:$M$304&lt;=$L986))&gt;0),0),0),0))))</f>
        <v>0</v>
      </c>
      <c r="AD986" s="51" t="str">
        <f>IF(OR($B986="",$D986=""),"",IFERROR(IF(INDEX(CARDS!$H$5:$H$34,MATCH($D986,CARDS!$A$5:$A$34,0))="","",IF(DAY($B986)&lt;=INDEX(CARDS!$H$5:$H$34,MATCH($D986,CARDS!$A$5:$A$34,0)),DATE(YEAR($B986),MONTH($B986),MIN(INDEX(CARDS!$H$5:$H$34,MATCH($D986,CARDS!$A$5:$A$34,0)),DAY(EOMONTH($B986,0)))),DATE(YEAR($B986),MONTH($B986)+1,MIN(INDEX(CARDS!$H$5:$H$34,MATCH($D986,CARDS!$A$5:$A$34,0)),DAY(EOMONTH($B986,1)))))),""))</f>
        <v/>
      </c>
      <c r="AE986" s="52" t="str">
        <f>IF($C986="","",$C986&amp;"|"&amp;COUNTIF($C$5:$C986,$C986))</f>
        <v/>
      </c>
      <c r="AF986" s="53">
        <f>IF($AC986&gt;0,SUMIFS(Q$4:Q985,$D$4:$D985,$D986,$Z$4:$Z985,$Z986,$C$4:$C985,$C986),0)</f>
        <v>0</v>
      </c>
      <c r="AG986" s="53">
        <f>IF($AC986&gt;0,SUMIFS(Q$4:Q985,$D$4:$D985,$D986,$C$4:$C985,$C986),0)</f>
        <v>0</v>
      </c>
      <c r="AH986" s="53">
        <f>IF($AC986&gt;0,SUMIFS(M$4:M985,$D$4:$D985,$D986,$Z$4:$Z985,$Z986,$C$4:$C985,$C986),0)</f>
        <v>0</v>
      </c>
      <c r="AI986" s="43">
        <f>IF(OR($C986="",$I986=""),0,IF(COUNTIFS($C$5:$C986,$C986,$I$5:$I986,$I986)=1,1,0))</f>
        <v>0</v>
      </c>
      <c r="AJ986" s="43" t="str">
        <f>IF($AI986=1,SUMIFS($AI$4:$AI985,$C$4:$C985,$C986)+1,"")</f>
        <v/>
      </c>
      <c r="AK986" s="43">
        <f>IF(OR($C986="",$K986=""),0,IF(COUNTIFS($C$5:$C986,$C986,$K$5:$K986,$K986)=1,1,0))</f>
        <v>0</v>
      </c>
      <c r="AL986" s="43" t="str">
        <f>IF($AK986=1,SUMIFS($AK$4:$AK985,$C$4:$C985,$C986)+1,"")</f>
        <v/>
      </c>
      <c r="AM986" s="43">
        <f>IF(OR($C986="",$G986=""),0,IF(COUNTIFS($C$5:$C986,$C986,$G$5:$G986,$G986)=1,1,0))</f>
        <v>0</v>
      </c>
      <c r="AN986" s="43" t="str">
        <f>IF($AM986=1,SUMIFS($AM$4:$AM985,$C$4:$C985,$C986)+1,"")</f>
        <v/>
      </c>
    </row>
    <row r="987">
      <c r="A987" s="44" t="str">
        <f>IF(OR($B987="",$D987=""),"","TX"&amp;TEXT(ROW()-4,"0000"))</f>
        <v/>
      </c>
      <c r="B987" s="42" t="n"/>
      <c r="C987" s="47" t="str">
        <f>IF($B987="","",YEAR($B987)*100+MONTH($B987))</f>
        <v/>
      </c>
      <c r="D987" s="37" t="n"/>
      <c r="E987" s="45" t="str">
        <f>IF($D987="","",IFERROR(INDEX(CARDS!$B$5:$B$34,MATCH($D987,CARDS!$A$5:$A$34,0)),"⚠ Card ID?"))</f>
        <v/>
      </c>
      <c r="F987" s="45" t="str">
        <f>IF($D987="","",IFERROR(INDEX(CARDS!$C$5:$C$34,MATCH($D987,CARDS!$A$5:$A$34,0)),"⚠ Card ID?"))</f>
        <v/>
      </c>
      <c r="G987" s="37" t="n"/>
      <c r="H987" s="37" t="n"/>
      <c r="I987" s="41" t="n"/>
      <c r="J987" s="45" t="str">
        <f>IF($I987="","",IFERROR(INDEX(MCC_MASTER!$B$5:$B$504,MATCH($I987,MCC_MASTER!$A$5:$A$504,0)),"⚠ MCC chưa có"))</f>
        <v/>
      </c>
      <c r="K987" s="45" t="str">
        <f>IF($I987="","",IFERROR(IF(INDEX(MCC_MASTER!$C$5:$C$504,MATCH($I987,MCC_MASTER!$A$5:$A$504,0))="","Chưa phân loại",INDEX(MCC_MASTER!$C$5:$C$504,MATCH($I987,MCC_MASTER!$A$5:$A$504,0))),"Chưa phân loại"))</f>
        <v/>
      </c>
      <c r="L987" s="40" t="n"/>
      <c r="M987" s="48" t="str">
        <f>IF(OR($B987="",$D987=""),"",IF($AC987=0,0,IF(ISNUMBER(INDEX(CASHBACK_RULES!$L$5:$L$304,$AC987)),MAX(0,MIN($L987,INDEX(CASHBACK_RULES!$L$5:$L$304,$AC987)-$AH987)),MAX(0,$L987))))</f>
        <v/>
      </c>
      <c r="N987" s="49" t="str">
        <f>IF(OR($B987="",$D987=""),"",IF($AC987&gt;0,INDEX(CASHBACK_RULES!$I$5:$I$304,$AC987),0))</f>
        <v/>
      </c>
      <c r="O987" s="48" t="str">
        <f>IF(OR($B987="",$D987=""),"",ROUND($M987*$N987,0))</f>
        <v/>
      </c>
      <c r="P987" s="48" t="str">
        <f>IF($AC987&gt;0,IF(ISNUMBER(INDEX(CASHBACK_RULES!$J$5:$J$304,$AC987)),INDEX(CASHBACK_RULES!$J$5:$J$304,$AC987),"∞"),"")</f>
        <v/>
      </c>
      <c r="Q987" s="48" t="str">
        <f>IF(OR($B987="",$D987=""),"",IF($AC987=0,0,MAX(0,MIN($O987,IF(ISNUMBER($P987),$P987-$AF987,1E+15),IF(ISNUMBER($AA987),$AA987-$AG987,1E+15)))))</f>
        <v/>
      </c>
      <c r="R987" s="48" t="str">
        <f>IF(OR($B987="",$D987=""),"",IF($AC987=0,"",IF(AND(NOT(ISNUMBER($P987)),NOT(ISNUMBER($AA987))),"∞",MAX(0,MIN(IF(ISNUMBER($P987),$P987-$AF987-$Q987,1E+15),IF(ISNUMBER($AA987),$AA987-$AG987-$Q987,1E+15))))))</f>
        <v/>
      </c>
      <c r="S987" s="47" t="str">
        <f>IF($AD987="","",YEAR($AD987)*100+MONTH($AD987))</f>
        <v/>
      </c>
      <c r="T987" s="50" t="str">
        <f>IF($AD987="","",IFERROR(IF(INDEX(CARDS!$I$5:$I$34,MATCH($D987,CARDS!$A$5:$A$34,0))="","",IF(INDEX(CARDS!$I$5:$I$34,MATCH($D987,CARDS!$A$5:$A$34,0))&gt;INDEX(CARDS!$H$5:$H$34,MATCH($D987,CARDS!$A$5:$A$34,0)),DATE(YEAR($AD987),MONTH($AD987),MIN(INDEX(CARDS!$I$5:$I$34,MATCH($D987,CARDS!$A$5:$A$34,0)),DAY(EOMONTH($AD987,0)))),DATE(YEAR($AD987),MONTH($AD987)+1,MIN(INDEX(CARDS!$I$5:$I$34,MATCH($D987,CARDS!$A$5:$A$34,0)),DAY(EOMONTH($AD987,1)))))),""))</f>
        <v/>
      </c>
      <c r="U987" s="38" t="n"/>
      <c r="V987" s="37" t="n"/>
      <c r="W987" s="38" t="n"/>
      <c r="X987" s="38" t="n"/>
      <c r="Y987" s="44" t="str">
        <f>IF($AC987&gt;0,INDEX(CASHBACK_RULES!$A$5:$A$304,$AC987),"")</f>
        <v/>
      </c>
      <c r="Z987" s="45" t="str">
        <f>IF($AC987&gt;0,INDEX(CASHBACK_RULES!$E$5:$E$304,$AC987)&amp;"","")</f>
        <v/>
      </c>
      <c r="AA987" s="48" t="str">
        <f>IF($AC987&gt;0,IF(ISNUMBER(INDEX(CASHBACK_RULES!$K$5:$K$304,$AC987)),INDEX(CASHBACK_RULES!$K$5:$K$304,$AC987),"∞"),"")</f>
        <v/>
      </c>
      <c r="AB987" s="44" t="str">
        <f>IF(OR($B987="",$D987=""),"",IF($U987="Cancelled","Đã hủy",IF($AC987=0,"Không được hoàn",IF($Q987=0,IF(OR($O987&gt;0,$M987&lt;$L987),"Đã đạt cap","Không được hoàn"),IF(OR($Q987&lt;$O987,$M987&lt;$L987),"Hoàn một phần","Được hoàn")))))</f>
        <v/>
      </c>
      <c r="AC987" s="43">
        <f>IF(OR($B987="",$D987="",$I987="",$L987=""),0,IF($U987="Cancelled",0,IF($W987&lt;&gt;"",IFERROR(IF(INDEX(CASHBACK_RULES!$B$5:$B$304,MATCH($W987,CASHBACK_RULES!$A$5:$A$304,0))=$D987,MATCH($W987,CASHBACK_RULES!$A$5:$A$304,0),0),0),IFERROR(MATCH(1,INDEX((CASHBACK_RULES!$B$5:$B$304=$D987)*(CASHBACK_RULES!$G$5:$G$304=$I987)*(((CASHBACK_RULES!$N$5:$N$304="")+(CASHBACK_RULES!$N$5:$N$304&lt;=$B987))&gt;0)*(((CASHBACK_RULES!$O$5:$O$304="")+(CASHBACK_RULES!$O$5:$O$304&gt;=$B987))&gt;0)*(((CASHBACK_RULES!$M$5:$M$304="")+(CASHBACK_RULES!$M$5:$M$304&lt;=$L987))&gt;0),0),0),0))))</f>
        <v>0</v>
      </c>
      <c r="AD987" s="51" t="str">
        <f>IF(OR($B987="",$D987=""),"",IFERROR(IF(INDEX(CARDS!$H$5:$H$34,MATCH($D987,CARDS!$A$5:$A$34,0))="","",IF(DAY($B987)&lt;=INDEX(CARDS!$H$5:$H$34,MATCH($D987,CARDS!$A$5:$A$34,0)),DATE(YEAR($B987),MONTH($B987),MIN(INDEX(CARDS!$H$5:$H$34,MATCH($D987,CARDS!$A$5:$A$34,0)),DAY(EOMONTH($B987,0)))),DATE(YEAR($B987),MONTH($B987)+1,MIN(INDEX(CARDS!$H$5:$H$34,MATCH($D987,CARDS!$A$5:$A$34,0)),DAY(EOMONTH($B987,1)))))),""))</f>
        <v/>
      </c>
      <c r="AE987" s="52" t="str">
        <f>IF($C987="","",$C987&amp;"|"&amp;COUNTIF($C$5:$C987,$C987))</f>
        <v/>
      </c>
      <c r="AF987" s="53">
        <f>IF($AC987&gt;0,SUMIFS(Q$4:Q986,$D$4:$D986,$D987,$Z$4:$Z986,$Z987,$C$4:$C986,$C987),0)</f>
        <v>0</v>
      </c>
      <c r="AG987" s="53">
        <f>IF($AC987&gt;0,SUMIFS(Q$4:Q986,$D$4:$D986,$D987,$C$4:$C986,$C987),0)</f>
        <v>0</v>
      </c>
      <c r="AH987" s="53">
        <f>IF($AC987&gt;0,SUMIFS(M$4:M986,$D$4:$D986,$D987,$Z$4:$Z986,$Z987,$C$4:$C986,$C987),0)</f>
        <v>0</v>
      </c>
      <c r="AI987" s="43">
        <f>IF(OR($C987="",$I987=""),0,IF(COUNTIFS($C$5:$C987,$C987,$I$5:$I987,$I987)=1,1,0))</f>
        <v>0</v>
      </c>
      <c r="AJ987" s="43" t="str">
        <f>IF($AI987=1,SUMIFS($AI$4:$AI986,$C$4:$C986,$C987)+1,"")</f>
        <v/>
      </c>
      <c r="AK987" s="43">
        <f>IF(OR($C987="",$K987=""),0,IF(COUNTIFS($C$5:$C987,$C987,$K$5:$K987,$K987)=1,1,0))</f>
        <v>0</v>
      </c>
      <c r="AL987" s="43" t="str">
        <f>IF($AK987=1,SUMIFS($AK$4:$AK986,$C$4:$C986,$C987)+1,"")</f>
        <v/>
      </c>
      <c r="AM987" s="43">
        <f>IF(OR($C987="",$G987=""),0,IF(COUNTIFS($C$5:$C987,$C987,$G$5:$G987,$G987)=1,1,0))</f>
        <v>0</v>
      </c>
      <c r="AN987" s="43" t="str">
        <f>IF($AM987=1,SUMIFS($AM$4:$AM986,$C$4:$C986,$C987)+1,"")</f>
        <v/>
      </c>
    </row>
    <row r="988">
      <c r="A988" s="44" t="str">
        <f>IF(OR($B988="",$D988=""),"","TX"&amp;TEXT(ROW()-4,"0000"))</f>
        <v/>
      </c>
      <c r="B988" s="42" t="n"/>
      <c r="C988" s="47" t="str">
        <f>IF($B988="","",YEAR($B988)*100+MONTH($B988))</f>
        <v/>
      </c>
      <c r="D988" s="37" t="n"/>
      <c r="E988" s="45" t="str">
        <f>IF($D988="","",IFERROR(INDEX(CARDS!$B$5:$B$34,MATCH($D988,CARDS!$A$5:$A$34,0)),"⚠ Card ID?"))</f>
        <v/>
      </c>
      <c r="F988" s="45" t="str">
        <f>IF($D988="","",IFERROR(INDEX(CARDS!$C$5:$C$34,MATCH($D988,CARDS!$A$5:$A$34,0)),"⚠ Card ID?"))</f>
        <v/>
      </c>
      <c r="G988" s="37" t="n"/>
      <c r="H988" s="37" t="n"/>
      <c r="I988" s="41" t="n"/>
      <c r="J988" s="45" t="str">
        <f>IF($I988="","",IFERROR(INDEX(MCC_MASTER!$B$5:$B$504,MATCH($I988,MCC_MASTER!$A$5:$A$504,0)),"⚠ MCC chưa có"))</f>
        <v/>
      </c>
      <c r="K988" s="45" t="str">
        <f>IF($I988="","",IFERROR(IF(INDEX(MCC_MASTER!$C$5:$C$504,MATCH($I988,MCC_MASTER!$A$5:$A$504,0))="","Chưa phân loại",INDEX(MCC_MASTER!$C$5:$C$504,MATCH($I988,MCC_MASTER!$A$5:$A$504,0))),"Chưa phân loại"))</f>
        <v/>
      </c>
      <c r="L988" s="40" t="n"/>
      <c r="M988" s="48" t="str">
        <f>IF(OR($B988="",$D988=""),"",IF($AC988=0,0,IF(ISNUMBER(INDEX(CASHBACK_RULES!$L$5:$L$304,$AC988)),MAX(0,MIN($L988,INDEX(CASHBACK_RULES!$L$5:$L$304,$AC988)-$AH988)),MAX(0,$L988))))</f>
        <v/>
      </c>
      <c r="N988" s="49" t="str">
        <f>IF(OR($B988="",$D988=""),"",IF($AC988&gt;0,INDEX(CASHBACK_RULES!$I$5:$I$304,$AC988),0))</f>
        <v/>
      </c>
      <c r="O988" s="48" t="str">
        <f>IF(OR($B988="",$D988=""),"",ROUND($M988*$N988,0))</f>
        <v/>
      </c>
      <c r="P988" s="48" t="str">
        <f>IF($AC988&gt;0,IF(ISNUMBER(INDEX(CASHBACK_RULES!$J$5:$J$304,$AC988)),INDEX(CASHBACK_RULES!$J$5:$J$304,$AC988),"∞"),"")</f>
        <v/>
      </c>
      <c r="Q988" s="48" t="str">
        <f>IF(OR($B988="",$D988=""),"",IF($AC988=0,0,MAX(0,MIN($O988,IF(ISNUMBER($P988),$P988-$AF988,1E+15),IF(ISNUMBER($AA988),$AA988-$AG988,1E+15)))))</f>
        <v/>
      </c>
      <c r="R988" s="48" t="str">
        <f>IF(OR($B988="",$D988=""),"",IF($AC988=0,"",IF(AND(NOT(ISNUMBER($P988)),NOT(ISNUMBER($AA988))),"∞",MAX(0,MIN(IF(ISNUMBER($P988),$P988-$AF988-$Q988,1E+15),IF(ISNUMBER($AA988),$AA988-$AG988-$Q988,1E+15))))))</f>
        <v/>
      </c>
      <c r="S988" s="47" t="str">
        <f>IF($AD988="","",YEAR($AD988)*100+MONTH($AD988))</f>
        <v/>
      </c>
      <c r="T988" s="50" t="str">
        <f>IF($AD988="","",IFERROR(IF(INDEX(CARDS!$I$5:$I$34,MATCH($D988,CARDS!$A$5:$A$34,0))="","",IF(INDEX(CARDS!$I$5:$I$34,MATCH($D988,CARDS!$A$5:$A$34,0))&gt;INDEX(CARDS!$H$5:$H$34,MATCH($D988,CARDS!$A$5:$A$34,0)),DATE(YEAR($AD988),MONTH($AD988),MIN(INDEX(CARDS!$I$5:$I$34,MATCH($D988,CARDS!$A$5:$A$34,0)),DAY(EOMONTH($AD988,0)))),DATE(YEAR($AD988),MONTH($AD988)+1,MIN(INDEX(CARDS!$I$5:$I$34,MATCH($D988,CARDS!$A$5:$A$34,0)),DAY(EOMONTH($AD988,1)))))),""))</f>
        <v/>
      </c>
      <c r="U988" s="38" t="n"/>
      <c r="V988" s="37" t="n"/>
      <c r="W988" s="38" t="n"/>
      <c r="X988" s="38" t="n"/>
      <c r="Y988" s="44" t="str">
        <f>IF($AC988&gt;0,INDEX(CASHBACK_RULES!$A$5:$A$304,$AC988),"")</f>
        <v/>
      </c>
      <c r="Z988" s="45" t="str">
        <f>IF($AC988&gt;0,INDEX(CASHBACK_RULES!$E$5:$E$304,$AC988)&amp;"","")</f>
        <v/>
      </c>
      <c r="AA988" s="48" t="str">
        <f>IF($AC988&gt;0,IF(ISNUMBER(INDEX(CASHBACK_RULES!$K$5:$K$304,$AC988)),INDEX(CASHBACK_RULES!$K$5:$K$304,$AC988),"∞"),"")</f>
        <v/>
      </c>
      <c r="AB988" s="44" t="str">
        <f>IF(OR($B988="",$D988=""),"",IF($U988="Cancelled","Đã hủy",IF($AC988=0,"Không được hoàn",IF($Q988=0,IF(OR($O988&gt;0,$M988&lt;$L988),"Đã đạt cap","Không được hoàn"),IF(OR($Q988&lt;$O988,$M988&lt;$L988),"Hoàn một phần","Được hoàn")))))</f>
        <v/>
      </c>
      <c r="AC988" s="43">
        <f>IF(OR($B988="",$D988="",$I988="",$L988=""),0,IF($U988="Cancelled",0,IF($W988&lt;&gt;"",IFERROR(IF(INDEX(CASHBACK_RULES!$B$5:$B$304,MATCH($W988,CASHBACK_RULES!$A$5:$A$304,0))=$D988,MATCH($W988,CASHBACK_RULES!$A$5:$A$304,0),0),0),IFERROR(MATCH(1,INDEX((CASHBACK_RULES!$B$5:$B$304=$D988)*(CASHBACK_RULES!$G$5:$G$304=$I988)*(((CASHBACK_RULES!$N$5:$N$304="")+(CASHBACK_RULES!$N$5:$N$304&lt;=$B988))&gt;0)*(((CASHBACK_RULES!$O$5:$O$304="")+(CASHBACK_RULES!$O$5:$O$304&gt;=$B988))&gt;0)*(((CASHBACK_RULES!$M$5:$M$304="")+(CASHBACK_RULES!$M$5:$M$304&lt;=$L988))&gt;0),0),0),0))))</f>
        <v>0</v>
      </c>
      <c r="AD988" s="51" t="str">
        <f>IF(OR($B988="",$D988=""),"",IFERROR(IF(INDEX(CARDS!$H$5:$H$34,MATCH($D988,CARDS!$A$5:$A$34,0))="","",IF(DAY($B988)&lt;=INDEX(CARDS!$H$5:$H$34,MATCH($D988,CARDS!$A$5:$A$34,0)),DATE(YEAR($B988),MONTH($B988),MIN(INDEX(CARDS!$H$5:$H$34,MATCH($D988,CARDS!$A$5:$A$34,0)),DAY(EOMONTH($B988,0)))),DATE(YEAR($B988),MONTH($B988)+1,MIN(INDEX(CARDS!$H$5:$H$34,MATCH($D988,CARDS!$A$5:$A$34,0)),DAY(EOMONTH($B988,1)))))),""))</f>
        <v/>
      </c>
      <c r="AE988" s="52" t="str">
        <f>IF($C988="","",$C988&amp;"|"&amp;COUNTIF($C$5:$C988,$C988))</f>
        <v/>
      </c>
      <c r="AF988" s="53">
        <f>IF($AC988&gt;0,SUMIFS(Q$4:Q987,$D$4:$D987,$D988,$Z$4:$Z987,$Z988,$C$4:$C987,$C988),0)</f>
        <v>0</v>
      </c>
      <c r="AG988" s="53">
        <f>IF($AC988&gt;0,SUMIFS(Q$4:Q987,$D$4:$D987,$D988,$C$4:$C987,$C988),0)</f>
        <v>0</v>
      </c>
      <c r="AH988" s="53">
        <f>IF($AC988&gt;0,SUMIFS(M$4:M987,$D$4:$D987,$D988,$Z$4:$Z987,$Z988,$C$4:$C987,$C988),0)</f>
        <v>0</v>
      </c>
      <c r="AI988" s="43">
        <f>IF(OR($C988="",$I988=""),0,IF(COUNTIFS($C$5:$C988,$C988,$I$5:$I988,$I988)=1,1,0))</f>
        <v>0</v>
      </c>
      <c r="AJ988" s="43" t="str">
        <f>IF($AI988=1,SUMIFS($AI$4:$AI987,$C$4:$C987,$C988)+1,"")</f>
        <v/>
      </c>
      <c r="AK988" s="43">
        <f>IF(OR($C988="",$K988=""),0,IF(COUNTIFS($C$5:$C988,$C988,$K$5:$K988,$K988)=1,1,0))</f>
        <v>0</v>
      </c>
      <c r="AL988" s="43" t="str">
        <f>IF($AK988=1,SUMIFS($AK$4:$AK987,$C$4:$C987,$C988)+1,"")</f>
        <v/>
      </c>
      <c r="AM988" s="43">
        <f>IF(OR($C988="",$G988=""),0,IF(COUNTIFS($C$5:$C988,$C988,$G$5:$G988,$G988)=1,1,0))</f>
        <v>0</v>
      </c>
      <c r="AN988" s="43" t="str">
        <f>IF($AM988=1,SUMIFS($AM$4:$AM987,$C$4:$C987,$C988)+1,"")</f>
        <v/>
      </c>
    </row>
    <row r="989">
      <c r="A989" s="44" t="str">
        <f>IF(OR($B989="",$D989=""),"","TX"&amp;TEXT(ROW()-4,"0000"))</f>
        <v/>
      </c>
      <c r="B989" s="42" t="n"/>
      <c r="C989" s="47" t="str">
        <f>IF($B989="","",YEAR($B989)*100+MONTH($B989))</f>
        <v/>
      </c>
      <c r="D989" s="37" t="n"/>
      <c r="E989" s="45" t="str">
        <f>IF($D989="","",IFERROR(INDEX(CARDS!$B$5:$B$34,MATCH($D989,CARDS!$A$5:$A$34,0)),"⚠ Card ID?"))</f>
        <v/>
      </c>
      <c r="F989" s="45" t="str">
        <f>IF($D989="","",IFERROR(INDEX(CARDS!$C$5:$C$34,MATCH($D989,CARDS!$A$5:$A$34,0)),"⚠ Card ID?"))</f>
        <v/>
      </c>
      <c r="G989" s="37" t="n"/>
      <c r="H989" s="37" t="n"/>
      <c r="I989" s="41" t="n"/>
      <c r="J989" s="45" t="str">
        <f>IF($I989="","",IFERROR(INDEX(MCC_MASTER!$B$5:$B$504,MATCH($I989,MCC_MASTER!$A$5:$A$504,0)),"⚠ MCC chưa có"))</f>
        <v/>
      </c>
      <c r="K989" s="45" t="str">
        <f>IF($I989="","",IFERROR(IF(INDEX(MCC_MASTER!$C$5:$C$504,MATCH($I989,MCC_MASTER!$A$5:$A$504,0))="","Chưa phân loại",INDEX(MCC_MASTER!$C$5:$C$504,MATCH($I989,MCC_MASTER!$A$5:$A$504,0))),"Chưa phân loại"))</f>
        <v/>
      </c>
      <c r="L989" s="40" t="n"/>
      <c r="M989" s="48" t="str">
        <f>IF(OR($B989="",$D989=""),"",IF($AC989=0,0,IF(ISNUMBER(INDEX(CASHBACK_RULES!$L$5:$L$304,$AC989)),MAX(0,MIN($L989,INDEX(CASHBACK_RULES!$L$5:$L$304,$AC989)-$AH989)),MAX(0,$L989))))</f>
        <v/>
      </c>
      <c r="N989" s="49" t="str">
        <f>IF(OR($B989="",$D989=""),"",IF($AC989&gt;0,INDEX(CASHBACK_RULES!$I$5:$I$304,$AC989),0))</f>
        <v/>
      </c>
      <c r="O989" s="48" t="str">
        <f>IF(OR($B989="",$D989=""),"",ROUND($M989*$N989,0))</f>
        <v/>
      </c>
      <c r="P989" s="48" t="str">
        <f>IF($AC989&gt;0,IF(ISNUMBER(INDEX(CASHBACK_RULES!$J$5:$J$304,$AC989)),INDEX(CASHBACK_RULES!$J$5:$J$304,$AC989),"∞"),"")</f>
        <v/>
      </c>
      <c r="Q989" s="48" t="str">
        <f>IF(OR($B989="",$D989=""),"",IF($AC989=0,0,MAX(0,MIN($O989,IF(ISNUMBER($P989),$P989-$AF989,1E+15),IF(ISNUMBER($AA989),$AA989-$AG989,1E+15)))))</f>
        <v/>
      </c>
      <c r="R989" s="48" t="str">
        <f>IF(OR($B989="",$D989=""),"",IF($AC989=0,"",IF(AND(NOT(ISNUMBER($P989)),NOT(ISNUMBER($AA989))),"∞",MAX(0,MIN(IF(ISNUMBER($P989),$P989-$AF989-$Q989,1E+15),IF(ISNUMBER($AA989),$AA989-$AG989-$Q989,1E+15))))))</f>
        <v/>
      </c>
      <c r="S989" s="47" t="str">
        <f>IF($AD989="","",YEAR($AD989)*100+MONTH($AD989))</f>
        <v/>
      </c>
      <c r="T989" s="50" t="str">
        <f>IF($AD989="","",IFERROR(IF(INDEX(CARDS!$I$5:$I$34,MATCH($D989,CARDS!$A$5:$A$34,0))="","",IF(INDEX(CARDS!$I$5:$I$34,MATCH($D989,CARDS!$A$5:$A$34,0))&gt;INDEX(CARDS!$H$5:$H$34,MATCH($D989,CARDS!$A$5:$A$34,0)),DATE(YEAR($AD989),MONTH($AD989),MIN(INDEX(CARDS!$I$5:$I$34,MATCH($D989,CARDS!$A$5:$A$34,0)),DAY(EOMONTH($AD989,0)))),DATE(YEAR($AD989),MONTH($AD989)+1,MIN(INDEX(CARDS!$I$5:$I$34,MATCH($D989,CARDS!$A$5:$A$34,0)),DAY(EOMONTH($AD989,1)))))),""))</f>
        <v/>
      </c>
      <c r="U989" s="38" t="n"/>
      <c r="V989" s="37" t="n"/>
      <c r="W989" s="38" t="n"/>
      <c r="X989" s="38" t="n"/>
      <c r="Y989" s="44" t="str">
        <f>IF($AC989&gt;0,INDEX(CASHBACK_RULES!$A$5:$A$304,$AC989),"")</f>
        <v/>
      </c>
      <c r="Z989" s="45" t="str">
        <f>IF($AC989&gt;0,INDEX(CASHBACK_RULES!$E$5:$E$304,$AC989)&amp;"","")</f>
        <v/>
      </c>
      <c r="AA989" s="48" t="str">
        <f>IF($AC989&gt;0,IF(ISNUMBER(INDEX(CASHBACK_RULES!$K$5:$K$304,$AC989)),INDEX(CASHBACK_RULES!$K$5:$K$304,$AC989),"∞"),"")</f>
        <v/>
      </c>
      <c r="AB989" s="44" t="str">
        <f>IF(OR($B989="",$D989=""),"",IF($U989="Cancelled","Đã hủy",IF($AC989=0,"Không được hoàn",IF($Q989=0,IF(OR($O989&gt;0,$M989&lt;$L989),"Đã đạt cap","Không được hoàn"),IF(OR($Q989&lt;$O989,$M989&lt;$L989),"Hoàn một phần","Được hoàn")))))</f>
        <v/>
      </c>
      <c r="AC989" s="43">
        <f>IF(OR($B989="",$D989="",$I989="",$L989=""),0,IF($U989="Cancelled",0,IF($W989&lt;&gt;"",IFERROR(IF(INDEX(CASHBACK_RULES!$B$5:$B$304,MATCH($W989,CASHBACK_RULES!$A$5:$A$304,0))=$D989,MATCH($W989,CASHBACK_RULES!$A$5:$A$304,0),0),0),IFERROR(MATCH(1,INDEX((CASHBACK_RULES!$B$5:$B$304=$D989)*(CASHBACK_RULES!$G$5:$G$304=$I989)*(((CASHBACK_RULES!$N$5:$N$304="")+(CASHBACK_RULES!$N$5:$N$304&lt;=$B989))&gt;0)*(((CASHBACK_RULES!$O$5:$O$304="")+(CASHBACK_RULES!$O$5:$O$304&gt;=$B989))&gt;0)*(((CASHBACK_RULES!$M$5:$M$304="")+(CASHBACK_RULES!$M$5:$M$304&lt;=$L989))&gt;0),0),0),0))))</f>
        <v>0</v>
      </c>
      <c r="AD989" s="51" t="str">
        <f>IF(OR($B989="",$D989=""),"",IFERROR(IF(INDEX(CARDS!$H$5:$H$34,MATCH($D989,CARDS!$A$5:$A$34,0))="","",IF(DAY($B989)&lt;=INDEX(CARDS!$H$5:$H$34,MATCH($D989,CARDS!$A$5:$A$34,0)),DATE(YEAR($B989),MONTH($B989),MIN(INDEX(CARDS!$H$5:$H$34,MATCH($D989,CARDS!$A$5:$A$34,0)),DAY(EOMONTH($B989,0)))),DATE(YEAR($B989),MONTH($B989)+1,MIN(INDEX(CARDS!$H$5:$H$34,MATCH($D989,CARDS!$A$5:$A$34,0)),DAY(EOMONTH($B989,1)))))),""))</f>
        <v/>
      </c>
      <c r="AE989" s="52" t="str">
        <f>IF($C989="","",$C989&amp;"|"&amp;COUNTIF($C$5:$C989,$C989))</f>
        <v/>
      </c>
      <c r="AF989" s="53">
        <f>IF($AC989&gt;0,SUMIFS(Q$4:Q988,$D$4:$D988,$D989,$Z$4:$Z988,$Z989,$C$4:$C988,$C989),0)</f>
        <v>0</v>
      </c>
      <c r="AG989" s="53">
        <f>IF($AC989&gt;0,SUMIFS(Q$4:Q988,$D$4:$D988,$D989,$C$4:$C988,$C989),0)</f>
        <v>0</v>
      </c>
      <c r="AH989" s="53">
        <f>IF($AC989&gt;0,SUMIFS(M$4:M988,$D$4:$D988,$D989,$Z$4:$Z988,$Z989,$C$4:$C988,$C989),0)</f>
        <v>0</v>
      </c>
      <c r="AI989" s="43">
        <f>IF(OR($C989="",$I989=""),0,IF(COUNTIFS($C$5:$C989,$C989,$I$5:$I989,$I989)=1,1,0))</f>
        <v>0</v>
      </c>
      <c r="AJ989" s="43" t="str">
        <f>IF($AI989=1,SUMIFS($AI$4:$AI988,$C$4:$C988,$C989)+1,"")</f>
        <v/>
      </c>
      <c r="AK989" s="43">
        <f>IF(OR($C989="",$K989=""),0,IF(COUNTIFS($C$5:$C989,$C989,$K$5:$K989,$K989)=1,1,0))</f>
        <v>0</v>
      </c>
      <c r="AL989" s="43" t="str">
        <f>IF($AK989=1,SUMIFS($AK$4:$AK988,$C$4:$C988,$C989)+1,"")</f>
        <v/>
      </c>
      <c r="AM989" s="43">
        <f>IF(OR($C989="",$G989=""),0,IF(COUNTIFS($C$5:$C989,$C989,$G$5:$G989,$G989)=1,1,0))</f>
        <v>0</v>
      </c>
      <c r="AN989" s="43" t="str">
        <f>IF($AM989=1,SUMIFS($AM$4:$AM988,$C$4:$C988,$C989)+1,"")</f>
        <v/>
      </c>
    </row>
    <row r="990">
      <c r="A990" s="44" t="str">
        <f>IF(OR($B990="",$D990=""),"","TX"&amp;TEXT(ROW()-4,"0000"))</f>
        <v/>
      </c>
      <c r="B990" s="42" t="n"/>
      <c r="C990" s="47" t="str">
        <f>IF($B990="","",YEAR($B990)*100+MONTH($B990))</f>
        <v/>
      </c>
      <c r="D990" s="37" t="n"/>
      <c r="E990" s="45" t="str">
        <f>IF($D990="","",IFERROR(INDEX(CARDS!$B$5:$B$34,MATCH($D990,CARDS!$A$5:$A$34,0)),"⚠ Card ID?"))</f>
        <v/>
      </c>
      <c r="F990" s="45" t="str">
        <f>IF($D990="","",IFERROR(INDEX(CARDS!$C$5:$C$34,MATCH($D990,CARDS!$A$5:$A$34,0)),"⚠ Card ID?"))</f>
        <v/>
      </c>
      <c r="G990" s="37" t="n"/>
      <c r="H990" s="37" t="n"/>
      <c r="I990" s="41" t="n"/>
      <c r="J990" s="45" t="str">
        <f>IF($I990="","",IFERROR(INDEX(MCC_MASTER!$B$5:$B$504,MATCH($I990,MCC_MASTER!$A$5:$A$504,0)),"⚠ MCC chưa có"))</f>
        <v/>
      </c>
      <c r="K990" s="45" t="str">
        <f>IF($I990="","",IFERROR(IF(INDEX(MCC_MASTER!$C$5:$C$504,MATCH($I990,MCC_MASTER!$A$5:$A$504,0))="","Chưa phân loại",INDEX(MCC_MASTER!$C$5:$C$504,MATCH($I990,MCC_MASTER!$A$5:$A$504,0))),"Chưa phân loại"))</f>
        <v/>
      </c>
      <c r="L990" s="40" t="n"/>
      <c r="M990" s="48" t="str">
        <f>IF(OR($B990="",$D990=""),"",IF($AC990=0,0,IF(ISNUMBER(INDEX(CASHBACK_RULES!$L$5:$L$304,$AC990)),MAX(0,MIN($L990,INDEX(CASHBACK_RULES!$L$5:$L$304,$AC990)-$AH990)),MAX(0,$L990))))</f>
        <v/>
      </c>
      <c r="N990" s="49" t="str">
        <f>IF(OR($B990="",$D990=""),"",IF($AC990&gt;0,INDEX(CASHBACK_RULES!$I$5:$I$304,$AC990),0))</f>
        <v/>
      </c>
      <c r="O990" s="48" t="str">
        <f>IF(OR($B990="",$D990=""),"",ROUND($M990*$N990,0))</f>
        <v/>
      </c>
      <c r="P990" s="48" t="str">
        <f>IF($AC990&gt;0,IF(ISNUMBER(INDEX(CASHBACK_RULES!$J$5:$J$304,$AC990)),INDEX(CASHBACK_RULES!$J$5:$J$304,$AC990),"∞"),"")</f>
        <v/>
      </c>
      <c r="Q990" s="48" t="str">
        <f>IF(OR($B990="",$D990=""),"",IF($AC990=0,0,MAX(0,MIN($O990,IF(ISNUMBER($P990),$P990-$AF990,1E+15),IF(ISNUMBER($AA990),$AA990-$AG990,1E+15)))))</f>
        <v/>
      </c>
      <c r="R990" s="48" t="str">
        <f>IF(OR($B990="",$D990=""),"",IF($AC990=0,"",IF(AND(NOT(ISNUMBER($P990)),NOT(ISNUMBER($AA990))),"∞",MAX(0,MIN(IF(ISNUMBER($P990),$P990-$AF990-$Q990,1E+15),IF(ISNUMBER($AA990),$AA990-$AG990-$Q990,1E+15))))))</f>
        <v/>
      </c>
      <c r="S990" s="47" t="str">
        <f>IF($AD990="","",YEAR($AD990)*100+MONTH($AD990))</f>
        <v/>
      </c>
      <c r="T990" s="50" t="str">
        <f>IF($AD990="","",IFERROR(IF(INDEX(CARDS!$I$5:$I$34,MATCH($D990,CARDS!$A$5:$A$34,0))="","",IF(INDEX(CARDS!$I$5:$I$34,MATCH($D990,CARDS!$A$5:$A$34,0))&gt;INDEX(CARDS!$H$5:$H$34,MATCH($D990,CARDS!$A$5:$A$34,0)),DATE(YEAR($AD990),MONTH($AD990),MIN(INDEX(CARDS!$I$5:$I$34,MATCH($D990,CARDS!$A$5:$A$34,0)),DAY(EOMONTH($AD990,0)))),DATE(YEAR($AD990),MONTH($AD990)+1,MIN(INDEX(CARDS!$I$5:$I$34,MATCH($D990,CARDS!$A$5:$A$34,0)),DAY(EOMONTH($AD990,1)))))),""))</f>
        <v/>
      </c>
      <c r="U990" s="38" t="n"/>
      <c r="V990" s="37" t="n"/>
      <c r="W990" s="38" t="n"/>
      <c r="X990" s="38" t="n"/>
      <c r="Y990" s="44" t="str">
        <f>IF($AC990&gt;0,INDEX(CASHBACK_RULES!$A$5:$A$304,$AC990),"")</f>
        <v/>
      </c>
      <c r="Z990" s="45" t="str">
        <f>IF($AC990&gt;0,INDEX(CASHBACK_RULES!$E$5:$E$304,$AC990)&amp;"","")</f>
        <v/>
      </c>
      <c r="AA990" s="48" t="str">
        <f>IF($AC990&gt;0,IF(ISNUMBER(INDEX(CASHBACK_RULES!$K$5:$K$304,$AC990)),INDEX(CASHBACK_RULES!$K$5:$K$304,$AC990),"∞"),"")</f>
        <v/>
      </c>
      <c r="AB990" s="44" t="str">
        <f>IF(OR($B990="",$D990=""),"",IF($U990="Cancelled","Đã hủy",IF($AC990=0,"Không được hoàn",IF($Q990=0,IF(OR($O990&gt;0,$M990&lt;$L990),"Đã đạt cap","Không được hoàn"),IF(OR($Q990&lt;$O990,$M990&lt;$L990),"Hoàn một phần","Được hoàn")))))</f>
        <v/>
      </c>
      <c r="AC990" s="43">
        <f>IF(OR($B990="",$D990="",$I990="",$L990=""),0,IF($U990="Cancelled",0,IF($W990&lt;&gt;"",IFERROR(IF(INDEX(CASHBACK_RULES!$B$5:$B$304,MATCH($W990,CASHBACK_RULES!$A$5:$A$304,0))=$D990,MATCH($W990,CASHBACK_RULES!$A$5:$A$304,0),0),0),IFERROR(MATCH(1,INDEX((CASHBACK_RULES!$B$5:$B$304=$D990)*(CASHBACK_RULES!$G$5:$G$304=$I990)*(((CASHBACK_RULES!$N$5:$N$304="")+(CASHBACK_RULES!$N$5:$N$304&lt;=$B990))&gt;0)*(((CASHBACK_RULES!$O$5:$O$304="")+(CASHBACK_RULES!$O$5:$O$304&gt;=$B990))&gt;0)*(((CASHBACK_RULES!$M$5:$M$304="")+(CASHBACK_RULES!$M$5:$M$304&lt;=$L990))&gt;0),0),0),0))))</f>
        <v>0</v>
      </c>
      <c r="AD990" s="51" t="str">
        <f>IF(OR($B990="",$D990=""),"",IFERROR(IF(INDEX(CARDS!$H$5:$H$34,MATCH($D990,CARDS!$A$5:$A$34,0))="","",IF(DAY($B990)&lt;=INDEX(CARDS!$H$5:$H$34,MATCH($D990,CARDS!$A$5:$A$34,0)),DATE(YEAR($B990),MONTH($B990),MIN(INDEX(CARDS!$H$5:$H$34,MATCH($D990,CARDS!$A$5:$A$34,0)),DAY(EOMONTH($B990,0)))),DATE(YEAR($B990),MONTH($B990)+1,MIN(INDEX(CARDS!$H$5:$H$34,MATCH($D990,CARDS!$A$5:$A$34,0)),DAY(EOMONTH($B990,1)))))),""))</f>
        <v/>
      </c>
      <c r="AE990" s="52" t="str">
        <f>IF($C990="","",$C990&amp;"|"&amp;COUNTIF($C$5:$C990,$C990))</f>
        <v/>
      </c>
      <c r="AF990" s="53">
        <f>IF($AC990&gt;0,SUMIFS(Q$4:Q989,$D$4:$D989,$D990,$Z$4:$Z989,$Z990,$C$4:$C989,$C990),0)</f>
        <v>0</v>
      </c>
      <c r="AG990" s="53">
        <f>IF($AC990&gt;0,SUMIFS(Q$4:Q989,$D$4:$D989,$D990,$C$4:$C989,$C990),0)</f>
        <v>0</v>
      </c>
      <c r="AH990" s="53">
        <f>IF($AC990&gt;0,SUMIFS(M$4:M989,$D$4:$D989,$D990,$Z$4:$Z989,$Z990,$C$4:$C989,$C990),0)</f>
        <v>0</v>
      </c>
      <c r="AI990" s="43">
        <f>IF(OR($C990="",$I990=""),0,IF(COUNTIFS($C$5:$C990,$C990,$I$5:$I990,$I990)=1,1,0))</f>
        <v>0</v>
      </c>
      <c r="AJ990" s="43" t="str">
        <f>IF($AI990=1,SUMIFS($AI$4:$AI989,$C$4:$C989,$C990)+1,"")</f>
        <v/>
      </c>
      <c r="AK990" s="43">
        <f>IF(OR($C990="",$K990=""),0,IF(COUNTIFS($C$5:$C990,$C990,$K$5:$K990,$K990)=1,1,0))</f>
        <v>0</v>
      </c>
      <c r="AL990" s="43" t="str">
        <f>IF($AK990=1,SUMIFS($AK$4:$AK989,$C$4:$C989,$C990)+1,"")</f>
        <v/>
      </c>
      <c r="AM990" s="43">
        <f>IF(OR($C990="",$G990=""),0,IF(COUNTIFS($C$5:$C990,$C990,$G$5:$G990,$G990)=1,1,0))</f>
        <v>0</v>
      </c>
      <c r="AN990" s="43" t="str">
        <f>IF($AM990=1,SUMIFS($AM$4:$AM989,$C$4:$C989,$C990)+1,"")</f>
        <v/>
      </c>
    </row>
    <row r="991">
      <c r="A991" s="44" t="str">
        <f>IF(OR($B991="",$D991=""),"","TX"&amp;TEXT(ROW()-4,"0000"))</f>
        <v/>
      </c>
      <c r="B991" s="42" t="n"/>
      <c r="C991" s="47" t="str">
        <f>IF($B991="","",YEAR($B991)*100+MONTH($B991))</f>
        <v/>
      </c>
      <c r="D991" s="37" t="n"/>
      <c r="E991" s="45" t="str">
        <f>IF($D991="","",IFERROR(INDEX(CARDS!$B$5:$B$34,MATCH($D991,CARDS!$A$5:$A$34,0)),"⚠ Card ID?"))</f>
        <v/>
      </c>
      <c r="F991" s="45" t="str">
        <f>IF($D991="","",IFERROR(INDEX(CARDS!$C$5:$C$34,MATCH($D991,CARDS!$A$5:$A$34,0)),"⚠ Card ID?"))</f>
        <v/>
      </c>
      <c r="G991" s="37" t="n"/>
      <c r="H991" s="37" t="n"/>
      <c r="I991" s="41" t="n"/>
      <c r="J991" s="45" t="str">
        <f>IF($I991="","",IFERROR(INDEX(MCC_MASTER!$B$5:$B$504,MATCH($I991,MCC_MASTER!$A$5:$A$504,0)),"⚠ MCC chưa có"))</f>
        <v/>
      </c>
      <c r="K991" s="45" t="str">
        <f>IF($I991="","",IFERROR(IF(INDEX(MCC_MASTER!$C$5:$C$504,MATCH($I991,MCC_MASTER!$A$5:$A$504,0))="","Chưa phân loại",INDEX(MCC_MASTER!$C$5:$C$504,MATCH($I991,MCC_MASTER!$A$5:$A$504,0))),"Chưa phân loại"))</f>
        <v/>
      </c>
      <c r="L991" s="40" t="n"/>
      <c r="M991" s="48" t="str">
        <f>IF(OR($B991="",$D991=""),"",IF($AC991=0,0,IF(ISNUMBER(INDEX(CASHBACK_RULES!$L$5:$L$304,$AC991)),MAX(0,MIN($L991,INDEX(CASHBACK_RULES!$L$5:$L$304,$AC991)-$AH991)),MAX(0,$L991))))</f>
        <v/>
      </c>
      <c r="N991" s="49" t="str">
        <f>IF(OR($B991="",$D991=""),"",IF($AC991&gt;0,INDEX(CASHBACK_RULES!$I$5:$I$304,$AC991),0))</f>
        <v/>
      </c>
      <c r="O991" s="48" t="str">
        <f>IF(OR($B991="",$D991=""),"",ROUND($M991*$N991,0))</f>
        <v/>
      </c>
      <c r="P991" s="48" t="str">
        <f>IF($AC991&gt;0,IF(ISNUMBER(INDEX(CASHBACK_RULES!$J$5:$J$304,$AC991)),INDEX(CASHBACK_RULES!$J$5:$J$304,$AC991),"∞"),"")</f>
        <v/>
      </c>
      <c r="Q991" s="48" t="str">
        <f>IF(OR($B991="",$D991=""),"",IF($AC991=0,0,MAX(0,MIN($O991,IF(ISNUMBER($P991),$P991-$AF991,1E+15),IF(ISNUMBER($AA991),$AA991-$AG991,1E+15)))))</f>
        <v/>
      </c>
      <c r="R991" s="48" t="str">
        <f>IF(OR($B991="",$D991=""),"",IF($AC991=0,"",IF(AND(NOT(ISNUMBER($P991)),NOT(ISNUMBER($AA991))),"∞",MAX(0,MIN(IF(ISNUMBER($P991),$P991-$AF991-$Q991,1E+15),IF(ISNUMBER($AA991),$AA991-$AG991-$Q991,1E+15))))))</f>
        <v/>
      </c>
      <c r="S991" s="47" t="str">
        <f>IF($AD991="","",YEAR($AD991)*100+MONTH($AD991))</f>
        <v/>
      </c>
      <c r="T991" s="50" t="str">
        <f>IF($AD991="","",IFERROR(IF(INDEX(CARDS!$I$5:$I$34,MATCH($D991,CARDS!$A$5:$A$34,0))="","",IF(INDEX(CARDS!$I$5:$I$34,MATCH($D991,CARDS!$A$5:$A$34,0))&gt;INDEX(CARDS!$H$5:$H$34,MATCH($D991,CARDS!$A$5:$A$34,0)),DATE(YEAR($AD991),MONTH($AD991),MIN(INDEX(CARDS!$I$5:$I$34,MATCH($D991,CARDS!$A$5:$A$34,0)),DAY(EOMONTH($AD991,0)))),DATE(YEAR($AD991),MONTH($AD991)+1,MIN(INDEX(CARDS!$I$5:$I$34,MATCH($D991,CARDS!$A$5:$A$34,0)),DAY(EOMONTH($AD991,1)))))),""))</f>
        <v/>
      </c>
      <c r="U991" s="38" t="n"/>
      <c r="V991" s="37" t="n"/>
      <c r="W991" s="38" t="n"/>
      <c r="X991" s="38" t="n"/>
      <c r="Y991" s="44" t="str">
        <f>IF($AC991&gt;0,INDEX(CASHBACK_RULES!$A$5:$A$304,$AC991),"")</f>
        <v/>
      </c>
      <c r="Z991" s="45" t="str">
        <f>IF($AC991&gt;0,INDEX(CASHBACK_RULES!$E$5:$E$304,$AC991)&amp;"","")</f>
        <v/>
      </c>
      <c r="AA991" s="48" t="str">
        <f>IF($AC991&gt;0,IF(ISNUMBER(INDEX(CASHBACK_RULES!$K$5:$K$304,$AC991)),INDEX(CASHBACK_RULES!$K$5:$K$304,$AC991),"∞"),"")</f>
        <v/>
      </c>
      <c r="AB991" s="44" t="str">
        <f>IF(OR($B991="",$D991=""),"",IF($U991="Cancelled","Đã hủy",IF($AC991=0,"Không được hoàn",IF($Q991=0,IF(OR($O991&gt;0,$M991&lt;$L991),"Đã đạt cap","Không được hoàn"),IF(OR($Q991&lt;$O991,$M991&lt;$L991),"Hoàn một phần","Được hoàn")))))</f>
        <v/>
      </c>
      <c r="AC991" s="43">
        <f>IF(OR($B991="",$D991="",$I991="",$L991=""),0,IF($U991="Cancelled",0,IF($W991&lt;&gt;"",IFERROR(IF(INDEX(CASHBACK_RULES!$B$5:$B$304,MATCH($W991,CASHBACK_RULES!$A$5:$A$304,0))=$D991,MATCH($W991,CASHBACK_RULES!$A$5:$A$304,0),0),0),IFERROR(MATCH(1,INDEX((CASHBACK_RULES!$B$5:$B$304=$D991)*(CASHBACK_RULES!$G$5:$G$304=$I991)*(((CASHBACK_RULES!$N$5:$N$304="")+(CASHBACK_RULES!$N$5:$N$304&lt;=$B991))&gt;0)*(((CASHBACK_RULES!$O$5:$O$304="")+(CASHBACK_RULES!$O$5:$O$304&gt;=$B991))&gt;0)*(((CASHBACK_RULES!$M$5:$M$304="")+(CASHBACK_RULES!$M$5:$M$304&lt;=$L991))&gt;0),0),0),0))))</f>
        <v>0</v>
      </c>
      <c r="AD991" s="51" t="str">
        <f>IF(OR($B991="",$D991=""),"",IFERROR(IF(INDEX(CARDS!$H$5:$H$34,MATCH($D991,CARDS!$A$5:$A$34,0))="","",IF(DAY($B991)&lt;=INDEX(CARDS!$H$5:$H$34,MATCH($D991,CARDS!$A$5:$A$34,0)),DATE(YEAR($B991),MONTH($B991),MIN(INDEX(CARDS!$H$5:$H$34,MATCH($D991,CARDS!$A$5:$A$34,0)),DAY(EOMONTH($B991,0)))),DATE(YEAR($B991),MONTH($B991)+1,MIN(INDEX(CARDS!$H$5:$H$34,MATCH($D991,CARDS!$A$5:$A$34,0)),DAY(EOMONTH($B991,1)))))),""))</f>
        <v/>
      </c>
      <c r="AE991" s="52" t="str">
        <f>IF($C991="","",$C991&amp;"|"&amp;COUNTIF($C$5:$C991,$C991))</f>
        <v/>
      </c>
      <c r="AF991" s="53">
        <f>IF($AC991&gt;0,SUMIFS(Q$4:Q990,$D$4:$D990,$D991,$Z$4:$Z990,$Z991,$C$4:$C990,$C991),0)</f>
        <v>0</v>
      </c>
      <c r="AG991" s="53">
        <f>IF($AC991&gt;0,SUMIFS(Q$4:Q990,$D$4:$D990,$D991,$C$4:$C990,$C991),0)</f>
        <v>0</v>
      </c>
      <c r="AH991" s="53">
        <f>IF($AC991&gt;0,SUMIFS(M$4:M990,$D$4:$D990,$D991,$Z$4:$Z990,$Z991,$C$4:$C990,$C991),0)</f>
        <v>0</v>
      </c>
      <c r="AI991" s="43">
        <f>IF(OR($C991="",$I991=""),0,IF(COUNTIFS($C$5:$C991,$C991,$I$5:$I991,$I991)=1,1,0))</f>
        <v>0</v>
      </c>
      <c r="AJ991" s="43" t="str">
        <f>IF($AI991=1,SUMIFS($AI$4:$AI990,$C$4:$C990,$C991)+1,"")</f>
        <v/>
      </c>
      <c r="AK991" s="43">
        <f>IF(OR($C991="",$K991=""),0,IF(COUNTIFS($C$5:$C991,$C991,$K$5:$K991,$K991)=1,1,0))</f>
        <v>0</v>
      </c>
      <c r="AL991" s="43" t="str">
        <f>IF($AK991=1,SUMIFS($AK$4:$AK990,$C$4:$C990,$C991)+1,"")</f>
        <v/>
      </c>
      <c r="AM991" s="43">
        <f>IF(OR($C991="",$G991=""),0,IF(COUNTIFS($C$5:$C991,$C991,$G$5:$G991,$G991)=1,1,0))</f>
        <v>0</v>
      </c>
      <c r="AN991" s="43" t="str">
        <f>IF($AM991=1,SUMIFS($AM$4:$AM990,$C$4:$C990,$C991)+1,"")</f>
        <v/>
      </c>
    </row>
    <row r="992">
      <c r="A992" s="44" t="str">
        <f>IF(OR($B992="",$D992=""),"","TX"&amp;TEXT(ROW()-4,"0000"))</f>
        <v/>
      </c>
      <c r="B992" s="42" t="n"/>
      <c r="C992" s="47" t="str">
        <f>IF($B992="","",YEAR($B992)*100+MONTH($B992))</f>
        <v/>
      </c>
      <c r="D992" s="37" t="n"/>
      <c r="E992" s="45" t="str">
        <f>IF($D992="","",IFERROR(INDEX(CARDS!$B$5:$B$34,MATCH($D992,CARDS!$A$5:$A$34,0)),"⚠ Card ID?"))</f>
        <v/>
      </c>
      <c r="F992" s="45" t="str">
        <f>IF($D992="","",IFERROR(INDEX(CARDS!$C$5:$C$34,MATCH($D992,CARDS!$A$5:$A$34,0)),"⚠ Card ID?"))</f>
        <v/>
      </c>
      <c r="G992" s="37" t="n"/>
      <c r="H992" s="37" t="n"/>
      <c r="I992" s="41" t="n"/>
      <c r="J992" s="45" t="str">
        <f>IF($I992="","",IFERROR(INDEX(MCC_MASTER!$B$5:$B$504,MATCH($I992,MCC_MASTER!$A$5:$A$504,0)),"⚠ MCC chưa có"))</f>
        <v/>
      </c>
      <c r="K992" s="45" t="str">
        <f>IF($I992="","",IFERROR(IF(INDEX(MCC_MASTER!$C$5:$C$504,MATCH($I992,MCC_MASTER!$A$5:$A$504,0))="","Chưa phân loại",INDEX(MCC_MASTER!$C$5:$C$504,MATCH($I992,MCC_MASTER!$A$5:$A$504,0))),"Chưa phân loại"))</f>
        <v/>
      </c>
      <c r="L992" s="40" t="n"/>
      <c r="M992" s="48" t="str">
        <f>IF(OR($B992="",$D992=""),"",IF($AC992=0,0,IF(ISNUMBER(INDEX(CASHBACK_RULES!$L$5:$L$304,$AC992)),MAX(0,MIN($L992,INDEX(CASHBACK_RULES!$L$5:$L$304,$AC992)-$AH992)),MAX(0,$L992))))</f>
        <v/>
      </c>
      <c r="N992" s="49" t="str">
        <f>IF(OR($B992="",$D992=""),"",IF($AC992&gt;0,INDEX(CASHBACK_RULES!$I$5:$I$304,$AC992),0))</f>
        <v/>
      </c>
      <c r="O992" s="48" t="str">
        <f>IF(OR($B992="",$D992=""),"",ROUND($M992*$N992,0))</f>
        <v/>
      </c>
      <c r="P992" s="48" t="str">
        <f>IF($AC992&gt;0,IF(ISNUMBER(INDEX(CASHBACK_RULES!$J$5:$J$304,$AC992)),INDEX(CASHBACK_RULES!$J$5:$J$304,$AC992),"∞"),"")</f>
        <v/>
      </c>
      <c r="Q992" s="48" t="str">
        <f>IF(OR($B992="",$D992=""),"",IF($AC992=0,0,MAX(0,MIN($O992,IF(ISNUMBER($P992),$P992-$AF992,1E+15),IF(ISNUMBER($AA992),$AA992-$AG992,1E+15)))))</f>
        <v/>
      </c>
      <c r="R992" s="48" t="str">
        <f>IF(OR($B992="",$D992=""),"",IF($AC992=0,"",IF(AND(NOT(ISNUMBER($P992)),NOT(ISNUMBER($AA992))),"∞",MAX(0,MIN(IF(ISNUMBER($P992),$P992-$AF992-$Q992,1E+15),IF(ISNUMBER($AA992),$AA992-$AG992-$Q992,1E+15))))))</f>
        <v/>
      </c>
      <c r="S992" s="47" t="str">
        <f>IF($AD992="","",YEAR($AD992)*100+MONTH($AD992))</f>
        <v/>
      </c>
      <c r="T992" s="50" t="str">
        <f>IF($AD992="","",IFERROR(IF(INDEX(CARDS!$I$5:$I$34,MATCH($D992,CARDS!$A$5:$A$34,0))="","",IF(INDEX(CARDS!$I$5:$I$34,MATCH($D992,CARDS!$A$5:$A$34,0))&gt;INDEX(CARDS!$H$5:$H$34,MATCH($D992,CARDS!$A$5:$A$34,0)),DATE(YEAR($AD992),MONTH($AD992),MIN(INDEX(CARDS!$I$5:$I$34,MATCH($D992,CARDS!$A$5:$A$34,0)),DAY(EOMONTH($AD992,0)))),DATE(YEAR($AD992),MONTH($AD992)+1,MIN(INDEX(CARDS!$I$5:$I$34,MATCH($D992,CARDS!$A$5:$A$34,0)),DAY(EOMONTH($AD992,1)))))),""))</f>
        <v/>
      </c>
      <c r="U992" s="38" t="n"/>
      <c r="V992" s="37" t="n"/>
      <c r="W992" s="38" t="n"/>
      <c r="X992" s="38" t="n"/>
      <c r="Y992" s="44" t="str">
        <f>IF($AC992&gt;0,INDEX(CASHBACK_RULES!$A$5:$A$304,$AC992),"")</f>
        <v/>
      </c>
      <c r="Z992" s="45" t="str">
        <f>IF($AC992&gt;0,INDEX(CASHBACK_RULES!$E$5:$E$304,$AC992)&amp;"","")</f>
        <v/>
      </c>
      <c r="AA992" s="48" t="str">
        <f>IF($AC992&gt;0,IF(ISNUMBER(INDEX(CASHBACK_RULES!$K$5:$K$304,$AC992)),INDEX(CASHBACK_RULES!$K$5:$K$304,$AC992),"∞"),"")</f>
        <v/>
      </c>
      <c r="AB992" s="44" t="str">
        <f>IF(OR($B992="",$D992=""),"",IF($U992="Cancelled","Đã hủy",IF($AC992=0,"Không được hoàn",IF($Q992=0,IF(OR($O992&gt;0,$M992&lt;$L992),"Đã đạt cap","Không được hoàn"),IF(OR($Q992&lt;$O992,$M992&lt;$L992),"Hoàn một phần","Được hoàn")))))</f>
        <v/>
      </c>
      <c r="AC992" s="43">
        <f>IF(OR($B992="",$D992="",$I992="",$L992=""),0,IF($U992="Cancelled",0,IF($W992&lt;&gt;"",IFERROR(IF(INDEX(CASHBACK_RULES!$B$5:$B$304,MATCH($W992,CASHBACK_RULES!$A$5:$A$304,0))=$D992,MATCH($W992,CASHBACK_RULES!$A$5:$A$304,0),0),0),IFERROR(MATCH(1,INDEX((CASHBACK_RULES!$B$5:$B$304=$D992)*(CASHBACK_RULES!$G$5:$G$304=$I992)*(((CASHBACK_RULES!$N$5:$N$304="")+(CASHBACK_RULES!$N$5:$N$304&lt;=$B992))&gt;0)*(((CASHBACK_RULES!$O$5:$O$304="")+(CASHBACK_RULES!$O$5:$O$304&gt;=$B992))&gt;0)*(((CASHBACK_RULES!$M$5:$M$304="")+(CASHBACK_RULES!$M$5:$M$304&lt;=$L992))&gt;0),0),0),0))))</f>
        <v>0</v>
      </c>
      <c r="AD992" s="51" t="str">
        <f>IF(OR($B992="",$D992=""),"",IFERROR(IF(INDEX(CARDS!$H$5:$H$34,MATCH($D992,CARDS!$A$5:$A$34,0))="","",IF(DAY($B992)&lt;=INDEX(CARDS!$H$5:$H$34,MATCH($D992,CARDS!$A$5:$A$34,0)),DATE(YEAR($B992),MONTH($B992),MIN(INDEX(CARDS!$H$5:$H$34,MATCH($D992,CARDS!$A$5:$A$34,0)),DAY(EOMONTH($B992,0)))),DATE(YEAR($B992),MONTH($B992)+1,MIN(INDEX(CARDS!$H$5:$H$34,MATCH($D992,CARDS!$A$5:$A$34,0)),DAY(EOMONTH($B992,1)))))),""))</f>
        <v/>
      </c>
      <c r="AE992" s="52" t="str">
        <f>IF($C992="","",$C992&amp;"|"&amp;COUNTIF($C$5:$C992,$C992))</f>
        <v/>
      </c>
      <c r="AF992" s="53">
        <f>IF($AC992&gt;0,SUMIFS(Q$4:Q991,$D$4:$D991,$D992,$Z$4:$Z991,$Z992,$C$4:$C991,$C992),0)</f>
        <v>0</v>
      </c>
      <c r="AG992" s="53">
        <f>IF($AC992&gt;0,SUMIFS(Q$4:Q991,$D$4:$D991,$D992,$C$4:$C991,$C992),0)</f>
        <v>0</v>
      </c>
      <c r="AH992" s="53">
        <f>IF($AC992&gt;0,SUMIFS(M$4:M991,$D$4:$D991,$D992,$Z$4:$Z991,$Z992,$C$4:$C991,$C992),0)</f>
        <v>0</v>
      </c>
      <c r="AI992" s="43">
        <f>IF(OR($C992="",$I992=""),0,IF(COUNTIFS($C$5:$C992,$C992,$I$5:$I992,$I992)=1,1,0))</f>
        <v>0</v>
      </c>
      <c r="AJ992" s="43" t="str">
        <f>IF($AI992=1,SUMIFS($AI$4:$AI991,$C$4:$C991,$C992)+1,"")</f>
        <v/>
      </c>
      <c r="AK992" s="43">
        <f>IF(OR($C992="",$K992=""),0,IF(COUNTIFS($C$5:$C992,$C992,$K$5:$K992,$K992)=1,1,0))</f>
        <v>0</v>
      </c>
      <c r="AL992" s="43" t="str">
        <f>IF($AK992=1,SUMIFS($AK$4:$AK991,$C$4:$C991,$C992)+1,"")</f>
        <v/>
      </c>
      <c r="AM992" s="43">
        <f>IF(OR($C992="",$G992=""),0,IF(COUNTIFS($C$5:$C992,$C992,$G$5:$G992,$G992)=1,1,0))</f>
        <v>0</v>
      </c>
      <c r="AN992" s="43" t="str">
        <f>IF($AM992=1,SUMIFS($AM$4:$AM991,$C$4:$C991,$C992)+1,"")</f>
        <v/>
      </c>
    </row>
    <row r="993">
      <c r="A993" s="44" t="str">
        <f>IF(OR($B993="",$D993=""),"","TX"&amp;TEXT(ROW()-4,"0000"))</f>
        <v/>
      </c>
      <c r="B993" s="42" t="n"/>
      <c r="C993" s="47" t="str">
        <f>IF($B993="","",YEAR($B993)*100+MONTH($B993))</f>
        <v/>
      </c>
      <c r="D993" s="37" t="n"/>
      <c r="E993" s="45" t="str">
        <f>IF($D993="","",IFERROR(INDEX(CARDS!$B$5:$B$34,MATCH($D993,CARDS!$A$5:$A$34,0)),"⚠ Card ID?"))</f>
        <v/>
      </c>
      <c r="F993" s="45" t="str">
        <f>IF($D993="","",IFERROR(INDEX(CARDS!$C$5:$C$34,MATCH($D993,CARDS!$A$5:$A$34,0)),"⚠ Card ID?"))</f>
        <v/>
      </c>
      <c r="G993" s="37" t="n"/>
      <c r="H993" s="37" t="n"/>
      <c r="I993" s="41" t="n"/>
      <c r="J993" s="45" t="str">
        <f>IF($I993="","",IFERROR(INDEX(MCC_MASTER!$B$5:$B$504,MATCH($I993,MCC_MASTER!$A$5:$A$504,0)),"⚠ MCC chưa có"))</f>
        <v/>
      </c>
      <c r="K993" s="45" t="str">
        <f>IF($I993="","",IFERROR(IF(INDEX(MCC_MASTER!$C$5:$C$504,MATCH($I993,MCC_MASTER!$A$5:$A$504,0))="","Chưa phân loại",INDEX(MCC_MASTER!$C$5:$C$504,MATCH($I993,MCC_MASTER!$A$5:$A$504,0))),"Chưa phân loại"))</f>
        <v/>
      </c>
      <c r="L993" s="40" t="n"/>
      <c r="M993" s="48" t="str">
        <f>IF(OR($B993="",$D993=""),"",IF($AC993=0,0,IF(ISNUMBER(INDEX(CASHBACK_RULES!$L$5:$L$304,$AC993)),MAX(0,MIN($L993,INDEX(CASHBACK_RULES!$L$5:$L$304,$AC993)-$AH993)),MAX(0,$L993))))</f>
        <v/>
      </c>
      <c r="N993" s="49" t="str">
        <f>IF(OR($B993="",$D993=""),"",IF($AC993&gt;0,INDEX(CASHBACK_RULES!$I$5:$I$304,$AC993),0))</f>
        <v/>
      </c>
      <c r="O993" s="48" t="str">
        <f>IF(OR($B993="",$D993=""),"",ROUND($M993*$N993,0))</f>
        <v/>
      </c>
      <c r="P993" s="48" t="str">
        <f>IF($AC993&gt;0,IF(ISNUMBER(INDEX(CASHBACK_RULES!$J$5:$J$304,$AC993)),INDEX(CASHBACK_RULES!$J$5:$J$304,$AC993),"∞"),"")</f>
        <v/>
      </c>
      <c r="Q993" s="48" t="str">
        <f>IF(OR($B993="",$D993=""),"",IF($AC993=0,0,MAX(0,MIN($O993,IF(ISNUMBER($P993),$P993-$AF993,1E+15),IF(ISNUMBER($AA993),$AA993-$AG993,1E+15)))))</f>
        <v/>
      </c>
      <c r="R993" s="48" t="str">
        <f>IF(OR($B993="",$D993=""),"",IF($AC993=0,"",IF(AND(NOT(ISNUMBER($P993)),NOT(ISNUMBER($AA993))),"∞",MAX(0,MIN(IF(ISNUMBER($P993),$P993-$AF993-$Q993,1E+15),IF(ISNUMBER($AA993),$AA993-$AG993-$Q993,1E+15))))))</f>
        <v/>
      </c>
      <c r="S993" s="47" t="str">
        <f>IF($AD993="","",YEAR($AD993)*100+MONTH($AD993))</f>
        <v/>
      </c>
      <c r="T993" s="50" t="str">
        <f>IF($AD993="","",IFERROR(IF(INDEX(CARDS!$I$5:$I$34,MATCH($D993,CARDS!$A$5:$A$34,0))="","",IF(INDEX(CARDS!$I$5:$I$34,MATCH($D993,CARDS!$A$5:$A$34,0))&gt;INDEX(CARDS!$H$5:$H$34,MATCH($D993,CARDS!$A$5:$A$34,0)),DATE(YEAR($AD993),MONTH($AD993),MIN(INDEX(CARDS!$I$5:$I$34,MATCH($D993,CARDS!$A$5:$A$34,0)),DAY(EOMONTH($AD993,0)))),DATE(YEAR($AD993),MONTH($AD993)+1,MIN(INDEX(CARDS!$I$5:$I$34,MATCH($D993,CARDS!$A$5:$A$34,0)),DAY(EOMONTH($AD993,1)))))),""))</f>
        <v/>
      </c>
      <c r="U993" s="38" t="n"/>
      <c r="V993" s="37" t="n"/>
      <c r="W993" s="38" t="n"/>
      <c r="X993" s="38" t="n"/>
      <c r="Y993" s="44" t="str">
        <f>IF($AC993&gt;0,INDEX(CASHBACK_RULES!$A$5:$A$304,$AC993),"")</f>
        <v/>
      </c>
      <c r="Z993" s="45" t="str">
        <f>IF($AC993&gt;0,INDEX(CASHBACK_RULES!$E$5:$E$304,$AC993)&amp;"","")</f>
        <v/>
      </c>
      <c r="AA993" s="48" t="str">
        <f>IF($AC993&gt;0,IF(ISNUMBER(INDEX(CASHBACK_RULES!$K$5:$K$304,$AC993)),INDEX(CASHBACK_RULES!$K$5:$K$304,$AC993),"∞"),"")</f>
        <v/>
      </c>
      <c r="AB993" s="44" t="str">
        <f>IF(OR($B993="",$D993=""),"",IF($U993="Cancelled","Đã hủy",IF($AC993=0,"Không được hoàn",IF($Q993=0,IF(OR($O993&gt;0,$M993&lt;$L993),"Đã đạt cap","Không được hoàn"),IF(OR($Q993&lt;$O993,$M993&lt;$L993),"Hoàn một phần","Được hoàn")))))</f>
        <v/>
      </c>
      <c r="AC993" s="43">
        <f>IF(OR($B993="",$D993="",$I993="",$L993=""),0,IF($U993="Cancelled",0,IF($W993&lt;&gt;"",IFERROR(IF(INDEX(CASHBACK_RULES!$B$5:$B$304,MATCH($W993,CASHBACK_RULES!$A$5:$A$304,0))=$D993,MATCH($W993,CASHBACK_RULES!$A$5:$A$304,0),0),0),IFERROR(MATCH(1,INDEX((CASHBACK_RULES!$B$5:$B$304=$D993)*(CASHBACK_RULES!$G$5:$G$304=$I993)*(((CASHBACK_RULES!$N$5:$N$304="")+(CASHBACK_RULES!$N$5:$N$304&lt;=$B993))&gt;0)*(((CASHBACK_RULES!$O$5:$O$304="")+(CASHBACK_RULES!$O$5:$O$304&gt;=$B993))&gt;0)*(((CASHBACK_RULES!$M$5:$M$304="")+(CASHBACK_RULES!$M$5:$M$304&lt;=$L993))&gt;0),0),0),0))))</f>
        <v>0</v>
      </c>
      <c r="AD993" s="51" t="str">
        <f>IF(OR($B993="",$D993=""),"",IFERROR(IF(INDEX(CARDS!$H$5:$H$34,MATCH($D993,CARDS!$A$5:$A$34,0))="","",IF(DAY($B993)&lt;=INDEX(CARDS!$H$5:$H$34,MATCH($D993,CARDS!$A$5:$A$34,0)),DATE(YEAR($B993),MONTH($B993),MIN(INDEX(CARDS!$H$5:$H$34,MATCH($D993,CARDS!$A$5:$A$34,0)),DAY(EOMONTH($B993,0)))),DATE(YEAR($B993),MONTH($B993)+1,MIN(INDEX(CARDS!$H$5:$H$34,MATCH($D993,CARDS!$A$5:$A$34,0)),DAY(EOMONTH($B993,1)))))),""))</f>
        <v/>
      </c>
      <c r="AE993" s="52" t="str">
        <f>IF($C993="","",$C993&amp;"|"&amp;COUNTIF($C$5:$C993,$C993))</f>
        <v/>
      </c>
      <c r="AF993" s="53">
        <f>IF($AC993&gt;0,SUMIFS(Q$4:Q992,$D$4:$D992,$D993,$Z$4:$Z992,$Z993,$C$4:$C992,$C993),0)</f>
        <v>0</v>
      </c>
      <c r="AG993" s="53">
        <f>IF($AC993&gt;0,SUMIFS(Q$4:Q992,$D$4:$D992,$D993,$C$4:$C992,$C993),0)</f>
        <v>0</v>
      </c>
      <c r="AH993" s="53">
        <f>IF($AC993&gt;0,SUMIFS(M$4:M992,$D$4:$D992,$D993,$Z$4:$Z992,$Z993,$C$4:$C992,$C993),0)</f>
        <v>0</v>
      </c>
      <c r="AI993" s="43">
        <f>IF(OR($C993="",$I993=""),0,IF(COUNTIFS($C$5:$C993,$C993,$I$5:$I993,$I993)=1,1,0))</f>
        <v>0</v>
      </c>
      <c r="AJ993" s="43" t="str">
        <f>IF($AI993=1,SUMIFS($AI$4:$AI992,$C$4:$C992,$C993)+1,"")</f>
        <v/>
      </c>
      <c r="AK993" s="43">
        <f>IF(OR($C993="",$K993=""),0,IF(COUNTIFS($C$5:$C993,$C993,$K$5:$K993,$K993)=1,1,0))</f>
        <v>0</v>
      </c>
      <c r="AL993" s="43" t="str">
        <f>IF($AK993=1,SUMIFS($AK$4:$AK992,$C$4:$C992,$C993)+1,"")</f>
        <v/>
      </c>
      <c r="AM993" s="43">
        <f>IF(OR($C993="",$G993=""),0,IF(COUNTIFS($C$5:$C993,$C993,$G$5:$G993,$G993)=1,1,0))</f>
        <v>0</v>
      </c>
      <c r="AN993" s="43" t="str">
        <f>IF($AM993=1,SUMIFS($AM$4:$AM992,$C$4:$C992,$C993)+1,"")</f>
        <v/>
      </c>
    </row>
    <row r="994">
      <c r="A994" s="44" t="str">
        <f>IF(OR($B994="",$D994=""),"","TX"&amp;TEXT(ROW()-4,"0000"))</f>
        <v/>
      </c>
      <c r="B994" s="42" t="n"/>
      <c r="C994" s="47" t="str">
        <f>IF($B994="","",YEAR($B994)*100+MONTH($B994))</f>
        <v/>
      </c>
      <c r="D994" s="37" t="n"/>
      <c r="E994" s="45" t="str">
        <f>IF($D994="","",IFERROR(INDEX(CARDS!$B$5:$B$34,MATCH($D994,CARDS!$A$5:$A$34,0)),"⚠ Card ID?"))</f>
        <v/>
      </c>
      <c r="F994" s="45" t="str">
        <f>IF($D994="","",IFERROR(INDEX(CARDS!$C$5:$C$34,MATCH($D994,CARDS!$A$5:$A$34,0)),"⚠ Card ID?"))</f>
        <v/>
      </c>
      <c r="G994" s="37" t="n"/>
      <c r="H994" s="37" t="n"/>
      <c r="I994" s="41" t="n"/>
      <c r="J994" s="45" t="str">
        <f>IF($I994="","",IFERROR(INDEX(MCC_MASTER!$B$5:$B$504,MATCH($I994,MCC_MASTER!$A$5:$A$504,0)),"⚠ MCC chưa có"))</f>
        <v/>
      </c>
      <c r="K994" s="45" t="str">
        <f>IF($I994="","",IFERROR(IF(INDEX(MCC_MASTER!$C$5:$C$504,MATCH($I994,MCC_MASTER!$A$5:$A$504,0))="","Chưa phân loại",INDEX(MCC_MASTER!$C$5:$C$504,MATCH($I994,MCC_MASTER!$A$5:$A$504,0))),"Chưa phân loại"))</f>
        <v/>
      </c>
      <c r="L994" s="40" t="n"/>
      <c r="M994" s="48" t="str">
        <f>IF(OR($B994="",$D994=""),"",IF($AC994=0,0,IF(ISNUMBER(INDEX(CASHBACK_RULES!$L$5:$L$304,$AC994)),MAX(0,MIN($L994,INDEX(CASHBACK_RULES!$L$5:$L$304,$AC994)-$AH994)),MAX(0,$L994))))</f>
        <v/>
      </c>
      <c r="N994" s="49" t="str">
        <f>IF(OR($B994="",$D994=""),"",IF($AC994&gt;0,INDEX(CASHBACK_RULES!$I$5:$I$304,$AC994),0))</f>
        <v/>
      </c>
      <c r="O994" s="48" t="str">
        <f>IF(OR($B994="",$D994=""),"",ROUND($M994*$N994,0))</f>
        <v/>
      </c>
      <c r="P994" s="48" t="str">
        <f>IF($AC994&gt;0,IF(ISNUMBER(INDEX(CASHBACK_RULES!$J$5:$J$304,$AC994)),INDEX(CASHBACK_RULES!$J$5:$J$304,$AC994),"∞"),"")</f>
        <v/>
      </c>
      <c r="Q994" s="48" t="str">
        <f>IF(OR($B994="",$D994=""),"",IF($AC994=0,0,MAX(0,MIN($O994,IF(ISNUMBER($P994),$P994-$AF994,1E+15),IF(ISNUMBER($AA994),$AA994-$AG994,1E+15)))))</f>
        <v/>
      </c>
      <c r="R994" s="48" t="str">
        <f>IF(OR($B994="",$D994=""),"",IF($AC994=0,"",IF(AND(NOT(ISNUMBER($P994)),NOT(ISNUMBER($AA994))),"∞",MAX(0,MIN(IF(ISNUMBER($P994),$P994-$AF994-$Q994,1E+15),IF(ISNUMBER($AA994),$AA994-$AG994-$Q994,1E+15))))))</f>
        <v/>
      </c>
      <c r="S994" s="47" t="str">
        <f>IF($AD994="","",YEAR($AD994)*100+MONTH($AD994))</f>
        <v/>
      </c>
      <c r="T994" s="50" t="str">
        <f>IF($AD994="","",IFERROR(IF(INDEX(CARDS!$I$5:$I$34,MATCH($D994,CARDS!$A$5:$A$34,0))="","",IF(INDEX(CARDS!$I$5:$I$34,MATCH($D994,CARDS!$A$5:$A$34,0))&gt;INDEX(CARDS!$H$5:$H$34,MATCH($D994,CARDS!$A$5:$A$34,0)),DATE(YEAR($AD994),MONTH($AD994),MIN(INDEX(CARDS!$I$5:$I$34,MATCH($D994,CARDS!$A$5:$A$34,0)),DAY(EOMONTH($AD994,0)))),DATE(YEAR($AD994),MONTH($AD994)+1,MIN(INDEX(CARDS!$I$5:$I$34,MATCH($D994,CARDS!$A$5:$A$34,0)),DAY(EOMONTH($AD994,1)))))),""))</f>
        <v/>
      </c>
      <c r="U994" s="38" t="n"/>
      <c r="V994" s="37" t="n"/>
      <c r="W994" s="38" t="n"/>
      <c r="X994" s="38" t="n"/>
      <c r="Y994" s="44" t="str">
        <f>IF($AC994&gt;0,INDEX(CASHBACK_RULES!$A$5:$A$304,$AC994),"")</f>
        <v/>
      </c>
      <c r="Z994" s="45" t="str">
        <f>IF($AC994&gt;0,INDEX(CASHBACK_RULES!$E$5:$E$304,$AC994)&amp;"","")</f>
        <v/>
      </c>
      <c r="AA994" s="48" t="str">
        <f>IF($AC994&gt;0,IF(ISNUMBER(INDEX(CASHBACK_RULES!$K$5:$K$304,$AC994)),INDEX(CASHBACK_RULES!$K$5:$K$304,$AC994),"∞"),"")</f>
        <v/>
      </c>
      <c r="AB994" s="44" t="str">
        <f>IF(OR($B994="",$D994=""),"",IF($U994="Cancelled","Đã hủy",IF($AC994=0,"Không được hoàn",IF($Q994=0,IF(OR($O994&gt;0,$M994&lt;$L994),"Đã đạt cap","Không được hoàn"),IF(OR($Q994&lt;$O994,$M994&lt;$L994),"Hoàn một phần","Được hoàn")))))</f>
        <v/>
      </c>
      <c r="AC994" s="43">
        <f>IF(OR($B994="",$D994="",$I994="",$L994=""),0,IF($U994="Cancelled",0,IF($W994&lt;&gt;"",IFERROR(IF(INDEX(CASHBACK_RULES!$B$5:$B$304,MATCH($W994,CASHBACK_RULES!$A$5:$A$304,0))=$D994,MATCH($W994,CASHBACK_RULES!$A$5:$A$304,0),0),0),IFERROR(MATCH(1,INDEX((CASHBACK_RULES!$B$5:$B$304=$D994)*(CASHBACK_RULES!$G$5:$G$304=$I994)*(((CASHBACK_RULES!$N$5:$N$304="")+(CASHBACK_RULES!$N$5:$N$304&lt;=$B994))&gt;0)*(((CASHBACK_RULES!$O$5:$O$304="")+(CASHBACK_RULES!$O$5:$O$304&gt;=$B994))&gt;0)*(((CASHBACK_RULES!$M$5:$M$304="")+(CASHBACK_RULES!$M$5:$M$304&lt;=$L994))&gt;0),0),0),0))))</f>
        <v>0</v>
      </c>
      <c r="AD994" s="51" t="str">
        <f>IF(OR($B994="",$D994=""),"",IFERROR(IF(INDEX(CARDS!$H$5:$H$34,MATCH($D994,CARDS!$A$5:$A$34,0))="","",IF(DAY($B994)&lt;=INDEX(CARDS!$H$5:$H$34,MATCH($D994,CARDS!$A$5:$A$34,0)),DATE(YEAR($B994),MONTH($B994),MIN(INDEX(CARDS!$H$5:$H$34,MATCH($D994,CARDS!$A$5:$A$34,0)),DAY(EOMONTH($B994,0)))),DATE(YEAR($B994),MONTH($B994)+1,MIN(INDEX(CARDS!$H$5:$H$34,MATCH($D994,CARDS!$A$5:$A$34,0)),DAY(EOMONTH($B994,1)))))),""))</f>
        <v/>
      </c>
      <c r="AE994" s="52" t="str">
        <f>IF($C994="","",$C994&amp;"|"&amp;COUNTIF($C$5:$C994,$C994))</f>
        <v/>
      </c>
      <c r="AF994" s="53">
        <f>IF($AC994&gt;0,SUMIFS(Q$4:Q993,$D$4:$D993,$D994,$Z$4:$Z993,$Z994,$C$4:$C993,$C994),0)</f>
        <v>0</v>
      </c>
      <c r="AG994" s="53">
        <f>IF($AC994&gt;0,SUMIFS(Q$4:Q993,$D$4:$D993,$D994,$C$4:$C993,$C994),0)</f>
        <v>0</v>
      </c>
      <c r="AH994" s="53">
        <f>IF($AC994&gt;0,SUMIFS(M$4:M993,$D$4:$D993,$D994,$Z$4:$Z993,$Z994,$C$4:$C993,$C994),0)</f>
        <v>0</v>
      </c>
      <c r="AI994" s="43">
        <f>IF(OR($C994="",$I994=""),0,IF(COUNTIFS($C$5:$C994,$C994,$I$5:$I994,$I994)=1,1,0))</f>
        <v>0</v>
      </c>
      <c r="AJ994" s="43" t="str">
        <f>IF($AI994=1,SUMIFS($AI$4:$AI993,$C$4:$C993,$C994)+1,"")</f>
        <v/>
      </c>
      <c r="AK994" s="43">
        <f>IF(OR($C994="",$K994=""),0,IF(COUNTIFS($C$5:$C994,$C994,$K$5:$K994,$K994)=1,1,0))</f>
        <v>0</v>
      </c>
      <c r="AL994" s="43" t="str">
        <f>IF($AK994=1,SUMIFS($AK$4:$AK993,$C$4:$C993,$C994)+1,"")</f>
        <v/>
      </c>
      <c r="AM994" s="43">
        <f>IF(OR($C994="",$G994=""),0,IF(COUNTIFS($C$5:$C994,$C994,$G$5:$G994,$G994)=1,1,0))</f>
        <v>0</v>
      </c>
      <c r="AN994" s="43" t="str">
        <f>IF($AM994=1,SUMIFS($AM$4:$AM993,$C$4:$C993,$C994)+1,"")</f>
        <v/>
      </c>
    </row>
    <row r="995">
      <c r="A995" s="44" t="str">
        <f>IF(OR($B995="",$D995=""),"","TX"&amp;TEXT(ROW()-4,"0000"))</f>
        <v/>
      </c>
      <c r="B995" s="42" t="n"/>
      <c r="C995" s="47" t="str">
        <f>IF($B995="","",YEAR($B995)*100+MONTH($B995))</f>
        <v/>
      </c>
      <c r="D995" s="37" t="n"/>
      <c r="E995" s="45" t="str">
        <f>IF($D995="","",IFERROR(INDEX(CARDS!$B$5:$B$34,MATCH($D995,CARDS!$A$5:$A$34,0)),"⚠ Card ID?"))</f>
        <v/>
      </c>
      <c r="F995" s="45" t="str">
        <f>IF($D995="","",IFERROR(INDEX(CARDS!$C$5:$C$34,MATCH($D995,CARDS!$A$5:$A$34,0)),"⚠ Card ID?"))</f>
        <v/>
      </c>
      <c r="G995" s="37" t="n"/>
      <c r="H995" s="37" t="n"/>
      <c r="I995" s="41" t="n"/>
      <c r="J995" s="45" t="str">
        <f>IF($I995="","",IFERROR(INDEX(MCC_MASTER!$B$5:$B$504,MATCH($I995,MCC_MASTER!$A$5:$A$504,0)),"⚠ MCC chưa có"))</f>
        <v/>
      </c>
      <c r="K995" s="45" t="str">
        <f>IF($I995="","",IFERROR(IF(INDEX(MCC_MASTER!$C$5:$C$504,MATCH($I995,MCC_MASTER!$A$5:$A$504,0))="","Chưa phân loại",INDEX(MCC_MASTER!$C$5:$C$504,MATCH($I995,MCC_MASTER!$A$5:$A$504,0))),"Chưa phân loại"))</f>
        <v/>
      </c>
      <c r="L995" s="40" t="n"/>
      <c r="M995" s="48" t="str">
        <f>IF(OR($B995="",$D995=""),"",IF($AC995=0,0,IF(ISNUMBER(INDEX(CASHBACK_RULES!$L$5:$L$304,$AC995)),MAX(0,MIN($L995,INDEX(CASHBACK_RULES!$L$5:$L$304,$AC995)-$AH995)),MAX(0,$L995))))</f>
        <v/>
      </c>
      <c r="N995" s="49" t="str">
        <f>IF(OR($B995="",$D995=""),"",IF($AC995&gt;0,INDEX(CASHBACK_RULES!$I$5:$I$304,$AC995),0))</f>
        <v/>
      </c>
      <c r="O995" s="48" t="str">
        <f>IF(OR($B995="",$D995=""),"",ROUND($M995*$N995,0))</f>
        <v/>
      </c>
      <c r="P995" s="48" t="str">
        <f>IF($AC995&gt;0,IF(ISNUMBER(INDEX(CASHBACK_RULES!$J$5:$J$304,$AC995)),INDEX(CASHBACK_RULES!$J$5:$J$304,$AC995),"∞"),"")</f>
        <v/>
      </c>
      <c r="Q995" s="48" t="str">
        <f>IF(OR($B995="",$D995=""),"",IF($AC995=0,0,MAX(0,MIN($O995,IF(ISNUMBER($P995),$P995-$AF995,1E+15),IF(ISNUMBER($AA995),$AA995-$AG995,1E+15)))))</f>
        <v/>
      </c>
      <c r="R995" s="48" t="str">
        <f>IF(OR($B995="",$D995=""),"",IF($AC995=0,"",IF(AND(NOT(ISNUMBER($P995)),NOT(ISNUMBER($AA995))),"∞",MAX(0,MIN(IF(ISNUMBER($P995),$P995-$AF995-$Q995,1E+15),IF(ISNUMBER($AA995),$AA995-$AG995-$Q995,1E+15))))))</f>
        <v/>
      </c>
      <c r="S995" s="47" t="str">
        <f>IF($AD995="","",YEAR($AD995)*100+MONTH($AD995))</f>
        <v/>
      </c>
      <c r="T995" s="50" t="str">
        <f>IF($AD995="","",IFERROR(IF(INDEX(CARDS!$I$5:$I$34,MATCH($D995,CARDS!$A$5:$A$34,0))="","",IF(INDEX(CARDS!$I$5:$I$34,MATCH($D995,CARDS!$A$5:$A$34,0))&gt;INDEX(CARDS!$H$5:$H$34,MATCH($D995,CARDS!$A$5:$A$34,0)),DATE(YEAR($AD995),MONTH($AD995),MIN(INDEX(CARDS!$I$5:$I$34,MATCH($D995,CARDS!$A$5:$A$34,0)),DAY(EOMONTH($AD995,0)))),DATE(YEAR($AD995),MONTH($AD995)+1,MIN(INDEX(CARDS!$I$5:$I$34,MATCH($D995,CARDS!$A$5:$A$34,0)),DAY(EOMONTH($AD995,1)))))),""))</f>
        <v/>
      </c>
      <c r="U995" s="38" t="n"/>
      <c r="V995" s="37" t="n"/>
      <c r="W995" s="38" t="n"/>
      <c r="X995" s="38" t="n"/>
      <c r="Y995" s="44" t="str">
        <f>IF($AC995&gt;0,INDEX(CASHBACK_RULES!$A$5:$A$304,$AC995),"")</f>
        <v/>
      </c>
      <c r="Z995" s="45" t="str">
        <f>IF($AC995&gt;0,INDEX(CASHBACK_RULES!$E$5:$E$304,$AC995)&amp;"","")</f>
        <v/>
      </c>
      <c r="AA995" s="48" t="str">
        <f>IF($AC995&gt;0,IF(ISNUMBER(INDEX(CASHBACK_RULES!$K$5:$K$304,$AC995)),INDEX(CASHBACK_RULES!$K$5:$K$304,$AC995),"∞"),"")</f>
        <v/>
      </c>
      <c r="AB995" s="44" t="str">
        <f>IF(OR($B995="",$D995=""),"",IF($U995="Cancelled","Đã hủy",IF($AC995=0,"Không được hoàn",IF($Q995=0,IF(OR($O995&gt;0,$M995&lt;$L995),"Đã đạt cap","Không được hoàn"),IF(OR($Q995&lt;$O995,$M995&lt;$L995),"Hoàn một phần","Được hoàn")))))</f>
        <v/>
      </c>
      <c r="AC995" s="43">
        <f>IF(OR($B995="",$D995="",$I995="",$L995=""),0,IF($U995="Cancelled",0,IF($W995&lt;&gt;"",IFERROR(IF(INDEX(CASHBACK_RULES!$B$5:$B$304,MATCH($W995,CASHBACK_RULES!$A$5:$A$304,0))=$D995,MATCH($W995,CASHBACK_RULES!$A$5:$A$304,0),0),0),IFERROR(MATCH(1,INDEX((CASHBACK_RULES!$B$5:$B$304=$D995)*(CASHBACK_RULES!$G$5:$G$304=$I995)*(((CASHBACK_RULES!$N$5:$N$304="")+(CASHBACK_RULES!$N$5:$N$304&lt;=$B995))&gt;0)*(((CASHBACK_RULES!$O$5:$O$304="")+(CASHBACK_RULES!$O$5:$O$304&gt;=$B995))&gt;0)*(((CASHBACK_RULES!$M$5:$M$304="")+(CASHBACK_RULES!$M$5:$M$304&lt;=$L995))&gt;0),0),0),0))))</f>
        <v>0</v>
      </c>
      <c r="AD995" s="51" t="str">
        <f>IF(OR($B995="",$D995=""),"",IFERROR(IF(INDEX(CARDS!$H$5:$H$34,MATCH($D995,CARDS!$A$5:$A$34,0))="","",IF(DAY($B995)&lt;=INDEX(CARDS!$H$5:$H$34,MATCH($D995,CARDS!$A$5:$A$34,0)),DATE(YEAR($B995),MONTH($B995),MIN(INDEX(CARDS!$H$5:$H$34,MATCH($D995,CARDS!$A$5:$A$34,0)),DAY(EOMONTH($B995,0)))),DATE(YEAR($B995),MONTH($B995)+1,MIN(INDEX(CARDS!$H$5:$H$34,MATCH($D995,CARDS!$A$5:$A$34,0)),DAY(EOMONTH($B995,1)))))),""))</f>
        <v/>
      </c>
      <c r="AE995" s="52" t="str">
        <f>IF($C995="","",$C995&amp;"|"&amp;COUNTIF($C$5:$C995,$C995))</f>
        <v/>
      </c>
      <c r="AF995" s="53">
        <f>IF($AC995&gt;0,SUMIFS(Q$4:Q994,$D$4:$D994,$D995,$Z$4:$Z994,$Z995,$C$4:$C994,$C995),0)</f>
        <v>0</v>
      </c>
      <c r="AG995" s="53">
        <f>IF($AC995&gt;0,SUMIFS(Q$4:Q994,$D$4:$D994,$D995,$C$4:$C994,$C995),0)</f>
        <v>0</v>
      </c>
      <c r="AH995" s="53">
        <f>IF($AC995&gt;0,SUMIFS(M$4:M994,$D$4:$D994,$D995,$Z$4:$Z994,$Z995,$C$4:$C994,$C995),0)</f>
        <v>0</v>
      </c>
      <c r="AI995" s="43">
        <f>IF(OR($C995="",$I995=""),0,IF(COUNTIFS($C$5:$C995,$C995,$I$5:$I995,$I995)=1,1,0))</f>
        <v>0</v>
      </c>
      <c r="AJ995" s="43" t="str">
        <f>IF($AI995=1,SUMIFS($AI$4:$AI994,$C$4:$C994,$C995)+1,"")</f>
        <v/>
      </c>
      <c r="AK995" s="43">
        <f>IF(OR($C995="",$K995=""),0,IF(COUNTIFS($C$5:$C995,$C995,$K$5:$K995,$K995)=1,1,0))</f>
        <v>0</v>
      </c>
      <c r="AL995" s="43" t="str">
        <f>IF($AK995=1,SUMIFS($AK$4:$AK994,$C$4:$C994,$C995)+1,"")</f>
        <v/>
      </c>
      <c r="AM995" s="43">
        <f>IF(OR($C995="",$G995=""),0,IF(COUNTIFS($C$5:$C995,$C995,$G$5:$G995,$G995)=1,1,0))</f>
        <v>0</v>
      </c>
      <c r="AN995" s="43" t="str">
        <f>IF($AM995=1,SUMIFS($AM$4:$AM994,$C$4:$C994,$C995)+1,"")</f>
        <v/>
      </c>
    </row>
    <row r="996">
      <c r="A996" s="44" t="str">
        <f>IF(OR($B996="",$D996=""),"","TX"&amp;TEXT(ROW()-4,"0000"))</f>
        <v/>
      </c>
      <c r="B996" s="42" t="n"/>
      <c r="C996" s="47" t="str">
        <f>IF($B996="","",YEAR($B996)*100+MONTH($B996))</f>
        <v/>
      </c>
      <c r="D996" s="37" t="n"/>
      <c r="E996" s="45" t="str">
        <f>IF($D996="","",IFERROR(INDEX(CARDS!$B$5:$B$34,MATCH($D996,CARDS!$A$5:$A$34,0)),"⚠ Card ID?"))</f>
        <v/>
      </c>
      <c r="F996" s="45" t="str">
        <f>IF($D996="","",IFERROR(INDEX(CARDS!$C$5:$C$34,MATCH($D996,CARDS!$A$5:$A$34,0)),"⚠ Card ID?"))</f>
        <v/>
      </c>
      <c r="G996" s="37" t="n"/>
      <c r="H996" s="37" t="n"/>
      <c r="I996" s="41" t="n"/>
      <c r="J996" s="45" t="str">
        <f>IF($I996="","",IFERROR(INDEX(MCC_MASTER!$B$5:$B$504,MATCH($I996,MCC_MASTER!$A$5:$A$504,0)),"⚠ MCC chưa có"))</f>
        <v/>
      </c>
      <c r="K996" s="45" t="str">
        <f>IF($I996="","",IFERROR(IF(INDEX(MCC_MASTER!$C$5:$C$504,MATCH($I996,MCC_MASTER!$A$5:$A$504,0))="","Chưa phân loại",INDEX(MCC_MASTER!$C$5:$C$504,MATCH($I996,MCC_MASTER!$A$5:$A$504,0))),"Chưa phân loại"))</f>
        <v/>
      </c>
      <c r="L996" s="40" t="n"/>
      <c r="M996" s="48" t="str">
        <f>IF(OR($B996="",$D996=""),"",IF($AC996=0,0,IF(ISNUMBER(INDEX(CASHBACK_RULES!$L$5:$L$304,$AC996)),MAX(0,MIN($L996,INDEX(CASHBACK_RULES!$L$5:$L$304,$AC996)-$AH996)),MAX(0,$L996))))</f>
        <v/>
      </c>
      <c r="N996" s="49" t="str">
        <f>IF(OR($B996="",$D996=""),"",IF($AC996&gt;0,INDEX(CASHBACK_RULES!$I$5:$I$304,$AC996),0))</f>
        <v/>
      </c>
      <c r="O996" s="48" t="str">
        <f>IF(OR($B996="",$D996=""),"",ROUND($M996*$N996,0))</f>
        <v/>
      </c>
      <c r="P996" s="48" t="str">
        <f>IF($AC996&gt;0,IF(ISNUMBER(INDEX(CASHBACK_RULES!$J$5:$J$304,$AC996)),INDEX(CASHBACK_RULES!$J$5:$J$304,$AC996),"∞"),"")</f>
        <v/>
      </c>
      <c r="Q996" s="48" t="str">
        <f>IF(OR($B996="",$D996=""),"",IF($AC996=0,0,MAX(0,MIN($O996,IF(ISNUMBER($P996),$P996-$AF996,1E+15),IF(ISNUMBER($AA996),$AA996-$AG996,1E+15)))))</f>
        <v/>
      </c>
      <c r="R996" s="48" t="str">
        <f>IF(OR($B996="",$D996=""),"",IF($AC996=0,"",IF(AND(NOT(ISNUMBER($P996)),NOT(ISNUMBER($AA996))),"∞",MAX(0,MIN(IF(ISNUMBER($P996),$P996-$AF996-$Q996,1E+15),IF(ISNUMBER($AA996),$AA996-$AG996-$Q996,1E+15))))))</f>
        <v/>
      </c>
      <c r="S996" s="47" t="str">
        <f>IF($AD996="","",YEAR($AD996)*100+MONTH($AD996))</f>
        <v/>
      </c>
      <c r="T996" s="50" t="str">
        <f>IF($AD996="","",IFERROR(IF(INDEX(CARDS!$I$5:$I$34,MATCH($D996,CARDS!$A$5:$A$34,0))="","",IF(INDEX(CARDS!$I$5:$I$34,MATCH($D996,CARDS!$A$5:$A$34,0))&gt;INDEX(CARDS!$H$5:$H$34,MATCH($D996,CARDS!$A$5:$A$34,0)),DATE(YEAR($AD996),MONTH($AD996),MIN(INDEX(CARDS!$I$5:$I$34,MATCH($D996,CARDS!$A$5:$A$34,0)),DAY(EOMONTH($AD996,0)))),DATE(YEAR($AD996),MONTH($AD996)+1,MIN(INDEX(CARDS!$I$5:$I$34,MATCH($D996,CARDS!$A$5:$A$34,0)),DAY(EOMONTH($AD996,1)))))),""))</f>
        <v/>
      </c>
      <c r="U996" s="38" t="n"/>
      <c r="V996" s="37" t="n"/>
      <c r="W996" s="38" t="n"/>
      <c r="X996" s="38" t="n"/>
      <c r="Y996" s="44" t="str">
        <f>IF($AC996&gt;0,INDEX(CASHBACK_RULES!$A$5:$A$304,$AC996),"")</f>
        <v/>
      </c>
      <c r="Z996" s="45" t="str">
        <f>IF($AC996&gt;0,INDEX(CASHBACK_RULES!$E$5:$E$304,$AC996)&amp;"","")</f>
        <v/>
      </c>
      <c r="AA996" s="48" t="str">
        <f>IF($AC996&gt;0,IF(ISNUMBER(INDEX(CASHBACK_RULES!$K$5:$K$304,$AC996)),INDEX(CASHBACK_RULES!$K$5:$K$304,$AC996),"∞"),"")</f>
        <v/>
      </c>
      <c r="AB996" s="44" t="str">
        <f>IF(OR($B996="",$D996=""),"",IF($U996="Cancelled","Đã hủy",IF($AC996=0,"Không được hoàn",IF($Q996=0,IF(OR($O996&gt;0,$M996&lt;$L996),"Đã đạt cap","Không được hoàn"),IF(OR($Q996&lt;$O996,$M996&lt;$L996),"Hoàn một phần","Được hoàn")))))</f>
        <v/>
      </c>
      <c r="AC996" s="43">
        <f>IF(OR($B996="",$D996="",$I996="",$L996=""),0,IF($U996="Cancelled",0,IF($W996&lt;&gt;"",IFERROR(IF(INDEX(CASHBACK_RULES!$B$5:$B$304,MATCH($W996,CASHBACK_RULES!$A$5:$A$304,0))=$D996,MATCH($W996,CASHBACK_RULES!$A$5:$A$304,0),0),0),IFERROR(MATCH(1,INDEX((CASHBACK_RULES!$B$5:$B$304=$D996)*(CASHBACK_RULES!$G$5:$G$304=$I996)*(((CASHBACK_RULES!$N$5:$N$304="")+(CASHBACK_RULES!$N$5:$N$304&lt;=$B996))&gt;0)*(((CASHBACK_RULES!$O$5:$O$304="")+(CASHBACK_RULES!$O$5:$O$304&gt;=$B996))&gt;0)*(((CASHBACK_RULES!$M$5:$M$304="")+(CASHBACK_RULES!$M$5:$M$304&lt;=$L996))&gt;0),0),0),0))))</f>
        <v>0</v>
      </c>
      <c r="AD996" s="51" t="str">
        <f>IF(OR($B996="",$D996=""),"",IFERROR(IF(INDEX(CARDS!$H$5:$H$34,MATCH($D996,CARDS!$A$5:$A$34,0))="","",IF(DAY($B996)&lt;=INDEX(CARDS!$H$5:$H$34,MATCH($D996,CARDS!$A$5:$A$34,0)),DATE(YEAR($B996),MONTH($B996),MIN(INDEX(CARDS!$H$5:$H$34,MATCH($D996,CARDS!$A$5:$A$34,0)),DAY(EOMONTH($B996,0)))),DATE(YEAR($B996),MONTH($B996)+1,MIN(INDEX(CARDS!$H$5:$H$34,MATCH($D996,CARDS!$A$5:$A$34,0)),DAY(EOMONTH($B996,1)))))),""))</f>
        <v/>
      </c>
      <c r="AE996" s="52" t="str">
        <f>IF($C996="","",$C996&amp;"|"&amp;COUNTIF($C$5:$C996,$C996))</f>
        <v/>
      </c>
      <c r="AF996" s="53">
        <f>IF($AC996&gt;0,SUMIFS(Q$4:Q995,$D$4:$D995,$D996,$Z$4:$Z995,$Z996,$C$4:$C995,$C996),0)</f>
        <v>0</v>
      </c>
      <c r="AG996" s="53">
        <f>IF($AC996&gt;0,SUMIFS(Q$4:Q995,$D$4:$D995,$D996,$C$4:$C995,$C996),0)</f>
        <v>0</v>
      </c>
      <c r="AH996" s="53">
        <f>IF($AC996&gt;0,SUMIFS(M$4:M995,$D$4:$D995,$D996,$Z$4:$Z995,$Z996,$C$4:$C995,$C996),0)</f>
        <v>0</v>
      </c>
      <c r="AI996" s="43">
        <f>IF(OR($C996="",$I996=""),0,IF(COUNTIFS($C$5:$C996,$C996,$I$5:$I996,$I996)=1,1,0))</f>
        <v>0</v>
      </c>
      <c r="AJ996" s="43" t="str">
        <f>IF($AI996=1,SUMIFS($AI$4:$AI995,$C$4:$C995,$C996)+1,"")</f>
        <v/>
      </c>
      <c r="AK996" s="43">
        <f>IF(OR($C996="",$K996=""),0,IF(COUNTIFS($C$5:$C996,$C996,$K$5:$K996,$K996)=1,1,0))</f>
        <v>0</v>
      </c>
      <c r="AL996" s="43" t="str">
        <f>IF($AK996=1,SUMIFS($AK$4:$AK995,$C$4:$C995,$C996)+1,"")</f>
        <v/>
      </c>
      <c r="AM996" s="43">
        <f>IF(OR($C996="",$G996=""),0,IF(COUNTIFS($C$5:$C996,$C996,$G$5:$G996,$G996)=1,1,0))</f>
        <v>0</v>
      </c>
      <c r="AN996" s="43" t="str">
        <f>IF($AM996=1,SUMIFS($AM$4:$AM995,$C$4:$C995,$C996)+1,"")</f>
        <v/>
      </c>
    </row>
    <row r="997">
      <c r="A997" s="44" t="str">
        <f>IF(OR($B997="",$D997=""),"","TX"&amp;TEXT(ROW()-4,"0000"))</f>
        <v/>
      </c>
      <c r="B997" s="42" t="n"/>
      <c r="C997" s="47" t="str">
        <f>IF($B997="","",YEAR($B997)*100+MONTH($B997))</f>
        <v/>
      </c>
      <c r="D997" s="37" t="n"/>
      <c r="E997" s="45" t="str">
        <f>IF($D997="","",IFERROR(INDEX(CARDS!$B$5:$B$34,MATCH($D997,CARDS!$A$5:$A$34,0)),"⚠ Card ID?"))</f>
        <v/>
      </c>
      <c r="F997" s="45" t="str">
        <f>IF($D997="","",IFERROR(INDEX(CARDS!$C$5:$C$34,MATCH($D997,CARDS!$A$5:$A$34,0)),"⚠ Card ID?"))</f>
        <v/>
      </c>
      <c r="G997" s="37" t="n"/>
      <c r="H997" s="37" t="n"/>
      <c r="I997" s="41" t="n"/>
      <c r="J997" s="45" t="str">
        <f>IF($I997="","",IFERROR(INDEX(MCC_MASTER!$B$5:$B$504,MATCH($I997,MCC_MASTER!$A$5:$A$504,0)),"⚠ MCC chưa có"))</f>
        <v/>
      </c>
      <c r="K997" s="45" t="str">
        <f>IF($I997="","",IFERROR(IF(INDEX(MCC_MASTER!$C$5:$C$504,MATCH($I997,MCC_MASTER!$A$5:$A$504,0))="","Chưa phân loại",INDEX(MCC_MASTER!$C$5:$C$504,MATCH($I997,MCC_MASTER!$A$5:$A$504,0))),"Chưa phân loại"))</f>
        <v/>
      </c>
      <c r="L997" s="40" t="n"/>
      <c r="M997" s="48" t="str">
        <f>IF(OR($B997="",$D997=""),"",IF($AC997=0,0,IF(ISNUMBER(INDEX(CASHBACK_RULES!$L$5:$L$304,$AC997)),MAX(0,MIN($L997,INDEX(CASHBACK_RULES!$L$5:$L$304,$AC997)-$AH997)),MAX(0,$L997))))</f>
        <v/>
      </c>
      <c r="N997" s="49" t="str">
        <f>IF(OR($B997="",$D997=""),"",IF($AC997&gt;0,INDEX(CASHBACK_RULES!$I$5:$I$304,$AC997),0))</f>
        <v/>
      </c>
      <c r="O997" s="48" t="str">
        <f>IF(OR($B997="",$D997=""),"",ROUND($M997*$N997,0))</f>
        <v/>
      </c>
      <c r="P997" s="48" t="str">
        <f>IF($AC997&gt;0,IF(ISNUMBER(INDEX(CASHBACK_RULES!$J$5:$J$304,$AC997)),INDEX(CASHBACK_RULES!$J$5:$J$304,$AC997),"∞"),"")</f>
        <v/>
      </c>
      <c r="Q997" s="48" t="str">
        <f>IF(OR($B997="",$D997=""),"",IF($AC997=0,0,MAX(0,MIN($O997,IF(ISNUMBER($P997),$P997-$AF997,1E+15),IF(ISNUMBER($AA997),$AA997-$AG997,1E+15)))))</f>
        <v/>
      </c>
      <c r="R997" s="48" t="str">
        <f>IF(OR($B997="",$D997=""),"",IF($AC997=0,"",IF(AND(NOT(ISNUMBER($P997)),NOT(ISNUMBER($AA997))),"∞",MAX(0,MIN(IF(ISNUMBER($P997),$P997-$AF997-$Q997,1E+15),IF(ISNUMBER($AA997),$AA997-$AG997-$Q997,1E+15))))))</f>
        <v/>
      </c>
      <c r="S997" s="47" t="str">
        <f>IF($AD997="","",YEAR($AD997)*100+MONTH($AD997))</f>
        <v/>
      </c>
      <c r="T997" s="50" t="str">
        <f>IF($AD997="","",IFERROR(IF(INDEX(CARDS!$I$5:$I$34,MATCH($D997,CARDS!$A$5:$A$34,0))="","",IF(INDEX(CARDS!$I$5:$I$34,MATCH($D997,CARDS!$A$5:$A$34,0))&gt;INDEX(CARDS!$H$5:$H$34,MATCH($D997,CARDS!$A$5:$A$34,0)),DATE(YEAR($AD997),MONTH($AD997),MIN(INDEX(CARDS!$I$5:$I$34,MATCH($D997,CARDS!$A$5:$A$34,0)),DAY(EOMONTH($AD997,0)))),DATE(YEAR($AD997),MONTH($AD997)+1,MIN(INDEX(CARDS!$I$5:$I$34,MATCH($D997,CARDS!$A$5:$A$34,0)),DAY(EOMONTH($AD997,1)))))),""))</f>
        <v/>
      </c>
      <c r="U997" s="38" t="n"/>
      <c r="V997" s="37" t="n"/>
      <c r="W997" s="38" t="n"/>
      <c r="X997" s="38" t="n"/>
      <c r="Y997" s="44" t="str">
        <f>IF($AC997&gt;0,INDEX(CASHBACK_RULES!$A$5:$A$304,$AC997),"")</f>
        <v/>
      </c>
      <c r="Z997" s="45" t="str">
        <f>IF($AC997&gt;0,INDEX(CASHBACK_RULES!$E$5:$E$304,$AC997)&amp;"","")</f>
        <v/>
      </c>
      <c r="AA997" s="48" t="str">
        <f>IF($AC997&gt;0,IF(ISNUMBER(INDEX(CASHBACK_RULES!$K$5:$K$304,$AC997)),INDEX(CASHBACK_RULES!$K$5:$K$304,$AC997),"∞"),"")</f>
        <v/>
      </c>
      <c r="AB997" s="44" t="str">
        <f>IF(OR($B997="",$D997=""),"",IF($U997="Cancelled","Đã hủy",IF($AC997=0,"Không được hoàn",IF($Q997=0,IF(OR($O997&gt;0,$M997&lt;$L997),"Đã đạt cap","Không được hoàn"),IF(OR($Q997&lt;$O997,$M997&lt;$L997),"Hoàn một phần","Được hoàn")))))</f>
        <v/>
      </c>
      <c r="AC997" s="43">
        <f>IF(OR($B997="",$D997="",$I997="",$L997=""),0,IF($U997="Cancelled",0,IF($W997&lt;&gt;"",IFERROR(IF(INDEX(CASHBACK_RULES!$B$5:$B$304,MATCH($W997,CASHBACK_RULES!$A$5:$A$304,0))=$D997,MATCH($W997,CASHBACK_RULES!$A$5:$A$304,0),0),0),IFERROR(MATCH(1,INDEX((CASHBACK_RULES!$B$5:$B$304=$D997)*(CASHBACK_RULES!$G$5:$G$304=$I997)*(((CASHBACK_RULES!$N$5:$N$304="")+(CASHBACK_RULES!$N$5:$N$304&lt;=$B997))&gt;0)*(((CASHBACK_RULES!$O$5:$O$304="")+(CASHBACK_RULES!$O$5:$O$304&gt;=$B997))&gt;0)*(((CASHBACK_RULES!$M$5:$M$304="")+(CASHBACK_RULES!$M$5:$M$304&lt;=$L997))&gt;0),0),0),0))))</f>
        <v>0</v>
      </c>
      <c r="AD997" s="51" t="str">
        <f>IF(OR($B997="",$D997=""),"",IFERROR(IF(INDEX(CARDS!$H$5:$H$34,MATCH($D997,CARDS!$A$5:$A$34,0))="","",IF(DAY($B997)&lt;=INDEX(CARDS!$H$5:$H$34,MATCH($D997,CARDS!$A$5:$A$34,0)),DATE(YEAR($B997),MONTH($B997),MIN(INDEX(CARDS!$H$5:$H$34,MATCH($D997,CARDS!$A$5:$A$34,0)),DAY(EOMONTH($B997,0)))),DATE(YEAR($B997),MONTH($B997)+1,MIN(INDEX(CARDS!$H$5:$H$34,MATCH($D997,CARDS!$A$5:$A$34,0)),DAY(EOMONTH($B997,1)))))),""))</f>
        <v/>
      </c>
      <c r="AE997" s="52" t="str">
        <f>IF($C997="","",$C997&amp;"|"&amp;COUNTIF($C$5:$C997,$C997))</f>
        <v/>
      </c>
      <c r="AF997" s="53">
        <f>IF($AC997&gt;0,SUMIFS(Q$4:Q996,$D$4:$D996,$D997,$Z$4:$Z996,$Z997,$C$4:$C996,$C997),0)</f>
        <v>0</v>
      </c>
      <c r="AG997" s="53">
        <f>IF($AC997&gt;0,SUMIFS(Q$4:Q996,$D$4:$D996,$D997,$C$4:$C996,$C997),0)</f>
        <v>0</v>
      </c>
      <c r="AH997" s="53">
        <f>IF($AC997&gt;0,SUMIFS(M$4:M996,$D$4:$D996,$D997,$Z$4:$Z996,$Z997,$C$4:$C996,$C997),0)</f>
        <v>0</v>
      </c>
      <c r="AI997" s="43">
        <f>IF(OR($C997="",$I997=""),0,IF(COUNTIFS($C$5:$C997,$C997,$I$5:$I997,$I997)=1,1,0))</f>
        <v>0</v>
      </c>
      <c r="AJ997" s="43" t="str">
        <f>IF($AI997=1,SUMIFS($AI$4:$AI996,$C$4:$C996,$C997)+1,"")</f>
        <v/>
      </c>
      <c r="AK997" s="43">
        <f>IF(OR($C997="",$K997=""),0,IF(COUNTIFS($C$5:$C997,$C997,$K$5:$K997,$K997)=1,1,0))</f>
        <v>0</v>
      </c>
      <c r="AL997" s="43" t="str">
        <f>IF($AK997=1,SUMIFS($AK$4:$AK996,$C$4:$C996,$C997)+1,"")</f>
        <v/>
      </c>
      <c r="AM997" s="43">
        <f>IF(OR($C997="",$G997=""),0,IF(COUNTIFS($C$5:$C997,$C997,$G$5:$G997,$G997)=1,1,0))</f>
        <v>0</v>
      </c>
      <c r="AN997" s="43" t="str">
        <f>IF($AM997=1,SUMIFS($AM$4:$AM996,$C$4:$C996,$C997)+1,"")</f>
        <v/>
      </c>
    </row>
    <row r="998">
      <c r="A998" s="44" t="str">
        <f>IF(OR($B998="",$D998=""),"","TX"&amp;TEXT(ROW()-4,"0000"))</f>
        <v/>
      </c>
      <c r="B998" s="42" t="n"/>
      <c r="C998" s="47" t="str">
        <f>IF($B998="","",YEAR($B998)*100+MONTH($B998))</f>
        <v/>
      </c>
      <c r="D998" s="37" t="n"/>
      <c r="E998" s="45" t="str">
        <f>IF($D998="","",IFERROR(INDEX(CARDS!$B$5:$B$34,MATCH($D998,CARDS!$A$5:$A$34,0)),"⚠ Card ID?"))</f>
        <v/>
      </c>
      <c r="F998" s="45" t="str">
        <f>IF($D998="","",IFERROR(INDEX(CARDS!$C$5:$C$34,MATCH($D998,CARDS!$A$5:$A$34,0)),"⚠ Card ID?"))</f>
        <v/>
      </c>
      <c r="G998" s="37" t="n"/>
      <c r="H998" s="37" t="n"/>
      <c r="I998" s="41" t="n"/>
      <c r="J998" s="45" t="str">
        <f>IF($I998="","",IFERROR(INDEX(MCC_MASTER!$B$5:$B$504,MATCH($I998,MCC_MASTER!$A$5:$A$504,0)),"⚠ MCC chưa có"))</f>
        <v/>
      </c>
      <c r="K998" s="45" t="str">
        <f>IF($I998="","",IFERROR(IF(INDEX(MCC_MASTER!$C$5:$C$504,MATCH($I998,MCC_MASTER!$A$5:$A$504,0))="","Chưa phân loại",INDEX(MCC_MASTER!$C$5:$C$504,MATCH($I998,MCC_MASTER!$A$5:$A$504,0))),"Chưa phân loại"))</f>
        <v/>
      </c>
      <c r="L998" s="40" t="n"/>
      <c r="M998" s="48" t="str">
        <f>IF(OR($B998="",$D998=""),"",IF($AC998=0,0,IF(ISNUMBER(INDEX(CASHBACK_RULES!$L$5:$L$304,$AC998)),MAX(0,MIN($L998,INDEX(CASHBACK_RULES!$L$5:$L$304,$AC998)-$AH998)),MAX(0,$L998))))</f>
        <v/>
      </c>
      <c r="N998" s="49" t="str">
        <f>IF(OR($B998="",$D998=""),"",IF($AC998&gt;0,INDEX(CASHBACK_RULES!$I$5:$I$304,$AC998),0))</f>
        <v/>
      </c>
      <c r="O998" s="48" t="str">
        <f>IF(OR($B998="",$D998=""),"",ROUND($M998*$N998,0))</f>
        <v/>
      </c>
      <c r="P998" s="48" t="str">
        <f>IF($AC998&gt;0,IF(ISNUMBER(INDEX(CASHBACK_RULES!$J$5:$J$304,$AC998)),INDEX(CASHBACK_RULES!$J$5:$J$304,$AC998),"∞"),"")</f>
        <v/>
      </c>
      <c r="Q998" s="48" t="str">
        <f>IF(OR($B998="",$D998=""),"",IF($AC998=0,0,MAX(0,MIN($O998,IF(ISNUMBER($P998),$P998-$AF998,1E+15),IF(ISNUMBER($AA998),$AA998-$AG998,1E+15)))))</f>
        <v/>
      </c>
      <c r="R998" s="48" t="str">
        <f>IF(OR($B998="",$D998=""),"",IF($AC998=0,"",IF(AND(NOT(ISNUMBER($P998)),NOT(ISNUMBER($AA998))),"∞",MAX(0,MIN(IF(ISNUMBER($P998),$P998-$AF998-$Q998,1E+15),IF(ISNUMBER($AA998),$AA998-$AG998-$Q998,1E+15))))))</f>
        <v/>
      </c>
      <c r="S998" s="47" t="str">
        <f>IF($AD998="","",YEAR($AD998)*100+MONTH($AD998))</f>
        <v/>
      </c>
      <c r="T998" s="50" t="str">
        <f>IF($AD998="","",IFERROR(IF(INDEX(CARDS!$I$5:$I$34,MATCH($D998,CARDS!$A$5:$A$34,0))="","",IF(INDEX(CARDS!$I$5:$I$34,MATCH($D998,CARDS!$A$5:$A$34,0))&gt;INDEX(CARDS!$H$5:$H$34,MATCH($D998,CARDS!$A$5:$A$34,0)),DATE(YEAR($AD998),MONTH($AD998),MIN(INDEX(CARDS!$I$5:$I$34,MATCH($D998,CARDS!$A$5:$A$34,0)),DAY(EOMONTH($AD998,0)))),DATE(YEAR($AD998),MONTH($AD998)+1,MIN(INDEX(CARDS!$I$5:$I$34,MATCH($D998,CARDS!$A$5:$A$34,0)),DAY(EOMONTH($AD998,1)))))),""))</f>
        <v/>
      </c>
      <c r="U998" s="38" t="n"/>
      <c r="V998" s="37" t="n"/>
      <c r="W998" s="38" t="n"/>
      <c r="X998" s="38" t="n"/>
      <c r="Y998" s="44" t="str">
        <f>IF($AC998&gt;0,INDEX(CASHBACK_RULES!$A$5:$A$304,$AC998),"")</f>
        <v/>
      </c>
      <c r="Z998" s="45" t="str">
        <f>IF($AC998&gt;0,INDEX(CASHBACK_RULES!$E$5:$E$304,$AC998)&amp;"","")</f>
        <v/>
      </c>
      <c r="AA998" s="48" t="str">
        <f>IF($AC998&gt;0,IF(ISNUMBER(INDEX(CASHBACK_RULES!$K$5:$K$304,$AC998)),INDEX(CASHBACK_RULES!$K$5:$K$304,$AC998),"∞"),"")</f>
        <v/>
      </c>
      <c r="AB998" s="44" t="str">
        <f>IF(OR($B998="",$D998=""),"",IF($U998="Cancelled","Đã hủy",IF($AC998=0,"Không được hoàn",IF($Q998=0,IF(OR($O998&gt;0,$M998&lt;$L998),"Đã đạt cap","Không được hoàn"),IF(OR($Q998&lt;$O998,$M998&lt;$L998),"Hoàn một phần","Được hoàn")))))</f>
        <v/>
      </c>
      <c r="AC998" s="43">
        <f>IF(OR($B998="",$D998="",$I998="",$L998=""),0,IF($U998="Cancelled",0,IF($W998&lt;&gt;"",IFERROR(IF(INDEX(CASHBACK_RULES!$B$5:$B$304,MATCH($W998,CASHBACK_RULES!$A$5:$A$304,0))=$D998,MATCH($W998,CASHBACK_RULES!$A$5:$A$304,0),0),0),IFERROR(MATCH(1,INDEX((CASHBACK_RULES!$B$5:$B$304=$D998)*(CASHBACK_RULES!$G$5:$G$304=$I998)*(((CASHBACK_RULES!$N$5:$N$304="")+(CASHBACK_RULES!$N$5:$N$304&lt;=$B998))&gt;0)*(((CASHBACK_RULES!$O$5:$O$304="")+(CASHBACK_RULES!$O$5:$O$304&gt;=$B998))&gt;0)*(((CASHBACK_RULES!$M$5:$M$304="")+(CASHBACK_RULES!$M$5:$M$304&lt;=$L998))&gt;0),0),0),0))))</f>
        <v>0</v>
      </c>
      <c r="AD998" s="51" t="str">
        <f>IF(OR($B998="",$D998=""),"",IFERROR(IF(INDEX(CARDS!$H$5:$H$34,MATCH($D998,CARDS!$A$5:$A$34,0))="","",IF(DAY($B998)&lt;=INDEX(CARDS!$H$5:$H$34,MATCH($D998,CARDS!$A$5:$A$34,0)),DATE(YEAR($B998),MONTH($B998),MIN(INDEX(CARDS!$H$5:$H$34,MATCH($D998,CARDS!$A$5:$A$34,0)),DAY(EOMONTH($B998,0)))),DATE(YEAR($B998),MONTH($B998)+1,MIN(INDEX(CARDS!$H$5:$H$34,MATCH($D998,CARDS!$A$5:$A$34,0)),DAY(EOMONTH($B998,1)))))),""))</f>
        <v/>
      </c>
      <c r="AE998" s="52" t="str">
        <f>IF($C998="","",$C998&amp;"|"&amp;COUNTIF($C$5:$C998,$C998))</f>
        <v/>
      </c>
      <c r="AF998" s="53">
        <f>IF($AC998&gt;0,SUMIFS(Q$4:Q997,$D$4:$D997,$D998,$Z$4:$Z997,$Z998,$C$4:$C997,$C998),0)</f>
        <v>0</v>
      </c>
      <c r="AG998" s="53">
        <f>IF($AC998&gt;0,SUMIFS(Q$4:Q997,$D$4:$D997,$D998,$C$4:$C997,$C998),0)</f>
        <v>0</v>
      </c>
      <c r="AH998" s="53">
        <f>IF($AC998&gt;0,SUMIFS(M$4:M997,$D$4:$D997,$D998,$Z$4:$Z997,$Z998,$C$4:$C997,$C998),0)</f>
        <v>0</v>
      </c>
      <c r="AI998" s="43">
        <f>IF(OR($C998="",$I998=""),0,IF(COUNTIFS($C$5:$C998,$C998,$I$5:$I998,$I998)=1,1,0))</f>
        <v>0</v>
      </c>
      <c r="AJ998" s="43" t="str">
        <f>IF($AI998=1,SUMIFS($AI$4:$AI997,$C$4:$C997,$C998)+1,"")</f>
        <v/>
      </c>
      <c r="AK998" s="43">
        <f>IF(OR($C998="",$K998=""),0,IF(COUNTIFS($C$5:$C998,$C998,$K$5:$K998,$K998)=1,1,0))</f>
        <v>0</v>
      </c>
      <c r="AL998" s="43" t="str">
        <f>IF($AK998=1,SUMIFS($AK$4:$AK997,$C$4:$C997,$C998)+1,"")</f>
        <v/>
      </c>
      <c r="AM998" s="43">
        <f>IF(OR($C998="",$G998=""),0,IF(COUNTIFS($C$5:$C998,$C998,$G$5:$G998,$G998)=1,1,0))</f>
        <v>0</v>
      </c>
      <c r="AN998" s="43" t="str">
        <f>IF($AM998=1,SUMIFS($AM$4:$AM997,$C$4:$C997,$C998)+1,"")</f>
        <v/>
      </c>
    </row>
    <row r="999">
      <c r="A999" s="44" t="str">
        <f>IF(OR($B999="",$D999=""),"","TX"&amp;TEXT(ROW()-4,"0000"))</f>
        <v/>
      </c>
      <c r="B999" s="42" t="n"/>
      <c r="C999" s="47" t="str">
        <f>IF($B999="","",YEAR($B999)*100+MONTH($B999))</f>
        <v/>
      </c>
      <c r="D999" s="37" t="n"/>
      <c r="E999" s="45" t="str">
        <f>IF($D999="","",IFERROR(INDEX(CARDS!$B$5:$B$34,MATCH($D999,CARDS!$A$5:$A$34,0)),"⚠ Card ID?"))</f>
        <v/>
      </c>
      <c r="F999" s="45" t="str">
        <f>IF($D999="","",IFERROR(INDEX(CARDS!$C$5:$C$34,MATCH($D999,CARDS!$A$5:$A$34,0)),"⚠ Card ID?"))</f>
        <v/>
      </c>
      <c r="G999" s="37" t="n"/>
      <c r="H999" s="37" t="n"/>
      <c r="I999" s="41" t="n"/>
      <c r="J999" s="45" t="str">
        <f>IF($I999="","",IFERROR(INDEX(MCC_MASTER!$B$5:$B$504,MATCH($I999,MCC_MASTER!$A$5:$A$504,0)),"⚠ MCC chưa có"))</f>
        <v/>
      </c>
      <c r="K999" s="45" t="str">
        <f>IF($I999="","",IFERROR(IF(INDEX(MCC_MASTER!$C$5:$C$504,MATCH($I999,MCC_MASTER!$A$5:$A$504,0))="","Chưa phân loại",INDEX(MCC_MASTER!$C$5:$C$504,MATCH($I999,MCC_MASTER!$A$5:$A$504,0))),"Chưa phân loại"))</f>
        <v/>
      </c>
      <c r="L999" s="40" t="n"/>
      <c r="M999" s="48" t="str">
        <f>IF(OR($B999="",$D999=""),"",IF($AC999=0,0,IF(ISNUMBER(INDEX(CASHBACK_RULES!$L$5:$L$304,$AC999)),MAX(0,MIN($L999,INDEX(CASHBACK_RULES!$L$5:$L$304,$AC999)-$AH999)),MAX(0,$L999))))</f>
        <v/>
      </c>
      <c r="N999" s="49" t="str">
        <f>IF(OR($B999="",$D999=""),"",IF($AC999&gt;0,INDEX(CASHBACK_RULES!$I$5:$I$304,$AC999),0))</f>
        <v/>
      </c>
      <c r="O999" s="48" t="str">
        <f>IF(OR($B999="",$D999=""),"",ROUND($M999*$N999,0))</f>
        <v/>
      </c>
      <c r="P999" s="48" t="str">
        <f>IF($AC999&gt;0,IF(ISNUMBER(INDEX(CASHBACK_RULES!$J$5:$J$304,$AC999)),INDEX(CASHBACK_RULES!$J$5:$J$304,$AC999),"∞"),"")</f>
        <v/>
      </c>
      <c r="Q999" s="48" t="str">
        <f>IF(OR($B999="",$D999=""),"",IF($AC999=0,0,MAX(0,MIN($O999,IF(ISNUMBER($P999),$P999-$AF999,1E+15),IF(ISNUMBER($AA999),$AA999-$AG999,1E+15)))))</f>
        <v/>
      </c>
      <c r="R999" s="48" t="str">
        <f>IF(OR($B999="",$D999=""),"",IF($AC999=0,"",IF(AND(NOT(ISNUMBER($P999)),NOT(ISNUMBER($AA999))),"∞",MAX(0,MIN(IF(ISNUMBER($P999),$P999-$AF999-$Q999,1E+15),IF(ISNUMBER($AA999),$AA999-$AG999-$Q999,1E+15))))))</f>
        <v/>
      </c>
      <c r="S999" s="47" t="str">
        <f>IF($AD999="","",YEAR($AD999)*100+MONTH($AD999))</f>
        <v/>
      </c>
      <c r="T999" s="50" t="str">
        <f>IF($AD999="","",IFERROR(IF(INDEX(CARDS!$I$5:$I$34,MATCH($D999,CARDS!$A$5:$A$34,0))="","",IF(INDEX(CARDS!$I$5:$I$34,MATCH($D999,CARDS!$A$5:$A$34,0))&gt;INDEX(CARDS!$H$5:$H$34,MATCH($D999,CARDS!$A$5:$A$34,0)),DATE(YEAR($AD999),MONTH($AD999),MIN(INDEX(CARDS!$I$5:$I$34,MATCH($D999,CARDS!$A$5:$A$34,0)),DAY(EOMONTH($AD999,0)))),DATE(YEAR($AD999),MONTH($AD999)+1,MIN(INDEX(CARDS!$I$5:$I$34,MATCH($D999,CARDS!$A$5:$A$34,0)),DAY(EOMONTH($AD999,1)))))),""))</f>
        <v/>
      </c>
      <c r="U999" s="38" t="n"/>
      <c r="V999" s="37" t="n"/>
      <c r="W999" s="38" t="n"/>
      <c r="X999" s="38" t="n"/>
      <c r="Y999" s="44" t="str">
        <f>IF($AC999&gt;0,INDEX(CASHBACK_RULES!$A$5:$A$304,$AC999),"")</f>
        <v/>
      </c>
      <c r="Z999" s="45" t="str">
        <f>IF($AC999&gt;0,INDEX(CASHBACK_RULES!$E$5:$E$304,$AC999)&amp;"","")</f>
        <v/>
      </c>
      <c r="AA999" s="48" t="str">
        <f>IF($AC999&gt;0,IF(ISNUMBER(INDEX(CASHBACK_RULES!$K$5:$K$304,$AC999)),INDEX(CASHBACK_RULES!$K$5:$K$304,$AC999),"∞"),"")</f>
        <v/>
      </c>
      <c r="AB999" s="44" t="str">
        <f>IF(OR($B999="",$D999=""),"",IF($U999="Cancelled","Đã hủy",IF($AC999=0,"Không được hoàn",IF($Q999=0,IF(OR($O999&gt;0,$M999&lt;$L999),"Đã đạt cap","Không được hoàn"),IF(OR($Q999&lt;$O999,$M999&lt;$L999),"Hoàn một phần","Được hoàn")))))</f>
        <v/>
      </c>
      <c r="AC999" s="43">
        <f>IF(OR($B999="",$D999="",$I999="",$L999=""),0,IF($U999="Cancelled",0,IF($W999&lt;&gt;"",IFERROR(IF(INDEX(CASHBACK_RULES!$B$5:$B$304,MATCH($W999,CASHBACK_RULES!$A$5:$A$304,0))=$D999,MATCH($W999,CASHBACK_RULES!$A$5:$A$304,0),0),0),IFERROR(MATCH(1,INDEX((CASHBACK_RULES!$B$5:$B$304=$D999)*(CASHBACK_RULES!$G$5:$G$304=$I999)*(((CASHBACK_RULES!$N$5:$N$304="")+(CASHBACK_RULES!$N$5:$N$304&lt;=$B999))&gt;0)*(((CASHBACK_RULES!$O$5:$O$304="")+(CASHBACK_RULES!$O$5:$O$304&gt;=$B999))&gt;0)*(((CASHBACK_RULES!$M$5:$M$304="")+(CASHBACK_RULES!$M$5:$M$304&lt;=$L999))&gt;0),0),0),0))))</f>
        <v>0</v>
      </c>
      <c r="AD999" s="51" t="str">
        <f>IF(OR($B999="",$D999=""),"",IFERROR(IF(INDEX(CARDS!$H$5:$H$34,MATCH($D999,CARDS!$A$5:$A$34,0))="","",IF(DAY($B999)&lt;=INDEX(CARDS!$H$5:$H$34,MATCH($D999,CARDS!$A$5:$A$34,0)),DATE(YEAR($B999),MONTH($B999),MIN(INDEX(CARDS!$H$5:$H$34,MATCH($D999,CARDS!$A$5:$A$34,0)),DAY(EOMONTH($B999,0)))),DATE(YEAR($B999),MONTH($B999)+1,MIN(INDEX(CARDS!$H$5:$H$34,MATCH($D999,CARDS!$A$5:$A$34,0)),DAY(EOMONTH($B999,1)))))),""))</f>
        <v/>
      </c>
      <c r="AE999" s="52" t="str">
        <f>IF($C999="","",$C999&amp;"|"&amp;COUNTIF($C$5:$C999,$C999))</f>
        <v/>
      </c>
      <c r="AF999" s="53">
        <f>IF($AC999&gt;0,SUMIFS(Q$4:Q998,$D$4:$D998,$D999,$Z$4:$Z998,$Z999,$C$4:$C998,$C999),0)</f>
        <v>0</v>
      </c>
      <c r="AG999" s="53">
        <f>IF($AC999&gt;0,SUMIFS(Q$4:Q998,$D$4:$D998,$D999,$C$4:$C998,$C999),0)</f>
        <v>0</v>
      </c>
      <c r="AH999" s="53">
        <f>IF($AC999&gt;0,SUMIFS(M$4:M998,$D$4:$D998,$D999,$Z$4:$Z998,$Z999,$C$4:$C998,$C999),0)</f>
        <v>0</v>
      </c>
      <c r="AI999" s="43">
        <f>IF(OR($C999="",$I999=""),0,IF(COUNTIFS($C$5:$C999,$C999,$I$5:$I999,$I999)=1,1,0))</f>
        <v>0</v>
      </c>
      <c r="AJ999" s="43" t="str">
        <f>IF($AI999=1,SUMIFS($AI$4:$AI998,$C$4:$C998,$C999)+1,"")</f>
        <v/>
      </c>
      <c r="AK999" s="43">
        <f>IF(OR($C999="",$K999=""),0,IF(COUNTIFS($C$5:$C999,$C999,$K$5:$K999,$K999)=1,1,0))</f>
        <v>0</v>
      </c>
      <c r="AL999" s="43" t="str">
        <f>IF($AK999=1,SUMIFS($AK$4:$AK998,$C$4:$C998,$C999)+1,"")</f>
        <v/>
      </c>
      <c r="AM999" s="43">
        <f>IF(OR($C999="",$G999=""),0,IF(COUNTIFS($C$5:$C999,$C999,$G$5:$G999,$G999)=1,1,0))</f>
        <v>0</v>
      </c>
      <c r="AN999" s="43" t="str">
        <f>IF($AM999=1,SUMIFS($AM$4:$AM998,$C$4:$C998,$C999)+1,"")</f>
        <v/>
      </c>
    </row>
    <row r="1000">
      <c r="A1000" s="44" t="str">
        <f>IF(OR($B1000="",$D1000=""),"","TX"&amp;TEXT(ROW()-4,"0000"))</f>
        <v/>
      </c>
      <c r="B1000" s="42" t="n"/>
      <c r="C1000" s="47" t="str">
        <f>IF($B1000="","",YEAR($B1000)*100+MONTH($B1000))</f>
        <v/>
      </c>
      <c r="D1000" s="37" t="n"/>
      <c r="E1000" s="45" t="str">
        <f>IF($D1000="","",IFERROR(INDEX(CARDS!$B$5:$B$34,MATCH($D1000,CARDS!$A$5:$A$34,0)),"⚠ Card ID?"))</f>
        <v/>
      </c>
      <c r="F1000" s="45" t="str">
        <f>IF($D1000="","",IFERROR(INDEX(CARDS!$C$5:$C$34,MATCH($D1000,CARDS!$A$5:$A$34,0)),"⚠ Card ID?"))</f>
        <v/>
      </c>
      <c r="G1000" s="37" t="n"/>
      <c r="H1000" s="37" t="n"/>
      <c r="I1000" s="41" t="n"/>
      <c r="J1000" s="45" t="str">
        <f>IF($I1000="","",IFERROR(INDEX(MCC_MASTER!$B$5:$B$504,MATCH($I1000,MCC_MASTER!$A$5:$A$504,0)),"⚠ MCC chưa có"))</f>
        <v/>
      </c>
      <c r="K1000" s="45" t="str">
        <f>IF($I1000="","",IFERROR(IF(INDEX(MCC_MASTER!$C$5:$C$504,MATCH($I1000,MCC_MASTER!$A$5:$A$504,0))="","Chưa phân loại",INDEX(MCC_MASTER!$C$5:$C$504,MATCH($I1000,MCC_MASTER!$A$5:$A$504,0))),"Chưa phân loại"))</f>
        <v/>
      </c>
      <c r="L1000" s="40" t="n"/>
      <c r="M1000" s="48" t="str">
        <f>IF(OR($B1000="",$D1000=""),"",IF($AC1000=0,0,IF(ISNUMBER(INDEX(CASHBACK_RULES!$L$5:$L$304,$AC1000)),MAX(0,MIN($L1000,INDEX(CASHBACK_RULES!$L$5:$L$304,$AC1000)-$AH1000)),MAX(0,$L1000))))</f>
        <v/>
      </c>
      <c r="N1000" s="49" t="str">
        <f>IF(OR($B1000="",$D1000=""),"",IF($AC1000&gt;0,INDEX(CASHBACK_RULES!$I$5:$I$304,$AC1000),0))</f>
        <v/>
      </c>
      <c r="O1000" s="48" t="str">
        <f>IF(OR($B1000="",$D1000=""),"",ROUND($M1000*$N1000,0))</f>
        <v/>
      </c>
      <c r="P1000" s="48" t="str">
        <f>IF($AC1000&gt;0,IF(ISNUMBER(INDEX(CASHBACK_RULES!$J$5:$J$304,$AC1000)),INDEX(CASHBACK_RULES!$J$5:$J$304,$AC1000),"∞"),"")</f>
        <v/>
      </c>
      <c r="Q1000" s="48" t="str">
        <f>IF(OR($B1000="",$D1000=""),"",IF($AC1000=0,0,MAX(0,MIN($O1000,IF(ISNUMBER($P1000),$P1000-$AF1000,1E+15),IF(ISNUMBER($AA1000),$AA1000-$AG1000,1E+15)))))</f>
        <v/>
      </c>
      <c r="R1000" s="48" t="str">
        <f>IF(OR($B1000="",$D1000=""),"",IF($AC1000=0,"",IF(AND(NOT(ISNUMBER($P1000)),NOT(ISNUMBER($AA1000))),"∞",MAX(0,MIN(IF(ISNUMBER($P1000),$P1000-$AF1000-$Q1000,1E+15),IF(ISNUMBER($AA1000),$AA1000-$AG1000-$Q1000,1E+15))))))</f>
        <v/>
      </c>
      <c r="S1000" s="47" t="str">
        <f>IF($AD1000="","",YEAR($AD1000)*100+MONTH($AD1000))</f>
        <v/>
      </c>
      <c r="T1000" s="50" t="str">
        <f>IF($AD1000="","",IFERROR(IF(INDEX(CARDS!$I$5:$I$34,MATCH($D1000,CARDS!$A$5:$A$34,0))="","",IF(INDEX(CARDS!$I$5:$I$34,MATCH($D1000,CARDS!$A$5:$A$34,0))&gt;INDEX(CARDS!$H$5:$H$34,MATCH($D1000,CARDS!$A$5:$A$34,0)),DATE(YEAR($AD1000),MONTH($AD1000),MIN(INDEX(CARDS!$I$5:$I$34,MATCH($D1000,CARDS!$A$5:$A$34,0)),DAY(EOMONTH($AD1000,0)))),DATE(YEAR($AD1000),MONTH($AD1000)+1,MIN(INDEX(CARDS!$I$5:$I$34,MATCH($D1000,CARDS!$A$5:$A$34,0)),DAY(EOMONTH($AD1000,1)))))),""))</f>
        <v/>
      </c>
      <c r="U1000" s="38" t="n"/>
      <c r="V1000" s="37" t="n"/>
      <c r="W1000" s="38" t="n"/>
      <c r="X1000" s="38" t="n"/>
      <c r="Y1000" s="44" t="str">
        <f>IF($AC1000&gt;0,INDEX(CASHBACK_RULES!$A$5:$A$304,$AC1000),"")</f>
        <v/>
      </c>
      <c r="Z1000" s="45" t="str">
        <f>IF($AC1000&gt;0,INDEX(CASHBACK_RULES!$E$5:$E$304,$AC1000)&amp;"","")</f>
        <v/>
      </c>
      <c r="AA1000" s="48" t="str">
        <f>IF($AC1000&gt;0,IF(ISNUMBER(INDEX(CASHBACK_RULES!$K$5:$K$304,$AC1000)),INDEX(CASHBACK_RULES!$K$5:$K$304,$AC1000),"∞"),"")</f>
        <v/>
      </c>
      <c r="AB1000" s="44" t="str">
        <f>IF(OR($B1000="",$D1000=""),"",IF($U1000="Cancelled","Đã hủy",IF($AC1000=0,"Không được hoàn",IF($Q1000=0,IF(OR($O1000&gt;0,$M1000&lt;$L1000),"Đã đạt cap","Không được hoàn"),IF(OR($Q1000&lt;$O1000,$M1000&lt;$L1000),"Hoàn một phần","Được hoàn")))))</f>
        <v/>
      </c>
      <c r="AC1000" s="43">
        <f>IF(OR($B1000="",$D1000="",$I1000="",$L1000=""),0,IF($U1000="Cancelled",0,IF($W1000&lt;&gt;"",IFERROR(IF(INDEX(CASHBACK_RULES!$B$5:$B$304,MATCH($W1000,CASHBACK_RULES!$A$5:$A$304,0))=$D1000,MATCH($W1000,CASHBACK_RULES!$A$5:$A$304,0),0),0),IFERROR(MATCH(1,INDEX((CASHBACK_RULES!$B$5:$B$304=$D1000)*(CASHBACK_RULES!$G$5:$G$304=$I1000)*(((CASHBACK_RULES!$N$5:$N$304="")+(CASHBACK_RULES!$N$5:$N$304&lt;=$B1000))&gt;0)*(((CASHBACK_RULES!$O$5:$O$304="")+(CASHBACK_RULES!$O$5:$O$304&gt;=$B1000))&gt;0)*(((CASHBACK_RULES!$M$5:$M$304="")+(CASHBACK_RULES!$M$5:$M$304&lt;=$L1000))&gt;0),0),0),0))))</f>
        <v>0</v>
      </c>
      <c r="AD1000" s="51" t="str">
        <f>IF(OR($B1000="",$D1000=""),"",IFERROR(IF(INDEX(CARDS!$H$5:$H$34,MATCH($D1000,CARDS!$A$5:$A$34,0))="","",IF(DAY($B1000)&lt;=INDEX(CARDS!$H$5:$H$34,MATCH($D1000,CARDS!$A$5:$A$34,0)),DATE(YEAR($B1000),MONTH($B1000),MIN(INDEX(CARDS!$H$5:$H$34,MATCH($D1000,CARDS!$A$5:$A$34,0)),DAY(EOMONTH($B1000,0)))),DATE(YEAR($B1000),MONTH($B1000)+1,MIN(INDEX(CARDS!$H$5:$H$34,MATCH($D1000,CARDS!$A$5:$A$34,0)),DAY(EOMONTH($B1000,1)))))),""))</f>
        <v/>
      </c>
      <c r="AE1000" s="52" t="str">
        <f>IF($C1000="","",$C1000&amp;"|"&amp;COUNTIF($C$5:$C1000,$C1000))</f>
        <v/>
      </c>
      <c r="AF1000" s="53">
        <f>IF($AC1000&gt;0,SUMIFS(Q$4:Q999,$D$4:$D999,$D1000,$Z$4:$Z999,$Z1000,$C$4:$C999,$C1000),0)</f>
        <v>0</v>
      </c>
      <c r="AG1000" s="53">
        <f>IF($AC1000&gt;0,SUMIFS(Q$4:Q999,$D$4:$D999,$D1000,$C$4:$C999,$C1000),0)</f>
        <v>0</v>
      </c>
      <c r="AH1000" s="53">
        <f>IF($AC1000&gt;0,SUMIFS(M$4:M999,$D$4:$D999,$D1000,$Z$4:$Z999,$Z1000,$C$4:$C999,$C1000),0)</f>
        <v>0</v>
      </c>
      <c r="AI1000" s="43">
        <f>IF(OR($C1000="",$I1000=""),0,IF(COUNTIFS($C$5:$C1000,$C1000,$I$5:$I1000,$I1000)=1,1,0))</f>
        <v>0</v>
      </c>
      <c r="AJ1000" s="43" t="str">
        <f>IF($AI1000=1,SUMIFS($AI$4:$AI999,$C$4:$C999,$C1000)+1,"")</f>
        <v/>
      </c>
      <c r="AK1000" s="43">
        <f>IF(OR($C1000="",$K1000=""),0,IF(COUNTIFS($C$5:$C1000,$C1000,$K$5:$K1000,$K1000)=1,1,0))</f>
        <v>0</v>
      </c>
      <c r="AL1000" s="43" t="str">
        <f>IF($AK1000=1,SUMIFS($AK$4:$AK999,$C$4:$C999,$C1000)+1,"")</f>
        <v/>
      </c>
      <c r="AM1000" s="43">
        <f>IF(OR($C1000="",$G1000=""),0,IF(COUNTIFS($C$5:$C1000,$C1000,$G$5:$G1000,$G1000)=1,1,0))</f>
        <v>0</v>
      </c>
      <c r="AN1000" s="43" t="str">
        <f>IF($AM1000=1,SUMIFS($AM$4:$AM999,$C$4:$C999,$C1000)+1,"")</f>
        <v/>
      </c>
    </row>
    <row r="1001">
      <c r="A1001" s="44" t="str">
        <f>IF(OR($B1001="",$D1001=""),"","TX"&amp;TEXT(ROW()-4,"0000"))</f>
        <v/>
      </c>
      <c r="B1001" s="42" t="n"/>
      <c r="C1001" s="47" t="str">
        <f>IF($B1001="","",YEAR($B1001)*100+MONTH($B1001))</f>
        <v/>
      </c>
      <c r="D1001" s="37" t="n"/>
      <c r="E1001" s="45" t="str">
        <f>IF($D1001="","",IFERROR(INDEX(CARDS!$B$5:$B$34,MATCH($D1001,CARDS!$A$5:$A$34,0)),"⚠ Card ID?"))</f>
        <v/>
      </c>
      <c r="F1001" s="45" t="str">
        <f>IF($D1001="","",IFERROR(INDEX(CARDS!$C$5:$C$34,MATCH($D1001,CARDS!$A$5:$A$34,0)),"⚠ Card ID?"))</f>
        <v/>
      </c>
      <c r="G1001" s="37" t="n"/>
      <c r="H1001" s="37" t="n"/>
      <c r="I1001" s="41" t="n"/>
      <c r="J1001" s="45" t="str">
        <f>IF($I1001="","",IFERROR(INDEX(MCC_MASTER!$B$5:$B$504,MATCH($I1001,MCC_MASTER!$A$5:$A$504,0)),"⚠ MCC chưa có"))</f>
        <v/>
      </c>
      <c r="K1001" s="45" t="str">
        <f>IF($I1001="","",IFERROR(IF(INDEX(MCC_MASTER!$C$5:$C$504,MATCH($I1001,MCC_MASTER!$A$5:$A$504,0))="","Chưa phân loại",INDEX(MCC_MASTER!$C$5:$C$504,MATCH($I1001,MCC_MASTER!$A$5:$A$504,0))),"Chưa phân loại"))</f>
        <v/>
      </c>
      <c r="L1001" s="40" t="n"/>
      <c r="M1001" s="48" t="str">
        <f>IF(OR($B1001="",$D1001=""),"",IF($AC1001=0,0,IF(ISNUMBER(INDEX(CASHBACK_RULES!$L$5:$L$304,$AC1001)),MAX(0,MIN($L1001,INDEX(CASHBACK_RULES!$L$5:$L$304,$AC1001)-$AH1001)),MAX(0,$L1001))))</f>
        <v/>
      </c>
      <c r="N1001" s="49" t="str">
        <f>IF(OR($B1001="",$D1001=""),"",IF($AC1001&gt;0,INDEX(CASHBACK_RULES!$I$5:$I$304,$AC1001),0))</f>
        <v/>
      </c>
      <c r="O1001" s="48" t="str">
        <f>IF(OR($B1001="",$D1001=""),"",ROUND($M1001*$N1001,0))</f>
        <v/>
      </c>
      <c r="P1001" s="48" t="str">
        <f>IF($AC1001&gt;0,IF(ISNUMBER(INDEX(CASHBACK_RULES!$J$5:$J$304,$AC1001)),INDEX(CASHBACK_RULES!$J$5:$J$304,$AC1001),"∞"),"")</f>
        <v/>
      </c>
      <c r="Q1001" s="48" t="str">
        <f>IF(OR($B1001="",$D1001=""),"",IF($AC1001=0,0,MAX(0,MIN($O1001,IF(ISNUMBER($P1001),$P1001-$AF1001,1E+15),IF(ISNUMBER($AA1001),$AA1001-$AG1001,1E+15)))))</f>
        <v/>
      </c>
      <c r="R1001" s="48" t="str">
        <f>IF(OR($B1001="",$D1001=""),"",IF($AC1001=0,"",IF(AND(NOT(ISNUMBER($P1001)),NOT(ISNUMBER($AA1001))),"∞",MAX(0,MIN(IF(ISNUMBER($P1001),$P1001-$AF1001-$Q1001,1E+15),IF(ISNUMBER($AA1001),$AA1001-$AG1001-$Q1001,1E+15))))))</f>
        <v/>
      </c>
      <c r="S1001" s="47" t="str">
        <f>IF($AD1001="","",YEAR($AD1001)*100+MONTH($AD1001))</f>
        <v/>
      </c>
      <c r="T1001" s="50" t="str">
        <f>IF($AD1001="","",IFERROR(IF(INDEX(CARDS!$I$5:$I$34,MATCH($D1001,CARDS!$A$5:$A$34,0))="","",IF(INDEX(CARDS!$I$5:$I$34,MATCH($D1001,CARDS!$A$5:$A$34,0))&gt;INDEX(CARDS!$H$5:$H$34,MATCH($D1001,CARDS!$A$5:$A$34,0)),DATE(YEAR($AD1001),MONTH($AD1001),MIN(INDEX(CARDS!$I$5:$I$34,MATCH($D1001,CARDS!$A$5:$A$34,0)),DAY(EOMONTH($AD1001,0)))),DATE(YEAR($AD1001),MONTH($AD1001)+1,MIN(INDEX(CARDS!$I$5:$I$34,MATCH($D1001,CARDS!$A$5:$A$34,0)),DAY(EOMONTH($AD1001,1)))))),""))</f>
        <v/>
      </c>
      <c r="U1001" s="38" t="n"/>
      <c r="V1001" s="37" t="n"/>
      <c r="W1001" s="38" t="n"/>
      <c r="X1001" s="38" t="n"/>
      <c r="Y1001" s="44" t="str">
        <f>IF($AC1001&gt;0,INDEX(CASHBACK_RULES!$A$5:$A$304,$AC1001),"")</f>
        <v/>
      </c>
      <c r="Z1001" s="45" t="str">
        <f>IF($AC1001&gt;0,INDEX(CASHBACK_RULES!$E$5:$E$304,$AC1001)&amp;"","")</f>
        <v/>
      </c>
      <c r="AA1001" s="48" t="str">
        <f>IF($AC1001&gt;0,IF(ISNUMBER(INDEX(CASHBACK_RULES!$K$5:$K$304,$AC1001)),INDEX(CASHBACK_RULES!$K$5:$K$304,$AC1001),"∞"),"")</f>
        <v/>
      </c>
      <c r="AB1001" s="44" t="str">
        <f>IF(OR($B1001="",$D1001=""),"",IF($U1001="Cancelled","Đã hủy",IF($AC1001=0,"Không được hoàn",IF($Q1001=0,IF(OR($O1001&gt;0,$M1001&lt;$L1001),"Đã đạt cap","Không được hoàn"),IF(OR($Q1001&lt;$O1001,$M1001&lt;$L1001),"Hoàn một phần","Được hoàn")))))</f>
        <v/>
      </c>
      <c r="AC1001" s="43">
        <f>IF(OR($B1001="",$D1001="",$I1001="",$L1001=""),0,IF($U1001="Cancelled",0,IF($W1001&lt;&gt;"",IFERROR(IF(INDEX(CASHBACK_RULES!$B$5:$B$304,MATCH($W1001,CASHBACK_RULES!$A$5:$A$304,0))=$D1001,MATCH($W1001,CASHBACK_RULES!$A$5:$A$304,0),0),0),IFERROR(MATCH(1,INDEX((CASHBACK_RULES!$B$5:$B$304=$D1001)*(CASHBACK_RULES!$G$5:$G$304=$I1001)*(((CASHBACK_RULES!$N$5:$N$304="")+(CASHBACK_RULES!$N$5:$N$304&lt;=$B1001))&gt;0)*(((CASHBACK_RULES!$O$5:$O$304="")+(CASHBACK_RULES!$O$5:$O$304&gt;=$B1001))&gt;0)*(((CASHBACK_RULES!$M$5:$M$304="")+(CASHBACK_RULES!$M$5:$M$304&lt;=$L1001))&gt;0),0),0),0))))</f>
        <v>0</v>
      </c>
      <c r="AD1001" s="51" t="str">
        <f>IF(OR($B1001="",$D1001=""),"",IFERROR(IF(INDEX(CARDS!$H$5:$H$34,MATCH($D1001,CARDS!$A$5:$A$34,0))="","",IF(DAY($B1001)&lt;=INDEX(CARDS!$H$5:$H$34,MATCH($D1001,CARDS!$A$5:$A$34,0)),DATE(YEAR($B1001),MONTH($B1001),MIN(INDEX(CARDS!$H$5:$H$34,MATCH($D1001,CARDS!$A$5:$A$34,0)),DAY(EOMONTH($B1001,0)))),DATE(YEAR($B1001),MONTH($B1001)+1,MIN(INDEX(CARDS!$H$5:$H$34,MATCH($D1001,CARDS!$A$5:$A$34,0)),DAY(EOMONTH($B1001,1)))))),""))</f>
        <v/>
      </c>
      <c r="AE1001" s="52" t="str">
        <f>IF($C1001="","",$C1001&amp;"|"&amp;COUNTIF($C$5:$C1001,$C1001))</f>
        <v/>
      </c>
      <c r="AF1001" s="53">
        <f>IF($AC1001&gt;0,SUMIFS(Q$4:Q1000,$D$4:$D1000,$D1001,$Z$4:$Z1000,$Z1001,$C$4:$C1000,$C1001),0)</f>
        <v>0</v>
      </c>
      <c r="AG1001" s="53">
        <f>IF($AC1001&gt;0,SUMIFS(Q$4:Q1000,$D$4:$D1000,$D1001,$C$4:$C1000,$C1001),0)</f>
        <v>0</v>
      </c>
      <c r="AH1001" s="53">
        <f>IF($AC1001&gt;0,SUMIFS(M$4:M1000,$D$4:$D1000,$D1001,$Z$4:$Z1000,$Z1001,$C$4:$C1000,$C1001),0)</f>
        <v>0</v>
      </c>
      <c r="AI1001" s="43">
        <f>IF(OR($C1001="",$I1001=""),0,IF(COUNTIFS($C$5:$C1001,$C1001,$I$5:$I1001,$I1001)=1,1,0))</f>
        <v>0</v>
      </c>
      <c r="AJ1001" s="43" t="str">
        <f>IF($AI1001=1,SUMIFS($AI$4:$AI1000,$C$4:$C1000,$C1001)+1,"")</f>
        <v/>
      </c>
      <c r="AK1001" s="43">
        <f>IF(OR($C1001="",$K1001=""),0,IF(COUNTIFS($C$5:$C1001,$C1001,$K$5:$K1001,$K1001)=1,1,0))</f>
        <v>0</v>
      </c>
      <c r="AL1001" s="43" t="str">
        <f>IF($AK1001=1,SUMIFS($AK$4:$AK1000,$C$4:$C1000,$C1001)+1,"")</f>
        <v/>
      </c>
      <c r="AM1001" s="43">
        <f>IF(OR($C1001="",$G1001=""),0,IF(COUNTIFS($C$5:$C1001,$C1001,$G$5:$G1001,$G1001)=1,1,0))</f>
        <v>0</v>
      </c>
      <c r="AN1001" s="43" t="str">
        <f>IF($AM1001=1,SUMIFS($AM$4:$AM1000,$C$4:$C1000,$C1001)+1,"")</f>
        <v/>
      </c>
    </row>
    <row r="1002">
      <c r="A1002" s="44" t="str">
        <f>IF(OR($B1002="",$D1002=""),"","TX"&amp;TEXT(ROW()-4,"0000"))</f>
        <v/>
      </c>
      <c r="B1002" s="42" t="n"/>
      <c r="C1002" s="47" t="str">
        <f>IF($B1002="","",YEAR($B1002)*100+MONTH($B1002))</f>
        <v/>
      </c>
      <c r="D1002" s="37" t="n"/>
      <c r="E1002" s="45" t="str">
        <f>IF($D1002="","",IFERROR(INDEX(CARDS!$B$5:$B$34,MATCH($D1002,CARDS!$A$5:$A$34,0)),"⚠ Card ID?"))</f>
        <v/>
      </c>
      <c r="F1002" s="45" t="str">
        <f>IF($D1002="","",IFERROR(INDEX(CARDS!$C$5:$C$34,MATCH($D1002,CARDS!$A$5:$A$34,0)),"⚠ Card ID?"))</f>
        <v/>
      </c>
      <c r="G1002" s="37" t="n"/>
      <c r="H1002" s="37" t="n"/>
      <c r="I1002" s="41" t="n"/>
      <c r="J1002" s="45" t="str">
        <f>IF($I1002="","",IFERROR(INDEX(MCC_MASTER!$B$5:$B$504,MATCH($I1002,MCC_MASTER!$A$5:$A$504,0)),"⚠ MCC chưa có"))</f>
        <v/>
      </c>
      <c r="K1002" s="45" t="str">
        <f>IF($I1002="","",IFERROR(IF(INDEX(MCC_MASTER!$C$5:$C$504,MATCH($I1002,MCC_MASTER!$A$5:$A$504,0))="","Chưa phân loại",INDEX(MCC_MASTER!$C$5:$C$504,MATCH($I1002,MCC_MASTER!$A$5:$A$504,0))),"Chưa phân loại"))</f>
        <v/>
      </c>
      <c r="L1002" s="40" t="n"/>
      <c r="M1002" s="48" t="str">
        <f>IF(OR($B1002="",$D1002=""),"",IF($AC1002=0,0,IF(ISNUMBER(INDEX(CASHBACK_RULES!$L$5:$L$304,$AC1002)),MAX(0,MIN($L1002,INDEX(CASHBACK_RULES!$L$5:$L$304,$AC1002)-$AH1002)),MAX(0,$L1002))))</f>
        <v/>
      </c>
      <c r="N1002" s="49" t="str">
        <f>IF(OR($B1002="",$D1002=""),"",IF($AC1002&gt;0,INDEX(CASHBACK_RULES!$I$5:$I$304,$AC1002),0))</f>
        <v/>
      </c>
      <c r="O1002" s="48" t="str">
        <f>IF(OR($B1002="",$D1002=""),"",ROUND($M1002*$N1002,0))</f>
        <v/>
      </c>
      <c r="P1002" s="48" t="str">
        <f>IF($AC1002&gt;0,IF(ISNUMBER(INDEX(CASHBACK_RULES!$J$5:$J$304,$AC1002)),INDEX(CASHBACK_RULES!$J$5:$J$304,$AC1002),"∞"),"")</f>
        <v/>
      </c>
      <c r="Q1002" s="48" t="str">
        <f>IF(OR($B1002="",$D1002=""),"",IF($AC1002=0,0,MAX(0,MIN($O1002,IF(ISNUMBER($P1002),$P1002-$AF1002,1E+15),IF(ISNUMBER($AA1002),$AA1002-$AG1002,1E+15)))))</f>
        <v/>
      </c>
      <c r="R1002" s="48" t="str">
        <f>IF(OR($B1002="",$D1002=""),"",IF($AC1002=0,"",IF(AND(NOT(ISNUMBER($P1002)),NOT(ISNUMBER($AA1002))),"∞",MAX(0,MIN(IF(ISNUMBER($P1002),$P1002-$AF1002-$Q1002,1E+15),IF(ISNUMBER($AA1002),$AA1002-$AG1002-$Q1002,1E+15))))))</f>
        <v/>
      </c>
      <c r="S1002" s="47" t="str">
        <f>IF($AD1002="","",YEAR($AD1002)*100+MONTH($AD1002))</f>
        <v/>
      </c>
      <c r="T1002" s="50" t="str">
        <f>IF($AD1002="","",IFERROR(IF(INDEX(CARDS!$I$5:$I$34,MATCH($D1002,CARDS!$A$5:$A$34,0))="","",IF(INDEX(CARDS!$I$5:$I$34,MATCH($D1002,CARDS!$A$5:$A$34,0))&gt;INDEX(CARDS!$H$5:$H$34,MATCH($D1002,CARDS!$A$5:$A$34,0)),DATE(YEAR($AD1002),MONTH($AD1002),MIN(INDEX(CARDS!$I$5:$I$34,MATCH($D1002,CARDS!$A$5:$A$34,0)),DAY(EOMONTH($AD1002,0)))),DATE(YEAR($AD1002),MONTH($AD1002)+1,MIN(INDEX(CARDS!$I$5:$I$34,MATCH($D1002,CARDS!$A$5:$A$34,0)),DAY(EOMONTH($AD1002,1)))))),""))</f>
        <v/>
      </c>
      <c r="U1002" s="38" t="n"/>
      <c r="V1002" s="37" t="n"/>
      <c r="W1002" s="38" t="n"/>
      <c r="X1002" s="38" t="n"/>
      <c r="Y1002" s="44" t="str">
        <f>IF($AC1002&gt;0,INDEX(CASHBACK_RULES!$A$5:$A$304,$AC1002),"")</f>
        <v/>
      </c>
      <c r="Z1002" s="45" t="str">
        <f>IF($AC1002&gt;0,INDEX(CASHBACK_RULES!$E$5:$E$304,$AC1002)&amp;"","")</f>
        <v/>
      </c>
      <c r="AA1002" s="48" t="str">
        <f>IF($AC1002&gt;0,IF(ISNUMBER(INDEX(CASHBACK_RULES!$K$5:$K$304,$AC1002)),INDEX(CASHBACK_RULES!$K$5:$K$304,$AC1002),"∞"),"")</f>
        <v/>
      </c>
      <c r="AB1002" s="44" t="str">
        <f>IF(OR($B1002="",$D1002=""),"",IF($U1002="Cancelled","Đã hủy",IF($AC1002=0,"Không được hoàn",IF($Q1002=0,IF(OR($O1002&gt;0,$M1002&lt;$L1002),"Đã đạt cap","Không được hoàn"),IF(OR($Q1002&lt;$O1002,$M1002&lt;$L1002),"Hoàn một phần","Được hoàn")))))</f>
        <v/>
      </c>
      <c r="AC1002" s="43">
        <f>IF(OR($B1002="",$D1002="",$I1002="",$L1002=""),0,IF($U1002="Cancelled",0,IF($W1002&lt;&gt;"",IFERROR(IF(INDEX(CASHBACK_RULES!$B$5:$B$304,MATCH($W1002,CASHBACK_RULES!$A$5:$A$304,0))=$D1002,MATCH($W1002,CASHBACK_RULES!$A$5:$A$304,0),0),0),IFERROR(MATCH(1,INDEX((CASHBACK_RULES!$B$5:$B$304=$D1002)*(CASHBACK_RULES!$G$5:$G$304=$I1002)*(((CASHBACK_RULES!$N$5:$N$304="")+(CASHBACK_RULES!$N$5:$N$304&lt;=$B1002))&gt;0)*(((CASHBACK_RULES!$O$5:$O$304="")+(CASHBACK_RULES!$O$5:$O$304&gt;=$B1002))&gt;0)*(((CASHBACK_RULES!$M$5:$M$304="")+(CASHBACK_RULES!$M$5:$M$304&lt;=$L1002))&gt;0),0),0),0))))</f>
        <v>0</v>
      </c>
      <c r="AD1002" s="51" t="str">
        <f>IF(OR($B1002="",$D1002=""),"",IFERROR(IF(INDEX(CARDS!$H$5:$H$34,MATCH($D1002,CARDS!$A$5:$A$34,0))="","",IF(DAY($B1002)&lt;=INDEX(CARDS!$H$5:$H$34,MATCH($D1002,CARDS!$A$5:$A$34,0)),DATE(YEAR($B1002),MONTH($B1002),MIN(INDEX(CARDS!$H$5:$H$34,MATCH($D1002,CARDS!$A$5:$A$34,0)),DAY(EOMONTH($B1002,0)))),DATE(YEAR($B1002),MONTH($B1002)+1,MIN(INDEX(CARDS!$H$5:$H$34,MATCH($D1002,CARDS!$A$5:$A$34,0)),DAY(EOMONTH($B1002,1)))))),""))</f>
        <v/>
      </c>
      <c r="AE1002" s="52" t="str">
        <f>IF($C1002="","",$C1002&amp;"|"&amp;COUNTIF($C$5:$C1002,$C1002))</f>
        <v/>
      </c>
      <c r="AF1002" s="53">
        <f>IF($AC1002&gt;0,SUMIFS(Q$4:Q1001,$D$4:$D1001,$D1002,$Z$4:$Z1001,$Z1002,$C$4:$C1001,$C1002),0)</f>
        <v>0</v>
      </c>
      <c r="AG1002" s="53">
        <f>IF($AC1002&gt;0,SUMIFS(Q$4:Q1001,$D$4:$D1001,$D1002,$C$4:$C1001,$C1002),0)</f>
        <v>0</v>
      </c>
      <c r="AH1002" s="53">
        <f>IF($AC1002&gt;0,SUMIFS(M$4:M1001,$D$4:$D1001,$D1002,$Z$4:$Z1001,$Z1002,$C$4:$C1001,$C1002),0)</f>
        <v>0</v>
      </c>
      <c r="AI1002" s="43">
        <f>IF(OR($C1002="",$I1002=""),0,IF(COUNTIFS($C$5:$C1002,$C1002,$I$5:$I1002,$I1002)=1,1,0))</f>
        <v>0</v>
      </c>
      <c r="AJ1002" s="43" t="str">
        <f>IF($AI1002=1,SUMIFS($AI$4:$AI1001,$C$4:$C1001,$C1002)+1,"")</f>
        <v/>
      </c>
      <c r="AK1002" s="43">
        <f>IF(OR($C1002="",$K1002=""),0,IF(COUNTIFS($C$5:$C1002,$C1002,$K$5:$K1002,$K1002)=1,1,0))</f>
        <v>0</v>
      </c>
      <c r="AL1002" s="43" t="str">
        <f>IF($AK1002=1,SUMIFS($AK$4:$AK1001,$C$4:$C1001,$C1002)+1,"")</f>
        <v/>
      </c>
      <c r="AM1002" s="43">
        <f>IF(OR($C1002="",$G1002=""),0,IF(COUNTIFS($C$5:$C1002,$C1002,$G$5:$G1002,$G1002)=1,1,0))</f>
        <v>0</v>
      </c>
      <c r="AN1002" s="43" t="str">
        <f>IF($AM1002=1,SUMIFS($AM$4:$AM1001,$C$4:$C1001,$C1002)+1,"")</f>
        <v/>
      </c>
    </row>
    <row r="1003">
      <c r="A1003" s="44" t="str">
        <f>IF(OR($B1003="",$D1003=""),"","TX"&amp;TEXT(ROW()-4,"0000"))</f>
        <v/>
      </c>
      <c r="B1003" s="42" t="n"/>
      <c r="C1003" s="47" t="str">
        <f>IF($B1003="","",YEAR($B1003)*100+MONTH($B1003))</f>
        <v/>
      </c>
      <c r="D1003" s="37" t="n"/>
      <c r="E1003" s="45" t="str">
        <f>IF($D1003="","",IFERROR(INDEX(CARDS!$B$5:$B$34,MATCH($D1003,CARDS!$A$5:$A$34,0)),"⚠ Card ID?"))</f>
        <v/>
      </c>
      <c r="F1003" s="45" t="str">
        <f>IF($D1003="","",IFERROR(INDEX(CARDS!$C$5:$C$34,MATCH($D1003,CARDS!$A$5:$A$34,0)),"⚠ Card ID?"))</f>
        <v/>
      </c>
      <c r="G1003" s="37" t="n"/>
      <c r="H1003" s="37" t="n"/>
      <c r="I1003" s="41" t="n"/>
      <c r="J1003" s="45" t="str">
        <f>IF($I1003="","",IFERROR(INDEX(MCC_MASTER!$B$5:$B$504,MATCH($I1003,MCC_MASTER!$A$5:$A$504,0)),"⚠ MCC chưa có"))</f>
        <v/>
      </c>
      <c r="K1003" s="45" t="str">
        <f>IF($I1003="","",IFERROR(IF(INDEX(MCC_MASTER!$C$5:$C$504,MATCH($I1003,MCC_MASTER!$A$5:$A$504,0))="","Chưa phân loại",INDEX(MCC_MASTER!$C$5:$C$504,MATCH($I1003,MCC_MASTER!$A$5:$A$504,0))),"Chưa phân loại"))</f>
        <v/>
      </c>
      <c r="L1003" s="40" t="n"/>
      <c r="M1003" s="48" t="str">
        <f>IF(OR($B1003="",$D1003=""),"",IF($AC1003=0,0,IF(ISNUMBER(INDEX(CASHBACK_RULES!$L$5:$L$304,$AC1003)),MAX(0,MIN($L1003,INDEX(CASHBACK_RULES!$L$5:$L$304,$AC1003)-$AH1003)),MAX(0,$L1003))))</f>
        <v/>
      </c>
      <c r="N1003" s="49" t="str">
        <f>IF(OR($B1003="",$D1003=""),"",IF($AC1003&gt;0,INDEX(CASHBACK_RULES!$I$5:$I$304,$AC1003),0))</f>
        <v/>
      </c>
      <c r="O1003" s="48" t="str">
        <f>IF(OR($B1003="",$D1003=""),"",ROUND($M1003*$N1003,0))</f>
        <v/>
      </c>
      <c r="P1003" s="48" t="str">
        <f>IF($AC1003&gt;0,IF(ISNUMBER(INDEX(CASHBACK_RULES!$J$5:$J$304,$AC1003)),INDEX(CASHBACK_RULES!$J$5:$J$304,$AC1003),"∞"),"")</f>
        <v/>
      </c>
      <c r="Q1003" s="48" t="str">
        <f>IF(OR($B1003="",$D1003=""),"",IF($AC1003=0,0,MAX(0,MIN($O1003,IF(ISNUMBER($P1003),$P1003-$AF1003,1E+15),IF(ISNUMBER($AA1003),$AA1003-$AG1003,1E+15)))))</f>
        <v/>
      </c>
      <c r="R1003" s="48" t="str">
        <f>IF(OR($B1003="",$D1003=""),"",IF($AC1003=0,"",IF(AND(NOT(ISNUMBER($P1003)),NOT(ISNUMBER($AA1003))),"∞",MAX(0,MIN(IF(ISNUMBER($P1003),$P1003-$AF1003-$Q1003,1E+15),IF(ISNUMBER($AA1003),$AA1003-$AG1003-$Q1003,1E+15))))))</f>
        <v/>
      </c>
      <c r="S1003" s="47" t="str">
        <f>IF($AD1003="","",YEAR($AD1003)*100+MONTH($AD1003))</f>
        <v/>
      </c>
      <c r="T1003" s="50" t="str">
        <f>IF($AD1003="","",IFERROR(IF(INDEX(CARDS!$I$5:$I$34,MATCH($D1003,CARDS!$A$5:$A$34,0))="","",IF(INDEX(CARDS!$I$5:$I$34,MATCH($D1003,CARDS!$A$5:$A$34,0))&gt;INDEX(CARDS!$H$5:$H$34,MATCH($D1003,CARDS!$A$5:$A$34,0)),DATE(YEAR($AD1003),MONTH($AD1003),MIN(INDEX(CARDS!$I$5:$I$34,MATCH($D1003,CARDS!$A$5:$A$34,0)),DAY(EOMONTH($AD1003,0)))),DATE(YEAR($AD1003),MONTH($AD1003)+1,MIN(INDEX(CARDS!$I$5:$I$34,MATCH($D1003,CARDS!$A$5:$A$34,0)),DAY(EOMONTH($AD1003,1)))))),""))</f>
        <v/>
      </c>
      <c r="U1003" s="38" t="n"/>
      <c r="V1003" s="37" t="n"/>
      <c r="W1003" s="38" t="n"/>
      <c r="X1003" s="38" t="n"/>
      <c r="Y1003" s="44" t="str">
        <f>IF($AC1003&gt;0,INDEX(CASHBACK_RULES!$A$5:$A$304,$AC1003),"")</f>
        <v/>
      </c>
      <c r="Z1003" s="45" t="str">
        <f>IF($AC1003&gt;0,INDEX(CASHBACK_RULES!$E$5:$E$304,$AC1003)&amp;"","")</f>
        <v/>
      </c>
      <c r="AA1003" s="48" t="str">
        <f>IF($AC1003&gt;0,IF(ISNUMBER(INDEX(CASHBACK_RULES!$K$5:$K$304,$AC1003)),INDEX(CASHBACK_RULES!$K$5:$K$304,$AC1003),"∞"),"")</f>
        <v/>
      </c>
      <c r="AB1003" s="44" t="str">
        <f>IF(OR($B1003="",$D1003=""),"",IF($U1003="Cancelled","Đã hủy",IF($AC1003=0,"Không được hoàn",IF($Q1003=0,IF(OR($O1003&gt;0,$M1003&lt;$L1003),"Đã đạt cap","Không được hoàn"),IF(OR($Q1003&lt;$O1003,$M1003&lt;$L1003),"Hoàn một phần","Được hoàn")))))</f>
        <v/>
      </c>
      <c r="AC1003" s="43">
        <f>IF(OR($B1003="",$D1003="",$I1003="",$L1003=""),0,IF($U1003="Cancelled",0,IF($W1003&lt;&gt;"",IFERROR(IF(INDEX(CASHBACK_RULES!$B$5:$B$304,MATCH($W1003,CASHBACK_RULES!$A$5:$A$304,0))=$D1003,MATCH($W1003,CASHBACK_RULES!$A$5:$A$304,0),0),0),IFERROR(MATCH(1,INDEX((CASHBACK_RULES!$B$5:$B$304=$D1003)*(CASHBACK_RULES!$G$5:$G$304=$I1003)*(((CASHBACK_RULES!$N$5:$N$304="")+(CASHBACK_RULES!$N$5:$N$304&lt;=$B1003))&gt;0)*(((CASHBACK_RULES!$O$5:$O$304="")+(CASHBACK_RULES!$O$5:$O$304&gt;=$B1003))&gt;0)*(((CASHBACK_RULES!$M$5:$M$304="")+(CASHBACK_RULES!$M$5:$M$304&lt;=$L1003))&gt;0),0),0),0))))</f>
        <v>0</v>
      </c>
      <c r="AD1003" s="51" t="str">
        <f>IF(OR($B1003="",$D1003=""),"",IFERROR(IF(INDEX(CARDS!$H$5:$H$34,MATCH($D1003,CARDS!$A$5:$A$34,0))="","",IF(DAY($B1003)&lt;=INDEX(CARDS!$H$5:$H$34,MATCH($D1003,CARDS!$A$5:$A$34,0)),DATE(YEAR($B1003),MONTH($B1003),MIN(INDEX(CARDS!$H$5:$H$34,MATCH($D1003,CARDS!$A$5:$A$34,0)),DAY(EOMONTH($B1003,0)))),DATE(YEAR($B1003),MONTH($B1003)+1,MIN(INDEX(CARDS!$H$5:$H$34,MATCH($D1003,CARDS!$A$5:$A$34,0)),DAY(EOMONTH($B1003,1)))))),""))</f>
        <v/>
      </c>
      <c r="AE1003" s="52" t="str">
        <f>IF($C1003="","",$C1003&amp;"|"&amp;COUNTIF($C$5:$C1003,$C1003))</f>
        <v/>
      </c>
      <c r="AF1003" s="53">
        <f>IF($AC1003&gt;0,SUMIFS(Q$4:Q1002,$D$4:$D1002,$D1003,$Z$4:$Z1002,$Z1003,$C$4:$C1002,$C1003),0)</f>
        <v>0</v>
      </c>
      <c r="AG1003" s="53">
        <f>IF($AC1003&gt;0,SUMIFS(Q$4:Q1002,$D$4:$D1002,$D1003,$C$4:$C1002,$C1003),0)</f>
        <v>0</v>
      </c>
      <c r="AH1003" s="53">
        <f>IF($AC1003&gt;0,SUMIFS(M$4:M1002,$D$4:$D1002,$D1003,$Z$4:$Z1002,$Z1003,$C$4:$C1002,$C1003),0)</f>
        <v>0</v>
      </c>
      <c r="AI1003" s="43">
        <f>IF(OR($C1003="",$I1003=""),0,IF(COUNTIFS($C$5:$C1003,$C1003,$I$5:$I1003,$I1003)=1,1,0))</f>
        <v>0</v>
      </c>
      <c r="AJ1003" s="43" t="str">
        <f>IF($AI1003=1,SUMIFS($AI$4:$AI1002,$C$4:$C1002,$C1003)+1,"")</f>
        <v/>
      </c>
      <c r="AK1003" s="43">
        <f>IF(OR($C1003="",$K1003=""),0,IF(COUNTIFS($C$5:$C1003,$C1003,$K$5:$K1003,$K1003)=1,1,0))</f>
        <v>0</v>
      </c>
      <c r="AL1003" s="43" t="str">
        <f>IF($AK1003=1,SUMIFS($AK$4:$AK1002,$C$4:$C1002,$C1003)+1,"")</f>
        <v/>
      </c>
      <c r="AM1003" s="43">
        <f>IF(OR($C1003="",$G1003=""),0,IF(COUNTIFS($C$5:$C1003,$C1003,$G$5:$G1003,$G1003)=1,1,0))</f>
        <v>0</v>
      </c>
      <c r="AN1003" s="43" t="str">
        <f>IF($AM1003=1,SUMIFS($AM$4:$AM1002,$C$4:$C1002,$C1003)+1,"")</f>
        <v/>
      </c>
    </row>
    <row r="1004">
      <c r="A1004" s="44" t="str">
        <f>IF(OR($B1004="",$D1004=""),"","TX"&amp;TEXT(ROW()-4,"0000"))</f>
        <v/>
      </c>
      <c r="B1004" s="42" t="n"/>
      <c r="C1004" s="47" t="str">
        <f>IF($B1004="","",YEAR($B1004)*100+MONTH($B1004))</f>
        <v/>
      </c>
      <c r="D1004" s="37" t="n"/>
      <c r="E1004" s="45" t="str">
        <f>IF($D1004="","",IFERROR(INDEX(CARDS!$B$5:$B$34,MATCH($D1004,CARDS!$A$5:$A$34,0)),"⚠ Card ID?"))</f>
        <v/>
      </c>
      <c r="F1004" s="45" t="str">
        <f>IF($D1004="","",IFERROR(INDEX(CARDS!$C$5:$C$34,MATCH($D1004,CARDS!$A$5:$A$34,0)),"⚠ Card ID?"))</f>
        <v/>
      </c>
      <c r="G1004" s="37" t="n"/>
      <c r="H1004" s="37" t="n"/>
      <c r="I1004" s="41" t="n"/>
      <c r="J1004" s="45" t="str">
        <f>IF($I1004="","",IFERROR(INDEX(MCC_MASTER!$B$5:$B$504,MATCH($I1004,MCC_MASTER!$A$5:$A$504,0)),"⚠ MCC chưa có"))</f>
        <v/>
      </c>
      <c r="K1004" s="45" t="str">
        <f>IF($I1004="","",IFERROR(IF(INDEX(MCC_MASTER!$C$5:$C$504,MATCH($I1004,MCC_MASTER!$A$5:$A$504,0))="","Chưa phân loại",INDEX(MCC_MASTER!$C$5:$C$504,MATCH($I1004,MCC_MASTER!$A$5:$A$504,0))),"Chưa phân loại"))</f>
        <v/>
      </c>
      <c r="L1004" s="40" t="n"/>
      <c r="M1004" s="48" t="str">
        <f>IF(OR($B1004="",$D1004=""),"",IF($AC1004=0,0,IF(ISNUMBER(INDEX(CASHBACK_RULES!$L$5:$L$304,$AC1004)),MAX(0,MIN($L1004,INDEX(CASHBACK_RULES!$L$5:$L$304,$AC1004)-$AH1004)),MAX(0,$L1004))))</f>
        <v/>
      </c>
      <c r="N1004" s="49" t="str">
        <f>IF(OR($B1004="",$D1004=""),"",IF($AC1004&gt;0,INDEX(CASHBACK_RULES!$I$5:$I$304,$AC1004),0))</f>
        <v/>
      </c>
      <c r="O1004" s="48" t="str">
        <f>IF(OR($B1004="",$D1004=""),"",ROUND($M1004*$N1004,0))</f>
        <v/>
      </c>
      <c r="P1004" s="48" t="str">
        <f>IF($AC1004&gt;0,IF(ISNUMBER(INDEX(CASHBACK_RULES!$J$5:$J$304,$AC1004)),INDEX(CASHBACK_RULES!$J$5:$J$304,$AC1004),"∞"),"")</f>
        <v/>
      </c>
      <c r="Q1004" s="48" t="str">
        <f>IF(OR($B1004="",$D1004=""),"",IF($AC1004=0,0,MAX(0,MIN($O1004,IF(ISNUMBER($P1004),$P1004-$AF1004,1E+15),IF(ISNUMBER($AA1004),$AA1004-$AG1004,1E+15)))))</f>
        <v/>
      </c>
      <c r="R1004" s="48" t="str">
        <f>IF(OR($B1004="",$D1004=""),"",IF($AC1004=0,"",IF(AND(NOT(ISNUMBER($P1004)),NOT(ISNUMBER($AA1004))),"∞",MAX(0,MIN(IF(ISNUMBER($P1004),$P1004-$AF1004-$Q1004,1E+15),IF(ISNUMBER($AA1004),$AA1004-$AG1004-$Q1004,1E+15))))))</f>
        <v/>
      </c>
      <c r="S1004" s="47" t="str">
        <f>IF($AD1004="","",YEAR($AD1004)*100+MONTH($AD1004))</f>
        <v/>
      </c>
      <c r="T1004" s="50" t="str">
        <f>IF($AD1004="","",IFERROR(IF(INDEX(CARDS!$I$5:$I$34,MATCH($D1004,CARDS!$A$5:$A$34,0))="","",IF(INDEX(CARDS!$I$5:$I$34,MATCH($D1004,CARDS!$A$5:$A$34,0))&gt;INDEX(CARDS!$H$5:$H$34,MATCH($D1004,CARDS!$A$5:$A$34,0)),DATE(YEAR($AD1004),MONTH($AD1004),MIN(INDEX(CARDS!$I$5:$I$34,MATCH($D1004,CARDS!$A$5:$A$34,0)),DAY(EOMONTH($AD1004,0)))),DATE(YEAR($AD1004),MONTH($AD1004)+1,MIN(INDEX(CARDS!$I$5:$I$34,MATCH($D1004,CARDS!$A$5:$A$34,0)),DAY(EOMONTH($AD1004,1)))))),""))</f>
        <v/>
      </c>
      <c r="U1004" s="38" t="n"/>
      <c r="V1004" s="37" t="n"/>
      <c r="W1004" s="38" t="n"/>
      <c r="X1004" s="38" t="n"/>
      <c r="Y1004" s="44" t="str">
        <f>IF($AC1004&gt;0,INDEX(CASHBACK_RULES!$A$5:$A$304,$AC1004),"")</f>
        <v/>
      </c>
      <c r="Z1004" s="45" t="str">
        <f>IF($AC1004&gt;0,INDEX(CASHBACK_RULES!$E$5:$E$304,$AC1004)&amp;"","")</f>
        <v/>
      </c>
      <c r="AA1004" s="48" t="str">
        <f>IF($AC1004&gt;0,IF(ISNUMBER(INDEX(CASHBACK_RULES!$K$5:$K$304,$AC1004)),INDEX(CASHBACK_RULES!$K$5:$K$304,$AC1004),"∞"),"")</f>
        <v/>
      </c>
      <c r="AB1004" s="44" t="str">
        <f>IF(OR($B1004="",$D1004=""),"",IF($U1004="Cancelled","Đã hủy",IF($AC1004=0,"Không được hoàn",IF($Q1004=0,IF(OR($O1004&gt;0,$M1004&lt;$L1004),"Đã đạt cap","Không được hoàn"),IF(OR($Q1004&lt;$O1004,$M1004&lt;$L1004),"Hoàn một phần","Được hoàn")))))</f>
        <v/>
      </c>
      <c r="AC1004" s="43">
        <f>IF(OR($B1004="",$D1004="",$I1004="",$L1004=""),0,IF($U1004="Cancelled",0,IF($W1004&lt;&gt;"",IFERROR(IF(INDEX(CASHBACK_RULES!$B$5:$B$304,MATCH($W1004,CASHBACK_RULES!$A$5:$A$304,0))=$D1004,MATCH($W1004,CASHBACK_RULES!$A$5:$A$304,0),0),0),IFERROR(MATCH(1,INDEX((CASHBACK_RULES!$B$5:$B$304=$D1004)*(CASHBACK_RULES!$G$5:$G$304=$I1004)*(((CASHBACK_RULES!$N$5:$N$304="")+(CASHBACK_RULES!$N$5:$N$304&lt;=$B1004))&gt;0)*(((CASHBACK_RULES!$O$5:$O$304="")+(CASHBACK_RULES!$O$5:$O$304&gt;=$B1004))&gt;0)*(((CASHBACK_RULES!$M$5:$M$304="")+(CASHBACK_RULES!$M$5:$M$304&lt;=$L1004))&gt;0),0),0),0))))</f>
        <v>0</v>
      </c>
      <c r="AD1004" s="51" t="str">
        <f>IF(OR($B1004="",$D1004=""),"",IFERROR(IF(INDEX(CARDS!$H$5:$H$34,MATCH($D1004,CARDS!$A$5:$A$34,0))="","",IF(DAY($B1004)&lt;=INDEX(CARDS!$H$5:$H$34,MATCH($D1004,CARDS!$A$5:$A$34,0)),DATE(YEAR($B1004),MONTH($B1004),MIN(INDEX(CARDS!$H$5:$H$34,MATCH($D1004,CARDS!$A$5:$A$34,0)),DAY(EOMONTH($B1004,0)))),DATE(YEAR($B1004),MONTH($B1004)+1,MIN(INDEX(CARDS!$H$5:$H$34,MATCH($D1004,CARDS!$A$5:$A$34,0)),DAY(EOMONTH($B1004,1)))))),""))</f>
        <v/>
      </c>
      <c r="AE1004" s="52" t="str">
        <f>IF($C1004="","",$C1004&amp;"|"&amp;COUNTIF($C$5:$C1004,$C1004))</f>
        <v/>
      </c>
      <c r="AF1004" s="53">
        <f>IF($AC1004&gt;0,SUMIFS(Q$4:Q1003,$D$4:$D1003,$D1004,$Z$4:$Z1003,$Z1004,$C$4:$C1003,$C1004),0)</f>
        <v>0</v>
      </c>
      <c r="AG1004" s="53">
        <f>IF($AC1004&gt;0,SUMIFS(Q$4:Q1003,$D$4:$D1003,$D1004,$C$4:$C1003,$C1004),0)</f>
        <v>0</v>
      </c>
      <c r="AH1004" s="53">
        <f>IF($AC1004&gt;0,SUMIFS(M$4:M1003,$D$4:$D1003,$D1004,$Z$4:$Z1003,$Z1004,$C$4:$C1003,$C1004),0)</f>
        <v>0</v>
      </c>
      <c r="AI1004" s="43">
        <f>IF(OR($C1004="",$I1004=""),0,IF(COUNTIFS($C$5:$C1004,$C1004,$I$5:$I1004,$I1004)=1,1,0))</f>
        <v>0</v>
      </c>
      <c r="AJ1004" s="43" t="str">
        <f>IF($AI1004=1,SUMIFS($AI$4:$AI1003,$C$4:$C1003,$C1004)+1,"")</f>
        <v/>
      </c>
      <c r="AK1004" s="43">
        <f>IF(OR($C1004="",$K1004=""),0,IF(COUNTIFS($C$5:$C1004,$C1004,$K$5:$K1004,$K1004)=1,1,0))</f>
        <v>0</v>
      </c>
      <c r="AL1004" s="43" t="str">
        <f>IF($AK1004=1,SUMIFS($AK$4:$AK1003,$C$4:$C1003,$C1004)+1,"")</f>
        <v/>
      </c>
      <c r="AM1004" s="43">
        <f>IF(OR($C1004="",$G1004=""),0,IF(COUNTIFS($C$5:$C1004,$C1004,$G$5:$G1004,$G1004)=1,1,0))</f>
        <v>0</v>
      </c>
      <c r="AN1004" s="43" t="str">
        <f>IF($AM1004=1,SUMIFS($AM$4:$AM1003,$C$4:$C1003,$C1004)+1,"")</f>
        <v/>
      </c>
    </row>
    <row r="1005">
      <c r="A1005" s="44" t="str">
        <f>IF(OR($B1005="",$D1005=""),"","TX"&amp;TEXT(ROW()-4,"0000"))</f>
        <v/>
      </c>
      <c r="B1005" s="42" t="n"/>
      <c r="C1005" s="47" t="str">
        <f>IF($B1005="","",YEAR($B1005)*100+MONTH($B1005))</f>
        <v/>
      </c>
      <c r="D1005" s="37" t="n"/>
      <c r="E1005" s="45" t="str">
        <f>IF($D1005="","",IFERROR(INDEX(CARDS!$B$5:$B$34,MATCH($D1005,CARDS!$A$5:$A$34,0)),"⚠ Card ID?"))</f>
        <v/>
      </c>
      <c r="F1005" s="45" t="str">
        <f>IF($D1005="","",IFERROR(INDEX(CARDS!$C$5:$C$34,MATCH($D1005,CARDS!$A$5:$A$34,0)),"⚠ Card ID?"))</f>
        <v/>
      </c>
      <c r="G1005" s="37" t="n"/>
      <c r="H1005" s="37" t="n"/>
      <c r="I1005" s="41" t="n"/>
      <c r="J1005" s="45" t="str">
        <f>IF($I1005="","",IFERROR(INDEX(MCC_MASTER!$B$5:$B$504,MATCH($I1005,MCC_MASTER!$A$5:$A$504,0)),"⚠ MCC chưa có"))</f>
        <v/>
      </c>
      <c r="K1005" s="45" t="str">
        <f>IF($I1005="","",IFERROR(IF(INDEX(MCC_MASTER!$C$5:$C$504,MATCH($I1005,MCC_MASTER!$A$5:$A$504,0))="","Chưa phân loại",INDEX(MCC_MASTER!$C$5:$C$504,MATCH($I1005,MCC_MASTER!$A$5:$A$504,0))),"Chưa phân loại"))</f>
        <v/>
      </c>
      <c r="L1005" s="40" t="n"/>
      <c r="M1005" s="48" t="str">
        <f>IF(OR($B1005="",$D1005=""),"",IF($AC1005=0,0,IF(ISNUMBER(INDEX(CASHBACK_RULES!$L$5:$L$304,$AC1005)),MAX(0,MIN($L1005,INDEX(CASHBACK_RULES!$L$5:$L$304,$AC1005)-$AH1005)),MAX(0,$L1005))))</f>
        <v/>
      </c>
      <c r="N1005" s="49" t="str">
        <f>IF(OR($B1005="",$D1005=""),"",IF($AC1005&gt;0,INDEX(CASHBACK_RULES!$I$5:$I$304,$AC1005),0))</f>
        <v/>
      </c>
      <c r="O1005" s="48" t="str">
        <f>IF(OR($B1005="",$D1005=""),"",ROUND($M1005*$N1005,0))</f>
        <v/>
      </c>
      <c r="P1005" s="48" t="str">
        <f>IF($AC1005&gt;0,IF(ISNUMBER(INDEX(CASHBACK_RULES!$J$5:$J$304,$AC1005)),INDEX(CASHBACK_RULES!$J$5:$J$304,$AC1005),"∞"),"")</f>
        <v/>
      </c>
      <c r="Q1005" s="48" t="str">
        <f>IF(OR($B1005="",$D1005=""),"",IF($AC1005=0,0,MAX(0,MIN($O1005,IF(ISNUMBER($P1005),$P1005-$AF1005,1E+15),IF(ISNUMBER($AA1005),$AA1005-$AG1005,1E+15)))))</f>
        <v/>
      </c>
      <c r="R1005" s="48" t="str">
        <f>IF(OR($B1005="",$D1005=""),"",IF($AC1005=0,"",IF(AND(NOT(ISNUMBER($P1005)),NOT(ISNUMBER($AA1005))),"∞",MAX(0,MIN(IF(ISNUMBER($P1005),$P1005-$AF1005-$Q1005,1E+15),IF(ISNUMBER($AA1005),$AA1005-$AG1005-$Q1005,1E+15))))))</f>
        <v/>
      </c>
      <c r="S1005" s="47" t="str">
        <f>IF($AD1005="","",YEAR($AD1005)*100+MONTH($AD1005))</f>
        <v/>
      </c>
      <c r="T1005" s="50" t="str">
        <f>IF($AD1005="","",IFERROR(IF(INDEX(CARDS!$I$5:$I$34,MATCH($D1005,CARDS!$A$5:$A$34,0))="","",IF(INDEX(CARDS!$I$5:$I$34,MATCH($D1005,CARDS!$A$5:$A$34,0))&gt;INDEX(CARDS!$H$5:$H$34,MATCH($D1005,CARDS!$A$5:$A$34,0)),DATE(YEAR($AD1005),MONTH($AD1005),MIN(INDEX(CARDS!$I$5:$I$34,MATCH($D1005,CARDS!$A$5:$A$34,0)),DAY(EOMONTH($AD1005,0)))),DATE(YEAR($AD1005),MONTH($AD1005)+1,MIN(INDEX(CARDS!$I$5:$I$34,MATCH($D1005,CARDS!$A$5:$A$34,0)),DAY(EOMONTH($AD1005,1)))))),""))</f>
        <v/>
      </c>
      <c r="U1005" s="38" t="n"/>
      <c r="V1005" s="37" t="n"/>
      <c r="W1005" s="38" t="n"/>
      <c r="X1005" s="38" t="n"/>
      <c r="Y1005" s="44" t="str">
        <f>IF($AC1005&gt;0,INDEX(CASHBACK_RULES!$A$5:$A$304,$AC1005),"")</f>
        <v/>
      </c>
      <c r="Z1005" s="45" t="str">
        <f>IF($AC1005&gt;0,INDEX(CASHBACK_RULES!$E$5:$E$304,$AC1005)&amp;"","")</f>
        <v/>
      </c>
      <c r="AA1005" s="48" t="str">
        <f>IF($AC1005&gt;0,IF(ISNUMBER(INDEX(CASHBACK_RULES!$K$5:$K$304,$AC1005)),INDEX(CASHBACK_RULES!$K$5:$K$304,$AC1005),"∞"),"")</f>
        <v/>
      </c>
      <c r="AB1005" s="44" t="str">
        <f>IF(OR($B1005="",$D1005=""),"",IF($U1005="Cancelled","Đã hủy",IF($AC1005=0,"Không được hoàn",IF($Q1005=0,IF(OR($O1005&gt;0,$M1005&lt;$L1005),"Đã đạt cap","Không được hoàn"),IF(OR($Q1005&lt;$O1005,$M1005&lt;$L1005),"Hoàn một phần","Được hoàn")))))</f>
        <v/>
      </c>
      <c r="AC1005" s="43">
        <f>IF(OR($B1005="",$D1005="",$I1005="",$L1005=""),0,IF($U1005="Cancelled",0,IF($W1005&lt;&gt;"",IFERROR(IF(INDEX(CASHBACK_RULES!$B$5:$B$304,MATCH($W1005,CASHBACK_RULES!$A$5:$A$304,0))=$D1005,MATCH($W1005,CASHBACK_RULES!$A$5:$A$304,0),0),0),IFERROR(MATCH(1,INDEX((CASHBACK_RULES!$B$5:$B$304=$D1005)*(CASHBACK_RULES!$G$5:$G$304=$I1005)*(((CASHBACK_RULES!$N$5:$N$304="")+(CASHBACK_RULES!$N$5:$N$304&lt;=$B1005))&gt;0)*(((CASHBACK_RULES!$O$5:$O$304="")+(CASHBACK_RULES!$O$5:$O$304&gt;=$B1005))&gt;0)*(((CASHBACK_RULES!$M$5:$M$304="")+(CASHBACK_RULES!$M$5:$M$304&lt;=$L1005))&gt;0),0),0),0))))</f>
        <v>0</v>
      </c>
      <c r="AD1005" s="51" t="str">
        <f>IF(OR($B1005="",$D1005=""),"",IFERROR(IF(INDEX(CARDS!$H$5:$H$34,MATCH($D1005,CARDS!$A$5:$A$34,0))="","",IF(DAY($B1005)&lt;=INDEX(CARDS!$H$5:$H$34,MATCH($D1005,CARDS!$A$5:$A$34,0)),DATE(YEAR($B1005),MONTH($B1005),MIN(INDEX(CARDS!$H$5:$H$34,MATCH($D1005,CARDS!$A$5:$A$34,0)),DAY(EOMONTH($B1005,0)))),DATE(YEAR($B1005),MONTH($B1005)+1,MIN(INDEX(CARDS!$H$5:$H$34,MATCH($D1005,CARDS!$A$5:$A$34,0)),DAY(EOMONTH($B1005,1)))))),""))</f>
        <v/>
      </c>
      <c r="AE1005" s="52" t="str">
        <f>IF($C1005="","",$C1005&amp;"|"&amp;COUNTIF($C$5:$C1005,$C1005))</f>
        <v/>
      </c>
      <c r="AF1005" s="53">
        <f>IF($AC1005&gt;0,SUMIFS(Q$4:Q1004,$D$4:$D1004,$D1005,$Z$4:$Z1004,$Z1005,$C$4:$C1004,$C1005),0)</f>
        <v>0</v>
      </c>
      <c r="AG1005" s="53">
        <f>IF($AC1005&gt;0,SUMIFS(Q$4:Q1004,$D$4:$D1004,$D1005,$C$4:$C1004,$C1005),0)</f>
        <v>0</v>
      </c>
      <c r="AH1005" s="53">
        <f>IF($AC1005&gt;0,SUMIFS(M$4:M1004,$D$4:$D1004,$D1005,$Z$4:$Z1004,$Z1005,$C$4:$C1004,$C1005),0)</f>
        <v>0</v>
      </c>
      <c r="AI1005" s="43">
        <f>IF(OR($C1005="",$I1005=""),0,IF(COUNTIFS($C$5:$C1005,$C1005,$I$5:$I1005,$I1005)=1,1,0))</f>
        <v>0</v>
      </c>
      <c r="AJ1005" s="43" t="str">
        <f>IF($AI1005=1,SUMIFS($AI$4:$AI1004,$C$4:$C1004,$C1005)+1,"")</f>
        <v/>
      </c>
      <c r="AK1005" s="43">
        <f>IF(OR($C1005="",$K1005=""),0,IF(COUNTIFS($C$5:$C1005,$C1005,$K$5:$K1005,$K1005)=1,1,0))</f>
        <v>0</v>
      </c>
      <c r="AL1005" s="43" t="str">
        <f>IF($AK1005=1,SUMIFS($AK$4:$AK1004,$C$4:$C1004,$C1005)+1,"")</f>
        <v/>
      </c>
      <c r="AM1005" s="43">
        <f>IF(OR($C1005="",$G1005=""),0,IF(COUNTIFS($C$5:$C1005,$C1005,$G$5:$G1005,$G1005)=1,1,0))</f>
        <v>0</v>
      </c>
      <c r="AN1005" s="43" t="str">
        <f>IF($AM1005=1,SUMIFS($AM$4:$AM1004,$C$4:$C1004,$C1005)+1,"")</f>
        <v/>
      </c>
    </row>
    <row r="1006">
      <c r="A1006" s="44" t="str">
        <f>IF(OR($B1006="",$D1006=""),"","TX"&amp;TEXT(ROW()-4,"0000"))</f>
        <v/>
      </c>
      <c r="B1006" s="42" t="n"/>
      <c r="C1006" s="47" t="str">
        <f>IF($B1006="","",YEAR($B1006)*100+MONTH($B1006))</f>
        <v/>
      </c>
      <c r="D1006" s="37" t="n"/>
      <c r="E1006" s="45" t="str">
        <f>IF($D1006="","",IFERROR(INDEX(CARDS!$B$5:$B$34,MATCH($D1006,CARDS!$A$5:$A$34,0)),"⚠ Card ID?"))</f>
        <v/>
      </c>
      <c r="F1006" s="45" t="str">
        <f>IF($D1006="","",IFERROR(INDEX(CARDS!$C$5:$C$34,MATCH($D1006,CARDS!$A$5:$A$34,0)),"⚠ Card ID?"))</f>
        <v/>
      </c>
      <c r="G1006" s="37" t="n"/>
      <c r="H1006" s="37" t="n"/>
      <c r="I1006" s="41" t="n"/>
      <c r="J1006" s="45" t="str">
        <f>IF($I1006="","",IFERROR(INDEX(MCC_MASTER!$B$5:$B$504,MATCH($I1006,MCC_MASTER!$A$5:$A$504,0)),"⚠ MCC chưa có"))</f>
        <v/>
      </c>
      <c r="K1006" s="45" t="str">
        <f>IF($I1006="","",IFERROR(IF(INDEX(MCC_MASTER!$C$5:$C$504,MATCH($I1006,MCC_MASTER!$A$5:$A$504,0))="","Chưa phân loại",INDEX(MCC_MASTER!$C$5:$C$504,MATCH($I1006,MCC_MASTER!$A$5:$A$504,0))),"Chưa phân loại"))</f>
        <v/>
      </c>
      <c r="L1006" s="40" t="n"/>
      <c r="M1006" s="48" t="str">
        <f>IF(OR($B1006="",$D1006=""),"",IF($AC1006=0,0,IF(ISNUMBER(INDEX(CASHBACK_RULES!$L$5:$L$304,$AC1006)),MAX(0,MIN($L1006,INDEX(CASHBACK_RULES!$L$5:$L$304,$AC1006)-$AH1006)),MAX(0,$L1006))))</f>
        <v/>
      </c>
      <c r="N1006" s="49" t="str">
        <f>IF(OR($B1006="",$D1006=""),"",IF($AC1006&gt;0,INDEX(CASHBACK_RULES!$I$5:$I$304,$AC1006),0))</f>
        <v/>
      </c>
      <c r="O1006" s="48" t="str">
        <f>IF(OR($B1006="",$D1006=""),"",ROUND($M1006*$N1006,0))</f>
        <v/>
      </c>
      <c r="P1006" s="48" t="str">
        <f>IF($AC1006&gt;0,IF(ISNUMBER(INDEX(CASHBACK_RULES!$J$5:$J$304,$AC1006)),INDEX(CASHBACK_RULES!$J$5:$J$304,$AC1006),"∞"),"")</f>
        <v/>
      </c>
      <c r="Q1006" s="48" t="str">
        <f>IF(OR($B1006="",$D1006=""),"",IF($AC1006=0,0,MAX(0,MIN($O1006,IF(ISNUMBER($P1006),$P1006-$AF1006,1E+15),IF(ISNUMBER($AA1006),$AA1006-$AG1006,1E+15)))))</f>
        <v/>
      </c>
      <c r="R1006" s="48" t="str">
        <f>IF(OR($B1006="",$D1006=""),"",IF($AC1006=0,"",IF(AND(NOT(ISNUMBER($P1006)),NOT(ISNUMBER($AA1006))),"∞",MAX(0,MIN(IF(ISNUMBER($P1006),$P1006-$AF1006-$Q1006,1E+15),IF(ISNUMBER($AA1006),$AA1006-$AG1006-$Q1006,1E+15))))))</f>
        <v/>
      </c>
      <c r="S1006" s="47" t="str">
        <f>IF($AD1006="","",YEAR($AD1006)*100+MONTH($AD1006))</f>
        <v/>
      </c>
      <c r="T1006" s="50" t="str">
        <f>IF($AD1006="","",IFERROR(IF(INDEX(CARDS!$I$5:$I$34,MATCH($D1006,CARDS!$A$5:$A$34,0))="","",IF(INDEX(CARDS!$I$5:$I$34,MATCH($D1006,CARDS!$A$5:$A$34,0))&gt;INDEX(CARDS!$H$5:$H$34,MATCH($D1006,CARDS!$A$5:$A$34,0)),DATE(YEAR($AD1006),MONTH($AD1006),MIN(INDEX(CARDS!$I$5:$I$34,MATCH($D1006,CARDS!$A$5:$A$34,0)),DAY(EOMONTH($AD1006,0)))),DATE(YEAR($AD1006),MONTH($AD1006)+1,MIN(INDEX(CARDS!$I$5:$I$34,MATCH($D1006,CARDS!$A$5:$A$34,0)),DAY(EOMONTH($AD1006,1)))))),""))</f>
        <v/>
      </c>
      <c r="U1006" s="38" t="n"/>
      <c r="V1006" s="37" t="n"/>
      <c r="W1006" s="38" t="n"/>
      <c r="X1006" s="38" t="n"/>
      <c r="Y1006" s="44" t="str">
        <f>IF($AC1006&gt;0,INDEX(CASHBACK_RULES!$A$5:$A$304,$AC1006),"")</f>
        <v/>
      </c>
      <c r="Z1006" s="45" t="str">
        <f>IF($AC1006&gt;0,INDEX(CASHBACK_RULES!$E$5:$E$304,$AC1006)&amp;"","")</f>
        <v/>
      </c>
      <c r="AA1006" s="48" t="str">
        <f>IF($AC1006&gt;0,IF(ISNUMBER(INDEX(CASHBACK_RULES!$K$5:$K$304,$AC1006)),INDEX(CASHBACK_RULES!$K$5:$K$304,$AC1006),"∞"),"")</f>
        <v/>
      </c>
      <c r="AB1006" s="44" t="str">
        <f>IF(OR($B1006="",$D1006=""),"",IF($U1006="Cancelled","Đã hủy",IF($AC1006=0,"Không được hoàn",IF($Q1006=0,IF(OR($O1006&gt;0,$M1006&lt;$L1006),"Đã đạt cap","Không được hoàn"),IF(OR($Q1006&lt;$O1006,$M1006&lt;$L1006),"Hoàn một phần","Được hoàn")))))</f>
        <v/>
      </c>
      <c r="AC1006" s="43">
        <f>IF(OR($B1006="",$D1006="",$I1006="",$L1006=""),0,IF($U1006="Cancelled",0,IF($W1006&lt;&gt;"",IFERROR(IF(INDEX(CASHBACK_RULES!$B$5:$B$304,MATCH($W1006,CASHBACK_RULES!$A$5:$A$304,0))=$D1006,MATCH($W1006,CASHBACK_RULES!$A$5:$A$304,0),0),0),IFERROR(MATCH(1,INDEX((CASHBACK_RULES!$B$5:$B$304=$D1006)*(CASHBACK_RULES!$G$5:$G$304=$I1006)*(((CASHBACK_RULES!$N$5:$N$304="")+(CASHBACK_RULES!$N$5:$N$304&lt;=$B1006))&gt;0)*(((CASHBACK_RULES!$O$5:$O$304="")+(CASHBACK_RULES!$O$5:$O$304&gt;=$B1006))&gt;0)*(((CASHBACK_RULES!$M$5:$M$304="")+(CASHBACK_RULES!$M$5:$M$304&lt;=$L1006))&gt;0),0),0),0))))</f>
        <v>0</v>
      </c>
      <c r="AD1006" s="51" t="str">
        <f>IF(OR($B1006="",$D1006=""),"",IFERROR(IF(INDEX(CARDS!$H$5:$H$34,MATCH($D1006,CARDS!$A$5:$A$34,0))="","",IF(DAY($B1006)&lt;=INDEX(CARDS!$H$5:$H$34,MATCH($D1006,CARDS!$A$5:$A$34,0)),DATE(YEAR($B1006),MONTH($B1006),MIN(INDEX(CARDS!$H$5:$H$34,MATCH($D1006,CARDS!$A$5:$A$34,0)),DAY(EOMONTH($B1006,0)))),DATE(YEAR($B1006),MONTH($B1006)+1,MIN(INDEX(CARDS!$H$5:$H$34,MATCH($D1006,CARDS!$A$5:$A$34,0)),DAY(EOMONTH($B1006,1)))))),""))</f>
        <v/>
      </c>
      <c r="AE1006" s="52" t="str">
        <f>IF($C1006="","",$C1006&amp;"|"&amp;COUNTIF($C$5:$C1006,$C1006))</f>
        <v/>
      </c>
      <c r="AF1006" s="53">
        <f>IF($AC1006&gt;0,SUMIFS(Q$4:Q1005,$D$4:$D1005,$D1006,$Z$4:$Z1005,$Z1006,$C$4:$C1005,$C1006),0)</f>
        <v>0</v>
      </c>
      <c r="AG1006" s="53">
        <f>IF($AC1006&gt;0,SUMIFS(Q$4:Q1005,$D$4:$D1005,$D1006,$C$4:$C1005,$C1006),0)</f>
        <v>0</v>
      </c>
      <c r="AH1006" s="53">
        <f>IF($AC1006&gt;0,SUMIFS(M$4:M1005,$D$4:$D1005,$D1006,$Z$4:$Z1005,$Z1006,$C$4:$C1005,$C1006),0)</f>
        <v>0</v>
      </c>
      <c r="AI1006" s="43">
        <f>IF(OR($C1006="",$I1006=""),0,IF(COUNTIFS($C$5:$C1006,$C1006,$I$5:$I1006,$I1006)=1,1,0))</f>
        <v>0</v>
      </c>
      <c r="AJ1006" s="43" t="str">
        <f>IF($AI1006=1,SUMIFS($AI$4:$AI1005,$C$4:$C1005,$C1006)+1,"")</f>
        <v/>
      </c>
      <c r="AK1006" s="43">
        <f>IF(OR($C1006="",$K1006=""),0,IF(COUNTIFS($C$5:$C1006,$C1006,$K$5:$K1006,$K1006)=1,1,0))</f>
        <v>0</v>
      </c>
      <c r="AL1006" s="43" t="str">
        <f>IF($AK1006=1,SUMIFS($AK$4:$AK1005,$C$4:$C1005,$C1006)+1,"")</f>
        <v/>
      </c>
      <c r="AM1006" s="43">
        <f>IF(OR($C1006="",$G1006=""),0,IF(COUNTIFS($C$5:$C1006,$C1006,$G$5:$G1006,$G1006)=1,1,0))</f>
        <v>0</v>
      </c>
      <c r="AN1006" s="43" t="str">
        <f>IF($AM1006=1,SUMIFS($AM$4:$AM1005,$C$4:$C1005,$C1006)+1,"")</f>
        <v/>
      </c>
    </row>
    <row r="1007">
      <c r="A1007" s="44" t="str">
        <f>IF(OR($B1007="",$D1007=""),"","TX"&amp;TEXT(ROW()-4,"0000"))</f>
        <v/>
      </c>
      <c r="B1007" s="42" t="n"/>
      <c r="C1007" s="47" t="str">
        <f>IF($B1007="","",YEAR($B1007)*100+MONTH($B1007))</f>
        <v/>
      </c>
      <c r="D1007" s="37" t="n"/>
      <c r="E1007" s="45" t="str">
        <f>IF($D1007="","",IFERROR(INDEX(CARDS!$B$5:$B$34,MATCH($D1007,CARDS!$A$5:$A$34,0)),"⚠ Card ID?"))</f>
        <v/>
      </c>
      <c r="F1007" s="45" t="str">
        <f>IF($D1007="","",IFERROR(INDEX(CARDS!$C$5:$C$34,MATCH($D1007,CARDS!$A$5:$A$34,0)),"⚠ Card ID?"))</f>
        <v/>
      </c>
      <c r="G1007" s="37" t="n"/>
      <c r="H1007" s="37" t="n"/>
      <c r="I1007" s="41" t="n"/>
      <c r="J1007" s="45" t="str">
        <f>IF($I1007="","",IFERROR(INDEX(MCC_MASTER!$B$5:$B$504,MATCH($I1007,MCC_MASTER!$A$5:$A$504,0)),"⚠ MCC chưa có"))</f>
        <v/>
      </c>
      <c r="K1007" s="45" t="str">
        <f>IF($I1007="","",IFERROR(IF(INDEX(MCC_MASTER!$C$5:$C$504,MATCH($I1007,MCC_MASTER!$A$5:$A$504,0))="","Chưa phân loại",INDEX(MCC_MASTER!$C$5:$C$504,MATCH($I1007,MCC_MASTER!$A$5:$A$504,0))),"Chưa phân loại"))</f>
        <v/>
      </c>
      <c r="L1007" s="40" t="n"/>
      <c r="M1007" s="48" t="str">
        <f>IF(OR($B1007="",$D1007=""),"",IF($AC1007=0,0,IF(ISNUMBER(INDEX(CASHBACK_RULES!$L$5:$L$304,$AC1007)),MAX(0,MIN($L1007,INDEX(CASHBACK_RULES!$L$5:$L$304,$AC1007)-$AH1007)),MAX(0,$L1007))))</f>
        <v/>
      </c>
      <c r="N1007" s="49" t="str">
        <f>IF(OR($B1007="",$D1007=""),"",IF($AC1007&gt;0,INDEX(CASHBACK_RULES!$I$5:$I$304,$AC1007),0))</f>
        <v/>
      </c>
      <c r="O1007" s="48" t="str">
        <f>IF(OR($B1007="",$D1007=""),"",ROUND($M1007*$N1007,0))</f>
        <v/>
      </c>
      <c r="P1007" s="48" t="str">
        <f>IF($AC1007&gt;0,IF(ISNUMBER(INDEX(CASHBACK_RULES!$J$5:$J$304,$AC1007)),INDEX(CASHBACK_RULES!$J$5:$J$304,$AC1007),"∞"),"")</f>
        <v/>
      </c>
      <c r="Q1007" s="48" t="str">
        <f>IF(OR($B1007="",$D1007=""),"",IF($AC1007=0,0,MAX(0,MIN($O1007,IF(ISNUMBER($P1007),$P1007-$AF1007,1E+15),IF(ISNUMBER($AA1007),$AA1007-$AG1007,1E+15)))))</f>
        <v/>
      </c>
      <c r="R1007" s="48" t="str">
        <f>IF(OR($B1007="",$D1007=""),"",IF($AC1007=0,"",IF(AND(NOT(ISNUMBER($P1007)),NOT(ISNUMBER($AA1007))),"∞",MAX(0,MIN(IF(ISNUMBER($P1007),$P1007-$AF1007-$Q1007,1E+15),IF(ISNUMBER($AA1007),$AA1007-$AG1007-$Q1007,1E+15))))))</f>
        <v/>
      </c>
      <c r="S1007" s="47" t="str">
        <f>IF($AD1007="","",YEAR($AD1007)*100+MONTH($AD1007))</f>
        <v/>
      </c>
      <c r="T1007" s="50" t="str">
        <f>IF($AD1007="","",IFERROR(IF(INDEX(CARDS!$I$5:$I$34,MATCH($D1007,CARDS!$A$5:$A$34,0))="","",IF(INDEX(CARDS!$I$5:$I$34,MATCH($D1007,CARDS!$A$5:$A$34,0))&gt;INDEX(CARDS!$H$5:$H$34,MATCH($D1007,CARDS!$A$5:$A$34,0)),DATE(YEAR($AD1007),MONTH($AD1007),MIN(INDEX(CARDS!$I$5:$I$34,MATCH($D1007,CARDS!$A$5:$A$34,0)),DAY(EOMONTH($AD1007,0)))),DATE(YEAR($AD1007),MONTH($AD1007)+1,MIN(INDEX(CARDS!$I$5:$I$34,MATCH($D1007,CARDS!$A$5:$A$34,0)),DAY(EOMONTH($AD1007,1)))))),""))</f>
        <v/>
      </c>
      <c r="U1007" s="38" t="n"/>
      <c r="V1007" s="37" t="n"/>
      <c r="W1007" s="38" t="n"/>
      <c r="X1007" s="38" t="n"/>
      <c r="Y1007" s="44" t="str">
        <f>IF($AC1007&gt;0,INDEX(CASHBACK_RULES!$A$5:$A$304,$AC1007),"")</f>
        <v/>
      </c>
      <c r="Z1007" s="45" t="str">
        <f>IF($AC1007&gt;0,INDEX(CASHBACK_RULES!$E$5:$E$304,$AC1007)&amp;"","")</f>
        <v/>
      </c>
      <c r="AA1007" s="48" t="str">
        <f>IF($AC1007&gt;0,IF(ISNUMBER(INDEX(CASHBACK_RULES!$K$5:$K$304,$AC1007)),INDEX(CASHBACK_RULES!$K$5:$K$304,$AC1007),"∞"),"")</f>
        <v/>
      </c>
      <c r="AB1007" s="44" t="str">
        <f>IF(OR($B1007="",$D1007=""),"",IF($U1007="Cancelled","Đã hủy",IF($AC1007=0,"Không được hoàn",IF($Q1007=0,IF(OR($O1007&gt;0,$M1007&lt;$L1007),"Đã đạt cap","Không được hoàn"),IF(OR($Q1007&lt;$O1007,$M1007&lt;$L1007),"Hoàn một phần","Được hoàn")))))</f>
        <v/>
      </c>
      <c r="AC1007" s="43">
        <f>IF(OR($B1007="",$D1007="",$I1007="",$L1007=""),0,IF($U1007="Cancelled",0,IF($W1007&lt;&gt;"",IFERROR(IF(INDEX(CASHBACK_RULES!$B$5:$B$304,MATCH($W1007,CASHBACK_RULES!$A$5:$A$304,0))=$D1007,MATCH($W1007,CASHBACK_RULES!$A$5:$A$304,0),0),0),IFERROR(MATCH(1,INDEX((CASHBACK_RULES!$B$5:$B$304=$D1007)*(CASHBACK_RULES!$G$5:$G$304=$I1007)*(((CASHBACK_RULES!$N$5:$N$304="")+(CASHBACK_RULES!$N$5:$N$304&lt;=$B1007))&gt;0)*(((CASHBACK_RULES!$O$5:$O$304="")+(CASHBACK_RULES!$O$5:$O$304&gt;=$B1007))&gt;0)*(((CASHBACK_RULES!$M$5:$M$304="")+(CASHBACK_RULES!$M$5:$M$304&lt;=$L1007))&gt;0),0),0),0))))</f>
        <v>0</v>
      </c>
      <c r="AD1007" s="51" t="str">
        <f>IF(OR($B1007="",$D1007=""),"",IFERROR(IF(INDEX(CARDS!$H$5:$H$34,MATCH($D1007,CARDS!$A$5:$A$34,0))="","",IF(DAY($B1007)&lt;=INDEX(CARDS!$H$5:$H$34,MATCH($D1007,CARDS!$A$5:$A$34,0)),DATE(YEAR($B1007),MONTH($B1007),MIN(INDEX(CARDS!$H$5:$H$34,MATCH($D1007,CARDS!$A$5:$A$34,0)),DAY(EOMONTH($B1007,0)))),DATE(YEAR($B1007),MONTH($B1007)+1,MIN(INDEX(CARDS!$H$5:$H$34,MATCH($D1007,CARDS!$A$5:$A$34,0)),DAY(EOMONTH($B1007,1)))))),""))</f>
        <v/>
      </c>
      <c r="AE1007" s="52" t="str">
        <f>IF($C1007="","",$C1007&amp;"|"&amp;COUNTIF($C$5:$C1007,$C1007))</f>
        <v/>
      </c>
      <c r="AF1007" s="53">
        <f>IF($AC1007&gt;0,SUMIFS(Q$4:Q1006,$D$4:$D1006,$D1007,$Z$4:$Z1006,$Z1007,$C$4:$C1006,$C1007),0)</f>
        <v>0</v>
      </c>
      <c r="AG1007" s="53">
        <f>IF($AC1007&gt;0,SUMIFS(Q$4:Q1006,$D$4:$D1006,$D1007,$C$4:$C1006,$C1007),0)</f>
        <v>0</v>
      </c>
      <c r="AH1007" s="53">
        <f>IF($AC1007&gt;0,SUMIFS(M$4:M1006,$D$4:$D1006,$D1007,$Z$4:$Z1006,$Z1007,$C$4:$C1006,$C1007),0)</f>
        <v>0</v>
      </c>
      <c r="AI1007" s="43">
        <f>IF(OR($C1007="",$I1007=""),0,IF(COUNTIFS($C$5:$C1007,$C1007,$I$5:$I1007,$I1007)=1,1,0))</f>
        <v>0</v>
      </c>
      <c r="AJ1007" s="43" t="str">
        <f>IF($AI1007=1,SUMIFS($AI$4:$AI1006,$C$4:$C1006,$C1007)+1,"")</f>
        <v/>
      </c>
      <c r="AK1007" s="43">
        <f>IF(OR($C1007="",$K1007=""),0,IF(COUNTIFS($C$5:$C1007,$C1007,$K$5:$K1007,$K1007)=1,1,0))</f>
        <v>0</v>
      </c>
      <c r="AL1007" s="43" t="str">
        <f>IF($AK1007=1,SUMIFS($AK$4:$AK1006,$C$4:$C1006,$C1007)+1,"")</f>
        <v/>
      </c>
      <c r="AM1007" s="43">
        <f>IF(OR($C1007="",$G1007=""),0,IF(COUNTIFS($C$5:$C1007,$C1007,$G$5:$G1007,$G1007)=1,1,0))</f>
        <v>0</v>
      </c>
      <c r="AN1007" s="43" t="str">
        <f>IF($AM1007=1,SUMIFS($AM$4:$AM1006,$C$4:$C1006,$C1007)+1,"")</f>
        <v/>
      </c>
    </row>
    <row r="1008">
      <c r="A1008" s="44" t="str">
        <f>IF(OR($B1008="",$D1008=""),"","TX"&amp;TEXT(ROW()-4,"0000"))</f>
        <v/>
      </c>
      <c r="B1008" s="42" t="n"/>
      <c r="C1008" s="47" t="str">
        <f>IF($B1008="","",YEAR($B1008)*100+MONTH($B1008))</f>
        <v/>
      </c>
      <c r="D1008" s="37" t="n"/>
      <c r="E1008" s="45" t="str">
        <f>IF($D1008="","",IFERROR(INDEX(CARDS!$B$5:$B$34,MATCH($D1008,CARDS!$A$5:$A$34,0)),"⚠ Card ID?"))</f>
        <v/>
      </c>
      <c r="F1008" s="45" t="str">
        <f>IF($D1008="","",IFERROR(INDEX(CARDS!$C$5:$C$34,MATCH($D1008,CARDS!$A$5:$A$34,0)),"⚠ Card ID?"))</f>
        <v/>
      </c>
      <c r="G1008" s="37" t="n"/>
      <c r="H1008" s="37" t="n"/>
      <c r="I1008" s="41" t="n"/>
      <c r="J1008" s="45" t="str">
        <f>IF($I1008="","",IFERROR(INDEX(MCC_MASTER!$B$5:$B$504,MATCH($I1008,MCC_MASTER!$A$5:$A$504,0)),"⚠ MCC chưa có"))</f>
        <v/>
      </c>
      <c r="K1008" s="45" t="str">
        <f>IF($I1008="","",IFERROR(IF(INDEX(MCC_MASTER!$C$5:$C$504,MATCH($I1008,MCC_MASTER!$A$5:$A$504,0))="","Chưa phân loại",INDEX(MCC_MASTER!$C$5:$C$504,MATCH($I1008,MCC_MASTER!$A$5:$A$504,0))),"Chưa phân loại"))</f>
        <v/>
      </c>
      <c r="L1008" s="40" t="n"/>
      <c r="M1008" s="48" t="str">
        <f>IF(OR($B1008="",$D1008=""),"",IF($AC1008=0,0,IF(ISNUMBER(INDEX(CASHBACK_RULES!$L$5:$L$304,$AC1008)),MAX(0,MIN($L1008,INDEX(CASHBACK_RULES!$L$5:$L$304,$AC1008)-$AH1008)),MAX(0,$L1008))))</f>
        <v/>
      </c>
      <c r="N1008" s="49" t="str">
        <f>IF(OR($B1008="",$D1008=""),"",IF($AC1008&gt;0,INDEX(CASHBACK_RULES!$I$5:$I$304,$AC1008),0))</f>
        <v/>
      </c>
      <c r="O1008" s="48" t="str">
        <f>IF(OR($B1008="",$D1008=""),"",ROUND($M1008*$N1008,0))</f>
        <v/>
      </c>
      <c r="P1008" s="48" t="str">
        <f>IF($AC1008&gt;0,IF(ISNUMBER(INDEX(CASHBACK_RULES!$J$5:$J$304,$AC1008)),INDEX(CASHBACK_RULES!$J$5:$J$304,$AC1008),"∞"),"")</f>
        <v/>
      </c>
      <c r="Q1008" s="48" t="str">
        <f>IF(OR($B1008="",$D1008=""),"",IF($AC1008=0,0,MAX(0,MIN($O1008,IF(ISNUMBER($P1008),$P1008-$AF1008,1E+15),IF(ISNUMBER($AA1008),$AA1008-$AG1008,1E+15)))))</f>
        <v/>
      </c>
      <c r="R1008" s="48" t="str">
        <f>IF(OR($B1008="",$D1008=""),"",IF($AC1008=0,"",IF(AND(NOT(ISNUMBER($P1008)),NOT(ISNUMBER($AA1008))),"∞",MAX(0,MIN(IF(ISNUMBER($P1008),$P1008-$AF1008-$Q1008,1E+15),IF(ISNUMBER($AA1008),$AA1008-$AG1008-$Q1008,1E+15))))))</f>
        <v/>
      </c>
      <c r="S1008" s="47" t="str">
        <f>IF($AD1008="","",YEAR($AD1008)*100+MONTH($AD1008))</f>
        <v/>
      </c>
      <c r="T1008" s="50" t="str">
        <f>IF($AD1008="","",IFERROR(IF(INDEX(CARDS!$I$5:$I$34,MATCH($D1008,CARDS!$A$5:$A$34,0))="","",IF(INDEX(CARDS!$I$5:$I$34,MATCH($D1008,CARDS!$A$5:$A$34,0))&gt;INDEX(CARDS!$H$5:$H$34,MATCH($D1008,CARDS!$A$5:$A$34,0)),DATE(YEAR($AD1008),MONTH($AD1008),MIN(INDEX(CARDS!$I$5:$I$34,MATCH($D1008,CARDS!$A$5:$A$34,0)),DAY(EOMONTH($AD1008,0)))),DATE(YEAR($AD1008),MONTH($AD1008)+1,MIN(INDEX(CARDS!$I$5:$I$34,MATCH($D1008,CARDS!$A$5:$A$34,0)),DAY(EOMONTH($AD1008,1)))))),""))</f>
        <v/>
      </c>
      <c r="U1008" s="38" t="n"/>
      <c r="V1008" s="37" t="n"/>
      <c r="W1008" s="38" t="n"/>
      <c r="X1008" s="38" t="n"/>
      <c r="Y1008" s="44" t="str">
        <f>IF($AC1008&gt;0,INDEX(CASHBACK_RULES!$A$5:$A$304,$AC1008),"")</f>
        <v/>
      </c>
      <c r="Z1008" s="45" t="str">
        <f>IF($AC1008&gt;0,INDEX(CASHBACK_RULES!$E$5:$E$304,$AC1008)&amp;"","")</f>
        <v/>
      </c>
      <c r="AA1008" s="48" t="str">
        <f>IF($AC1008&gt;0,IF(ISNUMBER(INDEX(CASHBACK_RULES!$K$5:$K$304,$AC1008)),INDEX(CASHBACK_RULES!$K$5:$K$304,$AC1008),"∞"),"")</f>
        <v/>
      </c>
      <c r="AB1008" s="44" t="str">
        <f>IF(OR($B1008="",$D1008=""),"",IF($U1008="Cancelled","Đã hủy",IF($AC1008=0,"Không được hoàn",IF($Q1008=0,IF(OR($O1008&gt;0,$M1008&lt;$L1008),"Đã đạt cap","Không được hoàn"),IF(OR($Q1008&lt;$O1008,$M1008&lt;$L1008),"Hoàn một phần","Được hoàn")))))</f>
        <v/>
      </c>
      <c r="AC1008" s="43">
        <f>IF(OR($B1008="",$D1008="",$I1008="",$L1008=""),0,IF($U1008="Cancelled",0,IF($W1008&lt;&gt;"",IFERROR(IF(INDEX(CASHBACK_RULES!$B$5:$B$304,MATCH($W1008,CASHBACK_RULES!$A$5:$A$304,0))=$D1008,MATCH($W1008,CASHBACK_RULES!$A$5:$A$304,0),0),0),IFERROR(MATCH(1,INDEX((CASHBACK_RULES!$B$5:$B$304=$D1008)*(CASHBACK_RULES!$G$5:$G$304=$I1008)*(((CASHBACK_RULES!$N$5:$N$304="")+(CASHBACK_RULES!$N$5:$N$304&lt;=$B1008))&gt;0)*(((CASHBACK_RULES!$O$5:$O$304="")+(CASHBACK_RULES!$O$5:$O$304&gt;=$B1008))&gt;0)*(((CASHBACK_RULES!$M$5:$M$304="")+(CASHBACK_RULES!$M$5:$M$304&lt;=$L1008))&gt;0),0),0),0))))</f>
        <v>0</v>
      </c>
      <c r="AD1008" s="51" t="str">
        <f>IF(OR($B1008="",$D1008=""),"",IFERROR(IF(INDEX(CARDS!$H$5:$H$34,MATCH($D1008,CARDS!$A$5:$A$34,0))="","",IF(DAY($B1008)&lt;=INDEX(CARDS!$H$5:$H$34,MATCH($D1008,CARDS!$A$5:$A$34,0)),DATE(YEAR($B1008),MONTH($B1008),MIN(INDEX(CARDS!$H$5:$H$34,MATCH($D1008,CARDS!$A$5:$A$34,0)),DAY(EOMONTH($B1008,0)))),DATE(YEAR($B1008),MONTH($B1008)+1,MIN(INDEX(CARDS!$H$5:$H$34,MATCH($D1008,CARDS!$A$5:$A$34,0)),DAY(EOMONTH($B1008,1)))))),""))</f>
        <v/>
      </c>
      <c r="AE1008" s="52" t="str">
        <f>IF($C1008="","",$C1008&amp;"|"&amp;COUNTIF($C$5:$C1008,$C1008))</f>
        <v/>
      </c>
      <c r="AF1008" s="53">
        <f>IF($AC1008&gt;0,SUMIFS(Q$4:Q1007,$D$4:$D1007,$D1008,$Z$4:$Z1007,$Z1008,$C$4:$C1007,$C1008),0)</f>
        <v>0</v>
      </c>
      <c r="AG1008" s="53">
        <f>IF($AC1008&gt;0,SUMIFS(Q$4:Q1007,$D$4:$D1007,$D1008,$C$4:$C1007,$C1008),0)</f>
        <v>0</v>
      </c>
      <c r="AH1008" s="53">
        <f>IF($AC1008&gt;0,SUMIFS(M$4:M1007,$D$4:$D1007,$D1008,$Z$4:$Z1007,$Z1008,$C$4:$C1007,$C1008),0)</f>
        <v>0</v>
      </c>
      <c r="AI1008" s="43">
        <f>IF(OR($C1008="",$I1008=""),0,IF(COUNTIFS($C$5:$C1008,$C1008,$I$5:$I1008,$I1008)=1,1,0))</f>
        <v>0</v>
      </c>
      <c r="AJ1008" s="43" t="str">
        <f>IF($AI1008=1,SUMIFS($AI$4:$AI1007,$C$4:$C1007,$C1008)+1,"")</f>
        <v/>
      </c>
      <c r="AK1008" s="43">
        <f>IF(OR($C1008="",$K1008=""),0,IF(COUNTIFS($C$5:$C1008,$C1008,$K$5:$K1008,$K1008)=1,1,0))</f>
        <v>0</v>
      </c>
      <c r="AL1008" s="43" t="str">
        <f>IF($AK1008=1,SUMIFS($AK$4:$AK1007,$C$4:$C1007,$C1008)+1,"")</f>
        <v/>
      </c>
      <c r="AM1008" s="43">
        <f>IF(OR($C1008="",$G1008=""),0,IF(COUNTIFS($C$5:$C1008,$C1008,$G$5:$G1008,$G1008)=1,1,0))</f>
        <v>0</v>
      </c>
      <c r="AN1008" s="43" t="str">
        <f>IF($AM1008=1,SUMIFS($AM$4:$AM1007,$C$4:$C1007,$C1008)+1,"")</f>
        <v/>
      </c>
    </row>
    <row r="1009">
      <c r="A1009" s="44" t="str">
        <f>IF(OR($B1009="",$D1009=""),"","TX"&amp;TEXT(ROW()-4,"0000"))</f>
        <v/>
      </c>
      <c r="B1009" s="42" t="n"/>
      <c r="C1009" s="47" t="str">
        <f>IF($B1009="","",YEAR($B1009)*100+MONTH($B1009))</f>
        <v/>
      </c>
      <c r="D1009" s="37" t="n"/>
      <c r="E1009" s="45" t="str">
        <f>IF($D1009="","",IFERROR(INDEX(CARDS!$B$5:$B$34,MATCH($D1009,CARDS!$A$5:$A$34,0)),"⚠ Card ID?"))</f>
        <v/>
      </c>
      <c r="F1009" s="45" t="str">
        <f>IF($D1009="","",IFERROR(INDEX(CARDS!$C$5:$C$34,MATCH($D1009,CARDS!$A$5:$A$34,0)),"⚠ Card ID?"))</f>
        <v/>
      </c>
      <c r="G1009" s="37" t="n"/>
      <c r="H1009" s="37" t="n"/>
      <c r="I1009" s="41" t="n"/>
      <c r="J1009" s="45" t="str">
        <f>IF($I1009="","",IFERROR(INDEX(MCC_MASTER!$B$5:$B$504,MATCH($I1009,MCC_MASTER!$A$5:$A$504,0)),"⚠ MCC chưa có"))</f>
        <v/>
      </c>
      <c r="K1009" s="45" t="str">
        <f>IF($I1009="","",IFERROR(IF(INDEX(MCC_MASTER!$C$5:$C$504,MATCH($I1009,MCC_MASTER!$A$5:$A$504,0))="","Chưa phân loại",INDEX(MCC_MASTER!$C$5:$C$504,MATCH($I1009,MCC_MASTER!$A$5:$A$504,0))),"Chưa phân loại"))</f>
        <v/>
      </c>
      <c r="L1009" s="40" t="n"/>
      <c r="M1009" s="48" t="str">
        <f>IF(OR($B1009="",$D1009=""),"",IF($AC1009=0,0,IF(ISNUMBER(INDEX(CASHBACK_RULES!$L$5:$L$304,$AC1009)),MAX(0,MIN($L1009,INDEX(CASHBACK_RULES!$L$5:$L$304,$AC1009)-$AH1009)),MAX(0,$L1009))))</f>
        <v/>
      </c>
      <c r="N1009" s="49" t="str">
        <f>IF(OR($B1009="",$D1009=""),"",IF($AC1009&gt;0,INDEX(CASHBACK_RULES!$I$5:$I$304,$AC1009),0))</f>
        <v/>
      </c>
      <c r="O1009" s="48" t="str">
        <f>IF(OR($B1009="",$D1009=""),"",ROUND($M1009*$N1009,0))</f>
        <v/>
      </c>
      <c r="P1009" s="48" t="str">
        <f>IF($AC1009&gt;0,IF(ISNUMBER(INDEX(CASHBACK_RULES!$J$5:$J$304,$AC1009)),INDEX(CASHBACK_RULES!$J$5:$J$304,$AC1009),"∞"),"")</f>
        <v/>
      </c>
      <c r="Q1009" s="48" t="str">
        <f>IF(OR($B1009="",$D1009=""),"",IF($AC1009=0,0,MAX(0,MIN($O1009,IF(ISNUMBER($P1009),$P1009-$AF1009,1E+15),IF(ISNUMBER($AA1009),$AA1009-$AG1009,1E+15)))))</f>
        <v/>
      </c>
      <c r="R1009" s="48" t="str">
        <f>IF(OR($B1009="",$D1009=""),"",IF($AC1009=0,"",IF(AND(NOT(ISNUMBER($P1009)),NOT(ISNUMBER($AA1009))),"∞",MAX(0,MIN(IF(ISNUMBER($P1009),$P1009-$AF1009-$Q1009,1E+15),IF(ISNUMBER($AA1009),$AA1009-$AG1009-$Q1009,1E+15))))))</f>
        <v/>
      </c>
      <c r="S1009" s="47" t="str">
        <f>IF($AD1009="","",YEAR($AD1009)*100+MONTH($AD1009))</f>
        <v/>
      </c>
      <c r="T1009" s="50" t="str">
        <f>IF($AD1009="","",IFERROR(IF(INDEX(CARDS!$I$5:$I$34,MATCH($D1009,CARDS!$A$5:$A$34,0))="","",IF(INDEX(CARDS!$I$5:$I$34,MATCH($D1009,CARDS!$A$5:$A$34,0))&gt;INDEX(CARDS!$H$5:$H$34,MATCH($D1009,CARDS!$A$5:$A$34,0)),DATE(YEAR($AD1009),MONTH($AD1009),MIN(INDEX(CARDS!$I$5:$I$34,MATCH($D1009,CARDS!$A$5:$A$34,0)),DAY(EOMONTH($AD1009,0)))),DATE(YEAR($AD1009),MONTH($AD1009)+1,MIN(INDEX(CARDS!$I$5:$I$34,MATCH($D1009,CARDS!$A$5:$A$34,0)),DAY(EOMONTH($AD1009,1)))))),""))</f>
        <v/>
      </c>
      <c r="U1009" s="38" t="n"/>
      <c r="V1009" s="37" t="n"/>
      <c r="W1009" s="38" t="n"/>
      <c r="X1009" s="38" t="n"/>
      <c r="Y1009" s="44" t="str">
        <f>IF($AC1009&gt;0,INDEX(CASHBACK_RULES!$A$5:$A$304,$AC1009),"")</f>
        <v/>
      </c>
      <c r="Z1009" s="45" t="str">
        <f>IF($AC1009&gt;0,INDEX(CASHBACK_RULES!$E$5:$E$304,$AC1009)&amp;"","")</f>
        <v/>
      </c>
      <c r="AA1009" s="48" t="str">
        <f>IF($AC1009&gt;0,IF(ISNUMBER(INDEX(CASHBACK_RULES!$K$5:$K$304,$AC1009)),INDEX(CASHBACK_RULES!$K$5:$K$304,$AC1009),"∞"),"")</f>
        <v/>
      </c>
      <c r="AB1009" s="44" t="str">
        <f>IF(OR($B1009="",$D1009=""),"",IF($U1009="Cancelled","Đã hủy",IF($AC1009=0,"Không được hoàn",IF($Q1009=0,IF(OR($O1009&gt;0,$M1009&lt;$L1009),"Đã đạt cap","Không được hoàn"),IF(OR($Q1009&lt;$O1009,$M1009&lt;$L1009),"Hoàn một phần","Được hoàn")))))</f>
        <v/>
      </c>
      <c r="AC1009" s="43">
        <f>IF(OR($B1009="",$D1009="",$I1009="",$L1009=""),0,IF($U1009="Cancelled",0,IF($W1009&lt;&gt;"",IFERROR(IF(INDEX(CASHBACK_RULES!$B$5:$B$304,MATCH($W1009,CASHBACK_RULES!$A$5:$A$304,0))=$D1009,MATCH($W1009,CASHBACK_RULES!$A$5:$A$304,0),0),0),IFERROR(MATCH(1,INDEX((CASHBACK_RULES!$B$5:$B$304=$D1009)*(CASHBACK_RULES!$G$5:$G$304=$I1009)*(((CASHBACK_RULES!$N$5:$N$304="")+(CASHBACK_RULES!$N$5:$N$304&lt;=$B1009))&gt;0)*(((CASHBACK_RULES!$O$5:$O$304="")+(CASHBACK_RULES!$O$5:$O$304&gt;=$B1009))&gt;0)*(((CASHBACK_RULES!$M$5:$M$304="")+(CASHBACK_RULES!$M$5:$M$304&lt;=$L1009))&gt;0),0),0),0))))</f>
        <v>0</v>
      </c>
      <c r="AD1009" s="51" t="str">
        <f>IF(OR($B1009="",$D1009=""),"",IFERROR(IF(INDEX(CARDS!$H$5:$H$34,MATCH($D1009,CARDS!$A$5:$A$34,0))="","",IF(DAY($B1009)&lt;=INDEX(CARDS!$H$5:$H$34,MATCH($D1009,CARDS!$A$5:$A$34,0)),DATE(YEAR($B1009),MONTH($B1009),MIN(INDEX(CARDS!$H$5:$H$34,MATCH($D1009,CARDS!$A$5:$A$34,0)),DAY(EOMONTH($B1009,0)))),DATE(YEAR($B1009),MONTH($B1009)+1,MIN(INDEX(CARDS!$H$5:$H$34,MATCH($D1009,CARDS!$A$5:$A$34,0)),DAY(EOMONTH($B1009,1)))))),""))</f>
        <v/>
      </c>
      <c r="AE1009" s="52" t="str">
        <f>IF($C1009="","",$C1009&amp;"|"&amp;COUNTIF($C$5:$C1009,$C1009))</f>
        <v/>
      </c>
      <c r="AF1009" s="53">
        <f>IF($AC1009&gt;0,SUMIFS(Q$4:Q1008,$D$4:$D1008,$D1009,$Z$4:$Z1008,$Z1009,$C$4:$C1008,$C1009),0)</f>
        <v>0</v>
      </c>
      <c r="AG1009" s="53">
        <f>IF($AC1009&gt;0,SUMIFS(Q$4:Q1008,$D$4:$D1008,$D1009,$C$4:$C1008,$C1009),0)</f>
        <v>0</v>
      </c>
      <c r="AH1009" s="53">
        <f>IF($AC1009&gt;0,SUMIFS(M$4:M1008,$D$4:$D1008,$D1009,$Z$4:$Z1008,$Z1009,$C$4:$C1008,$C1009),0)</f>
        <v>0</v>
      </c>
      <c r="AI1009" s="43">
        <f>IF(OR($C1009="",$I1009=""),0,IF(COUNTIFS($C$5:$C1009,$C1009,$I$5:$I1009,$I1009)=1,1,0))</f>
        <v>0</v>
      </c>
      <c r="AJ1009" s="43" t="str">
        <f>IF($AI1009=1,SUMIFS($AI$4:$AI1008,$C$4:$C1008,$C1009)+1,"")</f>
        <v/>
      </c>
      <c r="AK1009" s="43">
        <f>IF(OR($C1009="",$K1009=""),0,IF(COUNTIFS($C$5:$C1009,$C1009,$K$5:$K1009,$K1009)=1,1,0))</f>
        <v>0</v>
      </c>
      <c r="AL1009" s="43" t="str">
        <f>IF($AK1009=1,SUMIFS($AK$4:$AK1008,$C$4:$C1008,$C1009)+1,"")</f>
        <v/>
      </c>
      <c r="AM1009" s="43">
        <f>IF(OR($C1009="",$G1009=""),0,IF(COUNTIFS($C$5:$C1009,$C1009,$G$5:$G1009,$G1009)=1,1,0))</f>
        <v>0</v>
      </c>
      <c r="AN1009" s="43" t="str">
        <f>IF($AM1009=1,SUMIFS($AM$4:$AM1008,$C$4:$C1008,$C1009)+1,"")</f>
        <v/>
      </c>
    </row>
    <row r="1010">
      <c r="A1010" s="44" t="str">
        <f>IF(OR($B1010="",$D1010=""),"","TX"&amp;TEXT(ROW()-4,"0000"))</f>
        <v/>
      </c>
      <c r="B1010" s="42" t="n"/>
      <c r="C1010" s="47" t="str">
        <f>IF($B1010="","",YEAR($B1010)*100+MONTH($B1010))</f>
        <v/>
      </c>
      <c r="D1010" s="37" t="n"/>
      <c r="E1010" s="45" t="str">
        <f>IF($D1010="","",IFERROR(INDEX(CARDS!$B$5:$B$34,MATCH($D1010,CARDS!$A$5:$A$34,0)),"⚠ Card ID?"))</f>
        <v/>
      </c>
      <c r="F1010" s="45" t="str">
        <f>IF($D1010="","",IFERROR(INDEX(CARDS!$C$5:$C$34,MATCH($D1010,CARDS!$A$5:$A$34,0)),"⚠ Card ID?"))</f>
        <v/>
      </c>
      <c r="G1010" s="37" t="n"/>
      <c r="H1010" s="37" t="n"/>
      <c r="I1010" s="41" t="n"/>
      <c r="J1010" s="45" t="str">
        <f>IF($I1010="","",IFERROR(INDEX(MCC_MASTER!$B$5:$B$504,MATCH($I1010,MCC_MASTER!$A$5:$A$504,0)),"⚠ MCC chưa có"))</f>
        <v/>
      </c>
      <c r="K1010" s="45" t="str">
        <f>IF($I1010="","",IFERROR(IF(INDEX(MCC_MASTER!$C$5:$C$504,MATCH($I1010,MCC_MASTER!$A$5:$A$504,0))="","Chưa phân loại",INDEX(MCC_MASTER!$C$5:$C$504,MATCH($I1010,MCC_MASTER!$A$5:$A$504,0))),"Chưa phân loại"))</f>
        <v/>
      </c>
      <c r="L1010" s="40" t="n"/>
      <c r="M1010" s="48" t="str">
        <f>IF(OR($B1010="",$D1010=""),"",IF($AC1010=0,0,IF(ISNUMBER(INDEX(CASHBACK_RULES!$L$5:$L$304,$AC1010)),MAX(0,MIN($L1010,INDEX(CASHBACK_RULES!$L$5:$L$304,$AC1010)-$AH1010)),MAX(0,$L1010))))</f>
        <v/>
      </c>
      <c r="N1010" s="49" t="str">
        <f>IF(OR($B1010="",$D1010=""),"",IF($AC1010&gt;0,INDEX(CASHBACK_RULES!$I$5:$I$304,$AC1010),0))</f>
        <v/>
      </c>
      <c r="O1010" s="48" t="str">
        <f>IF(OR($B1010="",$D1010=""),"",ROUND($M1010*$N1010,0))</f>
        <v/>
      </c>
      <c r="P1010" s="48" t="str">
        <f>IF($AC1010&gt;0,IF(ISNUMBER(INDEX(CASHBACK_RULES!$J$5:$J$304,$AC1010)),INDEX(CASHBACK_RULES!$J$5:$J$304,$AC1010),"∞"),"")</f>
        <v/>
      </c>
      <c r="Q1010" s="48" t="str">
        <f>IF(OR($B1010="",$D1010=""),"",IF($AC1010=0,0,MAX(0,MIN($O1010,IF(ISNUMBER($P1010),$P1010-$AF1010,1E+15),IF(ISNUMBER($AA1010),$AA1010-$AG1010,1E+15)))))</f>
        <v/>
      </c>
      <c r="R1010" s="48" t="str">
        <f>IF(OR($B1010="",$D1010=""),"",IF($AC1010=0,"",IF(AND(NOT(ISNUMBER($P1010)),NOT(ISNUMBER($AA1010))),"∞",MAX(0,MIN(IF(ISNUMBER($P1010),$P1010-$AF1010-$Q1010,1E+15),IF(ISNUMBER($AA1010),$AA1010-$AG1010-$Q1010,1E+15))))))</f>
        <v/>
      </c>
      <c r="S1010" s="47" t="str">
        <f>IF($AD1010="","",YEAR($AD1010)*100+MONTH($AD1010))</f>
        <v/>
      </c>
      <c r="T1010" s="50" t="str">
        <f>IF($AD1010="","",IFERROR(IF(INDEX(CARDS!$I$5:$I$34,MATCH($D1010,CARDS!$A$5:$A$34,0))="","",IF(INDEX(CARDS!$I$5:$I$34,MATCH($D1010,CARDS!$A$5:$A$34,0))&gt;INDEX(CARDS!$H$5:$H$34,MATCH($D1010,CARDS!$A$5:$A$34,0)),DATE(YEAR($AD1010),MONTH($AD1010),MIN(INDEX(CARDS!$I$5:$I$34,MATCH($D1010,CARDS!$A$5:$A$34,0)),DAY(EOMONTH($AD1010,0)))),DATE(YEAR($AD1010),MONTH($AD1010)+1,MIN(INDEX(CARDS!$I$5:$I$34,MATCH($D1010,CARDS!$A$5:$A$34,0)),DAY(EOMONTH($AD1010,1)))))),""))</f>
        <v/>
      </c>
      <c r="U1010" s="38" t="n"/>
      <c r="V1010" s="37" t="n"/>
      <c r="W1010" s="38" t="n"/>
      <c r="X1010" s="38" t="n"/>
      <c r="Y1010" s="44" t="str">
        <f>IF($AC1010&gt;0,INDEX(CASHBACK_RULES!$A$5:$A$304,$AC1010),"")</f>
        <v/>
      </c>
      <c r="Z1010" s="45" t="str">
        <f>IF($AC1010&gt;0,INDEX(CASHBACK_RULES!$E$5:$E$304,$AC1010)&amp;"","")</f>
        <v/>
      </c>
      <c r="AA1010" s="48" t="str">
        <f>IF($AC1010&gt;0,IF(ISNUMBER(INDEX(CASHBACK_RULES!$K$5:$K$304,$AC1010)),INDEX(CASHBACK_RULES!$K$5:$K$304,$AC1010),"∞"),"")</f>
        <v/>
      </c>
      <c r="AB1010" s="44" t="str">
        <f>IF(OR($B1010="",$D1010=""),"",IF($U1010="Cancelled","Đã hủy",IF($AC1010=0,"Không được hoàn",IF($Q1010=0,IF(OR($O1010&gt;0,$M1010&lt;$L1010),"Đã đạt cap","Không được hoàn"),IF(OR($Q1010&lt;$O1010,$M1010&lt;$L1010),"Hoàn một phần","Được hoàn")))))</f>
        <v/>
      </c>
      <c r="AC1010" s="43">
        <f>IF(OR($B1010="",$D1010="",$I1010="",$L1010=""),0,IF($U1010="Cancelled",0,IF($W1010&lt;&gt;"",IFERROR(IF(INDEX(CASHBACK_RULES!$B$5:$B$304,MATCH($W1010,CASHBACK_RULES!$A$5:$A$304,0))=$D1010,MATCH($W1010,CASHBACK_RULES!$A$5:$A$304,0),0),0),IFERROR(MATCH(1,INDEX((CASHBACK_RULES!$B$5:$B$304=$D1010)*(CASHBACK_RULES!$G$5:$G$304=$I1010)*(((CASHBACK_RULES!$N$5:$N$304="")+(CASHBACK_RULES!$N$5:$N$304&lt;=$B1010))&gt;0)*(((CASHBACK_RULES!$O$5:$O$304="")+(CASHBACK_RULES!$O$5:$O$304&gt;=$B1010))&gt;0)*(((CASHBACK_RULES!$M$5:$M$304="")+(CASHBACK_RULES!$M$5:$M$304&lt;=$L1010))&gt;0),0),0),0))))</f>
        <v>0</v>
      </c>
      <c r="AD1010" s="51" t="str">
        <f>IF(OR($B1010="",$D1010=""),"",IFERROR(IF(INDEX(CARDS!$H$5:$H$34,MATCH($D1010,CARDS!$A$5:$A$34,0))="","",IF(DAY($B1010)&lt;=INDEX(CARDS!$H$5:$H$34,MATCH($D1010,CARDS!$A$5:$A$34,0)),DATE(YEAR($B1010),MONTH($B1010),MIN(INDEX(CARDS!$H$5:$H$34,MATCH($D1010,CARDS!$A$5:$A$34,0)),DAY(EOMONTH($B1010,0)))),DATE(YEAR($B1010),MONTH($B1010)+1,MIN(INDEX(CARDS!$H$5:$H$34,MATCH($D1010,CARDS!$A$5:$A$34,0)),DAY(EOMONTH($B1010,1)))))),""))</f>
        <v/>
      </c>
      <c r="AE1010" s="52" t="str">
        <f>IF($C1010="","",$C1010&amp;"|"&amp;COUNTIF($C$5:$C1010,$C1010))</f>
        <v/>
      </c>
      <c r="AF1010" s="53">
        <f>IF($AC1010&gt;0,SUMIFS(Q$4:Q1009,$D$4:$D1009,$D1010,$Z$4:$Z1009,$Z1010,$C$4:$C1009,$C1010),0)</f>
        <v>0</v>
      </c>
      <c r="AG1010" s="53">
        <f>IF($AC1010&gt;0,SUMIFS(Q$4:Q1009,$D$4:$D1009,$D1010,$C$4:$C1009,$C1010),0)</f>
        <v>0</v>
      </c>
      <c r="AH1010" s="53">
        <f>IF($AC1010&gt;0,SUMIFS(M$4:M1009,$D$4:$D1009,$D1010,$Z$4:$Z1009,$Z1010,$C$4:$C1009,$C1010),0)</f>
        <v>0</v>
      </c>
      <c r="AI1010" s="43">
        <f>IF(OR($C1010="",$I1010=""),0,IF(COUNTIFS($C$5:$C1010,$C1010,$I$5:$I1010,$I1010)=1,1,0))</f>
        <v>0</v>
      </c>
      <c r="AJ1010" s="43" t="str">
        <f>IF($AI1010=1,SUMIFS($AI$4:$AI1009,$C$4:$C1009,$C1010)+1,"")</f>
        <v/>
      </c>
      <c r="AK1010" s="43">
        <f>IF(OR($C1010="",$K1010=""),0,IF(COUNTIFS($C$5:$C1010,$C1010,$K$5:$K1010,$K1010)=1,1,0))</f>
        <v>0</v>
      </c>
      <c r="AL1010" s="43" t="str">
        <f>IF($AK1010=1,SUMIFS($AK$4:$AK1009,$C$4:$C1009,$C1010)+1,"")</f>
        <v/>
      </c>
      <c r="AM1010" s="43">
        <f>IF(OR($C1010="",$G1010=""),0,IF(COUNTIFS($C$5:$C1010,$C1010,$G$5:$G1010,$G1010)=1,1,0))</f>
        <v>0</v>
      </c>
      <c r="AN1010" s="43" t="str">
        <f>IF($AM1010=1,SUMIFS($AM$4:$AM1009,$C$4:$C1009,$C1010)+1,"")</f>
        <v/>
      </c>
    </row>
    <row r="1011">
      <c r="A1011" s="44" t="str">
        <f>IF(OR($B1011="",$D1011=""),"","TX"&amp;TEXT(ROW()-4,"0000"))</f>
        <v/>
      </c>
      <c r="B1011" s="42" t="n"/>
      <c r="C1011" s="47" t="str">
        <f>IF($B1011="","",YEAR($B1011)*100+MONTH($B1011))</f>
        <v/>
      </c>
      <c r="D1011" s="37" t="n"/>
      <c r="E1011" s="45" t="str">
        <f>IF($D1011="","",IFERROR(INDEX(CARDS!$B$5:$B$34,MATCH($D1011,CARDS!$A$5:$A$34,0)),"⚠ Card ID?"))</f>
        <v/>
      </c>
      <c r="F1011" s="45" t="str">
        <f>IF($D1011="","",IFERROR(INDEX(CARDS!$C$5:$C$34,MATCH($D1011,CARDS!$A$5:$A$34,0)),"⚠ Card ID?"))</f>
        <v/>
      </c>
      <c r="G1011" s="37" t="n"/>
      <c r="H1011" s="37" t="n"/>
      <c r="I1011" s="41" t="n"/>
      <c r="J1011" s="45" t="str">
        <f>IF($I1011="","",IFERROR(INDEX(MCC_MASTER!$B$5:$B$504,MATCH($I1011,MCC_MASTER!$A$5:$A$504,0)),"⚠ MCC chưa có"))</f>
        <v/>
      </c>
      <c r="K1011" s="45" t="str">
        <f>IF($I1011="","",IFERROR(IF(INDEX(MCC_MASTER!$C$5:$C$504,MATCH($I1011,MCC_MASTER!$A$5:$A$504,0))="","Chưa phân loại",INDEX(MCC_MASTER!$C$5:$C$504,MATCH($I1011,MCC_MASTER!$A$5:$A$504,0))),"Chưa phân loại"))</f>
        <v/>
      </c>
      <c r="L1011" s="40" t="n"/>
      <c r="M1011" s="48" t="str">
        <f>IF(OR($B1011="",$D1011=""),"",IF($AC1011=0,0,IF(ISNUMBER(INDEX(CASHBACK_RULES!$L$5:$L$304,$AC1011)),MAX(0,MIN($L1011,INDEX(CASHBACK_RULES!$L$5:$L$304,$AC1011)-$AH1011)),MAX(0,$L1011))))</f>
        <v/>
      </c>
      <c r="N1011" s="49" t="str">
        <f>IF(OR($B1011="",$D1011=""),"",IF($AC1011&gt;0,INDEX(CASHBACK_RULES!$I$5:$I$304,$AC1011),0))</f>
        <v/>
      </c>
      <c r="O1011" s="48" t="str">
        <f>IF(OR($B1011="",$D1011=""),"",ROUND($M1011*$N1011,0))</f>
        <v/>
      </c>
      <c r="P1011" s="48" t="str">
        <f>IF($AC1011&gt;0,IF(ISNUMBER(INDEX(CASHBACK_RULES!$J$5:$J$304,$AC1011)),INDEX(CASHBACK_RULES!$J$5:$J$304,$AC1011),"∞"),"")</f>
        <v/>
      </c>
      <c r="Q1011" s="48" t="str">
        <f>IF(OR($B1011="",$D1011=""),"",IF($AC1011=0,0,MAX(0,MIN($O1011,IF(ISNUMBER($P1011),$P1011-$AF1011,1E+15),IF(ISNUMBER($AA1011),$AA1011-$AG1011,1E+15)))))</f>
        <v/>
      </c>
      <c r="R1011" s="48" t="str">
        <f>IF(OR($B1011="",$D1011=""),"",IF($AC1011=0,"",IF(AND(NOT(ISNUMBER($P1011)),NOT(ISNUMBER($AA1011))),"∞",MAX(0,MIN(IF(ISNUMBER($P1011),$P1011-$AF1011-$Q1011,1E+15),IF(ISNUMBER($AA1011),$AA1011-$AG1011-$Q1011,1E+15))))))</f>
        <v/>
      </c>
      <c r="S1011" s="47" t="str">
        <f>IF($AD1011="","",YEAR($AD1011)*100+MONTH($AD1011))</f>
        <v/>
      </c>
      <c r="T1011" s="50" t="str">
        <f>IF($AD1011="","",IFERROR(IF(INDEX(CARDS!$I$5:$I$34,MATCH($D1011,CARDS!$A$5:$A$34,0))="","",IF(INDEX(CARDS!$I$5:$I$34,MATCH($D1011,CARDS!$A$5:$A$34,0))&gt;INDEX(CARDS!$H$5:$H$34,MATCH($D1011,CARDS!$A$5:$A$34,0)),DATE(YEAR($AD1011),MONTH($AD1011),MIN(INDEX(CARDS!$I$5:$I$34,MATCH($D1011,CARDS!$A$5:$A$34,0)),DAY(EOMONTH($AD1011,0)))),DATE(YEAR($AD1011),MONTH($AD1011)+1,MIN(INDEX(CARDS!$I$5:$I$34,MATCH($D1011,CARDS!$A$5:$A$34,0)),DAY(EOMONTH($AD1011,1)))))),""))</f>
        <v/>
      </c>
      <c r="U1011" s="38" t="n"/>
      <c r="V1011" s="37" t="n"/>
      <c r="W1011" s="38" t="n"/>
      <c r="X1011" s="38" t="n"/>
      <c r="Y1011" s="44" t="str">
        <f>IF($AC1011&gt;0,INDEX(CASHBACK_RULES!$A$5:$A$304,$AC1011),"")</f>
        <v/>
      </c>
      <c r="Z1011" s="45" t="str">
        <f>IF($AC1011&gt;0,INDEX(CASHBACK_RULES!$E$5:$E$304,$AC1011)&amp;"","")</f>
        <v/>
      </c>
      <c r="AA1011" s="48" t="str">
        <f>IF($AC1011&gt;0,IF(ISNUMBER(INDEX(CASHBACK_RULES!$K$5:$K$304,$AC1011)),INDEX(CASHBACK_RULES!$K$5:$K$304,$AC1011),"∞"),"")</f>
        <v/>
      </c>
      <c r="AB1011" s="44" t="str">
        <f>IF(OR($B1011="",$D1011=""),"",IF($U1011="Cancelled","Đã hủy",IF($AC1011=0,"Không được hoàn",IF($Q1011=0,IF(OR($O1011&gt;0,$M1011&lt;$L1011),"Đã đạt cap","Không được hoàn"),IF(OR($Q1011&lt;$O1011,$M1011&lt;$L1011),"Hoàn một phần","Được hoàn")))))</f>
        <v/>
      </c>
      <c r="AC1011" s="43">
        <f>IF(OR($B1011="",$D1011="",$I1011="",$L1011=""),0,IF($U1011="Cancelled",0,IF($W1011&lt;&gt;"",IFERROR(IF(INDEX(CASHBACK_RULES!$B$5:$B$304,MATCH($W1011,CASHBACK_RULES!$A$5:$A$304,0))=$D1011,MATCH($W1011,CASHBACK_RULES!$A$5:$A$304,0),0),0),IFERROR(MATCH(1,INDEX((CASHBACK_RULES!$B$5:$B$304=$D1011)*(CASHBACK_RULES!$G$5:$G$304=$I1011)*(((CASHBACK_RULES!$N$5:$N$304="")+(CASHBACK_RULES!$N$5:$N$304&lt;=$B1011))&gt;0)*(((CASHBACK_RULES!$O$5:$O$304="")+(CASHBACK_RULES!$O$5:$O$304&gt;=$B1011))&gt;0)*(((CASHBACK_RULES!$M$5:$M$304="")+(CASHBACK_RULES!$M$5:$M$304&lt;=$L1011))&gt;0),0),0),0))))</f>
        <v>0</v>
      </c>
      <c r="AD1011" s="51" t="str">
        <f>IF(OR($B1011="",$D1011=""),"",IFERROR(IF(INDEX(CARDS!$H$5:$H$34,MATCH($D1011,CARDS!$A$5:$A$34,0))="","",IF(DAY($B1011)&lt;=INDEX(CARDS!$H$5:$H$34,MATCH($D1011,CARDS!$A$5:$A$34,0)),DATE(YEAR($B1011),MONTH($B1011),MIN(INDEX(CARDS!$H$5:$H$34,MATCH($D1011,CARDS!$A$5:$A$34,0)),DAY(EOMONTH($B1011,0)))),DATE(YEAR($B1011),MONTH($B1011)+1,MIN(INDEX(CARDS!$H$5:$H$34,MATCH($D1011,CARDS!$A$5:$A$34,0)),DAY(EOMONTH($B1011,1)))))),""))</f>
        <v/>
      </c>
      <c r="AE1011" s="52" t="str">
        <f>IF($C1011="","",$C1011&amp;"|"&amp;COUNTIF($C$5:$C1011,$C1011))</f>
        <v/>
      </c>
      <c r="AF1011" s="53">
        <f>IF($AC1011&gt;0,SUMIFS(Q$4:Q1010,$D$4:$D1010,$D1011,$Z$4:$Z1010,$Z1011,$C$4:$C1010,$C1011),0)</f>
        <v>0</v>
      </c>
      <c r="AG1011" s="53">
        <f>IF($AC1011&gt;0,SUMIFS(Q$4:Q1010,$D$4:$D1010,$D1011,$C$4:$C1010,$C1011),0)</f>
        <v>0</v>
      </c>
      <c r="AH1011" s="53">
        <f>IF($AC1011&gt;0,SUMIFS(M$4:M1010,$D$4:$D1010,$D1011,$Z$4:$Z1010,$Z1011,$C$4:$C1010,$C1011),0)</f>
        <v>0</v>
      </c>
      <c r="AI1011" s="43">
        <f>IF(OR($C1011="",$I1011=""),0,IF(COUNTIFS($C$5:$C1011,$C1011,$I$5:$I1011,$I1011)=1,1,0))</f>
        <v>0</v>
      </c>
      <c r="AJ1011" s="43" t="str">
        <f>IF($AI1011=1,SUMIFS($AI$4:$AI1010,$C$4:$C1010,$C1011)+1,"")</f>
        <v/>
      </c>
      <c r="AK1011" s="43">
        <f>IF(OR($C1011="",$K1011=""),0,IF(COUNTIFS($C$5:$C1011,$C1011,$K$5:$K1011,$K1011)=1,1,0))</f>
        <v>0</v>
      </c>
      <c r="AL1011" s="43" t="str">
        <f>IF($AK1011=1,SUMIFS($AK$4:$AK1010,$C$4:$C1010,$C1011)+1,"")</f>
        <v/>
      </c>
      <c r="AM1011" s="43">
        <f>IF(OR($C1011="",$G1011=""),0,IF(COUNTIFS($C$5:$C1011,$C1011,$G$5:$G1011,$G1011)=1,1,0))</f>
        <v>0</v>
      </c>
      <c r="AN1011" s="43" t="str">
        <f>IF($AM1011=1,SUMIFS($AM$4:$AM1010,$C$4:$C1010,$C1011)+1,"")</f>
        <v/>
      </c>
    </row>
    <row r="1012">
      <c r="A1012" s="44" t="str">
        <f>IF(OR($B1012="",$D1012=""),"","TX"&amp;TEXT(ROW()-4,"0000"))</f>
        <v/>
      </c>
      <c r="B1012" s="42" t="n"/>
      <c r="C1012" s="47" t="str">
        <f>IF($B1012="","",YEAR($B1012)*100+MONTH($B1012))</f>
        <v/>
      </c>
      <c r="D1012" s="37" t="n"/>
      <c r="E1012" s="45" t="str">
        <f>IF($D1012="","",IFERROR(INDEX(CARDS!$B$5:$B$34,MATCH($D1012,CARDS!$A$5:$A$34,0)),"⚠ Card ID?"))</f>
        <v/>
      </c>
      <c r="F1012" s="45" t="str">
        <f>IF($D1012="","",IFERROR(INDEX(CARDS!$C$5:$C$34,MATCH($D1012,CARDS!$A$5:$A$34,0)),"⚠ Card ID?"))</f>
        <v/>
      </c>
      <c r="G1012" s="37" t="n"/>
      <c r="H1012" s="37" t="n"/>
      <c r="I1012" s="41" t="n"/>
      <c r="J1012" s="45" t="str">
        <f>IF($I1012="","",IFERROR(INDEX(MCC_MASTER!$B$5:$B$504,MATCH($I1012,MCC_MASTER!$A$5:$A$504,0)),"⚠ MCC chưa có"))</f>
        <v/>
      </c>
      <c r="K1012" s="45" t="str">
        <f>IF($I1012="","",IFERROR(IF(INDEX(MCC_MASTER!$C$5:$C$504,MATCH($I1012,MCC_MASTER!$A$5:$A$504,0))="","Chưa phân loại",INDEX(MCC_MASTER!$C$5:$C$504,MATCH($I1012,MCC_MASTER!$A$5:$A$504,0))),"Chưa phân loại"))</f>
        <v/>
      </c>
      <c r="L1012" s="40" t="n"/>
      <c r="M1012" s="48" t="str">
        <f>IF(OR($B1012="",$D1012=""),"",IF($AC1012=0,0,IF(ISNUMBER(INDEX(CASHBACK_RULES!$L$5:$L$304,$AC1012)),MAX(0,MIN($L1012,INDEX(CASHBACK_RULES!$L$5:$L$304,$AC1012)-$AH1012)),MAX(0,$L1012))))</f>
        <v/>
      </c>
      <c r="N1012" s="49" t="str">
        <f>IF(OR($B1012="",$D1012=""),"",IF($AC1012&gt;0,INDEX(CASHBACK_RULES!$I$5:$I$304,$AC1012),0))</f>
        <v/>
      </c>
      <c r="O1012" s="48" t="str">
        <f>IF(OR($B1012="",$D1012=""),"",ROUND($M1012*$N1012,0))</f>
        <v/>
      </c>
      <c r="P1012" s="48" t="str">
        <f>IF($AC1012&gt;0,IF(ISNUMBER(INDEX(CASHBACK_RULES!$J$5:$J$304,$AC1012)),INDEX(CASHBACK_RULES!$J$5:$J$304,$AC1012),"∞"),"")</f>
        <v/>
      </c>
      <c r="Q1012" s="48" t="str">
        <f>IF(OR($B1012="",$D1012=""),"",IF($AC1012=0,0,MAX(0,MIN($O1012,IF(ISNUMBER($P1012),$P1012-$AF1012,1E+15),IF(ISNUMBER($AA1012),$AA1012-$AG1012,1E+15)))))</f>
        <v/>
      </c>
      <c r="R1012" s="48" t="str">
        <f>IF(OR($B1012="",$D1012=""),"",IF($AC1012=0,"",IF(AND(NOT(ISNUMBER($P1012)),NOT(ISNUMBER($AA1012))),"∞",MAX(0,MIN(IF(ISNUMBER($P1012),$P1012-$AF1012-$Q1012,1E+15),IF(ISNUMBER($AA1012),$AA1012-$AG1012-$Q1012,1E+15))))))</f>
        <v/>
      </c>
      <c r="S1012" s="47" t="str">
        <f>IF($AD1012="","",YEAR($AD1012)*100+MONTH($AD1012))</f>
        <v/>
      </c>
      <c r="T1012" s="50" t="str">
        <f>IF($AD1012="","",IFERROR(IF(INDEX(CARDS!$I$5:$I$34,MATCH($D1012,CARDS!$A$5:$A$34,0))="","",IF(INDEX(CARDS!$I$5:$I$34,MATCH($D1012,CARDS!$A$5:$A$34,0))&gt;INDEX(CARDS!$H$5:$H$34,MATCH($D1012,CARDS!$A$5:$A$34,0)),DATE(YEAR($AD1012),MONTH($AD1012),MIN(INDEX(CARDS!$I$5:$I$34,MATCH($D1012,CARDS!$A$5:$A$34,0)),DAY(EOMONTH($AD1012,0)))),DATE(YEAR($AD1012),MONTH($AD1012)+1,MIN(INDEX(CARDS!$I$5:$I$34,MATCH($D1012,CARDS!$A$5:$A$34,0)),DAY(EOMONTH($AD1012,1)))))),""))</f>
        <v/>
      </c>
      <c r="U1012" s="38" t="n"/>
      <c r="V1012" s="37" t="n"/>
      <c r="W1012" s="38" t="n"/>
      <c r="X1012" s="38" t="n"/>
      <c r="Y1012" s="44" t="str">
        <f>IF($AC1012&gt;0,INDEX(CASHBACK_RULES!$A$5:$A$304,$AC1012),"")</f>
        <v/>
      </c>
      <c r="Z1012" s="45" t="str">
        <f>IF($AC1012&gt;0,INDEX(CASHBACK_RULES!$E$5:$E$304,$AC1012)&amp;"","")</f>
        <v/>
      </c>
      <c r="AA1012" s="48" t="str">
        <f>IF($AC1012&gt;0,IF(ISNUMBER(INDEX(CASHBACK_RULES!$K$5:$K$304,$AC1012)),INDEX(CASHBACK_RULES!$K$5:$K$304,$AC1012),"∞"),"")</f>
        <v/>
      </c>
      <c r="AB1012" s="44" t="str">
        <f>IF(OR($B1012="",$D1012=""),"",IF($U1012="Cancelled","Đã hủy",IF($AC1012=0,"Không được hoàn",IF($Q1012=0,IF(OR($O1012&gt;0,$M1012&lt;$L1012),"Đã đạt cap","Không được hoàn"),IF(OR($Q1012&lt;$O1012,$M1012&lt;$L1012),"Hoàn một phần","Được hoàn")))))</f>
        <v/>
      </c>
      <c r="AC1012" s="43">
        <f>IF(OR($B1012="",$D1012="",$I1012="",$L1012=""),0,IF($U1012="Cancelled",0,IF($W1012&lt;&gt;"",IFERROR(IF(INDEX(CASHBACK_RULES!$B$5:$B$304,MATCH($W1012,CASHBACK_RULES!$A$5:$A$304,0))=$D1012,MATCH($W1012,CASHBACK_RULES!$A$5:$A$304,0),0),0),IFERROR(MATCH(1,INDEX((CASHBACK_RULES!$B$5:$B$304=$D1012)*(CASHBACK_RULES!$G$5:$G$304=$I1012)*(((CASHBACK_RULES!$N$5:$N$304="")+(CASHBACK_RULES!$N$5:$N$304&lt;=$B1012))&gt;0)*(((CASHBACK_RULES!$O$5:$O$304="")+(CASHBACK_RULES!$O$5:$O$304&gt;=$B1012))&gt;0)*(((CASHBACK_RULES!$M$5:$M$304="")+(CASHBACK_RULES!$M$5:$M$304&lt;=$L1012))&gt;0),0),0),0))))</f>
        <v>0</v>
      </c>
      <c r="AD1012" s="51" t="str">
        <f>IF(OR($B1012="",$D1012=""),"",IFERROR(IF(INDEX(CARDS!$H$5:$H$34,MATCH($D1012,CARDS!$A$5:$A$34,0))="","",IF(DAY($B1012)&lt;=INDEX(CARDS!$H$5:$H$34,MATCH($D1012,CARDS!$A$5:$A$34,0)),DATE(YEAR($B1012),MONTH($B1012),MIN(INDEX(CARDS!$H$5:$H$34,MATCH($D1012,CARDS!$A$5:$A$34,0)),DAY(EOMONTH($B1012,0)))),DATE(YEAR($B1012),MONTH($B1012)+1,MIN(INDEX(CARDS!$H$5:$H$34,MATCH($D1012,CARDS!$A$5:$A$34,0)),DAY(EOMONTH($B1012,1)))))),""))</f>
        <v/>
      </c>
      <c r="AE1012" s="52" t="str">
        <f>IF($C1012="","",$C1012&amp;"|"&amp;COUNTIF($C$5:$C1012,$C1012))</f>
        <v/>
      </c>
      <c r="AF1012" s="53">
        <f>IF($AC1012&gt;0,SUMIFS(Q$4:Q1011,$D$4:$D1011,$D1012,$Z$4:$Z1011,$Z1012,$C$4:$C1011,$C1012),0)</f>
        <v>0</v>
      </c>
      <c r="AG1012" s="53">
        <f>IF($AC1012&gt;0,SUMIFS(Q$4:Q1011,$D$4:$D1011,$D1012,$C$4:$C1011,$C1012),0)</f>
        <v>0</v>
      </c>
      <c r="AH1012" s="53">
        <f>IF($AC1012&gt;0,SUMIFS(M$4:M1011,$D$4:$D1011,$D1012,$Z$4:$Z1011,$Z1012,$C$4:$C1011,$C1012),0)</f>
        <v>0</v>
      </c>
      <c r="AI1012" s="43">
        <f>IF(OR($C1012="",$I1012=""),0,IF(COUNTIFS($C$5:$C1012,$C1012,$I$5:$I1012,$I1012)=1,1,0))</f>
        <v>0</v>
      </c>
      <c r="AJ1012" s="43" t="str">
        <f>IF($AI1012=1,SUMIFS($AI$4:$AI1011,$C$4:$C1011,$C1012)+1,"")</f>
        <v/>
      </c>
      <c r="AK1012" s="43">
        <f>IF(OR($C1012="",$K1012=""),0,IF(COUNTIFS($C$5:$C1012,$C1012,$K$5:$K1012,$K1012)=1,1,0))</f>
        <v>0</v>
      </c>
      <c r="AL1012" s="43" t="str">
        <f>IF($AK1012=1,SUMIFS($AK$4:$AK1011,$C$4:$C1011,$C1012)+1,"")</f>
        <v/>
      </c>
      <c r="AM1012" s="43">
        <f>IF(OR($C1012="",$G1012=""),0,IF(COUNTIFS($C$5:$C1012,$C1012,$G$5:$G1012,$G1012)=1,1,0))</f>
        <v>0</v>
      </c>
      <c r="AN1012" s="43" t="str">
        <f>IF($AM1012=1,SUMIFS($AM$4:$AM1011,$C$4:$C1011,$C1012)+1,"")</f>
        <v/>
      </c>
    </row>
    <row r="1013">
      <c r="A1013" s="44" t="str">
        <f>IF(OR($B1013="",$D1013=""),"","TX"&amp;TEXT(ROW()-4,"0000"))</f>
        <v/>
      </c>
      <c r="B1013" s="42" t="n"/>
      <c r="C1013" s="47" t="str">
        <f>IF($B1013="","",YEAR($B1013)*100+MONTH($B1013))</f>
        <v/>
      </c>
      <c r="D1013" s="37" t="n"/>
      <c r="E1013" s="45" t="str">
        <f>IF($D1013="","",IFERROR(INDEX(CARDS!$B$5:$B$34,MATCH($D1013,CARDS!$A$5:$A$34,0)),"⚠ Card ID?"))</f>
        <v/>
      </c>
      <c r="F1013" s="45" t="str">
        <f>IF($D1013="","",IFERROR(INDEX(CARDS!$C$5:$C$34,MATCH($D1013,CARDS!$A$5:$A$34,0)),"⚠ Card ID?"))</f>
        <v/>
      </c>
      <c r="G1013" s="37" t="n"/>
      <c r="H1013" s="37" t="n"/>
      <c r="I1013" s="41" t="n"/>
      <c r="J1013" s="45" t="str">
        <f>IF($I1013="","",IFERROR(INDEX(MCC_MASTER!$B$5:$B$504,MATCH($I1013,MCC_MASTER!$A$5:$A$504,0)),"⚠ MCC chưa có"))</f>
        <v/>
      </c>
      <c r="K1013" s="45" t="str">
        <f>IF($I1013="","",IFERROR(IF(INDEX(MCC_MASTER!$C$5:$C$504,MATCH($I1013,MCC_MASTER!$A$5:$A$504,0))="","Chưa phân loại",INDEX(MCC_MASTER!$C$5:$C$504,MATCH($I1013,MCC_MASTER!$A$5:$A$504,0))),"Chưa phân loại"))</f>
        <v/>
      </c>
      <c r="L1013" s="40" t="n"/>
      <c r="M1013" s="48" t="str">
        <f>IF(OR($B1013="",$D1013=""),"",IF($AC1013=0,0,IF(ISNUMBER(INDEX(CASHBACK_RULES!$L$5:$L$304,$AC1013)),MAX(0,MIN($L1013,INDEX(CASHBACK_RULES!$L$5:$L$304,$AC1013)-$AH1013)),MAX(0,$L1013))))</f>
        <v/>
      </c>
      <c r="N1013" s="49" t="str">
        <f>IF(OR($B1013="",$D1013=""),"",IF($AC1013&gt;0,INDEX(CASHBACK_RULES!$I$5:$I$304,$AC1013),0))</f>
        <v/>
      </c>
      <c r="O1013" s="48" t="str">
        <f>IF(OR($B1013="",$D1013=""),"",ROUND($M1013*$N1013,0))</f>
        <v/>
      </c>
      <c r="P1013" s="48" t="str">
        <f>IF($AC1013&gt;0,IF(ISNUMBER(INDEX(CASHBACK_RULES!$J$5:$J$304,$AC1013)),INDEX(CASHBACK_RULES!$J$5:$J$304,$AC1013),"∞"),"")</f>
        <v/>
      </c>
      <c r="Q1013" s="48" t="str">
        <f>IF(OR($B1013="",$D1013=""),"",IF($AC1013=0,0,MAX(0,MIN($O1013,IF(ISNUMBER($P1013),$P1013-$AF1013,1E+15),IF(ISNUMBER($AA1013),$AA1013-$AG1013,1E+15)))))</f>
        <v/>
      </c>
      <c r="R1013" s="48" t="str">
        <f>IF(OR($B1013="",$D1013=""),"",IF($AC1013=0,"",IF(AND(NOT(ISNUMBER($P1013)),NOT(ISNUMBER($AA1013))),"∞",MAX(0,MIN(IF(ISNUMBER($P1013),$P1013-$AF1013-$Q1013,1E+15),IF(ISNUMBER($AA1013),$AA1013-$AG1013-$Q1013,1E+15))))))</f>
        <v/>
      </c>
      <c r="S1013" s="47" t="str">
        <f>IF($AD1013="","",YEAR($AD1013)*100+MONTH($AD1013))</f>
        <v/>
      </c>
      <c r="T1013" s="50" t="str">
        <f>IF($AD1013="","",IFERROR(IF(INDEX(CARDS!$I$5:$I$34,MATCH($D1013,CARDS!$A$5:$A$34,0))="","",IF(INDEX(CARDS!$I$5:$I$34,MATCH($D1013,CARDS!$A$5:$A$34,0))&gt;INDEX(CARDS!$H$5:$H$34,MATCH($D1013,CARDS!$A$5:$A$34,0)),DATE(YEAR($AD1013),MONTH($AD1013),MIN(INDEX(CARDS!$I$5:$I$34,MATCH($D1013,CARDS!$A$5:$A$34,0)),DAY(EOMONTH($AD1013,0)))),DATE(YEAR($AD1013),MONTH($AD1013)+1,MIN(INDEX(CARDS!$I$5:$I$34,MATCH($D1013,CARDS!$A$5:$A$34,0)),DAY(EOMONTH($AD1013,1)))))),""))</f>
        <v/>
      </c>
      <c r="U1013" s="38" t="n"/>
      <c r="V1013" s="37" t="n"/>
      <c r="W1013" s="38" t="n"/>
      <c r="X1013" s="38" t="n"/>
      <c r="Y1013" s="44" t="str">
        <f>IF($AC1013&gt;0,INDEX(CASHBACK_RULES!$A$5:$A$304,$AC1013),"")</f>
        <v/>
      </c>
      <c r="Z1013" s="45" t="str">
        <f>IF($AC1013&gt;0,INDEX(CASHBACK_RULES!$E$5:$E$304,$AC1013)&amp;"","")</f>
        <v/>
      </c>
      <c r="AA1013" s="48" t="str">
        <f>IF($AC1013&gt;0,IF(ISNUMBER(INDEX(CASHBACK_RULES!$K$5:$K$304,$AC1013)),INDEX(CASHBACK_RULES!$K$5:$K$304,$AC1013),"∞"),"")</f>
        <v/>
      </c>
      <c r="AB1013" s="44" t="str">
        <f>IF(OR($B1013="",$D1013=""),"",IF($U1013="Cancelled","Đã hủy",IF($AC1013=0,"Không được hoàn",IF($Q1013=0,IF(OR($O1013&gt;0,$M1013&lt;$L1013),"Đã đạt cap","Không được hoàn"),IF(OR($Q1013&lt;$O1013,$M1013&lt;$L1013),"Hoàn một phần","Được hoàn")))))</f>
        <v/>
      </c>
      <c r="AC1013" s="43">
        <f>IF(OR($B1013="",$D1013="",$I1013="",$L1013=""),0,IF($U1013="Cancelled",0,IF($W1013&lt;&gt;"",IFERROR(IF(INDEX(CASHBACK_RULES!$B$5:$B$304,MATCH($W1013,CASHBACK_RULES!$A$5:$A$304,0))=$D1013,MATCH($W1013,CASHBACK_RULES!$A$5:$A$304,0),0),0),IFERROR(MATCH(1,INDEX((CASHBACK_RULES!$B$5:$B$304=$D1013)*(CASHBACK_RULES!$G$5:$G$304=$I1013)*(((CASHBACK_RULES!$N$5:$N$304="")+(CASHBACK_RULES!$N$5:$N$304&lt;=$B1013))&gt;0)*(((CASHBACK_RULES!$O$5:$O$304="")+(CASHBACK_RULES!$O$5:$O$304&gt;=$B1013))&gt;0)*(((CASHBACK_RULES!$M$5:$M$304="")+(CASHBACK_RULES!$M$5:$M$304&lt;=$L1013))&gt;0),0),0),0))))</f>
        <v>0</v>
      </c>
      <c r="AD1013" s="51" t="str">
        <f>IF(OR($B1013="",$D1013=""),"",IFERROR(IF(INDEX(CARDS!$H$5:$H$34,MATCH($D1013,CARDS!$A$5:$A$34,0))="","",IF(DAY($B1013)&lt;=INDEX(CARDS!$H$5:$H$34,MATCH($D1013,CARDS!$A$5:$A$34,0)),DATE(YEAR($B1013),MONTH($B1013),MIN(INDEX(CARDS!$H$5:$H$34,MATCH($D1013,CARDS!$A$5:$A$34,0)),DAY(EOMONTH($B1013,0)))),DATE(YEAR($B1013),MONTH($B1013)+1,MIN(INDEX(CARDS!$H$5:$H$34,MATCH($D1013,CARDS!$A$5:$A$34,0)),DAY(EOMONTH($B1013,1)))))),""))</f>
        <v/>
      </c>
      <c r="AE1013" s="52" t="str">
        <f>IF($C1013="","",$C1013&amp;"|"&amp;COUNTIF($C$5:$C1013,$C1013))</f>
        <v/>
      </c>
      <c r="AF1013" s="53">
        <f>IF($AC1013&gt;0,SUMIFS(Q$4:Q1012,$D$4:$D1012,$D1013,$Z$4:$Z1012,$Z1013,$C$4:$C1012,$C1013),0)</f>
        <v>0</v>
      </c>
      <c r="AG1013" s="53">
        <f>IF($AC1013&gt;0,SUMIFS(Q$4:Q1012,$D$4:$D1012,$D1013,$C$4:$C1012,$C1013),0)</f>
        <v>0</v>
      </c>
      <c r="AH1013" s="53">
        <f>IF($AC1013&gt;0,SUMIFS(M$4:M1012,$D$4:$D1012,$D1013,$Z$4:$Z1012,$Z1013,$C$4:$C1012,$C1013),0)</f>
        <v>0</v>
      </c>
      <c r="AI1013" s="43">
        <f>IF(OR($C1013="",$I1013=""),0,IF(COUNTIFS($C$5:$C1013,$C1013,$I$5:$I1013,$I1013)=1,1,0))</f>
        <v>0</v>
      </c>
      <c r="AJ1013" s="43" t="str">
        <f>IF($AI1013=1,SUMIFS($AI$4:$AI1012,$C$4:$C1012,$C1013)+1,"")</f>
        <v/>
      </c>
      <c r="AK1013" s="43">
        <f>IF(OR($C1013="",$K1013=""),0,IF(COUNTIFS($C$5:$C1013,$C1013,$K$5:$K1013,$K1013)=1,1,0))</f>
        <v>0</v>
      </c>
      <c r="AL1013" s="43" t="str">
        <f>IF($AK1013=1,SUMIFS($AK$4:$AK1012,$C$4:$C1012,$C1013)+1,"")</f>
        <v/>
      </c>
      <c r="AM1013" s="43">
        <f>IF(OR($C1013="",$G1013=""),0,IF(COUNTIFS($C$5:$C1013,$C1013,$G$5:$G1013,$G1013)=1,1,0))</f>
        <v>0</v>
      </c>
      <c r="AN1013" s="43" t="str">
        <f>IF($AM1013=1,SUMIFS($AM$4:$AM1012,$C$4:$C1012,$C1013)+1,"")</f>
        <v/>
      </c>
    </row>
    <row r="1014">
      <c r="A1014" s="44" t="str">
        <f>IF(OR($B1014="",$D1014=""),"","TX"&amp;TEXT(ROW()-4,"0000"))</f>
        <v/>
      </c>
      <c r="B1014" s="42" t="n"/>
      <c r="C1014" s="47" t="str">
        <f>IF($B1014="","",YEAR($B1014)*100+MONTH($B1014))</f>
        <v/>
      </c>
      <c r="D1014" s="37" t="n"/>
      <c r="E1014" s="45" t="str">
        <f>IF($D1014="","",IFERROR(INDEX(CARDS!$B$5:$B$34,MATCH($D1014,CARDS!$A$5:$A$34,0)),"⚠ Card ID?"))</f>
        <v/>
      </c>
      <c r="F1014" s="45" t="str">
        <f>IF($D1014="","",IFERROR(INDEX(CARDS!$C$5:$C$34,MATCH($D1014,CARDS!$A$5:$A$34,0)),"⚠ Card ID?"))</f>
        <v/>
      </c>
      <c r="G1014" s="37" t="n"/>
      <c r="H1014" s="37" t="n"/>
      <c r="I1014" s="41" t="n"/>
      <c r="J1014" s="45" t="str">
        <f>IF($I1014="","",IFERROR(INDEX(MCC_MASTER!$B$5:$B$504,MATCH($I1014,MCC_MASTER!$A$5:$A$504,0)),"⚠ MCC chưa có"))</f>
        <v/>
      </c>
      <c r="K1014" s="45" t="str">
        <f>IF($I1014="","",IFERROR(IF(INDEX(MCC_MASTER!$C$5:$C$504,MATCH($I1014,MCC_MASTER!$A$5:$A$504,0))="","Chưa phân loại",INDEX(MCC_MASTER!$C$5:$C$504,MATCH($I1014,MCC_MASTER!$A$5:$A$504,0))),"Chưa phân loại"))</f>
        <v/>
      </c>
      <c r="L1014" s="40" t="n"/>
      <c r="M1014" s="48" t="str">
        <f>IF(OR($B1014="",$D1014=""),"",IF($AC1014=0,0,IF(ISNUMBER(INDEX(CASHBACK_RULES!$L$5:$L$304,$AC1014)),MAX(0,MIN($L1014,INDEX(CASHBACK_RULES!$L$5:$L$304,$AC1014)-$AH1014)),MAX(0,$L1014))))</f>
        <v/>
      </c>
      <c r="N1014" s="49" t="str">
        <f>IF(OR($B1014="",$D1014=""),"",IF($AC1014&gt;0,INDEX(CASHBACK_RULES!$I$5:$I$304,$AC1014),0))</f>
        <v/>
      </c>
      <c r="O1014" s="48" t="str">
        <f>IF(OR($B1014="",$D1014=""),"",ROUND($M1014*$N1014,0))</f>
        <v/>
      </c>
      <c r="P1014" s="48" t="str">
        <f>IF($AC1014&gt;0,IF(ISNUMBER(INDEX(CASHBACK_RULES!$J$5:$J$304,$AC1014)),INDEX(CASHBACK_RULES!$J$5:$J$304,$AC1014),"∞"),"")</f>
        <v/>
      </c>
      <c r="Q1014" s="48" t="str">
        <f>IF(OR($B1014="",$D1014=""),"",IF($AC1014=0,0,MAX(0,MIN($O1014,IF(ISNUMBER($P1014),$P1014-$AF1014,1E+15),IF(ISNUMBER($AA1014),$AA1014-$AG1014,1E+15)))))</f>
        <v/>
      </c>
      <c r="R1014" s="48" t="str">
        <f>IF(OR($B1014="",$D1014=""),"",IF($AC1014=0,"",IF(AND(NOT(ISNUMBER($P1014)),NOT(ISNUMBER($AA1014))),"∞",MAX(0,MIN(IF(ISNUMBER($P1014),$P1014-$AF1014-$Q1014,1E+15),IF(ISNUMBER($AA1014),$AA1014-$AG1014-$Q1014,1E+15))))))</f>
        <v/>
      </c>
      <c r="S1014" s="47" t="str">
        <f>IF($AD1014="","",YEAR($AD1014)*100+MONTH($AD1014))</f>
        <v/>
      </c>
      <c r="T1014" s="50" t="str">
        <f>IF($AD1014="","",IFERROR(IF(INDEX(CARDS!$I$5:$I$34,MATCH($D1014,CARDS!$A$5:$A$34,0))="","",IF(INDEX(CARDS!$I$5:$I$34,MATCH($D1014,CARDS!$A$5:$A$34,0))&gt;INDEX(CARDS!$H$5:$H$34,MATCH($D1014,CARDS!$A$5:$A$34,0)),DATE(YEAR($AD1014),MONTH($AD1014),MIN(INDEX(CARDS!$I$5:$I$34,MATCH($D1014,CARDS!$A$5:$A$34,0)),DAY(EOMONTH($AD1014,0)))),DATE(YEAR($AD1014),MONTH($AD1014)+1,MIN(INDEX(CARDS!$I$5:$I$34,MATCH($D1014,CARDS!$A$5:$A$34,0)),DAY(EOMONTH($AD1014,1)))))),""))</f>
        <v/>
      </c>
      <c r="U1014" s="38" t="n"/>
      <c r="V1014" s="37" t="n"/>
      <c r="W1014" s="38" t="n"/>
      <c r="X1014" s="38" t="n"/>
      <c r="Y1014" s="44" t="str">
        <f>IF($AC1014&gt;0,INDEX(CASHBACK_RULES!$A$5:$A$304,$AC1014),"")</f>
        <v/>
      </c>
      <c r="Z1014" s="45" t="str">
        <f>IF($AC1014&gt;0,INDEX(CASHBACK_RULES!$E$5:$E$304,$AC1014)&amp;"","")</f>
        <v/>
      </c>
      <c r="AA1014" s="48" t="str">
        <f>IF($AC1014&gt;0,IF(ISNUMBER(INDEX(CASHBACK_RULES!$K$5:$K$304,$AC1014)),INDEX(CASHBACK_RULES!$K$5:$K$304,$AC1014),"∞"),"")</f>
        <v/>
      </c>
      <c r="AB1014" s="44" t="str">
        <f>IF(OR($B1014="",$D1014=""),"",IF($U1014="Cancelled","Đã hủy",IF($AC1014=0,"Không được hoàn",IF($Q1014=0,IF(OR($O1014&gt;0,$M1014&lt;$L1014),"Đã đạt cap","Không được hoàn"),IF(OR($Q1014&lt;$O1014,$M1014&lt;$L1014),"Hoàn một phần","Được hoàn")))))</f>
        <v/>
      </c>
      <c r="AC1014" s="43">
        <f>IF(OR($B1014="",$D1014="",$I1014="",$L1014=""),0,IF($U1014="Cancelled",0,IF($W1014&lt;&gt;"",IFERROR(IF(INDEX(CASHBACK_RULES!$B$5:$B$304,MATCH($W1014,CASHBACK_RULES!$A$5:$A$304,0))=$D1014,MATCH($W1014,CASHBACK_RULES!$A$5:$A$304,0),0),0),IFERROR(MATCH(1,INDEX((CASHBACK_RULES!$B$5:$B$304=$D1014)*(CASHBACK_RULES!$G$5:$G$304=$I1014)*(((CASHBACK_RULES!$N$5:$N$304="")+(CASHBACK_RULES!$N$5:$N$304&lt;=$B1014))&gt;0)*(((CASHBACK_RULES!$O$5:$O$304="")+(CASHBACK_RULES!$O$5:$O$304&gt;=$B1014))&gt;0)*(((CASHBACK_RULES!$M$5:$M$304="")+(CASHBACK_RULES!$M$5:$M$304&lt;=$L1014))&gt;0),0),0),0))))</f>
        <v>0</v>
      </c>
      <c r="AD1014" s="51" t="str">
        <f>IF(OR($B1014="",$D1014=""),"",IFERROR(IF(INDEX(CARDS!$H$5:$H$34,MATCH($D1014,CARDS!$A$5:$A$34,0))="","",IF(DAY($B1014)&lt;=INDEX(CARDS!$H$5:$H$34,MATCH($D1014,CARDS!$A$5:$A$34,0)),DATE(YEAR($B1014),MONTH($B1014),MIN(INDEX(CARDS!$H$5:$H$34,MATCH($D1014,CARDS!$A$5:$A$34,0)),DAY(EOMONTH($B1014,0)))),DATE(YEAR($B1014),MONTH($B1014)+1,MIN(INDEX(CARDS!$H$5:$H$34,MATCH($D1014,CARDS!$A$5:$A$34,0)),DAY(EOMONTH($B1014,1)))))),""))</f>
        <v/>
      </c>
      <c r="AE1014" s="52" t="str">
        <f>IF($C1014="","",$C1014&amp;"|"&amp;COUNTIF($C$5:$C1014,$C1014))</f>
        <v/>
      </c>
      <c r="AF1014" s="53">
        <f>IF($AC1014&gt;0,SUMIFS(Q$4:Q1013,$D$4:$D1013,$D1014,$Z$4:$Z1013,$Z1014,$C$4:$C1013,$C1014),0)</f>
        <v>0</v>
      </c>
      <c r="AG1014" s="53">
        <f>IF($AC1014&gt;0,SUMIFS(Q$4:Q1013,$D$4:$D1013,$D1014,$C$4:$C1013,$C1014),0)</f>
        <v>0</v>
      </c>
      <c r="AH1014" s="53">
        <f>IF($AC1014&gt;0,SUMIFS(M$4:M1013,$D$4:$D1013,$D1014,$Z$4:$Z1013,$Z1014,$C$4:$C1013,$C1014),0)</f>
        <v>0</v>
      </c>
      <c r="AI1014" s="43">
        <f>IF(OR($C1014="",$I1014=""),0,IF(COUNTIFS($C$5:$C1014,$C1014,$I$5:$I1014,$I1014)=1,1,0))</f>
        <v>0</v>
      </c>
      <c r="AJ1014" s="43" t="str">
        <f>IF($AI1014=1,SUMIFS($AI$4:$AI1013,$C$4:$C1013,$C1014)+1,"")</f>
        <v/>
      </c>
      <c r="AK1014" s="43">
        <f>IF(OR($C1014="",$K1014=""),0,IF(COUNTIFS($C$5:$C1014,$C1014,$K$5:$K1014,$K1014)=1,1,0))</f>
        <v>0</v>
      </c>
      <c r="AL1014" s="43" t="str">
        <f>IF($AK1014=1,SUMIFS($AK$4:$AK1013,$C$4:$C1013,$C1014)+1,"")</f>
        <v/>
      </c>
      <c r="AM1014" s="43">
        <f>IF(OR($C1014="",$G1014=""),0,IF(COUNTIFS($C$5:$C1014,$C1014,$G$5:$G1014,$G1014)=1,1,0))</f>
        <v>0</v>
      </c>
      <c r="AN1014" s="43" t="str">
        <f>IF($AM1014=1,SUMIFS($AM$4:$AM1013,$C$4:$C1013,$C1014)+1,"")</f>
        <v/>
      </c>
    </row>
    <row r="1015">
      <c r="A1015" s="44" t="str">
        <f>IF(OR($B1015="",$D1015=""),"","TX"&amp;TEXT(ROW()-4,"0000"))</f>
        <v/>
      </c>
      <c r="B1015" s="42" t="n"/>
      <c r="C1015" s="47" t="str">
        <f>IF($B1015="","",YEAR($B1015)*100+MONTH($B1015))</f>
        <v/>
      </c>
      <c r="D1015" s="37" t="n"/>
      <c r="E1015" s="45" t="str">
        <f>IF($D1015="","",IFERROR(INDEX(CARDS!$B$5:$B$34,MATCH($D1015,CARDS!$A$5:$A$34,0)),"⚠ Card ID?"))</f>
        <v/>
      </c>
      <c r="F1015" s="45" t="str">
        <f>IF($D1015="","",IFERROR(INDEX(CARDS!$C$5:$C$34,MATCH($D1015,CARDS!$A$5:$A$34,0)),"⚠ Card ID?"))</f>
        <v/>
      </c>
      <c r="G1015" s="37" t="n"/>
      <c r="H1015" s="37" t="n"/>
      <c r="I1015" s="41" t="n"/>
      <c r="J1015" s="45" t="str">
        <f>IF($I1015="","",IFERROR(INDEX(MCC_MASTER!$B$5:$B$504,MATCH($I1015,MCC_MASTER!$A$5:$A$504,0)),"⚠ MCC chưa có"))</f>
        <v/>
      </c>
      <c r="K1015" s="45" t="str">
        <f>IF($I1015="","",IFERROR(IF(INDEX(MCC_MASTER!$C$5:$C$504,MATCH($I1015,MCC_MASTER!$A$5:$A$504,0))="","Chưa phân loại",INDEX(MCC_MASTER!$C$5:$C$504,MATCH($I1015,MCC_MASTER!$A$5:$A$504,0))),"Chưa phân loại"))</f>
        <v/>
      </c>
      <c r="L1015" s="40" t="n"/>
      <c r="M1015" s="48" t="str">
        <f>IF(OR($B1015="",$D1015=""),"",IF($AC1015=0,0,IF(ISNUMBER(INDEX(CASHBACK_RULES!$L$5:$L$304,$AC1015)),MAX(0,MIN($L1015,INDEX(CASHBACK_RULES!$L$5:$L$304,$AC1015)-$AH1015)),MAX(0,$L1015))))</f>
        <v/>
      </c>
      <c r="N1015" s="49" t="str">
        <f>IF(OR($B1015="",$D1015=""),"",IF($AC1015&gt;0,INDEX(CASHBACK_RULES!$I$5:$I$304,$AC1015),0))</f>
        <v/>
      </c>
      <c r="O1015" s="48" t="str">
        <f>IF(OR($B1015="",$D1015=""),"",ROUND($M1015*$N1015,0))</f>
        <v/>
      </c>
      <c r="P1015" s="48" t="str">
        <f>IF($AC1015&gt;0,IF(ISNUMBER(INDEX(CASHBACK_RULES!$J$5:$J$304,$AC1015)),INDEX(CASHBACK_RULES!$J$5:$J$304,$AC1015),"∞"),"")</f>
        <v/>
      </c>
      <c r="Q1015" s="48" t="str">
        <f>IF(OR($B1015="",$D1015=""),"",IF($AC1015=0,0,MAX(0,MIN($O1015,IF(ISNUMBER($P1015),$P1015-$AF1015,1E+15),IF(ISNUMBER($AA1015),$AA1015-$AG1015,1E+15)))))</f>
        <v/>
      </c>
      <c r="R1015" s="48" t="str">
        <f>IF(OR($B1015="",$D1015=""),"",IF($AC1015=0,"",IF(AND(NOT(ISNUMBER($P1015)),NOT(ISNUMBER($AA1015))),"∞",MAX(0,MIN(IF(ISNUMBER($P1015),$P1015-$AF1015-$Q1015,1E+15),IF(ISNUMBER($AA1015),$AA1015-$AG1015-$Q1015,1E+15))))))</f>
        <v/>
      </c>
      <c r="S1015" s="47" t="str">
        <f>IF($AD1015="","",YEAR($AD1015)*100+MONTH($AD1015))</f>
        <v/>
      </c>
      <c r="T1015" s="50" t="str">
        <f>IF($AD1015="","",IFERROR(IF(INDEX(CARDS!$I$5:$I$34,MATCH($D1015,CARDS!$A$5:$A$34,0))="","",IF(INDEX(CARDS!$I$5:$I$34,MATCH($D1015,CARDS!$A$5:$A$34,0))&gt;INDEX(CARDS!$H$5:$H$34,MATCH($D1015,CARDS!$A$5:$A$34,0)),DATE(YEAR($AD1015),MONTH($AD1015),MIN(INDEX(CARDS!$I$5:$I$34,MATCH($D1015,CARDS!$A$5:$A$34,0)),DAY(EOMONTH($AD1015,0)))),DATE(YEAR($AD1015),MONTH($AD1015)+1,MIN(INDEX(CARDS!$I$5:$I$34,MATCH($D1015,CARDS!$A$5:$A$34,0)),DAY(EOMONTH($AD1015,1)))))),""))</f>
        <v/>
      </c>
      <c r="U1015" s="38" t="n"/>
      <c r="V1015" s="37" t="n"/>
      <c r="W1015" s="38" t="n"/>
      <c r="X1015" s="38" t="n"/>
      <c r="Y1015" s="44" t="str">
        <f>IF($AC1015&gt;0,INDEX(CASHBACK_RULES!$A$5:$A$304,$AC1015),"")</f>
        <v/>
      </c>
      <c r="Z1015" s="45" t="str">
        <f>IF($AC1015&gt;0,INDEX(CASHBACK_RULES!$E$5:$E$304,$AC1015)&amp;"","")</f>
        <v/>
      </c>
      <c r="AA1015" s="48" t="str">
        <f>IF($AC1015&gt;0,IF(ISNUMBER(INDEX(CASHBACK_RULES!$K$5:$K$304,$AC1015)),INDEX(CASHBACK_RULES!$K$5:$K$304,$AC1015),"∞"),"")</f>
        <v/>
      </c>
      <c r="AB1015" s="44" t="str">
        <f>IF(OR($B1015="",$D1015=""),"",IF($U1015="Cancelled","Đã hủy",IF($AC1015=0,"Không được hoàn",IF($Q1015=0,IF(OR($O1015&gt;0,$M1015&lt;$L1015),"Đã đạt cap","Không được hoàn"),IF(OR($Q1015&lt;$O1015,$M1015&lt;$L1015),"Hoàn một phần","Được hoàn")))))</f>
        <v/>
      </c>
      <c r="AC1015" s="43">
        <f>IF(OR($B1015="",$D1015="",$I1015="",$L1015=""),0,IF($U1015="Cancelled",0,IF($W1015&lt;&gt;"",IFERROR(IF(INDEX(CASHBACK_RULES!$B$5:$B$304,MATCH($W1015,CASHBACK_RULES!$A$5:$A$304,0))=$D1015,MATCH($W1015,CASHBACK_RULES!$A$5:$A$304,0),0),0),IFERROR(MATCH(1,INDEX((CASHBACK_RULES!$B$5:$B$304=$D1015)*(CASHBACK_RULES!$G$5:$G$304=$I1015)*(((CASHBACK_RULES!$N$5:$N$304="")+(CASHBACK_RULES!$N$5:$N$304&lt;=$B1015))&gt;0)*(((CASHBACK_RULES!$O$5:$O$304="")+(CASHBACK_RULES!$O$5:$O$304&gt;=$B1015))&gt;0)*(((CASHBACK_RULES!$M$5:$M$304="")+(CASHBACK_RULES!$M$5:$M$304&lt;=$L1015))&gt;0),0),0),0))))</f>
        <v>0</v>
      </c>
      <c r="AD1015" s="51" t="str">
        <f>IF(OR($B1015="",$D1015=""),"",IFERROR(IF(INDEX(CARDS!$H$5:$H$34,MATCH($D1015,CARDS!$A$5:$A$34,0))="","",IF(DAY($B1015)&lt;=INDEX(CARDS!$H$5:$H$34,MATCH($D1015,CARDS!$A$5:$A$34,0)),DATE(YEAR($B1015),MONTH($B1015),MIN(INDEX(CARDS!$H$5:$H$34,MATCH($D1015,CARDS!$A$5:$A$34,0)),DAY(EOMONTH($B1015,0)))),DATE(YEAR($B1015),MONTH($B1015)+1,MIN(INDEX(CARDS!$H$5:$H$34,MATCH($D1015,CARDS!$A$5:$A$34,0)),DAY(EOMONTH($B1015,1)))))),""))</f>
        <v/>
      </c>
      <c r="AE1015" s="52" t="str">
        <f>IF($C1015="","",$C1015&amp;"|"&amp;COUNTIF($C$5:$C1015,$C1015))</f>
        <v/>
      </c>
      <c r="AF1015" s="53">
        <f>IF($AC1015&gt;0,SUMIFS(Q$4:Q1014,$D$4:$D1014,$D1015,$Z$4:$Z1014,$Z1015,$C$4:$C1014,$C1015),0)</f>
        <v>0</v>
      </c>
      <c r="AG1015" s="53">
        <f>IF($AC1015&gt;0,SUMIFS(Q$4:Q1014,$D$4:$D1014,$D1015,$C$4:$C1014,$C1015),0)</f>
        <v>0</v>
      </c>
      <c r="AH1015" s="53">
        <f>IF($AC1015&gt;0,SUMIFS(M$4:M1014,$D$4:$D1014,$D1015,$Z$4:$Z1014,$Z1015,$C$4:$C1014,$C1015),0)</f>
        <v>0</v>
      </c>
      <c r="AI1015" s="43">
        <f>IF(OR($C1015="",$I1015=""),0,IF(COUNTIFS($C$5:$C1015,$C1015,$I$5:$I1015,$I1015)=1,1,0))</f>
        <v>0</v>
      </c>
      <c r="AJ1015" s="43" t="str">
        <f>IF($AI1015=1,SUMIFS($AI$4:$AI1014,$C$4:$C1014,$C1015)+1,"")</f>
        <v/>
      </c>
      <c r="AK1015" s="43">
        <f>IF(OR($C1015="",$K1015=""),0,IF(COUNTIFS($C$5:$C1015,$C1015,$K$5:$K1015,$K1015)=1,1,0))</f>
        <v>0</v>
      </c>
      <c r="AL1015" s="43" t="str">
        <f>IF($AK1015=1,SUMIFS($AK$4:$AK1014,$C$4:$C1014,$C1015)+1,"")</f>
        <v/>
      </c>
      <c r="AM1015" s="43">
        <f>IF(OR($C1015="",$G1015=""),0,IF(COUNTIFS($C$5:$C1015,$C1015,$G$5:$G1015,$G1015)=1,1,0))</f>
        <v>0</v>
      </c>
      <c r="AN1015" s="43" t="str">
        <f>IF($AM1015=1,SUMIFS($AM$4:$AM1014,$C$4:$C1014,$C1015)+1,"")</f>
        <v/>
      </c>
    </row>
    <row r="1016">
      <c r="A1016" s="44" t="str">
        <f>IF(OR($B1016="",$D1016=""),"","TX"&amp;TEXT(ROW()-4,"0000"))</f>
        <v/>
      </c>
      <c r="B1016" s="42" t="n"/>
      <c r="C1016" s="47" t="str">
        <f>IF($B1016="","",YEAR($B1016)*100+MONTH($B1016))</f>
        <v/>
      </c>
      <c r="D1016" s="37" t="n"/>
      <c r="E1016" s="45" t="str">
        <f>IF($D1016="","",IFERROR(INDEX(CARDS!$B$5:$B$34,MATCH($D1016,CARDS!$A$5:$A$34,0)),"⚠ Card ID?"))</f>
        <v/>
      </c>
      <c r="F1016" s="45" t="str">
        <f>IF($D1016="","",IFERROR(INDEX(CARDS!$C$5:$C$34,MATCH($D1016,CARDS!$A$5:$A$34,0)),"⚠ Card ID?"))</f>
        <v/>
      </c>
      <c r="G1016" s="37" t="n"/>
      <c r="H1016" s="37" t="n"/>
      <c r="I1016" s="41" t="n"/>
      <c r="J1016" s="45" t="str">
        <f>IF($I1016="","",IFERROR(INDEX(MCC_MASTER!$B$5:$B$504,MATCH($I1016,MCC_MASTER!$A$5:$A$504,0)),"⚠ MCC chưa có"))</f>
        <v/>
      </c>
      <c r="K1016" s="45" t="str">
        <f>IF($I1016="","",IFERROR(IF(INDEX(MCC_MASTER!$C$5:$C$504,MATCH($I1016,MCC_MASTER!$A$5:$A$504,0))="","Chưa phân loại",INDEX(MCC_MASTER!$C$5:$C$504,MATCH($I1016,MCC_MASTER!$A$5:$A$504,0))),"Chưa phân loại"))</f>
        <v/>
      </c>
      <c r="L1016" s="40" t="n"/>
      <c r="M1016" s="48" t="str">
        <f>IF(OR($B1016="",$D1016=""),"",IF($AC1016=0,0,IF(ISNUMBER(INDEX(CASHBACK_RULES!$L$5:$L$304,$AC1016)),MAX(0,MIN($L1016,INDEX(CASHBACK_RULES!$L$5:$L$304,$AC1016)-$AH1016)),MAX(0,$L1016))))</f>
        <v/>
      </c>
      <c r="N1016" s="49" t="str">
        <f>IF(OR($B1016="",$D1016=""),"",IF($AC1016&gt;0,INDEX(CASHBACK_RULES!$I$5:$I$304,$AC1016),0))</f>
        <v/>
      </c>
      <c r="O1016" s="48" t="str">
        <f>IF(OR($B1016="",$D1016=""),"",ROUND($M1016*$N1016,0))</f>
        <v/>
      </c>
      <c r="P1016" s="48" t="str">
        <f>IF($AC1016&gt;0,IF(ISNUMBER(INDEX(CASHBACK_RULES!$J$5:$J$304,$AC1016)),INDEX(CASHBACK_RULES!$J$5:$J$304,$AC1016),"∞"),"")</f>
        <v/>
      </c>
      <c r="Q1016" s="48" t="str">
        <f>IF(OR($B1016="",$D1016=""),"",IF($AC1016=0,0,MAX(0,MIN($O1016,IF(ISNUMBER($P1016),$P1016-$AF1016,1E+15),IF(ISNUMBER($AA1016),$AA1016-$AG1016,1E+15)))))</f>
        <v/>
      </c>
      <c r="R1016" s="48" t="str">
        <f>IF(OR($B1016="",$D1016=""),"",IF($AC1016=0,"",IF(AND(NOT(ISNUMBER($P1016)),NOT(ISNUMBER($AA1016))),"∞",MAX(0,MIN(IF(ISNUMBER($P1016),$P1016-$AF1016-$Q1016,1E+15),IF(ISNUMBER($AA1016),$AA1016-$AG1016-$Q1016,1E+15))))))</f>
        <v/>
      </c>
      <c r="S1016" s="47" t="str">
        <f>IF($AD1016="","",YEAR($AD1016)*100+MONTH($AD1016))</f>
        <v/>
      </c>
      <c r="T1016" s="50" t="str">
        <f>IF($AD1016="","",IFERROR(IF(INDEX(CARDS!$I$5:$I$34,MATCH($D1016,CARDS!$A$5:$A$34,0))="","",IF(INDEX(CARDS!$I$5:$I$34,MATCH($D1016,CARDS!$A$5:$A$34,0))&gt;INDEX(CARDS!$H$5:$H$34,MATCH($D1016,CARDS!$A$5:$A$34,0)),DATE(YEAR($AD1016),MONTH($AD1016),MIN(INDEX(CARDS!$I$5:$I$34,MATCH($D1016,CARDS!$A$5:$A$34,0)),DAY(EOMONTH($AD1016,0)))),DATE(YEAR($AD1016),MONTH($AD1016)+1,MIN(INDEX(CARDS!$I$5:$I$34,MATCH($D1016,CARDS!$A$5:$A$34,0)),DAY(EOMONTH($AD1016,1)))))),""))</f>
        <v/>
      </c>
      <c r="U1016" s="38" t="n"/>
      <c r="V1016" s="37" t="n"/>
      <c r="W1016" s="38" t="n"/>
      <c r="X1016" s="38" t="n"/>
      <c r="Y1016" s="44" t="str">
        <f>IF($AC1016&gt;0,INDEX(CASHBACK_RULES!$A$5:$A$304,$AC1016),"")</f>
        <v/>
      </c>
      <c r="Z1016" s="45" t="str">
        <f>IF($AC1016&gt;0,INDEX(CASHBACK_RULES!$E$5:$E$304,$AC1016)&amp;"","")</f>
        <v/>
      </c>
      <c r="AA1016" s="48" t="str">
        <f>IF($AC1016&gt;0,IF(ISNUMBER(INDEX(CASHBACK_RULES!$K$5:$K$304,$AC1016)),INDEX(CASHBACK_RULES!$K$5:$K$304,$AC1016),"∞"),"")</f>
        <v/>
      </c>
      <c r="AB1016" s="44" t="str">
        <f>IF(OR($B1016="",$D1016=""),"",IF($U1016="Cancelled","Đã hủy",IF($AC1016=0,"Không được hoàn",IF($Q1016=0,IF(OR($O1016&gt;0,$M1016&lt;$L1016),"Đã đạt cap","Không được hoàn"),IF(OR($Q1016&lt;$O1016,$M1016&lt;$L1016),"Hoàn một phần","Được hoàn")))))</f>
        <v/>
      </c>
      <c r="AC1016" s="43">
        <f>IF(OR($B1016="",$D1016="",$I1016="",$L1016=""),0,IF($U1016="Cancelled",0,IF($W1016&lt;&gt;"",IFERROR(IF(INDEX(CASHBACK_RULES!$B$5:$B$304,MATCH($W1016,CASHBACK_RULES!$A$5:$A$304,0))=$D1016,MATCH($W1016,CASHBACK_RULES!$A$5:$A$304,0),0),0),IFERROR(MATCH(1,INDEX((CASHBACK_RULES!$B$5:$B$304=$D1016)*(CASHBACK_RULES!$G$5:$G$304=$I1016)*(((CASHBACK_RULES!$N$5:$N$304="")+(CASHBACK_RULES!$N$5:$N$304&lt;=$B1016))&gt;0)*(((CASHBACK_RULES!$O$5:$O$304="")+(CASHBACK_RULES!$O$5:$O$304&gt;=$B1016))&gt;0)*(((CASHBACK_RULES!$M$5:$M$304="")+(CASHBACK_RULES!$M$5:$M$304&lt;=$L1016))&gt;0),0),0),0))))</f>
        <v>0</v>
      </c>
      <c r="AD1016" s="51" t="str">
        <f>IF(OR($B1016="",$D1016=""),"",IFERROR(IF(INDEX(CARDS!$H$5:$H$34,MATCH($D1016,CARDS!$A$5:$A$34,0))="","",IF(DAY($B1016)&lt;=INDEX(CARDS!$H$5:$H$34,MATCH($D1016,CARDS!$A$5:$A$34,0)),DATE(YEAR($B1016),MONTH($B1016),MIN(INDEX(CARDS!$H$5:$H$34,MATCH($D1016,CARDS!$A$5:$A$34,0)),DAY(EOMONTH($B1016,0)))),DATE(YEAR($B1016),MONTH($B1016)+1,MIN(INDEX(CARDS!$H$5:$H$34,MATCH($D1016,CARDS!$A$5:$A$34,0)),DAY(EOMONTH($B1016,1)))))),""))</f>
        <v/>
      </c>
      <c r="AE1016" s="52" t="str">
        <f>IF($C1016="","",$C1016&amp;"|"&amp;COUNTIF($C$5:$C1016,$C1016))</f>
        <v/>
      </c>
      <c r="AF1016" s="53">
        <f>IF($AC1016&gt;0,SUMIFS(Q$4:Q1015,$D$4:$D1015,$D1016,$Z$4:$Z1015,$Z1016,$C$4:$C1015,$C1016),0)</f>
        <v>0</v>
      </c>
      <c r="AG1016" s="53">
        <f>IF($AC1016&gt;0,SUMIFS(Q$4:Q1015,$D$4:$D1015,$D1016,$C$4:$C1015,$C1016),0)</f>
        <v>0</v>
      </c>
      <c r="AH1016" s="53">
        <f>IF($AC1016&gt;0,SUMIFS(M$4:M1015,$D$4:$D1015,$D1016,$Z$4:$Z1015,$Z1016,$C$4:$C1015,$C1016),0)</f>
        <v>0</v>
      </c>
      <c r="AI1016" s="43">
        <f>IF(OR($C1016="",$I1016=""),0,IF(COUNTIFS($C$5:$C1016,$C1016,$I$5:$I1016,$I1016)=1,1,0))</f>
        <v>0</v>
      </c>
      <c r="AJ1016" s="43" t="str">
        <f>IF($AI1016=1,SUMIFS($AI$4:$AI1015,$C$4:$C1015,$C1016)+1,"")</f>
        <v/>
      </c>
      <c r="AK1016" s="43">
        <f>IF(OR($C1016="",$K1016=""),0,IF(COUNTIFS($C$5:$C1016,$C1016,$K$5:$K1016,$K1016)=1,1,0))</f>
        <v>0</v>
      </c>
      <c r="AL1016" s="43" t="str">
        <f>IF($AK1016=1,SUMIFS($AK$4:$AK1015,$C$4:$C1015,$C1016)+1,"")</f>
        <v/>
      </c>
      <c r="AM1016" s="43">
        <f>IF(OR($C1016="",$G1016=""),0,IF(COUNTIFS($C$5:$C1016,$C1016,$G$5:$G1016,$G1016)=1,1,0))</f>
        <v>0</v>
      </c>
      <c r="AN1016" s="43" t="str">
        <f>IF($AM1016=1,SUMIFS($AM$4:$AM1015,$C$4:$C1015,$C1016)+1,"")</f>
        <v/>
      </c>
    </row>
    <row r="1017">
      <c r="A1017" s="44" t="str">
        <f>IF(OR($B1017="",$D1017=""),"","TX"&amp;TEXT(ROW()-4,"0000"))</f>
        <v/>
      </c>
      <c r="B1017" s="42" t="n"/>
      <c r="C1017" s="47" t="str">
        <f>IF($B1017="","",YEAR($B1017)*100+MONTH($B1017))</f>
        <v/>
      </c>
      <c r="D1017" s="37" t="n"/>
      <c r="E1017" s="45" t="str">
        <f>IF($D1017="","",IFERROR(INDEX(CARDS!$B$5:$B$34,MATCH($D1017,CARDS!$A$5:$A$34,0)),"⚠ Card ID?"))</f>
        <v/>
      </c>
      <c r="F1017" s="45" t="str">
        <f>IF($D1017="","",IFERROR(INDEX(CARDS!$C$5:$C$34,MATCH($D1017,CARDS!$A$5:$A$34,0)),"⚠ Card ID?"))</f>
        <v/>
      </c>
      <c r="G1017" s="37" t="n"/>
      <c r="H1017" s="37" t="n"/>
      <c r="I1017" s="41" t="n"/>
      <c r="J1017" s="45" t="str">
        <f>IF($I1017="","",IFERROR(INDEX(MCC_MASTER!$B$5:$B$504,MATCH($I1017,MCC_MASTER!$A$5:$A$504,0)),"⚠ MCC chưa có"))</f>
        <v/>
      </c>
      <c r="K1017" s="45" t="str">
        <f>IF($I1017="","",IFERROR(IF(INDEX(MCC_MASTER!$C$5:$C$504,MATCH($I1017,MCC_MASTER!$A$5:$A$504,0))="","Chưa phân loại",INDEX(MCC_MASTER!$C$5:$C$504,MATCH($I1017,MCC_MASTER!$A$5:$A$504,0))),"Chưa phân loại"))</f>
        <v/>
      </c>
      <c r="L1017" s="40" t="n"/>
      <c r="M1017" s="48" t="str">
        <f>IF(OR($B1017="",$D1017=""),"",IF($AC1017=0,0,IF(ISNUMBER(INDEX(CASHBACK_RULES!$L$5:$L$304,$AC1017)),MAX(0,MIN($L1017,INDEX(CASHBACK_RULES!$L$5:$L$304,$AC1017)-$AH1017)),MAX(0,$L1017))))</f>
        <v/>
      </c>
      <c r="N1017" s="49" t="str">
        <f>IF(OR($B1017="",$D1017=""),"",IF($AC1017&gt;0,INDEX(CASHBACK_RULES!$I$5:$I$304,$AC1017),0))</f>
        <v/>
      </c>
      <c r="O1017" s="48" t="str">
        <f>IF(OR($B1017="",$D1017=""),"",ROUND($M1017*$N1017,0))</f>
        <v/>
      </c>
      <c r="P1017" s="48" t="str">
        <f>IF($AC1017&gt;0,IF(ISNUMBER(INDEX(CASHBACK_RULES!$J$5:$J$304,$AC1017)),INDEX(CASHBACK_RULES!$J$5:$J$304,$AC1017),"∞"),"")</f>
        <v/>
      </c>
      <c r="Q1017" s="48" t="str">
        <f>IF(OR($B1017="",$D1017=""),"",IF($AC1017=0,0,MAX(0,MIN($O1017,IF(ISNUMBER($P1017),$P1017-$AF1017,1E+15),IF(ISNUMBER($AA1017),$AA1017-$AG1017,1E+15)))))</f>
        <v/>
      </c>
      <c r="R1017" s="48" t="str">
        <f>IF(OR($B1017="",$D1017=""),"",IF($AC1017=0,"",IF(AND(NOT(ISNUMBER($P1017)),NOT(ISNUMBER($AA1017))),"∞",MAX(0,MIN(IF(ISNUMBER($P1017),$P1017-$AF1017-$Q1017,1E+15),IF(ISNUMBER($AA1017),$AA1017-$AG1017-$Q1017,1E+15))))))</f>
        <v/>
      </c>
      <c r="S1017" s="47" t="str">
        <f>IF($AD1017="","",YEAR($AD1017)*100+MONTH($AD1017))</f>
        <v/>
      </c>
      <c r="T1017" s="50" t="str">
        <f>IF($AD1017="","",IFERROR(IF(INDEX(CARDS!$I$5:$I$34,MATCH($D1017,CARDS!$A$5:$A$34,0))="","",IF(INDEX(CARDS!$I$5:$I$34,MATCH($D1017,CARDS!$A$5:$A$34,0))&gt;INDEX(CARDS!$H$5:$H$34,MATCH($D1017,CARDS!$A$5:$A$34,0)),DATE(YEAR($AD1017),MONTH($AD1017),MIN(INDEX(CARDS!$I$5:$I$34,MATCH($D1017,CARDS!$A$5:$A$34,0)),DAY(EOMONTH($AD1017,0)))),DATE(YEAR($AD1017),MONTH($AD1017)+1,MIN(INDEX(CARDS!$I$5:$I$34,MATCH($D1017,CARDS!$A$5:$A$34,0)),DAY(EOMONTH($AD1017,1)))))),""))</f>
        <v/>
      </c>
      <c r="U1017" s="38" t="n"/>
      <c r="V1017" s="37" t="n"/>
      <c r="W1017" s="38" t="n"/>
      <c r="X1017" s="38" t="n"/>
      <c r="Y1017" s="44" t="str">
        <f>IF($AC1017&gt;0,INDEX(CASHBACK_RULES!$A$5:$A$304,$AC1017),"")</f>
        <v/>
      </c>
      <c r="Z1017" s="45" t="str">
        <f>IF($AC1017&gt;0,INDEX(CASHBACK_RULES!$E$5:$E$304,$AC1017)&amp;"","")</f>
        <v/>
      </c>
      <c r="AA1017" s="48" t="str">
        <f>IF($AC1017&gt;0,IF(ISNUMBER(INDEX(CASHBACK_RULES!$K$5:$K$304,$AC1017)),INDEX(CASHBACK_RULES!$K$5:$K$304,$AC1017),"∞"),"")</f>
        <v/>
      </c>
      <c r="AB1017" s="44" t="str">
        <f>IF(OR($B1017="",$D1017=""),"",IF($U1017="Cancelled","Đã hủy",IF($AC1017=0,"Không được hoàn",IF($Q1017=0,IF(OR($O1017&gt;0,$M1017&lt;$L1017),"Đã đạt cap","Không được hoàn"),IF(OR($Q1017&lt;$O1017,$M1017&lt;$L1017),"Hoàn một phần","Được hoàn")))))</f>
        <v/>
      </c>
      <c r="AC1017" s="43">
        <f>IF(OR($B1017="",$D1017="",$I1017="",$L1017=""),0,IF($U1017="Cancelled",0,IF($W1017&lt;&gt;"",IFERROR(IF(INDEX(CASHBACK_RULES!$B$5:$B$304,MATCH($W1017,CASHBACK_RULES!$A$5:$A$304,0))=$D1017,MATCH($W1017,CASHBACK_RULES!$A$5:$A$304,0),0),0),IFERROR(MATCH(1,INDEX((CASHBACK_RULES!$B$5:$B$304=$D1017)*(CASHBACK_RULES!$G$5:$G$304=$I1017)*(((CASHBACK_RULES!$N$5:$N$304="")+(CASHBACK_RULES!$N$5:$N$304&lt;=$B1017))&gt;0)*(((CASHBACK_RULES!$O$5:$O$304="")+(CASHBACK_RULES!$O$5:$O$304&gt;=$B1017))&gt;0)*(((CASHBACK_RULES!$M$5:$M$304="")+(CASHBACK_RULES!$M$5:$M$304&lt;=$L1017))&gt;0),0),0),0))))</f>
        <v>0</v>
      </c>
      <c r="AD1017" s="51" t="str">
        <f>IF(OR($B1017="",$D1017=""),"",IFERROR(IF(INDEX(CARDS!$H$5:$H$34,MATCH($D1017,CARDS!$A$5:$A$34,0))="","",IF(DAY($B1017)&lt;=INDEX(CARDS!$H$5:$H$34,MATCH($D1017,CARDS!$A$5:$A$34,0)),DATE(YEAR($B1017),MONTH($B1017),MIN(INDEX(CARDS!$H$5:$H$34,MATCH($D1017,CARDS!$A$5:$A$34,0)),DAY(EOMONTH($B1017,0)))),DATE(YEAR($B1017),MONTH($B1017)+1,MIN(INDEX(CARDS!$H$5:$H$34,MATCH($D1017,CARDS!$A$5:$A$34,0)),DAY(EOMONTH($B1017,1)))))),""))</f>
        <v/>
      </c>
      <c r="AE1017" s="52" t="str">
        <f>IF($C1017="","",$C1017&amp;"|"&amp;COUNTIF($C$5:$C1017,$C1017))</f>
        <v/>
      </c>
      <c r="AF1017" s="53">
        <f>IF($AC1017&gt;0,SUMIFS(Q$4:Q1016,$D$4:$D1016,$D1017,$Z$4:$Z1016,$Z1017,$C$4:$C1016,$C1017),0)</f>
        <v>0</v>
      </c>
      <c r="AG1017" s="53">
        <f>IF($AC1017&gt;0,SUMIFS(Q$4:Q1016,$D$4:$D1016,$D1017,$C$4:$C1016,$C1017),0)</f>
        <v>0</v>
      </c>
      <c r="AH1017" s="53">
        <f>IF($AC1017&gt;0,SUMIFS(M$4:M1016,$D$4:$D1016,$D1017,$Z$4:$Z1016,$Z1017,$C$4:$C1016,$C1017),0)</f>
        <v>0</v>
      </c>
      <c r="AI1017" s="43">
        <f>IF(OR($C1017="",$I1017=""),0,IF(COUNTIFS($C$5:$C1017,$C1017,$I$5:$I1017,$I1017)=1,1,0))</f>
        <v>0</v>
      </c>
      <c r="AJ1017" s="43" t="str">
        <f>IF($AI1017=1,SUMIFS($AI$4:$AI1016,$C$4:$C1016,$C1017)+1,"")</f>
        <v/>
      </c>
      <c r="AK1017" s="43">
        <f>IF(OR($C1017="",$K1017=""),0,IF(COUNTIFS($C$5:$C1017,$C1017,$K$5:$K1017,$K1017)=1,1,0))</f>
        <v>0</v>
      </c>
      <c r="AL1017" s="43" t="str">
        <f>IF($AK1017=1,SUMIFS($AK$4:$AK1016,$C$4:$C1016,$C1017)+1,"")</f>
        <v/>
      </c>
      <c r="AM1017" s="43">
        <f>IF(OR($C1017="",$G1017=""),0,IF(COUNTIFS($C$5:$C1017,$C1017,$G$5:$G1017,$G1017)=1,1,0))</f>
        <v>0</v>
      </c>
      <c r="AN1017" s="43" t="str">
        <f>IF($AM1017=1,SUMIFS($AM$4:$AM1016,$C$4:$C1016,$C1017)+1,"")</f>
        <v/>
      </c>
    </row>
    <row r="1018">
      <c r="A1018" s="44" t="str">
        <f>IF(OR($B1018="",$D1018=""),"","TX"&amp;TEXT(ROW()-4,"0000"))</f>
        <v/>
      </c>
      <c r="B1018" s="42" t="n"/>
      <c r="C1018" s="47" t="str">
        <f>IF($B1018="","",YEAR($B1018)*100+MONTH($B1018))</f>
        <v/>
      </c>
      <c r="D1018" s="37" t="n"/>
      <c r="E1018" s="45" t="str">
        <f>IF($D1018="","",IFERROR(INDEX(CARDS!$B$5:$B$34,MATCH($D1018,CARDS!$A$5:$A$34,0)),"⚠ Card ID?"))</f>
        <v/>
      </c>
      <c r="F1018" s="45" t="str">
        <f>IF($D1018="","",IFERROR(INDEX(CARDS!$C$5:$C$34,MATCH($D1018,CARDS!$A$5:$A$34,0)),"⚠ Card ID?"))</f>
        <v/>
      </c>
      <c r="G1018" s="37" t="n"/>
      <c r="H1018" s="37" t="n"/>
      <c r="I1018" s="41" t="n"/>
      <c r="J1018" s="45" t="str">
        <f>IF($I1018="","",IFERROR(INDEX(MCC_MASTER!$B$5:$B$504,MATCH($I1018,MCC_MASTER!$A$5:$A$504,0)),"⚠ MCC chưa có"))</f>
        <v/>
      </c>
      <c r="K1018" s="45" t="str">
        <f>IF($I1018="","",IFERROR(IF(INDEX(MCC_MASTER!$C$5:$C$504,MATCH($I1018,MCC_MASTER!$A$5:$A$504,0))="","Chưa phân loại",INDEX(MCC_MASTER!$C$5:$C$504,MATCH($I1018,MCC_MASTER!$A$5:$A$504,0))),"Chưa phân loại"))</f>
        <v/>
      </c>
      <c r="L1018" s="40" t="n"/>
      <c r="M1018" s="48" t="str">
        <f>IF(OR($B1018="",$D1018=""),"",IF($AC1018=0,0,IF(ISNUMBER(INDEX(CASHBACK_RULES!$L$5:$L$304,$AC1018)),MAX(0,MIN($L1018,INDEX(CASHBACK_RULES!$L$5:$L$304,$AC1018)-$AH1018)),MAX(0,$L1018))))</f>
        <v/>
      </c>
      <c r="N1018" s="49" t="str">
        <f>IF(OR($B1018="",$D1018=""),"",IF($AC1018&gt;0,INDEX(CASHBACK_RULES!$I$5:$I$304,$AC1018),0))</f>
        <v/>
      </c>
      <c r="O1018" s="48" t="str">
        <f>IF(OR($B1018="",$D1018=""),"",ROUND($M1018*$N1018,0))</f>
        <v/>
      </c>
      <c r="P1018" s="48" t="str">
        <f>IF($AC1018&gt;0,IF(ISNUMBER(INDEX(CASHBACK_RULES!$J$5:$J$304,$AC1018)),INDEX(CASHBACK_RULES!$J$5:$J$304,$AC1018),"∞"),"")</f>
        <v/>
      </c>
      <c r="Q1018" s="48" t="str">
        <f>IF(OR($B1018="",$D1018=""),"",IF($AC1018=0,0,MAX(0,MIN($O1018,IF(ISNUMBER($P1018),$P1018-$AF1018,1E+15),IF(ISNUMBER($AA1018),$AA1018-$AG1018,1E+15)))))</f>
        <v/>
      </c>
      <c r="R1018" s="48" t="str">
        <f>IF(OR($B1018="",$D1018=""),"",IF($AC1018=0,"",IF(AND(NOT(ISNUMBER($P1018)),NOT(ISNUMBER($AA1018))),"∞",MAX(0,MIN(IF(ISNUMBER($P1018),$P1018-$AF1018-$Q1018,1E+15),IF(ISNUMBER($AA1018),$AA1018-$AG1018-$Q1018,1E+15))))))</f>
        <v/>
      </c>
      <c r="S1018" s="47" t="str">
        <f>IF($AD1018="","",YEAR($AD1018)*100+MONTH($AD1018))</f>
        <v/>
      </c>
      <c r="T1018" s="50" t="str">
        <f>IF($AD1018="","",IFERROR(IF(INDEX(CARDS!$I$5:$I$34,MATCH($D1018,CARDS!$A$5:$A$34,0))="","",IF(INDEX(CARDS!$I$5:$I$34,MATCH($D1018,CARDS!$A$5:$A$34,0))&gt;INDEX(CARDS!$H$5:$H$34,MATCH($D1018,CARDS!$A$5:$A$34,0)),DATE(YEAR($AD1018),MONTH($AD1018),MIN(INDEX(CARDS!$I$5:$I$34,MATCH($D1018,CARDS!$A$5:$A$34,0)),DAY(EOMONTH($AD1018,0)))),DATE(YEAR($AD1018),MONTH($AD1018)+1,MIN(INDEX(CARDS!$I$5:$I$34,MATCH($D1018,CARDS!$A$5:$A$34,0)),DAY(EOMONTH($AD1018,1)))))),""))</f>
        <v/>
      </c>
      <c r="U1018" s="38" t="n"/>
      <c r="V1018" s="37" t="n"/>
      <c r="W1018" s="38" t="n"/>
      <c r="X1018" s="38" t="n"/>
      <c r="Y1018" s="44" t="str">
        <f>IF($AC1018&gt;0,INDEX(CASHBACK_RULES!$A$5:$A$304,$AC1018),"")</f>
        <v/>
      </c>
      <c r="Z1018" s="45" t="str">
        <f>IF($AC1018&gt;0,INDEX(CASHBACK_RULES!$E$5:$E$304,$AC1018)&amp;"","")</f>
        <v/>
      </c>
      <c r="AA1018" s="48" t="str">
        <f>IF($AC1018&gt;0,IF(ISNUMBER(INDEX(CASHBACK_RULES!$K$5:$K$304,$AC1018)),INDEX(CASHBACK_RULES!$K$5:$K$304,$AC1018),"∞"),"")</f>
        <v/>
      </c>
      <c r="AB1018" s="44" t="str">
        <f>IF(OR($B1018="",$D1018=""),"",IF($U1018="Cancelled","Đã hủy",IF($AC1018=0,"Không được hoàn",IF($Q1018=0,IF(OR($O1018&gt;0,$M1018&lt;$L1018),"Đã đạt cap","Không được hoàn"),IF(OR($Q1018&lt;$O1018,$M1018&lt;$L1018),"Hoàn một phần","Được hoàn")))))</f>
        <v/>
      </c>
      <c r="AC1018" s="43">
        <f>IF(OR($B1018="",$D1018="",$I1018="",$L1018=""),0,IF($U1018="Cancelled",0,IF($W1018&lt;&gt;"",IFERROR(IF(INDEX(CASHBACK_RULES!$B$5:$B$304,MATCH($W1018,CASHBACK_RULES!$A$5:$A$304,0))=$D1018,MATCH($W1018,CASHBACK_RULES!$A$5:$A$304,0),0),0),IFERROR(MATCH(1,INDEX((CASHBACK_RULES!$B$5:$B$304=$D1018)*(CASHBACK_RULES!$G$5:$G$304=$I1018)*(((CASHBACK_RULES!$N$5:$N$304="")+(CASHBACK_RULES!$N$5:$N$304&lt;=$B1018))&gt;0)*(((CASHBACK_RULES!$O$5:$O$304="")+(CASHBACK_RULES!$O$5:$O$304&gt;=$B1018))&gt;0)*(((CASHBACK_RULES!$M$5:$M$304="")+(CASHBACK_RULES!$M$5:$M$304&lt;=$L1018))&gt;0),0),0),0))))</f>
        <v>0</v>
      </c>
      <c r="AD1018" s="51" t="str">
        <f>IF(OR($B1018="",$D1018=""),"",IFERROR(IF(INDEX(CARDS!$H$5:$H$34,MATCH($D1018,CARDS!$A$5:$A$34,0))="","",IF(DAY($B1018)&lt;=INDEX(CARDS!$H$5:$H$34,MATCH($D1018,CARDS!$A$5:$A$34,0)),DATE(YEAR($B1018),MONTH($B1018),MIN(INDEX(CARDS!$H$5:$H$34,MATCH($D1018,CARDS!$A$5:$A$34,0)),DAY(EOMONTH($B1018,0)))),DATE(YEAR($B1018),MONTH($B1018)+1,MIN(INDEX(CARDS!$H$5:$H$34,MATCH($D1018,CARDS!$A$5:$A$34,0)),DAY(EOMONTH($B1018,1)))))),""))</f>
        <v/>
      </c>
      <c r="AE1018" s="52" t="str">
        <f>IF($C1018="","",$C1018&amp;"|"&amp;COUNTIF($C$5:$C1018,$C1018))</f>
        <v/>
      </c>
      <c r="AF1018" s="53">
        <f>IF($AC1018&gt;0,SUMIFS(Q$4:Q1017,$D$4:$D1017,$D1018,$Z$4:$Z1017,$Z1018,$C$4:$C1017,$C1018),0)</f>
        <v>0</v>
      </c>
      <c r="AG1018" s="53">
        <f>IF($AC1018&gt;0,SUMIFS(Q$4:Q1017,$D$4:$D1017,$D1018,$C$4:$C1017,$C1018),0)</f>
        <v>0</v>
      </c>
      <c r="AH1018" s="53">
        <f>IF($AC1018&gt;0,SUMIFS(M$4:M1017,$D$4:$D1017,$D1018,$Z$4:$Z1017,$Z1018,$C$4:$C1017,$C1018),0)</f>
        <v>0</v>
      </c>
      <c r="AI1018" s="43">
        <f>IF(OR($C1018="",$I1018=""),0,IF(COUNTIFS($C$5:$C1018,$C1018,$I$5:$I1018,$I1018)=1,1,0))</f>
        <v>0</v>
      </c>
      <c r="AJ1018" s="43" t="str">
        <f>IF($AI1018=1,SUMIFS($AI$4:$AI1017,$C$4:$C1017,$C1018)+1,"")</f>
        <v/>
      </c>
      <c r="AK1018" s="43">
        <f>IF(OR($C1018="",$K1018=""),0,IF(COUNTIFS($C$5:$C1018,$C1018,$K$5:$K1018,$K1018)=1,1,0))</f>
        <v>0</v>
      </c>
      <c r="AL1018" s="43" t="str">
        <f>IF($AK1018=1,SUMIFS($AK$4:$AK1017,$C$4:$C1017,$C1018)+1,"")</f>
        <v/>
      </c>
      <c r="AM1018" s="43">
        <f>IF(OR($C1018="",$G1018=""),0,IF(COUNTIFS($C$5:$C1018,$C1018,$G$5:$G1018,$G1018)=1,1,0))</f>
        <v>0</v>
      </c>
      <c r="AN1018" s="43" t="str">
        <f>IF($AM1018=1,SUMIFS($AM$4:$AM1017,$C$4:$C1017,$C1018)+1,"")</f>
        <v/>
      </c>
    </row>
    <row r="1019">
      <c r="A1019" s="44" t="str">
        <f>IF(OR($B1019="",$D1019=""),"","TX"&amp;TEXT(ROW()-4,"0000"))</f>
        <v/>
      </c>
      <c r="B1019" s="42" t="n"/>
      <c r="C1019" s="47" t="str">
        <f>IF($B1019="","",YEAR($B1019)*100+MONTH($B1019))</f>
        <v/>
      </c>
      <c r="D1019" s="37" t="n"/>
      <c r="E1019" s="45" t="str">
        <f>IF($D1019="","",IFERROR(INDEX(CARDS!$B$5:$B$34,MATCH($D1019,CARDS!$A$5:$A$34,0)),"⚠ Card ID?"))</f>
        <v/>
      </c>
      <c r="F1019" s="45" t="str">
        <f>IF($D1019="","",IFERROR(INDEX(CARDS!$C$5:$C$34,MATCH($D1019,CARDS!$A$5:$A$34,0)),"⚠ Card ID?"))</f>
        <v/>
      </c>
      <c r="G1019" s="37" t="n"/>
      <c r="H1019" s="37" t="n"/>
      <c r="I1019" s="41" t="n"/>
      <c r="J1019" s="45" t="str">
        <f>IF($I1019="","",IFERROR(INDEX(MCC_MASTER!$B$5:$B$504,MATCH($I1019,MCC_MASTER!$A$5:$A$504,0)),"⚠ MCC chưa có"))</f>
        <v/>
      </c>
      <c r="K1019" s="45" t="str">
        <f>IF($I1019="","",IFERROR(IF(INDEX(MCC_MASTER!$C$5:$C$504,MATCH($I1019,MCC_MASTER!$A$5:$A$504,0))="","Chưa phân loại",INDEX(MCC_MASTER!$C$5:$C$504,MATCH($I1019,MCC_MASTER!$A$5:$A$504,0))),"Chưa phân loại"))</f>
        <v/>
      </c>
      <c r="L1019" s="40" t="n"/>
      <c r="M1019" s="48" t="str">
        <f>IF(OR($B1019="",$D1019=""),"",IF($AC1019=0,0,IF(ISNUMBER(INDEX(CASHBACK_RULES!$L$5:$L$304,$AC1019)),MAX(0,MIN($L1019,INDEX(CASHBACK_RULES!$L$5:$L$304,$AC1019)-$AH1019)),MAX(0,$L1019))))</f>
        <v/>
      </c>
      <c r="N1019" s="49" t="str">
        <f>IF(OR($B1019="",$D1019=""),"",IF($AC1019&gt;0,INDEX(CASHBACK_RULES!$I$5:$I$304,$AC1019),0))</f>
        <v/>
      </c>
      <c r="O1019" s="48" t="str">
        <f>IF(OR($B1019="",$D1019=""),"",ROUND($M1019*$N1019,0))</f>
        <v/>
      </c>
      <c r="P1019" s="48" t="str">
        <f>IF($AC1019&gt;0,IF(ISNUMBER(INDEX(CASHBACK_RULES!$J$5:$J$304,$AC1019)),INDEX(CASHBACK_RULES!$J$5:$J$304,$AC1019),"∞"),"")</f>
        <v/>
      </c>
      <c r="Q1019" s="48" t="str">
        <f>IF(OR($B1019="",$D1019=""),"",IF($AC1019=0,0,MAX(0,MIN($O1019,IF(ISNUMBER($P1019),$P1019-$AF1019,1E+15),IF(ISNUMBER($AA1019),$AA1019-$AG1019,1E+15)))))</f>
        <v/>
      </c>
      <c r="R1019" s="48" t="str">
        <f>IF(OR($B1019="",$D1019=""),"",IF($AC1019=0,"",IF(AND(NOT(ISNUMBER($P1019)),NOT(ISNUMBER($AA1019))),"∞",MAX(0,MIN(IF(ISNUMBER($P1019),$P1019-$AF1019-$Q1019,1E+15),IF(ISNUMBER($AA1019),$AA1019-$AG1019-$Q1019,1E+15))))))</f>
        <v/>
      </c>
      <c r="S1019" s="47" t="str">
        <f>IF($AD1019="","",YEAR($AD1019)*100+MONTH($AD1019))</f>
        <v/>
      </c>
      <c r="T1019" s="50" t="str">
        <f>IF($AD1019="","",IFERROR(IF(INDEX(CARDS!$I$5:$I$34,MATCH($D1019,CARDS!$A$5:$A$34,0))="","",IF(INDEX(CARDS!$I$5:$I$34,MATCH($D1019,CARDS!$A$5:$A$34,0))&gt;INDEX(CARDS!$H$5:$H$34,MATCH($D1019,CARDS!$A$5:$A$34,0)),DATE(YEAR($AD1019),MONTH($AD1019),MIN(INDEX(CARDS!$I$5:$I$34,MATCH($D1019,CARDS!$A$5:$A$34,0)),DAY(EOMONTH($AD1019,0)))),DATE(YEAR($AD1019),MONTH($AD1019)+1,MIN(INDEX(CARDS!$I$5:$I$34,MATCH($D1019,CARDS!$A$5:$A$34,0)),DAY(EOMONTH($AD1019,1)))))),""))</f>
        <v/>
      </c>
      <c r="U1019" s="38" t="n"/>
      <c r="V1019" s="37" t="n"/>
      <c r="W1019" s="38" t="n"/>
      <c r="X1019" s="38" t="n"/>
      <c r="Y1019" s="44" t="str">
        <f>IF($AC1019&gt;0,INDEX(CASHBACK_RULES!$A$5:$A$304,$AC1019),"")</f>
        <v/>
      </c>
      <c r="Z1019" s="45" t="str">
        <f>IF($AC1019&gt;0,INDEX(CASHBACK_RULES!$E$5:$E$304,$AC1019)&amp;"","")</f>
        <v/>
      </c>
      <c r="AA1019" s="48" t="str">
        <f>IF($AC1019&gt;0,IF(ISNUMBER(INDEX(CASHBACK_RULES!$K$5:$K$304,$AC1019)),INDEX(CASHBACK_RULES!$K$5:$K$304,$AC1019),"∞"),"")</f>
        <v/>
      </c>
      <c r="AB1019" s="44" t="str">
        <f>IF(OR($B1019="",$D1019=""),"",IF($U1019="Cancelled","Đã hủy",IF($AC1019=0,"Không được hoàn",IF($Q1019=0,IF(OR($O1019&gt;0,$M1019&lt;$L1019),"Đã đạt cap","Không được hoàn"),IF(OR($Q1019&lt;$O1019,$M1019&lt;$L1019),"Hoàn một phần","Được hoàn")))))</f>
        <v/>
      </c>
      <c r="AC1019" s="43">
        <f>IF(OR($B1019="",$D1019="",$I1019="",$L1019=""),0,IF($U1019="Cancelled",0,IF($W1019&lt;&gt;"",IFERROR(IF(INDEX(CASHBACK_RULES!$B$5:$B$304,MATCH($W1019,CASHBACK_RULES!$A$5:$A$304,0))=$D1019,MATCH($W1019,CASHBACK_RULES!$A$5:$A$304,0),0),0),IFERROR(MATCH(1,INDEX((CASHBACK_RULES!$B$5:$B$304=$D1019)*(CASHBACK_RULES!$G$5:$G$304=$I1019)*(((CASHBACK_RULES!$N$5:$N$304="")+(CASHBACK_RULES!$N$5:$N$304&lt;=$B1019))&gt;0)*(((CASHBACK_RULES!$O$5:$O$304="")+(CASHBACK_RULES!$O$5:$O$304&gt;=$B1019))&gt;0)*(((CASHBACK_RULES!$M$5:$M$304="")+(CASHBACK_RULES!$M$5:$M$304&lt;=$L1019))&gt;0),0),0),0))))</f>
        <v>0</v>
      </c>
      <c r="AD1019" s="51" t="str">
        <f>IF(OR($B1019="",$D1019=""),"",IFERROR(IF(INDEX(CARDS!$H$5:$H$34,MATCH($D1019,CARDS!$A$5:$A$34,0))="","",IF(DAY($B1019)&lt;=INDEX(CARDS!$H$5:$H$34,MATCH($D1019,CARDS!$A$5:$A$34,0)),DATE(YEAR($B1019),MONTH($B1019),MIN(INDEX(CARDS!$H$5:$H$34,MATCH($D1019,CARDS!$A$5:$A$34,0)),DAY(EOMONTH($B1019,0)))),DATE(YEAR($B1019),MONTH($B1019)+1,MIN(INDEX(CARDS!$H$5:$H$34,MATCH($D1019,CARDS!$A$5:$A$34,0)),DAY(EOMONTH($B1019,1)))))),""))</f>
        <v/>
      </c>
      <c r="AE1019" s="52" t="str">
        <f>IF($C1019="","",$C1019&amp;"|"&amp;COUNTIF($C$5:$C1019,$C1019))</f>
        <v/>
      </c>
      <c r="AF1019" s="53">
        <f>IF($AC1019&gt;0,SUMIFS(Q$4:Q1018,$D$4:$D1018,$D1019,$Z$4:$Z1018,$Z1019,$C$4:$C1018,$C1019),0)</f>
        <v>0</v>
      </c>
      <c r="AG1019" s="53">
        <f>IF($AC1019&gt;0,SUMIFS(Q$4:Q1018,$D$4:$D1018,$D1019,$C$4:$C1018,$C1019),0)</f>
        <v>0</v>
      </c>
      <c r="AH1019" s="53">
        <f>IF($AC1019&gt;0,SUMIFS(M$4:M1018,$D$4:$D1018,$D1019,$Z$4:$Z1018,$Z1019,$C$4:$C1018,$C1019),0)</f>
        <v>0</v>
      </c>
      <c r="AI1019" s="43">
        <f>IF(OR($C1019="",$I1019=""),0,IF(COUNTIFS($C$5:$C1019,$C1019,$I$5:$I1019,$I1019)=1,1,0))</f>
        <v>0</v>
      </c>
      <c r="AJ1019" s="43" t="str">
        <f>IF($AI1019=1,SUMIFS($AI$4:$AI1018,$C$4:$C1018,$C1019)+1,"")</f>
        <v/>
      </c>
      <c r="AK1019" s="43">
        <f>IF(OR($C1019="",$K1019=""),0,IF(COUNTIFS($C$5:$C1019,$C1019,$K$5:$K1019,$K1019)=1,1,0))</f>
        <v>0</v>
      </c>
      <c r="AL1019" s="43" t="str">
        <f>IF($AK1019=1,SUMIFS($AK$4:$AK1018,$C$4:$C1018,$C1019)+1,"")</f>
        <v/>
      </c>
      <c r="AM1019" s="43">
        <f>IF(OR($C1019="",$G1019=""),0,IF(COUNTIFS($C$5:$C1019,$C1019,$G$5:$G1019,$G1019)=1,1,0))</f>
        <v>0</v>
      </c>
      <c r="AN1019" s="43" t="str">
        <f>IF($AM1019=1,SUMIFS($AM$4:$AM1018,$C$4:$C1018,$C1019)+1,"")</f>
        <v/>
      </c>
    </row>
    <row r="1020">
      <c r="A1020" s="44" t="str">
        <f>IF(OR($B1020="",$D1020=""),"","TX"&amp;TEXT(ROW()-4,"0000"))</f>
        <v/>
      </c>
      <c r="B1020" s="42" t="n"/>
      <c r="C1020" s="47" t="str">
        <f>IF($B1020="","",YEAR($B1020)*100+MONTH($B1020))</f>
        <v/>
      </c>
      <c r="D1020" s="37" t="n"/>
      <c r="E1020" s="45" t="str">
        <f>IF($D1020="","",IFERROR(INDEX(CARDS!$B$5:$B$34,MATCH($D1020,CARDS!$A$5:$A$34,0)),"⚠ Card ID?"))</f>
        <v/>
      </c>
      <c r="F1020" s="45" t="str">
        <f>IF($D1020="","",IFERROR(INDEX(CARDS!$C$5:$C$34,MATCH($D1020,CARDS!$A$5:$A$34,0)),"⚠ Card ID?"))</f>
        <v/>
      </c>
      <c r="G1020" s="37" t="n"/>
      <c r="H1020" s="37" t="n"/>
      <c r="I1020" s="41" t="n"/>
      <c r="J1020" s="45" t="str">
        <f>IF($I1020="","",IFERROR(INDEX(MCC_MASTER!$B$5:$B$504,MATCH($I1020,MCC_MASTER!$A$5:$A$504,0)),"⚠ MCC chưa có"))</f>
        <v/>
      </c>
      <c r="K1020" s="45" t="str">
        <f>IF($I1020="","",IFERROR(IF(INDEX(MCC_MASTER!$C$5:$C$504,MATCH($I1020,MCC_MASTER!$A$5:$A$504,0))="","Chưa phân loại",INDEX(MCC_MASTER!$C$5:$C$504,MATCH($I1020,MCC_MASTER!$A$5:$A$504,0))),"Chưa phân loại"))</f>
        <v/>
      </c>
      <c r="L1020" s="40" t="n"/>
      <c r="M1020" s="48" t="str">
        <f>IF(OR($B1020="",$D1020=""),"",IF($AC1020=0,0,IF(ISNUMBER(INDEX(CASHBACK_RULES!$L$5:$L$304,$AC1020)),MAX(0,MIN($L1020,INDEX(CASHBACK_RULES!$L$5:$L$304,$AC1020)-$AH1020)),MAX(0,$L1020))))</f>
        <v/>
      </c>
      <c r="N1020" s="49" t="str">
        <f>IF(OR($B1020="",$D1020=""),"",IF($AC1020&gt;0,INDEX(CASHBACK_RULES!$I$5:$I$304,$AC1020),0))</f>
        <v/>
      </c>
      <c r="O1020" s="48" t="str">
        <f>IF(OR($B1020="",$D1020=""),"",ROUND($M1020*$N1020,0))</f>
        <v/>
      </c>
      <c r="P1020" s="48" t="str">
        <f>IF($AC1020&gt;0,IF(ISNUMBER(INDEX(CASHBACK_RULES!$J$5:$J$304,$AC1020)),INDEX(CASHBACK_RULES!$J$5:$J$304,$AC1020),"∞"),"")</f>
        <v/>
      </c>
      <c r="Q1020" s="48" t="str">
        <f>IF(OR($B1020="",$D1020=""),"",IF($AC1020=0,0,MAX(0,MIN($O1020,IF(ISNUMBER($P1020),$P1020-$AF1020,1E+15),IF(ISNUMBER($AA1020),$AA1020-$AG1020,1E+15)))))</f>
        <v/>
      </c>
      <c r="R1020" s="48" t="str">
        <f>IF(OR($B1020="",$D1020=""),"",IF($AC1020=0,"",IF(AND(NOT(ISNUMBER($P1020)),NOT(ISNUMBER($AA1020))),"∞",MAX(0,MIN(IF(ISNUMBER($P1020),$P1020-$AF1020-$Q1020,1E+15),IF(ISNUMBER($AA1020),$AA1020-$AG1020-$Q1020,1E+15))))))</f>
        <v/>
      </c>
      <c r="S1020" s="47" t="str">
        <f>IF($AD1020="","",YEAR($AD1020)*100+MONTH($AD1020))</f>
        <v/>
      </c>
      <c r="T1020" s="50" t="str">
        <f>IF($AD1020="","",IFERROR(IF(INDEX(CARDS!$I$5:$I$34,MATCH($D1020,CARDS!$A$5:$A$34,0))="","",IF(INDEX(CARDS!$I$5:$I$34,MATCH($D1020,CARDS!$A$5:$A$34,0))&gt;INDEX(CARDS!$H$5:$H$34,MATCH($D1020,CARDS!$A$5:$A$34,0)),DATE(YEAR($AD1020),MONTH($AD1020),MIN(INDEX(CARDS!$I$5:$I$34,MATCH($D1020,CARDS!$A$5:$A$34,0)),DAY(EOMONTH($AD1020,0)))),DATE(YEAR($AD1020),MONTH($AD1020)+1,MIN(INDEX(CARDS!$I$5:$I$34,MATCH($D1020,CARDS!$A$5:$A$34,0)),DAY(EOMONTH($AD1020,1)))))),""))</f>
        <v/>
      </c>
      <c r="U1020" s="38" t="n"/>
      <c r="V1020" s="37" t="n"/>
      <c r="W1020" s="38" t="n"/>
      <c r="X1020" s="38" t="n"/>
      <c r="Y1020" s="44" t="str">
        <f>IF($AC1020&gt;0,INDEX(CASHBACK_RULES!$A$5:$A$304,$AC1020),"")</f>
        <v/>
      </c>
      <c r="Z1020" s="45" t="str">
        <f>IF($AC1020&gt;0,INDEX(CASHBACK_RULES!$E$5:$E$304,$AC1020)&amp;"","")</f>
        <v/>
      </c>
      <c r="AA1020" s="48" t="str">
        <f>IF($AC1020&gt;0,IF(ISNUMBER(INDEX(CASHBACK_RULES!$K$5:$K$304,$AC1020)),INDEX(CASHBACK_RULES!$K$5:$K$304,$AC1020),"∞"),"")</f>
        <v/>
      </c>
      <c r="AB1020" s="44" t="str">
        <f>IF(OR($B1020="",$D1020=""),"",IF($U1020="Cancelled","Đã hủy",IF($AC1020=0,"Không được hoàn",IF($Q1020=0,IF(OR($O1020&gt;0,$M1020&lt;$L1020),"Đã đạt cap","Không được hoàn"),IF(OR($Q1020&lt;$O1020,$M1020&lt;$L1020),"Hoàn một phần","Được hoàn")))))</f>
        <v/>
      </c>
      <c r="AC1020" s="43">
        <f>IF(OR($B1020="",$D1020="",$I1020="",$L1020=""),0,IF($U1020="Cancelled",0,IF($W1020&lt;&gt;"",IFERROR(IF(INDEX(CASHBACK_RULES!$B$5:$B$304,MATCH($W1020,CASHBACK_RULES!$A$5:$A$304,0))=$D1020,MATCH($W1020,CASHBACK_RULES!$A$5:$A$304,0),0),0),IFERROR(MATCH(1,INDEX((CASHBACK_RULES!$B$5:$B$304=$D1020)*(CASHBACK_RULES!$G$5:$G$304=$I1020)*(((CASHBACK_RULES!$N$5:$N$304="")+(CASHBACK_RULES!$N$5:$N$304&lt;=$B1020))&gt;0)*(((CASHBACK_RULES!$O$5:$O$304="")+(CASHBACK_RULES!$O$5:$O$304&gt;=$B1020))&gt;0)*(((CASHBACK_RULES!$M$5:$M$304="")+(CASHBACK_RULES!$M$5:$M$304&lt;=$L1020))&gt;0),0),0),0))))</f>
        <v>0</v>
      </c>
      <c r="AD1020" s="51" t="str">
        <f>IF(OR($B1020="",$D1020=""),"",IFERROR(IF(INDEX(CARDS!$H$5:$H$34,MATCH($D1020,CARDS!$A$5:$A$34,0))="","",IF(DAY($B1020)&lt;=INDEX(CARDS!$H$5:$H$34,MATCH($D1020,CARDS!$A$5:$A$34,0)),DATE(YEAR($B1020),MONTH($B1020),MIN(INDEX(CARDS!$H$5:$H$34,MATCH($D1020,CARDS!$A$5:$A$34,0)),DAY(EOMONTH($B1020,0)))),DATE(YEAR($B1020),MONTH($B1020)+1,MIN(INDEX(CARDS!$H$5:$H$34,MATCH($D1020,CARDS!$A$5:$A$34,0)),DAY(EOMONTH($B1020,1)))))),""))</f>
        <v/>
      </c>
      <c r="AE1020" s="52" t="str">
        <f>IF($C1020="","",$C1020&amp;"|"&amp;COUNTIF($C$5:$C1020,$C1020))</f>
        <v/>
      </c>
      <c r="AF1020" s="53">
        <f>IF($AC1020&gt;0,SUMIFS(Q$4:Q1019,$D$4:$D1019,$D1020,$Z$4:$Z1019,$Z1020,$C$4:$C1019,$C1020),0)</f>
        <v>0</v>
      </c>
      <c r="AG1020" s="53">
        <f>IF($AC1020&gt;0,SUMIFS(Q$4:Q1019,$D$4:$D1019,$D1020,$C$4:$C1019,$C1020),0)</f>
        <v>0</v>
      </c>
      <c r="AH1020" s="53">
        <f>IF($AC1020&gt;0,SUMIFS(M$4:M1019,$D$4:$D1019,$D1020,$Z$4:$Z1019,$Z1020,$C$4:$C1019,$C1020),0)</f>
        <v>0</v>
      </c>
      <c r="AI1020" s="43">
        <f>IF(OR($C1020="",$I1020=""),0,IF(COUNTIFS($C$5:$C1020,$C1020,$I$5:$I1020,$I1020)=1,1,0))</f>
        <v>0</v>
      </c>
      <c r="AJ1020" s="43" t="str">
        <f>IF($AI1020=1,SUMIFS($AI$4:$AI1019,$C$4:$C1019,$C1020)+1,"")</f>
        <v/>
      </c>
      <c r="AK1020" s="43">
        <f>IF(OR($C1020="",$K1020=""),0,IF(COUNTIFS($C$5:$C1020,$C1020,$K$5:$K1020,$K1020)=1,1,0))</f>
        <v>0</v>
      </c>
      <c r="AL1020" s="43" t="str">
        <f>IF($AK1020=1,SUMIFS($AK$4:$AK1019,$C$4:$C1019,$C1020)+1,"")</f>
        <v/>
      </c>
      <c r="AM1020" s="43">
        <f>IF(OR($C1020="",$G1020=""),0,IF(COUNTIFS($C$5:$C1020,$C1020,$G$5:$G1020,$G1020)=1,1,0))</f>
        <v>0</v>
      </c>
      <c r="AN1020" s="43" t="str">
        <f>IF($AM1020=1,SUMIFS($AM$4:$AM1019,$C$4:$C1019,$C1020)+1,"")</f>
        <v/>
      </c>
    </row>
    <row r="1021">
      <c r="A1021" s="44" t="str">
        <f>IF(OR($B1021="",$D1021=""),"","TX"&amp;TEXT(ROW()-4,"0000"))</f>
        <v/>
      </c>
      <c r="B1021" s="42" t="n"/>
      <c r="C1021" s="47" t="str">
        <f>IF($B1021="","",YEAR($B1021)*100+MONTH($B1021))</f>
        <v/>
      </c>
      <c r="D1021" s="37" t="n"/>
      <c r="E1021" s="45" t="str">
        <f>IF($D1021="","",IFERROR(INDEX(CARDS!$B$5:$B$34,MATCH($D1021,CARDS!$A$5:$A$34,0)),"⚠ Card ID?"))</f>
        <v/>
      </c>
      <c r="F1021" s="45" t="str">
        <f>IF($D1021="","",IFERROR(INDEX(CARDS!$C$5:$C$34,MATCH($D1021,CARDS!$A$5:$A$34,0)),"⚠ Card ID?"))</f>
        <v/>
      </c>
      <c r="G1021" s="37" t="n"/>
      <c r="H1021" s="37" t="n"/>
      <c r="I1021" s="41" t="n"/>
      <c r="J1021" s="45" t="str">
        <f>IF($I1021="","",IFERROR(INDEX(MCC_MASTER!$B$5:$B$504,MATCH($I1021,MCC_MASTER!$A$5:$A$504,0)),"⚠ MCC chưa có"))</f>
        <v/>
      </c>
      <c r="K1021" s="45" t="str">
        <f>IF($I1021="","",IFERROR(IF(INDEX(MCC_MASTER!$C$5:$C$504,MATCH($I1021,MCC_MASTER!$A$5:$A$504,0))="","Chưa phân loại",INDEX(MCC_MASTER!$C$5:$C$504,MATCH($I1021,MCC_MASTER!$A$5:$A$504,0))),"Chưa phân loại"))</f>
        <v/>
      </c>
      <c r="L1021" s="40" t="n"/>
      <c r="M1021" s="48" t="str">
        <f>IF(OR($B1021="",$D1021=""),"",IF($AC1021=0,0,IF(ISNUMBER(INDEX(CASHBACK_RULES!$L$5:$L$304,$AC1021)),MAX(0,MIN($L1021,INDEX(CASHBACK_RULES!$L$5:$L$304,$AC1021)-$AH1021)),MAX(0,$L1021))))</f>
        <v/>
      </c>
      <c r="N1021" s="49" t="str">
        <f>IF(OR($B1021="",$D1021=""),"",IF($AC1021&gt;0,INDEX(CASHBACK_RULES!$I$5:$I$304,$AC1021),0))</f>
        <v/>
      </c>
      <c r="O1021" s="48" t="str">
        <f>IF(OR($B1021="",$D1021=""),"",ROUND($M1021*$N1021,0))</f>
        <v/>
      </c>
      <c r="P1021" s="48" t="str">
        <f>IF($AC1021&gt;0,IF(ISNUMBER(INDEX(CASHBACK_RULES!$J$5:$J$304,$AC1021)),INDEX(CASHBACK_RULES!$J$5:$J$304,$AC1021),"∞"),"")</f>
        <v/>
      </c>
      <c r="Q1021" s="48" t="str">
        <f>IF(OR($B1021="",$D1021=""),"",IF($AC1021=0,0,MAX(0,MIN($O1021,IF(ISNUMBER($P1021),$P1021-$AF1021,1E+15),IF(ISNUMBER($AA1021),$AA1021-$AG1021,1E+15)))))</f>
        <v/>
      </c>
      <c r="R1021" s="48" t="str">
        <f>IF(OR($B1021="",$D1021=""),"",IF($AC1021=0,"",IF(AND(NOT(ISNUMBER($P1021)),NOT(ISNUMBER($AA1021))),"∞",MAX(0,MIN(IF(ISNUMBER($P1021),$P1021-$AF1021-$Q1021,1E+15),IF(ISNUMBER($AA1021),$AA1021-$AG1021-$Q1021,1E+15))))))</f>
        <v/>
      </c>
      <c r="S1021" s="47" t="str">
        <f>IF($AD1021="","",YEAR($AD1021)*100+MONTH($AD1021))</f>
        <v/>
      </c>
      <c r="T1021" s="50" t="str">
        <f>IF($AD1021="","",IFERROR(IF(INDEX(CARDS!$I$5:$I$34,MATCH($D1021,CARDS!$A$5:$A$34,0))="","",IF(INDEX(CARDS!$I$5:$I$34,MATCH($D1021,CARDS!$A$5:$A$34,0))&gt;INDEX(CARDS!$H$5:$H$34,MATCH($D1021,CARDS!$A$5:$A$34,0)),DATE(YEAR($AD1021),MONTH($AD1021),MIN(INDEX(CARDS!$I$5:$I$34,MATCH($D1021,CARDS!$A$5:$A$34,0)),DAY(EOMONTH($AD1021,0)))),DATE(YEAR($AD1021),MONTH($AD1021)+1,MIN(INDEX(CARDS!$I$5:$I$34,MATCH($D1021,CARDS!$A$5:$A$34,0)),DAY(EOMONTH($AD1021,1)))))),""))</f>
        <v/>
      </c>
      <c r="U1021" s="38" t="n"/>
      <c r="V1021" s="37" t="n"/>
      <c r="W1021" s="38" t="n"/>
      <c r="X1021" s="38" t="n"/>
      <c r="Y1021" s="44" t="str">
        <f>IF($AC1021&gt;0,INDEX(CASHBACK_RULES!$A$5:$A$304,$AC1021),"")</f>
        <v/>
      </c>
      <c r="Z1021" s="45" t="str">
        <f>IF($AC1021&gt;0,INDEX(CASHBACK_RULES!$E$5:$E$304,$AC1021)&amp;"","")</f>
        <v/>
      </c>
      <c r="AA1021" s="48" t="str">
        <f>IF($AC1021&gt;0,IF(ISNUMBER(INDEX(CASHBACK_RULES!$K$5:$K$304,$AC1021)),INDEX(CASHBACK_RULES!$K$5:$K$304,$AC1021),"∞"),"")</f>
        <v/>
      </c>
      <c r="AB1021" s="44" t="str">
        <f>IF(OR($B1021="",$D1021=""),"",IF($U1021="Cancelled","Đã hủy",IF($AC1021=0,"Không được hoàn",IF($Q1021=0,IF(OR($O1021&gt;0,$M1021&lt;$L1021),"Đã đạt cap","Không được hoàn"),IF(OR($Q1021&lt;$O1021,$M1021&lt;$L1021),"Hoàn một phần","Được hoàn")))))</f>
        <v/>
      </c>
      <c r="AC1021" s="43">
        <f>IF(OR($B1021="",$D1021="",$I1021="",$L1021=""),0,IF($U1021="Cancelled",0,IF($W1021&lt;&gt;"",IFERROR(IF(INDEX(CASHBACK_RULES!$B$5:$B$304,MATCH($W1021,CASHBACK_RULES!$A$5:$A$304,0))=$D1021,MATCH($W1021,CASHBACK_RULES!$A$5:$A$304,0),0),0),IFERROR(MATCH(1,INDEX((CASHBACK_RULES!$B$5:$B$304=$D1021)*(CASHBACK_RULES!$G$5:$G$304=$I1021)*(((CASHBACK_RULES!$N$5:$N$304="")+(CASHBACK_RULES!$N$5:$N$304&lt;=$B1021))&gt;0)*(((CASHBACK_RULES!$O$5:$O$304="")+(CASHBACK_RULES!$O$5:$O$304&gt;=$B1021))&gt;0)*(((CASHBACK_RULES!$M$5:$M$304="")+(CASHBACK_RULES!$M$5:$M$304&lt;=$L1021))&gt;0),0),0),0))))</f>
        <v>0</v>
      </c>
      <c r="AD1021" s="51" t="str">
        <f>IF(OR($B1021="",$D1021=""),"",IFERROR(IF(INDEX(CARDS!$H$5:$H$34,MATCH($D1021,CARDS!$A$5:$A$34,0))="","",IF(DAY($B1021)&lt;=INDEX(CARDS!$H$5:$H$34,MATCH($D1021,CARDS!$A$5:$A$34,0)),DATE(YEAR($B1021),MONTH($B1021),MIN(INDEX(CARDS!$H$5:$H$34,MATCH($D1021,CARDS!$A$5:$A$34,0)),DAY(EOMONTH($B1021,0)))),DATE(YEAR($B1021),MONTH($B1021)+1,MIN(INDEX(CARDS!$H$5:$H$34,MATCH($D1021,CARDS!$A$5:$A$34,0)),DAY(EOMONTH($B1021,1)))))),""))</f>
        <v/>
      </c>
      <c r="AE1021" s="52" t="str">
        <f>IF($C1021="","",$C1021&amp;"|"&amp;COUNTIF($C$5:$C1021,$C1021))</f>
        <v/>
      </c>
      <c r="AF1021" s="53">
        <f>IF($AC1021&gt;0,SUMIFS(Q$4:Q1020,$D$4:$D1020,$D1021,$Z$4:$Z1020,$Z1021,$C$4:$C1020,$C1021),0)</f>
        <v>0</v>
      </c>
      <c r="AG1021" s="53">
        <f>IF($AC1021&gt;0,SUMIFS(Q$4:Q1020,$D$4:$D1020,$D1021,$C$4:$C1020,$C1021),0)</f>
        <v>0</v>
      </c>
      <c r="AH1021" s="53">
        <f>IF($AC1021&gt;0,SUMIFS(M$4:M1020,$D$4:$D1020,$D1021,$Z$4:$Z1020,$Z1021,$C$4:$C1020,$C1021),0)</f>
        <v>0</v>
      </c>
      <c r="AI1021" s="43">
        <f>IF(OR($C1021="",$I1021=""),0,IF(COUNTIFS($C$5:$C1021,$C1021,$I$5:$I1021,$I1021)=1,1,0))</f>
        <v>0</v>
      </c>
      <c r="AJ1021" s="43" t="str">
        <f>IF($AI1021=1,SUMIFS($AI$4:$AI1020,$C$4:$C1020,$C1021)+1,"")</f>
        <v/>
      </c>
      <c r="AK1021" s="43">
        <f>IF(OR($C1021="",$K1021=""),0,IF(COUNTIFS($C$5:$C1021,$C1021,$K$5:$K1021,$K1021)=1,1,0))</f>
        <v>0</v>
      </c>
      <c r="AL1021" s="43" t="str">
        <f>IF($AK1021=1,SUMIFS($AK$4:$AK1020,$C$4:$C1020,$C1021)+1,"")</f>
        <v/>
      </c>
      <c r="AM1021" s="43">
        <f>IF(OR($C1021="",$G1021=""),0,IF(COUNTIFS($C$5:$C1021,$C1021,$G$5:$G1021,$G1021)=1,1,0))</f>
        <v>0</v>
      </c>
      <c r="AN1021" s="43" t="str">
        <f>IF($AM1021=1,SUMIFS($AM$4:$AM1020,$C$4:$C1020,$C1021)+1,"")</f>
        <v/>
      </c>
    </row>
    <row r="1022">
      <c r="A1022" s="44" t="str">
        <f>IF(OR($B1022="",$D1022=""),"","TX"&amp;TEXT(ROW()-4,"0000"))</f>
        <v/>
      </c>
      <c r="B1022" s="42" t="n"/>
      <c r="C1022" s="47" t="str">
        <f>IF($B1022="","",YEAR($B1022)*100+MONTH($B1022))</f>
        <v/>
      </c>
      <c r="D1022" s="37" t="n"/>
      <c r="E1022" s="45" t="str">
        <f>IF($D1022="","",IFERROR(INDEX(CARDS!$B$5:$B$34,MATCH($D1022,CARDS!$A$5:$A$34,0)),"⚠ Card ID?"))</f>
        <v/>
      </c>
      <c r="F1022" s="45" t="str">
        <f>IF($D1022="","",IFERROR(INDEX(CARDS!$C$5:$C$34,MATCH($D1022,CARDS!$A$5:$A$34,0)),"⚠ Card ID?"))</f>
        <v/>
      </c>
      <c r="G1022" s="37" t="n"/>
      <c r="H1022" s="37" t="n"/>
      <c r="I1022" s="41" t="n"/>
      <c r="J1022" s="45" t="str">
        <f>IF($I1022="","",IFERROR(INDEX(MCC_MASTER!$B$5:$B$504,MATCH($I1022,MCC_MASTER!$A$5:$A$504,0)),"⚠ MCC chưa có"))</f>
        <v/>
      </c>
      <c r="K1022" s="45" t="str">
        <f>IF($I1022="","",IFERROR(IF(INDEX(MCC_MASTER!$C$5:$C$504,MATCH($I1022,MCC_MASTER!$A$5:$A$504,0))="","Chưa phân loại",INDEX(MCC_MASTER!$C$5:$C$504,MATCH($I1022,MCC_MASTER!$A$5:$A$504,0))),"Chưa phân loại"))</f>
        <v/>
      </c>
      <c r="L1022" s="40" t="n"/>
      <c r="M1022" s="48" t="str">
        <f>IF(OR($B1022="",$D1022=""),"",IF($AC1022=0,0,IF(ISNUMBER(INDEX(CASHBACK_RULES!$L$5:$L$304,$AC1022)),MAX(0,MIN($L1022,INDEX(CASHBACK_RULES!$L$5:$L$304,$AC1022)-$AH1022)),MAX(0,$L1022))))</f>
        <v/>
      </c>
      <c r="N1022" s="49" t="str">
        <f>IF(OR($B1022="",$D1022=""),"",IF($AC1022&gt;0,INDEX(CASHBACK_RULES!$I$5:$I$304,$AC1022),0))</f>
        <v/>
      </c>
      <c r="O1022" s="48" t="str">
        <f>IF(OR($B1022="",$D1022=""),"",ROUND($M1022*$N1022,0))</f>
        <v/>
      </c>
      <c r="P1022" s="48" t="str">
        <f>IF($AC1022&gt;0,IF(ISNUMBER(INDEX(CASHBACK_RULES!$J$5:$J$304,$AC1022)),INDEX(CASHBACK_RULES!$J$5:$J$304,$AC1022),"∞"),"")</f>
        <v/>
      </c>
      <c r="Q1022" s="48" t="str">
        <f>IF(OR($B1022="",$D1022=""),"",IF($AC1022=0,0,MAX(0,MIN($O1022,IF(ISNUMBER($P1022),$P1022-$AF1022,1E+15),IF(ISNUMBER($AA1022),$AA1022-$AG1022,1E+15)))))</f>
        <v/>
      </c>
      <c r="R1022" s="48" t="str">
        <f>IF(OR($B1022="",$D1022=""),"",IF($AC1022=0,"",IF(AND(NOT(ISNUMBER($P1022)),NOT(ISNUMBER($AA1022))),"∞",MAX(0,MIN(IF(ISNUMBER($P1022),$P1022-$AF1022-$Q1022,1E+15),IF(ISNUMBER($AA1022),$AA1022-$AG1022-$Q1022,1E+15))))))</f>
        <v/>
      </c>
      <c r="S1022" s="47" t="str">
        <f>IF($AD1022="","",YEAR($AD1022)*100+MONTH($AD1022))</f>
        <v/>
      </c>
      <c r="T1022" s="50" t="str">
        <f>IF($AD1022="","",IFERROR(IF(INDEX(CARDS!$I$5:$I$34,MATCH($D1022,CARDS!$A$5:$A$34,0))="","",IF(INDEX(CARDS!$I$5:$I$34,MATCH($D1022,CARDS!$A$5:$A$34,0))&gt;INDEX(CARDS!$H$5:$H$34,MATCH($D1022,CARDS!$A$5:$A$34,0)),DATE(YEAR($AD1022),MONTH($AD1022),MIN(INDEX(CARDS!$I$5:$I$34,MATCH($D1022,CARDS!$A$5:$A$34,0)),DAY(EOMONTH($AD1022,0)))),DATE(YEAR($AD1022),MONTH($AD1022)+1,MIN(INDEX(CARDS!$I$5:$I$34,MATCH($D1022,CARDS!$A$5:$A$34,0)),DAY(EOMONTH($AD1022,1)))))),""))</f>
        <v/>
      </c>
      <c r="U1022" s="38" t="n"/>
      <c r="V1022" s="37" t="n"/>
      <c r="W1022" s="38" t="n"/>
      <c r="X1022" s="38" t="n"/>
      <c r="Y1022" s="44" t="str">
        <f>IF($AC1022&gt;0,INDEX(CASHBACK_RULES!$A$5:$A$304,$AC1022),"")</f>
        <v/>
      </c>
      <c r="Z1022" s="45" t="str">
        <f>IF($AC1022&gt;0,INDEX(CASHBACK_RULES!$E$5:$E$304,$AC1022)&amp;"","")</f>
        <v/>
      </c>
      <c r="AA1022" s="48" t="str">
        <f>IF($AC1022&gt;0,IF(ISNUMBER(INDEX(CASHBACK_RULES!$K$5:$K$304,$AC1022)),INDEX(CASHBACK_RULES!$K$5:$K$304,$AC1022),"∞"),"")</f>
        <v/>
      </c>
      <c r="AB1022" s="44" t="str">
        <f>IF(OR($B1022="",$D1022=""),"",IF($U1022="Cancelled","Đã hủy",IF($AC1022=0,"Không được hoàn",IF($Q1022=0,IF(OR($O1022&gt;0,$M1022&lt;$L1022),"Đã đạt cap","Không được hoàn"),IF(OR($Q1022&lt;$O1022,$M1022&lt;$L1022),"Hoàn một phần","Được hoàn")))))</f>
        <v/>
      </c>
      <c r="AC1022" s="43">
        <f>IF(OR($B1022="",$D1022="",$I1022="",$L1022=""),0,IF($U1022="Cancelled",0,IF($W1022&lt;&gt;"",IFERROR(IF(INDEX(CASHBACK_RULES!$B$5:$B$304,MATCH($W1022,CASHBACK_RULES!$A$5:$A$304,0))=$D1022,MATCH($W1022,CASHBACK_RULES!$A$5:$A$304,0),0),0),IFERROR(MATCH(1,INDEX((CASHBACK_RULES!$B$5:$B$304=$D1022)*(CASHBACK_RULES!$G$5:$G$304=$I1022)*(((CASHBACK_RULES!$N$5:$N$304="")+(CASHBACK_RULES!$N$5:$N$304&lt;=$B1022))&gt;0)*(((CASHBACK_RULES!$O$5:$O$304="")+(CASHBACK_RULES!$O$5:$O$304&gt;=$B1022))&gt;0)*(((CASHBACK_RULES!$M$5:$M$304="")+(CASHBACK_RULES!$M$5:$M$304&lt;=$L1022))&gt;0),0),0),0))))</f>
        <v>0</v>
      </c>
      <c r="AD1022" s="51" t="str">
        <f>IF(OR($B1022="",$D1022=""),"",IFERROR(IF(INDEX(CARDS!$H$5:$H$34,MATCH($D1022,CARDS!$A$5:$A$34,0))="","",IF(DAY($B1022)&lt;=INDEX(CARDS!$H$5:$H$34,MATCH($D1022,CARDS!$A$5:$A$34,0)),DATE(YEAR($B1022),MONTH($B1022),MIN(INDEX(CARDS!$H$5:$H$34,MATCH($D1022,CARDS!$A$5:$A$34,0)),DAY(EOMONTH($B1022,0)))),DATE(YEAR($B1022),MONTH($B1022)+1,MIN(INDEX(CARDS!$H$5:$H$34,MATCH($D1022,CARDS!$A$5:$A$34,0)),DAY(EOMONTH($B1022,1)))))),""))</f>
        <v/>
      </c>
      <c r="AE1022" s="52" t="str">
        <f>IF($C1022="","",$C1022&amp;"|"&amp;COUNTIF($C$5:$C1022,$C1022))</f>
        <v/>
      </c>
      <c r="AF1022" s="53">
        <f>IF($AC1022&gt;0,SUMIFS(Q$4:Q1021,$D$4:$D1021,$D1022,$Z$4:$Z1021,$Z1022,$C$4:$C1021,$C1022),0)</f>
        <v>0</v>
      </c>
      <c r="AG1022" s="53">
        <f>IF($AC1022&gt;0,SUMIFS(Q$4:Q1021,$D$4:$D1021,$D1022,$C$4:$C1021,$C1022),0)</f>
        <v>0</v>
      </c>
      <c r="AH1022" s="53">
        <f>IF($AC1022&gt;0,SUMIFS(M$4:M1021,$D$4:$D1021,$D1022,$Z$4:$Z1021,$Z1022,$C$4:$C1021,$C1022),0)</f>
        <v>0</v>
      </c>
      <c r="AI1022" s="43">
        <f>IF(OR($C1022="",$I1022=""),0,IF(COUNTIFS($C$5:$C1022,$C1022,$I$5:$I1022,$I1022)=1,1,0))</f>
        <v>0</v>
      </c>
      <c r="AJ1022" s="43" t="str">
        <f>IF($AI1022=1,SUMIFS($AI$4:$AI1021,$C$4:$C1021,$C1022)+1,"")</f>
        <v/>
      </c>
      <c r="AK1022" s="43">
        <f>IF(OR($C1022="",$K1022=""),0,IF(COUNTIFS($C$5:$C1022,$C1022,$K$5:$K1022,$K1022)=1,1,0))</f>
        <v>0</v>
      </c>
      <c r="AL1022" s="43" t="str">
        <f>IF($AK1022=1,SUMIFS($AK$4:$AK1021,$C$4:$C1021,$C1022)+1,"")</f>
        <v/>
      </c>
      <c r="AM1022" s="43">
        <f>IF(OR($C1022="",$G1022=""),0,IF(COUNTIFS($C$5:$C1022,$C1022,$G$5:$G1022,$G1022)=1,1,0))</f>
        <v>0</v>
      </c>
      <c r="AN1022" s="43" t="str">
        <f>IF($AM1022=1,SUMIFS($AM$4:$AM1021,$C$4:$C1021,$C1022)+1,"")</f>
        <v/>
      </c>
    </row>
    <row r="1023">
      <c r="A1023" s="44" t="str">
        <f>IF(OR($B1023="",$D1023=""),"","TX"&amp;TEXT(ROW()-4,"0000"))</f>
        <v/>
      </c>
      <c r="B1023" s="42" t="n"/>
      <c r="C1023" s="47" t="str">
        <f>IF($B1023="","",YEAR($B1023)*100+MONTH($B1023))</f>
        <v/>
      </c>
      <c r="D1023" s="37" t="n"/>
      <c r="E1023" s="45" t="str">
        <f>IF($D1023="","",IFERROR(INDEX(CARDS!$B$5:$B$34,MATCH($D1023,CARDS!$A$5:$A$34,0)),"⚠ Card ID?"))</f>
        <v/>
      </c>
      <c r="F1023" s="45" t="str">
        <f>IF($D1023="","",IFERROR(INDEX(CARDS!$C$5:$C$34,MATCH($D1023,CARDS!$A$5:$A$34,0)),"⚠ Card ID?"))</f>
        <v/>
      </c>
      <c r="G1023" s="37" t="n"/>
      <c r="H1023" s="37" t="n"/>
      <c r="I1023" s="41" t="n"/>
      <c r="J1023" s="45" t="str">
        <f>IF($I1023="","",IFERROR(INDEX(MCC_MASTER!$B$5:$B$504,MATCH($I1023,MCC_MASTER!$A$5:$A$504,0)),"⚠ MCC chưa có"))</f>
        <v/>
      </c>
      <c r="K1023" s="45" t="str">
        <f>IF($I1023="","",IFERROR(IF(INDEX(MCC_MASTER!$C$5:$C$504,MATCH($I1023,MCC_MASTER!$A$5:$A$504,0))="","Chưa phân loại",INDEX(MCC_MASTER!$C$5:$C$504,MATCH($I1023,MCC_MASTER!$A$5:$A$504,0))),"Chưa phân loại"))</f>
        <v/>
      </c>
      <c r="L1023" s="40" t="n"/>
      <c r="M1023" s="48" t="str">
        <f>IF(OR($B1023="",$D1023=""),"",IF($AC1023=0,0,IF(ISNUMBER(INDEX(CASHBACK_RULES!$L$5:$L$304,$AC1023)),MAX(0,MIN($L1023,INDEX(CASHBACK_RULES!$L$5:$L$304,$AC1023)-$AH1023)),MAX(0,$L1023))))</f>
        <v/>
      </c>
      <c r="N1023" s="49" t="str">
        <f>IF(OR($B1023="",$D1023=""),"",IF($AC1023&gt;0,INDEX(CASHBACK_RULES!$I$5:$I$304,$AC1023),0))</f>
        <v/>
      </c>
      <c r="O1023" s="48" t="str">
        <f>IF(OR($B1023="",$D1023=""),"",ROUND($M1023*$N1023,0))</f>
        <v/>
      </c>
      <c r="P1023" s="48" t="str">
        <f>IF($AC1023&gt;0,IF(ISNUMBER(INDEX(CASHBACK_RULES!$J$5:$J$304,$AC1023)),INDEX(CASHBACK_RULES!$J$5:$J$304,$AC1023),"∞"),"")</f>
        <v/>
      </c>
      <c r="Q1023" s="48" t="str">
        <f>IF(OR($B1023="",$D1023=""),"",IF($AC1023=0,0,MAX(0,MIN($O1023,IF(ISNUMBER($P1023),$P1023-$AF1023,1E+15),IF(ISNUMBER($AA1023),$AA1023-$AG1023,1E+15)))))</f>
        <v/>
      </c>
      <c r="R1023" s="48" t="str">
        <f>IF(OR($B1023="",$D1023=""),"",IF($AC1023=0,"",IF(AND(NOT(ISNUMBER($P1023)),NOT(ISNUMBER($AA1023))),"∞",MAX(0,MIN(IF(ISNUMBER($P1023),$P1023-$AF1023-$Q1023,1E+15),IF(ISNUMBER($AA1023),$AA1023-$AG1023-$Q1023,1E+15))))))</f>
        <v/>
      </c>
      <c r="S1023" s="47" t="str">
        <f>IF($AD1023="","",YEAR($AD1023)*100+MONTH($AD1023))</f>
        <v/>
      </c>
      <c r="T1023" s="50" t="str">
        <f>IF($AD1023="","",IFERROR(IF(INDEX(CARDS!$I$5:$I$34,MATCH($D1023,CARDS!$A$5:$A$34,0))="","",IF(INDEX(CARDS!$I$5:$I$34,MATCH($D1023,CARDS!$A$5:$A$34,0))&gt;INDEX(CARDS!$H$5:$H$34,MATCH($D1023,CARDS!$A$5:$A$34,0)),DATE(YEAR($AD1023),MONTH($AD1023),MIN(INDEX(CARDS!$I$5:$I$34,MATCH($D1023,CARDS!$A$5:$A$34,0)),DAY(EOMONTH($AD1023,0)))),DATE(YEAR($AD1023),MONTH($AD1023)+1,MIN(INDEX(CARDS!$I$5:$I$34,MATCH($D1023,CARDS!$A$5:$A$34,0)),DAY(EOMONTH($AD1023,1)))))),""))</f>
        <v/>
      </c>
      <c r="U1023" s="38" t="n"/>
      <c r="V1023" s="37" t="n"/>
      <c r="W1023" s="38" t="n"/>
      <c r="X1023" s="38" t="n"/>
      <c r="Y1023" s="44" t="str">
        <f>IF($AC1023&gt;0,INDEX(CASHBACK_RULES!$A$5:$A$304,$AC1023),"")</f>
        <v/>
      </c>
      <c r="Z1023" s="45" t="str">
        <f>IF($AC1023&gt;0,INDEX(CASHBACK_RULES!$E$5:$E$304,$AC1023)&amp;"","")</f>
        <v/>
      </c>
      <c r="AA1023" s="48" t="str">
        <f>IF($AC1023&gt;0,IF(ISNUMBER(INDEX(CASHBACK_RULES!$K$5:$K$304,$AC1023)),INDEX(CASHBACK_RULES!$K$5:$K$304,$AC1023),"∞"),"")</f>
        <v/>
      </c>
      <c r="AB1023" s="44" t="str">
        <f>IF(OR($B1023="",$D1023=""),"",IF($U1023="Cancelled","Đã hủy",IF($AC1023=0,"Không được hoàn",IF($Q1023=0,IF(OR($O1023&gt;0,$M1023&lt;$L1023),"Đã đạt cap","Không được hoàn"),IF(OR($Q1023&lt;$O1023,$M1023&lt;$L1023),"Hoàn một phần","Được hoàn")))))</f>
        <v/>
      </c>
      <c r="AC1023" s="43">
        <f>IF(OR($B1023="",$D1023="",$I1023="",$L1023=""),0,IF($U1023="Cancelled",0,IF($W1023&lt;&gt;"",IFERROR(IF(INDEX(CASHBACK_RULES!$B$5:$B$304,MATCH($W1023,CASHBACK_RULES!$A$5:$A$304,0))=$D1023,MATCH($W1023,CASHBACK_RULES!$A$5:$A$304,0),0),0),IFERROR(MATCH(1,INDEX((CASHBACK_RULES!$B$5:$B$304=$D1023)*(CASHBACK_RULES!$G$5:$G$304=$I1023)*(((CASHBACK_RULES!$N$5:$N$304="")+(CASHBACK_RULES!$N$5:$N$304&lt;=$B1023))&gt;0)*(((CASHBACK_RULES!$O$5:$O$304="")+(CASHBACK_RULES!$O$5:$O$304&gt;=$B1023))&gt;0)*(((CASHBACK_RULES!$M$5:$M$304="")+(CASHBACK_RULES!$M$5:$M$304&lt;=$L1023))&gt;0),0),0),0))))</f>
        <v>0</v>
      </c>
      <c r="AD1023" s="51" t="str">
        <f>IF(OR($B1023="",$D1023=""),"",IFERROR(IF(INDEX(CARDS!$H$5:$H$34,MATCH($D1023,CARDS!$A$5:$A$34,0))="","",IF(DAY($B1023)&lt;=INDEX(CARDS!$H$5:$H$34,MATCH($D1023,CARDS!$A$5:$A$34,0)),DATE(YEAR($B1023),MONTH($B1023),MIN(INDEX(CARDS!$H$5:$H$34,MATCH($D1023,CARDS!$A$5:$A$34,0)),DAY(EOMONTH($B1023,0)))),DATE(YEAR($B1023),MONTH($B1023)+1,MIN(INDEX(CARDS!$H$5:$H$34,MATCH($D1023,CARDS!$A$5:$A$34,0)),DAY(EOMONTH($B1023,1)))))),""))</f>
        <v/>
      </c>
      <c r="AE1023" s="52" t="str">
        <f>IF($C1023="","",$C1023&amp;"|"&amp;COUNTIF($C$5:$C1023,$C1023))</f>
        <v/>
      </c>
      <c r="AF1023" s="53">
        <f>IF($AC1023&gt;0,SUMIFS(Q$4:Q1022,$D$4:$D1022,$D1023,$Z$4:$Z1022,$Z1023,$C$4:$C1022,$C1023),0)</f>
        <v>0</v>
      </c>
      <c r="AG1023" s="53">
        <f>IF($AC1023&gt;0,SUMIFS(Q$4:Q1022,$D$4:$D1022,$D1023,$C$4:$C1022,$C1023),0)</f>
        <v>0</v>
      </c>
      <c r="AH1023" s="53">
        <f>IF($AC1023&gt;0,SUMIFS(M$4:M1022,$D$4:$D1022,$D1023,$Z$4:$Z1022,$Z1023,$C$4:$C1022,$C1023),0)</f>
        <v>0</v>
      </c>
      <c r="AI1023" s="43">
        <f>IF(OR($C1023="",$I1023=""),0,IF(COUNTIFS($C$5:$C1023,$C1023,$I$5:$I1023,$I1023)=1,1,0))</f>
        <v>0</v>
      </c>
      <c r="AJ1023" s="43" t="str">
        <f>IF($AI1023=1,SUMIFS($AI$4:$AI1022,$C$4:$C1022,$C1023)+1,"")</f>
        <v/>
      </c>
      <c r="AK1023" s="43">
        <f>IF(OR($C1023="",$K1023=""),0,IF(COUNTIFS($C$5:$C1023,$C1023,$K$5:$K1023,$K1023)=1,1,0))</f>
        <v>0</v>
      </c>
      <c r="AL1023" s="43" t="str">
        <f>IF($AK1023=1,SUMIFS($AK$4:$AK1022,$C$4:$C1022,$C1023)+1,"")</f>
        <v/>
      </c>
      <c r="AM1023" s="43">
        <f>IF(OR($C1023="",$G1023=""),0,IF(COUNTIFS($C$5:$C1023,$C1023,$G$5:$G1023,$G1023)=1,1,0))</f>
        <v>0</v>
      </c>
      <c r="AN1023" s="43" t="str">
        <f>IF($AM1023=1,SUMIFS($AM$4:$AM1022,$C$4:$C1022,$C1023)+1,"")</f>
        <v/>
      </c>
    </row>
    <row r="1024">
      <c r="A1024" s="44" t="str">
        <f>IF(OR($B1024="",$D1024=""),"","TX"&amp;TEXT(ROW()-4,"0000"))</f>
        <v/>
      </c>
      <c r="B1024" s="42" t="n"/>
      <c r="C1024" s="47" t="str">
        <f>IF($B1024="","",YEAR($B1024)*100+MONTH($B1024))</f>
        <v/>
      </c>
      <c r="D1024" s="37" t="n"/>
      <c r="E1024" s="45" t="str">
        <f>IF($D1024="","",IFERROR(INDEX(CARDS!$B$5:$B$34,MATCH($D1024,CARDS!$A$5:$A$34,0)),"⚠ Card ID?"))</f>
        <v/>
      </c>
      <c r="F1024" s="45" t="str">
        <f>IF($D1024="","",IFERROR(INDEX(CARDS!$C$5:$C$34,MATCH($D1024,CARDS!$A$5:$A$34,0)),"⚠ Card ID?"))</f>
        <v/>
      </c>
      <c r="G1024" s="37" t="n"/>
      <c r="H1024" s="37" t="n"/>
      <c r="I1024" s="41" t="n"/>
      <c r="J1024" s="45" t="str">
        <f>IF($I1024="","",IFERROR(INDEX(MCC_MASTER!$B$5:$B$504,MATCH($I1024,MCC_MASTER!$A$5:$A$504,0)),"⚠ MCC chưa có"))</f>
        <v/>
      </c>
      <c r="K1024" s="45" t="str">
        <f>IF($I1024="","",IFERROR(IF(INDEX(MCC_MASTER!$C$5:$C$504,MATCH($I1024,MCC_MASTER!$A$5:$A$504,0))="","Chưa phân loại",INDEX(MCC_MASTER!$C$5:$C$504,MATCH($I1024,MCC_MASTER!$A$5:$A$504,0))),"Chưa phân loại"))</f>
        <v/>
      </c>
      <c r="L1024" s="40" t="n"/>
      <c r="M1024" s="48" t="str">
        <f>IF(OR($B1024="",$D1024=""),"",IF($AC1024=0,0,IF(ISNUMBER(INDEX(CASHBACK_RULES!$L$5:$L$304,$AC1024)),MAX(0,MIN($L1024,INDEX(CASHBACK_RULES!$L$5:$L$304,$AC1024)-$AH1024)),MAX(0,$L1024))))</f>
        <v/>
      </c>
      <c r="N1024" s="49" t="str">
        <f>IF(OR($B1024="",$D1024=""),"",IF($AC1024&gt;0,INDEX(CASHBACK_RULES!$I$5:$I$304,$AC1024),0))</f>
        <v/>
      </c>
      <c r="O1024" s="48" t="str">
        <f>IF(OR($B1024="",$D1024=""),"",ROUND($M1024*$N1024,0))</f>
        <v/>
      </c>
      <c r="P1024" s="48" t="str">
        <f>IF($AC1024&gt;0,IF(ISNUMBER(INDEX(CASHBACK_RULES!$J$5:$J$304,$AC1024)),INDEX(CASHBACK_RULES!$J$5:$J$304,$AC1024),"∞"),"")</f>
        <v/>
      </c>
      <c r="Q1024" s="48" t="str">
        <f>IF(OR($B1024="",$D1024=""),"",IF($AC1024=0,0,MAX(0,MIN($O1024,IF(ISNUMBER($P1024),$P1024-$AF1024,1E+15),IF(ISNUMBER($AA1024),$AA1024-$AG1024,1E+15)))))</f>
        <v/>
      </c>
      <c r="R1024" s="48" t="str">
        <f>IF(OR($B1024="",$D1024=""),"",IF($AC1024=0,"",IF(AND(NOT(ISNUMBER($P1024)),NOT(ISNUMBER($AA1024))),"∞",MAX(0,MIN(IF(ISNUMBER($P1024),$P1024-$AF1024-$Q1024,1E+15),IF(ISNUMBER($AA1024),$AA1024-$AG1024-$Q1024,1E+15))))))</f>
        <v/>
      </c>
      <c r="S1024" s="47" t="str">
        <f>IF($AD1024="","",YEAR($AD1024)*100+MONTH($AD1024))</f>
        <v/>
      </c>
      <c r="T1024" s="50" t="str">
        <f>IF($AD1024="","",IFERROR(IF(INDEX(CARDS!$I$5:$I$34,MATCH($D1024,CARDS!$A$5:$A$34,0))="","",IF(INDEX(CARDS!$I$5:$I$34,MATCH($D1024,CARDS!$A$5:$A$34,0))&gt;INDEX(CARDS!$H$5:$H$34,MATCH($D1024,CARDS!$A$5:$A$34,0)),DATE(YEAR($AD1024),MONTH($AD1024),MIN(INDEX(CARDS!$I$5:$I$34,MATCH($D1024,CARDS!$A$5:$A$34,0)),DAY(EOMONTH($AD1024,0)))),DATE(YEAR($AD1024),MONTH($AD1024)+1,MIN(INDEX(CARDS!$I$5:$I$34,MATCH($D1024,CARDS!$A$5:$A$34,0)),DAY(EOMONTH($AD1024,1)))))),""))</f>
        <v/>
      </c>
      <c r="U1024" s="38" t="n"/>
      <c r="V1024" s="37" t="n"/>
      <c r="W1024" s="38" t="n"/>
      <c r="X1024" s="38" t="n"/>
      <c r="Y1024" s="44" t="str">
        <f>IF($AC1024&gt;0,INDEX(CASHBACK_RULES!$A$5:$A$304,$AC1024),"")</f>
        <v/>
      </c>
      <c r="Z1024" s="45" t="str">
        <f>IF($AC1024&gt;0,INDEX(CASHBACK_RULES!$E$5:$E$304,$AC1024)&amp;"","")</f>
        <v/>
      </c>
      <c r="AA1024" s="48" t="str">
        <f>IF($AC1024&gt;0,IF(ISNUMBER(INDEX(CASHBACK_RULES!$K$5:$K$304,$AC1024)),INDEX(CASHBACK_RULES!$K$5:$K$304,$AC1024),"∞"),"")</f>
        <v/>
      </c>
      <c r="AB1024" s="44" t="str">
        <f>IF(OR($B1024="",$D1024=""),"",IF($U1024="Cancelled","Đã hủy",IF($AC1024=0,"Không được hoàn",IF($Q1024=0,IF(OR($O1024&gt;0,$M1024&lt;$L1024),"Đã đạt cap","Không được hoàn"),IF(OR($Q1024&lt;$O1024,$M1024&lt;$L1024),"Hoàn một phần","Được hoàn")))))</f>
        <v/>
      </c>
      <c r="AC1024" s="43">
        <f>IF(OR($B1024="",$D1024="",$I1024="",$L1024=""),0,IF($U1024="Cancelled",0,IF($W1024&lt;&gt;"",IFERROR(IF(INDEX(CASHBACK_RULES!$B$5:$B$304,MATCH($W1024,CASHBACK_RULES!$A$5:$A$304,0))=$D1024,MATCH($W1024,CASHBACK_RULES!$A$5:$A$304,0),0),0),IFERROR(MATCH(1,INDEX((CASHBACK_RULES!$B$5:$B$304=$D1024)*(CASHBACK_RULES!$G$5:$G$304=$I1024)*(((CASHBACK_RULES!$N$5:$N$304="")+(CASHBACK_RULES!$N$5:$N$304&lt;=$B1024))&gt;0)*(((CASHBACK_RULES!$O$5:$O$304="")+(CASHBACK_RULES!$O$5:$O$304&gt;=$B1024))&gt;0)*(((CASHBACK_RULES!$M$5:$M$304="")+(CASHBACK_RULES!$M$5:$M$304&lt;=$L1024))&gt;0),0),0),0))))</f>
        <v>0</v>
      </c>
      <c r="AD1024" s="51" t="str">
        <f>IF(OR($B1024="",$D1024=""),"",IFERROR(IF(INDEX(CARDS!$H$5:$H$34,MATCH($D1024,CARDS!$A$5:$A$34,0))="","",IF(DAY($B1024)&lt;=INDEX(CARDS!$H$5:$H$34,MATCH($D1024,CARDS!$A$5:$A$34,0)),DATE(YEAR($B1024),MONTH($B1024),MIN(INDEX(CARDS!$H$5:$H$34,MATCH($D1024,CARDS!$A$5:$A$34,0)),DAY(EOMONTH($B1024,0)))),DATE(YEAR($B1024),MONTH($B1024)+1,MIN(INDEX(CARDS!$H$5:$H$34,MATCH($D1024,CARDS!$A$5:$A$34,0)),DAY(EOMONTH($B1024,1)))))),""))</f>
        <v/>
      </c>
      <c r="AE1024" s="52" t="str">
        <f>IF($C1024="","",$C1024&amp;"|"&amp;COUNTIF($C$5:$C1024,$C1024))</f>
        <v/>
      </c>
      <c r="AF1024" s="53">
        <f>IF($AC1024&gt;0,SUMIFS(Q$4:Q1023,$D$4:$D1023,$D1024,$Z$4:$Z1023,$Z1024,$C$4:$C1023,$C1024),0)</f>
        <v>0</v>
      </c>
      <c r="AG1024" s="53">
        <f>IF($AC1024&gt;0,SUMIFS(Q$4:Q1023,$D$4:$D1023,$D1024,$C$4:$C1023,$C1024),0)</f>
        <v>0</v>
      </c>
      <c r="AH1024" s="53">
        <f>IF($AC1024&gt;0,SUMIFS(M$4:M1023,$D$4:$D1023,$D1024,$Z$4:$Z1023,$Z1024,$C$4:$C1023,$C1024),0)</f>
        <v>0</v>
      </c>
      <c r="AI1024" s="43">
        <f>IF(OR($C1024="",$I1024=""),0,IF(COUNTIFS($C$5:$C1024,$C1024,$I$5:$I1024,$I1024)=1,1,0))</f>
        <v>0</v>
      </c>
      <c r="AJ1024" s="43" t="str">
        <f>IF($AI1024=1,SUMIFS($AI$4:$AI1023,$C$4:$C1023,$C1024)+1,"")</f>
        <v/>
      </c>
      <c r="AK1024" s="43">
        <f>IF(OR($C1024="",$K1024=""),0,IF(COUNTIFS($C$5:$C1024,$C1024,$K$5:$K1024,$K1024)=1,1,0))</f>
        <v>0</v>
      </c>
      <c r="AL1024" s="43" t="str">
        <f>IF($AK1024=1,SUMIFS($AK$4:$AK1023,$C$4:$C1023,$C1024)+1,"")</f>
        <v/>
      </c>
      <c r="AM1024" s="43">
        <f>IF(OR($C1024="",$G1024=""),0,IF(COUNTIFS($C$5:$C1024,$C1024,$G$5:$G1024,$G1024)=1,1,0))</f>
        <v>0</v>
      </c>
      <c r="AN1024" s="43" t="str">
        <f>IF($AM1024=1,SUMIFS($AM$4:$AM1023,$C$4:$C1023,$C1024)+1,"")</f>
        <v/>
      </c>
    </row>
    <row r="1025">
      <c r="A1025" s="44" t="str">
        <f>IF(OR($B1025="",$D1025=""),"","TX"&amp;TEXT(ROW()-4,"0000"))</f>
        <v/>
      </c>
      <c r="B1025" s="42" t="n"/>
      <c r="C1025" s="47" t="str">
        <f>IF($B1025="","",YEAR($B1025)*100+MONTH($B1025))</f>
        <v/>
      </c>
      <c r="D1025" s="37" t="n"/>
      <c r="E1025" s="45" t="str">
        <f>IF($D1025="","",IFERROR(INDEX(CARDS!$B$5:$B$34,MATCH($D1025,CARDS!$A$5:$A$34,0)),"⚠ Card ID?"))</f>
        <v/>
      </c>
      <c r="F1025" s="45" t="str">
        <f>IF($D1025="","",IFERROR(INDEX(CARDS!$C$5:$C$34,MATCH($D1025,CARDS!$A$5:$A$34,0)),"⚠ Card ID?"))</f>
        <v/>
      </c>
      <c r="G1025" s="37" t="n"/>
      <c r="H1025" s="37" t="n"/>
      <c r="I1025" s="41" t="n"/>
      <c r="J1025" s="45" t="str">
        <f>IF($I1025="","",IFERROR(INDEX(MCC_MASTER!$B$5:$B$504,MATCH($I1025,MCC_MASTER!$A$5:$A$504,0)),"⚠ MCC chưa có"))</f>
        <v/>
      </c>
      <c r="K1025" s="45" t="str">
        <f>IF($I1025="","",IFERROR(IF(INDEX(MCC_MASTER!$C$5:$C$504,MATCH($I1025,MCC_MASTER!$A$5:$A$504,0))="","Chưa phân loại",INDEX(MCC_MASTER!$C$5:$C$504,MATCH($I1025,MCC_MASTER!$A$5:$A$504,0))),"Chưa phân loại"))</f>
        <v/>
      </c>
      <c r="L1025" s="40" t="n"/>
      <c r="M1025" s="48" t="str">
        <f>IF(OR($B1025="",$D1025=""),"",IF($AC1025=0,0,IF(ISNUMBER(INDEX(CASHBACK_RULES!$L$5:$L$304,$AC1025)),MAX(0,MIN($L1025,INDEX(CASHBACK_RULES!$L$5:$L$304,$AC1025)-$AH1025)),MAX(0,$L1025))))</f>
        <v/>
      </c>
      <c r="N1025" s="49" t="str">
        <f>IF(OR($B1025="",$D1025=""),"",IF($AC1025&gt;0,INDEX(CASHBACK_RULES!$I$5:$I$304,$AC1025),0))</f>
        <v/>
      </c>
      <c r="O1025" s="48" t="str">
        <f>IF(OR($B1025="",$D1025=""),"",ROUND($M1025*$N1025,0))</f>
        <v/>
      </c>
      <c r="P1025" s="48" t="str">
        <f>IF($AC1025&gt;0,IF(ISNUMBER(INDEX(CASHBACK_RULES!$J$5:$J$304,$AC1025)),INDEX(CASHBACK_RULES!$J$5:$J$304,$AC1025),"∞"),"")</f>
        <v/>
      </c>
      <c r="Q1025" s="48" t="str">
        <f>IF(OR($B1025="",$D1025=""),"",IF($AC1025=0,0,MAX(0,MIN($O1025,IF(ISNUMBER($P1025),$P1025-$AF1025,1E+15),IF(ISNUMBER($AA1025),$AA1025-$AG1025,1E+15)))))</f>
        <v/>
      </c>
      <c r="R1025" s="48" t="str">
        <f>IF(OR($B1025="",$D1025=""),"",IF($AC1025=0,"",IF(AND(NOT(ISNUMBER($P1025)),NOT(ISNUMBER($AA1025))),"∞",MAX(0,MIN(IF(ISNUMBER($P1025),$P1025-$AF1025-$Q1025,1E+15),IF(ISNUMBER($AA1025),$AA1025-$AG1025-$Q1025,1E+15))))))</f>
        <v/>
      </c>
      <c r="S1025" s="47" t="str">
        <f>IF($AD1025="","",YEAR($AD1025)*100+MONTH($AD1025))</f>
        <v/>
      </c>
      <c r="T1025" s="50" t="str">
        <f>IF($AD1025="","",IFERROR(IF(INDEX(CARDS!$I$5:$I$34,MATCH($D1025,CARDS!$A$5:$A$34,0))="","",IF(INDEX(CARDS!$I$5:$I$34,MATCH($D1025,CARDS!$A$5:$A$34,0))&gt;INDEX(CARDS!$H$5:$H$34,MATCH($D1025,CARDS!$A$5:$A$34,0)),DATE(YEAR($AD1025),MONTH($AD1025),MIN(INDEX(CARDS!$I$5:$I$34,MATCH($D1025,CARDS!$A$5:$A$34,0)),DAY(EOMONTH($AD1025,0)))),DATE(YEAR($AD1025),MONTH($AD1025)+1,MIN(INDEX(CARDS!$I$5:$I$34,MATCH($D1025,CARDS!$A$5:$A$34,0)),DAY(EOMONTH($AD1025,1)))))),""))</f>
        <v/>
      </c>
      <c r="U1025" s="38" t="n"/>
      <c r="V1025" s="37" t="n"/>
      <c r="W1025" s="38" t="n"/>
      <c r="X1025" s="38" t="n"/>
      <c r="Y1025" s="44" t="str">
        <f>IF($AC1025&gt;0,INDEX(CASHBACK_RULES!$A$5:$A$304,$AC1025),"")</f>
        <v/>
      </c>
      <c r="Z1025" s="45" t="str">
        <f>IF($AC1025&gt;0,INDEX(CASHBACK_RULES!$E$5:$E$304,$AC1025)&amp;"","")</f>
        <v/>
      </c>
      <c r="AA1025" s="48" t="str">
        <f>IF($AC1025&gt;0,IF(ISNUMBER(INDEX(CASHBACK_RULES!$K$5:$K$304,$AC1025)),INDEX(CASHBACK_RULES!$K$5:$K$304,$AC1025),"∞"),"")</f>
        <v/>
      </c>
      <c r="AB1025" s="44" t="str">
        <f>IF(OR($B1025="",$D1025=""),"",IF($U1025="Cancelled","Đã hủy",IF($AC1025=0,"Không được hoàn",IF($Q1025=0,IF(OR($O1025&gt;0,$M1025&lt;$L1025),"Đã đạt cap","Không được hoàn"),IF(OR($Q1025&lt;$O1025,$M1025&lt;$L1025),"Hoàn một phần","Được hoàn")))))</f>
        <v/>
      </c>
      <c r="AC1025" s="43">
        <f>IF(OR($B1025="",$D1025="",$I1025="",$L1025=""),0,IF($U1025="Cancelled",0,IF($W1025&lt;&gt;"",IFERROR(IF(INDEX(CASHBACK_RULES!$B$5:$B$304,MATCH($W1025,CASHBACK_RULES!$A$5:$A$304,0))=$D1025,MATCH($W1025,CASHBACK_RULES!$A$5:$A$304,0),0),0),IFERROR(MATCH(1,INDEX((CASHBACK_RULES!$B$5:$B$304=$D1025)*(CASHBACK_RULES!$G$5:$G$304=$I1025)*(((CASHBACK_RULES!$N$5:$N$304="")+(CASHBACK_RULES!$N$5:$N$304&lt;=$B1025))&gt;0)*(((CASHBACK_RULES!$O$5:$O$304="")+(CASHBACK_RULES!$O$5:$O$304&gt;=$B1025))&gt;0)*(((CASHBACK_RULES!$M$5:$M$304="")+(CASHBACK_RULES!$M$5:$M$304&lt;=$L1025))&gt;0),0),0),0))))</f>
        <v>0</v>
      </c>
      <c r="AD1025" s="51" t="str">
        <f>IF(OR($B1025="",$D1025=""),"",IFERROR(IF(INDEX(CARDS!$H$5:$H$34,MATCH($D1025,CARDS!$A$5:$A$34,0))="","",IF(DAY($B1025)&lt;=INDEX(CARDS!$H$5:$H$34,MATCH($D1025,CARDS!$A$5:$A$34,0)),DATE(YEAR($B1025),MONTH($B1025),MIN(INDEX(CARDS!$H$5:$H$34,MATCH($D1025,CARDS!$A$5:$A$34,0)),DAY(EOMONTH($B1025,0)))),DATE(YEAR($B1025),MONTH($B1025)+1,MIN(INDEX(CARDS!$H$5:$H$34,MATCH($D1025,CARDS!$A$5:$A$34,0)),DAY(EOMONTH($B1025,1)))))),""))</f>
        <v/>
      </c>
      <c r="AE1025" s="52" t="str">
        <f>IF($C1025="","",$C1025&amp;"|"&amp;COUNTIF($C$5:$C1025,$C1025))</f>
        <v/>
      </c>
      <c r="AF1025" s="53">
        <f>IF($AC1025&gt;0,SUMIFS(Q$4:Q1024,$D$4:$D1024,$D1025,$Z$4:$Z1024,$Z1025,$C$4:$C1024,$C1025),0)</f>
        <v>0</v>
      </c>
      <c r="AG1025" s="53">
        <f>IF($AC1025&gt;0,SUMIFS(Q$4:Q1024,$D$4:$D1024,$D1025,$C$4:$C1024,$C1025),0)</f>
        <v>0</v>
      </c>
      <c r="AH1025" s="53">
        <f>IF($AC1025&gt;0,SUMIFS(M$4:M1024,$D$4:$D1024,$D1025,$Z$4:$Z1024,$Z1025,$C$4:$C1024,$C1025),0)</f>
        <v>0</v>
      </c>
      <c r="AI1025" s="43">
        <f>IF(OR($C1025="",$I1025=""),0,IF(COUNTIFS($C$5:$C1025,$C1025,$I$5:$I1025,$I1025)=1,1,0))</f>
        <v>0</v>
      </c>
      <c r="AJ1025" s="43" t="str">
        <f>IF($AI1025=1,SUMIFS($AI$4:$AI1024,$C$4:$C1024,$C1025)+1,"")</f>
        <v/>
      </c>
      <c r="AK1025" s="43">
        <f>IF(OR($C1025="",$K1025=""),0,IF(COUNTIFS($C$5:$C1025,$C1025,$K$5:$K1025,$K1025)=1,1,0))</f>
        <v>0</v>
      </c>
      <c r="AL1025" s="43" t="str">
        <f>IF($AK1025=1,SUMIFS($AK$4:$AK1024,$C$4:$C1024,$C1025)+1,"")</f>
        <v/>
      </c>
      <c r="AM1025" s="43">
        <f>IF(OR($C1025="",$G1025=""),0,IF(COUNTIFS($C$5:$C1025,$C1025,$G$5:$G1025,$G1025)=1,1,0))</f>
        <v>0</v>
      </c>
      <c r="AN1025" s="43" t="str">
        <f>IF($AM1025=1,SUMIFS($AM$4:$AM1024,$C$4:$C1024,$C1025)+1,"")</f>
        <v/>
      </c>
    </row>
    <row r="1026">
      <c r="A1026" s="44" t="str">
        <f>IF(OR($B1026="",$D1026=""),"","TX"&amp;TEXT(ROW()-4,"0000"))</f>
        <v/>
      </c>
      <c r="B1026" s="42" t="n"/>
      <c r="C1026" s="47" t="str">
        <f>IF($B1026="","",YEAR($B1026)*100+MONTH($B1026))</f>
        <v/>
      </c>
      <c r="D1026" s="37" t="n"/>
      <c r="E1026" s="45" t="str">
        <f>IF($D1026="","",IFERROR(INDEX(CARDS!$B$5:$B$34,MATCH($D1026,CARDS!$A$5:$A$34,0)),"⚠ Card ID?"))</f>
        <v/>
      </c>
      <c r="F1026" s="45" t="str">
        <f>IF($D1026="","",IFERROR(INDEX(CARDS!$C$5:$C$34,MATCH($D1026,CARDS!$A$5:$A$34,0)),"⚠ Card ID?"))</f>
        <v/>
      </c>
      <c r="G1026" s="37" t="n"/>
      <c r="H1026" s="37" t="n"/>
      <c r="I1026" s="41" t="n"/>
      <c r="J1026" s="45" t="str">
        <f>IF($I1026="","",IFERROR(INDEX(MCC_MASTER!$B$5:$B$504,MATCH($I1026,MCC_MASTER!$A$5:$A$504,0)),"⚠ MCC chưa có"))</f>
        <v/>
      </c>
      <c r="K1026" s="45" t="str">
        <f>IF($I1026="","",IFERROR(IF(INDEX(MCC_MASTER!$C$5:$C$504,MATCH($I1026,MCC_MASTER!$A$5:$A$504,0))="","Chưa phân loại",INDEX(MCC_MASTER!$C$5:$C$504,MATCH($I1026,MCC_MASTER!$A$5:$A$504,0))),"Chưa phân loại"))</f>
        <v/>
      </c>
      <c r="L1026" s="40" t="n"/>
      <c r="M1026" s="48" t="str">
        <f>IF(OR($B1026="",$D1026=""),"",IF($AC1026=0,0,IF(ISNUMBER(INDEX(CASHBACK_RULES!$L$5:$L$304,$AC1026)),MAX(0,MIN($L1026,INDEX(CASHBACK_RULES!$L$5:$L$304,$AC1026)-$AH1026)),MAX(0,$L1026))))</f>
        <v/>
      </c>
      <c r="N1026" s="49" t="str">
        <f>IF(OR($B1026="",$D1026=""),"",IF($AC1026&gt;0,INDEX(CASHBACK_RULES!$I$5:$I$304,$AC1026),0))</f>
        <v/>
      </c>
      <c r="O1026" s="48" t="str">
        <f>IF(OR($B1026="",$D1026=""),"",ROUND($M1026*$N1026,0))</f>
        <v/>
      </c>
      <c r="P1026" s="48" t="str">
        <f>IF($AC1026&gt;0,IF(ISNUMBER(INDEX(CASHBACK_RULES!$J$5:$J$304,$AC1026)),INDEX(CASHBACK_RULES!$J$5:$J$304,$AC1026),"∞"),"")</f>
        <v/>
      </c>
      <c r="Q1026" s="48" t="str">
        <f>IF(OR($B1026="",$D1026=""),"",IF($AC1026=0,0,MAX(0,MIN($O1026,IF(ISNUMBER($P1026),$P1026-$AF1026,1E+15),IF(ISNUMBER($AA1026),$AA1026-$AG1026,1E+15)))))</f>
        <v/>
      </c>
      <c r="R1026" s="48" t="str">
        <f>IF(OR($B1026="",$D1026=""),"",IF($AC1026=0,"",IF(AND(NOT(ISNUMBER($P1026)),NOT(ISNUMBER($AA1026))),"∞",MAX(0,MIN(IF(ISNUMBER($P1026),$P1026-$AF1026-$Q1026,1E+15),IF(ISNUMBER($AA1026),$AA1026-$AG1026-$Q1026,1E+15))))))</f>
        <v/>
      </c>
      <c r="S1026" s="47" t="str">
        <f>IF($AD1026="","",YEAR($AD1026)*100+MONTH($AD1026))</f>
        <v/>
      </c>
      <c r="T1026" s="50" t="str">
        <f>IF($AD1026="","",IFERROR(IF(INDEX(CARDS!$I$5:$I$34,MATCH($D1026,CARDS!$A$5:$A$34,0))="","",IF(INDEX(CARDS!$I$5:$I$34,MATCH($D1026,CARDS!$A$5:$A$34,0))&gt;INDEX(CARDS!$H$5:$H$34,MATCH($D1026,CARDS!$A$5:$A$34,0)),DATE(YEAR($AD1026),MONTH($AD1026),MIN(INDEX(CARDS!$I$5:$I$34,MATCH($D1026,CARDS!$A$5:$A$34,0)),DAY(EOMONTH($AD1026,0)))),DATE(YEAR($AD1026),MONTH($AD1026)+1,MIN(INDEX(CARDS!$I$5:$I$34,MATCH($D1026,CARDS!$A$5:$A$34,0)),DAY(EOMONTH($AD1026,1)))))),""))</f>
        <v/>
      </c>
      <c r="U1026" s="38" t="n"/>
      <c r="V1026" s="37" t="n"/>
      <c r="W1026" s="38" t="n"/>
      <c r="X1026" s="38" t="n"/>
      <c r="Y1026" s="44" t="str">
        <f>IF($AC1026&gt;0,INDEX(CASHBACK_RULES!$A$5:$A$304,$AC1026),"")</f>
        <v/>
      </c>
      <c r="Z1026" s="45" t="str">
        <f>IF($AC1026&gt;0,INDEX(CASHBACK_RULES!$E$5:$E$304,$AC1026)&amp;"","")</f>
        <v/>
      </c>
      <c r="AA1026" s="48" t="str">
        <f>IF($AC1026&gt;0,IF(ISNUMBER(INDEX(CASHBACK_RULES!$K$5:$K$304,$AC1026)),INDEX(CASHBACK_RULES!$K$5:$K$304,$AC1026),"∞"),"")</f>
        <v/>
      </c>
      <c r="AB1026" s="44" t="str">
        <f>IF(OR($B1026="",$D1026=""),"",IF($U1026="Cancelled","Đã hủy",IF($AC1026=0,"Không được hoàn",IF($Q1026=0,IF(OR($O1026&gt;0,$M1026&lt;$L1026),"Đã đạt cap","Không được hoàn"),IF(OR($Q1026&lt;$O1026,$M1026&lt;$L1026),"Hoàn một phần","Được hoàn")))))</f>
        <v/>
      </c>
      <c r="AC1026" s="43">
        <f>IF(OR($B1026="",$D1026="",$I1026="",$L1026=""),0,IF($U1026="Cancelled",0,IF($W1026&lt;&gt;"",IFERROR(IF(INDEX(CASHBACK_RULES!$B$5:$B$304,MATCH($W1026,CASHBACK_RULES!$A$5:$A$304,0))=$D1026,MATCH($W1026,CASHBACK_RULES!$A$5:$A$304,0),0),0),IFERROR(MATCH(1,INDEX((CASHBACK_RULES!$B$5:$B$304=$D1026)*(CASHBACK_RULES!$G$5:$G$304=$I1026)*(((CASHBACK_RULES!$N$5:$N$304="")+(CASHBACK_RULES!$N$5:$N$304&lt;=$B1026))&gt;0)*(((CASHBACK_RULES!$O$5:$O$304="")+(CASHBACK_RULES!$O$5:$O$304&gt;=$B1026))&gt;0)*(((CASHBACK_RULES!$M$5:$M$304="")+(CASHBACK_RULES!$M$5:$M$304&lt;=$L1026))&gt;0),0),0),0))))</f>
        <v>0</v>
      </c>
      <c r="AD1026" s="51" t="str">
        <f>IF(OR($B1026="",$D1026=""),"",IFERROR(IF(INDEX(CARDS!$H$5:$H$34,MATCH($D1026,CARDS!$A$5:$A$34,0))="","",IF(DAY($B1026)&lt;=INDEX(CARDS!$H$5:$H$34,MATCH($D1026,CARDS!$A$5:$A$34,0)),DATE(YEAR($B1026),MONTH($B1026),MIN(INDEX(CARDS!$H$5:$H$34,MATCH($D1026,CARDS!$A$5:$A$34,0)),DAY(EOMONTH($B1026,0)))),DATE(YEAR($B1026),MONTH($B1026)+1,MIN(INDEX(CARDS!$H$5:$H$34,MATCH($D1026,CARDS!$A$5:$A$34,0)),DAY(EOMONTH($B1026,1)))))),""))</f>
        <v/>
      </c>
      <c r="AE1026" s="52" t="str">
        <f>IF($C1026="","",$C1026&amp;"|"&amp;COUNTIF($C$5:$C1026,$C1026))</f>
        <v/>
      </c>
      <c r="AF1026" s="53">
        <f>IF($AC1026&gt;0,SUMIFS(Q$4:Q1025,$D$4:$D1025,$D1026,$Z$4:$Z1025,$Z1026,$C$4:$C1025,$C1026),0)</f>
        <v>0</v>
      </c>
      <c r="AG1026" s="53">
        <f>IF($AC1026&gt;0,SUMIFS(Q$4:Q1025,$D$4:$D1025,$D1026,$C$4:$C1025,$C1026),0)</f>
        <v>0</v>
      </c>
      <c r="AH1026" s="53">
        <f>IF($AC1026&gt;0,SUMIFS(M$4:M1025,$D$4:$D1025,$D1026,$Z$4:$Z1025,$Z1026,$C$4:$C1025,$C1026),0)</f>
        <v>0</v>
      </c>
      <c r="AI1026" s="43">
        <f>IF(OR($C1026="",$I1026=""),0,IF(COUNTIFS($C$5:$C1026,$C1026,$I$5:$I1026,$I1026)=1,1,0))</f>
        <v>0</v>
      </c>
      <c r="AJ1026" s="43" t="str">
        <f>IF($AI1026=1,SUMIFS($AI$4:$AI1025,$C$4:$C1025,$C1026)+1,"")</f>
        <v/>
      </c>
      <c r="AK1026" s="43">
        <f>IF(OR($C1026="",$K1026=""),0,IF(COUNTIFS($C$5:$C1026,$C1026,$K$5:$K1026,$K1026)=1,1,0))</f>
        <v>0</v>
      </c>
      <c r="AL1026" s="43" t="str">
        <f>IF($AK1026=1,SUMIFS($AK$4:$AK1025,$C$4:$C1025,$C1026)+1,"")</f>
        <v/>
      </c>
      <c r="AM1026" s="43">
        <f>IF(OR($C1026="",$G1026=""),0,IF(COUNTIFS($C$5:$C1026,$C1026,$G$5:$G1026,$G1026)=1,1,0))</f>
        <v>0</v>
      </c>
      <c r="AN1026" s="43" t="str">
        <f>IF($AM1026=1,SUMIFS($AM$4:$AM1025,$C$4:$C1025,$C1026)+1,"")</f>
        <v/>
      </c>
    </row>
    <row r="1027">
      <c r="A1027" s="44" t="str">
        <f>IF(OR($B1027="",$D1027=""),"","TX"&amp;TEXT(ROW()-4,"0000"))</f>
        <v/>
      </c>
      <c r="B1027" s="42" t="n"/>
      <c r="C1027" s="47" t="str">
        <f>IF($B1027="","",YEAR($B1027)*100+MONTH($B1027))</f>
        <v/>
      </c>
      <c r="D1027" s="37" t="n"/>
      <c r="E1027" s="45" t="str">
        <f>IF($D1027="","",IFERROR(INDEX(CARDS!$B$5:$B$34,MATCH($D1027,CARDS!$A$5:$A$34,0)),"⚠ Card ID?"))</f>
        <v/>
      </c>
      <c r="F1027" s="45" t="str">
        <f>IF($D1027="","",IFERROR(INDEX(CARDS!$C$5:$C$34,MATCH($D1027,CARDS!$A$5:$A$34,0)),"⚠ Card ID?"))</f>
        <v/>
      </c>
      <c r="G1027" s="37" t="n"/>
      <c r="H1027" s="37" t="n"/>
      <c r="I1027" s="41" t="n"/>
      <c r="J1027" s="45" t="str">
        <f>IF($I1027="","",IFERROR(INDEX(MCC_MASTER!$B$5:$B$504,MATCH($I1027,MCC_MASTER!$A$5:$A$504,0)),"⚠ MCC chưa có"))</f>
        <v/>
      </c>
      <c r="K1027" s="45" t="str">
        <f>IF($I1027="","",IFERROR(IF(INDEX(MCC_MASTER!$C$5:$C$504,MATCH($I1027,MCC_MASTER!$A$5:$A$504,0))="","Chưa phân loại",INDEX(MCC_MASTER!$C$5:$C$504,MATCH($I1027,MCC_MASTER!$A$5:$A$504,0))),"Chưa phân loại"))</f>
        <v/>
      </c>
      <c r="L1027" s="40" t="n"/>
      <c r="M1027" s="48" t="str">
        <f>IF(OR($B1027="",$D1027=""),"",IF($AC1027=0,0,IF(ISNUMBER(INDEX(CASHBACK_RULES!$L$5:$L$304,$AC1027)),MAX(0,MIN($L1027,INDEX(CASHBACK_RULES!$L$5:$L$304,$AC1027)-$AH1027)),MAX(0,$L1027))))</f>
        <v/>
      </c>
      <c r="N1027" s="49" t="str">
        <f>IF(OR($B1027="",$D1027=""),"",IF($AC1027&gt;0,INDEX(CASHBACK_RULES!$I$5:$I$304,$AC1027),0))</f>
        <v/>
      </c>
      <c r="O1027" s="48" t="str">
        <f>IF(OR($B1027="",$D1027=""),"",ROUND($M1027*$N1027,0))</f>
        <v/>
      </c>
      <c r="P1027" s="48" t="str">
        <f>IF($AC1027&gt;0,IF(ISNUMBER(INDEX(CASHBACK_RULES!$J$5:$J$304,$AC1027)),INDEX(CASHBACK_RULES!$J$5:$J$304,$AC1027),"∞"),"")</f>
        <v/>
      </c>
      <c r="Q1027" s="48" t="str">
        <f>IF(OR($B1027="",$D1027=""),"",IF($AC1027=0,0,MAX(0,MIN($O1027,IF(ISNUMBER($P1027),$P1027-$AF1027,1E+15),IF(ISNUMBER($AA1027),$AA1027-$AG1027,1E+15)))))</f>
        <v/>
      </c>
      <c r="R1027" s="48" t="str">
        <f>IF(OR($B1027="",$D1027=""),"",IF($AC1027=0,"",IF(AND(NOT(ISNUMBER($P1027)),NOT(ISNUMBER($AA1027))),"∞",MAX(0,MIN(IF(ISNUMBER($P1027),$P1027-$AF1027-$Q1027,1E+15),IF(ISNUMBER($AA1027),$AA1027-$AG1027-$Q1027,1E+15))))))</f>
        <v/>
      </c>
      <c r="S1027" s="47" t="str">
        <f>IF($AD1027="","",YEAR($AD1027)*100+MONTH($AD1027))</f>
        <v/>
      </c>
      <c r="T1027" s="50" t="str">
        <f>IF($AD1027="","",IFERROR(IF(INDEX(CARDS!$I$5:$I$34,MATCH($D1027,CARDS!$A$5:$A$34,0))="","",IF(INDEX(CARDS!$I$5:$I$34,MATCH($D1027,CARDS!$A$5:$A$34,0))&gt;INDEX(CARDS!$H$5:$H$34,MATCH($D1027,CARDS!$A$5:$A$34,0)),DATE(YEAR($AD1027),MONTH($AD1027),MIN(INDEX(CARDS!$I$5:$I$34,MATCH($D1027,CARDS!$A$5:$A$34,0)),DAY(EOMONTH($AD1027,0)))),DATE(YEAR($AD1027),MONTH($AD1027)+1,MIN(INDEX(CARDS!$I$5:$I$34,MATCH($D1027,CARDS!$A$5:$A$34,0)),DAY(EOMONTH($AD1027,1)))))),""))</f>
        <v/>
      </c>
      <c r="U1027" s="38" t="n"/>
      <c r="V1027" s="37" t="n"/>
      <c r="W1027" s="38" t="n"/>
      <c r="X1027" s="38" t="n"/>
      <c r="Y1027" s="44" t="str">
        <f>IF($AC1027&gt;0,INDEX(CASHBACK_RULES!$A$5:$A$304,$AC1027),"")</f>
        <v/>
      </c>
      <c r="Z1027" s="45" t="str">
        <f>IF($AC1027&gt;0,INDEX(CASHBACK_RULES!$E$5:$E$304,$AC1027)&amp;"","")</f>
        <v/>
      </c>
      <c r="AA1027" s="48" t="str">
        <f>IF($AC1027&gt;0,IF(ISNUMBER(INDEX(CASHBACK_RULES!$K$5:$K$304,$AC1027)),INDEX(CASHBACK_RULES!$K$5:$K$304,$AC1027),"∞"),"")</f>
        <v/>
      </c>
      <c r="AB1027" s="44" t="str">
        <f>IF(OR($B1027="",$D1027=""),"",IF($U1027="Cancelled","Đã hủy",IF($AC1027=0,"Không được hoàn",IF($Q1027=0,IF(OR($O1027&gt;0,$M1027&lt;$L1027),"Đã đạt cap","Không được hoàn"),IF(OR($Q1027&lt;$O1027,$M1027&lt;$L1027),"Hoàn một phần","Được hoàn")))))</f>
        <v/>
      </c>
      <c r="AC1027" s="43">
        <f>IF(OR($B1027="",$D1027="",$I1027="",$L1027=""),0,IF($U1027="Cancelled",0,IF($W1027&lt;&gt;"",IFERROR(IF(INDEX(CASHBACK_RULES!$B$5:$B$304,MATCH($W1027,CASHBACK_RULES!$A$5:$A$304,0))=$D1027,MATCH($W1027,CASHBACK_RULES!$A$5:$A$304,0),0),0),IFERROR(MATCH(1,INDEX((CASHBACK_RULES!$B$5:$B$304=$D1027)*(CASHBACK_RULES!$G$5:$G$304=$I1027)*(((CASHBACK_RULES!$N$5:$N$304="")+(CASHBACK_RULES!$N$5:$N$304&lt;=$B1027))&gt;0)*(((CASHBACK_RULES!$O$5:$O$304="")+(CASHBACK_RULES!$O$5:$O$304&gt;=$B1027))&gt;0)*(((CASHBACK_RULES!$M$5:$M$304="")+(CASHBACK_RULES!$M$5:$M$304&lt;=$L1027))&gt;0),0),0),0))))</f>
        <v>0</v>
      </c>
      <c r="AD1027" s="51" t="str">
        <f>IF(OR($B1027="",$D1027=""),"",IFERROR(IF(INDEX(CARDS!$H$5:$H$34,MATCH($D1027,CARDS!$A$5:$A$34,0))="","",IF(DAY($B1027)&lt;=INDEX(CARDS!$H$5:$H$34,MATCH($D1027,CARDS!$A$5:$A$34,0)),DATE(YEAR($B1027),MONTH($B1027),MIN(INDEX(CARDS!$H$5:$H$34,MATCH($D1027,CARDS!$A$5:$A$34,0)),DAY(EOMONTH($B1027,0)))),DATE(YEAR($B1027),MONTH($B1027)+1,MIN(INDEX(CARDS!$H$5:$H$34,MATCH($D1027,CARDS!$A$5:$A$34,0)),DAY(EOMONTH($B1027,1)))))),""))</f>
        <v/>
      </c>
      <c r="AE1027" s="52" t="str">
        <f>IF($C1027="","",$C1027&amp;"|"&amp;COUNTIF($C$5:$C1027,$C1027))</f>
        <v/>
      </c>
      <c r="AF1027" s="53">
        <f>IF($AC1027&gt;0,SUMIFS(Q$4:Q1026,$D$4:$D1026,$D1027,$Z$4:$Z1026,$Z1027,$C$4:$C1026,$C1027),0)</f>
        <v>0</v>
      </c>
      <c r="AG1027" s="53">
        <f>IF($AC1027&gt;0,SUMIFS(Q$4:Q1026,$D$4:$D1026,$D1027,$C$4:$C1026,$C1027),0)</f>
        <v>0</v>
      </c>
      <c r="AH1027" s="53">
        <f>IF($AC1027&gt;0,SUMIFS(M$4:M1026,$D$4:$D1026,$D1027,$Z$4:$Z1026,$Z1027,$C$4:$C1026,$C1027),0)</f>
        <v>0</v>
      </c>
      <c r="AI1027" s="43">
        <f>IF(OR($C1027="",$I1027=""),0,IF(COUNTIFS($C$5:$C1027,$C1027,$I$5:$I1027,$I1027)=1,1,0))</f>
        <v>0</v>
      </c>
      <c r="AJ1027" s="43" t="str">
        <f>IF($AI1027=1,SUMIFS($AI$4:$AI1026,$C$4:$C1026,$C1027)+1,"")</f>
        <v/>
      </c>
      <c r="AK1027" s="43">
        <f>IF(OR($C1027="",$K1027=""),0,IF(COUNTIFS($C$5:$C1027,$C1027,$K$5:$K1027,$K1027)=1,1,0))</f>
        <v>0</v>
      </c>
      <c r="AL1027" s="43" t="str">
        <f>IF($AK1027=1,SUMIFS($AK$4:$AK1026,$C$4:$C1026,$C1027)+1,"")</f>
        <v/>
      </c>
      <c r="AM1027" s="43">
        <f>IF(OR($C1027="",$G1027=""),0,IF(COUNTIFS($C$5:$C1027,$C1027,$G$5:$G1027,$G1027)=1,1,0))</f>
        <v>0</v>
      </c>
      <c r="AN1027" s="43" t="str">
        <f>IF($AM1027=1,SUMIFS($AM$4:$AM1026,$C$4:$C1026,$C1027)+1,"")</f>
        <v/>
      </c>
    </row>
    <row r="1028">
      <c r="A1028" s="44" t="str">
        <f>IF(OR($B1028="",$D1028=""),"","TX"&amp;TEXT(ROW()-4,"0000"))</f>
        <v/>
      </c>
      <c r="B1028" s="42" t="n"/>
      <c r="C1028" s="47" t="str">
        <f>IF($B1028="","",YEAR($B1028)*100+MONTH($B1028))</f>
        <v/>
      </c>
      <c r="D1028" s="37" t="n"/>
      <c r="E1028" s="45" t="str">
        <f>IF($D1028="","",IFERROR(INDEX(CARDS!$B$5:$B$34,MATCH($D1028,CARDS!$A$5:$A$34,0)),"⚠ Card ID?"))</f>
        <v/>
      </c>
      <c r="F1028" s="45" t="str">
        <f>IF($D1028="","",IFERROR(INDEX(CARDS!$C$5:$C$34,MATCH($D1028,CARDS!$A$5:$A$34,0)),"⚠ Card ID?"))</f>
        <v/>
      </c>
      <c r="G1028" s="37" t="n"/>
      <c r="H1028" s="37" t="n"/>
      <c r="I1028" s="41" t="n"/>
      <c r="J1028" s="45" t="str">
        <f>IF($I1028="","",IFERROR(INDEX(MCC_MASTER!$B$5:$B$504,MATCH($I1028,MCC_MASTER!$A$5:$A$504,0)),"⚠ MCC chưa có"))</f>
        <v/>
      </c>
      <c r="K1028" s="45" t="str">
        <f>IF($I1028="","",IFERROR(IF(INDEX(MCC_MASTER!$C$5:$C$504,MATCH($I1028,MCC_MASTER!$A$5:$A$504,0))="","Chưa phân loại",INDEX(MCC_MASTER!$C$5:$C$504,MATCH($I1028,MCC_MASTER!$A$5:$A$504,0))),"Chưa phân loại"))</f>
        <v/>
      </c>
      <c r="L1028" s="40" t="n"/>
      <c r="M1028" s="48" t="str">
        <f>IF(OR($B1028="",$D1028=""),"",IF($AC1028=0,0,IF(ISNUMBER(INDEX(CASHBACK_RULES!$L$5:$L$304,$AC1028)),MAX(0,MIN($L1028,INDEX(CASHBACK_RULES!$L$5:$L$304,$AC1028)-$AH1028)),MAX(0,$L1028))))</f>
        <v/>
      </c>
      <c r="N1028" s="49" t="str">
        <f>IF(OR($B1028="",$D1028=""),"",IF($AC1028&gt;0,INDEX(CASHBACK_RULES!$I$5:$I$304,$AC1028),0))</f>
        <v/>
      </c>
      <c r="O1028" s="48" t="str">
        <f>IF(OR($B1028="",$D1028=""),"",ROUND($M1028*$N1028,0))</f>
        <v/>
      </c>
      <c r="P1028" s="48" t="str">
        <f>IF($AC1028&gt;0,IF(ISNUMBER(INDEX(CASHBACK_RULES!$J$5:$J$304,$AC1028)),INDEX(CASHBACK_RULES!$J$5:$J$304,$AC1028),"∞"),"")</f>
        <v/>
      </c>
      <c r="Q1028" s="48" t="str">
        <f>IF(OR($B1028="",$D1028=""),"",IF($AC1028=0,0,MAX(0,MIN($O1028,IF(ISNUMBER($P1028),$P1028-$AF1028,1E+15),IF(ISNUMBER($AA1028),$AA1028-$AG1028,1E+15)))))</f>
        <v/>
      </c>
      <c r="R1028" s="48" t="str">
        <f>IF(OR($B1028="",$D1028=""),"",IF($AC1028=0,"",IF(AND(NOT(ISNUMBER($P1028)),NOT(ISNUMBER($AA1028))),"∞",MAX(0,MIN(IF(ISNUMBER($P1028),$P1028-$AF1028-$Q1028,1E+15),IF(ISNUMBER($AA1028),$AA1028-$AG1028-$Q1028,1E+15))))))</f>
        <v/>
      </c>
      <c r="S1028" s="47" t="str">
        <f>IF($AD1028="","",YEAR($AD1028)*100+MONTH($AD1028))</f>
        <v/>
      </c>
      <c r="T1028" s="50" t="str">
        <f>IF($AD1028="","",IFERROR(IF(INDEX(CARDS!$I$5:$I$34,MATCH($D1028,CARDS!$A$5:$A$34,0))="","",IF(INDEX(CARDS!$I$5:$I$34,MATCH($D1028,CARDS!$A$5:$A$34,0))&gt;INDEX(CARDS!$H$5:$H$34,MATCH($D1028,CARDS!$A$5:$A$34,0)),DATE(YEAR($AD1028),MONTH($AD1028),MIN(INDEX(CARDS!$I$5:$I$34,MATCH($D1028,CARDS!$A$5:$A$34,0)),DAY(EOMONTH($AD1028,0)))),DATE(YEAR($AD1028),MONTH($AD1028)+1,MIN(INDEX(CARDS!$I$5:$I$34,MATCH($D1028,CARDS!$A$5:$A$34,0)),DAY(EOMONTH($AD1028,1)))))),""))</f>
        <v/>
      </c>
      <c r="U1028" s="38" t="n"/>
      <c r="V1028" s="37" t="n"/>
      <c r="W1028" s="38" t="n"/>
      <c r="X1028" s="38" t="n"/>
      <c r="Y1028" s="44" t="str">
        <f>IF($AC1028&gt;0,INDEX(CASHBACK_RULES!$A$5:$A$304,$AC1028),"")</f>
        <v/>
      </c>
      <c r="Z1028" s="45" t="str">
        <f>IF($AC1028&gt;0,INDEX(CASHBACK_RULES!$E$5:$E$304,$AC1028)&amp;"","")</f>
        <v/>
      </c>
      <c r="AA1028" s="48" t="str">
        <f>IF($AC1028&gt;0,IF(ISNUMBER(INDEX(CASHBACK_RULES!$K$5:$K$304,$AC1028)),INDEX(CASHBACK_RULES!$K$5:$K$304,$AC1028),"∞"),"")</f>
        <v/>
      </c>
      <c r="AB1028" s="44" t="str">
        <f>IF(OR($B1028="",$D1028=""),"",IF($U1028="Cancelled","Đã hủy",IF($AC1028=0,"Không được hoàn",IF($Q1028=0,IF(OR($O1028&gt;0,$M1028&lt;$L1028),"Đã đạt cap","Không được hoàn"),IF(OR($Q1028&lt;$O1028,$M1028&lt;$L1028),"Hoàn một phần","Được hoàn")))))</f>
        <v/>
      </c>
      <c r="AC1028" s="43">
        <f>IF(OR($B1028="",$D1028="",$I1028="",$L1028=""),0,IF($U1028="Cancelled",0,IF($W1028&lt;&gt;"",IFERROR(IF(INDEX(CASHBACK_RULES!$B$5:$B$304,MATCH($W1028,CASHBACK_RULES!$A$5:$A$304,0))=$D1028,MATCH($W1028,CASHBACK_RULES!$A$5:$A$304,0),0),0),IFERROR(MATCH(1,INDEX((CASHBACK_RULES!$B$5:$B$304=$D1028)*(CASHBACK_RULES!$G$5:$G$304=$I1028)*(((CASHBACK_RULES!$N$5:$N$304="")+(CASHBACK_RULES!$N$5:$N$304&lt;=$B1028))&gt;0)*(((CASHBACK_RULES!$O$5:$O$304="")+(CASHBACK_RULES!$O$5:$O$304&gt;=$B1028))&gt;0)*(((CASHBACK_RULES!$M$5:$M$304="")+(CASHBACK_RULES!$M$5:$M$304&lt;=$L1028))&gt;0),0),0),0))))</f>
        <v>0</v>
      </c>
      <c r="AD1028" s="51" t="str">
        <f>IF(OR($B1028="",$D1028=""),"",IFERROR(IF(INDEX(CARDS!$H$5:$H$34,MATCH($D1028,CARDS!$A$5:$A$34,0))="","",IF(DAY($B1028)&lt;=INDEX(CARDS!$H$5:$H$34,MATCH($D1028,CARDS!$A$5:$A$34,0)),DATE(YEAR($B1028),MONTH($B1028),MIN(INDEX(CARDS!$H$5:$H$34,MATCH($D1028,CARDS!$A$5:$A$34,0)),DAY(EOMONTH($B1028,0)))),DATE(YEAR($B1028),MONTH($B1028)+1,MIN(INDEX(CARDS!$H$5:$H$34,MATCH($D1028,CARDS!$A$5:$A$34,0)),DAY(EOMONTH($B1028,1)))))),""))</f>
        <v/>
      </c>
      <c r="AE1028" s="52" t="str">
        <f>IF($C1028="","",$C1028&amp;"|"&amp;COUNTIF($C$5:$C1028,$C1028))</f>
        <v/>
      </c>
      <c r="AF1028" s="53">
        <f>IF($AC1028&gt;0,SUMIFS(Q$4:Q1027,$D$4:$D1027,$D1028,$Z$4:$Z1027,$Z1028,$C$4:$C1027,$C1028),0)</f>
        <v>0</v>
      </c>
      <c r="AG1028" s="53">
        <f>IF($AC1028&gt;0,SUMIFS(Q$4:Q1027,$D$4:$D1027,$D1028,$C$4:$C1027,$C1028),0)</f>
        <v>0</v>
      </c>
      <c r="AH1028" s="53">
        <f>IF($AC1028&gt;0,SUMIFS(M$4:M1027,$D$4:$D1027,$D1028,$Z$4:$Z1027,$Z1028,$C$4:$C1027,$C1028),0)</f>
        <v>0</v>
      </c>
      <c r="AI1028" s="43">
        <f>IF(OR($C1028="",$I1028=""),0,IF(COUNTIFS($C$5:$C1028,$C1028,$I$5:$I1028,$I1028)=1,1,0))</f>
        <v>0</v>
      </c>
      <c r="AJ1028" s="43" t="str">
        <f>IF($AI1028=1,SUMIFS($AI$4:$AI1027,$C$4:$C1027,$C1028)+1,"")</f>
        <v/>
      </c>
      <c r="AK1028" s="43">
        <f>IF(OR($C1028="",$K1028=""),0,IF(COUNTIFS($C$5:$C1028,$C1028,$K$5:$K1028,$K1028)=1,1,0))</f>
        <v>0</v>
      </c>
      <c r="AL1028" s="43" t="str">
        <f>IF($AK1028=1,SUMIFS($AK$4:$AK1027,$C$4:$C1027,$C1028)+1,"")</f>
        <v/>
      </c>
      <c r="AM1028" s="43">
        <f>IF(OR($C1028="",$G1028=""),0,IF(COUNTIFS($C$5:$C1028,$C1028,$G$5:$G1028,$G1028)=1,1,0))</f>
        <v>0</v>
      </c>
      <c r="AN1028" s="43" t="str">
        <f>IF($AM1028=1,SUMIFS($AM$4:$AM1027,$C$4:$C1027,$C1028)+1,"")</f>
        <v/>
      </c>
    </row>
    <row r="1029">
      <c r="A1029" s="44" t="str">
        <f>IF(OR($B1029="",$D1029=""),"","TX"&amp;TEXT(ROW()-4,"0000"))</f>
        <v/>
      </c>
      <c r="B1029" s="42" t="n"/>
      <c r="C1029" s="47" t="str">
        <f>IF($B1029="","",YEAR($B1029)*100+MONTH($B1029))</f>
        <v/>
      </c>
      <c r="D1029" s="37" t="n"/>
      <c r="E1029" s="45" t="str">
        <f>IF($D1029="","",IFERROR(INDEX(CARDS!$B$5:$B$34,MATCH($D1029,CARDS!$A$5:$A$34,0)),"⚠ Card ID?"))</f>
        <v/>
      </c>
      <c r="F1029" s="45" t="str">
        <f>IF($D1029="","",IFERROR(INDEX(CARDS!$C$5:$C$34,MATCH($D1029,CARDS!$A$5:$A$34,0)),"⚠ Card ID?"))</f>
        <v/>
      </c>
      <c r="G1029" s="37" t="n"/>
      <c r="H1029" s="37" t="n"/>
      <c r="I1029" s="41" t="n"/>
      <c r="J1029" s="45" t="str">
        <f>IF($I1029="","",IFERROR(INDEX(MCC_MASTER!$B$5:$B$504,MATCH($I1029,MCC_MASTER!$A$5:$A$504,0)),"⚠ MCC chưa có"))</f>
        <v/>
      </c>
      <c r="K1029" s="45" t="str">
        <f>IF($I1029="","",IFERROR(IF(INDEX(MCC_MASTER!$C$5:$C$504,MATCH($I1029,MCC_MASTER!$A$5:$A$504,0))="","Chưa phân loại",INDEX(MCC_MASTER!$C$5:$C$504,MATCH($I1029,MCC_MASTER!$A$5:$A$504,0))),"Chưa phân loại"))</f>
        <v/>
      </c>
      <c r="L1029" s="40" t="n"/>
      <c r="M1029" s="48" t="str">
        <f>IF(OR($B1029="",$D1029=""),"",IF($AC1029=0,0,IF(ISNUMBER(INDEX(CASHBACK_RULES!$L$5:$L$304,$AC1029)),MAX(0,MIN($L1029,INDEX(CASHBACK_RULES!$L$5:$L$304,$AC1029)-$AH1029)),MAX(0,$L1029))))</f>
        <v/>
      </c>
      <c r="N1029" s="49" t="str">
        <f>IF(OR($B1029="",$D1029=""),"",IF($AC1029&gt;0,INDEX(CASHBACK_RULES!$I$5:$I$304,$AC1029),0))</f>
        <v/>
      </c>
      <c r="O1029" s="48" t="str">
        <f>IF(OR($B1029="",$D1029=""),"",ROUND($M1029*$N1029,0))</f>
        <v/>
      </c>
      <c r="P1029" s="48" t="str">
        <f>IF($AC1029&gt;0,IF(ISNUMBER(INDEX(CASHBACK_RULES!$J$5:$J$304,$AC1029)),INDEX(CASHBACK_RULES!$J$5:$J$304,$AC1029),"∞"),"")</f>
        <v/>
      </c>
      <c r="Q1029" s="48" t="str">
        <f>IF(OR($B1029="",$D1029=""),"",IF($AC1029=0,0,MAX(0,MIN($O1029,IF(ISNUMBER($P1029),$P1029-$AF1029,1E+15),IF(ISNUMBER($AA1029),$AA1029-$AG1029,1E+15)))))</f>
        <v/>
      </c>
      <c r="R1029" s="48" t="str">
        <f>IF(OR($B1029="",$D1029=""),"",IF($AC1029=0,"",IF(AND(NOT(ISNUMBER($P1029)),NOT(ISNUMBER($AA1029))),"∞",MAX(0,MIN(IF(ISNUMBER($P1029),$P1029-$AF1029-$Q1029,1E+15),IF(ISNUMBER($AA1029),$AA1029-$AG1029-$Q1029,1E+15))))))</f>
        <v/>
      </c>
      <c r="S1029" s="47" t="str">
        <f>IF($AD1029="","",YEAR($AD1029)*100+MONTH($AD1029))</f>
        <v/>
      </c>
      <c r="T1029" s="50" t="str">
        <f>IF($AD1029="","",IFERROR(IF(INDEX(CARDS!$I$5:$I$34,MATCH($D1029,CARDS!$A$5:$A$34,0))="","",IF(INDEX(CARDS!$I$5:$I$34,MATCH($D1029,CARDS!$A$5:$A$34,0))&gt;INDEX(CARDS!$H$5:$H$34,MATCH($D1029,CARDS!$A$5:$A$34,0)),DATE(YEAR($AD1029),MONTH($AD1029),MIN(INDEX(CARDS!$I$5:$I$34,MATCH($D1029,CARDS!$A$5:$A$34,0)),DAY(EOMONTH($AD1029,0)))),DATE(YEAR($AD1029),MONTH($AD1029)+1,MIN(INDEX(CARDS!$I$5:$I$34,MATCH($D1029,CARDS!$A$5:$A$34,0)),DAY(EOMONTH($AD1029,1)))))),""))</f>
        <v/>
      </c>
      <c r="U1029" s="38" t="n"/>
      <c r="V1029" s="37" t="n"/>
      <c r="W1029" s="38" t="n"/>
      <c r="X1029" s="38" t="n"/>
      <c r="Y1029" s="44" t="str">
        <f>IF($AC1029&gt;0,INDEX(CASHBACK_RULES!$A$5:$A$304,$AC1029),"")</f>
        <v/>
      </c>
      <c r="Z1029" s="45" t="str">
        <f>IF($AC1029&gt;0,INDEX(CASHBACK_RULES!$E$5:$E$304,$AC1029)&amp;"","")</f>
        <v/>
      </c>
      <c r="AA1029" s="48" t="str">
        <f>IF($AC1029&gt;0,IF(ISNUMBER(INDEX(CASHBACK_RULES!$K$5:$K$304,$AC1029)),INDEX(CASHBACK_RULES!$K$5:$K$304,$AC1029),"∞"),"")</f>
        <v/>
      </c>
      <c r="AB1029" s="44" t="str">
        <f>IF(OR($B1029="",$D1029=""),"",IF($U1029="Cancelled","Đã hủy",IF($AC1029=0,"Không được hoàn",IF($Q1029=0,IF(OR($O1029&gt;0,$M1029&lt;$L1029),"Đã đạt cap","Không được hoàn"),IF(OR($Q1029&lt;$O1029,$M1029&lt;$L1029),"Hoàn một phần","Được hoàn")))))</f>
        <v/>
      </c>
      <c r="AC1029" s="43">
        <f>IF(OR($B1029="",$D1029="",$I1029="",$L1029=""),0,IF($U1029="Cancelled",0,IF($W1029&lt;&gt;"",IFERROR(IF(INDEX(CASHBACK_RULES!$B$5:$B$304,MATCH($W1029,CASHBACK_RULES!$A$5:$A$304,0))=$D1029,MATCH($W1029,CASHBACK_RULES!$A$5:$A$304,0),0),0),IFERROR(MATCH(1,INDEX((CASHBACK_RULES!$B$5:$B$304=$D1029)*(CASHBACK_RULES!$G$5:$G$304=$I1029)*(((CASHBACK_RULES!$N$5:$N$304="")+(CASHBACK_RULES!$N$5:$N$304&lt;=$B1029))&gt;0)*(((CASHBACK_RULES!$O$5:$O$304="")+(CASHBACK_RULES!$O$5:$O$304&gt;=$B1029))&gt;0)*(((CASHBACK_RULES!$M$5:$M$304="")+(CASHBACK_RULES!$M$5:$M$304&lt;=$L1029))&gt;0),0),0),0))))</f>
        <v>0</v>
      </c>
      <c r="AD1029" s="51" t="str">
        <f>IF(OR($B1029="",$D1029=""),"",IFERROR(IF(INDEX(CARDS!$H$5:$H$34,MATCH($D1029,CARDS!$A$5:$A$34,0))="","",IF(DAY($B1029)&lt;=INDEX(CARDS!$H$5:$H$34,MATCH($D1029,CARDS!$A$5:$A$34,0)),DATE(YEAR($B1029),MONTH($B1029),MIN(INDEX(CARDS!$H$5:$H$34,MATCH($D1029,CARDS!$A$5:$A$34,0)),DAY(EOMONTH($B1029,0)))),DATE(YEAR($B1029),MONTH($B1029)+1,MIN(INDEX(CARDS!$H$5:$H$34,MATCH($D1029,CARDS!$A$5:$A$34,0)),DAY(EOMONTH($B1029,1)))))),""))</f>
        <v/>
      </c>
      <c r="AE1029" s="52" t="str">
        <f>IF($C1029="","",$C1029&amp;"|"&amp;COUNTIF($C$5:$C1029,$C1029))</f>
        <v/>
      </c>
      <c r="AF1029" s="53">
        <f>IF($AC1029&gt;0,SUMIFS(Q$4:Q1028,$D$4:$D1028,$D1029,$Z$4:$Z1028,$Z1029,$C$4:$C1028,$C1029),0)</f>
        <v>0</v>
      </c>
      <c r="AG1029" s="53">
        <f>IF($AC1029&gt;0,SUMIFS(Q$4:Q1028,$D$4:$D1028,$D1029,$C$4:$C1028,$C1029),0)</f>
        <v>0</v>
      </c>
      <c r="AH1029" s="53">
        <f>IF($AC1029&gt;0,SUMIFS(M$4:M1028,$D$4:$D1028,$D1029,$Z$4:$Z1028,$Z1029,$C$4:$C1028,$C1029),0)</f>
        <v>0</v>
      </c>
      <c r="AI1029" s="43">
        <f>IF(OR($C1029="",$I1029=""),0,IF(COUNTIFS($C$5:$C1029,$C1029,$I$5:$I1029,$I1029)=1,1,0))</f>
        <v>0</v>
      </c>
      <c r="AJ1029" s="43" t="str">
        <f>IF($AI1029=1,SUMIFS($AI$4:$AI1028,$C$4:$C1028,$C1029)+1,"")</f>
        <v/>
      </c>
      <c r="AK1029" s="43">
        <f>IF(OR($C1029="",$K1029=""),0,IF(COUNTIFS($C$5:$C1029,$C1029,$K$5:$K1029,$K1029)=1,1,0))</f>
        <v>0</v>
      </c>
      <c r="AL1029" s="43" t="str">
        <f>IF($AK1029=1,SUMIFS($AK$4:$AK1028,$C$4:$C1028,$C1029)+1,"")</f>
        <v/>
      </c>
      <c r="AM1029" s="43">
        <f>IF(OR($C1029="",$G1029=""),0,IF(COUNTIFS($C$5:$C1029,$C1029,$G$5:$G1029,$G1029)=1,1,0))</f>
        <v>0</v>
      </c>
      <c r="AN1029" s="43" t="str">
        <f>IF($AM1029=1,SUMIFS($AM$4:$AM1028,$C$4:$C1028,$C1029)+1,"")</f>
        <v/>
      </c>
    </row>
    <row r="1030">
      <c r="A1030" s="44" t="str">
        <f>IF(OR($B1030="",$D1030=""),"","TX"&amp;TEXT(ROW()-4,"0000"))</f>
        <v/>
      </c>
      <c r="B1030" s="42" t="n"/>
      <c r="C1030" s="47" t="str">
        <f>IF($B1030="","",YEAR($B1030)*100+MONTH($B1030))</f>
        <v/>
      </c>
      <c r="D1030" s="37" t="n"/>
      <c r="E1030" s="45" t="str">
        <f>IF($D1030="","",IFERROR(INDEX(CARDS!$B$5:$B$34,MATCH($D1030,CARDS!$A$5:$A$34,0)),"⚠ Card ID?"))</f>
        <v/>
      </c>
      <c r="F1030" s="45" t="str">
        <f>IF($D1030="","",IFERROR(INDEX(CARDS!$C$5:$C$34,MATCH($D1030,CARDS!$A$5:$A$34,0)),"⚠ Card ID?"))</f>
        <v/>
      </c>
      <c r="G1030" s="37" t="n"/>
      <c r="H1030" s="37" t="n"/>
      <c r="I1030" s="41" t="n"/>
      <c r="J1030" s="45" t="str">
        <f>IF($I1030="","",IFERROR(INDEX(MCC_MASTER!$B$5:$B$504,MATCH($I1030,MCC_MASTER!$A$5:$A$504,0)),"⚠ MCC chưa có"))</f>
        <v/>
      </c>
      <c r="K1030" s="45" t="str">
        <f>IF($I1030="","",IFERROR(IF(INDEX(MCC_MASTER!$C$5:$C$504,MATCH($I1030,MCC_MASTER!$A$5:$A$504,0))="","Chưa phân loại",INDEX(MCC_MASTER!$C$5:$C$504,MATCH($I1030,MCC_MASTER!$A$5:$A$504,0))),"Chưa phân loại"))</f>
        <v/>
      </c>
      <c r="L1030" s="40" t="n"/>
      <c r="M1030" s="48" t="str">
        <f>IF(OR($B1030="",$D1030=""),"",IF($AC1030=0,0,IF(ISNUMBER(INDEX(CASHBACK_RULES!$L$5:$L$304,$AC1030)),MAX(0,MIN($L1030,INDEX(CASHBACK_RULES!$L$5:$L$304,$AC1030)-$AH1030)),MAX(0,$L1030))))</f>
        <v/>
      </c>
      <c r="N1030" s="49" t="str">
        <f>IF(OR($B1030="",$D1030=""),"",IF($AC1030&gt;0,INDEX(CASHBACK_RULES!$I$5:$I$304,$AC1030),0))</f>
        <v/>
      </c>
      <c r="O1030" s="48" t="str">
        <f>IF(OR($B1030="",$D1030=""),"",ROUND($M1030*$N1030,0))</f>
        <v/>
      </c>
      <c r="P1030" s="48" t="str">
        <f>IF($AC1030&gt;0,IF(ISNUMBER(INDEX(CASHBACK_RULES!$J$5:$J$304,$AC1030)),INDEX(CASHBACK_RULES!$J$5:$J$304,$AC1030),"∞"),"")</f>
        <v/>
      </c>
      <c r="Q1030" s="48" t="str">
        <f>IF(OR($B1030="",$D1030=""),"",IF($AC1030=0,0,MAX(0,MIN($O1030,IF(ISNUMBER($P1030),$P1030-$AF1030,1E+15),IF(ISNUMBER($AA1030),$AA1030-$AG1030,1E+15)))))</f>
        <v/>
      </c>
      <c r="R1030" s="48" t="str">
        <f>IF(OR($B1030="",$D1030=""),"",IF($AC1030=0,"",IF(AND(NOT(ISNUMBER($P1030)),NOT(ISNUMBER($AA1030))),"∞",MAX(0,MIN(IF(ISNUMBER($P1030),$P1030-$AF1030-$Q1030,1E+15),IF(ISNUMBER($AA1030),$AA1030-$AG1030-$Q1030,1E+15))))))</f>
        <v/>
      </c>
      <c r="S1030" s="47" t="str">
        <f>IF($AD1030="","",YEAR($AD1030)*100+MONTH($AD1030))</f>
        <v/>
      </c>
      <c r="T1030" s="50" t="str">
        <f>IF($AD1030="","",IFERROR(IF(INDEX(CARDS!$I$5:$I$34,MATCH($D1030,CARDS!$A$5:$A$34,0))="","",IF(INDEX(CARDS!$I$5:$I$34,MATCH($D1030,CARDS!$A$5:$A$34,0))&gt;INDEX(CARDS!$H$5:$H$34,MATCH($D1030,CARDS!$A$5:$A$34,0)),DATE(YEAR($AD1030),MONTH($AD1030),MIN(INDEX(CARDS!$I$5:$I$34,MATCH($D1030,CARDS!$A$5:$A$34,0)),DAY(EOMONTH($AD1030,0)))),DATE(YEAR($AD1030),MONTH($AD1030)+1,MIN(INDEX(CARDS!$I$5:$I$34,MATCH($D1030,CARDS!$A$5:$A$34,0)),DAY(EOMONTH($AD1030,1)))))),""))</f>
        <v/>
      </c>
      <c r="U1030" s="38" t="n"/>
      <c r="V1030" s="37" t="n"/>
      <c r="W1030" s="38" t="n"/>
      <c r="X1030" s="38" t="n"/>
      <c r="Y1030" s="44" t="str">
        <f>IF($AC1030&gt;0,INDEX(CASHBACK_RULES!$A$5:$A$304,$AC1030),"")</f>
        <v/>
      </c>
      <c r="Z1030" s="45" t="str">
        <f>IF($AC1030&gt;0,INDEX(CASHBACK_RULES!$E$5:$E$304,$AC1030)&amp;"","")</f>
        <v/>
      </c>
      <c r="AA1030" s="48" t="str">
        <f>IF($AC1030&gt;0,IF(ISNUMBER(INDEX(CASHBACK_RULES!$K$5:$K$304,$AC1030)),INDEX(CASHBACK_RULES!$K$5:$K$304,$AC1030),"∞"),"")</f>
        <v/>
      </c>
      <c r="AB1030" s="44" t="str">
        <f>IF(OR($B1030="",$D1030=""),"",IF($U1030="Cancelled","Đã hủy",IF($AC1030=0,"Không được hoàn",IF($Q1030=0,IF(OR($O1030&gt;0,$M1030&lt;$L1030),"Đã đạt cap","Không được hoàn"),IF(OR($Q1030&lt;$O1030,$M1030&lt;$L1030),"Hoàn một phần","Được hoàn")))))</f>
        <v/>
      </c>
      <c r="AC1030" s="43">
        <f>IF(OR($B1030="",$D1030="",$I1030="",$L1030=""),0,IF($U1030="Cancelled",0,IF($W1030&lt;&gt;"",IFERROR(IF(INDEX(CASHBACK_RULES!$B$5:$B$304,MATCH($W1030,CASHBACK_RULES!$A$5:$A$304,0))=$D1030,MATCH($W1030,CASHBACK_RULES!$A$5:$A$304,0),0),0),IFERROR(MATCH(1,INDEX((CASHBACK_RULES!$B$5:$B$304=$D1030)*(CASHBACK_RULES!$G$5:$G$304=$I1030)*(((CASHBACK_RULES!$N$5:$N$304="")+(CASHBACK_RULES!$N$5:$N$304&lt;=$B1030))&gt;0)*(((CASHBACK_RULES!$O$5:$O$304="")+(CASHBACK_RULES!$O$5:$O$304&gt;=$B1030))&gt;0)*(((CASHBACK_RULES!$M$5:$M$304="")+(CASHBACK_RULES!$M$5:$M$304&lt;=$L1030))&gt;0),0),0),0))))</f>
        <v>0</v>
      </c>
      <c r="AD1030" s="51" t="str">
        <f>IF(OR($B1030="",$D1030=""),"",IFERROR(IF(INDEX(CARDS!$H$5:$H$34,MATCH($D1030,CARDS!$A$5:$A$34,0))="","",IF(DAY($B1030)&lt;=INDEX(CARDS!$H$5:$H$34,MATCH($D1030,CARDS!$A$5:$A$34,0)),DATE(YEAR($B1030),MONTH($B1030),MIN(INDEX(CARDS!$H$5:$H$34,MATCH($D1030,CARDS!$A$5:$A$34,0)),DAY(EOMONTH($B1030,0)))),DATE(YEAR($B1030),MONTH($B1030)+1,MIN(INDEX(CARDS!$H$5:$H$34,MATCH($D1030,CARDS!$A$5:$A$34,0)),DAY(EOMONTH($B1030,1)))))),""))</f>
        <v/>
      </c>
      <c r="AE1030" s="52" t="str">
        <f>IF($C1030="","",$C1030&amp;"|"&amp;COUNTIF($C$5:$C1030,$C1030))</f>
        <v/>
      </c>
      <c r="AF1030" s="53">
        <f>IF($AC1030&gt;0,SUMIFS(Q$4:Q1029,$D$4:$D1029,$D1030,$Z$4:$Z1029,$Z1030,$C$4:$C1029,$C1030),0)</f>
        <v>0</v>
      </c>
      <c r="AG1030" s="53">
        <f>IF($AC1030&gt;0,SUMIFS(Q$4:Q1029,$D$4:$D1029,$D1030,$C$4:$C1029,$C1030),0)</f>
        <v>0</v>
      </c>
      <c r="AH1030" s="53">
        <f>IF($AC1030&gt;0,SUMIFS(M$4:M1029,$D$4:$D1029,$D1030,$Z$4:$Z1029,$Z1030,$C$4:$C1029,$C1030),0)</f>
        <v>0</v>
      </c>
      <c r="AI1030" s="43">
        <f>IF(OR($C1030="",$I1030=""),0,IF(COUNTIFS($C$5:$C1030,$C1030,$I$5:$I1030,$I1030)=1,1,0))</f>
        <v>0</v>
      </c>
      <c r="AJ1030" s="43" t="str">
        <f>IF($AI1030=1,SUMIFS($AI$4:$AI1029,$C$4:$C1029,$C1030)+1,"")</f>
        <v/>
      </c>
      <c r="AK1030" s="43">
        <f>IF(OR($C1030="",$K1030=""),0,IF(COUNTIFS($C$5:$C1030,$C1030,$K$5:$K1030,$K1030)=1,1,0))</f>
        <v>0</v>
      </c>
      <c r="AL1030" s="43" t="str">
        <f>IF($AK1030=1,SUMIFS($AK$4:$AK1029,$C$4:$C1029,$C1030)+1,"")</f>
        <v/>
      </c>
      <c r="AM1030" s="43">
        <f>IF(OR($C1030="",$G1030=""),0,IF(COUNTIFS($C$5:$C1030,$C1030,$G$5:$G1030,$G1030)=1,1,0))</f>
        <v>0</v>
      </c>
      <c r="AN1030" s="43" t="str">
        <f>IF($AM1030=1,SUMIFS($AM$4:$AM1029,$C$4:$C1029,$C1030)+1,"")</f>
        <v/>
      </c>
    </row>
    <row r="1031">
      <c r="A1031" s="44" t="str">
        <f>IF(OR($B1031="",$D1031=""),"","TX"&amp;TEXT(ROW()-4,"0000"))</f>
        <v/>
      </c>
      <c r="B1031" s="42" t="n"/>
      <c r="C1031" s="47" t="str">
        <f>IF($B1031="","",YEAR($B1031)*100+MONTH($B1031))</f>
        <v/>
      </c>
      <c r="D1031" s="37" t="n"/>
      <c r="E1031" s="45" t="str">
        <f>IF($D1031="","",IFERROR(INDEX(CARDS!$B$5:$B$34,MATCH($D1031,CARDS!$A$5:$A$34,0)),"⚠ Card ID?"))</f>
        <v/>
      </c>
      <c r="F1031" s="45" t="str">
        <f>IF($D1031="","",IFERROR(INDEX(CARDS!$C$5:$C$34,MATCH($D1031,CARDS!$A$5:$A$34,0)),"⚠ Card ID?"))</f>
        <v/>
      </c>
      <c r="G1031" s="37" t="n"/>
      <c r="H1031" s="37" t="n"/>
      <c r="I1031" s="41" t="n"/>
      <c r="J1031" s="45" t="str">
        <f>IF($I1031="","",IFERROR(INDEX(MCC_MASTER!$B$5:$B$504,MATCH($I1031,MCC_MASTER!$A$5:$A$504,0)),"⚠ MCC chưa có"))</f>
        <v/>
      </c>
      <c r="K1031" s="45" t="str">
        <f>IF($I1031="","",IFERROR(IF(INDEX(MCC_MASTER!$C$5:$C$504,MATCH($I1031,MCC_MASTER!$A$5:$A$504,0))="","Chưa phân loại",INDEX(MCC_MASTER!$C$5:$C$504,MATCH($I1031,MCC_MASTER!$A$5:$A$504,0))),"Chưa phân loại"))</f>
        <v/>
      </c>
      <c r="L1031" s="40" t="n"/>
      <c r="M1031" s="48" t="str">
        <f>IF(OR($B1031="",$D1031=""),"",IF($AC1031=0,0,IF(ISNUMBER(INDEX(CASHBACK_RULES!$L$5:$L$304,$AC1031)),MAX(0,MIN($L1031,INDEX(CASHBACK_RULES!$L$5:$L$304,$AC1031)-$AH1031)),MAX(0,$L1031))))</f>
        <v/>
      </c>
      <c r="N1031" s="49" t="str">
        <f>IF(OR($B1031="",$D1031=""),"",IF($AC1031&gt;0,INDEX(CASHBACK_RULES!$I$5:$I$304,$AC1031),0))</f>
        <v/>
      </c>
      <c r="O1031" s="48" t="str">
        <f>IF(OR($B1031="",$D1031=""),"",ROUND($M1031*$N1031,0))</f>
        <v/>
      </c>
      <c r="P1031" s="48" t="str">
        <f>IF($AC1031&gt;0,IF(ISNUMBER(INDEX(CASHBACK_RULES!$J$5:$J$304,$AC1031)),INDEX(CASHBACK_RULES!$J$5:$J$304,$AC1031),"∞"),"")</f>
        <v/>
      </c>
      <c r="Q1031" s="48" t="str">
        <f>IF(OR($B1031="",$D1031=""),"",IF($AC1031=0,0,MAX(0,MIN($O1031,IF(ISNUMBER($P1031),$P1031-$AF1031,1E+15),IF(ISNUMBER($AA1031),$AA1031-$AG1031,1E+15)))))</f>
        <v/>
      </c>
      <c r="R1031" s="48" t="str">
        <f>IF(OR($B1031="",$D1031=""),"",IF($AC1031=0,"",IF(AND(NOT(ISNUMBER($P1031)),NOT(ISNUMBER($AA1031))),"∞",MAX(0,MIN(IF(ISNUMBER($P1031),$P1031-$AF1031-$Q1031,1E+15),IF(ISNUMBER($AA1031),$AA1031-$AG1031-$Q1031,1E+15))))))</f>
        <v/>
      </c>
      <c r="S1031" s="47" t="str">
        <f>IF($AD1031="","",YEAR($AD1031)*100+MONTH($AD1031))</f>
        <v/>
      </c>
      <c r="T1031" s="50" t="str">
        <f>IF($AD1031="","",IFERROR(IF(INDEX(CARDS!$I$5:$I$34,MATCH($D1031,CARDS!$A$5:$A$34,0))="","",IF(INDEX(CARDS!$I$5:$I$34,MATCH($D1031,CARDS!$A$5:$A$34,0))&gt;INDEX(CARDS!$H$5:$H$34,MATCH($D1031,CARDS!$A$5:$A$34,0)),DATE(YEAR($AD1031),MONTH($AD1031),MIN(INDEX(CARDS!$I$5:$I$34,MATCH($D1031,CARDS!$A$5:$A$34,0)),DAY(EOMONTH($AD1031,0)))),DATE(YEAR($AD1031),MONTH($AD1031)+1,MIN(INDEX(CARDS!$I$5:$I$34,MATCH($D1031,CARDS!$A$5:$A$34,0)),DAY(EOMONTH($AD1031,1)))))),""))</f>
        <v/>
      </c>
      <c r="U1031" s="38" t="n"/>
      <c r="V1031" s="37" t="n"/>
      <c r="W1031" s="38" t="n"/>
      <c r="X1031" s="38" t="n"/>
      <c r="Y1031" s="44" t="str">
        <f>IF($AC1031&gt;0,INDEX(CASHBACK_RULES!$A$5:$A$304,$AC1031),"")</f>
        <v/>
      </c>
      <c r="Z1031" s="45" t="str">
        <f>IF($AC1031&gt;0,INDEX(CASHBACK_RULES!$E$5:$E$304,$AC1031)&amp;"","")</f>
        <v/>
      </c>
      <c r="AA1031" s="48" t="str">
        <f>IF($AC1031&gt;0,IF(ISNUMBER(INDEX(CASHBACK_RULES!$K$5:$K$304,$AC1031)),INDEX(CASHBACK_RULES!$K$5:$K$304,$AC1031),"∞"),"")</f>
        <v/>
      </c>
      <c r="AB1031" s="44" t="str">
        <f>IF(OR($B1031="",$D1031=""),"",IF($U1031="Cancelled","Đã hủy",IF($AC1031=0,"Không được hoàn",IF($Q1031=0,IF(OR($O1031&gt;0,$M1031&lt;$L1031),"Đã đạt cap","Không được hoàn"),IF(OR($Q1031&lt;$O1031,$M1031&lt;$L1031),"Hoàn một phần","Được hoàn")))))</f>
        <v/>
      </c>
      <c r="AC1031" s="43">
        <f>IF(OR($B1031="",$D1031="",$I1031="",$L1031=""),0,IF($U1031="Cancelled",0,IF($W1031&lt;&gt;"",IFERROR(IF(INDEX(CASHBACK_RULES!$B$5:$B$304,MATCH($W1031,CASHBACK_RULES!$A$5:$A$304,0))=$D1031,MATCH($W1031,CASHBACK_RULES!$A$5:$A$304,0),0),0),IFERROR(MATCH(1,INDEX((CASHBACK_RULES!$B$5:$B$304=$D1031)*(CASHBACK_RULES!$G$5:$G$304=$I1031)*(((CASHBACK_RULES!$N$5:$N$304="")+(CASHBACK_RULES!$N$5:$N$304&lt;=$B1031))&gt;0)*(((CASHBACK_RULES!$O$5:$O$304="")+(CASHBACK_RULES!$O$5:$O$304&gt;=$B1031))&gt;0)*(((CASHBACK_RULES!$M$5:$M$304="")+(CASHBACK_RULES!$M$5:$M$304&lt;=$L1031))&gt;0),0),0),0))))</f>
        <v>0</v>
      </c>
      <c r="AD1031" s="51" t="str">
        <f>IF(OR($B1031="",$D1031=""),"",IFERROR(IF(INDEX(CARDS!$H$5:$H$34,MATCH($D1031,CARDS!$A$5:$A$34,0))="","",IF(DAY($B1031)&lt;=INDEX(CARDS!$H$5:$H$34,MATCH($D1031,CARDS!$A$5:$A$34,0)),DATE(YEAR($B1031),MONTH($B1031),MIN(INDEX(CARDS!$H$5:$H$34,MATCH($D1031,CARDS!$A$5:$A$34,0)),DAY(EOMONTH($B1031,0)))),DATE(YEAR($B1031),MONTH($B1031)+1,MIN(INDEX(CARDS!$H$5:$H$34,MATCH($D1031,CARDS!$A$5:$A$34,0)),DAY(EOMONTH($B1031,1)))))),""))</f>
        <v/>
      </c>
      <c r="AE1031" s="52" t="str">
        <f>IF($C1031="","",$C1031&amp;"|"&amp;COUNTIF($C$5:$C1031,$C1031))</f>
        <v/>
      </c>
      <c r="AF1031" s="53">
        <f>IF($AC1031&gt;0,SUMIFS(Q$4:Q1030,$D$4:$D1030,$D1031,$Z$4:$Z1030,$Z1031,$C$4:$C1030,$C1031),0)</f>
        <v>0</v>
      </c>
      <c r="AG1031" s="53">
        <f>IF($AC1031&gt;0,SUMIFS(Q$4:Q1030,$D$4:$D1030,$D1031,$C$4:$C1030,$C1031),0)</f>
        <v>0</v>
      </c>
      <c r="AH1031" s="53">
        <f>IF($AC1031&gt;0,SUMIFS(M$4:M1030,$D$4:$D1030,$D1031,$Z$4:$Z1030,$Z1031,$C$4:$C1030,$C1031),0)</f>
        <v>0</v>
      </c>
      <c r="AI1031" s="43">
        <f>IF(OR($C1031="",$I1031=""),0,IF(COUNTIFS($C$5:$C1031,$C1031,$I$5:$I1031,$I1031)=1,1,0))</f>
        <v>0</v>
      </c>
      <c r="AJ1031" s="43" t="str">
        <f>IF($AI1031=1,SUMIFS($AI$4:$AI1030,$C$4:$C1030,$C1031)+1,"")</f>
        <v/>
      </c>
      <c r="AK1031" s="43">
        <f>IF(OR($C1031="",$K1031=""),0,IF(COUNTIFS($C$5:$C1031,$C1031,$K$5:$K1031,$K1031)=1,1,0))</f>
        <v>0</v>
      </c>
      <c r="AL1031" s="43" t="str">
        <f>IF($AK1031=1,SUMIFS($AK$4:$AK1030,$C$4:$C1030,$C1031)+1,"")</f>
        <v/>
      </c>
      <c r="AM1031" s="43">
        <f>IF(OR($C1031="",$G1031=""),0,IF(COUNTIFS($C$5:$C1031,$C1031,$G$5:$G1031,$G1031)=1,1,0))</f>
        <v>0</v>
      </c>
      <c r="AN1031" s="43" t="str">
        <f>IF($AM1031=1,SUMIFS($AM$4:$AM1030,$C$4:$C1030,$C1031)+1,"")</f>
        <v/>
      </c>
    </row>
    <row r="1032">
      <c r="A1032" s="44" t="str">
        <f>IF(OR($B1032="",$D1032=""),"","TX"&amp;TEXT(ROW()-4,"0000"))</f>
        <v/>
      </c>
      <c r="B1032" s="42" t="n"/>
      <c r="C1032" s="47" t="str">
        <f>IF($B1032="","",YEAR($B1032)*100+MONTH($B1032))</f>
        <v/>
      </c>
      <c r="D1032" s="37" t="n"/>
      <c r="E1032" s="45" t="str">
        <f>IF($D1032="","",IFERROR(INDEX(CARDS!$B$5:$B$34,MATCH($D1032,CARDS!$A$5:$A$34,0)),"⚠ Card ID?"))</f>
        <v/>
      </c>
      <c r="F1032" s="45" t="str">
        <f>IF($D1032="","",IFERROR(INDEX(CARDS!$C$5:$C$34,MATCH($D1032,CARDS!$A$5:$A$34,0)),"⚠ Card ID?"))</f>
        <v/>
      </c>
      <c r="G1032" s="37" t="n"/>
      <c r="H1032" s="37" t="n"/>
      <c r="I1032" s="41" t="n"/>
      <c r="J1032" s="45" t="str">
        <f>IF($I1032="","",IFERROR(INDEX(MCC_MASTER!$B$5:$B$504,MATCH($I1032,MCC_MASTER!$A$5:$A$504,0)),"⚠ MCC chưa có"))</f>
        <v/>
      </c>
      <c r="K1032" s="45" t="str">
        <f>IF($I1032="","",IFERROR(IF(INDEX(MCC_MASTER!$C$5:$C$504,MATCH($I1032,MCC_MASTER!$A$5:$A$504,0))="","Chưa phân loại",INDEX(MCC_MASTER!$C$5:$C$504,MATCH($I1032,MCC_MASTER!$A$5:$A$504,0))),"Chưa phân loại"))</f>
        <v/>
      </c>
      <c r="L1032" s="40" t="n"/>
      <c r="M1032" s="48" t="str">
        <f>IF(OR($B1032="",$D1032=""),"",IF($AC1032=0,0,IF(ISNUMBER(INDEX(CASHBACK_RULES!$L$5:$L$304,$AC1032)),MAX(0,MIN($L1032,INDEX(CASHBACK_RULES!$L$5:$L$304,$AC1032)-$AH1032)),MAX(0,$L1032))))</f>
        <v/>
      </c>
      <c r="N1032" s="49" t="str">
        <f>IF(OR($B1032="",$D1032=""),"",IF($AC1032&gt;0,INDEX(CASHBACK_RULES!$I$5:$I$304,$AC1032),0))</f>
        <v/>
      </c>
      <c r="O1032" s="48" t="str">
        <f>IF(OR($B1032="",$D1032=""),"",ROUND($M1032*$N1032,0))</f>
        <v/>
      </c>
      <c r="P1032" s="48" t="str">
        <f>IF($AC1032&gt;0,IF(ISNUMBER(INDEX(CASHBACK_RULES!$J$5:$J$304,$AC1032)),INDEX(CASHBACK_RULES!$J$5:$J$304,$AC1032),"∞"),"")</f>
        <v/>
      </c>
      <c r="Q1032" s="48" t="str">
        <f>IF(OR($B1032="",$D1032=""),"",IF($AC1032=0,0,MAX(0,MIN($O1032,IF(ISNUMBER($P1032),$P1032-$AF1032,1E+15),IF(ISNUMBER($AA1032),$AA1032-$AG1032,1E+15)))))</f>
        <v/>
      </c>
      <c r="R1032" s="48" t="str">
        <f>IF(OR($B1032="",$D1032=""),"",IF($AC1032=0,"",IF(AND(NOT(ISNUMBER($P1032)),NOT(ISNUMBER($AA1032))),"∞",MAX(0,MIN(IF(ISNUMBER($P1032),$P1032-$AF1032-$Q1032,1E+15),IF(ISNUMBER($AA1032),$AA1032-$AG1032-$Q1032,1E+15))))))</f>
        <v/>
      </c>
      <c r="S1032" s="47" t="str">
        <f>IF($AD1032="","",YEAR($AD1032)*100+MONTH($AD1032))</f>
        <v/>
      </c>
      <c r="T1032" s="50" t="str">
        <f>IF($AD1032="","",IFERROR(IF(INDEX(CARDS!$I$5:$I$34,MATCH($D1032,CARDS!$A$5:$A$34,0))="","",IF(INDEX(CARDS!$I$5:$I$34,MATCH($D1032,CARDS!$A$5:$A$34,0))&gt;INDEX(CARDS!$H$5:$H$34,MATCH($D1032,CARDS!$A$5:$A$34,0)),DATE(YEAR($AD1032),MONTH($AD1032),MIN(INDEX(CARDS!$I$5:$I$34,MATCH($D1032,CARDS!$A$5:$A$34,0)),DAY(EOMONTH($AD1032,0)))),DATE(YEAR($AD1032),MONTH($AD1032)+1,MIN(INDEX(CARDS!$I$5:$I$34,MATCH($D1032,CARDS!$A$5:$A$34,0)),DAY(EOMONTH($AD1032,1)))))),""))</f>
        <v/>
      </c>
      <c r="U1032" s="38" t="n"/>
      <c r="V1032" s="37" t="n"/>
      <c r="W1032" s="38" t="n"/>
      <c r="X1032" s="38" t="n"/>
      <c r="Y1032" s="44" t="str">
        <f>IF($AC1032&gt;0,INDEX(CASHBACK_RULES!$A$5:$A$304,$AC1032),"")</f>
        <v/>
      </c>
      <c r="Z1032" s="45" t="str">
        <f>IF($AC1032&gt;0,INDEX(CASHBACK_RULES!$E$5:$E$304,$AC1032)&amp;"","")</f>
        <v/>
      </c>
      <c r="AA1032" s="48" t="str">
        <f>IF($AC1032&gt;0,IF(ISNUMBER(INDEX(CASHBACK_RULES!$K$5:$K$304,$AC1032)),INDEX(CASHBACK_RULES!$K$5:$K$304,$AC1032),"∞"),"")</f>
        <v/>
      </c>
      <c r="AB1032" s="44" t="str">
        <f>IF(OR($B1032="",$D1032=""),"",IF($U1032="Cancelled","Đã hủy",IF($AC1032=0,"Không được hoàn",IF($Q1032=0,IF(OR($O1032&gt;0,$M1032&lt;$L1032),"Đã đạt cap","Không được hoàn"),IF(OR($Q1032&lt;$O1032,$M1032&lt;$L1032),"Hoàn một phần","Được hoàn")))))</f>
        <v/>
      </c>
      <c r="AC1032" s="43">
        <f>IF(OR($B1032="",$D1032="",$I1032="",$L1032=""),0,IF($U1032="Cancelled",0,IF($W1032&lt;&gt;"",IFERROR(IF(INDEX(CASHBACK_RULES!$B$5:$B$304,MATCH($W1032,CASHBACK_RULES!$A$5:$A$304,0))=$D1032,MATCH($W1032,CASHBACK_RULES!$A$5:$A$304,0),0),0),IFERROR(MATCH(1,INDEX((CASHBACK_RULES!$B$5:$B$304=$D1032)*(CASHBACK_RULES!$G$5:$G$304=$I1032)*(((CASHBACK_RULES!$N$5:$N$304="")+(CASHBACK_RULES!$N$5:$N$304&lt;=$B1032))&gt;0)*(((CASHBACK_RULES!$O$5:$O$304="")+(CASHBACK_RULES!$O$5:$O$304&gt;=$B1032))&gt;0)*(((CASHBACK_RULES!$M$5:$M$304="")+(CASHBACK_RULES!$M$5:$M$304&lt;=$L1032))&gt;0),0),0),0))))</f>
        <v>0</v>
      </c>
      <c r="AD1032" s="51" t="str">
        <f>IF(OR($B1032="",$D1032=""),"",IFERROR(IF(INDEX(CARDS!$H$5:$H$34,MATCH($D1032,CARDS!$A$5:$A$34,0))="","",IF(DAY($B1032)&lt;=INDEX(CARDS!$H$5:$H$34,MATCH($D1032,CARDS!$A$5:$A$34,0)),DATE(YEAR($B1032),MONTH($B1032),MIN(INDEX(CARDS!$H$5:$H$34,MATCH($D1032,CARDS!$A$5:$A$34,0)),DAY(EOMONTH($B1032,0)))),DATE(YEAR($B1032),MONTH($B1032)+1,MIN(INDEX(CARDS!$H$5:$H$34,MATCH($D1032,CARDS!$A$5:$A$34,0)),DAY(EOMONTH($B1032,1)))))),""))</f>
        <v/>
      </c>
      <c r="AE1032" s="52" t="str">
        <f>IF($C1032="","",$C1032&amp;"|"&amp;COUNTIF($C$5:$C1032,$C1032))</f>
        <v/>
      </c>
      <c r="AF1032" s="53">
        <f>IF($AC1032&gt;0,SUMIFS(Q$4:Q1031,$D$4:$D1031,$D1032,$Z$4:$Z1031,$Z1032,$C$4:$C1031,$C1032),0)</f>
        <v>0</v>
      </c>
      <c r="AG1032" s="53">
        <f>IF($AC1032&gt;0,SUMIFS(Q$4:Q1031,$D$4:$D1031,$D1032,$C$4:$C1031,$C1032),0)</f>
        <v>0</v>
      </c>
      <c r="AH1032" s="53">
        <f>IF($AC1032&gt;0,SUMIFS(M$4:M1031,$D$4:$D1031,$D1032,$Z$4:$Z1031,$Z1032,$C$4:$C1031,$C1032),0)</f>
        <v>0</v>
      </c>
      <c r="AI1032" s="43">
        <f>IF(OR($C1032="",$I1032=""),0,IF(COUNTIFS($C$5:$C1032,$C1032,$I$5:$I1032,$I1032)=1,1,0))</f>
        <v>0</v>
      </c>
      <c r="AJ1032" s="43" t="str">
        <f>IF($AI1032=1,SUMIFS($AI$4:$AI1031,$C$4:$C1031,$C1032)+1,"")</f>
        <v/>
      </c>
      <c r="AK1032" s="43">
        <f>IF(OR($C1032="",$K1032=""),0,IF(COUNTIFS($C$5:$C1032,$C1032,$K$5:$K1032,$K1032)=1,1,0))</f>
        <v>0</v>
      </c>
      <c r="AL1032" s="43" t="str">
        <f>IF($AK1032=1,SUMIFS($AK$4:$AK1031,$C$4:$C1031,$C1032)+1,"")</f>
        <v/>
      </c>
      <c r="AM1032" s="43">
        <f>IF(OR($C1032="",$G1032=""),0,IF(COUNTIFS($C$5:$C1032,$C1032,$G$5:$G1032,$G1032)=1,1,0))</f>
        <v>0</v>
      </c>
      <c r="AN1032" s="43" t="str">
        <f>IF($AM1032=1,SUMIFS($AM$4:$AM1031,$C$4:$C1031,$C1032)+1,"")</f>
        <v/>
      </c>
    </row>
    <row r="1033">
      <c r="A1033" s="44" t="str">
        <f>IF(OR($B1033="",$D1033=""),"","TX"&amp;TEXT(ROW()-4,"0000"))</f>
        <v/>
      </c>
      <c r="B1033" s="42" t="n"/>
      <c r="C1033" s="47" t="str">
        <f>IF($B1033="","",YEAR($B1033)*100+MONTH($B1033))</f>
        <v/>
      </c>
      <c r="D1033" s="37" t="n"/>
      <c r="E1033" s="45" t="str">
        <f>IF($D1033="","",IFERROR(INDEX(CARDS!$B$5:$B$34,MATCH($D1033,CARDS!$A$5:$A$34,0)),"⚠ Card ID?"))</f>
        <v/>
      </c>
      <c r="F1033" s="45" t="str">
        <f>IF($D1033="","",IFERROR(INDEX(CARDS!$C$5:$C$34,MATCH($D1033,CARDS!$A$5:$A$34,0)),"⚠ Card ID?"))</f>
        <v/>
      </c>
      <c r="G1033" s="37" t="n"/>
      <c r="H1033" s="37" t="n"/>
      <c r="I1033" s="41" t="n"/>
      <c r="J1033" s="45" t="str">
        <f>IF($I1033="","",IFERROR(INDEX(MCC_MASTER!$B$5:$B$504,MATCH($I1033,MCC_MASTER!$A$5:$A$504,0)),"⚠ MCC chưa có"))</f>
        <v/>
      </c>
      <c r="K1033" s="45" t="str">
        <f>IF($I1033="","",IFERROR(IF(INDEX(MCC_MASTER!$C$5:$C$504,MATCH($I1033,MCC_MASTER!$A$5:$A$504,0))="","Chưa phân loại",INDEX(MCC_MASTER!$C$5:$C$504,MATCH($I1033,MCC_MASTER!$A$5:$A$504,0))),"Chưa phân loại"))</f>
        <v/>
      </c>
      <c r="L1033" s="40" t="n"/>
      <c r="M1033" s="48" t="str">
        <f>IF(OR($B1033="",$D1033=""),"",IF($AC1033=0,0,IF(ISNUMBER(INDEX(CASHBACK_RULES!$L$5:$L$304,$AC1033)),MAX(0,MIN($L1033,INDEX(CASHBACK_RULES!$L$5:$L$304,$AC1033)-$AH1033)),MAX(0,$L1033))))</f>
        <v/>
      </c>
      <c r="N1033" s="49" t="str">
        <f>IF(OR($B1033="",$D1033=""),"",IF($AC1033&gt;0,INDEX(CASHBACK_RULES!$I$5:$I$304,$AC1033),0))</f>
        <v/>
      </c>
      <c r="O1033" s="48" t="str">
        <f>IF(OR($B1033="",$D1033=""),"",ROUND($M1033*$N1033,0))</f>
        <v/>
      </c>
      <c r="P1033" s="48" t="str">
        <f>IF($AC1033&gt;0,IF(ISNUMBER(INDEX(CASHBACK_RULES!$J$5:$J$304,$AC1033)),INDEX(CASHBACK_RULES!$J$5:$J$304,$AC1033),"∞"),"")</f>
        <v/>
      </c>
      <c r="Q1033" s="48" t="str">
        <f>IF(OR($B1033="",$D1033=""),"",IF($AC1033=0,0,MAX(0,MIN($O1033,IF(ISNUMBER($P1033),$P1033-$AF1033,1E+15),IF(ISNUMBER($AA1033),$AA1033-$AG1033,1E+15)))))</f>
        <v/>
      </c>
      <c r="R1033" s="48" t="str">
        <f>IF(OR($B1033="",$D1033=""),"",IF($AC1033=0,"",IF(AND(NOT(ISNUMBER($P1033)),NOT(ISNUMBER($AA1033))),"∞",MAX(0,MIN(IF(ISNUMBER($P1033),$P1033-$AF1033-$Q1033,1E+15),IF(ISNUMBER($AA1033),$AA1033-$AG1033-$Q1033,1E+15))))))</f>
        <v/>
      </c>
      <c r="S1033" s="47" t="str">
        <f>IF($AD1033="","",YEAR($AD1033)*100+MONTH($AD1033))</f>
        <v/>
      </c>
      <c r="T1033" s="50" t="str">
        <f>IF($AD1033="","",IFERROR(IF(INDEX(CARDS!$I$5:$I$34,MATCH($D1033,CARDS!$A$5:$A$34,0))="","",IF(INDEX(CARDS!$I$5:$I$34,MATCH($D1033,CARDS!$A$5:$A$34,0))&gt;INDEX(CARDS!$H$5:$H$34,MATCH($D1033,CARDS!$A$5:$A$34,0)),DATE(YEAR($AD1033),MONTH($AD1033),MIN(INDEX(CARDS!$I$5:$I$34,MATCH($D1033,CARDS!$A$5:$A$34,0)),DAY(EOMONTH($AD1033,0)))),DATE(YEAR($AD1033),MONTH($AD1033)+1,MIN(INDEX(CARDS!$I$5:$I$34,MATCH($D1033,CARDS!$A$5:$A$34,0)),DAY(EOMONTH($AD1033,1)))))),""))</f>
        <v/>
      </c>
      <c r="U1033" s="38" t="n"/>
      <c r="V1033" s="37" t="n"/>
      <c r="W1033" s="38" t="n"/>
      <c r="X1033" s="38" t="n"/>
      <c r="Y1033" s="44" t="str">
        <f>IF($AC1033&gt;0,INDEX(CASHBACK_RULES!$A$5:$A$304,$AC1033),"")</f>
        <v/>
      </c>
      <c r="Z1033" s="45" t="str">
        <f>IF($AC1033&gt;0,INDEX(CASHBACK_RULES!$E$5:$E$304,$AC1033)&amp;"","")</f>
        <v/>
      </c>
      <c r="AA1033" s="48" t="str">
        <f>IF($AC1033&gt;0,IF(ISNUMBER(INDEX(CASHBACK_RULES!$K$5:$K$304,$AC1033)),INDEX(CASHBACK_RULES!$K$5:$K$304,$AC1033),"∞"),"")</f>
        <v/>
      </c>
      <c r="AB1033" s="44" t="str">
        <f>IF(OR($B1033="",$D1033=""),"",IF($U1033="Cancelled","Đã hủy",IF($AC1033=0,"Không được hoàn",IF($Q1033=0,IF(OR($O1033&gt;0,$M1033&lt;$L1033),"Đã đạt cap","Không được hoàn"),IF(OR($Q1033&lt;$O1033,$M1033&lt;$L1033),"Hoàn một phần","Được hoàn")))))</f>
        <v/>
      </c>
      <c r="AC1033" s="43">
        <f>IF(OR($B1033="",$D1033="",$I1033="",$L1033=""),0,IF($U1033="Cancelled",0,IF($W1033&lt;&gt;"",IFERROR(IF(INDEX(CASHBACK_RULES!$B$5:$B$304,MATCH($W1033,CASHBACK_RULES!$A$5:$A$304,0))=$D1033,MATCH($W1033,CASHBACK_RULES!$A$5:$A$304,0),0),0),IFERROR(MATCH(1,INDEX((CASHBACK_RULES!$B$5:$B$304=$D1033)*(CASHBACK_RULES!$G$5:$G$304=$I1033)*(((CASHBACK_RULES!$N$5:$N$304="")+(CASHBACK_RULES!$N$5:$N$304&lt;=$B1033))&gt;0)*(((CASHBACK_RULES!$O$5:$O$304="")+(CASHBACK_RULES!$O$5:$O$304&gt;=$B1033))&gt;0)*(((CASHBACK_RULES!$M$5:$M$304="")+(CASHBACK_RULES!$M$5:$M$304&lt;=$L1033))&gt;0),0),0),0))))</f>
        <v>0</v>
      </c>
      <c r="AD1033" s="51" t="str">
        <f>IF(OR($B1033="",$D1033=""),"",IFERROR(IF(INDEX(CARDS!$H$5:$H$34,MATCH($D1033,CARDS!$A$5:$A$34,0))="","",IF(DAY($B1033)&lt;=INDEX(CARDS!$H$5:$H$34,MATCH($D1033,CARDS!$A$5:$A$34,0)),DATE(YEAR($B1033),MONTH($B1033),MIN(INDEX(CARDS!$H$5:$H$34,MATCH($D1033,CARDS!$A$5:$A$34,0)),DAY(EOMONTH($B1033,0)))),DATE(YEAR($B1033),MONTH($B1033)+1,MIN(INDEX(CARDS!$H$5:$H$34,MATCH($D1033,CARDS!$A$5:$A$34,0)),DAY(EOMONTH($B1033,1)))))),""))</f>
        <v/>
      </c>
      <c r="AE1033" s="52" t="str">
        <f>IF($C1033="","",$C1033&amp;"|"&amp;COUNTIF($C$5:$C1033,$C1033))</f>
        <v/>
      </c>
      <c r="AF1033" s="53">
        <f>IF($AC1033&gt;0,SUMIFS(Q$4:Q1032,$D$4:$D1032,$D1033,$Z$4:$Z1032,$Z1033,$C$4:$C1032,$C1033),0)</f>
        <v>0</v>
      </c>
      <c r="AG1033" s="53">
        <f>IF($AC1033&gt;0,SUMIFS(Q$4:Q1032,$D$4:$D1032,$D1033,$C$4:$C1032,$C1033),0)</f>
        <v>0</v>
      </c>
      <c r="AH1033" s="53">
        <f>IF($AC1033&gt;0,SUMIFS(M$4:M1032,$D$4:$D1032,$D1033,$Z$4:$Z1032,$Z1033,$C$4:$C1032,$C1033),0)</f>
        <v>0</v>
      </c>
      <c r="AI1033" s="43">
        <f>IF(OR($C1033="",$I1033=""),0,IF(COUNTIFS($C$5:$C1033,$C1033,$I$5:$I1033,$I1033)=1,1,0))</f>
        <v>0</v>
      </c>
      <c r="AJ1033" s="43" t="str">
        <f>IF($AI1033=1,SUMIFS($AI$4:$AI1032,$C$4:$C1032,$C1033)+1,"")</f>
        <v/>
      </c>
      <c r="AK1033" s="43">
        <f>IF(OR($C1033="",$K1033=""),0,IF(COUNTIFS($C$5:$C1033,$C1033,$K$5:$K1033,$K1033)=1,1,0))</f>
        <v>0</v>
      </c>
      <c r="AL1033" s="43" t="str">
        <f>IF($AK1033=1,SUMIFS($AK$4:$AK1032,$C$4:$C1032,$C1033)+1,"")</f>
        <v/>
      </c>
      <c r="AM1033" s="43">
        <f>IF(OR($C1033="",$G1033=""),0,IF(COUNTIFS($C$5:$C1033,$C1033,$G$5:$G1033,$G1033)=1,1,0))</f>
        <v>0</v>
      </c>
      <c r="AN1033" s="43" t="str">
        <f>IF($AM1033=1,SUMIFS($AM$4:$AM1032,$C$4:$C1032,$C1033)+1,"")</f>
        <v/>
      </c>
    </row>
    <row r="1034">
      <c r="A1034" s="44" t="str">
        <f>IF(OR($B1034="",$D1034=""),"","TX"&amp;TEXT(ROW()-4,"0000"))</f>
        <v/>
      </c>
      <c r="B1034" s="42" t="n"/>
      <c r="C1034" s="47" t="str">
        <f>IF($B1034="","",YEAR($B1034)*100+MONTH($B1034))</f>
        <v/>
      </c>
      <c r="D1034" s="37" t="n"/>
      <c r="E1034" s="45" t="str">
        <f>IF($D1034="","",IFERROR(INDEX(CARDS!$B$5:$B$34,MATCH($D1034,CARDS!$A$5:$A$34,0)),"⚠ Card ID?"))</f>
        <v/>
      </c>
      <c r="F1034" s="45" t="str">
        <f>IF($D1034="","",IFERROR(INDEX(CARDS!$C$5:$C$34,MATCH($D1034,CARDS!$A$5:$A$34,0)),"⚠ Card ID?"))</f>
        <v/>
      </c>
      <c r="G1034" s="37" t="n"/>
      <c r="H1034" s="37" t="n"/>
      <c r="I1034" s="41" t="n"/>
      <c r="J1034" s="45" t="str">
        <f>IF($I1034="","",IFERROR(INDEX(MCC_MASTER!$B$5:$B$504,MATCH($I1034,MCC_MASTER!$A$5:$A$504,0)),"⚠ MCC chưa có"))</f>
        <v/>
      </c>
      <c r="K1034" s="45" t="str">
        <f>IF($I1034="","",IFERROR(IF(INDEX(MCC_MASTER!$C$5:$C$504,MATCH($I1034,MCC_MASTER!$A$5:$A$504,0))="","Chưa phân loại",INDEX(MCC_MASTER!$C$5:$C$504,MATCH($I1034,MCC_MASTER!$A$5:$A$504,0))),"Chưa phân loại"))</f>
        <v/>
      </c>
      <c r="L1034" s="40" t="n"/>
      <c r="M1034" s="48" t="str">
        <f>IF(OR($B1034="",$D1034=""),"",IF($AC1034=0,0,IF(ISNUMBER(INDEX(CASHBACK_RULES!$L$5:$L$304,$AC1034)),MAX(0,MIN($L1034,INDEX(CASHBACK_RULES!$L$5:$L$304,$AC1034)-$AH1034)),MAX(0,$L1034))))</f>
        <v/>
      </c>
      <c r="N1034" s="49" t="str">
        <f>IF(OR($B1034="",$D1034=""),"",IF($AC1034&gt;0,INDEX(CASHBACK_RULES!$I$5:$I$304,$AC1034),0))</f>
        <v/>
      </c>
      <c r="O1034" s="48" t="str">
        <f>IF(OR($B1034="",$D1034=""),"",ROUND($M1034*$N1034,0))</f>
        <v/>
      </c>
      <c r="P1034" s="48" t="str">
        <f>IF($AC1034&gt;0,IF(ISNUMBER(INDEX(CASHBACK_RULES!$J$5:$J$304,$AC1034)),INDEX(CASHBACK_RULES!$J$5:$J$304,$AC1034),"∞"),"")</f>
        <v/>
      </c>
      <c r="Q1034" s="48" t="str">
        <f>IF(OR($B1034="",$D1034=""),"",IF($AC1034=0,0,MAX(0,MIN($O1034,IF(ISNUMBER($P1034),$P1034-$AF1034,1E+15),IF(ISNUMBER($AA1034),$AA1034-$AG1034,1E+15)))))</f>
        <v/>
      </c>
      <c r="R1034" s="48" t="str">
        <f>IF(OR($B1034="",$D1034=""),"",IF($AC1034=0,"",IF(AND(NOT(ISNUMBER($P1034)),NOT(ISNUMBER($AA1034))),"∞",MAX(0,MIN(IF(ISNUMBER($P1034),$P1034-$AF1034-$Q1034,1E+15),IF(ISNUMBER($AA1034),$AA1034-$AG1034-$Q1034,1E+15))))))</f>
        <v/>
      </c>
      <c r="S1034" s="47" t="str">
        <f>IF($AD1034="","",YEAR($AD1034)*100+MONTH($AD1034))</f>
        <v/>
      </c>
      <c r="T1034" s="50" t="str">
        <f>IF($AD1034="","",IFERROR(IF(INDEX(CARDS!$I$5:$I$34,MATCH($D1034,CARDS!$A$5:$A$34,0))="","",IF(INDEX(CARDS!$I$5:$I$34,MATCH($D1034,CARDS!$A$5:$A$34,0))&gt;INDEX(CARDS!$H$5:$H$34,MATCH($D1034,CARDS!$A$5:$A$34,0)),DATE(YEAR($AD1034),MONTH($AD1034),MIN(INDEX(CARDS!$I$5:$I$34,MATCH($D1034,CARDS!$A$5:$A$34,0)),DAY(EOMONTH($AD1034,0)))),DATE(YEAR($AD1034),MONTH($AD1034)+1,MIN(INDEX(CARDS!$I$5:$I$34,MATCH($D1034,CARDS!$A$5:$A$34,0)),DAY(EOMONTH($AD1034,1)))))),""))</f>
        <v/>
      </c>
      <c r="U1034" s="38" t="n"/>
      <c r="V1034" s="37" t="n"/>
      <c r="W1034" s="38" t="n"/>
      <c r="X1034" s="38" t="n"/>
      <c r="Y1034" s="44" t="str">
        <f>IF($AC1034&gt;0,INDEX(CASHBACK_RULES!$A$5:$A$304,$AC1034),"")</f>
        <v/>
      </c>
      <c r="Z1034" s="45" t="str">
        <f>IF($AC1034&gt;0,INDEX(CASHBACK_RULES!$E$5:$E$304,$AC1034)&amp;"","")</f>
        <v/>
      </c>
      <c r="AA1034" s="48" t="str">
        <f>IF($AC1034&gt;0,IF(ISNUMBER(INDEX(CASHBACK_RULES!$K$5:$K$304,$AC1034)),INDEX(CASHBACK_RULES!$K$5:$K$304,$AC1034),"∞"),"")</f>
        <v/>
      </c>
      <c r="AB1034" s="44" t="str">
        <f>IF(OR($B1034="",$D1034=""),"",IF($U1034="Cancelled","Đã hủy",IF($AC1034=0,"Không được hoàn",IF($Q1034=0,IF(OR($O1034&gt;0,$M1034&lt;$L1034),"Đã đạt cap","Không được hoàn"),IF(OR($Q1034&lt;$O1034,$M1034&lt;$L1034),"Hoàn một phần","Được hoàn")))))</f>
        <v/>
      </c>
      <c r="AC1034" s="43">
        <f>IF(OR($B1034="",$D1034="",$I1034="",$L1034=""),0,IF($U1034="Cancelled",0,IF($W1034&lt;&gt;"",IFERROR(IF(INDEX(CASHBACK_RULES!$B$5:$B$304,MATCH($W1034,CASHBACK_RULES!$A$5:$A$304,0))=$D1034,MATCH($W1034,CASHBACK_RULES!$A$5:$A$304,0),0),0),IFERROR(MATCH(1,INDEX((CASHBACK_RULES!$B$5:$B$304=$D1034)*(CASHBACK_RULES!$G$5:$G$304=$I1034)*(((CASHBACK_RULES!$N$5:$N$304="")+(CASHBACK_RULES!$N$5:$N$304&lt;=$B1034))&gt;0)*(((CASHBACK_RULES!$O$5:$O$304="")+(CASHBACK_RULES!$O$5:$O$304&gt;=$B1034))&gt;0)*(((CASHBACK_RULES!$M$5:$M$304="")+(CASHBACK_RULES!$M$5:$M$304&lt;=$L1034))&gt;0),0),0),0))))</f>
        <v>0</v>
      </c>
      <c r="AD1034" s="51" t="str">
        <f>IF(OR($B1034="",$D1034=""),"",IFERROR(IF(INDEX(CARDS!$H$5:$H$34,MATCH($D1034,CARDS!$A$5:$A$34,0))="","",IF(DAY($B1034)&lt;=INDEX(CARDS!$H$5:$H$34,MATCH($D1034,CARDS!$A$5:$A$34,0)),DATE(YEAR($B1034),MONTH($B1034),MIN(INDEX(CARDS!$H$5:$H$34,MATCH($D1034,CARDS!$A$5:$A$34,0)),DAY(EOMONTH($B1034,0)))),DATE(YEAR($B1034),MONTH($B1034)+1,MIN(INDEX(CARDS!$H$5:$H$34,MATCH($D1034,CARDS!$A$5:$A$34,0)),DAY(EOMONTH($B1034,1)))))),""))</f>
        <v/>
      </c>
      <c r="AE1034" s="52" t="str">
        <f>IF($C1034="","",$C1034&amp;"|"&amp;COUNTIF($C$5:$C1034,$C1034))</f>
        <v/>
      </c>
      <c r="AF1034" s="53">
        <f>IF($AC1034&gt;0,SUMIFS(Q$4:Q1033,$D$4:$D1033,$D1034,$Z$4:$Z1033,$Z1034,$C$4:$C1033,$C1034),0)</f>
        <v>0</v>
      </c>
      <c r="AG1034" s="53">
        <f>IF($AC1034&gt;0,SUMIFS(Q$4:Q1033,$D$4:$D1033,$D1034,$C$4:$C1033,$C1034),0)</f>
        <v>0</v>
      </c>
      <c r="AH1034" s="53">
        <f>IF($AC1034&gt;0,SUMIFS(M$4:M1033,$D$4:$D1033,$D1034,$Z$4:$Z1033,$Z1034,$C$4:$C1033,$C1034),0)</f>
        <v>0</v>
      </c>
      <c r="AI1034" s="43">
        <f>IF(OR($C1034="",$I1034=""),0,IF(COUNTIFS($C$5:$C1034,$C1034,$I$5:$I1034,$I1034)=1,1,0))</f>
        <v>0</v>
      </c>
      <c r="AJ1034" s="43" t="str">
        <f>IF($AI1034=1,SUMIFS($AI$4:$AI1033,$C$4:$C1033,$C1034)+1,"")</f>
        <v/>
      </c>
      <c r="AK1034" s="43">
        <f>IF(OR($C1034="",$K1034=""),0,IF(COUNTIFS($C$5:$C1034,$C1034,$K$5:$K1034,$K1034)=1,1,0))</f>
        <v>0</v>
      </c>
      <c r="AL1034" s="43" t="str">
        <f>IF($AK1034=1,SUMIFS($AK$4:$AK1033,$C$4:$C1033,$C1034)+1,"")</f>
        <v/>
      </c>
      <c r="AM1034" s="43">
        <f>IF(OR($C1034="",$G1034=""),0,IF(COUNTIFS($C$5:$C1034,$C1034,$G$5:$G1034,$G1034)=1,1,0))</f>
        <v>0</v>
      </c>
      <c r="AN1034" s="43" t="str">
        <f>IF($AM1034=1,SUMIFS($AM$4:$AM1033,$C$4:$C1033,$C1034)+1,"")</f>
        <v/>
      </c>
    </row>
    <row r="1035">
      <c r="A1035" s="44" t="str">
        <f>IF(OR($B1035="",$D1035=""),"","TX"&amp;TEXT(ROW()-4,"0000"))</f>
        <v/>
      </c>
      <c r="B1035" s="42" t="n"/>
      <c r="C1035" s="47" t="str">
        <f>IF($B1035="","",YEAR($B1035)*100+MONTH($B1035))</f>
        <v/>
      </c>
      <c r="D1035" s="37" t="n"/>
      <c r="E1035" s="45" t="str">
        <f>IF($D1035="","",IFERROR(INDEX(CARDS!$B$5:$B$34,MATCH($D1035,CARDS!$A$5:$A$34,0)),"⚠ Card ID?"))</f>
        <v/>
      </c>
      <c r="F1035" s="45" t="str">
        <f>IF($D1035="","",IFERROR(INDEX(CARDS!$C$5:$C$34,MATCH($D1035,CARDS!$A$5:$A$34,0)),"⚠ Card ID?"))</f>
        <v/>
      </c>
      <c r="G1035" s="37" t="n"/>
      <c r="H1035" s="37" t="n"/>
      <c r="I1035" s="41" t="n"/>
      <c r="J1035" s="45" t="str">
        <f>IF($I1035="","",IFERROR(INDEX(MCC_MASTER!$B$5:$B$504,MATCH($I1035,MCC_MASTER!$A$5:$A$504,0)),"⚠ MCC chưa có"))</f>
        <v/>
      </c>
      <c r="K1035" s="45" t="str">
        <f>IF($I1035="","",IFERROR(IF(INDEX(MCC_MASTER!$C$5:$C$504,MATCH($I1035,MCC_MASTER!$A$5:$A$504,0))="","Chưa phân loại",INDEX(MCC_MASTER!$C$5:$C$504,MATCH($I1035,MCC_MASTER!$A$5:$A$504,0))),"Chưa phân loại"))</f>
        <v/>
      </c>
      <c r="L1035" s="40" t="n"/>
      <c r="M1035" s="48" t="str">
        <f>IF(OR($B1035="",$D1035=""),"",IF($AC1035=0,0,IF(ISNUMBER(INDEX(CASHBACK_RULES!$L$5:$L$304,$AC1035)),MAX(0,MIN($L1035,INDEX(CASHBACK_RULES!$L$5:$L$304,$AC1035)-$AH1035)),MAX(0,$L1035))))</f>
        <v/>
      </c>
      <c r="N1035" s="49" t="str">
        <f>IF(OR($B1035="",$D1035=""),"",IF($AC1035&gt;0,INDEX(CASHBACK_RULES!$I$5:$I$304,$AC1035),0))</f>
        <v/>
      </c>
      <c r="O1035" s="48" t="str">
        <f>IF(OR($B1035="",$D1035=""),"",ROUND($M1035*$N1035,0))</f>
        <v/>
      </c>
      <c r="P1035" s="48" t="str">
        <f>IF($AC1035&gt;0,IF(ISNUMBER(INDEX(CASHBACK_RULES!$J$5:$J$304,$AC1035)),INDEX(CASHBACK_RULES!$J$5:$J$304,$AC1035),"∞"),"")</f>
        <v/>
      </c>
      <c r="Q1035" s="48" t="str">
        <f>IF(OR($B1035="",$D1035=""),"",IF($AC1035=0,0,MAX(0,MIN($O1035,IF(ISNUMBER($P1035),$P1035-$AF1035,1E+15),IF(ISNUMBER($AA1035),$AA1035-$AG1035,1E+15)))))</f>
        <v/>
      </c>
      <c r="R1035" s="48" t="str">
        <f>IF(OR($B1035="",$D1035=""),"",IF($AC1035=0,"",IF(AND(NOT(ISNUMBER($P1035)),NOT(ISNUMBER($AA1035))),"∞",MAX(0,MIN(IF(ISNUMBER($P1035),$P1035-$AF1035-$Q1035,1E+15),IF(ISNUMBER($AA1035),$AA1035-$AG1035-$Q1035,1E+15))))))</f>
        <v/>
      </c>
      <c r="S1035" s="47" t="str">
        <f>IF($AD1035="","",YEAR($AD1035)*100+MONTH($AD1035))</f>
        <v/>
      </c>
      <c r="T1035" s="50" t="str">
        <f>IF($AD1035="","",IFERROR(IF(INDEX(CARDS!$I$5:$I$34,MATCH($D1035,CARDS!$A$5:$A$34,0))="","",IF(INDEX(CARDS!$I$5:$I$34,MATCH($D1035,CARDS!$A$5:$A$34,0))&gt;INDEX(CARDS!$H$5:$H$34,MATCH($D1035,CARDS!$A$5:$A$34,0)),DATE(YEAR($AD1035),MONTH($AD1035),MIN(INDEX(CARDS!$I$5:$I$34,MATCH($D1035,CARDS!$A$5:$A$34,0)),DAY(EOMONTH($AD1035,0)))),DATE(YEAR($AD1035),MONTH($AD1035)+1,MIN(INDEX(CARDS!$I$5:$I$34,MATCH($D1035,CARDS!$A$5:$A$34,0)),DAY(EOMONTH($AD1035,1)))))),""))</f>
        <v/>
      </c>
      <c r="U1035" s="38" t="n"/>
      <c r="V1035" s="37" t="n"/>
      <c r="W1035" s="38" t="n"/>
      <c r="X1035" s="38" t="n"/>
      <c r="Y1035" s="44" t="str">
        <f>IF($AC1035&gt;0,INDEX(CASHBACK_RULES!$A$5:$A$304,$AC1035),"")</f>
        <v/>
      </c>
      <c r="Z1035" s="45" t="str">
        <f>IF($AC1035&gt;0,INDEX(CASHBACK_RULES!$E$5:$E$304,$AC1035)&amp;"","")</f>
        <v/>
      </c>
      <c r="AA1035" s="48" t="str">
        <f>IF($AC1035&gt;0,IF(ISNUMBER(INDEX(CASHBACK_RULES!$K$5:$K$304,$AC1035)),INDEX(CASHBACK_RULES!$K$5:$K$304,$AC1035),"∞"),"")</f>
        <v/>
      </c>
      <c r="AB1035" s="44" t="str">
        <f>IF(OR($B1035="",$D1035=""),"",IF($U1035="Cancelled","Đã hủy",IF($AC1035=0,"Không được hoàn",IF($Q1035=0,IF(OR($O1035&gt;0,$M1035&lt;$L1035),"Đã đạt cap","Không được hoàn"),IF(OR($Q1035&lt;$O1035,$M1035&lt;$L1035),"Hoàn một phần","Được hoàn")))))</f>
        <v/>
      </c>
      <c r="AC1035" s="43">
        <f>IF(OR($B1035="",$D1035="",$I1035="",$L1035=""),0,IF($U1035="Cancelled",0,IF($W1035&lt;&gt;"",IFERROR(IF(INDEX(CASHBACK_RULES!$B$5:$B$304,MATCH($W1035,CASHBACK_RULES!$A$5:$A$304,0))=$D1035,MATCH($W1035,CASHBACK_RULES!$A$5:$A$304,0),0),0),IFERROR(MATCH(1,INDEX((CASHBACK_RULES!$B$5:$B$304=$D1035)*(CASHBACK_RULES!$G$5:$G$304=$I1035)*(((CASHBACK_RULES!$N$5:$N$304="")+(CASHBACK_RULES!$N$5:$N$304&lt;=$B1035))&gt;0)*(((CASHBACK_RULES!$O$5:$O$304="")+(CASHBACK_RULES!$O$5:$O$304&gt;=$B1035))&gt;0)*(((CASHBACK_RULES!$M$5:$M$304="")+(CASHBACK_RULES!$M$5:$M$304&lt;=$L1035))&gt;0),0),0),0))))</f>
        <v>0</v>
      </c>
      <c r="AD1035" s="51" t="str">
        <f>IF(OR($B1035="",$D1035=""),"",IFERROR(IF(INDEX(CARDS!$H$5:$H$34,MATCH($D1035,CARDS!$A$5:$A$34,0))="","",IF(DAY($B1035)&lt;=INDEX(CARDS!$H$5:$H$34,MATCH($D1035,CARDS!$A$5:$A$34,0)),DATE(YEAR($B1035),MONTH($B1035),MIN(INDEX(CARDS!$H$5:$H$34,MATCH($D1035,CARDS!$A$5:$A$34,0)),DAY(EOMONTH($B1035,0)))),DATE(YEAR($B1035),MONTH($B1035)+1,MIN(INDEX(CARDS!$H$5:$H$34,MATCH($D1035,CARDS!$A$5:$A$34,0)),DAY(EOMONTH($B1035,1)))))),""))</f>
        <v/>
      </c>
      <c r="AE1035" s="52" t="str">
        <f>IF($C1035="","",$C1035&amp;"|"&amp;COUNTIF($C$5:$C1035,$C1035))</f>
        <v/>
      </c>
      <c r="AF1035" s="53">
        <f>IF($AC1035&gt;0,SUMIFS(Q$4:Q1034,$D$4:$D1034,$D1035,$Z$4:$Z1034,$Z1035,$C$4:$C1034,$C1035),0)</f>
        <v>0</v>
      </c>
      <c r="AG1035" s="53">
        <f>IF($AC1035&gt;0,SUMIFS(Q$4:Q1034,$D$4:$D1034,$D1035,$C$4:$C1034,$C1035),0)</f>
        <v>0</v>
      </c>
      <c r="AH1035" s="53">
        <f>IF($AC1035&gt;0,SUMIFS(M$4:M1034,$D$4:$D1034,$D1035,$Z$4:$Z1034,$Z1035,$C$4:$C1034,$C1035),0)</f>
        <v>0</v>
      </c>
      <c r="AI1035" s="43">
        <f>IF(OR($C1035="",$I1035=""),0,IF(COUNTIFS($C$5:$C1035,$C1035,$I$5:$I1035,$I1035)=1,1,0))</f>
        <v>0</v>
      </c>
      <c r="AJ1035" s="43" t="str">
        <f>IF($AI1035=1,SUMIFS($AI$4:$AI1034,$C$4:$C1034,$C1035)+1,"")</f>
        <v/>
      </c>
      <c r="AK1035" s="43">
        <f>IF(OR($C1035="",$K1035=""),0,IF(COUNTIFS($C$5:$C1035,$C1035,$K$5:$K1035,$K1035)=1,1,0))</f>
        <v>0</v>
      </c>
      <c r="AL1035" s="43" t="str">
        <f>IF($AK1035=1,SUMIFS($AK$4:$AK1034,$C$4:$C1034,$C1035)+1,"")</f>
        <v/>
      </c>
      <c r="AM1035" s="43">
        <f>IF(OR($C1035="",$G1035=""),0,IF(COUNTIFS($C$5:$C1035,$C1035,$G$5:$G1035,$G1035)=1,1,0))</f>
        <v>0</v>
      </c>
      <c r="AN1035" s="43" t="str">
        <f>IF($AM1035=1,SUMIFS($AM$4:$AM1034,$C$4:$C1034,$C1035)+1,"")</f>
        <v/>
      </c>
    </row>
    <row r="1036">
      <c r="A1036" s="44" t="str">
        <f>IF(OR($B1036="",$D1036=""),"","TX"&amp;TEXT(ROW()-4,"0000"))</f>
        <v/>
      </c>
      <c r="B1036" s="42" t="n"/>
      <c r="C1036" s="47" t="str">
        <f>IF($B1036="","",YEAR($B1036)*100+MONTH($B1036))</f>
        <v/>
      </c>
      <c r="D1036" s="37" t="n"/>
      <c r="E1036" s="45" t="str">
        <f>IF($D1036="","",IFERROR(INDEX(CARDS!$B$5:$B$34,MATCH($D1036,CARDS!$A$5:$A$34,0)),"⚠ Card ID?"))</f>
        <v/>
      </c>
      <c r="F1036" s="45" t="str">
        <f>IF($D1036="","",IFERROR(INDEX(CARDS!$C$5:$C$34,MATCH($D1036,CARDS!$A$5:$A$34,0)),"⚠ Card ID?"))</f>
        <v/>
      </c>
      <c r="G1036" s="37" t="n"/>
      <c r="H1036" s="37" t="n"/>
      <c r="I1036" s="41" t="n"/>
      <c r="J1036" s="45" t="str">
        <f>IF($I1036="","",IFERROR(INDEX(MCC_MASTER!$B$5:$B$504,MATCH($I1036,MCC_MASTER!$A$5:$A$504,0)),"⚠ MCC chưa có"))</f>
        <v/>
      </c>
      <c r="K1036" s="45" t="str">
        <f>IF($I1036="","",IFERROR(IF(INDEX(MCC_MASTER!$C$5:$C$504,MATCH($I1036,MCC_MASTER!$A$5:$A$504,0))="","Chưa phân loại",INDEX(MCC_MASTER!$C$5:$C$504,MATCH($I1036,MCC_MASTER!$A$5:$A$504,0))),"Chưa phân loại"))</f>
        <v/>
      </c>
      <c r="L1036" s="40" t="n"/>
      <c r="M1036" s="48" t="str">
        <f>IF(OR($B1036="",$D1036=""),"",IF($AC1036=0,0,IF(ISNUMBER(INDEX(CASHBACK_RULES!$L$5:$L$304,$AC1036)),MAX(0,MIN($L1036,INDEX(CASHBACK_RULES!$L$5:$L$304,$AC1036)-$AH1036)),MAX(0,$L1036))))</f>
        <v/>
      </c>
      <c r="N1036" s="49" t="str">
        <f>IF(OR($B1036="",$D1036=""),"",IF($AC1036&gt;0,INDEX(CASHBACK_RULES!$I$5:$I$304,$AC1036),0))</f>
        <v/>
      </c>
      <c r="O1036" s="48" t="str">
        <f>IF(OR($B1036="",$D1036=""),"",ROUND($M1036*$N1036,0))</f>
        <v/>
      </c>
      <c r="P1036" s="48" t="str">
        <f>IF($AC1036&gt;0,IF(ISNUMBER(INDEX(CASHBACK_RULES!$J$5:$J$304,$AC1036)),INDEX(CASHBACK_RULES!$J$5:$J$304,$AC1036),"∞"),"")</f>
        <v/>
      </c>
      <c r="Q1036" s="48" t="str">
        <f>IF(OR($B1036="",$D1036=""),"",IF($AC1036=0,0,MAX(0,MIN($O1036,IF(ISNUMBER($P1036),$P1036-$AF1036,1E+15),IF(ISNUMBER($AA1036),$AA1036-$AG1036,1E+15)))))</f>
        <v/>
      </c>
      <c r="R1036" s="48" t="str">
        <f>IF(OR($B1036="",$D1036=""),"",IF($AC1036=0,"",IF(AND(NOT(ISNUMBER($P1036)),NOT(ISNUMBER($AA1036))),"∞",MAX(0,MIN(IF(ISNUMBER($P1036),$P1036-$AF1036-$Q1036,1E+15),IF(ISNUMBER($AA1036),$AA1036-$AG1036-$Q1036,1E+15))))))</f>
        <v/>
      </c>
      <c r="S1036" s="47" t="str">
        <f>IF($AD1036="","",YEAR($AD1036)*100+MONTH($AD1036))</f>
        <v/>
      </c>
      <c r="T1036" s="50" t="str">
        <f>IF($AD1036="","",IFERROR(IF(INDEX(CARDS!$I$5:$I$34,MATCH($D1036,CARDS!$A$5:$A$34,0))="","",IF(INDEX(CARDS!$I$5:$I$34,MATCH($D1036,CARDS!$A$5:$A$34,0))&gt;INDEX(CARDS!$H$5:$H$34,MATCH($D1036,CARDS!$A$5:$A$34,0)),DATE(YEAR($AD1036),MONTH($AD1036),MIN(INDEX(CARDS!$I$5:$I$34,MATCH($D1036,CARDS!$A$5:$A$34,0)),DAY(EOMONTH($AD1036,0)))),DATE(YEAR($AD1036),MONTH($AD1036)+1,MIN(INDEX(CARDS!$I$5:$I$34,MATCH($D1036,CARDS!$A$5:$A$34,0)),DAY(EOMONTH($AD1036,1)))))),""))</f>
        <v/>
      </c>
      <c r="U1036" s="38" t="n"/>
      <c r="V1036" s="37" t="n"/>
      <c r="W1036" s="38" t="n"/>
      <c r="X1036" s="38" t="n"/>
      <c r="Y1036" s="44" t="str">
        <f>IF($AC1036&gt;0,INDEX(CASHBACK_RULES!$A$5:$A$304,$AC1036),"")</f>
        <v/>
      </c>
      <c r="Z1036" s="45" t="str">
        <f>IF($AC1036&gt;0,INDEX(CASHBACK_RULES!$E$5:$E$304,$AC1036)&amp;"","")</f>
        <v/>
      </c>
      <c r="AA1036" s="48" t="str">
        <f>IF($AC1036&gt;0,IF(ISNUMBER(INDEX(CASHBACK_RULES!$K$5:$K$304,$AC1036)),INDEX(CASHBACK_RULES!$K$5:$K$304,$AC1036),"∞"),"")</f>
        <v/>
      </c>
      <c r="AB1036" s="44" t="str">
        <f>IF(OR($B1036="",$D1036=""),"",IF($U1036="Cancelled","Đã hủy",IF($AC1036=0,"Không được hoàn",IF($Q1036=0,IF(OR($O1036&gt;0,$M1036&lt;$L1036),"Đã đạt cap","Không được hoàn"),IF(OR($Q1036&lt;$O1036,$M1036&lt;$L1036),"Hoàn một phần","Được hoàn")))))</f>
        <v/>
      </c>
      <c r="AC1036" s="43">
        <f>IF(OR($B1036="",$D1036="",$I1036="",$L1036=""),0,IF($U1036="Cancelled",0,IF($W1036&lt;&gt;"",IFERROR(IF(INDEX(CASHBACK_RULES!$B$5:$B$304,MATCH($W1036,CASHBACK_RULES!$A$5:$A$304,0))=$D1036,MATCH($W1036,CASHBACK_RULES!$A$5:$A$304,0),0),0),IFERROR(MATCH(1,INDEX((CASHBACK_RULES!$B$5:$B$304=$D1036)*(CASHBACK_RULES!$G$5:$G$304=$I1036)*(((CASHBACK_RULES!$N$5:$N$304="")+(CASHBACK_RULES!$N$5:$N$304&lt;=$B1036))&gt;0)*(((CASHBACK_RULES!$O$5:$O$304="")+(CASHBACK_RULES!$O$5:$O$304&gt;=$B1036))&gt;0)*(((CASHBACK_RULES!$M$5:$M$304="")+(CASHBACK_RULES!$M$5:$M$304&lt;=$L1036))&gt;0),0),0),0))))</f>
        <v>0</v>
      </c>
      <c r="AD1036" s="51" t="str">
        <f>IF(OR($B1036="",$D1036=""),"",IFERROR(IF(INDEX(CARDS!$H$5:$H$34,MATCH($D1036,CARDS!$A$5:$A$34,0))="","",IF(DAY($B1036)&lt;=INDEX(CARDS!$H$5:$H$34,MATCH($D1036,CARDS!$A$5:$A$34,0)),DATE(YEAR($B1036),MONTH($B1036),MIN(INDEX(CARDS!$H$5:$H$34,MATCH($D1036,CARDS!$A$5:$A$34,0)),DAY(EOMONTH($B1036,0)))),DATE(YEAR($B1036),MONTH($B1036)+1,MIN(INDEX(CARDS!$H$5:$H$34,MATCH($D1036,CARDS!$A$5:$A$34,0)),DAY(EOMONTH($B1036,1)))))),""))</f>
        <v/>
      </c>
      <c r="AE1036" s="52" t="str">
        <f>IF($C1036="","",$C1036&amp;"|"&amp;COUNTIF($C$5:$C1036,$C1036))</f>
        <v/>
      </c>
      <c r="AF1036" s="53">
        <f>IF($AC1036&gt;0,SUMIFS(Q$4:Q1035,$D$4:$D1035,$D1036,$Z$4:$Z1035,$Z1036,$C$4:$C1035,$C1036),0)</f>
        <v>0</v>
      </c>
      <c r="AG1036" s="53">
        <f>IF($AC1036&gt;0,SUMIFS(Q$4:Q1035,$D$4:$D1035,$D1036,$C$4:$C1035,$C1036),0)</f>
        <v>0</v>
      </c>
      <c r="AH1036" s="53">
        <f>IF($AC1036&gt;0,SUMIFS(M$4:M1035,$D$4:$D1035,$D1036,$Z$4:$Z1035,$Z1036,$C$4:$C1035,$C1036),0)</f>
        <v>0</v>
      </c>
      <c r="AI1036" s="43">
        <f>IF(OR($C1036="",$I1036=""),0,IF(COUNTIFS($C$5:$C1036,$C1036,$I$5:$I1036,$I1036)=1,1,0))</f>
        <v>0</v>
      </c>
      <c r="AJ1036" s="43" t="str">
        <f>IF($AI1036=1,SUMIFS($AI$4:$AI1035,$C$4:$C1035,$C1036)+1,"")</f>
        <v/>
      </c>
      <c r="AK1036" s="43">
        <f>IF(OR($C1036="",$K1036=""),0,IF(COUNTIFS($C$5:$C1036,$C1036,$K$5:$K1036,$K1036)=1,1,0))</f>
        <v>0</v>
      </c>
      <c r="AL1036" s="43" t="str">
        <f>IF($AK1036=1,SUMIFS($AK$4:$AK1035,$C$4:$C1035,$C1036)+1,"")</f>
        <v/>
      </c>
      <c r="AM1036" s="43">
        <f>IF(OR($C1036="",$G1036=""),0,IF(COUNTIFS($C$5:$C1036,$C1036,$G$5:$G1036,$G1036)=1,1,0))</f>
        <v>0</v>
      </c>
      <c r="AN1036" s="43" t="str">
        <f>IF($AM1036=1,SUMIFS($AM$4:$AM1035,$C$4:$C1035,$C1036)+1,"")</f>
        <v/>
      </c>
    </row>
    <row r="1037">
      <c r="A1037" s="44" t="str">
        <f>IF(OR($B1037="",$D1037=""),"","TX"&amp;TEXT(ROW()-4,"0000"))</f>
        <v/>
      </c>
      <c r="B1037" s="42" t="n"/>
      <c r="C1037" s="47" t="str">
        <f>IF($B1037="","",YEAR($B1037)*100+MONTH($B1037))</f>
        <v/>
      </c>
      <c r="D1037" s="37" t="n"/>
      <c r="E1037" s="45" t="str">
        <f>IF($D1037="","",IFERROR(INDEX(CARDS!$B$5:$B$34,MATCH($D1037,CARDS!$A$5:$A$34,0)),"⚠ Card ID?"))</f>
        <v/>
      </c>
      <c r="F1037" s="45" t="str">
        <f>IF($D1037="","",IFERROR(INDEX(CARDS!$C$5:$C$34,MATCH($D1037,CARDS!$A$5:$A$34,0)),"⚠ Card ID?"))</f>
        <v/>
      </c>
      <c r="G1037" s="37" t="n"/>
      <c r="H1037" s="37" t="n"/>
      <c r="I1037" s="41" t="n"/>
      <c r="J1037" s="45" t="str">
        <f>IF($I1037="","",IFERROR(INDEX(MCC_MASTER!$B$5:$B$504,MATCH($I1037,MCC_MASTER!$A$5:$A$504,0)),"⚠ MCC chưa có"))</f>
        <v/>
      </c>
      <c r="K1037" s="45" t="str">
        <f>IF($I1037="","",IFERROR(IF(INDEX(MCC_MASTER!$C$5:$C$504,MATCH($I1037,MCC_MASTER!$A$5:$A$504,0))="","Chưa phân loại",INDEX(MCC_MASTER!$C$5:$C$504,MATCH($I1037,MCC_MASTER!$A$5:$A$504,0))),"Chưa phân loại"))</f>
        <v/>
      </c>
      <c r="L1037" s="40" t="n"/>
      <c r="M1037" s="48" t="str">
        <f>IF(OR($B1037="",$D1037=""),"",IF($AC1037=0,0,IF(ISNUMBER(INDEX(CASHBACK_RULES!$L$5:$L$304,$AC1037)),MAX(0,MIN($L1037,INDEX(CASHBACK_RULES!$L$5:$L$304,$AC1037)-$AH1037)),MAX(0,$L1037))))</f>
        <v/>
      </c>
      <c r="N1037" s="49" t="str">
        <f>IF(OR($B1037="",$D1037=""),"",IF($AC1037&gt;0,INDEX(CASHBACK_RULES!$I$5:$I$304,$AC1037),0))</f>
        <v/>
      </c>
      <c r="O1037" s="48" t="str">
        <f>IF(OR($B1037="",$D1037=""),"",ROUND($M1037*$N1037,0))</f>
        <v/>
      </c>
      <c r="P1037" s="48" t="str">
        <f>IF($AC1037&gt;0,IF(ISNUMBER(INDEX(CASHBACK_RULES!$J$5:$J$304,$AC1037)),INDEX(CASHBACK_RULES!$J$5:$J$304,$AC1037),"∞"),"")</f>
        <v/>
      </c>
      <c r="Q1037" s="48" t="str">
        <f>IF(OR($B1037="",$D1037=""),"",IF($AC1037=0,0,MAX(0,MIN($O1037,IF(ISNUMBER($P1037),$P1037-$AF1037,1E+15),IF(ISNUMBER($AA1037),$AA1037-$AG1037,1E+15)))))</f>
        <v/>
      </c>
      <c r="R1037" s="48" t="str">
        <f>IF(OR($B1037="",$D1037=""),"",IF($AC1037=0,"",IF(AND(NOT(ISNUMBER($P1037)),NOT(ISNUMBER($AA1037))),"∞",MAX(0,MIN(IF(ISNUMBER($P1037),$P1037-$AF1037-$Q1037,1E+15),IF(ISNUMBER($AA1037),$AA1037-$AG1037-$Q1037,1E+15))))))</f>
        <v/>
      </c>
      <c r="S1037" s="47" t="str">
        <f>IF($AD1037="","",YEAR($AD1037)*100+MONTH($AD1037))</f>
        <v/>
      </c>
      <c r="T1037" s="50" t="str">
        <f>IF($AD1037="","",IFERROR(IF(INDEX(CARDS!$I$5:$I$34,MATCH($D1037,CARDS!$A$5:$A$34,0))="","",IF(INDEX(CARDS!$I$5:$I$34,MATCH($D1037,CARDS!$A$5:$A$34,0))&gt;INDEX(CARDS!$H$5:$H$34,MATCH($D1037,CARDS!$A$5:$A$34,0)),DATE(YEAR($AD1037),MONTH($AD1037),MIN(INDEX(CARDS!$I$5:$I$34,MATCH($D1037,CARDS!$A$5:$A$34,0)),DAY(EOMONTH($AD1037,0)))),DATE(YEAR($AD1037),MONTH($AD1037)+1,MIN(INDEX(CARDS!$I$5:$I$34,MATCH($D1037,CARDS!$A$5:$A$34,0)),DAY(EOMONTH($AD1037,1)))))),""))</f>
        <v/>
      </c>
      <c r="U1037" s="38" t="n"/>
      <c r="V1037" s="37" t="n"/>
      <c r="W1037" s="38" t="n"/>
      <c r="X1037" s="38" t="n"/>
      <c r="Y1037" s="44" t="str">
        <f>IF($AC1037&gt;0,INDEX(CASHBACK_RULES!$A$5:$A$304,$AC1037),"")</f>
        <v/>
      </c>
      <c r="Z1037" s="45" t="str">
        <f>IF($AC1037&gt;0,INDEX(CASHBACK_RULES!$E$5:$E$304,$AC1037)&amp;"","")</f>
        <v/>
      </c>
      <c r="AA1037" s="48" t="str">
        <f>IF($AC1037&gt;0,IF(ISNUMBER(INDEX(CASHBACK_RULES!$K$5:$K$304,$AC1037)),INDEX(CASHBACK_RULES!$K$5:$K$304,$AC1037),"∞"),"")</f>
        <v/>
      </c>
      <c r="AB1037" s="44" t="str">
        <f>IF(OR($B1037="",$D1037=""),"",IF($U1037="Cancelled","Đã hủy",IF($AC1037=0,"Không được hoàn",IF($Q1037=0,IF(OR($O1037&gt;0,$M1037&lt;$L1037),"Đã đạt cap","Không được hoàn"),IF(OR($Q1037&lt;$O1037,$M1037&lt;$L1037),"Hoàn một phần","Được hoàn")))))</f>
        <v/>
      </c>
      <c r="AC1037" s="43">
        <f>IF(OR($B1037="",$D1037="",$I1037="",$L1037=""),0,IF($U1037="Cancelled",0,IF($W1037&lt;&gt;"",IFERROR(IF(INDEX(CASHBACK_RULES!$B$5:$B$304,MATCH($W1037,CASHBACK_RULES!$A$5:$A$304,0))=$D1037,MATCH($W1037,CASHBACK_RULES!$A$5:$A$304,0),0),0),IFERROR(MATCH(1,INDEX((CASHBACK_RULES!$B$5:$B$304=$D1037)*(CASHBACK_RULES!$G$5:$G$304=$I1037)*(((CASHBACK_RULES!$N$5:$N$304="")+(CASHBACK_RULES!$N$5:$N$304&lt;=$B1037))&gt;0)*(((CASHBACK_RULES!$O$5:$O$304="")+(CASHBACK_RULES!$O$5:$O$304&gt;=$B1037))&gt;0)*(((CASHBACK_RULES!$M$5:$M$304="")+(CASHBACK_RULES!$M$5:$M$304&lt;=$L1037))&gt;0),0),0),0))))</f>
        <v>0</v>
      </c>
      <c r="AD1037" s="51" t="str">
        <f>IF(OR($B1037="",$D1037=""),"",IFERROR(IF(INDEX(CARDS!$H$5:$H$34,MATCH($D1037,CARDS!$A$5:$A$34,0))="","",IF(DAY($B1037)&lt;=INDEX(CARDS!$H$5:$H$34,MATCH($D1037,CARDS!$A$5:$A$34,0)),DATE(YEAR($B1037),MONTH($B1037),MIN(INDEX(CARDS!$H$5:$H$34,MATCH($D1037,CARDS!$A$5:$A$34,0)),DAY(EOMONTH($B1037,0)))),DATE(YEAR($B1037),MONTH($B1037)+1,MIN(INDEX(CARDS!$H$5:$H$34,MATCH($D1037,CARDS!$A$5:$A$34,0)),DAY(EOMONTH($B1037,1)))))),""))</f>
        <v/>
      </c>
      <c r="AE1037" s="52" t="str">
        <f>IF($C1037="","",$C1037&amp;"|"&amp;COUNTIF($C$5:$C1037,$C1037))</f>
        <v/>
      </c>
      <c r="AF1037" s="53">
        <f>IF($AC1037&gt;0,SUMIFS(Q$4:Q1036,$D$4:$D1036,$D1037,$Z$4:$Z1036,$Z1037,$C$4:$C1036,$C1037),0)</f>
        <v>0</v>
      </c>
      <c r="AG1037" s="53">
        <f>IF($AC1037&gt;0,SUMIFS(Q$4:Q1036,$D$4:$D1036,$D1037,$C$4:$C1036,$C1037),0)</f>
        <v>0</v>
      </c>
      <c r="AH1037" s="53">
        <f>IF($AC1037&gt;0,SUMIFS(M$4:M1036,$D$4:$D1036,$D1037,$Z$4:$Z1036,$Z1037,$C$4:$C1036,$C1037),0)</f>
        <v>0</v>
      </c>
      <c r="AI1037" s="43">
        <f>IF(OR($C1037="",$I1037=""),0,IF(COUNTIFS($C$5:$C1037,$C1037,$I$5:$I1037,$I1037)=1,1,0))</f>
        <v>0</v>
      </c>
      <c r="AJ1037" s="43" t="str">
        <f>IF($AI1037=1,SUMIFS($AI$4:$AI1036,$C$4:$C1036,$C1037)+1,"")</f>
        <v/>
      </c>
      <c r="AK1037" s="43">
        <f>IF(OR($C1037="",$K1037=""),0,IF(COUNTIFS($C$5:$C1037,$C1037,$K$5:$K1037,$K1037)=1,1,0))</f>
        <v>0</v>
      </c>
      <c r="AL1037" s="43" t="str">
        <f>IF($AK1037=1,SUMIFS($AK$4:$AK1036,$C$4:$C1036,$C1037)+1,"")</f>
        <v/>
      </c>
      <c r="AM1037" s="43">
        <f>IF(OR($C1037="",$G1037=""),0,IF(COUNTIFS($C$5:$C1037,$C1037,$G$5:$G1037,$G1037)=1,1,0))</f>
        <v>0</v>
      </c>
      <c r="AN1037" s="43" t="str">
        <f>IF($AM1037=1,SUMIFS($AM$4:$AM1036,$C$4:$C1036,$C1037)+1,"")</f>
        <v/>
      </c>
    </row>
    <row r="1038">
      <c r="A1038" s="44" t="str">
        <f>IF(OR($B1038="",$D1038=""),"","TX"&amp;TEXT(ROW()-4,"0000"))</f>
        <v/>
      </c>
      <c r="B1038" s="42" t="n"/>
      <c r="C1038" s="47" t="str">
        <f>IF($B1038="","",YEAR($B1038)*100+MONTH($B1038))</f>
        <v/>
      </c>
      <c r="D1038" s="37" t="n"/>
      <c r="E1038" s="45" t="str">
        <f>IF($D1038="","",IFERROR(INDEX(CARDS!$B$5:$B$34,MATCH($D1038,CARDS!$A$5:$A$34,0)),"⚠ Card ID?"))</f>
        <v/>
      </c>
      <c r="F1038" s="45" t="str">
        <f>IF($D1038="","",IFERROR(INDEX(CARDS!$C$5:$C$34,MATCH($D1038,CARDS!$A$5:$A$34,0)),"⚠ Card ID?"))</f>
        <v/>
      </c>
      <c r="G1038" s="37" t="n"/>
      <c r="H1038" s="37" t="n"/>
      <c r="I1038" s="41" t="n"/>
      <c r="J1038" s="45" t="str">
        <f>IF($I1038="","",IFERROR(INDEX(MCC_MASTER!$B$5:$B$504,MATCH($I1038,MCC_MASTER!$A$5:$A$504,0)),"⚠ MCC chưa có"))</f>
        <v/>
      </c>
      <c r="K1038" s="45" t="str">
        <f>IF($I1038="","",IFERROR(IF(INDEX(MCC_MASTER!$C$5:$C$504,MATCH($I1038,MCC_MASTER!$A$5:$A$504,0))="","Chưa phân loại",INDEX(MCC_MASTER!$C$5:$C$504,MATCH($I1038,MCC_MASTER!$A$5:$A$504,0))),"Chưa phân loại"))</f>
        <v/>
      </c>
      <c r="L1038" s="40" t="n"/>
      <c r="M1038" s="48" t="str">
        <f>IF(OR($B1038="",$D1038=""),"",IF($AC1038=0,0,IF(ISNUMBER(INDEX(CASHBACK_RULES!$L$5:$L$304,$AC1038)),MAX(0,MIN($L1038,INDEX(CASHBACK_RULES!$L$5:$L$304,$AC1038)-$AH1038)),MAX(0,$L1038))))</f>
        <v/>
      </c>
      <c r="N1038" s="49" t="str">
        <f>IF(OR($B1038="",$D1038=""),"",IF($AC1038&gt;0,INDEX(CASHBACK_RULES!$I$5:$I$304,$AC1038),0))</f>
        <v/>
      </c>
      <c r="O1038" s="48" t="str">
        <f>IF(OR($B1038="",$D1038=""),"",ROUND($M1038*$N1038,0))</f>
        <v/>
      </c>
      <c r="P1038" s="48" t="str">
        <f>IF($AC1038&gt;0,IF(ISNUMBER(INDEX(CASHBACK_RULES!$J$5:$J$304,$AC1038)),INDEX(CASHBACK_RULES!$J$5:$J$304,$AC1038),"∞"),"")</f>
        <v/>
      </c>
      <c r="Q1038" s="48" t="str">
        <f>IF(OR($B1038="",$D1038=""),"",IF($AC1038=0,0,MAX(0,MIN($O1038,IF(ISNUMBER($P1038),$P1038-$AF1038,1E+15),IF(ISNUMBER($AA1038),$AA1038-$AG1038,1E+15)))))</f>
        <v/>
      </c>
      <c r="R1038" s="48" t="str">
        <f>IF(OR($B1038="",$D1038=""),"",IF($AC1038=0,"",IF(AND(NOT(ISNUMBER($P1038)),NOT(ISNUMBER($AA1038))),"∞",MAX(0,MIN(IF(ISNUMBER($P1038),$P1038-$AF1038-$Q1038,1E+15),IF(ISNUMBER($AA1038),$AA1038-$AG1038-$Q1038,1E+15))))))</f>
        <v/>
      </c>
      <c r="S1038" s="47" t="str">
        <f>IF($AD1038="","",YEAR($AD1038)*100+MONTH($AD1038))</f>
        <v/>
      </c>
      <c r="T1038" s="50" t="str">
        <f>IF($AD1038="","",IFERROR(IF(INDEX(CARDS!$I$5:$I$34,MATCH($D1038,CARDS!$A$5:$A$34,0))="","",IF(INDEX(CARDS!$I$5:$I$34,MATCH($D1038,CARDS!$A$5:$A$34,0))&gt;INDEX(CARDS!$H$5:$H$34,MATCH($D1038,CARDS!$A$5:$A$34,0)),DATE(YEAR($AD1038),MONTH($AD1038),MIN(INDEX(CARDS!$I$5:$I$34,MATCH($D1038,CARDS!$A$5:$A$34,0)),DAY(EOMONTH($AD1038,0)))),DATE(YEAR($AD1038),MONTH($AD1038)+1,MIN(INDEX(CARDS!$I$5:$I$34,MATCH($D1038,CARDS!$A$5:$A$34,0)),DAY(EOMONTH($AD1038,1)))))),""))</f>
        <v/>
      </c>
      <c r="U1038" s="38" t="n"/>
      <c r="V1038" s="37" t="n"/>
      <c r="W1038" s="38" t="n"/>
      <c r="X1038" s="38" t="n"/>
      <c r="Y1038" s="44" t="str">
        <f>IF($AC1038&gt;0,INDEX(CASHBACK_RULES!$A$5:$A$304,$AC1038),"")</f>
        <v/>
      </c>
      <c r="Z1038" s="45" t="str">
        <f>IF($AC1038&gt;0,INDEX(CASHBACK_RULES!$E$5:$E$304,$AC1038)&amp;"","")</f>
        <v/>
      </c>
      <c r="AA1038" s="48" t="str">
        <f>IF($AC1038&gt;0,IF(ISNUMBER(INDEX(CASHBACK_RULES!$K$5:$K$304,$AC1038)),INDEX(CASHBACK_RULES!$K$5:$K$304,$AC1038),"∞"),"")</f>
        <v/>
      </c>
      <c r="AB1038" s="44" t="str">
        <f>IF(OR($B1038="",$D1038=""),"",IF($U1038="Cancelled","Đã hủy",IF($AC1038=0,"Không được hoàn",IF($Q1038=0,IF(OR($O1038&gt;0,$M1038&lt;$L1038),"Đã đạt cap","Không được hoàn"),IF(OR($Q1038&lt;$O1038,$M1038&lt;$L1038),"Hoàn một phần","Được hoàn")))))</f>
        <v/>
      </c>
      <c r="AC1038" s="43">
        <f>IF(OR($B1038="",$D1038="",$I1038="",$L1038=""),0,IF($U1038="Cancelled",0,IF($W1038&lt;&gt;"",IFERROR(IF(INDEX(CASHBACK_RULES!$B$5:$B$304,MATCH($W1038,CASHBACK_RULES!$A$5:$A$304,0))=$D1038,MATCH($W1038,CASHBACK_RULES!$A$5:$A$304,0),0),0),IFERROR(MATCH(1,INDEX((CASHBACK_RULES!$B$5:$B$304=$D1038)*(CASHBACK_RULES!$G$5:$G$304=$I1038)*(((CASHBACK_RULES!$N$5:$N$304="")+(CASHBACK_RULES!$N$5:$N$304&lt;=$B1038))&gt;0)*(((CASHBACK_RULES!$O$5:$O$304="")+(CASHBACK_RULES!$O$5:$O$304&gt;=$B1038))&gt;0)*(((CASHBACK_RULES!$M$5:$M$304="")+(CASHBACK_RULES!$M$5:$M$304&lt;=$L1038))&gt;0),0),0),0))))</f>
        <v>0</v>
      </c>
      <c r="AD1038" s="51" t="str">
        <f>IF(OR($B1038="",$D1038=""),"",IFERROR(IF(INDEX(CARDS!$H$5:$H$34,MATCH($D1038,CARDS!$A$5:$A$34,0))="","",IF(DAY($B1038)&lt;=INDEX(CARDS!$H$5:$H$34,MATCH($D1038,CARDS!$A$5:$A$34,0)),DATE(YEAR($B1038),MONTH($B1038),MIN(INDEX(CARDS!$H$5:$H$34,MATCH($D1038,CARDS!$A$5:$A$34,0)),DAY(EOMONTH($B1038,0)))),DATE(YEAR($B1038),MONTH($B1038)+1,MIN(INDEX(CARDS!$H$5:$H$34,MATCH($D1038,CARDS!$A$5:$A$34,0)),DAY(EOMONTH($B1038,1)))))),""))</f>
        <v/>
      </c>
      <c r="AE1038" s="52" t="str">
        <f>IF($C1038="","",$C1038&amp;"|"&amp;COUNTIF($C$5:$C1038,$C1038))</f>
        <v/>
      </c>
      <c r="AF1038" s="53">
        <f>IF($AC1038&gt;0,SUMIFS(Q$4:Q1037,$D$4:$D1037,$D1038,$Z$4:$Z1037,$Z1038,$C$4:$C1037,$C1038),0)</f>
        <v>0</v>
      </c>
      <c r="AG1038" s="53">
        <f>IF($AC1038&gt;0,SUMIFS(Q$4:Q1037,$D$4:$D1037,$D1038,$C$4:$C1037,$C1038),0)</f>
        <v>0</v>
      </c>
      <c r="AH1038" s="53">
        <f>IF($AC1038&gt;0,SUMIFS(M$4:M1037,$D$4:$D1037,$D1038,$Z$4:$Z1037,$Z1038,$C$4:$C1037,$C1038),0)</f>
        <v>0</v>
      </c>
      <c r="AI1038" s="43">
        <f>IF(OR($C1038="",$I1038=""),0,IF(COUNTIFS($C$5:$C1038,$C1038,$I$5:$I1038,$I1038)=1,1,0))</f>
        <v>0</v>
      </c>
      <c r="AJ1038" s="43" t="str">
        <f>IF($AI1038=1,SUMIFS($AI$4:$AI1037,$C$4:$C1037,$C1038)+1,"")</f>
        <v/>
      </c>
      <c r="AK1038" s="43">
        <f>IF(OR($C1038="",$K1038=""),0,IF(COUNTIFS($C$5:$C1038,$C1038,$K$5:$K1038,$K1038)=1,1,0))</f>
        <v>0</v>
      </c>
      <c r="AL1038" s="43" t="str">
        <f>IF($AK1038=1,SUMIFS($AK$4:$AK1037,$C$4:$C1037,$C1038)+1,"")</f>
        <v/>
      </c>
      <c r="AM1038" s="43">
        <f>IF(OR($C1038="",$G1038=""),0,IF(COUNTIFS($C$5:$C1038,$C1038,$G$5:$G1038,$G1038)=1,1,0))</f>
        <v>0</v>
      </c>
      <c r="AN1038" s="43" t="str">
        <f>IF($AM1038=1,SUMIFS($AM$4:$AM1037,$C$4:$C1037,$C1038)+1,"")</f>
        <v/>
      </c>
    </row>
    <row r="1039">
      <c r="A1039" s="44" t="str">
        <f>IF(OR($B1039="",$D1039=""),"","TX"&amp;TEXT(ROW()-4,"0000"))</f>
        <v/>
      </c>
      <c r="B1039" s="42" t="n"/>
      <c r="C1039" s="47" t="str">
        <f>IF($B1039="","",YEAR($B1039)*100+MONTH($B1039))</f>
        <v/>
      </c>
      <c r="D1039" s="37" t="n"/>
      <c r="E1039" s="45" t="str">
        <f>IF($D1039="","",IFERROR(INDEX(CARDS!$B$5:$B$34,MATCH($D1039,CARDS!$A$5:$A$34,0)),"⚠ Card ID?"))</f>
        <v/>
      </c>
      <c r="F1039" s="45" t="str">
        <f>IF($D1039="","",IFERROR(INDEX(CARDS!$C$5:$C$34,MATCH($D1039,CARDS!$A$5:$A$34,0)),"⚠ Card ID?"))</f>
        <v/>
      </c>
      <c r="G1039" s="37" t="n"/>
      <c r="H1039" s="37" t="n"/>
      <c r="I1039" s="41" t="n"/>
      <c r="J1039" s="45" t="str">
        <f>IF($I1039="","",IFERROR(INDEX(MCC_MASTER!$B$5:$B$504,MATCH($I1039,MCC_MASTER!$A$5:$A$504,0)),"⚠ MCC chưa có"))</f>
        <v/>
      </c>
      <c r="K1039" s="45" t="str">
        <f>IF($I1039="","",IFERROR(IF(INDEX(MCC_MASTER!$C$5:$C$504,MATCH($I1039,MCC_MASTER!$A$5:$A$504,0))="","Chưa phân loại",INDEX(MCC_MASTER!$C$5:$C$504,MATCH($I1039,MCC_MASTER!$A$5:$A$504,0))),"Chưa phân loại"))</f>
        <v/>
      </c>
      <c r="L1039" s="40" t="n"/>
      <c r="M1039" s="48" t="str">
        <f>IF(OR($B1039="",$D1039=""),"",IF($AC1039=0,0,IF(ISNUMBER(INDEX(CASHBACK_RULES!$L$5:$L$304,$AC1039)),MAX(0,MIN($L1039,INDEX(CASHBACK_RULES!$L$5:$L$304,$AC1039)-$AH1039)),MAX(0,$L1039))))</f>
        <v/>
      </c>
      <c r="N1039" s="49" t="str">
        <f>IF(OR($B1039="",$D1039=""),"",IF($AC1039&gt;0,INDEX(CASHBACK_RULES!$I$5:$I$304,$AC1039),0))</f>
        <v/>
      </c>
      <c r="O1039" s="48" t="str">
        <f>IF(OR($B1039="",$D1039=""),"",ROUND($M1039*$N1039,0))</f>
        <v/>
      </c>
      <c r="P1039" s="48" t="str">
        <f>IF($AC1039&gt;0,IF(ISNUMBER(INDEX(CASHBACK_RULES!$J$5:$J$304,$AC1039)),INDEX(CASHBACK_RULES!$J$5:$J$304,$AC1039),"∞"),"")</f>
        <v/>
      </c>
      <c r="Q1039" s="48" t="str">
        <f>IF(OR($B1039="",$D1039=""),"",IF($AC1039=0,0,MAX(0,MIN($O1039,IF(ISNUMBER($P1039),$P1039-$AF1039,1E+15),IF(ISNUMBER($AA1039),$AA1039-$AG1039,1E+15)))))</f>
        <v/>
      </c>
      <c r="R1039" s="48" t="str">
        <f>IF(OR($B1039="",$D1039=""),"",IF($AC1039=0,"",IF(AND(NOT(ISNUMBER($P1039)),NOT(ISNUMBER($AA1039))),"∞",MAX(0,MIN(IF(ISNUMBER($P1039),$P1039-$AF1039-$Q1039,1E+15),IF(ISNUMBER($AA1039),$AA1039-$AG1039-$Q1039,1E+15))))))</f>
        <v/>
      </c>
      <c r="S1039" s="47" t="str">
        <f>IF($AD1039="","",YEAR($AD1039)*100+MONTH($AD1039))</f>
        <v/>
      </c>
      <c r="T1039" s="50" t="str">
        <f>IF($AD1039="","",IFERROR(IF(INDEX(CARDS!$I$5:$I$34,MATCH($D1039,CARDS!$A$5:$A$34,0))="","",IF(INDEX(CARDS!$I$5:$I$34,MATCH($D1039,CARDS!$A$5:$A$34,0))&gt;INDEX(CARDS!$H$5:$H$34,MATCH($D1039,CARDS!$A$5:$A$34,0)),DATE(YEAR($AD1039),MONTH($AD1039),MIN(INDEX(CARDS!$I$5:$I$34,MATCH($D1039,CARDS!$A$5:$A$34,0)),DAY(EOMONTH($AD1039,0)))),DATE(YEAR($AD1039),MONTH($AD1039)+1,MIN(INDEX(CARDS!$I$5:$I$34,MATCH($D1039,CARDS!$A$5:$A$34,0)),DAY(EOMONTH($AD1039,1)))))),""))</f>
        <v/>
      </c>
      <c r="U1039" s="38" t="n"/>
      <c r="V1039" s="37" t="n"/>
      <c r="W1039" s="38" t="n"/>
      <c r="X1039" s="38" t="n"/>
      <c r="Y1039" s="44" t="str">
        <f>IF($AC1039&gt;0,INDEX(CASHBACK_RULES!$A$5:$A$304,$AC1039),"")</f>
        <v/>
      </c>
      <c r="Z1039" s="45" t="str">
        <f>IF($AC1039&gt;0,INDEX(CASHBACK_RULES!$E$5:$E$304,$AC1039)&amp;"","")</f>
        <v/>
      </c>
      <c r="AA1039" s="48" t="str">
        <f>IF($AC1039&gt;0,IF(ISNUMBER(INDEX(CASHBACK_RULES!$K$5:$K$304,$AC1039)),INDEX(CASHBACK_RULES!$K$5:$K$304,$AC1039),"∞"),"")</f>
        <v/>
      </c>
      <c r="AB1039" s="44" t="str">
        <f>IF(OR($B1039="",$D1039=""),"",IF($U1039="Cancelled","Đã hủy",IF($AC1039=0,"Không được hoàn",IF($Q1039=0,IF(OR($O1039&gt;0,$M1039&lt;$L1039),"Đã đạt cap","Không được hoàn"),IF(OR($Q1039&lt;$O1039,$M1039&lt;$L1039),"Hoàn một phần","Được hoàn")))))</f>
        <v/>
      </c>
      <c r="AC1039" s="43">
        <f>IF(OR($B1039="",$D1039="",$I1039="",$L1039=""),0,IF($U1039="Cancelled",0,IF($W1039&lt;&gt;"",IFERROR(IF(INDEX(CASHBACK_RULES!$B$5:$B$304,MATCH($W1039,CASHBACK_RULES!$A$5:$A$304,0))=$D1039,MATCH($W1039,CASHBACK_RULES!$A$5:$A$304,0),0),0),IFERROR(MATCH(1,INDEX((CASHBACK_RULES!$B$5:$B$304=$D1039)*(CASHBACK_RULES!$G$5:$G$304=$I1039)*(((CASHBACK_RULES!$N$5:$N$304="")+(CASHBACK_RULES!$N$5:$N$304&lt;=$B1039))&gt;0)*(((CASHBACK_RULES!$O$5:$O$304="")+(CASHBACK_RULES!$O$5:$O$304&gt;=$B1039))&gt;0)*(((CASHBACK_RULES!$M$5:$M$304="")+(CASHBACK_RULES!$M$5:$M$304&lt;=$L1039))&gt;0),0),0),0))))</f>
        <v>0</v>
      </c>
      <c r="AD1039" s="51" t="str">
        <f>IF(OR($B1039="",$D1039=""),"",IFERROR(IF(INDEX(CARDS!$H$5:$H$34,MATCH($D1039,CARDS!$A$5:$A$34,0))="","",IF(DAY($B1039)&lt;=INDEX(CARDS!$H$5:$H$34,MATCH($D1039,CARDS!$A$5:$A$34,0)),DATE(YEAR($B1039),MONTH($B1039),MIN(INDEX(CARDS!$H$5:$H$34,MATCH($D1039,CARDS!$A$5:$A$34,0)),DAY(EOMONTH($B1039,0)))),DATE(YEAR($B1039),MONTH($B1039)+1,MIN(INDEX(CARDS!$H$5:$H$34,MATCH($D1039,CARDS!$A$5:$A$34,0)),DAY(EOMONTH($B1039,1)))))),""))</f>
        <v/>
      </c>
      <c r="AE1039" s="52" t="str">
        <f>IF($C1039="","",$C1039&amp;"|"&amp;COUNTIF($C$5:$C1039,$C1039))</f>
        <v/>
      </c>
      <c r="AF1039" s="53">
        <f>IF($AC1039&gt;0,SUMIFS(Q$4:Q1038,$D$4:$D1038,$D1039,$Z$4:$Z1038,$Z1039,$C$4:$C1038,$C1039),0)</f>
        <v>0</v>
      </c>
      <c r="AG1039" s="53">
        <f>IF($AC1039&gt;0,SUMIFS(Q$4:Q1038,$D$4:$D1038,$D1039,$C$4:$C1038,$C1039),0)</f>
        <v>0</v>
      </c>
      <c r="AH1039" s="53">
        <f>IF($AC1039&gt;0,SUMIFS(M$4:M1038,$D$4:$D1038,$D1039,$Z$4:$Z1038,$Z1039,$C$4:$C1038,$C1039),0)</f>
        <v>0</v>
      </c>
      <c r="AI1039" s="43">
        <f>IF(OR($C1039="",$I1039=""),0,IF(COUNTIFS($C$5:$C1039,$C1039,$I$5:$I1039,$I1039)=1,1,0))</f>
        <v>0</v>
      </c>
      <c r="AJ1039" s="43" t="str">
        <f>IF($AI1039=1,SUMIFS($AI$4:$AI1038,$C$4:$C1038,$C1039)+1,"")</f>
        <v/>
      </c>
      <c r="AK1039" s="43">
        <f>IF(OR($C1039="",$K1039=""),0,IF(COUNTIFS($C$5:$C1039,$C1039,$K$5:$K1039,$K1039)=1,1,0))</f>
        <v>0</v>
      </c>
      <c r="AL1039" s="43" t="str">
        <f>IF($AK1039=1,SUMIFS($AK$4:$AK1038,$C$4:$C1038,$C1039)+1,"")</f>
        <v/>
      </c>
      <c r="AM1039" s="43">
        <f>IF(OR($C1039="",$G1039=""),0,IF(COUNTIFS($C$5:$C1039,$C1039,$G$5:$G1039,$G1039)=1,1,0))</f>
        <v>0</v>
      </c>
      <c r="AN1039" s="43" t="str">
        <f>IF($AM1039=1,SUMIFS($AM$4:$AM1038,$C$4:$C1038,$C1039)+1,"")</f>
        <v/>
      </c>
    </row>
    <row r="1040">
      <c r="A1040" s="44" t="str">
        <f>IF(OR($B1040="",$D1040=""),"","TX"&amp;TEXT(ROW()-4,"0000"))</f>
        <v/>
      </c>
      <c r="B1040" s="42" t="n"/>
      <c r="C1040" s="47" t="str">
        <f>IF($B1040="","",YEAR($B1040)*100+MONTH($B1040))</f>
        <v/>
      </c>
      <c r="D1040" s="37" t="n"/>
      <c r="E1040" s="45" t="str">
        <f>IF($D1040="","",IFERROR(INDEX(CARDS!$B$5:$B$34,MATCH($D1040,CARDS!$A$5:$A$34,0)),"⚠ Card ID?"))</f>
        <v/>
      </c>
      <c r="F1040" s="45" t="str">
        <f>IF($D1040="","",IFERROR(INDEX(CARDS!$C$5:$C$34,MATCH($D1040,CARDS!$A$5:$A$34,0)),"⚠ Card ID?"))</f>
        <v/>
      </c>
      <c r="G1040" s="37" t="n"/>
      <c r="H1040" s="37" t="n"/>
      <c r="I1040" s="41" t="n"/>
      <c r="J1040" s="45" t="str">
        <f>IF($I1040="","",IFERROR(INDEX(MCC_MASTER!$B$5:$B$504,MATCH($I1040,MCC_MASTER!$A$5:$A$504,0)),"⚠ MCC chưa có"))</f>
        <v/>
      </c>
      <c r="K1040" s="45" t="str">
        <f>IF($I1040="","",IFERROR(IF(INDEX(MCC_MASTER!$C$5:$C$504,MATCH($I1040,MCC_MASTER!$A$5:$A$504,0))="","Chưa phân loại",INDEX(MCC_MASTER!$C$5:$C$504,MATCH($I1040,MCC_MASTER!$A$5:$A$504,0))),"Chưa phân loại"))</f>
        <v/>
      </c>
      <c r="L1040" s="40" t="n"/>
      <c r="M1040" s="48" t="str">
        <f>IF(OR($B1040="",$D1040=""),"",IF($AC1040=0,0,IF(ISNUMBER(INDEX(CASHBACK_RULES!$L$5:$L$304,$AC1040)),MAX(0,MIN($L1040,INDEX(CASHBACK_RULES!$L$5:$L$304,$AC1040)-$AH1040)),MAX(0,$L1040))))</f>
        <v/>
      </c>
      <c r="N1040" s="49" t="str">
        <f>IF(OR($B1040="",$D1040=""),"",IF($AC1040&gt;0,INDEX(CASHBACK_RULES!$I$5:$I$304,$AC1040),0))</f>
        <v/>
      </c>
      <c r="O1040" s="48" t="str">
        <f>IF(OR($B1040="",$D1040=""),"",ROUND($M1040*$N1040,0))</f>
        <v/>
      </c>
      <c r="P1040" s="48" t="str">
        <f>IF($AC1040&gt;0,IF(ISNUMBER(INDEX(CASHBACK_RULES!$J$5:$J$304,$AC1040)),INDEX(CASHBACK_RULES!$J$5:$J$304,$AC1040),"∞"),"")</f>
        <v/>
      </c>
      <c r="Q1040" s="48" t="str">
        <f>IF(OR($B1040="",$D1040=""),"",IF($AC1040=0,0,MAX(0,MIN($O1040,IF(ISNUMBER($P1040),$P1040-$AF1040,1E+15),IF(ISNUMBER($AA1040),$AA1040-$AG1040,1E+15)))))</f>
        <v/>
      </c>
      <c r="R1040" s="48" t="str">
        <f>IF(OR($B1040="",$D1040=""),"",IF($AC1040=0,"",IF(AND(NOT(ISNUMBER($P1040)),NOT(ISNUMBER($AA1040))),"∞",MAX(0,MIN(IF(ISNUMBER($P1040),$P1040-$AF1040-$Q1040,1E+15),IF(ISNUMBER($AA1040),$AA1040-$AG1040-$Q1040,1E+15))))))</f>
        <v/>
      </c>
      <c r="S1040" s="47" t="str">
        <f>IF($AD1040="","",YEAR($AD1040)*100+MONTH($AD1040))</f>
        <v/>
      </c>
      <c r="T1040" s="50" t="str">
        <f>IF($AD1040="","",IFERROR(IF(INDEX(CARDS!$I$5:$I$34,MATCH($D1040,CARDS!$A$5:$A$34,0))="","",IF(INDEX(CARDS!$I$5:$I$34,MATCH($D1040,CARDS!$A$5:$A$34,0))&gt;INDEX(CARDS!$H$5:$H$34,MATCH($D1040,CARDS!$A$5:$A$34,0)),DATE(YEAR($AD1040),MONTH($AD1040),MIN(INDEX(CARDS!$I$5:$I$34,MATCH($D1040,CARDS!$A$5:$A$34,0)),DAY(EOMONTH($AD1040,0)))),DATE(YEAR($AD1040),MONTH($AD1040)+1,MIN(INDEX(CARDS!$I$5:$I$34,MATCH($D1040,CARDS!$A$5:$A$34,0)),DAY(EOMONTH($AD1040,1)))))),""))</f>
        <v/>
      </c>
      <c r="U1040" s="38" t="n"/>
      <c r="V1040" s="37" t="n"/>
      <c r="W1040" s="38" t="n"/>
      <c r="X1040" s="38" t="n"/>
      <c r="Y1040" s="44" t="str">
        <f>IF($AC1040&gt;0,INDEX(CASHBACK_RULES!$A$5:$A$304,$AC1040),"")</f>
        <v/>
      </c>
      <c r="Z1040" s="45" t="str">
        <f>IF($AC1040&gt;0,INDEX(CASHBACK_RULES!$E$5:$E$304,$AC1040)&amp;"","")</f>
        <v/>
      </c>
      <c r="AA1040" s="48" t="str">
        <f>IF($AC1040&gt;0,IF(ISNUMBER(INDEX(CASHBACK_RULES!$K$5:$K$304,$AC1040)),INDEX(CASHBACK_RULES!$K$5:$K$304,$AC1040),"∞"),"")</f>
        <v/>
      </c>
      <c r="AB1040" s="44" t="str">
        <f>IF(OR($B1040="",$D1040=""),"",IF($U1040="Cancelled","Đã hủy",IF($AC1040=0,"Không được hoàn",IF($Q1040=0,IF(OR($O1040&gt;0,$M1040&lt;$L1040),"Đã đạt cap","Không được hoàn"),IF(OR($Q1040&lt;$O1040,$M1040&lt;$L1040),"Hoàn một phần","Được hoàn")))))</f>
        <v/>
      </c>
      <c r="AC1040" s="43">
        <f>IF(OR($B1040="",$D1040="",$I1040="",$L1040=""),0,IF($U1040="Cancelled",0,IF($W1040&lt;&gt;"",IFERROR(IF(INDEX(CASHBACK_RULES!$B$5:$B$304,MATCH($W1040,CASHBACK_RULES!$A$5:$A$304,0))=$D1040,MATCH($W1040,CASHBACK_RULES!$A$5:$A$304,0),0),0),IFERROR(MATCH(1,INDEX((CASHBACK_RULES!$B$5:$B$304=$D1040)*(CASHBACK_RULES!$G$5:$G$304=$I1040)*(((CASHBACK_RULES!$N$5:$N$304="")+(CASHBACK_RULES!$N$5:$N$304&lt;=$B1040))&gt;0)*(((CASHBACK_RULES!$O$5:$O$304="")+(CASHBACK_RULES!$O$5:$O$304&gt;=$B1040))&gt;0)*(((CASHBACK_RULES!$M$5:$M$304="")+(CASHBACK_RULES!$M$5:$M$304&lt;=$L1040))&gt;0),0),0),0))))</f>
        <v>0</v>
      </c>
      <c r="AD1040" s="51" t="str">
        <f>IF(OR($B1040="",$D1040=""),"",IFERROR(IF(INDEX(CARDS!$H$5:$H$34,MATCH($D1040,CARDS!$A$5:$A$34,0))="","",IF(DAY($B1040)&lt;=INDEX(CARDS!$H$5:$H$34,MATCH($D1040,CARDS!$A$5:$A$34,0)),DATE(YEAR($B1040),MONTH($B1040),MIN(INDEX(CARDS!$H$5:$H$34,MATCH($D1040,CARDS!$A$5:$A$34,0)),DAY(EOMONTH($B1040,0)))),DATE(YEAR($B1040),MONTH($B1040)+1,MIN(INDEX(CARDS!$H$5:$H$34,MATCH($D1040,CARDS!$A$5:$A$34,0)),DAY(EOMONTH($B1040,1)))))),""))</f>
        <v/>
      </c>
      <c r="AE1040" s="52" t="str">
        <f>IF($C1040="","",$C1040&amp;"|"&amp;COUNTIF($C$5:$C1040,$C1040))</f>
        <v/>
      </c>
      <c r="AF1040" s="53">
        <f>IF($AC1040&gt;0,SUMIFS(Q$4:Q1039,$D$4:$D1039,$D1040,$Z$4:$Z1039,$Z1040,$C$4:$C1039,$C1040),0)</f>
        <v>0</v>
      </c>
      <c r="AG1040" s="53">
        <f>IF($AC1040&gt;0,SUMIFS(Q$4:Q1039,$D$4:$D1039,$D1040,$C$4:$C1039,$C1040),0)</f>
        <v>0</v>
      </c>
      <c r="AH1040" s="53">
        <f>IF($AC1040&gt;0,SUMIFS(M$4:M1039,$D$4:$D1039,$D1040,$Z$4:$Z1039,$Z1040,$C$4:$C1039,$C1040),0)</f>
        <v>0</v>
      </c>
      <c r="AI1040" s="43">
        <f>IF(OR($C1040="",$I1040=""),0,IF(COUNTIFS($C$5:$C1040,$C1040,$I$5:$I1040,$I1040)=1,1,0))</f>
        <v>0</v>
      </c>
      <c r="AJ1040" s="43" t="str">
        <f>IF($AI1040=1,SUMIFS($AI$4:$AI1039,$C$4:$C1039,$C1040)+1,"")</f>
        <v/>
      </c>
      <c r="AK1040" s="43">
        <f>IF(OR($C1040="",$K1040=""),0,IF(COUNTIFS($C$5:$C1040,$C1040,$K$5:$K1040,$K1040)=1,1,0))</f>
        <v>0</v>
      </c>
      <c r="AL1040" s="43" t="str">
        <f>IF($AK1040=1,SUMIFS($AK$4:$AK1039,$C$4:$C1039,$C1040)+1,"")</f>
        <v/>
      </c>
      <c r="AM1040" s="43">
        <f>IF(OR($C1040="",$G1040=""),0,IF(COUNTIFS($C$5:$C1040,$C1040,$G$5:$G1040,$G1040)=1,1,0))</f>
        <v>0</v>
      </c>
      <c r="AN1040" s="43" t="str">
        <f>IF($AM1040=1,SUMIFS($AM$4:$AM1039,$C$4:$C1039,$C1040)+1,"")</f>
        <v/>
      </c>
    </row>
    <row r="1041">
      <c r="A1041" s="44" t="str">
        <f>IF(OR($B1041="",$D1041=""),"","TX"&amp;TEXT(ROW()-4,"0000"))</f>
        <v/>
      </c>
      <c r="B1041" s="42" t="n"/>
      <c r="C1041" s="47" t="str">
        <f>IF($B1041="","",YEAR($B1041)*100+MONTH($B1041))</f>
        <v/>
      </c>
      <c r="D1041" s="37" t="n"/>
      <c r="E1041" s="45" t="str">
        <f>IF($D1041="","",IFERROR(INDEX(CARDS!$B$5:$B$34,MATCH($D1041,CARDS!$A$5:$A$34,0)),"⚠ Card ID?"))</f>
        <v/>
      </c>
      <c r="F1041" s="45" t="str">
        <f>IF($D1041="","",IFERROR(INDEX(CARDS!$C$5:$C$34,MATCH($D1041,CARDS!$A$5:$A$34,0)),"⚠ Card ID?"))</f>
        <v/>
      </c>
      <c r="G1041" s="37" t="n"/>
      <c r="H1041" s="37" t="n"/>
      <c r="I1041" s="41" t="n"/>
      <c r="J1041" s="45" t="str">
        <f>IF($I1041="","",IFERROR(INDEX(MCC_MASTER!$B$5:$B$504,MATCH($I1041,MCC_MASTER!$A$5:$A$504,0)),"⚠ MCC chưa có"))</f>
        <v/>
      </c>
      <c r="K1041" s="45" t="str">
        <f>IF($I1041="","",IFERROR(IF(INDEX(MCC_MASTER!$C$5:$C$504,MATCH($I1041,MCC_MASTER!$A$5:$A$504,0))="","Chưa phân loại",INDEX(MCC_MASTER!$C$5:$C$504,MATCH($I1041,MCC_MASTER!$A$5:$A$504,0))),"Chưa phân loại"))</f>
        <v/>
      </c>
      <c r="L1041" s="40" t="n"/>
      <c r="M1041" s="48" t="str">
        <f>IF(OR($B1041="",$D1041=""),"",IF($AC1041=0,0,IF(ISNUMBER(INDEX(CASHBACK_RULES!$L$5:$L$304,$AC1041)),MAX(0,MIN($L1041,INDEX(CASHBACK_RULES!$L$5:$L$304,$AC1041)-$AH1041)),MAX(0,$L1041))))</f>
        <v/>
      </c>
      <c r="N1041" s="49" t="str">
        <f>IF(OR($B1041="",$D1041=""),"",IF($AC1041&gt;0,INDEX(CASHBACK_RULES!$I$5:$I$304,$AC1041),0))</f>
        <v/>
      </c>
      <c r="O1041" s="48" t="str">
        <f>IF(OR($B1041="",$D1041=""),"",ROUND($M1041*$N1041,0))</f>
        <v/>
      </c>
      <c r="P1041" s="48" t="str">
        <f>IF($AC1041&gt;0,IF(ISNUMBER(INDEX(CASHBACK_RULES!$J$5:$J$304,$AC1041)),INDEX(CASHBACK_RULES!$J$5:$J$304,$AC1041),"∞"),"")</f>
        <v/>
      </c>
      <c r="Q1041" s="48" t="str">
        <f>IF(OR($B1041="",$D1041=""),"",IF($AC1041=0,0,MAX(0,MIN($O1041,IF(ISNUMBER($P1041),$P1041-$AF1041,1E+15),IF(ISNUMBER($AA1041),$AA1041-$AG1041,1E+15)))))</f>
        <v/>
      </c>
      <c r="R1041" s="48" t="str">
        <f>IF(OR($B1041="",$D1041=""),"",IF($AC1041=0,"",IF(AND(NOT(ISNUMBER($P1041)),NOT(ISNUMBER($AA1041))),"∞",MAX(0,MIN(IF(ISNUMBER($P1041),$P1041-$AF1041-$Q1041,1E+15),IF(ISNUMBER($AA1041),$AA1041-$AG1041-$Q1041,1E+15))))))</f>
        <v/>
      </c>
      <c r="S1041" s="47" t="str">
        <f>IF($AD1041="","",YEAR($AD1041)*100+MONTH($AD1041))</f>
        <v/>
      </c>
      <c r="T1041" s="50" t="str">
        <f>IF($AD1041="","",IFERROR(IF(INDEX(CARDS!$I$5:$I$34,MATCH($D1041,CARDS!$A$5:$A$34,0))="","",IF(INDEX(CARDS!$I$5:$I$34,MATCH($D1041,CARDS!$A$5:$A$34,0))&gt;INDEX(CARDS!$H$5:$H$34,MATCH($D1041,CARDS!$A$5:$A$34,0)),DATE(YEAR($AD1041),MONTH($AD1041),MIN(INDEX(CARDS!$I$5:$I$34,MATCH($D1041,CARDS!$A$5:$A$34,0)),DAY(EOMONTH($AD1041,0)))),DATE(YEAR($AD1041),MONTH($AD1041)+1,MIN(INDEX(CARDS!$I$5:$I$34,MATCH($D1041,CARDS!$A$5:$A$34,0)),DAY(EOMONTH($AD1041,1)))))),""))</f>
        <v/>
      </c>
      <c r="U1041" s="38" t="n"/>
      <c r="V1041" s="37" t="n"/>
      <c r="W1041" s="38" t="n"/>
      <c r="X1041" s="38" t="n"/>
      <c r="Y1041" s="44" t="str">
        <f>IF($AC1041&gt;0,INDEX(CASHBACK_RULES!$A$5:$A$304,$AC1041),"")</f>
        <v/>
      </c>
      <c r="Z1041" s="45" t="str">
        <f>IF($AC1041&gt;0,INDEX(CASHBACK_RULES!$E$5:$E$304,$AC1041)&amp;"","")</f>
        <v/>
      </c>
      <c r="AA1041" s="48" t="str">
        <f>IF($AC1041&gt;0,IF(ISNUMBER(INDEX(CASHBACK_RULES!$K$5:$K$304,$AC1041)),INDEX(CASHBACK_RULES!$K$5:$K$304,$AC1041),"∞"),"")</f>
        <v/>
      </c>
      <c r="AB1041" s="44" t="str">
        <f>IF(OR($B1041="",$D1041=""),"",IF($U1041="Cancelled","Đã hủy",IF($AC1041=0,"Không được hoàn",IF($Q1041=0,IF(OR($O1041&gt;0,$M1041&lt;$L1041),"Đã đạt cap","Không được hoàn"),IF(OR($Q1041&lt;$O1041,$M1041&lt;$L1041),"Hoàn một phần","Được hoàn")))))</f>
        <v/>
      </c>
      <c r="AC1041" s="43">
        <f>IF(OR($B1041="",$D1041="",$I1041="",$L1041=""),0,IF($U1041="Cancelled",0,IF($W1041&lt;&gt;"",IFERROR(IF(INDEX(CASHBACK_RULES!$B$5:$B$304,MATCH($W1041,CASHBACK_RULES!$A$5:$A$304,0))=$D1041,MATCH($W1041,CASHBACK_RULES!$A$5:$A$304,0),0),0),IFERROR(MATCH(1,INDEX((CASHBACK_RULES!$B$5:$B$304=$D1041)*(CASHBACK_RULES!$G$5:$G$304=$I1041)*(((CASHBACK_RULES!$N$5:$N$304="")+(CASHBACK_RULES!$N$5:$N$304&lt;=$B1041))&gt;0)*(((CASHBACK_RULES!$O$5:$O$304="")+(CASHBACK_RULES!$O$5:$O$304&gt;=$B1041))&gt;0)*(((CASHBACK_RULES!$M$5:$M$304="")+(CASHBACK_RULES!$M$5:$M$304&lt;=$L1041))&gt;0),0),0),0))))</f>
        <v>0</v>
      </c>
      <c r="AD1041" s="51" t="str">
        <f>IF(OR($B1041="",$D1041=""),"",IFERROR(IF(INDEX(CARDS!$H$5:$H$34,MATCH($D1041,CARDS!$A$5:$A$34,0))="","",IF(DAY($B1041)&lt;=INDEX(CARDS!$H$5:$H$34,MATCH($D1041,CARDS!$A$5:$A$34,0)),DATE(YEAR($B1041),MONTH($B1041),MIN(INDEX(CARDS!$H$5:$H$34,MATCH($D1041,CARDS!$A$5:$A$34,0)),DAY(EOMONTH($B1041,0)))),DATE(YEAR($B1041),MONTH($B1041)+1,MIN(INDEX(CARDS!$H$5:$H$34,MATCH($D1041,CARDS!$A$5:$A$34,0)),DAY(EOMONTH($B1041,1)))))),""))</f>
        <v/>
      </c>
      <c r="AE1041" s="52" t="str">
        <f>IF($C1041="","",$C1041&amp;"|"&amp;COUNTIF($C$5:$C1041,$C1041))</f>
        <v/>
      </c>
      <c r="AF1041" s="53">
        <f>IF($AC1041&gt;0,SUMIFS(Q$4:Q1040,$D$4:$D1040,$D1041,$Z$4:$Z1040,$Z1041,$C$4:$C1040,$C1041),0)</f>
        <v>0</v>
      </c>
      <c r="AG1041" s="53">
        <f>IF($AC1041&gt;0,SUMIFS(Q$4:Q1040,$D$4:$D1040,$D1041,$C$4:$C1040,$C1041),0)</f>
        <v>0</v>
      </c>
      <c r="AH1041" s="53">
        <f>IF($AC1041&gt;0,SUMIFS(M$4:M1040,$D$4:$D1040,$D1041,$Z$4:$Z1040,$Z1041,$C$4:$C1040,$C1041),0)</f>
        <v>0</v>
      </c>
      <c r="AI1041" s="43">
        <f>IF(OR($C1041="",$I1041=""),0,IF(COUNTIFS($C$5:$C1041,$C1041,$I$5:$I1041,$I1041)=1,1,0))</f>
        <v>0</v>
      </c>
      <c r="AJ1041" s="43" t="str">
        <f>IF($AI1041=1,SUMIFS($AI$4:$AI1040,$C$4:$C1040,$C1041)+1,"")</f>
        <v/>
      </c>
      <c r="AK1041" s="43">
        <f>IF(OR($C1041="",$K1041=""),0,IF(COUNTIFS($C$5:$C1041,$C1041,$K$5:$K1041,$K1041)=1,1,0))</f>
        <v>0</v>
      </c>
      <c r="AL1041" s="43" t="str">
        <f>IF($AK1041=1,SUMIFS($AK$4:$AK1040,$C$4:$C1040,$C1041)+1,"")</f>
        <v/>
      </c>
      <c r="AM1041" s="43">
        <f>IF(OR($C1041="",$G1041=""),0,IF(COUNTIFS($C$5:$C1041,$C1041,$G$5:$G1041,$G1041)=1,1,0))</f>
        <v>0</v>
      </c>
      <c r="AN1041" s="43" t="str">
        <f>IF($AM1041=1,SUMIFS($AM$4:$AM1040,$C$4:$C1040,$C1041)+1,"")</f>
        <v/>
      </c>
    </row>
    <row r="1042">
      <c r="A1042" s="44" t="str">
        <f>IF(OR($B1042="",$D1042=""),"","TX"&amp;TEXT(ROW()-4,"0000"))</f>
        <v/>
      </c>
      <c r="B1042" s="42" t="n"/>
      <c r="C1042" s="47" t="str">
        <f>IF($B1042="","",YEAR($B1042)*100+MONTH($B1042))</f>
        <v/>
      </c>
      <c r="D1042" s="37" t="n"/>
      <c r="E1042" s="45" t="str">
        <f>IF($D1042="","",IFERROR(INDEX(CARDS!$B$5:$B$34,MATCH($D1042,CARDS!$A$5:$A$34,0)),"⚠ Card ID?"))</f>
        <v/>
      </c>
      <c r="F1042" s="45" t="str">
        <f>IF($D1042="","",IFERROR(INDEX(CARDS!$C$5:$C$34,MATCH($D1042,CARDS!$A$5:$A$34,0)),"⚠ Card ID?"))</f>
        <v/>
      </c>
      <c r="G1042" s="37" t="n"/>
      <c r="H1042" s="37" t="n"/>
      <c r="I1042" s="41" t="n"/>
      <c r="J1042" s="45" t="str">
        <f>IF($I1042="","",IFERROR(INDEX(MCC_MASTER!$B$5:$B$504,MATCH($I1042,MCC_MASTER!$A$5:$A$504,0)),"⚠ MCC chưa có"))</f>
        <v/>
      </c>
      <c r="K1042" s="45" t="str">
        <f>IF($I1042="","",IFERROR(IF(INDEX(MCC_MASTER!$C$5:$C$504,MATCH($I1042,MCC_MASTER!$A$5:$A$504,0))="","Chưa phân loại",INDEX(MCC_MASTER!$C$5:$C$504,MATCH($I1042,MCC_MASTER!$A$5:$A$504,0))),"Chưa phân loại"))</f>
        <v/>
      </c>
      <c r="L1042" s="40" t="n"/>
      <c r="M1042" s="48" t="str">
        <f>IF(OR($B1042="",$D1042=""),"",IF($AC1042=0,0,IF(ISNUMBER(INDEX(CASHBACK_RULES!$L$5:$L$304,$AC1042)),MAX(0,MIN($L1042,INDEX(CASHBACK_RULES!$L$5:$L$304,$AC1042)-$AH1042)),MAX(0,$L1042))))</f>
        <v/>
      </c>
      <c r="N1042" s="49" t="str">
        <f>IF(OR($B1042="",$D1042=""),"",IF($AC1042&gt;0,INDEX(CASHBACK_RULES!$I$5:$I$304,$AC1042),0))</f>
        <v/>
      </c>
      <c r="O1042" s="48" t="str">
        <f>IF(OR($B1042="",$D1042=""),"",ROUND($M1042*$N1042,0))</f>
        <v/>
      </c>
      <c r="P1042" s="48" t="str">
        <f>IF($AC1042&gt;0,IF(ISNUMBER(INDEX(CASHBACK_RULES!$J$5:$J$304,$AC1042)),INDEX(CASHBACK_RULES!$J$5:$J$304,$AC1042),"∞"),"")</f>
        <v/>
      </c>
      <c r="Q1042" s="48" t="str">
        <f>IF(OR($B1042="",$D1042=""),"",IF($AC1042=0,0,MAX(0,MIN($O1042,IF(ISNUMBER($P1042),$P1042-$AF1042,1E+15),IF(ISNUMBER($AA1042),$AA1042-$AG1042,1E+15)))))</f>
        <v/>
      </c>
      <c r="R1042" s="48" t="str">
        <f>IF(OR($B1042="",$D1042=""),"",IF($AC1042=0,"",IF(AND(NOT(ISNUMBER($P1042)),NOT(ISNUMBER($AA1042))),"∞",MAX(0,MIN(IF(ISNUMBER($P1042),$P1042-$AF1042-$Q1042,1E+15),IF(ISNUMBER($AA1042),$AA1042-$AG1042-$Q1042,1E+15))))))</f>
        <v/>
      </c>
      <c r="S1042" s="47" t="str">
        <f>IF($AD1042="","",YEAR($AD1042)*100+MONTH($AD1042))</f>
        <v/>
      </c>
      <c r="T1042" s="50" t="str">
        <f>IF($AD1042="","",IFERROR(IF(INDEX(CARDS!$I$5:$I$34,MATCH($D1042,CARDS!$A$5:$A$34,0))="","",IF(INDEX(CARDS!$I$5:$I$34,MATCH($D1042,CARDS!$A$5:$A$34,0))&gt;INDEX(CARDS!$H$5:$H$34,MATCH($D1042,CARDS!$A$5:$A$34,0)),DATE(YEAR($AD1042),MONTH($AD1042),MIN(INDEX(CARDS!$I$5:$I$34,MATCH($D1042,CARDS!$A$5:$A$34,0)),DAY(EOMONTH($AD1042,0)))),DATE(YEAR($AD1042),MONTH($AD1042)+1,MIN(INDEX(CARDS!$I$5:$I$34,MATCH($D1042,CARDS!$A$5:$A$34,0)),DAY(EOMONTH($AD1042,1)))))),""))</f>
        <v/>
      </c>
      <c r="U1042" s="38" t="n"/>
      <c r="V1042" s="37" t="n"/>
      <c r="W1042" s="38" t="n"/>
      <c r="X1042" s="38" t="n"/>
      <c r="Y1042" s="44" t="str">
        <f>IF($AC1042&gt;0,INDEX(CASHBACK_RULES!$A$5:$A$304,$AC1042),"")</f>
        <v/>
      </c>
      <c r="Z1042" s="45" t="str">
        <f>IF($AC1042&gt;0,INDEX(CASHBACK_RULES!$E$5:$E$304,$AC1042)&amp;"","")</f>
        <v/>
      </c>
      <c r="AA1042" s="48" t="str">
        <f>IF($AC1042&gt;0,IF(ISNUMBER(INDEX(CASHBACK_RULES!$K$5:$K$304,$AC1042)),INDEX(CASHBACK_RULES!$K$5:$K$304,$AC1042),"∞"),"")</f>
        <v/>
      </c>
      <c r="AB1042" s="44" t="str">
        <f>IF(OR($B1042="",$D1042=""),"",IF($U1042="Cancelled","Đã hủy",IF($AC1042=0,"Không được hoàn",IF($Q1042=0,IF(OR($O1042&gt;0,$M1042&lt;$L1042),"Đã đạt cap","Không được hoàn"),IF(OR($Q1042&lt;$O1042,$M1042&lt;$L1042),"Hoàn một phần","Được hoàn")))))</f>
        <v/>
      </c>
      <c r="AC1042" s="43">
        <f>IF(OR($B1042="",$D1042="",$I1042="",$L1042=""),0,IF($U1042="Cancelled",0,IF($W1042&lt;&gt;"",IFERROR(IF(INDEX(CASHBACK_RULES!$B$5:$B$304,MATCH($W1042,CASHBACK_RULES!$A$5:$A$304,0))=$D1042,MATCH($W1042,CASHBACK_RULES!$A$5:$A$304,0),0),0),IFERROR(MATCH(1,INDEX((CASHBACK_RULES!$B$5:$B$304=$D1042)*(CASHBACK_RULES!$G$5:$G$304=$I1042)*(((CASHBACK_RULES!$N$5:$N$304="")+(CASHBACK_RULES!$N$5:$N$304&lt;=$B1042))&gt;0)*(((CASHBACK_RULES!$O$5:$O$304="")+(CASHBACK_RULES!$O$5:$O$304&gt;=$B1042))&gt;0)*(((CASHBACK_RULES!$M$5:$M$304="")+(CASHBACK_RULES!$M$5:$M$304&lt;=$L1042))&gt;0),0),0),0))))</f>
        <v>0</v>
      </c>
      <c r="AD1042" s="51" t="str">
        <f>IF(OR($B1042="",$D1042=""),"",IFERROR(IF(INDEX(CARDS!$H$5:$H$34,MATCH($D1042,CARDS!$A$5:$A$34,0))="","",IF(DAY($B1042)&lt;=INDEX(CARDS!$H$5:$H$34,MATCH($D1042,CARDS!$A$5:$A$34,0)),DATE(YEAR($B1042),MONTH($B1042),MIN(INDEX(CARDS!$H$5:$H$34,MATCH($D1042,CARDS!$A$5:$A$34,0)),DAY(EOMONTH($B1042,0)))),DATE(YEAR($B1042),MONTH($B1042)+1,MIN(INDEX(CARDS!$H$5:$H$34,MATCH($D1042,CARDS!$A$5:$A$34,0)),DAY(EOMONTH($B1042,1)))))),""))</f>
        <v/>
      </c>
      <c r="AE1042" s="52" t="str">
        <f>IF($C1042="","",$C1042&amp;"|"&amp;COUNTIF($C$5:$C1042,$C1042))</f>
        <v/>
      </c>
      <c r="AF1042" s="53">
        <f>IF($AC1042&gt;0,SUMIFS(Q$4:Q1041,$D$4:$D1041,$D1042,$Z$4:$Z1041,$Z1042,$C$4:$C1041,$C1042),0)</f>
        <v>0</v>
      </c>
      <c r="AG1042" s="53">
        <f>IF($AC1042&gt;0,SUMIFS(Q$4:Q1041,$D$4:$D1041,$D1042,$C$4:$C1041,$C1042),0)</f>
        <v>0</v>
      </c>
      <c r="AH1042" s="53">
        <f>IF($AC1042&gt;0,SUMIFS(M$4:M1041,$D$4:$D1041,$D1042,$Z$4:$Z1041,$Z1042,$C$4:$C1041,$C1042),0)</f>
        <v>0</v>
      </c>
      <c r="AI1042" s="43">
        <f>IF(OR($C1042="",$I1042=""),0,IF(COUNTIFS($C$5:$C1042,$C1042,$I$5:$I1042,$I1042)=1,1,0))</f>
        <v>0</v>
      </c>
      <c r="AJ1042" s="43" t="str">
        <f>IF($AI1042=1,SUMIFS($AI$4:$AI1041,$C$4:$C1041,$C1042)+1,"")</f>
        <v/>
      </c>
      <c r="AK1042" s="43">
        <f>IF(OR($C1042="",$K1042=""),0,IF(COUNTIFS($C$5:$C1042,$C1042,$K$5:$K1042,$K1042)=1,1,0))</f>
        <v>0</v>
      </c>
      <c r="AL1042" s="43" t="str">
        <f>IF($AK1042=1,SUMIFS($AK$4:$AK1041,$C$4:$C1041,$C1042)+1,"")</f>
        <v/>
      </c>
      <c r="AM1042" s="43">
        <f>IF(OR($C1042="",$G1042=""),0,IF(COUNTIFS($C$5:$C1042,$C1042,$G$5:$G1042,$G1042)=1,1,0))</f>
        <v>0</v>
      </c>
      <c r="AN1042" s="43" t="str">
        <f>IF($AM1042=1,SUMIFS($AM$4:$AM1041,$C$4:$C1041,$C1042)+1,"")</f>
        <v/>
      </c>
    </row>
    <row r="1043">
      <c r="A1043" s="44" t="str">
        <f>IF(OR($B1043="",$D1043=""),"","TX"&amp;TEXT(ROW()-4,"0000"))</f>
        <v/>
      </c>
      <c r="B1043" s="42" t="n"/>
      <c r="C1043" s="47" t="str">
        <f>IF($B1043="","",YEAR($B1043)*100+MONTH($B1043))</f>
        <v/>
      </c>
      <c r="D1043" s="37" t="n"/>
      <c r="E1043" s="45" t="str">
        <f>IF($D1043="","",IFERROR(INDEX(CARDS!$B$5:$B$34,MATCH($D1043,CARDS!$A$5:$A$34,0)),"⚠ Card ID?"))</f>
        <v/>
      </c>
      <c r="F1043" s="45" t="str">
        <f>IF($D1043="","",IFERROR(INDEX(CARDS!$C$5:$C$34,MATCH($D1043,CARDS!$A$5:$A$34,0)),"⚠ Card ID?"))</f>
        <v/>
      </c>
      <c r="G1043" s="37" t="n"/>
      <c r="H1043" s="37" t="n"/>
      <c r="I1043" s="41" t="n"/>
      <c r="J1043" s="45" t="str">
        <f>IF($I1043="","",IFERROR(INDEX(MCC_MASTER!$B$5:$B$504,MATCH($I1043,MCC_MASTER!$A$5:$A$504,0)),"⚠ MCC chưa có"))</f>
        <v/>
      </c>
      <c r="K1043" s="45" t="str">
        <f>IF($I1043="","",IFERROR(IF(INDEX(MCC_MASTER!$C$5:$C$504,MATCH($I1043,MCC_MASTER!$A$5:$A$504,0))="","Chưa phân loại",INDEX(MCC_MASTER!$C$5:$C$504,MATCH($I1043,MCC_MASTER!$A$5:$A$504,0))),"Chưa phân loại"))</f>
        <v/>
      </c>
      <c r="L1043" s="40" t="n"/>
      <c r="M1043" s="48" t="str">
        <f>IF(OR($B1043="",$D1043=""),"",IF($AC1043=0,0,IF(ISNUMBER(INDEX(CASHBACK_RULES!$L$5:$L$304,$AC1043)),MAX(0,MIN($L1043,INDEX(CASHBACK_RULES!$L$5:$L$304,$AC1043)-$AH1043)),MAX(0,$L1043))))</f>
        <v/>
      </c>
      <c r="N1043" s="49" t="str">
        <f>IF(OR($B1043="",$D1043=""),"",IF($AC1043&gt;0,INDEX(CASHBACK_RULES!$I$5:$I$304,$AC1043),0))</f>
        <v/>
      </c>
      <c r="O1043" s="48" t="str">
        <f>IF(OR($B1043="",$D1043=""),"",ROUND($M1043*$N1043,0))</f>
        <v/>
      </c>
      <c r="P1043" s="48" t="str">
        <f>IF($AC1043&gt;0,IF(ISNUMBER(INDEX(CASHBACK_RULES!$J$5:$J$304,$AC1043)),INDEX(CASHBACK_RULES!$J$5:$J$304,$AC1043),"∞"),"")</f>
        <v/>
      </c>
      <c r="Q1043" s="48" t="str">
        <f>IF(OR($B1043="",$D1043=""),"",IF($AC1043=0,0,MAX(0,MIN($O1043,IF(ISNUMBER($P1043),$P1043-$AF1043,1E+15),IF(ISNUMBER($AA1043),$AA1043-$AG1043,1E+15)))))</f>
        <v/>
      </c>
      <c r="R1043" s="48" t="str">
        <f>IF(OR($B1043="",$D1043=""),"",IF($AC1043=0,"",IF(AND(NOT(ISNUMBER($P1043)),NOT(ISNUMBER($AA1043))),"∞",MAX(0,MIN(IF(ISNUMBER($P1043),$P1043-$AF1043-$Q1043,1E+15),IF(ISNUMBER($AA1043),$AA1043-$AG1043-$Q1043,1E+15))))))</f>
        <v/>
      </c>
      <c r="S1043" s="47" t="str">
        <f>IF($AD1043="","",YEAR($AD1043)*100+MONTH($AD1043))</f>
        <v/>
      </c>
      <c r="T1043" s="50" t="str">
        <f>IF($AD1043="","",IFERROR(IF(INDEX(CARDS!$I$5:$I$34,MATCH($D1043,CARDS!$A$5:$A$34,0))="","",IF(INDEX(CARDS!$I$5:$I$34,MATCH($D1043,CARDS!$A$5:$A$34,0))&gt;INDEX(CARDS!$H$5:$H$34,MATCH($D1043,CARDS!$A$5:$A$34,0)),DATE(YEAR($AD1043),MONTH($AD1043),MIN(INDEX(CARDS!$I$5:$I$34,MATCH($D1043,CARDS!$A$5:$A$34,0)),DAY(EOMONTH($AD1043,0)))),DATE(YEAR($AD1043),MONTH($AD1043)+1,MIN(INDEX(CARDS!$I$5:$I$34,MATCH($D1043,CARDS!$A$5:$A$34,0)),DAY(EOMONTH($AD1043,1)))))),""))</f>
        <v/>
      </c>
      <c r="U1043" s="38" t="n"/>
      <c r="V1043" s="37" t="n"/>
      <c r="W1043" s="38" t="n"/>
      <c r="X1043" s="38" t="n"/>
      <c r="Y1043" s="44" t="str">
        <f>IF($AC1043&gt;0,INDEX(CASHBACK_RULES!$A$5:$A$304,$AC1043),"")</f>
        <v/>
      </c>
      <c r="Z1043" s="45" t="str">
        <f>IF($AC1043&gt;0,INDEX(CASHBACK_RULES!$E$5:$E$304,$AC1043)&amp;"","")</f>
        <v/>
      </c>
      <c r="AA1043" s="48" t="str">
        <f>IF($AC1043&gt;0,IF(ISNUMBER(INDEX(CASHBACK_RULES!$K$5:$K$304,$AC1043)),INDEX(CASHBACK_RULES!$K$5:$K$304,$AC1043),"∞"),"")</f>
        <v/>
      </c>
      <c r="AB1043" s="44" t="str">
        <f>IF(OR($B1043="",$D1043=""),"",IF($U1043="Cancelled","Đã hủy",IF($AC1043=0,"Không được hoàn",IF($Q1043=0,IF(OR($O1043&gt;0,$M1043&lt;$L1043),"Đã đạt cap","Không được hoàn"),IF(OR($Q1043&lt;$O1043,$M1043&lt;$L1043),"Hoàn một phần","Được hoàn")))))</f>
        <v/>
      </c>
      <c r="AC1043" s="43">
        <f>IF(OR($B1043="",$D1043="",$I1043="",$L1043=""),0,IF($U1043="Cancelled",0,IF($W1043&lt;&gt;"",IFERROR(IF(INDEX(CASHBACK_RULES!$B$5:$B$304,MATCH($W1043,CASHBACK_RULES!$A$5:$A$304,0))=$D1043,MATCH($W1043,CASHBACK_RULES!$A$5:$A$304,0),0),0),IFERROR(MATCH(1,INDEX((CASHBACK_RULES!$B$5:$B$304=$D1043)*(CASHBACK_RULES!$G$5:$G$304=$I1043)*(((CASHBACK_RULES!$N$5:$N$304="")+(CASHBACK_RULES!$N$5:$N$304&lt;=$B1043))&gt;0)*(((CASHBACK_RULES!$O$5:$O$304="")+(CASHBACK_RULES!$O$5:$O$304&gt;=$B1043))&gt;0)*(((CASHBACK_RULES!$M$5:$M$304="")+(CASHBACK_RULES!$M$5:$M$304&lt;=$L1043))&gt;0),0),0),0))))</f>
        <v>0</v>
      </c>
      <c r="AD1043" s="51" t="str">
        <f>IF(OR($B1043="",$D1043=""),"",IFERROR(IF(INDEX(CARDS!$H$5:$H$34,MATCH($D1043,CARDS!$A$5:$A$34,0))="","",IF(DAY($B1043)&lt;=INDEX(CARDS!$H$5:$H$34,MATCH($D1043,CARDS!$A$5:$A$34,0)),DATE(YEAR($B1043),MONTH($B1043),MIN(INDEX(CARDS!$H$5:$H$34,MATCH($D1043,CARDS!$A$5:$A$34,0)),DAY(EOMONTH($B1043,0)))),DATE(YEAR($B1043),MONTH($B1043)+1,MIN(INDEX(CARDS!$H$5:$H$34,MATCH($D1043,CARDS!$A$5:$A$34,0)),DAY(EOMONTH($B1043,1)))))),""))</f>
        <v/>
      </c>
      <c r="AE1043" s="52" t="str">
        <f>IF($C1043="","",$C1043&amp;"|"&amp;COUNTIF($C$5:$C1043,$C1043))</f>
        <v/>
      </c>
      <c r="AF1043" s="53">
        <f>IF($AC1043&gt;0,SUMIFS(Q$4:Q1042,$D$4:$D1042,$D1043,$Z$4:$Z1042,$Z1043,$C$4:$C1042,$C1043),0)</f>
        <v>0</v>
      </c>
      <c r="AG1043" s="53">
        <f>IF($AC1043&gt;0,SUMIFS(Q$4:Q1042,$D$4:$D1042,$D1043,$C$4:$C1042,$C1043),0)</f>
        <v>0</v>
      </c>
      <c r="AH1043" s="53">
        <f>IF($AC1043&gt;0,SUMIFS(M$4:M1042,$D$4:$D1042,$D1043,$Z$4:$Z1042,$Z1043,$C$4:$C1042,$C1043),0)</f>
        <v>0</v>
      </c>
      <c r="AI1043" s="43">
        <f>IF(OR($C1043="",$I1043=""),0,IF(COUNTIFS($C$5:$C1043,$C1043,$I$5:$I1043,$I1043)=1,1,0))</f>
        <v>0</v>
      </c>
      <c r="AJ1043" s="43" t="str">
        <f>IF($AI1043=1,SUMIFS($AI$4:$AI1042,$C$4:$C1042,$C1043)+1,"")</f>
        <v/>
      </c>
      <c r="AK1043" s="43">
        <f>IF(OR($C1043="",$K1043=""),0,IF(COUNTIFS($C$5:$C1043,$C1043,$K$5:$K1043,$K1043)=1,1,0))</f>
        <v>0</v>
      </c>
      <c r="AL1043" s="43" t="str">
        <f>IF($AK1043=1,SUMIFS($AK$4:$AK1042,$C$4:$C1042,$C1043)+1,"")</f>
        <v/>
      </c>
      <c r="AM1043" s="43">
        <f>IF(OR($C1043="",$G1043=""),0,IF(COUNTIFS($C$5:$C1043,$C1043,$G$5:$G1043,$G1043)=1,1,0))</f>
        <v>0</v>
      </c>
      <c r="AN1043" s="43" t="str">
        <f>IF($AM1043=1,SUMIFS($AM$4:$AM1042,$C$4:$C1042,$C1043)+1,"")</f>
        <v/>
      </c>
    </row>
    <row r="1044">
      <c r="A1044" s="44" t="str">
        <f>IF(OR($B1044="",$D1044=""),"","TX"&amp;TEXT(ROW()-4,"0000"))</f>
        <v/>
      </c>
      <c r="B1044" s="42" t="n"/>
      <c r="C1044" s="47" t="str">
        <f>IF($B1044="","",YEAR($B1044)*100+MONTH($B1044))</f>
        <v/>
      </c>
      <c r="D1044" s="37" t="n"/>
      <c r="E1044" s="45" t="str">
        <f>IF($D1044="","",IFERROR(INDEX(CARDS!$B$5:$B$34,MATCH($D1044,CARDS!$A$5:$A$34,0)),"⚠ Card ID?"))</f>
        <v/>
      </c>
      <c r="F1044" s="45" t="str">
        <f>IF($D1044="","",IFERROR(INDEX(CARDS!$C$5:$C$34,MATCH($D1044,CARDS!$A$5:$A$34,0)),"⚠ Card ID?"))</f>
        <v/>
      </c>
      <c r="G1044" s="37" t="n"/>
      <c r="H1044" s="37" t="n"/>
      <c r="I1044" s="41" t="n"/>
      <c r="J1044" s="45" t="str">
        <f>IF($I1044="","",IFERROR(INDEX(MCC_MASTER!$B$5:$B$504,MATCH($I1044,MCC_MASTER!$A$5:$A$504,0)),"⚠ MCC chưa có"))</f>
        <v/>
      </c>
      <c r="K1044" s="45" t="str">
        <f>IF($I1044="","",IFERROR(IF(INDEX(MCC_MASTER!$C$5:$C$504,MATCH($I1044,MCC_MASTER!$A$5:$A$504,0))="","Chưa phân loại",INDEX(MCC_MASTER!$C$5:$C$504,MATCH($I1044,MCC_MASTER!$A$5:$A$504,0))),"Chưa phân loại"))</f>
        <v/>
      </c>
      <c r="L1044" s="40" t="n"/>
      <c r="M1044" s="48" t="str">
        <f>IF(OR($B1044="",$D1044=""),"",IF($AC1044=0,0,IF(ISNUMBER(INDEX(CASHBACK_RULES!$L$5:$L$304,$AC1044)),MAX(0,MIN($L1044,INDEX(CASHBACK_RULES!$L$5:$L$304,$AC1044)-$AH1044)),MAX(0,$L1044))))</f>
        <v/>
      </c>
      <c r="N1044" s="49" t="str">
        <f>IF(OR($B1044="",$D1044=""),"",IF($AC1044&gt;0,INDEX(CASHBACK_RULES!$I$5:$I$304,$AC1044),0))</f>
        <v/>
      </c>
      <c r="O1044" s="48" t="str">
        <f>IF(OR($B1044="",$D1044=""),"",ROUND($M1044*$N1044,0))</f>
        <v/>
      </c>
      <c r="P1044" s="48" t="str">
        <f>IF($AC1044&gt;0,IF(ISNUMBER(INDEX(CASHBACK_RULES!$J$5:$J$304,$AC1044)),INDEX(CASHBACK_RULES!$J$5:$J$304,$AC1044),"∞"),"")</f>
        <v/>
      </c>
      <c r="Q1044" s="48" t="str">
        <f>IF(OR($B1044="",$D1044=""),"",IF($AC1044=0,0,MAX(0,MIN($O1044,IF(ISNUMBER($P1044),$P1044-$AF1044,1E+15),IF(ISNUMBER($AA1044),$AA1044-$AG1044,1E+15)))))</f>
        <v/>
      </c>
      <c r="R1044" s="48" t="str">
        <f>IF(OR($B1044="",$D1044=""),"",IF($AC1044=0,"",IF(AND(NOT(ISNUMBER($P1044)),NOT(ISNUMBER($AA1044))),"∞",MAX(0,MIN(IF(ISNUMBER($P1044),$P1044-$AF1044-$Q1044,1E+15),IF(ISNUMBER($AA1044),$AA1044-$AG1044-$Q1044,1E+15))))))</f>
        <v/>
      </c>
      <c r="S1044" s="47" t="str">
        <f>IF($AD1044="","",YEAR($AD1044)*100+MONTH($AD1044))</f>
        <v/>
      </c>
      <c r="T1044" s="50" t="str">
        <f>IF($AD1044="","",IFERROR(IF(INDEX(CARDS!$I$5:$I$34,MATCH($D1044,CARDS!$A$5:$A$34,0))="","",IF(INDEX(CARDS!$I$5:$I$34,MATCH($D1044,CARDS!$A$5:$A$34,0))&gt;INDEX(CARDS!$H$5:$H$34,MATCH($D1044,CARDS!$A$5:$A$34,0)),DATE(YEAR($AD1044),MONTH($AD1044),MIN(INDEX(CARDS!$I$5:$I$34,MATCH($D1044,CARDS!$A$5:$A$34,0)),DAY(EOMONTH($AD1044,0)))),DATE(YEAR($AD1044),MONTH($AD1044)+1,MIN(INDEX(CARDS!$I$5:$I$34,MATCH($D1044,CARDS!$A$5:$A$34,0)),DAY(EOMONTH($AD1044,1)))))),""))</f>
        <v/>
      </c>
      <c r="U1044" s="38" t="n"/>
      <c r="V1044" s="37" t="n"/>
      <c r="W1044" s="38" t="n"/>
      <c r="X1044" s="38" t="n"/>
      <c r="Y1044" s="44" t="str">
        <f>IF($AC1044&gt;0,INDEX(CASHBACK_RULES!$A$5:$A$304,$AC1044),"")</f>
        <v/>
      </c>
      <c r="Z1044" s="45" t="str">
        <f>IF($AC1044&gt;0,INDEX(CASHBACK_RULES!$E$5:$E$304,$AC1044)&amp;"","")</f>
        <v/>
      </c>
      <c r="AA1044" s="48" t="str">
        <f>IF($AC1044&gt;0,IF(ISNUMBER(INDEX(CASHBACK_RULES!$K$5:$K$304,$AC1044)),INDEX(CASHBACK_RULES!$K$5:$K$304,$AC1044),"∞"),"")</f>
        <v/>
      </c>
      <c r="AB1044" s="44" t="str">
        <f>IF(OR($B1044="",$D1044=""),"",IF($U1044="Cancelled","Đã hủy",IF($AC1044=0,"Không được hoàn",IF($Q1044=0,IF(OR($O1044&gt;0,$M1044&lt;$L1044),"Đã đạt cap","Không được hoàn"),IF(OR($Q1044&lt;$O1044,$M1044&lt;$L1044),"Hoàn một phần","Được hoàn")))))</f>
        <v/>
      </c>
      <c r="AC1044" s="43">
        <f>IF(OR($B1044="",$D1044="",$I1044="",$L1044=""),0,IF($U1044="Cancelled",0,IF($W1044&lt;&gt;"",IFERROR(IF(INDEX(CASHBACK_RULES!$B$5:$B$304,MATCH($W1044,CASHBACK_RULES!$A$5:$A$304,0))=$D1044,MATCH($W1044,CASHBACK_RULES!$A$5:$A$304,0),0),0),IFERROR(MATCH(1,INDEX((CASHBACK_RULES!$B$5:$B$304=$D1044)*(CASHBACK_RULES!$G$5:$G$304=$I1044)*(((CASHBACK_RULES!$N$5:$N$304="")+(CASHBACK_RULES!$N$5:$N$304&lt;=$B1044))&gt;0)*(((CASHBACK_RULES!$O$5:$O$304="")+(CASHBACK_RULES!$O$5:$O$304&gt;=$B1044))&gt;0)*(((CASHBACK_RULES!$M$5:$M$304="")+(CASHBACK_RULES!$M$5:$M$304&lt;=$L1044))&gt;0),0),0),0))))</f>
        <v>0</v>
      </c>
      <c r="AD1044" s="51" t="str">
        <f>IF(OR($B1044="",$D1044=""),"",IFERROR(IF(INDEX(CARDS!$H$5:$H$34,MATCH($D1044,CARDS!$A$5:$A$34,0))="","",IF(DAY($B1044)&lt;=INDEX(CARDS!$H$5:$H$34,MATCH($D1044,CARDS!$A$5:$A$34,0)),DATE(YEAR($B1044),MONTH($B1044),MIN(INDEX(CARDS!$H$5:$H$34,MATCH($D1044,CARDS!$A$5:$A$34,0)),DAY(EOMONTH($B1044,0)))),DATE(YEAR($B1044),MONTH($B1044)+1,MIN(INDEX(CARDS!$H$5:$H$34,MATCH($D1044,CARDS!$A$5:$A$34,0)),DAY(EOMONTH($B1044,1)))))),""))</f>
        <v/>
      </c>
      <c r="AE1044" s="52" t="str">
        <f>IF($C1044="","",$C1044&amp;"|"&amp;COUNTIF($C$5:$C1044,$C1044))</f>
        <v/>
      </c>
      <c r="AF1044" s="53">
        <f>IF($AC1044&gt;0,SUMIFS(Q$4:Q1043,$D$4:$D1043,$D1044,$Z$4:$Z1043,$Z1044,$C$4:$C1043,$C1044),0)</f>
        <v>0</v>
      </c>
      <c r="AG1044" s="53">
        <f>IF($AC1044&gt;0,SUMIFS(Q$4:Q1043,$D$4:$D1043,$D1044,$C$4:$C1043,$C1044),0)</f>
        <v>0</v>
      </c>
      <c r="AH1044" s="53">
        <f>IF($AC1044&gt;0,SUMIFS(M$4:M1043,$D$4:$D1043,$D1044,$Z$4:$Z1043,$Z1044,$C$4:$C1043,$C1044),0)</f>
        <v>0</v>
      </c>
      <c r="AI1044" s="43">
        <f>IF(OR($C1044="",$I1044=""),0,IF(COUNTIFS($C$5:$C1044,$C1044,$I$5:$I1044,$I1044)=1,1,0))</f>
        <v>0</v>
      </c>
      <c r="AJ1044" s="43" t="str">
        <f>IF($AI1044=1,SUMIFS($AI$4:$AI1043,$C$4:$C1043,$C1044)+1,"")</f>
        <v/>
      </c>
      <c r="AK1044" s="43">
        <f>IF(OR($C1044="",$K1044=""),0,IF(COUNTIFS($C$5:$C1044,$C1044,$K$5:$K1044,$K1044)=1,1,0))</f>
        <v>0</v>
      </c>
      <c r="AL1044" s="43" t="str">
        <f>IF($AK1044=1,SUMIFS($AK$4:$AK1043,$C$4:$C1043,$C1044)+1,"")</f>
        <v/>
      </c>
      <c r="AM1044" s="43">
        <f>IF(OR($C1044="",$G1044=""),0,IF(COUNTIFS($C$5:$C1044,$C1044,$G$5:$G1044,$G1044)=1,1,0))</f>
        <v>0</v>
      </c>
      <c r="AN1044" s="43" t="str">
        <f>IF($AM1044=1,SUMIFS($AM$4:$AM1043,$C$4:$C1043,$C1044)+1,"")</f>
        <v/>
      </c>
    </row>
    <row r="1045">
      <c r="A1045" s="44" t="str">
        <f>IF(OR($B1045="",$D1045=""),"","TX"&amp;TEXT(ROW()-4,"0000"))</f>
        <v/>
      </c>
      <c r="B1045" s="42" t="n"/>
      <c r="C1045" s="47" t="str">
        <f>IF($B1045="","",YEAR($B1045)*100+MONTH($B1045))</f>
        <v/>
      </c>
      <c r="D1045" s="37" t="n"/>
      <c r="E1045" s="45" t="str">
        <f>IF($D1045="","",IFERROR(INDEX(CARDS!$B$5:$B$34,MATCH($D1045,CARDS!$A$5:$A$34,0)),"⚠ Card ID?"))</f>
        <v/>
      </c>
      <c r="F1045" s="45" t="str">
        <f>IF($D1045="","",IFERROR(INDEX(CARDS!$C$5:$C$34,MATCH($D1045,CARDS!$A$5:$A$34,0)),"⚠ Card ID?"))</f>
        <v/>
      </c>
      <c r="G1045" s="37" t="n"/>
      <c r="H1045" s="37" t="n"/>
      <c r="I1045" s="41" t="n"/>
      <c r="J1045" s="45" t="str">
        <f>IF($I1045="","",IFERROR(INDEX(MCC_MASTER!$B$5:$B$504,MATCH($I1045,MCC_MASTER!$A$5:$A$504,0)),"⚠ MCC chưa có"))</f>
        <v/>
      </c>
      <c r="K1045" s="45" t="str">
        <f>IF($I1045="","",IFERROR(IF(INDEX(MCC_MASTER!$C$5:$C$504,MATCH($I1045,MCC_MASTER!$A$5:$A$504,0))="","Chưa phân loại",INDEX(MCC_MASTER!$C$5:$C$504,MATCH($I1045,MCC_MASTER!$A$5:$A$504,0))),"Chưa phân loại"))</f>
        <v/>
      </c>
      <c r="L1045" s="40" t="n"/>
      <c r="M1045" s="48" t="str">
        <f>IF(OR($B1045="",$D1045=""),"",IF($AC1045=0,0,IF(ISNUMBER(INDEX(CASHBACK_RULES!$L$5:$L$304,$AC1045)),MAX(0,MIN($L1045,INDEX(CASHBACK_RULES!$L$5:$L$304,$AC1045)-$AH1045)),MAX(0,$L1045))))</f>
        <v/>
      </c>
      <c r="N1045" s="49" t="str">
        <f>IF(OR($B1045="",$D1045=""),"",IF($AC1045&gt;0,INDEX(CASHBACK_RULES!$I$5:$I$304,$AC1045),0))</f>
        <v/>
      </c>
      <c r="O1045" s="48" t="str">
        <f>IF(OR($B1045="",$D1045=""),"",ROUND($M1045*$N1045,0))</f>
        <v/>
      </c>
      <c r="P1045" s="48" t="str">
        <f>IF($AC1045&gt;0,IF(ISNUMBER(INDEX(CASHBACK_RULES!$J$5:$J$304,$AC1045)),INDEX(CASHBACK_RULES!$J$5:$J$304,$AC1045),"∞"),"")</f>
        <v/>
      </c>
      <c r="Q1045" s="48" t="str">
        <f>IF(OR($B1045="",$D1045=""),"",IF($AC1045=0,0,MAX(0,MIN($O1045,IF(ISNUMBER($P1045),$P1045-$AF1045,1E+15),IF(ISNUMBER($AA1045),$AA1045-$AG1045,1E+15)))))</f>
        <v/>
      </c>
      <c r="R1045" s="48" t="str">
        <f>IF(OR($B1045="",$D1045=""),"",IF($AC1045=0,"",IF(AND(NOT(ISNUMBER($P1045)),NOT(ISNUMBER($AA1045))),"∞",MAX(0,MIN(IF(ISNUMBER($P1045),$P1045-$AF1045-$Q1045,1E+15),IF(ISNUMBER($AA1045),$AA1045-$AG1045-$Q1045,1E+15))))))</f>
        <v/>
      </c>
      <c r="S1045" s="47" t="str">
        <f>IF($AD1045="","",YEAR($AD1045)*100+MONTH($AD1045))</f>
        <v/>
      </c>
      <c r="T1045" s="50" t="str">
        <f>IF($AD1045="","",IFERROR(IF(INDEX(CARDS!$I$5:$I$34,MATCH($D1045,CARDS!$A$5:$A$34,0))="","",IF(INDEX(CARDS!$I$5:$I$34,MATCH($D1045,CARDS!$A$5:$A$34,0))&gt;INDEX(CARDS!$H$5:$H$34,MATCH($D1045,CARDS!$A$5:$A$34,0)),DATE(YEAR($AD1045),MONTH($AD1045),MIN(INDEX(CARDS!$I$5:$I$34,MATCH($D1045,CARDS!$A$5:$A$34,0)),DAY(EOMONTH($AD1045,0)))),DATE(YEAR($AD1045),MONTH($AD1045)+1,MIN(INDEX(CARDS!$I$5:$I$34,MATCH($D1045,CARDS!$A$5:$A$34,0)),DAY(EOMONTH($AD1045,1)))))),""))</f>
        <v/>
      </c>
      <c r="U1045" s="38" t="n"/>
      <c r="V1045" s="37" t="n"/>
      <c r="W1045" s="38" t="n"/>
      <c r="X1045" s="38" t="n"/>
      <c r="Y1045" s="44" t="str">
        <f>IF($AC1045&gt;0,INDEX(CASHBACK_RULES!$A$5:$A$304,$AC1045),"")</f>
        <v/>
      </c>
      <c r="Z1045" s="45" t="str">
        <f>IF($AC1045&gt;0,INDEX(CASHBACK_RULES!$E$5:$E$304,$AC1045)&amp;"","")</f>
        <v/>
      </c>
      <c r="AA1045" s="48" t="str">
        <f>IF($AC1045&gt;0,IF(ISNUMBER(INDEX(CASHBACK_RULES!$K$5:$K$304,$AC1045)),INDEX(CASHBACK_RULES!$K$5:$K$304,$AC1045),"∞"),"")</f>
        <v/>
      </c>
      <c r="AB1045" s="44" t="str">
        <f>IF(OR($B1045="",$D1045=""),"",IF($U1045="Cancelled","Đã hủy",IF($AC1045=0,"Không được hoàn",IF($Q1045=0,IF(OR($O1045&gt;0,$M1045&lt;$L1045),"Đã đạt cap","Không được hoàn"),IF(OR($Q1045&lt;$O1045,$M1045&lt;$L1045),"Hoàn một phần","Được hoàn")))))</f>
        <v/>
      </c>
      <c r="AC1045" s="43">
        <f>IF(OR($B1045="",$D1045="",$I1045="",$L1045=""),0,IF($U1045="Cancelled",0,IF($W1045&lt;&gt;"",IFERROR(IF(INDEX(CASHBACK_RULES!$B$5:$B$304,MATCH($W1045,CASHBACK_RULES!$A$5:$A$304,0))=$D1045,MATCH($W1045,CASHBACK_RULES!$A$5:$A$304,0),0),0),IFERROR(MATCH(1,INDEX((CASHBACK_RULES!$B$5:$B$304=$D1045)*(CASHBACK_RULES!$G$5:$G$304=$I1045)*(((CASHBACK_RULES!$N$5:$N$304="")+(CASHBACK_RULES!$N$5:$N$304&lt;=$B1045))&gt;0)*(((CASHBACK_RULES!$O$5:$O$304="")+(CASHBACK_RULES!$O$5:$O$304&gt;=$B1045))&gt;0)*(((CASHBACK_RULES!$M$5:$M$304="")+(CASHBACK_RULES!$M$5:$M$304&lt;=$L1045))&gt;0),0),0),0))))</f>
        <v>0</v>
      </c>
      <c r="AD1045" s="51" t="str">
        <f>IF(OR($B1045="",$D1045=""),"",IFERROR(IF(INDEX(CARDS!$H$5:$H$34,MATCH($D1045,CARDS!$A$5:$A$34,0))="","",IF(DAY($B1045)&lt;=INDEX(CARDS!$H$5:$H$34,MATCH($D1045,CARDS!$A$5:$A$34,0)),DATE(YEAR($B1045),MONTH($B1045),MIN(INDEX(CARDS!$H$5:$H$34,MATCH($D1045,CARDS!$A$5:$A$34,0)),DAY(EOMONTH($B1045,0)))),DATE(YEAR($B1045),MONTH($B1045)+1,MIN(INDEX(CARDS!$H$5:$H$34,MATCH($D1045,CARDS!$A$5:$A$34,0)),DAY(EOMONTH($B1045,1)))))),""))</f>
        <v/>
      </c>
      <c r="AE1045" s="52" t="str">
        <f>IF($C1045="","",$C1045&amp;"|"&amp;COUNTIF($C$5:$C1045,$C1045))</f>
        <v/>
      </c>
      <c r="AF1045" s="53">
        <f>IF($AC1045&gt;0,SUMIFS(Q$4:Q1044,$D$4:$D1044,$D1045,$Z$4:$Z1044,$Z1045,$C$4:$C1044,$C1045),0)</f>
        <v>0</v>
      </c>
      <c r="AG1045" s="53">
        <f>IF($AC1045&gt;0,SUMIFS(Q$4:Q1044,$D$4:$D1044,$D1045,$C$4:$C1044,$C1045),0)</f>
        <v>0</v>
      </c>
      <c r="AH1045" s="53">
        <f>IF($AC1045&gt;0,SUMIFS(M$4:M1044,$D$4:$D1044,$D1045,$Z$4:$Z1044,$Z1045,$C$4:$C1044,$C1045),0)</f>
        <v>0</v>
      </c>
      <c r="AI1045" s="43">
        <f>IF(OR($C1045="",$I1045=""),0,IF(COUNTIFS($C$5:$C1045,$C1045,$I$5:$I1045,$I1045)=1,1,0))</f>
        <v>0</v>
      </c>
      <c r="AJ1045" s="43" t="str">
        <f>IF($AI1045=1,SUMIFS($AI$4:$AI1044,$C$4:$C1044,$C1045)+1,"")</f>
        <v/>
      </c>
      <c r="AK1045" s="43">
        <f>IF(OR($C1045="",$K1045=""),0,IF(COUNTIFS($C$5:$C1045,$C1045,$K$5:$K1045,$K1045)=1,1,0))</f>
        <v>0</v>
      </c>
      <c r="AL1045" s="43" t="str">
        <f>IF($AK1045=1,SUMIFS($AK$4:$AK1044,$C$4:$C1044,$C1045)+1,"")</f>
        <v/>
      </c>
      <c r="AM1045" s="43">
        <f>IF(OR($C1045="",$G1045=""),0,IF(COUNTIFS($C$5:$C1045,$C1045,$G$5:$G1045,$G1045)=1,1,0))</f>
        <v>0</v>
      </c>
      <c r="AN1045" s="43" t="str">
        <f>IF($AM1045=1,SUMIFS($AM$4:$AM1044,$C$4:$C1044,$C1045)+1,"")</f>
        <v/>
      </c>
    </row>
    <row r="1046">
      <c r="A1046" s="44" t="str">
        <f>IF(OR($B1046="",$D1046=""),"","TX"&amp;TEXT(ROW()-4,"0000"))</f>
        <v/>
      </c>
      <c r="B1046" s="42" t="n"/>
      <c r="C1046" s="47" t="str">
        <f>IF($B1046="","",YEAR($B1046)*100+MONTH($B1046))</f>
        <v/>
      </c>
      <c r="D1046" s="37" t="n"/>
      <c r="E1046" s="45" t="str">
        <f>IF($D1046="","",IFERROR(INDEX(CARDS!$B$5:$B$34,MATCH($D1046,CARDS!$A$5:$A$34,0)),"⚠ Card ID?"))</f>
        <v/>
      </c>
      <c r="F1046" s="45" t="str">
        <f>IF($D1046="","",IFERROR(INDEX(CARDS!$C$5:$C$34,MATCH($D1046,CARDS!$A$5:$A$34,0)),"⚠ Card ID?"))</f>
        <v/>
      </c>
      <c r="G1046" s="37" t="n"/>
      <c r="H1046" s="37" t="n"/>
      <c r="I1046" s="41" t="n"/>
      <c r="J1046" s="45" t="str">
        <f>IF($I1046="","",IFERROR(INDEX(MCC_MASTER!$B$5:$B$504,MATCH($I1046,MCC_MASTER!$A$5:$A$504,0)),"⚠ MCC chưa có"))</f>
        <v/>
      </c>
      <c r="K1046" s="45" t="str">
        <f>IF($I1046="","",IFERROR(IF(INDEX(MCC_MASTER!$C$5:$C$504,MATCH($I1046,MCC_MASTER!$A$5:$A$504,0))="","Chưa phân loại",INDEX(MCC_MASTER!$C$5:$C$504,MATCH($I1046,MCC_MASTER!$A$5:$A$504,0))),"Chưa phân loại"))</f>
        <v/>
      </c>
      <c r="L1046" s="40" t="n"/>
      <c r="M1046" s="48" t="str">
        <f>IF(OR($B1046="",$D1046=""),"",IF($AC1046=0,0,IF(ISNUMBER(INDEX(CASHBACK_RULES!$L$5:$L$304,$AC1046)),MAX(0,MIN($L1046,INDEX(CASHBACK_RULES!$L$5:$L$304,$AC1046)-$AH1046)),MAX(0,$L1046))))</f>
        <v/>
      </c>
      <c r="N1046" s="49" t="str">
        <f>IF(OR($B1046="",$D1046=""),"",IF($AC1046&gt;0,INDEX(CASHBACK_RULES!$I$5:$I$304,$AC1046),0))</f>
        <v/>
      </c>
      <c r="O1046" s="48" t="str">
        <f>IF(OR($B1046="",$D1046=""),"",ROUND($M1046*$N1046,0))</f>
        <v/>
      </c>
      <c r="P1046" s="48" t="str">
        <f>IF($AC1046&gt;0,IF(ISNUMBER(INDEX(CASHBACK_RULES!$J$5:$J$304,$AC1046)),INDEX(CASHBACK_RULES!$J$5:$J$304,$AC1046),"∞"),"")</f>
        <v/>
      </c>
      <c r="Q1046" s="48" t="str">
        <f>IF(OR($B1046="",$D1046=""),"",IF($AC1046=0,0,MAX(0,MIN($O1046,IF(ISNUMBER($P1046),$P1046-$AF1046,1E+15),IF(ISNUMBER($AA1046),$AA1046-$AG1046,1E+15)))))</f>
        <v/>
      </c>
      <c r="R1046" s="48" t="str">
        <f>IF(OR($B1046="",$D1046=""),"",IF($AC1046=0,"",IF(AND(NOT(ISNUMBER($P1046)),NOT(ISNUMBER($AA1046))),"∞",MAX(0,MIN(IF(ISNUMBER($P1046),$P1046-$AF1046-$Q1046,1E+15),IF(ISNUMBER($AA1046),$AA1046-$AG1046-$Q1046,1E+15))))))</f>
        <v/>
      </c>
      <c r="S1046" s="47" t="str">
        <f>IF($AD1046="","",YEAR($AD1046)*100+MONTH($AD1046))</f>
        <v/>
      </c>
      <c r="T1046" s="50" t="str">
        <f>IF($AD1046="","",IFERROR(IF(INDEX(CARDS!$I$5:$I$34,MATCH($D1046,CARDS!$A$5:$A$34,0))="","",IF(INDEX(CARDS!$I$5:$I$34,MATCH($D1046,CARDS!$A$5:$A$34,0))&gt;INDEX(CARDS!$H$5:$H$34,MATCH($D1046,CARDS!$A$5:$A$34,0)),DATE(YEAR($AD1046),MONTH($AD1046),MIN(INDEX(CARDS!$I$5:$I$34,MATCH($D1046,CARDS!$A$5:$A$34,0)),DAY(EOMONTH($AD1046,0)))),DATE(YEAR($AD1046),MONTH($AD1046)+1,MIN(INDEX(CARDS!$I$5:$I$34,MATCH($D1046,CARDS!$A$5:$A$34,0)),DAY(EOMONTH($AD1046,1)))))),""))</f>
        <v/>
      </c>
      <c r="U1046" s="38" t="n"/>
      <c r="V1046" s="37" t="n"/>
      <c r="W1046" s="38" t="n"/>
      <c r="X1046" s="38" t="n"/>
      <c r="Y1046" s="44" t="str">
        <f>IF($AC1046&gt;0,INDEX(CASHBACK_RULES!$A$5:$A$304,$AC1046),"")</f>
        <v/>
      </c>
      <c r="Z1046" s="45" t="str">
        <f>IF($AC1046&gt;0,INDEX(CASHBACK_RULES!$E$5:$E$304,$AC1046)&amp;"","")</f>
        <v/>
      </c>
      <c r="AA1046" s="48" t="str">
        <f>IF($AC1046&gt;0,IF(ISNUMBER(INDEX(CASHBACK_RULES!$K$5:$K$304,$AC1046)),INDEX(CASHBACK_RULES!$K$5:$K$304,$AC1046),"∞"),"")</f>
        <v/>
      </c>
      <c r="AB1046" s="44" t="str">
        <f>IF(OR($B1046="",$D1046=""),"",IF($U1046="Cancelled","Đã hủy",IF($AC1046=0,"Không được hoàn",IF($Q1046=0,IF(OR($O1046&gt;0,$M1046&lt;$L1046),"Đã đạt cap","Không được hoàn"),IF(OR($Q1046&lt;$O1046,$M1046&lt;$L1046),"Hoàn một phần","Được hoàn")))))</f>
        <v/>
      </c>
      <c r="AC1046" s="43">
        <f>IF(OR($B1046="",$D1046="",$I1046="",$L1046=""),0,IF($U1046="Cancelled",0,IF($W1046&lt;&gt;"",IFERROR(IF(INDEX(CASHBACK_RULES!$B$5:$B$304,MATCH($W1046,CASHBACK_RULES!$A$5:$A$304,0))=$D1046,MATCH($W1046,CASHBACK_RULES!$A$5:$A$304,0),0),0),IFERROR(MATCH(1,INDEX((CASHBACK_RULES!$B$5:$B$304=$D1046)*(CASHBACK_RULES!$G$5:$G$304=$I1046)*(((CASHBACK_RULES!$N$5:$N$304="")+(CASHBACK_RULES!$N$5:$N$304&lt;=$B1046))&gt;0)*(((CASHBACK_RULES!$O$5:$O$304="")+(CASHBACK_RULES!$O$5:$O$304&gt;=$B1046))&gt;0)*(((CASHBACK_RULES!$M$5:$M$304="")+(CASHBACK_RULES!$M$5:$M$304&lt;=$L1046))&gt;0),0),0),0))))</f>
        <v>0</v>
      </c>
      <c r="AD1046" s="51" t="str">
        <f>IF(OR($B1046="",$D1046=""),"",IFERROR(IF(INDEX(CARDS!$H$5:$H$34,MATCH($D1046,CARDS!$A$5:$A$34,0))="","",IF(DAY($B1046)&lt;=INDEX(CARDS!$H$5:$H$34,MATCH($D1046,CARDS!$A$5:$A$34,0)),DATE(YEAR($B1046),MONTH($B1046),MIN(INDEX(CARDS!$H$5:$H$34,MATCH($D1046,CARDS!$A$5:$A$34,0)),DAY(EOMONTH($B1046,0)))),DATE(YEAR($B1046),MONTH($B1046)+1,MIN(INDEX(CARDS!$H$5:$H$34,MATCH($D1046,CARDS!$A$5:$A$34,0)),DAY(EOMONTH($B1046,1)))))),""))</f>
        <v/>
      </c>
      <c r="AE1046" s="52" t="str">
        <f>IF($C1046="","",$C1046&amp;"|"&amp;COUNTIF($C$5:$C1046,$C1046))</f>
        <v/>
      </c>
      <c r="AF1046" s="53">
        <f>IF($AC1046&gt;0,SUMIFS(Q$4:Q1045,$D$4:$D1045,$D1046,$Z$4:$Z1045,$Z1046,$C$4:$C1045,$C1046),0)</f>
        <v>0</v>
      </c>
      <c r="AG1046" s="53">
        <f>IF($AC1046&gt;0,SUMIFS(Q$4:Q1045,$D$4:$D1045,$D1046,$C$4:$C1045,$C1046),0)</f>
        <v>0</v>
      </c>
      <c r="AH1046" s="53">
        <f>IF($AC1046&gt;0,SUMIFS(M$4:M1045,$D$4:$D1045,$D1046,$Z$4:$Z1045,$Z1046,$C$4:$C1045,$C1046),0)</f>
        <v>0</v>
      </c>
      <c r="AI1046" s="43">
        <f>IF(OR($C1046="",$I1046=""),0,IF(COUNTIFS($C$5:$C1046,$C1046,$I$5:$I1046,$I1046)=1,1,0))</f>
        <v>0</v>
      </c>
      <c r="AJ1046" s="43" t="str">
        <f>IF($AI1046=1,SUMIFS($AI$4:$AI1045,$C$4:$C1045,$C1046)+1,"")</f>
        <v/>
      </c>
      <c r="AK1046" s="43">
        <f>IF(OR($C1046="",$K1046=""),0,IF(COUNTIFS($C$5:$C1046,$C1046,$K$5:$K1046,$K1046)=1,1,0))</f>
        <v>0</v>
      </c>
      <c r="AL1046" s="43" t="str">
        <f>IF($AK1046=1,SUMIFS($AK$4:$AK1045,$C$4:$C1045,$C1046)+1,"")</f>
        <v/>
      </c>
      <c r="AM1046" s="43">
        <f>IF(OR($C1046="",$G1046=""),0,IF(COUNTIFS($C$5:$C1046,$C1046,$G$5:$G1046,$G1046)=1,1,0))</f>
        <v>0</v>
      </c>
      <c r="AN1046" s="43" t="str">
        <f>IF($AM1046=1,SUMIFS($AM$4:$AM1045,$C$4:$C1045,$C1046)+1,"")</f>
        <v/>
      </c>
    </row>
    <row r="1047">
      <c r="A1047" s="44" t="str">
        <f>IF(OR($B1047="",$D1047=""),"","TX"&amp;TEXT(ROW()-4,"0000"))</f>
        <v/>
      </c>
      <c r="B1047" s="42" t="n"/>
      <c r="C1047" s="47" t="str">
        <f>IF($B1047="","",YEAR($B1047)*100+MONTH($B1047))</f>
        <v/>
      </c>
      <c r="D1047" s="37" t="n"/>
      <c r="E1047" s="45" t="str">
        <f>IF($D1047="","",IFERROR(INDEX(CARDS!$B$5:$B$34,MATCH($D1047,CARDS!$A$5:$A$34,0)),"⚠ Card ID?"))</f>
        <v/>
      </c>
      <c r="F1047" s="45" t="str">
        <f>IF($D1047="","",IFERROR(INDEX(CARDS!$C$5:$C$34,MATCH($D1047,CARDS!$A$5:$A$34,0)),"⚠ Card ID?"))</f>
        <v/>
      </c>
      <c r="G1047" s="37" t="n"/>
      <c r="H1047" s="37" t="n"/>
      <c r="I1047" s="41" t="n"/>
      <c r="J1047" s="45" t="str">
        <f>IF($I1047="","",IFERROR(INDEX(MCC_MASTER!$B$5:$B$504,MATCH($I1047,MCC_MASTER!$A$5:$A$504,0)),"⚠ MCC chưa có"))</f>
        <v/>
      </c>
      <c r="K1047" s="45" t="str">
        <f>IF($I1047="","",IFERROR(IF(INDEX(MCC_MASTER!$C$5:$C$504,MATCH($I1047,MCC_MASTER!$A$5:$A$504,0))="","Chưa phân loại",INDEX(MCC_MASTER!$C$5:$C$504,MATCH($I1047,MCC_MASTER!$A$5:$A$504,0))),"Chưa phân loại"))</f>
        <v/>
      </c>
      <c r="L1047" s="40" t="n"/>
      <c r="M1047" s="48" t="str">
        <f>IF(OR($B1047="",$D1047=""),"",IF($AC1047=0,0,IF(ISNUMBER(INDEX(CASHBACK_RULES!$L$5:$L$304,$AC1047)),MAX(0,MIN($L1047,INDEX(CASHBACK_RULES!$L$5:$L$304,$AC1047)-$AH1047)),MAX(0,$L1047))))</f>
        <v/>
      </c>
      <c r="N1047" s="49" t="str">
        <f>IF(OR($B1047="",$D1047=""),"",IF($AC1047&gt;0,INDEX(CASHBACK_RULES!$I$5:$I$304,$AC1047),0))</f>
        <v/>
      </c>
      <c r="O1047" s="48" t="str">
        <f>IF(OR($B1047="",$D1047=""),"",ROUND($M1047*$N1047,0))</f>
        <v/>
      </c>
      <c r="P1047" s="48" t="str">
        <f>IF($AC1047&gt;0,IF(ISNUMBER(INDEX(CASHBACK_RULES!$J$5:$J$304,$AC1047)),INDEX(CASHBACK_RULES!$J$5:$J$304,$AC1047),"∞"),"")</f>
        <v/>
      </c>
      <c r="Q1047" s="48" t="str">
        <f>IF(OR($B1047="",$D1047=""),"",IF($AC1047=0,0,MAX(0,MIN($O1047,IF(ISNUMBER($P1047),$P1047-$AF1047,1E+15),IF(ISNUMBER($AA1047),$AA1047-$AG1047,1E+15)))))</f>
        <v/>
      </c>
      <c r="R1047" s="48" t="str">
        <f>IF(OR($B1047="",$D1047=""),"",IF($AC1047=0,"",IF(AND(NOT(ISNUMBER($P1047)),NOT(ISNUMBER($AA1047))),"∞",MAX(0,MIN(IF(ISNUMBER($P1047),$P1047-$AF1047-$Q1047,1E+15),IF(ISNUMBER($AA1047),$AA1047-$AG1047-$Q1047,1E+15))))))</f>
        <v/>
      </c>
      <c r="S1047" s="47" t="str">
        <f>IF($AD1047="","",YEAR($AD1047)*100+MONTH($AD1047))</f>
        <v/>
      </c>
      <c r="T1047" s="50" t="str">
        <f>IF($AD1047="","",IFERROR(IF(INDEX(CARDS!$I$5:$I$34,MATCH($D1047,CARDS!$A$5:$A$34,0))="","",IF(INDEX(CARDS!$I$5:$I$34,MATCH($D1047,CARDS!$A$5:$A$34,0))&gt;INDEX(CARDS!$H$5:$H$34,MATCH($D1047,CARDS!$A$5:$A$34,0)),DATE(YEAR($AD1047),MONTH($AD1047),MIN(INDEX(CARDS!$I$5:$I$34,MATCH($D1047,CARDS!$A$5:$A$34,0)),DAY(EOMONTH($AD1047,0)))),DATE(YEAR($AD1047),MONTH($AD1047)+1,MIN(INDEX(CARDS!$I$5:$I$34,MATCH($D1047,CARDS!$A$5:$A$34,0)),DAY(EOMONTH($AD1047,1)))))),""))</f>
        <v/>
      </c>
      <c r="U1047" s="38" t="n"/>
      <c r="V1047" s="37" t="n"/>
      <c r="W1047" s="38" t="n"/>
      <c r="X1047" s="38" t="n"/>
      <c r="Y1047" s="44" t="str">
        <f>IF($AC1047&gt;0,INDEX(CASHBACK_RULES!$A$5:$A$304,$AC1047),"")</f>
        <v/>
      </c>
      <c r="Z1047" s="45" t="str">
        <f>IF($AC1047&gt;0,INDEX(CASHBACK_RULES!$E$5:$E$304,$AC1047)&amp;"","")</f>
        <v/>
      </c>
      <c r="AA1047" s="48" t="str">
        <f>IF($AC1047&gt;0,IF(ISNUMBER(INDEX(CASHBACK_RULES!$K$5:$K$304,$AC1047)),INDEX(CASHBACK_RULES!$K$5:$K$304,$AC1047),"∞"),"")</f>
        <v/>
      </c>
      <c r="AB1047" s="44" t="str">
        <f>IF(OR($B1047="",$D1047=""),"",IF($U1047="Cancelled","Đã hủy",IF($AC1047=0,"Không được hoàn",IF($Q1047=0,IF(OR($O1047&gt;0,$M1047&lt;$L1047),"Đã đạt cap","Không được hoàn"),IF(OR($Q1047&lt;$O1047,$M1047&lt;$L1047),"Hoàn một phần","Được hoàn")))))</f>
        <v/>
      </c>
      <c r="AC1047" s="43">
        <f>IF(OR($B1047="",$D1047="",$I1047="",$L1047=""),0,IF($U1047="Cancelled",0,IF($W1047&lt;&gt;"",IFERROR(IF(INDEX(CASHBACK_RULES!$B$5:$B$304,MATCH($W1047,CASHBACK_RULES!$A$5:$A$304,0))=$D1047,MATCH($W1047,CASHBACK_RULES!$A$5:$A$304,0),0),0),IFERROR(MATCH(1,INDEX((CASHBACK_RULES!$B$5:$B$304=$D1047)*(CASHBACK_RULES!$G$5:$G$304=$I1047)*(((CASHBACK_RULES!$N$5:$N$304="")+(CASHBACK_RULES!$N$5:$N$304&lt;=$B1047))&gt;0)*(((CASHBACK_RULES!$O$5:$O$304="")+(CASHBACK_RULES!$O$5:$O$304&gt;=$B1047))&gt;0)*(((CASHBACK_RULES!$M$5:$M$304="")+(CASHBACK_RULES!$M$5:$M$304&lt;=$L1047))&gt;0),0),0),0))))</f>
        <v>0</v>
      </c>
      <c r="AD1047" s="51" t="str">
        <f>IF(OR($B1047="",$D1047=""),"",IFERROR(IF(INDEX(CARDS!$H$5:$H$34,MATCH($D1047,CARDS!$A$5:$A$34,0))="","",IF(DAY($B1047)&lt;=INDEX(CARDS!$H$5:$H$34,MATCH($D1047,CARDS!$A$5:$A$34,0)),DATE(YEAR($B1047),MONTH($B1047),MIN(INDEX(CARDS!$H$5:$H$34,MATCH($D1047,CARDS!$A$5:$A$34,0)),DAY(EOMONTH($B1047,0)))),DATE(YEAR($B1047),MONTH($B1047)+1,MIN(INDEX(CARDS!$H$5:$H$34,MATCH($D1047,CARDS!$A$5:$A$34,0)),DAY(EOMONTH($B1047,1)))))),""))</f>
        <v/>
      </c>
      <c r="AE1047" s="52" t="str">
        <f>IF($C1047="","",$C1047&amp;"|"&amp;COUNTIF($C$5:$C1047,$C1047))</f>
        <v/>
      </c>
      <c r="AF1047" s="53">
        <f>IF($AC1047&gt;0,SUMIFS(Q$4:Q1046,$D$4:$D1046,$D1047,$Z$4:$Z1046,$Z1047,$C$4:$C1046,$C1047),0)</f>
        <v>0</v>
      </c>
      <c r="AG1047" s="53">
        <f>IF($AC1047&gt;0,SUMIFS(Q$4:Q1046,$D$4:$D1046,$D1047,$C$4:$C1046,$C1047),0)</f>
        <v>0</v>
      </c>
      <c r="AH1047" s="53">
        <f>IF($AC1047&gt;0,SUMIFS(M$4:M1046,$D$4:$D1046,$D1047,$Z$4:$Z1046,$Z1047,$C$4:$C1046,$C1047),0)</f>
        <v>0</v>
      </c>
      <c r="AI1047" s="43">
        <f>IF(OR($C1047="",$I1047=""),0,IF(COUNTIFS($C$5:$C1047,$C1047,$I$5:$I1047,$I1047)=1,1,0))</f>
        <v>0</v>
      </c>
      <c r="AJ1047" s="43" t="str">
        <f>IF($AI1047=1,SUMIFS($AI$4:$AI1046,$C$4:$C1046,$C1047)+1,"")</f>
        <v/>
      </c>
      <c r="AK1047" s="43">
        <f>IF(OR($C1047="",$K1047=""),0,IF(COUNTIFS($C$5:$C1047,$C1047,$K$5:$K1047,$K1047)=1,1,0))</f>
        <v>0</v>
      </c>
      <c r="AL1047" s="43" t="str">
        <f>IF($AK1047=1,SUMIFS($AK$4:$AK1046,$C$4:$C1046,$C1047)+1,"")</f>
        <v/>
      </c>
      <c r="AM1047" s="43">
        <f>IF(OR($C1047="",$G1047=""),0,IF(COUNTIFS($C$5:$C1047,$C1047,$G$5:$G1047,$G1047)=1,1,0))</f>
        <v>0</v>
      </c>
      <c r="AN1047" s="43" t="str">
        <f>IF($AM1047=1,SUMIFS($AM$4:$AM1046,$C$4:$C1046,$C1047)+1,"")</f>
        <v/>
      </c>
    </row>
    <row r="1048">
      <c r="A1048" s="44" t="str">
        <f>IF(OR($B1048="",$D1048=""),"","TX"&amp;TEXT(ROW()-4,"0000"))</f>
        <v/>
      </c>
      <c r="B1048" s="42" t="n"/>
      <c r="C1048" s="47" t="str">
        <f>IF($B1048="","",YEAR($B1048)*100+MONTH($B1048))</f>
        <v/>
      </c>
      <c r="D1048" s="37" t="n"/>
      <c r="E1048" s="45" t="str">
        <f>IF($D1048="","",IFERROR(INDEX(CARDS!$B$5:$B$34,MATCH($D1048,CARDS!$A$5:$A$34,0)),"⚠ Card ID?"))</f>
        <v/>
      </c>
      <c r="F1048" s="45" t="str">
        <f>IF($D1048="","",IFERROR(INDEX(CARDS!$C$5:$C$34,MATCH($D1048,CARDS!$A$5:$A$34,0)),"⚠ Card ID?"))</f>
        <v/>
      </c>
      <c r="G1048" s="37" t="n"/>
      <c r="H1048" s="37" t="n"/>
      <c r="I1048" s="41" t="n"/>
      <c r="J1048" s="45" t="str">
        <f>IF($I1048="","",IFERROR(INDEX(MCC_MASTER!$B$5:$B$504,MATCH($I1048,MCC_MASTER!$A$5:$A$504,0)),"⚠ MCC chưa có"))</f>
        <v/>
      </c>
      <c r="K1048" s="45" t="str">
        <f>IF($I1048="","",IFERROR(IF(INDEX(MCC_MASTER!$C$5:$C$504,MATCH($I1048,MCC_MASTER!$A$5:$A$504,0))="","Chưa phân loại",INDEX(MCC_MASTER!$C$5:$C$504,MATCH($I1048,MCC_MASTER!$A$5:$A$504,0))),"Chưa phân loại"))</f>
        <v/>
      </c>
      <c r="L1048" s="40" t="n"/>
      <c r="M1048" s="48" t="str">
        <f>IF(OR($B1048="",$D1048=""),"",IF($AC1048=0,0,IF(ISNUMBER(INDEX(CASHBACK_RULES!$L$5:$L$304,$AC1048)),MAX(0,MIN($L1048,INDEX(CASHBACK_RULES!$L$5:$L$304,$AC1048)-$AH1048)),MAX(0,$L1048))))</f>
        <v/>
      </c>
      <c r="N1048" s="49" t="str">
        <f>IF(OR($B1048="",$D1048=""),"",IF($AC1048&gt;0,INDEX(CASHBACK_RULES!$I$5:$I$304,$AC1048),0))</f>
        <v/>
      </c>
      <c r="O1048" s="48" t="str">
        <f>IF(OR($B1048="",$D1048=""),"",ROUND($M1048*$N1048,0))</f>
        <v/>
      </c>
      <c r="P1048" s="48" t="str">
        <f>IF($AC1048&gt;0,IF(ISNUMBER(INDEX(CASHBACK_RULES!$J$5:$J$304,$AC1048)),INDEX(CASHBACK_RULES!$J$5:$J$304,$AC1048),"∞"),"")</f>
        <v/>
      </c>
      <c r="Q1048" s="48" t="str">
        <f>IF(OR($B1048="",$D1048=""),"",IF($AC1048=0,0,MAX(0,MIN($O1048,IF(ISNUMBER($P1048),$P1048-$AF1048,1E+15),IF(ISNUMBER($AA1048),$AA1048-$AG1048,1E+15)))))</f>
        <v/>
      </c>
      <c r="R1048" s="48" t="str">
        <f>IF(OR($B1048="",$D1048=""),"",IF($AC1048=0,"",IF(AND(NOT(ISNUMBER($P1048)),NOT(ISNUMBER($AA1048))),"∞",MAX(0,MIN(IF(ISNUMBER($P1048),$P1048-$AF1048-$Q1048,1E+15),IF(ISNUMBER($AA1048),$AA1048-$AG1048-$Q1048,1E+15))))))</f>
        <v/>
      </c>
      <c r="S1048" s="47" t="str">
        <f>IF($AD1048="","",YEAR($AD1048)*100+MONTH($AD1048))</f>
        <v/>
      </c>
      <c r="T1048" s="50" t="str">
        <f>IF($AD1048="","",IFERROR(IF(INDEX(CARDS!$I$5:$I$34,MATCH($D1048,CARDS!$A$5:$A$34,0))="","",IF(INDEX(CARDS!$I$5:$I$34,MATCH($D1048,CARDS!$A$5:$A$34,0))&gt;INDEX(CARDS!$H$5:$H$34,MATCH($D1048,CARDS!$A$5:$A$34,0)),DATE(YEAR($AD1048),MONTH($AD1048),MIN(INDEX(CARDS!$I$5:$I$34,MATCH($D1048,CARDS!$A$5:$A$34,0)),DAY(EOMONTH($AD1048,0)))),DATE(YEAR($AD1048),MONTH($AD1048)+1,MIN(INDEX(CARDS!$I$5:$I$34,MATCH($D1048,CARDS!$A$5:$A$34,0)),DAY(EOMONTH($AD1048,1)))))),""))</f>
        <v/>
      </c>
      <c r="U1048" s="38" t="n"/>
      <c r="V1048" s="37" t="n"/>
      <c r="W1048" s="38" t="n"/>
      <c r="X1048" s="38" t="n"/>
      <c r="Y1048" s="44" t="str">
        <f>IF($AC1048&gt;0,INDEX(CASHBACK_RULES!$A$5:$A$304,$AC1048),"")</f>
        <v/>
      </c>
      <c r="Z1048" s="45" t="str">
        <f>IF($AC1048&gt;0,INDEX(CASHBACK_RULES!$E$5:$E$304,$AC1048)&amp;"","")</f>
        <v/>
      </c>
      <c r="AA1048" s="48" t="str">
        <f>IF($AC1048&gt;0,IF(ISNUMBER(INDEX(CASHBACK_RULES!$K$5:$K$304,$AC1048)),INDEX(CASHBACK_RULES!$K$5:$K$304,$AC1048),"∞"),"")</f>
        <v/>
      </c>
      <c r="AB1048" s="44" t="str">
        <f>IF(OR($B1048="",$D1048=""),"",IF($U1048="Cancelled","Đã hủy",IF($AC1048=0,"Không được hoàn",IF($Q1048=0,IF(OR($O1048&gt;0,$M1048&lt;$L1048),"Đã đạt cap","Không được hoàn"),IF(OR($Q1048&lt;$O1048,$M1048&lt;$L1048),"Hoàn một phần","Được hoàn")))))</f>
        <v/>
      </c>
      <c r="AC1048" s="43">
        <f>IF(OR($B1048="",$D1048="",$I1048="",$L1048=""),0,IF($U1048="Cancelled",0,IF($W1048&lt;&gt;"",IFERROR(IF(INDEX(CASHBACK_RULES!$B$5:$B$304,MATCH($W1048,CASHBACK_RULES!$A$5:$A$304,0))=$D1048,MATCH($W1048,CASHBACK_RULES!$A$5:$A$304,0),0),0),IFERROR(MATCH(1,INDEX((CASHBACK_RULES!$B$5:$B$304=$D1048)*(CASHBACK_RULES!$G$5:$G$304=$I1048)*(((CASHBACK_RULES!$N$5:$N$304="")+(CASHBACK_RULES!$N$5:$N$304&lt;=$B1048))&gt;0)*(((CASHBACK_RULES!$O$5:$O$304="")+(CASHBACK_RULES!$O$5:$O$304&gt;=$B1048))&gt;0)*(((CASHBACK_RULES!$M$5:$M$304="")+(CASHBACK_RULES!$M$5:$M$304&lt;=$L1048))&gt;0),0),0),0))))</f>
        <v>0</v>
      </c>
      <c r="AD1048" s="51" t="str">
        <f>IF(OR($B1048="",$D1048=""),"",IFERROR(IF(INDEX(CARDS!$H$5:$H$34,MATCH($D1048,CARDS!$A$5:$A$34,0))="","",IF(DAY($B1048)&lt;=INDEX(CARDS!$H$5:$H$34,MATCH($D1048,CARDS!$A$5:$A$34,0)),DATE(YEAR($B1048),MONTH($B1048),MIN(INDEX(CARDS!$H$5:$H$34,MATCH($D1048,CARDS!$A$5:$A$34,0)),DAY(EOMONTH($B1048,0)))),DATE(YEAR($B1048),MONTH($B1048)+1,MIN(INDEX(CARDS!$H$5:$H$34,MATCH($D1048,CARDS!$A$5:$A$34,0)),DAY(EOMONTH($B1048,1)))))),""))</f>
        <v/>
      </c>
      <c r="AE1048" s="52" t="str">
        <f>IF($C1048="","",$C1048&amp;"|"&amp;COUNTIF($C$5:$C1048,$C1048))</f>
        <v/>
      </c>
      <c r="AF1048" s="53">
        <f>IF($AC1048&gt;0,SUMIFS(Q$4:Q1047,$D$4:$D1047,$D1048,$Z$4:$Z1047,$Z1048,$C$4:$C1047,$C1048),0)</f>
        <v>0</v>
      </c>
      <c r="AG1048" s="53">
        <f>IF($AC1048&gt;0,SUMIFS(Q$4:Q1047,$D$4:$D1047,$D1048,$C$4:$C1047,$C1048),0)</f>
        <v>0</v>
      </c>
      <c r="AH1048" s="53">
        <f>IF($AC1048&gt;0,SUMIFS(M$4:M1047,$D$4:$D1047,$D1048,$Z$4:$Z1047,$Z1048,$C$4:$C1047,$C1048),0)</f>
        <v>0</v>
      </c>
      <c r="AI1048" s="43">
        <f>IF(OR($C1048="",$I1048=""),0,IF(COUNTIFS($C$5:$C1048,$C1048,$I$5:$I1048,$I1048)=1,1,0))</f>
        <v>0</v>
      </c>
      <c r="AJ1048" s="43" t="str">
        <f>IF($AI1048=1,SUMIFS($AI$4:$AI1047,$C$4:$C1047,$C1048)+1,"")</f>
        <v/>
      </c>
      <c r="AK1048" s="43">
        <f>IF(OR($C1048="",$K1048=""),0,IF(COUNTIFS($C$5:$C1048,$C1048,$K$5:$K1048,$K1048)=1,1,0))</f>
        <v>0</v>
      </c>
      <c r="AL1048" s="43" t="str">
        <f>IF($AK1048=1,SUMIFS($AK$4:$AK1047,$C$4:$C1047,$C1048)+1,"")</f>
        <v/>
      </c>
      <c r="AM1048" s="43">
        <f>IF(OR($C1048="",$G1048=""),0,IF(COUNTIFS($C$5:$C1048,$C1048,$G$5:$G1048,$G1048)=1,1,0))</f>
        <v>0</v>
      </c>
      <c r="AN1048" s="43" t="str">
        <f>IF($AM1048=1,SUMIFS($AM$4:$AM1047,$C$4:$C1047,$C1048)+1,"")</f>
        <v/>
      </c>
    </row>
    <row r="1049">
      <c r="A1049" s="44" t="str">
        <f>IF(OR($B1049="",$D1049=""),"","TX"&amp;TEXT(ROW()-4,"0000"))</f>
        <v/>
      </c>
      <c r="B1049" s="42" t="n"/>
      <c r="C1049" s="47" t="str">
        <f>IF($B1049="","",YEAR($B1049)*100+MONTH($B1049))</f>
        <v/>
      </c>
      <c r="D1049" s="37" t="n"/>
      <c r="E1049" s="45" t="str">
        <f>IF($D1049="","",IFERROR(INDEX(CARDS!$B$5:$B$34,MATCH($D1049,CARDS!$A$5:$A$34,0)),"⚠ Card ID?"))</f>
        <v/>
      </c>
      <c r="F1049" s="45" t="str">
        <f>IF($D1049="","",IFERROR(INDEX(CARDS!$C$5:$C$34,MATCH($D1049,CARDS!$A$5:$A$34,0)),"⚠ Card ID?"))</f>
        <v/>
      </c>
      <c r="G1049" s="37" t="n"/>
      <c r="H1049" s="37" t="n"/>
      <c r="I1049" s="41" t="n"/>
      <c r="J1049" s="45" t="str">
        <f>IF($I1049="","",IFERROR(INDEX(MCC_MASTER!$B$5:$B$504,MATCH($I1049,MCC_MASTER!$A$5:$A$504,0)),"⚠ MCC chưa có"))</f>
        <v/>
      </c>
      <c r="K1049" s="45" t="str">
        <f>IF($I1049="","",IFERROR(IF(INDEX(MCC_MASTER!$C$5:$C$504,MATCH($I1049,MCC_MASTER!$A$5:$A$504,0))="","Chưa phân loại",INDEX(MCC_MASTER!$C$5:$C$504,MATCH($I1049,MCC_MASTER!$A$5:$A$504,0))),"Chưa phân loại"))</f>
        <v/>
      </c>
      <c r="L1049" s="40" t="n"/>
      <c r="M1049" s="48" t="str">
        <f>IF(OR($B1049="",$D1049=""),"",IF($AC1049=0,0,IF(ISNUMBER(INDEX(CASHBACK_RULES!$L$5:$L$304,$AC1049)),MAX(0,MIN($L1049,INDEX(CASHBACK_RULES!$L$5:$L$304,$AC1049)-$AH1049)),MAX(0,$L1049))))</f>
        <v/>
      </c>
      <c r="N1049" s="49" t="str">
        <f>IF(OR($B1049="",$D1049=""),"",IF($AC1049&gt;0,INDEX(CASHBACK_RULES!$I$5:$I$304,$AC1049),0))</f>
        <v/>
      </c>
      <c r="O1049" s="48" t="str">
        <f>IF(OR($B1049="",$D1049=""),"",ROUND($M1049*$N1049,0))</f>
        <v/>
      </c>
      <c r="P1049" s="48" t="str">
        <f>IF($AC1049&gt;0,IF(ISNUMBER(INDEX(CASHBACK_RULES!$J$5:$J$304,$AC1049)),INDEX(CASHBACK_RULES!$J$5:$J$304,$AC1049),"∞"),"")</f>
        <v/>
      </c>
      <c r="Q1049" s="48" t="str">
        <f>IF(OR($B1049="",$D1049=""),"",IF($AC1049=0,0,MAX(0,MIN($O1049,IF(ISNUMBER($P1049),$P1049-$AF1049,1E+15),IF(ISNUMBER($AA1049),$AA1049-$AG1049,1E+15)))))</f>
        <v/>
      </c>
      <c r="R1049" s="48" t="str">
        <f>IF(OR($B1049="",$D1049=""),"",IF($AC1049=0,"",IF(AND(NOT(ISNUMBER($P1049)),NOT(ISNUMBER($AA1049))),"∞",MAX(0,MIN(IF(ISNUMBER($P1049),$P1049-$AF1049-$Q1049,1E+15),IF(ISNUMBER($AA1049),$AA1049-$AG1049-$Q1049,1E+15))))))</f>
        <v/>
      </c>
      <c r="S1049" s="47" t="str">
        <f>IF($AD1049="","",YEAR($AD1049)*100+MONTH($AD1049))</f>
        <v/>
      </c>
      <c r="T1049" s="50" t="str">
        <f>IF($AD1049="","",IFERROR(IF(INDEX(CARDS!$I$5:$I$34,MATCH($D1049,CARDS!$A$5:$A$34,0))="","",IF(INDEX(CARDS!$I$5:$I$34,MATCH($D1049,CARDS!$A$5:$A$34,0))&gt;INDEX(CARDS!$H$5:$H$34,MATCH($D1049,CARDS!$A$5:$A$34,0)),DATE(YEAR($AD1049),MONTH($AD1049),MIN(INDEX(CARDS!$I$5:$I$34,MATCH($D1049,CARDS!$A$5:$A$34,0)),DAY(EOMONTH($AD1049,0)))),DATE(YEAR($AD1049),MONTH($AD1049)+1,MIN(INDEX(CARDS!$I$5:$I$34,MATCH($D1049,CARDS!$A$5:$A$34,0)),DAY(EOMONTH($AD1049,1)))))),""))</f>
        <v/>
      </c>
      <c r="U1049" s="38" t="n"/>
      <c r="V1049" s="37" t="n"/>
      <c r="W1049" s="38" t="n"/>
      <c r="X1049" s="38" t="n"/>
      <c r="Y1049" s="44" t="str">
        <f>IF($AC1049&gt;0,INDEX(CASHBACK_RULES!$A$5:$A$304,$AC1049),"")</f>
        <v/>
      </c>
      <c r="Z1049" s="45" t="str">
        <f>IF($AC1049&gt;0,INDEX(CASHBACK_RULES!$E$5:$E$304,$AC1049)&amp;"","")</f>
        <v/>
      </c>
      <c r="AA1049" s="48" t="str">
        <f>IF($AC1049&gt;0,IF(ISNUMBER(INDEX(CASHBACK_RULES!$K$5:$K$304,$AC1049)),INDEX(CASHBACK_RULES!$K$5:$K$304,$AC1049),"∞"),"")</f>
        <v/>
      </c>
      <c r="AB1049" s="44" t="str">
        <f>IF(OR($B1049="",$D1049=""),"",IF($U1049="Cancelled","Đã hủy",IF($AC1049=0,"Không được hoàn",IF($Q1049=0,IF(OR($O1049&gt;0,$M1049&lt;$L1049),"Đã đạt cap","Không được hoàn"),IF(OR($Q1049&lt;$O1049,$M1049&lt;$L1049),"Hoàn một phần","Được hoàn")))))</f>
        <v/>
      </c>
      <c r="AC1049" s="43">
        <f>IF(OR($B1049="",$D1049="",$I1049="",$L1049=""),0,IF($U1049="Cancelled",0,IF($W1049&lt;&gt;"",IFERROR(IF(INDEX(CASHBACK_RULES!$B$5:$B$304,MATCH($W1049,CASHBACK_RULES!$A$5:$A$304,0))=$D1049,MATCH($W1049,CASHBACK_RULES!$A$5:$A$304,0),0),0),IFERROR(MATCH(1,INDEX((CASHBACK_RULES!$B$5:$B$304=$D1049)*(CASHBACK_RULES!$G$5:$G$304=$I1049)*(((CASHBACK_RULES!$N$5:$N$304="")+(CASHBACK_RULES!$N$5:$N$304&lt;=$B1049))&gt;0)*(((CASHBACK_RULES!$O$5:$O$304="")+(CASHBACK_RULES!$O$5:$O$304&gt;=$B1049))&gt;0)*(((CASHBACK_RULES!$M$5:$M$304="")+(CASHBACK_RULES!$M$5:$M$304&lt;=$L1049))&gt;0),0),0),0))))</f>
        <v>0</v>
      </c>
      <c r="AD1049" s="51" t="str">
        <f>IF(OR($B1049="",$D1049=""),"",IFERROR(IF(INDEX(CARDS!$H$5:$H$34,MATCH($D1049,CARDS!$A$5:$A$34,0))="","",IF(DAY($B1049)&lt;=INDEX(CARDS!$H$5:$H$34,MATCH($D1049,CARDS!$A$5:$A$34,0)),DATE(YEAR($B1049),MONTH($B1049),MIN(INDEX(CARDS!$H$5:$H$34,MATCH($D1049,CARDS!$A$5:$A$34,0)),DAY(EOMONTH($B1049,0)))),DATE(YEAR($B1049),MONTH($B1049)+1,MIN(INDEX(CARDS!$H$5:$H$34,MATCH($D1049,CARDS!$A$5:$A$34,0)),DAY(EOMONTH($B1049,1)))))),""))</f>
        <v/>
      </c>
      <c r="AE1049" s="52" t="str">
        <f>IF($C1049="","",$C1049&amp;"|"&amp;COUNTIF($C$5:$C1049,$C1049))</f>
        <v/>
      </c>
      <c r="AF1049" s="53">
        <f>IF($AC1049&gt;0,SUMIFS(Q$4:Q1048,$D$4:$D1048,$D1049,$Z$4:$Z1048,$Z1049,$C$4:$C1048,$C1049),0)</f>
        <v>0</v>
      </c>
      <c r="AG1049" s="53">
        <f>IF($AC1049&gt;0,SUMIFS(Q$4:Q1048,$D$4:$D1048,$D1049,$C$4:$C1048,$C1049),0)</f>
        <v>0</v>
      </c>
      <c r="AH1049" s="53">
        <f>IF($AC1049&gt;0,SUMIFS(M$4:M1048,$D$4:$D1048,$D1049,$Z$4:$Z1048,$Z1049,$C$4:$C1048,$C1049),0)</f>
        <v>0</v>
      </c>
      <c r="AI1049" s="43">
        <f>IF(OR($C1049="",$I1049=""),0,IF(COUNTIFS($C$5:$C1049,$C1049,$I$5:$I1049,$I1049)=1,1,0))</f>
        <v>0</v>
      </c>
      <c r="AJ1049" s="43" t="str">
        <f>IF($AI1049=1,SUMIFS($AI$4:$AI1048,$C$4:$C1048,$C1049)+1,"")</f>
        <v/>
      </c>
      <c r="AK1049" s="43">
        <f>IF(OR($C1049="",$K1049=""),0,IF(COUNTIFS($C$5:$C1049,$C1049,$K$5:$K1049,$K1049)=1,1,0))</f>
        <v>0</v>
      </c>
      <c r="AL1049" s="43" t="str">
        <f>IF($AK1049=1,SUMIFS($AK$4:$AK1048,$C$4:$C1048,$C1049)+1,"")</f>
        <v/>
      </c>
      <c r="AM1049" s="43">
        <f>IF(OR($C1049="",$G1049=""),0,IF(COUNTIFS($C$5:$C1049,$C1049,$G$5:$G1049,$G1049)=1,1,0))</f>
        <v>0</v>
      </c>
      <c r="AN1049" s="43" t="str">
        <f>IF($AM1049=1,SUMIFS($AM$4:$AM1048,$C$4:$C1048,$C1049)+1,"")</f>
        <v/>
      </c>
    </row>
    <row r="1050">
      <c r="A1050" s="44" t="str">
        <f>IF(OR($B1050="",$D1050=""),"","TX"&amp;TEXT(ROW()-4,"0000"))</f>
        <v/>
      </c>
      <c r="B1050" s="42" t="n"/>
      <c r="C1050" s="47" t="str">
        <f>IF($B1050="","",YEAR($B1050)*100+MONTH($B1050))</f>
        <v/>
      </c>
      <c r="D1050" s="37" t="n"/>
      <c r="E1050" s="45" t="str">
        <f>IF($D1050="","",IFERROR(INDEX(CARDS!$B$5:$B$34,MATCH($D1050,CARDS!$A$5:$A$34,0)),"⚠ Card ID?"))</f>
        <v/>
      </c>
      <c r="F1050" s="45" t="str">
        <f>IF($D1050="","",IFERROR(INDEX(CARDS!$C$5:$C$34,MATCH($D1050,CARDS!$A$5:$A$34,0)),"⚠ Card ID?"))</f>
        <v/>
      </c>
      <c r="G1050" s="37" t="n"/>
      <c r="H1050" s="37" t="n"/>
      <c r="I1050" s="41" t="n"/>
      <c r="J1050" s="45" t="str">
        <f>IF($I1050="","",IFERROR(INDEX(MCC_MASTER!$B$5:$B$504,MATCH($I1050,MCC_MASTER!$A$5:$A$504,0)),"⚠ MCC chưa có"))</f>
        <v/>
      </c>
      <c r="K1050" s="45" t="str">
        <f>IF($I1050="","",IFERROR(IF(INDEX(MCC_MASTER!$C$5:$C$504,MATCH($I1050,MCC_MASTER!$A$5:$A$504,0))="","Chưa phân loại",INDEX(MCC_MASTER!$C$5:$C$504,MATCH($I1050,MCC_MASTER!$A$5:$A$504,0))),"Chưa phân loại"))</f>
        <v/>
      </c>
      <c r="L1050" s="40" t="n"/>
      <c r="M1050" s="48" t="str">
        <f>IF(OR($B1050="",$D1050=""),"",IF($AC1050=0,0,IF(ISNUMBER(INDEX(CASHBACK_RULES!$L$5:$L$304,$AC1050)),MAX(0,MIN($L1050,INDEX(CASHBACK_RULES!$L$5:$L$304,$AC1050)-$AH1050)),MAX(0,$L1050))))</f>
        <v/>
      </c>
      <c r="N1050" s="49" t="str">
        <f>IF(OR($B1050="",$D1050=""),"",IF($AC1050&gt;0,INDEX(CASHBACK_RULES!$I$5:$I$304,$AC1050),0))</f>
        <v/>
      </c>
      <c r="O1050" s="48" t="str">
        <f>IF(OR($B1050="",$D1050=""),"",ROUND($M1050*$N1050,0))</f>
        <v/>
      </c>
      <c r="P1050" s="48" t="str">
        <f>IF($AC1050&gt;0,IF(ISNUMBER(INDEX(CASHBACK_RULES!$J$5:$J$304,$AC1050)),INDEX(CASHBACK_RULES!$J$5:$J$304,$AC1050),"∞"),"")</f>
        <v/>
      </c>
      <c r="Q1050" s="48" t="str">
        <f>IF(OR($B1050="",$D1050=""),"",IF($AC1050=0,0,MAX(0,MIN($O1050,IF(ISNUMBER($P1050),$P1050-$AF1050,1E+15),IF(ISNUMBER($AA1050),$AA1050-$AG1050,1E+15)))))</f>
        <v/>
      </c>
      <c r="R1050" s="48" t="str">
        <f>IF(OR($B1050="",$D1050=""),"",IF($AC1050=0,"",IF(AND(NOT(ISNUMBER($P1050)),NOT(ISNUMBER($AA1050))),"∞",MAX(0,MIN(IF(ISNUMBER($P1050),$P1050-$AF1050-$Q1050,1E+15),IF(ISNUMBER($AA1050),$AA1050-$AG1050-$Q1050,1E+15))))))</f>
        <v/>
      </c>
      <c r="S1050" s="47" t="str">
        <f>IF($AD1050="","",YEAR($AD1050)*100+MONTH($AD1050))</f>
        <v/>
      </c>
      <c r="T1050" s="50" t="str">
        <f>IF($AD1050="","",IFERROR(IF(INDEX(CARDS!$I$5:$I$34,MATCH($D1050,CARDS!$A$5:$A$34,0))="","",IF(INDEX(CARDS!$I$5:$I$34,MATCH($D1050,CARDS!$A$5:$A$34,0))&gt;INDEX(CARDS!$H$5:$H$34,MATCH($D1050,CARDS!$A$5:$A$34,0)),DATE(YEAR($AD1050),MONTH($AD1050),MIN(INDEX(CARDS!$I$5:$I$34,MATCH($D1050,CARDS!$A$5:$A$34,0)),DAY(EOMONTH($AD1050,0)))),DATE(YEAR($AD1050),MONTH($AD1050)+1,MIN(INDEX(CARDS!$I$5:$I$34,MATCH($D1050,CARDS!$A$5:$A$34,0)),DAY(EOMONTH($AD1050,1)))))),""))</f>
        <v/>
      </c>
      <c r="U1050" s="38" t="n"/>
      <c r="V1050" s="37" t="n"/>
      <c r="W1050" s="38" t="n"/>
      <c r="X1050" s="38" t="n"/>
      <c r="Y1050" s="44" t="str">
        <f>IF($AC1050&gt;0,INDEX(CASHBACK_RULES!$A$5:$A$304,$AC1050),"")</f>
        <v/>
      </c>
      <c r="Z1050" s="45" t="str">
        <f>IF($AC1050&gt;0,INDEX(CASHBACK_RULES!$E$5:$E$304,$AC1050)&amp;"","")</f>
        <v/>
      </c>
      <c r="AA1050" s="48" t="str">
        <f>IF($AC1050&gt;0,IF(ISNUMBER(INDEX(CASHBACK_RULES!$K$5:$K$304,$AC1050)),INDEX(CASHBACK_RULES!$K$5:$K$304,$AC1050),"∞"),"")</f>
        <v/>
      </c>
      <c r="AB1050" s="44" t="str">
        <f>IF(OR($B1050="",$D1050=""),"",IF($U1050="Cancelled","Đã hủy",IF($AC1050=0,"Không được hoàn",IF($Q1050=0,IF(OR($O1050&gt;0,$M1050&lt;$L1050),"Đã đạt cap","Không được hoàn"),IF(OR($Q1050&lt;$O1050,$M1050&lt;$L1050),"Hoàn một phần","Được hoàn")))))</f>
        <v/>
      </c>
      <c r="AC1050" s="43">
        <f>IF(OR($B1050="",$D1050="",$I1050="",$L1050=""),0,IF($U1050="Cancelled",0,IF($W1050&lt;&gt;"",IFERROR(IF(INDEX(CASHBACK_RULES!$B$5:$B$304,MATCH($W1050,CASHBACK_RULES!$A$5:$A$304,0))=$D1050,MATCH($W1050,CASHBACK_RULES!$A$5:$A$304,0),0),0),IFERROR(MATCH(1,INDEX((CASHBACK_RULES!$B$5:$B$304=$D1050)*(CASHBACK_RULES!$G$5:$G$304=$I1050)*(((CASHBACK_RULES!$N$5:$N$304="")+(CASHBACK_RULES!$N$5:$N$304&lt;=$B1050))&gt;0)*(((CASHBACK_RULES!$O$5:$O$304="")+(CASHBACK_RULES!$O$5:$O$304&gt;=$B1050))&gt;0)*(((CASHBACK_RULES!$M$5:$M$304="")+(CASHBACK_RULES!$M$5:$M$304&lt;=$L1050))&gt;0),0),0),0))))</f>
        <v>0</v>
      </c>
      <c r="AD1050" s="51" t="str">
        <f>IF(OR($B1050="",$D1050=""),"",IFERROR(IF(INDEX(CARDS!$H$5:$H$34,MATCH($D1050,CARDS!$A$5:$A$34,0))="","",IF(DAY($B1050)&lt;=INDEX(CARDS!$H$5:$H$34,MATCH($D1050,CARDS!$A$5:$A$34,0)),DATE(YEAR($B1050),MONTH($B1050),MIN(INDEX(CARDS!$H$5:$H$34,MATCH($D1050,CARDS!$A$5:$A$34,0)),DAY(EOMONTH($B1050,0)))),DATE(YEAR($B1050),MONTH($B1050)+1,MIN(INDEX(CARDS!$H$5:$H$34,MATCH($D1050,CARDS!$A$5:$A$34,0)),DAY(EOMONTH($B1050,1)))))),""))</f>
        <v/>
      </c>
      <c r="AE1050" s="52" t="str">
        <f>IF($C1050="","",$C1050&amp;"|"&amp;COUNTIF($C$5:$C1050,$C1050))</f>
        <v/>
      </c>
      <c r="AF1050" s="53">
        <f>IF($AC1050&gt;0,SUMIFS(Q$4:Q1049,$D$4:$D1049,$D1050,$Z$4:$Z1049,$Z1050,$C$4:$C1049,$C1050),0)</f>
        <v>0</v>
      </c>
      <c r="AG1050" s="53">
        <f>IF($AC1050&gt;0,SUMIFS(Q$4:Q1049,$D$4:$D1049,$D1050,$C$4:$C1049,$C1050),0)</f>
        <v>0</v>
      </c>
      <c r="AH1050" s="53">
        <f>IF($AC1050&gt;0,SUMIFS(M$4:M1049,$D$4:$D1049,$D1050,$Z$4:$Z1049,$Z1050,$C$4:$C1049,$C1050),0)</f>
        <v>0</v>
      </c>
      <c r="AI1050" s="43">
        <f>IF(OR($C1050="",$I1050=""),0,IF(COUNTIFS($C$5:$C1050,$C1050,$I$5:$I1050,$I1050)=1,1,0))</f>
        <v>0</v>
      </c>
      <c r="AJ1050" s="43" t="str">
        <f>IF($AI1050=1,SUMIFS($AI$4:$AI1049,$C$4:$C1049,$C1050)+1,"")</f>
        <v/>
      </c>
      <c r="AK1050" s="43">
        <f>IF(OR($C1050="",$K1050=""),0,IF(COUNTIFS($C$5:$C1050,$C1050,$K$5:$K1050,$K1050)=1,1,0))</f>
        <v>0</v>
      </c>
      <c r="AL1050" s="43" t="str">
        <f>IF($AK1050=1,SUMIFS($AK$4:$AK1049,$C$4:$C1049,$C1050)+1,"")</f>
        <v/>
      </c>
      <c r="AM1050" s="43">
        <f>IF(OR($C1050="",$G1050=""),0,IF(COUNTIFS($C$5:$C1050,$C1050,$G$5:$G1050,$G1050)=1,1,0))</f>
        <v>0</v>
      </c>
      <c r="AN1050" s="43" t="str">
        <f>IF($AM1050=1,SUMIFS($AM$4:$AM1049,$C$4:$C1049,$C1050)+1,"")</f>
        <v/>
      </c>
    </row>
    <row r="1051">
      <c r="A1051" s="44" t="str">
        <f>IF(OR($B1051="",$D1051=""),"","TX"&amp;TEXT(ROW()-4,"0000"))</f>
        <v/>
      </c>
      <c r="B1051" s="42" t="n"/>
      <c r="C1051" s="47" t="str">
        <f>IF($B1051="","",YEAR($B1051)*100+MONTH($B1051))</f>
        <v/>
      </c>
      <c r="D1051" s="37" t="n"/>
      <c r="E1051" s="45" t="str">
        <f>IF($D1051="","",IFERROR(INDEX(CARDS!$B$5:$B$34,MATCH($D1051,CARDS!$A$5:$A$34,0)),"⚠ Card ID?"))</f>
        <v/>
      </c>
      <c r="F1051" s="45" t="str">
        <f>IF($D1051="","",IFERROR(INDEX(CARDS!$C$5:$C$34,MATCH($D1051,CARDS!$A$5:$A$34,0)),"⚠ Card ID?"))</f>
        <v/>
      </c>
      <c r="G1051" s="37" t="n"/>
      <c r="H1051" s="37" t="n"/>
      <c r="I1051" s="41" t="n"/>
      <c r="J1051" s="45" t="str">
        <f>IF($I1051="","",IFERROR(INDEX(MCC_MASTER!$B$5:$B$504,MATCH($I1051,MCC_MASTER!$A$5:$A$504,0)),"⚠ MCC chưa có"))</f>
        <v/>
      </c>
      <c r="K1051" s="45" t="str">
        <f>IF($I1051="","",IFERROR(IF(INDEX(MCC_MASTER!$C$5:$C$504,MATCH($I1051,MCC_MASTER!$A$5:$A$504,0))="","Chưa phân loại",INDEX(MCC_MASTER!$C$5:$C$504,MATCH($I1051,MCC_MASTER!$A$5:$A$504,0))),"Chưa phân loại"))</f>
        <v/>
      </c>
      <c r="L1051" s="40" t="n"/>
      <c r="M1051" s="48" t="str">
        <f>IF(OR($B1051="",$D1051=""),"",IF($AC1051=0,0,IF(ISNUMBER(INDEX(CASHBACK_RULES!$L$5:$L$304,$AC1051)),MAX(0,MIN($L1051,INDEX(CASHBACK_RULES!$L$5:$L$304,$AC1051)-$AH1051)),MAX(0,$L1051))))</f>
        <v/>
      </c>
      <c r="N1051" s="49" t="str">
        <f>IF(OR($B1051="",$D1051=""),"",IF($AC1051&gt;0,INDEX(CASHBACK_RULES!$I$5:$I$304,$AC1051),0))</f>
        <v/>
      </c>
      <c r="O1051" s="48" t="str">
        <f>IF(OR($B1051="",$D1051=""),"",ROUND($M1051*$N1051,0))</f>
        <v/>
      </c>
      <c r="P1051" s="48" t="str">
        <f>IF($AC1051&gt;0,IF(ISNUMBER(INDEX(CASHBACK_RULES!$J$5:$J$304,$AC1051)),INDEX(CASHBACK_RULES!$J$5:$J$304,$AC1051),"∞"),"")</f>
        <v/>
      </c>
      <c r="Q1051" s="48" t="str">
        <f>IF(OR($B1051="",$D1051=""),"",IF($AC1051=0,0,MAX(0,MIN($O1051,IF(ISNUMBER($P1051),$P1051-$AF1051,1E+15),IF(ISNUMBER($AA1051),$AA1051-$AG1051,1E+15)))))</f>
        <v/>
      </c>
      <c r="R1051" s="48" t="str">
        <f>IF(OR($B1051="",$D1051=""),"",IF($AC1051=0,"",IF(AND(NOT(ISNUMBER($P1051)),NOT(ISNUMBER($AA1051))),"∞",MAX(0,MIN(IF(ISNUMBER($P1051),$P1051-$AF1051-$Q1051,1E+15),IF(ISNUMBER($AA1051),$AA1051-$AG1051-$Q1051,1E+15))))))</f>
        <v/>
      </c>
      <c r="S1051" s="47" t="str">
        <f>IF($AD1051="","",YEAR($AD1051)*100+MONTH($AD1051))</f>
        <v/>
      </c>
      <c r="T1051" s="50" t="str">
        <f>IF($AD1051="","",IFERROR(IF(INDEX(CARDS!$I$5:$I$34,MATCH($D1051,CARDS!$A$5:$A$34,0))="","",IF(INDEX(CARDS!$I$5:$I$34,MATCH($D1051,CARDS!$A$5:$A$34,0))&gt;INDEX(CARDS!$H$5:$H$34,MATCH($D1051,CARDS!$A$5:$A$34,0)),DATE(YEAR($AD1051),MONTH($AD1051),MIN(INDEX(CARDS!$I$5:$I$34,MATCH($D1051,CARDS!$A$5:$A$34,0)),DAY(EOMONTH($AD1051,0)))),DATE(YEAR($AD1051),MONTH($AD1051)+1,MIN(INDEX(CARDS!$I$5:$I$34,MATCH($D1051,CARDS!$A$5:$A$34,0)),DAY(EOMONTH($AD1051,1)))))),""))</f>
        <v/>
      </c>
      <c r="U1051" s="38" t="n"/>
      <c r="V1051" s="37" t="n"/>
      <c r="W1051" s="38" t="n"/>
      <c r="X1051" s="38" t="n"/>
      <c r="Y1051" s="44" t="str">
        <f>IF($AC1051&gt;0,INDEX(CASHBACK_RULES!$A$5:$A$304,$AC1051),"")</f>
        <v/>
      </c>
      <c r="Z1051" s="45" t="str">
        <f>IF($AC1051&gt;0,INDEX(CASHBACK_RULES!$E$5:$E$304,$AC1051)&amp;"","")</f>
        <v/>
      </c>
      <c r="AA1051" s="48" t="str">
        <f>IF($AC1051&gt;0,IF(ISNUMBER(INDEX(CASHBACK_RULES!$K$5:$K$304,$AC1051)),INDEX(CASHBACK_RULES!$K$5:$K$304,$AC1051),"∞"),"")</f>
        <v/>
      </c>
      <c r="AB1051" s="44" t="str">
        <f>IF(OR($B1051="",$D1051=""),"",IF($U1051="Cancelled","Đã hủy",IF($AC1051=0,"Không được hoàn",IF($Q1051=0,IF(OR($O1051&gt;0,$M1051&lt;$L1051),"Đã đạt cap","Không được hoàn"),IF(OR($Q1051&lt;$O1051,$M1051&lt;$L1051),"Hoàn một phần","Được hoàn")))))</f>
        <v/>
      </c>
      <c r="AC1051" s="43">
        <f>IF(OR($B1051="",$D1051="",$I1051="",$L1051=""),0,IF($U1051="Cancelled",0,IF($W1051&lt;&gt;"",IFERROR(IF(INDEX(CASHBACK_RULES!$B$5:$B$304,MATCH($W1051,CASHBACK_RULES!$A$5:$A$304,0))=$D1051,MATCH($W1051,CASHBACK_RULES!$A$5:$A$304,0),0),0),IFERROR(MATCH(1,INDEX((CASHBACK_RULES!$B$5:$B$304=$D1051)*(CASHBACK_RULES!$G$5:$G$304=$I1051)*(((CASHBACK_RULES!$N$5:$N$304="")+(CASHBACK_RULES!$N$5:$N$304&lt;=$B1051))&gt;0)*(((CASHBACK_RULES!$O$5:$O$304="")+(CASHBACK_RULES!$O$5:$O$304&gt;=$B1051))&gt;0)*(((CASHBACK_RULES!$M$5:$M$304="")+(CASHBACK_RULES!$M$5:$M$304&lt;=$L1051))&gt;0),0),0),0))))</f>
        <v>0</v>
      </c>
      <c r="AD1051" s="51" t="str">
        <f>IF(OR($B1051="",$D1051=""),"",IFERROR(IF(INDEX(CARDS!$H$5:$H$34,MATCH($D1051,CARDS!$A$5:$A$34,0))="","",IF(DAY($B1051)&lt;=INDEX(CARDS!$H$5:$H$34,MATCH($D1051,CARDS!$A$5:$A$34,0)),DATE(YEAR($B1051),MONTH($B1051),MIN(INDEX(CARDS!$H$5:$H$34,MATCH($D1051,CARDS!$A$5:$A$34,0)),DAY(EOMONTH($B1051,0)))),DATE(YEAR($B1051),MONTH($B1051)+1,MIN(INDEX(CARDS!$H$5:$H$34,MATCH($D1051,CARDS!$A$5:$A$34,0)),DAY(EOMONTH($B1051,1)))))),""))</f>
        <v/>
      </c>
      <c r="AE1051" s="52" t="str">
        <f>IF($C1051="","",$C1051&amp;"|"&amp;COUNTIF($C$5:$C1051,$C1051))</f>
        <v/>
      </c>
      <c r="AF1051" s="53">
        <f>IF($AC1051&gt;0,SUMIFS(Q$4:Q1050,$D$4:$D1050,$D1051,$Z$4:$Z1050,$Z1051,$C$4:$C1050,$C1051),0)</f>
        <v>0</v>
      </c>
      <c r="AG1051" s="53">
        <f>IF($AC1051&gt;0,SUMIFS(Q$4:Q1050,$D$4:$D1050,$D1051,$C$4:$C1050,$C1051),0)</f>
        <v>0</v>
      </c>
      <c r="AH1051" s="53">
        <f>IF($AC1051&gt;0,SUMIFS(M$4:M1050,$D$4:$D1050,$D1051,$Z$4:$Z1050,$Z1051,$C$4:$C1050,$C1051),0)</f>
        <v>0</v>
      </c>
      <c r="AI1051" s="43">
        <f>IF(OR($C1051="",$I1051=""),0,IF(COUNTIFS($C$5:$C1051,$C1051,$I$5:$I1051,$I1051)=1,1,0))</f>
        <v>0</v>
      </c>
      <c r="AJ1051" s="43" t="str">
        <f>IF($AI1051=1,SUMIFS($AI$4:$AI1050,$C$4:$C1050,$C1051)+1,"")</f>
        <v/>
      </c>
      <c r="AK1051" s="43">
        <f>IF(OR($C1051="",$K1051=""),0,IF(COUNTIFS($C$5:$C1051,$C1051,$K$5:$K1051,$K1051)=1,1,0))</f>
        <v>0</v>
      </c>
      <c r="AL1051" s="43" t="str">
        <f>IF($AK1051=1,SUMIFS($AK$4:$AK1050,$C$4:$C1050,$C1051)+1,"")</f>
        <v/>
      </c>
      <c r="AM1051" s="43">
        <f>IF(OR($C1051="",$G1051=""),0,IF(COUNTIFS($C$5:$C1051,$C1051,$G$5:$G1051,$G1051)=1,1,0))</f>
        <v>0</v>
      </c>
      <c r="AN1051" s="43" t="str">
        <f>IF($AM1051=1,SUMIFS($AM$4:$AM1050,$C$4:$C1050,$C1051)+1,"")</f>
        <v/>
      </c>
    </row>
    <row r="1052">
      <c r="A1052" s="44" t="str">
        <f>IF(OR($B1052="",$D1052=""),"","TX"&amp;TEXT(ROW()-4,"0000"))</f>
        <v/>
      </c>
      <c r="B1052" s="42" t="n"/>
      <c r="C1052" s="47" t="str">
        <f>IF($B1052="","",YEAR($B1052)*100+MONTH($B1052))</f>
        <v/>
      </c>
      <c r="D1052" s="37" t="n"/>
      <c r="E1052" s="45" t="str">
        <f>IF($D1052="","",IFERROR(INDEX(CARDS!$B$5:$B$34,MATCH($D1052,CARDS!$A$5:$A$34,0)),"⚠ Card ID?"))</f>
        <v/>
      </c>
      <c r="F1052" s="45" t="str">
        <f>IF($D1052="","",IFERROR(INDEX(CARDS!$C$5:$C$34,MATCH($D1052,CARDS!$A$5:$A$34,0)),"⚠ Card ID?"))</f>
        <v/>
      </c>
      <c r="G1052" s="37" t="n"/>
      <c r="H1052" s="37" t="n"/>
      <c r="I1052" s="41" t="n"/>
      <c r="J1052" s="45" t="str">
        <f>IF($I1052="","",IFERROR(INDEX(MCC_MASTER!$B$5:$B$504,MATCH($I1052,MCC_MASTER!$A$5:$A$504,0)),"⚠ MCC chưa có"))</f>
        <v/>
      </c>
      <c r="K1052" s="45" t="str">
        <f>IF($I1052="","",IFERROR(IF(INDEX(MCC_MASTER!$C$5:$C$504,MATCH($I1052,MCC_MASTER!$A$5:$A$504,0))="","Chưa phân loại",INDEX(MCC_MASTER!$C$5:$C$504,MATCH($I1052,MCC_MASTER!$A$5:$A$504,0))),"Chưa phân loại"))</f>
        <v/>
      </c>
      <c r="L1052" s="40" t="n"/>
      <c r="M1052" s="48" t="str">
        <f>IF(OR($B1052="",$D1052=""),"",IF($AC1052=0,0,IF(ISNUMBER(INDEX(CASHBACK_RULES!$L$5:$L$304,$AC1052)),MAX(0,MIN($L1052,INDEX(CASHBACK_RULES!$L$5:$L$304,$AC1052)-$AH1052)),MAX(0,$L1052))))</f>
        <v/>
      </c>
      <c r="N1052" s="49" t="str">
        <f>IF(OR($B1052="",$D1052=""),"",IF($AC1052&gt;0,INDEX(CASHBACK_RULES!$I$5:$I$304,$AC1052),0))</f>
        <v/>
      </c>
      <c r="O1052" s="48" t="str">
        <f>IF(OR($B1052="",$D1052=""),"",ROUND($M1052*$N1052,0))</f>
        <v/>
      </c>
      <c r="P1052" s="48" t="str">
        <f>IF($AC1052&gt;0,IF(ISNUMBER(INDEX(CASHBACK_RULES!$J$5:$J$304,$AC1052)),INDEX(CASHBACK_RULES!$J$5:$J$304,$AC1052),"∞"),"")</f>
        <v/>
      </c>
      <c r="Q1052" s="48" t="str">
        <f>IF(OR($B1052="",$D1052=""),"",IF($AC1052=0,0,MAX(0,MIN($O1052,IF(ISNUMBER($P1052),$P1052-$AF1052,1E+15),IF(ISNUMBER($AA1052),$AA1052-$AG1052,1E+15)))))</f>
        <v/>
      </c>
      <c r="R1052" s="48" t="str">
        <f>IF(OR($B1052="",$D1052=""),"",IF($AC1052=0,"",IF(AND(NOT(ISNUMBER($P1052)),NOT(ISNUMBER($AA1052))),"∞",MAX(0,MIN(IF(ISNUMBER($P1052),$P1052-$AF1052-$Q1052,1E+15),IF(ISNUMBER($AA1052),$AA1052-$AG1052-$Q1052,1E+15))))))</f>
        <v/>
      </c>
      <c r="S1052" s="47" t="str">
        <f>IF($AD1052="","",YEAR($AD1052)*100+MONTH($AD1052))</f>
        <v/>
      </c>
      <c r="T1052" s="50" t="str">
        <f>IF($AD1052="","",IFERROR(IF(INDEX(CARDS!$I$5:$I$34,MATCH($D1052,CARDS!$A$5:$A$34,0))="","",IF(INDEX(CARDS!$I$5:$I$34,MATCH($D1052,CARDS!$A$5:$A$34,0))&gt;INDEX(CARDS!$H$5:$H$34,MATCH($D1052,CARDS!$A$5:$A$34,0)),DATE(YEAR($AD1052),MONTH($AD1052),MIN(INDEX(CARDS!$I$5:$I$34,MATCH($D1052,CARDS!$A$5:$A$34,0)),DAY(EOMONTH($AD1052,0)))),DATE(YEAR($AD1052),MONTH($AD1052)+1,MIN(INDEX(CARDS!$I$5:$I$34,MATCH($D1052,CARDS!$A$5:$A$34,0)),DAY(EOMONTH($AD1052,1)))))),""))</f>
        <v/>
      </c>
      <c r="U1052" s="38" t="n"/>
      <c r="V1052" s="37" t="n"/>
      <c r="W1052" s="38" t="n"/>
      <c r="X1052" s="38" t="n"/>
      <c r="Y1052" s="44" t="str">
        <f>IF($AC1052&gt;0,INDEX(CASHBACK_RULES!$A$5:$A$304,$AC1052),"")</f>
        <v/>
      </c>
      <c r="Z1052" s="45" t="str">
        <f>IF($AC1052&gt;0,INDEX(CASHBACK_RULES!$E$5:$E$304,$AC1052)&amp;"","")</f>
        <v/>
      </c>
      <c r="AA1052" s="48" t="str">
        <f>IF($AC1052&gt;0,IF(ISNUMBER(INDEX(CASHBACK_RULES!$K$5:$K$304,$AC1052)),INDEX(CASHBACK_RULES!$K$5:$K$304,$AC1052),"∞"),"")</f>
        <v/>
      </c>
      <c r="AB1052" s="44" t="str">
        <f>IF(OR($B1052="",$D1052=""),"",IF($U1052="Cancelled","Đã hủy",IF($AC1052=0,"Không được hoàn",IF($Q1052=0,IF(OR($O1052&gt;0,$M1052&lt;$L1052),"Đã đạt cap","Không được hoàn"),IF(OR($Q1052&lt;$O1052,$M1052&lt;$L1052),"Hoàn một phần","Được hoàn")))))</f>
        <v/>
      </c>
      <c r="AC1052" s="43">
        <f>IF(OR($B1052="",$D1052="",$I1052="",$L1052=""),0,IF($U1052="Cancelled",0,IF($W1052&lt;&gt;"",IFERROR(IF(INDEX(CASHBACK_RULES!$B$5:$B$304,MATCH($W1052,CASHBACK_RULES!$A$5:$A$304,0))=$D1052,MATCH($W1052,CASHBACK_RULES!$A$5:$A$304,0),0),0),IFERROR(MATCH(1,INDEX((CASHBACK_RULES!$B$5:$B$304=$D1052)*(CASHBACK_RULES!$G$5:$G$304=$I1052)*(((CASHBACK_RULES!$N$5:$N$304="")+(CASHBACK_RULES!$N$5:$N$304&lt;=$B1052))&gt;0)*(((CASHBACK_RULES!$O$5:$O$304="")+(CASHBACK_RULES!$O$5:$O$304&gt;=$B1052))&gt;0)*(((CASHBACK_RULES!$M$5:$M$304="")+(CASHBACK_RULES!$M$5:$M$304&lt;=$L1052))&gt;0),0),0),0))))</f>
        <v>0</v>
      </c>
      <c r="AD1052" s="51" t="str">
        <f>IF(OR($B1052="",$D1052=""),"",IFERROR(IF(INDEX(CARDS!$H$5:$H$34,MATCH($D1052,CARDS!$A$5:$A$34,0))="","",IF(DAY($B1052)&lt;=INDEX(CARDS!$H$5:$H$34,MATCH($D1052,CARDS!$A$5:$A$34,0)),DATE(YEAR($B1052),MONTH($B1052),MIN(INDEX(CARDS!$H$5:$H$34,MATCH($D1052,CARDS!$A$5:$A$34,0)),DAY(EOMONTH($B1052,0)))),DATE(YEAR($B1052),MONTH($B1052)+1,MIN(INDEX(CARDS!$H$5:$H$34,MATCH($D1052,CARDS!$A$5:$A$34,0)),DAY(EOMONTH($B1052,1)))))),""))</f>
        <v/>
      </c>
      <c r="AE1052" s="52" t="str">
        <f>IF($C1052="","",$C1052&amp;"|"&amp;COUNTIF($C$5:$C1052,$C1052))</f>
        <v/>
      </c>
      <c r="AF1052" s="53">
        <f>IF($AC1052&gt;0,SUMIFS(Q$4:Q1051,$D$4:$D1051,$D1052,$Z$4:$Z1051,$Z1052,$C$4:$C1051,$C1052),0)</f>
        <v>0</v>
      </c>
      <c r="AG1052" s="53">
        <f>IF($AC1052&gt;0,SUMIFS(Q$4:Q1051,$D$4:$D1051,$D1052,$C$4:$C1051,$C1052),0)</f>
        <v>0</v>
      </c>
      <c r="AH1052" s="53">
        <f>IF($AC1052&gt;0,SUMIFS(M$4:M1051,$D$4:$D1051,$D1052,$Z$4:$Z1051,$Z1052,$C$4:$C1051,$C1052),0)</f>
        <v>0</v>
      </c>
      <c r="AI1052" s="43">
        <f>IF(OR($C1052="",$I1052=""),0,IF(COUNTIFS($C$5:$C1052,$C1052,$I$5:$I1052,$I1052)=1,1,0))</f>
        <v>0</v>
      </c>
      <c r="AJ1052" s="43" t="str">
        <f>IF($AI1052=1,SUMIFS($AI$4:$AI1051,$C$4:$C1051,$C1052)+1,"")</f>
        <v/>
      </c>
      <c r="AK1052" s="43">
        <f>IF(OR($C1052="",$K1052=""),0,IF(COUNTIFS($C$5:$C1052,$C1052,$K$5:$K1052,$K1052)=1,1,0))</f>
        <v>0</v>
      </c>
      <c r="AL1052" s="43" t="str">
        <f>IF($AK1052=1,SUMIFS($AK$4:$AK1051,$C$4:$C1051,$C1052)+1,"")</f>
        <v/>
      </c>
      <c r="AM1052" s="43">
        <f>IF(OR($C1052="",$G1052=""),0,IF(COUNTIFS($C$5:$C1052,$C1052,$G$5:$G1052,$G1052)=1,1,0))</f>
        <v>0</v>
      </c>
      <c r="AN1052" s="43" t="str">
        <f>IF($AM1052=1,SUMIFS($AM$4:$AM1051,$C$4:$C1051,$C1052)+1,"")</f>
        <v/>
      </c>
    </row>
    <row r="1053">
      <c r="A1053" s="44" t="str">
        <f>IF(OR($B1053="",$D1053=""),"","TX"&amp;TEXT(ROW()-4,"0000"))</f>
        <v/>
      </c>
      <c r="B1053" s="42" t="n"/>
      <c r="C1053" s="47" t="str">
        <f>IF($B1053="","",YEAR($B1053)*100+MONTH($B1053))</f>
        <v/>
      </c>
      <c r="D1053" s="37" t="n"/>
      <c r="E1053" s="45" t="str">
        <f>IF($D1053="","",IFERROR(INDEX(CARDS!$B$5:$B$34,MATCH($D1053,CARDS!$A$5:$A$34,0)),"⚠ Card ID?"))</f>
        <v/>
      </c>
      <c r="F1053" s="45" t="str">
        <f>IF($D1053="","",IFERROR(INDEX(CARDS!$C$5:$C$34,MATCH($D1053,CARDS!$A$5:$A$34,0)),"⚠ Card ID?"))</f>
        <v/>
      </c>
      <c r="G1053" s="37" t="n"/>
      <c r="H1053" s="37" t="n"/>
      <c r="I1053" s="41" t="n"/>
      <c r="J1053" s="45" t="str">
        <f>IF($I1053="","",IFERROR(INDEX(MCC_MASTER!$B$5:$B$504,MATCH($I1053,MCC_MASTER!$A$5:$A$504,0)),"⚠ MCC chưa có"))</f>
        <v/>
      </c>
      <c r="K1053" s="45" t="str">
        <f>IF($I1053="","",IFERROR(IF(INDEX(MCC_MASTER!$C$5:$C$504,MATCH($I1053,MCC_MASTER!$A$5:$A$504,0))="","Chưa phân loại",INDEX(MCC_MASTER!$C$5:$C$504,MATCH($I1053,MCC_MASTER!$A$5:$A$504,0))),"Chưa phân loại"))</f>
        <v/>
      </c>
      <c r="L1053" s="40" t="n"/>
      <c r="M1053" s="48" t="str">
        <f>IF(OR($B1053="",$D1053=""),"",IF($AC1053=0,0,IF(ISNUMBER(INDEX(CASHBACK_RULES!$L$5:$L$304,$AC1053)),MAX(0,MIN($L1053,INDEX(CASHBACK_RULES!$L$5:$L$304,$AC1053)-$AH1053)),MAX(0,$L1053))))</f>
        <v/>
      </c>
      <c r="N1053" s="49" t="str">
        <f>IF(OR($B1053="",$D1053=""),"",IF($AC1053&gt;0,INDEX(CASHBACK_RULES!$I$5:$I$304,$AC1053),0))</f>
        <v/>
      </c>
      <c r="O1053" s="48" t="str">
        <f>IF(OR($B1053="",$D1053=""),"",ROUND($M1053*$N1053,0))</f>
        <v/>
      </c>
      <c r="P1053" s="48" t="str">
        <f>IF($AC1053&gt;0,IF(ISNUMBER(INDEX(CASHBACK_RULES!$J$5:$J$304,$AC1053)),INDEX(CASHBACK_RULES!$J$5:$J$304,$AC1053),"∞"),"")</f>
        <v/>
      </c>
      <c r="Q1053" s="48" t="str">
        <f>IF(OR($B1053="",$D1053=""),"",IF($AC1053=0,0,MAX(0,MIN($O1053,IF(ISNUMBER($P1053),$P1053-$AF1053,1E+15),IF(ISNUMBER($AA1053),$AA1053-$AG1053,1E+15)))))</f>
        <v/>
      </c>
      <c r="R1053" s="48" t="str">
        <f>IF(OR($B1053="",$D1053=""),"",IF($AC1053=0,"",IF(AND(NOT(ISNUMBER($P1053)),NOT(ISNUMBER($AA1053))),"∞",MAX(0,MIN(IF(ISNUMBER($P1053),$P1053-$AF1053-$Q1053,1E+15),IF(ISNUMBER($AA1053),$AA1053-$AG1053-$Q1053,1E+15))))))</f>
        <v/>
      </c>
      <c r="S1053" s="47" t="str">
        <f>IF($AD1053="","",YEAR($AD1053)*100+MONTH($AD1053))</f>
        <v/>
      </c>
      <c r="T1053" s="50" t="str">
        <f>IF($AD1053="","",IFERROR(IF(INDEX(CARDS!$I$5:$I$34,MATCH($D1053,CARDS!$A$5:$A$34,0))="","",IF(INDEX(CARDS!$I$5:$I$34,MATCH($D1053,CARDS!$A$5:$A$34,0))&gt;INDEX(CARDS!$H$5:$H$34,MATCH($D1053,CARDS!$A$5:$A$34,0)),DATE(YEAR($AD1053),MONTH($AD1053),MIN(INDEX(CARDS!$I$5:$I$34,MATCH($D1053,CARDS!$A$5:$A$34,0)),DAY(EOMONTH($AD1053,0)))),DATE(YEAR($AD1053),MONTH($AD1053)+1,MIN(INDEX(CARDS!$I$5:$I$34,MATCH($D1053,CARDS!$A$5:$A$34,0)),DAY(EOMONTH($AD1053,1)))))),""))</f>
        <v/>
      </c>
      <c r="U1053" s="38" t="n"/>
      <c r="V1053" s="37" t="n"/>
      <c r="W1053" s="38" t="n"/>
      <c r="X1053" s="38" t="n"/>
      <c r="Y1053" s="44" t="str">
        <f>IF($AC1053&gt;0,INDEX(CASHBACK_RULES!$A$5:$A$304,$AC1053),"")</f>
        <v/>
      </c>
      <c r="Z1053" s="45" t="str">
        <f>IF($AC1053&gt;0,INDEX(CASHBACK_RULES!$E$5:$E$304,$AC1053)&amp;"","")</f>
        <v/>
      </c>
      <c r="AA1053" s="48" t="str">
        <f>IF($AC1053&gt;0,IF(ISNUMBER(INDEX(CASHBACK_RULES!$K$5:$K$304,$AC1053)),INDEX(CASHBACK_RULES!$K$5:$K$304,$AC1053),"∞"),"")</f>
        <v/>
      </c>
      <c r="AB1053" s="44" t="str">
        <f>IF(OR($B1053="",$D1053=""),"",IF($U1053="Cancelled","Đã hủy",IF($AC1053=0,"Không được hoàn",IF($Q1053=0,IF(OR($O1053&gt;0,$M1053&lt;$L1053),"Đã đạt cap","Không được hoàn"),IF(OR($Q1053&lt;$O1053,$M1053&lt;$L1053),"Hoàn một phần","Được hoàn")))))</f>
        <v/>
      </c>
      <c r="AC1053" s="43">
        <f>IF(OR($B1053="",$D1053="",$I1053="",$L1053=""),0,IF($U1053="Cancelled",0,IF($W1053&lt;&gt;"",IFERROR(IF(INDEX(CASHBACK_RULES!$B$5:$B$304,MATCH($W1053,CASHBACK_RULES!$A$5:$A$304,0))=$D1053,MATCH($W1053,CASHBACK_RULES!$A$5:$A$304,0),0),0),IFERROR(MATCH(1,INDEX((CASHBACK_RULES!$B$5:$B$304=$D1053)*(CASHBACK_RULES!$G$5:$G$304=$I1053)*(((CASHBACK_RULES!$N$5:$N$304="")+(CASHBACK_RULES!$N$5:$N$304&lt;=$B1053))&gt;0)*(((CASHBACK_RULES!$O$5:$O$304="")+(CASHBACK_RULES!$O$5:$O$304&gt;=$B1053))&gt;0)*(((CASHBACK_RULES!$M$5:$M$304="")+(CASHBACK_RULES!$M$5:$M$304&lt;=$L1053))&gt;0),0),0),0))))</f>
        <v>0</v>
      </c>
      <c r="AD1053" s="51" t="str">
        <f>IF(OR($B1053="",$D1053=""),"",IFERROR(IF(INDEX(CARDS!$H$5:$H$34,MATCH($D1053,CARDS!$A$5:$A$34,0))="","",IF(DAY($B1053)&lt;=INDEX(CARDS!$H$5:$H$34,MATCH($D1053,CARDS!$A$5:$A$34,0)),DATE(YEAR($B1053),MONTH($B1053),MIN(INDEX(CARDS!$H$5:$H$34,MATCH($D1053,CARDS!$A$5:$A$34,0)),DAY(EOMONTH($B1053,0)))),DATE(YEAR($B1053),MONTH($B1053)+1,MIN(INDEX(CARDS!$H$5:$H$34,MATCH($D1053,CARDS!$A$5:$A$34,0)),DAY(EOMONTH($B1053,1)))))),""))</f>
        <v/>
      </c>
      <c r="AE1053" s="52" t="str">
        <f>IF($C1053="","",$C1053&amp;"|"&amp;COUNTIF($C$5:$C1053,$C1053))</f>
        <v/>
      </c>
      <c r="AF1053" s="53">
        <f>IF($AC1053&gt;0,SUMIFS(Q$4:Q1052,$D$4:$D1052,$D1053,$Z$4:$Z1052,$Z1053,$C$4:$C1052,$C1053),0)</f>
        <v>0</v>
      </c>
      <c r="AG1053" s="53">
        <f>IF($AC1053&gt;0,SUMIFS(Q$4:Q1052,$D$4:$D1052,$D1053,$C$4:$C1052,$C1053),0)</f>
        <v>0</v>
      </c>
      <c r="AH1053" s="53">
        <f>IF($AC1053&gt;0,SUMIFS(M$4:M1052,$D$4:$D1052,$D1053,$Z$4:$Z1052,$Z1053,$C$4:$C1052,$C1053),0)</f>
        <v>0</v>
      </c>
      <c r="AI1053" s="43">
        <f>IF(OR($C1053="",$I1053=""),0,IF(COUNTIFS($C$5:$C1053,$C1053,$I$5:$I1053,$I1053)=1,1,0))</f>
        <v>0</v>
      </c>
      <c r="AJ1053" s="43" t="str">
        <f>IF($AI1053=1,SUMIFS($AI$4:$AI1052,$C$4:$C1052,$C1053)+1,"")</f>
        <v/>
      </c>
      <c r="AK1053" s="43">
        <f>IF(OR($C1053="",$K1053=""),0,IF(COUNTIFS($C$5:$C1053,$C1053,$K$5:$K1053,$K1053)=1,1,0))</f>
        <v>0</v>
      </c>
      <c r="AL1053" s="43" t="str">
        <f>IF($AK1053=1,SUMIFS($AK$4:$AK1052,$C$4:$C1052,$C1053)+1,"")</f>
        <v/>
      </c>
      <c r="AM1053" s="43">
        <f>IF(OR($C1053="",$G1053=""),0,IF(COUNTIFS($C$5:$C1053,$C1053,$G$5:$G1053,$G1053)=1,1,0))</f>
        <v>0</v>
      </c>
      <c r="AN1053" s="43" t="str">
        <f>IF($AM1053=1,SUMIFS($AM$4:$AM1052,$C$4:$C1052,$C1053)+1,"")</f>
        <v/>
      </c>
    </row>
    <row r="1054">
      <c r="A1054" s="44" t="str">
        <f>IF(OR($B1054="",$D1054=""),"","TX"&amp;TEXT(ROW()-4,"0000"))</f>
        <v/>
      </c>
      <c r="B1054" s="42" t="n"/>
      <c r="C1054" s="47" t="str">
        <f>IF($B1054="","",YEAR($B1054)*100+MONTH($B1054))</f>
        <v/>
      </c>
      <c r="D1054" s="37" t="n"/>
      <c r="E1054" s="45" t="str">
        <f>IF($D1054="","",IFERROR(INDEX(CARDS!$B$5:$B$34,MATCH($D1054,CARDS!$A$5:$A$34,0)),"⚠ Card ID?"))</f>
        <v/>
      </c>
      <c r="F1054" s="45" t="str">
        <f>IF($D1054="","",IFERROR(INDEX(CARDS!$C$5:$C$34,MATCH($D1054,CARDS!$A$5:$A$34,0)),"⚠ Card ID?"))</f>
        <v/>
      </c>
      <c r="G1054" s="37" t="n"/>
      <c r="H1054" s="37" t="n"/>
      <c r="I1054" s="41" t="n"/>
      <c r="J1054" s="45" t="str">
        <f>IF($I1054="","",IFERROR(INDEX(MCC_MASTER!$B$5:$B$504,MATCH($I1054,MCC_MASTER!$A$5:$A$504,0)),"⚠ MCC chưa có"))</f>
        <v/>
      </c>
      <c r="K1054" s="45" t="str">
        <f>IF($I1054="","",IFERROR(IF(INDEX(MCC_MASTER!$C$5:$C$504,MATCH($I1054,MCC_MASTER!$A$5:$A$504,0))="","Chưa phân loại",INDEX(MCC_MASTER!$C$5:$C$504,MATCH($I1054,MCC_MASTER!$A$5:$A$504,0))),"Chưa phân loại"))</f>
        <v/>
      </c>
      <c r="L1054" s="40" t="n"/>
      <c r="M1054" s="48" t="str">
        <f>IF(OR($B1054="",$D1054=""),"",IF($AC1054=0,0,IF(ISNUMBER(INDEX(CASHBACK_RULES!$L$5:$L$304,$AC1054)),MAX(0,MIN($L1054,INDEX(CASHBACK_RULES!$L$5:$L$304,$AC1054)-$AH1054)),MAX(0,$L1054))))</f>
        <v/>
      </c>
      <c r="N1054" s="49" t="str">
        <f>IF(OR($B1054="",$D1054=""),"",IF($AC1054&gt;0,INDEX(CASHBACK_RULES!$I$5:$I$304,$AC1054),0))</f>
        <v/>
      </c>
      <c r="O1054" s="48" t="str">
        <f>IF(OR($B1054="",$D1054=""),"",ROUND($M1054*$N1054,0))</f>
        <v/>
      </c>
      <c r="P1054" s="48" t="str">
        <f>IF($AC1054&gt;0,IF(ISNUMBER(INDEX(CASHBACK_RULES!$J$5:$J$304,$AC1054)),INDEX(CASHBACK_RULES!$J$5:$J$304,$AC1054),"∞"),"")</f>
        <v/>
      </c>
      <c r="Q1054" s="48" t="str">
        <f>IF(OR($B1054="",$D1054=""),"",IF($AC1054=0,0,MAX(0,MIN($O1054,IF(ISNUMBER($P1054),$P1054-$AF1054,1E+15),IF(ISNUMBER($AA1054),$AA1054-$AG1054,1E+15)))))</f>
        <v/>
      </c>
      <c r="R1054" s="48" t="str">
        <f>IF(OR($B1054="",$D1054=""),"",IF($AC1054=0,"",IF(AND(NOT(ISNUMBER($P1054)),NOT(ISNUMBER($AA1054))),"∞",MAX(0,MIN(IF(ISNUMBER($P1054),$P1054-$AF1054-$Q1054,1E+15),IF(ISNUMBER($AA1054),$AA1054-$AG1054-$Q1054,1E+15))))))</f>
        <v/>
      </c>
      <c r="S1054" s="47" t="str">
        <f>IF($AD1054="","",YEAR($AD1054)*100+MONTH($AD1054))</f>
        <v/>
      </c>
      <c r="T1054" s="50" t="str">
        <f>IF($AD1054="","",IFERROR(IF(INDEX(CARDS!$I$5:$I$34,MATCH($D1054,CARDS!$A$5:$A$34,0))="","",IF(INDEX(CARDS!$I$5:$I$34,MATCH($D1054,CARDS!$A$5:$A$34,0))&gt;INDEX(CARDS!$H$5:$H$34,MATCH($D1054,CARDS!$A$5:$A$34,0)),DATE(YEAR($AD1054),MONTH($AD1054),MIN(INDEX(CARDS!$I$5:$I$34,MATCH($D1054,CARDS!$A$5:$A$34,0)),DAY(EOMONTH($AD1054,0)))),DATE(YEAR($AD1054),MONTH($AD1054)+1,MIN(INDEX(CARDS!$I$5:$I$34,MATCH($D1054,CARDS!$A$5:$A$34,0)),DAY(EOMONTH($AD1054,1)))))),""))</f>
        <v/>
      </c>
      <c r="U1054" s="38" t="n"/>
      <c r="V1054" s="37" t="n"/>
      <c r="W1054" s="38" t="n"/>
      <c r="X1054" s="38" t="n"/>
      <c r="Y1054" s="44" t="str">
        <f>IF($AC1054&gt;0,INDEX(CASHBACK_RULES!$A$5:$A$304,$AC1054),"")</f>
        <v/>
      </c>
      <c r="Z1054" s="45" t="str">
        <f>IF($AC1054&gt;0,INDEX(CASHBACK_RULES!$E$5:$E$304,$AC1054)&amp;"","")</f>
        <v/>
      </c>
      <c r="AA1054" s="48" t="str">
        <f>IF($AC1054&gt;0,IF(ISNUMBER(INDEX(CASHBACK_RULES!$K$5:$K$304,$AC1054)),INDEX(CASHBACK_RULES!$K$5:$K$304,$AC1054),"∞"),"")</f>
        <v/>
      </c>
      <c r="AB1054" s="44" t="str">
        <f>IF(OR($B1054="",$D1054=""),"",IF($U1054="Cancelled","Đã hủy",IF($AC1054=0,"Không được hoàn",IF($Q1054=0,IF(OR($O1054&gt;0,$M1054&lt;$L1054),"Đã đạt cap","Không được hoàn"),IF(OR($Q1054&lt;$O1054,$M1054&lt;$L1054),"Hoàn một phần","Được hoàn")))))</f>
        <v/>
      </c>
      <c r="AC1054" s="43">
        <f>IF(OR($B1054="",$D1054="",$I1054="",$L1054=""),0,IF($U1054="Cancelled",0,IF($W1054&lt;&gt;"",IFERROR(IF(INDEX(CASHBACK_RULES!$B$5:$B$304,MATCH($W1054,CASHBACK_RULES!$A$5:$A$304,0))=$D1054,MATCH($W1054,CASHBACK_RULES!$A$5:$A$304,0),0),0),IFERROR(MATCH(1,INDEX((CASHBACK_RULES!$B$5:$B$304=$D1054)*(CASHBACK_RULES!$G$5:$G$304=$I1054)*(((CASHBACK_RULES!$N$5:$N$304="")+(CASHBACK_RULES!$N$5:$N$304&lt;=$B1054))&gt;0)*(((CASHBACK_RULES!$O$5:$O$304="")+(CASHBACK_RULES!$O$5:$O$304&gt;=$B1054))&gt;0)*(((CASHBACK_RULES!$M$5:$M$304="")+(CASHBACK_RULES!$M$5:$M$304&lt;=$L1054))&gt;0),0),0),0))))</f>
        <v>0</v>
      </c>
      <c r="AD1054" s="51" t="str">
        <f>IF(OR($B1054="",$D1054=""),"",IFERROR(IF(INDEX(CARDS!$H$5:$H$34,MATCH($D1054,CARDS!$A$5:$A$34,0))="","",IF(DAY($B1054)&lt;=INDEX(CARDS!$H$5:$H$34,MATCH($D1054,CARDS!$A$5:$A$34,0)),DATE(YEAR($B1054),MONTH($B1054),MIN(INDEX(CARDS!$H$5:$H$34,MATCH($D1054,CARDS!$A$5:$A$34,0)),DAY(EOMONTH($B1054,0)))),DATE(YEAR($B1054),MONTH($B1054)+1,MIN(INDEX(CARDS!$H$5:$H$34,MATCH($D1054,CARDS!$A$5:$A$34,0)),DAY(EOMONTH($B1054,1)))))),""))</f>
        <v/>
      </c>
      <c r="AE1054" s="52" t="str">
        <f>IF($C1054="","",$C1054&amp;"|"&amp;COUNTIF($C$5:$C1054,$C1054))</f>
        <v/>
      </c>
      <c r="AF1054" s="53">
        <f>IF($AC1054&gt;0,SUMIFS(Q$4:Q1053,$D$4:$D1053,$D1054,$Z$4:$Z1053,$Z1054,$C$4:$C1053,$C1054),0)</f>
        <v>0</v>
      </c>
      <c r="AG1054" s="53">
        <f>IF($AC1054&gt;0,SUMIFS(Q$4:Q1053,$D$4:$D1053,$D1054,$C$4:$C1053,$C1054),0)</f>
        <v>0</v>
      </c>
      <c r="AH1054" s="53">
        <f>IF($AC1054&gt;0,SUMIFS(M$4:M1053,$D$4:$D1053,$D1054,$Z$4:$Z1053,$Z1054,$C$4:$C1053,$C1054),0)</f>
        <v>0</v>
      </c>
      <c r="AI1054" s="43">
        <f>IF(OR($C1054="",$I1054=""),0,IF(COUNTIFS($C$5:$C1054,$C1054,$I$5:$I1054,$I1054)=1,1,0))</f>
        <v>0</v>
      </c>
      <c r="AJ1054" s="43" t="str">
        <f>IF($AI1054=1,SUMIFS($AI$4:$AI1053,$C$4:$C1053,$C1054)+1,"")</f>
        <v/>
      </c>
      <c r="AK1054" s="43">
        <f>IF(OR($C1054="",$K1054=""),0,IF(COUNTIFS($C$5:$C1054,$C1054,$K$5:$K1054,$K1054)=1,1,0))</f>
        <v>0</v>
      </c>
      <c r="AL1054" s="43" t="str">
        <f>IF($AK1054=1,SUMIFS($AK$4:$AK1053,$C$4:$C1053,$C1054)+1,"")</f>
        <v/>
      </c>
      <c r="AM1054" s="43">
        <f>IF(OR($C1054="",$G1054=""),0,IF(COUNTIFS($C$5:$C1054,$C1054,$G$5:$G1054,$G1054)=1,1,0))</f>
        <v>0</v>
      </c>
      <c r="AN1054" s="43" t="str">
        <f>IF($AM1054=1,SUMIFS($AM$4:$AM1053,$C$4:$C1053,$C1054)+1,"")</f>
        <v/>
      </c>
    </row>
    <row r="1055">
      <c r="A1055" s="44" t="str">
        <f>IF(OR($B1055="",$D1055=""),"","TX"&amp;TEXT(ROW()-4,"0000"))</f>
        <v/>
      </c>
      <c r="B1055" s="42" t="n"/>
      <c r="C1055" s="47" t="str">
        <f>IF($B1055="","",YEAR($B1055)*100+MONTH($B1055))</f>
        <v/>
      </c>
      <c r="D1055" s="37" t="n"/>
      <c r="E1055" s="45" t="str">
        <f>IF($D1055="","",IFERROR(INDEX(CARDS!$B$5:$B$34,MATCH($D1055,CARDS!$A$5:$A$34,0)),"⚠ Card ID?"))</f>
        <v/>
      </c>
      <c r="F1055" s="45" t="str">
        <f>IF($D1055="","",IFERROR(INDEX(CARDS!$C$5:$C$34,MATCH($D1055,CARDS!$A$5:$A$34,0)),"⚠ Card ID?"))</f>
        <v/>
      </c>
      <c r="G1055" s="37" t="n"/>
      <c r="H1055" s="37" t="n"/>
      <c r="I1055" s="41" t="n"/>
      <c r="J1055" s="45" t="str">
        <f>IF($I1055="","",IFERROR(INDEX(MCC_MASTER!$B$5:$B$504,MATCH($I1055,MCC_MASTER!$A$5:$A$504,0)),"⚠ MCC chưa có"))</f>
        <v/>
      </c>
      <c r="K1055" s="45" t="str">
        <f>IF($I1055="","",IFERROR(IF(INDEX(MCC_MASTER!$C$5:$C$504,MATCH($I1055,MCC_MASTER!$A$5:$A$504,0))="","Chưa phân loại",INDEX(MCC_MASTER!$C$5:$C$504,MATCH($I1055,MCC_MASTER!$A$5:$A$504,0))),"Chưa phân loại"))</f>
        <v/>
      </c>
      <c r="L1055" s="40" t="n"/>
      <c r="M1055" s="48" t="str">
        <f>IF(OR($B1055="",$D1055=""),"",IF($AC1055=0,0,IF(ISNUMBER(INDEX(CASHBACK_RULES!$L$5:$L$304,$AC1055)),MAX(0,MIN($L1055,INDEX(CASHBACK_RULES!$L$5:$L$304,$AC1055)-$AH1055)),MAX(0,$L1055))))</f>
        <v/>
      </c>
      <c r="N1055" s="49" t="str">
        <f>IF(OR($B1055="",$D1055=""),"",IF($AC1055&gt;0,INDEX(CASHBACK_RULES!$I$5:$I$304,$AC1055),0))</f>
        <v/>
      </c>
      <c r="O1055" s="48" t="str">
        <f>IF(OR($B1055="",$D1055=""),"",ROUND($M1055*$N1055,0))</f>
        <v/>
      </c>
      <c r="P1055" s="48" t="str">
        <f>IF($AC1055&gt;0,IF(ISNUMBER(INDEX(CASHBACK_RULES!$J$5:$J$304,$AC1055)),INDEX(CASHBACK_RULES!$J$5:$J$304,$AC1055),"∞"),"")</f>
        <v/>
      </c>
      <c r="Q1055" s="48" t="str">
        <f>IF(OR($B1055="",$D1055=""),"",IF($AC1055=0,0,MAX(0,MIN($O1055,IF(ISNUMBER($P1055),$P1055-$AF1055,1E+15),IF(ISNUMBER($AA1055),$AA1055-$AG1055,1E+15)))))</f>
        <v/>
      </c>
      <c r="R1055" s="48" t="str">
        <f>IF(OR($B1055="",$D1055=""),"",IF($AC1055=0,"",IF(AND(NOT(ISNUMBER($P1055)),NOT(ISNUMBER($AA1055))),"∞",MAX(0,MIN(IF(ISNUMBER($P1055),$P1055-$AF1055-$Q1055,1E+15),IF(ISNUMBER($AA1055),$AA1055-$AG1055-$Q1055,1E+15))))))</f>
        <v/>
      </c>
      <c r="S1055" s="47" t="str">
        <f>IF($AD1055="","",YEAR($AD1055)*100+MONTH($AD1055))</f>
        <v/>
      </c>
      <c r="T1055" s="50" t="str">
        <f>IF($AD1055="","",IFERROR(IF(INDEX(CARDS!$I$5:$I$34,MATCH($D1055,CARDS!$A$5:$A$34,0))="","",IF(INDEX(CARDS!$I$5:$I$34,MATCH($D1055,CARDS!$A$5:$A$34,0))&gt;INDEX(CARDS!$H$5:$H$34,MATCH($D1055,CARDS!$A$5:$A$34,0)),DATE(YEAR($AD1055),MONTH($AD1055),MIN(INDEX(CARDS!$I$5:$I$34,MATCH($D1055,CARDS!$A$5:$A$34,0)),DAY(EOMONTH($AD1055,0)))),DATE(YEAR($AD1055),MONTH($AD1055)+1,MIN(INDEX(CARDS!$I$5:$I$34,MATCH($D1055,CARDS!$A$5:$A$34,0)),DAY(EOMONTH($AD1055,1)))))),""))</f>
        <v/>
      </c>
      <c r="U1055" s="38" t="n"/>
      <c r="V1055" s="37" t="n"/>
      <c r="W1055" s="38" t="n"/>
      <c r="X1055" s="38" t="n"/>
      <c r="Y1055" s="44" t="str">
        <f>IF($AC1055&gt;0,INDEX(CASHBACK_RULES!$A$5:$A$304,$AC1055),"")</f>
        <v/>
      </c>
      <c r="Z1055" s="45" t="str">
        <f>IF($AC1055&gt;0,INDEX(CASHBACK_RULES!$E$5:$E$304,$AC1055)&amp;"","")</f>
        <v/>
      </c>
      <c r="AA1055" s="48" t="str">
        <f>IF($AC1055&gt;0,IF(ISNUMBER(INDEX(CASHBACK_RULES!$K$5:$K$304,$AC1055)),INDEX(CASHBACK_RULES!$K$5:$K$304,$AC1055),"∞"),"")</f>
        <v/>
      </c>
      <c r="AB1055" s="44" t="str">
        <f>IF(OR($B1055="",$D1055=""),"",IF($U1055="Cancelled","Đã hủy",IF($AC1055=0,"Không được hoàn",IF($Q1055=0,IF(OR($O1055&gt;0,$M1055&lt;$L1055),"Đã đạt cap","Không được hoàn"),IF(OR($Q1055&lt;$O1055,$M1055&lt;$L1055),"Hoàn một phần","Được hoàn")))))</f>
        <v/>
      </c>
      <c r="AC1055" s="43">
        <f>IF(OR($B1055="",$D1055="",$I1055="",$L1055=""),0,IF($U1055="Cancelled",0,IF($W1055&lt;&gt;"",IFERROR(IF(INDEX(CASHBACK_RULES!$B$5:$B$304,MATCH($W1055,CASHBACK_RULES!$A$5:$A$304,0))=$D1055,MATCH($W1055,CASHBACK_RULES!$A$5:$A$304,0),0),0),IFERROR(MATCH(1,INDEX((CASHBACK_RULES!$B$5:$B$304=$D1055)*(CASHBACK_RULES!$G$5:$G$304=$I1055)*(((CASHBACK_RULES!$N$5:$N$304="")+(CASHBACK_RULES!$N$5:$N$304&lt;=$B1055))&gt;0)*(((CASHBACK_RULES!$O$5:$O$304="")+(CASHBACK_RULES!$O$5:$O$304&gt;=$B1055))&gt;0)*(((CASHBACK_RULES!$M$5:$M$304="")+(CASHBACK_RULES!$M$5:$M$304&lt;=$L1055))&gt;0),0),0),0))))</f>
        <v>0</v>
      </c>
      <c r="AD1055" s="51" t="str">
        <f>IF(OR($B1055="",$D1055=""),"",IFERROR(IF(INDEX(CARDS!$H$5:$H$34,MATCH($D1055,CARDS!$A$5:$A$34,0))="","",IF(DAY($B1055)&lt;=INDEX(CARDS!$H$5:$H$34,MATCH($D1055,CARDS!$A$5:$A$34,0)),DATE(YEAR($B1055),MONTH($B1055),MIN(INDEX(CARDS!$H$5:$H$34,MATCH($D1055,CARDS!$A$5:$A$34,0)),DAY(EOMONTH($B1055,0)))),DATE(YEAR($B1055),MONTH($B1055)+1,MIN(INDEX(CARDS!$H$5:$H$34,MATCH($D1055,CARDS!$A$5:$A$34,0)),DAY(EOMONTH($B1055,1)))))),""))</f>
        <v/>
      </c>
      <c r="AE1055" s="52" t="str">
        <f>IF($C1055="","",$C1055&amp;"|"&amp;COUNTIF($C$5:$C1055,$C1055))</f>
        <v/>
      </c>
      <c r="AF1055" s="53">
        <f>IF($AC1055&gt;0,SUMIFS(Q$4:Q1054,$D$4:$D1054,$D1055,$Z$4:$Z1054,$Z1055,$C$4:$C1054,$C1055),0)</f>
        <v>0</v>
      </c>
      <c r="AG1055" s="53">
        <f>IF($AC1055&gt;0,SUMIFS(Q$4:Q1054,$D$4:$D1054,$D1055,$C$4:$C1054,$C1055),0)</f>
        <v>0</v>
      </c>
      <c r="AH1055" s="53">
        <f>IF($AC1055&gt;0,SUMIFS(M$4:M1054,$D$4:$D1054,$D1055,$Z$4:$Z1054,$Z1055,$C$4:$C1054,$C1055),0)</f>
        <v>0</v>
      </c>
      <c r="AI1055" s="43">
        <f>IF(OR($C1055="",$I1055=""),0,IF(COUNTIFS($C$5:$C1055,$C1055,$I$5:$I1055,$I1055)=1,1,0))</f>
        <v>0</v>
      </c>
      <c r="AJ1055" s="43" t="str">
        <f>IF($AI1055=1,SUMIFS($AI$4:$AI1054,$C$4:$C1054,$C1055)+1,"")</f>
        <v/>
      </c>
      <c r="AK1055" s="43">
        <f>IF(OR($C1055="",$K1055=""),0,IF(COUNTIFS($C$5:$C1055,$C1055,$K$5:$K1055,$K1055)=1,1,0))</f>
        <v>0</v>
      </c>
      <c r="AL1055" s="43" t="str">
        <f>IF($AK1055=1,SUMIFS($AK$4:$AK1054,$C$4:$C1054,$C1055)+1,"")</f>
        <v/>
      </c>
      <c r="AM1055" s="43">
        <f>IF(OR($C1055="",$G1055=""),0,IF(COUNTIFS($C$5:$C1055,$C1055,$G$5:$G1055,$G1055)=1,1,0))</f>
        <v>0</v>
      </c>
      <c r="AN1055" s="43" t="str">
        <f>IF($AM1055=1,SUMIFS($AM$4:$AM1054,$C$4:$C1054,$C1055)+1,"")</f>
        <v/>
      </c>
    </row>
    <row r="1056">
      <c r="A1056" s="44" t="str">
        <f>IF(OR($B1056="",$D1056=""),"","TX"&amp;TEXT(ROW()-4,"0000"))</f>
        <v/>
      </c>
      <c r="B1056" s="42" t="n"/>
      <c r="C1056" s="47" t="str">
        <f>IF($B1056="","",YEAR($B1056)*100+MONTH($B1056))</f>
        <v/>
      </c>
      <c r="D1056" s="37" t="n"/>
      <c r="E1056" s="45" t="str">
        <f>IF($D1056="","",IFERROR(INDEX(CARDS!$B$5:$B$34,MATCH($D1056,CARDS!$A$5:$A$34,0)),"⚠ Card ID?"))</f>
        <v/>
      </c>
      <c r="F1056" s="45" t="str">
        <f>IF($D1056="","",IFERROR(INDEX(CARDS!$C$5:$C$34,MATCH($D1056,CARDS!$A$5:$A$34,0)),"⚠ Card ID?"))</f>
        <v/>
      </c>
      <c r="G1056" s="37" t="n"/>
      <c r="H1056" s="37" t="n"/>
      <c r="I1056" s="41" t="n"/>
      <c r="J1056" s="45" t="str">
        <f>IF($I1056="","",IFERROR(INDEX(MCC_MASTER!$B$5:$B$504,MATCH($I1056,MCC_MASTER!$A$5:$A$504,0)),"⚠ MCC chưa có"))</f>
        <v/>
      </c>
      <c r="K1056" s="45" t="str">
        <f>IF($I1056="","",IFERROR(IF(INDEX(MCC_MASTER!$C$5:$C$504,MATCH($I1056,MCC_MASTER!$A$5:$A$504,0))="","Chưa phân loại",INDEX(MCC_MASTER!$C$5:$C$504,MATCH($I1056,MCC_MASTER!$A$5:$A$504,0))),"Chưa phân loại"))</f>
        <v/>
      </c>
      <c r="L1056" s="40" t="n"/>
      <c r="M1056" s="48" t="str">
        <f>IF(OR($B1056="",$D1056=""),"",IF($AC1056=0,0,IF(ISNUMBER(INDEX(CASHBACK_RULES!$L$5:$L$304,$AC1056)),MAX(0,MIN($L1056,INDEX(CASHBACK_RULES!$L$5:$L$304,$AC1056)-$AH1056)),MAX(0,$L1056))))</f>
        <v/>
      </c>
      <c r="N1056" s="49" t="str">
        <f>IF(OR($B1056="",$D1056=""),"",IF($AC1056&gt;0,INDEX(CASHBACK_RULES!$I$5:$I$304,$AC1056),0))</f>
        <v/>
      </c>
      <c r="O1056" s="48" t="str">
        <f>IF(OR($B1056="",$D1056=""),"",ROUND($M1056*$N1056,0))</f>
        <v/>
      </c>
      <c r="P1056" s="48" t="str">
        <f>IF($AC1056&gt;0,IF(ISNUMBER(INDEX(CASHBACK_RULES!$J$5:$J$304,$AC1056)),INDEX(CASHBACK_RULES!$J$5:$J$304,$AC1056),"∞"),"")</f>
        <v/>
      </c>
      <c r="Q1056" s="48" t="str">
        <f>IF(OR($B1056="",$D1056=""),"",IF($AC1056=0,0,MAX(0,MIN($O1056,IF(ISNUMBER($P1056),$P1056-$AF1056,1E+15),IF(ISNUMBER($AA1056),$AA1056-$AG1056,1E+15)))))</f>
        <v/>
      </c>
      <c r="R1056" s="48" t="str">
        <f>IF(OR($B1056="",$D1056=""),"",IF($AC1056=0,"",IF(AND(NOT(ISNUMBER($P1056)),NOT(ISNUMBER($AA1056))),"∞",MAX(0,MIN(IF(ISNUMBER($P1056),$P1056-$AF1056-$Q1056,1E+15),IF(ISNUMBER($AA1056),$AA1056-$AG1056-$Q1056,1E+15))))))</f>
        <v/>
      </c>
      <c r="S1056" s="47" t="str">
        <f>IF($AD1056="","",YEAR($AD1056)*100+MONTH($AD1056))</f>
        <v/>
      </c>
      <c r="T1056" s="50" t="str">
        <f>IF($AD1056="","",IFERROR(IF(INDEX(CARDS!$I$5:$I$34,MATCH($D1056,CARDS!$A$5:$A$34,0))="","",IF(INDEX(CARDS!$I$5:$I$34,MATCH($D1056,CARDS!$A$5:$A$34,0))&gt;INDEX(CARDS!$H$5:$H$34,MATCH($D1056,CARDS!$A$5:$A$34,0)),DATE(YEAR($AD1056),MONTH($AD1056),MIN(INDEX(CARDS!$I$5:$I$34,MATCH($D1056,CARDS!$A$5:$A$34,0)),DAY(EOMONTH($AD1056,0)))),DATE(YEAR($AD1056),MONTH($AD1056)+1,MIN(INDEX(CARDS!$I$5:$I$34,MATCH($D1056,CARDS!$A$5:$A$34,0)),DAY(EOMONTH($AD1056,1)))))),""))</f>
        <v/>
      </c>
      <c r="U1056" s="38" t="n"/>
      <c r="V1056" s="37" t="n"/>
      <c r="W1056" s="38" t="n"/>
      <c r="X1056" s="38" t="n"/>
      <c r="Y1056" s="44" t="str">
        <f>IF($AC1056&gt;0,INDEX(CASHBACK_RULES!$A$5:$A$304,$AC1056),"")</f>
        <v/>
      </c>
      <c r="Z1056" s="45" t="str">
        <f>IF($AC1056&gt;0,INDEX(CASHBACK_RULES!$E$5:$E$304,$AC1056)&amp;"","")</f>
        <v/>
      </c>
      <c r="AA1056" s="48" t="str">
        <f>IF($AC1056&gt;0,IF(ISNUMBER(INDEX(CASHBACK_RULES!$K$5:$K$304,$AC1056)),INDEX(CASHBACK_RULES!$K$5:$K$304,$AC1056),"∞"),"")</f>
        <v/>
      </c>
      <c r="AB1056" s="44" t="str">
        <f>IF(OR($B1056="",$D1056=""),"",IF($U1056="Cancelled","Đã hủy",IF($AC1056=0,"Không được hoàn",IF($Q1056=0,IF(OR($O1056&gt;0,$M1056&lt;$L1056),"Đã đạt cap","Không được hoàn"),IF(OR($Q1056&lt;$O1056,$M1056&lt;$L1056),"Hoàn một phần","Được hoàn")))))</f>
        <v/>
      </c>
      <c r="AC1056" s="43">
        <f>IF(OR($B1056="",$D1056="",$I1056="",$L1056=""),0,IF($U1056="Cancelled",0,IF($W1056&lt;&gt;"",IFERROR(IF(INDEX(CASHBACK_RULES!$B$5:$B$304,MATCH($W1056,CASHBACK_RULES!$A$5:$A$304,0))=$D1056,MATCH($W1056,CASHBACK_RULES!$A$5:$A$304,0),0),0),IFERROR(MATCH(1,INDEX((CASHBACK_RULES!$B$5:$B$304=$D1056)*(CASHBACK_RULES!$G$5:$G$304=$I1056)*(((CASHBACK_RULES!$N$5:$N$304="")+(CASHBACK_RULES!$N$5:$N$304&lt;=$B1056))&gt;0)*(((CASHBACK_RULES!$O$5:$O$304="")+(CASHBACK_RULES!$O$5:$O$304&gt;=$B1056))&gt;0)*(((CASHBACK_RULES!$M$5:$M$304="")+(CASHBACK_RULES!$M$5:$M$304&lt;=$L1056))&gt;0),0),0),0))))</f>
        <v>0</v>
      </c>
      <c r="AD1056" s="51" t="str">
        <f>IF(OR($B1056="",$D1056=""),"",IFERROR(IF(INDEX(CARDS!$H$5:$H$34,MATCH($D1056,CARDS!$A$5:$A$34,0))="","",IF(DAY($B1056)&lt;=INDEX(CARDS!$H$5:$H$34,MATCH($D1056,CARDS!$A$5:$A$34,0)),DATE(YEAR($B1056),MONTH($B1056),MIN(INDEX(CARDS!$H$5:$H$34,MATCH($D1056,CARDS!$A$5:$A$34,0)),DAY(EOMONTH($B1056,0)))),DATE(YEAR($B1056),MONTH($B1056)+1,MIN(INDEX(CARDS!$H$5:$H$34,MATCH($D1056,CARDS!$A$5:$A$34,0)),DAY(EOMONTH($B1056,1)))))),""))</f>
        <v/>
      </c>
      <c r="AE1056" s="52" t="str">
        <f>IF($C1056="","",$C1056&amp;"|"&amp;COUNTIF($C$5:$C1056,$C1056))</f>
        <v/>
      </c>
      <c r="AF1056" s="53">
        <f>IF($AC1056&gt;0,SUMIFS(Q$4:Q1055,$D$4:$D1055,$D1056,$Z$4:$Z1055,$Z1056,$C$4:$C1055,$C1056),0)</f>
        <v>0</v>
      </c>
      <c r="AG1056" s="53">
        <f>IF($AC1056&gt;0,SUMIFS(Q$4:Q1055,$D$4:$D1055,$D1056,$C$4:$C1055,$C1056),0)</f>
        <v>0</v>
      </c>
      <c r="AH1056" s="53">
        <f>IF($AC1056&gt;0,SUMIFS(M$4:M1055,$D$4:$D1055,$D1056,$Z$4:$Z1055,$Z1056,$C$4:$C1055,$C1056),0)</f>
        <v>0</v>
      </c>
      <c r="AI1056" s="43">
        <f>IF(OR($C1056="",$I1056=""),0,IF(COUNTIFS($C$5:$C1056,$C1056,$I$5:$I1056,$I1056)=1,1,0))</f>
        <v>0</v>
      </c>
      <c r="AJ1056" s="43" t="str">
        <f>IF($AI1056=1,SUMIFS($AI$4:$AI1055,$C$4:$C1055,$C1056)+1,"")</f>
        <v/>
      </c>
      <c r="AK1056" s="43">
        <f>IF(OR($C1056="",$K1056=""),0,IF(COUNTIFS($C$5:$C1056,$C1056,$K$5:$K1056,$K1056)=1,1,0))</f>
        <v>0</v>
      </c>
      <c r="AL1056" s="43" t="str">
        <f>IF($AK1056=1,SUMIFS($AK$4:$AK1055,$C$4:$C1055,$C1056)+1,"")</f>
        <v/>
      </c>
      <c r="AM1056" s="43">
        <f>IF(OR($C1056="",$G1056=""),0,IF(COUNTIFS($C$5:$C1056,$C1056,$G$5:$G1056,$G1056)=1,1,0))</f>
        <v>0</v>
      </c>
      <c r="AN1056" s="43" t="str">
        <f>IF($AM1056=1,SUMIFS($AM$4:$AM1055,$C$4:$C1055,$C1056)+1,"")</f>
        <v/>
      </c>
    </row>
    <row r="1057">
      <c r="A1057" s="44" t="str">
        <f>IF(OR($B1057="",$D1057=""),"","TX"&amp;TEXT(ROW()-4,"0000"))</f>
        <v/>
      </c>
      <c r="B1057" s="42" t="n"/>
      <c r="C1057" s="47" t="str">
        <f>IF($B1057="","",YEAR($B1057)*100+MONTH($B1057))</f>
        <v/>
      </c>
      <c r="D1057" s="37" t="n"/>
      <c r="E1057" s="45" t="str">
        <f>IF($D1057="","",IFERROR(INDEX(CARDS!$B$5:$B$34,MATCH($D1057,CARDS!$A$5:$A$34,0)),"⚠ Card ID?"))</f>
        <v/>
      </c>
      <c r="F1057" s="45" t="str">
        <f>IF($D1057="","",IFERROR(INDEX(CARDS!$C$5:$C$34,MATCH($D1057,CARDS!$A$5:$A$34,0)),"⚠ Card ID?"))</f>
        <v/>
      </c>
      <c r="G1057" s="37" t="n"/>
      <c r="H1057" s="37" t="n"/>
      <c r="I1057" s="41" t="n"/>
      <c r="J1057" s="45" t="str">
        <f>IF($I1057="","",IFERROR(INDEX(MCC_MASTER!$B$5:$B$504,MATCH($I1057,MCC_MASTER!$A$5:$A$504,0)),"⚠ MCC chưa có"))</f>
        <v/>
      </c>
      <c r="K1057" s="45" t="str">
        <f>IF($I1057="","",IFERROR(IF(INDEX(MCC_MASTER!$C$5:$C$504,MATCH($I1057,MCC_MASTER!$A$5:$A$504,0))="","Chưa phân loại",INDEX(MCC_MASTER!$C$5:$C$504,MATCH($I1057,MCC_MASTER!$A$5:$A$504,0))),"Chưa phân loại"))</f>
        <v/>
      </c>
      <c r="L1057" s="40" t="n"/>
      <c r="M1057" s="48" t="str">
        <f>IF(OR($B1057="",$D1057=""),"",IF($AC1057=0,0,IF(ISNUMBER(INDEX(CASHBACK_RULES!$L$5:$L$304,$AC1057)),MAX(0,MIN($L1057,INDEX(CASHBACK_RULES!$L$5:$L$304,$AC1057)-$AH1057)),MAX(0,$L1057))))</f>
        <v/>
      </c>
      <c r="N1057" s="49" t="str">
        <f>IF(OR($B1057="",$D1057=""),"",IF($AC1057&gt;0,INDEX(CASHBACK_RULES!$I$5:$I$304,$AC1057),0))</f>
        <v/>
      </c>
      <c r="O1057" s="48" t="str">
        <f>IF(OR($B1057="",$D1057=""),"",ROUND($M1057*$N1057,0))</f>
        <v/>
      </c>
      <c r="P1057" s="48" t="str">
        <f>IF($AC1057&gt;0,IF(ISNUMBER(INDEX(CASHBACK_RULES!$J$5:$J$304,$AC1057)),INDEX(CASHBACK_RULES!$J$5:$J$304,$AC1057),"∞"),"")</f>
        <v/>
      </c>
      <c r="Q1057" s="48" t="str">
        <f>IF(OR($B1057="",$D1057=""),"",IF($AC1057=0,0,MAX(0,MIN($O1057,IF(ISNUMBER($P1057),$P1057-$AF1057,1E+15),IF(ISNUMBER($AA1057),$AA1057-$AG1057,1E+15)))))</f>
        <v/>
      </c>
      <c r="R1057" s="48" t="str">
        <f>IF(OR($B1057="",$D1057=""),"",IF($AC1057=0,"",IF(AND(NOT(ISNUMBER($P1057)),NOT(ISNUMBER($AA1057))),"∞",MAX(0,MIN(IF(ISNUMBER($P1057),$P1057-$AF1057-$Q1057,1E+15),IF(ISNUMBER($AA1057),$AA1057-$AG1057-$Q1057,1E+15))))))</f>
        <v/>
      </c>
      <c r="S1057" s="47" t="str">
        <f>IF($AD1057="","",YEAR($AD1057)*100+MONTH($AD1057))</f>
        <v/>
      </c>
      <c r="T1057" s="50" t="str">
        <f>IF($AD1057="","",IFERROR(IF(INDEX(CARDS!$I$5:$I$34,MATCH($D1057,CARDS!$A$5:$A$34,0))="","",IF(INDEX(CARDS!$I$5:$I$34,MATCH($D1057,CARDS!$A$5:$A$34,0))&gt;INDEX(CARDS!$H$5:$H$34,MATCH($D1057,CARDS!$A$5:$A$34,0)),DATE(YEAR($AD1057),MONTH($AD1057),MIN(INDEX(CARDS!$I$5:$I$34,MATCH($D1057,CARDS!$A$5:$A$34,0)),DAY(EOMONTH($AD1057,0)))),DATE(YEAR($AD1057),MONTH($AD1057)+1,MIN(INDEX(CARDS!$I$5:$I$34,MATCH($D1057,CARDS!$A$5:$A$34,0)),DAY(EOMONTH($AD1057,1)))))),""))</f>
        <v/>
      </c>
      <c r="U1057" s="38" t="n"/>
      <c r="V1057" s="37" t="n"/>
      <c r="W1057" s="38" t="n"/>
      <c r="X1057" s="38" t="n"/>
      <c r="Y1057" s="44" t="str">
        <f>IF($AC1057&gt;0,INDEX(CASHBACK_RULES!$A$5:$A$304,$AC1057),"")</f>
        <v/>
      </c>
      <c r="Z1057" s="45" t="str">
        <f>IF($AC1057&gt;0,INDEX(CASHBACK_RULES!$E$5:$E$304,$AC1057)&amp;"","")</f>
        <v/>
      </c>
      <c r="AA1057" s="48" t="str">
        <f>IF($AC1057&gt;0,IF(ISNUMBER(INDEX(CASHBACK_RULES!$K$5:$K$304,$AC1057)),INDEX(CASHBACK_RULES!$K$5:$K$304,$AC1057),"∞"),"")</f>
        <v/>
      </c>
      <c r="AB1057" s="44" t="str">
        <f>IF(OR($B1057="",$D1057=""),"",IF($U1057="Cancelled","Đã hủy",IF($AC1057=0,"Không được hoàn",IF($Q1057=0,IF(OR($O1057&gt;0,$M1057&lt;$L1057),"Đã đạt cap","Không được hoàn"),IF(OR($Q1057&lt;$O1057,$M1057&lt;$L1057),"Hoàn một phần","Được hoàn")))))</f>
        <v/>
      </c>
      <c r="AC1057" s="43">
        <f>IF(OR($B1057="",$D1057="",$I1057="",$L1057=""),0,IF($U1057="Cancelled",0,IF($W1057&lt;&gt;"",IFERROR(IF(INDEX(CASHBACK_RULES!$B$5:$B$304,MATCH($W1057,CASHBACK_RULES!$A$5:$A$304,0))=$D1057,MATCH($W1057,CASHBACK_RULES!$A$5:$A$304,0),0),0),IFERROR(MATCH(1,INDEX((CASHBACK_RULES!$B$5:$B$304=$D1057)*(CASHBACK_RULES!$G$5:$G$304=$I1057)*(((CASHBACK_RULES!$N$5:$N$304="")+(CASHBACK_RULES!$N$5:$N$304&lt;=$B1057))&gt;0)*(((CASHBACK_RULES!$O$5:$O$304="")+(CASHBACK_RULES!$O$5:$O$304&gt;=$B1057))&gt;0)*(((CASHBACK_RULES!$M$5:$M$304="")+(CASHBACK_RULES!$M$5:$M$304&lt;=$L1057))&gt;0),0),0),0))))</f>
        <v>0</v>
      </c>
      <c r="AD1057" s="51" t="str">
        <f>IF(OR($B1057="",$D1057=""),"",IFERROR(IF(INDEX(CARDS!$H$5:$H$34,MATCH($D1057,CARDS!$A$5:$A$34,0))="","",IF(DAY($B1057)&lt;=INDEX(CARDS!$H$5:$H$34,MATCH($D1057,CARDS!$A$5:$A$34,0)),DATE(YEAR($B1057),MONTH($B1057),MIN(INDEX(CARDS!$H$5:$H$34,MATCH($D1057,CARDS!$A$5:$A$34,0)),DAY(EOMONTH($B1057,0)))),DATE(YEAR($B1057),MONTH($B1057)+1,MIN(INDEX(CARDS!$H$5:$H$34,MATCH($D1057,CARDS!$A$5:$A$34,0)),DAY(EOMONTH($B1057,1)))))),""))</f>
        <v/>
      </c>
      <c r="AE1057" s="52" t="str">
        <f>IF($C1057="","",$C1057&amp;"|"&amp;COUNTIF($C$5:$C1057,$C1057))</f>
        <v/>
      </c>
      <c r="AF1057" s="53">
        <f>IF($AC1057&gt;0,SUMIFS(Q$4:Q1056,$D$4:$D1056,$D1057,$Z$4:$Z1056,$Z1057,$C$4:$C1056,$C1057),0)</f>
        <v>0</v>
      </c>
      <c r="AG1057" s="53">
        <f>IF($AC1057&gt;0,SUMIFS(Q$4:Q1056,$D$4:$D1056,$D1057,$C$4:$C1056,$C1057),0)</f>
        <v>0</v>
      </c>
      <c r="AH1057" s="53">
        <f>IF($AC1057&gt;0,SUMIFS(M$4:M1056,$D$4:$D1056,$D1057,$Z$4:$Z1056,$Z1057,$C$4:$C1056,$C1057),0)</f>
        <v>0</v>
      </c>
      <c r="AI1057" s="43">
        <f>IF(OR($C1057="",$I1057=""),0,IF(COUNTIFS($C$5:$C1057,$C1057,$I$5:$I1057,$I1057)=1,1,0))</f>
        <v>0</v>
      </c>
      <c r="AJ1057" s="43" t="str">
        <f>IF($AI1057=1,SUMIFS($AI$4:$AI1056,$C$4:$C1056,$C1057)+1,"")</f>
        <v/>
      </c>
      <c r="AK1057" s="43">
        <f>IF(OR($C1057="",$K1057=""),0,IF(COUNTIFS($C$5:$C1057,$C1057,$K$5:$K1057,$K1057)=1,1,0))</f>
        <v>0</v>
      </c>
      <c r="AL1057" s="43" t="str">
        <f>IF($AK1057=1,SUMIFS($AK$4:$AK1056,$C$4:$C1056,$C1057)+1,"")</f>
        <v/>
      </c>
      <c r="AM1057" s="43">
        <f>IF(OR($C1057="",$G1057=""),0,IF(COUNTIFS($C$5:$C1057,$C1057,$G$5:$G1057,$G1057)=1,1,0))</f>
        <v>0</v>
      </c>
      <c r="AN1057" s="43" t="str">
        <f>IF($AM1057=1,SUMIFS($AM$4:$AM1056,$C$4:$C1056,$C1057)+1,"")</f>
        <v/>
      </c>
    </row>
    <row r="1058">
      <c r="A1058" s="44" t="str">
        <f>IF(OR($B1058="",$D1058=""),"","TX"&amp;TEXT(ROW()-4,"0000"))</f>
        <v/>
      </c>
      <c r="B1058" s="42" t="n"/>
      <c r="C1058" s="47" t="str">
        <f>IF($B1058="","",YEAR($B1058)*100+MONTH($B1058))</f>
        <v/>
      </c>
      <c r="D1058" s="37" t="n"/>
      <c r="E1058" s="45" t="str">
        <f>IF($D1058="","",IFERROR(INDEX(CARDS!$B$5:$B$34,MATCH($D1058,CARDS!$A$5:$A$34,0)),"⚠ Card ID?"))</f>
        <v/>
      </c>
      <c r="F1058" s="45" t="str">
        <f>IF($D1058="","",IFERROR(INDEX(CARDS!$C$5:$C$34,MATCH($D1058,CARDS!$A$5:$A$34,0)),"⚠ Card ID?"))</f>
        <v/>
      </c>
      <c r="G1058" s="37" t="n"/>
      <c r="H1058" s="37" t="n"/>
      <c r="I1058" s="41" t="n"/>
      <c r="J1058" s="45" t="str">
        <f>IF($I1058="","",IFERROR(INDEX(MCC_MASTER!$B$5:$B$504,MATCH($I1058,MCC_MASTER!$A$5:$A$504,0)),"⚠ MCC chưa có"))</f>
        <v/>
      </c>
      <c r="K1058" s="45" t="str">
        <f>IF($I1058="","",IFERROR(IF(INDEX(MCC_MASTER!$C$5:$C$504,MATCH($I1058,MCC_MASTER!$A$5:$A$504,0))="","Chưa phân loại",INDEX(MCC_MASTER!$C$5:$C$504,MATCH($I1058,MCC_MASTER!$A$5:$A$504,0))),"Chưa phân loại"))</f>
        <v/>
      </c>
      <c r="L1058" s="40" t="n"/>
      <c r="M1058" s="48" t="str">
        <f>IF(OR($B1058="",$D1058=""),"",IF($AC1058=0,0,IF(ISNUMBER(INDEX(CASHBACK_RULES!$L$5:$L$304,$AC1058)),MAX(0,MIN($L1058,INDEX(CASHBACK_RULES!$L$5:$L$304,$AC1058)-$AH1058)),MAX(0,$L1058))))</f>
        <v/>
      </c>
      <c r="N1058" s="49" t="str">
        <f>IF(OR($B1058="",$D1058=""),"",IF($AC1058&gt;0,INDEX(CASHBACK_RULES!$I$5:$I$304,$AC1058),0))</f>
        <v/>
      </c>
      <c r="O1058" s="48" t="str">
        <f>IF(OR($B1058="",$D1058=""),"",ROUND($M1058*$N1058,0))</f>
        <v/>
      </c>
      <c r="P1058" s="48" t="str">
        <f>IF($AC1058&gt;0,IF(ISNUMBER(INDEX(CASHBACK_RULES!$J$5:$J$304,$AC1058)),INDEX(CASHBACK_RULES!$J$5:$J$304,$AC1058),"∞"),"")</f>
        <v/>
      </c>
      <c r="Q1058" s="48" t="str">
        <f>IF(OR($B1058="",$D1058=""),"",IF($AC1058=0,0,MAX(0,MIN($O1058,IF(ISNUMBER($P1058),$P1058-$AF1058,1E+15),IF(ISNUMBER($AA1058),$AA1058-$AG1058,1E+15)))))</f>
        <v/>
      </c>
      <c r="R1058" s="48" t="str">
        <f>IF(OR($B1058="",$D1058=""),"",IF($AC1058=0,"",IF(AND(NOT(ISNUMBER($P1058)),NOT(ISNUMBER($AA1058))),"∞",MAX(0,MIN(IF(ISNUMBER($P1058),$P1058-$AF1058-$Q1058,1E+15),IF(ISNUMBER($AA1058),$AA1058-$AG1058-$Q1058,1E+15))))))</f>
        <v/>
      </c>
      <c r="S1058" s="47" t="str">
        <f>IF($AD1058="","",YEAR($AD1058)*100+MONTH($AD1058))</f>
        <v/>
      </c>
      <c r="T1058" s="50" t="str">
        <f>IF($AD1058="","",IFERROR(IF(INDEX(CARDS!$I$5:$I$34,MATCH($D1058,CARDS!$A$5:$A$34,0))="","",IF(INDEX(CARDS!$I$5:$I$34,MATCH($D1058,CARDS!$A$5:$A$34,0))&gt;INDEX(CARDS!$H$5:$H$34,MATCH($D1058,CARDS!$A$5:$A$34,0)),DATE(YEAR($AD1058),MONTH($AD1058),MIN(INDEX(CARDS!$I$5:$I$34,MATCH($D1058,CARDS!$A$5:$A$34,0)),DAY(EOMONTH($AD1058,0)))),DATE(YEAR($AD1058),MONTH($AD1058)+1,MIN(INDEX(CARDS!$I$5:$I$34,MATCH($D1058,CARDS!$A$5:$A$34,0)),DAY(EOMONTH($AD1058,1)))))),""))</f>
        <v/>
      </c>
      <c r="U1058" s="38" t="n"/>
      <c r="V1058" s="37" t="n"/>
      <c r="W1058" s="38" t="n"/>
      <c r="X1058" s="38" t="n"/>
      <c r="Y1058" s="44" t="str">
        <f>IF($AC1058&gt;0,INDEX(CASHBACK_RULES!$A$5:$A$304,$AC1058),"")</f>
        <v/>
      </c>
      <c r="Z1058" s="45" t="str">
        <f>IF($AC1058&gt;0,INDEX(CASHBACK_RULES!$E$5:$E$304,$AC1058)&amp;"","")</f>
        <v/>
      </c>
      <c r="AA1058" s="48" t="str">
        <f>IF($AC1058&gt;0,IF(ISNUMBER(INDEX(CASHBACK_RULES!$K$5:$K$304,$AC1058)),INDEX(CASHBACK_RULES!$K$5:$K$304,$AC1058),"∞"),"")</f>
        <v/>
      </c>
      <c r="AB1058" s="44" t="str">
        <f>IF(OR($B1058="",$D1058=""),"",IF($U1058="Cancelled","Đã hủy",IF($AC1058=0,"Không được hoàn",IF($Q1058=0,IF(OR($O1058&gt;0,$M1058&lt;$L1058),"Đã đạt cap","Không được hoàn"),IF(OR($Q1058&lt;$O1058,$M1058&lt;$L1058),"Hoàn một phần","Được hoàn")))))</f>
        <v/>
      </c>
      <c r="AC1058" s="43">
        <f>IF(OR($B1058="",$D1058="",$I1058="",$L1058=""),0,IF($U1058="Cancelled",0,IF($W1058&lt;&gt;"",IFERROR(IF(INDEX(CASHBACK_RULES!$B$5:$B$304,MATCH($W1058,CASHBACK_RULES!$A$5:$A$304,0))=$D1058,MATCH($W1058,CASHBACK_RULES!$A$5:$A$304,0),0),0),IFERROR(MATCH(1,INDEX((CASHBACK_RULES!$B$5:$B$304=$D1058)*(CASHBACK_RULES!$G$5:$G$304=$I1058)*(((CASHBACK_RULES!$N$5:$N$304="")+(CASHBACK_RULES!$N$5:$N$304&lt;=$B1058))&gt;0)*(((CASHBACK_RULES!$O$5:$O$304="")+(CASHBACK_RULES!$O$5:$O$304&gt;=$B1058))&gt;0)*(((CASHBACK_RULES!$M$5:$M$304="")+(CASHBACK_RULES!$M$5:$M$304&lt;=$L1058))&gt;0),0),0),0))))</f>
        <v>0</v>
      </c>
      <c r="AD1058" s="51" t="str">
        <f>IF(OR($B1058="",$D1058=""),"",IFERROR(IF(INDEX(CARDS!$H$5:$H$34,MATCH($D1058,CARDS!$A$5:$A$34,0))="","",IF(DAY($B1058)&lt;=INDEX(CARDS!$H$5:$H$34,MATCH($D1058,CARDS!$A$5:$A$34,0)),DATE(YEAR($B1058),MONTH($B1058),MIN(INDEX(CARDS!$H$5:$H$34,MATCH($D1058,CARDS!$A$5:$A$34,0)),DAY(EOMONTH($B1058,0)))),DATE(YEAR($B1058),MONTH($B1058)+1,MIN(INDEX(CARDS!$H$5:$H$34,MATCH($D1058,CARDS!$A$5:$A$34,0)),DAY(EOMONTH($B1058,1)))))),""))</f>
        <v/>
      </c>
      <c r="AE1058" s="52" t="str">
        <f>IF($C1058="","",$C1058&amp;"|"&amp;COUNTIF($C$5:$C1058,$C1058))</f>
        <v/>
      </c>
      <c r="AF1058" s="53">
        <f>IF($AC1058&gt;0,SUMIFS(Q$4:Q1057,$D$4:$D1057,$D1058,$Z$4:$Z1057,$Z1058,$C$4:$C1057,$C1058),0)</f>
        <v>0</v>
      </c>
      <c r="AG1058" s="53">
        <f>IF($AC1058&gt;0,SUMIFS(Q$4:Q1057,$D$4:$D1057,$D1058,$C$4:$C1057,$C1058),0)</f>
        <v>0</v>
      </c>
      <c r="AH1058" s="53">
        <f>IF($AC1058&gt;0,SUMIFS(M$4:M1057,$D$4:$D1057,$D1058,$Z$4:$Z1057,$Z1058,$C$4:$C1057,$C1058),0)</f>
        <v>0</v>
      </c>
      <c r="AI1058" s="43">
        <f>IF(OR($C1058="",$I1058=""),0,IF(COUNTIFS($C$5:$C1058,$C1058,$I$5:$I1058,$I1058)=1,1,0))</f>
        <v>0</v>
      </c>
      <c r="AJ1058" s="43" t="str">
        <f>IF($AI1058=1,SUMIFS($AI$4:$AI1057,$C$4:$C1057,$C1058)+1,"")</f>
        <v/>
      </c>
      <c r="AK1058" s="43">
        <f>IF(OR($C1058="",$K1058=""),0,IF(COUNTIFS($C$5:$C1058,$C1058,$K$5:$K1058,$K1058)=1,1,0))</f>
        <v>0</v>
      </c>
      <c r="AL1058" s="43" t="str">
        <f>IF($AK1058=1,SUMIFS($AK$4:$AK1057,$C$4:$C1057,$C1058)+1,"")</f>
        <v/>
      </c>
      <c r="AM1058" s="43">
        <f>IF(OR($C1058="",$G1058=""),0,IF(COUNTIFS($C$5:$C1058,$C1058,$G$5:$G1058,$G1058)=1,1,0))</f>
        <v>0</v>
      </c>
      <c r="AN1058" s="43" t="str">
        <f>IF($AM1058=1,SUMIFS($AM$4:$AM1057,$C$4:$C1057,$C1058)+1,"")</f>
        <v/>
      </c>
    </row>
    <row r="1059">
      <c r="A1059" s="44" t="str">
        <f>IF(OR($B1059="",$D1059=""),"","TX"&amp;TEXT(ROW()-4,"0000"))</f>
        <v/>
      </c>
      <c r="B1059" s="42" t="n"/>
      <c r="C1059" s="47" t="str">
        <f>IF($B1059="","",YEAR($B1059)*100+MONTH($B1059))</f>
        <v/>
      </c>
      <c r="D1059" s="37" t="n"/>
      <c r="E1059" s="45" t="str">
        <f>IF($D1059="","",IFERROR(INDEX(CARDS!$B$5:$B$34,MATCH($D1059,CARDS!$A$5:$A$34,0)),"⚠ Card ID?"))</f>
        <v/>
      </c>
      <c r="F1059" s="45" t="str">
        <f>IF($D1059="","",IFERROR(INDEX(CARDS!$C$5:$C$34,MATCH($D1059,CARDS!$A$5:$A$34,0)),"⚠ Card ID?"))</f>
        <v/>
      </c>
      <c r="G1059" s="37" t="n"/>
      <c r="H1059" s="37" t="n"/>
      <c r="I1059" s="41" t="n"/>
      <c r="J1059" s="45" t="str">
        <f>IF($I1059="","",IFERROR(INDEX(MCC_MASTER!$B$5:$B$504,MATCH($I1059,MCC_MASTER!$A$5:$A$504,0)),"⚠ MCC chưa có"))</f>
        <v/>
      </c>
      <c r="K1059" s="45" t="str">
        <f>IF($I1059="","",IFERROR(IF(INDEX(MCC_MASTER!$C$5:$C$504,MATCH($I1059,MCC_MASTER!$A$5:$A$504,0))="","Chưa phân loại",INDEX(MCC_MASTER!$C$5:$C$504,MATCH($I1059,MCC_MASTER!$A$5:$A$504,0))),"Chưa phân loại"))</f>
        <v/>
      </c>
      <c r="L1059" s="40" t="n"/>
      <c r="M1059" s="48" t="str">
        <f>IF(OR($B1059="",$D1059=""),"",IF($AC1059=0,0,IF(ISNUMBER(INDEX(CASHBACK_RULES!$L$5:$L$304,$AC1059)),MAX(0,MIN($L1059,INDEX(CASHBACK_RULES!$L$5:$L$304,$AC1059)-$AH1059)),MAX(0,$L1059))))</f>
        <v/>
      </c>
      <c r="N1059" s="49" t="str">
        <f>IF(OR($B1059="",$D1059=""),"",IF($AC1059&gt;0,INDEX(CASHBACK_RULES!$I$5:$I$304,$AC1059),0))</f>
        <v/>
      </c>
      <c r="O1059" s="48" t="str">
        <f>IF(OR($B1059="",$D1059=""),"",ROUND($M1059*$N1059,0))</f>
        <v/>
      </c>
      <c r="P1059" s="48" t="str">
        <f>IF($AC1059&gt;0,IF(ISNUMBER(INDEX(CASHBACK_RULES!$J$5:$J$304,$AC1059)),INDEX(CASHBACK_RULES!$J$5:$J$304,$AC1059),"∞"),"")</f>
        <v/>
      </c>
      <c r="Q1059" s="48" t="str">
        <f>IF(OR($B1059="",$D1059=""),"",IF($AC1059=0,0,MAX(0,MIN($O1059,IF(ISNUMBER($P1059),$P1059-$AF1059,1E+15),IF(ISNUMBER($AA1059),$AA1059-$AG1059,1E+15)))))</f>
        <v/>
      </c>
      <c r="R1059" s="48" t="str">
        <f>IF(OR($B1059="",$D1059=""),"",IF($AC1059=0,"",IF(AND(NOT(ISNUMBER($P1059)),NOT(ISNUMBER($AA1059))),"∞",MAX(0,MIN(IF(ISNUMBER($P1059),$P1059-$AF1059-$Q1059,1E+15),IF(ISNUMBER($AA1059),$AA1059-$AG1059-$Q1059,1E+15))))))</f>
        <v/>
      </c>
      <c r="S1059" s="47" t="str">
        <f>IF($AD1059="","",YEAR($AD1059)*100+MONTH($AD1059))</f>
        <v/>
      </c>
      <c r="T1059" s="50" t="str">
        <f>IF($AD1059="","",IFERROR(IF(INDEX(CARDS!$I$5:$I$34,MATCH($D1059,CARDS!$A$5:$A$34,0))="","",IF(INDEX(CARDS!$I$5:$I$34,MATCH($D1059,CARDS!$A$5:$A$34,0))&gt;INDEX(CARDS!$H$5:$H$34,MATCH($D1059,CARDS!$A$5:$A$34,0)),DATE(YEAR($AD1059),MONTH($AD1059),MIN(INDEX(CARDS!$I$5:$I$34,MATCH($D1059,CARDS!$A$5:$A$34,0)),DAY(EOMONTH($AD1059,0)))),DATE(YEAR($AD1059),MONTH($AD1059)+1,MIN(INDEX(CARDS!$I$5:$I$34,MATCH($D1059,CARDS!$A$5:$A$34,0)),DAY(EOMONTH($AD1059,1)))))),""))</f>
        <v/>
      </c>
      <c r="U1059" s="38" t="n"/>
      <c r="V1059" s="37" t="n"/>
      <c r="W1059" s="38" t="n"/>
      <c r="X1059" s="38" t="n"/>
      <c r="Y1059" s="44" t="str">
        <f>IF($AC1059&gt;0,INDEX(CASHBACK_RULES!$A$5:$A$304,$AC1059),"")</f>
        <v/>
      </c>
      <c r="Z1059" s="45" t="str">
        <f>IF($AC1059&gt;0,INDEX(CASHBACK_RULES!$E$5:$E$304,$AC1059)&amp;"","")</f>
        <v/>
      </c>
      <c r="AA1059" s="48" t="str">
        <f>IF($AC1059&gt;0,IF(ISNUMBER(INDEX(CASHBACK_RULES!$K$5:$K$304,$AC1059)),INDEX(CASHBACK_RULES!$K$5:$K$304,$AC1059),"∞"),"")</f>
        <v/>
      </c>
      <c r="AB1059" s="44" t="str">
        <f>IF(OR($B1059="",$D1059=""),"",IF($U1059="Cancelled","Đã hủy",IF($AC1059=0,"Không được hoàn",IF($Q1059=0,IF(OR($O1059&gt;0,$M1059&lt;$L1059),"Đã đạt cap","Không được hoàn"),IF(OR($Q1059&lt;$O1059,$M1059&lt;$L1059),"Hoàn một phần","Được hoàn")))))</f>
        <v/>
      </c>
      <c r="AC1059" s="43">
        <f>IF(OR($B1059="",$D1059="",$I1059="",$L1059=""),0,IF($U1059="Cancelled",0,IF($W1059&lt;&gt;"",IFERROR(IF(INDEX(CASHBACK_RULES!$B$5:$B$304,MATCH($W1059,CASHBACK_RULES!$A$5:$A$304,0))=$D1059,MATCH($W1059,CASHBACK_RULES!$A$5:$A$304,0),0),0),IFERROR(MATCH(1,INDEX((CASHBACK_RULES!$B$5:$B$304=$D1059)*(CASHBACK_RULES!$G$5:$G$304=$I1059)*(((CASHBACK_RULES!$N$5:$N$304="")+(CASHBACK_RULES!$N$5:$N$304&lt;=$B1059))&gt;0)*(((CASHBACK_RULES!$O$5:$O$304="")+(CASHBACK_RULES!$O$5:$O$304&gt;=$B1059))&gt;0)*(((CASHBACK_RULES!$M$5:$M$304="")+(CASHBACK_RULES!$M$5:$M$304&lt;=$L1059))&gt;0),0),0),0))))</f>
        <v>0</v>
      </c>
      <c r="AD1059" s="51" t="str">
        <f>IF(OR($B1059="",$D1059=""),"",IFERROR(IF(INDEX(CARDS!$H$5:$H$34,MATCH($D1059,CARDS!$A$5:$A$34,0))="","",IF(DAY($B1059)&lt;=INDEX(CARDS!$H$5:$H$34,MATCH($D1059,CARDS!$A$5:$A$34,0)),DATE(YEAR($B1059),MONTH($B1059),MIN(INDEX(CARDS!$H$5:$H$34,MATCH($D1059,CARDS!$A$5:$A$34,0)),DAY(EOMONTH($B1059,0)))),DATE(YEAR($B1059),MONTH($B1059)+1,MIN(INDEX(CARDS!$H$5:$H$34,MATCH($D1059,CARDS!$A$5:$A$34,0)),DAY(EOMONTH($B1059,1)))))),""))</f>
        <v/>
      </c>
      <c r="AE1059" s="52" t="str">
        <f>IF($C1059="","",$C1059&amp;"|"&amp;COUNTIF($C$5:$C1059,$C1059))</f>
        <v/>
      </c>
      <c r="AF1059" s="53">
        <f>IF($AC1059&gt;0,SUMIFS(Q$4:Q1058,$D$4:$D1058,$D1059,$Z$4:$Z1058,$Z1059,$C$4:$C1058,$C1059),0)</f>
        <v>0</v>
      </c>
      <c r="AG1059" s="53">
        <f>IF($AC1059&gt;0,SUMIFS(Q$4:Q1058,$D$4:$D1058,$D1059,$C$4:$C1058,$C1059),0)</f>
        <v>0</v>
      </c>
      <c r="AH1059" s="53">
        <f>IF($AC1059&gt;0,SUMIFS(M$4:M1058,$D$4:$D1058,$D1059,$Z$4:$Z1058,$Z1059,$C$4:$C1058,$C1059),0)</f>
        <v>0</v>
      </c>
      <c r="AI1059" s="43">
        <f>IF(OR($C1059="",$I1059=""),0,IF(COUNTIFS($C$5:$C1059,$C1059,$I$5:$I1059,$I1059)=1,1,0))</f>
        <v>0</v>
      </c>
      <c r="AJ1059" s="43" t="str">
        <f>IF($AI1059=1,SUMIFS($AI$4:$AI1058,$C$4:$C1058,$C1059)+1,"")</f>
        <v/>
      </c>
      <c r="AK1059" s="43">
        <f>IF(OR($C1059="",$K1059=""),0,IF(COUNTIFS($C$5:$C1059,$C1059,$K$5:$K1059,$K1059)=1,1,0))</f>
        <v>0</v>
      </c>
      <c r="AL1059" s="43" t="str">
        <f>IF($AK1059=1,SUMIFS($AK$4:$AK1058,$C$4:$C1058,$C1059)+1,"")</f>
        <v/>
      </c>
      <c r="AM1059" s="43">
        <f>IF(OR($C1059="",$G1059=""),0,IF(COUNTIFS($C$5:$C1059,$C1059,$G$5:$G1059,$G1059)=1,1,0))</f>
        <v>0</v>
      </c>
      <c r="AN1059" s="43" t="str">
        <f>IF($AM1059=1,SUMIFS($AM$4:$AM1058,$C$4:$C1058,$C1059)+1,"")</f>
        <v/>
      </c>
    </row>
    <row r="1060">
      <c r="A1060" s="44" t="str">
        <f>IF(OR($B1060="",$D1060=""),"","TX"&amp;TEXT(ROW()-4,"0000"))</f>
        <v/>
      </c>
      <c r="B1060" s="42" t="n"/>
      <c r="C1060" s="47" t="str">
        <f>IF($B1060="","",YEAR($B1060)*100+MONTH($B1060))</f>
        <v/>
      </c>
      <c r="D1060" s="37" t="n"/>
      <c r="E1060" s="45" t="str">
        <f>IF($D1060="","",IFERROR(INDEX(CARDS!$B$5:$B$34,MATCH($D1060,CARDS!$A$5:$A$34,0)),"⚠ Card ID?"))</f>
        <v/>
      </c>
      <c r="F1060" s="45" t="str">
        <f>IF($D1060="","",IFERROR(INDEX(CARDS!$C$5:$C$34,MATCH($D1060,CARDS!$A$5:$A$34,0)),"⚠ Card ID?"))</f>
        <v/>
      </c>
      <c r="G1060" s="37" t="n"/>
      <c r="H1060" s="37" t="n"/>
      <c r="I1060" s="41" t="n"/>
      <c r="J1060" s="45" t="str">
        <f>IF($I1060="","",IFERROR(INDEX(MCC_MASTER!$B$5:$B$504,MATCH($I1060,MCC_MASTER!$A$5:$A$504,0)),"⚠ MCC chưa có"))</f>
        <v/>
      </c>
      <c r="K1060" s="45" t="str">
        <f>IF($I1060="","",IFERROR(IF(INDEX(MCC_MASTER!$C$5:$C$504,MATCH($I1060,MCC_MASTER!$A$5:$A$504,0))="","Chưa phân loại",INDEX(MCC_MASTER!$C$5:$C$504,MATCH($I1060,MCC_MASTER!$A$5:$A$504,0))),"Chưa phân loại"))</f>
        <v/>
      </c>
      <c r="L1060" s="40" t="n"/>
      <c r="M1060" s="48" t="str">
        <f>IF(OR($B1060="",$D1060=""),"",IF($AC1060=0,0,IF(ISNUMBER(INDEX(CASHBACK_RULES!$L$5:$L$304,$AC1060)),MAX(0,MIN($L1060,INDEX(CASHBACK_RULES!$L$5:$L$304,$AC1060)-$AH1060)),MAX(0,$L1060))))</f>
        <v/>
      </c>
      <c r="N1060" s="49" t="str">
        <f>IF(OR($B1060="",$D1060=""),"",IF($AC1060&gt;0,INDEX(CASHBACK_RULES!$I$5:$I$304,$AC1060),0))</f>
        <v/>
      </c>
      <c r="O1060" s="48" t="str">
        <f>IF(OR($B1060="",$D1060=""),"",ROUND($M1060*$N1060,0))</f>
        <v/>
      </c>
      <c r="P1060" s="48" t="str">
        <f>IF($AC1060&gt;0,IF(ISNUMBER(INDEX(CASHBACK_RULES!$J$5:$J$304,$AC1060)),INDEX(CASHBACK_RULES!$J$5:$J$304,$AC1060),"∞"),"")</f>
        <v/>
      </c>
      <c r="Q1060" s="48" t="str">
        <f>IF(OR($B1060="",$D1060=""),"",IF($AC1060=0,0,MAX(0,MIN($O1060,IF(ISNUMBER($P1060),$P1060-$AF1060,1E+15),IF(ISNUMBER($AA1060),$AA1060-$AG1060,1E+15)))))</f>
        <v/>
      </c>
      <c r="R1060" s="48" t="str">
        <f>IF(OR($B1060="",$D1060=""),"",IF($AC1060=0,"",IF(AND(NOT(ISNUMBER($P1060)),NOT(ISNUMBER($AA1060))),"∞",MAX(0,MIN(IF(ISNUMBER($P1060),$P1060-$AF1060-$Q1060,1E+15),IF(ISNUMBER($AA1060),$AA1060-$AG1060-$Q1060,1E+15))))))</f>
        <v/>
      </c>
      <c r="S1060" s="47" t="str">
        <f>IF($AD1060="","",YEAR($AD1060)*100+MONTH($AD1060))</f>
        <v/>
      </c>
      <c r="T1060" s="50" t="str">
        <f>IF($AD1060="","",IFERROR(IF(INDEX(CARDS!$I$5:$I$34,MATCH($D1060,CARDS!$A$5:$A$34,0))="","",IF(INDEX(CARDS!$I$5:$I$34,MATCH($D1060,CARDS!$A$5:$A$34,0))&gt;INDEX(CARDS!$H$5:$H$34,MATCH($D1060,CARDS!$A$5:$A$34,0)),DATE(YEAR($AD1060),MONTH($AD1060),MIN(INDEX(CARDS!$I$5:$I$34,MATCH($D1060,CARDS!$A$5:$A$34,0)),DAY(EOMONTH($AD1060,0)))),DATE(YEAR($AD1060),MONTH($AD1060)+1,MIN(INDEX(CARDS!$I$5:$I$34,MATCH($D1060,CARDS!$A$5:$A$34,0)),DAY(EOMONTH($AD1060,1)))))),""))</f>
        <v/>
      </c>
      <c r="U1060" s="38" t="n"/>
      <c r="V1060" s="37" t="n"/>
      <c r="W1060" s="38" t="n"/>
      <c r="X1060" s="38" t="n"/>
      <c r="Y1060" s="44" t="str">
        <f>IF($AC1060&gt;0,INDEX(CASHBACK_RULES!$A$5:$A$304,$AC1060),"")</f>
        <v/>
      </c>
      <c r="Z1060" s="45" t="str">
        <f>IF($AC1060&gt;0,INDEX(CASHBACK_RULES!$E$5:$E$304,$AC1060)&amp;"","")</f>
        <v/>
      </c>
      <c r="AA1060" s="48" t="str">
        <f>IF($AC1060&gt;0,IF(ISNUMBER(INDEX(CASHBACK_RULES!$K$5:$K$304,$AC1060)),INDEX(CASHBACK_RULES!$K$5:$K$304,$AC1060),"∞"),"")</f>
        <v/>
      </c>
      <c r="AB1060" s="44" t="str">
        <f>IF(OR($B1060="",$D1060=""),"",IF($U1060="Cancelled","Đã hủy",IF($AC1060=0,"Không được hoàn",IF($Q1060=0,IF(OR($O1060&gt;0,$M1060&lt;$L1060),"Đã đạt cap","Không được hoàn"),IF(OR($Q1060&lt;$O1060,$M1060&lt;$L1060),"Hoàn một phần","Được hoàn")))))</f>
        <v/>
      </c>
      <c r="AC1060" s="43">
        <f>IF(OR($B1060="",$D1060="",$I1060="",$L1060=""),0,IF($U1060="Cancelled",0,IF($W1060&lt;&gt;"",IFERROR(IF(INDEX(CASHBACK_RULES!$B$5:$B$304,MATCH($W1060,CASHBACK_RULES!$A$5:$A$304,0))=$D1060,MATCH($W1060,CASHBACK_RULES!$A$5:$A$304,0),0),0),IFERROR(MATCH(1,INDEX((CASHBACK_RULES!$B$5:$B$304=$D1060)*(CASHBACK_RULES!$G$5:$G$304=$I1060)*(((CASHBACK_RULES!$N$5:$N$304="")+(CASHBACK_RULES!$N$5:$N$304&lt;=$B1060))&gt;0)*(((CASHBACK_RULES!$O$5:$O$304="")+(CASHBACK_RULES!$O$5:$O$304&gt;=$B1060))&gt;0)*(((CASHBACK_RULES!$M$5:$M$304="")+(CASHBACK_RULES!$M$5:$M$304&lt;=$L1060))&gt;0),0),0),0))))</f>
        <v>0</v>
      </c>
      <c r="AD1060" s="51" t="str">
        <f>IF(OR($B1060="",$D1060=""),"",IFERROR(IF(INDEX(CARDS!$H$5:$H$34,MATCH($D1060,CARDS!$A$5:$A$34,0))="","",IF(DAY($B1060)&lt;=INDEX(CARDS!$H$5:$H$34,MATCH($D1060,CARDS!$A$5:$A$34,0)),DATE(YEAR($B1060),MONTH($B1060),MIN(INDEX(CARDS!$H$5:$H$34,MATCH($D1060,CARDS!$A$5:$A$34,0)),DAY(EOMONTH($B1060,0)))),DATE(YEAR($B1060),MONTH($B1060)+1,MIN(INDEX(CARDS!$H$5:$H$34,MATCH($D1060,CARDS!$A$5:$A$34,0)),DAY(EOMONTH($B1060,1)))))),""))</f>
        <v/>
      </c>
      <c r="AE1060" s="52" t="str">
        <f>IF($C1060="","",$C1060&amp;"|"&amp;COUNTIF($C$5:$C1060,$C1060))</f>
        <v/>
      </c>
      <c r="AF1060" s="53">
        <f>IF($AC1060&gt;0,SUMIFS(Q$4:Q1059,$D$4:$D1059,$D1060,$Z$4:$Z1059,$Z1060,$C$4:$C1059,$C1060),0)</f>
        <v>0</v>
      </c>
      <c r="AG1060" s="53">
        <f>IF($AC1060&gt;0,SUMIFS(Q$4:Q1059,$D$4:$D1059,$D1060,$C$4:$C1059,$C1060),0)</f>
        <v>0</v>
      </c>
      <c r="AH1060" s="53">
        <f>IF($AC1060&gt;0,SUMIFS(M$4:M1059,$D$4:$D1059,$D1060,$Z$4:$Z1059,$Z1060,$C$4:$C1059,$C1060),0)</f>
        <v>0</v>
      </c>
      <c r="AI1060" s="43">
        <f>IF(OR($C1060="",$I1060=""),0,IF(COUNTIFS($C$5:$C1060,$C1060,$I$5:$I1060,$I1060)=1,1,0))</f>
        <v>0</v>
      </c>
      <c r="AJ1060" s="43" t="str">
        <f>IF($AI1060=1,SUMIFS($AI$4:$AI1059,$C$4:$C1059,$C1060)+1,"")</f>
        <v/>
      </c>
      <c r="AK1060" s="43">
        <f>IF(OR($C1060="",$K1060=""),0,IF(COUNTIFS($C$5:$C1060,$C1060,$K$5:$K1060,$K1060)=1,1,0))</f>
        <v>0</v>
      </c>
      <c r="AL1060" s="43" t="str">
        <f>IF($AK1060=1,SUMIFS($AK$4:$AK1059,$C$4:$C1059,$C1060)+1,"")</f>
        <v/>
      </c>
      <c r="AM1060" s="43">
        <f>IF(OR($C1060="",$G1060=""),0,IF(COUNTIFS($C$5:$C1060,$C1060,$G$5:$G1060,$G1060)=1,1,0))</f>
        <v>0</v>
      </c>
      <c r="AN1060" s="43" t="str">
        <f>IF($AM1060=1,SUMIFS($AM$4:$AM1059,$C$4:$C1059,$C1060)+1,"")</f>
        <v/>
      </c>
    </row>
    <row r="1061">
      <c r="A1061" s="44" t="str">
        <f>IF(OR($B1061="",$D1061=""),"","TX"&amp;TEXT(ROW()-4,"0000"))</f>
        <v/>
      </c>
      <c r="B1061" s="42" t="n"/>
      <c r="C1061" s="47" t="str">
        <f>IF($B1061="","",YEAR($B1061)*100+MONTH($B1061))</f>
        <v/>
      </c>
      <c r="D1061" s="37" t="n"/>
      <c r="E1061" s="45" t="str">
        <f>IF($D1061="","",IFERROR(INDEX(CARDS!$B$5:$B$34,MATCH($D1061,CARDS!$A$5:$A$34,0)),"⚠ Card ID?"))</f>
        <v/>
      </c>
      <c r="F1061" s="45" t="str">
        <f>IF($D1061="","",IFERROR(INDEX(CARDS!$C$5:$C$34,MATCH($D1061,CARDS!$A$5:$A$34,0)),"⚠ Card ID?"))</f>
        <v/>
      </c>
      <c r="G1061" s="37" t="n"/>
      <c r="H1061" s="37" t="n"/>
      <c r="I1061" s="41" t="n"/>
      <c r="J1061" s="45" t="str">
        <f>IF($I1061="","",IFERROR(INDEX(MCC_MASTER!$B$5:$B$504,MATCH($I1061,MCC_MASTER!$A$5:$A$504,0)),"⚠ MCC chưa có"))</f>
        <v/>
      </c>
      <c r="K1061" s="45" t="str">
        <f>IF($I1061="","",IFERROR(IF(INDEX(MCC_MASTER!$C$5:$C$504,MATCH($I1061,MCC_MASTER!$A$5:$A$504,0))="","Chưa phân loại",INDEX(MCC_MASTER!$C$5:$C$504,MATCH($I1061,MCC_MASTER!$A$5:$A$504,0))),"Chưa phân loại"))</f>
        <v/>
      </c>
      <c r="L1061" s="40" t="n"/>
      <c r="M1061" s="48" t="str">
        <f>IF(OR($B1061="",$D1061=""),"",IF($AC1061=0,0,IF(ISNUMBER(INDEX(CASHBACK_RULES!$L$5:$L$304,$AC1061)),MAX(0,MIN($L1061,INDEX(CASHBACK_RULES!$L$5:$L$304,$AC1061)-$AH1061)),MAX(0,$L1061))))</f>
        <v/>
      </c>
      <c r="N1061" s="49" t="str">
        <f>IF(OR($B1061="",$D1061=""),"",IF($AC1061&gt;0,INDEX(CASHBACK_RULES!$I$5:$I$304,$AC1061),0))</f>
        <v/>
      </c>
      <c r="O1061" s="48" t="str">
        <f>IF(OR($B1061="",$D1061=""),"",ROUND($M1061*$N1061,0))</f>
        <v/>
      </c>
      <c r="P1061" s="48" t="str">
        <f>IF($AC1061&gt;0,IF(ISNUMBER(INDEX(CASHBACK_RULES!$J$5:$J$304,$AC1061)),INDEX(CASHBACK_RULES!$J$5:$J$304,$AC1061),"∞"),"")</f>
        <v/>
      </c>
      <c r="Q1061" s="48" t="str">
        <f>IF(OR($B1061="",$D1061=""),"",IF($AC1061=0,0,MAX(0,MIN($O1061,IF(ISNUMBER($P1061),$P1061-$AF1061,1E+15),IF(ISNUMBER($AA1061),$AA1061-$AG1061,1E+15)))))</f>
        <v/>
      </c>
      <c r="R1061" s="48" t="str">
        <f>IF(OR($B1061="",$D1061=""),"",IF($AC1061=0,"",IF(AND(NOT(ISNUMBER($P1061)),NOT(ISNUMBER($AA1061))),"∞",MAX(0,MIN(IF(ISNUMBER($P1061),$P1061-$AF1061-$Q1061,1E+15),IF(ISNUMBER($AA1061),$AA1061-$AG1061-$Q1061,1E+15))))))</f>
        <v/>
      </c>
      <c r="S1061" s="47" t="str">
        <f>IF($AD1061="","",YEAR($AD1061)*100+MONTH($AD1061))</f>
        <v/>
      </c>
      <c r="T1061" s="50" t="str">
        <f>IF($AD1061="","",IFERROR(IF(INDEX(CARDS!$I$5:$I$34,MATCH($D1061,CARDS!$A$5:$A$34,0))="","",IF(INDEX(CARDS!$I$5:$I$34,MATCH($D1061,CARDS!$A$5:$A$34,0))&gt;INDEX(CARDS!$H$5:$H$34,MATCH($D1061,CARDS!$A$5:$A$34,0)),DATE(YEAR($AD1061),MONTH($AD1061),MIN(INDEX(CARDS!$I$5:$I$34,MATCH($D1061,CARDS!$A$5:$A$34,0)),DAY(EOMONTH($AD1061,0)))),DATE(YEAR($AD1061),MONTH($AD1061)+1,MIN(INDEX(CARDS!$I$5:$I$34,MATCH($D1061,CARDS!$A$5:$A$34,0)),DAY(EOMONTH($AD1061,1)))))),""))</f>
        <v/>
      </c>
      <c r="U1061" s="38" t="n"/>
      <c r="V1061" s="37" t="n"/>
      <c r="W1061" s="38" t="n"/>
      <c r="X1061" s="38" t="n"/>
      <c r="Y1061" s="44" t="str">
        <f>IF($AC1061&gt;0,INDEX(CASHBACK_RULES!$A$5:$A$304,$AC1061),"")</f>
        <v/>
      </c>
      <c r="Z1061" s="45" t="str">
        <f>IF($AC1061&gt;0,INDEX(CASHBACK_RULES!$E$5:$E$304,$AC1061)&amp;"","")</f>
        <v/>
      </c>
      <c r="AA1061" s="48" t="str">
        <f>IF($AC1061&gt;0,IF(ISNUMBER(INDEX(CASHBACK_RULES!$K$5:$K$304,$AC1061)),INDEX(CASHBACK_RULES!$K$5:$K$304,$AC1061),"∞"),"")</f>
        <v/>
      </c>
      <c r="AB1061" s="44" t="str">
        <f>IF(OR($B1061="",$D1061=""),"",IF($U1061="Cancelled","Đã hủy",IF($AC1061=0,"Không được hoàn",IF($Q1061=0,IF(OR($O1061&gt;0,$M1061&lt;$L1061),"Đã đạt cap","Không được hoàn"),IF(OR($Q1061&lt;$O1061,$M1061&lt;$L1061),"Hoàn một phần","Được hoàn")))))</f>
        <v/>
      </c>
      <c r="AC1061" s="43">
        <f>IF(OR($B1061="",$D1061="",$I1061="",$L1061=""),0,IF($U1061="Cancelled",0,IF($W1061&lt;&gt;"",IFERROR(IF(INDEX(CASHBACK_RULES!$B$5:$B$304,MATCH($W1061,CASHBACK_RULES!$A$5:$A$304,0))=$D1061,MATCH($W1061,CASHBACK_RULES!$A$5:$A$304,0),0),0),IFERROR(MATCH(1,INDEX((CASHBACK_RULES!$B$5:$B$304=$D1061)*(CASHBACK_RULES!$G$5:$G$304=$I1061)*(((CASHBACK_RULES!$N$5:$N$304="")+(CASHBACK_RULES!$N$5:$N$304&lt;=$B1061))&gt;0)*(((CASHBACK_RULES!$O$5:$O$304="")+(CASHBACK_RULES!$O$5:$O$304&gt;=$B1061))&gt;0)*(((CASHBACK_RULES!$M$5:$M$304="")+(CASHBACK_RULES!$M$5:$M$304&lt;=$L1061))&gt;0),0),0),0))))</f>
        <v>0</v>
      </c>
      <c r="AD1061" s="51" t="str">
        <f>IF(OR($B1061="",$D1061=""),"",IFERROR(IF(INDEX(CARDS!$H$5:$H$34,MATCH($D1061,CARDS!$A$5:$A$34,0))="","",IF(DAY($B1061)&lt;=INDEX(CARDS!$H$5:$H$34,MATCH($D1061,CARDS!$A$5:$A$34,0)),DATE(YEAR($B1061),MONTH($B1061),MIN(INDEX(CARDS!$H$5:$H$34,MATCH($D1061,CARDS!$A$5:$A$34,0)),DAY(EOMONTH($B1061,0)))),DATE(YEAR($B1061),MONTH($B1061)+1,MIN(INDEX(CARDS!$H$5:$H$34,MATCH($D1061,CARDS!$A$5:$A$34,0)),DAY(EOMONTH($B1061,1)))))),""))</f>
        <v/>
      </c>
      <c r="AE1061" s="52" t="str">
        <f>IF($C1061="","",$C1061&amp;"|"&amp;COUNTIF($C$5:$C1061,$C1061))</f>
        <v/>
      </c>
      <c r="AF1061" s="53">
        <f>IF($AC1061&gt;0,SUMIFS(Q$4:Q1060,$D$4:$D1060,$D1061,$Z$4:$Z1060,$Z1061,$C$4:$C1060,$C1061),0)</f>
        <v>0</v>
      </c>
      <c r="AG1061" s="53">
        <f>IF($AC1061&gt;0,SUMIFS(Q$4:Q1060,$D$4:$D1060,$D1061,$C$4:$C1060,$C1061),0)</f>
        <v>0</v>
      </c>
      <c r="AH1061" s="53">
        <f>IF($AC1061&gt;0,SUMIFS(M$4:M1060,$D$4:$D1060,$D1061,$Z$4:$Z1060,$Z1061,$C$4:$C1060,$C1061),0)</f>
        <v>0</v>
      </c>
      <c r="AI1061" s="43">
        <f>IF(OR($C1061="",$I1061=""),0,IF(COUNTIFS($C$5:$C1061,$C1061,$I$5:$I1061,$I1061)=1,1,0))</f>
        <v>0</v>
      </c>
      <c r="AJ1061" s="43" t="str">
        <f>IF($AI1061=1,SUMIFS($AI$4:$AI1060,$C$4:$C1060,$C1061)+1,"")</f>
        <v/>
      </c>
      <c r="AK1061" s="43">
        <f>IF(OR($C1061="",$K1061=""),0,IF(COUNTIFS($C$5:$C1061,$C1061,$K$5:$K1061,$K1061)=1,1,0))</f>
        <v>0</v>
      </c>
      <c r="AL1061" s="43" t="str">
        <f>IF($AK1061=1,SUMIFS($AK$4:$AK1060,$C$4:$C1060,$C1061)+1,"")</f>
        <v/>
      </c>
      <c r="AM1061" s="43">
        <f>IF(OR($C1061="",$G1061=""),0,IF(COUNTIFS($C$5:$C1061,$C1061,$G$5:$G1061,$G1061)=1,1,0))</f>
        <v>0</v>
      </c>
      <c r="AN1061" s="43" t="str">
        <f>IF($AM1061=1,SUMIFS($AM$4:$AM1060,$C$4:$C1060,$C1061)+1,"")</f>
        <v/>
      </c>
    </row>
    <row r="1062">
      <c r="A1062" s="44" t="str">
        <f>IF(OR($B1062="",$D1062=""),"","TX"&amp;TEXT(ROW()-4,"0000"))</f>
        <v/>
      </c>
      <c r="B1062" s="42" t="n"/>
      <c r="C1062" s="47" t="str">
        <f>IF($B1062="","",YEAR($B1062)*100+MONTH($B1062))</f>
        <v/>
      </c>
      <c r="D1062" s="37" t="n"/>
      <c r="E1062" s="45" t="str">
        <f>IF($D1062="","",IFERROR(INDEX(CARDS!$B$5:$B$34,MATCH($D1062,CARDS!$A$5:$A$34,0)),"⚠ Card ID?"))</f>
        <v/>
      </c>
      <c r="F1062" s="45" t="str">
        <f>IF($D1062="","",IFERROR(INDEX(CARDS!$C$5:$C$34,MATCH($D1062,CARDS!$A$5:$A$34,0)),"⚠ Card ID?"))</f>
        <v/>
      </c>
      <c r="G1062" s="37" t="n"/>
      <c r="H1062" s="37" t="n"/>
      <c r="I1062" s="41" t="n"/>
      <c r="J1062" s="45" t="str">
        <f>IF($I1062="","",IFERROR(INDEX(MCC_MASTER!$B$5:$B$504,MATCH($I1062,MCC_MASTER!$A$5:$A$504,0)),"⚠ MCC chưa có"))</f>
        <v/>
      </c>
      <c r="K1062" s="45" t="str">
        <f>IF($I1062="","",IFERROR(IF(INDEX(MCC_MASTER!$C$5:$C$504,MATCH($I1062,MCC_MASTER!$A$5:$A$504,0))="","Chưa phân loại",INDEX(MCC_MASTER!$C$5:$C$504,MATCH($I1062,MCC_MASTER!$A$5:$A$504,0))),"Chưa phân loại"))</f>
        <v/>
      </c>
      <c r="L1062" s="40" t="n"/>
      <c r="M1062" s="48" t="str">
        <f>IF(OR($B1062="",$D1062=""),"",IF($AC1062=0,0,IF(ISNUMBER(INDEX(CASHBACK_RULES!$L$5:$L$304,$AC1062)),MAX(0,MIN($L1062,INDEX(CASHBACK_RULES!$L$5:$L$304,$AC1062)-$AH1062)),MAX(0,$L1062))))</f>
        <v/>
      </c>
      <c r="N1062" s="49" t="str">
        <f>IF(OR($B1062="",$D1062=""),"",IF($AC1062&gt;0,INDEX(CASHBACK_RULES!$I$5:$I$304,$AC1062),0))</f>
        <v/>
      </c>
      <c r="O1062" s="48" t="str">
        <f>IF(OR($B1062="",$D1062=""),"",ROUND($M1062*$N1062,0))</f>
        <v/>
      </c>
      <c r="P1062" s="48" t="str">
        <f>IF($AC1062&gt;0,IF(ISNUMBER(INDEX(CASHBACK_RULES!$J$5:$J$304,$AC1062)),INDEX(CASHBACK_RULES!$J$5:$J$304,$AC1062),"∞"),"")</f>
        <v/>
      </c>
      <c r="Q1062" s="48" t="str">
        <f>IF(OR($B1062="",$D1062=""),"",IF($AC1062=0,0,MAX(0,MIN($O1062,IF(ISNUMBER($P1062),$P1062-$AF1062,1E+15),IF(ISNUMBER($AA1062),$AA1062-$AG1062,1E+15)))))</f>
        <v/>
      </c>
      <c r="R1062" s="48" t="str">
        <f>IF(OR($B1062="",$D1062=""),"",IF($AC1062=0,"",IF(AND(NOT(ISNUMBER($P1062)),NOT(ISNUMBER($AA1062))),"∞",MAX(0,MIN(IF(ISNUMBER($P1062),$P1062-$AF1062-$Q1062,1E+15),IF(ISNUMBER($AA1062),$AA1062-$AG1062-$Q1062,1E+15))))))</f>
        <v/>
      </c>
      <c r="S1062" s="47" t="str">
        <f>IF($AD1062="","",YEAR($AD1062)*100+MONTH($AD1062))</f>
        <v/>
      </c>
      <c r="T1062" s="50" t="str">
        <f>IF($AD1062="","",IFERROR(IF(INDEX(CARDS!$I$5:$I$34,MATCH($D1062,CARDS!$A$5:$A$34,0))="","",IF(INDEX(CARDS!$I$5:$I$34,MATCH($D1062,CARDS!$A$5:$A$34,0))&gt;INDEX(CARDS!$H$5:$H$34,MATCH($D1062,CARDS!$A$5:$A$34,0)),DATE(YEAR($AD1062),MONTH($AD1062),MIN(INDEX(CARDS!$I$5:$I$34,MATCH($D1062,CARDS!$A$5:$A$34,0)),DAY(EOMONTH($AD1062,0)))),DATE(YEAR($AD1062),MONTH($AD1062)+1,MIN(INDEX(CARDS!$I$5:$I$34,MATCH($D1062,CARDS!$A$5:$A$34,0)),DAY(EOMONTH($AD1062,1)))))),""))</f>
        <v/>
      </c>
      <c r="U1062" s="38" t="n"/>
      <c r="V1062" s="37" t="n"/>
      <c r="W1062" s="38" t="n"/>
      <c r="X1062" s="38" t="n"/>
      <c r="Y1062" s="44" t="str">
        <f>IF($AC1062&gt;0,INDEX(CASHBACK_RULES!$A$5:$A$304,$AC1062),"")</f>
        <v/>
      </c>
      <c r="Z1062" s="45" t="str">
        <f>IF($AC1062&gt;0,INDEX(CASHBACK_RULES!$E$5:$E$304,$AC1062)&amp;"","")</f>
        <v/>
      </c>
      <c r="AA1062" s="48" t="str">
        <f>IF($AC1062&gt;0,IF(ISNUMBER(INDEX(CASHBACK_RULES!$K$5:$K$304,$AC1062)),INDEX(CASHBACK_RULES!$K$5:$K$304,$AC1062),"∞"),"")</f>
        <v/>
      </c>
      <c r="AB1062" s="44" t="str">
        <f>IF(OR($B1062="",$D1062=""),"",IF($U1062="Cancelled","Đã hủy",IF($AC1062=0,"Không được hoàn",IF($Q1062=0,IF(OR($O1062&gt;0,$M1062&lt;$L1062),"Đã đạt cap","Không được hoàn"),IF(OR($Q1062&lt;$O1062,$M1062&lt;$L1062),"Hoàn một phần","Được hoàn")))))</f>
        <v/>
      </c>
      <c r="AC1062" s="43">
        <f>IF(OR($B1062="",$D1062="",$I1062="",$L1062=""),0,IF($U1062="Cancelled",0,IF($W1062&lt;&gt;"",IFERROR(IF(INDEX(CASHBACK_RULES!$B$5:$B$304,MATCH($W1062,CASHBACK_RULES!$A$5:$A$304,0))=$D1062,MATCH($W1062,CASHBACK_RULES!$A$5:$A$304,0),0),0),IFERROR(MATCH(1,INDEX((CASHBACK_RULES!$B$5:$B$304=$D1062)*(CASHBACK_RULES!$G$5:$G$304=$I1062)*(((CASHBACK_RULES!$N$5:$N$304="")+(CASHBACK_RULES!$N$5:$N$304&lt;=$B1062))&gt;0)*(((CASHBACK_RULES!$O$5:$O$304="")+(CASHBACK_RULES!$O$5:$O$304&gt;=$B1062))&gt;0)*(((CASHBACK_RULES!$M$5:$M$304="")+(CASHBACK_RULES!$M$5:$M$304&lt;=$L1062))&gt;0),0),0),0))))</f>
        <v>0</v>
      </c>
      <c r="AD1062" s="51" t="str">
        <f>IF(OR($B1062="",$D1062=""),"",IFERROR(IF(INDEX(CARDS!$H$5:$H$34,MATCH($D1062,CARDS!$A$5:$A$34,0))="","",IF(DAY($B1062)&lt;=INDEX(CARDS!$H$5:$H$34,MATCH($D1062,CARDS!$A$5:$A$34,0)),DATE(YEAR($B1062),MONTH($B1062),MIN(INDEX(CARDS!$H$5:$H$34,MATCH($D1062,CARDS!$A$5:$A$34,0)),DAY(EOMONTH($B1062,0)))),DATE(YEAR($B1062),MONTH($B1062)+1,MIN(INDEX(CARDS!$H$5:$H$34,MATCH($D1062,CARDS!$A$5:$A$34,0)),DAY(EOMONTH($B1062,1)))))),""))</f>
        <v/>
      </c>
      <c r="AE1062" s="52" t="str">
        <f>IF($C1062="","",$C1062&amp;"|"&amp;COUNTIF($C$5:$C1062,$C1062))</f>
        <v/>
      </c>
      <c r="AF1062" s="53">
        <f>IF($AC1062&gt;0,SUMIFS(Q$4:Q1061,$D$4:$D1061,$D1062,$Z$4:$Z1061,$Z1062,$C$4:$C1061,$C1062),0)</f>
        <v>0</v>
      </c>
      <c r="AG1062" s="53">
        <f>IF($AC1062&gt;0,SUMIFS(Q$4:Q1061,$D$4:$D1061,$D1062,$C$4:$C1061,$C1062),0)</f>
        <v>0</v>
      </c>
      <c r="AH1062" s="53">
        <f>IF($AC1062&gt;0,SUMIFS(M$4:M1061,$D$4:$D1061,$D1062,$Z$4:$Z1061,$Z1062,$C$4:$C1061,$C1062),0)</f>
        <v>0</v>
      </c>
      <c r="AI1062" s="43">
        <f>IF(OR($C1062="",$I1062=""),0,IF(COUNTIFS($C$5:$C1062,$C1062,$I$5:$I1062,$I1062)=1,1,0))</f>
        <v>0</v>
      </c>
      <c r="AJ1062" s="43" t="str">
        <f>IF($AI1062=1,SUMIFS($AI$4:$AI1061,$C$4:$C1061,$C1062)+1,"")</f>
        <v/>
      </c>
      <c r="AK1062" s="43">
        <f>IF(OR($C1062="",$K1062=""),0,IF(COUNTIFS($C$5:$C1062,$C1062,$K$5:$K1062,$K1062)=1,1,0))</f>
        <v>0</v>
      </c>
      <c r="AL1062" s="43" t="str">
        <f>IF($AK1062=1,SUMIFS($AK$4:$AK1061,$C$4:$C1061,$C1062)+1,"")</f>
        <v/>
      </c>
      <c r="AM1062" s="43">
        <f>IF(OR($C1062="",$G1062=""),0,IF(COUNTIFS($C$5:$C1062,$C1062,$G$5:$G1062,$G1062)=1,1,0))</f>
        <v>0</v>
      </c>
      <c r="AN1062" s="43" t="str">
        <f>IF($AM1062=1,SUMIFS($AM$4:$AM1061,$C$4:$C1061,$C1062)+1,"")</f>
        <v/>
      </c>
    </row>
    <row r="1063">
      <c r="A1063" s="44" t="str">
        <f>IF(OR($B1063="",$D1063=""),"","TX"&amp;TEXT(ROW()-4,"0000"))</f>
        <v/>
      </c>
      <c r="B1063" s="42" t="n"/>
      <c r="C1063" s="47" t="str">
        <f>IF($B1063="","",YEAR($B1063)*100+MONTH($B1063))</f>
        <v/>
      </c>
      <c r="D1063" s="37" t="n"/>
      <c r="E1063" s="45" t="str">
        <f>IF($D1063="","",IFERROR(INDEX(CARDS!$B$5:$B$34,MATCH($D1063,CARDS!$A$5:$A$34,0)),"⚠ Card ID?"))</f>
        <v/>
      </c>
      <c r="F1063" s="45" t="str">
        <f>IF($D1063="","",IFERROR(INDEX(CARDS!$C$5:$C$34,MATCH($D1063,CARDS!$A$5:$A$34,0)),"⚠ Card ID?"))</f>
        <v/>
      </c>
      <c r="G1063" s="37" t="n"/>
      <c r="H1063" s="37" t="n"/>
      <c r="I1063" s="41" t="n"/>
      <c r="J1063" s="45" t="str">
        <f>IF($I1063="","",IFERROR(INDEX(MCC_MASTER!$B$5:$B$504,MATCH($I1063,MCC_MASTER!$A$5:$A$504,0)),"⚠ MCC chưa có"))</f>
        <v/>
      </c>
      <c r="K1063" s="45" t="str">
        <f>IF($I1063="","",IFERROR(IF(INDEX(MCC_MASTER!$C$5:$C$504,MATCH($I1063,MCC_MASTER!$A$5:$A$504,0))="","Chưa phân loại",INDEX(MCC_MASTER!$C$5:$C$504,MATCH($I1063,MCC_MASTER!$A$5:$A$504,0))),"Chưa phân loại"))</f>
        <v/>
      </c>
      <c r="L1063" s="40" t="n"/>
      <c r="M1063" s="48" t="str">
        <f>IF(OR($B1063="",$D1063=""),"",IF($AC1063=0,0,IF(ISNUMBER(INDEX(CASHBACK_RULES!$L$5:$L$304,$AC1063)),MAX(0,MIN($L1063,INDEX(CASHBACK_RULES!$L$5:$L$304,$AC1063)-$AH1063)),MAX(0,$L1063))))</f>
        <v/>
      </c>
      <c r="N1063" s="49" t="str">
        <f>IF(OR($B1063="",$D1063=""),"",IF($AC1063&gt;0,INDEX(CASHBACK_RULES!$I$5:$I$304,$AC1063),0))</f>
        <v/>
      </c>
      <c r="O1063" s="48" t="str">
        <f>IF(OR($B1063="",$D1063=""),"",ROUND($M1063*$N1063,0))</f>
        <v/>
      </c>
      <c r="P1063" s="48" t="str">
        <f>IF($AC1063&gt;0,IF(ISNUMBER(INDEX(CASHBACK_RULES!$J$5:$J$304,$AC1063)),INDEX(CASHBACK_RULES!$J$5:$J$304,$AC1063),"∞"),"")</f>
        <v/>
      </c>
      <c r="Q1063" s="48" t="str">
        <f>IF(OR($B1063="",$D1063=""),"",IF($AC1063=0,0,MAX(0,MIN($O1063,IF(ISNUMBER($P1063),$P1063-$AF1063,1E+15),IF(ISNUMBER($AA1063),$AA1063-$AG1063,1E+15)))))</f>
        <v/>
      </c>
      <c r="R1063" s="48" t="str">
        <f>IF(OR($B1063="",$D1063=""),"",IF($AC1063=0,"",IF(AND(NOT(ISNUMBER($P1063)),NOT(ISNUMBER($AA1063))),"∞",MAX(0,MIN(IF(ISNUMBER($P1063),$P1063-$AF1063-$Q1063,1E+15),IF(ISNUMBER($AA1063),$AA1063-$AG1063-$Q1063,1E+15))))))</f>
        <v/>
      </c>
      <c r="S1063" s="47" t="str">
        <f>IF($AD1063="","",YEAR($AD1063)*100+MONTH($AD1063))</f>
        <v/>
      </c>
      <c r="T1063" s="50" t="str">
        <f>IF($AD1063="","",IFERROR(IF(INDEX(CARDS!$I$5:$I$34,MATCH($D1063,CARDS!$A$5:$A$34,0))="","",IF(INDEX(CARDS!$I$5:$I$34,MATCH($D1063,CARDS!$A$5:$A$34,0))&gt;INDEX(CARDS!$H$5:$H$34,MATCH($D1063,CARDS!$A$5:$A$34,0)),DATE(YEAR($AD1063),MONTH($AD1063),MIN(INDEX(CARDS!$I$5:$I$34,MATCH($D1063,CARDS!$A$5:$A$34,0)),DAY(EOMONTH($AD1063,0)))),DATE(YEAR($AD1063),MONTH($AD1063)+1,MIN(INDEX(CARDS!$I$5:$I$34,MATCH($D1063,CARDS!$A$5:$A$34,0)),DAY(EOMONTH($AD1063,1)))))),""))</f>
        <v/>
      </c>
      <c r="U1063" s="38" t="n"/>
      <c r="V1063" s="37" t="n"/>
      <c r="W1063" s="38" t="n"/>
      <c r="X1063" s="38" t="n"/>
      <c r="Y1063" s="44" t="str">
        <f>IF($AC1063&gt;0,INDEX(CASHBACK_RULES!$A$5:$A$304,$AC1063),"")</f>
        <v/>
      </c>
      <c r="Z1063" s="45" t="str">
        <f>IF($AC1063&gt;0,INDEX(CASHBACK_RULES!$E$5:$E$304,$AC1063)&amp;"","")</f>
        <v/>
      </c>
      <c r="AA1063" s="48" t="str">
        <f>IF($AC1063&gt;0,IF(ISNUMBER(INDEX(CASHBACK_RULES!$K$5:$K$304,$AC1063)),INDEX(CASHBACK_RULES!$K$5:$K$304,$AC1063),"∞"),"")</f>
        <v/>
      </c>
      <c r="AB1063" s="44" t="str">
        <f>IF(OR($B1063="",$D1063=""),"",IF($U1063="Cancelled","Đã hủy",IF($AC1063=0,"Không được hoàn",IF($Q1063=0,IF(OR($O1063&gt;0,$M1063&lt;$L1063),"Đã đạt cap","Không được hoàn"),IF(OR($Q1063&lt;$O1063,$M1063&lt;$L1063),"Hoàn một phần","Được hoàn")))))</f>
        <v/>
      </c>
      <c r="AC1063" s="43">
        <f>IF(OR($B1063="",$D1063="",$I1063="",$L1063=""),0,IF($U1063="Cancelled",0,IF($W1063&lt;&gt;"",IFERROR(IF(INDEX(CASHBACK_RULES!$B$5:$B$304,MATCH($W1063,CASHBACK_RULES!$A$5:$A$304,0))=$D1063,MATCH($W1063,CASHBACK_RULES!$A$5:$A$304,0),0),0),IFERROR(MATCH(1,INDEX((CASHBACK_RULES!$B$5:$B$304=$D1063)*(CASHBACK_RULES!$G$5:$G$304=$I1063)*(((CASHBACK_RULES!$N$5:$N$304="")+(CASHBACK_RULES!$N$5:$N$304&lt;=$B1063))&gt;0)*(((CASHBACK_RULES!$O$5:$O$304="")+(CASHBACK_RULES!$O$5:$O$304&gt;=$B1063))&gt;0)*(((CASHBACK_RULES!$M$5:$M$304="")+(CASHBACK_RULES!$M$5:$M$304&lt;=$L1063))&gt;0),0),0),0))))</f>
        <v>0</v>
      </c>
      <c r="AD1063" s="51" t="str">
        <f>IF(OR($B1063="",$D1063=""),"",IFERROR(IF(INDEX(CARDS!$H$5:$H$34,MATCH($D1063,CARDS!$A$5:$A$34,0))="","",IF(DAY($B1063)&lt;=INDEX(CARDS!$H$5:$H$34,MATCH($D1063,CARDS!$A$5:$A$34,0)),DATE(YEAR($B1063),MONTH($B1063),MIN(INDEX(CARDS!$H$5:$H$34,MATCH($D1063,CARDS!$A$5:$A$34,0)),DAY(EOMONTH($B1063,0)))),DATE(YEAR($B1063),MONTH($B1063)+1,MIN(INDEX(CARDS!$H$5:$H$34,MATCH($D1063,CARDS!$A$5:$A$34,0)),DAY(EOMONTH($B1063,1)))))),""))</f>
        <v/>
      </c>
      <c r="AE1063" s="52" t="str">
        <f>IF($C1063="","",$C1063&amp;"|"&amp;COUNTIF($C$5:$C1063,$C1063))</f>
        <v/>
      </c>
      <c r="AF1063" s="53">
        <f>IF($AC1063&gt;0,SUMIFS(Q$4:Q1062,$D$4:$D1062,$D1063,$Z$4:$Z1062,$Z1063,$C$4:$C1062,$C1063),0)</f>
        <v>0</v>
      </c>
      <c r="AG1063" s="53">
        <f>IF($AC1063&gt;0,SUMIFS(Q$4:Q1062,$D$4:$D1062,$D1063,$C$4:$C1062,$C1063),0)</f>
        <v>0</v>
      </c>
      <c r="AH1063" s="53">
        <f>IF($AC1063&gt;0,SUMIFS(M$4:M1062,$D$4:$D1062,$D1063,$Z$4:$Z1062,$Z1063,$C$4:$C1062,$C1063),0)</f>
        <v>0</v>
      </c>
      <c r="AI1063" s="43">
        <f>IF(OR($C1063="",$I1063=""),0,IF(COUNTIFS($C$5:$C1063,$C1063,$I$5:$I1063,$I1063)=1,1,0))</f>
        <v>0</v>
      </c>
      <c r="AJ1063" s="43" t="str">
        <f>IF($AI1063=1,SUMIFS($AI$4:$AI1062,$C$4:$C1062,$C1063)+1,"")</f>
        <v/>
      </c>
      <c r="AK1063" s="43">
        <f>IF(OR($C1063="",$K1063=""),0,IF(COUNTIFS($C$5:$C1063,$C1063,$K$5:$K1063,$K1063)=1,1,0))</f>
        <v>0</v>
      </c>
      <c r="AL1063" s="43" t="str">
        <f>IF($AK1063=1,SUMIFS($AK$4:$AK1062,$C$4:$C1062,$C1063)+1,"")</f>
        <v/>
      </c>
      <c r="AM1063" s="43">
        <f>IF(OR($C1063="",$G1063=""),0,IF(COUNTIFS($C$5:$C1063,$C1063,$G$5:$G1063,$G1063)=1,1,0))</f>
        <v>0</v>
      </c>
      <c r="AN1063" s="43" t="str">
        <f>IF($AM1063=1,SUMIFS($AM$4:$AM1062,$C$4:$C1062,$C1063)+1,"")</f>
        <v/>
      </c>
    </row>
    <row r="1064">
      <c r="A1064" s="44" t="str">
        <f>IF(OR($B1064="",$D1064=""),"","TX"&amp;TEXT(ROW()-4,"0000"))</f>
        <v/>
      </c>
      <c r="B1064" s="42" t="n"/>
      <c r="C1064" s="47" t="str">
        <f>IF($B1064="","",YEAR($B1064)*100+MONTH($B1064))</f>
        <v/>
      </c>
      <c r="D1064" s="37" t="n"/>
      <c r="E1064" s="45" t="str">
        <f>IF($D1064="","",IFERROR(INDEX(CARDS!$B$5:$B$34,MATCH($D1064,CARDS!$A$5:$A$34,0)),"⚠ Card ID?"))</f>
        <v/>
      </c>
      <c r="F1064" s="45" t="str">
        <f>IF($D1064="","",IFERROR(INDEX(CARDS!$C$5:$C$34,MATCH($D1064,CARDS!$A$5:$A$34,0)),"⚠ Card ID?"))</f>
        <v/>
      </c>
      <c r="G1064" s="37" t="n"/>
      <c r="H1064" s="37" t="n"/>
      <c r="I1064" s="41" t="n"/>
      <c r="J1064" s="45" t="str">
        <f>IF($I1064="","",IFERROR(INDEX(MCC_MASTER!$B$5:$B$504,MATCH($I1064,MCC_MASTER!$A$5:$A$504,0)),"⚠ MCC chưa có"))</f>
        <v/>
      </c>
      <c r="K1064" s="45" t="str">
        <f>IF($I1064="","",IFERROR(IF(INDEX(MCC_MASTER!$C$5:$C$504,MATCH($I1064,MCC_MASTER!$A$5:$A$504,0))="","Chưa phân loại",INDEX(MCC_MASTER!$C$5:$C$504,MATCH($I1064,MCC_MASTER!$A$5:$A$504,0))),"Chưa phân loại"))</f>
        <v/>
      </c>
      <c r="L1064" s="40" t="n"/>
      <c r="M1064" s="48" t="str">
        <f>IF(OR($B1064="",$D1064=""),"",IF($AC1064=0,0,IF(ISNUMBER(INDEX(CASHBACK_RULES!$L$5:$L$304,$AC1064)),MAX(0,MIN($L1064,INDEX(CASHBACK_RULES!$L$5:$L$304,$AC1064)-$AH1064)),MAX(0,$L1064))))</f>
        <v/>
      </c>
      <c r="N1064" s="49" t="str">
        <f>IF(OR($B1064="",$D1064=""),"",IF($AC1064&gt;0,INDEX(CASHBACK_RULES!$I$5:$I$304,$AC1064),0))</f>
        <v/>
      </c>
      <c r="O1064" s="48" t="str">
        <f>IF(OR($B1064="",$D1064=""),"",ROUND($M1064*$N1064,0))</f>
        <v/>
      </c>
      <c r="P1064" s="48" t="str">
        <f>IF($AC1064&gt;0,IF(ISNUMBER(INDEX(CASHBACK_RULES!$J$5:$J$304,$AC1064)),INDEX(CASHBACK_RULES!$J$5:$J$304,$AC1064),"∞"),"")</f>
        <v/>
      </c>
      <c r="Q1064" s="48" t="str">
        <f>IF(OR($B1064="",$D1064=""),"",IF($AC1064=0,0,MAX(0,MIN($O1064,IF(ISNUMBER($P1064),$P1064-$AF1064,1E+15),IF(ISNUMBER($AA1064),$AA1064-$AG1064,1E+15)))))</f>
        <v/>
      </c>
      <c r="R1064" s="48" t="str">
        <f>IF(OR($B1064="",$D1064=""),"",IF($AC1064=0,"",IF(AND(NOT(ISNUMBER($P1064)),NOT(ISNUMBER($AA1064))),"∞",MAX(0,MIN(IF(ISNUMBER($P1064),$P1064-$AF1064-$Q1064,1E+15),IF(ISNUMBER($AA1064),$AA1064-$AG1064-$Q1064,1E+15))))))</f>
        <v/>
      </c>
      <c r="S1064" s="47" t="str">
        <f>IF($AD1064="","",YEAR($AD1064)*100+MONTH($AD1064))</f>
        <v/>
      </c>
      <c r="T1064" s="50" t="str">
        <f>IF($AD1064="","",IFERROR(IF(INDEX(CARDS!$I$5:$I$34,MATCH($D1064,CARDS!$A$5:$A$34,0))="","",IF(INDEX(CARDS!$I$5:$I$34,MATCH($D1064,CARDS!$A$5:$A$34,0))&gt;INDEX(CARDS!$H$5:$H$34,MATCH($D1064,CARDS!$A$5:$A$34,0)),DATE(YEAR($AD1064),MONTH($AD1064),MIN(INDEX(CARDS!$I$5:$I$34,MATCH($D1064,CARDS!$A$5:$A$34,0)),DAY(EOMONTH($AD1064,0)))),DATE(YEAR($AD1064),MONTH($AD1064)+1,MIN(INDEX(CARDS!$I$5:$I$34,MATCH($D1064,CARDS!$A$5:$A$34,0)),DAY(EOMONTH($AD1064,1)))))),""))</f>
        <v/>
      </c>
      <c r="U1064" s="38" t="n"/>
      <c r="V1064" s="37" t="n"/>
      <c r="W1064" s="38" t="n"/>
      <c r="X1064" s="38" t="n"/>
      <c r="Y1064" s="44" t="str">
        <f>IF($AC1064&gt;0,INDEX(CASHBACK_RULES!$A$5:$A$304,$AC1064),"")</f>
        <v/>
      </c>
      <c r="Z1064" s="45" t="str">
        <f>IF($AC1064&gt;0,INDEX(CASHBACK_RULES!$E$5:$E$304,$AC1064)&amp;"","")</f>
        <v/>
      </c>
      <c r="AA1064" s="48" t="str">
        <f>IF($AC1064&gt;0,IF(ISNUMBER(INDEX(CASHBACK_RULES!$K$5:$K$304,$AC1064)),INDEX(CASHBACK_RULES!$K$5:$K$304,$AC1064),"∞"),"")</f>
        <v/>
      </c>
      <c r="AB1064" s="44" t="str">
        <f>IF(OR($B1064="",$D1064=""),"",IF($U1064="Cancelled","Đã hủy",IF($AC1064=0,"Không được hoàn",IF($Q1064=0,IF(OR($O1064&gt;0,$M1064&lt;$L1064),"Đã đạt cap","Không được hoàn"),IF(OR($Q1064&lt;$O1064,$M1064&lt;$L1064),"Hoàn một phần","Được hoàn")))))</f>
        <v/>
      </c>
      <c r="AC1064" s="43">
        <f>IF(OR($B1064="",$D1064="",$I1064="",$L1064=""),0,IF($U1064="Cancelled",0,IF($W1064&lt;&gt;"",IFERROR(IF(INDEX(CASHBACK_RULES!$B$5:$B$304,MATCH($W1064,CASHBACK_RULES!$A$5:$A$304,0))=$D1064,MATCH($W1064,CASHBACK_RULES!$A$5:$A$304,0),0),0),IFERROR(MATCH(1,INDEX((CASHBACK_RULES!$B$5:$B$304=$D1064)*(CASHBACK_RULES!$G$5:$G$304=$I1064)*(((CASHBACK_RULES!$N$5:$N$304="")+(CASHBACK_RULES!$N$5:$N$304&lt;=$B1064))&gt;0)*(((CASHBACK_RULES!$O$5:$O$304="")+(CASHBACK_RULES!$O$5:$O$304&gt;=$B1064))&gt;0)*(((CASHBACK_RULES!$M$5:$M$304="")+(CASHBACK_RULES!$M$5:$M$304&lt;=$L1064))&gt;0),0),0),0))))</f>
        <v>0</v>
      </c>
      <c r="AD1064" s="51" t="str">
        <f>IF(OR($B1064="",$D1064=""),"",IFERROR(IF(INDEX(CARDS!$H$5:$H$34,MATCH($D1064,CARDS!$A$5:$A$34,0))="","",IF(DAY($B1064)&lt;=INDEX(CARDS!$H$5:$H$34,MATCH($D1064,CARDS!$A$5:$A$34,0)),DATE(YEAR($B1064),MONTH($B1064),MIN(INDEX(CARDS!$H$5:$H$34,MATCH($D1064,CARDS!$A$5:$A$34,0)),DAY(EOMONTH($B1064,0)))),DATE(YEAR($B1064),MONTH($B1064)+1,MIN(INDEX(CARDS!$H$5:$H$34,MATCH($D1064,CARDS!$A$5:$A$34,0)),DAY(EOMONTH($B1064,1)))))),""))</f>
        <v/>
      </c>
      <c r="AE1064" s="52" t="str">
        <f>IF($C1064="","",$C1064&amp;"|"&amp;COUNTIF($C$5:$C1064,$C1064))</f>
        <v/>
      </c>
      <c r="AF1064" s="53">
        <f>IF($AC1064&gt;0,SUMIFS(Q$4:Q1063,$D$4:$D1063,$D1064,$Z$4:$Z1063,$Z1064,$C$4:$C1063,$C1064),0)</f>
        <v>0</v>
      </c>
      <c r="AG1064" s="53">
        <f>IF($AC1064&gt;0,SUMIFS(Q$4:Q1063,$D$4:$D1063,$D1064,$C$4:$C1063,$C1064),0)</f>
        <v>0</v>
      </c>
      <c r="AH1064" s="53">
        <f>IF($AC1064&gt;0,SUMIFS(M$4:M1063,$D$4:$D1063,$D1064,$Z$4:$Z1063,$Z1064,$C$4:$C1063,$C1064),0)</f>
        <v>0</v>
      </c>
      <c r="AI1064" s="43">
        <f>IF(OR($C1064="",$I1064=""),0,IF(COUNTIFS($C$5:$C1064,$C1064,$I$5:$I1064,$I1064)=1,1,0))</f>
        <v>0</v>
      </c>
      <c r="AJ1064" s="43" t="str">
        <f>IF($AI1064=1,SUMIFS($AI$4:$AI1063,$C$4:$C1063,$C1064)+1,"")</f>
        <v/>
      </c>
      <c r="AK1064" s="43">
        <f>IF(OR($C1064="",$K1064=""),0,IF(COUNTIFS($C$5:$C1064,$C1064,$K$5:$K1064,$K1064)=1,1,0))</f>
        <v>0</v>
      </c>
      <c r="AL1064" s="43" t="str">
        <f>IF($AK1064=1,SUMIFS($AK$4:$AK1063,$C$4:$C1063,$C1064)+1,"")</f>
        <v/>
      </c>
      <c r="AM1064" s="43">
        <f>IF(OR($C1064="",$G1064=""),0,IF(COUNTIFS($C$5:$C1064,$C1064,$G$5:$G1064,$G1064)=1,1,0))</f>
        <v>0</v>
      </c>
      <c r="AN1064" s="43" t="str">
        <f>IF($AM1064=1,SUMIFS($AM$4:$AM1063,$C$4:$C1063,$C1064)+1,"")</f>
        <v/>
      </c>
    </row>
    <row r="1065">
      <c r="A1065" s="44" t="str">
        <f>IF(OR($B1065="",$D1065=""),"","TX"&amp;TEXT(ROW()-4,"0000"))</f>
        <v/>
      </c>
      <c r="B1065" s="42" t="n"/>
      <c r="C1065" s="47" t="str">
        <f>IF($B1065="","",YEAR($B1065)*100+MONTH($B1065))</f>
        <v/>
      </c>
      <c r="D1065" s="37" t="n"/>
      <c r="E1065" s="45" t="str">
        <f>IF($D1065="","",IFERROR(INDEX(CARDS!$B$5:$B$34,MATCH($D1065,CARDS!$A$5:$A$34,0)),"⚠ Card ID?"))</f>
        <v/>
      </c>
      <c r="F1065" s="45" t="str">
        <f>IF($D1065="","",IFERROR(INDEX(CARDS!$C$5:$C$34,MATCH($D1065,CARDS!$A$5:$A$34,0)),"⚠ Card ID?"))</f>
        <v/>
      </c>
      <c r="G1065" s="37" t="n"/>
      <c r="H1065" s="37" t="n"/>
      <c r="I1065" s="41" t="n"/>
      <c r="J1065" s="45" t="str">
        <f>IF($I1065="","",IFERROR(INDEX(MCC_MASTER!$B$5:$B$504,MATCH($I1065,MCC_MASTER!$A$5:$A$504,0)),"⚠ MCC chưa có"))</f>
        <v/>
      </c>
      <c r="K1065" s="45" t="str">
        <f>IF($I1065="","",IFERROR(IF(INDEX(MCC_MASTER!$C$5:$C$504,MATCH($I1065,MCC_MASTER!$A$5:$A$504,0))="","Chưa phân loại",INDEX(MCC_MASTER!$C$5:$C$504,MATCH($I1065,MCC_MASTER!$A$5:$A$504,0))),"Chưa phân loại"))</f>
        <v/>
      </c>
      <c r="L1065" s="40" t="n"/>
      <c r="M1065" s="48" t="str">
        <f>IF(OR($B1065="",$D1065=""),"",IF($AC1065=0,0,IF(ISNUMBER(INDEX(CASHBACK_RULES!$L$5:$L$304,$AC1065)),MAX(0,MIN($L1065,INDEX(CASHBACK_RULES!$L$5:$L$304,$AC1065)-$AH1065)),MAX(0,$L1065))))</f>
        <v/>
      </c>
      <c r="N1065" s="49" t="str">
        <f>IF(OR($B1065="",$D1065=""),"",IF($AC1065&gt;0,INDEX(CASHBACK_RULES!$I$5:$I$304,$AC1065),0))</f>
        <v/>
      </c>
      <c r="O1065" s="48" t="str">
        <f>IF(OR($B1065="",$D1065=""),"",ROUND($M1065*$N1065,0))</f>
        <v/>
      </c>
      <c r="P1065" s="48" t="str">
        <f>IF($AC1065&gt;0,IF(ISNUMBER(INDEX(CASHBACK_RULES!$J$5:$J$304,$AC1065)),INDEX(CASHBACK_RULES!$J$5:$J$304,$AC1065),"∞"),"")</f>
        <v/>
      </c>
      <c r="Q1065" s="48" t="str">
        <f>IF(OR($B1065="",$D1065=""),"",IF($AC1065=0,0,MAX(0,MIN($O1065,IF(ISNUMBER($P1065),$P1065-$AF1065,1E+15),IF(ISNUMBER($AA1065),$AA1065-$AG1065,1E+15)))))</f>
        <v/>
      </c>
      <c r="R1065" s="48" t="str">
        <f>IF(OR($B1065="",$D1065=""),"",IF($AC1065=0,"",IF(AND(NOT(ISNUMBER($P1065)),NOT(ISNUMBER($AA1065))),"∞",MAX(0,MIN(IF(ISNUMBER($P1065),$P1065-$AF1065-$Q1065,1E+15),IF(ISNUMBER($AA1065),$AA1065-$AG1065-$Q1065,1E+15))))))</f>
        <v/>
      </c>
      <c r="S1065" s="47" t="str">
        <f>IF($AD1065="","",YEAR($AD1065)*100+MONTH($AD1065))</f>
        <v/>
      </c>
      <c r="T1065" s="50" t="str">
        <f>IF($AD1065="","",IFERROR(IF(INDEX(CARDS!$I$5:$I$34,MATCH($D1065,CARDS!$A$5:$A$34,0))="","",IF(INDEX(CARDS!$I$5:$I$34,MATCH($D1065,CARDS!$A$5:$A$34,0))&gt;INDEX(CARDS!$H$5:$H$34,MATCH($D1065,CARDS!$A$5:$A$34,0)),DATE(YEAR($AD1065),MONTH($AD1065),MIN(INDEX(CARDS!$I$5:$I$34,MATCH($D1065,CARDS!$A$5:$A$34,0)),DAY(EOMONTH($AD1065,0)))),DATE(YEAR($AD1065),MONTH($AD1065)+1,MIN(INDEX(CARDS!$I$5:$I$34,MATCH($D1065,CARDS!$A$5:$A$34,0)),DAY(EOMONTH($AD1065,1)))))),""))</f>
        <v/>
      </c>
      <c r="U1065" s="38" t="n"/>
      <c r="V1065" s="37" t="n"/>
      <c r="W1065" s="38" t="n"/>
      <c r="X1065" s="38" t="n"/>
      <c r="Y1065" s="44" t="str">
        <f>IF($AC1065&gt;0,INDEX(CASHBACK_RULES!$A$5:$A$304,$AC1065),"")</f>
        <v/>
      </c>
      <c r="Z1065" s="45" t="str">
        <f>IF($AC1065&gt;0,INDEX(CASHBACK_RULES!$E$5:$E$304,$AC1065)&amp;"","")</f>
        <v/>
      </c>
      <c r="AA1065" s="48" t="str">
        <f>IF($AC1065&gt;0,IF(ISNUMBER(INDEX(CASHBACK_RULES!$K$5:$K$304,$AC1065)),INDEX(CASHBACK_RULES!$K$5:$K$304,$AC1065),"∞"),"")</f>
        <v/>
      </c>
      <c r="AB1065" s="44" t="str">
        <f>IF(OR($B1065="",$D1065=""),"",IF($U1065="Cancelled","Đã hủy",IF($AC1065=0,"Không được hoàn",IF($Q1065=0,IF(OR($O1065&gt;0,$M1065&lt;$L1065),"Đã đạt cap","Không được hoàn"),IF(OR($Q1065&lt;$O1065,$M1065&lt;$L1065),"Hoàn một phần","Được hoàn")))))</f>
        <v/>
      </c>
      <c r="AC1065" s="43">
        <f>IF(OR($B1065="",$D1065="",$I1065="",$L1065=""),0,IF($U1065="Cancelled",0,IF($W1065&lt;&gt;"",IFERROR(IF(INDEX(CASHBACK_RULES!$B$5:$B$304,MATCH($W1065,CASHBACK_RULES!$A$5:$A$304,0))=$D1065,MATCH($W1065,CASHBACK_RULES!$A$5:$A$304,0),0),0),IFERROR(MATCH(1,INDEX((CASHBACK_RULES!$B$5:$B$304=$D1065)*(CASHBACK_RULES!$G$5:$G$304=$I1065)*(((CASHBACK_RULES!$N$5:$N$304="")+(CASHBACK_RULES!$N$5:$N$304&lt;=$B1065))&gt;0)*(((CASHBACK_RULES!$O$5:$O$304="")+(CASHBACK_RULES!$O$5:$O$304&gt;=$B1065))&gt;0)*(((CASHBACK_RULES!$M$5:$M$304="")+(CASHBACK_RULES!$M$5:$M$304&lt;=$L1065))&gt;0),0),0),0))))</f>
        <v>0</v>
      </c>
      <c r="AD1065" s="51" t="str">
        <f>IF(OR($B1065="",$D1065=""),"",IFERROR(IF(INDEX(CARDS!$H$5:$H$34,MATCH($D1065,CARDS!$A$5:$A$34,0))="","",IF(DAY($B1065)&lt;=INDEX(CARDS!$H$5:$H$34,MATCH($D1065,CARDS!$A$5:$A$34,0)),DATE(YEAR($B1065),MONTH($B1065),MIN(INDEX(CARDS!$H$5:$H$34,MATCH($D1065,CARDS!$A$5:$A$34,0)),DAY(EOMONTH($B1065,0)))),DATE(YEAR($B1065),MONTH($B1065)+1,MIN(INDEX(CARDS!$H$5:$H$34,MATCH($D1065,CARDS!$A$5:$A$34,0)),DAY(EOMONTH($B1065,1)))))),""))</f>
        <v/>
      </c>
      <c r="AE1065" s="52" t="str">
        <f>IF($C1065="","",$C1065&amp;"|"&amp;COUNTIF($C$5:$C1065,$C1065))</f>
        <v/>
      </c>
      <c r="AF1065" s="53">
        <f>IF($AC1065&gt;0,SUMIFS(Q$4:Q1064,$D$4:$D1064,$D1065,$Z$4:$Z1064,$Z1065,$C$4:$C1064,$C1065),0)</f>
        <v>0</v>
      </c>
      <c r="AG1065" s="53">
        <f>IF($AC1065&gt;0,SUMIFS(Q$4:Q1064,$D$4:$D1064,$D1065,$C$4:$C1064,$C1065),0)</f>
        <v>0</v>
      </c>
      <c r="AH1065" s="53">
        <f>IF($AC1065&gt;0,SUMIFS(M$4:M1064,$D$4:$D1064,$D1065,$Z$4:$Z1064,$Z1065,$C$4:$C1064,$C1065),0)</f>
        <v>0</v>
      </c>
      <c r="AI1065" s="43">
        <f>IF(OR($C1065="",$I1065=""),0,IF(COUNTIFS($C$5:$C1065,$C1065,$I$5:$I1065,$I1065)=1,1,0))</f>
        <v>0</v>
      </c>
      <c r="AJ1065" s="43" t="str">
        <f>IF($AI1065=1,SUMIFS($AI$4:$AI1064,$C$4:$C1064,$C1065)+1,"")</f>
        <v/>
      </c>
      <c r="AK1065" s="43">
        <f>IF(OR($C1065="",$K1065=""),0,IF(COUNTIFS($C$5:$C1065,$C1065,$K$5:$K1065,$K1065)=1,1,0))</f>
        <v>0</v>
      </c>
      <c r="AL1065" s="43" t="str">
        <f>IF($AK1065=1,SUMIFS($AK$4:$AK1064,$C$4:$C1064,$C1065)+1,"")</f>
        <v/>
      </c>
      <c r="AM1065" s="43">
        <f>IF(OR($C1065="",$G1065=""),0,IF(COUNTIFS($C$5:$C1065,$C1065,$G$5:$G1065,$G1065)=1,1,0))</f>
        <v>0</v>
      </c>
      <c r="AN1065" s="43" t="str">
        <f>IF($AM1065=1,SUMIFS($AM$4:$AM1064,$C$4:$C1064,$C1065)+1,"")</f>
        <v/>
      </c>
    </row>
    <row r="1066">
      <c r="A1066" s="44" t="str">
        <f>IF(OR($B1066="",$D1066=""),"","TX"&amp;TEXT(ROW()-4,"0000"))</f>
        <v/>
      </c>
      <c r="B1066" s="42" t="n"/>
      <c r="C1066" s="47" t="str">
        <f>IF($B1066="","",YEAR($B1066)*100+MONTH($B1066))</f>
        <v/>
      </c>
      <c r="D1066" s="37" t="n"/>
      <c r="E1066" s="45" t="str">
        <f>IF($D1066="","",IFERROR(INDEX(CARDS!$B$5:$B$34,MATCH($D1066,CARDS!$A$5:$A$34,0)),"⚠ Card ID?"))</f>
        <v/>
      </c>
      <c r="F1066" s="45" t="str">
        <f>IF($D1066="","",IFERROR(INDEX(CARDS!$C$5:$C$34,MATCH($D1066,CARDS!$A$5:$A$34,0)),"⚠ Card ID?"))</f>
        <v/>
      </c>
      <c r="G1066" s="37" t="n"/>
      <c r="H1066" s="37" t="n"/>
      <c r="I1066" s="41" t="n"/>
      <c r="J1066" s="45" t="str">
        <f>IF($I1066="","",IFERROR(INDEX(MCC_MASTER!$B$5:$B$504,MATCH($I1066,MCC_MASTER!$A$5:$A$504,0)),"⚠ MCC chưa có"))</f>
        <v/>
      </c>
      <c r="K1066" s="45" t="str">
        <f>IF($I1066="","",IFERROR(IF(INDEX(MCC_MASTER!$C$5:$C$504,MATCH($I1066,MCC_MASTER!$A$5:$A$504,0))="","Chưa phân loại",INDEX(MCC_MASTER!$C$5:$C$504,MATCH($I1066,MCC_MASTER!$A$5:$A$504,0))),"Chưa phân loại"))</f>
        <v/>
      </c>
      <c r="L1066" s="40" t="n"/>
      <c r="M1066" s="48" t="str">
        <f>IF(OR($B1066="",$D1066=""),"",IF($AC1066=0,0,IF(ISNUMBER(INDEX(CASHBACK_RULES!$L$5:$L$304,$AC1066)),MAX(0,MIN($L1066,INDEX(CASHBACK_RULES!$L$5:$L$304,$AC1066)-$AH1066)),MAX(0,$L1066))))</f>
        <v/>
      </c>
      <c r="N1066" s="49" t="str">
        <f>IF(OR($B1066="",$D1066=""),"",IF($AC1066&gt;0,INDEX(CASHBACK_RULES!$I$5:$I$304,$AC1066),0))</f>
        <v/>
      </c>
      <c r="O1066" s="48" t="str">
        <f>IF(OR($B1066="",$D1066=""),"",ROUND($M1066*$N1066,0))</f>
        <v/>
      </c>
      <c r="P1066" s="48" t="str">
        <f>IF($AC1066&gt;0,IF(ISNUMBER(INDEX(CASHBACK_RULES!$J$5:$J$304,$AC1066)),INDEX(CASHBACK_RULES!$J$5:$J$304,$AC1066),"∞"),"")</f>
        <v/>
      </c>
      <c r="Q1066" s="48" t="str">
        <f>IF(OR($B1066="",$D1066=""),"",IF($AC1066=0,0,MAX(0,MIN($O1066,IF(ISNUMBER($P1066),$P1066-$AF1066,1E+15),IF(ISNUMBER($AA1066),$AA1066-$AG1066,1E+15)))))</f>
        <v/>
      </c>
      <c r="R1066" s="48" t="str">
        <f>IF(OR($B1066="",$D1066=""),"",IF($AC1066=0,"",IF(AND(NOT(ISNUMBER($P1066)),NOT(ISNUMBER($AA1066))),"∞",MAX(0,MIN(IF(ISNUMBER($P1066),$P1066-$AF1066-$Q1066,1E+15),IF(ISNUMBER($AA1066),$AA1066-$AG1066-$Q1066,1E+15))))))</f>
        <v/>
      </c>
      <c r="S1066" s="47" t="str">
        <f>IF($AD1066="","",YEAR($AD1066)*100+MONTH($AD1066))</f>
        <v/>
      </c>
      <c r="T1066" s="50" t="str">
        <f>IF($AD1066="","",IFERROR(IF(INDEX(CARDS!$I$5:$I$34,MATCH($D1066,CARDS!$A$5:$A$34,0))="","",IF(INDEX(CARDS!$I$5:$I$34,MATCH($D1066,CARDS!$A$5:$A$34,0))&gt;INDEX(CARDS!$H$5:$H$34,MATCH($D1066,CARDS!$A$5:$A$34,0)),DATE(YEAR($AD1066),MONTH($AD1066),MIN(INDEX(CARDS!$I$5:$I$34,MATCH($D1066,CARDS!$A$5:$A$34,0)),DAY(EOMONTH($AD1066,0)))),DATE(YEAR($AD1066),MONTH($AD1066)+1,MIN(INDEX(CARDS!$I$5:$I$34,MATCH($D1066,CARDS!$A$5:$A$34,0)),DAY(EOMONTH($AD1066,1)))))),""))</f>
        <v/>
      </c>
      <c r="U1066" s="38" t="n"/>
      <c r="V1066" s="37" t="n"/>
      <c r="W1066" s="38" t="n"/>
      <c r="X1066" s="38" t="n"/>
      <c r="Y1066" s="44" t="str">
        <f>IF($AC1066&gt;0,INDEX(CASHBACK_RULES!$A$5:$A$304,$AC1066),"")</f>
        <v/>
      </c>
      <c r="Z1066" s="45" t="str">
        <f>IF($AC1066&gt;0,INDEX(CASHBACK_RULES!$E$5:$E$304,$AC1066)&amp;"","")</f>
        <v/>
      </c>
      <c r="AA1066" s="48" t="str">
        <f>IF($AC1066&gt;0,IF(ISNUMBER(INDEX(CASHBACK_RULES!$K$5:$K$304,$AC1066)),INDEX(CASHBACK_RULES!$K$5:$K$304,$AC1066),"∞"),"")</f>
        <v/>
      </c>
      <c r="AB1066" s="44" t="str">
        <f>IF(OR($B1066="",$D1066=""),"",IF($U1066="Cancelled","Đã hủy",IF($AC1066=0,"Không được hoàn",IF($Q1066=0,IF(OR($O1066&gt;0,$M1066&lt;$L1066),"Đã đạt cap","Không được hoàn"),IF(OR($Q1066&lt;$O1066,$M1066&lt;$L1066),"Hoàn một phần","Được hoàn")))))</f>
        <v/>
      </c>
      <c r="AC1066" s="43">
        <f>IF(OR($B1066="",$D1066="",$I1066="",$L1066=""),0,IF($U1066="Cancelled",0,IF($W1066&lt;&gt;"",IFERROR(IF(INDEX(CASHBACK_RULES!$B$5:$B$304,MATCH($W1066,CASHBACK_RULES!$A$5:$A$304,0))=$D1066,MATCH($W1066,CASHBACK_RULES!$A$5:$A$304,0),0),0),IFERROR(MATCH(1,INDEX((CASHBACK_RULES!$B$5:$B$304=$D1066)*(CASHBACK_RULES!$G$5:$G$304=$I1066)*(((CASHBACK_RULES!$N$5:$N$304="")+(CASHBACK_RULES!$N$5:$N$304&lt;=$B1066))&gt;0)*(((CASHBACK_RULES!$O$5:$O$304="")+(CASHBACK_RULES!$O$5:$O$304&gt;=$B1066))&gt;0)*(((CASHBACK_RULES!$M$5:$M$304="")+(CASHBACK_RULES!$M$5:$M$304&lt;=$L1066))&gt;0),0),0),0))))</f>
        <v>0</v>
      </c>
      <c r="AD1066" s="51" t="str">
        <f>IF(OR($B1066="",$D1066=""),"",IFERROR(IF(INDEX(CARDS!$H$5:$H$34,MATCH($D1066,CARDS!$A$5:$A$34,0))="","",IF(DAY($B1066)&lt;=INDEX(CARDS!$H$5:$H$34,MATCH($D1066,CARDS!$A$5:$A$34,0)),DATE(YEAR($B1066),MONTH($B1066),MIN(INDEX(CARDS!$H$5:$H$34,MATCH($D1066,CARDS!$A$5:$A$34,0)),DAY(EOMONTH($B1066,0)))),DATE(YEAR($B1066),MONTH($B1066)+1,MIN(INDEX(CARDS!$H$5:$H$34,MATCH($D1066,CARDS!$A$5:$A$34,0)),DAY(EOMONTH($B1066,1)))))),""))</f>
        <v/>
      </c>
      <c r="AE1066" s="52" t="str">
        <f>IF($C1066="","",$C1066&amp;"|"&amp;COUNTIF($C$5:$C1066,$C1066))</f>
        <v/>
      </c>
      <c r="AF1066" s="53">
        <f>IF($AC1066&gt;0,SUMIFS(Q$4:Q1065,$D$4:$D1065,$D1066,$Z$4:$Z1065,$Z1066,$C$4:$C1065,$C1066),0)</f>
        <v>0</v>
      </c>
      <c r="AG1066" s="53">
        <f>IF($AC1066&gt;0,SUMIFS(Q$4:Q1065,$D$4:$D1065,$D1066,$C$4:$C1065,$C1066),0)</f>
        <v>0</v>
      </c>
      <c r="AH1066" s="53">
        <f>IF($AC1066&gt;0,SUMIFS(M$4:M1065,$D$4:$D1065,$D1066,$Z$4:$Z1065,$Z1066,$C$4:$C1065,$C1066),0)</f>
        <v>0</v>
      </c>
      <c r="AI1066" s="43">
        <f>IF(OR($C1066="",$I1066=""),0,IF(COUNTIFS($C$5:$C1066,$C1066,$I$5:$I1066,$I1066)=1,1,0))</f>
        <v>0</v>
      </c>
      <c r="AJ1066" s="43" t="str">
        <f>IF($AI1066=1,SUMIFS($AI$4:$AI1065,$C$4:$C1065,$C1066)+1,"")</f>
        <v/>
      </c>
      <c r="AK1066" s="43">
        <f>IF(OR($C1066="",$K1066=""),0,IF(COUNTIFS($C$5:$C1066,$C1066,$K$5:$K1066,$K1066)=1,1,0))</f>
        <v>0</v>
      </c>
      <c r="AL1066" s="43" t="str">
        <f>IF($AK1066=1,SUMIFS($AK$4:$AK1065,$C$4:$C1065,$C1066)+1,"")</f>
        <v/>
      </c>
      <c r="AM1066" s="43">
        <f>IF(OR($C1066="",$G1066=""),0,IF(COUNTIFS($C$5:$C1066,$C1066,$G$5:$G1066,$G1066)=1,1,0))</f>
        <v>0</v>
      </c>
      <c r="AN1066" s="43" t="str">
        <f>IF($AM1066=1,SUMIFS($AM$4:$AM1065,$C$4:$C1065,$C1066)+1,"")</f>
        <v/>
      </c>
    </row>
    <row r="1067">
      <c r="A1067" s="44" t="str">
        <f>IF(OR($B1067="",$D1067=""),"","TX"&amp;TEXT(ROW()-4,"0000"))</f>
        <v/>
      </c>
      <c r="B1067" s="42" t="n"/>
      <c r="C1067" s="47" t="str">
        <f>IF($B1067="","",YEAR($B1067)*100+MONTH($B1067))</f>
        <v/>
      </c>
      <c r="D1067" s="37" t="n"/>
      <c r="E1067" s="45" t="str">
        <f>IF($D1067="","",IFERROR(INDEX(CARDS!$B$5:$B$34,MATCH($D1067,CARDS!$A$5:$A$34,0)),"⚠ Card ID?"))</f>
        <v/>
      </c>
      <c r="F1067" s="45" t="str">
        <f>IF($D1067="","",IFERROR(INDEX(CARDS!$C$5:$C$34,MATCH($D1067,CARDS!$A$5:$A$34,0)),"⚠ Card ID?"))</f>
        <v/>
      </c>
      <c r="G1067" s="37" t="n"/>
      <c r="H1067" s="37" t="n"/>
      <c r="I1067" s="41" t="n"/>
      <c r="J1067" s="45" t="str">
        <f>IF($I1067="","",IFERROR(INDEX(MCC_MASTER!$B$5:$B$504,MATCH($I1067,MCC_MASTER!$A$5:$A$504,0)),"⚠ MCC chưa có"))</f>
        <v/>
      </c>
      <c r="K1067" s="45" t="str">
        <f>IF($I1067="","",IFERROR(IF(INDEX(MCC_MASTER!$C$5:$C$504,MATCH($I1067,MCC_MASTER!$A$5:$A$504,0))="","Chưa phân loại",INDEX(MCC_MASTER!$C$5:$C$504,MATCH($I1067,MCC_MASTER!$A$5:$A$504,0))),"Chưa phân loại"))</f>
        <v/>
      </c>
      <c r="L1067" s="40" t="n"/>
      <c r="M1067" s="48" t="str">
        <f>IF(OR($B1067="",$D1067=""),"",IF($AC1067=0,0,IF(ISNUMBER(INDEX(CASHBACK_RULES!$L$5:$L$304,$AC1067)),MAX(0,MIN($L1067,INDEX(CASHBACK_RULES!$L$5:$L$304,$AC1067)-$AH1067)),MAX(0,$L1067))))</f>
        <v/>
      </c>
      <c r="N1067" s="49" t="str">
        <f>IF(OR($B1067="",$D1067=""),"",IF($AC1067&gt;0,INDEX(CASHBACK_RULES!$I$5:$I$304,$AC1067),0))</f>
        <v/>
      </c>
      <c r="O1067" s="48" t="str">
        <f>IF(OR($B1067="",$D1067=""),"",ROUND($M1067*$N1067,0))</f>
        <v/>
      </c>
      <c r="P1067" s="48" t="str">
        <f>IF($AC1067&gt;0,IF(ISNUMBER(INDEX(CASHBACK_RULES!$J$5:$J$304,$AC1067)),INDEX(CASHBACK_RULES!$J$5:$J$304,$AC1067),"∞"),"")</f>
        <v/>
      </c>
      <c r="Q1067" s="48" t="str">
        <f>IF(OR($B1067="",$D1067=""),"",IF($AC1067=0,0,MAX(0,MIN($O1067,IF(ISNUMBER($P1067),$P1067-$AF1067,1E+15),IF(ISNUMBER($AA1067),$AA1067-$AG1067,1E+15)))))</f>
        <v/>
      </c>
      <c r="R1067" s="48" t="str">
        <f>IF(OR($B1067="",$D1067=""),"",IF($AC1067=0,"",IF(AND(NOT(ISNUMBER($P1067)),NOT(ISNUMBER($AA1067))),"∞",MAX(0,MIN(IF(ISNUMBER($P1067),$P1067-$AF1067-$Q1067,1E+15),IF(ISNUMBER($AA1067),$AA1067-$AG1067-$Q1067,1E+15))))))</f>
        <v/>
      </c>
      <c r="S1067" s="47" t="str">
        <f>IF($AD1067="","",YEAR($AD1067)*100+MONTH($AD1067))</f>
        <v/>
      </c>
      <c r="T1067" s="50" t="str">
        <f>IF($AD1067="","",IFERROR(IF(INDEX(CARDS!$I$5:$I$34,MATCH($D1067,CARDS!$A$5:$A$34,0))="","",IF(INDEX(CARDS!$I$5:$I$34,MATCH($D1067,CARDS!$A$5:$A$34,0))&gt;INDEX(CARDS!$H$5:$H$34,MATCH($D1067,CARDS!$A$5:$A$34,0)),DATE(YEAR($AD1067),MONTH($AD1067),MIN(INDEX(CARDS!$I$5:$I$34,MATCH($D1067,CARDS!$A$5:$A$34,0)),DAY(EOMONTH($AD1067,0)))),DATE(YEAR($AD1067),MONTH($AD1067)+1,MIN(INDEX(CARDS!$I$5:$I$34,MATCH($D1067,CARDS!$A$5:$A$34,0)),DAY(EOMONTH($AD1067,1)))))),""))</f>
        <v/>
      </c>
      <c r="U1067" s="38" t="n"/>
      <c r="V1067" s="37" t="n"/>
      <c r="W1067" s="38" t="n"/>
      <c r="X1067" s="38" t="n"/>
      <c r="Y1067" s="44" t="str">
        <f>IF($AC1067&gt;0,INDEX(CASHBACK_RULES!$A$5:$A$304,$AC1067),"")</f>
        <v/>
      </c>
      <c r="Z1067" s="45" t="str">
        <f>IF($AC1067&gt;0,INDEX(CASHBACK_RULES!$E$5:$E$304,$AC1067)&amp;"","")</f>
        <v/>
      </c>
      <c r="AA1067" s="48" t="str">
        <f>IF($AC1067&gt;0,IF(ISNUMBER(INDEX(CASHBACK_RULES!$K$5:$K$304,$AC1067)),INDEX(CASHBACK_RULES!$K$5:$K$304,$AC1067),"∞"),"")</f>
        <v/>
      </c>
      <c r="AB1067" s="44" t="str">
        <f>IF(OR($B1067="",$D1067=""),"",IF($U1067="Cancelled","Đã hủy",IF($AC1067=0,"Không được hoàn",IF($Q1067=0,IF(OR($O1067&gt;0,$M1067&lt;$L1067),"Đã đạt cap","Không được hoàn"),IF(OR($Q1067&lt;$O1067,$M1067&lt;$L1067),"Hoàn một phần","Được hoàn")))))</f>
        <v/>
      </c>
      <c r="AC1067" s="43">
        <f>IF(OR($B1067="",$D1067="",$I1067="",$L1067=""),0,IF($U1067="Cancelled",0,IF($W1067&lt;&gt;"",IFERROR(IF(INDEX(CASHBACK_RULES!$B$5:$B$304,MATCH($W1067,CASHBACK_RULES!$A$5:$A$304,0))=$D1067,MATCH($W1067,CASHBACK_RULES!$A$5:$A$304,0),0),0),IFERROR(MATCH(1,INDEX((CASHBACK_RULES!$B$5:$B$304=$D1067)*(CASHBACK_RULES!$G$5:$G$304=$I1067)*(((CASHBACK_RULES!$N$5:$N$304="")+(CASHBACK_RULES!$N$5:$N$304&lt;=$B1067))&gt;0)*(((CASHBACK_RULES!$O$5:$O$304="")+(CASHBACK_RULES!$O$5:$O$304&gt;=$B1067))&gt;0)*(((CASHBACK_RULES!$M$5:$M$304="")+(CASHBACK_RULES!$M$5:$M$304&lt;=$L1067))&gt;0),0),0),0))))</f>
        <v>0</v>
      </c>
      <c r="AD1067" s="51" t="str">
        <f>IF(OR($B1067="",$D1067=""),"",IFERROR(IF(INDEX(CARDS!$H$5:$H$34,MATCH($D1067,CARDS!$A$5:$A$34,0))="","",IF(DAY($B1067)&lt;=INDEX(CARDS!$H$5:$H$34,MATCH($D1067,CARDS!$A$5:$A$34,0)),DATE(YEAR($B1067),MONTH($B1067),MIN(INDEX(CARDS!$H$5:$H$34,MATCH($D1067,CARDS!$A$5:$A$34,0)),DAY(EOMONTH($B1067,0)))),DATE(YEAR($B1067),MONTH($B1067)+1,MIN(INDEX(CARDS!$H$5:$H$34,MATCH($D1067,CARDS!$A$5:$A$34,0)),DAY(EOMONTH($B1067,1)))))),""))</f>
        <v/>
      </c>
      <c r="AE1067" s="52" t="str">
        <f>IF($C1067="","",$C1067&amp;"|"&amp;COUNTIF($C$5:$C1067,$C1067))</f>
        <v/>
      </c>
      <c r="AF1067" s="53">
        <f>IF($AC1067&gt;0,SUMIFS(Q$4:Q1066,$D$4:$D1066,$D1067,$Z$4:$Z1066,$Z1067,$C$4:$C1066,$C1067),0)</f>
        <v>0</v>
      </c>
      <c r="AG1067" s="53">
        <f>IF($AC1067&gt;0,SUMIFS(Q$4:Q1066,$D$4:$D1066,$D1067,$C$4:$C1066,$C1067),0)</f>
        <v>0</v>
      </c>
      <c r="AH1067" s="53">
        <f>IF($AC1067&gt;0,SUMIFS(M$4:M1066,$D$4:$D1066,$D1067,$Z$4:$Z1066,$Z1067,$C$4:$C1066,$C1067),0)</f>
        <v>0</v>
      </c>
      <c r="AI1067" s="43">
        <f>IF(OR($C1067="",$I1067=""),0,IF(COUNTIFS($C$5:$C1067,$C1067,$I$5:$I1067,$I1067)=1,1,0))</f>
        <v>0</v>
      </c>
      <c r="AJ1067" s="43" t="str">
        <f>IF($AI1067=1,SUMIFS($AI$4:$AI1066,$C$4:$C1066,$C1067)+1,"")</f>
        <v/>
      </c>
      <c r="AK1067" s="43">
        <f>IF(OR($C1067="",$K1067=""),0,IF(COUNTIFS($C$5:$C1067,$C1067,$K$5:$K1067,$K1067)=1,1,0))</f>
        <v>0</v>
      </c>
      <c r="AL1067" s="43" t="str">
        <f>IF($AK1067=1,SUMIFS($AK$4:$AK1066,$C$4:$C1066,$C1067)+1,"")</f>
        <v/>
      </c>
      <c r="AM1067" s="43">
        <f>IF(OR($C1067="",$G1067=""),0,IF(COUNTIFS($C$5:$C1067,$C1067,$G$5:$G1067,$G1067)=1,1,0))</f>
        <v>0</v>
      </c>
      <c r="AN1067" s="43" t="str">
        <f>IF($AM1067=1,SUMIFS($AM$4:$AM1066,$C$4:$C1066,$C1067)+1,"")</f>
        <v/>
      </c>
    </row>
    <row r="1068">
      <c r="A1068" s="44" t="str">
        <f>IF(OR($B1068="",$D1068=""),"","TX"&amp;TEXT(ROW()-4,"0000"))</f>
        <v/>
      </c>
      <c r="B1068" s="42" t="n"/>
      <c r="C1068" s="47" t="str">
        <f>IF($B1068="","",YEAR($B1068)*100+MONTH($B1068))</f>
        <v/>
      </c>
      <c r="D1068" s="37" t="n"/>
      <c r="E1068" s="45" t="str">
        <f>IF($D1068="","",IFERROR(INDEX(CARDS!$B$5:$B$34,MATCH($D1068,CARDS!$A$5:$A$34,0)),"⚠ Card ID?"))</f>
        <v/>
      </c>
      <c r="F1068" s="45" t="str">
        <f>IF($D1068="","",IFERROR(INDEX(CARDS!$C$5:$C$34,MATCH($D1068,CARDS!$A$5:$A$34,0)),"⚠ Card ID?"))</f>
        <v/>
      </c>
      <c r="G1068" s="37" t="n"/>
      <c r="H1068" s="37" t="n"/>
      <c r="I1068" s="41" t="n"/>
      <c r="J1068" s="45" t="str">
        <f>IF($I1068="","",IFERROR(INDEX(MCC_MASTER!$B$5:$B$504,MATCH($I1068,MCC_MASTER!$A$5:$A$504,0)),"⚠ MCC chưa có"))</f>
        <v/>
      </c>
      <c r="K1068" s="45" t="str">
        <f>IF($I1068="","",IFERROR(IF(INDEX(MCC_MASTER!$C$5:$C$504,MATCH($I1068,MCC_MASTER!$A$5:$A$504,0))="","Chưa phân loại",INDEX(MCC_MASTER!$C$5:$C$504,MATCH($I1068,MCC_MASTER!$A$5:$A$504,0))),"Chưa phân loại"))</f>
        <v/>
      </c>
      <c r="L1068" s="40" t="n"/>
      <c r="M1068" s="48" t="str">
        <f>IF(OR($B1068="",$D1068=""),"",IF($AC1068=0,0,IF(ISNUMBER(INDEX(CASHBACK_RULES!$L$5:$L$304,$AC1068)),MAX(0,MIN($L1068,INDEX(CASHBACK_RULES!$L$5:$L$304,$AC1068)-$AH1068)),MAX(0,$L1068))))</f>
        <v/>
      </c>
      <c r="N1068" s="49" t="str">
        <f>IF(OR($B1068="",$D1068=""),"",IF($AC1068&gt;0,INDEX(CASHBACK_RULES!$I$5:$I$304,$AC1068),0))</f>
        <v/>
      </c>
      <c r="O1068" s="48" t="str">
        <f>IF(OR($B1068="",$D1068=""),"",ROUND($M1068*$N1068,0))</f>
        <v/>
      </c>
      <c r="P1068" s="48" t="str">
        <f>IF($AC1068&gt;0,IF(ISNUMBER(INDEX(CASHBACK_RULES!$J$5:$J$304,$AC1068)),INDEX(CASHBACK_RULES!$J$5:$J$304,$AC1068),"∞"),"")</f>
        <v/>
      </c>
      <c r="Q1068" s="48" t="str">
        <f>IF(OR($B1068="",$D1068=""),"",IF($AC1068=0,0,MAX(0,MIN($O1068,IF(ISNUMBER($P1068),$P1068-$AF1068,1E+15),IF(ISNUMBER($AA1068),$AA1068-$AG1068,1E+15)))))</f>
        <v/>
      </c>
      <c r="R1068" s="48" t="str">
        <f>IF(OR($B1068="",$D1068=""),"",IF($AC1068=0,"",IF(AND(NOT(ISNUMBER($P1068)),NOT(ISNUMBER($AA1068))),"∞",MAX(0,MIN(IF(ISNUMBER($P1068),$P1068-$AF1068-$Q1068,1E+15),IF(ISNUMBER($AA1068),$AA1068-$AG1068-$Q1068,1E+15))))))</f>
        <v/>
      </c>
      <c r="S1068" s="47" t="str">
        <f>IF($AD1068="","",YEAR($AD1068)*100+MONTH($AD1068))</f>
        <v/>
      </c>
      <c r="T1068" s="50" t="str">
        <f>IF($AD1068="","",IFERROR(IF(INDEX(CARDS!$I$5:$I$34,MATCH($D1068,CARDS!$A$5:$A$34,0))="","",IF(INDEX(CARDS!$I$5:$I$34,MATCH($D1068,CARDS!$A$5:$A$34,0))&gt;INDEX(CARDS!$H$5:$H$34,MATCH($D1068,CARDS!$A$5:$A$34,0)),DATE(YEAR($AD1068),MONTH($AD1068),MIN(INDEX(CARDS!$I$5:$I$34,MATCH($D1068,CARDS!$A$5:$A$34,0)),DAY(EOMONTH($AD1068,0)))),DATE(YEAR($AD1068),MONTH($AD1068)+1,MIN(INDEX(CARDS!$I$5:$I$34,MATCH($D1068,CARDS!$A$5:$A$34,0)),DAY(EOMONTH($AD1068,1)))))),""))</f>
        <v/>
      </c>
      <c r="U1068" s="38" t="n"/>
      <c r="V1068" s="37" t="n"/>
      <c r="W1068" s="38" t="n"/>
      <c r="X1068" s="38" t="n"/>
      <c r="Y1068" s="44" t="str">
        <f>IF($AC1068&gt;0,INDEX(CASHBACK_RULES!$A$5:$A$304,$AC1068),"")</f>
        <v/>
      </c>
      <c r="Z1068" s="45" t="str">
        <f>IF($AC1068&gt;0,INDEX(CASHBACK_RULES!$E$5:$E$304,$AC1068)&amp;"","")</f>
        <v/>
      </c>
      <c r="AA1068" s="48" t="str">
        <f>IF($AC1068&gt;0,IF(ISNUMBER(INDEX(CASHBACK_RULES!$K$5:$K$304,$AC1068)),INDEX(CASHBACK_RULES!$K$5:$K$304,$AC1068),"∞"),"")</f>
        <v/>
      </c>
      <c r="AB1068" s="44" t="str">
        <f>IF(OR($B1068="",$D1068=""),"",IF($U1068="Cancelled","Đã hủy",IF($AC1068=0,"Không được hoàn",IF($Q1068=0,IF(OR($O1068&gt;0,$M1068&lt;$L1068),"Đã đạt cap","Không được hoàn"),IF(OR($Q1068&lt;$O1068,$M1068&lt;$L1068),"Hoàn một phần","Được hoàn")))))</f>
        <v/>
      </c>
      <c r="AC1068" s="43">
        <f>IF(OR($B1068="",$D1068="",$I1068="",$L1068=""),0,IF($U1068="Cancelled",0,IF($W1068&lt;&gt;"",IFERROR(IF(INDEX(CASHBACK_RULES!$B$5:$B$304,MATCH($W1068,CASHBACK_RULES!$A$5:$A$304,0))=$D1068,MATCH($W1068,CASHBACK_RULES!$A$5:$A$304,0),0),0),IFERROR(MATCH(1,INDEX((CASHBACK_RULES!$B$5:$B$304=$D1068)*(CASHBACK_RULES!$G$5:$G$304=$I1068)*(((CASHBACK_RULES!$N$5:$N$304="")+(CASHBACK_RULES!$N$5:$N$304&lt;=$B1068))&gt;0)*(((CASHBACK_RULES!$O$5:$O$304="")+(CASHBACK_RULES!$O$5:$O$304&gt;=$B1068))&gt;0)*(((CASHBACK_RULES!$M$5:$M$304="")+(CASHBACK_RULES!$M$5:$M$304&lt;=$L1068))&gt;0),0),0),0))))</f>
        <v>0</v>
      </c>
      <c r="AD1068" s="51" t="str">
        <f>IF(OR($B1068="",$D1068=""),"",IFERROR(IF(INDEX(CARDS!$H$5:$H$34,MATCH($D1068,CARDS!$A$5:$A$34,0))="","",IF(DAY($B1068)&lt;=INDEX(CARDS!$H$5:$H$34,MATCH($D1068,CARDS!$A$5:$A$34,0)),DATE(YEAR($B1068),MONTH($B1068),MIN(INDEX(CARDS!$H$5:$H$34,MATCH($D1068,CARDS!$A$5:$A$34,0)),DAY(EOMONTH($B1068,0)))),DATE(YEAR($B1068),MONTH($B1068)+1,MIN(INDEX(CARDS!$H$5:$H$34,MATCH($D1068,CARDS!$A$5:$A$34,0)),DAY(EOMONTH($B1068,1)))))),""))</f>
        <v/>
      </c>
      <c r="AE1068" s="52" t="str">
        <f>IF($C1068="","",$C1068&amp;"|"&amp;COUNTIF($C$5:$C1068,$C1068))</f>
        <v/>
      </c>
      <c r="AF1068" s="53">
        <f>IF($AC1068&gt;0,SUMIFS(Q$4:Q1067,$D$4:$D1067,$D1068,$Z$4:$Z1067,$Z1068,$C$4:$C1067,$C1068),0)</f>
        <v>0</v>
      </c>
      <c r="AG1068" s="53">
        <f>IF($AC1068&gt;0,SUMIFS(Q$4:Q1067,$D$4:$D1067,$D1068,$C$4:$C1067,$C1068),0)</f>
        <v>0</v>
      </c>
      <c r="AH1068" s="53">
        <f>IF($AC1068&gt;0,SUMIFS(M$4:M1067,$D$4:$D1067,$D1068,$Z$4:$Z1067,$Z1068,$C$4:$C1067,$C1068),0)</f>
        <v>0</v>
      </c>
      <c r="AI1068" s="43">
        <f>IF(OR($C1068="",$I1068=""),0,IF(COUNTIFS($C$5:$C1068,$C1068,$I$5:$I1068,$I1068)=1,1,0))</f>
        <v>0</v>
      </c>
      <c r="AJ1068" s="43" t="str">
        <f>IF($AI1068=1,SUMIFS($AI$4:$AI1067,$C$4:$C1067,$C1068)+1,"")</f>
        <v/>
      </c>
      <c r="AK1068" s="43">
        <f>IF(OR($C1068="",$K1068=""),0,IF(COUNTIFS($C$5:$C1068,$C1068,$K$5:$K1068,$K1068)=1,1,0))</f>
        <v>0</v>
      </c>
      <c r="AL1068" s="43" t="str">
        <f>IF($AK1068=1,SUMIFS($AK$4:$AK1067,$C$4:$C1067,$C1068)+1,"")</f>
        <v/>
      </c>
      <c r="AM1068" s="43">
        <f>IF(OR($C1068="",$G1068=""),0,IF(COUNTIFS($C$5:$C1068,$C1068,$G$5:$G1068,$G1068)=1,1,0))</f>
        <v>0</v>
      </c>
      <c r="AN1068" s="43" t="str">
        <f>IF($AM1068=1,SUMIFS($AM$4:$AM1067,$C$4:$C1067,$C1068)+1,"")</f>
        <v/>
      </c>
    </row>
    <row r="1069">
      <c r="A1069" s="44" t="str">
        <f>IF(OR($B1069="",$D1069=""),"","TX"&amp;TEXT(ROW()-4,"0000"))</f>
        <v/>
      </c>
      <c r="B1069" s="42" t="n"/>
      <c r="C1069" s="47" t="str">
        <f>IF($B1069="","",YEAR($B1069)*100+MONTH($B1069))</f>
        <v/>
      </c>
      <c r="D1069" s="37" t="n"/>
      <c r="E1069" s="45" t="str">
        <f>IF($D1069="","",IFERROR(INDEX(CARDS!$B$5:$B$34,MATCH($D1069,CARDS!$A$5:$A$34,0)),"⚠ Card ID?"))</f>
        <v/>
      </c>
      <c r="F1069" s="45" t="str">
        <f>IF($D1069="","",IFERROR(INDEX(CARDS!$C$5:$C$34,MATCH($D1069,CARDS!$A$5:$A$34,0)),"⚠ Card ID?"))</f>
        <v/>
      </c>
      <c r="G1069" s="37" t="n"/>
      <c r="H1069" s="37" t="n"/>
      <c r="I1069" s="41" t="n"/>
      <c r="J1069" s="45" t="str">
        <f>IF($I1069="","",IFERROR(INDEX(MCC_MASTER!$B$5:$B$504,MATCH($I1069,MCC_MASTER!$A$5:$A$504,0)),"⚠ MCC chưa có"))</f>
        <v/>
      </c>
      <c r="K1069" s="45" t="str">
        <f>IF($I1069="","",IFERROR(IF(INDEX(MCC_MASTER!$C$5:$C$504,MATCH($I1069,MCC_MASTER!$A$5:$A$504,0))="","Chưa phân loại",INDEX(MCC_MASTER!$C$5:$C$504,MATCH($I1069,MCC_MASTER!$A$5:$A$504,0))),"Chưa phân loại"))</f>
        <v/>
      </c>
      <c r="L1069" s="40" t="n"/>
      <c r="M1069" s="48" t="str">
        <f>IF(OR($B1069="",$D1069=""),"",IF($AC1069=0,0,IF(ISNUMBER(INDEX(CASHBACK_RULES!$L$5:$L$304,$AC1069)),MAX(0,MIN($L1069,INDEX(CASHBACK_RULES!$L$5:$L$304,$AC1069)-$AH1069)),MAX(0,$L1069))))</f>
        <v/>
      </c>
      <c r="N1069" s="49" t="str">
        <f>IF(OR($B1069="",$D1069=""),"",IF($AC1069&gt;0,INDEX(CASHBACK_RULES!$I$5:$I$304,$AC1069),0))</f>
        <v/>
      </c>
      <c r="O1069" s="48" t="str">
        <f>IF(OR($B1069="",$D1069=""),"",ROUND($M1069*$N1069,0))</f>
        <v/>
      </c>
      <c r="P1069" s="48" t="str">
        <f>IF($AC1069&gt;0,IF(ISNUMBER(INDEX(CASHBACK_RULES!$J$5:$J$304,$AC1069)),INDEX(CASHBACK_RULES!$J$5:$J$304,$AC1069),"∞"),"")</f>
        <v/>
      </c>
      <c r="Q1069" s="48" t="str">
        <f>IF(OR($B1069="",$D1069=""),"",IF($AC1069=0,0,MAX(0,MIN($O1069,IF(ISNUMBER($P1069),$P1069-$AF1069,1E+15),IF(ISNUMBER($AA1069),$AA1069-$AG1069,1E+15)))))</f>
        <v/>
      </c>
      <c r="R1069" s="48" t="str">
        <f>IF(OR($B1069="",$D1069=""),"",IF($AC1069=0,"",IF(AND(NOT(ISNUMBER($P1069)),NOT(ISNUMBER($AA1069))),"∞",MAX(0,MIN(IF(ISNUMBER($P1069),$P1069-$AF1069-$Q1069,1E+15),IF(ISNUMBER($AA1069),$AA1069-$AG1069-$Q1069,1E+15))))))</f>
        <v/>
      </c>
      <c r="S1069" s="47" t="str">
        <f>IF($AD1069="","",YEAR($AD1069)*100+MONTH($AD1069))</f>
        <v/>
      </c>
      <c r="T1069" s="50" t="str">
        <f>IF($AD1069="","",IFERROR(IF(INDEX(CARDS!$I$5:$I$34,MATCH($D1069,CARDS!$A$5:$A$34,0))="","",IF(INDEX(CARDS!$I$5:$I$34,MATCH($D1069,CARDS!$A$5:$A$34,0))&gt;INDEX(CARDS!$H$5:$H$34,MATCH($D1069,CARDS!$A$5:$A$34,0)),DATE(YEAR($AD1069),MONTH($AD1069),MIN(INDEX(CARDS!$I$5:$I$34,MATCH($D1069,CARDS!$A$5:$A$34,0)),DAY(EOMONTH($AD1069,0)))),DATE(YEAR($AD1069),MONTH($AD1069)+1,MIN(INDEX(CARDS!$I$5:$I$34,MATCH($D1069,CARDS!$A$5:$A$34,0)),DAY(EOMONTH($AD1069,1)))))),""))</f>
        <v/>
      </c>
      <c r="U1069" s="38" t="n"/>
      <c r="V1069" s="37" t="n"/>
      <c r="W1069" s="38" t="n"/>
      <c r="X1069" s="38" t="n"/>
      <c r="Y1069" s="44" t="str">
        <f>IF($AC1069&gt;0,INDEX(CASHBACK_RULES!$A$5:$A$304,$AC1069),"")</f>
        <v/>
      </c>
      <c r="Z1069" s="45" t="str">
        <f>IF($AC1069&gt;0,INDEX(CASHBACK_RULES!$E$5:$E$304,$AC1069)&amp;"","")</f>
        <v/>
      </c>
      <c r="AA1069" s="48" t="str">
        <f>IF($AC1069&gt;0,IF(ISNUMBER(INDEX(CASHBACK_RULES!$K$5:$K$304,$AC1069)),INDEX(CASHBACK_RULES!$K$5:$K$304,$AC1069),"∞"),"")</f>
        <v/>
      </c>
      <c r="AB1069" s="44" t="str">
        <f>IF(OR($B1069="",$D1069=""),"",IF($U1069="Cancelled","Đã hủy",IF($AC1069=0,"Không được hoàn",IF($Q1069=0,IF(OR($O1069&gt;0,$M1069&lt;$L1069),"Đã đạt cap","Không được hoàn"),IF(OR($Q1069&lt;$O1069,$M1069&lt;$L1069),"Hoàn một phần","Được hoàn")))))</f>
        <v/>
      </c>
      <c r="AC1069" s="43">
        <f>IF(OR($B1069="",$D1069="",$I1069="",$L1069=""),0,IF($U1069="Cancelled",0,IF($W1069&lt;&gt;"",IFERROR(IF(INDEX(CASHBACK_RULES!$B$5:$B$304,MATCH($W1069,CASHBACK_RULES!$A$5:$A$304,0))=$D1069,MATCH($W1069,CASHBACK_RULES!$A$5:$A$304,0),0),0),IFERROR(MATCH(1,INDEX((CASHBACK_RULES!$B$5:$B$304=$D1069)*(CASHBACK_RULES!$G$5:$G$304=$I1069)*(((CASHBACK_RULES!$N$5:$N$304="")+(CASHBACK_RULES!$N$5:$N$304&lt;=$B1069))&gt;0)*(((CASHBACK_RULES!$O$5:$O$304="")+(CASHBACK_RULES!$O$5:$O$304&gt;=$B1069))&gt;0)*(((CASHBACK_RULES!$M$5:$M$304="")+(CASHBACK_RULES!$M$5:$M$304&lt;=$L1069))&gt;0),0),0),0))))</f>
        <v>0</v>
      </c>
      <c r="AD1069" s="51" t="str">
        <f>IF(OR($B1069="",$D1069=""),"",IFERROR(IF(INDEX(CARDS!$H$5:$H$34,MATCH($D1069,CARDS!$A$5:$A$34,0))="","",IF(DAY($B1069)&lt;=INDEX(CARDS!$H$5:$H$34,MATCH($D1069,CARDS!$A$5:$A$34,0)),DATE(YEAR($B1069),MONTH($B1069),MIN(INDEX(CARDS!$H$5:$H$34,MATCH($D1069,CARDS!$A$5:$A$34,0)),DAY(EOMONTH($B1069,0)))),DATE(YEAR($B1069),MONTH($B1069)+1,MIN(INDEX(CARDS!$H$5:$H$34,MATCH($D1069,CARDS!$A$5:$A$34,0)),DAY(EOMONTH($B1069,1)))))),""))</f>
        <v/>
      </c>
      <c r="AE1069" s="52" t="str">
        <f>IF($C1069="","",$C1069&amp;"|"&amp;COUNTIF($C$5:$C1069,$C1069))</f>
        <v/>
      </c>
      <c r="AF1069" s="53">
        <f>IF($AC1069&gt;0,SUMIFS(Q$4:Q1068,$D$4:$D1068,$D1069,$Z$4:$Z1068,$Z1069,$C$4:$C1068,$C1069),0)</f>
        <v>0</v>
      </c>
      <c r="AG1069" s="53">
        <f>IF($AC1069&gt;0,SUMIFS(Q$4:Q1068,$D$4:$D1068,$D1069,$C$4:$C1068,$C1069),0)</f>
        <v>0</v>
      </c>
      <c r="AH1069" s="53">
        <f>IF($AC1069&gt;0,SUMIFS(M$4:M1068,$D$4:$D1068,$D1069,$Z$4:$Z1068,$Z1069,$C$4:$C1068,$C1069),0)</f>
        <v>0</v>
      </c>
      <c r="AI1069" s="43">
        <f>IF(OR($C1069="",$I1069=""),0,IF(COUNTIFS($C$5:$C1069,$C1069,$I$5:$I1069,$I1069)=1,1,0))</f>
        <v>0</v>
      </c>
      <c r="AJ1069" s="43" t="str">
        <f>IF($AI1069=1,SUMIFS($AI$4:$AI1068,$C$4:$C1068,$C1069)+1,"")</f>
        <v/>
      </c>
      <c r="AK1069" s="43">
        <f>IF(OR($C1069="",$K1069=""),0,IF(COUNTIFS($C$5:$C1069,$C1069,$K$5:$K1069,$K1069)=1,1,0))</f>
        <v>0</v>
      </c>
      <c r="AL1069" s="43" t="str">
        <f>IF($AK1069=1,SUMIFS($AK$4:$AK1068,$C$4:$C1068,$C1069)+1,"")</f>
        <v/>
      </c>
      <c r="AM1069" s="43">
        <f>IF(OR($C1069="",$G1069=""),0,IF(COUNTIFS($C$5:$C1069,$C1069,$G$5:$G1069,$G1069)=1,1,0))</f>
        <v>0</v>
      </c>
      <c r="AN1069" s="43" t="str">
        <f>IF($AM1069=1,SUMIFS($AM$4:$AM1068,$C$4:$C1068,$C1069)+1,"")</f>
        <v/>
      </c>
    </row>
    <row r="1070">
      <c r="A1070" s="44" t="str">
        <f>IF(OR($B1070="",$D1070=""),"","TX"&amp;TEXT(ROW()-4,"0000"))</f>
        <v/>
      </c>
      <c r="B1070" s="42" t="n"/>
      <c r="C1070" s="47" t="str">
        <f>IF($B1070="","",YEAR($B1070)*100+MONTH($B1070))</f>
        <v/>
      </c>
      <c r="D1070" s="37" t="n"/>
      <c r="E1070" s="45" t="str">
        <f>IF($D1070="","",IFERROR(INDEX(CARDS!$B$5:$B$34,MATCH($D1070,CARDS!$A$5:$A$34,0)),"⚠ Card ID?"))</f>
        <v/>
      </c>
      <c r="F1070" s="45" t="str">
        <f>IF($D1070="","",IFERROR(INDEX(CARDS!$C$5:$C$34,MATCH($D1070,CARDS!$A$5:$A$34,0)),"⚠ Card ID?"))</f>
        <v/>
      </c>
      <c r="G1070" s="37" t="n"/>
      <c r="H1070" s="37" t="n"/>
      <c r="I1070" s="41" t="n"/>
      <c r="J1070" s="45" t="str">
        <f>IF($I1070="","",IFERROR(INDEX(MCC_MASTER!$B$5:$B$504,MATCH($I1070,MCC_MASTER!$A$5:$A$504,0)),"⚠ MCC chưa có"))</f>
        <v/>
      </c>
      <c r="K1070" s="45" t="str">
        <f>IF($I1070="","",IFERROR(IF(INDEX(MCC_MASTER!$C$5:$C$504,MATCH($I1070,MCC_MASTER!$A$5:$A$504,0))="","Chưa phân loại",INDEX(MCC_MASTER!$C$5:$C$504,MATCH($I1070,MCC_MASTER!$A$5:$A$504,0))),"Chưa phân loại"))</f>
        <v/>
      </c>
      <c r="L1070" s="40" t="n"/>
      <c r="M1070" s="48" t="str">
        <f>IF(OR($B1070="",$D1070=""),"",IF($AC1070=0,0,IF(ISNUMBER(INDEX(CASHBACK_RULES!$L$5:$L$304,$AC1070)),MAX(0,MIN($L1070,INDEX(CASHBACK_RULES!$L$5:$L$304,$AC1070)-$AH1070)),MAX(0,$L1070))))</f>
        <v/>
      </c>
      <c r="N1070" s="49" t="str">
        <f>IF(OR($B1070="",$D1070=""),"",IF($AC1070&gt;0,INDEX(CASHBACK_RULES!$I$5:$I$304,$AC1070),0))</f>
        <v/>
      </c>
      <c r="O1070" s="48" t="str">
        <f>IF(OR($B1070="",$D1070=""),"",ROUND($M1070*$N1070,0))</f>
        <v/>
      </c>
      <c r="P1070" s="48" t="str">
        <f>IF($AC1070&gt;0,IF(ISNUMBER(INDEX(CASHBACK_RULES!$J$5:$J$304,$AC1070)),INDEX(CASHBACK_RULES!$J$5:$J$304,$AC1070),"∞"),"")</f>
        <v/>
      </c>
      <c r="Q1070" s="48" t="str">
        <f>IF(OR($B1070="",$D1070=""),"",IF($AC1070=0,0,MAX(0,MIN($O1070,IF(ISNUMBER($P1070),$P1070-$AF1070,1E+15),IF(ISNUMBER($AA1070),$AA1070-$AG1070,1E+15)))))</f>
        <v/>
      </c>
      <c r="R1070" s="48" t="str">
        <f>IF(OR($B1070="",$D1070=""),"",IF($AC1070=0,"",IF(AND(NOT(ISNUMBER($P1070)),NOT(ISNUMBER($AA1070))),"∞",MAX(0,MIN(IF(ISNUMBER($P1070),$P1070-$AF1070-$Q1070,1E+15),IF(ISNUMBER($AA1070),$AA1070-$AG1070-$Q1070,1E+15))))))</f>
        <v/>
      </c>
      <c r="S1070" s="47" t="str">
        <f>IF($AD1070="","",YEAR($AD1070)*100+MONTH($AD1070))</f>
        <v/>
      </c>
      <c r="T1070" s="50" t="str">
        <f>IF($AD1070="","",IFERROR(IF(INDEX(CARDS!$I$5:$I$34,MATCH($D1070,CARDS!$A$5:$A$34,0))="","",IF(INDEX(CARDS!$I$5:$I$34,MATCH($D1070,CARDS!$A$5:$A$34,0))&gt;INDEX(CARDS!$H$5:$H$34,MATCH($D1070,CARDS!$A$5:$A$34,0)),DATE(YEAR($AD1070),MONTH($AD1070),MIN(INDEX(CARDS!$I$5:$I$34,MATCH($D1070,CARDS!$A$5:$A$34,0)),DAY(EOMONTH($AD1070,0)))),DATE(YEAR($AD1070),MONTH($AD1070)+1,MIN(INDEX(CARDS!$I$5:$I$34,MATCH($D1070,CARDS!$A$5:$A$34,0)),DAY(EOMONTH($AD1070,1)))))),""))</f>
        <v/>
      </c>
      <c r="U1070" s="38" t="n"/>
      <c r="V1070" s="37" t="n"/>
      <c r="W1070" s="38" t="n"/>
      <c r="X1070" s="38" t="n"/>
      <c r="Y1070" s="44" t="str">
        <f>IF($AC1070&gt;0,INDEX(CASHBACK_RULES!$A$5:$A$304,$AC1070),"")</f>
        <v/>
      </c>
      <c r="Z1070" s="45" t="str">
        <f>IF($AC1070&gt;0,INDEX(CASHBACK_RULES!$E$5:$E$304,$AC1070)&amp;"","")</f>
        <v/>
      </c>
      <c r="AA1070" s="48" t="str">
        <f>IF($AC1070&gt;0,IF(ISNUMBER(INDEX(CASHBACK_RULES!$K$5:$K$304,$AC1070)),INDEX(CASHBACK_RULES!$K$5:$K$304,$AC1070),"∞"),"")</f>
        <v/>
      </c>
      <c r="AB1070" s="44" t="str">
        <f>IF(OR($B1070="",$D1070=""),"",IF($U1070="Cancelled","Đã hủy",IF($AC1070=0,"Không được hoàn",IF($Q1070=0,IF(OR($O1070&gt;0,$M1070&lt;$L1070),"Đã đạt cap","Không được hoàn"),IF(OR($Q1070&lt;$O1070,$M1070&lt;$L1070),"Hoàn một phần","Được hoàn")))))</f>
        <v/>
      </c>
      <c r="AC1070" s="43">
        <f>IF(OR($B1070="",$D1070="",$I1070="",$L1070=""),0,IF($U1070="Cancelled",0,IF($W1070&lt;&gt;"",IFERROR(IF(INDEX(CASHBACK_RULES!$B$5:$B$304,MATCH($W1070,CASHBACK_RULES!$A$5:$A$304,0))=$D1070,MATCH($W1070,CASHBACK_RULES!$A$5:$A$304,0),0),0),IFERROR(MATCH(1,INDEX((CASHBACK_RULES!$B$5:$B$304=$D1070)*(CASHBACK_RULES!$G$5:$G$304=$I1070)*(((CASHBACK_RULES!$N$5:$N$304="")+(CASHBACK_RULES!$N$5:$N$304&lt;=$B1070))&gt;0)*(((CASHBACK_RULES!$O$5:$O$304="")+(CASHBACK_RULES!$O$5:$O$304&gt;=$B1070))&gt;0)*(((CASHBACK_RULES!$M$5:$M$304="")+(CASHBACK_RULES!$M$5:$M$304&lt;=$L1070))&gt;0),0),0),0))))</f>
        <v>0</v>
      </c>
      <c r="AD1070" s="51" t="str">
        <f>IF(OR($B1070="",$D1070=""),"",IFERROR(IF(INDEX(CARDS!$H$5:$H$34,MATCH($D1070,CARDS!$A$5:$A$34,0))="","",IF(DAY($B1070)&lt;=INDEX(CARDS!$H$5:$H$34,MATCH($D1070,CARDS!$A$5:$A$34,0)),DATE(YEAR($B1070),MONTH($B1070),MIN(INDEX(CARDS!$H$5:$H$34,MATCH($D1070,CARDS!$A$5:$A$34,0)),DAY(EOMONTH($B1070,0)))),DATE(YEAR($B1070),MONTH($B1070)+1,MIN(INDEX(CARDS!$H$5:$H$34,MATCH($D1070,CARDS!$A$5:$A$34,0)),DAY(EOMONTH($B1070,1)))))),""))</f>
        <v/>
      </c>
      <c r="AE1070" s="52" t="str">
        <f>IF($C1070="","",$C1070&amp;"|"&amp;COUNTIF($C$5:$C1070,$C1070))</f>
        <v/>
      </c>
      <c r="AF1070" s="53">
        <f>IF($AC1070&gt;0,SUMIFS(Q$4:Q1069,$D$4:$D1069,$D1070,$Z$4:$Z1069,$Z1070,$C$4:$C1069,$C1070),0)</f>
        <v>0</v>
      </c>
      <c r="AG1070" s="53">
        <f>IF($AC1070&gt;0,SUMIFS(Q$4:Q1069,$D$4:$D1069,$D1070,$C$4:$C1069,$C1070),0)</f>
        <v>0</v>
      </c>
      <c r="AH1070" s="53">
        <f>IF($AC1070&gt;0,SUMIFS(M$4:M1069,$D$4:$D1069,$D1070,$Z$4:$Z1069,$Z1070,$C$4:$C1069,$C1070),0)</f>
        <v>0</v>
      </c>
      <c r="AI1070" s="43">
        <f>IF(OR($C1070="",$I1070=""),0,IF(COUNTIFS($C$5:$C1070,$C1070,$I$5:$I1070,$I1070)=1,1,0))</f>
        <v>0</v>
      </c>
      <c r="AJ1070" s="43" t="str">
        <f>IF($AI1070=1,SUMIFS($AI$4:$AI1069,$C$4:$C1069,$C1070)+1,"")</f>
        <v/>
      </c>
      <c r="AK1070" s="43">
        <f>IF(OR($C1070="",$K1070=""),0,IF(COUNTIFS($C$5:$C1070,$C1070,$K$5:$K1070,$K1070)=1,1,0))</f>
        <v>0</v>
      </c>
      <c r="AL1070" s="43" t="str">
        <f>IF($AK1070=1,SUMIFS($AK$4:$AK1069,$C$4:$C1069,$C1070)+1,"")</f>
        <v/>
      </c>
      <c r="AM1070" s="43">
        <f>IF(OR($C1070="",$G1070=""),0,IF(COUNTIFS($C$5:$C1070,$C1070,$G$5:$G1070,$G1070)=1,1,0))</f>
        <v>0</v>
      </c>
      <c r="AN1070" s="43" t="str">
        <f>IF($AM1070=1,SUMIFS($AM$4:$AM1069,$C$4:$C1069,$C1070)+1,"")</f>
        <v/>
      </c>
    </row>
    <row r="1071">
      <c r="A1071" s="44" t="str">
        <f>IF(OR($B1071="",$D1071=""),"","TX"&amp;TEXT(ROW()-4,"0000"))</f>
        <v/>
      </c>
      <c r="B1071" s="42" t="n"/>
      <c r="C1071" s="47" t="str">
        <f>IF($B1071="","",YEAR($B1071)*100+MONTH($B1071))</f>
        <v/>
      </c>
      <c r="D1071" s="37" t="n"/>
      <c r="E1071" s="45" t="str">
        <f>IF($D1071="","",IFERROR(INDEX(CARDS!$B$5:$B$34,MATCH($D1071,CARDS!$A$5:$A$34,0)),"⚠ Card ID?"))</f>
        <v/>
      </c>
      <c r="F1071" s="45" t="str">
        <f>IF($D1071="","",IFERROR(INDEX(CARDS!$C$5:$C$34,MATCH($D1071,CARDS!$A$5:$A$34,0)),"⚠ Card ID?"))</f>
        <v/>
      </c>
      <c r="G1071" s="37" t="n"/>
      <c r="H1071" s="37" t="n"/>
      <c r="I1071" s="41" t="n"/>
      <c r="J1071" s="45" t="str">
        <f>IF($I1071="","",IFERROR(INDEX(MCC_MASTER!$B$5:$B$504,MATCH($I1071,MCC_MASTER!$A$5:$A$504,0)),"⚠ MCC chưa có"))</f>
        <v/>
      </c>
      <c r="K1071" s="45" t="str">
        <f>IF($I1071="","",IFERROR(IF(INDEX(MCC_MASTER!$C$5:$C$504,MATCH($I1071,MCC_MASTER!$A$5:$A$504,0))="","Chưa phân loại",INDEX(MCC_MASTER!$C$5:$C$504,MATCH($I1071,MCC_MASTER!$A$5:$A$504,0))),"Chưa phân loại"))</f>
        <v/>
      </c>
      <c r="L1071" s="40" t="n"/>
      <c r="M1071" s="48" t="str">
        <f>IF(OR($B1071="",$D1071=""),"",IF($AC1071=0,0,IF(ISNUMBER(INDEX(CASHBACK_RULES!$L$5:$L$304,$AC1071)),MAX(0,MIN($L1071,INDEX(CASHBACK_RULES!$L$5:$L$304,$AC1071)-$AH1071)),MAX(0,$L1071))))</f>
        <v/>
      </c>
      <c r="N1071" s="49" t="str">
        <f>IF(OR($B1071="",$D1071=""),"",IF($AC1071&gt;0,INDEX(CASHBACK_RULES!$I$5:$I$304,$AC1071),0))</f>
        <v/>
      </c>
      <c r="O1071" s="48" t="str">
        <f>IF(OR($B1071="",$D1071=""),"",ROUND($M1071*$N1071,0))</f>
        <v/>
      </c>
      <c r="P1071" s="48" t="str">
        <f>IF($AC1071&gt;0,IF(ISNUMBER(INDEX(CASHBACK_RULES!$J$5:$J$304,$AC1071)),INDEX(CASHBACK_RULES!$J$5:$J$304,$AC1071),"∞"),"")</f>
        <v/>
      </c>
      <c r="Q1071" s="48" t="str">
        <f>IF(OR($B1071="",$D1071=""),"",IF($AC1071=0,0,MAX(0,MIN($O1071,IF(ISNUMBER($P1071),$P1071-$AF1071,1E+15),IF(ISNUMBER($AA1071),$AA1071-$AG1071,1E+15)))))</f>
        <v/>
      </c>
      <c r="R1071" s="48" t="str">
        <f>IF(OR($B1071="",$D1071=""),"",IF($AC1071=0,"",IF(AND(NOT(ISNUMBER($P1071)),NOT(ISNUMBER($AA1071))),"∞",MAX(0,MIN(IF(ISNUMBER($P1071),$P1071-$AF1071-$Q1071,1E+15),IF(ISNUMBER($AA1071),$AA1071-$AG1071-$Q1071,1E+15))))))</f>
        <v/>
      </c>
      <c r="S1071" s="47" t="str">
        <f>IF($AD1071="","",YEAR($AD1071)*100+MONTH($AD1071))</f>
        <v/>
      </c>
      <c r="T1071" s="50" t="str">
        <f>IF($AD1071="","",IFERROR(IF(INDEX(CARDS!$I$5:$I$34,MATCH($D1071,CARDS!$A$5:$A$34,0))="","",IF(INDEX(CARDS!$I$5:$I$34,MATCH($D1071,CARDS!$A$5:$A$34,0))&gt;INDEX(CARDS!$H$5:$H$34,MATCH($D1071,CARDS!$A$5:$A$34,0)),DATE(YEAR($AD1071),MONTH($AD1071),MIN(INDEX(CARDS!$I$5:$I$34,MATCH($D1071,CARDS!$A$5:$A$34,0)),DAY(EOMONTH($AD1071,0)))),DATE(YEAR($AD1071),MONTH($AD1071)+1,MIN(INDEX(CARDS!$I$5:$I$34,MATCH($D1071,CARDS!$A$5:$A$34,0)),DAY(EOMONTH($AD1071,1)))))),""))</f>
        <v/>
      </c>
      <c r="U1071" s="38" t="n"/>
      <c r="V1071" s="37" t="n"/>
      <c r="W1071" s="38" t="n"/>
      <c r="X1071" s="38" t="n"/>
      <c r="Y1071" s="44" t="str">
        <f>IF($AC1071&gt;0,INDEX(CASHBACK_RULES!$A$5:$A$304,$AC1071),"")</f>
        <v/>
      </c>
      <c r="Z1071" s="45" t="str">
        <f>IF($AC1071&gt;0,INDEX(CASHBACK_RULES!$E$5:$E$304,$AC1071)&amp;"","")</f>
        <v/>
      </c>
      <c r="AA1071" s="48" t="str">
        <f>IF($AC1071&gt;0,IF(ISNUMBER(INDEX(CASHBACK_RULES!$K$5:$K$304,$AC1071)),INDEX(CASHBACK_RULES!$K$5:$K$304,$AC1071),"∞"),"")</f>
        <v/>
      </c>
      <c r="AB1071" s="44" t="str">
        <f>IF(OR($B1071="",$D1071=""),"",IF($U1071="Cancelled","Đã hủy",IF($AC1071=0,"Không được hoàn",IF($Q1071=0,IF(OR($O1071&gt;0,$M1071&lt;$L1071),"Đã đạt cap","Không được hoàn"),IF(OR($Q1071&lt;$O1071,$M1071&lt;$L1071),"Hoàn một phần","Được hoàn")))))</f>
        <v/>
      </c>
      <c r="AC1071" s="43">
        <f>IF(OR($B1071="",$D1071="",$I1071="",$L1071=""),0,IF($U1071="Cancelled",0,IF($W1071&lt;&gt;"",IFERROR(IF(INDEX(CASHBACK_RULES!$B$5:$B$304,MATCH($W1071,CASHBACK_RULES!$A$5:$A$304,0))=$D1071,MATCH($W1071,CASHBACK_RULES!$A$5:$A$304,0),0),0),IFERROR(MATCH(1,INDEX((CASHBACK_RULES!$B$5:$B$304=$D1071)*(CASHBACK_RULES!$G$5:$G$304=$I1071)*(((CASHBACK_RULES!$N$5:$N$304="")+(CASHBACK_RULES!$N$5:$N$304&lt;=$B1071))&gt;0)*(((CASHBACK_RULES!$O$5:$O$304="")+(CASHBACK_RULES!$O$5:$O$304&gt;=$B1071))&gt;0)*(((CASHBACK_RULES!$M$5:$M$304="")+(CASHBACK_RULES!$M$5:$M$304&lt;=$L1071))&gt;0),0),0),0))))</f>
        <v>0</v>
      </c>
      <c r="AD1071" s="51" t="str">
        <f>IF(OR($B1071="",$D1071=""),"",IFERROR(IF(INDEX(CARDS!$H$5:$H$34,MATCH($D1071,CARDS!$A$5:$A$34,0))="","",IF(DAY($B1071)&lt;=INDEX(CARDS!$H$5:$H$34,MATCH($D1071,CARDS!$A$5:$A$34,0)),DATE(YEAR($B1071),MONTH($B1071),MIN(INDEX(CARDS!$H$5:$H$34,MATCH($D1071,CARDS!$A$5:$A$34,0)),DAY(EOMONTH($B1071,0)))),DATE(YEAR($B1071),MONTH($B1071)+1,MIN(INDEX(CARDS!$H$5:$H$34,MATCH($D1071,CARDS!$A$5:$A$34,0)),DAY(EOMONTH($B1071,1)))))),""))</f>
        <v/>
      </c>
      <c r="AE1071" s="52" t="str">
        <f>IF($C1071="","",$C1071&amp;"|"&amp;COUNTIF($C$5:$C1071,$C1071))</f>
        <v/>
      </c>
      <c r="AF1071" s="53">
        <f>IF($AC1071&gt;0,SUMIFS(Q$4:Q1070,$D$4:$D1070,$D1071,$Z$4:$Z1070,$Z1071,$C$4:$C1070,$C1071),0)</f>
        <v>0</v>
      </c>
      <c r="AG1071" s="53">
        <f>IF($AC1071&gt;0,SUMIFS(Q$4:Q1070,$D$4:$D1070,$D1071,$C$4:$C1070,$C1071),0)</f>
        <v>0</v>
      </c>
      <c r="AH1071" s="53">
        <f>IF($AC1071&gt;0,SUMIFS(M$4:M1070,$D$4:$D1070,$D1071,$Z$4:$Z1070,$Z1071,$C$4:$C1070,$C1071),0)</f>
        <v>0</v>
      </c>
      <c r="AI1071" s="43">
        <f>IF(OR($C1071="",$I1071=""),0,IF(COUNTIFS($C$5:$C1071,$C1071,$I$5:$I1071,$I1071)=1,1,0))</f>
        <v>0</v>
      </c>
      <c r="AJ1071" s="43" t="str">
        <f>IF($AI1071=1,SUMIFS($AI$4:$AI1070,$C$4:$C1070,$C1071)+1,"")</f>
        <v/>
      </c>
      <c r="AK1071" s="43">
        <f>IF(OR($C1071="",$K1071=""),0,IF(COUNTIFS($C$5:$C1071,$C1071,$K$5:$K1071,$K1071)=1,1,0))</f>
        <v>0</v>
      </c>
      <c r="AL1071" s="43" t="str">
        <f>IF($AK1071=1,SUMIFS($AK$4:$AK1070,$C$4:$C1070,$C1071)+1,"")</f>
        <v/>
      </c>
      <c r="AM1071" s="43">
        <f>IF(OR($C1071="",$G1071=""),0,IF(COUNTIFS($C$5:$C1071,$C1071,$G$5:$G1071,$G1071)=1,1,0))</f>
        <v>0</v>
      </c>
      <c r="AN1071" s="43" t="str">
        <f>IF($AM1071=1,SUMIFS($AM$4:$AM1070,$C$4:$C1070,$C1071)+1,"")</f>
        <v/>
      </c>
    </row>
    <row r="1072">
      <c r="A1072" s="44" t="str">
        <f>IF(OR($B1072="",$D1072=""),"","TX"&amp;TEXT(ROW()-4,"0000"))</f>
        <v/>
      </c>
      <c r="B1072" s="42" t="n"/>
      <c r="C1072" s="47" t="str">
        <f>IF($B1072="","",YEAR($B1072)*100+MONTH($B1072))</f>
        <v/>
      </c>
      <c r="D1072" s="37" t="n"/>
      <c r="E1072" s="45" t="str">
        <f>IF($D1072="","",IFERROR(INDEX(CARDS!$B$5:$B$34,MATCH($D1072,CARDS!$A$5:$A$34,0)),"⚠ Card ID?"))</f>
        <v/>
      </c>
      <c r="F1072" s="45" t="str">
        <f>IF($D1072="","",IFERROR(INDEX(CARDS!$C$5:$C$34,MATCH($D1072,CARDS!$A$5:$A$34,0)),"⚠ Card ID?"))</f>
        <v/>
      </c>
      <c r="G1072" s="37" t="n"/>
      <c r="H1072" s="37" t="n"/>
      <c r="I1072" s="41" t="n"/>
      <c r="J1072" s="45" t="str">
        <f>IF($I1072="","",IFERROR(INDEX(MCC_MASTER!$B$5:$B$504,MATCH($I1072,MCC_MASTER!$A$5:$A$504,0)),"⚠ MCC chưa có"))</f>
        <v/>
      </c>
      <c r="K1072" s="45" t="str">
        <f>IF($I1072="","",IFERROR(IF(INDEX(MCC_MASTER!$C$5:$C$504,MATCH($I1072,MCC_MASTER!$A$5:$A$504,0))="","Chưa phân loại",INDEX(MCC_MASTER!$C$5:$C$504,MATCH($I1072,MCC_MASTER!$A$5:$A$504,0))),"Chưa phân loại"))</f>
        <v/>
      </c>
      <c r="L1072" s="40" t="n"/>
      <c r="M1072" s="48" t="str">
        <f>IF(OR($B1072="",$D1072=""),"",IF($AC1072=0,0,IF(ISNUMBER(INDEX(CASHBACK_RULES!$L$5:$L$304,$AC1072)),MAX(0,MIN($L1072,INDEX(CASHBACK_RULES!$L$5:$L$304,$AC1072)-$AH1072)),MAX(0,$L1072))))</f>
        <v/>
      </c>
      <c r="N1072" s="49" t="str">
        <f>IF(OR($B1072="",$D1072=""),"",IF($AC1072&gt;0,INDEX(CASHBACK_RULES!$I$5:$I$304,$AC1072),0))</f>
        <v/>
      </c>
      <c r="O1072" s="48" t="str">
        <f>IF(OR($B1072="",$D1072=""),"",ROUND($M1072*$N1072,0))</f>
        <v/>
      </c>
      <c r="P1072" s="48" t="str">
        <f>IF($AC1072&gt;0,IF(ISNUMBER(INDEX(CASHBACK_RULES!$J$5:$J$304,$AC1072)),INDEX(CASHBACK_RULES!$J$5:$J$304,$AC1072),"∞"),"")</f>
        <v/>
      </c>
      <c r="Q1072" s="48" t="str">
        <f>IF(OR($B1072="",$D1072=""),"",IF($AC1072=0,0,MAX(0,MIN($O1072,IF(ISNUMBER($P1072),$P1072-$AF1072,1E+15),IF(ISNUMBER($AA1072),$AA1072-$AG1072,1E+15)))))</f>
        <v/>
      </c>
      <c r="R1072" s="48" t="str">
        <f>IF(OR($B1072="",$D1072=""),"",IF($AC1072=0,"",IF(AND(NOT(ISNUMBER($P1072)),NOT(ISNUMBER($AA1072))),"∞",MAX(0,MIN(IF(ISNUMBER($P1072),$P1072-$AF1072-$Q1072,1E+15),IF(ISNUMBER($AA1072),$AA1072-$AG1072-$Q1072,1E+15))))))</f>
        <v/>
      </c>
      <c r="S1072" s="47" t="str">
        <f>IF($AD1072="","",YEAR($AD1072)*100+MONTH($AD1072))</f>
        <v/>
      </c>
      <c r="T1072" s="50" t="str">
        <f>IF($AD1072="","",IFERROR(IF(INDEX(CARDS!$I$5:$I$34,MATCH($D1072,CARDS!$A$5:$A$34,0))="","",IF(INDEX(CARDS!$I$5:$I$34,MATCH($D1072,CARDS!$A$5:$A$34,0))&gt;INDEX(CARDS!$H$5:$H$34,MATCH($D1072,CARDS!$A$5:$A$34,0)),DATE(YEAR($AD1072),MONTH($AD1072),MIN(INDEX(CARDS!$I$5:$I$34,MATCH($D1072,CARDS!$A$5:$A$34,0)),DAY(EOMONTH($AD1072,0)))),DATE(YEAR($AD1072),MONTH($AD1072)+1,MIN(INDEX(CARDS!$I$5:$I$34,MATCH($D1072,CARDS!$A$5:$A$34,0)),DAY(EOMONTH($AD1072,1)))))),""))</f>
        <v/>
      </c>
      <c r="U1072" s="38" t="n"/>
      <c r="V1072" s="37" t="n"/>
      <c r="W1072" s="38" t="n"/>
      <c r="X1072" s="38" t="n"/>
      <c r="Y1072" s="44" t="str">
        <f>IF($AC1072&gt;0,INDEX(CASHBACK_RULES!$A$5:$A$304,$AC1072),"")</f>
        <v/>
      </c>
      <c r="Z1072" s="45" t="str">
        <f>IF($AC1072&gt;0,INDEX(CASHBACK_RULES!$E$5:$E$304,$AC1072)&amp;"","")</f>
        <v/>
      </c>
      <c r="AA1072" s="48" t="str">
        <f>IF($AC1072&gt;0,IF(ISNUMBER(INDEX(CASHBACK_RULES!$K$5:$K$304,$AC1072)),INDEX(CASHBACK_RULES!$K$5:$K$304,$AC1072),"∞"),"")</f>
        <v/>
      </c>
      <c r="AB1072" s="44" t="str">
        <f>IF(OR($B1072="",$D1072=""),"",IF($U1072="Cancelled","Đã hủy",IF($AC1072=0,"Không được hoàn",IF($Q1072=0,IF(OR($O1072&gt;0,$M1072&lt;$L1072),"Đã đạt cap","Không được hoàn"),IF(OR($Q1072&lt;$O1072,$M1072&lt;$L1072),"Hoàn một phần","Được hoàn")))))</f>
        <v/>
      </c>
      <c r="AC1072" s="43">
        <f>IF(OR($B1072="",$D1072="",$I1072="",$L1072=""),0,IF($U1072="Cancelled",0,IF($W1072&lt;&gt;"",IFERROR(IF(INDEX(CASHBACK_RULES!$B$5:$B$304,MATCH($W1072,CASHBACK_RULES!$A$5:$A$304,0))=$D1072,MATCH($W1072,CASHBACK_RULES!$A$5:$A$304,0),0),0),IFERROR(MATCH(1,INDEX((CASHBACK_RULES!$B$5:$B$304=$D1072)*(CASHBACK_RULES!$G$5:$G$304=$I1072)*(((CASHBACK_RULES!$N$5:$N$304="")+(CASHBACK_RULES!$N$5:$N$304&lt;=$B1072))&gt;0)*(((CASHBACK_RULES!$O$5:$O$304="")+(CASHBACK_RULES!$O$5:$O$304&gt;=$B1072))&gt;0)*(((CASHBACK_RULES!$M$5:$M$304="")+(CASHBACK_RULES!$M$5:$M$304&lt;=$L1072))&gt;0),0),0),0))))</f>
        <v>0</v>
      </c>
      <c r="AD1072" s="51" t="str">
        <f>IF(OR($B1072="",$D1072=""),"",IFERROR(IF(INDEX(CARDS!$H$5:$H$34,MATCH($D1072,CARDS!$A$5:$A$34,0))="","",IF(DAY($B1072)&lt;=INDEX(CARDS!$H$5:$H$34,MATCH($D1072,CARDS!$A$5:$A$34,0)),DATE(YEAR($B1072),MONTH($B1072),MIN(INDEX(CARDS!$H$5:$H$34,MATCH($D1072,CARDS!$A$5:$A$34,0)),DAY(EOMONTH($B1072,0)))),DATE(YEAR($B1072),MONTH($B1072)+1,MIN(INDEX(CARDS!$H$5:$H$34,MATCH($D1072,CARDS!$A$5:$A$34,0)),DAY(EOMONTH($B1072,1)))))),""))</f>
        <v/>
      </c>
      <c r="AE1072" s="52" t="str">
        <f>IF($C1072="","",$C1072&amp;"|"&amp;COUNTIF($C$5:$C1072,$C1072))</f>
        <v/>
      </c>
      <c r="AF1072" s="53">
        <f>IF($AC1072&gt;0,SUMIFS(Q$4:Q1071,$D$4:$D1071,$D1072,$Z$4:$Z1071,$Z1072,$C$4:$C1071,$C1072),0)</f>
        <v>0</v>
      </c>
      <c r="AG1072" s="53">
        <f>IF($AC1072&gt;0,SUMIFS(Q$4:Q1071,$D$4:$D1071,$D1072,$C$4:$C1071,$C1072),0)</f>
        <v>0</v>
      </c>
      <c r="AH1072" s="53">
        <f>IF($AC1072&gt;0,SUMIFS(M$4:M1071,$D$4:$D1071,$D1072,$Z$4:$Z1071,$Z1072,$C$4:$C1071,$C1072),0)</f>
        <v>0</v>
      </c>
      <c r="AI1072" s="43">
        <f>IF(OR($C1072="",$I1072=""),0,IF(COUNTIFS($C$5:$C1072,$C1072,$I$5:$I1072,$I1072)=1,1,0))</f>
        <v>0</v>
      </c>
      <c r="AJ1072" s="43" t="str">
        <f>IF($AI1072=1,SUMIFS($AI$4:$AI1071,$C$4:$C1071,$C1072)+1,"")</f>
        <v/>
      </c>
      <c r="AK1072" s="43">
        <f>IF(OR($C1072="",$K1072=""),0,IF(COUNTIFS($C$5:$C1072,$C1072,$K$5:$K1072,$K1072)=1,1,0))</f>
        <v>0</v>
      </c>
      <c r="AL1072" s="43" t="str">
        <f>IF($AK1072=1,SUMIFS($AK$4:$AK1071,$C$4:$C1071,$C1072)+1,"")</f>
        <v/>
      </c>
      <c r="AM1072" s="43">
        <f>IF(OR($C1072="",$G1072=""),0,IF(COUNTIFS($C$5:$C1072,$C1072,$G$5:$G1072,$G1072)=1,1,0))</f>
        <v>0</v>
      </c>
      <c r="AN1072" s="43" t="str">
        <f>IF($AM1072=1,SUMIFS($AM$4:$AM1071,$C$4:$C1071,$C1072)+1,"")</f>
        <v/>
      </c>
    </row>
    <row r="1073">
      <c r="A1073" s="44" t="str">
        <f>IF(OR($B1073="",$D1073=""),"","TX"&amp;TEXT(ROW()-4,"0000"))</f>
        <v/>
      </c>
      <c r="B1073" s="42" t="n"/>
      <c r="C1073" s="47" t="str">
        <f>IF($B1073="","",YEAR($B1073)*100+MONTH($B1073))</f>
        <v/>
      </c>
      <c r="D1073" s="37" t="n"/>
      <c r="E1073" s="45" t="str">
        <f>IF($D1073="","",IFERROR(INDEX(CARDS!$B$5:$B$34,MATCH($D1073,CARDS!$A$5:$A$34,0)),"⚠ Card ID?"))</f>
        <v/>
      </c>
      <c r="F1073" s="45" t="str">
        <f>IF($D1073="","",IFERROR(INDEX(CARDS!$C$5:$C$34,MATCH($D1073,CARDS!$A$5:$A$34,0)),"⚠ Card ID?"))</f>
        <v/>
      </c>
      <c r="G1073" s="37" t="n"/>
      <c r="H1073" s="37" t="n"/>
      <c r="I1073" s="41" t="n"/>
      <c r="J1073" s="45" t="str">
        <f>IF($I1073="","",IFERROR(INDEX(MCC_MASTER!$B$5:$B$504,MATCH($I1073,MCC_MASTER!$A$5:$A$504,0)),"⚠ MCC chưa có"))</f>
        <v/>
      </c>
      <c r="K1073" s="45" t="str">
        <f>IF($I1073="","",IFERROR(IF(INDEX(MCC_MASTER!$C$5:$C$504,MATCH($I1073,MCC_MASTER!$A$5:$A$504,0))="","Chưa phân loại",INDEX(MCC_MASTER!$C$5:$C$504,MATCH($I1073,MCC_MASTER!$A$5:$A$504,0))),"Chưa phân loại"))</f>
        <v/>
      </c>
      <c r="L1073" s="40" t="n"/>
      <c r="M1073" s="48" t="str">
        <f>IF(OR($B1073="",$D1073=""),"",IF($AC1073=0,0,IF(ISNUMBER(INDEX(CASHBACK_RULES!$L$5:$L$304,$AC1073)),MAX(0,MIN($L1073,INDEX(CASHBACK_RULES!$L$5:$L$304,$AC1073)-$AH1073)),MAX(0,$L1073))))</f>
        <v/>
      </c>
      <c r="N1073" s="49" t="str">
        <f>IF(OR($B1073="",$D1073=""),"",IF($AC1073&gt;0,INDEX(CASHBACK_RULES!$I$5:$I$304,$AC1073),0))</f>
        <v/>
      </c>
      <c r="O1073" s="48" t="str">
        <f>IF(OR($B1073="",$D1073=""),"",ROUND($M1073*$N1073,0))</f>
        <v/>
      </c>
      <c r="P1073" s="48" t="str">
        <f>IF($AC1073&gt;0,IF(ISNUMBER(INDEX(CASHBACK_RULES!$J$5:$J$304,$AC1073)),INDEX(CASHBACK_RULES!$J$5:$J$304,$AC1073),"∞"),"")</f>
        <v/>
      </c>
      <c r="Q1073" s="48" t="str">
        <f>IF(OR($B1073="",$D1073=""),"",IF($AC1073=0,0,MAX(0,MIN($O1073,IF(ISNUMBER($P1073),$P1073-$AF1073,1E+15),IF(ISNUMBER($AA1073),$AA1073-$AG1073,1E+15)))))</f>
        <v/>
      </c>
      <c r="R1073" s="48" t="str">
        <f>IF(OR($B1073="",$D1073=""),"",IF($AC1073=0,"",IF(AND(NOT(ISNUMBER($P1073)),NOT(ISNUMBER($AA1073))),"∞",MAX(0,MIN(IF(ISNUMBER($P1073),$P1073-$AF1073-$Q1073,1E+15),IF(ISNUMBER($AA1073),$AA1073-$AG1073-$Q1073,1E+15))))))</f>
        <v/>
      </c>
      <c r="S1073" s="47" t="str">
        <f>IF($AD1073="","",YEAR($AD1073)*100+MONTH($AD1073))</f>
        <v/>
      </c>
      <c r="T1073" s="50" t="str">
        <f>IF($AD1073="","",IFERROR(IF(INDEX(CARDS!$I$5:$I$34,MATCH($D1073,CARDS!$A$5:$A$34,0))="","",IF(INDEX(CARDS!$I$5:$I$34,MATCH($D1073,CARDS!$A$5:$A$34,0))&gt;INDEX(CARDS!$H$5:$H$34,MATCH($D1073,CARDS!$A$5:$A$34,0)),DATE(YEAR($AD1073),MONTH($AD1073),MIN(INDEX(CARDS!$I$5:$I$34,MATCH($D1073,CARDS!$A$5:$A$34,0)),DAY(EOMONTH($AD1073,0)))),DATE(YEAR($AD1073),MONTH($AD1073)+1,MIN(INDEX(CARDS!$I$5:$I$34,MATCH($D1073,CARDS!$A$5:$A$34,0)),DAY(EOMONTH($AD1073,1)))))),""))</f>
        <v/>
      </c>
      <c r="U1073" s="38" t="n"/>
      <c r="V1073" s="37" t="n"/>
      <c r="W1073" s="38" t="n"/>
      <c r="X1073" s="38" t="n"/>
      <c r="Y1073" s="44" t="str">
        <f>IF($AC1073&gt;0,INDEX(CASHBACK_RULES!$A$5:$A$304,$AC1073),"")</f>
        <v/>
      </c>
      <c r="Z1073" s="45" t="str">
        <f>IF($AC1073&gt;0,INDEX(CASHBACK_RULES!$E$5:$E$304,$AC1073)&amp;"","")</f>
        <v/>
      </c>
      <c r="AA1073" s="48" t="str">
        <f>IF($AC1073&gt;0,IF(ISNUMBER(INDEX(CASHBACK_RULES!$K$5:$K$304,$AC1073)),INDEX(CASHBACK_RULES!$K$5:$K$304,$AC1073),"∞"),"")</f>
        <v/>
      </c>
      <c r="AB1073" s="44" t="str">
        <f>IF(OR($B1073="",$D1073=""),"",IF($U1073="Cancelled","Đã hủy",IF($AC1073=0,"Không được hoàn",IF($Q1073=0,IF(OR($O1073&gt;0,$M1073&lt;$L1073),"Đã đạt cap","Không được hoàn"),IF(OR($Q1073&lt;$O1073,$M1073&lt;$L1073),"Hoàn một phần","Được hoàn")))))</f>
        <v/>
      </c>
      <c r="AC1073" s="43">
        <f>IF(OR($B1073="",$D1073="",$I1073="",$L1073=""),0,IF($U1073="Cancelled",0,IF($W1073&lt;&gt;"",IFERROR(IF(INDEX(CASHBACK_RULES!$B$5:$B$304,MATCH($W1073,CASHBACK_RULES!$A$5:$A$304,0))=$D1073,MATCH($W1073,CASHBACK_RULES!$A$5:$A$304,0),0),0),IFERROR(MATCH(1,INDEX((CASHBACK_RULES!$B$5:$B$304=$D1073)*(CASHBACK_RULES!$G$5:$G$304=$I1073)*(((CASHBACK_RULES!$N$5:$N$304="")+(CASHBACK_RULES!$N$5:$N$304&lt;=$B1073))&gt;0)*(((CASHBACK_RULES!$O$5:$O$304="")+(CASHBACK_RULES!$O$5:$O$304&gt;=$B1073))&gt;0)*(((CASHBACK_RULES!$M$5:$M$304="")+(CASHBACK_RULES!$M$5:$M$304&lt;=$L1073))&gt;0),0),0),0))))</f>
        <v>0</v>
      </c>
      <c r="AD1073" s="51" t="str">
        <f>IF(OR($B1073="",$D1073=""),"",IFERROR(IF(INDEX(CARDS!$H$5:$H$34,MATCH($D1073,CARDS!$A$5:$A$34,0))="","",IF(DAY($B1073)&lt;=INDEX(CARDS!$H$5:$H$34,MATCH($D1073,CARDS!$A$5:$A$34,0)),DATE(YEAR($B1073),MONTH($B1073),MIN(INDEX(CARDS!$H$5:$H$34,MATCH($D1073,CARDS!$A$5:$A$34,0)),DAY(EOMONTH($B1073,0)))),DATE(YEAR($B1073),MONTH($B1073)+1,MIN(INDEX(CARDS!$H$5:$H$34,MATCH($D1073,CARDS!$A$5:$A$34,0)),DAY(EOMONTH($B1073,1)))))),""))</f>
        <v/>
      </c>
      <c r="AE1073" s="52" t="str">
        <f>IF($C1073="","",$C1073&amp;"|"&amp;COUNTIF($C$5:$C1073,$C1073))</f>
        <v/>
      </c>
      <c r="AF1073" s="53">
        <f>IF($AC1073&gt;0,SUMIFS(Q$4:Q1072,$D$4:$D1072,$D1073,$Z$4:$Z1072,$Z1073,$C$4:$C1072,$C1073),0)</f>
        <v>0</v>
      </c>
      <c r="AG1073" s="53">
        <f>IF($AC1073&gt;0,SUMIFS(Q$4:Q1072,$D$4:$D1072,$D1073,$C$4:$C1072,$C1073),0)</f>
        <v>0</v>
      </c>
      <c r="AH1073" s="53">
        <f>IF($AC1073&gt;0,SUMIFS(M$4:M1072,$D$4:$D1072,$D1073,$Z$4:$Z1072,$Z1073,$C$4:$C1072,$C1073),0)</f>
        <v>0</v>
      </c>
      <c r="AI1073" s="43">
        <f>IF(OR($C1073="",$I1073=""),0,IF(COUNTIFS($C$5:$C1073,$C1073,$I$5:$I1073,$I1073)=1,1,0))</f>
        <v>0</v>
      </c>
      <c r="AJ1073" s="43" t="str">
        <f>IF($AI1073=1,SUMIFS($AI$4:$AI1072,$C$4:$C1072,$C1073)+1,"")</f>
        <v/>
      </c>
      <c r="AK1073" s="43">
        <f>IF(OR($C1073="",$K1073=""),0,IF(COUNTIFS($C$5:$C1073,$C1073,$K$5:$K1073,$K1073)=1,1,0))</f>
        <v>0</v>
      </c>
      <c r="AL1073" s="43" t="str">
        <f>IF($AK1073=1,SUMIFS($AK$4:$AK1072,$C$4:$C1072,$C1073)+1,"")</f>
        <v/>
      </c>
      <c r="AM1073" s="43">
        <f>IF(OR($C1073="",$G1073=""),0,IF(COUNTIFS($C$5:$C1073,$C1073,$G$5:$G1073,$G1073)=1,1,0))</f>
        <v>0</v>
      </c>
      <c r="AN1073" s="43" t="str">
        <f>IF($AM1073=1,SUMIFS($AM$4:$AM1072,$C$4:$C1072,$C1073)+1,"")</f>
        <v/>
      </c>
    </row>
    <row r="1074">
      <c r="A1074" s="44" t="str">
        <f>IF(OR($B1074="",$D1074=""),"","TX"&amp;TEXT(ROW()-4,"0000"))</f>
        <v/>
      </c>
      <c r="B1074" s="42" t="n"/>
      <c r="C1074" s="47" t="str">
        <f>IF($B1074="","",YEAR($B1074)*100+MONTH($B1074))</f>
        <v/>
      </c>
      <c r="D1074" s="37" t="n"/>
      <c r="E1074" s="45" t="str">
        <f>IF($D1074="","",IFERROR(INDEX(CARDS!$B$5:$B$34,MATCH($D1074,CARDS!$A$5:$A$34,0)),"⚠ Card ID?"))</f>
        <v/>
      </c>
      <c r="F1074" s="45" t="str">
        <f>IF($D1074="","",IFERROR(INDEX(CARDS!$C$5:$C$34,MATCH($D1074,CARDS!$A$5:$A$34,0)),"⚠ Card ID?"))</f>
        <v/>
      </c>
      <c r="G1074" s="37" t="n"/>
      <c r="H1074" s="37" t="n"/>
      <c r="I1074" s="41" t="n"/>
      <c r="J1074" s="45" t="str">
        <f>IF($I1074="","",IFERROR(INDEX(MCC_MASTER!$B$5:$B$504,MATCH($I1074,MCC_MASTER!$A$5:$A$504,0)),"⚠ MCC chưa có"))</f>
        <v/>
      </c>
      <c r="K1074" s="45" t="str">
        <f>IF($I1074="","",IFERROR(IF(INDEX(MCC_MASTER!$C$5:$C$504,MATCH($I1074,MCC_MASTER!$A$5:$A$504,0))="","Chưa phân loại",INDEX(MCC_MASTER!$C$5:$C$504,MATCH($I1074,MCC_MASTER!$A$5:$A$504,0))),"Chưa phân loại"))</f>
        <v/>
      </c>
      <c r="L1074" s="40" t="n"/>
      <c r="M1074" s="48" t="str">
        <f>IF(OR($B1074="",$D1074=""),"",IF($AC1074=0,0,IF(ISNUMBER(INDEX(CASHBACK_RULES!$L$5:$L$304,$AC1074)),MAX(0,MIN($L1074,INDEX(CASHBACK_RULES!$L$5:$L$304,$AC1074)-$AH1074)),MAX(0,$L1074))))</f>
        <v/>
      </c>
      <c r="N1074" s="49" t="str">
        <f>IF(OR($B1074="",$D1074=""),"",IF($AC1074&gt;0,INDEX(CASHBACK_RULES!$I$5:$I$304,$AC1074),0))</f>
        <v/>
      </c>
      <c r="O1074" s="48" t="str">
        <f>IF(OR($B1074="",$D1074=""),"",ROUND($M1074*$N1074,0))</f>
        <v/>
      </c>
      <c r="P1074" s="48" t="str">
        <f>IF($AC1074&gt;0,IF(ISNUMBER(INDEX(CASHBACK_RULES!$J$5:$J$304,$AC1074)),INDEX(CASHBACK_RULES!$J$5:$J$304,$AC1074),"∞"),"")</f>
        <v/>
      </c>
      <c r="Q1074" s="48" t="str">
        <f>IF(OR($B1074="",$D1074=""),"",IF($AC1074=0,0,MAX(0,MIN($O1074,IF(ISNUMBER($P1074),$P1074-$AF1074,1E+15),IF(ISNUMBER($AA1074),$AA1074-$AG1074,1E+15)))))</f>
        <v/>
      </c>
      <c r="R1074" s="48" t="str">
        <f>IF(OR($B1074="",$D1074=""),"",IF($AC1074=0,"",IF(AND(NOT(ISNUMBER($P1074)),NOT(ISNUMBER($AA1074))),"∞",MAX(0,MIN(IF(ISNUMBER($P1074),$P1074-$AF1074-$Q1074,1E+15),IF(ISNUMBER($AA1074),$AA1074-$AG1074-$Q1074,1E+15))))))</f>
        <v/>
      </c>
      <c r="S1074" s="47" t="str">
        <f>IF($AD1074="","",YEAR($AD1074)*100+MONTH($AD1074))</f>
        <v/>
      </c>
      <c r="T1074" s="50" t="str">
        <f>IF($AD1074="","",IFERROR(IF(INDEX(CARDS!$I$5:$I$34,MATCH($D1074,CARDS!$A$5:$A$34,0))="","",IF(INDEX(CARDS!$I$5:$I$34,MATCH($D1074,CARDS!$A$5:$A$34,0))&gt;INDEX(CARDS!$H$5:$H$34,MATCH($D1074,CARDS!$A$5:$A$34,0)),DATE(YEAR($AD1074),MONTH($AD1074),MIN(INDEX(CARDS!$I$5:$I$34,MATCH($D1074,CARDS!$A$5:$A$34,0)),DAY(EOMONTH($AD1074,0)))),DATE(YEAR($AD1074),MONTH($AD1074)+1,MIN(INDEX(CARDS!$I$5:$I$34,MATCH($D1074,CARDS!$A$5:$A$34,0)),DAY(EOMONTH($AD1074,1)))))),""))</f>
        <v/>
      </c>
      <c r="U1074" s="38" t="n"/>
      <c r="V1074" s="37" t="n"/>
      <c r="W1074" s="38" t="n"/>
      <c r="X1074" s="38" t="n"/>
      <c r="Y1074" s="44" t="str">
        <f>IF($AC1074&gt;0,INDEX(CASHBACK_RULES!$A$5:$A$304,$AC1074),"")</f>
        <v/>
      </c>
      <c r="Z1074" s="45" t="str">
        <f>IF($AC1074&gt;0,INDEX(CASHBACK_RULES!$E$5:$E$304,$AC1074)&amp;"","")</f>
        <v/>
      </c>
      <c r="AA1074" s="48" t="str">
        <f>IF($AC1074&gt;0,IF(ISNUMBER(INDEX(CASHBACK_RULES!$K$5:$K$304,$AC1074)),INDEX(CASHBACK_RULES!$K$5:$K$304,$AC1074),"∞"),"")</f>
        <v/>
      </c>
      <c r="AB1074" s="44" t="str">
        <f>IF(OR($B1074="",$D1074=""),"",IF($U1074="Cancelled","Đã hủy",IF($AC1074=0,"Không được hoàn",IF($Q1074=0,IF(OR($O1074&gt;0,$M1074&lt;$L1074),"Đã đạt cap","Không được hoàn"),IF(OR($Q1074&lt;$O1074,$M1074&lt;$L1074),"Hoàn một phần","Được hoàn")))))</f>
        <v/>
      </c>
      <c r="AC1074" s="43">
        <f>IF(OR($B1074="",$D1074="",$I1074="",$L1074=""),0,IF($U1074="Cancelled",0,IF($W1074&lt;&gt;"",IFERROR(IF(INDEX(CASHBACK_RULES!$B$5:$B$304,MATCH($W1074,CASHBACK_RULES!$A$5:$A$304,0))=$D1074,MATCH($W1074,CASHBACK_RULES!$A$5:$A$304,0),0),0),IFERROR(MATCH(1,INDEX((CASHBACK_RULES!$B$5:$B$304=$D1074)*(CASHBACK_RULES!$G$5:$G$304=$I1074)*(((CASHBACK_RULES!$N$5:$N$304="")+(CASHBACK_RULES!$N$5:$N$304&lt;=$B1074))&gt;0)*(((CASHBACK_RULES!$O$5:$O$304="")+(CASHBACK_RULES!$O$5:$O$304&gt;=$B1074))&gt;0)*(((CASHBACK_RULES!$M$5:$M$304="")+(CASHBACK_RULES!$M$5:$M$304&lt;=$L1074))&gt;0),0),0),0))))</f>
        <v>0</v>
      </c>
      <c r="AD1074" s="51" t="str">
        <f>IF(OR($B1074="",$D1074=""),"",IFERROR(IF(INDEX(CARDS!$H$5:$H$34,MATCH($D1074,CARDS!$A$5:$A$34,0))="","",IF(DAY($B1074)&lt;=INDEX(CARDS!$H$5:$H$34,MATCH($D1074,CARDS!$A$5:$A$34,0)),DATE(YEAR($B1074),MONTH($B1074),MIN(INDEX(CARDS!$H$5:$H$34,MATCH($D1074,CARDS!$A$5:$A$34,0)),DAY(EOMONTH($B1074,0)))),DATE(YEAR($B1074),MONTH($B1074)+1,MIN(INDEX(CARDS!$H$5:$H$34,MATCH($D1074,CARDS!$A$5:$A$34,0)),DAY(EOMONTH($B1074,1)))))),""))</f>
        <v/>
      </c>
      <c r="AE1074" s="52" t="str">
        <f>IF($C1074="","",$C1074&amp;"|"&amp;COUNTIF($C$5:$C1074,$C1074))</f>
        <v/>
      </c>
      <c r="AF1074" s="53">
        <f>IF($AC1074&gt;0,SUMIFS(Q$4:Q1073,$D$4:$D1073,$D1074,$Z$4:$Z1073,$Z1074,$C$4:$C1073,$C1074),0)</f>
        <v>0</v>
      </c>
      <c r="AG1074" s="53">
        <f>IF($AC1074&gt;0,SUMIFS(Q$4:Q1073,$D$4:$D1073,$D1074,$C$4:$C1073,$C1074),0)</f>
        <v>0</v>
      </c>
      <c r="AH1074" s="53">
        <f>IF($AC1074&gt;0,SUMIFS(M$4:M1073,$D$4:$D1073,$D1074,$Z$4:$Z1073,$Z1074,$C$4:$C1073,$C1074),0)</f>
        <v>0</v>
      </c>
      <c r="AI1074" s="43">
        <f>IF(OR($C1074="",$I1074=""),0,IF(COUNTIFS($C$5:$C1074,$C1074,$I$5:$I1074,$I1074)=1,1,0))</f>
        <v>0</v>
      </c>
      <c r="AJ1074" s="43" t="str">
        <f>IF($AI1074=1,SUMIFS($AI$4:$AI1073,$C$4:$C1073,$C1074)+1,"")</f>
        <v/>
      </c>
      <c r="AK1074" s="43">
        <f>IF(OR($C1074="",$K1074=""),0,IF(COUNTIFS($C$5:$C1074,$C1074,$K$5:$K1074,$K1074)=1,1,0))</f>
        <v>0</v>
      </c>
      <c r="AL1074" s="43" t="str">
        <f>IF($AK1074=1,SUMIFS($AK$4:$AK1073,$C$4:$C1073,$C1074)+1,"")</f>
        <v/>
      </c>
      <c r="AM1074" s="43">
        <f>IF(OR($C1074="",$G1074=""),0,IF(COUNTIFS($C$5:$C1074,$C1074,$G$5:$G1074,$G1074)=1,1,0))</f>
        <v>0</v>
      </c>
      <c r="AN1074" s="43" t="str">
        <f>IF($AM1074=1,SUMIFS($AM$4:$AM1073,$C$4:$C1073,$C1074)+1,"")</f>
        <v/>
      </c>
    </row>
    <row r="1075">
      <c r="A1075" s="44" t="str">
        <f>IF(OR($B1075="",$D1075=""),"","TX"&amp;TEXT(ROW()-4,"0000"))</f>
        <v/>
      </c>
      <c r="B1075" s="42" t="n"/>
      <c r="C1075" s="47" t="str">
        <f>IF($B1075="","",YEAR($B1075)*100+MONTH($B1075))</f>
        <v/>
      </c>
      <c r="D1075" s="37" t="n"/>
      <c r="E1075" s="45" t="str">
        <f>IF($D1075="","",IFERROR(INDEX(CARDS!$B$5:$B$34,MATCH($D1075,CARDS!$A$5:$A$34,0)),"⚠ Card ID?"))</f>
        <v/>
      </c>
      <c r="F1075" s="45" t="str">
        <f>IF($D1075="","",IFERROR(INDEX(CARDS!$C$5:$C$34,MATCH($D1075,CARDS!$A$5:$A$34,0)),"⚠ Card ID?"))</f>
        <v/>
      </c>
      <c r="G1075" s="37" t="n"/>
      <c r="H1075" s="37" t="n"/>
      <c r="I1075" s="41" t="n"/>
      <c r="J1075" s="45" t="str">
        <f>IF($I1075="","",IFERROR(INDEX(MCC_MASTER!$B$5:$B$504,MATCH($I1075,MCC_MASTER!$A$5:$A$504,0)),"⚠ MCC chưa có"))</f>
        <v/>
      </c>
      <c r="K1075" s="45" t="str">
        <f>IF($I1075="","",IFERROR(IF(INDEX(MCC_MASTER!$C$5:$C$504,MATCH($I1075,MCC_MASTER!$A$5:$A$504,0))="","Chưa phân loại",INDEX(MCC_MASTER!$C$5:$C$504,MATCH($I1075,MCC_MASTER!$A$5:$A$504,0))),"Chưa phân loại"))</f>
        <v/>
      </c>
      <c r="L1075" s="40" t="n"/>
      <c r="M1075" s="48" t="str">
        <f>IF(OR($B1075="",$D1075=""),"",IF($AC1075=0,0,IF(ISNUMBER(INDEX(CASHBACK_RULES!$L$5:$L$304,$AC1075)),MAX(0,MIN($L1075,INDEX(CASHBACK_RULES!$L$5:$L$304,$AC1075)-$AH1075)),MAX(0,$L1075))))</f>
        <v/>
      </c>
      <c r="N1075" s="49" t="str">
        <f>IF(OR($B1075="",$D1075=""),"",IF($AC1075&gt;0,INDEX(CASHBACK_RULES!$I$5:$I$304,$AC1075),0))</f>
        <v/>
      </c>
      <c r="O1075" s="48" t="str">
        <f>IF(OR($B1075="",$D1075=""),"",ROUND($M1075*$N1075,0))</f>
        <v/>
      </c>
      <c r="P1075" s="48" t="str">
        <f>IF($AC1075&gt;0,IF(ISNUMBER(INDEX(CASHBACK_RULES!$J$5:$J$304,$AC1075)),INDEX(CASHBACK_RULES!$J$5:$J$304,$AC1075),"∞"),"")</f>
        <v/>
      </c>
      <c r="Q1075" s="48" t="str">
        <f>IF(OR($B1075="",$D1075=""),"",IF($AC1075=0,0,MAX(0,MIN($O1075,IF(ISNUMBER($P1075),$P1075-$AF1075,1E+15),IF(ISNUMBER($AA1075),$AA1075-$AG1075,1E+15)))))</f>
        <v/>
      </c>
      <c r="R1075" s="48" t="str">
        <f>IF(OR($B1075="",$D1075=""),"",IF($AC1075=0,"",IF(AND(NOT(ISNUMBER($P1075)),NOT(ISNUMBER($AA1075))),"∞",MAX(0,MIN(IF(ISNUMBER($P1075),$P1075-$AF1075-$Q1075,1E+15),IF(ISNUMBER($AA1075),$AA1075-$AG1075-$Q1075,1E+15))))))</f>
        <v/>
      </c>
      <c r="S1075" s="47" t="str">
        <f>IF($AD1075="","",YEAR($AD1075)*100+MONTH($AD1075))</f>
        <v/>
      </c>
      <c r="T1075" s="50" t="str">
        <f>IF($AD1075="","",IFERROR(IF(INDEX(CARDS!$I$5:$I$34,MATCH($D1075,CARDS!$A$5:$A$34,0))="","",IF(INDEX(CARDS!$I$5:$I$34,MATCH($D1075,CARDS!$A$5:$A$34,0))&gt;INDEX(CARDS!$H$5:$H$34,MATCH($D1075,CARDS!$A$5:$A$34,0)),DATE(YEAR($AD1075),MONTH($AD1075),MIN(INDEX(CARDS!$I$5:$I$34,MATCH($D1075,CARDS!$A$5:$A$34,0)),DAY(EOMONTH($AD1075,0)))),DATE(YEAR($AD1075),MONTH($AD1075)+1,MIN(INDEX(CARDS!$I$5:$I$34,MATCH($D1075,CARDS!$A$5:$A$34,0)),DAY(EOMONTH($AD1075,1)))))),""))</f>
        <v/>
      </c>
      <c r="U1075" s="38" t="n"/>
      <c r="V1075" s="37" t="n"/>
      <c r="W1075" s="38" t="n"/>
      <c r="X1075" s="38" t="n"/>
      <c r="Y1075" s="44" t="str">
        <f>IF($AC1075&gt;0,INDEX(CASHBACK_RULES!$A$5:$A$304,$AC1075),"")</f>
        <v/>
      </c>
      <c r="Z1075" s="45" t="str">
        <f>IF($AC1075&gt;0,INDEX(CASHBACK_RULES!$E$5:$E$304,$AC1075)&amp;"","")</f>
        <v/>
      </c>
      <c r="AA1075" s="48" t="str">
        <f>IF($AC1075&gt;0,IF(ISNUMBER(INDEX(CASHBACK_RULES!$K$5:$K$304,$AC1075)),INDEX(CASHBACK_RULES!$K$5:$K$304,$AC1075),"∞"),"")</f>
        <v/>
      </c>
      <c r="AB1075" s="44" t="str">
        <f>IF(OR($B1075="",$D1075=""),"",IF($U1075="Cancelled","Đã hủy",IF($AC1075=0,"Không được hoàn",IF($Q1075=0,IF(OR($O1075&gt;0,$M1075&lt;$L1075),"Đã đạt cap","Không được hoàn"),IF(OR($Q1075&lt;$O1075,$M1075&lt;$L1075),"Hoàn một phần","Được hoàn")))))</f>
        <v/>
      </c>
      <c r="AC1075" s="43">
        <f>IF(OR($B1075="",$D1075="",$I1075="",$L1075=""),0,IF($U1075="Cancelled",0,IF($W1075&lt;&gt;"",IFERROR(IF(INDEX(CASHBACK_RULES!$B$5:$B$304,MATCH($W1075,CASHBACK_RULES!$A$5:$A$304,0))=$D1075,MATCH($W1075,CASHBACK_RULES!$A$5:$A$304,0),0),0),IFERROR(MATCH(1,INDEX((CASHBACK_RULES!$B$5:$B$304=$D1075)*(CASHBACK_RULES!$G$5:$G$304=$I1075)*(((CASHBACK_RULES!$N$5:$N$304="")+(CASHBACK_RULES!$N$5:$N$304&lt;=$B1075))&gt;0)*(((CASHBACK_RULES!$O$5:$O$304="")+(CASHBACK_RULES!$O$5:$O$304&gt;=$B1075))&gt;0)*(((CASHBACK_RULES!$M$5:$M$304="")+(CASHBACK_RULES!$M$5:$M$304&lt;=$L1075))&gt;0),0),0),0))))</f>
        <v>0</v>
      </c>
      <c r="AD1075" s="51" t="str">
        <f>IF(OR($B1075="",$D1075=""),"",IFERROR(IF(INDEX(CARDS!$H$5:$H$34,MATCH($D1075,CARDS!$A$5:$A$34,0))="","",IF(DAY($B1075)&lt;=INDEX(CARDS!$H$5:$H$34,MATCH($D1075,CARDS!$A$5:$A$34,0)),DATE(YEAR($B1075),MONTH($B1075),MIN(INDEX(CARDS!$H$5:$H$34,MATCH($D1075,CARDS!$A$5:$A$34,0)),DAY(EOMONTH($B1075,0)))),DATE(YEAR($B1075),MONTH($B1075)+1,MIN(INDEX(CARDS!$H$5:$H$34,MATCH($D1075,CARDS!$A$5:$A$34,0)),DAY(EOMONTH($B1075,1)))))),""))</f>
        <v/>
      </c>
      <c r="AE1075" s="52" t="str">
        <f>IF($C1075="","",$C1075&amp;"|"&amp;COUNTIF($C$5:$C1075,$C1075))</f>
        <v/>
      </c>
      <c r="AF1075" s="53">
        <f>IF($AC1075&gt;0,SUMIFS(Q$4:Q1074,$D$4:$D1074,$D1075,$Z$4:$Z1074,$Z1075,$C$4:$C1074,$C1075),0)</f>
        <v>0</v>
      </c>
      <c r="AG1075" s="53">
        <f>IF($AC1075&gt;0,SUMIFS(Q$4:Q1074,$D$4:$D1074,$D1075,$C$4:$C1074,$C1075),0)</f>
        <v>0</v>
      </c>
      <c r="AH1075" s="53">
        <f>IF($AC1075&gt;0,SUMIFS(M$4:M1074,$D$4:$D1074,$D1075,$Z$4:$Z1074,$Z1075,$C$4:$C1074,$C1075),0)</f>
        <v>0</v>
      </c>
      <c r="AI1075" s="43">
        <f>IF(OR($C1075="",$I1075=""),0,IF(COUNTIFS($C$5:$C1075,$C1075,$I$5:$I1075,$I1075)=1,1,0))</f>
        <v>0</v>
      </c>
      <c r="AJ1075" s="43" t="str">
        <f>IF($AI1075=1,SUMIFS($AI$4:$AI1074,$C$4:$C1074,$C1075)+1,"")</f>
        <v/>
      </c>
      <c r="AK1075" s="43">
        <f>IF(OR($C1075="",$K1075=""),0,IF(COUNTIFS($C$5:$C1075,$C1075,$K$5:$K1075,$K1075)=1,1,0))</f>
        <v>0</v>
      </c>
      <c r="AL1075" s="43" t="str">
        <f>IF($AK1075=1,SUMIFS($AK$4:$AK1074,$C$4:$C1074,$C1075)+1,"")</f>
        <v/>
      </c>
      <c r="AM1075" s="43">
        <f>IF(OR($C1075="",$G1075=""),0,IF(COUNTIFS($C$5:$C1075,$C1075,$G$5:$G1075,$G1075)=1,1,0))</f>
        <v>0</v>
      </c>
      <c r="AN1075" s="43" t="str">
        <f>IF($AM1075=1,SUMIFS($AM$4:$AM1074,$C$4:$C1074,$C1075)+1,"")</f>
        <v/>
      </c>
    </row>
    <row r="1076">
      <c r="A1076" s="44" t="str">
        <f>IF(OR($B1076="",$D1076=""),"","TX"&amp;TEXT(ROW()-4,"0000"))</f>
        <v/>
      </c>
      <c r="B1076" s="42" t="n"/>
      <c r="C1076" s="47" t="str">
        <f>IF($B1076="","",YEAR($B1076)*100+MONTH($B1076))</f>
        <v/>
      </c>
      <c r="D1076" s="37" t="n"/>
      <c r="E1076" s="45" t="str">
        <f>IF($D1076="","",IFERROR(INDEX(CARDS!$B$5:$B$34,MATCH($D1076,CARDS!$A$5:$A$34,0)),"⚠ Card ID?"))</f>
        <v/>
      </c>
      <c r="F1076" s="45" t="str">
        <f>IF($D1076="","",IFERROR(INDEX(CARDS!$C$5:$C$34,MATCH($D1076,CARDS!$A$5:$A$34,0)),"⚠ Card ID?"))</f>
        <v/>
      </c>
      <c r="G1076" s="37" t="n"/>
      <c r="H1076" s="37" t="n"/>
      <c r="I1076" s="41" t="n"/>
      <c r="J1076" s="45" t="str">
        <f>IF($I1076="","",IFERROR(INDEX(MCC_MASTER!$B$5:$B$504,MATCH($I1076,MCC_MASTER!$A$5:$A$504,0)),"⚠ MCC chưa có"))</f>
        <v/>
      </c>
      <c r="K1076" s="45" t="str">
        <f>IF($I1076="","",IFERROR(IF(INDEX(MCC_MASTER!$C$5:$C$504,MATCH($I1076,MCC_MASTER!$A$5:$A$504,0))="","Chưa phân loại",INDEX(MCC_MASTER!$C$5:$C$504,MATCH($I1076,MCC_MASTER!$A$5:$A$504,0))),"Chưa phân loại"))</f>
        <v/>
      </c>
      <c r="L1076" s="40" t="n"/>
      <c r="M1076" s="48" t="str">
        <f>IF(OR($B1076="",$D1076=""),"",IF($AC1076=0,0,IF(ISNUMBER(INDEX(CASHBACK_RULES!$L$5:$L$304,$AC1076)),MAX(0,MIN($L1076,INDEX(CASHBACK_RULES!$L$5:$L$304,$AC1076)-$AH1076)),MAX(0,$L1076))))</f>
        <v/>
      </c>
      <c r="N1076" s="49" t="str">
        <f>IF(OR($B1076="",$D1076=""),"",IF($AC1076&gt;0,INDEX(CASHBACK_RULES!$I$5:$I$304,$AC1076),0))</f>
        <v/>
      </c>
      <c r="O1076" s="48" t="str">
        <f>IF(OR($B1076="",$D1076=""),"",ROUND($M1076*$N1076,0))</f>
        <v/>
      </c>
      <c r="P1076" s="48" t="str">
        <f>IF($AC1076&gt;0,IF(ISNUMBER(INDEX(CASHBACK_RULES!$J$5:$J$304,$AC1076)),INDEX(CASHBACK_RULES!$J$5:$J$304,$AC1076),"∞"),"")</f>
        <v/>
      </c>
      <c r="Q1076" s="48" t="str">
        <f>IF(OR($B1076="",$D1076=""),"",IF($AC1076=0,0,MAX(0,MIN($O1076,IF(ISNUMBER($P1076),$P1076-$AF1076,1E+15),IF(ISNUMBER($AA1076),$AA1076-$AG1076,1E+15)))))</f>
        <v/>
      </c>
      <c r="R1076" s="48" t="str">
        <f>IF(OR($B1076="",$D1076=""),"",IF($AC1076=0,"",IF(AND(NOT(ISNUMBER($P1076)),NOT(ISNUMBER($AA1076))),"∞",MAX(0,MIN(IF(ISNUMBER($P1076),$P1076-$AF1076-$Q1076,1E+15),IF(ISNUMBER($AA1076),$AA1076-$AG1076-$Q1076,1E+15))))))</f>
        <v/>
      </c>
      <c r="S1076" s="47" t="str">
        <f>IF($AD1076="","",YEAR($AD1076)*100+MONTH($AD1076))</f>
        <v/>
      </c>
      <c r="T1076" s="50" t="str">
        <f>IF($AD1076="","",IFERROR(IF(INDEX(CARDS!$I$5:$I$34,MATCH($D1076,CARDS!$A$5:$A$34,0))="","",IF(INDEX(CARDS!$I$5:$I$34,MATCH($D1076,CARDS!$A$5:$A$34,0))&gt;INDEX(CARDS!$H$5:$H$34,MATCH($D1076,CARDS!$A$5:$A$34,0)),DATE(YEAR($AD1076),MONTH($AD1076),MIN(INDEX(CARDS!$I$5:$I$34,MATCH($D1076,CARDS!$A$5:$A$34,0)),DAY(EOMONTH($AD1076,0)))),DATE(YEAR($AD1076),MONTH($AD1076)+1,MIN(INDEX(CARDS!$I$5:$I$34,MATCH($D1076,CARDS!$A$5:$A$34,0)),DAY(EOMONTH($AD1076,1)))))),""))</f>
        <v/>
      </c>
      <c r="U1076" s="38" t="n"/>
      <c r="V1076" s="37" t="n"/>
      <c r="W1076" s="38" t="n"/>
      <c r="X1076" s="38" t="n"/>
      <c r="Y1076" s="44" t="str">
        <f>IF($AC1076&gt;0,INDEX(CASHBACK_RULES!$A$5:$A$304,$AC1076),"")</f>
        <v/>
      </c>
      <c r="Z1076" s="45" t="str">
        <f>IF($AC1076&gt;0,INDEX(CASHBACK_RULES!$E$5:$E$304,$AC1076)&amp;"","")</f>
        <v/>
      </c>
      <c r="AA1076" s="48" t="str">
        <f>IF($AC1076&gt;0,IF(ISNUMBER(INDEX(CASHBACK_RULES!$K$5:$K$304,$AC1076)),INDEX(CASHBACK_RULES!$K$5:$K$304,$AC1076),"∞"),"")</f>
        <v/>
      </c>
      <c r="AB1076" s="44" t="str">
        <f>IF(OR($B1076="",$D1076=""),"",IF($U1076="Cancelled","Đã hủy",IF($AC1076=0,"Không được hoàn",IF($Q1076=0,IF(OR($O1076&gt;0,$M1076&lt;$L1076),"Đã đạt cap","Không được hoàn"),IF(OR($Q1076&lt;$O1076,$M1076&lt;$L1076),"Hoàn một phần","Được hoàn")))))</f>
        <v/>
      </c>
      <c r="AC1076" s="43">
        <f>IF(OR($B1076="",$D1076="",$I1076="",$L1076=""),0,IF($U1076="Cancelled",0,IF($W1076&lt;&gt;"",IFERROR(IF(INDEX(CASHBACK_RULES!$B$5:$B$304,MATCH($W1076,CASHBACK_RULES!$A$5:$A$304,0))=$D1076,MATCH($W1076,CASHBACK_RULES!$A$5:$A$304,0),0),0),IFERROR(MATCH(1,INDEX((CASHBACK_RULES!$B$5:$B$304=$D1076)*(CASHBACK_RULES!$G$5:$G$304=$I1076)*(((CASHBACK_RULES!$N$5:$N$304="")+(CASHBACK_RULES!$N$5:$N$304&lt;=$B1076))&gt;0)*(((CASHBACK_RULES!$O$5:$O$304="")+(CASHBACK_RULES!$O$5:$O$304&gt;=$B1076))&gt;0)*(((CASHBACK_RULES!$M$5:$M$304="")+(CASHBACK_RULES!$M$5:$M$304&lt;=$L1076))&gt;0),0),0),0))))</f>
        <v>0</v>
      </c>
      <c r="AD1076" s="51" t="str">
        <f>IF(OR($B1076="",$D1076=""),"",IFERROR(IF(INDEX(CARDS!$H$5:$H$34,MATCH($D1076,CARDS!$A$5:$A$34,0))="","",IF(DAY($B1076)&lt;=INDEX(CARDS!$H$5:$H$34,MATCH($D1076,CARDS!$A$5:$A$34,0)),DATE(YEAR($B1076),MONTH($B1076),MIN(INDEX(CARDS!$H$5:$H$34,MATCH($D1076,CARDS!$A$5:$A$34,0)),DAY(EOMONTH($B1076,0)))),DATE(YEAR($B1076),MONTH($B1076)+1,MIN(INDEX(CARDS!$H$5:$H$34,MATCH($D1076,CARDS!$A$5:$A$34,0)),DAY(EOMONTH($B1076,1)))))),""))</f>
        <v/>
      </c>
      <c r="AE1076" s="52" t="str">
        <f>IF($C1076="","",$C1076&amp;"|"&amp;COUNTIF($C$5:$C1076,$C1076))</f>
        <v/>
      </c>
      <c r="AF1076" s="53">
        <f>IF($AC1076&gt;0,SUMIFS(Q$4:Q1075,$D$4:$D1075,$D1076,$Z$4:$Z1075,$Z1076,$C$4:$C1075,$C1076),0)</f>
        <v>0</v>
      </c>
      <c r="AG1076" s="53">
        <f>IF($AC1076&gt;0,SUMIFS(Q$4:Q1075,$D$4:$D1075,$D1076,$C$4:$C1075,$C1076),0)</f>
        <v>0</v>
      </c>
      <c r="AH1076" s="53">
        <f>IF($AC1076&gt;0,SUMIFS(M$4:M1075,$D$4:$D1075,$D1076,$Z$4:$Z1075,$Z1076,$C$4:$C1075,$C1076),0)</f>
        <v>0</v>
      </c>
      <c r="AI1076" s="43">
        <f>IF(OR($C1076="",$I1076=""),0,IF(COUNTIFS($C$5:$C1076,$C1076,$I$5:$I1076,$I1076)=1,1,0))</f>
        <v>0</v>
      </c>
      <c r="AJ1076" s="43" t="str">
        <f>IF($AI1076=1,SUMIFS($AI$4:$AI1075,$C$4:$C1075,$C1076)+1,"")</f>
        <v/>
      </c>
      <c r="AK1076" s="43">
        <f>IF(OR($C1076="",$K1076=""),0,IF(COUNTIFS($C$5:$C1076,$C1076,$K$5:$K1076,$K1076)=1,1,0))</f>
        <v>0</v>
      </c>
      <c r="AL1076" s="43" t="str">
        <f>IF($AK1076=1,SUMIFS($AK$4:$AK1075,$C$4:$C1075,$C1076)+1,"")</f>
        <v/>
      </c>
      <c r="AM1076" s="43">
        <f>IF(OR($C1076="",$G1076=""),0,IF(COUNTIFS($C$5:$C1076,$C1076,$G$5:$G1076,$G1076)=1,1,0))</f>
        <v>0</v>
      </c>
      <c r="AN1076" s="43" t="str">
        <f>IF($AM1076=1,SUMIFS($AM$4:$AM1075,$C$4:$C1075,$C1076)+1,"")</f>
        <v/>
      </c>
    </row>
    <row r="1077">
      <c r="A1077" s="44" t="str">
        <f>IF(OR($B1077="",$D1077=""),"","TX"&amp;TEXT(ROW()-4,"0000"))</f>
        <v/>
      </c>
      <c r="B1077" s="42" t="n"/>
      <c r="C1077" s="47" t="str">
        <f>IF($B1077="","",YEAR($B1077)*100+MONTH($B1077))</f>
        <v/>
      </c>
      <c r="D1077" s="37" t="n"/>
      <c r="E1077" s="45" t="str">
        <f>IF($D1077="","",IFERROR(INDEX(CARDS!$B$5:$B$34,MATCH($D1077,CARDS!$A$5:$A$34,0)),"⚠ Card ID?"))</f>
        <v/>
      </c>
      <c r="F1077" s="45" t="str">
        <f>IF($D1077="","",IFERROR(INDEX(CARDS!$C$5:$C$34,MATCH($D1077,CARDS!$A$5:$A$34,0)),"⚠ Card ID?"))</f>
        <v/>
      </c>
      <c r="G1077" s="37" t="n"/>
      <c r="H1077" s="37" t="n"/>
      <c r="I1077" s="41" t="n"/>
      <c r="J1077" s="45" t="str">
        <f>IF($I1077="","",IFERROR(INDEX(MCC_MASTER!$B$5:$B$504,MATCH($I1077,MCC_MASTER!$A$5:$A$504,0)),"⚠ MCC chưa có"))</f>
        <v/>
      </c>
      <c r="K1077" s="45" t="str">
        <f>IF($I1077="","",IFERROR(IF(INDEX(MCC_MASTER!$C$5:$C$504,MATCH($I1077,MCC_MASTER!$A$5:$A$504,0))="","Chưa phân loại",INDEX(MCC_MASTER!$C$5:$C$504,MATCH($I1077,MCC_MASTER!$A$5:$A$504,0))),"Chưa phân loại"))</f>
        <v/>
      </c>
      <c r="L1077" s="40" t="n"/>
      <c r="M1077" s="48" t="str">
        <f>IF(OR($B1077="",$D1077=""),"",IF($AC1077=0,0,IF(ISNUMBER(INDEX(CASHBACK_RULES!$L$5:$L$304,$AC1077)),MAX(0,MIN($L1077,INDEX(CASHBACK_RULES!$L$5:$L$304,$AC1077)-$AH1077)),MAX(0,$L1077))))</f>
        <v/>
      </c>
      <c r="N1077" s="49" t="str">
        <f>IF(OR($B1077="",$D1077=""),"",IF($AC1077&gt;0,INDEX(CASHBACK_RULES!$I$5:$I$304,$AC1077),0))</f>
        <v/>
      </c>
      <c r="O1077" s="48" t="str">
        <f>IF(OR($B1077="",$D1077=""),"",ROUND($M1077*$N1077,0))</f>
        <v/>
      </c>
      <c r="P1077" s="48" t="str">
        <f>IF($AC1077&gt;0,IF(ISNUMBER(INDEX(CASHBACK_RULES!$J$5:$J$304,$AC1077)),INDEX(CASHBACK_RULES!$J$5:$J$304,$AC1077),"∞"),"")</f>
        <v/>
      </c>
      <c r="Q1077" s="48" t="str">
        <f>IF(OR($B1077="",$D1077=""),"",IF($AC1077=0,0,MAX(0,MIN($O1077,IF(ISNUMBER($P1077),$P1077-$AF1077,1E+15),IF(ISNUMBER($AA1077),$AA1077-$AG1077,1E+15)))))</f>
        <v/>
      </c>
      <c r="R1077" s="48" t="str">
        <f>IF(OR($B1077="",$D1077=""),"",IF($AC1077=0,"",IF(AND(NOT(ISNUMBER($P1077)),NOT(ISNUMBER($AA1077))),"∞",MAX(0,MIN(IF(ISNUMBER($P1077),$P1077-$AF1077-$Q1077,1E+15),IF(ISNUMBER($AA1077),$AA1077-$AG1077-$Q1077,1E+15))))))</f>
        <v/>
      </c>
      <c r="S1077" s="47" t="str">
        <f>IF($AD1077="","",YEAR($AD1077)*100+MONTH($AD1077))</f>
        <v/>
      </c>
      <c r="T1077" s="50" t="str">
        <f>IF($AD1077="","",IFERROR(IF(INDEX(CARDS!$I$5:$I$34,MATCH($D1077,CARDS!$A$5:$A$34,0))="","",IF(INDEX(CARDS!$I$5:$I$34,MATCH($D1077,CARDS!$A$5:$A$34,0))&gt;INDEX(CARDS!$H$5:$H$34,MATCH($D1077,CARDS!$A$5:$A$34,0)),DATE(YEAR($AD1077),MONTH($AD1077),MIN(INDEX(CARDS!$I$5:$I$34,MATCH($D1077,CARDS!$A$5:$A$34,0)),DAY(EOMONTH($AD1077,0)))),DATE(YEAR($AD1077),MONTH($AD1077)+1,MIN(INDEX(CARDS!$I$5:$I$34,MATCH($D1077,CARDS!$A$5:$A$34,0)),DAY(EOMONTH($AD1077,1)))))),""))</f>
        <v/>
      </c>
      <c r="U1077" s="38" t="n"/>
      <c r="V1077" s="37" t="n"/>
      <c r="W1077" s="38" t="n"/>
      <c r="X1077" s="38" t="n"/>
      <c r="Y1077" s="44" t="str">
        <f>IF($AC1077&gt;0,INDEX(CASHBACK_RULES!$A$5:$A$304,$AC1077),"")</f>
        <v/>
      </c>
      <c r="Z1077" s="45" t="str">
        <f>IF($AC1077&gt;0,INDEX(CASHBACK_RULES!$E$5:$E$304,$AC1077)&amp;"","")</f>
        <v/>
      </c>
      <c r="AA1077" s="48" t="str">
        <f>IF($AC1077&gt;0,IF(ISNUMBER(INDEX(CASHBACK_RULES!$K$5:$K$304,$AC1077)),INDEX(CASHBACK_RULES!$K$5:$K$304,$AC1077),"∞"),"")</f>
        <v/>
      </c>
      <c r="AB1077" s="44" t="str">
        <f>IF(OR($B1077="",$D1077=""),"",IF($U1077="Cancelled","Đã hủy",IF($AC1077=0,"Không được hoàn",IF($Q1077=0,IF(OR($O1077&gt;0,$M1077&lt;$L1077),"Đã đạt cap","Không được hoàn"),IF(OR($Q1077&lt;$O1077,$M1077&lt;$L1077),"Hoàn một phần","Được hoàn")))))</f>
        <v/>
      </c>
      <c r="AC1077" s="43">
        <f>IF(OR($B1077="",$D1077="",$I1077="",$L1077=""),0,IF($U1077="Cancelled",0,IF($W1077&lt;&gt;"",IFERROR(IF(INDEX(CASHBACK_RULES!$B$5:$B$304,MATCH($W1077,CASHBACK_RULES!$A$5:$A$304,0))=$D1077,MATCH($W1077,CASHBACK_RULES!$A$5:$A$304,0),0),0),IFERROR(MATCH(1,INDEX((CASHBACK_RULES!$B$5:$B$304=$D1077)*(CASHBACK_RULES!$G$5:$G$304=$I1077)*(((CASHBACK_RULES!$N$5:$N$304="")+(CASHBACK_RULES!$N$5:$N$304&lt;=$B1077))&gt;0)*(((CASHBACK_RULES!$O$5:$O$304="")+(CASHBACK_RULES!$O$5:$O$304&gt;=$B1077))&gt;0)*(((CASHBACK_RULES!$M$5:$M$304="")+(CASHBACK_RULES!$M$5:$M$304&lt;=$L1077))&gt;0),0),0),0))))</f>
        <v>0</v>
      </c>
      <c r="AD1077" s="51" t="str">
        <f>IF(OR($B1077="",$D1077=""),"",IFERROR(IF(INDEX(CARDS!$H$5:$H$34,MATCH($D1077,CARDS!$A$5:$A$34,0))="","",IF(DAY($B1077)&lt;=INDEX(CARDS!$H$5:$H$34,MATCH($D1077,CARDS!$A$5:$A$34,0)),DATE(YEAR($B1077),MONTH($B1077),MIN(INDEX(CARDS!$H$5:$H$34,MATCH($D1077,CARDS!$A$5:$A$34,0)),DAY(EOMONTH($B1077,0)))),DATE(YEAR($B1077),MONTH($B1077)+1,MIN(INDEX(CARDS!$H$5:$H$34,MATCH($D1077,CARDS!$A$5:$A$34,0)),DAY(EOMONTH($B1077,1)))))),""))</f>
        <v/>
      </c>
      <c r="AE1077" s="52" t="str">
        <f>IF($C1077="","",$C1077&amp;"|"&amp;COUNTIF($C$5:$C1077,$C1077))</f>
        <v/>
      </c>
      <c r="AF1077" s="53">
        <f>IF($AC1077&gt;0,SUMIFS(Q$4:Q1076,$D$4:$D1076,$D1077,$Z$4:$Z1076,$Z1077,$C$4:$C1076,$C1077),0)</f>
        <v>0</v>
      </c>
      <c r="AG1077" s="53">
        <f>IF($AC1077&gt;0,SUMIFS(Q$4:Q1076,$D$4:$D1076,$D1077,$C$4:$C1076,$C1077),0)</f>
        <v>0</v>
      </c>
      <c r="AH1077" s="53">
        <f>IF($AC1077&gt;0,SUMIFS(M$4:M1076,$D$4:$D1076,$D1077,$Z$4:$Z1076,$Z1077,$C$4:$C1076,$C1077),0)</f>
        <v>0</v>
      </c>
      <c r="AI1077" s="43">
        <f>IF(OR($C1077="",$I1077=""),0,IF(COUNTIFS($C$5:$C1077,$C1077,$I$5:$I1077,$I1077)=1,1,0))</f>
        <v>0</v>
      </c>
      <c r="AJ1077" s="43" t="str">
        <f>IF($AI1077=1,SUMIFS($AI$4:$AI1076,$C$4:$C1076,$C1077)+1,"")</f>
        <v/>
      </c>
      <c r="AK1077" s="43">
        <f>IF(OR($C1077="",$K1077=""),0,IF(COUNTIFS($C$5:$C1077,$C1077,$K$5:$K1077,$K1077)=1,1,0))</f>
        <v>0</v>
      </c>
      <c r="AL1077" s="43" t="str">
        <f>IF($AK1077=1,SUMIFS($AK$4:$AK1076,$C$4:$C1076,$C1077)+1,"")</f>
        <v/>
      </c>
      <c r="AM1077" s="43">
        <f>IF(OR($C1077="",$G1077=""),0,IF(COUNTIFS($C$5:$C1077,$C1077,$G$5:$G1077,$G1077)=1,1,0))</f>
        <v>0</v>
      </c>
      <c r="AN1077" s="43" t="str">
        <f>IF($AM1077=1,SUMIFS($AM$4:$AM1076,$C$4:$C1076,$C1077)+1,"")</f>
        <v/>
      </c>
    </row>
    <row r="1078">
      <c r="A1078" s="44" t="str">
        <f>IF(OR($B1078="",$D1078=""),"","TX"&amp;TEXT(ROW()-4,"0000"))</f>
        <v/>
      </c>
      <c r="B1078" s="42" t="n"/>
      <c r="C1078" s="47" t="str">
        <f>IF($B1078="","",YEAR($B1078)*100+MONTH($B1078))</f>
        <v/>
      </c>
      <c r="D1078" s="37" t="n"/>
      <c r="E1078" s="45" t="str">
        <f>IF($D1078="","",IFERROR(INDEX(CARDS!$B$5:$B$34,MATCH($D1078,CARDS!$A$5:$A$34,0)),"⚠ Card ID?"))</f>
        <v/>
      </c>
      <c r="F1078" s="45" t="str">
        <f>IF($D1078="","",IFERROR(INDEX(CARDS!$C$5:$C$34,MATCH($D1078,CARDS!$A$5:$A$34,0)),"⚠ Card ID?"))</f>
        <v/>
      </c>
      <c r="G1078" s="37" t="n"/>
      <c r="H1078" s="37" t="n"/>
      <c r="I1078" s="41" t="n"/>
      <c r="J1078" s="45" t="str">
        <f>IF($I1078="","",IFERROR(INDEX(MCC_MASTER!$B$5:$B$504,MATCH($I1078,MCC_MASTER!$A$5:$A$504,0)),"⚠ MCC chưa có"))</f>
        <v/>
      </c>
      <c r="K1078" s="45" t="str">
        <f>IF($I1078="","",IFERROR(IF(INDEX(MCC_MASTER!$C$5:$C$504,MATCH($I1078,MCC_MASTER!$A$5:$A$504,0))="","Chưa phân loại",INDEX(MCC_MASTER!$C$5:$C$504,MATCH($I1078,MCC_MASTER!$A$5:$A$504,0))),"Chưa phân loại"))</f>
        <v/>
      </c>
      <c r="L1078" s="40" t="n"/>
      <c r="M1078" s="48" t="str">
        <f>IF(OR($B1078="",$D1078=""),"",IF($AC1078=0,0,IF(ISNUMBER(INDEX(CASHBACK_RULES!$L$5:$L$304,$AC1078)),MAX(0,MIN($L1078,INDEX(CASHBACK_RULES!$L$5:$L$304,$AC1078)-$AH1078)),MAX(0,$L1078))))</f>
        <v/>
      </c>
      <c r="N1078" s="49" t="str">
        <f>IF(OR($B1078="",$D1078=""),"",IF($AC1078&gt;0,INDEX(CASHBACK_RULES!$I$5:$I$304,$AC1078),0))</f>
        <v/>
      </c>
      <c r="O1078" s="48" t="str">
        <f>IF(OR($B1078="",$D1078=""),"",ROUND($M1078*$N1078,0))</f>
        <v/>
      </c>
      <c r="P1078" s="48" t="str">
        <f>IF($AC1078&gt;0,IF(ISNUMBER(INDEX(CASHBACK_RULES!$J$5:$J$304,$AC1078)),INDEX(CASHBACK_RULES!$J$5:$J$304,$AC1078),"∞"),"")</f>
        <v/>
      </c>
      <c r="Q1078" s="48" t="str">
        <f>IF(OR($B1078="",$D1078=""),"",IF($AC1078=0,0,MAX(0,MIN($O1078,IF(ISNUMBER($P1078),$P1078-$AF1078,1E+15),IF(ISNUMBER($AA1078),$AA1078-$AG1078,1E+15)))))</f>
        <v/>
      </c>
      <c r="R1078" s="48" t="str">
        <f>IF(OR($B1078="",$D1078=""),"",IF($AC1078=0,"",IF(AND(NOT(ISNUMBER($P1078)),NOT(ISNUMBER($AA1078))),"∞",MAX(0,MIN(IF(ISNUMBER($P1078),$P1078-$AF1078-$Q1078,1E+15),IF(ISNUMBER($AA1078),$AA1078-$AG1078-$Q1078,1E+15))))))</f>
        <v/>
      </c>
      <c r="S1078" s="47" t="str">
        <f>IF($AD1078="","",YEAR($AD1078)*100+MONTH($AD1078))</f>
        <v/>
      </c>
      <c r="T1078" s="50" t="str">
        <f>IF($AD1078="","",IFERROR(IF(INDEX(CARDS!$I$5:$I$34,MATCH($D1078,CARDS!$A$5:$A$34,0))="","",IF(INDEX(CARDS!$I$5:$I$34,MATCH($D1078,CARDS!$A$5:$A$34,0))&gt;INDEX(CARDS!$H$5:$H$34,MATCH($D1078,CARDS!$A$5:$A$34,0)),DATE(YEAR($AD1078),MONTH($AD1078),MIN(INDEX(CARDS!$I$5:$I$34,MATCH($D1078,CARDS!$A$5:$A$34,0)),DAY(EOMONTH($AD1078,0)))),DATE(YEAR($AD1078),MONTH($AD1078)+1,MIN(INDEX(CARDS!$I$5:$I$34,MATCH($D1078,CARDS!$A$5:$A$34,0)),DAY(EOMONTH($AD1078,1)))))),""))</f>
        <v/>
      </c>
      <c r="U1078" s="38" t="n"/>
      <c r="V1078" s="37" t="n"/>
      <c r="W1078" s="38" t="n"/>
      <c r="X1078" s="38" t="n"/>
      <c r="Y1078" s="44" t="str">
        <f>IF($AC1078&gt;0,INDEX(CASHBACK_RULES!$A$5:$A$304,$AC1078),"")</f>
        <v/>
      </c>
      <c r="Z1078" s="45" t="str">
        <f>IF($AC1078&gt;0,INDEX(CASHBACK_RULES!$E$5:$E$304,$AC1078)&amp;"","")</f>
        <v/>
      </c>
      <c r="AA1078" s="48" t="str">
        <f>IF($AC1078&gt;0,IF(ISNUMBER(INDEX(CASHBACK_RULES!$K$5:$K$304,$AC1078)),INDEX(CASHBACK_RULES!$K$5:$K$304,$AC1078),"∞"),"")</f>
        <v/>
      </c>
      <c r="AB1078" s="44" t="str">
        <f>IF(OR($B1078="",$D1078=""),"",IF($U1078="Cancelled","Đã hủy",IF($AC1078=0,"Không được hoàn",IF($Q1078=0,IF(OR($O1078&gt;0,$M1078&lt;$L1078),"Đã đạt cap","Không được hoàn"),IF(OR($Q1078&lt;$O1078,$M1078&lt;$L1078),"Hoàn một phần","Được hoàn")))))</f>
        <v/>
      </c>
      <c r="AC1078" s="43">
        <f>IF(OR($B1078="",$D1078="",$I1078="",$L1078=""),0,IF($U1078="Cancelled",0,IF($W1078&lt;&gt;"",IFERROR(IF(INDEX(CASHBACK_RULES!$B$5:$B$304,MATCH($W1078,CASHBACK_RULES!$A$5:$A$304,0))=$D1078,MATCH($W1078,CASHBACK_RULES!$A$5:$A$304,0),0),0),IFERROR(MATCH(1,INDEX((CASHBACK_RULES!$B$5:$B$304=$D1078)*(CASHBACK_RULES!$G$5:$G$304=$I1078)*(((CASHBACK_RULES!$N$5:$N$304="")+(CASHBACK_RULES!$N$5:$N$304&lt;=$B1078))&gt;0)*(((CASHBACK_RULES!$O$5:$O$304="")+(CASHBACK_RULES!$O$5:$O$304&gt;=$B1078))&gt;0)*(((CASHBACK_RULES!$M$5:$M$304="")+(CASHBACK_RULES!$M$5:$M$304&lt;=$L1078))&gt;0),0),0),0))))</f>
        <v>0</v>
      </c>
      <c r="AD1078" s="51" t="str">
        <f>IF(OR($B1078="",$D1078=""),"",IFERROR(IF(INDEX(CARDS!$H$5:$H$34,MATCH($D1078,CARDS!$A$5:$A$34,0))="","",IF(DAY($B1078)&lt;=INDEX(CARDS!$H$5:$H$34,MATCH($D1078,CARDS!$A$5:$A$34,0)),DATE(YEAR($B1078),MONTH($B1078),MIN(INDEX(CARDS!$H$5:$H$34,MATCH($D1078,CARDS!$A$5:$A$34,0)),DAY(EOMONTH($B1078,0)))),DATE(YEAR($B1078),MONTH($B1078)+1,MIN(INDEX(CARDS!$H$5:$H$34,MATCH($D1078,CARDS!$A$5:$A$34,0)),DAY(EOMONTH($B1078,1)))))),""))</f>
        <v/>
      </c>
      <c r="AE1078" s="52" t="str">
        <f>IF($C1078="","",$C1078&amp;"|"&amp;COUNTIF($C$5:$C1078,$C1078))</f>
        <v/>
      </c>
      <c r="AF1078" s="53">
        <f>IF($AC1078&gt;0,SUMIFS(Q$4:Q1077,$D$4:$D1077,$D1078,$Z$4:$Z1077,$Z1078,$C$4:$C1077,$C1078),0)</f>
        <v>0</v>
      </c>
      <c r="AG1078" s="53">
        <f>IF($AC1078&gt;0,SUMIFS(Q$4:Q1077,$D$4:$D1077,$D1078,$C$4:$C1077,$C1078),0)</f>
        <v>0</v>
      </c>
      <c r="AH1078" s="53">
        <f>IF($AC1078&gt;0,SUMIFS(M$4:M1077,$D$4:$D1077,$D1078,$Z$4:$Z1077,$Z1078,$C$4:$C1077,$C1078),0)</f>
        <v>0</v>
      </c>
      <c r="AI1078" s="43">
        <f>IF(OR($C1078="",$I1078=""),0,IF(COUNTIFS($C$5:$C1078,$C1078,$I$5:$I1078,$I1078)=1,1,0))</f>
        <v>0</v>
      </c>
      <c r="AJ1078" s="43" t="str">
        <f>IF($AI1078=1,SUMIFS($AI$4:$AI1077,$C$4:$C1077,$C1078)+1,"")</f>
        <v/>
      </c>
      <c r="AK1078" s="43">
        <f>IF(OR($C1078="",$K1078=""),0,IF(COUNTIFS($C$5:$C1078,$C1078,$K$5:$K1078,$K1078)=1,1,0))</f>
        <v>0</v>
      </c>
      <c r="AL1078" s="43" t="str">
        <f>IF($AK1078=1,SUMIFS($AK$4:$AK1077,$C$4:$C1077,$C1078)+1,"")</f>
        <v/>
      </c>
      <c r="AM1078" s="43">
        <f>IF(OR($C1078="",$G1078=""),0,IF(COUNTIFS($C$5:$C1078,$C1078,$G$5:$G1078,$G1078)=1,1,0))</f>
        <v>0</v>
      </c>
      <c r="AN1078" s="43" t="str">
        <f>IF($AM1078=1,SUMIFS($AM$4:$AM1077,$C$4:$C1077,$C1078)+1,"")</f>
        <v/>
      </c>
    </row>
    <row r="1079">
      <c r="A1079" s="44" t="str">
        <f>IF(OR($B1079="",$D1079=""),"","TX"&amp;TEXT(ROW()-4,"0000"))</f>
        <v/>
      </c>
      <c r="B1079" s="42" t="n"/>
      <c r="C1079" s="47" t="str">
        <f>IF($B1079="","",YEAR($B1079)*100+MONTH($B1079))</f>
        <v/>
      </c>
      <c r="D1079" s="37" t="n"/>
      <c r="E1079" s="45" t="str">
        <f>IF($D1079="","",IFERROR(INDEX(CARDS!$B$5:$B$34,MATCH($D1079,CARDS!$A$5:$A$34,0)),"⚠ Card ID?"))</f>
        <v/>
      </c>
      <c r="F1079" s="45" t="str">
        <f>IF($D1079="","",IFERROR(INDEX(CARDS!$C$5:$C$34,MATCH($D1079,CARDS!$A$5:$A$34,0)),"⚠ Card ID?"))</f>
        <v/>
      </c>
      <c r="G1079" s="37" t="n"/>
      <c r="H1079" s="37" t="n"/>
      <c r="I1079" s="41" t="n"/>
      <c r="J1079" s="45" t="str">
        <f>IF($I1079="","",IFERROR(INDEX(MCC_MASTER!$B$5:$B$504,MATCH($I1079,MCC_MASTER!$A$5:$A$504,0)),"⚠ MCC chưa có"))</f>
        <v/>
      </c>
      <c r="K1079" s="45" t="str">
        <f>IF($I1079="","",IFERROR(IF(INDEX(MCC_MASTER!$C$5:$C$504,MATCH($I1079,MCC_MASTER!$A$5:$A$504,0))="","Chưa phân loại",INDEX(MCC_MASTER!$C$5:$C$504,MATCH($I1079,MCC_MASTER!$A$5:$A$504,0))),"Chưa phân loại"))</f>
        <v/>
      </c>
      <c r="L1079" s="40" t="n"/>
      <c r="M1079" s="48" t="str">
        <f>IF(OR($B1079="",$D1079=""),"",IF($AC1079=0,0,IF(ISNUMBER(INDEX(CASHBACK_RULES!$L$5:$L$304,$AC1079)),MAX(0,MIN($L1079,INDEX(CASHBACK_RULES!$L$5:$L$304,$AC1079)-$AH1079)),MAX(0,$L1079))))</f>
        <v/>
      </c>
      <c r="N1079" s="49" t="str">
        <f>IF(OR($B1079="",$D1079=""),"",IF($AC1079&gt;0,INDEX(CASHBACK_RULES!$I$5:$I$304,$AC1079),0))</f>
        <v/>
      </c>
      <c r="O1079" s="48" t="str">
        <f>IF(OR($B1079="",$D1079=""),"",ROUND($M1079*$N1079,0))</f>
        <v/>
      </c>
      <c r="P1079" s="48" t="str">
        <f>IF($AC1079&gt;0,IF(ISNUMBER(INDEX(CASHBACK_RULES!$J$5:$J$304,$AC1079)),INDEX(CASHBACK_RULES!$J$5:$J$304,$AC1079),"∞"),"")</f>
        <v/>
      </c>
      <c r="Q1079" s="48" t="str">
        <f>IF(OR($B1079="",$D1079=""),"",IF($AC1079=0,0,MAX(0,MIN($O1079,IF(ISNUMBER($P1079),$P1079-$AF1079,1E+15),IF(ISNUMBER($AA1079),$AA1079-$AG1079,1E+15)))))</f>
        <v/>
      </c>
      <c r="R1079" s="48" t="str">
        <f>IF(OR($B1079="",$D1079=""),"",IF($AC1079=0,"",IF(AND(NOT(ISNUMBER($P1079)),NOT(ISNUMBER($AA1079))),"∞",MAX(0,MIN(IF(ISNUMBER($P1079),$P1079-$AF1079-$Q1079,1E+15),IF(ISNUMBER($AA1079),$AA1079-$AG1079-$Q1079,1E+15))))))</f>
        <v/>
      </c>
      <c r="S1079" s="47" t="str">
        <f>IF($AD1079="","",YEAR($AD1079)*100+MONTH($AD1079))</f>
        <v/>
      </c>
      <c r="T1079" s="50" t="str">
        <f>IF($AD1079="","",IFERROR(IF(INDEX(CARDS!$I$5:$I$34,MATCH($D1079,CARDS!$A$5:$A$34,0))="","",IF(INDEX(CARDS!$I$5:$I$34,MATCH($D1079,CARDS!$A$5:$A$34,0))&gt;INDEX(CARDS!$H$5:$H$34,MATCH($D1079,CARDS!$A$5:$A$34,0)),DATE(YEAR($AD1079),MONTH($AD1079),MIN(INDEX(CARDS!$I$5:$I$34,MATCH($D1079,CARDS!$A$5:$A$34,0)),DAY(EOMONTH($AD1079,0)))),DATE(YEAR($AD1079),MONTH($AD1079)+1,MIN(INDEX(CARDS!$I$5:$I$34,MATCH($D1079,CARDS!$A$5:$A$34,0)),DAY(EOMONTH($AD1079,1)))))),""))</f>
        <v/>
      </c>
      <c r="U1079" s="38" t="n"/>
      <c r="V1079" s="37" t="n"/>
      <c r="W1079" s="38" t="n"/>
      <c r="X1079" s="38" t="n"/>
      <c r="Y1079" s="44" t="str">
        <f>IF($AC1079&gt;0,INDEX(CASHBACK_RULES!$A$5:$A$304,$AC1079),"")</f>
        <v/>
      </c>
      <c r="Z1079" s="45" t="str">
        <f>IF($AC1079&gt;0,INDEX(CASHBACK_RULES!$E$5:$E$304,$AC1079)&amp;"","")</f>
        <v/>
      </c>
      <c r="AA1079" s="48" t="str">
        <f>IF($AC1079&gt;0,IF(ISNUMBER(INDEX(CASHBACK_RULES!$K$5:$K$304,$AC1079)),INDEX(CASHBACK_RULES!$K$5:$K$304,$AC1079),"∞"),"")</f>
        <v/>
      </c>
      <c r="AB1079" s="44" t="str">
        <f>IF(OR($B1079="",$D1079=""),"",IF($U1079="Cancelled","Đã hủy",IF($AC1079=0,"Không được hoàn",IF($Q1079=0,IF(OR($O1079&gt;0,$M1079&lt;$L1079),"Đã đạt cap","Không được hoàn"),IF(OR($Q1079&lt;$O1079,$M1079&lt;$L1079),"Hoàn một phần","Được hoàn")))))</f>
        <v/>
      </c>
      <c r="AC1079" s="43">
        <f>IF(OR($B1079="",$D1079="",$I1079="",$L1079=""),0,IF($U1079="Cancelled",0,IF($W1079&lt;&gt;"",IFERROR(IF(INDEX(CASHBACK_RULES!$B$5:$B$304,MATCH($W1079,CASHBACK_RULES!$A$5:$A$304,0))=$D1079,MATCH($W1079,CASHBACK_RULES!$A$5:$A$304,0),0),0),IFERROR(MATCH(1,INDEX((CASHBACK_RULES!$B$5:$B$304=$D1079)*(CASHBACK_RULES!$G$5:$G$304=$I1079)*(((CASHBACK_RULES!$N$5:$N$304="")+(CASHBACK_RULES!$N$5:$N$304&lt;=$B1079))&gt;0)*(((CASHBACK_RULES!$O$5:$O$304="")+(CASHBACK_RULES!$O$5:$O$304&gt;=$B1079))&gt;0)*(((CASHBACK_RULES!$M$5:$M$304="")+(CASHBACK_RULES!$M$5:$M$304&lt;=$L1079))&gt;0),0),0),0))))</f>
        <v>0</v>
      </c>
      <c r="AD1079" s="51" t="str">
        <f>IF(OR($B1079="",$D1079=""),"",IFERROR(IF(INDEX(CARDS!$H$5:$H$34,MATCH($D1079,CARDS!$A$5:$A$34,0))="","",IF(DAY($B1079)&lt;=INDEX(CARDS!$H$5:$H$34,MATCH($D1079,CARDS!$A$5:$A$34,0)),DATE(YEAR($B1079),MONTH($B1079),MIN(INDEX(CARDS!$H$5:$H$34,MATCH($D1079,CARDS!$A$5:$A$34,0)),DAY(EOMONTH($B1079,0)))),DATE(YEAR($B1079),MONTH($B1079)+1,MIN(INDEX(CARDS!$H$5:$H$34,MATCH($D1079,CARDS!$A$5:$A$34,0)),DAY(EOMONTH($B1079,1)))))),""))</f>
        <v/>
      </c>
      <c r="AE1079" s="52" t="str">
        <f>IF($C1079="","",$C1079&amp;"|"&amp;COUNTIF($C$5:$C1079,$C1079))</f>
        <v/>
      </c>
      <c r="AF1079" s="53">
        <f>IF($AC1079&gt;0,SUMIFS(Q$4:Q1078,$D$4:$D1078,$D1079,$Z$4:$Z1078,$Z1079,$C$4:$C1078,$C1079),0)</f>
        <v>0</v>
      </c>
      <c r="AG1079" s="53">
        <f>IF($AC1079&gt;0,SUMIFS(Q$4:Q1078,$D$4:$D1078,$D1079,$C$4:$C1078,$C1079),0)</f>
        <v>0</v>
      </c>
      <c r="AH1079" s="53">
        <f>IF($AC1079&gt;0,SUMIFS(M$4:M1078,$D$4:$D1078,$D1079,$Z$4:$Z1078,$Z1079,$C$4:$C1078,$C1079),0)</f>
        <v>0</v>
      </c>
      <c r="AI1079" s="43">
        <f>IF(OR($C1079="",$I1079=""),0,IF(COUNTIFS($C$5:$C1079,$C1079,$I$5:$I1079,$I1079)=1,1,0))</f>
        <v>0</v>
      </c>
      <c r="AJ1079" s="43" t="str">
        <f>IF($AI1079=1,SUMIFS($AI$4:$AI1078,$C$4:$C1078,$C1079)+1,"")</f>
        <v/>
      </c>
      <c r="AK1079" s="43">
        <f>IF(OR($C1079="",$K1079=""),0,IF(COUNTIFS($C$5:$C1079,$C1079,$K$5:$K1079,$K1079)=1,1,0))</f>
        <v>0</v>
      </c>
      <c r="AL1079" s="43" t="str">
        <f>IF($AK1079=1,SUMIFS($AK$4:$AK1078,$C$4:$C1078,$C1079)+1,"")</f>
        <v/>
      </c>
      <c r="AM1079" s="43">
        <f>IF(OR($C1079="",$G1079=""),0,IF(COUNTIFS($C$5:$C1079,$C1079,$G$5:$G1079,$G1079)=1,1,0))</f>
        <v>0</v>
      </c>
      <c r="AN1079" s="43" t="str">
        <f>IF($AM1079=1,SUMIFS($AM$4:$AM1078,$C$4:$C1078,$C1079)+1,"")</f>
        <v/>
      </c>
    </row>
    <row r="1080">
      <c r="A1080" s="44" t="str">
        <f>IF(OR($B1080="",$D1080=""),"","TX"&amp;TEXT(ROW()-4,"0000"))</f>
        <v/>
      </c>
      <c r="B1080" s="42" t="n"/>
      <c r="C1080" s="47" t="str">
        <f>IF($B1080="","",YEAR($B1080)*100+MONTH($B1080))</f>
        <v/>
      </c>
      <c r="D1080" s="37" t="n"/>
      <c r="E1080" s="45" t="str">
        <f>IF($D1080="","",IFERROR(INDEX(CARDS!$B$5:$B$34,MATCH($D1080,CARDS!$A$5:$A$34,0)),"⚠ Card ID?"))</f>
        <v/>
      </c>
      <c r="F1080" s="45" t="str">
        <f>IF($D1080="","",IFERROR(INDEX(CARDS!$C$5:$C$34,MATCH($D1080,CARDS!$A$5:$A$34,0)),"⚠ Card ID?"))</f>
        <v/>
      </c>
      <c r="G1080" s="37" t="n"/>
      <c r="H1080" s="37" t="n"/>
      <c r="I1080" s="41" t="n"/>
      <c r="J1080" s="45" t="str">
        <f>IF($I1080="","",IFERROR(INDEX(MCC_MASTER!$B$5:$B$504,MATCH($I1080,MCC_MASTER!$A$5:$A$504,0)),"⚠ MCC chưa có"))</f>
        <v/>
      </c>
      <c r="K1080" s="45" t="str">
        <f>IF($I1080="","",IFERROR(IF(INDEX(MCC_MASTER!$C$5:$C$504,MATCH($I1080,MCC_MASTER!$A$5:$A$504,0))="","Chưa phân loại",INDEX(MCC_MASTER!$C$5:$C$504,MATCH($I1080,MCC_MASTER!$A$5:$A$504,0))),"Chưa phân loại"))</f>
        <v/>
      </c>
      <c r="L1080" s="40" t="n"/>
      <c r="M1080" s="48" t="str">
        <f>IF(OR($B1080="",$D1080=""),"",IF($AC1080=0,0,IF(ISNUMBER(INDEX(CASHBACK_RULES!$L$5:$L$304,$AC1080)),MAX(0,MIN($L1080,INDEX(CASHBACK_RULES!$L$5:$L$304,$AC1080)-$AH1080)),MAX(0,$L1080))))</f>
        <v/>
      </c>
      <c r="N1080" s="49" t="str">
        <f>IF(OR($B1080="",$D1080=""),"",IF($AC1080&gt;0,INDEX(CASHBACK_RULES!$I$5:$I$304,$AC1080),0))</f>
        <v/>
      </c>
      <c r="O1080" s="48" t="str">
        <f>IF(OR($B1080="",$D1080=""),"",ROUND($M1080*$N1080,0))</f>
        <v/>
      </c>
      <c r="P1080" s="48" t="str">
        <f>IF($AC1080&gt;0,IF(ISNUMBER(INDEX(CASHBACK_RULES!$J$5:$J$304,$AC1080)),INDEX(CASHBACK_RULES!$J$5:$J$304,$AC1080),"∞"),"")</f>
        <v/>
      </c>
      <c r="Q1080" s="48" t="str">
        <f>IF(OR($B1080="",$D1080=""),"",IF($AC1080=0,0,MAX(0,MIN($O1080,IF(ISNUMBER($P1080),$P1080-$AF1080,1E+15),IF(ISNUMBER($AA1080),$AA1080-$AG1080,1E+15)))))</f>
        <v/>
      </c>
      <c r="R1080" s="48" t="str">
        <f>IF(OR($B1080="",$D1080=""),"",IF($AC1080=0,"",IF(AND(NOT(ISNUMBER($P1080)),NOT(ISNUMBER($AA1080))),"∞",MAX(0,MIN(IF(ISNUMBER($P1080),$P1080-$AF1080-$Q1080,1E+15),IF(ISNUMBER($AA1080),$AA1080-$AG1080-$Q1080,1E+15))))))</f>
        <v/>
      </c>
      <c r="S1080" s="47" t="str">
        <f>IF($AD1080="","",YEAR($AD1080)*100+MONTH($AD1080))</f>
        <v/>
      </c>
      <c r="T1080" s="50" t="str">
        <f>IF($AD1080="","",IFERROR(IF(INDEX(CARDS!$I$5:$I$34,MATCH($D1080,CARDS!$A$5:$A$34,0))="","",IF(INDEX(CARDS!$I$5:$I$34,MATCH($D1080,CARDS!$A$5:$A$34,0))&gt;INDEX(CARDS!$H$5:$H$34,MATCH($D1080,CARDS!$A$5:$A$34,0)),DATE(YEAR($AD1080),MONTH($AD1080),MIN(INDEX(CARDS!$I$5:$I$34,MATCH($D1080,CARDS!$A$5:$A$34,0)),DAY(EOMONTH($AD1080,0)))),DATE(YEAR($AD1080),MONTH($AD1080)+1,MIN(INDEX(CARDS!$I$5:$I$34,MATCH($D1080,CARDS!$A$5:$A$34,0)),DAY(EOMONTH($AD1080,1)))))),""))</f>
        <v/>
      </c>
      <c r="U1080" s="38" t="n"/>
      <c r="V1080" s="37" t="n"/>
      <c r="W1080" s="38" t="n"/>
      <c r="X1080" s="38" t="n"/>
      <c r="Y1080" s="44" t="str">
        <f>IF($AC1080&gt;0,INDEX(CASHBACK_RULES!$A$5:$A$304,$AC1080),"")</f>
        <v/>
      </c>
      <c r="Z1080" s="45" t="str">
        <f>IF($AC1080&gt;0,INDEX(CASHBACK_RULES!$E$5:$E$304,$AC1080)&amp;"","")</f>
        <v/>
      </c>
      <c r="AA1080" s="48" t="str">
        <f>IF($AC1080&gt;0,IF(ISNUMBER(INDEX(CASHBACK_RULES!$K$5:$K$304,$AC1080)),INDEX(CASHBACK_RULES!$K$5:$K$304,$AC1080),"∞"),"")</f>
        <v/>
      </c>
      <c r="AB1080" s="44" t="str">
        <f>IF(OR($B1080="",$D1080=""),"",IF($U1080="Cancelled","Đã hủy",IF($AC1080=0,"Không được hoàn",IF($Q1080=0,IF(OR($O1080&gt;0,$M1080&lt;$L1080),"Đã đạt cap","Không được hoàn"),IF(OR($Q1080&lt;$O1080,$M1080&lt;$L1080),"Hoàn một phần","Được hoàn")))))</f>
        <v/>
      </c>
      <c r="AC1080" s="43">
        <f>IF(OR($B1080="",$D1080="",$I1080="",$L1080=""),0,IF($U1080="Cancelled",0,IF($W1080&lt;&gt;"",IFERROR(IF(INDEX(CASHBACK_RULES!$B$5:$B$304,MATCH($W1080,CASHBACK_RULES!$A$5:$A$304,0))=$D1080,MATCH($W1080,CASHBACK_RULES!$A$5:$A$304,0),0),0),IFERROR(MATCH(1,INDEX((CASHBACK_RULES!$B$5:$B$304=$D1080)*(CASHBACK_RULES!$G$5:$G$304=$I1080)*(((CASHBACK_RULES!$N$5:$N$304="")+(CASHBACK_RULES!$N$5:$N$304&lt;=$B1080))&gt;0)*(((CASHBACK_RULES!$O$5:$O$304="")+(CASHBACK_RULES!$O$5:$O$304&gt;=$B1080))&gt;0)*(((CASHBACK_RULES!$M$5:$M$304="")+(CASHBACK_RULES!$M$5:$M$304&lt;=$L1080))&gt;0),0),0),0))))</f>
        <v>0</v>
      </c>
      <c r="AD1080" s="51" t="str">
        <f>IF(OR($B1080="",$D1080=""),"",IFERROR(IF(INDEX(CARDS!$H$5:$H$34,MATCH($D1080,CARDS!$A$5:$A$34,0))="","",IF(DAY($B1080)&lt;=INDEX(CARDS!$H$5:$H$34,MATCH($D1080,CARDS!$A$5:$A$34,0)),DATE(YEAR($B1080),MONTH($B1080),MIN(INDEX(CARDS!$H$5:$H$34,MATCH($D1080,CARDS!$A$5:$A$34,0)),DAY(EOMONTH($B1080,0)))),DATE(YEAR($B1080),MONTH($B1080)+1,MIN(INDEX(CARDS!$H$5:$H$34,MATCH($D1080,CARDS!$A$5:$A$34,0)),DAY(EOMONTH($B1080,1)))))),""))</f>
        <v/>
      </c>
      <c r="AE1080" s="52" t="str">
        <f>IF($C1080="","",$C1080&amp;"|"&amp;COUNTIF($C$5:$C1080,$C1080))</f>
        <v/>
      </c>
      <c r="AF1080" s="53">
        <f>IF($AC1080&gt;0,SUMIFS(Q$4:Q1079,$D$4:$D1079,$D1080,$Z$4:$Z1079,$Z1080,$C$4:$C1079,$C1080),0)</f>
        <v>0</v>
      </c>
      <c r="AG1080" s="53">
        <f>IF($AC1080&gt;0,SUMIFS(Q$4:Q1079,$D$4:$D1079,$D1080,$C$4:$C1079,$C1080),0)</f>
        <v>0</v>
      </c>
      <c r="AH1080" s="53">
        <f>IF($AC1080&gt;0,SUMIFS(M$4:M1079,$D$4:$D1079,$D1080,$Z$4:$Z1079,$Z1080,$C$4:$C1079,$C1080),0)</f>
        <v>0</v>
      </c>
      <c r="AI1080" s="43">
        <f>IF(OR($C1080="",$I1080=""),0,IF(COUNTIFS($C$5:$C1080,$C1080,$I$5:$I1080,$I1080)=1,1,0))</f>
        <v>0</v>
      </c>
      <c r="AJ1080" s="43" t="str">
        <f>IF($AI1080=1,SUMIFS($AI$4:$AI1079,$C$4:$C1079,$C1080)+1,"")</f>
        <v/>
      </c>
      <c r="AK1080" s="43">
        <f>IF(OR($C1080="",$K1080=""),0,IF(COUNTIFS($C$5:$C1080,$C1080,$K$5:$K1080,$K1080)=1,1,0))</f>
        <v>0</v>
      </c>
      <c r="AL1080" s="43" t="str">
        <f>IF($AK1080=1,SUMIFS($AK$4:$AK1079,$C$4:$C1079,$C1080)+1,"")</f>
        <v/>
      </c>
      <c r="AM1080" s="43">
        <f>IF(OR($C1080="",$G1080=""),0,IF(COUNTIFS($C$5:$C1080,$C1080,$G$5:$G1080,$G1080)=1,1,0))</f>
        <v>0</v>
      </c>
      <c r="AN1080" s="43" t="str">
        <f>IF($AM1080=1,SUMIFS($AM$4:$AM1079,$C$4:$C1079,$C1080)+1,"")</f>
        <v/>
      </c>
    </row>
    <row r="1081">
      <c r="A1081" s="44" t="str">
        <f>IF(OR($B1081="",$D1081=""),"","TX"&amp;TEXT(ROW()-4,"0000"))</f>
        <v/>
      </c>
      <c r="B1081" s="42" t="n"/>
      <c r="C1081" s="47" t="str">
        <f>IF($B1081="","",YEAR($B1081)*100+MONTH($B1081))</f>
        <v/>
      </c>
      <c r="D1081" s="37" t="n"/>
      <c r="E1081" s="45" t="str">
        <f>IF($D1081="","",IFERROR(INDEX(CARDS!$B$5:$B$34,MATCH($D1081,CARDS!$A$5:$A$34,0)),"⚠ Card ID?"))</f>
        <v/>
      </c>
      <c r="F1081" s="45" t="str">
        <f>IF($D1081="","",IFERROR(INDEX(CARDS!$C$5:$C$34,MATCH($D1081,CARDS!$A$5:$A$34,0)),"⚠ Card ID?"))</f>
        <v/>
      </c>
      <c r="G1081" s="37" t="n"/>
      <c r="H1081" s="37" t="n"/>
      <c r="I1081" s="41" t="n"/>
      <c r="J1081" s="45" t="str">
        <f>IF($I1081="","",IFERROR(INDEX(MCC_MASTER!$B$5:$B$504,MATCH($I1081,MCC_MASTER!$A$5:$A$504,0)),"⚠ MCC chưa có"))</f>
        <v/>
      </c>
      <c r="K1081" s="45" t="str">
        <f>IF($I1081="","",IFERROR(IF(INDEX(MCC_MASTER!$C$5:$C$504,MATCH($I1081,MCC_MASTER!$A$5:$A$504,0))="","Chưa phân loại",INDEX(MCC_MASTER!$C$5:$C$504,MATCH($I1081,MCC_MASTER!$A$5:$A$504,0))),"Chưa phân loại"))</f>
        <v/>
      </c>
      <c r="L1081" s="40" t="n"/>
      <c r="M1081" s="48" t="str">
        <f>IF(OR($B1081="",$D1081=""),"",IF($AC1081=0,0,IF(ISNUMBER(INDEX(CASHBACK_RULES!$L$5:$L$304,$AC1081)),MAX(0,MIN($L1081,INDEX(CASHBACK_RULES!$L$5:$L$304,$AC1081)-$AH1081)),MAX(0,$L1081))))</f>
        <v/>
      </c>
      <c r="N1081" s="49" t="str">
        <f>IF(OR($B1081="",$D1081=""),"",IF($AC1081&gt;0,INDEX(CASHBACK_RULES!$I$5:$I$304,$AC1081),0))</f>
        <v/>
      </c>
      <c r="O1081" s="48" t="str">
        <f>IF(OR($B1081="",$D1081=""),"",ROUND($M1081*$N1081,0))</f>
        <v/>
      </c>
      <c r="P1081" s="48" t="str">
        <f>IF($AC1081&gt;0,IF(ISNUMBER(INDEX(CASHBACK_RULES!$J$5:$J$304,$AC1081)),INDEX(CASHBACK_RULES!$J$5:$J$304,$AC1081),"∞"),"")</f>
        <v/>
      </c>
      <c r="Q1081" s="48" t="str">
        <f>IF(OR($B1081="",$D1081=""),"",IF($AC1081=0,0,MAX(0,MIN($O1081,IF(ISNUMBER($P1081),$P1081-$AF1081,1E+15),IF(ISNUMBER($AA1081),$AA1081-$AG1081,1E+15)))))</f>
        <v/>
      </c>
      <c r="R1081" s="48" t="str">
        <f>IF(OR($B1081="",$D1081=""),"",IF($AC1081=0,"",IF(AND(NOT(ISNUMBER($P1081)),NOT(ISNUMBER($AA1081))),"∞",MAX(0,MIN(IF(ISNUMBER($P1081),$P1081-$AF1081-$Q1081,1E+15),IF(ISNUMBER($AA1081),$AA1081-$AG1081-$Q1081,1E+15))))))</f>
        <v/>
      </c>
      <c r="S1081" s="47" t="str">
        <f>IF($AD1081="","",YEAR($AD1081)*100+MONTH($AD1081))</f>
        <v/>
      </c>
      <c r="T1081" s="50" t="str">
        <f>IF($AD1081="","",IFERROR(IF(INDEX(CARDS!$I$5:$I$34,MATCH($D1081,CARDS!$A$5:$A$34,0))="","",IF(INDEX(CARDS!$I$5:$I$34,MATCH($D1081,CARDS!$A$5:$A$34,0))&gt;INDEX(CARDS!$H$5:$H$34,MATCH($D1081,CARDS!$A$5:$A$34,0)),DATE(YEAR($AD1081),MONTH($AD1081),MIN(INDEX(CARDS!$I$5:$I$34,MATCH($D1081,CARDS!$A$5:$A$34,0)),DAY(EOMONTH($AD1081,0)))),DATE(YEAR($AD1081),MONTH($AD1081)+1,MIN(INDEX(CARDS!$I$5:$I$34,MATCH($D1081,CARDS!$A$5:$A$34,0)),DAY(EOMONTH($AD1081,1)))))),""))</f>
        <v/>
      </c>
      <c r="U1081" s="38" t="n"/>
      <c r="V1081" s="37" t="n"/>
      <c r="W1081" s="38" t="n"/>
      <c r="X1081" s="38" t="n"/>
      <c r="Y1081" s="44" t="str">
        <f>IF($AC1081&gt;0,INDEX(CASHBACK_RULES!$A$5:$A$304,$AC1081),"")</f>
        <v/>
      </c>
      <c r="Z1081" s="45" t="str">
        <f>IF($AC1081&gt;0,INDEX(CASHBACK_RULES!$E$5:$E$304,$AC1081)&amp;"","")</f>
        <v/>
      </c>
      <c r="AA1081" s="48" t="str">
        <f>IF($AC1081&gt;0,IF(ISNUMBER(INDEX(CASHBACK_RULES!$K$5:$K$304,$AC1081)),INDEX(CASHBACK_RULES!$K$5:$K$304,$AC1081),"∞"),"")</f>
        <v/>
      </c>
      <c r="AB1081" s="44" t="str">
        <f>IF(OR($B1081="",$D1081=""),"",IF($U1081="Cancelled","Đã hủy",IF($AC1081=0,"Không được hoàn",IF($Q1081=0,IF(OR($O1081&gt;0,$M1081&lt;$L1081),"Đã đạt cap","Không được hoàn"),IF(OR($Q1081&lt;$O1081,$M1081&lt;$L1081),"Hoàn một phần","Được hoàn")))))</f>
        <v/>
      </c>
      <c r="AC1081" s="43">
        <f>IF(OR($B1081="",$D1081="",$I1081="",$L1081=""),0,IF($U1081="Cancelled",0,IF($W1081&lt;&gt;"",IFERROR(IF(INDEX(CASHBACK_RULES!$B$5:$B$304,MATCH($W1081,CASHBACK_RULES!$A$5:$A$304,0))=$D1081,MATCH($W1081,CASHBACK_RULES!$A$5:$A$304,0),0),0),IFERROR(MATCH(1,INDEX((CASHBACK_RULES!$B$5:$B$304=$D1081)*(CASHBACK_RULES!$G$5:$G$304=$I1081)*(((CASHBACK_RULES!$N$5:$N$304="")+(CASHBACK_RULES!$N$5:$N$304&lt;=$B1081))&gt;0)*(((CASHBACK_RULES!$O$5:$O$304="")+(CASHBACK_RULES!$O$5:$O$304&gt;=$B1081))&gt;0)*(((CASHBACK_RULES!$M$5:$M$304="")+(CASHBACK_RULES!$M$5:$M$304&lt;=$L1081))&gt;0),0),0),0))))</f>
        <v>0</v>
      </c>
      <c r="AD1081" s="51" t="str">
        <f>IF(OR($B1081="",$D1081=""),"",IFERROR(IF(INDEX(CARDS!$H$5:$H$34,MATCH($D1081,CARDS!$A$5:$A$34,0))="","",IF(DAY($B1081)&lt;=INDEX(CARDS!$H$5:$H$34,MATCH($D1081,CARDS!$A$5:$A$34,0)),DATE(YEAR($B1081),MONTH($B1081),MIN(INDEX(CARDS!$H$5:$H$34,MATCH($D1081,CARDS!$A$5:$A$34,0)),DAY(EOMONTH($B1081,0)))),DATE(YEAR($B1081),MONTH($B1081)+1,MIN(INDEX(CARDS!$H$5:$H$34,MATCH($D1081,CARDS!$A$5:$A$34,0)),DAY(EOMONTH($B1081,1)))))),""))</f>
        <v/>
      </c>
      <c r="AE1081" s="52" t="str">
        <f>IF($C1081="","",$C1081&amp;"|"&amp;COUNTIF($C$5:$C1081,$C1081))</f>
        <v/>
      </c>
      <c r="AF1081" s="53">
        <f>IF($AC1081&gt;0,SUMIFS(Q$4:Q1080,$D$4:$D1080,$D1081,$Z$4:$Z1080,$Z1081,$C$4:$C1080,$C1081),0)</f>
        <v>0</v>
      </c>
      <c r="AG1081" s="53">
        <f>IF($AC1081&gt;0,SUMIFS(Q$4:Q1080,$D$4:$D1080,$D1081,$C$4:$C1080,$C1081),0)</f>
        <v>0</v>
      </c>
      <c r="AH1081" s="53">
        <f>IF($AC1081&gt;0,SUMIFS(M$4:M1080,$D$4:$D1080,$D1081,$Z$4:$Z1080,$Z1081,$C$4:$C1080,$C1081),0)</f>
        <v>0</v>
      </c>
      <c r="AI1081" s="43">
        <f>IF(OR($C1081="",$I1081=""),0,IF(COUNTIFS($C$5:$C1081,$C1081,$I$5:$I1081,$I1081)=1,1,0))</f>
        <v>0</v>
      </c>
      <c r="AJ1081" s="43" t="str">
        <f>IF($AI1081=1,SUMIFS($AI$4:$AI1080,$C$4:$C1080,$C1081)+1,"")</f>
        <v/>
      </c>
      <c r="AK1081" s="43">
        <f>IF(OR($C1081="",$K1081=""),0,IF(COUNTIFS($C$5:$C1081,$C1081,$K$5:$K1081,$K1081)=1,1,0))</f>
        <v>0</v>
      </c>
      <c r="AL1081" s="43" t="str">
        <f>IF($AK1081=1,SUMIFS($AK$4:$AK1080,$C$4:$C1080,$C1081)+1,"")</f>
        <v/>
      </c>
      <c r="AM1081" s="43">
        <f>IF(OR($C1081="",$G1081=""),0,IF(COUNTIFS($C$5:$C1081,$C1081,$G$5:$G1081,$G1081)=1,1,0))</f>
        <v>0</v>
      </c>
      <c r="AN1081" s="43" t="str">
        <f>IF($AM1081=1,SUMIFS($AM$4:$AM1080,$C$4:$C1080,$C1081)+1,"")</f>
        <v/>
      </c>
    </row>
    <row r="1082">
      <c r="A1082" s="44" t="str">
        <f>IF(OR($B1082="",$D1082=""),"","TX"&amp;TEXT(ROW()-4,"0000"))</f>
        <v/>
      </c>
      <c r="B1082" s="42" t="n"/>
      <c r="C1082" s="47" t="str">
        <f>IF($B1082="","",YEAR($B1082)*100+MONTH($B1082))</f>
        <v/>
      </c>
      <c r="D1082" s="37" t="n"/>
      <c r="E1082" s="45" t="str">
        <f>IF($D1082="","",IFERROR(INDEX(CARDS!$B$5:$B$34,MATCH($D1082,CARDS!$A$5:$A$34,0)),"⚠ Card ID?"))</f>
        <v/>
      </c>
      <c r="F1082" s="45" t="str">
        <f>IF($D1082="","",IFERROR(INDEX(CARDS!$C$5:$C$34,MATCH($D1082,CARDS!$A$5:$A$34,0)),"⚠ Card ID?"))</f>
        <v/>
      </c>
      <c r="G1082" s="37" t="n"/>
      <c r="H1082" s="37" t="n"/>
      <c r="I1082" s="41" t="n"/>
      <c r="J1082" s="45" t="str">
        <f>IF($I1082="","",IFERROR(INDEX(MCC_MASTER!$B$5:$B$504,MATCH($I1082,MCC_MASTER!$A$5:$A$504,0)),"⚠ MCC chưa có"))</f>
        <v/>
      </c>
      <c r="K1082" s="45" t="str">
        <f>IF($I1082="","",IFERROR(IF(INDEX(MCC_MASTER!$C$5:$C$504,MATCH($I1082,MCC_MASTER!$A$5:$A$504,0))="","Chưa phân loại",INDEX(MCC_MASTER!$C$5:$C$504,MATCH($I1082,MCC_MASTER!$A$5:$A$504,0))),"Chưa phân loại"))</f>
        <v/>
      </c>
      <c r="L1082" s="40" t="n"/>
      <c r="M1082" s="48" t="str">
        <f>IF(OR($B1082="",$D1082=""),"",IF($AC1082=0,0,IF(ISNUMBER(INDEX(CASHBACK_RULES!$L$5:$L$304,$AC1082)),MAX(0,MIN($L1082,INDEX(CASHBACK_RULES!$L$5:$L$304,$AC1082)-$AH1082)),MAX(0,$L1082))))</f>
        <v/>
      </c>
      <c r="N1082" s="49" t="str">
        <f>IF(OR($B1082="",$D1082=""),"",IF($AC1082&gt;0,INDEX(CASHBACK_RULES!$I$5:$I$304,$AC1082),0))</f>
        <v/>
      </c>
      <c r="O1082" s="48" t="str">
        <f>IF(OR($B1082="",$D1082=""),"",ROUND($M1082*$N1082,0))</f>
        <v/>
      </c>
      <c r="P1082" s="48" t="str">
        <f>IF($AC1082&gt;0,IF(ISNUMBER(INDEX(CASHBACK_RULES!$J$5:$J$304,$AC1082)),INDEX(CASHBACK_RULES!$J$5:$J$304,$AC1082),"∞"),"")</f>
        <v/>
      </c>
      <c r="Q1082" s="48" t="str">
        <f>IF(OR($B1082="",$D1082=""),"",IF($AC1082=0,0,MAX(0,MIN($O1082,IF(ISNUMBER($P1082),$P1082-$AF1082,1E+15),IF(ISNUMBER($AA1082),$AA1082-$AG1082,1E+15)))))</f>
        <v/>
      </c>
      <c r="R1082" s="48" t="str">
        <f>IF(OR($B1082="",$D1082=""),"",IF($AC1082=0,"",IF(AND(NOT(ISNUMBER($P1082)),NOT(ISNUMBER($AA1082))),"∞",MAX(0,MIN(IF(ISNUMBER($P1082),$P1082-$AF1082-$Q1082,1E+15),IF(ISNUMBER($AA1082),$AA1082-$AG1082-$Q1082,1E+15))))))</f>
        <v/>
      </c>
      <c r="S1082" s="47" t="str">
        <f>IF($AD1082="","",YEAR($AD1082)*100+MONTH($AD1082))</f>
        <v/>
      </c>
      <c r="T1082" s="50" t="str">
        <f>IF($AD1082="","",IFERROR(IF(INDEX(CARDS!$I$5:$I$34,MATCH($D1082,CARDS!$A$5:$A$34,0))="","",IF(INDEX(CARDS!$I$5:$I$34,MATCH($D1082,CARDS!$A$5:$A$34,0))&gt;INDEX(CARDS!$H$5:$H$34,MATCH($D1082,CARDS!$A$5:$A$34,0)),DATE(YEAR($AD1082),MONTH($AD1082),MIN(INDEX(CARDS!$I$5:$I$34,MATCH($D1082,CARDS!$A$5:$A$34,0)),DAY(EOMONTH($AD1082,0)))),DATE(YEAR($AD1082),MONTH($AD1082)+1,MIN(INDEX(CARDS!$I$5:$I$34,MATCH($D1082,CARDS!$A$5:$A$34,0)),DAY(EOMONTH($AD1082,1)))))),""))</f>
        <v/>
      </c>
      <c r="U1082" s="38" t="n"/>
      <c r="V1082" s="37" t="n"/>
      <c r="W1082" s="38" t="n"/>
      <c r="X1082" s="38" t="n"/>
      <c r="Y1082" s="44" t="str">
        <f>IF($AC1082&gt;0,INDEX(CASHBACK_RULES!$A$5:$A$304,$AC1082),"")</f>
        <v/>
      </c>
      <c r="Z1082" s="45" t="str">
        <f>IF($AC1082&gt;0,INDEX(CASHBACK_RULES!$E$5:$E$304,$AC1082)&amp;"","")</f>
        <v/>
      </c>
      <c r="AA1082" s="48" t="str">
        <f>IF($AC1082&gt;0,IF(ISNUMBER(INDEX(CASHBACK_RULES!$K$5:$K$304,$AC1082)),INDEX(CASHBACK_RULES!$K$5:$K$304,$AC1082),"∞"),"")</f>
        <v/>
      </c>
      <c r="AB1082" s="44" t="str">
        <f>IF(OR($B1082="",$D1082=""),"",IF($U1082="Cancelled","Đã hủy",IF($AC1082=0,"Không được hoàn",IF($Q1082=0,IF(OR($O1082&gt;0,$M1082&lt;$L1082),"Đã đạt cap","Không được hoàn"),IF(OR($Q1082&lt;$O1082,$M1082&lt;$L1082),"Hoàn một phần","Được hoàn")))))</f>
        <v/>
      </c>
      <c r="AC1082" s="43">
        <f>IF(OR($B1082="",$D1082="",$I1082="",$L1082=""),0,IF($U1082="Cancelled",0,IF($W1082&lt;&gt;"",IFERROR(IF(INDEX(CASHBACK_RULES!$B$5:$B$304,MATCH($W1082,CASHBACK_RULES!$A$5:$A$304,0))=$D1082,MATCH($W1082,CASHBACK_RULES!$A$5:$A$304,0),0),0),IFERROR(MATCH(1,INDEX((CASHBACK_RULES!$B$5:$B$304=$D1082)*(CASHBACK_RULES!$G$5:$G$304=$I1082)*(((CASHBACK_RULES!$N$5:$N$304="")+(CASHBACK_RULES!$N$5:$N$304&lt;=$B1082))&gt;0)*(((CASHBACK_RULES!$O$5:$O$304="")+(CASHBACK_RULES!$O$5:$O$304&gt;=$B1082))&gt;0)*(((CASHBACK_RULES!$M$5:$M$304="")+(CASHBACK_RULES!$M$5:$M$304&lt;=$L1082))&gt;0),0),0),0))))</f>
        <v>0</v>
      </c>
      <c r="AD1082" s="51" t="str">
        <f>IF(OR($B1082="",$D1082=""),"",IFERROR(IF(INDEX(CARDS!$H$5:$H$34,MATCH($D1082,CARDS!$A$5:$A$34,0))="","",IF(DAY($B1082)&lt;=INDEX(CARDS!$H$5:$H$34,MATCH($D1082,CARDS!$A$5:$A$34,0)),DATE(YEAR($B1082),MONTH($B1082),MIN(INDEX(CARDS!$H$5:$H$34,MATCH($D1082,CARDS!$A$5:$A$34,0)),DAY(EOMONTH($B1082,0)))),DATE(YEAR($B1082),MONTH($B1082)+1,MIN(INDEX(CARDS!$H$5:$H$34,MATCH($D1082,CARDS!$A$5:$A$34,0)),DAY(EOMONTH($B1082,1)))))),""))</f>
        <v/>
      </c>
      <c r="AE1082" s="52" t="str">
        <f>IF($C1082="","",$C1082&amp;"|"&amp;COUNTIF($C$5:$C1082,$C1082))</f>
        <v/>
      </c>
      <c r="AF1082" s="53">
        <f>IF($AC1082&gt;0,SUMIFS(Q$4:Q1081,$D$4:$D1081,$D1082,$Z$4:$Z1081,$Z1082,$C$4:$C1081,$C1082),0)</f>
        <v>0</v>
      </c>
      <c r="AG1082" s="53">
        <f>IF($AC1082&gt;0,SUMIFS(Q$4:Q1081,$D$4:$D1081,$D1082,$C$4:$C1081,$C1082),0)</f>
        <v>0</v>
      </c>
      <c r="AH1082" s="53">
        <f>IF($AC1082&gt;0,SUMIFS(M$4:M1081,$D$4:$D1081,$D1082,$Z$4:$Z1081,$Z1082,$C$4:$C1081,$C1082),0)</f>
        <v>0</v>
      </c>
      <c r="AI1082" s="43">
        <f>IF(OR($C1082="",$I1082=""),0,IF(COUNTIFS($C$5:$C1082,$C1082,$I$5:$I1082,$I1082)=1,1,0))</f>
        <v>0</v>
      </c>
      <c r="AJ1082" s="43" t="str">
        <f>IF($AI1082=1,SUMIFS($AI$4:$AI1081,$C$4:$C1081,$C1082)+1,"")</f>
        <v/>
      </c>
      <c r="AK1082" s="43">
        <f>IF(OR($C1082="",$K1082=""),0,IF(COUNTIFS($C$5:$C1082,$C1082,$K$5:$K1082,$K1082)=1,1,0))</f>
        <v>0</v>
      </c>
      <c r="AL1082" s="43" t="str">
        <f>IF($AK1082=1,SUMIFS($AK$4:$AK1081,$C$4:$C1081,$C1082)+1,"")</f>
        <v/>
      </c>
      <c r="AM1082" s="43">
        <f>IF(OR($C1082="",$G1082=""),0,IF(COUNTIFS($C$5:$C1082,$C1082,$G$5:$G1082,$G1082)=1,1,0))</f>
        <v>0</v>
      </c>
      <c r="AN1082" s="43" t="str">
        <f>IF($AM1082=1,SUMIFS($AM$4:$AM1081,$C$4:$C1081,$C1082)+1,"")</f>
        <v/>
      </c>
    </row>
    <row r="1083">
      <c r="A1083" s="44" t="str">
        <f>IF(OR($B1083="",$D1083=""),"","TX"&amp;TEXT(ROW()-4,"0000"))</f>
        <v/>
      </c>
      <c r="B1083" s="42" t="n"/>
      <c r="C1083" s="47" t="str">
        <f>IF($B1083="","",YEAR($B1083)*100+MONTH($B1083))</f>
        <v/>
      </c>
      <c r="D1083" s="37" t="n"/>
      <c r="E1083" s="45" t="str">
        <f>IF($D1083="","",IFERROR(INDEX(CARDS!$B$5:$B$34,MATCH($D1083,CARDS!$A$5:$A$34,0)),"⚠ Card ID?"))</f>
        <v/>
      </c>
      <c r="F1083" s="45" t="str">
        <f>IF($D1083="","",IFERROR(INDEX(CARDS!$C$5:$C$34,MATCH($D1083,CARDS!$A$5:$A$34,0)),"⚠ Card ID?"))</f>
        <v/>
      </c>
      <c r="G1083" s="37" t="n"/>
      <c r="H1083" s="37" t="n"/>
      <c r="I1083" s="41" t="n"/>
      <c r="J1083" s="45" t="str">
        <f>IF($I1083="","",IFERROR(INDEX(MCC_MASTER!$B$5:$B$504,MATCH($I1083,MCC_MASTER!$A$5:$A$504,0)),"⚠ MCC chưa có"))</f>
        <v/>
      </c>
      <c r="K1083" s="45" t="str">
        <f>IF($I1083="","",IFERROR(IF(INDEX(MCC_MASTER!$C$5:$C$504,MATCH($I1083,MCC_MASTER!$A$5:$A$504,0))="","Chưa phân loại",INDEX(MCC_MASTER!$C$5:$C$504,MATCH($I1083,MCC_MASTER!$A$5:$A$504,0))),"Chưa phân loại"))</f>
        <v/>
      </c>
      <c r="L1083" s="40" t="n"/>
      <c r="M1083" s="48" t="str">
        <f>IF(OR($B1083="",$D1083=""),"",IF($AC1083=0,0,IF(ISNUMBER(INDEX(CASHBACK_RULES!$L$5:$L$304,$AC1083)),MAX(0,MIN($L1083,INDEX(CASHBACK_RULES!$L$5:$L$304,$AC1083)-$AH1083)),MAX(0,$L1083))))</f>
        <v/>
      </c>
      <c r="N1083" s="49" t="str">
        <f>IF(OR($B1083="",$D1083=""),"",IF($AC1083&gt;0,INDEX(CASHBACK_RULES!$I$5:$I$304,$AC1083),0))</f>
        <v/>
      </c>
      <c r="O1083" s="48" t="str">
        <f>IF(OR($B1083="",$D1083=""),"",ROUND($M1083*$N1083,0))</f>
        <v/>
      </c>
      <c r="P1083" s="48" t="str">
        <f>IF($AC1083&gt;0,IF(ISNUMBER(INDEX(CASHBACK_RULES!$J$5:$J$304,$AC1083)),INDEX(CASHBACK_RULES!$J$5:$J$304,$AC1083),"∞"),"")</f>
        <v/>
      </c>
      <c r="Q1083" s="48" t="str">
        <f>IF(OR($B1083="",$D1083=""),"",IF($AC1083=0,0,MAX(0,MIN($O1083,IF(ISNUMBER($P1083),$P1083-$AF1083,1E+15),IF(ISNUMBER($AA1083),$AA1083-$AG1083,1E+15)))))</f>
        <v/>
      </c>
      <c r="R1083" s="48" t="str">
        <f>IF(OR($B1083="",$D1083=""),"",IF($AC1083=0,"",IF(AND(NOT(ISNUMBER($P1083)),NOT(ISNUMBER($AA1083))),"∞",MAX(0,MIN(IF(ISNUMBER($P1083),$P1083-$AF1083-$Q1083,1E+15),IF(ISNUMBER($AA1083),$AA1083-$AG1083-$Q1083,1E+15))))))</f>
        <v/>
      </c>
      <c r="S1083" s="47" t="str">
        <f>IF($AD1083="","",YEAR($AD1083)*100+MONTH($AD1083))</f>
        <v/>
      </c>
      <c r="T1083" s="50" t="str">
        <f>IF($AD1083="","",IFERROR(IF(INDEX(CARDS!$I$5:$I$34,MATCH($D1083,CARDS!$A$5:$A$34,0))="","",IF(INDEX(CARDS!$I$5:$I$34,MATCH($D1083,CARDS!$A$5:$A$34,0))&gt;INDEX(CARDS!$H$5:$H$34,MATCH($D1083,CARDS!$A$5:$A$34,0)),DATE(YEAR($AD1083),MONTH($AD1083),MIN(INDEX(CARDS!$I$5:$I$34,MATCH($D1083,CARDS!$A$5:$A$34,0)),DAY(EOMONTH($AD1083,0)))),DATE(YEAR($AD1083),MONTH($AD1083)+1,MIN(INDEX(CARDS!$I$5:$I$34,MATCH($D1083,CARDS!$A$5:$A$34,0)),DAY(EOMONTH($AD1083,1)))))),""))</f>
        <v/>
      </c>
      <c r="U1083" s="38" t="n"/>
      <c r="V1083" s="37" t="n"/>
      <c r="W1083" s="38" t="n"/>
      <c r="X1083" s="38" t="n"/>
      <c r="Y1083" s="44" t="str">
        <f>IF($AC1083&gt;0,INDEX(CASHBACK_RULES!$A$5:$A$304,$AC1083),"")</f>
        <v/>
      </c>
      <c r="Z1083" s="45" t="str">
        <f>IF($AC1083&gt;0,INDEX(CASHBACK_RULES!$E$5:$E$304,$AC1083)&amp;"","")</f>
        <v/>
      </c>
      <c r="AA1083" s="48" t="str">
        <f>IF($AC1083&gt;0,IF(ISNUMBER(INDEX(CASHBACK_RULES!$K$5:$K$304,$AC1083)),INDEX(CASHBACK_RULES!$K$5:$K$304,$AC1083),"∞"),"")</f>
        <v/>
      </c>
      <c r="AB1083" s="44" t="str">
        <f>IF(OR($B1083="",$D1083=""),"",IF($U1083="Cancelled","Đã hủy",IF($AC1083=0,"Không được hoàn",IF($Q1083=0,IF(OR($O1083&gt;0,$M1083&lt;$L1083),"Đã đạt cap","Không được hoàn"),IF(OR($Q1083&lt;$O1083,$M1083&lt;$L1083),"Hoàn một phần","Được hoàn")))))</f>
        <v/>
      </c>
      <c r="AC1083" s="43">
        <f>IF(OR($B1083="",$D1083="",$I1083="",$L1083=""),0,IF($U1083="Cancelled",0,IF($W1083&lt;&gt;"",IFERROR(IF(INDEX(CASHBACK_RULES!$B$5:$B$304,MATCH($W1083,CASHBACK_RULES!$A$5:$A$304,0))=$D1083,MATCH($W1083,CASHBACK_RULES!$A$5:$A$304,0),0),0),IFERROR(MATCH(1,INDEX((CASHBACK_RULES!$B$5:$B$304=$D1083)*(CASHBACK_RULES!$G$5:$G$304=$I1083)*(((CASHBACK_RULES!$N$5:$N$304="")+(CASHBACK_RULES!$N$5:$N$304&lt;=$B1083))&gt;0)*(((CASHBACK_RULES!$O$5:$O$304="")+(CASHBACK_RULES!$O$5:$O$304&gt;=$B1083))&gt;0)*(((CASHBACK_RULES!$M$5:$M$304="")+(CASHBACK_RULES!$M$5:$M$304&lt;=$L1083))&gt;0),0),0),0))))</f>
        <v>0</v>
      </c>
      <c r="AD1083" s="51" t="str">
        <f>IF(OR($B1083="",$D1083=""),"",IFERROR(IF(INDEX(CARDS!$H$5:$H$34,MATCH($D1083,CARDS!$A$5:$A$34,0))="","",IF(DAY($B1083)&lt;=INDEX(CARDS!$H$5:$H$34,MATCH($D1083,CARDS!$A$5:$A$34,0)),DATE(YEAR($B1083),MONTH($B1083),MIN(INDEX(CARDS!$H$5:$H$34,MATCH($D1083,CARDS!$A$5:$A$34,0)),DAY(EOMONTH($B1083,0)))),DATE(YEAR($B1083),MONTH($B1083)+1,MIN(INDEX(CARDS!$H$5:$H$34,MATCH($D1083,CARDS!$A$5:$A$34,0)),DAY(EOMONTH($B1083,1)))))),""))</f>
        <v/>
      </c>
      <c r="AE1083" s="52" t="str">
        <f>IF($C1083="","",$C1083&amp;"|"&amp;COUNTIF($C$5:$C1083,$C1083))</f>
        <v/>
      </c>
      <c r="AF1083" s="53">
        <f>IF($AC1083&gt;0,SUMIFS(Q$4:Q1082,$D$4:$D1082,$D1083,$Z$4:$Z1082,$Z1083,$C$4:$C1082,$C1083),0)</f>
        <v>0</v>
      </c>
      <c r="AG1083" s="53">
        <f>IF($AC1083&gt;0,SUMIFS(Q$4:Q1082,$D$4:$D1082,$D1083,$C$4:$C1082,$C1083),0)</f>
        <v>0</v>
      </c>
      <c r="AH1083" s="53">
        <f>IF($AC1083&gt;0,SUMIFS(M$4:M1082,$D$4:$D1082,$D1083,$Z$4:$Z1082,$Z1083,$C$4:$C1082,$C1083),0)</f>
        <v>0</v>
      </c>
      <c r="AI1083" s="43">
        <f>IF(OR($C1083="",$I1083=""),0,IF(COUNTIFS($C$5:$C1083,$C1083,$I$5:$I1083,$I1083)=1,1,0))</f>
        <v>0</v>
      </c>
      <c r="AJ1083" s="43" t="str">
        <f>IF($AI1083=1,SUMIFS($AI$4:$AI1082,$C$4:$C1082,$C1083)+1,"")</f>
        <v/>
      </c>
      <c r="AK1083" s="43">
        <f>IF(OR($C1083="",$K1083=""),0,IF(COUNTIFS($C$5:$C1083,$C1083,$K$5:$K1083,$K1083)=1,1,0))</f>
        <v>0</v>
      </c>
      <c r="AL1083" s="43" t="str">
        <f>IF($AK1083=1,SUMIFS($AK$4:$AK1082,$C$4:$C1082,$C1083)+1,"")</f>
        <v/>
      </c>
      <c r="AM1083" s="43">
        <f>IF(OR($C1083="",$G1083=""),0,IF(COUNTIFS($C$5:$C1083,$C1083,$G$5:$G1083,$G1083)=1,1,0))</f>
        <v>0</v>
      </c>
      <c r="AN1083" s="43" t="str">
        <f>IF($AM1083=1,SUMIFS($AM$4:$AM1082,$C$4:$C1082,$C1083)+1,"")</f>
        <v/>
      </c>
    </row>
    <row r="1084">
      <c r="A1084" s="44" t="str">
        <f>IF(OR($B1084="",$D1084=""),"","TX"&amp;TEXT(ROW()-4,"0000"))</f>
        <v/>
      </c>
      <c r="B1084" s="42" t="n"/>
      <c r="C1084" s="47" t="str">
        <f>IF($B1084="","",YEAR($B1084)*100+MONTH($B1084))</f>
        <v/>
      </c>
      <c r="D1084" s="37" t="n"/>
      <c r="E1084" s="45" t="str">
        <f>IF($D1084="","",IFERROR(INDEX(CARDS!$B$5:$B$34,MATCH($D1084,CARDS!$A$5:$A$34,0)),"⚠ Card ID?"))</f>
        <v/>
      </c>
      <c r="F1084" s="45" t="str">
        <f>IF($D1084="","",IFERROR(INDEX(CARDS!$C$5:$C$34,MATCH($D1084,CARDS!$A$5:$A$34,0)),"⚠ Card ID?"))</f>
        <v/>
      </c>
      <c r="G1084" s="37" t="n"/>
      <c r="H1084" s="37" t="n"/>
      <c r="I1084" s="41" t="n"/>
      <c r="J1084" s="45" t="str">
        <f>IF($I1084="","",IFERROR(INDEX(MCC_MASTER!$B$5:$B$504,MATCH($I1084,MCC_MASTER!$A$5:$A$504,0)),"⚠ MCC chưa có"))</f>
        <v/>
      </c>
      <c r="K1084" s="45" t="str">
        <f>IF($I1084="","",IFERROR(IF(INDEX(MCC_MASTER!$C$5:$C$504,MATCH($I1084,MCC_MASTER!$A$5:$A$504,0))="","Chưa phân loại",INDEX(MCC_MASTER!$C$5:$C$504,MATCH($I1084,MCC_MASTER!$A$5:$A$504,0))),"Chưa phân loại"))</f>
        <v/>
      </c>
      <c r="L1084" s="40" t="n"/>
      <c r="M1084" s="48" t="str">
        <f>IF(OR($B1084="",$D1084=""),"",IF($AC1084=0,0,IF(ISNUMBER(INDEX(CASHBACK_RULES!$L$5:$L$304,$AC1084)),MAX(0,MIN($L1084,INDEX(CASHBACK_RULES!$L$5:$L$304,$AC1084)-$AH1084)),MAX(0,$L1084))))</f>
        <v/>
      </c>
      <c r="N1084" s="49" t="str">
        <f>IF(OR($B1084="",$D1084=""),"",IF($AC1084&gt;0,INDEX(CASHBACK_RULES!$I$5:$I$304,$AC1084),0))</f>
        <v/>
      </c>
      <c r="O1084" s="48" t="str">
        <f>IF(OR($B1084="",$D1084=""),"",ROUND($M1084*$N1084,0))</f>
        <v/>
      </c>
      <c r="P1084" s="48" t="str">
        <f>IF($AC1084&gt;0,IF(ISNUMBER(INDEX(CASHBACK_RULES!$J$5:$J$304,$AC1084)),INDEX(CASHBACK_RULES!$J$5:$J$304,$AC1084),"∞"),"")</f>
        <v/>
      </c>
      <c r="Q1084" s="48" t="str">
        <f>IF(OR($B1084="",$D1084=""),"",IF($AC1084=0,0,MAX(0,MIN($O1084,IF(ISNUMBER($P1084),$P1084-$AF1084,1E+15),IF(ISNUMBER($AA1084),$AA1084-$AG1084,1E+15)))))</f>
        <v/>
      </c>
      <c r="R1084" s="48" t="str">
        <f>IF(OR($B1084="",$D1084=""),"",IF($AC1084=0,"",IF(AND(NOT(ISNUMBER($P1084)),NOT(ISNUMBER($AA1084))),"∞",MAX(0,MIN(IF(ISNUMBER($P1084),$P1084-$AF1084-$Q1084,1E+15),IF(ISNUMBER($AA1084),$AA1084-$AG1084-$Q1084,1E+15))))))</f>
        <v/>
      </c>
      <c r="S1084" s="47" t="str">
        <f>IF($AD1084="","",YEAR($AD1084)*100+MONTH($AD1084))</f>
        <v/>
      </c>
      <c r="T1084" s="50" t="str">
        <f>IF($AD1084="","",IFERROR(IF(INDEX(CARDS!$I$5:$I$34,MATCH($D1084,CARDS!$A$5:$A$34,0))="","",IF(INDEX(CARDS!$I$5:$I$34,MATCH($D1084,CARDS!$A$5:$A$34,0))&gt;INDEX(CARDS!$H$5:$H$34,MATCH($D1084,CARDS!$A$5:$A$34,0)),DATE(YEAR($AD1084),MONTH($AD1084),MIN(INDEX(CARDS!$I$5:$I$34,MATCH($D1084,CARDS!$A$5:$A$34,0)),DAY(EOMONTH($AD1084,0)))),DATE(YEAR($AD1084),MONTH($AD1084)+1,MIN(INDEX(CARDS!$I$5:$I$34,MATCH($D1084,CARDS!$A$5:$A$34,0)),DAY(EOMONTH($AD1084,1)))))),""))</f>
        <v/>
      </c>
      <c r="U1084" s="38" t="n"/>
      <c r="V1084" s="37" t="n"/>
      <c r="W1084" s="38" t="n"/>
      <c r="X1084" s="38" t="n"/>
      <c r="Y1084" s="44" t="str">
        <f>IF($AC1084&gt;0,INDEX(CASHBACK_RULES!$A$5:$A$304,$AC1084),"")</f>
        <v/>
      </c>
      <c r="Z1084" s="45" t="str">
        <f>IF($AC1084&gt;0,INDEX(CASHBACK_RULES!$E$5:$E$304,$AC1084)&amp;"","")</f>
        <v/>
      </c>
      <c r="AA1084" s="48" t="str">
        <f>IF($AC1084&gt;0,IF(ISNUMBER(INDEX(CASHBACK_RULES!$K$5:$K$304,$AC1084)),INDEX(CASHBACK_RULES!$K$5:$K$304,$AC1084),"∞"),"")</f>
        <v/>
      </c>
      <c r="AB1084" s="44" t="str">
        <f>IF(OR($B1084="",$D1084=""),"",IF($U1084="Cancelled","Đã hủy",IF($AC1084=0,"Không được hoàn",IF($Q1084=0,IF(OR($O1084&gt;0,$M1084&lt;$L1084),"Đã đạt cap","Không được hoàn"),IF(OR($Q1084&lt;$O1084,$M1084&lt;$L1084),"Hoàn một phần","Được hoàn")))))</f>
        <v/>
      </c>
      <c r="AC1084" s="43">
        <f>IF(OR($B1084="",$D1084="",$I1084="",$L1084=""),0,IF($U1084="Cancelled",0,IF($W1084&lt;&gt;"",IFERROR(IF(INDEX(CASHBACK_RULES!$B$5:$B$304,MATCH($W1084,CASHBACK_RULES!$A$5:$A$304,0))=$D1084,MATCH($W1084,CASHBACK_RULES!$A$5:$A$304,0),0),0),IFERROR(MATCH(1,INDEX((CASHBACK_RULES!$B$5:$B$304=$D1084)*(CASHBACK_RULES!$G$5:$G$304=$I1084)*(((CASHBACK_RULES!$N$5:$N$304="")+(CASHBACK_RULES!$N$5:$N$304&lt;=$B1084))&gt;0)*(((CASHBACK_RULES!$O$5:$O$304="")+(CASHBACK_RULES!$O$5:$O$304&gt;=$B1084))&gt;0)*(((CASHBACK_RULES!$M$5:$M$304="")+(CASHBACK_RULES!$M$5:$M$304&lt;=$L1084))&gt;0),0),0),0))))</f>
        <v>0</v>
      </c>
      <c r="AD1084" s="51" t="str">
        <f>IF(OR($B1084="",$D1084=""),"",IFERROR(IF(INDEX(CARDS!$H$5:$H$34,MATCH($D1084,CARDS!$A$5:$A$34,0))="","",IF(DAY($B1084)&lt;=INDEX(CARDS!$H$5:$H$34,MATCH($D1084,CARDS!$A$5:$A$34,0)),DATE(YEAR($B1084),MONTH($B1084),MIN(INDEX(CARDS!$H$5:$H$34,MATCH($D1084,CARDS!$A$5:$A$34,0)),DAY(EOMONTH($B1084,0)))),DATE(YEAR($B1084),MONTH($B1084)+1,MIN(INDEX(CARDS!$H$5:$H$34,MATCH($D1084,CARDS!$A$5:$A$34,0)),DAY(EOMONTH($B1084,1)))))),""))</f>
        <v/>
      </c>
      <c r="AE1084" s="52" t="str">
        <f>IF($C1084="","",$C1084&amp;"|"&amp;COUNTIF($C$5:$C1084,$C1084))</f>
        <v/>
      </c>
      <c r="AF1084" s="53">
        <f>IF($AC1084&gt;0,SUMIFS(Q$4:Q1083,$D$4:$D1083,$D1084,$Z$4:$Z1083,$Z1084,$C$4:$C1083,$C1084),0)</f>
        <v>0</v>
      </c>
      <c r="AG1084" s="53">
        <f>IF($AC1084&gt;0,SUMIFS(Q$4:Q1083,$D$4:$D1083,$D1084,$C$4:$C1083,$C1084),0)</f>
        <v>0</v>
      </c>
      <c r="AH1084" s="53">
        <f>IF($AC1084&gt;0,SUMIFS(M$4:M1083,$D$4:$D1083,$D1084,$Z$4:$Z1083,$Z1084,$C$4:$C1083,$C1084),0)</f>
        <v>0</v>
      </c>
      <c r="AI1084" s="43">
        <f>IF(OR($C1084="",$I1084=""),0,IF(COUNTIFS($C$5:$C1084,$C1084,$I$5:$I1084,$I1084)=1,1,0))</f>
        <v>0</v>
      </c>
      <c r="AJ1084" s="43" t="str">
        <f>IF($AI1084=1,SUMIFS($AI$4:$AI1083,$C$4:$C1083,$C1084)+1,"")</f>
        <v/>
      </c>
      <c r="AK1084" s="43">
        <f>IF(OR($C1084="",$K1084=""),0,IF(COUNTIFS($C$5:$C1084,$C1084,$K$5:$K1084,$K1084)=1,1,0))</f>
        <v>0</v>
      </c>
      <c r="AL1084" s="43" t="str">
        <f>IF($AK1084=1,SUMIFS($AK$4:$AK1083,$C$4:$C1083,$C1084)+1,"")</f>
        <v/>
      </c>
      <c r="AM1084" s="43">
        <f>IF(OR($C1084="",$G1084=""),0,IF(COUNTIFS($C$5:$C1084,$C1084,$G$5:$G1084,$G1084)=1,1,0))</f>
        <v>0</v>
      </c>
      <c r="AN1084" s="43" t="str">
        <f>IF($AM1084=1,SUMIFS($AM$4:$AM1083,$C$4:$C1083,$C1084)+1,"")</f>
        <v/>
      </c>
    </row>
    <row r="1085">
      <c r="A1085" s="44" t="str">
        <f>IF(OR($B1085="",$D1085=""),"","TX"&amp;TEXT(ROW()-4,"0000"))</f>
        <v/>
      </c>
      <c r="B1085" s="42" t="n"/>
      <c r="C1085" s="47" t="str">
        <f>IF($B1085="","",YEAR($B1085)*100+MONTH($B1085))</f>
        <v/>
      </c>
      <c r="D1085" s="37" t="n"/>
      <c r="E1085" s="45" t="str">
        <f>IF($D1085="","",IFERROR(INDEX(CARDS!$B$5:$B$34,MATCH($D1085,CARDS!$A$5:$A$34,0)),"⚠ Card ID?"))</f>
        <v/>
      </c>
      <c r="F1085" s="45" t="str">
        <f>IF($D1085="","",IFERROR(INDEX(CARDS!$C$5:$C$34,MATCH($D1085,CARDS!$A$5:$A$34,0)),"⚠ Card ID?"))</f>
        <v/>
      </c>
      <c r="G1085" s="37" t="n"/>
      <c r="H1085" s="37" t="n"/>
      <c r="I1085" s="41" t="n"/>
      <c r="J1085" s="45" t="str">
        <f>IF($I1085="","",IFERROR(INDEX(MCC_MASTER!$B$5:$B$504,MATCH($I1085,MCC_MASTER!$A$5:$A$504,0)),"⚠ MCC chưa có"))</f>
        <v/>
      </c>
      <c r="K1085" s="45" t="str">
        <f>IF($I1085="","",IFERROR(IF(INDEX(MCC_MASTER!$C$5:$C$504,MATCH($I1085,MCC_MASTER!$A$5:$A$504,0))="","Chưa phân loại",INDEX(MCC_MASTER!$C$5:$C$504,MATCH($I1085,MCC_MASTER!$A$5:$A$504,0))),"Chưa phân loại"))</f>
        <v/>
      </c>
      <c r="L1085" s="40" t="n"/>
      <c r="M1085" s="48" t="str">
        <f>IF(OR($B1085="",$D1085=""),"",IF($AC1085=0,0,IF(ISNUMBER(INDEX(CASHBACK_RULES!$L$5:$L$304,$AC1085)),MAX(0,MIN($L1085,INDEX(CASHBACK_RULES!$L$5:$L$304,$AC1085)-$AH1085)),MAX(0,$L1085))))</f>
        <v/>
      </c>
      <c r="N1085" s="49" t="str">
        <f>IF(OR($B1085="",$D1085=""),"",IF($AC1085&gt;0,INDEX(CASHBACK_RULES!$I$5:$I$304,$AC1085),0))</f>
        <v/>
      </c>
      <c r="O1085" s="48" t="str">
        <f>IF(OR($B1085="",$D1085=""),"",ROUND($M1085*$N1085,0))</f>
        <v/>
      </c>
      <c r="P1085" s="48" t="str">
        <f>IF($AC1085&gt;0,IF(ISNUMBER(INDEX(CASHBACK_RULES!$J$5:$J$304,$AC1085)),INDEX(CASHBACK_RULES!$J$5:$J$304,$AC1085),"∞"),"")</f>
        <v/>
      </c>
      <c r="Q1085" s="48" t="str">
        <f>IF(OR($B1085="",$D1085=""),"",IF($AC1085=0,0,MAX(0,MIN($O1085,IF(ISNUMBER($P1085),$P1085-$AF1085,1E+15),IF(ISNUMBER($AA1085),$AA1085-$AG1085,1E+15)))))</f>
        <v/>
      </c>
      <c r="R1085" s="48" t="str">
        <f>IF(OR($B1085="",$D1085=""),"",IF($AC1085=0,"",IF(AND(NOT(ISNUMBER($P1085)),NOT(ISNUMBER($AA1085))),"∞",MAX(0,MIN(IF(ISNUMBER($P1085),$P1085-$AF1085-$Q1085,1E+15),IF(ISNUMBER($AA1085),$AA1085-$AG1085-$Q1085,1E+15))))))</f>
        <v/>
      </c>
      <c r="S1085" s="47" t="str">
        <f>IF($AD1085="","",YEAR($AD1085)*100+MONTH($AD1085))</f>
        <v/>
      </c>
      <c r="T1085" s="50" t="str">
        <f>IF($AD1085="","",IFERROR(IF(INDEX(CARDS!$I$5:$I$34,MATCH($D1085,CARDS!$A$5:$A$34,0))="","",IF(INDEX(CARDS!$I$5:$I$34,MATCH($D1085,CARDS!$A$5:$A$34,0))&gt;INDEX(CARDS!$H$5:$H$34,MATCH($D1085,CARDS!$A$5:$A$34,0)),DATE(YEAR($AD1085),MONTH($AD1085),MIN(INDEX(CARDS!$I$5:$I$34,MATCH($D1085,CARDS!$A$5:$A$34,0)),DAY(EOMONTH($AD1085,0)))),DATE(YEAR($AD1085),MONTH($AD1085)+1,MIN(INDEX(CARDS!$I$5:$I$34,MATCH($D1085,CARDS!$A$5:$A$34,0)),DAY(EOMONTH($AD1085,1)))))),""))</f>
        <v/>
      </c>
      <c r="U1085" s="38" t="n"/>
      <c r="V1085" s="37" t="n"/>
      <c r="W1085" s="38" t="n"/>
      <c r="X1085" s="38" t="n"/>
      <c r="Y1085" s="44" t="str">
        <f>IF($AC1085&gt;0,INDEX(CASHBACK_RULES!$A$5:$A$304,$AC1085),"")</f>
        <v/>
      </c>
      <c r="Z1085" s="45" t="str">
        <f>IF($AC1085&gt;0,INDEX(CASHBACK_RULES!$E$5:$E$304,$AC1085)&amp;"","")</f>
        <v/>
      </c>
      <c r="AA1085" s="48" t="str">
        <f>IF($AC1085&gt;0,IF(ISNUMBER(INDEX(CASHBACK_RULES!$K$5:$K$304,$AC1085)),INDEX(CASHBACK_RULES!$K$5:$K$304,$AC1085),"∞"),"")</f>
        <v/>
      </c>
      <c r="AB1085" s="44" t="str">
        <f>IF(OR($B1085="",$D1085=""),"",IF($U1085="Cancelled","Đã hủy",IF($AC1085=0,"Không được hoàn",IF($Q1085=0,IF(OR($O1085&gt;0,$M1085&lt;$L1085),"Đã đạt cap","Không được hoàn"),IF(OR($Q1085&lt;$O1085,$M1085&lt;$L1085),"Hoàn một phần","Được hoàn")))))</f>
        <v/>
      </c>
      <c r="AC1085" s="43">
        <f>IF(OR($B1085="",$D1085="",$I1085="",$L1085=""),0,IF($U1085="Cancelled",0,IF($W1085&lt;&gt;"",IFERROR(IF(INDEX(CASHBACK_RULES!$B$5:$B$304,MATCH($W1085,CASHBACK_RULES!$A$5:$A$304,0))=$D1085,MATCH($W1085,CASHBACK_RULES!$A$5:$A$304,0),0),0),IFERROR(MATCH(1,INDEX((CASHBACK_RULES!$B$5:$B$304=$D1085)*(CASHBACK_RULES!$G$5:$G$304=$I1085)*(((CASHBACK_RULES!$N$5:$N$304="")+(CASHBACK_RULES!$N$5:$N$304&lt;=$B1085))&gt;0)*(((CASHBACK_RULES!$O$5:$O$304="")+(CASHBACK_RULES!$O$5:$O$304&gt;=$B1085))&gt;0)*(((CASHBACK_RULES!$M$5:$M$304="")+(CASHBACK_RULES!$M$5:$M$304&lt;=$L1085))&gt;0),0),0),0))))</f>
        <v>0</v>
      </c>
      <c r="AD1085" s="51" t="str">
        <f>IF(OR($B1085="",$D1085=""),"",IFERROR(IF(INDEX(CARDS!$H$5:$H$34,MATCH($D1085,CARDS!$A$5:$A$34,0))="","",IF(DAY($B1085)&lt;=INDEX(CARDS!$H$5:$H$34,MATCH($D1085,CARDS!$A$5:$A$34,0)),DATE(YEAR($B1085),MONTH($B1085),MIN(INDEX(CARDS!$H$5:$H$34,MATCH($D1085,CARDS!$A$5:$A$34,0)),DAY(EOMONTH($B1085,0)))),DATE(YEAR($B1085),MONTH($B1085)+1,MIN(INDEX(CARDS!$H$5:$H$34,MATCH($D1085,CARDS!$A$5:$A$34,0)),DAY(EOMONTH($B1085,1)))))),""))</f>
        <v/>
      </c>
      <c r="AE1085" s="52" t="str">
        <f>IF($C1085="","",$C1085&amp;"|"&amp;COUNTIF($C$5:$C1085,$C1085))</f>
        <v/>
      </c>
      <c r="AF1085" s="53">
        <f>IF($AC1085&gt;0,SUMIFS(Q$4:Q1084,$D$4:$D1084,$D1085,$Z$4:$Z1084,$Z1085,$C$4:$C1084,$C1085),0)</f>
        <v>0</v>
      </c>
      <c r="AG1085" s="53">
        <f>IF($AC1085&gt;0,SUMIFS(Q$4:Q1084,$D$4:$D1084,$D1085,$C$4:$C1084,$C1085),0)</f>
        <v>0</v>
      </c>
      <c r="AH1085" s="53">
        <f>IF($AC1085&gt;0,SUMIFS(M$4:M1084,$D$4:$D1084,$D1085,$Z$4:$Z1084,$Z1085,$C$4:$C1084,$C1085),0)</f>
        <v>0</v>
      </c>
      <c r="AI1085" s="43">
        <f>IF(OR($C1085="",$I1085=""),0,IF(COUNTIFS($C$5:$C1085,$C1085,$I$5:$I1085,$I1085)=1,1,0))</f>
        <v>0</v>
      </c>
      <c r="AJ1085" s="43" t="str">
        <f>IF($AI1085=1,SUMIFS($AI$4:$AI1084,$C$4:$C1084,$C1085)+1,"")</f>
        <v/>
      </c>
      <c r="AK1085" s="43">
        <f>IF(OR($C1085="",$K1085=""),0,IF(COUNTIFS($C$5:$C1085,$C1085,$K$5:$K1085,$K1085)=1,1,0))</f>
        <v>0</v>
      </c>
      <c r="AL1085" s="43" t="str">
        <f>IF($AK1085=1,SUMIFS($AK$4:$AK1084,$C$4:$C1084,$C1085)+1,"")</f>
        <v/>
      </c>
      <c r="AM1085" s="43">
        <f>IF(OR($C1085="",$G1085=""),0,IF(COUNTIFS($C$5:$C1085,$C1085,$G$5:$G1085,$G1085)=1,1,0))</f>
        <v>0</v>
      </c>
      <c r="AN1085" s="43" t="str">
        <f>IF($AM1085=1,SUMIFS($AM$4:$AM1084,$C$4:$C1084,$C1085)+1,"")</f>
        <v/>
      </c>
    </row>
    <row r="1086">
      <c r="A1086" s="44" t="str">
        <f>IF(OR($B1086="",$D1086=""),"","TX"&amp;TEXT(ROW()-4,"0000"))</f>
        <v/>
      </c>
      <c r="B1086" s="42" t="n"/>
      <c r="C1086" s="47" t="str">
        <f>IF($B1086="","",YEAR($B1086)*100+MONTH($B1086))</f>
        <v/>
      </c>
      <c r="D1086" s="37" t="n"/>
      <c r="E1086" s="45" t="str">
        <f>IF($D1086="","",IFERROR(INDEX(CARDS!$B$5:$B$34,MATCH($D1086,CARDS!$A$5:$A$34,0)),"⚠ Card ID?"))</f>
        <v/>
      </c>
      <c r="F1086" s="45" t="str">
        <f>IF($D1086="","",IFERROR(INDEX(CARDS!$C$5:$C$34,MATCH($D1086,CARDS!$A$5:$A$34,0)),"⚠ Card ID?"))</f>
        <v/>
      </c>
      <c r="G1086" s="37" t="n"/>
      <c r="H1086" s="37" t="n"/>
      <c r="I1086" s="41" t="n"/>
      <c r="J1086" s="45" t="str">
        <f>IF($I1086="","",IFERROR(INDEX(MCC_MASTER!$B$5:$B$504,MATCH($I1086,MCC_MASTER!$A$5:$A$504,0)),"⚠ MCC chưa có"))</f>
        <v/>
      </c>
      <c r="K1086" s="45" t="str">
        <f>IF($I1086="","",IFERROR(IF(INDEX(MCC_MASTER!$C$5:$C$504,MATCH($I1086,MCC_MASTER!$A$5:$A$504,0))="","Chưa phân loại",INDEX(MCC_MASTER!$C$5:$C$504,MATCH($I1086,MCC_MASTER!$A$5:$A$504,0))),"Chưa phân loại"))</f>
        <v/>
      </c>
      <c r="L1086" s="40" t="n"/>
      <c r="M1086" s="48" t="str">
        <f>IF(OR($B1086="",$D1086=""),"",IF($AC1086=0,0,IF(ISNUMBER(INDEX(CASHBACK_RULES!$L$5:$L$304,$AC1086)),MAX(0,MIN($L1086,INDEX(CASHBACK_RULES!$L$5:$L$304,$AC1086)-$AH1086)),MAX(0,$L1086))))</f>
        <v/>
      </c>
      <c r="N1086" s="49" t="str">
        <f>IF(OR($B1086="",$D1086=""),"",IF($AC1086&gt;0,INDEX(CASHBACK_RULES!$I$5:$I$304,$AC1086),0))</f>
        <v/>
      </c>
      <c r="O1086" s="48" t="str">
        <f>IF(OR($B1086="",$D1086=""),"",ROUND($M1086*$N1086,0))</f>
        <v/>
      </c>
      <c r="P1086" s="48" t="str">
        <f>IF($AC1086&gt;0,IF(ISNUMBER(INDEX(CASHBACK_RULES!$J$5:$J$304,$AC1086)),INDEX(CASHBACK_RULES!$J$5:$J$304,$AC1086),"∞"),"")</f>
        <v/>
      </c>
      <c r="Q1086" s="48" t="str">
        <f>IF(OR($B1086="",$D1086=""),"",IF($AC1086=0,0,MAX(0,MIN($O1086,IF(ISNUMBER($P1086),$P1086-$AF1086,1E+15),IF(ISNUMBER($AA1086),$AA1086-$AG1086,1E+15)))))</f>
        <v/>
      </c>
      <c r="R1086" s="48" t="str">
        <f>IF(OR($B1086="",$D1086=""),"",IF($AC1086=0,"",IF(AND(NOT(ISNUMBER($P1086)),NOT(ISNUMBER($AA1086))),"∞",MAX(0,MIN(IF(ISNUMBER($P1086),$P1086-$AF1086-$Q1086,1E+15),IF(ISNUMBER($AA1086),$AA1086-$AG1086-$Q1086,1E+15))))))</f>
        <v/>
      </c>
      <c r="S1086" s="47" t="str">
        <f>IF($AD1086="","",YEAR($AD1086)*100+MONTH($AD1086))</f>
        <v/>
      </c>
      <c r="T1086" s="50" t="str">
        <f>IF($AD1086="","",IFERROR(IF(INDEX(CARDS!$I$5:$I$34,MATCH($D1086,CARDS!$A$5:$A$34,0))="","",IF(INDEX(CARDS!$I$5:$I$34,MATCH($D1086,CARDS!$A$5:$A$34,0))&gt;INDEX(CARDS!$H$5:$H$34,MATCH($D1086,CARDS!$A$5:$A$34,0)),DATE(YEAR($AD1086),MONTH($AD1086),MIN(INDEX(CARDS!$I$5:$I$34,MATCH($D1086,CARDS!$A$5:$A$34,0)),DAY(EOMONTH($AD1086,0)))),DATE(YEAR($AD1086),MONTH($AD1086)+1,MIN(INDEX(CARDS!$I$5:$I$34,MATCH($D1086,CARDS!$A$5:$A$34,0)),DAY(EOMONTH($AD1086,1)))))),""))</f>
        <v/>
      </c>
      <c r="U1086" s="38" t="n"/>
      <c r="V1086" s="37" t="n"/>
      <c r="W1086" s="38" t="n"/>
      <c r="X1086" s="38" t="n"/>
      <c r="Y1086" s="44" t="str">
        <f>IF($AC1086&gt;0,INDEX(CASHBACK_RULES!$A$5:$A$304,$AC1086),"")</f>
        <v/>
      </c>
      <c r="Z1086" s="45" t="str">
        <f>IF($AC1086&gt;0,INDEX(CASHBACK_RULES!$E$5:$E$304,$AC1086)&amp;"","")</f>
        <v/>
      </c>
      <c r="AA1086" s="48" t="str">
        <f>IF($AC1086&gt;0,IF(ISNUMBER(INDEX(CASHBACK_RULES!$K$5:$K$304,$AC1086)),INDEX(CASHBACK_RULES!$K$5:$K$304,$AC1086),"∞"),"")</f>
        <v/>
      </c>
      <c r="AB1086" s="44" t="str">
        <f>IF(OR($B1086="",$D1086=""),"",IF($U1086="Cancelled","Đã hủy",IF($AC1086=0,"Không được hoàn",IF($Q1086=0,IF(OR($O1086&gt;0,$M1086&lt;$L1086),"Đã đạt cap","Không được hoàn"),IF(OR($Q1086&lt;$O1086,$M1086&lt;$L1086),"Hoàn một phần","Được hoàn")))))</f>
        <v/>
      </c>
      <c r="AC1086" s="43">
        <f>IF(OR($B1086="",$D1086="",$I1086="",$L1086=""),0,IF($U1086="Cancelled",0,IF($W1086&lt;&gt;"",IFERROR(IF(INDEX(CASHBACK_RULES!$B$5:$B$304,MATCH($W1086,CASHBACK_RULES!$A$5:$A$304,0))=$D1086,MATCH($W1086,CASHBACK_RULES!$A$5:$A$304,0),0),0),IFERROR(MATCH(1,INDEX((CASHBACK_RULES!$B$5:$B$304=$D1086)*(CASHBACK_RULES!$G$5:$G$304=$I1086)*(((CASHBACK_RULES!$N$5:$N$304="")+(CASHBACK_RULES!$N$5:$N$304&lt;=$B1086))&gt;0)*(((CASHBACK_RULES!$O$5:$O$304="")+(CASHBACK_RULES!$O$5:$O$304&gt;=$B1086))&gt;0)*(((CASHBACK_RULES!$M$5:$M$304="")+(CASHBACK_RULES!$M$5:$M$304&lt;=$L1086))&gt;0),0),0),0))))</f>
        <v>0</v>
      </c>
      <c r="AD1086" s="51" t="str">
        <f>IF(OR($B1086="",$D1086=""),"",IFERROR(IF(INDEX(CARDS!$H$5:$H$34,MATCH($D1086,CARDS!$A$5:$A$34,0))="","",IF(DAY($B1086)&lt;=INDEX(CARDS!$H$5:$H$34,MATCH($D1086,CARDS!$A$5:$A$34,0)),DATE(YEAR($B1086),MONTH($B1086),MIN(INDEX(CARDS!$H$5:$H$34,MATCH($D1086,CARDS!$A$5:$A$34,0)),DAY(EOMONTH($B1086,0)))),DATE(YEAR($B1086),MONTH($B1086)+1,MIN(INDEX(CARDS!$H$5:$H$34,MATCH($D1086,CARDS!$A$5:$A$34,0)),DAY(EOMONTH($B1086,1)))))),""))</f>
        <v/>
      </c>
      <c r="AE1086" s="52" t="str">
        <f>IF($C1086="","",$C1086&amp;"|"&amp;COUNTIF($C$5:$C1086,$C1086))</f>
        <v/>
      </c>
      <c r="AF1086" s="53">
        <f>IF($AC1086&gt;0,SUMIFS(Q$4:Q1085,$D$4:$D1085,$D1086,$Z$4:$Z1085,$Z1086,$C$4:$C1085,$C1086),0)</f>
        <v>0</v>
      </c>
      <c r="AG1086" s="53">
        <f>IF($AC1086&gt;0,SUMIFS(Q$4:Q1085,$D$4:$D1085,$D1086,$C$4:$C1085,$C1086),0)</f>
        <v>0</v>
      </c>
      <c r="AH1086" s="53">
        <f>IF($AC1086&gt;0,SUMIFS(M$4:M1085,$D$4:$D1085,$D1086,$Z$4:$Z1085,$Z1086,$C$4:$C1085,$C1086),0)</f>
        <v>0</v>
      </c>
      <c r="AI1086" s="43">
        <f>IF(OR($C1086="",$I1086=""),0,IF(COUNTIFS($C$5:$C1086,$C1086,$I$5:$I1086,$I1086)=1,1,0))</f>
        <v>0</v>
      </c>
      <c r="AJ1086" s="43" t="str">
        <f>IF($AI1086=1,SUMIFS($AI$4:$AI1085,$C$4:$C1085,$C1086)+1,"")</f>
        <v/>
      </c>
      <c r="AK1086" s="43">
        <f>IF(OR($C1086="",$K1086=""),0,IF(COUNTIFS($C$5:$C1086,$C1086,$K$5:$K1086,$K1086)=1,1,0))</f>
        <v>0</v>
      </c>
      <c r="AL1086" s="43" t="str">
        <f>IF($AK1086=1,SUMIFS($AK$4:$AK1085,$C$4:$C1085,$C1086)+1,"")</f>
        <v/>
      </c>
      <c r="AM1086" s="43">
        <f>IF(OR($C1086="",$G1086=""),0,IF(COUNTIFS($C$5:$C1086,$C1086,$G$5:$G1086,$G1086)=1,1,0))</f>
        <v>0</v>
      </c>
      <c r="AN1086" s="43" t="str">
        <f>IF($AM1086=1,SUMIFS($AM$4:$AM1085,$C$4:$C1085,$C1086)+1,"")</f>
        <v/>
      </c>
    </row>
    <row r="1087">
      <c r="A1087" s="44" t="str">
        <f>IF(OR($B1087="",$D1087=""),"","TX"&amp;TEXT(ROW()-4,"0000"))</f>
        <v/>
      </c>
      <c r="B1087" s="42" t="n"/>
      <c r="C1087" s="47" t="str">
        <f>IF($B1087="","",YEAR($B1087)*100+MONTH($B1087))</f>
        <v/>
      </c>
      <c r="D1087" s="37" t="n"/>
      <c r="E1087" s="45" t="str">
        <f>IF($D1087="","",IFERROR(INDEX(CARDS!$B$5:$B$34,MATCH($D1087,CARDS!$A$5:$A$34,0)),"⚠ Card ID?"))</f>
        <v/>
      </c>
      <c r="F1087" s="45" t="str">
        <f>IF($D1087="","",IFERROR(INDEX(CARDS!$C$5:$C$34,MATCH($D1087,CARDS!$A$5:$A$34,0)),"⚠ Card ID?"))</f>
        <v/>
      </c>
      <c r="G1087" s="37" t="n"/>
      <c r="H1087" s="37" t="n"/>
      <c r="I1087" s="41" t="n"/>
      <c r="J1087" s="45" t="str">
        <f>IF($I1087="","",IFERROR(INDEX(MCC_MASTER!$B$5:$B$504,MATCH($I1087,MCC_MASTER!$A$5:$A$504,0)),"⚠ MCC chưa có"))</f>
        <v/>
      </c>
      <c r="K1087" s="45" t="str">
        <f>IF($I1087="","",IFERROR(IF(INDEX(MCC_MASTER!$C$5:$C$504,MATCH($I1087,MCC_MASTER!$A$5:$A$504,0))="","Chưa phân loại",INDEX(MCC_MASTER!$C$5:$C$504,MATCH($I1087,MCC_MASTER!$A$5:$A$504,0))),"Chưa phân loại"))</f>
        <v/>
      </c>
      <c r="L1087" s="40" t="n"/>
      <c r="M1087" s="48" t="str">
        <f>IF(OR($B1087="",$D1087=""),"",IF($AC1087=0,0,IF(ISNUMBER(INDEX(CASHBACK_RULES!$L$5:$L$304,$AC1087)),MAX(0,MIN($L1087,INDEX(CASHBACK_RULES!$L$5:$L$304,$AC1087)-$AH1087)),MAX(0,$L1087))))</f>
        <v/>
      </c>
      <c r="N1087" s="49" t="str">
        <f>IF(OR($B1087="",$D1087=""),"",IF($AC1087&gt;0,INDEX(CASHBACK_RULES!$I$5:$I$304,$AC1087),0))</f>
        <v/>
      </c>
      <c r="O1087" s="48" t="str">
        <f>IF(OR($B1087="",$D1087=""),"",ROUND($M1087*$N1087,0))</f>
        <v/>
      </c>
      <c r="P1087" s="48" t="str">
        <f>IF($AC1087&gt;0,IF(ISNUMBER(INDEX(CASHBACK_RULES!$J$5:$J$304,$AC1087)),INDEX(CASHBACK_RULES!$J$5:$J$304,$AC1087),"∞"),"")</f>
        <v/>
      </c>
      <c r="Q1087" s="48" t="str">
        <f>IF(OR($B1087="",$D1087=""),"",IF($AC1087=0,0,MAX(0,MIN($O1087,IF(ISNUMBER($P1087),$P1087-$AF1087,1E+15),IF(ISNUMBER($AA1087),$AA1087-$AG1087,1E+15)))))</f>
        <v/>
      </c>
      <c r="R1087" s="48" t="str">
        <f>IF(OR($B1087="",$D1087=""),"",IF($AC1087=0,"",IF(AND(NOT(ISNUMBER($P1087)),NOT(ISNUMBER($AA1087))),"∞",MAX(0,MIN(IF(ISNUMBER($P1087),$P1087-$AF1087-$Q1087,1E+15),IF(ISNUMBER($AA1087),$AA1087-$AG1087-$Q1087,1E+15))))))</f>
        <v/>
      </c>
      <c r="S1087" s="47" t="str">
        <f>IF($AD1087="","",YEAR($AD1087)*100+MONTH($AD1087))</f>
        <v/>
      </c>
      <c r="T1087" s="50" t="str">
        <f>IF($AD1087="","",IFERROR(IF(INDEX(CARDS!$I$5:$I$34,MATCH($D1087,CARDS!$A$5:$A$34,0))="","",IF(INDEX(CARDS!$I$5:$I$34,MATCH($D1087,CARDS!$A$5:$A$34,0))&gt;INDEX(CARDS!$H$5:$H$34,MATCH($D1087,CARDS!$A$5:$A$34,0)),DATE(YEAR($AD1087),MONTH($AD1087),MIN(INDEX(CARDS!$I$5:$I$34,MATCH($D1087,CARDS!$A$5:$A$34,0)),DAY(EOMONTH($AD1087,0)))),DATE(YEAR($AD1087),MONTH($AD1087)+1,MIN(INDEX(CARDS!$I$5:$I$34,MATCH($D1087,CARDS!$A$5:$A$34,0)),DAY(EOMONTH($AD1087,1)))))),""))</f>
        <v/>
      </c>
      <c r="U1087" s="38" t="n"/>
      <c r="V1087" s="37" t="n"/>
      <c r="W1087" s="38" t="n"/>
      <c r="X1087" s="38" t="n"/>
      <c r="Y1087" s="44" t="str">
        <f>IF($AC1087&gt;0,INDEX(CASHBACK_RULES!$A$5:$A$304,$AC1087),"")</f>
        <v/>
      </c>
      <c r="Z1087" s="45" t="str">
        <f>IF($AC1087&gt;0,INDEX(CASHBACK_RULES!$E$5:$E$304,$AC1087)&amp;"","")</f>
        <v/>
      </c>
      <c r="AA1087" s="48" t="str">
        <f>IF($AC1087&gt;0,IF(ISNUMBER(INDEX(CASHBACK_RULES!$K$5:$K$304,$AC1087)),INDEX(CASHBACK_RULES!$K$5:$K$304,$AC1087),"∞"),"")</f>
        <v/>
      </c>
      <c r="AB1087" s="44" t="str">
        <f>IF(OR($B1087="",$D1087=""),"",IF($U1087="Cancelled","Đã hủy",IF($AC1087=0,"Không được hoàn",IF($Q1087=0,IF(OR($O1087&gt;0,$M1087&lt;$L1087),"Đã đạt cap","Không được hoàn"),IF(OR($Q1087&lt;$O1087,$M1087&lt;$L1087),"Hoàn một phần","Được hoàn")))))</f>
        <v/>
      </c>
      <c r="AC1087" s="43">
        <f>IF(OR($B1087="",$D1087="",$I1087="",$L1087=""),0,IF($U1087="Cancelled",0,IF($W1087&lt;&gt;"",IFERROR(IF(INDEX(CASHBACK_RULES!$B$5:$B$304,MATCH($W1087,CASHBACK_RULES!$A$5:$A$304,0))=$D1087,MATCH($W1087,CASHBACK_RULES!$A$5:$A$304,0),0),0),IFERROR(MATCH(1,INDEX((CASHBACK_RULES!$B$5:$B$304=$D1087)*(CASHBACK_RULES!$G$5:$G$304=$I1087)*(((CASHBACK_RULES!$N$5:$N$304="")+(CASHBACK_RULES!$N$5:$N$304&lt;=$B1087))&gt;0)*(((CASHBACK_RULES!$O$5:$O$304="")+(CASHBACK_RULES!$O$5:$O$304&gt;=$B1087))&gt;0)*(((CASHBACK_RULES!$M$5:$M$304="")+(CASHBACK_RULES!$M$5:$M$304&lt;=$L1087))&gt;0),0),0),0))))</f>
        <v>0</v>
      </c>
      <c r="AD1087" s="51" t="str">
        <f>IF(OR($B1087="",$D1087=""),"",IFERROR(IF(INDEX(CARDS!$H$5:$H$34,MATCH($D1087,CARDS!$A$5:$A$34,0))="","",IF(DAY($B1087)&lt;=INDEX(CARDS!$H$5:$H$34,MATCH($D1087,CARDS!$A$5:$A$34,0)),DATE(YEAR($B1087),MONTH($B1087),MIN(INDEX(CARDS!$H$5:$H$34,MATCH($D1087,CARDS!$A$5:$A$34,0)),DAY(EOMONTH($B1087,0)))),DATE(YEAR($B1087),MONTH($B1087)+1,MIN(INDEX(CARDS!$H$5:$H$34,MATCH($D1087,CARDS!$A$5:$A$34,0)),DAY(EOMONTH($B1087,1)))))),""))</f>
        <v/>
      </c>
      <c r="AE1087" s="52" t="str">
        <f>IF($C1087="","",$C1087&amp;"|"&amp;COUNTIF($C$5:$C1087,$C1087))</f>
        <v/>
      </c>
      <c r="AF1087" s="53">
        <f>IF($AC1087&gt;0,SUMIFS(Q$4:Q1086,$D$4:$D1086,$D1087,$Z$4:$Z1086,$Z1087,$C$4:$C1086,$C1087),0)</f>
        <v>0</v>
      </c>
      <c r="AG1087" s="53">
        <f>IF($AC1087&gt;0,SUMIFS(Q$4:Q1086,$D$4:$D1086,$D1087,$C$4:$C1086,$C1087),0)</f>
        <v>0</v>
      </c>
      <c r="AH1087" s="53">
        <f>IF($AC1087&gt;0,SUMIFS(M$4:M1086,$D$4:$D1086,$D1087,$Z$4:$Z1086,$Z1087,$C$4:$C1086,$C1087),0)</f>
        <v>0</v>
      </c>
      <c r="AI1087" s="43">
        <f>IF(OR($C1087="",$I1087=""),0,IF(COUNTIFS($C$5:$C1087,$C1087,$I$5:$I1087,$I1087)=1,1,0))</f>
        <v>0</v>
      </c>
      <c r="AJ1087" s="43" t="str">
        <f>IF($AI1087=1,SUMIFS($AI$4:$AI1086,$C$4:$C1086,$C1087)+1,"")</f>
        <v/>
      </c>
      <c r="AK1087" s="43">
        <f>IF(OR($C1087="",$K1087=""),0,IF(COUNTIFS($C$5:$C1087,$C1087,$K$5:$K1087,$K1087)=1,1,0))</f>
        <v>0</v>
      </c>
      <c r="AL1087" s="43" t="str">
        <f>IF($AK1087=1,SUMIFS($AK$4:$AK1086,$C$4:$C1086,$C1087)+1,"")</f>
        <v/>
      </c>
      <c r="AM1087" s="43">
        <f>IF(OR($C1087="",$G1087=""),0,IF(COUNTIFS($C$5:$C1087,$C1087,$G$5:$G1087,$G1087)=1,1,0))</f>
        <v>0</v>
      </c>
      <c r="AN1087" s="43" t="str">
        <f>IF($AM1087=1,SUMIFS($AM$4:$AM1086,$C$4:$C1086,$C1087)+1,"")</f>
        <v/>
      </c>
    </row>
    <row r="1088">
      <c r="A1088" s="44" t="str">
        <f>IF(OR($B1088="",$D1088=""),"","TX"&amp;TEXT(ROW()-4,"0000"))</f>
        <v/>
      </c>
      <c r="B1088" s="42" t="n"/>
      <c r="C1088" s="47" t="str">
        <f>IF($B1088="","",YEAR($B1088)*100+MONTH($B1088))</f>
        <v/>
      </c>
      <c r="D1088" s="37" t="n"/>
      <c r="E1088" s="45" t="str">
        <f>IF($D1088="","",IFERROR(INDEX(CARDS!$B$5:$B$34,MATCH($D1088,CARDS!$A$5:$A$34,0)),"⚠ Card ID?"))</f>
        <v/>
      </c>
      <c r="F1088" s="45" t="str">
        <f>IF($D1088="","",IFERROR(INDEX(CARDS!$C$5:$C$34,MATCH($D1088,CARDS!$A$5:$A$34,0)),"⚠ Card ID?"))</f>
        <v/>
      </c>
      <c r="G1088" s="37" t="n"/>
      <c r="H1088" s="37" t="n"/>
      <c r="I1088" s="41" t="n"/>
      <c r="J1088" s="45" t="str">
        <f>IF($I1088="","",IFERROR(INDEX(MCC_MASTER!$B$5:$B$504,MATCH($I1088,MCC_MASTER!$A$5:$A$504,0)),"⚠ MCC chưa có"))</f>
        <v/>
      </c>
      <c r="K1088" s="45" t="str">
        <f>IF($I1088="","",IFERROR(IF(INDEX(MCC_MASTER!$C$5:$C$504,MATCH($I1088,MCC_MASTER!$A$5:$A$504,0))="","Chưa phân loại",INDEX(MCC_MASTER!$C$5:$C$504,MATCH($I1088,MCC_MASTER!$A$5:$A$504,0))),"Chưa phân loại"))</f>
        <v/>
      </c>
      <c r="L1088" s="40" t="n"/>
      <c r="M1088" s="48" t="str">
        <f>IF(OR($B1088="",$D1088=""),"",IF($AC1088=0,0,IF(ISNUMBER(INDEX(CASHBACK_RULES!$L$5:$L$304,$AC1088)),MAX(0,MIN($L1088,INDEX(CASHBACK_RULES!$L$5:$L$304,$AC1088)-$AH1088)),MAX(0,$L1088))))</f>
        <v/>
      </c>
      <c r="N1088" s="49" t="str">
        <f>IF(OR($B1088="",$D1088=""),"",IF($AC1088&gt;0,INDEX(CASHBACK_RULES!$I$5:$I$304,$AC1088),0))</f>
        <v/>
      </c>
      <c r="O1088" s="48" t="str">
        <f>IF(OR($B1088="",$D1088=""),"",ROUND($M1088*$N1088,0))</f>
        <v/>
      </c>
      <c r="P1088" s="48" t="str">
        <f>IF($AC1088&gt;0,IF(ISNUMBER(INDEX(CASHBACK_RULES!$J$5:$J$304,$AC1088)),INDEX(CASHBACK_RULES!$J$5:$J$304,$AC1088),"∞"),"")</f>
        <v/>
      </c>
      <c r="Q1088" s="48" t="str">
        <f>IF(OR($B1088="",$D1088=""),"",IF($AC1088=0,0,MAX(0,MIN($O1088,IF(ISNUMBER($P1088),$P1088-$AF1088,1E+15),IF(ISNUMBER($AA1088),$AA1088-$AG1088,1E+15)))))</f>
        <v/>
      </c>
      <c r="R1088" s="48" t="str">
        <f>IF(OR($B1088="",$D1088=""),"",IF($AC1088=0,"",IF(AND(NOT(ISNUMBER($P1088)),NOT(ISNUMBER($AA1088))),"∞",MAX(0,MIN(IF(ISNUMBER($P1088),$P1088-$AF1088-$Q1088,1E+15),IF(ISNUMBER($AA1088),$AA1088-$AG1088-$Q1088,1E+15))))))</f>
        <v/>
      </c>
      <c r="S1088" s="47" t="str">
        <f>IF($AD1088="","",YEAR($AD1088)*100+MONTH($AD1088))</f>
        <v/>
      </c>
      <c r="T1088" s="50" t="str">
        <f>IF($AD1088="","",IFERROR(IF(INDEX(CARDS!$I$5:$I$34,MATCH($D1088,CARDS!$A$5:$A$34,0))="","",IF(INDEX(CARDS!$I$5:$I$34,MATCH($D1088,CARDS!$A$5:$A$34,0))&gt;INDEX(CARDS!$H$5:$H$34,MATCH($D1088,CARDS!$A$5:$A$34,0)),DATE(YEAR($AD1088),MONTH($AD1088),MIN(INDEX(CARDS!$I$5:$I$34,MATCH($D1088,CARDS!$A$5:$A$34,0)),DAY(EOMONTH($AD1088,0)))),DATE(YEAR($AD1088),MONTH($AD1088)+1,MIN(INDEX(CARDS!$I$5:$I$34,MATCH($D1088,CARDS!$A$5:$A$34,0)),DAY(EOMONTH($AD1088,1)))))),""))</f>
        <v/>
      </c>
      <c r="U1088" s="38" t="n"/>
      <c r="V1088" s="37" t="n"/>
      <c r="W1088" s="38" t="n"/>
      <c r="X1088" s="38" t="n"/>
      <c r="Y1088" s="44" t="str">
        <f>IF($AC1088&gt;0,INDEX(CASHBACK_RULES!$A$5:$A$304,$AC1088),"")</f>
        <v/>
      </c>
      <c r="Z1088" s="45" t="str">
        <f>IF($AC1088&gt;0,INDEX(CASHBACK_RULES!$E$5:$E$304,$AC1088)&amp;"","")</f>
        <v/>
      </c>
      <c r="AA1088" s="48" t="str">
        <f>IF($AC1088&gt;0,IF(ISNUMBER(INDEX(CASHBACK_RULES!$K$5:$K$304,$AC1088)),INDEX(CASHBACK_RULES!$K$5:$K$304,$AC1088),"∞"),"")</f>
        <v/>
      </c>
      <c r="AB1088" s="44" t="str">
        <f>IF(OR($B1088="",$D1088=""),"",IF($U1088="Cancelled","Đã hủy",IF($AC1088=0,"Không được hoàn",IF($Q1088=0,IF(OR($O1088&gt;0,$M1088&lt;$L1088),"Đã đạt cap","Không được hoàn"),IF(OR($Q1088&lt;$O1088,$M1088&lt;$L1088),"Hoàn một phần","Được hoàn")))))</f>
        <v/>
      </c>
      <c r="AC1088" s="43">
        <f>IF(OR($B1088="",$D1088="",$I1088="",$L1088=""),0,IF($U1088="Cancelled",0,IF($W1088&lt;&gt;"",IFERROR(IF(INDEX(CASHBACK_RULES!$B$5:$B$304,MATCH($W1088,CASHBACK_RULES!$A$5:$A$304,0))=$D1088,MATCH($W1088,CASHBACK_RULES!$A$5:$A$304,0),0),0),IFERROR(MATCH(1,INDEX((CASHBACK_RULES!$B$5:$B$304=$D1088)*(CASHBACK_RULES!$G$5:$G$304=$I1088)*(((CASHBACK_RULES!$N$5:$N$304="")+(CASHBACK_RULES!$N$5:$N$304&lt;=$B1088))&gt;0)*(((CASHBACK_RULES!$O$5:$O$304="")+(CASHBACK_RULES!$O$5:$O$304&gt;=$B1088))&gt;0)*(((CASHBACK_RULES!$M$5:$M$304="")+(CASHBACK_RULES!$M$5:$M$304&lt;=$L1088))&gt;0),0),0),0))))</f>
        <v>0</v>
      </c>
      <c r="AD1088" s="51" t="str">
        <f>IF(OR($B1088="",$D1088=""),"",IFERROR(IF(INDEX(CARDS!$H$5:$H$34,MATCH($D1088,CARDS!$A$5:$A$34,0))="","",IF(DAY($B1088)&lt;=INDEX(CARDS!$H$5:$H$34,MATCH($D1088,CARDS!$A$5:$A$34,0)),DATE(YEAR($B1088),MONTH($B1088),MIN(INDEX(CARDS!$H$5:$H$34,MATCH($D1088,CARDS!$A$5:$A$34,0)),DAY(EOMONTH($B1088,0)))),DATE(YEAR($B1088),MONTH($B1088)+1,MIN(INDEX(CARDS!$H$5:$H$34,MATCH($D1088,CARDS!$A$5:$A$34,0)),DAY(EOMONTH($B1088,1)))))),""))</f>
        <v/>
      </c>
      <c r="AE1088" s="52" t="str">
        <f>IF($C1088="","",$C1088&amp;"|"&amp;COUNTIF($C$5:$C1088,$C1088))</f>
        <v/>
      </c>
      <c r="AF1088" s="53">
        <f>IF($AC1088&gt;0,SUMIFS(Q$4:Q1087,$D$4:$D1087,$D1088,$Z$4:$Z1087,$Z1088,$C$4:$C1087,$C1088),0)</f>
        <v>0</v>
      </c>
      <c r="AG1088" s="53">
        <f>IF($AC1088&gt;0,SUMIFS(Q$4:Q1087,$D$4:$D1087,$D1088,$C$4:$C1087,$C1088),0)</f>
        <v>0</v>
      </c>
      <c r="AH1088" s="53">
        <f>IF($AC1088&gt;0,SUMIFS(M$4:M1087,$D$4:$D1087,$D1088,$Z$4:$Z1087,$Z1088,$C$4:$C1087,$C1088),0)</f>
        <v>0</v>
      </c>
      <c r="AI1088" s="43">
        <f>IF(OR($C1088="",$I1088=""),0,IF(COUNTIFS($C$5:$C1088,$C1088,$I$5:$I1088,$I1088)=1,1,0))</f>
        <v>0</v>
      </c>
      <c r="AJ1088" s="43" t="str">
        <f>IF($AI1088=1,SUMIFS($AI$4:$AI1087,$C$4:$C1087,$C1088)+1,"")</f>
        <v/>
      </c>
      <c r="AK1088" s="43">
        <f>IF(OR($C1088="",$K1088=""),0,IF(COUNTIFS($C$5:$C1088,$C1088,$K$5:$K1088,$K1088)=1,1,0))</f>
        <v>0</v>
      </c>
      <c r="AL1088" s="43" t="str">
        <f>IF($AK1088=1,SUMIFS($AK$4:$AK1087,$C$4:$C1087,$C1088)+1,"")</f>
        <v/>
      </c>
      <c r="AM1088" s="43">
        <f>IF(OR($C1088="",$G1088=""),0,IF(COUNTIFS($C$5:$C1088,$C1088,$G$5:$G1088,$G1088)=1,1,0))</f>
        <v>0</v>
      </c>
      <c r="AN1088" s="43" t="str">
        <f>IF($AM1088=1,SUMIFS($AM$4:$AM1087,$C$4:$C1087,$C1088)+1,"")</f>
        <v/>
      </c>
    </row>
    <row r="1089">
      <c r="A1089" s="44" t="str">
        <f>IF(OR($B1089="",$D1089=""),"","TX"&amp;TEXT(ROW()-4,"0000"))</f>
        <v/>
      </c>
      <c r="B1089" s="42" t="n"/>
      <c r="C1089" s="47" t="str">
        <f>IF($B1089="","",YEAR($B1089)*100+MONTH($B1089))</f>
        <v/>
      </c>
      <c r="D1089" s="37" t="n"/>
      <c r="E1089" s="45" t="str">
        <f>IF($D1089="","",IFERROR(INDEX(CARDS!$B$5:$B$34,MATCH($D1089,CARDS!$A$5:$A$34,0)),"⚠ Card ID?"))</f>
        <v/>
      </c>
      <c r="F1089" s="45" t="str">
        <f>IF($D1089="","",IFERROR(INDEX(CARDS!$C$5:$C$34,MATCH($D1089,CARDS!$A$5:$A$34,0)),"⚠ Card ID?"))</f>
        <v/>
      </c>
      <c r="G1089" s="37" t="n"/>
      <c r="H1089" s="37" t="n"/>
      <c r="I1089" s="41" t="n"/>
      <c r="J1089" s="45" t="str">
        <f>IF($I1089="","",IFERROR(INDEX(MCC_MASTER!$B$5:$B$504,MATCH($I1089,MCC_MASTER!$A$5:$A$504,0)),"⚠ MCC chưa có"))</f>
        <v/>
      </c>
      <c r="K1089" s="45" t="str">
        <f>IF($I1089="","",IFERROR(IF(INDEX(MCC_MASTER!$C$5:$C$504,MATCH($I1089,MCC_MASTER!$A$5:$A$504,0))="","Chưa phân loại",INDEX(MCC_MASTER!$C$5:$C$504,MATCH($I1089,MCC_MASTER!$A$5:$A$504,0))),"Chưa phân loại"))</f>
        <v/>
      </c>
      <c r="L1089" s="40" t="n"/>
      <c r="M1089" s="48" t="str">
        <f>IF(OR($B1089="",$D1089=""),"",IF($AC1089=0,0,IF(ISNUMBER(INDEX(CASHBACK_RULES!$L$5:$L$304,$AC1089)),MAX(0,MIN($L1089,INDEX(CASHBACK_RULES!$L$5:$L$304,$AC1089)-$AH1089)),MAX(0,$L1089))))</f>
        <v/>
      </c>
      <c r="N1089" s="49" t="str">
        <f>IF(OR($B1089="",$D1089=""),"",IF($AC1089&gt;0,INDEX(CASHBACK_RULES!$I$5:$I$304,$AC1089),0))</f>
        <v/>
      </c>
      <c r="O1089" s="48" t="str">
        <f>IF(OR($B1089="",$D1089=""),"",ROUND($M1089*$N1089,0))</f>
        <v/>
      </c>
      <c r="P1089" s="48" t="str">
        <f>IF($AC1089&gt;0,IF(ISNUMBER(INDEX(CASHBACK_RULES!$J$5:$J$304,$AC1089)),INDEX(CASHBACK_RULES!$J$5:$J$304,$AC1089),"∞"),"")</f>
        <v/>
      </c>
      <c r="Q1089" s="48" t="str">
        <f>IF(OR($B1089="",$D1089=""),"",IF($AC1089=0,0,MAX(0,MIN($O1089,IF(ISNUMBER($P1089),$P1089-$AF1089,1E+15),IF(ISNUMBER($AA1089),$AA1089-$AG1089,1E+15)))))</f>
        <v/>
      </c>
      <c r="R1089" s="48" t="str">
        <f>IF(OR($B1089="",$D1089=""),"",IF($AC1089=0,"",IF(AND(NOT(ISNUMBER($P1089)),NOT(ISNUMBER($AA1089))),"∞",MAX(0,MIN(IF(ISNUMBER($P1089),$P1089-$AF1089-$Q1089,1E+15),IF(ISNUMBER($AA1089),$AA1089-$AG1089-$Q1089,1E+15))))))</f>
        <v/>
      </c>
      <c r="S1089" s="47" t="str">
        <f>IF($AD1089="","",YEAR($AD1089)*100+MONTH($AD1089))</f>
        <v/>
      </c>
      <c r="T1089" s="50" t="str">
        <f>IF($AD1089="","",IFERROR(IF(INDEX(CARDS!$I$5:$I$34,MATCH($D1089,CARDS!$A$5:$A$34,0))="","",IF(INDEX(CARDS!$I$5:$I$34,MATCH($D1089,CARDS!$A$5:$A$34,0))&gt;INDEX(CARDS!$H$5:$H$34,MATCH($D1089,CARDS!$A$5:$A$34,0)),DATE(YEAR($AD1089),MONTH($AD1089),MIN(INDEX(CARDS!$I$5:$I$34,MATCH($D1089,CARDS!$A$5:$A$34,0)),DAY(EOMONTH($AD1089,0)))),DATE(YEAR($AD1089),MONTH($AD1089)+1,MIN(INDEX(CARDS!$I$5:$I$34,MATCH($D1089,CARDS!$A$5:$A$34,0)),DAY(EOMONTH($AD1089,1)))))),""))</f>
        <v/>
      </c>
      <c r="U1089" s="38" t="n"/>
      <c r="V1089" s="37" t="n"/>
      <c r="W1089" s="38" t="n"/>
      <c r="X1089" s="38" t="n"/>
      <c r="Y1089" s="44" t="str">
        <f>IF($AC1089&gt;0,INDEX(CASHBACK_RULES!$A$5:$A$304,$AC1089),"")</f>
        <v/>
      </c>
      <c r="Z1089" s="45" t="str">
        <f>IF($AC1089&gt;0,INDEX(CASHBACK_RULES!$E$5:$E$304,$AC1089)&amp;"","")</f>
        <v/>
      </c>
      <c r="AA1089" s="48" t="str">
        <f>IF($AC1089&gt;0,IF(ISNUMBER(INDEX(CASHBACK_RULES!$K$5:$K$304,$AC1089)),INDEX(CASHBACK_RULES!$K$5:$K$304,$AC1089),"∞"),"")</f>
        <v/>
      </c>
      <c r="AB1089" s="44" t="str">
        <f>IF(OR($B1089="",$D1089=""),"",IF($U1089="Cancelled","Đã hủy",IF($AC1089=0,"Không được hoàn",IF($Q1089=0,IF(OR($O1089&gt;0,$M1089&lt;$L1089),"Đã đạt cap","Không được hoàn"),IF(OR($Q1089&lt;$O1089,$M1089&lt;$L1089),"Hoàn một phần","Được hoàn")))))</f>
        <v/>
      </c>
      <c r="AC1089" s="43">
        <f>IF(OR($B1089="",$D1089="",$I1089="",$L1089=""),0,IF($U1089="Cancelled",0,IF($W1089&lt;&gt;"",IFERROR(IF(INDEX(CASHBACK_RULES!$B$5:$B$304,MATCH($W1089,CASHBACK_RULES!$A$5:$A$304,0))=$D1089,MATCH($W1089,CASHBACK_RULES!$A$5:$A$304,0),0),0),IFERROR(MATCH(1,INDEX((CASHBACK_RULES!$B$5:$B$304=$D1089)*(CASHBACK_RULES!$G$5:$G$304=$I1089)*(((CASHBACK_RULES!$N$5:$N$304="")+(CASHBACK_RULES!$N$5:$N$304&lt;=$B1089))&gt;0)*(((CASHBACK_RULES!$O$5:$O$304="")+(CASHBACK_RULES!$O$5:$O$304&gt;=$B1089))&gt;0)*(((CASHBACK_RULES!$M$5:$M$304="")+(CASHBACK_RULES!$M$5:$M$304&lt;=$L1089))&gt;0),0),0),0))))</f>
        <v>0</v>
      </c>
      <c r="AD1089" s="51" t="str">
        <f>IF(OR($B1089="",$D1089=""),"",IFERROR(IF(INDEX(CARDS!$H$5:$H$34,MATCH($D1089,CARDS!$A$5:$A$34,0))="","",IF(DAY($B1089)&lt;=INDEX(CARDS!$H$5:$H$34,MATCH($D1089,CARDS!$A$5:$A$34,0)),DATE(YEAR($B1089),MONTH($B1089),MIN(INDEX(CARDS!$H$5:$H$34,MATCH($D1089,CARDS!$A$5:$A$34,0)),DAY(EOMONTH($B1089,0)))),DATE(YEAR($B1089),MONTH($B1089)+1,MIN(INDEX(CARDS!$H$5:$H$34,MATCH($D1089,CARDS!$A$5:$A$34,0)),DAY(EOMONTH($B1089,1)))))),""))</f>
        <v/>
      </c>
      <c r="AE1089" s="52" t="str">
        <f>IF($C1089="","",$C1089&amp;"|"&amp;COUNTIF($C$5:$C1089,$C1089))</f>
        <v/>
      </c>
      <c r="AF1089" s="53">
        <f>IF($AC1089&gt;0,SUMIFS(Q$4:Q1088,$D$4:$D1088,$D1089,$Z$4:$Z1088,$Z1089,$C$4:$C1088,$C1089),0)</f>
        <v>0</v>
      </c>
      <c r="AG1089" s="53">
        <f>IF($AC1089&gt;0,SUMIFS(Q$4:Q1088,$D$4:$D1088,$D1089,$C$4:$C1088,$C1089),0)</f>
        <v>0</v>
      </c>
      <c r="AH1089" s="53">
        <f>IF($AC1089&gt;0,SUMIFS(M$4:M1088,$D$4:$D1088,$D1089,$Z$4:$Z1088,$Z1089,$C$4:$C1088,$C1089),0)</f>
        <v>0</v>
      </c>
      <c r="AI1089" s="43">
        <f>IF(OR($C1089="",$I1089=""),0,IF(COUNTIFS($C$5:$C1089,$C1089,$I$5:$I1089,$I1089)=1,1,0))</f>
        <v>0</v>
      </c>
      <c r="AJ1089" s="43" t="str">
        <f>IF($AI1089=1,SUMIFS($AI$4:$AI1088,$C$4:$C1088,$C1089)+1,"")</f>
        <v/>
      </c>
      <c r="AK1089" s="43">
        <f>IF(OR($C1089="",$K1089=""),0,IF(COUNTIFS($C$5:$C1089,$C1089,$K$5:$K1089,$K1089)=1,1,0))</f>
        <v>0</v>
      </c>
      <c r="AL1089" s="43" t="str">
        <f>IF($AK1089=1,SUMIFS($AK$4:$AK1088,$C$4:$C1088,$C1089)+1,"")</f>
        <v/>
      </c>
      <c r="AM1089" s="43">
        <f>IF(OR($C1089="",$G1089=""),0,IF(COUNTIFS($C$5:$C1089,$C1089,$G$5:$G1089,$G1089)=1,1,0))</f>
        <v>0</v>
      </c>
      <c r="AN1089" s="43" t="str">
        <f>IF($AM1089=1,SUMIFS($AM$4:$AM1088,$C$4:$C1088,$C1089)+1,"")</f>
        <v/>
      </c>
    </row>
    <row r="1090">
      <c r="A1090" s="44" t="str">
        <f>IF(OR($B1090="",$D1090=""),"","TX"&amp;TEXT(ROW()-4,"0000"))</f>
        <v/>
      </c>
      <c r="B1090" s="42" t="n"/>
      <c r="C1090" s="47" t="str">
        <f>IF($B1090="","",YEAR($B1090)*100+MONTH($B1090))</f>
        <v/>
      </c>
      <c r="D1090" s="37" t="n"/>
      <c r="E1090" s="45" t="str">
        <f>IF($D1090="","",IFERROR(INDEX(CARDS!$B$5:$B$34,MATCH($D1090,CARDS!$A$5:$A$34,0)),"⚠ Card ID?"))</f>
        <v/>
      </c>
      <c r="F1090" s="45" t="str">
        <f>IF($D1090="","",IFERROR(INDEX(CARDS!$C$5:$C$34,MATCH($D1090,CARDS!$A$5:$A$34,0)),"⚠ Card ID?"))</f>
        <v/>
      </c>
      <c r="G1090" s="37" t="n"/>
      <c r="H1090" s="37" t="n"/>
      <c r="I1090" s="41" t="n"/>
      <c r="J1090" s="45" t="str">
        <f>IF($I1090="","",IFERROR(INDEX(MCC_MASTER!$B$5:$B$504,MATCH($I1090,MCC_MASTER!$A$5:$A$504,0)),"⚠ MCC chưa có"))</f>
        <v/>
      </c>
      <c r="K1090" s="45" t="str">
        <f>IF($I1090="","",IFERROR(IF(INDEX(MCC_MASTER!$C$5:$C$504,MATCH($I1090,MCC_MASTER!$A$5:$A$504,0))="","Chưa phân loại",INDEX(MCC_MASTER!$C$5:$C$504,MATCH($I1090,MCC_MASTER!$A$5:$A$504,0))),"Chưa phân loại"))</f>
        <v/>
      </c>
      <c r="L1090" s="40" t="n"/>
      <c r="M1090" s="48" t="str">
        <f>IF(OR($B1090="",$D1090=""),"",IF($AC1090=0,0,IF(ISNUMBER(INDEX(CASHBACK_RULES!$L$5:$L$304,$AC1090)),MAX(0,MIN($L1090,INDEX(CASHBACK_RULES!$L$5:$L$304,$AC1090)-$AH1090)),MAX(0,$L1090))))</f>
        <v/>
      </c>
      <c r="N1090" s="49" t="str">
        <f>IF(OR($B1090="",$D1090=""),"",IF($AC1090&gt;0,INDEX(CASHBACK_RULES!$I$5:$I$304,$AC1090),0))</f>
        <v/>
      </c>
      <c r="O1090" s="48" t="str">
        <f>IF(OR($B1090="",$D1090=""),"",ROUND($M1090*$N1090,0))</f>
        <v/>
      </c>
      <c r="P1090" s="48" t="str">
        <f>IF($AC1090&gt;0,IF(ISNUMBER(INDEX(CASHBACK_RULES!$J$5:$J$304,$AC1090)),INDEX(CASHBACK_RULES!$J$5:$J$304,$AC1090),"∞"),"")</f>
        <v/>
      </c>
      <c r="Q1090" s="48" t="str">
        <f>IF(OR($B1090="",$D1090=""),"",IF($AC1090=0,0,MAX(0,MIN($O1090,IF(ISNUMBER($P1090),$P1090-$AF1090,1E+15),IF(ISNUMBER($AA1090),$AA1090-$AG1090,1E+15)))))</f>
        <v/>
      </c>
      <c r="R1090" s="48" t="str">
        <f>IF(OR($B1090="",$D1090=""),"",IF($AC1090=0,"",IF(AND(NOT(ISNUMBER($P1090)),NOT(ISNUMBER($AA1090))),"∞",MAX(0,MIN(IF(ISNUMBER($P1090),$P1090-$AF1090-$Q1090,1E+15),IF(ISNUMBER($AA1090),$AA1090-$AG1090-$Q1090,1E+15))))))</f>
        <v/>
      </c>
      <c r="S1090" s="47" t="str">
        <f>IF($AD1090="","",YEAR($AD1090)*100+MONTH($AD1090))</f>
        <v/>
      </c>
      <c r="T1090" s="50" t="str">
        <f>IF($AD1090="","",IFERROR(IF(INDEX(CARDS!$I$5:$I$34,MATCH($D1090,CARDS!$A$5:$A$34,0))="","",IF(INDEX(CARDS!$I$5:$I$34,MATCH($D1090,CARDS!$A$5:$A$34,0))&gt;INDEX(CARDS!$H$5:$H$34,MATCH($D1090,CARDS!$A$5:$A$34,0)),DATE(YEAR($AD1090),MONTH($AD1090),MIN(INDEX(CARDS!$I$5:$I$34,MATCH($D1090,CARDS!$A$5:$A$34,0)),DAY(EOMONTH($AD1090,0)))),DATE(YEAR($AD1090),MONTH($AD1090)+1,MIN(INDEX(CARDS!$I$5:$I$34,MATCH($D1090,CARDS!$A$5:$A$34,0)),DAY(EOMONTH($AD1090,1)))))),""))</f>
        <v/>
      </c>
      <c r="U1090" s="38" t="n"/>
      <c r="V1090" s="37" t="n"/>
      <c r="W1090" s="38" t="n"/>
      <c r="X1090" s="38" t="n"/>
      <c r="Y1090" s="44" t="str">
        <f>IF($AC1090&gt;0,INDEX(CASHBACK_RULES!$A$5:$A$304,$AC1090),"")</f>
        <v/>
      </c>
      <c r="Z1090" s="45" t="str">
        <f>IF($AC1090&gt;0,INDEX(CASHBACK_RULES!$E$5:$E$304,$AC1090)&amp;"","")</f>
        <v/>
      </c>
      <c r="AA1090" s="48" t="str">
        <f>IF($AC1090&gt;0,IF(ISNUMBER(INDEX(CASHBACK_RULES!$K$5:$K$304,$AC1090)),INDEX(CASHBACK_RULES!$K$5:$K$304,$AC1090),"∞"),"")</f>
        <v/>
      </c>
      <c r="AB1090" s="44" t="str">
        <f>IF(OR($B1090="",$D1090=""),"",IF($U1090="Cancelled","Đã hủy",IF($AC1090=0,"Không được hoàn",IF($Q1090=0,IF(OR($O1090&gt;0,$M1090&lt;$L1090),"Đã đạt cap","Không được hoàn"),IF(OR($Q1090&lt;$O1090,$M1090&lt;$L1090),"Hoàn một phần","Được hoàn")))))</f>
        <v/>
      </c>
      <c r="AC1090" s="43">
        <f>IF(OR($B1090="",$D1090="",$I1090="",$L1090=""),0,IF($U1090="Cancelled",0,IF($W1090&lt;&gt;"",IFERROR(IF(INDEX(CASHBACK_RULES!$B$5:$B$304,MATCH($W1090,CASHBACK_RULES!$A$5:$A$304,0))=$D1090,MATCH($W1090,CASHBACK_RULES!$A$5:$A$304,0),0),0),IFERROR(MATCH(1,INDEX((CASHBACK_RULES!$B$5:$B$304=$D1090)*(CASHBACK_RULES!$G$5:$G$304=$I1090)*(((CASHBACK_RULES!$N$5:$N$304="")+(CASHBACK_RULES!$N$5:$N$304&lt;=$B1090))&gt;0)*(((CASHBACK_RULES!$O$5:$O$304="")+(CASHBACK_RULES!$O$5:$O$304&gt;=$B1090))&gt;0)*(((CASHBACK_RULES!$M$5:$M$304="")+(CASHBACK_RULES!$M$5:$M$304&lt;=$L1090))&gt;0),0),0),0))))</f>
        <v>0</v>
      </c>
      <c r="AD1090" s="51" t="str">
        <f>IF(OR($B1090="",$D1090=""),"",IFERROR(IF(INDEX(CARDS!$H$5:$H$34,MATCH($D1090,CARDS!$A$5:$A$34,0))="","",IF(DAY($B1090)&lt;=INDEX(CARDS!$H$5:$H$34,MATCH($D1090,CARDS!$A$5:$A$34,0)),DATE(YEAR($B1090),MONTH($B1090),MIN(INDEX(CARDS!$H$5:$H$34,MATCH($D1090,CARDS!$A$5:$A$34,0)),DAY(EOMONTH($B1090,0)))),DATE(YEAR($B1090),MONTH($B1090)+1,MIN(INDEX(CARDS!$H$5:$H$34,MATCH($D1090,CARDS!$A$5:$A$34,0)),DAY(EOMONTH($B1090,1)))))),""))</f>
        <v/>
      </c>
      <c r="AE1090" s="52" t="str">
        <f>IF($C1090="","",$C1090&amp;"|"&amp;COUNTIF($C$5:$C1090,$C1090))</f>
        <v/>
      </c>
      <c r="AF1090" s="53">
        <f>IF($AC1090&gt;0,SUMIFS(Q$4:Q1089,$D$4:$D1089,$D1090,$Z$4:$Z1089,$Z1090,$C$4:$C1089,$C1090),0)</f>
        <v>0</v>
      </c>
      <c r="AG1090" s="53">
        <f>IF($AC1090&gt;0,SUMIFS(Q$4:Q1089,$D$4:$D1089,$D1090,$C$4:$C1089,$C1090),0)</f>
        <v>0</v>
      </c>
      <c r="AH1090" s="53">
        <f>IF($AC1090&gt;0,SUMIFS(M$4:M1089,$D$4:$D1089,$D1090,$Z$4:$Z1089,$Z1090,$C$4:$C1089,$C1090),0)</f>
        <v>0</v>
      </c>
      <c r="AI1090" s="43">
        <f>IF(OR($C1090="",$I1090=""),0,IF(COUNTIFS($C$5:$C1090,$C1090,$I$5:$I1090,$I1090)=1,1,0))</f>
        <v>0</v>
      </c>
      <c r="AJ1090" s="43" t="str">
        <f>IF($AI1090=1,SUMIFS($AI$4:$AI1089,$C$4:$C1089,$C1090)+1,"")</f>
        <v/>
      </c>
      <c r="AK1090" s="43">
        <f>IF(OR($C1090="",$K1090=""),0,IF(COUNTIFS($C$5:$C1090,$C1090,$K$5:$K1090,$K1090)=1,1,0))</f>
        <v>0</v>
      </c>
      <c r="AL1090" s="43" t="str">
        <f>IF($AK1090=1,SUMIFS($AK$4:$AK1089,$C$4:$C1089,$C1090)+1,"")</f>
        <v/>
      </c>
      <c r="AM1090" s="43">
        <f>IF(OR($C1090="",$G1090=""),0,IF(COUNTIFS($C$5:$C1090,$C1090,$G$5:$G1090,$G1090)=1,1,0))</f>
        <v>0</v>
      </c>
      <c r="AN1090" s="43" t="str">
        <f>IF($AM1090=1,SUMIFS($AM$4:$AM1089,$C$4:$C1089,$C1090)+1,"")</f>
        <v/>
      </c>
    </row>
    <row r="1091">
      <c r="A1091" s="44" t="str">
        <f>IF(OR($B1091="",$D1091=""),"","TX"&amp;TEXT(ROW()-4,"0000"))</f>
        <v/>
      </c>
      <c r="B1091" s="42" t="n"/>
      <c r="C1091" s="47" t="str">
        <f>IF($B1091="","",YEAR($B1091)*100+MONTH($B1091))</f>
        <v/>
      </c>
      <c r="D1091" s="37" t="n"/>
      <c r="E1091" s="45" t="str">
        <f>IF($D1091="","",IFERROR(INDEX(CARDS!$B$5:$B$34,MATCH($D1091,CARDS!$A$5:$A$34,0)),"⚠ Card ID?"))</f>
        <v/>
      </c>
      <c r="F1091" s="45" t="str">
        <f>IF($D1091="","",IFERROR(INDEX(CARDS!$C$5:$C$34,MATCH($D1091,CARDS!$A$5:$A$34,0)),"⚠ Card ID?"))</f>
        <v/>
      </c>
      <c r="G1091" s="37" t="n"/>
      <c r="H1091" s="37" t="n"/>
      <c r="I1091" s="41" t="n"/>
      <c r="J1091" s="45" t="str">
        <f>IF($I1091="","",IFERROR(INDEX(MCC_MASTER!$B$5:$B$504,MATCH($I1091,MCC_MASTER!$A$5:$A$504,0)),"⚠ MCC chưa có"))</f>
        <v/>
      </c>
      <c r="K1091" s="45" t="str">
        <f>IF($I1091="","",IFERROR(IF(INDEX(MCC_MASTER!$C$5:$C$504,MATCH($I1091,MCC_MASTER!$A$5:$A$504,0))="","Chưa phân loại",INDEX(MCC_MASTER!$C$5:$C$504,MATCH($I1091,MCC_MASTER!$A$5:$A$504,0))),"Chưa phân loại"))</f>
        <v/>
      </c>
      <c r="L1091" s="40" t="n"/>
      <c r="M1091" s="48" t="str">
        <f>IF(OR($B1091="",$D1091=""),"",IF($AC1091=0,0,IF(ISNUMBER(INDEX(CASHBACK_RULES!$L$5:$L$304,$AC1091)),MAX(0,MIN($L1091,INDEX(CASHBACK_RULES!$L$5:$L$304,$AC1091)-$AH1091)),MAX(0,$L1091))))</f>
        <v/>
      </c>
      <c r="N1091" s="49" t="str">
        <f>IF(OR($B1091="",$D1091=""),"",IF($AC1091&gt;0,INDEX(CASHBACK_RULES!$I$5:$I$304,$AC1091),0))</f>
        <v/>
      </c>
      <c r="O1091" s="48" t="str">
        <f>IF(OR($B1091="",$D1091=""),"",ROUND($M1091*$N1091,0))</f>
        <v/>
      </c>
      <c r="P1091" s="48" t="str">
        <f>IF($AC1091&gt;0,IF(ISNUMBER(INDEX(CASHBACK_RULES!$J$5:$J$304,$AC1091)),INDEX(CASHBACK_RULES!$J$5:$J$304,$AC1091),"∞"),"")</f>
        <v/>
      </c>
      <c r="Q1091" s="48" t="str">
        <f>IF(OR($B1091="",$D1091=""),"",IF($AC1091=0,0,MAX(0,MIN($O1091,IF(ISNUMBER($P1091),$P1091-$AF1091,1E+15),IF(ISNUMBER($AA1091),$AA1091-$AG1091,1E+15)))))</f>
        <v/>
      </c>
      <c r="R1091" s="48" t="str">
        <f>IF(OR($B1091="",$D1091=""),"",IF($AC1091=0,"",IF(AND(NOT(ISNUMBER($P1091)),NOT(ISNUMBER($AA1091))),"∞",MAX(0,MIN(IF(ISNUMBER($P1091),$P1091-$AF1091-$Q1091,1E+15),IF(ISNUMBER($AA1091),$AA1091-$AG1091-$Q1091,1E+15))))))</f>
        <v/>
      </c>
      <c r="S1091" s="47" t="str">
        <f>IF($AD1091="","",YEAR($AD1091)*100+MONTH($AD1091))</f>
        <v/>
      </c>
      <c r="T1091" s="50" t="str">
        <f>IF($AD1091="","",IFERROR(IF(INDEX(CARDS!$I$5:$I$34,MATCH($D1091,CARDS!$A$5:$A$34,0))="","",IF(INDEX(CARDS!$I$5:$I$34,MATCH($D1091,CARDS!$A$5:$A$34,0))&gt;INDEX(CARDS!$H$5:$H$34,MATCH($D1091,CARDS!$A$5:$A$34,0)),DATE(YEAR($AD1091),MONTH($AD1091),MIN(INDEX(CARDS!$I$5:$I$34,MATCH($D1091,CARDS!$A$5:$A$34,0)),DAY(EOMONTH($AD1091,0)))),DATE(YEAR($AD1091),MONTH($AD1091)+1,MIN(INDEX(CARDS!$I$5:$I$34,MATCH($D1091,CARDS!$A$5:$A$34,0)),DAY(EOMONTH($AD1091,1)))))),""))</f>
        <v/>
      </c>
      <c r="U1091" s="38" t="n"/>
      <c r="V1091" s="37" t="n"/>
      <c r="W1091" s="38" t="n"/>
      <c r="X1091" s="38" t="n"/>
      <c r="Y1091" s="44" t="str">
        <f>IF($AC1091&gt;0,INDEX(CASHBACK_RULES!$A$5:$A$304,$AC1091),"")</f>
        <v/>
      </c>
      <c r="Z1091" s="45" t="str">
        <f>IF($AC1091&gt;0,INDEX(CASHBACK_RULES!$E$5:$E$304,$AC1091)&amp;"","")</f>
        <v/>
      </c>
      <c r="AA1091" s="48" t="str">
        <f>IF($AC1091&gt;0,IF(ISNUMBER(INDEX(CASHBACK_RULES!$K$5:$K$304,$AC1091)),INDEX(CASHBACK_RULES!$K$5:$K$304,$AC1091),"∞"),"")</f>
        <v/>
      </c>
      <c r="AB1091" s="44" t="str">
        <f>IF(OR($B1091="",$D1091=""),"",IF($U1091="Cancelled","Đã hủy",IF($AC1091=0,"Không được hoàn",IF($Q1091=0,IF(OR($O1091&gt;0,$M1091&lt;$L1091),"Đã đạt cap","Không được hoàn"),IF(OR($Q1091&lt;$O1091,$M1091&lt;$L1091),"Hoàn một phần","Được hoàn")))))</f>
        <v/>
      </c>
      <c r="AC1091" s="43">
        <f>IF(OR($B1091="",$D1091="",$I1091="",$L1091=""),0,IF($U1091="Cancelled",0,IF($W1091&lt;&gt;"",IFERROR(IF(INDEX(CASHBACK_RULES!$B$5:$B$304,MATCH($W1091,CASHBACK_RULES!$A$5:$A$304,0))=$D1091,MATCH($W1091,CASHBACK_RULES!$A$5:$A$304,0),0),0),IFERROR(MATCH(1,INDEX((CASHBACK_RULES!$B$5:$B$304=$D1091)*(CASHBACK_RULES!$G$5:$G$304=$I1091)*(((CASHBACK_RULES!$N$5:$N$304="")+(CASHBACK_RULES!$N$5:$N$304&lt;=$B1091))&gt;0)*(((CASHBACK_RULES!$O$5:$O$304="")+(CASHBACK_RULES!$O$5:$O$304&gt;=$B1091))&gt;0)*(((CASHBACK_RULES!$M$5:$M$304="")+(CASHBACK_RULES!$M$5:$M$304&lt;=$L1091))&gt;0),0),0),0))))</f>
        <v>0</v>
      </c>
      <c r="AD1091" s="51" t="str">
        <f>IF(OR($B1091="",$D1091=""),"",IFERROR(IF(INDEX(CARDS!$H$5:$H$34,MATCH($D1091,CARDS!$A$5:$A$34,0))="","",IF(DAY($B1091)&lt;=INDEX(CARDS!$H$5:$H$34,MATCH($D1091,CARDS!$A$5:$A$34,0)),DATE(YEAR($B1091),MONTH($B1091),MIN(INDEX(CARDS!$H$5:$H$34,MATCH($D1091,CARDS!$A$5:$A$34,0)),DAY(EOMONTH($B1091,0)))),DATE(YEAR($B1091),MONTH($B1091)+1,MIN(INDEX(CARDS!$H$5:$H$34,MATCH($D1091,CARDS!$A$5:$A$34,0)),DAY(EOMONTH($B1091,1)))))),""))</f>
        <v/>
      </c>
      <c r="AE1091" s="52" t="str">
        <f>IF($C1091="","",$C1091&amp;"|"&amp;COUNTIF($C$5:$C1091,$C1091))</f>
        <v/>
      </c>
      <c r="AF1091" s="53">
        <f>IF($AC1091&gt;0,SUMIFS(Q$4:Q1090,$D$4:$D1090,$D1091,$Z$4:$Z1090,$Z1091,$C$4:$C1090,$C1091),0)</f>
        <v>0</v>
      </c>
      <c r="AG1091" s="53">
        <f>IF($AC1091&gt;0,SUMIFS(Q$4:Q1090,$D$4:$D1090,$D1091,$C$4:$C1090,$C1091),0)</f>
        <v>0</v>
      </c>
      <c r="AH1091" s="53">
        <f>IF($AC1091&gt;0,SUMIFS(M$4:M1090,$D$4:$D1090,$D1091,$Z$4:$Z1090,$Z1091,$C$4:$C1090,$C1091),0)</f>
        <v>0</v>
      </c>
      <c r="AI1091" s="43">
        <f>IF(OR($C1091="",$I1091=""),0,IF(COUNTIFS($C$5:$C1091,$C1091,$I$5:$I1091,$I1091)=1,1,0))</f>
        <v>0</v>
      </c>
      <c r="AJ1091" s="43" t="str">
        <f>IF($AI1091=1,SUMIFS($AI$4:$AI1090,$C$4:$C1090,$C1091)+1,"")</f>
        <v/>
      </c>
      <c r="AK1091" s="43">
        <f>IF(OR($C1091="",$K1091=""),0,IF(COUNTIFS($C$5:$C1091,$C1091,$K$5:$K1091,$K1091)=1,1,0))</f>
        <v>0</v>
      </c>
      <c r="AL1091" s="43" t="str">
        <f>IF($AK1091=1,SUMIFS($AK$4:$AK1090,$C$4:$C1090,$C1091)+1,"")</f>
        <v/>
      </c>
      <c r="AM1091" s="43">
        <f>IF(OR($C1091="",$G1091=""),0,IF(COUNTIFS($C$5:$C1091,$C1091,$G$5:$G1091,$G1091)=1,1,0))</f>
        <v>0</v>
      </c>
      <c r="AN1091" s="43" t="str">
        <f>IF($AM1091=1,SUMIFS($AM$4:$AM1090,$C$4:$C1090,$C1091)+1,"")</f>
        <v/>
      </c>
    </row>
    <row r="1092">
      <c r="A1092" s="44" t="str">
        <f>IF(OR($B1092="",$D1092=""),"","TX"&amp;TEXT(ROW()-4,"0000"))</f>
        <v/>
      </c>
      <c r="B1092" s="42" t="n"/>
      <c r="C1092" s="47" t="str">
        <f>IF($B1092="","",YEAR($B1092)*100+MONTH($B1092))</f>
        <v/>
      </c>
      <c r="D1092" s="37" t="n"/>
      <c r="E1092" s="45" t="str">
        <f>IF($D1092="","",IFERROR(INDEX(CARDS!$B$5:$B$34,MATCH($D1092,CARDS!$A$5:$A$34,0)),"⚠ Card ID?"))</f>
        <v/>
      </c>
      <c r="F1092" s="45" t="str">
        <f>IF($D1092="","",IFERROR(INDEX(CARDS!$C$5:$C$34,MATCH($D1092,CARDS!$A$5:$A$34,0)),"⚠ Card ID?"))</f>
        <v/>
      </c>
      <c r="G1092" s="37" t="n"/>
      <c r="H1092" s="37" t="n"/>
      <c r="I1092" s="41" t="n"/>
      <c r="J1092" s="45" t="str">
        <f>IF($I1092="","",IFERROR(INDEX(MCC_MASTER!$B$5:$B$504,MATCH($I1092,MCC_MASTER!$A$5:$A$504,0)),"⚠ MCC chưa có"))</f>
        <v/>
      </c>
      <c r="K1092" s="45" t="str">
        <f>IF($I1092="","",IFERROR(IF(INDEX(MCC_MASTER!$C$5:$C$504,MATCH($I1092,MCC_MASTER!$A$5:$A$504,0))="","Chưa phân loại",INDEX(MCC_MASTER!$C$5:$C$504,MATCH($I1092,MCC_MASTER!$A$5:$A$504,0))),"Chưa phân loại"))</f>
        <v/>
      </c>
      <c r="L1092" s="40" t="n"/>
      <c r="M1092" s="48" t="str">
        <f>IF(OR($B1092="",$D1092=""),"",IF($AC1092=0,0,IF(ISNUMBER(INDEX(CASHBACK_RULES!$L$5:$L$304,$AC1092)),MAX(0,MIN($L1092,INDEX(CASHBACK_RULES!$L$5:$L$304,$AC1092)-$AH1092)),MAX(0,$L1092))))</f>
        <v/>
      </c>
      <c r="N1092" s="49" t="str">
        <f>IF(OR($B1092="",$D1092=""),"",IF($AC1092&gt;0,INDEX(CASHBACK_RULES!$I$5:$I$304,$AC1092),0))</f>
        <v/>
      </c>
      <c r="O1092" s="48" t="str">
        <f>IF(OR($B1092="",$D1092=""),"",ROUND($M1092*$N1092,0))</f>
        <v/>
      </c>
      <c r="P1092" s="48" t="str">
        <f>IF($AC1092&gt;0,IF(ISNUMBER(INDEX(CASHBACK_RULES!$J$5:$J$304,$AC1092)),INDEX(CASHBACK_RULES!$J$5:$J$304,$AC1092),"∞"),"")</f>
        <v/>
      </c>
      <c r="Q1092" s="48" t="str">
        <f>IF(OR($B1092="",$D1092=""),"",IF($AC1092=0,0,MAX(0,MIN($O1092,IF(ISNUMBER($P1092),$P1092-$AF1092,1E+15),IF(ISNUMBER($AA1092),$AA1092-$AG1092,1E+15)))))</f>
        <v/>
      </c>
      <c r="R1092" s="48" t="str">
        <f>IF(OR($B1092="",$D1092=""),"",IF($AC1092=0,"",IF(AND(NOT(ISNUMBER($P1092)),NOT(ISNUMBER($AA1092))),"∞",MAX(0,MIN(IF(ISNUMBER($P1092),$P1092-$AF1092-$Q1092,1E+15),IF(ISNUMBER($AA1092),$AA1092-$AG1092-$Q1092,1E+15))))))</f>
        <v/>
      </c>
      <c r="S1092" s="47" t="str">
        <f>IF($AD1092="","",YEAR($AD1092)*100+MONTH($AD1092))</f>
        <v/>
      </c>
      <c r="T1092" s="50" t="str">
        <f>IF($AD1092="","",IFERROR(IF(INDEX(CARDS!$I$5:$I$34,MATCH($D1092,CARDS!$A$5:$A$34,0))="","",IF(INDEX(CARDS!$I$5:$I$34,MATCH($D1092,CARDS!$A$5:$A$34,0))&gt;INDEX(CARDS!$H$5:$H$34,MATCH($D1092,CARDS!$A$5:$A$34,0)),DATE(YEAR($AD1092),MONTH($AD1092),MIN(INDEX(CARDS!$I$5:$I$34,MATCH($D1092,CARDS!$A$5:$A$34,0)),DAY(EOMONTH($AD1092,0)))),DATE(YEAR($AD1092),MONTH($AD1092)+1,MIN(INDEX(CARDS!$I$5:$I$34,MATCH($D1092,CARDS!$A$5:$A$34,0)),DAY(EOMONTH($AD1092,1)))))),""))</f>
        <v/>
      </c>
      <c r="U1092" s="38" t="n"/>
      <c r="V1092" s="37" t="n"/>
      <c r="W1092" s="38" t="n"/>
      <c r="X1092" s="38" t="n"/>
      <c r="Y1092" s="44" t="str">
        <f>IF($AC1092&gt;0,INDEX(CASHBACK_RULES!$A$5:$A$304,$AC1092),"")</f>
        <v/>
      </c>
      <c r="Z1092" s="45" t="str">
        <f>IF($AC1092&gt;0,INDEX(CASHBACK_RULES!$E$5:$E$304,$AC1092)&amp;"","")</f>
        <v/>
      </c>
      <c r="AA1092" s="48" t="str">
        <f>IF($AC1092&gt;0,IF(ISNUMBER(INDEX(CASHBACK_RULES!$K$5:$K$304,$AC1092)),INDEX(CASHBACK_RULES!$K$5:$K$304,$AC1092),"∞"),"")</f>
        <v/>
      </c>
      <c r="AB1092" s="44" t="str">
        <f>IF(OR($B1092="",$D1092=""),"",IF($U1092="Cancelled","Đã hủy",IF($AC1092=0,"Không được hoàn",IF($Q1092=0,IF(OR($O1092&gt;0,$M1092&lt;$L1092),"Đã đạt cap","Không được hoàn"),IF(OR($Q1092&lt;$O1092,$M1092&lt;$L1092),"Hoàn một phần","Được hoàn")))))</f>
        <v/>
      </c>
      <c r="AC1092" s="43">
        <f>IF(OR($B1092="",$D1092="",$I1092="",$L1092=""),0,IF($U1092="Cancelled",0,IF($W1092&lt;&gt;"",IFERROR(IF(INDEX(CASHBACK_RULES!$B$5:$B$304,MATCH($W1092,CASHBACK_RULES!$A$5:$A$304,0))=$D1092,MATCH($W1092,CASHBACK_RULES!$A$5:$A$304,0),0),0),IFERROR(MATCH(1,INDEX((CASHBACK_RULES!$B$5:$B$304=$D1092)*(CASHBACK_RULES!$G$5:$G$304=$I1092)*(((CASHBACK_RULES!$N$5:$N$304="")+(CASHBACK_RULES!$N$5:$N$304&lt;=$B1092))&gt;0)*(((CASHBACK_RULES!$O$5:$O$304="")+(CASHBACK_RULES!$O$5:$O$304&gt;=$B1092))&gt;0)*(((CASHBACK_RULES!$M$5:$M$304="")+(CASHBACK_RULES!$M$5:$M$304&lt;=$L1092))&gt;0),0),0),0))))</f>
        <v>0</v>
      </c>
      <c r="AD1092" s="51" t="str">
        <f>IF(OR($B1092="",$D1092=""),"",IFERROR(IF(INDEX(CARDS!$H$5:$H$34,MATCH($D1092,CARDS!$A$5:$A$34,0))="","",IF(DAY($B1092)&lt;=INDEX(CARDS!$H$5:$H$34,MATCH($D1092,CARDS!$A$5:$A$34,0)),DATE(YEAR($B1092),MONTH($B1092),MIN(INDEX(CARDS!$H$5:$H$34,MATCH($D1092,CARDS!$A$5:$A$34,0)),DAY(EOMONTH($B1092,0)))),DATE(YEAR($B1092),MONTH($B1092)+1,MIN(INDEX(CARDS!$H$5:$H$34,MATCH($D1092,CARDS!$A$5:$A$34,0)),DAY(EOMONTH($B1092,1)))))),""))</f>
        <v/>
      </c>
      <c r="AE1092" s="52" t="str">
        <f>IF($C1092="","",$C1092&amp;"|"&amp;COUNTIF($C$5:$C1092,$C1092))</f>
        <v/>
      </c>
      <c r="AF1092" s="53">
        <f>IF($AC1092&gt;0,SUMIFS(Q$4:Q1091,$D$4:$D1091,$D1092,$Z$4:$Z1091,$Z1092,$C$4:$C1091,$C1092),0)</f>
        <v>0</v>
      </c>
      <c r="AG1092" s="53">
        <f>IF($AC1092&gt;0,SUMIFS(Q$4:Q1091,$D$4:$D1091,$D1092,$C$4:$C1091,$C1092),0)</f>
        <v>0</v>
      </c>
      <c r="AH1092" s="53">
        <f>IF($AC1092&gt;0,SUMIFS(M$4:M1091,$D$4:$D1091,$D1092,$Z$4:$Z1091,$Z1092,$C$4:$C1091,$C1092),0)</f>
        <v>0</v>
      </c>
      <c r="AI1092" s="43">
        <f>IF(OR($C1092="",$I1092=""),0,IF(COUNTIFS($C$5:$C1092,$C1092,$I$5:$I1092,$I1092)=1,1,0))</f>
        <v>0</v>
      </c>
      <c r="AJ1092" s="43" t="str">
        <f>IF($AI1092=1,SUMIFS($AI$4:$AI1091,$C$4:$C1091,$C1092)+1,"")</f>
        <v/>
      </c>
      <c r="AK1092" s="43">
        <f>IF(OR($C1092="",$K1092=""),0,IF(COUNTIFS($C$5:$C1092,$C1092,$K$5:$K1092,$K1092)=1,1,0))</f>
        <v>0</v>
      </c>
      <c r="AL1092" s="43" t="str">
        <f>IF($AK1092=1,SUMIFS($AK$4:$AK1091,$C$4:$C1091,$C1092)+1,"")</f>
        <v/>
      </c>
      <c r="AM1092" s="43">
        <f>IF(OR($C1092="",$G1092=""),0,IF(COUNTIFS($C$5:$C1092,$C1092,$G$5:$G1092,$G1092)=1,1,0))</f>
        <v>0</v>
      </c>
      <c r="AN1092" s="43" t="str">
        <f>IF($AM1092=1,SUMIFS($AM$4:$AM1091,$C$4:$C1091,$C1092)+1,"")</f>
        <v/>
      </c>
    </row>
    <row r="1093">
      <c r="A1093" s="44" t="str">
        <f>IF(OR($B1093="",$D1093=""),"","TX"&amp;TEXT(ROW()-4,"0000"))</f>
        <v/>
      </c>
      <c r="B1093" s="42" t="n"/>
      <c r="C1093" s="47" t="str">
        <f>IF($B1093="","",YEAR($B1093)*100+MONTH($B1093))</f>
        <v/>
      </c>
      <c r="D1093" s="37" t="n"/>
      <c r="E1093" s="45" t="str">
        <f>IF($D1093="","",IFERROR(INDEX(CARDS!$B$5:$B$34,MATCH($D1093,CARDS!$A$5:$A$34,0)),"⚠ Card ID?"))</f>
        <v/>
      </c>
      <c r="F1093" s="45" t="str">
        <f>IF($D1093="","",IFERROR(INDEX(CARDS!$C$5:$C$34,MATCH($D1093,CARDS!$A$5:$A$34,0)),"⚠ Card ID?"))</f>
        <v/>
      </c>
      <c r="G1093" s="37" t="n"/>
      <c r="H1093" s="37" t="n"/>
      <c r="I1093" s="41" t="n"/>
      <c r="J1093" s="45" t="str">
        <f>IF($I1093="","",IFERROR(INDEX(MCC_MASTER!$B$5:$B$504,MATCH($I1093,MCC_MASTER!$A$5:$A$504,0)),"⚠ MCC chưa có"))</f>
        <v/>
      </c>
      <c r="K1093" s="45" t="str">
        <f>IF($I1093="","",IFERROR(IF(INDEX(MCC_MASTER!$C$5:$C$504,MATCH($I1093,MCC_MASTER!$A$5:$A$504,0))="","Chưa phân loại",INDEX(MCC_MASTER!$C$5:$C$504,MATCH($I1093,MCC_MASTER!$A$5:$A$504,0))),"Chưa phân loại"))</f>
        <v/>
      </c>
      <c r="L1093" s="40" t="n"/>
      <c r="M1093" s="48" t="str">
        <f>IF(OR($B1093="",$D1093=""),"",IF($AC1093=0,0,IF(ISNUMBER(INDEX(CASHBACK_RULES!$L$5:$L$304,$AC1093)),MAX(0,MIN($L1093,INDEX(CASHBACK_RULES!$L$5:$L$304,$AC1093)-$AH1093)),MAX(0,$L1093))))</f>
        <v/>
      </c>
      <c r="N1093" s="49" t="str">
        <f>IF(OR($B1093="",$D1093=""),"",IF($AC1093&gt;0,INDEX(CASHBACK_RULES!$I$5:$I$304,$AC1093),0))</f>
        <v/>
      </c>
      <c r="O1093" s="48" t="str">
        <f>IF(OR($B1093="",$D1093=""),"",ROUND($M1093*$N1093,0))</f>
        <v/>
      </c>
      <c r="P1093" s="48" t="str">
        <f>IF($AC1093&gt;0,IF(ISNUMBER(INDEX(CASHBACK_RULES!$J$5:$J$304,$AC1093)),INDEX(CASHBACK_RULES!$J$5:$J$304,$AC1093),"∞"),"")</f>
        <v/>
      </c>
      <c r="Q1093" s="48" t="str">
        <f>IF(OR($B1093="",$D1093=""),"",IF($AC1093=0,0,MAX(0,MIN($O1093,IF(ISNUMBER($P1093),$P1093-$AF1093,1E+15),IF(ISNUMBER($AA1093),$AA1093-$AG1093,1E+15)))))</f>
        <v/>
      </c>
      <c r="R1093" s="48" t="str">
        <f>IF(OR($B1093="",$D1093=""),"",IF($AC1093=0,"",IF(AND(NOT(ISNUMBER($P1093)),NOT(ISNUMBER($AA1093))),"∞",MAX(0,MIN(IF(ISNUMBER($P1093),$P1093-$AF1093-$Q1093,1E+15),IF(ISNUMBER($AA1093),$AA1093-$AG1093-$Q1093,1E+15))))))</f>
        <v/>
      </c>
      <c r="S1093" s="47" t="str">
        <f>IF($AD1093="","",YEAR($AD1093)*100+MONTH($AD1093))</f>
        <v/>
      </c>
      <c r="T1093" s="50" t="str">
        <f>IF($AD1093="","",IFERROR(IF(INDEX(CARDS!$I$5:$I$34,MATCH($D1093,CARDS!$A$5:$A$34,0))="","",IF(INDEX(CARDS!$I$5:$I$34,MATCH($D1093,CARDS!$A$5:$A$34,0))&gt;INDEX(CARDS!$H$5:$H$34,MATCH($D1093,CARDS!$A$5:$A$34,0)),DATE(YEAR($AD1093),MONTH($AD1093),MIN(INDEX(CARDS!$I$5:$I$34,MATCH($D1093,CARDS!$A$5:$A$34,0)),DAY(EOMONTH($AD1093,0)))),DATE(YEAR($AD1093),MONTH($AD1093)+1,MIN(INDEX(CARDS!$I$5:$I$34,MATCH($D1093,CARDS!$A$5:$A$34,0)),DAY(EOMONTH($AD1093,1)))))),""))</f>
        <v/>
      </c>
      <c r="U1093" s="38" t="n"/>
      <c r="V1093" s="37" t="n"/>
      <c r="W1093" s="38" t="n"/>
      <c r="X1093" s="38" t="n"/>
      <c r="Y1093" s="44" t="str">
        <f>IF($AC1093&gt;0,INDEX(CASHBACK_RULES!$A$5:$A$304,$AC1093),"")</f>
        <v/>
      </c>
      <c r="Z1093" s="45" t="str">
        <f>IF($AC1093&gt;0,INDEX(CASHBACK_RULES!$E$5:$E$304,$AC1093)&amp;"","")</f>
        <v/>
      </c>
      <c r="AA1093" s="48" t="str">
        <f>IF($AC1093&gt;0,IF(ISNUMBER(INDEX(CASHBACK_RULES!$K$5:$K$304,$AC1093)),INDEX(CASHBACK_RULES!$K$5:$K$304,$AC1093),"∞"),"")</f>
        <v/>
      </c>
      <c r="AB1093" s="44" t="str">
        <f>IF(OR($B1093="",$D1093=""),"",IF($U1093="Cancelled","Đã hủy",IF($AC1093=0,"Không được hoàn",IF($Q1093=0,IF(OR($O1093&gt;0,$M1093&lt;$L1093),"Đã đạt cap","Không được hoàn"),IF(OR($Q1093&lt;$O1093,$M1093&lt;$L1093),"Hoàn một phần","Được hoàn")))))</f>
        <v/>
      </c>
      <c r="AC1093" s="43">
        <f>IF(OR($B1093="",$D1093="",$I1093="",$L1093=""),0,IF($U1093="Cancelled",0,IF($W1093&lt;&gt;"",IFERROR(IF(INDEX(CASHBACK_RULES!$B$5:$B$304,MATCH($W1093,CASHBACK_RULES!$A$5:$A$304,0))=$D1093,MATCH($W1093,CASHBACK_RULES!$A$5:$A$304,0),0),0),IFERROR(MATCH(1,INDEX((CASHBACK_RULES!$B$5:$B$304=$D1093)*(CASHBACK_RULES!$G$5:$G$304=$I1093)*(((CASHBACK_RULES!$N$5:$N$304="")+(CASHBACK_RULES!$N$5:$N$304&lt;=$B1093))&gt;0)*(((CASHBACK_RULES!$O$5:$O$304="")+(CASHBACK_RULES!$O$5:$O$304&gt;=$B1093))&gt;0)*(((CASHBACK_RULES!$M$5:$M$304="")+(CASHBACK_RULES!$M$5:$M$304&lt;=$L1093))&gt;0),0),0),0))))</f>
        <v>0</v>
      </c>
      <c r="AD1093" s="51" t="str">
        <f>IF(OR($B1093="",$D1093=""),"",IFERROR(IF(INDEX(CARDS!$H$5:$H$34,MATCH($D1093,CARDS!$A$5:$A$34,0))="","",IF(DAY($B1093)&lt;=INDEX(CARDS!$H$5:$H$34,MATCH($D1093,CARDS!$A$5:$A$34,0)),DATE(YEAR($B1093),MONTH($B1093),MIN(INDEX(CARDS!$H$5:$H$34,MATCH($D1093,CARDS!$A$5:$A$34,0)),DAY(EOMONTH($B1093,0)))),DATE(YEAR($B1093),MONTH($B1093)+1,MIN(INDEX(CARDS!$H$5:$H$34,MATCH($D1093,CARDS!$A$5:$A$34,0)),DAY(EOMONTH($B1093,1)))))),""))</f>
        <v/>
      </c>
      <c r="AE1093" s="52" t="str">
        <f>IF($C1093="","",$C1093&amp;"|"&amp;COUNTIF($C$5:$C1093,$C1093))</f>
        <v/>
      </c>
      <c r="AF1093" s="53">
        <f>IF($AC1093&gt;0,SUMIFS(Q$4:Q1092,$D$4:$D1092,$D1093,$Z$4:$Z1092,$Z1093,$C$4:$C1092,$C1093),0)</f>
        <v>0</v>
      </c>
      <c r="AG1093" s="53">
        <f>IF($AC1093&gt;0,SUMIFS(Q$4:Q1092,$D$4:$D1092,$D1093,$C$4:$C1092,$C1093),0)</f>
        <v>0</v>
      </c>
      <c r="AH1093" s="53">
        <f>IF($AC1093&gt;0,SUMIFS(M$4:M1092,$D$4:$D1092,$D1093,$Z$4:$Z1092,$Z1093,$C$4:$C1092,$C1093),0)</f>
        <v>0</v>
      </c>
      <c r="AI1093" s="43">
        <f>IF(OR($C1093="",$I1093=""),0,IF(COUNTIFS($C$5:$C1093,$C1093,$I$5:$I1093,$I1093)=1,1,0))</f>
        <v>0</v>
      </c>
      <c r="AJ1093" s="43" t="str">
        <f>IF($AI1093=1,SUMIFS($AI$4:$AI1092,$C$4:$C1092,$C1093)+1,"")</f>
        <v/>
      </c>
      <c r="AK1093" s="43">
        <f>IF(OR($C1093="",$K1093=""),0,IF(COUNTIFS($C$5:$C1093,$C1093,$K$5:$K1093,$K1093)=1,1,0))</f>
        <v>0</v>
      </c>
      <c r="AL1093" s="43" t="str">
        <f>IF($AK1093=1,SUMIFS($AK$4:$AK1092,$C$4:$C1092,$C1093)+1,"")</f>
        <v/>
      </c>
      <c r="AM1093" s="43">
        <f>IF(OR($C1093="",$G1093=""),0,IF(COUNTIFS($C$5:$C1093,$C1093,$G$5:$G1093,$G1093)=1,1,0))</f>
        <v>0</v>
      </c>
      <c r="AN1093" s="43" t="str">
        <f>IF($AM1093=1,SUMIFS($AM$4:$AM1092,$C$4:$C1092,$C1093)+1,"")</f>
        <v/>
      </c>
    </row>
    <row r="1094">
      <c r="A1094" s="44" t="str">
        <f>IF(OR($B1094="",$D1094=""),"","TX"&amp;TEXT(ROW()-4,"0000"))</f>
        <v/>
      </c>
      <c r="B1094" s="42" t="n"/>
      <c r="C1094" s="47" t="str">
        <f>IF($B1094="","",YEAR($B1094)*100+MONTH($B1094))</f>
        <v/>
      </c>
      <c r="D1094" s="37" t="n"/>
      <c r="E1094" s="45" t="str">
        <f>IF($D1094="","",IFERROR(INDEX(CARDS!$B$5:$B$34,MATCH($D1094,CARDS!$A$5:$A$34,0)),"⚠ Card ID?"))</f>
        <v/>
      </c>
      <c r="F1094" s="45" t="str">
        <f>IF($D1094="","",IFERROR(INDEX(CARDS!$C$5:$C$34,MATCH($D1094,CARDS!$A$5:$A$34,0)),"⚠ Card ID?"))</f>
        <v/>
      </c>
      <c r="G1094" s="37" t="n"/>
      <c r="H1094" s="37" t="n"/>
      <c r="I1094" s="41" t="n"/>
      <c r="J1094" s="45" t="str">
        <f>IF($I1094="","",IFERROR(INDEX(MCC_MASTER!$B$5:$B$504,MATCH($I1094,MCC_MASTER!$A$5:$A$504,0)),"⚠ MCC chưa có"))</f>
        <v/>
      </c>
      <c r="K1094" s="45" t="str">
        <f>IF($I1094="","",IFERROR(IF(INDEX(MCC_MASTER!$C$5:$C$504,MATCH($I1094,MCC_MASTER!$A$5:$A$504,0))="","Chưa phân loại",INDEX(MCC_MASTER!$C$5:$C$504,MATCH($I1094,MCC_MASTER!$A$5:$A$504,0))),"Chưa phân loại"))</f>
        <v/>
      </c>
      <c r="L1094" s="40" t="n"/>
      <c r="M1094" s="48" t="str">
        <f>IF(OR($B1094="",$D1094=""),"",IF($AC1094=0,0,IF(ISNUMBER(INDEX(CASHBACK_RULES!$L$5:$L$304,$AC1094)),MAX(0,MIN($L1094,INDEX(CASHBACK_RULES!$L$5:$L$304,$AC1094)-$AH1094)),MAX(0,$L1094))))</f>
        <v/>
      </c>
      <c r="N1094" s="49" t="str">
        <f>IF(OR($B1094="",$D1094=""),"",IF($AC1094&gt;0,INDEX(CASHBACK_RULES!$I$5:$I$304,$AC1094),0))</f>
        <v/>
      </c>
      <c r="O1094" s="48" t="str">
        <f>IF(OR($B1094="",$D1094=""),"",ROUND($M1094*$N1094,0))</f>
        <v/>
      </c>
      <c r="P1094" s="48" t="str">
        <f>IF($AC1094&gt;0,IF(ISNUMBER(INDEX(CASHBACK_RULES!$J$5:$J$304,$AC1094)),INDEX(CASHBACK_RULES!$J$5:$J$304,$AC1094),"∞"),"")</f>
        <v/>
      </c>
      <c r="Q1094" s="48" t="str">
        <f>IF(OR($B1094="",$D1094=""),"",IF($AC1094=0,0,MAX(0,MIN($O1094,IF(ISNUMBER($P1094),$P1094-$AF1094,1E+15),IF(ISNUMBER($AA1094),$AA1094-$AG1094,1E+15)))))</f>
        <v/>
      </c>
      <c r="R1094" s="48" t="str">
        <f>IF(OR($B1094="",$D1094=""),"",IF($AC1094=0,"",IF(AND(NOT(ISNUMBER($P1094)),NOT(ISNUMBER($AA1094))),"∞",MAX(0,MIN(IF(ISNUMBER($P1094),$P1094-$AF1094-$Q1094,1E+15),IF(ISNUMBER($AA1094),$AA1094-$AG1094-$Q1094,1E+15))))))</f>
        <v/>
      </c>
      <c r="S1094" s="47" t="str">
        <f>IF($AD1094="","",YEAR($AD1094)*100+MONTH($AD1094))</f>
        <v/>
      </c>
      <c r="T1094" s="50" t="str">
        <f>IF($AD1094="","",IFERROR(IF(INDEX(CARDS!$I$5:$I$34,MATCH($D1094,CARDS!$A$5:$A$34,0))="","",IF(INDEX(CARDS!$I$5:$I$34,MATCH($D1094,CARDS!$A$5:$A$34,0))&gt;INDEX(CARDS!$H$5:$H$34,MATCH($D1094,CARDS!$A$5:$A$34,0)),DATE(YEAR($AD1094),MONTH($AD1094),MIN(INDEX(CARDS!$I$5:$I$34,MATCH($D1094,CARDS!$A$5:$A$34,0)),DAY(EOMONTH($AD1094,0)))),DATE(YEAR($AD1094),MONTH($AD1094)+1,MIN(INDEX(CARDS!$I$5:$I$34,MATCH($D1094,CARDS!$A$5:$A$34,0)),DAY(EOMONTH($AD1094,1)))))),""))</f>
        <v/>
      </c>
      <c r="U1094" s="38" t="n"/>
      <c r="V1094" s="37" t="n"/>
      <c r="W1094" s="38" t="n"/>
      <c r="X1094" s="38" t="n"/>
      <c r="Y1094" s="44" t="str">
        <f>IF($AC1094&gt;0,INDEX(CASHBACK_RULES!$A$5:$A$304,$AC1094),"")</f>
        <v/>
      </c>
      <c r="Z1094" s="45" t="str">
        <f>IF($AC1094&gt;0,INDEX(CASHBACK_RULES!$E$5:$E$304,$AC1094)&amp;"","")</f>
        <v/>
      </c>
      <c r="AA1094" s="48" t="str">
        <f>IF($AC1094&gt;0,IF(ISNUMBER(INDEX(CASHBACK_RULES!$K$5:$K$304,$AC1094)),INDEX(CASHBACK_RULES!$K$5:$K$304,$AC1094),"∞"),"")</f>
        <v/>
      </c>
      <c r="AB1094" s="44" t="str">
        <f>IF(OR($B1094="",$D1094=""),"",IF($U1094="Cancelled","Đã hủy",IF($AC1094=0,"Không được hoàn",IF($Q1094=0,IF(OR($O1094&gt;0,$M1094&lt;$L1094),"Đã đạt cap","Không được hoàn"),IF(OR($Q1094&lt;$O1094,$M1094&lt;$L1094),"Hoàn một phần","Được hoàn")))))</f>
        <v/>
      </c>
      <c r="AC1094" s="43">
        <f>IF(OR($B1094="",$D1094="",$I1094="",$L1094=""),0,IF($U1094="Cancelled",0,IF($W1094&lt;&gt;"",IFERROR(IF(INDEX(CASHBACK_RULES!$B$5:$B$304,MATCH($W1094,CASHBACK_RULES!$A$5:$A$304,0))=$D1094,MATCH($W1094,CASHBACK_RULES!$A$5:$A$304,0),0),0),IFERROR(MATCH(1,INDEX((CASHBACK_RULES!$B$5:$B$304=$D1094)*(CASHBACK_RULES!$G$5:$G$304=$I1094)*(((CASHBACK_RULES!$N$5:$N$304="")+(CASHBACK_RULES!$N$5:$N$304&lt;=$B1094))&gt;0)*(((CASHBACK_RULES!$O$5:$O$304="")+(CASHBACK_RULES!$O$5:$O$304&gt;=$B1094))&gt;0)*(((CASHBACK_RULES!$M$5:$M$304="")+(CASHBACK_RULES!$M$5:$M$304&lt;=$L1094))&gt;0),0),0),0))))</f>
        <v>0</v>
      </c>
      <c r="AD1094" s="51" t="str">
        <f>IF(OR($B1094="",$D1094=""),"",IFERROR(IF(INDEX(CARDS!$H$5:$H$34,MATCH($D1094,CARDS!$A$5:$A$34,0))="","",IF(DAY($B1094)&lt;=INDEX(CARDS!$H$5:$H$34,MATCH($D1094,CARDS!$A$5:$A$34,0)),DATE(YEAR($B1094),MONTH($B1094),MIN(INDEX(CARDS!$H$5:$H$34,MATCH($D1094,CARDS!$A$5:$A$34,0)),DAY(EOMONTH($B1094,0)))),DATE(YEAR($B1094),MONTH($B1094)+1,MIN(INDEX(CARDS!$H$5:$H$34,MATCH($D1094,CARDS!$A$5:$A$34,0)),DAY(EOMONTH($B1094,1)))))),""))</f>
        <v/>
      </c>
      <c r="AE1094" s="52" t="str">
        <f>IF($C1094="","",$C1094&amp;"|"&amp;COUNTIF($C$5:$C1094,$C1094))</f>
        <v/>
      </c>
      <c r="AF1094" s="53">
        <f>IF($AC1094&gt;0,SUMIFS(Q$4:Q1093,$D$4:$D1093,$D1094,$Z$4:$Z1093,$Z1094,$C$4:$C1093,$C1094),0)</f>
        <v>0</v>
      </c>
      <c r="AG1094" s="53">
        <f>IF($AC1094&gt;0,SUMIFS(Q$4:Q1093,$D$4:$D1093,$D1094,$C$4:$C1093,$C1094),0)</f>
        <v>0</v>
      </c>
      <c r="AH1094" s="53">
        <f>IF($AC1094&gt;0,SUMIFS(M$4:M1093,$D$4:$D1093,$D1094,$Z$4:$Z1093,$Z1094,$C$4:$C1093,$C1094),0)</f>
        <v>0</v>
      </c>
      <c r="AI1094" s="43">
        <f>IF(OR($C1094="",$I1094=""),0,IF(COUNTIFS($C$5:$C1094,$C1094,$I$5:$I1094,$I1094)=1,1,0))</f>
        <v>0</v>
      </c>
      <c r="AJ1094" s="43" t="str">
        <f>IF($AI1094=1,SUMIFS($AI$4:$AI1093,$C$4:$C1093,$C1094)+1,"")</f>
        <v/>
      </c>
      <c r="AK1094" s="43">
        <f>IF(OR($C1094="",$K1094=""),0,IF(COUNTIFS($C$5:$C1094,$C1094,$K$5:$K1094,$K1094)=1,1,0))</f>
        <v>0</v>
      </c>
      <c r="AL1094" s="43" t="str">
        <f>IF($AK1094=1,SUMIFS($AK$4:$AK1093,$C$4:$C1093,$C1094)+1,"")</f>
        <v/>
      </c>
      <c r="AM1094" s="43">
        <f>IF(OR($C1094="",$G1094=""),0,IF(COUNTIFS($C$5:$C1094,$C1094,$G$5:$G1094,$G1094)=1,1,0))</f>
        <v>0</v>
      </c>
      <c r="AN1094" s="43" t="str">
        <f>IF($AM1094=1,SUMIFS($AM$4:$AM1093,$C$4:$C1093,$C1094)+1,"")</f>
        <v/>
      </c>
    </row>
    <row r="1095">
      <c r="A1095" s="44" t="str">
        <f>IF(OR($B1095="",$D1095=""),"","TX"&amp;TEXT(ROW()-4,"0000"))</f>
        <v/>
      </c>
      <c r="B1095" s="42" t="n"/>
      <c r="C1095" s="47" t="str">
        <f>IF($B1095="","",YEAR($B1095)*100+MONTH($B1095))</f>
        <v/>
      </c>
      <c r="D1095" s="37" t="n"/>
      <c r="E1095" s="45" t="str">
        <f>IF($D1095="","",IFERROR(INDEX(CARDS!$B$5:$B$34,MATCH($D1095,CARDS!$A$5:$A$34,0)),"⚠ Card ID?"))</f>
        <v/>
      </c>
      <c r="F1095" s="45" t="str">
        <f>IF($D1095="","",IFERROR(INDEX(CARDS!$C$5:$C$34,MATCH($D1095,CARDS!$A$5:$A$34,0)),"⚠ Card ID?"))</f>
        <v/>
      </c>
      <c r="G1095" s="37" t="n"/>
      <c r="H1095" s="37" t="n"/>
      <c r="I1095" s="41" t="n"/>
      <c r="J1095" s="45" t="str">
        <f>IF($I1095="","",IFERROR(INDEX(MCC_MASTER!$B$5:$B$504,MATCH($I1095,MCC_MASTER!$A$5:$A$504,0)),"⚠ MCC chưa có"))</f>
        <v/>
      </c>
      <c r="K1095" s="45" t="str">
        <f>IF($I1095="","",IFERROR(IF(INDEX(MCC_MASTER!$C$5:$C$504,MATCH($I1095,MCC_MASTER!$A$5:$A$504,0))="","Chưa phân loại",INDEX(MCC_MASTER!$C$5:$C$504,MATCH($I1095,MCC_MASTER!$A$5:$A$504,0))),"Chưa phân loại"))</f>
        <v/>
      </c>
      <c r="L1095" s="40" t="n"/>
      <c r="M1095" s="48" t="str">
        <f>IF(OR($B1095="",$D1095=""),"",IF($AC1095=0,0,IF(ISNUMBER(INDEX(CASHBACK_RULES!$L$5:$L$304,$AC1095)),MAX(0,MIN($L1095,INDEX(CASHBACK_RULES!$L$5:$L$304,$AC1095)-$AH1095)),MAX(0,$L1095))))</f>
        <v/>
      </c>
      <c r="N1095" s="49" t="str">
        <f>IF(OR($B1095="",$D1095=""),"",IF($AC1095&gt;0,INDEX(CASHBACK_RULES!$I$5:$I$304,$AC1095),0))</f>
        <v/>
      </c>
      <c r="O1095" s="48" t="str">
        <f>IF(OR($B1095="",$D1095=""),"",ROUND($M1095*$N1095,0))</f>
        <v/>
      </c>
      <c r="P1095" s="48" t="str">
        <f>IF($AC1095&gt;0,IF(ISNUMBER(INDEX(CASHBACK_RULES!$J$5:$J$304,$AC1095)),INDEX(CASHBACK_RULES!$J$5:$J$304,$AC1095),"∞"),"")</f>
        <v/>
      </c>
      <c r="Q1095" s="48" t="str">
        <f>IF(OR($B1095="",$D1095=""),"",IF($AC1095=0,0,MAX(0,MIN($O1095,IF(ISNUMBER($P1095),$P1095-$AF1095,1E+15),IF(ISNUMBER($AA1095),$AA1095-$AG1095,1E+15)))))</f>
        <v/>
      </c>
      <c r="R1095" s="48" t="str">
        <f>IF(OR($B1095="",$D1095=""),"",IF($AC1095=0,"",IF(AND(NOT(ISNUMBER($P1095)),NOT(ISNUMBER($AA1095))),"∞",MAX(0,MIN(IF(ISNUMBER($P1095),$P1095-$AF1095-$Q1095,1E+15),IF(ISNUMBER($AA1095),$AA1095-$AG1095-$Q1095,1E+15))))))</f>
        <v/>
      </c>
      <c r="S1095" s="47" t="str">
        <f>IF($AD1095="","",YEAR($AD1095)*100+MONTH($AD1095))</f>
        <v/>
      </c>
      <c r="T1095" s="50" t="str">
        <f>IF($AD1095="","",IFERROR(IF(INDEX(CARDS!$I$5:$I$34,MATCH($D1095,CARDS!$A$5:$A$34,0))="","",IF(INDEX(CARDS!$I$5:$I$34,MATCH($D1095,CARDS!$A$5:$A$34,0))&gt;INDEX(CARDS!$H$5:$H$34,MATCH($D1095,CARDS!$A$5:$A$34,0)),DATE(YEAR($AD1095),MONTH($AD1095),MIN(INDEX(CARDS!$I$5:$I$34,MATCH($D1095,CARDS!$A$5:$A$34,0)),DAY(EOMONTH($AD1095,0)))),DATE(YEAR($AD1095),MONTH($AD1095)+1,MIN(INDEX(CARDS!$I$5:$I$34,MATCH($D1095,CARDS!$A$5:$A$34,0)),DAY(EOMONTH($AD1095,1)))))),""))</f>
        <v/>
      </c>
      <c r="U1095" s="38" t="n"/>
      <c r="V1095" s="37" t="n"/>
      <c r="W1095" s="38" t="n"/>
      <c r="X1095" s="38" t="n"/>
      <c r="Y1095" s="44" t="str">
        <f>IF($AC1095&gt;0,INDEX(CASHBACK_RULES!$A$5:$A$304,$AC1095),"")</f>
        <v/>
      </c>
      <c r="Z1095" s="45" t="str">
        <f>IF($AC1095&gt;0,INDEX(CASHBACK_RULES!$E$5:$E$304,$AC1095)&amp;"","")</f>
        <v/>
      </c>
      <c r="AA1095" s="48" t="str">
        <f>IF($AC1095&gt;0,IF(ISNUMBER(INDEX(CASHBACK_RULES!$K$5:$K$304,$AC1095)),INDEX(CASHBACK_RULES!$K$5:$K$304,$AC1095),"∞"),"")</f>
        <v/>
      </c>
      <c r="AB1095" s="44" t="str">
        <f>IF(OR($B1095="",$D1095=""),"",IF($U1095="Cancelled","Đã hủy",IF($AC1095=0,"Không được hoàn",IF($Q1095=0,IF(OR($O1095&gt;0,$M1095&lt;$L1095),"Đã đạt cap","Không được hoàn"),IF(OR($Q1095&lt;$O1095,$M1095&lt;$L1095),"Hoàn một phần","Được hoàn")))))</f>
        <v/>
      </c>
      <c r="AC1095" s="43">
        <f>IF(OR($B1095="",$D1095="",$I1095="",$L1095=""),0,IF($U1095="Cancelled",0,IF($W1095&lt;&gt;"",IFERROR(IF(INDEX(CASHBACK_RULES!$B$5:$B$304,MATCH($W1095,CASHBACK_RULES!$A$5:$A$304,0))=$D1095,MATCH($W1095,CASHBACK_RULES!$A$5:$A$304,0),0),0),IFERROR(MATCH(1,INDEX((CASHBACK_RULES!$B$5:$B$304=$D1095)*(CASHBACK_RULES!$G$5:$G$304=$I1095)*(((CASHBACK_RULES!$N$5:$N$304="")+(CASHBACK_RULES!$N$5:$N$304&lt;=$B1095))&gt;0)*(((CASHBACK_RULES!$O$5:$O$304="")+(CASHBACK_RULES!$O$5:$O$304&gt;=$B1095))&gt;0)*(((CASHBACK_RULES!$M$5:$M$304="")+(CASHBACK_RULES!$M$5:$M$304&lt;=$L1095))&gt;0),0),0),0))))</f>
        <v>0</v>
      </c>
      <c r="AD1095" s="51" t="str">
        <f>IF(OR($B1095="",$D1095=""),"",IFERROR(IF(INDEX(CARDS!$H$5:$H$34,MATCH($D1095,CARDS!$A$5:$A$34,0))="","",IF(DAY($B1095)&lt;=INDEX(CARDS!$H$5:$H$34,MATCH($D1095,CARDS!$A$5:$A$34,0)),DATE(YEAR($B1095),MONTH($B1095),MIN(INDEX(CARDS!$H$5:$H$34,MATCH($D1095,CARDS!$A$5:$A$34,0)),DAY(EOMONTH($B1095,0)))),DATE(YEAR($B1095),MONTH($B1095)+1,MIN(INDEX(CARDS!$H$5:$H$34,MATCH($D1095,CARDS!$A$5:$A$34,0)),DAY(EOMONTH($B1095,1)))))),""))</f>
        <v/>
      </c>
      <c r="AE1095" s="52" t="str">
        <f>IF($C1095="","",$C1095&amp;"|"&amp;COUNTIF($C$5:$C1095,$C1095))</f>
        <v/>
      </c>
      <c r="AF1095" s="53">
        <f>IF($AC1095&gt;0,SUMIFS(Q$4:Q1094,$D$4:$D1094,$D1095,$Z$4:$Z1094,$Z1095,$C$4:$C1094,$C1095),0)</f>
        <v>0</v>
      </c>
      <c r="AG1095" s="53">
        <f>IF($AC1095&gt;0,SUMIFS(Q$4:Q1094,$D$4:$D1094,$D1095,$C$4:$C1094,$C1095),0)</f>
        <v>0</v>
      </c>
      <c r="AH1095" s="53">
        <f>IF($AC1095&gt;0,SUMIFS(M$4:M1094,$D$4:$D1094,$D1095,$Z$4:$Z1094,$Z1095,$C$4:$C1094,$C1095),0)</f>
        <v>0</v>
      </c>
      <c r="AI1095" s="43">
        <f>IF(OR($C1095="",$I1095=""),0,IF(COUNTIFS($C$5:$C1095,$C1095,$I$5:$I1095,$I1095)=1,1,0))</f>
        <v>0</v>
      </c>
      <c r="AJ1095" s="43" t="str">
        <f>IF($AI1095=1,SUMIFS($AI$4:$AI1094,$C$4:$C1094,$C1095)+1,"")</f>
        <v/>
      </c>
      <c r="AK1095" s="43">
        <f>IF(OR($C1095="",$K1095=""),0,IF(COUNTIFS($C$5:$C1095,$C1095,$K$5:$K1095,$K1095)=1,1,0))</f>
        <v>0</v>
      </c>
      <c r="AL1095" s="43" t="str">
        <f>IF($AK1095=1,SUMIFS($AK$4:$AK1094,$C$4:$C1094,$C1095)+1,"")</f>
        <v/>
      </c>
      <c r="AM1095" s="43">
        <f>IF(OR($C1095="",$G1095=""),0,IF(COUNTIFS($C$5:$C1095,$C1095,$G$5:$G1095,$G1095)=1,1,0))</f>
        <v>0</v>
      </c>
      <c r="AN1095" s="43" t="str">
        <f>IF($AM1095=1,SUMIFS($AM$4:$AM1094,$C$4:$C1094,$C1095)+1,"")</f>
        <v/>
      </c>
    </row>
    <row r="1096">
      <c r="A1096" s="44" t="str">
        <f>IF(OR($B1096="",$D1096=""),"","TX"&amp;TEXT(ROW()-4,"0000"))</f>
        <v/>
      </c>
      <c r="B1096" s="42" t="n"/>
      <c r="C1096" s="47" t="str">
        <f>IF($B1096="","",YEAR($B1096)*100+MONTH($B1096))</f>
        <v/>
      </c>
      <c r="D1096" s="37" t="n"/>
      <c r="E1096" s="45" t="str">
        <f>IF($D1096="","",IFERROR(INDEX(CARDS!$B$5:$B$34,MATCH($D1096,CARDS!$A$5:$A$34,0)),"⚠ Card ID?"))</f>
        <v/>
      </c>
      <c r="F1096" s="45" t="str">
        <f>IF($D1096="","",IFERROR(INDEX(CARDS!$C$5:$C$34,MATCH($D1096,CARDS!$A$5:$A$34,0)),"⚠ Card ID?"))</f>
        <v/>
      </c>
      <c r="G1096" s="37" t="n"/>
      <c r="H1096" s="37" t="n"/>
      <c r="I1096" s="41" t="n"/>
      <c r="J1096" s="45" t="str">
        <f>IF($I1096="","",IFERROR(INDEX(MCC_MASTER!$B$5:$B$504,MATCH($I1096,MCC_MASTER!$A$5:$A$504,0)),"⚠ MCC chưa có"))</f>
        <v/>
      </c>
      <c r="K1096" s="45" t="str">
        <f>IF($I1096="","",IFERROR(IF(INDEX(MCC_MASTER!$C$5:$C$504,MATCH($I1096,MCC_MASTER!$A$5:$A$504,0))="","Chưa phân loại",INDEX(MCC_MASTER!$C$5:$C$504,MATCH($I1096,MCC_MASTER!$A$5:$A$504,0))),"Chưa phân loại"))</f>
        <v/>
      </c>
      <c r="L1096" s="40" t="n"/>
      <c r="M1096" s="48" t="str">
        <f>IF(OR($B1096="",$D1096=""),"",IF($AC1096=0,0,IF(ISNUMBER(INDEX(CASHBACK_RULES!$L$5:$L$304,$AC1096)),MAX(0,MIN($L1096,INDEX(CASHBACK_RULES!$L$5:$L$304,$AC1096)-$AH1096)),MAX(0,$L1096))))</f>
        <v/>
      </c>
      <c r="N1096" s="49" t="str">
        <f>IF(OR($B1096="",$D1096=""),"",IF($AC1096&gt;0,INDEX(CASHBACK_RULES!$I$5:$I$304,$AC1096),0))</f>
        <v/>
      </c>
      <c r="O1096" s="48" t="str">
        <f>IF(OR($B1096="",$D1096=""),"",ROUND($M1096*$N1096,0))</f>
        <v/>
      </c>
      <c r="P1096" s="48" t="str">
        <f>IF($AC1096&gt;0,IF(ISNUMBER(INDEX(CASHBACK_RULES!$J$5:$J$304,$AC1096)),INDEX(CASHBACK_RULES!$J$5:$J$304,$AC1096),"∞"),"")</f>
        <v/>
      </c>
      <c r="Q1096" s="48" t="str">
        <f>IF(OR($B1096="",$D1096=""),"",IF($AC1096=0,0,MAX(0,MIN($O1096,IF(ISNUMBER($P1096),$P1096-$AF1096,1E+15),IF(ISNUMBER($AA1096),$AA1096-$AG1096,1E+15)))))</f>
        <v/>
      </c>
      <c r="R1096" s="48" t="str">
        <f>IF(OR($B1096="",$D1096=""),"",IF($AC1096=0,"",IF(AND(NOT(ISNUMBER($P1096)),NOT(ISNUMBER($AA1096))),"∞",MAX(0,MIN(IF(ISNUMBER($P1096),$P1096-$AF1096-$Q1096,1E+15),IF(ISNUMBER($AA1096),$AA1096-$AG1096-$Q1096,1E+15))))))</f>
        <v/>
      </c>
      <c r="S1096" s="47" t="str">
        <f>IF($AD1096="","",YEAR($AD1096)*100+MONTH($AD1096))</f>
        <v/>
      </c>
      <c r="T1096" s="50" t="str">
        <f>IF($AD1096="","",IFERROR(IF(INDEX(CARDS!$I$5:$I$34,MATCH($D1096,CARDS!$A$5:$A$34,0))="","",IF(INDEX(CARDS!$I$5:$I$34,MATCH($D1096,CARDS!$A$5:$A$34,0))&gt;INDEX(CARDS!$H$5:$H$34,MATCH($D1096,CARDS!$A$5:$A$34,0)),DATE(YEAR($AD1096),MONTH($AD1096),MIN(INDEX(CARDS!$I$5:$I$34,MATCH($D1096,CARDS!$A$5:$A$34,0)),DAY(EOMONTH($AD1096,0)))),DATE(YEAR($AD1096),MONTH($AD1096)+1,MIN(INDEX(CARDS!$I$5:$I$34,MATCH($D1096,CARDS!$A$5:$A$34,0)),DAY(EOMONTH($AD1096,1)))))),""))</f>
        <v/>
      </c>
      <c r="U1096" s="38" t="n"/>
      <c r="V1096" s="37" t="n"/>
      <c r="W1096" s="38" t="n"/>
      <c r="X1096" s="38" t="n"/>
      <c r="Y1096" s="44" t="str">
        <f>IF($AC1096&gt;0,INDEX(CASHBACK_RULES!$A$5:$A$304,$AC1096),"")</f>
        <v/>
      </c>
      <c r="Z1096" s="45" t="str">
        <f>IF($AC1096&gt;0,INDEX(CASHBACK_RULES!$E$5:$E$304,$AC1096)&amp;"","")</f>
        <v/>
      </c>
      <c r="AA1096" s="48" t="str">
        <f>IF($AC1096&gt;0,IF(ISNUMBER(INDEX(CASHBACK_RULES!$K$5:$K$304,$AC1096)),INDEX(CASHBACK_RULES!$K$5:$K$304,$AC1096),"∞"),"")</f>
        <v/>
      </c>
      <c r="AB1096" s="44" t="str">
        <f>IF(OR($B1096="",$D1096=""),"",IF($U1096="Cancelled","Đã hủy",IF($AC1096=0,"Không được hoàn",IF($Q1096=0,IF(OR($O1096&gt;0,$M1096&lt;$L1096),"Đã đạt cap","Không được hoàn"),IF(OR($Q1096&lt;$O1096,$M1096&lt;$L1096),"Hoàn một phần","Được hoàn")))))</f>
        <v/>
      </c>
      <c r="AC1096" s="43">
        <f>IF(OR($B1096="",$D1096="",$I1096="",$L1096=""),0,IF($U1096="Cancelled",0,IF($W1096&lt;&gt;"",IFERROR(IF(INDEX(CASHBACK_RULES!$B$5:$B$304,MATCH($W1096,CASHBACK_RULES!$A$5:$A$304,0))=$D1096,MATCH($W1096,CASHBACK_RULES!$A$5:$A$304,0),0),0),IFERROR(MATCH(1,INDEX((CASHBACK_RULES!$B$5:$B$304=$D1096)*(CASHBACK_RULES!$G$5:$G$304=$I1096)*(((CASHBACK_RULES!$N$5:$N$304="")+(CASHBACK_RULES!$N$5:$N$304&lt;=$B1096))&gt;0)*(((CASHBACK_RULES!$O$5:$O$304="")+(CASHBACK_RULES!$O$5:$O$304&gt;=$B1096))&gt;0)*(((CASHBACK_RULES!$M$5:$M$304="")+(CASHBACK_RULES!$M$5:$M$304&lt;=$L1096))&gt;0),0),0),0))))</f>
        <v>0</v>
      </c>
      <c r="AD1096" s="51" t="str">
        <f>IF(OR($B1096="",$D1096=""),"",IFERROR(IF(INDEX(CARDS!$H$5:$H$34,MATCH($D1096,CARDS!$A$5:$A$34,0))="","",IF(DAY($B1096)&lt;=INDEX(CARDS!$H$5:$H$34,MATCH($D1096,CARDS!$A$5:$A$34,0)),DATE(YEAR($B1096),MONTH($B1096),MIN(INDEX(CARDS!$H$5:$H$34,MATCH($D1096,CARDS!$A$5:$A$34,0)),DAY(EOMONTH($B1096,0)))),DATE(YEAR($B1096),MONTH($B1096)+1,MIN(INDEX(CARDS!$H$5:$H$34,MATCH($D1096,CARDS!$A$5:$A$34,0)),DAY(EOMONTH($B1096,1)))))),""))</f>
        <v/>
      </c>
      <c r="AE1096" s="52" t="str">
        <f>IF($C1096="","",$C1096&amp;"|"&amp;COUNTIF($C$5:$C1096,$C1096))</f>
        <v/>
      </c>
      <c r="AF1096" s="53">
        <f>IF($AC1096&gt;0,SUMIFS(Q$4:Q1095,$D$4:$D1095,$D1096,$Z$4:$Z1095,$Z1096,$C$4:$C1095,$C1096),0)</f>
        <v>0</v>
      </c>
      <c r="AG1096" s="53">
        <f>IF($AC1096&gt;0,SUMIFS(Q$4:Q1095,$D$4:$D1095,$D1096,$C$4:$C1095,$C1096),0)</f>
        <v>0</v>
      </c>
      <c r="AH1096" s="53">
        <f>IF($AC1096&gt;0,SUMIFS(M$4:M1095,$D$4:$D1095,$D1096,$Z$4:$Z1095,$Z1096,$C$4:$C1095,$C1096),0)</f>
        <v>0</v>
      </c>
      <c r="AI1096" s="43">
        <f>IF(OR($C1096="",$I1096=""),0,IF(COUNTIFS($C$5:$C1096,$C1096,$I$5:$I1096,$I1096)=1,1,0))</f>
        <v>0</v>
      </c>
      <c r="AJ1096" s="43" t="str">
        <f>IF($AI1096=1,SUMIFS($AI$4:$AI1095,$C$4:$C1095,$C1096)+1,"")</f>
        <v/>
      </c>
      <c r="AK1096" s="43">
        <f>IF(OR($C1096="",$K1096=""),0,IF(COUNTIFS($C$5:$C1096,$C1096,$K$5:$K1096,$K1096)=1,1,0))</f>
        <v>0</v>
      </c>
      <c r="AL1096" s="43" t="str">
        <f>IF($AK1096=1,SUMIFS($AK$4:$AK1095,$C$4:$C1095,$C1096)+1,"")</f>
        <v/>
      </c>
      <c r="AM1096" s="43">
        <f>IF(OR($C1096="",$G1096=""),0,IF(COUNTIFS($C$5:$C1096,$C1096,$G$5:$G1096,$G1096)=1,1,0))</f>
        <v>0</v>
      </c>
      <c r="AN1096" s="43" t="str">
        <f>IF($AM1096=1,SUMIFS($AM$4:$AM1095,$C$4:$C1095,$C1096)+1,"")</f>
        <v/>
      </c>
    </row>
    <row r="1097">
      <c r="A1097" s="44" t="str">
        <f>IF(OR($B1097="",$D1097=""),"","TX"&amp;TEXT(ROW()-4,"0000"))</f>
        <v/>
      </c>
      <c r="B1097" s="42" t="n"/>
      <c r="C1097" s="47" t="str">
        <f>IF($B1097="","",YEAR($B1097)*100+MONTH($B1097))</f>
        <v/>
      </c>
      <c r="D1097" s="37" t="n"/>
      <c r="E1097" s="45" t="str">
        <f>IF($D1097="","",IFERROR(INDEX(CARDS!$B$5:$B$34,MATCH($D1097,CARDS!$A$5:$A$34,0)),"⚠ Card ID?"))</f>
        <v/>
      </c>
      <c r="F1097" s="45" t="str">
        <f>IF($D1097="","",IFERROR(INDEX(CARDS!$C$5:$C$34,MATCH($D1097,CARDS!$A$5:$A$34,0)),"⚠ Card ID?"))</f>
        <v/>
      </c>
      <c r="G1097" s="37" t="n"/>
      <c r="H1097" s="37" t="n"/>
      <c r="I1097" s="41" t="n"/>
      <c r="J1097" s="45" t="str">
        <f>IF($I1097="","",IFERROR(INDEX(MCC_MASTER!$B$5:$B$504,MATCH($I1097,MCC_MASTER!$A$5:$A$504,0)),"⚠ MCC chưa có"))</f>
        <v/>
      </c>
      <c r="K1097" s="45" t="str">
        <f>IF($I1097="","",IFERROR(IF(INDEX(MCC_MASTER!$C$5:$C$504,MATCH($I1097,MCC_MASTER!$A$5:$A$504,0))="","Chưa phân loại",INDEX(MCC_MASTER!$C$5:$C$504,MATCH($I1097,MCC_MASTER!$A$5:$A$504,0))),"Chưa phân loại"))</f>
        <v/>
      </c>
      <c r="L1097" s="40" t="n"/>
      <c r="M1097" s="48" t="str">
        <f>IF(OR($B1097="",$D1097=""),"",IF($AC1097=0,0,IF(ISNUMBER(INDEX(CASHBACK_RULES!$L$5:$L$304,$AC1097)),MAX(0,MIN($L1097,INDEX(CASHBACK_RULES!$L$5:$L$304,$AC1097)-$AH1097)),MAX(0,$L1097))))</f>
        <v/>
      </c>
      <c r="N1097" s="49" t="str">
        <f>IF(OR($B1097="",$D1097=""),"",IF($AC1097&gt;0,INDEX(CASHBACK_RULES!$I$5:$I$304,$AC1097),0))</f>
        <v/>
      </c>
      <c r="O1097" s="48" t="str">
        <f>IF(OR($B1097="",$D1097=""),"",ROUND($M1097*$N1097,0))</f>
        <v/>
      </c>
      <c r="P1097" s="48" t="str">
        <f>IF($AC1097&gt;0,IF(ISNUMBER(INDEX(CASHBACK_RULES!$J$5:$J$304,$AC1097)),INDEX(CASHBACK_RULES!$J$5:$J$304,$AC1097),"∞"),"")</f>
        <v/>
      </c>
      <c r="Q1097" s="48" t="str">
        <f>IF(OR($B1097="",$D1097=""),"",IF($AC1097=0,0,MAX(0,MIN($O1097,IF(ISNUMBER($P1097),$P1097-$AF1097,1E+15),IF(ISNUMBER($AA1097),$AA1097-$AG1097,1E+15)))))</f>
        <v/>
      </c>
      <c r="R1097" s="48" t="str">
        <f>IF(OR($B1097="",$D1097=""),"",IF($AC1097=0,"",IF(AND(NOT(ISNUMBER($P1097)),NOT(ISNUMBER($AA1097))),"∞",MAX(0,MIN(IF(ISNUMBER($P1097),$P1097-$AF1097-$Q1097,1E+15),IF(ISNUMBER($AA1097),$AA1097-$AG1097-$Q1097,1E+15))))))</f>
        <v/>
      </c>
      <c r="S1097" s="47" t="str">
        <f>IF($AD1097="","",YEAR($AD1097)*100+MONTH($AD1097))</f>
        <v/>
      </c>
      <c r="T1097" s="50" t="str">
        <f>IF($AD1097="","",IFERROR(IF(INDEX(CARDS!$I$5:$I$34,MATCH($D1097,CARDS!$A$5:$A$34,0))="","",IF(INDEX(CARDS!$I$5:$I$34,MATCH($D1097,CARDS!$A$5:$A$34,0))&gt;INDEX(CARDS!$H$5:$H$34,MATCH($D1097,CARDS!$A$5:$A$34,0)),DATE(YEAR($AD1097),MONTH($AD1097),MIN(INDEX(CARDS!$I$5:$I$34,MATCH($D1097,CARDS!$A$5:$A$34,0)),DAY(EOMONTH($AD1097,0)))),DATE(YEAR($AD1097),MONTH($AD1097)+1,MIN(INDEX(CARDS!$I$5:$I$34,MATCH($D1097,CARDS!$A$5:$A$34,0)),DAY(EOMONTH($AD1097,1)))))),""))</f>
        <v/>
      </c>
      <c r="U1097" s="38" t="n"/>
      <c r="V1097" s="37" t="n"/>
      <c r="W1097" s="38" t="n"/>
      <c r="X1097" s="38" t="n"/>
      <c r="Y1097" s="44" t="str">
        <f>IF($AC1097&gt;0,INDEX(CASHBACK_RULES!$A$5:$A$304,$AC1097),"")</f>
        <v/>
      </c>
      <c r="Z1097" s="45" t="str">
        <f>IF($AC1097&gt;0,INDEX(CASHBACK_RULES!$E$5:$E$304,$AC1097)&amp;"","")</f>
        <v/>
      </c>
      <c r="AA1097" s="48" t="str">
        <f>IF($AC1097&gt;0,IF(ISNUMBER(INDEX(CASHBACK_RULES!$K$5:$K$304,$AC1097)),INDEX(CASHBACK_RULES!$K$5:$K$304,$AC1097),"∞"),"")</f>
        <v/>
      </c>
      <c r="AB1097" s="44" t="str">
        <f>IF(OR($B1097="",$D1097=""),"",IF($U1097="Cancelled","Đã hủy",IF($AC1097=0,"Không được hoàn",IF($Q1097=0,IF(OR($O1097&gt;0,$M1097&lt;$L1097),"Đã đạt cap","Không được hoàn"),IF(OR($Q1097&lt;$O1097,$M1097&lt;$L1097),"Hoàn một phần","Được hoàn")))))</f>
        <v/>
      </c>
      <c r="AC1097" s="43">
        <f>IF(OR($B1097="",$D1097="",$I1097="",$L1097=""),0,IF($U1097="Cancelled",0,IF($W1097&lt;&gt;"",IFERROR(IF(INDEX(CASHBACK_RULES!$B$5:$B$304,MATCH($W1097,CASHBACK_RULES!$A$5:$A$304,0))=$D1097,MATCH($W1097,CASHBACK_RULES!$A$5:$A$304,0),0),0),IFERROR(MATCH(1,INDEX((CASHBACK_RULES!$B$5:$B$304=$D1097)*(CASHBACK_RULES!$G$5:$G$304=$I1097)*(((CASHBACK_RULES!$N$5:$N$304="")+(CASHBACK_RULES!$N$5:$N$304&lt;=$B1097))&gt;0)*(((CASHBACK_RULES!$O$5:$O$304="")+(CASHBACK_RULES!$O$5:$O$304&gt;=$B1097))&gt;0)*(((CASHBACK_RULES!$M$5:$M$304="")+(CASHBACK_RULES!$M$5:$M$304&lt;=$L1097))&gt;0),0),0),0))))</f>
        <v>0</v>
      </c>
      <c r="AD1097" s="51" t="str">
        <f>IF(OR($B1097="",$D1097=""),"",IFERROR(IF(INDEX(CARDS!$H$5:$H$34,MATCH($D1097,CARDS!$A$5:$A$34,0))="","",IF(DAY($B1097)&lt;=INDEX(CARDS!$H$5:$H$34,MATCH($D1097,CARDS!$A$5:$A$34,0)),DATE(YEAR($B1097),MONTH($B1097),MIN(INDEX(CARDS!$H$5:$H$34,MATCH($D1097,CARDS!$A$5:$A$34,0)),DAY(EOMONTH($B1097,0)))),DATE(YEAR($B1097),MONTH($B1097)+1,MIN(INDEX(CARDS!$H$5:$H$34,MATCH($D1097,CARDS!$A$5:$A$34,0)),DAY(EOMONTH($B1097,1)))))),""))</f>
        <v/>
      </c>
      <c r="AE1097" s="52" t="str">
        <f>IF($C1097="","",$C1097&amp;"|"&amp;COUNTIF($C$5:$C1097,$C1097))</f>
        <v/>
      </c>
      <c r="AF1097" s="53">
        <f>IF($AC1097&gt;0,SUMIFS(Q$4:Q1096,$D$4:$D1096,$D1097,$Z$4:$Z1096,$Z1097,$C$4:$C1096,$C1097),0)</f>
        <v>0</v>
      </c>
      <c r="AG1097" s="53">
        <f>IF($AC1097&gt;0,SUMIFS(Q$4:Q1096,$D$4:$D1096,$D1097,$C$4:$C1096,$C1097),0)</f>
        <v>0</v>
      </c>
      <c r="AH1097" s="53">
        <f>IF($AC1097&gt;0,SUMIFS(M$4:M1096,$D$4:$D1096,$D1097,$Z$4:$Z1096,$Z1097,$C$4:$C1096,$C1097),0)</f>
        <v>0</v>
      </c>
      <c r="AI1097" s="43">
        <f>IF(OR($C1097="",$I1097=""),0,IF(COUNTIFS($C$5:$C1097,$C1097,$I$5:$I1097,$I1097)=1,1,0))</f>
        <v>0</v>
      </c>
      <c r="AJ1097" s="43" t="str">
        <f>IF($AI1097=1,SUMIFS($AI$4:$AI1096,$C$4:$C1096,$C1097)+1,"")</f>
        <v/>
      </c>
      <c r="AK1097" s="43">
        <f>IF(OR($C1097="",$K1097=""),0,IF(COUNTIFS($C$5:$C1097,$C1097,$K$5:$K1097,$K1097)=1,1,0))</f>
        <v>0</v>
      </c>
      <c r="AL1097" s="43" t="str">
        <f>IF($AK1097=1,SUMIFS($AK$4:$AK1096,$C$4:$C1096,$C1097)+1,"")</f>
        <v/>
      </c>
      <c r="AM1097" s="43">
        <f>IF(OR($C1097="",$G1097=""),0,IF(COUNTIFS($C$5:$C1097,$C1097,$G$5:$G1097,$G1097)=1,1,0))</f>
        <v>0</v>
      </c>
      <c r="AN1097" s="43" t="str">
        <f>IF($AM1097=1,SUMIFS($AM$4:$AM1096,$C$4:$C1096,$C1097)+1,"")</f>
        <v/>
      </c>
    </row>
    <row r="1098">
      <c r="A1098" s="44" t="str">
        <f>IF(OR($B1098="",$D1098=""),"","TX"&amp;TEXT(ROW()-4,"0000"))</f>
        <v/>
      </c>
      <c r="B1098" s="42" t="n"/>
      <c r="C1098" s="47" t="str">
        <f>IF($B1098="","",YEAR($B1098)*100+MONTH($B1098))</f>
        <v/>
      </c>
      <c r="D1098" s="37" t="n"/>
      <c r="E1098" s="45" t="str">
        <f>IF($D1098="","",IFERROR(INDEX(CARDS!$B$5:$B$34,MATCH($D1098,CARDS!$A$5:$A$34,0)),"⚠ Card ID?"))</f>
        <v/>
      </c>
      <c r="F1098" s="45" t="str">
        <f>IF($D1098="","",IFERROR(INDEX(CARDS!$C$5:$C$34,MATCH($D1098,CARDS!$A$5:$A$34,0)),"⚠ Card ID?"))</f>
        <v/>
      </c>
      <c r="G1098" s="37" t="n"/>
      <c r="H1098" s="37" t="n"/>
      <c r="I1098" s="41" t="n"/>
      <c r="J1098" s="45" t="str">
        <f>IF($I1098="","",IFERROR(INDEX(MCC_MASTER!$B$5:$B$504,MATCH($I1098,MCC_MASTER!$A$5:$A$504,0)),"⚠ MCC chưa có"))</f>
        <v/>
      </c>
      <c r="K1098" s="45" t="str">
        <f>IF($I1098="","",IFERROR(IF(INDEX(MCC_MASTER!$C$5:$C$504,MATCH($I1098,MCC_MASTER!$A$5:$A$504,0))="","Chưa phân loại",INDEX(MCC_MASTER!$C$5:$C$504,MATCH($I1098,MCC_MASTER!$A$5:$A$504,0))),"Chưa phân loại"))</f>
        <v/>
      </c>
      <c r="L1098" s="40" t="n"/>
      <c r="M1098" s="48" t="str">
        <f>IF(OR($B1098="",$D1098=""),"",IF($AC1098=0,0,IF(ISNUMBER(INDEX(CASHBACK_RULES!$L$5:$L$304,$AC1098)),MAX(0,MIN($L1098,INDEX(CASHBACK_RULES!$L$5:$L$304,$AC1098)-$AH1098)),MAX(0,$L1098))))</f>
        <v/>
      </c>
      <c r="N1098" s="49" t="str">
        <f>IF(OR($B1098="",$D1098=""),"",IF($AC1098&gt;0,INDEX(CASHBACK_RULES!$I$5:$I$304,$AC1098),0))</f>
        <v/>
      </c>
      <c r="O1098" s="48" t="str">
        <f>IF(OR($B1098="",$D1098=""),"",ROUND($M1098*$N1098,0))</f>
        <v/>
      </c>
      <c r="P1098" s="48" t="str">
        <f>IF($AC1098&gt;0,IF(ISNUMBER(INDEX(CASHBACK_RULES!$J$5:$J$304,$AC1098)),INDEX(CASHBACK_RULES!$J$5:$J$304,$AC1098),"∞"),"")</f>
        <v/>
      </c>
      <c r="Q1098" s="48" t="str">
        <f>IF(OR($B1098="",$D1098=""),"",IF($AC1098=0,0,MAX(0,MIN($O1098,IF(ISNUMBER($P1098),$P1098-$AF1098,1E+15),IF(ISNUMBER($AA1098),$AA1098-$AG1098,1E+15)))))</f>
        <v/>
      </c>
      <c r="R1098" s="48" t="str">
        <f>IF(OR($B1098="",$D1098=""),"",IF($AC1098=0,"",IF(AND(NOT(ISNUMBER($P1098)),NOT(ISNUMBER($AA1098))),"∞",MAX(0,MIN(IF(ISNUMBER($P1098),$P1098-$AF1098-$Q1098,1E+15),IF(ISNUMBER($AA1098),$AA1098-$AG1098-$Q1098,1E+15))))))</f>
        <v/>
      </c>
      <c r="S1098" s="47" t="str">
        <f>IF($AD1098="","",YEAR($AD1098)*100+MONTH($AD1098))</f>
        <v/>
      </c>
      <c r="T1098" s="50" t="str">
        <f>IF($AD1098="","",IFERROR(IF(INDEX(CARDS!$I$5:$I$34,MATCH($D1098,CARDS!$A$5:$A$34,0))="","",IF(INDEX(CARDS!$I$5:$I$34,MATCH($D1098,CARDS!$A$5:$A$34,0))&gt;INDEX(CARDS!$H$5:$H$34,MATCH($D1098,CARDS!$A$5:$A$34,0)),DATE(YEAR($AD1098),MONTH($AD1098),MIN(INDEX(CARDS!$I$5:$I$34,MATCH($D1098,CARDS!$A$5:$A$34,0)),DAY(EOMONTH($AD1098,0)))),DATE(YEAR($AD1098),MONTH($AD1098)+1,MIN(INDEX(CARDS!$I$5:$I$34,MATCH($D1098,CARDS!$A$5:$A$34,0)),DAY(EOMONTH($AD1098,1)))))),""))</f>
        <v/>
      </c>
      <c r="U1098" s="38" t="n"/>
      <c r="V1098" s="37" t="n"/>
      <c r="W1098" s="38" t="n"/>
      <c r="X1098" s="38" t="n"/>
      <c r="Y1098" s="44" t="str">
        <f>IF($AC1098&gt;0,INDEX(CASHBACK_RULES!$A$5:$A$304,$AC1098),"")</f>
        <v/>
      </c>
      <c r="Z1098" s="45" t="str">
        <f>IF($AC1098&gt;0,INDEX(CASHBACK_RULES!$E$5:$E$304,$AC1098)&amp;"","")</f>
        <v/>
      </c>
      <c r="AA1098" s="48" t="str">
        <f>IF($AC1098&gt;0,IF(ISNUMBER(INDEX(CASHBACK_RULES!$K$5:$K$304,$AC1098)),INDEX(CASHBACK_RULES!$K$5:$K$304,$AC1098),"∞"),"")</f>
        <v/>
      </c>
      <c r="AB1098" s="44" t="str">
        <f>IF(OR($B1098="",$D1098=""),"",IF($U1098="Cancelled","Đã hủy",IF($AC1098=0,"Không được hoàn",IF($Q1098=0,IF(OR($O1098&gt;0,$M1098&lt;$L1098),"Đã đạt cap","Không được hoàn"),IF(OR($Q1098&lt;$O1098,$M1098&lt;$L1098),"Hoàn một phần","Được hoàn")))))</f>
        <v/>
      </c>
      <c r="AC1098" s="43">
        <f>IF(OR($B1098="",$D1098="",$I1098="",$L1098=""),0,IF($U1098="Cancelled",0,IF($W1098&lt;&gt;"",IFERROR(IF(INDEX(CASHBACK_RULES!$B$5:$B$304,MATCH($W1098,CASHBACK_RULES!$A$5:$A$304,0))=$D1098,MATCH($W1098,CASHBACK_RULES!$A$5:$A$304,0),0),0),IFERROR(MATCH(1,INDEX((CASHBACK_RULES!$B$5:$B$304=$D1098)*(CASHBACK_RULES!$G$5:$G$304=$I1098)*(((CASHBACK_RULES!$N$5:$N$304="")+(CASHBACK_RULES!$N$5:$N$304&lt;=$B1098))&gt;0)*(((CASHBACK_RULES!$O$5:$O$304="")+(CASHBACK_RULES!$O$5:$O$304&gt;=$B1098))&gt;0)*(((CASHBACK_RULES!$M$5:$M$304="")+(CASHBACK_RULES!$M$5:$M$304&lt;=$L1098))&gt;0),0),0),0))))</f>
        <v>0</v>
      </c>
      <c r="AD1098" s="51" t="str">
        <f>IF(OR($B1098="",$D1098=""),"",IFERROR(IF(INDEX(CARDS!$H$5:$H$34,MATCH($D1098,CARDS!$A$5:$A$34,0))="","",IF(DAY($B1098)&lt;=INDEX(CARDS!$H$5:$H$34,MATCH($D1098,CARDS!$A$5:$A$34,0)),DATE(YEAR($B1098),MONTH($B1098),MIN(INDEX(CARDS!$H$5:$H$34,MATCH($D1098,CARDS!$A$5:$A$34,0)),DAY(EOMONTH($B1098,0)))),DATE(YEAR($B1098),MONTH($B1098)+1,MIN(INDEX(CARDS!$H$5:$H$34,MATCH($D1098,CARDS!$A$5:$A$34,0)),DAY(EOMONTH($B1098,1)))))),""))</f>
        <v/>
      </c>
      <c r="AE1098" s="52" t="str">
        <f>IF($C1098="","",$C1098&amp;"|"&amp;COUNTIF($C$5:$C1098,$C1098))</f>
        <v/>
      </c>
      <c r="AF1098" s="53">
        <f>IF($AC1098&gt;0,SUMIFS(Q$4:Q1097,$D$4:$D1097,$D1098,$Z$4:$Z1097,$Z1098,$C$4:$C1097,$C1098),0)</f>
        <v>0</v>
      </c>
      <c r="AG1098" s="53">
        <f>IF($AC1098&gt;0,SUMIFS(Q$4:Q1097,$D$4:$D1097,$D1098,$C$4:$C1097,$C1098),0)</f>
        <v>0</v>
      </c>
      <c r="AH1098" s="53">
        <f>IF($AC1098&gt;0,SUMIFS(M$4:M1097,$D$4:$D1097,$D1098,$Z$4:$Z1097,$Z1098,$C$4:$C1097,$C1098),0)</f>
        <v>0</v>
      </c>
      <c r="AI1098" s="43">
        <f>IF(OR($C1098="",$I1098=""),0,IF(COUNTIFS($C$5:$C1098,$C1098,$I$5:$I1098,$I1098)=1,1,0))</f>
        <v>0</v>
      </c>
      <c r="AJ1098" s="43" t="str">
        <f>IF($AI1098=1,SUMIFS($AI$4:$AI1097,$C$4:$C1097,$C1098)+1,"")</f>
        <v/>
      </c>
      <c r="AK1098" s="43">
        <f>IF(OR($C1098="",$K1098=""),0,IF(COUNTIFS($C$5:$C1098,$C1098,$K$5:$K1098,$K1098)=1,1,0))</f>
        <v>0</v>
      </c>
      <c r="AL1098" s="43" t="str">
        <f>IF($AK1098=1,SUMIFS($AK$4:$AK1097,$C$4:$C1097,$C1098)+1,"")</f>
        <v/>
      </c>
      <c r="AM1098" s="43">
        <f>IF(OR($C1098="",$G1098=""),0,IF(COUNTIFS($C$5:$C1098,$C1098,$G$5:$G1098,$G1098)=1,1,0))</f>
        <v>0</v>
      </c>
      <c r="AN1098" s="43" t="str">
        <f>IF($AM1098=1,SUMIFS($AM$4:$AM1097,$C$4:$C1097,$C1098)+1,"")</f>
        <v/>
      </c>
    </row>
    <row r="1099">
      <c r="A1099" s="44" t="str">
        <f>IF(OR($B1099="",$D1099=""),"","TX"&amp;TEXT(ROW()-4,"0000"))</f>
        <v/>
      </c>
      <c r="B1099" s="42" t="n"/>
      <c r="C1099" s="47" t="str">
        <f>IF($B1099="","",YEAR($B1099)*100+MONTH($B1099))</f>
        <v/>
      </c>
      <c r="D1099" s="37" t="n"/>
      <c r="E1099" s="45" t="str">
        <f>IF($D1099="","",IFERROR(INDEX(CARDS!$B$5:$B$34,MATCH($D1099,CARDS!$A$5:$A$34,0)),"⚠ Card ID?"))</f>
        <v/>
      </c>
      <c r="F1099" s="45" t="str">
        <f>IF($D1099="","",IFERROR(INDEX(CARDS!$C$5:$C$34,MATCH($D1099,CARDS!$A$5:$A$34,0)),"⚠ Card ID?"))</f>
        <v/>
      </c>
      <c r="G1099" s="37" t="n"/>
      <c r="H1099" s="37" t="n"/>
      <c r="I1099" s="41" t="n"/>
      <c r="J1099" s="45" t="str">
        <f>IF($I1099="","",IFERROR(INDEX(MCC_MASTER!$B$5:$B$504,MATCH($I1099,MCC_MASTER!$A$5:$A$504,0)),"⚠ MCC chưa có"))</f>
        <v/>
      </c>
      <c r="K1099" s="45" t="str">
        <f>IF($I1099="","",IFERROR(IF(INDEX(MCC_MASTER!$C$5:$C$504,MATCH($I1099,MCC_MASTER!$A$5:$A$504,0))="","Chưa phân loại",INDEX(MCC_MASTER!$C$5:$C$504,MATCH($I1099,MCC_MASTER!$A$5:$A$504,0))),"Chưa phân loại"))</f>
        <v/>
      </c>
      <c r="L1099" s="40" t="n"/>
      <c r="M1099" s="48" t="str">
        <f>IF(OR($B1099="",$D1099=""),"",IF($AC1099=0,0,IF(ISNUMBER(INDEX(CASHBACK_RULES!$L$5:$L$304,$AC1099)),MAX(0,MIN($L1099,INDEX(CASHBACK_RULES!$L$5:$L$304,$AC1099)-$AH1099)),MAX(0,$L1099))))</f>
        <v/>
      </c>
      <c r="N1099" s="49" t="str">
        <f>IF(OR($B1099="",$D1099=""),"",IF($AC1099&gt;0,INDEX(CASHBACK_RULES!$I$5:$I$304,$AC1099),0))</f>
        <v/>
      </c>
      <c r="O1099" s="48" t="str">
        <f>IF(OR($B1099="",$D1099=""),"",ROUND($M1099*$N1099,0))</f>
        <v/>
      </c>
      <c r="P1099" s="48" t="str">
        <f>IF($AC1099&gt;0,IF(ISNUMBER(INDEX(CASHBACK_RULES!$J$5:$J$304,$AC1099)),INDEX(CASHBACK_RULES!$J$5:$J$304,$AC1099),"∞"),"")</f>
        <v/>
      </c>
      <c r="Q1099" s="48" t="str">
        <f>IF(OR($B1099="",$D1099=""),"",IF($AC1099=0,0,MAX(0,MIN($O1099,IF(ISNUMBER($P1099),$P1099-$AF1099,1E+15),IF(ISNUMBER($AA1099),$AA1099-$AG1099,1E+15)))))</f>
        <v/>
      </c>
      <c r="R1099" s="48" t="str">
        <f>IF(OR($B1099="",$D1099=""),"",IF($AC1099=0,"",IF(AND(NOT(ISNUMBER($P1099)),NOT(ISNUMBER($AA1099))),"∞",MAX(0,MIN(IF(ISNUMBER($P1099),$P1099-$AF1099-$Q1099,1E+15),IF(ISNUMBER($AA1099),$AA1099-$AG1099-$Q1099,1E+15))))))</f>
        <v/>
      </c>
      <c r="S1099" s="47" t="str">
        <f>IF($AD1099="","",YEAR($AD1099)*100+MONTH($AD1099))</f>
        <v/>
      </c>
      <c r="T1099" s="50" t="str">
        <f>IF($AD1099="","",IFERROR(IF(INDEX(CARDS!$I$5:$I$34,MATCH($D1099,CARDS!$A$5:$A$34,0))="","",IF(INDEX(CARDS!$I$5:$I$34,MATCH($D1099,CARDS!$A$5:$A$34,0))&gt;INDEX(CARDS!$H$5:$H$34,MATCH($D1099,CARDS!$A$5:$A$34,0)),DATE(YEAR($AD1099),MONTH($AD1099),MIN(INDEX(CARDS!$I$5:$I$34,MATCH($D1099,CARDS!$A$5:$A$34,0)),DAY(EOMONTH($AD1099,0)))),DATE(YEAR($AD1099),MONTH($AD1099)+1,MIN(INDEX(CARDS!$I$5:$I$34,MATCH($D1099,CARDS!$A$5:$A$34,0)),DAY(EOMONTH($AD1099,1)))))),""))</f>
        <v/>
      </c>
      <c r="U1099" s="38" t="n"/>
      <c r="V1099" s="37" t="n"/>
      <c r="W1099" s="38" t="n"/>
      <c r="X1099" s="38" t="n"/>
      <c r="Y1099" s="44" t="str">
        <f>IF($AC1099&gt;0,INDEX(CASHBACK_RULES!$A$5:$A$304,$AC1099),"")</f>
        <v/>
      </c>
      <c r="Z1099" s="45" t="str">
        <f>IF($AC1099&gt;0,INDEX(CASHBACK_RULES!$E$5:$E$304,$AC1099)&amp;"","")</f>
        <v/>
      </c>
      <c r="AA1099" s="48" t="str">
        <f>IF($AC1099&gt;0,IF(ISNUMBER(INDEX(CASHBACK_RULES!$K$5:$K$304,$AC1099)),INDEX(CASHBACK_RULES!$K$5:$K$304,$AC1099),"∞"),"")</f>
        <v/>
      </c>
      <c r="AB1099" s="44" t="str">
        <f>IF(OR($B1099="",$D1099=""),"",IF($U1099="Cancelled","Đã hủy",IF($AC1099=0,"Không được hoàn",IF($Q1099=0,IF(OR($O1099&gt;0,$M1099&lt;$L1099),"Đã đạt cap","Không được hoàn"),IF(OR($Q1099&lt;$O1099,$M1099&lt;$L1099),"Hoàn một phần","Được hoàn")))))</f>
        <v/>
      </c>
      <c r="AC1099" s="43">
        <f>IF(OR($B1099="",$D1099="",$I1099="",$L1099=""),0,IF($U1099="Cancelled",0,IF($W1099&lt;&gt;"",IFERROR(IF(INDEX(CASHBACK_RULES!$B$5:$B$304,MATCH($W1099,CASHBACK_RULES!$A$5:$A$304,0))=$D1099,MATCH($W1099,CASHBACK_RULES!$A$5:$A$304,0),0),0),IFERROR(MATCH(1,INDEX((CASHBACK_RULES!$B$5:$B$304=$D1099)*(CASHBACK_RULES!$G$5:$G$304=$I1099)*(((CASHBACK_RULES!$N$5:$N$304="")+(CASHBACK_RULES!$N$5:$N$304&lt;=$B1099))&gt;0)*(((CASHBACK_RULES!$O$5:$O$304="")+(CASHBACK_RULES!$O$5:$O$304&gt;=$B1099))&gt;0)*(((CASHBACK_RULES!$M$5:$M$304="")+(CASHBACK_RULES!$M$5:$M$304&lt;=$L1099))&gt;0),0),0),0))))</f>
        <v>0</v>
      </c>
      <c r="AD1099" s="51" t="str">
        <f>IF(OR($B1099="",$D1099=""),"",IFERROR(IF(INDEX(CARDS!$H$5:$H$34,MATCH($D1099,CARDS!$A$5:$A$34,0))="","",IF(DAY($B1099)&lt;=INDEX(CARDS!$H$5:$H$34,MATCH($D1099,CARDS!$A$5:$A$34,0)),DATE(YEAR($B1099),MONTH($B1099),MIN(INDEX(CARDS!$H$5:$H$34,MATCH($D1099,CARDS!$A$5:$A$34,0)),DAY(EOMONTH($B1099,0)))),DATE(YEAR($B1099),MONTH($B1099)+1,MIN(INDEX(CARDS!$H$5:$H$34,MATCH($D1099,CARDS!$A$5:$A$34,0)),DAY(EOMONTH($B1099,1)))))),""))</f>
        <v/>
      </c>
      <c r="AE1099" s="52" t="str">
        <f>IF($C1099="","",$C1099&amp;"|"&amp;COUNTIF($C$5:$C1099,$C1099))</f>
        <v/>
      </c>
      <c r="AF1099" s="53">
        <f>IF($AC1099&gt;0,SUMIFS(Q$4:Q1098,$D$4:$D1098,$D1099,$Z$4:$Z1098,$Z1099,$C$4:$C1098,$C1099),0)</f>
        <v>0</v>
      </c>
      <c r="AG1099" s="53">
        <f>IF($AC1099&gt;0,SUMIFS(Q$4:Q1098,$D$4:$D1098,$D1099,$C$4:$C1098,$C1099),0)</f>
        <v>0</v>
      </c>
      <c r="AH1099" s="53">
        <f>IF($AC1099&gt;0,SUMIFS(M$4:M1098,$D$4:$D1098,$D1099,$Z$4:$Z1098,$Z1099,$C$4:$C1098,$C1099),0)</f>
        <v>0</v>
      </c>
      <c r="AI1099" s="43">
        <f>IF(OR($C1099="",$I1099=""),0,IF(COUNTIFS($C$5:$C1099,$C1099,$I$5:$I1099,$I1099)=1,1,0))</f>
        <v>0</v>
      </c>
      <c r="AJ1099" s="43" t="str">
        <f>IF($AI1099=1,SUMIFS($AI$4:$AI1098,$C$4:$C1098,$C1099)+1,"")</f>
        <v/>
      </c>
      <c r="AK1099" s="43">
        <f>IF(OR($C1099="",$K1099=""),0,IF(COUNTIFS($C$5:$C1099,$C1099,$K$5:$K1099,$K1099)=1,1,0))</f>
        <v>0</v>
      </c>
      <c r="AL1099" s="43" t="str">
        <f>IF($AK1099=1,SUMIFS($AK$4:$AK1098,$C$4:$C1098,$C1099)+1,"")</f>
        <v/>
      </c>
      <c r="AM1099" s="43">
        <f>IF(OR($C1099="",$G1099=""),0,IF(COUNTIFS($C$5:$C1099,$C1099,$G$5:$G1099,$G1099)=1,1,0))</f>
        <v>0</v>
      </c>
      <c r="AN1099" s="43" t="str">
        <f>IF($AM1099=1,SUMIFS($AM$4:$AM1098,$C$4:$C1098,$C1099)+1,"")</f>
        <v/>
      </c>
    </row>
    <row r="1100">
      <c r="A1100" s="44" t="str">
        <f>IF(OR($B1100="",$D1100=""),"","TX"&amp;TEXT(ROW()-4,"0000"))</f>
        <v/>
      </c>
      <c r="B1100" s="42" t="n"/>
      <c r="C1100" s="47" t="str">
        <f>IF($B1100="","",YEAR($B1100)*100+MONTH($B1100))</f>
        <v/>
      </c>
      <c r="D1100" s="37" t="n"/>
      <c r="E1100" s="45" t="str">
        <f>IF($D1100="","",IFERROR(INDEX(CARDS!$B$5:$B$34,MATCH($D1100,CARDS!$A$5:$A$34,0)),"⚠ Card ID?"))</f>
        <v/>
      </c>
      <c r="F1100" s="45" t="str">
        <f>IF($D1100="","",IFERROR(INDEX(CARDS!$C$5:$C$34,MATCH($D1100,CARDS!$A$5:$A$34,0)),"⚠ Card ID?"))</f>
        <v/>
      </c>
      <c r="G1100" s="37" t="n"/>
      <c r="H1100" s="37" t="n"/>
      <c r="I1100" s="41" t="n"/>
      <c r="J1100" s="45" t="str">
        <f>IF($I1100="","",IFERROR(INDEX(MCC_MASTER!$B$5:$B$504,MATCH($I1100,MCC_MASTER!$A$5:$A$504,0)),"⚠ MCC chưa có"))</f>
        <v/>
      </c>
      <c r="K1100" s="45" t="str">
        <f>IF($I1100="","",IFERROR(IF(INDEX(MCC_MASTER!$C$5:$C$504,MATCH($I1100,MCC_MASTER!$A$5:$A$504,0))="","Chưa phân loại",INDEX(MCC_MASTER!$C$5:$C$504,MATCH($I1100,MCC_MASTER!$A$5:$A$504,0))),"Chưa phân loại"))</f>
        <v/>
      </c>
      <c r="L1100" s="40" t="n"/>
      <c r="M1100" s="48" t="str">
        <f>IF(OR($B1100="",$D1100=""),"",IF($AC1100=0,0,IF(ISNUMBER(INDEX(CASHBACK_RULES!$L$5:$L$304,$AC1100)),MAX(0,MIN($L1100,INDEX(CASHBACK_RULES!$L$5:$L$304,$AC1100)-$AH1100)),MAX(0,$L1100))))</f>
        <v/>
      </c>
      <c r="N1100" s="49" t="str">
        <f>IF(OR($B1100="",$D1100=""),"",IF($AC1100&gt;0,INDEX(CASHBACK_RULES!$I$5:$I$304,$AC1100),0))</f>
        <v/>
      </c>
      <c r="O1100" s="48" t="str">
        <f>IF(OR($B1100="",$D1100=""),"",ROUND($M1100*$N1100,0))</f>
        <v/>
      </c>
      <c r="P1100" s="48" t="str">
        <f>IF($AC1100&gt;0,IF(ISNUMBER(INDEX(CASHBACK_RULES!$J$5:$J$304,$AC1100)),INDEX(CASHBACK_RULES!$J$5:$J$304,$AC1100),"∞"),"")</f>
        <v/>
      </c>
      <c r="Q1100" s="48" t="str">
        <f>IF(OR($B1100="",$D1100=""),"",IF($AC1100=0,0,MAX(0,MIN($O1100,IF(ISNUMBER($P1100),$P1100-$AF1100,1E+15),IF(ISNUMBER($AA1100),$AA1100-$AG1100,1E+15)))))</f>
        <v/>
      </c>
      <c r="R1100" s="48" t="str">
        <f>IF(OR($B1100="",$D1100=""),"",IF($AC1100=0,"",IF(AND(NOT(ISNUMBER($P1100)),NOT(ISNUMBER($AA1100))),"∞",MAX(0,MIN(IF(ISNUMBER($P1100),$P1100-$AF1100-$Q1100,1E+15),IF(ISNUMBER($AA1100),$AA1100-$AG1100-$Q1100,1E+15))))))</f>
        <v/>
      </c>
      <c r="S1100" s="47" t="str">
        <f>IF($AD1100="","",YEAR($AD1100)*100+MONTH($AD1100))</f>
        <v/>
      </c>
      <c r="T1100" s="50" t="str">
        <f>IF($AD1100="","",IFERROR(IF(INDEX(CARDS!$I$5:$I$34,MATCH($D1100,CARDS!$A$5:$A$34,0))="","",IF(INDEX(CARDS!$I$5:$I$34,MATCH($D1100,CARDS!$A$5:$A$34,0))&gt;INDEX(CARDS!$H$5:$H$34,MATCH($D1100,CARDS!$A$5:$A$34,0)),DATE(YEAR($AD1100),MONTH($AD1100),MIN(INDEX(CARDS!$I$5:$I$34,MATCH($D1100,CARDS!$A$5:$A$34,0)),DAY(EOMONTH($AD1100,0)))),DATE(YEAR($AD1100),MONTH($AD1100)+1,MIN(INDEX(CARDS!$I$5:$I$34,MATCH($D1100,CARDS!$A$5:$A$34,0)),DAY(EOMONTH($AD1100,1)))))),""))</f>
        <v/>
      </c>
      <c r="U1100" s="38" t="n"/>
      <c r="V1100" s="37" t="n"/>
      <c r="W1100" s="38" t="n"/>
      <c r="X1100" s="38" t="n"/>
      <c r="Y1100" s="44" t="str">
        <f>IF($AC1100&gt;0,INDEX(CASHBACK_RULES!$A$5:$A$304,$AC1100),"")</f>
        <v/>
      </c>
      <c r="Z1100" s="45" t="str">
        <f>IF($AC1100&gt;0,INDEX(CASHBACK_RULES!$E$5:$E$304,$AC1100)&amp;"","")</f>
        <v/>
      </c>
      <c r="AA1100" s="48" t="str">
        <f>IF($AC1100&gt;0,IF(ISNUMBER(INDEX(CASHBACK_RULES!$K$5:$K$304,$AC1100)),INDEX(CASHBACK_RULES!$K$5:$K$304,$AC1100),"∞"),"")</f>
        <v/>
      </c>
      <c r="AB1100" s="44" t="str">
        <f>IF(OR($B1100="",$D1100=""),"",IF($U1100="Cancelled","Đã hủy",IF($AC1100=0,"Không được hoàn",IF($Q1100=0,IF(OR($O1100&gt;0,$M1100&lt;$L1100),"Đã đạt cap","Không được hoàn"),IF(OR($Q1100&lt;$O1100,$M1100&lt;$L1100),"Hoàn một phần","Được hoàn")))))</f>
        <v/>
      </c>
      <c r="AC1100" s="43">
        <f>IF(OR($B1100="",$D1100="",$I1100="",$L1100=""),0,IF($U1100="Cancelled",0,IF($W1100&lt;&gt;"",IFERROR(IF(INDEX(CASHBACK_RULES!$B$5:$B$304,MATCH($W1100,CASHBACK_RULES!$A$5:$A$304,0))=$D1100,MATCH($W1100,CASHBACK_RULES!$A$5:$A$304,0),0),0),IFERROR(MATCH(1,INDEX((CASHBACK_RULES!$B$5:$B$304=$D1100)*(CASHBACK_RULES!$G$5:$G$304=$I1100)*(((CASHBACK_RULES!$N$5:$N$304="")+(CASHBACK_RULES!$N$5:$N$304&lt;=$B1100))&gt;0)*(((CASHBACK_RULES!$O$5:$O$304="")+(CASHBACK_RULES!$O$5:$O$304&gt;=$B1100))&gt;0)*(((CASHBACK_RULES!$M$5:$M$304="")+(CASHBACK_RULES!$M$5:$M$304&lt;=$L1100))&gt;0),0),0),0))))</f>
        <v>0</v>
      </c>
      <c r="AD1100" s="51" t="str">
        <f>IF(OR($B1100="",$D1100=""),"",IFERROR(IF(INDEX(CARDS!$H$5:$H$34,MATCH($D1100,CARDS!$A$5:$A$34,0))="","",IF(DAY($B1100)&lt;=INDEX(CARDS!$H$5:$H$34,MATCH($D1100,CARDS!$A$5:$A$34,0)),DATE(YEAR($B1100),MONTH($B1100),MIN(INDEX(CARDS!$H$5:$H$34,MATCH($D1100,CARDS!$A$5:$A$34,0)),DAY(EOMONTH($B1100,0)))),DATE(YEAR($B1100),MONTH($B1100)+1,MIN(INDEX(CARDS!$H$5:$H$34,MATCH($D1100,CARDS!$A$5:$A$34,0)),DAY(EOMONTH($B1100,1)))))),""))</f>
        <v/>
      </c>
      <c r="AE1100" s="52" t="str">
        <f>IF($C1100="","",$C1100&amp;"|"&amp;COUNTIF($C$5:$C1100,$C1100))</f>
        <v/>
      </c>
      <c r="AF1100" s="53">
        <f>IF($AC1100&gt;0,SUMIFS(Q$4:Q1099,$D$4:$D1099,$D1100,$Z$4:$Z1099,$Z1100,$C$4:$C1099,$C1100),0)</f>
        <v>0</v>
      </c>
      <c r="AG1100" s="53">
        <f>IF($AC1100&gt;0,SUMIFS(Q$4:Q1099,$D$4:$D1099,$D1100,$C$4:$C1099,$C1100),0)</f>
        <v>0</v>
      </c>
      <c r="AH1100" s="53">
        <f>IF($AC1100&gt;0,SUMIFS(M$4:M1099,$D$4:$D1099,$D1100,$Z$4:$Z1099,$Z1100,$C$4:$C1099,$C1100),0)</f>
        <v>0</v>
      </c>
      <c r="AI1100" s="43">
        <f>IF(OR($C1100="",$I1100=""),0,IF(COUNTIFS($C$5:$C1100,$C1100,$I$5:$I1100,$I1100)=1,1,0))</f>
        <v>0</v>
      </c>
      <c r="AJ1100" s="43" t="str">
        <f>IF($AI1100=1,SUMIFS($AI$4:$AI1099,$C$4:$C1099,$C1100)+1,"")</f>
        <v/>
      </c>
      <c r="AK1100" s="43">
        <f>IF(OR($C1100="",$K1100=""),0,IF(COUNTIFS($C$5:$C1100,$C1100,$K$5:$K1100,$K1100)=1,1,0))</f>
        <v>0</v>
      </c>
      <c r="AL1100" s="43" t="str">
        <f>IF($AK1100=1,SUMIFS($AK$4:$AK1099,$C$4:$C1099,$C1100)+1,"")</f>
        <v/>
      </c>
      <c r="AM1100" s="43">
        <f>IF(OR($C1100="",$G1100=""),0,IF(COUNTIFS($C$5:$C1100,$C1100,$G$5:$G1100,$G1100)=1,1,0))</f>
        <v>0</v>
      </c>
      <c r="AN1100" s="43" t="str">
        <f>IF($AM1100=1,SUMIFS($AM$4:$AM1099,$C$4:$C1099,$C1100)+1,"")</f>
        <v/>
      </c>
    </row>
    <row r="1101">
      <c r="A1101" s="44" t="str">
        <f>IF(OR($B1101="",$D1101=""),"","TX"&amp;TEXT(ROW()-4,"0000"))</f>
        <v/>
      </c>
      <c r="B1101" s="42" t="n"/>
      <c r="C1101" s="47" t="str">
        <f>IF($B1101="","",YEAR($B1101)*100+MONTH($B1101))</f>
        <v/>
      </c>
      <c r="D1101" s="37" t="n"/>
      <c r="E1101" s="45" t="str">
        <f>IF($D1101="","",IFERROR(INDEX(CARDS!$B$5:$B$34,MATCH($D1101,CARDS!$A$5:$A$34,0)),"⚠ Card ID?"))</f>
        <v/>
      </c>
      <c r="F1101" s="45" t="str">
        <f>IF($D1101="","",IFERROR(INDEX(CARDS!$C$5:$C$34,MATCH($D1101,CARDS!$A$5:$A$34,0)),"⚠ Card ID?"))</f>
        <v/>
      </c>
      <c r="G1101" s="37" t="n"/>
      <c r="H1101" s="37" t="n"/>
      <c r="I1101" s="41" t="n"/>
      <c r="J1101" s="45" t="str">
        <f>IF($I1101="","",IFERROR(INDEX(MCC_MASTER!$B$5:$B$504,MATCH($I1101,MCC_MASTER!$A$5:$A$504,0)),"⚠ MCC chưa có"))</f>
        <v/>
      </c>
      <c r="K1101" s="45" t="str">
        <f>IF($I1101="","",IFERROR(IF(INDEX(MCC_MASTER!$C$5:$C$504,MATCH($I1101,MCC_MASTER!$A$5:$A$504,0))="","Chưa phân loại",INDEX(MCC_MASTER!$C$5:$C$504,MATCH($I1101,MCC_MASTER!$A$5:$A$504,0))),"Chưa phân loại"))</f>
        <v/>
      </c>
      <c r="L1101" s="40" t="n"/>
      <c r="M1101" s="48" t="str">
        <f>IF(OR($B1101="",$D1101=""),"",IF($AC1101=0,0,IF(ISNUMBER(INDEX(CASHBACK_RULES!$L$5:$L$304,$AC1101)),MAX(0,MIN($L1101,INDEX(CASHBACK_RULES!$L$5:$L$304,$AC1101)-$AH1101)),MAX(0,$L1101))))</f>
        <v/>
      </c>
      <c r="N1101" s="49" t="str">
        <f>IF(OR($B1101="",$D1101=""),"",IF($AC1101&gt;0,INDEX(CASHBACK_RULES!$I$5:$I$304,$AC1101),0))</f>
        <v/>
      </c>
      <c r="O1101" s="48" t="str">
        <f>IF(OR($B1101="",$D1101=""),"",ROUND($M1101*$N1101,0))</f>
        <v/>
      </c>
      <c r="P1101" s="48" t="str">
        <f>IF($AC1101&gt;0,IF(ISNUMBER(INDEX(CASHBACK_RULES!$J$5:$J$304,$AC1101)),INDEX(CASHBACK_RULES!$J$5:$J$304,$AC1101),"∞"),"")</f>
        <v/>
      </c>
      <c r="Q1101" s="48" t="str">
        <f>IF(OR($B1101="",$D1101=""),"",IF($AC1101=0,0,MAX(0,MIN($O1101,IF(ISNUMBER($P1101),$P1101-$AF1101,1E+15),IF(ISNUMBER($AA1101),$AA1101-$AG1101,1E+15)))))</f>
        <v/>
      </c>
      <c r="R1101" s="48" t="str">
        <f>IF(OR($B1101="",$D1101=""),"",IF($AC1101=0,"",IF(AND(NOT(ISNUMBER($P1101)),NOT(ISNUMBER($AA1101))),"∞",MAX(0,MIN(IF(ISNUMBER($P1101),$P1101-$AF1101-$Q1101,1E+15),IF(ISNUMBER($AA1101),$AA1101-$AG1101-$Q1101,1E+15))))))</f>
        <v/>
      </c>
      <c r="S1101" s="47" t="str">
        <f>IF($AD1101="","",YEAR($AD1101)*100+MONTH($AD1101))</f>
        <v/>
      </c>
      <c r="T1101" s="50" t="str">
        <f>IF($AD1101="","",IFERROR(IF(INDEX(CARDS!$I$5:$I$34,MATCH($D1101,CARDS!$A$5:$A$34,0))="","",IF(INDEX(CARDS!$I$5:$I$34,MATCH($D1101,CARDS!$A$5:$A$34,0))&gt;INDEX(CARDS!$H$5:$H$34,MATCH($D1101,CARDS!$A$5:$A$34,0)),DATE(YEAR($AD1101),MONTH($AD1101),MIN(INDEX(CARDS!$I$5:$I$34,MATCH($D1101,CARDS!$A$5:$A$34,0)),DAY(EOMONTH($AD1101,0)))),DATE(YEAR($AD1101),MONTH($AD1101)+1,MIN(INDEX(CARDS!$I$5:$I$34,MATCH($D1101,CARDS!$A$5:$A$34,0)),DAY(EOMONTH($AD1101,1)))))),""))</f>
        <v/>
      </c>
      <c r="U1101" s="38" t="n"/>
      <c r="V1101" s="37" t="n"/>
      <c r="W1101" s="38" t="n"/>
      <c r="X1101" s="38" t="n"/>
      <c r="Y1101" s="44" t="str">
        <f>IF($AC1101&gt;0,INDEX(CASHBACK_RULES!$A$5:$A$304,$AC1101),"")</f>
        <v/>
      </c>
      <c r="Z1101" s="45" t="str">
        <f>IF($AC1101&gt;0,INDEX(CASHBACK_RULES!$E$5:$E$304,$AC1101)&amp;"","")</f>
        <v/>
      </c>
      <c r="AA1101" s="48" t="str">
        <f>IF($AC1101&gt;0,IF(ISNUMBER(INDEX(CASHBACK_RULES!$K$5:$K$304,$AC1101)),INDEX(CASHBACK_RULES!$K$5:$K$304,$AC1101),"∞"),"")</f>
        <v/>
      </c>
      <c r="AB1101" s="44" t="str">
        <f>IF(OR($B1101="",$D1101=""),"",IF($U1101="Cancelled","Đã hủy",IF($AC1101=0,"Không được hoàn",IF($Q1101=0,IF(OR($O1101&gt;0,$M1101&lt;$L1101),"Đã đạt cap","Không được hoàn"),IF(OR($Q1101&lt;$O1101,$M1101&lt;$L1101),"Hoàn một phần","Được hoàn")))))</f>
        <v/>
      </c>
      <c r="AC1101" s="43">
        <f>IF(OR($B1101="",$D1101="",$I1101="",$L1101=""),0,IF($U1101="Cancelled",0,IF($W1101&lt;&gt;"",IFERROR(IF(INDEX(CASHBACK_RULES!$B$5:$B$304,MATCH($W1101,CASHBACK_RULES!$A$5:$A$304,0))=$D1101,MATCH($W1101,CASHBACK_RULES!$A$5:$A$304,0),0),0),IFERROR(MATCH(1,INDEX((CASHBACK_RULES!$B$5:$B$304=$D1101)*(CASHBACK_RULES!$G$5:$G$304=$I1101)*(((CASHBACK_RULES!$N$5:$N$304="")+(CASHBACK_RULES!$N$5:$N$304&lt;=$B1101))&gt;0)*(((CASHBACK_RULES!$O$5:$O$304="")+(CASHBACK_RULES!$O$5:$O$304&gt;=$B1101))&gt;0)*(((CASHBACK_RULES!$M$5:$M$304="")+(CASHBACK_RULES!$M$5:$M$304&lt;=$L1101))&gt;0),0),0),0))))</f>
        <v>0</v>
      </c>
      <c r="AD1101" s="51" t="str">
        <f>IF(OR($B1101="",$D1101=""),"",IFERROR(IF(INDEX(CARDS!$H$5:$H$34,MATCH($D1101,CARDS!$A$5:$A$34,0))="","",IF(DAY($B1101)&lt;=INDEX(CARDS!$H$5:$H$34,MATCH($D1101,CARDS!$A$5:$A$34,0)),DATE(YEAR($B1101),MONTH($B1101),MIN(INDEX(CARDS!$H$5:$H$34,MATCH($D1101,CARDS!$A$5:$A$34,0)),DAY(EOMONTH($B1101,0)))),DATE(YEAR($B1101),MONTH($B1101)+1,MIN(INDEX(CARDS!$H$5:$H$34,MATCH($D1101,CARDS!$A$5:$A$34,0)),DAY(EOMONTH($B1101,1)))))),""))</f>
        <v/>
      </c>
      <c r="AE1101" s="52" t="str">
        <f>IF($C1101="","",$C1101&amp;"|"&amp;COUNTIF($C$5:$C1101,$C1101))</f>
        <v/>
      </c>
      <c r="AF1101" s="53">
        <f>IF($AC1101&gt;0,SUMIFS(Q$4:Q1100,$D$4:$D1100,$D1101,$Z$4:$Z1100,$Z1101,$C$4:$C1100,$C1101),0)</f>
        <v>0</v>
      </c>
      <c r="AG1101" s="53">
        <f>IF($AC1101&gt;0,SUMIFS(Q$4:Q1100,$D$4:$D1100,$D1101,$C$4:$C1100,$C1101),0)</f>
        <v>0</v>
      </c>
      <c r="AH1101" s="53">
        <f>IF($AC1101&gt;0,SUMIFS(M$4:M1100,$D$4:$D1100,$D1101,$Z$4:$Z1100,$Z1101,$C$4:$C1100,$C1101),0)</f>
        <v>0</v>
      </c>
      <c r="AI1101" s="43">
        <f>IF(OR($C1101="",$I1101=""),0,IF(COUNTIFS($C$5:$C1101,$C1101,$I$5:$I1101,$I1101)=1,1,0))</f>
        <v>0</v>
      </c>
      <c r="AJ1101" s="43" t="str">
        <f>IF($AI1101=1,SUMIFS($AI$4:$AI1100,$C$4:$C1100,$C1101)+1,"")</f>
        <v/>
      </c>
      <c r="AK1101" s="43">
        <f>IF(OR($C1101="",$K1101=""),0,IF(COUNTIFS($C$5:$C1101,$C1101,$K$5:$K1101,$K1101)=1,1,0))</f>
        <v>0</v>
      </c>
      <c r="AL1101" s="43" t="str">
        <f>IF($AK1101=1,SUMIFS($AK$4:$AK1100,$C$4:$C1100,$C1101)+1,"")</f>
        <v/>
      </c>
      <c r="AM1101" s="43">
        <f>IF(OR($C1101="",$G1101=""),0,IF(COUNTIFS($C$5:$C1101,$C1101,$G$5:$G1101,$G1101)=1,1,0))</f>
        <v>0</v>
      </c>
      <c r="AN1101" s="43" t="str">
        <f>IF($AM1101=1,SUMIFS($AM$4:$AM1100,$C$4:$C1100,$C1101)+1,"")</f>
        <v/>
      </c>
    </row>
    <row r="1102">
      <c r="A1102" s="44" t="str">
        <f>IF(OR($B1102="",$D1102=""),"","TX"&amp;TEXT(ROW()-4,"0000"))</f>
        <v/>
      </c>
      <c r="B1102" s="42" t="n"/>
      <c r="C1102" s="47" t="str">
        <f>IF($B1102="","",YEAR($B1102)*100+MONTH($B1102))</f>
        <v/>
      </c>
      <c r="D1102" s="37" t="n"/>
      <c r="E1102" s="45" t="str">
        <f>IF($D1102="","",IFERROR(INDEX(CARDS!$B$5:$B$34,MATCH($D1102,CARDS!$A$5:$A$34,0)),"⚠ Card ID?"))</f>
        <v/>
      </c>
      <c r="F1102" s="45" t="str">
        <f>IF($D1102="","",IFERROR(INDEX(CARDS!$C$5:$C$34,MATCH($D1102,CARDS!$A$5:$A$34,0)),"⚠ Card ID?"))</f>
        <v/>
      </c>
      <c r="G1102" s="37" t="n"/>
      <c r="H1102" s="37" t="n"/>
      <c r="I1102" s="41" t="n"/>
      <c r="J1102" s="45" t="str">
        <f>IF($I1102="","",IFERROR(INDEX(MCC_MASTER!$B$5:$B$504,MATCH($I1102,MCC_MASTER!$A$5:$A$504,0)),"⚠ MCC chưa có"))</f>
        <v/>
      </c>
      <c r="K1102" s="45" t="str">
        <f>IF($I1102="","",IFERROR(IF(INDEX(MCC_MASTER!$C$5:$C$504,MATCH($I1102,MCC_MASTER!$A$5:$A$504,0))="","Chưa phân loại",INDEX(MCC_MASTER!$C$5:$C$504,MATCH($I1102,MCC_MASTER!$A$5:$A$504,0))),"Chưa phân loại"))</f>
        <v/>
      </c>
      <c r="L1102" s="40" t="n"/>
      <c r="M1102" s="48" t="str">
        <f>IF(OR($B1102="",$D1102=""),"",IF($AC1102=0,0,IF(ISNUMBER(INDEX(CASHBACK_RULES!$L$5:$L$304,$AC1102)),MAX(0,MIN($L1102,INDEX(CASHBACK_RULES!$L$5:$L$304,$AC1102)-$AH1102)),MAX(0,$L1102))))</f>
        <v/>
      </c>
      <c r="N1102" s="49" t="str">
        <f>IF(OR($B1102="",$D1102=""),"",IF($AC1102&gt;0,INDEX(CASHBACK_RULES!$I$5:$I$304,$AC1102),0))</f>
        <v/>
      </c>
      <c r="O1102" s="48" t="str">
        <f>IF(OR($B1102="",$D1102=""),"",ROUND($M1102*$N1102,0))</f>
        <v/>
      </c>
      <c r="P1102" s="48" t="str">
        <f>IF($AC1102&gt;0,IF(ISNUMBER(INDEX(CASHBACK_RULES!$J$5:$J$304,$AC1102)),INDEX(CASHBACK_RULES!$J$5:$J$304,$AC1102),"∞"),"")</f>
        <v/>
      </c>
      <c r="Q1102" s="48" t="str">
        <f>IF(OR($B1102="",$D1102=""),"",IF($AC1102=0,0,MAX(0,MIN($O1102,IF(ISNUMBER($P1102),$P1102-$AF1102,1E+15),IF(ISNUMBER($AA1102),$AA1102-$AG1102,1E+15)))))</f>
        <v/>
      </c>
      <c r="R1102" s="48" t="str">
        <f>IF(OR($B1102="",$D1102=""),"",IF($AC1102=0,"",IF(AND(NOT(ISNUMBER($P1102)),NOT(ISNUMBER($AA1102))),"∞",MAX(0,MIN(IF(ISNUMBER($P1102),$P1102-$AF1102-$Q1102,1E+15),IF(ISNUMBER($AA1102),$AA1102-$AG1102-$Q1102,1E+15))))))</f>
        <v/>
      </c>
      <c r="S1102" s="47" t="str">
        <f>IF($AD1102="","",YEAR($AD1102)*100+MONTH($AD1102))</f>
        <v/>
      </c>
      <c r="T1102" s="50" t="str">
        <f>IF($AD1102="","",IFERROR(IF(INDEX(CARDS!$I$5:$I$34,MATCH($D1102,CARDS!$A$5:$A$34,0))="","",IF(INDEX(CARDS!$I$5:$I$34,MATCH($D1102,CARDS!$A$5:$A$34,0))&gt;INDEX(CARDS!$H$5:$H$34,MATCH($D1102,CARDS!$A$5:$A$34,0)),DATE(YEAR($AD1102),MONTH($AD1102),MIN(INDEX(CARDS!$I$5:$I$34,MATCH($D1102,CARDS!$A$5:$A$34,0)),DAY(EOMONTH($AD1102,0)))),DATE(YEAR($AD1102),MONTH($AD1102)+1,MIN(INDEX(CARDS!$I$5:$I$34,MATCH($D1102,CARDS!$A$5:$A$34,0)),DAY(EOMONTH($AD1102,1)))))),""))</f>
        <v/>
      </c>
      <c r="U1102" s="38" t="n"/>
      <c r="V1102" s="37" t="n"/>
      <c r="W1102" s="38" t="n"/>
      <c r="X1102" s="38" t="n"/>
      <c r="Y1102" s="44" t="str">
        <f>IF($AC1102&gt;0,INDEX(CASHBACK_RULES!$A$5:$A$304,$AC1102),"")</f>
        <v/>
      </c>
      <c r="Z1102" s="45" t="str">
        <f>IF($AC1102&gt;0,INDEX(CASHBACK_RULES!$E$5:$E$304,$AC1102)&amp;"","")</f>
        <v/>
      </c>
      <c r="AA1102" s="48" t="str">
        <f>IF($AC1102&gt;0,IF(ISNUMBER(INDEX(CASHBACK_RULES!$K$5:$K$304,$AC1102)),INDEX(CASHBACK_RULES!$K$5:$K$304,$AC1102),"∞"),"")</f>
        <v/>
      </c>
      <c r="AB1102" s="44" t="str">
        <f>IF(OR($B1102="",$D1102=""),"",IF($U1102="Cancelled","Đã hủy",IF($AC1102=0,"Không được hoàn",IF($Q1102=0,IF(OR($O1102&gt;0,$M1102&lt;$L1102),"Đã đạt cap","Không được hoàn"),IF(OR($Q1102&lt;$O1102,$M1102&lt;$L1102),"Hoàn một phần","Được hoàn")))))</f>
        <v/>
      </c>
      <c r="AC1102" s="43">
        <f>IF(OR($B1102="",$D1102="",$I1102="",$L1102=""),0,IF($U1102="Cancelled",0,IF($W1102&lt;&gt;"",IFERROR(IF(INDEX(CASHBACK_RULES!$B$5:$B$304,MATCH($W1102,CASHBACK_RULES!$A$5:$A$304,0))=$D1102,MATCH($W1102,CASHBACK_RULES!$A$5:$A$304,0),0),0),IFERROR(MATCH(1,INDEX((CASHBACK_RULES!$B$5:$B$304=$D1102)*(CASHBACK_RULES!$G$5:$G$304=$I1102)*(((CASHBACK_RULES!$N$5:$N$304="")+(CASHBACK_RULES!$N$5:$N$304&lt;=$B1102))&gt;0)*(((CASHBACK_RULES!$O$5:$O$304="")+(CASHBACK_RULES!$O$5:$O$304&gt;=$B1102))&gt;0)*(((CASHBACK_RULES!$M$5:$M$304="")+(CASHBACK_RULES!$M$5:$M$304&lt;=$L1102))&gt;0),0),0),0))))</f>
        <v>0</v>
      </c>
      <c r="AD1102" s="51" t="str">
        <f>IF(OR($B1102="",$D1102=""),"",IFERROR(IF(INDEX(CARDS!$H$5:$H$34,MATCH($D1102,CARDS!$A$5:$A$34,0))="","",IF(DAY($B1102)&lt;=INDEX(CARDS!$H$5:$H$34,MATCH($D1102,CARDS!$A$5:$A$34,0)),DATE(YEAR($B1102),MONTH($B1102),MIN(INDEX(CARDS!$H$5:$H$34,MATCH($D1102,CARDS!$A$5:$A$34,0)),DAY(EOMONTH($B1102,0)))),DATE(YEAR($B1102),MONTH($B1102)+1,MIN(INDEX(CARDS!$H$5:$H$34,MATCH($D1102,CARDS!$A$5:$A$34,0)),DAY(EOMONTH($B1102,1)))))),""))</f>
        <v/>
      </c>
      <c r="AE1102" s="52" t="str">
        <f>IF($C1102="","",$C1102&amp;"|"&amp;COUNTIF($C$5:$C1102,$C1102))</f>
        <v/>
      </c>
      <c r="AF1102" s="53">
        <f>IF($AC1102&gt;0,SUMIFS(Q$4:Q1101,$D$4:$D1101,$D1102,$Z$4:$Z1101,$Z1102,$C$4:$C1101,$C1102),0)</f>
        <v>0</v>
      </c>
      <c r="AG1102" s="53">
        <f>IF($AC1102&gt;0,SUMIFS(Q$4:Q1101,$D$4:$D1101,$D1102,$C$4:$C1101,$C1102),0)</f>
        <v>0</v>
      </c>
      <c r="AH1102" s="53">
        <f>IF($AC1102&gt;0,SUMIFS(M$4:M1101,$D$4:$D1101,$D1102,$Z$4:$Z1101,$Z1102,$C$4:$C1101,$C1102),0)</f>
        <v>0</v>
      </c>
      <c r="AI1102" s="43">
        <f>IF(OR($C1102="",$I1102=""),0,IF(COUNTIFS($C$5:$C1102,$C1102,$I$5:$I1102,$I1102)=1,1,0))</f>
        <v>0</v>
      </c>
      <c r="AJ1102" s="43" t="str">
        <f>IF($AI1102=1,SUMIFS($AI$4:$AI1101,$C$4:$C1101,$C1102)+1,"")</f>
        <v/>
      </c>
      <c r="AK1102" s="43">
        <f>IF(OR($C1102="",$K1102=""),0,IF(COUNTIFS($C$5:$C1102,$C1102,$K$5:$K1102,$K1102)=1,1,0))</f>
        <v>0</v>
      </c>
      <c r="AL1102" s="43" t="str">
        <f>IF($AK1102=1,SUMIFS($AK$4:$AK1101,$C$4:$C1101,$C1102)+1,"")</f>
        <v/>
      </c>
      <c r="AM1102" s="43">
        <f>IF(OR($C1102="",$G1102=""),0,IF(COUNTIFS($C$5:$C1102,$C1102,$G$5:$G1102,$G1102)=1,1,0))</f>
        <v>0</v>
      </c>
      <c r="AN1102" s="43" t="str">
        <f>IF($AM1102=1,SUMIFS($AM$4:$AM1101,$C$4:$C1101,$C1102)+1,"")</f>
        <v/>
      </c>
    </row>
    <row r="1103">
      <c r="A1103" s="44" t="str">
        <f>IF(OR($B1103="",$D1103=""),"","TX"&amp;TEXT(ROW()-4,"0000"))</f>
        <v/>
      </c>
      <c r="B1103" s="42" t="n"/>
      <c r="C1103" s="47" t="str">
        <f>IF($B1103="","",YEAR($B1103)*100+MONTH($B1103))</f>
        <v/>
      </c>
      <c r="D1103" s="37" t="n"/>
      <c r="E1103" s="45" t="str">
        <f>IF($D1103="","",IFERROR(INDEX(CARDS!$B$5:$B$34,MATCH($D1103,CARDS!$A$5:$A$34,0)),"⚠ Card ID?"))</f>
        <v/>
      </c>
      <c r="F1103" s="45" t="str">
        <f>IF($D1103="","",IFERROR(INDEX(CARDS!$C$5:$C$34,MATCH($D1103,CARDS!$A$5:$A$34,0)),"⚠ Card ID?"))</f>
        <v/>
      </c>
      <c r="G1103" s="37" t="n"/>
      <c r="H1103" s="37" t="n"/>
      <c r="I1103" s="41" t="n"/>
      <c r="J1103" s="45" t="str">
        <f>IF($I1103="","",IFERROR(INDEX(MCC_MASTER!$B$5:$B$504,MATCH($I1103,MCC_MASTER!$A$5:$A$504,0)),"⚠ MCC chưa có"))</f>
        <v/>
      </c>
      <c r="K1103" s="45" t="str">
        <f>IF($I1103="","",IFERROR(IF(INDEX(MCC_MASTER!$C$5:$C$504,MATCH($I1103,MCC_MASTER!$A$5:$A$504,0))="","Chưa phân loại",INDEX(MCC_MASTER!$C$5:$C$504,MATCH($I1103,MCC_MASTER!$A$5:$A$504,0))),"Chưa phân loại"))</f>
        <v/>
      </c>
      <c r="L1103" s="40" t="n"/>
      <c r="M1103" s="48" t="str">
        <f>IF(OR($B1103="",$D1103=""),"",IF($AC1103=0,0,IF(ISNUMBER(INDEX(CASHBACK_RULES!$L$5:$L$304,$AC1103)),MAX(0,MIN($L1103,INDEX(CASHBACK_RULES!$L$5:$L$304,$AC1103)-$AH1103)),MAX(0,$L1103))))</f>
        <v/>
      </c>
      <c r="N1103" s="49" t="str">
        <f>IF(OR($B1103="",$D1103=""),"",IF($AC1103&gt;0,INDEX(CASHBACK_RULES!$I$5:$I$304,$AC1103),0))</f>
        <v/>
      </c>
      <c r="O1103" s="48" t="str">
        <f>IF(OR($B1103="",$D1103=""),"",ROUND($M1103*$N1103,0))</f>
        <v/>
      </c>
      <c r="P1103" s="48" t="str">
        <f>IF($AC1103&gt;0,IF(ISNUMBER(INDEX(CASHBACK_RULES!$J$5:$J$304,$AC1103)),INDEX(CASHBACK_RULES!$J$5:$J$304,$AC1103),"∞"),"")</f>
        <v/>
      </c>
      <c r="Q1103" s="48" t="str">
        <f>IF(OR($B1103="",$D1103=""),"",IF($AC1103=0,0,MAX(0,MIN($O1103,IF(ISNUMBER($P1103),$P1103-$AF1103,1E+15),IF(ISNUMBER($AA1103),$AA1103-$AG1103,1E+15)))))</f>
        <v/>
      </c>
      <c r="R1103" s="48" t="str">
        <f>IF(OR($B1103="",$D1103=""),"",IF($AC1103=0,"",IF(AND(NOT(ISNUMBER($P1103)),NOT(ISNUMBER($AA1103))),"∞",MAX(0,MIN(IF(ISNUMBER($P1103),$P1103-$AF1103-$Q1103,1E+15),IF(ISNUMBER($AA1103),$AA1103-$AG1103-$Q1103,1E+15))))))</f>
        <v/>
      </c>
      <c r="S1103" s="47" t="str">
        <f>IF($AD1103="","",YEAR($AD1103)*100+MONTH($AD1103))</f>
        <v/>
      </c>
      <c r="T1103" s="50" t="str">
        <f>IF($AD1103="","",IFERROR(IF(INDEX(CARDS!$I$5:$I$34,MATCH($D1103,CARDS!$A$5:$A$34,0))="","",IF(INDEX(CARDS!$I$5:$I$34,MATCH($D1103,CARDS!$A$5:$A$34,0))&gt;INDEX(CARDS!$H$5:$H$34,MATCH($D1103,CARDS!$A$5:$A$34,0)),DATE(YEAR($AD1103),MONTH($AD1103),MIN(INDEX(CARDS!$I$5:$I$34,MATCH($D1103,CARDS!$A$5:$A$34,0)),DAY(EOMONTH($AD1103,0)))),DATE(YEAR($AD1103),MONTH($AD1103)+1,MIN(INDEX(CARDS!$I$5:$I$34,MATCH($D1103,CARDS!$A$5:$A$34,0)),DAY(EOMONTH($AD1103,1)))))),""))</f>
        <v/>
      </c>
      <c r="U1103" s="38" t="n"/>
      <c r="V1103" s="37" t="n"/>
      <c r="W1103" s="38" t="n"/>
      <c r="X1103" s="38" t="n"/>
      <c r="Y1103" s="44" t="str">
        <f>IF($AC1103&gt;0,INDEX(CASHBACK_RULES!$A$5:$A$304,$AC1103),"")</f>
        <v/>
      </c>
      <c r="Z1103" s="45" t="str">
        <f>IF($AC1103&gt;0,INDEX(CASHBACK_RULES!$E$5:$E$304,$AC1103)&amp;"","")</f>
        <v/>
      </c>
      <c r="AA1103" s="48" t="str">
        <f>IF($AC1103&gt;0,IF(ISNUMBER(INDEX(CASHBACK_RULES!$K$5:$K$304,$AC1103)),INDEX(CASHBACK_RULES!$K$5:$K$304,$AC1103),"∞"),"")</f>
        <v/>
      </c>
      <c r="AB1103" s="44" t="str">
        <f>IF(OR($B1103="",$D1103=""),"",IF($U1103="Cancelled","Đã hủy",IF($AC1103=0,"Không được hoàn",IF($Q1103=0,IF(OR($O1103&gt;0,$M1103&lt;$L1103),"Đã đạt cap","Không được hoàn"),IF(OR($Q1103&lt;$O1103,$M1103&lt;$L1103),"Hoàn một phần","Được hoàn")))))</f>
        <v/>
      </c>
      <c r="AC1103" s="43">
        <f>IF(OR($B1103="",$D1103="",$I1103="",$L1103=""),0,IF($U1103="Cancelled",0,IF($W1103&lt;&gt;"",IFERROR(IF(INDEX(CASHBACK_RULES!$B$5:$B$304,MATCH($W1103,CASHBACK_RULES!$A$5:$A$304,0))=$D1103,MATCH($W1103,CASHBACK_RULES!$A$5:$A$304,0),0),0),IFERROR(MATCH(1,INDEX((CASHBACK_RULES!$B$5:$B$304=$D1103)*(CASHBACK_RULES!$G$5:$G$304=$I1103)*(((CASHBACK_RULES!$N$5:$N$304="")+(CASHBACK_RULES!$N$5:$N$304&lt;=$B1103))&gt;0)*(((CASHBACK_RULES!$O$5:$O$304="")+(CASHBACK_RULES!$O$5:$O$304&gt;=$B1103))&gt;0)*(((CASHBACK_RULES!$M$5:$M$304="")+(CASHBACK_RULES!$M$5:$M$304&lt;=$L1103))&gt;0),0),0),0))))</f>
        <v>0</v>
      </c>
      <c r="AD1103" s="51" t="str">
        <f>IF(OR($B1103="",$D1103=""),"",IFERROR(IF(INDEX(CARDS!$H$5:$H$34,MATCH($D1103,CARDS!$A$5:$A$34,0))="","",IF(DAY($B1103)&lt;=INDEX(CARDS!$H$5:$H$34,MATCH($D1103,CARDS!$A$5:$A$34,0)),DATE(YEAR($B1103),MONTH($B1103),MIN(INDEX(CARDS!$H$5:$H$34,MATCH($D1103,CARDS!$A$5:$A$34,0)),DAY(EOMONTH($B1103,0)))),DATE(YEAR($B1103),MONTH($B1103)+1,MIN(INDEX(CARDS!$H$5:$H$34,MATCH($D1103,CARDS!$A$5:$A$34,0)),DAY(EOMONTH($B1103,1)))))),""))</f>
        <v/>
      </c>
      <c r="AE1103" s="52" t="str">
        <f>IF($C1103="","",$C1103&amp;"|"&amp;COUNTIF($C$5:$C1103,$C1103))</f>
        <v/>
      </c>
      <c r="AF1103" s="53">
        <f>IF($AC1103&gt;0,SUMIFS(Q$4:Q1102,$D$4:$D1102,$D1103,$Z$4:$Z1102,$Z1103,$C$4:$C1102,$C1103),0)</f>
        <v>0</v>
      </c>
      <c r="AG1103" s="53">
        <f>IF($AC1103&gt;0,SUMIFS(Q$4:Q1102,$D$4:$D1102,$D1103,$C$4:$C1102,$C1103),0)</f>
        <v>0</v>
      </c>
      <c r="AH1103" s="53">
        <f>IF($AC1103&gt;0,SUMIFS(M$4:M1102,$D$4:$D1102,$D1103,$Z$4:$Z1102,$Z1103,$C$4:$C1102,$C1103),0)</f>
        <v>0</v>
      </c>
      <c r="AI1103" s="43">
        <f>IF(OR($C1103="",$I1103=""),0,IF(COUNTIFS($C$5:$C1103,$C1103,$I$5:$I1103,$I1103)=1,1,0))</f>
        <v>0</v>
      </c>
      <c r="AJ1103" s="43" t="str">
        <f>IF($AI1103=1,SUMIFS($AI$4:$AI1102,$C$4:$C1102,$C1103)+1,"")</f>
        <v/>
      </c>
      <c r="AK1103" s="43">
        <f>IF(OR($C1103="",$K1103=""),0,IF(COUNTIFS($C$5:$C1103,$C1103,$K$5:$K1103,$K1103)=1,1,0))</f>
        <v>0</v>
      </c>
      <c r="AL1103" s="43" t="str">
        <f>IF($AK1103=1,SUMIFS($AK$4:$AK1102,$C$4:$C1102,$C1103)+1,"")</f>
        <v/>
      </c>
      <c r="AM1103" s="43">
        <f>IF(OR($C1103="",$G1103=""),0,IF(COUNTIFS($C$5:$C1103,$C1103,$G$5:$G1103,$G1103)=1,1,0))</f>
        <v>0</v>
      </c>
      <c r="AN1103" s="43" t="str">
        <f>IF($AM1103=1,SUMIFS($AM$4:$AM1102,$C$4:$C1102,$C1103)+1,"")</f>
        <v/>
      </c>
    </row>
    <row r="1104">
      <c r="A1104" s="44" t="str">
        <f>IF(OR($B1104="",$D1104=""),"","TX"&amp;TEXT(ROW()-4,"0000"))</f>
        <v/>
      </c>
      <c r="B1104" s="42" t="n"/>
      <c r="C1104" s="47" t="str">
        <f>IF($B1104="","",YEAR($B1104)*100+MONTH($B1104))</f>
        <v/>
      </c>
      <c r="D1104" s="37" t="n"/>
      <c r="E1104" s="45" t="str">
        <f>IF($D1104="","",IFERROR(INDEX(CARDS!$B$5:$B$34,MATCH($D1104,CARDS!$A$5:$A$34,0)),"⚠ Card ID?"))</f>
        <v/>
      </c>
      <c r="F1104" s="45" t="str">
        <f>IF($D1104="","",IFERROR(INDEX(CARDS!$C$5:$C$34,MATCH($D1104,CARDS!$A$5:$A$34,0)),"⚠ Card ID?"))</f>
        <v/>
      </c>
      <c r="G1104" s="37" t="n"/>
      <c r="H1104" s="37" t="n"/>
      <c r="I1104" s="41" t="n"/>
      <c r="J1104" s="45" t="str">
        <f>IF($I1104="","",IFERROR(INDEX(MCC_MASTER!$B$5:$B$504,MATCH($I1104,MCC_MASTER!$A$5:$A$504,0)),"⚠ MCC chưa có"))</f>
        <v/>
      </c>
      <c r="K1104" s="45" t="str">
        <f>IF($I1104="","",IFERROR(IF(INDEX(MCC_MASTER!$C$5:$C$504,MATCH($I1104,MCC_MASTER!$A$5:$A$504,0))="","Chưa phân loại",INDEX(MCC_MASTER!$C$5:$C$504,MATCH($I1104,MCC_MASTER!$A$5:$A$504,0))),"Chưa phân loại"))</f>
        <v/>
      </c>
      <c r="L1104" s="40" t="n"/>
      <c r="M1104" s="48" t="str">
        <f>IF(OR($B1104="",$D1104=""),"",IF($AC1104=0,0,IF(ISNUMBER(INDEX(CASHBACK_RULES!$L$5:$L$304,$AC1104)),MAX(0,MIN($L1104,INDEX(CASHBACK_RULES!$L$5:$L$304,$AC1104)-$AH1104)),MAX(0,$L1104))))</f>
        <v/>
      </c>
      <c r="N1104" s="49" t="str">
        <f>IF(OR($B1104="",$D1104=""),"",IF($AC1104&gt;0,INDEX(CASHBACK_RULES!$I$5:$I$304,$AC1104),0))</f>
        <v/>
      </c>
      <c r="O1104" s="48" t="str">
        <f>IF(OR($B1104="",$D1104=""),"",ROUND($M1104*$N1104,0))</f>
        <v/>
      </c>
      <c r="P1104" s="48" t="str">
        <f>IF($AC1104&gt;0,IF(ISNUMBER(INDEX(CASHBACK_RULES!$J$5:$J$304,$AC1104)),INDEX(CASHBACK_RULES!$J$5:$J$304,$AC1104),"∞"),"")</f>
        <v/>
      </c>
      <c r="Q1104" s="48" t="str">
        <f>IF(OR($B1104="",$D1104=""),"",IF($AC1104=0,0,MAX(0,MIN($O1104,IF(ISNUMBER($P1104),$P1104-$AF1104,1E+15),IF(ISNUMBER($AA1104),$AA1104-$AG1104,1E+15)))))</f>
        <v/>
      </c>
      <c r="R1104" s="48" t="str">
        <f>IF(OR($B1104="",$D1104=""),"",IF($AC1104=0,"",IF(AND(NOT(ISNUMBER($P1104)),NOT(ISNUMBER($AA1104))),"∞",MAX(0,MIN(IF(ISNUMBER($P1104),$P1104-$AF1104-$Q1104,1E+15),IF(ISNUMBER($AA1104),$AA1104-$AG1104-$Q1104,1E+15))))))</f>
        <v/>
      </c>
      <c r="S1104" s="47" t="str">
        <f>IF($AD1104="","",YEAR($AD1104)*100+MONTH($AD1104))</f>
        <v/>
      </c>
      <c r="T1104" s="50" t="str">
        <f>IF($AD1104="","",IFERROR(IF(INDEX(CARDS!$I$5:$I$34,MATCH($D1104,CARDS!$A$5:$A$34,0))="","",IF(INDEX(CARDS!$I$5:$I$34,MATCH($D1104,CARDS!$A$5:$A$34,0))&gt;INDEX(CARDS!$H$5:$H$34,MATCH($D1104,CARDS!$A$5:$A$34,0)),DATE(YEAR($AD1104),MONTH($AD1104),MIN(INDEX(CARDS!$I$5:$I$34,MATCH($D1104,CARDS!$A$5:$A$34,0)),DAY(EOMONTH($AD1104,0)))),DATE(YEAR($AD1104),MONTH($AD1104)+1,MIN(INDEX(CARDS!$I$5:$I$34,MATCH($D1104,CARDS!$A$5:$A$34,0)),DAY(EOMONTH($AD1104,1)))))),""))</f>
        <v/>
      </c>
      <c r="U1104" s="38" t="n"/>
      <c r="V1104" s="37" t="n"/>
      <c r="W1104" s="38" t="n"/>
      <c r="X1104" s="38" t="n"/>
      <c r="Y1104" s="44" t="str">
        <f>IF($AC1104&gt;0,INDEX(CASHBACK_RULES!$A$5:$A$304,$AC1104),"")</f>
        <v/>
      </c>
      <c r="Z1104" s="45" t="str">
        <f>IF($AC1104&gt;0,INDEX(CASHBACK_RULES!$E$5:$E$304,$AC1104)&amp;"","")</f>
        <v/>
      </c>
      <c r="AA1104" s="48" t="str">
        <f>IF($AC1104&gt;0,IF(ISNUMBER(INDEX(CASHBACK_RULES!$K$5:$K$304,$AC1104)),INDEX(CASHBACK_RULES!$K$5:$K$304,$AC1104),"∞"),"")</f>
        <v/>
      </c>
      <c r="AB1104" s="44" t="str">
        <f>IF(OR($B1104="",$D1104=""),"",IF($U1104="Cancelled","Đã hủy",IF($AC1104=0,"Không được hoàn",IF($Q1104=0,IF(OR($O1104&gt;0,$M1104&lt;$L1104),"Đã đạt cap","Không được hoàn"),IF(OR($Q1104&lt;$O1104,$M1104&lt;$L1104),"Hoàn một phần","Được hoàn")))))</f>
        <v/>
      </c>
      <c r="AC1104" s="43">
        <f>IF(OR($B1104="",$D1104="",$I1104="",$L1104=""),0,IF($U1104="Cancelled",0,IF($W1104&lt;&gt;"",IFERROR(IF(INDEX(CASHBACK_RULES!$B$5:$B$304,MATCH($W1104,CASHBACK_RULES!$A$5:$A$304,0))=$D1104,MATCH($W1104,CASHBACK_RULES!$A$5:$A$304,0),0),0),IFERROR(MATCH(1,INDEX((CASHBACK_RULES!$B$5:$B$304=$D1104)*(CASHBACK_RULES!$G$5:$G$304=$I1104)*(((CASHBACK_RULES!$N$5:$N$304="")+(CASHBACK_RULES!$N$5:$N$304&lt;=$B1104))&gt;0)*(((CASHBACK_RULES!$O$5:$O$304="")+(CASHBACK_RULES!$O$5:$O$304&gt;=$B1104))&gt;0)*(((CASHBACK_RULES!$M$5:$M$304="")+(CASHBACK_RULES!$M$5:$M$304&lt;=$L1104))&gt;0),0),0),0))))</f>
        <v>0</v>
      </c>
      <c r="AD1104" s="51" t="str">
        <f>IF(OR($B1104="",$D1104=""),"",IFERROR(IF(INDEX(CARDS!$H$5:$H$34,MATCH($D1104,CARDS!$A$5:$A$34,0))="","",IF(DAY($B1104)&lt;=INDEX(CARDS!$H$5:$H$34,MATCH($D1104,CARDS!$A$5:$A$34,0)),DATE(YEAR($B1104),MONTH($B1104),MIN(INDEX(CARDS!$H$5:$H$34,MATCH($D1104,CARDS!$A$5:$A$34,0)),DAY(EOMONTH($B1104,0)))),DATE(YEAR($B1104),MONTH($B1104)+1,MIN(INDEX(CARDS!$H$5:$H$34,MATCH($D1104,CARDS!$A$5:$A$34,0)),DAY(EOMONTH($B1104,1)))))),""))</f>
        <v/>
      </c>
      <c r="AE1104" s="52" t="str">
        <f>IF($C1104="","",$C1104&amp;"|"&amp;COUNTIF($C$5:$C1104,$C1104))</f>
        <v/>
      </c>
      <c r="AF1104" s="53">
        <f>IF($AC1104&gt;0,SUMIFS(Q$4:Q1103,$D$4:$D1103,$D1104,$Z$4:$Z1103,$Z1104,$C$4:$C1103,$C1104),0)</f>
        <v>0</v>
      </c>
      <c r="AG1104" s="53">
        <f>IF($AC1104&gt;0,SUMIFS(Q$4:Q1103,$D$4:$D1103,$D1104,$C$4:$C1103,$C1104),0)</f>
        <v>0</v>
      </c>
      <c r="AH1104" s="53">
        <f>IF($AC1104&gt;0,SUMIFS(M$4:M1103,$D$4:$D1103,$D1104,$Z$4:$Z1103,$Z1104,$C$4:$C1103,$C1104),0)</f>
        <v>0</v>
      </c>
      <c r="AI1104" s="43">
        <f>IF(OR($C1104="",$I1104=""),0,IF(COUNTIFS($C$5:$C1104,$C1104,$I$5:$I1104,$I1104)=1,1,0))</f>
        <v>0</v>
      </c>
      <c r="AJ1104" s="43" t="str">
        <f>IF($AI1104=1,SUMIFS($AI$4:$AI1103,$C$4:$C1103,$C1104)+1,"")</f>
        <v/>
      </c>
      <c r="AK1104" s="43">
        <f>IF(OR($C1104="",$K1104=""),0,IF(COUNTIFS($C$5:$C1104,$C1104,$K$5:$K1104,$K1104)=1,1,0))</f>
        <v>0</v>
      </c>
      <c r="AL1104" s="43" t="str">
        <f>IF($AK1104=1,SUMIFS($AK$4:$AK1103,$C$4:$C1103,$C1104)+1,"")</f>
        <v/>
      </c>
      <c r="AM1104" s="43">
        <f>IF(OR($C1104="",$G1104=""),0,IF(COUNTIFS($C$5:$C1104,$C1104,$G$5:$G1104,$G1104)=1,1,0))</f>
        <v>0</v>
      </c>
      <c r="AN1104" s="43" t="str">
        <f>IF($AM1104=1,SUMIFS($AM$4:$AM1103,$C$4:$C1103,$C1104)+1,"")</f>
        <v/>
      </c>
    </row>
    <row r="1105">
      <c r="A1105" s="44" t="str">
        <f>IF(OR($B1105="",$D1105=""),"","TX"&amp;TEXT(ROW()-4,"0000"))</f>
        <v/>
      </c>
      <c r="B1105" s="42" t="n"/>
      <c r="C1105" s="47" t="str">
        <f>IF($B1105="","",YEAR($B1105)*100+MONTH($B1105))</f>
        <v/>
      </c>
      <c r="D1105" s="37" t="n"/>
      <c r="E1105" s="45" t="str">
        <f>IF($D1105="","",IFERROR(INDEX(CARDS!$B$5:$B$34,MATCH($D1105,CARDS!$A$5:$A$34,0)),"⚠ Card ID?"))</f>
        <v/>
      </c>
      <c r="F1105" s="45" t="str">
        <f>IF($D1105="","",IFERROR(INDEX(CARDS!$C$5:$C$34,MATCH($D1105,CARDS!$A$5:$A$34,0)),"⚠ Card ID?"))</f>
        <v/>
      </c>
      <c r="G1105" s="37" t="n"/>
      <c r="H1105" s="37" t="n"/>
      <c r="I1105" s="41" t="n"/>
      <c r="J1105" s="45" t="str">
        <f>IF($I1105="","",IFERROR(INDEX(MCC_MASTER!$B$5:$B$504,MATCH($I1105,MCC_MASTER!$A$5:$A$504,0)),"⚠ MCC chưa có"))</f>
        <v/>
      </c>
      <c r="K1105" s="45" t="str">
        <f>IF($I1105="","",IFERROR(IF(INDEX(MCC_MASTER!$C$5:$C$504,MATCH($I1105,MCC_MASTER!$A$5:$A$504,0))="","Chưa phân loại",INDEX(MCC_MASTER!$C$5:$C$504,MATCH($I1105,MCC_MASTER!$A$5:$A$504,0))),"Chưa phân loại"))</f>
        <v/>
      </c>
      <c r="L1105" s="40" t="n"/>
      <c r="M1105" s="48" t="str">
        <f>IF(OR($B1105="",$D1105=""),"",IF($AC1105=0,0,IF(ISNUMBER(INDEX(CASHBACK_RULES!$L$5:$L$304,$AC1105)),MAX(0,MIN($L1105,INDEX(CASHBACK_RULES!$L$5:$L$304,$AC1105)-$AH1105)),MAX(0,$L1105))))</f>
        <v/>
      </c>
      <c r="N1105" s="49" t="str">
        <f>IF(OR($B1105="",$D1105=""),"",IF($AC1105&gt;0,INDEX(CASHBACK_RULES!$I$5:$I$304,$AC1105),0))</f>
        <v/>
      </c>
      <c r="O1105" s="48" t="str">
        <f>IF(OR($B1105="",$D1105=""),"",ROUND($M1105*$N1105,0))</f>
        <v/>
      </c>
      <c r="P1105" s="48" t="str">
        <f>IF($AC1105&gt;0,IF(ISNUMBER(INDEX(CASHBACK_RULES!$J$5:$J$304,$AC1105)),INDEX(CASHBACK_RULES!$J$5:$J$304,$AC1105),"∞"),"")</f>
        <v/>
      </c>
      <c r="Q1105" s="48" t="str">
        <f>IF(OR($B1105="",$D1105=""),"",IF($AC1105=0,0,MAX(0,MIN($O1105,IF(ISNUMBER($P1105),$P1105-$AF1105,1E+15),IF(ISNUMBER($AA1105),$AA1105-$AG1105,1E+15)))))</f>
        <v/>
      </c>
      <c r="R1105" s="48" t="str">
        <f>IF(OR($B1105="",$D1105=""),"",IF($AC1105=0,"",IF(AND(NOT(ISNUMBER($P1105)),NOT(ISNUMBER($AA1105))),"∞",MAX(0,MIN(IF(ISNUMBER($P1105),$P1105-$AF1105-$Q1105,1E+15),IF(ISNUMBER($AA1105),$AA1105-$AG1105-$Q1105,1E+15))))))</f>
        <v/>
      </c>
      <c r="S1105" s="47" t="str">
        <f>IF($AD1105="","",YEAR($AD1105)*100+MONTH($AD1105))</f>
        <v/>
      </c>
      <c r="T1105" s="50" t="str">
        <f>IF($AD1105="","",IFERROR(IF(INDEX(CARDS!$I$5:$I$34,MATCH($D1105,CARDS!$A$5:$A$34,0))="","",IF(INDEX(CARDS!$I$5:$I$34,MATCH($D1105,CARDS!$A$5:$A$34,0))&gt;INDEX(CARDS!$H$5:$H$34,MATCH($D1105,CARDS!$A$5:$A$34,0)),DATE(YEAR($AD1105),MONTH($AD1105),MIN(INDEX(CARDS!$I$5:$I$34,MATCH($D1105,CARDS!$A$5:$A$34,0)),DAY(EOMONTH($AD1105,0)))),DATE(YEAR($AD1105),MONTH($AD1105)+1,MIN(INDEX(CARDS!$I$5:$I$34,MATCH($D1105,CARDS!$A$5:$A$34,0)),DAY(EOMONTH($AD1105,1)))))),""))</f>
        <v/>
      </c>
      <c r="U1105" s="38" t="n"/>
      <c r="V1105" s="37" t="n"/>
      <c r="W1105" s="38" t="n"/>
      <c r="X1105" s="38" t="n"/>
      <c r="Y1105" s="44" t="str">
        <f>IF($AC1105&gt;0,INDEX(CASHBACK_RULES!$A$5:$A$304,$AC1105),"")</f>
        <v/>
      </c>
      <c r="Z1105" s="45" t="str">
        <f>IF($AC1105&gt;0,INDEX(CASHBACK_RULES!$E$5:$E$304,$AC1105)&amp;"","")</f>
        <v/>
      </c>
      <c r="AA1105" s="48" t="str">
        <f>IF($AC1105&gt;0,IF(ISNUMBER(INDEX(CASHBACK_RULES!$K$5:$K$304,$AC1105)),INDEX(CASHBACK_RULES!$K$5:$K$304,$AC1105),"∞"),"")</f>
        <v/>
      </c>
      <c r="AB1105" s="44" t="str">
        <f>IF(OR($B1105="",$D1105=""),"",IF($U1105="Cancelled","Đã hủy",IF($AC1105=0,"Không được hoàn",IF($Q1105=0,IF(OR($O1105&gt;0,$M1105&lt;$L1105),"Đã đạt cap","Không được hoàn"),IF(OR($Q1105&lt;$O1105,$M1105&lt;$L1105),"Hoàn một phần","Được hoàn")))))</f>
        <v/>
      </c>
      <c r="AC1105" s="43">
        <f>IF(OR($B1105="",$D1105="",$I1105="",$L1105=""),0,IF($U1105="Cancelled",0,IF($W1105&lt;&gt;"",IFERROR(IF(INDEX(CASHBACK_RULES!$B$5:$B$304,MATCH($W1105,CASHBACK_RULES!$A$5:$A$304,0))=$D1105,MATCH($W1105,CASHBACK_RULES!$A$5:$A$304,0),0),0),IFERROR(MATCH(1,INDEX((CASHBACK_RULES!$B$5:$B$304=$D1105)*(CASHBACK_RULES!$G$5:$G$304=$I1105)*(((CASHBACK_RULES!$N$5:$N$304="")+(CASHBACK_RULES!$N$5:$N$304&lt;=$B1105))&gt;0)*(((CASHBACK_RULES!$O$5:$O$304="")+(CASHBACK_RULES!$O$5:$O$304&gt;=$B1105))&gt;0)*(((CASHBACK_RULES!$M$5:$M$304="")+(CASHBACK_RULES!$M$5:$M$304&lt;=$L1105))&gt;0),0),0),0))))</f>
        <v>0</v>
      </c>
      <c r="AD1105" s="51" t="str">
        <f>IF(OR($B1105="",$D1105=""),"",IFERROR(IF(INDEX(CARDS!$H$5:$H$34,MATCH($D1105,CARDS!$A$5:$A$34,0))="","",IF(DAY($B1105)&lt;=INDEX(CARDS!$H$5:$H$34,MATCH($D1105,CARDS!$A$5:$A$34,0)),DATE(YEAR($B1105),MONTH($B1105),MIN(INDEX(CARDS!$H$5:$H$34,MATCH($D1105,CARDS!$A$5:$A$34,0)),DAY(EOMONTH($B1105,0)))),DATE(YEAR($B1105),MONTH($B1105)+1,MIN(INDEX(CARDS!$H$5:$H$34,MATCH($D1105,CARDS!$A$5:$A$34,0)),DAY(EOMONTH($B1105,1)))))),""))</f>
        <v/>
      </c>
      <c r="AE1105" s="52" t="str">
        <f>IF($C1105="","",$C1105&amp;"|"&amp;COUNTIF($C$5:$C1105,$C1105))</f>
        <v/>
      </c>
      <c r="AF1105" s="53">
        <f>IF($AC1105&gt;0,SUMIFS(Q$4:Q1104,$D$4:$D1104,$D1105,$Z$4:$Z1104,$Z1105,$C$4:$C1104,$C1105),0)</f>
        <v>0</v>
      </c>
      <c r="AG1105" s="53">
        <f>IF($AC1105&gt;0,SUMIFS(Q$4:Q1104,$D$4:$D1104,$D1105,$C$4:$C1104,$C1105),0)</f>
        <v>0</v>
      </c>
      <c r="AH1105" s="53">
        <f>IF($AC1105&gt;0,SUMIFS(M$4:M1104,$D$4:$D1104,$D1105,$Z$4:$Z1104,$Z1105,$C$4:$C1104,$C1105),0)</f>
        <v>0</v>
      </c>
      <c r="AI1105" s="43">
        <f>IF(OR($C1105="",$I1105=""),0,IF(COUNTIFS($C$5:$C1105,$C1105,$I$5:$I1105,$I1105)=1,1,0))</f>
        <v>0</v>
      </c>
      <c r="AJ1105" s="43" t="str">
        <f>IF($AI1105=1,SUMIFS($AI$4:$AI1104,$C$4:$C1104,$C1105)+1,"")</f>
        <v/>
      </c>
      <c r="AK1105" s="43">
        <f>IF(OR($C1105="",$K1105=""),0,IF(COUNTIFS($C$5:$C1105,$C1105,$K$5:$K1105,$K1105)=1,1,0))</f>
        <v>0</v>
      </c>
      <c r="AL1105" s="43" t="str">
        <f>IF($AK1105=1,SUMIFS($AK$4:$AK1104,$C$4:$C1104,$C1105)+1,"")</f>
        <v/>
      </c>
      <c r="AM1105" s="43">
        <f>IF(OR($C1105="",$G1105=""),0,IF(COUNTIFS($C$5:$C1105,$C1105,$G$5:$G1105,$G1105)=1,1,0))</f>
        <v>0</v>
      </c>
      <c r="AN1105" s="43" t="str">
        <f>IF($AM1105=1,SUMIFS($AM$4:$AM1104,$C$4:$C1104,$C1105)+1,"")</f>
        <v/>
      </c>
    </row>
    <row r="1106">
      <c r="A1106" s="44" t="str">
        <f>IF(OR($B1106="",$D1106=""),"","TX"&amp;TEXT(ROW()-4,"0000"))</f>
        <v/>
      </c>
      <c r="B1106" s="42" t="n"/>
      <c r="C1106" s="47" t="str">
        <f>IF($B1106="","",YEAR($B1106)*100+MONTH($B1106))</f>
        <v/>
      </c>
      <c r="D1106" s="37" t="n"/>
      <c r="E1106" s="45" t="str">
        <f>IF($D1106="","",IFERROR(INDEX(CARDS!$B$5:$B$34,MATCH($D1106,CARDS!$A$5:$A$34,0)),"⚠ Card ID?"))</f>
        <v/>
      </c>
      <c r="F1106" s="45" t="str">
        <f>IF($D1106="","",IFERROR(INDEX(CARDS!$C$5:$C$34,MATCH($D1106,CARDS!$A$5:$A$34,0)),"⚠ Card ID?"))</f>
        <v/>
      </c>
      <c r="G1106" s="37" t="n"/>
      <c r="H1106" s="37" t="n"/>
      <c r="I1106" s="41" t="n"/>
      <c r="J1106" s="45" t="str">
        <f>IF($I1106="","",IFERROR(INDEX(MCC_MASTER!$B$5:$B$504,MATCH($I1106,MCC_MASTER!$A$5:$A$504,0)),"⚠ MCC chưa có"))</f>
        <v/>
      </c>
      <c r="K1106" s="45" t="str">
        <f>IF($I1106="","",IFERROR(IF(INDEX(MCC_MASTER!$C$5:$C$504,MATCH($I1106,MCC_MASTER!$A$5:$A$504,0))="","Chưa phân loại",INDEX(MCC_MASTER!$C$5:$C$504,MATCH($I1106,MCC_MASTER!$A$5:$A$504,0))),"Chưa phân loại"))</f>
        <v/>
      </c>
      <c r="L1106" s="40" t="n"/>
      <c r="M1106" s="48" t="str">
        <f>IF(OR($B1106="",$D1106=""),"",IF($AC1106=0,0,IF(ISNUMBER(INDEX(CASHBACK_RULES!$L$5:$L$304,$AC1106)),MAX(0,MIN($L1106,INDEX(CASHBACK_RULES!$L$5:$L$304,$AC1106)-$AH1106)),MAX(0,$L1106))))</f>
        <v/>
      </c>
      <c r="N1106" s="49" t="str">
        <f>IF(OR($B1106="",$D1106=""),"",IF($AC1106&gt;0,INDEX(CASHBACK_RULES!$I$5:$I$304,$AC1106),0))</f>
        <v/>
      </c>
      <c r="O1106" s="48" t="str">
        <f>IF(OR($B1106="",$D1106=""),"",ROUND($M1106*$N1106,0))</f>
        <v/>
      </c>
      <c r="P1106" s="48" t="str">
        <f>IF($AC1106&gt;0,IF(ISNUMBER(INDEX(CASHBACK_RULES!$J$5:$J$304,$AC1106)),INDEX(CASHBACK_RULES!$J$5:$J$304,$AC1106),"∞"),"")</f>
        <v/>
      </c>
      <c r="Q1106" s="48" t="str">
        <f>IF(OR($B1106="",$D1106=""),"",IF($AC1106=0,0,MAX(0,MIN($O1106,IF(ISNUMBER($P1106),$P1106-$AF1106,1E+15),IF(ISNUMBER($AA1106),$AA1106-$AG1106,1E+15)))))</f>
        <v/>
      </c>
      <c r="R1106" s="48" t="str">
        <f>IF(OR($B1106="",$D1106=""),"",IF($AC1106=0,"",IF(AND(NOT(ISNUMBER($P1106)),NOT(ISNUMBER($AA1106))),"∞",MAX(0,MIN(IF(ISNUMBER($P1106),$P1106-$AF1106-$Q1106,1E+15),IF(ISNUMBER($AA1106),$AA1106-$AG1106-$Q1106,1E+15))))))</f>
        <v/>
      </c>
      <c r="S1106" s="47" t="str">
        <f>IF($AD1106="","",YEAR($AD1106)*100+MONTH($AD1106))</f>
        <v/>
      </c>
      <c r="T1106" s="50" t="str">
        <f>IF($AD1106="","",IFERROR(IF(INDEX(CARDS!$I$5:$I$34,MATCH($D1106,CARDS!$A$5:$A$34,0))="","",IF(INDEX(CARDS!$I$5:$I$34,MATCH($D1106,CARDS!$A$5:$A$34,0))&gt;INDEX(CARDS!$H$5:$H$34,MATCH($D1106,CARDS!$A$5:$A$34,0)),DATE(YEAR($AD1106),MONTH($AD1106),MIN(INDEX(CARDS!$I$5:$I$34,MATCH($D1106,CARDS!$A$5:$A$34,0)),DAY(EOMONTH($AD1106,0)))),DATE(YEAR($AD1106),MONTH($AD1106)+1,MIN(INDEX(CARDS!$I$5:$I$34,MATCH($D1106,CARDS!$A$5:$A$34,0)),DAY(EOMONTH($AD1106,1)))))),""))</f>
        <v/>
      </c>
      <c r="U1106" s="38" t="n"/>
      <c r="V1106" s="37" t="n"/>
      <c r="W1106" s="38" t="n"/>
      <c r="X1106" s="38" t="n"/>
      <c r="Y1106" s="44" t="str">
        <f>IF($AC1106&gt;0,INDEX(CASHBACK_RULES!$A$5:$A$304,$AC1106),"")</f>
        <v/>
      </c>
      <c r="Z1106" s="45" t="str">
        <f>IF($AC1106&gt;0,INDEX(CASHBACK_RULES!$E$5:$E$304,$AC1106)&amp;"","")</f>
        <v/>
      </c>
      <c r="AA1106" s="48" t="str">
        <f>IF($AC1106&gt;0,IF(ISNUMBER(INDEX(CASHBACK_RULES!$K$5:$K$304,$AC1106)),INDEX(CASHBACK_RULES!$K$5:$K$304,$AC1106),"∞"),"")</f>
        <v/>
      </c>
      <c r="AB1106" s="44" t="str">
        <f>IF(OR($B1106="",$D1106=""),"",IF($U1106="Cancelled","Đã hủy",IF($AC1106=0,"Không được hoàn",IF($Q1106=0,IF(OR($O1106&gt;0,$M1106&lt;$L1106),"Đã đạt cap","Không được hoàn"),IF(OR($Q1106&lt;$O1106,$M1106&lt;$L1106),"Hoàn một phần","Được hoàn")))))</f>
        <v/>
      </c>
      <c r="AC1106" s="43">
        <f>IF(OR($B1106="",$D1106="",$I1106="",$L1106=""),0,IF($U1106="Cancelled",0,IF($W1106&lt;&gt;"",IFERROR(IF(INDEX(CASHBACK_RULES!$B$5:$B$304,MATCH($W1106,CASHBACK_RULES!$A$5:$A$304,0))=$D1106,MATCH($W1106,CASHBACK_RULES!$A$5:$A$304,0),0),0),IFERROR(MATCH(1,INDEX((CASHBACK_RULES!$B$5:$B$304=$D1106)*(CASHBACK_RULES!$G$5:$G$304=$I1106)*(((CASHBACK_RULES!$N$5:$N$304="")+(CASHBACK_RULES!$N$5:$N$304&lt;=$B1106))&gt;0)*(((CASHBACK_RULES!$O$5:$O$304="")+(CASHBACK_RULES!$O$5:$O$304&gt;=$B1106))&gt;0)*(((CASHBACK_RULES!$M$5:$M$304="")+(CASHBACK_RULES!$M$5:$M$304&lt;=$L1106))&gt;0),0),0),0))))</f>
        <v>0</v>
      </c>
      <c r="AD1106" s="51" t="str">
        <f>IF(OR($B1106="",$D1106=""),"",IFERROR(IF(INDEX(CARDS!$H$5:$H$34,MATCH($D1106,CARDS!$A$5:$A$34,0))="","",IF(DAY($B1106)&lt;=INDEX(CARDS!$H$5:$H$34,MATCH($D1106,CARDS!$A$5:$A$34,0)),DATE(YEAR($B1106),MONTH($B1106),MIN(INDEX(CARDS!$H$5:$H$34,MATCH($D1106,CARDS!$A$5:$A$34,0)),DAY(EOMONTH($B1106,0)))),DATE(YEAR($B1106),MONTH($B1106)+1,MIN(INDEX(CARDS!$H$5:$H$34,MATCH($D1106,CARDS!$A$5:$A$34,0)),DAY(EOMONTH($B1106,1)))))),""))</f>
        <v/>
      </c>
      <c r="AE1106" s="52" t="str">
        <f>IF($C1106="","",$C1106&amp;"|"&amp;COUNTIF($C$5:$C1106,$C1106))</f>
        <v/>
      </c>
      <c r="AF1106" s="53">
        <f>IF($AC1106&gt;0,SUMIFS(Q$4:Q1105,$D$4:$D1105,$D1106,$Z$4:$Z1105,$Z1106,$C$4:$C1105,$C1106),0)</f>
        <v>0</v>
      </c>
      <c r="AG1106" s="53">
        <f>IF($AC1106&gt;0,SUMIFS(Q$4:Q1105,$D$4:$D1105,$D1106,$C$4:$C1105,$C1106),0)</f>
        <v>0</v>
      </c>
      <c r="AH1106" s="53">
        <f>IF($AC1106&gt;0,SUMIFS(M$4:M1105,$D$4:$D1105,$D1106,$Z$4:$Z1105,$Z1106,$C$4:$C1105,$C1106),0)</f>
        <v>0</v>
      </c>
      <c r="AI1106" s="43">
        <f>IF(OR($C1106="",$I1106=""),0,IF(COUNTIFS($C$5:$C1106,$C1106,$I$5:$I1106,$I1106)=1,1,0))</f>
        <v>0</v>
      </c>
      <c r="AJ1106" s="43" t="str">
        <f>IF($AI1106=1,SUMIFS($AI$4:$AI1105,$C$4:$C1105,$C1106)+1,"")</f>
        <v/>
      </c>
      <c r="AK1106" s="43">
        <f>IF(OR($C1106="",$K1106=""),0,IF(COUNTIFS($C$5:$C1106,$C1106,$K$5:$K1106,$K1106)=1,1,0))</f>
        <v>0</v>
      </c>
      <c r="AL1106" s="43" t="str">
        <f>IF($AK1106=1,SUMIFS($AK$4:$AK1105,$C$4:$C1105,$C1106)+1,"")</f>
        <v/>
      </c>
      <c r="AM1106" s="43">
        <f>IF(OR($C1106="",$G1106=""),0,IF(COUNTIFS($C$5:$C1106,$C1106,$G$5:$G1106,$G1106)=1,1,0))</f>
        <v>0</v>
      </c>
      <c r="AN1106" s="43" t="str">
        <f>IF($AM1106=1,SUMIFS($AM$4:$AM1105,$C$4:$C1105,$C1106)+1,"")</f>
        <v/>
      </c>
    </row>
    <row r="1107">
      <c r="A1107" s="44" t="str">
        <f>IF(OR($B1107="",$D1107=""),"","TX"&amp;TEXT(ROW()-4,"0000"))</f>
        <v/>
      </c>
      <c r="B1107" s="42" t="n"/>
      <c r="C1107" s="47" t="str">
        <f>IF($B1107="","",YEAR($B1107)*100+MONTH($B1107))</f>
        <v/>
      </c>
      <c r="D1107" s="37" t="n"/>
      <c r="E1107" s="45" t="str">
        <f>IF($D1107="","",IFERROR(INDEX(CARDS!$B$5:$B$34,MATCH($D1107,CARDS!$A$5:$A$34,0)),"⚠ Card ID?"))</f>
        <v/>
      </c>
      <c r="F1107" s="45" t="str">
        <f>IF($D1107="","",IFERROR(INDEX(CARDS!$C$5:$C$34,MATCH($D1107,CARDS!$A$5:$A$34,0)),"⚠ Card ID?"))</f>
        <v/>
      </c>
      <c r="G1107" s="37" t="n"/>
      <c r="H1107" s="37" t="n"/>
      <c r="I1107" s="41" t="n"/>
      <c r="J1107" s="45" t="str">
        <f>IF($I1107="","",IFERROR(INDEX(MCC_MASTER!$B$5:$B$504,MATCH($I1107,MCC_MASTER!$A$5:$A$504,0)),"⚠ MCC chưa có"))</f>
        <v/>
      </c>
      <c r="K1107" s="45" t="str">
        <f>IF($I1107="","",IFERROR(IF(INDEX(MCC_MASTER!$C$5:$C$504,MATCH($I1107,MCC_MASTER!$A$5:$A$504,0))="","Chưa phân loại",INDEX(MCC_MASTER!$C$5:$C$504,MATCH($I1107,MCC_MASTER!$A$5:$A$504,0))),"Chưa phân loại"))</f>
        <v/>
      </c>
      <c r="L1107" s="40" t="n"/>
      <c r="M1107" s="48" t="str">
        <f>IF(OR($B1107="",$D1107=""),"",IF($AC1107=0,0,IF(ISNUMBER(INDEX(CASHBACK_RULES!$L$5:$L$304,$AC1107)),MAX(0,MIN($L1107,INDEX(CASHBACK_RULES!$L$5:$L$304,$AC1107)-$AH1107)),MAX(0,$L1107))))</f>
        <v/>
      </c>
      <c r="N1107" s="49" t="str">
        <f>IF(OR($B1107="",$D1107=""),"",IF($AC1107&gt;0,INDEX(CASHBACK_RULES!$I$5:$I$304,$AC1107),0))</f>
        <v/>
      </c>
      <c r="O1107" s="48" t="str">
        <f>IF(OR($B1107="",$D1107=""),"",ROUND($M1107*$N1107,0))</f>
        <v/>
      </c>
      <c r="P1107" s="48" t="str">
        <f>IF($AC1107&gt;0,IF(ISNUMBER(INDEX(CASHBACK_RULES!$J$5:$J$304,$AC1107)),INDEX(CASHBACK_RULES!$J$5:$J$304,$AC1107),"∞"),"")</f>
        <v/>
      </c>
      <c r="Q1107" s="48" t="str">
        <f>IF(OR($B1107="",$D1107=""),"",IF($AC1107=0,0,MAX(0,MIN($O1107,IF(ISNUMBER($P1107),$P1107-$AF1107,1E+15),IF(ISNUMBER($AA1107),$AA1107-$AG1107,1E+15)))))</f>
        <v/>
      </c>
      <c r="R1107" s="48" t="str">
        <f>IF(OR($B1107="",$D1107=""),"",IF($AC1107=0,"",IF(AND(NOT(ISNUMBER($P1107)),NOT(ISNUMBER($AA1107))),"∞",MAX(0,MIN(IF(ISNUMBER($P1107),$P1107-$AF1107-$Q1107,1E+15),IF(ISNUMBER($AA1107),$AA1107-$AG1107-$Q1107,1E+15))))))</f>
        <v/>
      </c>
      <c r="S1107" s="47" t="str">
        <f>IF($AD1107="","",YEAR($AD1107)*100+MONTH($AD1107))</f>
        <v/>
      </c>
      <c r="T1107" s="50" t="str">
        <f>IF($AD1107="","",IFERROR(IF(INDEX(CARDS!$I$5:$I$34,MATCH($D1107,CARDS!$A$5:$A$34,0))="","",IF(INDEX(CARDS!$I$5:$I$34,MATCH($D1107,CARDS!$A$5:$A$34,0))&gt;INDEX(CARDS!$H$5:$H$34,MATCH($D1107,CARDS!$A$5:$A$34,0)),DATE(YEAR($AD1107),MONTH($AD1107),MIN(INDEX(CARDS!$I$5:$I$34,MATCH($D1107,CARDS!$A$5:$A$34,0)),DAY(EOMONTH($AD1107,0)))),DATE(YEAR($AD1107),MONTH($AD1107)+1,MIN(INDEX(CARDS!$I$5:$I$34,MATCH($D1107,CARDS!$A$5:$A$34,0)),DAY(EOMONTH($AD1107,1)))))),""))</f>
        <v/>
      </c>
      <c r="U1107" s="38" t="n"/>
      <c r="V1107" s="37" t="n"/>
      <c r="W1107" s="38" t="n"/>
      <c r="X1107" s="38" t="n"/>
      <c r="Y1107" s="44" t="str">
        <f>IF($AC1107&gt;0,INDEX(CASHBACK_RULES!$A$5:$A$304,$AC1107),"")</f>
        <v/>
      </c>
      <c r="Z1107" s="45" t="str">
        <f>IF($AC1107&gt;0,INDEX(CASHBACK_RULES!$E$5:$E$304,$AC1107)&amp;"","")</f>
        <v/>
      </c>
      <c r="AA1107" s="48" t="str">
        <f>IF($AC1107&gt;0,IF(ISNUMBER(INDEX(CASHBACK_RULES!$K$5:$K$304,$AC1107)),INDEX(CASHBACK_RULES!$K$5:$K$304,$AC1107),"∞"),"")</f>
        <v/>
      </c>
      <c r="AB1107" s="44" t="str">
        <f>IF(OR($B1107="",$D1107=""),"",IF($U1107="Cancelled","Đã hủy",IF($AC1107=0,"Không được hoàn",IF($Q1107=0,IF(OR($O1107&gt;0,$M1107&lt;$L1107),"Đã đạt cap","Không được hoàn"),IF(OR($Q1107&lt;$O1107,$M1107&lt;$L1107),"Hoàn một phần","Được hoàn")))))</f>
        <v/>
      </c>
      <c r="AC1107" s="43">
        <f>IF(OR($B1107="",$D1107="",$I1107="",$L1107=""),0,IF($U1107="Cancelled",0,IF($W1107&lt;&gt;"",IFERROR(IF(INDEX(CASHBACK_RULES!$B$5:$B$304,MATCH($W1107,CASHBACK_RULES!$A$5:$A$304,0))=$D1107,MATCH($W1107,CASHBACK_RULES!$A$5:$A$304,0),0),0),IFERROR(MATCH(1,INDEX((CASHBACK_RULES!$B$5:$B$304=$D1107)*(CASHBACK_RULES!$G$5:$G$304=$I1107)*(((CASHBACK_RULES!$N$5:$N$304="")+(CASHBACK_RULES!$N$5:$N$304&lt;=$B1107))&gt;0)*(((CASHBACK_RULES!$O$5:$O$304="")+(CASHBACK_RULES!$O$5:$O$304&gt;=$B1107))&gt;0)*(((CASHBACK_RULES!$M$5:$M$304="")+(CASHBACK_RULES!$M$5:$M$304&lt;=$L1107))&gt;0),0),0),0))))</f>
        <v>0</v>
      </c>
      <c r="AD1107" s="51" t="str">
        <f>IF(OR($B1107="",$D1107=""),"",IFERROR(IF(INDEX(CARDS!$H$5:$H$34,MATCH($D1107,CARDS!$A$5:$A$34,0))="","",IF(DAY($B1107)&lt;=INDEX(CARDS!$H$5:$H$34,MATCH($D1107,CARDS!$A$5:$A$34,0)),DATE(YEAR($B1107),MONTH($B1107),MIN(INDEX(CARDS!$H$5:$H$34,MATCH($D1107,CARDS!$A$5:$A$34,0)),DAY(EOMONTH($B1107,0)))),DATE(YEAR($B1107),MONTH($B1107)+1,MIN(INDEX(CARDS!$H$5:$H$34,MATCH($D1107,CARDS!$A$5:$A$34,0)),DAY(EOMONTH($B1107,1)))))),""))</f>
        <v/>
      </c>
      <c r="AE1107" s="52" t="str">
        <f>IF($C1107="","",$C1107&amp;"|"&amp;COUNTIF($C$5:$C1107,$C1107))</f>
        <v/>
      </c>
      <c r="AF1107" s="53">
        <f>IF($AC1107&gt;0,SUMIFS(Q$4:Q1106,$D$4:$D1106,$D1107,$Z$4:$Z1106,$Z1107,$C$4:$C1106,$C1107),0)</f>
        <v>0</v>
      </c>
      <c r="AG1107" s="53">
        <f>IF($AC1107&gt;0,SUMIFS(Q$4:Q1106,$D$4:$D1106,$D1107,$C$4:$C1106,$C1107),0)</f>
        <v>0</v>
      </c>
      <c r="AH1107" s="53">
        <f>IF($AC1107&gt;0,SUMIFS(M$4:M1106,$D$4:$D1106,$D1107,$Z$4:$Z1106,$Z1107,$C$4:$C1106,$C1107),0)</f>
        <v>0</v>
      </c>
      <c r="AI1107" s="43">
        <f>IF(OR($C1107="",$I1107=""),0,IF(COUNTIFS($C$5:$C1107,$C1107,$I$5:$I1107,$I1107)=1,1,0))</f>
        <v>0</v>
      </c>
      <c r="AJ1107" s="43" t="str">
        <f>IF($AI1107=1,SUMIFS($AI$4:$AI1106,$C$4:$C1106,$C1107)+1,"")</f>
        <v/>
      </c>
      <c r="AK1107" s="43">
        <f>IF(OR($C1107="",$K1107=""),0,IF(COUNTIFS($C$5:$C1107,$C1107,$K$5:$K1107,$K1107)=1,1,0))</f>
        <v>0</v>
      </c>
      <c r="AL1107" s="43" t="str">
        <f>IF($AK1107=1,SUMIFS($AK$4:$AK1106,$C$4:$C1106,$C1107)+1,"")</f>
        <v/>
      </c>
      <c r="AM1107" s="43">
        <f>IF(OR($C1107="",$G1107=""),0,IF(COUNTIFS($C$5:$C1107,$C1107,$G$5:$G1107,$G1107)=1,1,0))</f>
        <v>0</v>
      </c>
      <c r="AN1107" s="43" t="str">
        <f>IF($AM1107=1,SUMIFS($AM$4:$AM1106,$C$4:$C1106,$C1107)+1,"")</f>
        <v/>
      </c>
    </row>
    <row r="1108">
      <c r="A1108" s="44" t="str">
        <f>IF(OR($B1108="",$D1108=""),"","TX"&amp;TEXT(ROW()-4,"0000"))</f>
        <v/>
      </c>
      <c r="B1108" s="42" t="n"/>
      <c r="C1108" s="47" t="str">
        <f>IF($B1108="","",YEAR($B1108)*100+MONTH($B1108))</f>
        <v/>
      </c>
      <c r="D1108" s="37" t="n"/>
      <c r="E1108" s="45" t="str">
        <f>IF($D1108="","",IFERROR(INDEX(CARDS!$B$5:$B$34,MATCH($D1108,CARDS!$A$5:$A$34,0)),"⚠ Card ID?"))</f>
        <v/>
      </c>
      <c r="F1108" s="45" t="str">
        <f>IF($D1108="","",IFERROR(INDEX(CARDS!$C$5:$C$34,MATCH($D1108,CARDS!$A$5:$A$34,0)),"⚠ Card ID?"))</f>
        <v/>
      </c>
      <c r="G1108" s="37" t="n"/>
      <c r="H1108" s="37" t="n"/>
      <c r="I1108" s="41" t="n"/>
      <c r="J1108" s="45" t="str">
        <f>IF($I1108="","",IFERROR(INDEX(MCC_MASTER!$B$5:$B$504,MATCH($I1108,MCC_MASTER!$A$5:$A$504,0)),"⚠ MCC chưa có"))</f>
        <v/>
      </c>
      <c r="K1108" s="45" t="str">
        <f>IF($I1108="","",IFERROR(IF(INDEX(MCC_MASTER!$C$5:$C$504,MATCH($I1108,MCC_MASTER!$A$5:$A$504,0))="","Chưa phân loại",INDEX(MCC_MASTER!$C$5:$C$504,MATCH($I1108,MCC_MASTER!$A$5:$A$504,0))),"Chưa phân loại"))</f>
        <v/>
      </c>
      <c r="L1108" s="40" t="n"/>
      <c r="M1108" s="48" t="str">
        <f>IF(OR($B1108="",$D1108=""),"",IF($AC1108=0,0,IF(ISNUMBER(INDEX(CASHBACK_RULES!$L$5:$L$304,$AC1108)),MAX(0,MIN($L1108,INDEX(CASHBACK_RULES!$L$5:$L$304,$AC1108)-$AH1108)),MAX(0,$L1108))))</f>
        <v/>
      </c>
      <c r="N1108" s="49" t="str">
        <f>IF(OR($B1108="",$D1108=""),"",IF($AC1108&gt;0,INDEX(CASHBACK_RULES!$I$5:$I$304,$AC1108),0))</f>
        <v/>
      </c>
      <c r="O1108" s="48" t="str">
        <f>IF(OR($B1108="",$D1108=""),"",ROUND($M1108*$N1108,0))</f>
        <v/>
      </c>
      <c r="P1108" s="48" t="str">
        <f>IF($AC1108&gt;0,IF(ISNUMBER(INDEX(CASHBACK_RULES!$J$5:$J$304,$AC1108)),INDEX(CASHBACK_RULES!$J$5:$J$304,$AC1108),"∞"),"")</f>
        <v/>
      </c>
      <c r="Q1108" s="48" t="str">
        <f>IF(OR($B1108="",$D1108=""),"",IF($AC1108=0,0,MAX(0,MIN($O1108,IF(ISNUMBER($P1108),$P1108-$AF1108,1E+15),IF(ISNUMBER($AA1108),$AA1108-$AG1108,1E+15)))))</f>
        <v/>
      </c>
      <c r="R1108" s="48" t="str">
        <f>IF(OR($B1108="",$D1108=""),"",IF($AC1108=0,"",IF(AND(NOT(ISNUMBER($P1108)),NOT(ISNUMBER($AA1108))),"∞",MAX(0,MIN(IF(ISNUMBER($P1108),$P1108-$AF1108-$Q1108,1E+15),IF(ISNUMBER($AA1108),$AA1108-$AG1108-$Q1108,1E+15))))))</f>
        <v/>
      </c>
      <c r="S1108" s="47" t="str">
        <f>IF($AD1108="","",YEAR($AD1108)*100+MONTH($AD1108))</f>
        <v/>
      </c>
      <c r="T1108" s="50" t="str">
        <f>IF($AD1108="","",IFERROR(IF(INDEX(CARDS!$I$5:$I$34,MATCH($D1108,CARDS!$A$5:$A$34,0))="","",IF(INDEX(CARDS!$I$5:$I$34,MATCH($D1108,CARDS!$A$5:$A$34,0))&gt;INDEX(CARDS!$H$5:$H$34,MATCH($D1108,CARDS!$A$5:$A$34,0)),DATE(YEAR($AD1108),MONTH($AD1108),MIN(INDEX(CARDS!$I$5:$I$34,MATCH($D1108,CARDS!$A$5:$A$34,0)),DAY(EOMONTH($AD1108,0)))),DATE(YEAR($AD1108),MONTH($AD1108)+1,MIN(INDEX(CARDS!$I$5:$I$34,MATCH($D1108,CARDS!$A$5:$A$34,0)),DAY(EOMONTH($AD1108,1)))))),""))</f>
        <v/>
      </c>
      <c r="U1108" s="38" t="n"/>
      <c r="V1108" s="37" t="n"/>
      <c r="W1108" s="38" t="n"/>
      <c r="X1108" s="38" t="n"/>
      <c r="Y1108" s="44" t="str">
        <f>IF($AC1108&gt;0,INDEX(CASHBACK_RULES!$A$5:$A$304,$AC1108),"")</f>
        <v/>
      </c>
      <c r="Z1108" s="45" t="str">
        <f>IF($AC1108&gt;0,INDEX(CASHBACK_RULES!$E$5:$E$304,$AC1108)&amp;"","")</f>
        <v/>
      </c>
      <c r="AA1108" s="48" t="str">
        <f>IF($AC1108&gt;0,IF(ISNUMBER(INDEX(CASHBACK_RULES!$K$5:$K$304,$AC1108)),INDEX(CASHBACK_RULES!$K$5:$K$304,$AC1108),"∞"),"")</f>
        <v/>
      </c>
      <c r="AB1108" s="44" t="str">
        <f>IF(OR($B1108="",$D1108=""),"",IF($U1108="Cancelled","Đã hủy",IF($AC1108=0,"Không được hoàn",IF($Q1108=0,IF(OR($O1108&gt;0,$M1108&lt;$L1108),"Đã đạt cap","Không được hoàn"),IF(OR($Q1108&lt;$O1108,$M1108&lt;$L1108),"Hoàn một phần","Được hoàn")))))</f>
        <v/>
      </c>
      <c r="AC1108" s="43">
        <f>IF(OR($B1108="",$D1108="",$I1108="",$L1108=""),0,IF($U1108="Cancelled",0,IF($W1108&lt;&gt;"",IFERROR(IF(INDEX(CASHBACK_RULES!$B$5:$B$304,MATCH($W1108,CASHBACK_RULES!$A$5:$A$304,0))=$D1108,MATCH($W1108,CASHBACK_RULES!$A$5:$A$304,0),0),0),IFERROR(MATCH(1,INDEX((CASHBACK_RULES!$B$5:$B$304=$D1108)*(CASHBACK_RULES!$G$5:$G$304=$I1108)*(((CASHBACK_RULES!$N$5:$N$304="")+(CASHBACK_RULES!$N$5:$N$304&lt;=$B1108))&gt;0)*(((CASHBACK_RULES!$O$5:$O$304="")+(CASHBACK_RULES!$O$5:$O$304&gt;=$B1108))&gt;0)*(((CASHBACK_RULES!$M$5:$M$304="")+(CASHBACK_RULES!$M$5:$M$304&lt;=$L1108))&gt;0),0),0),0))))</f>
        <v>0</v>
      </c>
      <c r="AD1108" s="51" t="str">
        <f>IF(OR($B1108="",$D1108=""),"",IFERROR(IF(INDEX(CARDS!$H$5:$H$34,MATCH($D1108,CARDS!$A$5:$A$34,0))="","",IF(DAY($B1108)&lt;=INDEX(CARDS!$H$5:$H$34,MATCH($D1108,CARDS!$A$5:$A$34,0)),DATE(YEAR($B1108),MONTH($B1108),MIN(INDEX(CARDS!$H$5:$H$34,MATCH($D1108,CARDS!$A$5:$A$34,0)),DAY(EOMONTH($B1108,0)))),DATE(YEAR($B1108),MONTH($B1108)+1,MIN(INDEX(CARDS!$H$5:$H$34,MATCH($D1108,CARDS!$A$5:$A$34,0)),DAY(EOMONTH($B1108,1)))))),""))</f>
        <v/>
      </c>
      <c r="AE1108" s="52" t="str">
        <f>IF($C1108="","",$C1108&amp;"|"&amp;COUNTIF($C$5:$C1108,$C1108))</f>
        <v/>
      </c>
      <c r="AF1108" s="53">
        <f>IF($AC1108&gt;0,SUMIFS(Q$4:Q1107,$D$4:$D1107,$D1108,$Z$4:$Z1107,$Z1108,$C$4:$C1107,$C1108),0)</f>
        <v>0</v>
      </c>
      <c r="AG1108" s="53">
        <f>IF($AC1108&gt;0,SUMIFS(Q$4:Q1107,$D$4:$D1107,$D1108,$C$4:$C1107,$C1108),0)</f>
        <v>0</v>
      </c>
      <c r="AH1108" s="53">
        <f>IF($AC1108&gt;0,SUMIFS(M$4:M1107,$D$4:$D1107,$D1108,$Z$4:$Z1107,$Z1108,$C$4:$C1107,$C1108),0)</f>
        <v>0</v>
      </c>
      <c r="AI1108" s="43">
        <f>IF(OR($C1108="",$I1108=""),0,IF(COUNTIFS($C$5:$C1108,$C1108,$I$5:$I1108,$I1108)=1,1,0))</f>
        <v>0</v>
      </c>
      <c r="AJ1108" s="43" t="str">
        <f>IF($AI1108=1,SUMIFS($AI$4:$AI1107,$C$4:$C1107,$C1108)+1,"")</f>
        <v/>
      </c>
      <c r="AK1108" s="43">
        <f>IF(OR($C1108="",$K1108=""),0,IF(COUNTIFS($C$5:$C1108,$C1108,$K$5:$K1108,$K1108)=1,1,0))</f>
        <v>0</v>
      </c>
      <c r="AL1108" s="43" t="str">
        <f>IF($AK1108=1,SUMIFS($AK$4:$AK1107,$C$4:$C1107,$C1108)+1,"")</f>
        <v/>
      </c>
      <c r="AM1108" s="43">
        <f>IF(OR($C1108="",$G1108=""),0,IF(COUNTIFS($C$5:$C1108,$C1108,$G$5:$G1108,$G1108)=1,1,0))</f>
        <v>0</v>
      </c>
      <c r="AN1108" s="43" t="str">
        <f>IF($AM1108=1,SUMIFS($AM$4:$AM1107,$C$4:$C1107,$C1108)+1,"")</f>
        <v/>
      </c>
    </row>
    <row r="1109">
      <c r="A1109" s="44" t="str">
        <f>IF(OR($B1109="",$D1109=""),"","TX"&amp;TEXT(ROW()-4,"0000"))</f>
        <v/>
      </c>
      <c r="B1109" s="42" t="n"/>
      <c r="C1109" s="47" t="str">
        <f>IF($B1109="","",YEAR($B1109)*100+MONTH($B1109))</f>
        <v/>
      </c>
      <c r="D1109" s="37" t="n"/>
      <c r="E1109" s="45" t="str">
        <f>IF($D1109="","",IFERROR(INDEX(CARDS!$B$5:$B$34,MATCH($D1109,CARDS!$A$5:$A$34,0)),"⚠ Card ID?"))</f>
        <v/>
      </c>
      <c r="F1109" s="45" t="str">
        <f>IF($D1109="","",IFERROR(INDEX(CARDS!$C$5:$C$34,MATCH($D1109,CARDS!$A$5:$A$34,0)),"⚠ Card ID?"))</f>
        <v/>
      </c>
      <c r="G1109" s="37" t="n"/>
      <c r="H1109" s="37" t="n"/>
      <c r="I1109" s="41" t="n"/>
      <c r="J1109" s="45" t="str">
        <f>IF($I1109="","",IFERROR(INDEX(MCC_MASTER!$B$5:$B$504,MATCH($I1109,MCC_MASTER!$A$5:$A$504,0)),"⚠ MCC chưa có"))</f>
        <v/>
      </c>
      <c r="K1109" s="45" t="str">
        <f>IF($I1109="","",IFERROR(IF(INDEX(MCC_MASTER!$C$5:$C$504,MATCH($I1109,MCC_MASTER!$A$5:$A$504,0))="","Chưa phân loại",INDEX(MCC_MASTER!$C$5:$C$504,MATCH($I1109,MCC_MASTER!$A$5:$A$504,0))),"Chưa phân loại"))</f>
        <v/>
      </c>
      <c r="L1109" s="40" t="n"/>
      <c r="M1109" s="48" t="str">
        <f>IF(OR($B1109="",$D1109=""),"",IF($AC1109=0,0,IF(ISNUMBER(INDEX(CASHBACK_RULES!$L$5:$L$304,$AC1109)),MAX(0,MIN($L1109,INDEX(CASHBACK_RULES!$L$5:$L$304,$AC1109)-$AH1109)),MAX(0,$L1109))))</f>
        <v/>
      </c>
      <c r="N1109" s="49" t="str">
        <f>IF(OR($B1109="",$D1109=""),"",IF($AC1109&gt;0,INDEX(CASHBACK_RULES!$I$5:$I$304,$AC1109),0))</f>
        <v/>
      </c>
      <c r="O1109" s="48" t="str">
        <f>IF(OR($B1109="",$D1109=""),"",ROUND($M1109*$N1109,0))</f>
        <v/>
      </c>
      <c r="P1109" s="48" t="str">
        <f>IF($AC1109&gt;0,IF(ISNUMBER(INDEX(CASHBACK_RULES!$J$5:$J$304,$AC1109)),INDEX(CASHBACK_RULES!$J$5:$J$304,$AC1109),"∞"),"")</f>
        <v/>
      </c>
      <c r="Q1109" s="48" t="str">
        <f>IF(OR($B1109="",$D1109=""),"",IF($AC1109=0,0,MAX(0,MIN($O1109,IF(ISNUMBER($P1109),$P1109-$AF1109,1E+15),IF(ISNUMBER($AA1109),$AA1109-$AG1109,1E+15)))))</f>
        <v/>
      </c>
      <c r="R1109" s="48" t="str">
        <f>IF(OR($B1109="",$D1109=""),"",IF($AC1109=0,"",IF(AND(NOT(ISNUMBER($P1109)),NOT(ISNUMBER($AA1109))),"∞",MAX(0,MIN(IF(ISNUMBER($P1109),$P1109-$AF1109-$Q1109,1E+15),IF(ISNUMBER($AA1109),$AA1109-$AG1109-$Q1109,1E+15))))))</f>
        <v/>
      </c>
      <c r="S1109" s="47" t="str">
        <f>IF($AD1109="","",YEAR($AD1109)*100+MONTH($AD1109))</f>
        <v/>
      </c>
      <c r="T1109" s="50" t="str">
        <f>IF($AD1109="","",IFERROR(IF(INDEX(CARDS!$I$5:$I$34,MATCH($D1109,CARDS!$A$5:$A$34,0))="","",IF(INDEX(CARDS!$I$5:$I$34,MATCH($D1109,CARDS!$A$5:$A$34,0))&gt;INDEX(CARDS!$H$5:$H$34,MATCH($D1109,CARDS!$A$5:$A$34,0)),DATE(YEAR($AD1109),MONTH($AD1109),MIN(INDEX(CARDS!$I$5:$I$34,MATCH($D1109,CARDS!$A$5:$A$34,0)),DAY(EOMONTH($AD1109,0)))),DATE(YEAR($AD1109),MONTH($AD1109)+1,MIN(INDEX(CARDS!$I$5:$I$34,MATCH($D1109,CARDS!$A$5:$A$34,0)),DAY(EOMONTH($AD1109,1)))))),""))</f>
        <v/>
      </c>
      <c r="U1109" s="38" t="n"/>
      <c r="V1109" s="37" t="n"/>
      <c r="W1109" s="38" t="n"/>
      <c r="X1109" s="38" t="n"/>
      <c r="Y1109" s="44" t="str">
        <f>IF($AC1109&gt;0,INDEX(CASHBACK_RULES!$A$5:$A$304,$AC1109),"")</f>
        <v/>
      </c>
      <c r="Z1109" s="45" t="str">
        <f>IF($AC1109&gt;0,INDEX(CASHBACK_RULES!$E$5:$E$304,$AC1109)&amp;"","")</f>
        <v/>
      </c>
      <c r="AA1109" s="48" t="str">
        <f>IF($AC1109&gt;0,IF(ISNUMBER(INDEX(CASHBACK_RULES!$K$5:$K$304,$AC1109)),INDEX(CASHBACK_RULES!$K$5:$K$304,$AC1109),"∞"),"")</f>
        <v/>
      </c>
      <c r="AB1109" s="44" t="str">
        <f>IF(OR($B1109="",$D1109=""),"",IF($U1109="Cancelled","Đã hủy",IF($AC1109=0,"Không được hoàn",IF($Q1109=0,IF(OR($O1109&gt;0,$M1109&lt;$L1109),"Đã đạt cap","Không được hoàn"),IF(OR($Q1109&lt;$O1109,$M1109&lt;$L1109),"Hoàn một phần","Được hoàn")))))</f>
        <v/>
      </c>
      <c r="AC1109" s="43">
        <f>IF(OR($B1109="",$D1109="",$I1109="",$L1109=""),0,IF($U1109="Cancelled",0,IF($W1109&lt;&gt;"",IFERROR(IF(INDEX(CASHBACK_RULES!$B$5:$B$304,MATCH($W1109,CASHBACK_RULES!$A$5:$A$304,0))=$D1109,MATCH($W1109,CASHBACK_RULES!$A$5:$A$304,0),0),0),IFERROR(MATCH(1,INDEX((CASHBACK_RULES!$B$5:$B$304=$D1109)*(CASHBACK_RULES!$G$5:$G$304=$I1109)*(((CASHBACK_RULES!$N$5:$N$304="")+(CASHBACK_RULES!$N$5:$N$304&lt;=$B1109))&gt;0)*(((CASHBACK_RULES!$O$5:$O$304="")+(CASHBACK_RULES!$O$5:$O$304&gt;=$B1109))&gt;0)*(((CASHBACK_RULES!$M$5:$M$304="")+(CASHBACK_RULES!$M$5:$M$304&lt;=$L1109))&gt;0),0),0),0))))</f>
        <v>0</v>
      </c>
      <c r="AD1109" s="51" t="str">
        <f>IF(OR($B1109="",$D1109=""),"",IFERROR(IF(INDEX(CARDS!$H$5:$H$34,MATCH($D1109,CARDS!$A$5:$A$34,0))="","",IF(DAY($B1109)&lt;=INDEX(CARDS!$H$5:$H$34,MATCH($D1109,CARDS!$A$5:$A$34,0)),DATE(YEAR($B1109),MONTH($B1109),MIN(INDEX(CARDS!$H$5:$H$34,MATCH($D1109,CARDS!$A$5:$A$34,0)),DAY(EOMONTH($B1109,0)))),DATE(YEAR($B1109),MONTH($B1109)+1,MIN(INDEX(CARDS!$H$5:$H$34,MATCH($D1109,CARDS!$A$5:$A$34,0)),DAY(EOMONTH($B1109,1)))))),""))</f>
        <v/>
      </c>
      <c r="AE1109" s="52" t="str">
        <f>IF($C1109="","",$C1109&amp;"|"&amp;COUNTIF($C$5:$C1109,$C1109))</f>
        <v/>
      </c>
      <c r="AF1109" s="53">
        <f>IF($AC1109&gt;0,SUMIFS(Q$4:Q1108,$D$4:$D1108,$D1109,$Z$4:$Z1108,$Z1109,$C$4:$C1108,$C1109),0)</f>
        <v>0</v>
      </c>
      <c r="AG1109" s="53">
        <f>IF($AC1109&gt;0,SUMIFS(Q$4:Q1108,$D$4:$D1108,$D1109,$C$4:$C1108,$C1109),0)</f>
        <v>0</v>
      </c>
      <c r="AH1109" s="53">
        <f>IF($AC1109&gt;0,SUMIFS(M$4:M1108,$D$4:$D1108,$D1109,$Z$4:$Z1108,$Z1109,$C$4:$C1108,$C1109),0)</f>
        <v>0</v>
      </c>
      <c r="AI1109" s="43">
        <f>IF(OR($C1109="",$I1109=""),0,IF(COUNTIFS($C$5:$C1109,$C1109,$I$5:$I1109,$I1109)=1,1,0))</f>
        <v>0</v>
      </c>
      <c r="AJ1109" s="43" t="str">
        <f>IF($AI1109=1,SUMIFS($AI$4:$AI1108,$C$4:$C1108,$C1109)+1,"")</f>
        <v/>
      </c>
      <c r="AK1109" s="43">
        <f>IF(OR($C1109="",$K1109=""),0,IF(COUNTIFS($C$5:$C1109,$C1109,$K$5:$K1109,$K1109)=1,1,0))</f>
        <v>0</v>
      </c>
      <c r="AL1109" s="43" t="str">
        <f>IF($AK1109=1,SUMIFS($AK$4:$AK1108,$C$4:$C1108,$C1109)+1,"")</f>
        <v/>
      </c>
      <c r="AM1109" s="43">
        <f>IF(OR($C1109="",$G1109=""),0,IF(COUNTIFS($C$5:$C1109,$C1109,$G$5:$G1109,$G1109)=1,1,0))</f>
        <v>0</v>
      </c>
      <c r="AN1109" s="43" t="str">
        <f>IF($AM1109=1,SUMIFS($AM$4:$AM1108,$C$4:$C1108,$C1109)+1,"")</f>
        <v/>
      </c>
    </row>
    <row r="1110">
      <c r="A1110" s="44" t="str">
        <f>IF(OR($B1110="",$D1110=""),"","TX"&amp;TEXT(ROW()-4,"0000"))</f>
        <v/>
      </c>
      <c r="B1110" s="42" t="n"/>
      <c r="C1110" s="47" t="str">
        <f>IF($B1110="","",YEAR($B1110)*100+MONTH($B1110))</f>
        <v/>
      </c>
      <c r="D1110" s="37" t="n"/>
      <c r="E1110" s="45" t="str">
        <f>IF($D1110="","",IFERROR(INDEX(CARDS!$B$5:$B$34,MATCH($D1110,CARDS!$A$5:$A$34,0)),"⚠ Card ID?"))</f>
        <v/>
      </c>
      <c r="F1110" s="45" t="str">
        <f>IF($D1110="","",IFERROR(INDEX(CARDS!$C$5:$C$34,MATCH($D1110,CARDS!$A$5:$A$34,0)),"⚠ Card ID?"))</f>
        <v/>
      </c>
      <c r="G1110" s="37" t="n"/>
      <c r="H1110" s="37" t="n"/>
      <c r="I1110" s="41" t="n"/>
      <c r="J1110" s="45" t="str">
        <f>IF($I1110="","",IFERROR(INDEX(MCC_MASTER!$B$5:$B$504,MATCH($I1110,MCC_MASTER!$A$5:$A$504,0)),"⚠ MCC chưa có"))</f>
        <v/>
      </c>
      <c r="K1110" s="45" t="str">
        <f>IF($I1110="","",IFERROR(IF(INDEX(MCC_MASTER!$C$5:$C$504,MATCH($I1110,MCC_MASTER!$A$5:$A$504,0))="","Chưa phân loại",INDEX(MCC_MASTER!$C$5:$C$504,MATCH($I1110,MCC_MASTER!$A$5:$A$504,0))),"Chưa phân loại"))</f>
        <v/>
      </c>
      <c r="L1110" s="40" t="n"/>
      <c r="M1110" s="48" t="str">
        <f>IF(OR($B1110="",$D1110=""),"",IF($AC1110=0,0,IF(ISNUMBER(INDEX(CASHBACK_RULES!$L$5:$L$304,$AC1110)),MAX(0,MIN($L1110,INDEX(CASHBACK_RULES!$L$5:$L$304,$AC1110)-$AH1110)),MAX(0,$L1110))))</f>
        <v/>
      </c>
      <c r="N1110" s="49" t="str">
        <f>IF(OR($B1110="",$D1110=""),"",IF($AC1110&gt;0,INDEX(CASHBACK_RULES!$I$5:$I$304,$AC1110),0))</f>
        <v/>
      </c>
      <c r="O1110" s="48" t="str">
        <f>IF(OR($B1110="",$D1110=""),"",ROUND($M1110*$N1110,0))</f>
        <v/>
      </c>
      <c r="P1110" s="48" t="str">
        <f>IF($AC1110&gt;0,IF(ISNUMBER(INDEX(CASHBACK_RULES!$J$5:$J$304,$AC1110)),INDEX(CASHBACK_RULES!$J$5:$J$304,$AC1110),"∞"),"")</f>
        <v/>
      </c>
      <c r="Q1110" s="48" t="str">
        <f>IF(OR($B1110="",$D1110=""),"",IF($AC1110=0,0,MAX(0,MIN($O1110,IF(ISNUMBER($P1110),$P1110-$AF1110,1E+15),IF(ISNUMBER($AA1110),$AA1110-$AG1110,1E+15)))))</f>
        <v/>
      </c>
      <c r="R1110" s="48" t="str">
        <f>IF(OR($B1110="",$D1110=""),"",IF($AC1110=0,"",IF(AND(NOT(ISNUMBER($P1110)),NOT(ISNUMBER($AA1110))),"∞",MAX(0,MIN(IF(ISNUMBER($P1110),$P1110-$AF1110-$Q1110,1E+15),IF(ISNUMBER($AA1110),$AA1110-$AG1110-$Q1110,1E+15))))))</f>
        <v/>
      </c>
      <c r="S1110" s="47" t="str">
        <f>IF($AD1110="","",YEAR($AD1110)*100+MONTH($AD1110))</f>
        <v/>
      </c>
      <c r="T1110" s="50" t="str">
        <f>IF($AD1110="","",IFERROR(IF(INDEX(CARDS!$I$5:$I$34,MATCH($D1110,CARDS!$A$5:$A$34,0))="","",IF(INDEX(CARDS!$I$5:$I$34,MATCH($D1110,CARDS!$A$5:$A$34,0))&gt;INDEX(CARDS!$H$5:$H$34,MATCH($D1110,CARDS!$A$5:$A$34,0)),DATE(YEAR($AD1110),MONTH($AD1110),MIN(INDEX(CARDS!$I$5:$I$34,MATCH($D1110,CARDS!$A$5:$A$34,0)),DAY(EOMONTH($AD1110,0)))),DATE(YEAR($AD1110),MONTH($AD1110)+1,MIN(INDEX(CARDS!$I$5:$I$34,MATCH($D1110,CARDS!$A$5:$A$34,0)),DAY(EOMONTH($AD1110,1)))))),""))</f>
        <v/>
      </c>
      <c r="U1110" s="38" t="n"/>
      <c r="V1110" s="37" t="n"/>
      <c r="W1110" s="38" t="n"/>
      <c r="X1110" s="38" t="n"/>
      <c r="Y1110" s="44" t="str">
        <f>IF($AC1110&gt;0,INDEX(CASHBACK_RULES!$A$5:$A$304,$AC1110),"")</f>
        <v/>
      </c>
      <c r="Z1110" s="45" t="str">
        <f>IF($AC1110&gt;0,INDEX(CASHBACK_RULES!$E$5:$E$304,$AC1110)&amp;"","")</f>
        <v/>
      </c>
      <c r="AA1110" s="48" t="str">
        <f>IF($AC1110&gt;0,IF(ISNUMBER(INDEX(CASHBACK_RULES!$K$5:$K$304,$AC1110)),INDEX(CASHBACK_RULES!$K$5:$K$304,$AC1110),"∞"),"")</f>
        <v/>
      </c>
      <c r="AB1110" s="44" t="str">
        <f>IF(OR($B1110="",$D1110=""),"",IF($U1110="Cancelled","Đã hủy",IF($AC1110=0,"Không được hoàn",IF($Q1110=0,IF(OR($O1110&gt;0,$M1110&lt;$L1110),"Đã đạt cap","Không được hoàn"),IF(OR($Q1110&lt;$O1110,$M1110&lt;$L1110),"Hoàn một phần","Được hoàn")))))</f>
        <v/>
      </c>
      <c r="AC1110" s="43">
        <f>IF(OR($B1110="",$D1110="",$I1110="",$L1110=""),0,IF($U1110="Cancelled",0,IF($W1110&lt;&gt;"",IFERROR(IF(INDEX(CASHBACK_RULES!$B$5:$B$304,MATCH($W1110,CASHBACK_RULES!$A$5:$A$304,0))=$D1110,MATCH($W1110,CASHBACK_RULES!$A$5:$A$304,0),0),0),IFERROR(MATCH(1,INDEX((CASHBACK_RULES!$B$5:$B$304=$D1110)*(CASHBACK_RULES!$G$5:$G$304=$I1110)*(((CASHBACK_RULES!$N$5:$N$304="")+(CASHBACK_RULES!$N$5:$N$304&lt;=$B1110))&gt;0)*(((CASHBACK_RULES!$O$5:$O$304="")+(CASHBACK_RULES!$O$5:$O$304&gt;=$B1110))&gt;0)*(((CASHBACK_RULES!$M$5:$M$304="")+(CASHBACK_RULES!$M$5:$M$304&lt;=$L1110))&gt;0),0),0),0))))</f>
        <v>0</v>
      </c>
      <c r="AD1110" s="51" t="str">
        <f>IF(OR($B1110="",$D1110=""),"",IFERROR(IF(INDEX(CARDS!$H$5:$H$34,MATCH($D1110,CARDS!$A$5:$A$34,0))="","",IF(DAY($B1110)&lt;=INDEX(CARDS!$H$5:$H$34,MATCH($D1110,CARDS!$A$5:$A$34,0)),DATE(YEAR($B1110),MONTH($B1110),MIN(INDEX(CARDS!$H$5:$H$34,MATCH($D1110,CARDS!$A$5:$A$34,0)),DAY(EOMONTH($B1110,0)))),DATE(YEAR($B1110),MONTH($B1110)+1,MIN(INDEX(CARDS!$H$5:$H$34,MATCH($D1110,CARDS!$A$5:$A$34,0)),DAY(EOMONTH($B1110,1)))))),""))</f>
        <v/>
      </c>
      <c r="AE1110" s="52" t="str">
        <f>IF($C1110="","",$C1110&amp;"|"&amp;COUNTIF($C$5:$C1110,$C1110))</f>
        <v/>
      </c>
      <c r="AF1110" s="53">
        <f>IF($AC1110&gt;0,SUMIFS(Q$4:Q1109,$D$4:$D1109,$D1110,$Z$4:$Z1109,$Z1110,$C$4:$C1109,$C1110),0)</f>
        <v>0</v>
      </c>
      <c r="AG1110" s="53">
        <f>IF($AC1110&gt;0,SUMIFS(Q$4:Q1109,$D$4:$D1109,$D1110,$C$4:$C1109,$C1110),0)</f>
        <v>0</v>
      </c>
      <c r="AH1110" s="53">
        <f>IF($AC1110&gt;0,SUMIFS(M$4:M1109,$D$4:$D1109,$D1110,$Z$4:$Z1109,$Z1110,$C$4:$C1109,$C1110),0)</f>
        <v>0</v>
      </c>
      <c r="AI1110" s="43">
        <f>IF(OR($C1110="",$I1110=""),0,IF(COUNTIFS($C$5:$C1110,$C1110,$I$5:$I1110,$I1110)=1,1,0))</f>
        <v>0</v>
      </c>
      <c r="AJ1110" s="43" t="str">
        <f>IF($AI1110=1,SUMIFS($AI$4:$AI1109,$C$4:$C1109,$C1110)+1,"")</f>
        <v/>
      </c>
      <c r="AK1110" s="43">
        <f>IF(OR($C1110="",$K1110=""),0,IF(COUNTIFS($C$5:$C1110,$C1110,$K$5:$K1110,$K1110)=1,1,0))</f>
        <v>0</v>
      </c>
      <c r="AL1110" s="43" t="str">
        <f>IF($AK1110=1,SUMIFS($AK$4:$AK1109,$C$4:$C1109,$C1110)+1,"")</f>
        <v/>
      </c>
      <c r="AM1110" s="43">
        <f>IF(OR($C1110="",$G1110=""),0,IF(COUNTIFS($C$5:$C1110,$C1110,$G$5:$G1110,$G1110)=1,1,0))</f>
        <v>0</v>
      </c>
      <c r="AN1110" s="43" t="str">
        <f>IF($AM1110=1,SUMIFS($AM$4:$AM1109,$C$4:$C1109,$C1110)+1,"")</f>
        <v/>
      </c>
    </row>
    <row r="1111">
      <c r="A1111" s="44" t="str">
        <f>IF(OR($B1111="",$D1111=""),"","TX"&amp;TEXT(ROW()-4,"0000"))</f>
        <v/>
      </c>
      <c r="B1111" s="42" t="n"/>
      <c r="C1111" s="47" t="str">
        <f>IF($B1111="","",YEAR($B1111)*100+MONTH($B1111))</f>
        <v/>
      </c>
      <c r="D1111" s="37" t="n"/>
      <c r="E1111" s="45" t="str">
        <f>IF($D1111="","",IFERROR(INDEX(CARDS!$B$5:$B$34,MATCH($D1111,CARDS!$A$5:$A$34,0)),"⚠ Card ID?"))</f>
        <v/>
      </c>
      <c r="F1111" s="45" t="str">
        <f>IF($D1111="","",IFERROR(INDEX(CARDS!$C$5:$C$34,MATCH($D1111,CARDS!$A$5:$A$34,0)),"⚠ Card ID?"))</f>
        <v/>
      </c>
      <c r="G1111" s="37" t="n"/>
      <c r="H1111" s="37" t="n"/>
      <c r="I1111" s="41" t="n"/>
      <c r="J1111" s="45" t="str">
        <f>IF($I1111="","",IFERROR(INDEX(MCC_MASTER!$B$5:$B$504,MATCH($I1111,MCC_MASTER!$A$5:$A$504,0)),"⚠ MCC chưa có"))</f>
        <v/>
      </c>
      <c r="K1111" s="45" t="str">
        <f>IF($I1111="","",IFERROR(IF(INDEX(MCC_MASTER!$C$5:$C$504,MATCH($I1111,MCC_MASTER!$A$5:$A$504,0))="","Chưa phân loại",INDEX(MCC_MASTER!$C$5:$C$504,MATCH($I1111,MCC_MASTER!$A$5:$A$504,0))),"Chưa phân loại"))</f>
        <v/>
      </c>
      <c r="L1111" s="40" t="n"/>
      <c r="M1111" s="48" t="str">
        <f>IF(OR($B1111="",$D1111=""),"",IF($AC1111=0,0,IF(ISNUMBER(INDEX(CASHBACK_RULES!$L$5:$L$304,$AC1111)),MAX(0,MIN($L1111,INDEX(CASHBACK_RULES!$L$5:$L$304,$AC1111)-$AH1111)),MAX(0,$L1111))))</f>
        <v/>
      </c>
      <c r="N1111" s="49" t="str">
        <f>IF(OR($B1111="",$D1111=""),"",IF($AC1111&gt;0,INDEX(CASHBACK_RULES!$I$5:$I$304,$AC1111),0))</f>
        <v/>
      </c>
      <c r="O1111" s="48" t="str">
        <f>IF(OR($B1111="",$D1111=""),"",ROUND($M1111*$N1111,0))</f>
        <v/>
      </c>
      <c r="P1111" s="48" t="str">
        <f>IF($AC1111&gt;0,IF(ISNUMBER(INDEX(CASHBACK_RULES!$J$5:$J$304,$AC1111)),INDEX(CASHBACK_RULES!$J$5:$J$304,$AC1111),"∞"),"")</f>
        <v/>
      </c>
      <c r="Q1111" s="48" t="str">
        <f>IF(OR($B1111="",$D1111=""),"",IF($AC1111=0,0,MAX(0,MIN($O1111,IF(ISNUMBER($P1111),$P1111-$AF1111,1E+15),IF(ISNUMBER($AA1111),$AA1111-$AG1111,1E+15)))))</f>
        <v/>
      </c>
      <c r="R1111" s="48" t="str">
        <f>IF(OR($B1111="",$D1111=""),"",IF($AC1111=0,"",IF(AND(NOT(ISNUMBER($P1111)),NOT(ISNUMBER($AA1111))),"∞",MAX(0,MIN(IF(ISNUMBER($P1111),$P1111-$AF1111-$Q1111,1E+15),IF(ISNUMBER($AA1111),$AA1111-$AG1111-$Q1111,1E+15))))))</f>
        <v/>
      </c>
      <c r="S1111" s="47" t="str">
        <f>IF($AD1111="","",YEAR($AD1111)*100+MONTH($AD1111))</f>
        <v/>
      </c>
      <c r="T1111" s="50" t="str">
        <f>IF($AD1111="","",IFERROR(IF(INDEX(CARDS!$I$5:$I$34,MATCH($D1111,CARDS!$A$5:$A$34,0))="","",IF(INDEX(CARDS!$I$5:$I$34,MATCH($D1111,CARDS!$A$5:$A$34,0))&gt;INDEX(CARDS!$H$5:$H$34,MATCH($D1111,CARDS!$A$5:$A$34,0)),DATE(YEAR($AD1111),MONTH($AD1111),MIN(INDEX(CARDS!$I$5:$I$34,MATCH($D1111,CARDS!$A$5:$A$34,0)),DAY(EOMONTH($AD1111,0)))),DATE(YEAR($AD1111),MONTH($AD1111)+1,MIN(INDEX(CARDS!$I$5:$I$34,MATCH($D1111,CARDS!$A$5:$A$34,0)),DAY(EOMONTH($AD1111,1)))))),""))</f>
        <v/>
      </c>
      <c r="U1111" s="38" t="n"/>
      <c r="V1111" s="37" t="n"/>
      <c r="W1111" s="38" t="n"/>
      <c r="X1111" s="38" t="n"/>
      <c r="Y1111" s="44" t="str">
        <f>IF($AC1111&gt;0,INDEX(CASHBACK_RULES!$A$5:$A$304,$AC1111),"")</f>
        <v/>
      </c>
      <c r="Z1111" s="45" t="str">
        <f>IF($AC1111&gt;0,INDEX(CASHBACK_RULES!$E$5:$E$304,$AC1111)&amp;"","")</f>
        <v/>
      </c>
      <c r="AA1111" s="48" t="str">
        <f>IF($AC1111&gt;0,IF(ISNUMBER(INDEX(CASHBACK_RULES!$K$5:$K$304,$AC1111)),INDEX(CASHBACK_RULES!$K$5:$K$304,$AC1111),"∞"),"")</f>
        <v/>
      </c>
      <c r="AB1111" s="44" t="str">
        <f>IF(OR($B1111="",$D1111=""),"",IF($U1111="Cancelled","Đã hủy",IF($AC1111=0,"Không được hoàn",IF($Q1111=0,IF(OR($O1111&gt;0,$M1111&lt;$L1111),"Đã đạt cap","Không được hoàn"),IF(OR($Q1111&lt;$O1111,$M1111&lt;$L1111),"Hoàn một phần","Được hoàn")))))</f>
        <v/>
      </c>
      <c r="AC1111" s="43">
        <f>IF(OR($B1111="",$D1111="",$I1111="",$L1111=""),0,IF($U1111="Cancelled",0,IF($W1111&lt;&gt;"",IFERROR(IF(INDEX(CASHBACK_RULES!$B$5:$B$304,MATCH($W1111,CASHBACK_RULES!$A$5:$A$304,0))=$D1111,MATCH($W1111,CASHBACK_RULES!$A$5:$A$304,0),0),0),IFERROR(MATCH(1,INDEX((CASHBACK_RULES!$B$5:$B$304=$D1111)*(CASHBACK_RULES!$G$5:$G$304=$I1111)*(((CASHBACK_RULES!$N$5:$N$304="")+(CASHBACK_RULES!$N$5:$N$304&lt;=$B1111))&gt;0)*(((CASHBACK_RULES!$O$5:$O$304="")+(CASHBACK_RULES!$O$5:$O$304&gt;=$B1111))&gt;0)*(((CASHBACK_RULES!$M$5:$M$304="")+(CASHBACK_RULES!$M$5:$M$304&lt;=$L1111))&gt;0),0),0),0))))</f>
        <v>0</v>
      </c>
      <c r="AD1111" s="51" t="str">
        <f>IF(OR($B1111="",$D1111=""),"",IFERROR(IF(INDEX(CARDS!$H$5:$H$34,MATCH($D1111,CARDS!$A$5:$A$34,0))="","",IF(DAY($B1111)&lt;=INDEX(CARDS!$H$5:$H$34,MATCH($D1111,CARDS!$A$5:$A$34,0)),DATE(YEAR($B1111),MONTH($B1111),MIN(INDEX(CARDS!$H$5:$H$34,MATCH($D1111,CARDS!$A$5:$A$34,0)),DAY(EOMONTH($B1111,0)))),DATE(YEAR($B1111),MONTH($B1111)+1,MIN(INDEX(CARDS!$H$5:$H$34,MATCH($D1111,CARDS!$A$5:$A$34,0)),DAY(EOMONTH($B1111,1)))))),""))</f>
        <v/>
      </c>
      <c r="AE1111" s="52" t="str">
        <f>IF($C1111="","",$C1111&amp;"|"&amp;COUNTIF($C$5:$C1111,$C1111))</f>
        <v/>
      </c>
      <c r="AF1111" s="53">
        <f>IF($AC1111&gt;0,SUMIFS(Q$4:Q1110,$D$4:$D1110,$D1111,$Z$4:$Z1110,$Z1111,$C$4:$C1110,$C1111),0)</f>
        <v>0</v>
      </c>
      <c r="AG1111" s="53">
        <f>IF($AC1111&gt;0,SUMIFS(Q$4:Q1110,$D$4:$D1110,$D1111,$C$4:$C1110,$C1111),0)</f>
        <v>0</v>
      </c>
      <c r="AH1111" s="53">
        <f>IF($AC1111&gt;0,SUMIFS(M$4:M1110,$D$4:$D1110,$D1111,$Z$4:$Z1110,$Z1111,$C$4:$C1110,$C1111),0)</f>
        <v>0</v>
      </c>
      <c r="AI1111" s="43">
        <f>IF(OR($C1111="",$I1111=""),0,IF(COUNTIFS($C$5:$C1111,$C1111,$I$5:$I1111,$I1111)=1,1,0))</f>
        <v>0</v>
      </c>
      <c r="AJ1111" s="43" t="str">
        <f>IF($AI1111=1,SUMIFS($AI$4:$AI1110,$C$4:$C1110,$C1111)+1,"")</f>
        <v/>
      </c>
      <c r="AK1111" s="43">
        <f>IF(OR($C1111="",$K1111=""),0,IF(COUNTIFS($C$5:$C1111,$C1111,$K$5:$K1111,$K1111)=1,1,0))</f>
        <v>0</v>
      </c>
      <c r="AL1111" s="43" t="str">
        <f>IF($AK1111=1,SUMIFS($AK$4:$AK1110,$C$4:$C1110,$C1111)+1,"")</f>
        <v/>
      </c>
      <c r="AM1111" s="43">
        <f>IF(OR($C1111="",$G1111=""),0,IF(COUNTIFS($C$5:$C1111,$C1111,$G$5:$G1111,$G1111)=1,1,0))</f>
        <v>0</v>
      </c>
      <c r="AN1111" s="43" t="str">
        <f>IF($AM1111=1,SUMIFS($AM$4:$AM1110,$C$4:$C1110,$C1111)+1,"")</f>
        <v/>
      </c>
    </row>
    <row r="1112">
      <c r="A1112" s="44" t="str">
        <f>IF(OR($B1112="",$D1112=""),"","TX"&amp;TEXT(ROW()-4,"0000"))</f>
        <v/>
      </c>
      <c r="B1112" s="42" t="n"/>
      <c r="C1112" s="47" t="str">
        <f>IF($B1112="","",YEAR($B1112)*100+MONTH($B1112))</f>
        <v/>
      </c>
      <c r="D1112" s="37" t="n"/>
      <c r="E1112" s="45" t="str">
        <f>IF($D1112="","",IFERROR(INDEX(CARDS!$B$5:$B$34,MATCH($D1112,CARDS!$A$5:$A$34,0)),"⚠ Card ID?"))</f>
        <v/>
      </c>
      <c r="F1112" s="45" t="str">
        <f>IF($D1112="","",IFERROR(INDEX(CARDS!$C$5:$C$34,MATCH($D1112,CARDS!$A$5:$A$34,0)),"⚠ Card ID?"))</f>
        <v/>
      </c>
      <c r="G1112" s="37" t="n"/>
      <c r="H1112" s="37" t="n"/>
      <c r="I1112" s="41" t="n"/>
      <c r="J1112" s="45" t="str">
        <f>IF($I1112="","",IFERROR(INDEX(MCC_MASTER!$B$5:$B$504,MATCH($I1112,MCC_MASTER!$A$5:$A$504,0)),"⚠ MCC chưa có"))</f>
        <v/>
      </c>
      <c r="K1112" s="45" t="str">
        <f>IF($I1112="","",IFERROR(IF(INDEX(MCC_MASTER!$C$5:$C$504,MATCH($I1112,MCC_MASTER!$A$5:$A$504,0))="","Chưa phân loại",INDEX(MCC_MASTER!$C$5:$C$504,MATCH($I1112,MCC_MASTER!$A$5:$A$504,0))),"Chưa phân loại"))</f>
        <v/>
      </c>
      <c r="L1112" s="40" t="n"/>
      <c r="M1112" s="48" t="str">
        <f>IF(OR($B1112="",$D1112=""),"",IF($AC1112=0,0,IF(ISNUMBER(INDEX(CASHBACK_RULES!$L$5:$L$304,$AC1112)),MAX(0,MIN($L1112,INDEX(CASHBACK_RULES!$L$5:$L$304,$AC1112)-$AH1112)),MAX(0,$L1112))))</f>
        <v/>
      </c>
      <c r="N1112" s="49" t="str">
        <f>IF(OR($B1112="",$D1112=""),"",IF($AC1112&gt;0,INDEX(CASHBACK_RULES!$I$5:$I$304,$AC1112),0))</f>
        <v/>
      </c>
      <c r="O1112" s="48" t="str">
        <f>IF(OR($B1112="",$D1112=""),"",ROUND($M1112*$N1112,0))</f>
        <v/>
      </c>
      <c r="P1112" s="48" t="str">
        <f>IF($AC1112&gt;0,IF(ISNUMBER(INDEX(CASHBACK_RULES!$J$5:$J$304,$AC1112)),INDEX(CASHBACK_RULES!$J$5:$J$304,$AC1112),"∞"),"")</f>
        <v/>
      </c>
      <c r="Q1112" s="48" t="str">
        <f>IF(OR($B1112="",$D1112=""),"",IF($AC1112=0,0,MAX(0,MIN($O1112,IF(ISNUMBER($P1112),$P1112-$AF1112,1E+15),IF(ISNUMBER($AA1112),$AA1112-$AG1112,1E+15)))))</f>
        <v/>
      </c>
      <c r="R1112" s="48" t="str">
        <f>IF(OR($B1112="",$D1112=""),"",IF($AC1112=0,"",IF(AND(NOT(ISNUMBER($P1112)),NOT(ISNUMBER($AA1112))),"∞",MAX(0,MIN(IF(ISNUMBER($P1112),$P1112-$AF1112-$Q1112,1E+15),IF(ISNUMBER($AA1112),$AA1112-$AG1112-$Q1112,1E+15))))))</f>
        <v/>
      </c>
      <c r="S1112" s="47" t="str">
        <f>IF($AD1112="","",YEAR($AD1112)*100+MONTH($AD1112))</f>
        <v/>
      </c>
      <c r="T1112" s="50" t="str">
        <f>IF($AD1112="","",IFERROR(IF(INDEX(CARDS!$I$5:$I$34,MATCH($D1112,CARDS!$A$5:$A$34,0))="","",IF(INDEX(CARDS!$I$5:$I$34,MATCH($D1112,CARDS!$A$5:$A$34,0))&gt;INDEX(CARDS!$H$5:$H$34,MATCH($D1112,CARDS!$A$5:$A$34,0)),DATE(YEAR($AD1112),MONTH($AD1112),MIN(INDEX(CARDS!$I$5:$I$34,MATCH($D1112,CARDS!$A$5:$A$34,0)),DAY(EOMONTH($AD1112,0)))),DATE(YEAR($AD1112),MONTH($AD1112)+1,MIN(INDEX(CARDS!$I$5:$I$34,MATCH($D1112,CARDS!$A$5:$A$34,0)),DAY(EOMONTH($AD1112,1)))))),""))</f>
        <v/>
      </c>
      <c r="U1112" s="38" t="n"/>
      <c r="V1112" s="37" t="n"/>
      <c r="W1112" s="38" t="n"/>
      <c r="X1112" s="38" t="n"/>
      <c r="Y1112" s="44" t="str">
        <f>IF($AC1112&gt;0,INDEX(CASHBACK_RULES!$A$5:$A$304,$AC1112),"")</f>
        <v/>
      </c>
      <c r="Z1112" s="45" t="str">
        <f>IF($AC1112&gt;0,INDEX(CASHBACK_RULES!$E$5:$E$304,$AC1112)&amp;"","")</f>
        <v/>
      </c>
      <c r="AA1112" s="48" t="str">
        <f>IF($AC1112&gt;0,IF(ISNUMBER(INDEX(CASHBACK_RULES!$K$5:$K$304,$AC1112)),INDEX(CASHBACK_RULES!$K$5:$K$304,$AC1112),"∞"),"")</f>
        <v/>
      </c>
      <c r="AB1112" s="44" t="str">
        <f>IF(OR($B1112="",$D1112=""),"",IF($U1112="Cancelled","Đã hủy",IF($AC1112=0,"Không được hoàn",IF($Q1112=0,IF(OR($O1112&gt;0,$M1112&lt;$L1112),"Đã đạt cap","Không được hoàn"),IF(OR($Q1112&lt;$O1112,$M1112&lt;$L1112),"Hoàn một phần","Được hoàn")))))</f>
        <v/>
      </c>
      <c r="AC1112" s="43">
        <f>IF(OR($B1112="",$D1112="",$I1112="",$L1112=""),0,IF($U1112="Cancelled",0,IF($W1112&lt;&gt;"",IFERROR(IF(INDEX(CASHBACK_RULES!$B$5:$B$304,MATCH($W1112,CASHBACK_RULES!$A$5:$A$304,0))=$D1112,MATCH($W1112,CASHBACK_RULES!$A$5:$A$304,0),0),0),IFERROR(MATCH(1,INDEX((CASHBACK_RULES!$B$5:$B$304=$D1112)*(CASHBACK_RULES!$G$5:$G$304=$I1112)*(((CASHBACK_RULES!$N$5:$N$304="")+(CASHBACK_RULES!$N$5:$N$304&lt;=$B1112))&gt;0)*(((CASHBACK_RULES!$O$5:$O$304="")+(CASHBACK_RULES!$O$5:$O$304&gt;=$B1112))&gt;0)*(((CASHBACK_RULES!$M$5:$M$304="")+(CASHBACK_RULES!$M$5:$M$304&lt;=$L1112))&gt;0),0),0),0))))</f>
        <v>0</v>
      </c>
      <c r="AD1112" s="51" t="str">
        <f>IF(OR($B1112="",$D1112=""),"",IFERROR(IF(INDEX(CARDS!$H$5:$H$34,MATCH($D1112,CARDS!$A$5:$A$34,0))="","",IF(DAY($B1112)&lt;=INDEX(CARDS!$H$5:$H$34,MATCH($D1112,CARDS!$A$5:$A$34,0)),DATE(YEAR($B1112),MONTH($B1112),MIN(INDEX(CARDS!$H$5:$H$34,MATCH($D1112,CARDS!$A$5:$A$34,0)),DAY(EOMONTH($B1112,0)))),DATE(YEAR($B1112),MONTH($B1112)+1,MIN(INDEX(CARDS!$H$5:$H$34,MATCH($D1112,CARDS!$A$5:$A$34,0)),DAY(EOMONTH($B1112,1)))))),""))</f>
        <v/>
      </c>
      <c r="AE1112" s="52" t="str">
        <f>IF($C1112="","",$C1112&amp;"|"&amp;COUNTIF($C$5:$C1112,$C1112))</f>
        <v/>
      </c>
      <c r="AF1112" s="53">
        <f>IF($AC1112&gt;0,SUMIFS(Q$4:Q1111,$D$4:$D1111,$D1112,$Z$4:$Z1111,$Z1112,$C$4:$C1111,$C1112),0)</f>
        <v>0</v>
      </c>
      <c r="AG1112" s="53">
        <f>IF($AC1112&gt;0,SUMIFS(Q$4:Q1111,$D$4:$D1111,$D1112,$C$4:$C1111,$C1112),0)</f>
        <v>0</v>
      </c>
      <c r="AH1112" s="53">
        <f>IF($AC1112&gt;0,SUMIFS(M$4:M1111,$D$4:$D1111,$D1112,$Z$4:$Z1111,$Z1112,$C$4:$C1111,$C1112),0)</f>
        <v>0</v>
      </c>
      <c r="AI1112" s="43">
        <f>IF(OR($C1112="",$I1112=""),0,IF(COUNTIFS($C$5:$C1112,$C1112,$I$5:$I1112,$I1112)=1,1,0))</f>
        <v>0</v>
      </c>
      <c r="AJ1112" s="43" t="str">
        <f>IF($AI1112=1,SUMIFS($AI$4:$AI1111,$C$4:$C1111,$C1112)+1,"")</f>
        <v/>
      </c>
      <c r="AK1112" s="43">
        <f>IF(OR($C1112="",$K1112=""),0,IF(COUNTIFS($C$5:$C1112,$C1112,$K$5:$K1112,$K1112)=1,1,0))</f>
        <v>0</v>
      </c>
      <c r="AL1112" s="43" t="str">
        <f>IF($AK1112=1,SUMIFS($AK$4:$AK1111,$C$4:$C1111,$C1112)+1,"")</f>
        <v/>
      </c>
      <c r="AM1112" s="43">
        <f>IF(OR($C1112="",$G1112=""),0,IF(COUNTIFS($C$5:$C1112,$C1112,$G$5:$G1112,$G1112)=1,1,0))</f>
        <v>0</v>
      </c>
      <c r="AN1112" s="43" t="str">
        <f>IF($AM1112=1,SUMIFS($AM$4:$AM1111,$C$4:$C1111,$C1112)+1,"")</f>
        <v/>
      </c>
    </row>
    <row r="1113">
      <c r="A1113" s="44" t="str">
        <f>IF(OR($B1113="",$D1113=""),"","TX"&amp;TEXT(ROW()-4,"0000"))</f>
        <v/>
      </c>
      <c r="B1113" s="42" t="n"/>
      <c r="C1113" s="47" t="str">
        <f>IF($B1113="","",YEAR($B1113)*100+MONTH($B1113))</f>
        <v/>
      </c>
      <c r="D1113" s="37" t="n"/>
      <c r="E1113" s="45" t="str">
        <f>IF($D1113="","",IFERROR(INDEX(CARDS!$B$5:$B$34,MATCH($D1113,CARDS!$A$5:$A$34,0)),"⚠ Card ID?"))</f>
        <v/>
      </c>
      <c r="F1113" s="45" t="str">
        <f>IF($D1113="","",IFERROR(INDEX(CARDS!$C$5:$C$34,MATCH($D1113,CARDS!$A$5:$A$34,0)),"⚠ Card ID?"))</f>
        <v/>
      </c>
      <c r="G1113" s="37" t="n"/>
      <c r="H1113" s="37" t="n"/>
      <c r="I1113" s="41" t="n"/>
      <c r="J1113" s="45" t="str">
        <f>IF($I1113="","",IFERROR(INDEX(MCC_MASTER!$B$5:$B$504,MATCH($I1113,MCC_MASTER!$A$5:$A$504,0)),"⚠ MCC chưa có"))</f>
        <v/>
      </c>
      <c r="K1113" s="45" t="str">
        <f>IF($I1113="","",IFERROR(IF(INDEX(MCC_MASTER!$C$5:$C$504,MATCH($I1113,MCC_MASTER!$A$5:$A$504,0))="","Chưa phân loại",INDEX(MCC_MASTER!$C$5:$C$504,MATCH($I1113,MCC_MASTER!$A$5:$A$504,0))),"Chưa phân loại"))</f>
        <v/>
      </c>
      <c r="L1113" s="40" t="n"/>
      <c r="M1113" s="48" t="str">
        <f>IF(OR($B1113="",$D1113=""),"",IF($AC1113=0,0,IF(ISNUMBER(INDEX(CASHBACK_RULES!$L$5:$L$304,$AC1113)),MAX(0,MIN($L1113,INDEX(CASHBACK_RULES!$L$5:$L$304,$AC1113)-$AH1113)),MAX(0,$L1113))))</f>
        <v/>
      </c>
      <c r="N1113" s="49" t="str">
        <f>IF(OR($B1113="",$D1113=""),"",IF($AC1113&gt;0,INDEX(CASHBACK_RULES!$I$5:$I$304,$AC1113),0))</f>
        <v/>
      </c>
      <c r="O1113" s="48" t="str">
        <f>IF(OR($B1113="",$D1113=""),"",ROUND($M1113*$N1113,0))</f>
        <v/>
      </c>
      <c r="P1113" s="48" t="str">
        <f>IF($AC1113&gt;0,IF(ISNUMBER(INDEX(CASHBACK_RULES!$J$5:$J$304,$AC1113)),INDEX(CASHBACK_RULES!$J$5:$J$304,$AC1113),"∞"),"")</f>
        <v/>
      </c>
      <c r="Q1113" s="48" t="str">
        <f>IF(OR($B1113="",$D1113=""),"",IF($AC1113=0,0,MAX(0,MIN($O1113,IF(ISNUMBER($P1113),$P1113-$AF1113,1E+15),IF(ISNUMBER($AA1113),$AA1113-$AG1113,1E+15)))))</f>
        <v/>
      </c>
      <c r="R1113" s="48" t="str">
        <f>IF(OR($B1113="",$D1113=""),"",IF($AC1113=0,"",IF(AND(NOT(ISNUMBER($P1113)),NOT(ISNUMBER($AA1113))),"∞",MAX(0,MIN(IF(ISNUMBER($P1113),$P1113-$AF1113-$Q1113,1E+15),IF(ISNUMBER($AA1113),$AA1113-$AG1113-$Q1113,1E+15))))))</f>
        <v/>
      </c>
      <c r="S1113" s="47" t="str">
        <f>IF($AD1113="","",YEAR($AD1113)*100+MONTH($AD1113))</f>
        <v/>
      </c>
      <c r="T1113" s="50" t="str">
        <f>IF($AD1113="","",IFERROR(IF(INDEX(CARDS!$I$5:$I$34,MATCH($D1113,CARDS!$A$5:$A$34,0))="","",IF(INDEX(CARDS!$I$5:$I$34,MATCH($D1113,CARDS!$A$5:$A$34,0))&gt;INDEX(CARDS!$H$5:$H$34,MATCH($D1113,CARDS!$A$5:$A$34,0)),DATE(YEAR($AD1113),MONTH($AD1113),MIN(INDEX(CARDS!$I$5:$I$34,MATCH($D1113,CARDS!$A$5:$A$34,0)),DAY(EOMONTH($AD1113,0)))),DATE(YEAR($AD1113),MONTH($AD1113)+1,MIN(INDEX(CARDS!$I$5:$I$34,MATCH($D1113,CARDS!$A$5:$A$34,0)),DAY(EOMONTH($AD1113,1)))))),""))</f>
        <v/>
      </c>
      <c r="U1113" s="38" t="n"/>
      <c r="V1113" s="37" t="n"/>
      <c r="W1113" s="38" t="n"/>
      <c r="X1113" s="38" t="n"/>
      <c r="Y1113" s="44" t="str">
        <f>IF($AC1113&gt;0,INDEX(CASHBACK_RULES!$A$5:$A$304,$AC1113),"")</f>
        <v/>
      </c>
      <c r="Z1113" s="45" t="str">
        <f>IF($AC1113&gt;0,INDEX(CASHBACK_RULES!$E$5:$E$304,$AC1113)&amp;"","")</f>
        <v/>
      </c>
      <c r="AA1113" s="48" t="str">
        <f>IF($AC1113&gt;0,IF(ISNUMBER(INDEX(CASHBACK_RULES!$K$5:$K$304,$AC1113)),INDEX(CASHBACK_RULES!$K$5:$K$304,$AC1113),"∞"),"")</f>
        <v/>
      </c>
      <c r="AB1113" s="44" t="str">
        <f>IF(OR($B1113="",$D1113=""),"",IF($U1113="Cancelled","Đã hủy",IF($AC1113=0,"Không được hoàn",IF($Q1113=0,IF(OR($O1113&gt;0,$M1113&lt;$L1113),"Đã đạt cap","Không được hoàn"),IF(OR($Q1113&lt;$O1113,$M1113&lt;$L1113),"Hoàn một phần","Được hoàn")))))</f>
        <v/>
      </c>
      <c r="AC1113" s="43">
        <f>IF(OR($B1113="",$D1113="",$I1113="",$L1113=""),0,IF($U1113="Cancelled",0,IF($W1113&lt;&gt;"",IFERROR(IF(INDEX(CASHBACK_RULES!$B$5:$B$304,MATCH($W1113,CASHBACK_RULES!$A$5:$A$304,0))=$D1113,MATCH($W1113,CASHBACK_RULES!$A$5:$A$304,0),0),0),IFERROR(MATCH(1,INDEX((CASHBACK_RULES!$B$5:$B$304=$D1113)*(CASHBACK_RULES!$G$5:$G$304=$I1113)*(((CASHBACK_RULES!$N$5:$N$304="")+(CASHBACK_RULES!$N$5:$N$304&lt;=$B1113))&gt;0)*(((CASHBACK_RULES!$O$5:$O$304="")+(CASHBACK_RULES!$O$5:$O$304&gt;=$B1113))&gt;0)*(((CASHBACK_RULES!$M$5:$M$304="")+(CASHBACK_RULES!$M$5:$M$304&lt;=$L1113))&gt;0),0),0),0))))</f>
        <v>0</v>
      </c>
      <c r="AD1113" s="51" t="str">
        <f>IF(OR($B1113="",$D1113=""),"",IFERROR(IF(INDEX(CARDS!$H$5:$H$34,MATCH($D1113,CARDS!$A$5:$A$34,0))="","",IF(DAY($B1113)&lt;=INDEX(CARDS!$H$5:$H$34,MATCH($D1113,CARDS!$A$5:$A$34,0)),DATE(YEAR($B1113),MONTH($B1113),MIN(INDEX(CARDS!$H$5:$H$34,MATCH($D1113,CARDS!$A$5:$A$34,0)),DAY(EOMONTH($B1113,0)))),DATE(YEAR($B1113),MONTH($B1113)+1,MIN(INDEX(CARDS!$H$5:$H$34,MATCH($D1113,CARDS!$A$5:$A$34,0)),DAY(EOMONTH($B1113,1)))))),""))</f>
        <v/>
      </c>
      <c r="AE1113" s="52" t="str">
        <f>IF($C1113="","",$C1113&amp;"|"&amp;COUNTIF($C$5:$C1113,$C1113))</f>
        <v/>
      </c>
      <c r="AF1113" s="53">
        <f>IF($AC1113&gt;0,SUMIFS(Q$4:Q1112,$D$4:$D1112,$D1113,$Z$4:$Z1112,$Z1113,$C$4:$C1112,$C1113),0)</f>
        <v>0</v>
      </c>
      <c r="AG1113" s="53">
        <f>IF($AC1113&gt;0,SUMIFS(Q$4:Q1112,$D$4:$D1112,$D1113,$C$4:$C1112,$C1113),0)</f>
        <v>0</v>
      </c>
      <c r="AH1113" s="53">
        <f>IF($AC1113&gt;0,SUMIFS(M$4:M1112,$D$4:$D1112,$D1113,$Z$4:$Z1112,$Z1113,$C$4:$C1112,$C1113),0)</f>
        <v>0</v>
      </c>
      <c r="AI1113" s="43">
        <f>IF(OR($C1113="",$I1113=""),0,IF(COUNTIFS($C$5:$C1113,$C1113,$I$5:$I1113,$I1113)=1,1,0))</f>
        <v>0</v>
      </c>
      <c r="AJ1113" s="43" t="str">
        <f>IF($AI1113=1,SUMIFS($AI$4:$AI1112,$C$4:$C1112,$C1113)+1,"")</f>
        <v/>
      </c>
      <c r="AK1113" s="43">
        <f>IF(OR($C1113="",$K1113=""),0,IF(COUNTIFS($C$5:$C1113,$C1113,$K$5:$K1113,$K1113)=1,1,0))</f>
        <v>0</v>
      </c>
      <c r="AL1113" s="43" t="str">
        <f>IF($AK1113=1,SUMIFS($AK$4:$AK1112,$C$4:$C1112,$C1113)+1,"")</f>
        <v/>
      </c>
      <c r="AM1113" s="43">
        <f>IF(OR($C1113="",$G1113=""),0,IF(COUNTIFS($C$5:$C1113,$C1113,$G$5:$G1113,$G1113)=1,1,0))</f>
        <v>0</v>
      </c>
      <c r="AN1113" s="43" t="str">
        <f>IF($AM1113=1,SUMIFS($AM$4:$AM1112,$C$4:$C1112,$C1113)+1,"")</f>
        <v/>
      </c>
    </row>
    <row r="1114">
      <c r="A1114" s="44" t="str">
        <f>IF(OR($B1114="",$D1114=""),"","TX"&amp;TEXT(ROW()-4,"0000"))</f>
        <v/>
      </c>
      <c r="B1114" s="42" t="n"/>
      <c r="C1114" s="47" t="str">
        <f>IF($B1114="","",YEAR($B1114)*100+MONTH($B1114))</f>
        <v/>
      </c>
      <c r="D1114" s="37" t="n"/>
      <c r="E1114" s="45" t="str">
        <f>IF($D1114="","",IFERROR(INDEX(CARDS!$B$5:$B$34,MATCH($D1114,CARDS!$A$5:$A$34,0)),"⚠ Card ID?"))</f>
        <v/>
      </c>
      <c r="F1114" s="45" t="str">
        <f>IF($D1114="","",IFERROR(INDEX(CARDS!$C$5:$C$34,MATCH($D1114,CARDS!$A$5:$A$34,0)),"⚠ Card ID?"))</f>
        <v/>
      </c>
      <c r="G1114" s="37" t="n"/>
      <c r="H1114" s="37" t="n"/>
      <c r="I1114" s="41" t="n"/>
      <c r="J1114" s="45" t="str">
        <f>IF($I1114="","",IFERROR(INDEX(MCC_MASTER!$B$5:$B$504,MATCH($I1114,MCC_MASTER!$A$5:$A$504,0)),"⚠ MCC chưa có"))</f>
        <v/>
      </c>
      <c r="K1114" s="45" t="str">
        <f>IF($I1114="","",IFERROR(IF(INDEX(MCC_MASTER!$C$5:$C$504,MATCH($I1114,MCC_MASTER!$A$5:$A$504,0))="","Chưa phân loại",INDEX(MCC_MASTER!$C$5:$C$504,MATCH($I1114,MCC_MASTER!$A$5:$A$504,0))),"Chưa phân loại"))</f>
        <v/>
      </c>
      <c r="L1114" s="40" t="n"/>
      <c r="M1114" s="48" t="str">
        <f>IF(OR($B1114="",$D1114=""),"",IF($AC1114=0,0,IF(ISNUMBER(INDEX(CASHBACK_RULES!$L$5:$L$304,$AC1114)),MAX(0,MIN($L1114,INDEX(CASHBACK_RULES!$L$5:$L$304,$AC1114)-$AH1114)),MAX(0,$L1114))))</f>
        <v/>
      </c>
      <c r="N1114" s="49" t="str">
        <f>IF(OR($B1114="",$D1114=""),"",IF($AC1114&gt;0,INDEX(CASHBACK_RULES!$I$5:$I$304,$AC1114),0))</f>
        <v/>
      </c>
      <c r="O1114" s="48" t="str">
        <f>IF(OR($B1114="",$D1114=""),"",ROUND($M1114*$N1114,0))</f>
        <v/>
      </c>
      <c r="P1114" s="48" t="str">
        <f>IF($AC1114&gt;0,IF(ISNUMBER(INDEX(CASHBACK_RULES!$J$5:$J$304,$AC1114)),INDEX(CASHBACK_RULES!$J$5:$J$304,$AC1114),"∞"),"")</f>
        <v/>
      </c>
      <c r="Q1114" s="48" t="str">
        <f>IF(OR($B1114="",$D1114=""),"",IF($AC1114=0,0,MAX(0,MIN($O1114,IF(ISNUMBER($P1114),$P1114-$AF1114,1E+15),IF(ISNUMBER($AA1114),$AA1114-$AG1114,1E+15)))))</f>
        <v/>
      </c>
      <c r="R1114" s="48" t="str">
        <f>IF(OR($B1114="",$D1114=""),"",IF($AC1114=0,"",IF(AND(NOT(ISNUMBER($P1114)),NOT(ISNUMBER($AA1114))),"∞",MAX(0,MIN(IF(ISNUMBER($P1114),$P1114-$AF1114-$Q1114,1E+15),IF(ISNUMBER($AA1114),$AA1114-$AG1114-$Q1114,1E+15))))))</f>
        <v/>
      </c>
      <c r="S1114" s="47" t="str">
        <f>IF($AD1114="","",YEAR($AD1114)*100+MONTH($AD1114))</f>
        <v/>
      </c>
      <c r="T1114" s="50" t="str">
        <f>IF($AD1114="","",IFERROR(IF(INDEX(CARDS!$I$5:$I$34,MATCH($D1114,CARDS!$A$5:$A$34,0))="","",IF(INDEX(CARDS!$I$5:$I$34,MATCH($D1114,CARDS!$A$5:$A$34,0))&gt;INDEX(CARDS!$H$5:$H$34,MATCH($D1114,CARDS!$A$5:$A$34,0)),DATE(YEAR($AD1114),MONTH($AD1114),MIN(INDEX(CARDS!$I$5:$I$34,MATCH($D1114,CARDS!$A$5:$A$34,0)),DAY(EOMONTH($AD1114,0)))),DATE(YEAR($AD1114),MONTH($AD1114)+1,MIN(INDEX(CARDS!$I$5:$I$34,MATCH($D1114,CARDS!$A$5:$A$34,0)),DAY(EOMONTH($AD1114,1)))))),""))</f>
        <v/>
      </c>
      <c r="U1114" s="38" t="n"/>
      <c r="V1114" s="37" t="n"/>
      <c r="W1114" s="38" t="n"/>
      <c r="X1114" s="38" t="n"/>
      <c r="Y1114" s="44" t="str">
        <f>IF($AC1114&gt;0,INDEX(CASHBACK_RULES!$A$5:$A$304,$AC1114),"")</f>
        <v/>
      </c>
      <c r="Z1114" s="45" t="str">
        <f>IF($AC1114&gt;0,INDEX(CASHBACK_RULES!$E$5:$E$304,$AC1114)&amp;"","")</f>
        <v/>
      </c>
      <c r="AA1114" s="48" t="str">
        <f>IF($AC1114&gt;0,IF(ISNUMBER(INDEX(CASHBACK_RULES!$K$5:$K$304,$AC1114)),INDEX(CASHBACK_RULES!$K$5:$K$304,$AC1114),"∞"),"")</f>
        <v/>
      </c>
      <c r="AB1114" s="44" t="str">
        <f>IF(OR($B1114="",$D1114=""),"",IF($U1114="Cancelled","Đã hủy",IF($AC1114=0,"Không được hoàn",IF($Q1114=0,IF(OR($O1114&gt;0,$M1114&lt;$L1114),"Đã đạt cap","Không được hoàn"),IF(OR($Q1114&lt;$O1114,$M1114&lt;$L1114),"Hoàn một phần","Được hoàn")))))</f>
        <v/>
      </c>
      <c r="AC1114" s="43">
        <f>IF(OR($B1114="",$D1114="",$I1114="",$L1114=""),0,IF($U1114="Cancelled",0,IF($W1114&lt;&gt;"",IFERROR(IF(INDEX(CASHBACK_RULES!$B$5:$B$304,MATCH($W1114,CASHBACK_RULES!$A$5:$A$304,0))=$D1114,MATCH($W1114,CASHBACK_RULES!$A$5:$A$304,0),0),0),IFERROR(MATCH(1,INDEX((CASHBACK_RULES!$B$5:$B$304=$D1114)*(CASHBACK_RULES!$G$5:$G$304=$I1114)*(((CASHBACK_RULES!$N$5:$N$304="")+(CASHBACK_RULES!$N$5:$N$304&lt;=$B1114))&gt;0)*(((CASHBACK_RULES!$O$5:$O$304="")+(CASHBACK_RULES!$O$5:$O$304&gt;=$B1114))&gt;0)*(((CASHBACK_RULES!$M$5:$M$304="")+(CASHBACK_RULES!$M$5:$M$304&lt;=$L1114))&gt;0),0),0),0))))</f>
        <v>0</v>
      </c>
      <c r="AD1114" s="51" t="str">
        <f>IF(OR($B1114="",$D1114=""),"",IFERROR(IF(INDEX(CARDS!$H$5:$H$34,MATCH($D1114,CARDS!$A$5:$A$34,0))="","",IF(DAY($B1114)&lt;=INDEX(CARDS!$H$5:$H$34,MATCH($D1114,CARDS!$A$5:$A$34,0)),DATE(YEAR($B1114),MONTH($B1114),MIN(INDEX(CARDS!$H$5:$H$34,MATCH($D1114,CARDS!$A$5:$A$34,0)),DAY(EOMONTH($B1114,0)))),DATE(YEAR($B1114),MONTH($B1114)+1,MIN(INDEX(CARDS!$H$5:$H$34,MATCH($D1114,CARDS!$A$5:$A$34,0)),DAY(EOMONTH($B1114,1)))))),""))</f>
        <v/>
      </c>
      <c r="AE1114" s="52" t="str">
        <f>IF($C1114="","",$C1114&amp;"|"&amp;COUNTIF($C$5:$C1114,$C1114))</f>
        <v/>
      </c>
      <c r="AF1114" s="53">
        <f>IF($AC1114&gt;0,SUMIFS(Q$4:Q1113,$D$4:$D1113,$D1114,$Z$4:$Z1113,$Z1114,$C$4:$C1113,$C1114),0)</f>
        <v>0</v>
      </c>
      <c r="AG1114" s="53">
        <f>IF($AC1114&gt;0,SUMIFS(Q$4:Q1113,$D$4:$D1113,$D1114,$C$4:$C1113,$C1114),0)</f>
        <v>0</v>
      </c>
      <c r="AH1114" s="53">
        <f>IF($AC1114&gt;0,SUMIFS(M$4:M1113,$D$4:$D1113,$D1114,$Z$4:$Z1113,$Z1114,$C$4:$C1113,$C1114),0)</f>
        <v>0</v>
      </c>
      <c r="AI1114" s="43">
        <f>IF(OR($C1114="",$I1114=""),0,IF(COUNTIFS($C$5:$C1114,$C1114,$I$5:$I1114,$I1114)=1,1,0))</f>
        <v>0</v>
      </c>
      <c r="AJ1114" s="43" t="str">
        <f>IF($AI1114=1,SUMIFS($AI$4:$AI1113,$C$4:$C1113,$C1114)+1,"")</f>
        <v/>
      </c>
      <c r="AK1114" s="43">
        <f>IF(OR($C1114="",$K1114=""),0,IF(COUNTIFS($C$5:$C1114,$C1114,$K$5:$K1114,$K1114)=1,1,0))</f>
        <v>0</v>
      </c>
      <c r="AL1114" s="43" t="str">
        <f>IF($AK1114=1,SUMIFS($AK$4:$AK1113,$C$4:$C1113,$C1114)+1,"")</f>
        <v/>
      </c>
      <c r="AM1114" s="43">
        <f>IF(OR($C1114="",$G1114=""),0,IF(COUNTIFS($C$5:$C1114,$C1114,$G$5:$G1114,$G1114)=1,1,0))</f>
        <v>0</v>
      </c>
      <c r="AN1114" s="43" t="str">
        <f>IF($AM1114=1,SUMIFS($AM$4:$AM1113,$C$4:$C1113,$C1114)+1,"")</f>
        <v/>
      </c>
    </row>
    <row r="1115">
      <c r="A1115" s="44" t="str">
        <f>IF(OR($B1115="",$D1115=""),"","TX"&amp;TEXT(ROW()-4,"0000"))</f>
        <v/>
      </c>
      <c r="B1115" s="42" t="n"/>
      <c r="C1115" s="47" t="str">
        <f>IF($B1115="","",YEAR($B1115)*100+MONTH($B1115))</f>
        <v/>
      </c>
      <c r="D1115" s="37" t="n"/>
      <c r="E1115" s="45" t="str">
        <f>IF($D1115="","",IFERROR(INDEX(CARDS!$B$5:$B$34,MATCH($D1115,CARDS!$A$5:$A$34,0)),"⚠ Card ID?"))</f>
        <v/>
      </c>
      <c r="F1115" s="45" t="str">
        <f>IF($D1115="","",IFERROR(INDEX(CARDS!$C$5:$C$34,MATCH($D1115,CARDS!$A$5:$A$34,0)),"⚠ Card ID?"))</f>
        <v/>
      </c>
      <c r="G1115" s="37" t="n"/>
      <c r="H1115" s="37" t="n"/>
      <c r="I1115" s="41" t="n"/>
      <c r="J1115" s="45" t="str">
        <f>IF($I1115="","",IFERROR(INDEX(MCC_MASTER!$B$5:$B$504,MATCH($I1115,MCC_MASTER!$A$5:$A$504,0)),"⚠ MCC chưa có"))</f>
        <v/>
      </c>
      <c r="K1115" s="45" t="str">
        <f>IF($I1115="","",IFERROR(IF(INDEX(MCC_MASTER!$C$5:$C$504,MATCH($I1115,MCC_MASTER!$A$5:$A$504,0))="","Chưa phân loại",INDEX(MCC_MASTER!$C$5:$C$504,MATCH($I1115,MCC_MASTER!$A$5:$A$504,0))),"Chưa phân loại"))</f>
        <v/>
      </c>
      <c r="L1115" s="40" t="n"/>
      <c r="M1115" s="48" t="str">
        <f>IF(OR($B1115="",$D1115=""),"",IF($AC1115=0,0,IF(ISNUMBER(INDEX(CASHBACK_RULES!$L$5:$L$304,$AC1115)),MAX(0,MIN($L1115,INDEX(CASHBACK_RULES!$L$5:$L$304,$AC1115)-$AH1115)),MAX(0,$L1115))))</f>
        <v/>
      </c>
      <c r="N1115" s="49" t="str">
        <f>IF(OR($B1115="",$D1115=""),"",IF($AC1115&gt;0,INDEX(CASHBACK_RULES!$I$5:$I$304,$AC1115),0))</f>
        <v/>
      </c>
      <c r="O1115" s="48" t="str">
        <f>IF(OR($B1115="",$D1115=""),"",ROUND($M1115*$N1115,0))</f>
        <v/>
      </c>
      <c r="P1115" s="48" t="str">
        <f>IF($AC1115&gt;0,IF(ISNUMBER(INDEX(CASHBACK_RULES!$J$5:$J$304,$AC1115)),INDEX(CASHBACK_RULES!$J$5:$J$304,$AC1115),"∞"),"")</f>
        <v/>
      </c>
      <c r="Q1115" s="48" t="str">
        <f>IF(OR($B1115="",$D1115=""),"",IF($AC1115=0,0,MAX(0,MIN($O1115,IF(ISNUMBER($P1115),$P1115-$AF1115,1E+15),IF(ISNUMBER($AA1115),$AA1115-$AG1115,1E+15)))))</f>
        <v/>
      </c>
      <c r="R1115" s="48" t="str">
        <f>IF(OR($B1115="",$D1115=""),"",IF($AC1115=0,"",IF(AND(NOT(ISNUMBER($P1115)),NOT(ISNUMBER($AA1115))),"∞",MAX(0,MIN(IF(ISNUMBER($P1115),$P1115-$AF1115-$Q1115,1E+15),IF(ISNUMBER($AA1115),$AA1115-$AG1115-$Q1115,1E+15))))))</f>
        <v/>
      </c>
      <c r="S1115" s="47" t="str">
        <f>IF($AD1115="","",YEAR($AD1115)*100+MONTH($AD1115))</f>
        <v/>
      </c>
      <c r="T1115" s="50" t="str">
        <f>IF($AD1115="","",IFERROR(IF(INDEX(CARDS!$I$5:$I$34,MATCH($D1115,CARDS!$A$5:$A$34,0))="","",IF(INDEX(CARDS!$I$5:$I$34,MATCH($D1115,CARDS!$A$5:$A$34,0))&gt;INDEX(CARDS!$H$5:$H$34,MATCH($D1115,CARDS!$A$5:$A$34,0)),DATE(YEAR($AD1115),MONTH($AD1115),MIN(INDEX(CARDS!$I$5:$I$34,MATCH($D1115,CARDS!$A$5:$A$34,0)),DAY(EOMONTH($AD1115,0)))),DATE(YEAR($AD1115),MONTH($AD1115)+1,MIN(INDEX(CARDS!$I$5:$I$34,MATCH($D1115,CARDS!$A$5:$A$34,0)),DAY(EOMONTH($AD1115,1)))))),""))</f>
        <v/>
      </c>
      <c r="U1115" s="38" t="n"/>
      <c r="V1115" s="37" t="n"/>
      <c r="W1115" s="38" t="n"/>
      <c r="X1115" s="38" t="n"/>
      <c r="Y1115" s="44" t="str">
        <f>IF($AC1115&gt;0,INDEX(CASHBACK_RULES!$A$5:$A$304,$AC1115),"")</f>
        <v/>
      </c>
      <c r="Z1115" s="45" t="str">
        <f>IF($AC1115&gt;0,INDEX(CASHBACK_RULES!$E$5:$E$304,$AC1115)&amp;"","")</f>
        <v/>
      </c>
      <c r="AA1115" s="48" t="str">
        <f>IF($AC1115&gt;0,IF(ISNUMBER(INDEX(CASHBACK_RULES!$K$5:$K$304,$AC1115)),INDEX(CASHBACK_RULES!$K$5:$K$304,$AC1115),"∞"),"")</f>
        <v/>
      </c>
      <c r="AB1115" s="44" t="str">
        <f>IF(OR($B1115="",$D1115=""),"",IF($U1115="Cancelled","Đã hủy",IF($AC1115=0,"Không được hoàn",IF($Q1115=0,IF(OR($O1115&gt;0,$M1115&lt;$L1115),"Đã đạt cap","Không được hoàn"),IF(OR($Q1115&lt;$O1115,$M1115&lt;$L1115),"Hoàn một phần","Được hoàn")))))</f>
        <v/>
      </c>
      <c r="AC1115" s="43">
        <f>IF(OR($B1115="",$D1115="",$I1115="",$L1115=""),0,IF($U1115="Cancelled",0,IF($W1115&lt;&gt;"",IFERROR(IF(INDEX(CASHBACK_RULES!$B$5:$B$304,MATCH($W1115,CASHBACK_RULES!$A$5:$A$304,0))=$D1115,MATCH($W1115,CASHBACK_RULES!$A$5:$A$304,0),0),0),IFERROR(MATCH(1,INDEX((CASHBACK_RULES!$B$5:$B$304=$D1115)*(CASHBACK_RULES!$G$5:$G$304=$I1115)*(((CASHBACK_RULES!$N$5:$N$304="")+(CASHBACK_RULES!$N$5:$N$304&lt;=$B1115))&gt;0)*(((CASHBACK_RULES!$O$5:$O$304="")+(CASHBACK_RULES!$O$5:$O$304&gt;=$B1115))&gt;0)*(((CASHBACK_RULES!$M$5:$M$304="")+(CASHBACK_RULES!$M$5:$M$304&lt;=$L1115))&gt;0),0),0),0))))</f>
        <v>0</v>
      </c>
      <c r="AD1115" s="51" t="str">
        <f>IF(OR($B1115="",$D1115=""),"",IFERROR(IF(INDEX(CARDS!$H$5:$H$34,MATCH($D1115,CARDS!$A$5:$A$34,0))="","",IF(DAY($B1115)&lt;=INDEX(CARDS!$H$5:$H$34,MATCH($D1115,CARDS!$A$5:$A$34,0)),DATE(YEAR($B1115),MONTH($B1115),MIN(INDEX(CARDS!$H$5:$H$34,MATCH($D1115,CARDS!$A$5:$A$34,0)),DAY(EOMONTH($B1115,0)))),DATE(YEAR($B1115),MONTH($B1115)+1,MIN(INDEX(CARDS!$H$5:$H$34,MATCH($D1115,CARDS!$A$5:$A$34,0)),DAY(EOMONTH($B1115,1)))))),""))</f>
        <v/>
      </c>
      <c r="AE1115" s="52" t="str">
        <f>IF($C1115="","",$C1115&amp;"|"&amp;COUNTIF($C$5:$C1115,$C1115))</f>
        <v/>
      </c>
      <c r="AF1115" s="53">
        <f>IF($AC1115&gt;0,SUMIFS(Q$4:Q1114,$D$4:$D1114,$D1115,$Z$4:$Z1114,$Z1115,$C$4:$C1114,$C1115),0)</f>
        <v>0</v>
      </c>
      <c r="AG1115" s="53">
        <f>IF($AC1115&gt;0,SUMIFS(Q$4:Q1114,$D$4:$D1114,$D1115,$C$4:$C1114,$C1115),0)</f>
        <v>0</v>
      </c>
      <c r="AH1115" s="53">
        <f>IF($AC1115&gt;0,SUMIFS(M$4:M1114,$D$4:$D1114,$D1115,$Z$4:$Z1114,$Z1115,$C$4:$C1114,$C1115),0)</f>
        <v>0</v>
      </c>
      <c r="AI1115" s="43">
        <f>IF(OR($C1115="",$I1115=""),0,IF(COUNTIFS($C$5:$C1115,$C1115,$I$5:$I1115,$I1115)=1,1,0))</f>
        <v>0</v>
      </c>
      <c r="AJ1115" s="43" t="str">
        <f>IF($AI1115=1,SUMIFS($AI$4:$AI1114,$C$4:$C1114,$C1115)+1,"")</f>
        <v/>
      </c>
      <c r="AK1115" s="43">
        <f>IF(OR($C1115="",$K1115=""),0,IF(COUNTIFS($C$5:$C1115,$C1115,$K$5:$K1115,$K1115)=1,1,0))</f>
        <v>0</v>
      </c>
      <c r="AL1115" s="43" t="str">
        <f>IF($AK1115=1,SUMIFS($AK$4:$AK1114,$C$4:$C1114,$C1115)+1,"")</f>
        <v/>
      </c>
      <c r="AM1115" s="43">
        <f>IF(OR($C1115="",$G1115=""),0,IF(COUNTIFS($C$5:$C1115,$C1115,$G$5:$G1115,$G1115)=1,1,0))</f>
        <v>0</v>
      </c>
      <c r="AN1115" s="43" t="str">
        <f>IF($AM1115=1,SUMIFS($AM$4:$AM1114,$C$4:$C1114,$C1115)+1,"")</f>
        <v/>
      </c>
    </row>
    <row r="1116">
      <c r="A1116" s="44" t="str">
        <f>IF(OR($B1116="",$D1116=""),"","TX"&amp;TEXT(ROW()-4,"0000"))</f>
        <v/>
      </c>
      <c r="B1116" s="42" t="n"/>
      <c r="C1116" s="47" t="str">
        <f>IF($B1116="","",YEAR($B1116)*100+MONTH($B1116))</f>
        <v/>
      </c>
      <c r="D1116" s="37" t="n"/>
      <c r="E1116" s="45" t="str">
        <f>IF($D1116="","",IFERROR(INDEX(CARDS!$B$5:$B$34,MATCH($D1116,CARDS!$A$5:$A$34,0)),"⚠ Card ID?"))</f>
        <v/>
      </c>
      <c r="F1116" s="45" t="str">
        <f>IF($D1116="","",IFERROR(INDEX(CARDS!$C$5:$C$34,MATCH($D1116,CARDS!$A$5:$A$34,0)),"⚠ Card ID?"))</f>
        <v/>
      </c>
      <c r="G1116" s="37" t="n"/>
      <c r="H1116" s="37" t="n"/>
      <c r="I1116" s="41" t="n"/>
      <c r="J1116" s="45" t="str">
        <f>IF($I1116="","",IFERROR(INDEX(MCC_MASTER!$B$5:$B$504,MATCH($I1116,MCC_MASTER!$A$5:$A$504,0)),"⚠ MCC chưa có"))</f>
        <v/>
      </c>
      <c r="K1116" s="45" t="str">
        <f>IF($I1116="","",IFERROR(IF(INDEX(MCC_MASTER!$C$5:$C$504,MATCH($I1116,MCC_MASTER!$A$5:$A$504,0))="","Chưa phân loại",INDEX(MCC_MASTER!$C$5:$C$504,MATCH($I1116,MCC_MASTER!$A$5:$A$504,0))),"Chưa phân loại"))</f>
        <v/>
      </c>
      <c r="L1116" s="40" t="n"/>
      <c r="M1116" s="48" t="str">
        <f>IF(OR($B1116="",$D1116=""),"",IF($AC1116=0,0,IF(ISNUMBER(INDEX(CASHBACK_RULES!$L$5:$L$304,$AC1116)),MAX(0,MIN($L1116,INDEX(CASHBACK_RULES!$L$5:$L$304,$AC1116)-$AH1116)),MAX(0,$L1116))))</f>
        <v/>
      </c>
      <c r="N1116" s="49" t="str">
        <f>IF(OR($B1116="",$D1116=""),"",IF($AC1116&gt;0,INDEX(CASHBACK_RULES!$I$5:$I$304,$AC1116),0))</f>
        <v/>
      </c>
      <c r="O1116" s="48" t="str">
        <f>IF(OR($B1116="",$D1116=""),"",ROUND($M1116*$N1116,0))</f>
        <v/>
      </c>
      <c r="P1116" s="48" t="str">
        <f>IF($AC1116&gt;0,IF(ISNUMBER(INDEX(CASHBACK_RULES!$J$5:$J$304,$AC1116)),INDEX(CASHBACK_RULES!$J$5:$J$304,$AC1116),"∞"),"")</f>
        <v/>
      </c>
      <c r="Q1116" s="48" t="str">
        <f>IF(OR($B1116="",$D1116=""),"",IF($AC1116=0,0,MAX(0,MIN($O1116,IF(ISNUMBER($P1116),$P1116-$AF1116,1E+15),IF(ISNUMBER($AA1116),$AA1116-$AG1116,1E+15)))))</f>
        <v/>
      </c>
      <c r="R1116" s="48" t="str">
        <f>IF(OR($B1116="",$D1116=""),"",IF($AC1116=0,"",IF(AND(NOT(ISNUMBER($P1116)),NOT(ISNUMBER($AA1116))),"∞",MAX(0,MIN(IF(ISNUMBER($P1116),$P1116-$AF1116-$Q1116,1E+15),IF(ISNUMBER($AA1116),$AA1116-$AG1116-$Q1116,1E+15))))))</f>
        <v/>
      </c>
      <c r="S1116" s="47" t="str">
        <f>IF($AD1116="","",YEAR($AD1116)*100+MONTH($AD1116))</f>
        <v/>
      </c>
      <c r="T1116" s="50" t="str">
        <f>IF($AD1116="","",IFERROR(IF(INDEX(CARDS!$I$5:$I$34,MATCH($D1116,CARDS!$A$5:$A$34,0))="","",IF(INDEX(CARDS!$I$5:$I$34,MATCH($D1116,CARDS!$A$5:$A$34,0))&gt;INDEX(CARDS!$H$5:$H$34,MATCH($D1116,CARDS!$A$5:$A$34,0)),DATE(YEAR($AD1116),MONTH($AD1116),MIN(INDEX(CARDS!$I$5:$I$34,MATCH($D1116,CARDS!$A$5:$A$34,0)),DAY(EOMONTH($AD1116,0)))),DATE(YEAR($AD1116),MONTH($AD1116)+1,MIN(INDEX(CARDS!$I$5:$I$34,MATCH($D1116,CARDS!$A$5:$A$34,0)),DAY(EOMONTH($AD1116,1)))))),""))</f>
        <v/>
      </c>
      <c r="U1116" s="38" t="n"/>
      <c r="V1116" s="37" t="n"/>
      <c r="W1116" s="38" t="n"/>
      <c r="X1116" s="38" t="n"/>
      <c r="Y1116" s="44" t="str">
        <f>IF($AC1116&gt;0,INDEX(CASHBACK_RULES!$A$5:$A$304,$AC1116),"")</f>
        <v/>
      </c>
      <c r="Z1116" s="45" t="str">
        <f>IF($AC1116&gt;0,INDEX(CASHBACK_RULES!$E$5:$E$304,$AC1116)&amp;"","")</f>
        <v/>
      </c>
      <c r="AA1116" s="48" t="str">
        <f>IF($AC1116&gt;0,IF(ISNUMBER(INDEX(CASHBACK_RULES!$K$5:$K$304,$AC1116)),INDEX(CASHBACK_RULES!$K$5:$K$304,$AC1116),"∞"),"")</f>
        <v/>
      </c>
      <c r="AB1116" s="44" t="str">
        <f>IF(OR($B1116="",$D1116=""),"",IF($U1116="Cancelled","Đã hủy",IF($AC1116=0,"Không được hoàn",IF($Q1116=0,IF(OR($O1116&gt;0,$M1116&lt;$L1116),"Đã đạt cap","Không được hoàn"),IF(OR($Q1116&lt;$O1116,$M1116&lt;$L1116),"Hoàn một phần","Được hoàn")))))</f>
        <v/>
      </c>
      <c r="AC1116" s="43">
        <f>IF(OR($B1116="",$D1116="",$I1116="",$L1116=""),0,IF($U1116="Cancelled",0,IF($W1116&lt;&gt;"",IFERROR(IF(INDEX(CASHBACK_RULES!$B$5:$B$304,MATCH($W1116,CASHBACK_RULES!$A$5:$A$304,0))=$D1116,MATCH($W1116,CASHBACK_RULES!$A$5:$A$304,0),0),0),IFERROR(MATCH(1,INDEX((CASHBACK_RULES!$B$5:$B$304=$D1116)*(CASHBACK_RULES!$G$5:$G$304=$I1116)*(((CASHBACK_RULES!$N$5:$N$304="")+(CASHBACK_RULES!$N$5:$N$304&lt;=$B1116))&gt;0)*(((CASHBACK_RULES!$O$5:$O$304="")+(CASHBACK_RULES!$O$5:$O$304&gt;=$B1116))&gt;0)*(((CASHBACK_RULES!$M$5:$M$304="")+(CASHBACK_RULES!$M$5:$M$304&lt;=$L1116))&gt;0),0),0),0))))</f>
        <v>0</v>
      </c>
      <c r="AD1116" s="51" t="str">
        <f>IF(OR($B1116="",$D1116=""),"",IFERROR(IF(INDEX(CARDS!$H$5:$H$34,MATCH($D1116,CARDS!$A$5:$A$34,0))="","",IF(DAY($B1116)&lt;=INDEX(CARDS!$H$5:$H$34,MATCH($D1116,CARDS!$A$5:$A$34,0)),DATE(YEAR($B1116),MONTH($B1116),MIN(INDEX(CARDS!$H$5:$H$34,MATCH($D1116,CARDS!$A$5:$A$34,0)),DAY(EOMONTH($B1116,0)))),DATE(YEAR($B1116),MONTH($B1116)+1,MIN(INDEX(CARDS!$H$5:$H$34,MATCH($D1116,CARDS!$A$5:$A$34,0)),DAY(EOMONTH($B1116,1)))))),""))</f>
        <v/>
      </c>
      <c r="AE1116" s="52" t="str">
        <f>IF($C1116="","",$C1116&amp;"|"&amp;COUNTIF($C$5:$C1116,$C1116))</f>
        <v/>
      </c>
      <c r="AF1116" s="53">
        <f>IF($AC1116&gt;0,SUMIFS(Q$4:Q1115,$D$4:$D1115,$D1116,$Z$4:$Z1115,$Z1116,$C$4:$C1115,$C1116),0)</f>
        <v>0</v>
      </c>
      <c r="AG1116" s="53">
        <f>IF($AC1116&gt;0,SUMIFS(Q$4:Q1115,$D$4:$D1115,$D1116,$C$4:$C1115,$C1116),0)</f>
        <v>0</v>
      </c>
      <c r="AH1116" s="53">
        <f>IF($AC1116&gt;0,SUMIFS(M$4:M1115,$D$4:$D1115,$D1116,$Z$4:$Z1115,$Z1116,$C$4:$C1115,$C1116),0)</f>
        <v>0</v>
      </c>
      <c r="AI1116" s="43">
        <f>IF(OR($C1116="",$I1116=""),0,IF(COUNTIFS($C$5:$C1116,$C1116,$I$5:$I1116,$I1116)=1,1,0))</f>
        <v>0</v>
      </c>
      <c r="AJ1116" s="43" t="str">
        <f>IF($AI1116=1,SUMIFS($AI$4:$AI1115,$C$4:$C1115,$C1116)+1,"")</f>
        <v/>
      </c>
      <c r="AK1116" s="43">
        <f>IF(OR($C1116="",$K1116=""),0,IF(COUNTIFS($C$5:$C1116,$C1116,$K$5:$K1116,$K1116)=1,1,0))</f>
        <v>0</v>
      </c>
      <c r="AL1116" s="43" t="str">
        <f>IF($AK1116=1,SUMIFS($AK$4:$AK1115,$C$4:$C1115,$C1116)+1,"")</f>
        <v/>
      </c>
      <c r="AM1116" s="43">
        <f>IF(OR($C1116="",$G1116=""),0,IF(COUNTIFS($C$5:$C1116,$C1116,$G$5:$G1116,$G1116)=1,1,0))</f>
        <v>0</v>
      </c>
      <c r="AN1116" s="43" t="str">
        <f>IF($AM1116=1,SUMIFS($AM$4:$AM1115,$C$4:$C1115,$C1116)+1,"")</f>
        <v/>
      </c>
    </row>
    <row r="1117">
      <c r="A1117" s="44" t="str">
        <f>IF(OR($B1117="",$D1117=""),"","TX"&amp;TEXT(ROW()-4,"0000"))</f>
        <v/>
      </c>
      <c r="B1117" s="42" t="n"/>
      <c r="C1117" s="47" t="str">
        <f>IF($B1117="","",YEAR($B1117)*100+MONTH($B1117))</f>
        <v/>
      </c>
      <c r="D1117" s="37" t="n"/>
      <c r="E1117" s="45" t="str">
        <f>IF($D1117="","",IFERROR(INDEX(CARDS!$B$5:$B$34,MATCH($D1117,CARDS!$A$5:$A$34,0)),"⚠ Card ID?"))</f>
        <v/>
      </c>
      <c r="F1117" s="45" t="str">
        <f>IF($D1117="","",IFERROR(INDEX(CARDS!$C$5:$C$34,MATCH($D1117,CARDS!$A$5:$A$34,0)),"⚠ Card ID?"))</f>
        <v/>
      </c>
      <c r="G1117" s="37" t="n"/>
      <c r="H1117" s="37" t="n"/>
      <c r="I1117" s="41" t="n"/>
      <c r="J1117" s="45" t="str">
        <f>IF($I1117="","",IFERROR(INDEX(MCC_MASTER!$B$5:$B$504,MATCH($I1117,MCC_MASTER!$A$5:$A$504,0)),"⚠ MCC chưa có"))</f>
        <v/>
      </c>
      <c r="K1117" s="45" t="str">
        <f>IF($I1117="","",IFERROR(IF(INDEX(MCC_MASTER!$C$5:$C$504,MATCH($I1117,MCC_MASTER!$A$5:$A$504,0))="","Chưa phân loại",INDEX(MCC_MASTER!$C$5:$C$504,MATCH($I1117,MCC_MASTER!$A$5:$A$504,0))),"Chưa phân loại"))</f>
        <v/>
      </c>
      <c r="L1117" s="40" t="n"/>
      <c r="M1117" s="48" t="str">
        <f>IF(OR($B1117="",$D1117=""),"",IF($AC1117=0,0,IF(ISNUMBER(INDEX(CASHBACK_RULES!$L$5:$L$304,$AC1117)),MAX(0,MIN($L1117,INDEX(CASHBACK_RULES!$L$5:$L$304,$AC1117)-$AH1117)),MAX(0,$L1117))))</f>
        <v/>
      </c>
      <c r="N1117" s="49" t="str">
        <f>IF(OR($B1117="",$D1117=""),"",IF($AC1117&gt;0,INDEX(CASHBACK_RULES!$I$5:$I$304,$AC1117),0))</f>
        <v/>
      </c>
      <c r="O1117" s="48" t="str">
        <f>IF(OR($B1117="",$D1117=""),"",ROUND($M1117*$N1117,0))</f>
        <v/>
      </c>
      <c r="P1117" s="48" t="str">
        <f>IF($AC1117&gt;0,IF(ISNUMBER(INDEX(CASHBACK_RULES!$J$5:$J$304,$AC1117)),INDEX(CASHBACK_RULES!$J$5:$J$304,$AC1117),"∞"),"")</f>
        <v/>
      </c>
      <c r="Q1117" s="48" t="str">
        <f>IF(OR($B1117="",$D1117=""),"",IF($AC1117=0,0,MAX(0,MIN($O1117,IF(ISNUMBER($P1117),$P1117-$AF1117,1E+15),IF(ISNUMBER($AA1117),$AA1117-$AG1117,1E+15)))))</f>
        <v/>
      </c>
      <c r="R1117" s="48" t="str">
        <f>IF(OR($B1117="",$D1117=""),"",IF($AC1117=0,"",IF(AND(NOT(ISNUMBER($P1117)),NOT(ISNUMBER($AA1117))),"∞",MAX(0,MIN(IF(ISNUMBER($P1117),$P1117-$AF1117-$Q1117,1E+15),IF(ISNUMBER($AA1117),$AA1117-$AG1117-$Q1117,1E+15))))))</f>
        <v/>
      </c>
      <c r="S1117" s="47" t="str">
        <f>IF($AD1117="","",YEAR($AD1117)*100+MONTH($AD1117))</f>
        <v/>
      </c>
      <c r="T1117" s="50" t="str">
        <f>IF($AD1117="","",IFERROR(IF(INDEX(CARDS!$I$5:$I$34,MATCH($D1117,CARDS!$A$5:$A$34,0))="","",IF(INDEX(CARDS!$I$5:$I$34,MATCH($D1117,CARDS!$A$5:$A$34,0))&gt;INDEX(CARDS!$H$5:$H$34,MATCH($D1117,CARDS!$A$5:$A$34,0)),DATE(YEAR($AD1117),MONTH($AD1117),MIN(INDEX(CARDS!$I$5:$I$34,MATCH($D1117,CARDS!$A$5:$A$34,0)),DAY(EOMONTH($AD1117,0)))),DATE(YEAR($AD1117),MONTH($AD1117)+1,MIN(INDEX(CARDS!$I$5:$I$34,MATCH($D1117,CARDS!$A$5:$A$34,0)),DAY(EOMONTH($AD1117,1)))))),""))</f>
        <v/>
      </c>
      <c r="U1117" s="38" t="n"/>
      <c r="V1117" s="37" t="n"/>
      <c r="W1117" s="38" t="n"/>
      <c r="X1117" s="38" t="n"/>
      <c r="Y1117" s="44" t="str">
        <f>IF($AC1117&gt;0,INDEX(CASHBACK_RULES!$A$5:$A$304,$AC1117),"")</f>
        <v/>
      </c>
      <c r="Z1117" s="45" t="str">
        <f>IF($AC1117&gt;0,INDEX(CASHBACK_RULES!$E$5:$E$304,$AC1117)&amp;"","")</f>
        <v/>
      </c>
      <c r="AA1117" s="48" t="str">
        <f>IF($AC1117&gt;0,IF(ISNUMBER(INDEX(CASHBACK_RULES!$K$5:$K$304,$AC1117)),INDEX(CASHBACK_RULES!$K$5:$K$304,$AC1117),"∞"),"")</f>
        <v/>
      </c>
      <c r="AB1117" s="44" t="str">
        <f>IF(OR($B1117="",$D1117=""),"",IF($U1117="Cancelled","Đã hủy",IF($AC1117=0,"Không được hoàn",IF($Q1117=0,IF(OR($O1117&gt;0,$M1117&lt;$L1117),"Đã đạt cap","Không được hoàn"),IF(OR($Q1117&lt;$O1117,$M1117&lt;$L1117),"Hoàn một phần","Được hoàn")))))</f>
        <v/>
      </c>
      <c r="AC1117" s="43">
        <f>IF(OR($B1117="",$D1117="",$I1117="",$L1117=""),0,IF($U1117="Cancelled",0,IF($W1117&lt;&gt;"",IFERROR(IF(INDEX(CASHBACK_RULES!$B$5:$B$304,MATCH($W1117,CASHBACK_RULES!$A$5:$A$304,0))=$D1117,MATCH($W1117,CASHBACK_RULES!$A$5:$A$304,0),0),0),IFERROR(MATCH(1,INDEX((CASHBACK_RULES!$B$5:$B$304=$D1117)*(CASHBACK_RULES!$G$5:$G$304=$I1117)*(((CASHBACK_RULES!$N$5:$N$304="")+(CASHBACK_RULES!$N$5:$N$304&lt;=$B1117))&gt;0)*(((CASHBACK_RULES!$O$5:$O$304="")+(CASHBACK_RULES!$O$5:$O$304&gt;=$B1117))&gt;0)*(((CASHBACK_RULES!$M$5:$M$304="")+(CASHBACK_RULES!$M$5:$M$304&lt;=$L1117))&gt;0),0),0),0))))</f>
        <v>0</v>
      </c>
      <c r="AD1117" s="51" t="str">
        <f>IF(OR($B1117="",$D1117=""),"",IFERROR(IF(INDEX(CARDS!$H$5:$H$34,MATCH($D1117,CARDS!$A$5:$A$34,0))="","",IF(DAY($B1117)&lt;=INDEX(CARDS!$H$5:$H$34,MATCH($D1117,CARDS!$A$5:$A$34,0)),DATE(YEAR($B1117),MONTH($B1117),MIN(INDEX(CARDS!$H$5:$H$34,MATCH($D1117,CARDS!$A$5:$A$34,0)),DAY(EOMONTH($B1117,0)))),DATE(YEAR($B1117),MONTH($B1117)+1,MIN(INDEX(CARDS!$H$5:$H$34,MATCH($D1117,CARDS!$A$5:$A$34,0)),DAY(EOMONTH($B1117,1)))))),""))</f>
        <v/>
      </c>
      <c r="AE1117" s="52" t="str">
        <f>IF($C1117="","",$C1117&amp;"|"&amp;COUNTIF($C$5:$C1117,$C1117))</f>
        <v/>
      </c>
      <c r="AF1117" s="53">
        <f>IF($AC1117&gt;0,SUMIFS(Q$4:Q1116,$D$4:$D1116,$D1117,$Z$4:$Z1116,$Z1117,$C$4:$C1116,$C1117),0)</f>
        <v>0</v>
      </c>
      <c r="AG1117" s="53">
        <f>IF($AC1117&gt;0,SUMIFS(Q$4:Q1116,$D$4:$D1116,$D1117,$C$4:$C1116,$C1117),0)</f>
        <v>0</v>
      </c>
      <c r="AH1117" s="53">
        <f>IF($AC1117&gt;0,SUMIFS(M$4:M1116,$D$4:$D1116,$D1117,$Z$4:$Z1116,$Z1117,$C$4:$C1116,$C1117),0)</f>
        <v>0</v>
      </c>
      <c r="AI1117" s="43">
        <f>IF(OR($C1117="",$I1117=""),0,IF(COUNTIFS($C$5:$C1117,$C1117,$I$5:$I1117,$I1117)=1,1,0))</f>
        <v>0</v>
      </c>
      <c r="AJ1117" s="43" t="str">
        <f>IF($AI1117=1,SUMIFS($AI$4:$AI1116,$C$4:$C1116,$C1117)+1,"")</f>
        <v/>
      </c>
      <c r="AK1117" s="43">
        <f>IF(OR($C1117="",$K1117=""),0,IF(COUNTIFS($C$5:$C1117,$C1117,$K$5:$K1117,$K1117)=1,1,0))</f>
        <v>0</v>
      </c>
      <c r="AL1117" s="43" t="str">
        <f>IF($AK1117=1,SUMIFS($AK$4:$AK1116,$C$4:$C1116,$C1117)+1,"")</f>
        <v/>
      </c>
      <c r="AM1117" s="43">
        <f>IF(OR($C1117="",$G1117=""),0,IF(COUNTIFS($C$5:$C1117,$C1117,$G$5:$G1117,$G1117)=1,1,0))</f>
        <v>0</v>
      </c>
      <c r="AN1117" s="43" t="str">
        <f>IF($AM1117=1,SUMIFS($AM$4:$AM1116,$C$4:$C1116,$C1117)+1,"")</f>
        <v/>
      </c>
    </row>
    <row r="1118">
      <c r="A1118" s="44" t="str">
        <f>IF(OR($B1118="",$D1118=""),"","TX"&amp;TEXT(ROW()-4,"0000"))</f>
        <v/>
      </c>
      <c r="B1118" s="42" t="n"/>
      <c r="C1118" s="47" t="str">
        <f>IF($B1118="","",YEAR($B1118)*100+MONTH($B1118))</f>
        <v/>
      </c>
      <c r="D1118" s="37" t="n"/>
      <c r="E1118" s="45" t="str">
        <f>IF($D1118="","",IFERROR(INDEX(CARDS!$B$5:$B$34,MATCH($D1118,CARDS!$A$5:$A$34,0)),"⚠ Card ID?"))</f>
        <v/>
      </c>
      <c r="F1118" s="45" t="str">
        <f>IF($D1118="","",IFERROR(INDEX(CARDS!$C$5:$C$34,MATCH($D1118,CARDS!$A$5:$A$34,0)),"⚠ Card ID?"))</f>
        <v/>
      </c>
      <c r="G1118" s="37" t="n"/>
      <c r="H1118" s="37" t="n"/>
      <c r="I1118" s="41" t="n"/>
      <c r="J1118" s="45" t="str">
        <f>IF($I1118="","",IFERROR(INDEX(MCC_MASTER!$B$5:$B$504,MATCH($I1118,MCC_MASTER!$A$5:$A$504,0)),"⚠ MCC chưa có"))</f>
        <v/>
      </c>
      <c r="K1118" s="45" t="str">
        <f>IF($I1118="","",IFERROR(IF(INDEX(MCC_MASTER!$C$5:$C$504,MATCH($I1118,MCC_MASTER!$A$5:$A$504,0))="","Chưa phân loại",INDEX(MCC_MASTER!$C$5:$C$504,MATCH($I1118,MCC_MASTER!$A$5:$A$504,0))),"Chưa phân loại"))</f>
        <v/>
      </c>
      <c r="L1118" s="40" t="n"/>
      <c r="M1118" s="48" t="str">
        <f>IF(OR($B1118="",$D1118=""),"",IF($AC1118=0,0,IF(ISNUMBER(INDEX(CASHBACK_RULES!$L$5:$L$304,$AC1118)),MAX(0,MIN($L1118,INDEX(CASHBACK_RULES!$L$5:$L$304,$AC1118)-$AH1118)),MAX(0,$L1118))))</f>
        <v/>
      </c>
      <c r="N1118" s="49" t="str">
        <f>IF(OR($B1118="",$D1118=""),"",IF($AC1118&gt;0,INDEX(CASHBACK_RULES!$I$5:$I$304,$AC1118),0))</f>
        <v/>
      </c>
      <c r="O1118" s="48" t="str">
        <f>IF(OR($B1118="",$D1118=""),"",ROUND($M1118*$N1118,0))</f>
        <v/>
      </c>
      <c r="P1118" s="48" t="str">
        <f>IF($AC1118&gt;0,IF(ISNUMBER(INDEX(CASHBACK_RULES!$J$5:$J$304,$AC1118)),INDEX(CASHBACK_RULES!$J$5:$J$304,$AC1118),"∞"),"")</f>
        <v/>
      </c>
      <c r="Q1118" s="48" t="str">
        <f>IF(OR($B1118="",$D1118=""),"",IF($AC1118=0,0,MAX(0,MIN($O1118,IF(ISNUMBER($P1118),$P1118-$AF1118,1E+15),IF(ISNUMBER($AA1118),$AA1118-$AG1118,1E+15)))))</f>
        <v/>
      </c>
      <c r="R1118" s="48" t="str">
        <f>IF(OR($B1118="",$D1118=""),"",IF($AC1118=0,"",IF(AND(NOT(ISNUMBER($P1118)),NOT(ISNUMBER($AA1118))),"∞",MAX(0,MIN(IF(ISNUMBER($P1118),$P1118-$AF1118-$Q1118,1E+15),IF(ISNUMBER($AA1118),$AA1118-$AG1118-$Q1118,1E+15))))))</f>
        <v/>
      </c>
      <c r="S1118" s="47" t="str">
        <f>IF($AD1118="","",YEAR($AD1118)*100+MONTH($AD1118))</f>
        <v/>
      </c>
      <c r="T1118" s="50" t="str">
        <f>IF($AD1118="","",IFERROR(IF(INDEX(CARDS!$I$5:$I$34,MATCH($D1118,CARDS!$A$5:$A$34,0))="","",IF(INDEX(CARDS!$I$5:$I$34,MATCH($D1118,CARDS!$A$5:$A$34,0))&gt;INDEX(CARDS!$H$5:$H$34,MATCH($D1118,CARDS!$A$5:$A$34,0)),DATE(YEAR($AD1118),MONTH($AD1118),MIN(INDEX(CARDS!$I$5:$I$34,MATCH($D1118,CARDS!$A$5:$A$34,0)),DAY(EOMONTH($AD1118,0)))),DATE(YEAR($AD1118),MONTH($AD1118)+1,MIN(INDEX(CARDS!$I$5:$I$34,MATCH($D1118,CARDS!$A$5:$A$34,0)),DAY(EOMONTH($AD1118,1)))))),""))</f>
        <v/>
      </c>
      <c r="U1118" s="38" t="n"/>
      <c r="V1118" s="37" t="n"/>
      <c r="W1118" s="38" t="n"/>
      <c r="X1118" s="38" t="n"/>
      <c r="Y1118" s="44" t="str">
        <f>IF($AC1118&gt;0,INDEX(CASHBACK_RULES!$A$5:$A$304,$AC1118),"")</f>
        <v/>
      </c>
      <c r="Z1118" s="45" t="str">
        <f>IF($AC1118&gt;0,INDEX(CASHBACK_RULES!$E$5:$E$304,$AC1118)&amp;"","")</f>
        <v/>
      </c>
      <c r="AA1118" s="48" t="str">
        <f>IF($AC1118&gt;0,IF(ISNUMBER(INDEX(CASHBACK_RULES!$K$5:$K$304,$AC1118)),INDEX(CASHBACK_RULES!$K$5:$K$304,$AC1118),"∞"),"")</f>
        <v/>
      </c>
      <c r="AB1118" s="44" t="str">
        <f>IF(OR($B1118="",$D1118=""),"",IF($U1118="Cancelled","Đã hủy",IF($AC1118=0,"Không được hoàn",IF($Q1118=0,IF(OR($O1118&gt;0,$M1118&lt;$L1118),"Đã đạt cap","Không được hoàn"),IF(OR($Q1118&lt;$O1118,$M1118&lt;$L1118),"Hoàn một phần","Được hoàn")))))</f>
        <v/>
      </c>
      <c r="AC1118" s="43">
        <f>IF(OR($B1118="",$D1118="",$I1118="",$L1118=""),0,IF($U1118="Cancelled",0,IF($W1118&lt;&gt;"",IFERROR(IF(INDEX(CASHBACK_RULES!$B$5:$B$304,MATCH($W1118,CASHBACK_RULES!$A$5:$A$304,0))=$D1118,MATCH($W1118,CASHBACK_RULES!$A$5:$A$304,0),0),0),IFERROR(MATCH(1,INDEX((CASHBACK_RULES!$B$5:$B$304=$D1118)*(CASHBACK_RULES!$G$5:$G$304=$I1118)*(((CASHBACK_RULES!$N$5:$N$304="")+(CASHBACK_RULES!$N$5:$N$304&lt;=$B1118))&gt;0)*(((CASHBACK_RULES!$O$5:$O$304="")+(CASHBACK_RULES!$O$5:$O$304&gt;=$B1118))&gt;0)*(((CASHBACK_RULES!$M$5:$M$304="")+(CASHBACK_RULES!$M$5:$M$304&lt;=$L1118))&gt;0),0),0),0))))</f>
        <v>0</v>
      </c>
      <c r="AD1118" s="51" t="str">
        <f>IF(OR($B1118="",$D1118=""),"",IFERROR(IF(INDEX(CARDS!$H$5:$H$34,MATCH($D1118,CARDS!$A$5:$A$34,0))="","",IF(DAY($B1118)&lt;=INDEX(CARDS!$H$5:$H$34,MATCH($D1118,CARDS!$A$5:$A$34,0)),DATE(YEAR($B1118),MONTH($B1118),MIN(INDEX(CARDS!$H$5:$H$34,MATCH($D1118,CARDS!$A$5:$A$34,0)),DAY(EOMONTH($B1118,0)))),DATE(YEAR($B1118),MONTH($B1118)+1,MIN(INDEX(CARDS!$H$5:$H$34,MATCH($D1118,CARDS!$A$5:$A$34,0)),DAY(EOMONTH($B1118,1)))))),""))</f>
        <v/>
      </c>
      <c r="AE1118" s="52" t="str">
        <f>IF($C1118="","",$C1118&amp;"|"&amp;COUNTIF($C$5:$C1118,$C1118))</f>
        <v/>
      </c>
      <c r="AF1118" s="53">
        <f>IF($AC1118&gt;0,SUMIFS(Q$4:Q1117,$D$4:$D1117,$D1118,$Z$4:$Z1117,$Z1118,$C$4:$C1117,$C1118),0)</f>
        <v>0</v>
      </c>
      <c r="AG1118" s="53">
        <f>IF($AC1118&gt;0,SUMIFS(Q$4:Q1117,$D$4:$D1117,$D1118,$C$4:$C1117,$C1118),0)</f>
        <v>0</v>
      </c>
      <c r="AH1118" s="53">
        <f>IF($AC1118&gt;0,SUMIFS(M$4:M1117,$D$4:$D1117,$D1118,$Z$4:$Z1117,$Z1118,$C$4:$C1117,$C1118),0)</f>
        <v>0</v>
      </c>
      <c r="AI1118" s="43">
        <f>IF(OR($C1118="",$I1118=""),0,IF(COUNTIFS($C$5:$C1118,$C1118,$I$5:$I1118,$I1118)=1,1,0))</f>
        <v>0</v>
      </c>
      <c r="AJ1118" s="43" t="str">
        <f>IF($AI1118=1,SUMIFS($AI$4:$AI1117,$C$4:$C1117,$C1118)+1,"")</f>
        <v/>
      </c>
      <c r="AK1118" s="43">
        <f>IF(OR($C1118="",$K1118=""),0,IF(COUNTIFS($C$5:$C1118,$C1118,$K$5:$K1118,$K1118)=1,1,0))</f>
        <v>0</v>
      </c>
      <c r="AL1118" s="43" t="str">
        <f>IF($AK1118=1,SUMIFS($AK$4:$AK1117,$C$4:$C1117,$C1118)+1,"")</f>
        <v/>
      </c>
      <c r="AM1118" s="43">
        <f>IF(OR($C1118="",$G1118=""),0,IF(COUNTIFS($C$5:$C1118,$C1118,$G$5:$G1118,$G1118)=1,1,0))</f>
        <v>0</v>
      </c>
      <c r="AN1118" s="43" t="str">
        <f>IF($AM1118=1,SUMIFS($AM$4:$AM1117,$C$4:$C1117,$C1118)+1,"")</f>
        <v/>
      </c>
    </row>
    <row r="1119">
      <c r="A1119" s="44" t="str">
        <f>IF(OR($B1119="",$D1119=""),"","TX"&amp;TEXT(ROW()-4,"0000"))</f>
        <v/>
      </c>
      <c r="B1119" s="42" t="n"/>
      <c r="C1119" s="47" t="str">
        <f>IF($B1119="","",YEAR($B1119)*100+MONTH($B1119))</f>
        <v/>
      </c>
      <c r="D1119" s="37" t="n"/>
      <c r="E1119" s="45" t="str">
        <f>IF($D1119="","",IFERROR(INDEX(CARDS!$B$5:$B$34,MATCH($D1119,CARDS!$A$5:$A$34,0)),"⚠ Card ID?"))</f>
        <v/>
      </c>
      <c r="F1119" s="45" t="str">
        <f>IF($D1119="","",IFERROR(INDEX(CARDS!$C$5:$C$34,MATCH($D1119,CARDS!$A$5:$A$34,0)),"⚠ Card ID?"))</f>
        <v/>
      </c>
      <c r="G1119" s="37" t="n"/>
      <c r="H1119" s="37" t="n"/>
      <c r="I1119" s="41" t="n"/>
      <c r="J1119" s="45" t="str">
        <f>IF($I1119="","",IFERROR(INDEX(MCC_MASTER!$B$5:$B$504,MATCH($I1119,MCC_MASTER!$A$5:$A$504,0)),"⚠ MCC chưa có"))</f>
        <v/>
      </c>
      <c r="K1119" s="45" t="str">
        <f>IF($I1119="","",IFERROR(IF(INDEX(MCC_MASTER!$C$5:$C$504,MATCH($I1119,MCC_MASTER!$A$5:$A$504,0))="","Chưa phân loại",INDEX(MCC_MASTER!$C$5:$C$504,MATCH($I1119,MCC_MASTER!$A$5:$A$504,0))),"Chưa phân loại"))</f>
        <v/>
      </c>
      <c r="L1119" s="40" t="n"/>
      <c r="M1119" s="48" t="str">
        <f>IF(OR($B1119="",$D1119=""),"",IF($AC1119=0,0,IF(ISNUMBER(INDEX(CASHBACK_RULES!$L$5:$L$304,$AC1119)),MAX(0,MIN($L1119,INDEX(CASHBACK_RULES!$L$5:$L$304,$AC1119)-$AH1119)),MAX(0,$L1119))))</f>
        <v/>
      </c>
      <c r="N1119" s="49" t="str">
        <f>IF(OR($B1119="",$D1119=""),"",IF($AC1119&gt;0,INDEX(CASHBACK_RULES!$I$5:$I$304,$AC1119),0))</f>
        <v/>
      </c>
      <c r="O1119" s="48" t="str">
        <f>IF(OR($B1119="",$D1119=""),"",ROUND($M1119*$N1119,0))</f>
        <v/>
      </c>
      <c r="P1119" s="48" t="str">
        <f>IF($AC1119&gt;0,IF(ISNUMBER(INDEX(CASHBACK_RULES!$J$5:$J$304,$AC1119)),INDEX(CASHBACK_RULES!$J$5:$J$304,$AC1119),"∞"),"")</f>
        <v/>
      </c>
      <c r="Q1119" s="48" t="str">
        <f>IF(OR($B1119="",$D1119=""),"",IF($AC1119=0,0,MAX(0,MIN($O1119,IF(ISNUMBER($P1119),$P1119-$AF1119,1E+15),IF(ISNUMBER($AA1119),$AA1119-$AG1119,1E+15)))))</f>
        <v/>
      </c>
      <c r="R1119" s="48" t="str">
        <f>IF(OR($B1119="",$D1119=""),"",IF($AC1119=0,"",IF(AND(NOT(ISNUMBER($P1119)),NOT(ISNUMBER($AA1119))),"∞",MAX(0,MIN(IF(ISNUMBER($P1119),$P1119-$AF1119-$Q1119,1E+15),IF(ISNUMBER($AA1119),$AA1119-$AG1119-$Q1119,1E+15))))))</f>
        <v/>
      </c>
      <c r="S1119" s="47" t="str">
        <f>IF($AD1119="","",YEAR($AD1119)*100+MONTH($AD1119))</f>
        <v/>
      </c>
      <c r="T1119" s="50" t="str">
        <f>IF($AD1119="","",IFERROR(IF(INDEX(CARDS!$I$5:$I$34,MATCH($D1119,CARDS!$A$5:$A$34,0))="","",IF(INDEX(CARDS!$I$5:$I$34,MATCH($D1119,CARDS!$A$5:$A$34,0))&gt;INDEX(CARDS!$H$5:$H$34,MATCH($D1119,CARDS!$A$5:$A$34,0)),DATE(YEAR($AD1119),MONTH($AD1119),MIN(INDEX(CARDS!$I$5:$I$34,MATCH($D1119,CARDS!$A$5:$A$34,0)),DAY(EOMONTH($AD1119,0)))),DATE(YEAR($AD1119),MONTH($AD1119)+1,MIN(INDEX(CARDS!$I$5:$I$34,MATCH($D1119,CARDS!$A$5:$A$34,0)),DAY(EOMONTH($AD1119,1)))))),""))</f>
        <v/>
      </c>
      <c r="U1119" s="38" t="n"/>
      <c r="V1119" s="37" t="n"/>
      <c r="W1119" s="38" t="n"/>
      <c r="X1119" s="38" t="n"/>
      <c r="Y1119" s="44" t="str">
        <f>IF($AC1119&gt;0,INDEX(CASHBACK_RULES!$A$5:$A$304,$AC1119),"")</f>
        <v/>
      </c>
      <c r="Z1119" s="45" t="str">
        <f>IF($AC1119&gt;0,INDEX(CASHBACK_RULES!$E$5:$E$304,$AC1119)&amp;"","")</f>
        <v/>
      </c>
      <c r="AA1119" s="48" t="str">
        <f>IF($AC1119&gt;0,IF(ISNUMBER(INDEX(CASHBACK_RULES!$K$5:$K$304,$AC1119)),INDEX(CASHBACK_RULES!$K$5:$K$304,$AC1119),"∞"),"")</f>
        <v/>
      </c>
      <c r="AB1119" s="44" t="str">
        <f>IF(OR($B1119="",$D1119=""),"",IF($U1119="Cancelled","Đã hủy",IF($AC1119=0,"Không được hoàn",IF($Q1119=0,IF(OR($O1119&gt;0,$M1119&lt;$L1119),"Đã đạt cap","Không được hoàn"),IF(OR($Q1119&lt;$O1119,$M1119&lt;$L1119),"Hoàn một phần","Được hoàn")))))</f>
        <v/>
      </c>
      <c r="AC1119" s="43">
        <f>IF(OR($B1119="",$D1119="",$I1119="",$L1119=""),0,IF($U1119="Cancelled",0,IF($W1119&lt;&gt;"",IFERROR(IF(INDEX(CASHBACK_RULES!$B$5:$B$304,MATCH($W1119,CASHBACK_RULES!$A$5:$A$304,0))=$D1119,MATCH($W1119,CASHBACK_RULES!$A$5:$A$304,0),0),0),IFERROR(MATCH(1,INDEX((CASHBACK_RULES!$B$5:$B$304=$D1119)*(CASHBACK_RULES!$G$5:$G$304=$I1119)*(((CASHBACK_RULES!$N$5:$N$304="")+(CASHBACK_RULES!$N$5:$N$304&lt;=$B1119))&gt;0)*(((CASHBACK_RULES!$O$5:$O$304="")+(CASHBACK_RULES!$O$5:$O$304&gt;=$B1119))&gt;0)*(((CASHBACK_RULES!$M$5:$M$304="")+(CASHBACK_RULES!$M$5:$M$304&lt;=$L1119))&gt;0),0),0),0))))</f>
        <v>0</v>
      </c>
      <c r="AD1119" s="51" t="str">
        <f>IF(OR($B1119="",$D1119=""),"",IFERROR(IF(INDEX(CARDS!$H$5:$H$34,MATCH($D1119,CARDS!$A$5:$A$34,0))="","",IF(DAY($B1119)&lt;=INDEX(CARDS!$H$5:$H$34,MATCH($D1119,CARDS!$A$5:$A$34,0)),DATE(YEAR($B1119),MONTH($B1119),MIN(INDEX(CARDS!$H$5:$H$34,MATCH($D1119,CARDS!$A$5:$A$34,0)),DAY(EOMONTH($B1119,0)))),DATE(YEAR($B1119),MONTH($B1119)+1,MIN(INDEX(CARDS!$H$5:$H$34,MATCH($D1119,CARDS!$A$5:$A$34,0)),DAY(EOMONTH($B1119,1)))))),""))</f>
        <v/>
      </c>
      <c r="AE1119" s="52" t="str">
        <f>IF($C1119="","",$C1119&amp;"|"&amp;COUNTIF($C$5:$C1119,$C1119))</f>
        <v/>
      </c>
      <c r="AF1119" s="53">
        <f>IF($AC1119&gt;0,SUMIFS(Q$4:Q1118,$D$4:$D1118,$D1119,$Z$4:$Z1118,$Z1119,$C$4:$C1118,$C1119),0)</f>
        <v>0</v>
      </c>
      <c r="AG1119" s="53">
        <f>IF($AC1119&gt;0,SUMIFS(Q$4:Q1118,$D$4:$D1118,$D1119,$C$4:$C1118,$C1119),0)</f>
        <v>0</v>
      </c>
      <c r="AH1119" s="53">
        <f>IF($AC1119&gt;0,SUMIFS(M$4:M1118,$D$4:$D1118,$D1119,$Z$4:$Z1118,$Z1119,$C$4:$C1118,$C1119),0)</f>
        <v>0</v>
      </c>
      <c r="AI1119" s="43">
        <f>IF(OR($C1119="",$I1119=""),0,IF(COUNTIFS($C$5:$C1119,$C1119,$I$5:$I1119,$I1119)=1,1,0))</f>
        <v>0</v>
      </c>
      <c r="AJ1119" s="43" t="str">
        <f>IF($AI1119=1,SUMIFS($AI$4:$AI1118,$C$4:$C1118,$C1119)+1,"")</f>
        <v/>
      </c>
      <c r="AK1119" s="43">
        <f>IF(OR($C1119="",$K1119=""),0,IF(COUNTIFS($C$5:$C1119,$C1119,$K$5:$K1119,$K1119)=1,1,0))</f>
        <v>0</v>
      </c>
      <c r="AL1119" s="43" t="str">
        <f>IF($AK1119=1,SUMIFS($AK$4:$AK1118,$C$4:$C1118,$C1119)+1,"")</f>
        <v/>
      </c>
      <c r="AM1119" s="43">
        <f>IF(OR($C1119="",$G1119=""),0,IF(COUNTIFS($C$5:$C1119,$C1119,$G$5:$G1119,$G1119)=1,1,0))</f>
        <v>0</v>
      </c>
      <c r="AN1119" s="43" t="str">
        <f>IF($AM1119=1,SUMIFS($AM$4:$AM1118,$C$4:$C1118,$C1119)+1,"")</f>
        <v/>
      </c>
    </row>
    <row r="1120">
      <c r="A1120" s="44" t="str">
        <f>IF(OR($B1120="",$D1120=""),"","TX"&amp;TEXT(ROW()-4,"0000"))</f>
        <v/>
      </c>
      <c r="B1120" s="42" t="n"/>
      <c r="C1120" s="47" t="str">
        <f>IF($B1120="","",YEAR($B1120)*100+MONTH($B1120))</f>
        <v/>
      </c>
      <c r="D1120" s="37" t="n"/>
      <c r="E1120" s="45" t="str">
        <f>IF($D1120="","",IFERROR(INDEX(CARDS!$B$5:$B$34,MATCH($D1120,CARDS!$A$5:$A$34,0)),"⚠ Card ID?"))</f>
        <v/>
      </c>
      <c r="F1120" s="45" t="str">
        <f>IF($D1120="","",IFERROR(INDEX(CARDS!$C$5:$C$34,MATCH($D1120,CARDS!$A$5:$A$34,0)),"⚠ Card ID?"))</f>
        <v/>
      </c>
      <c r="G1120" s="37" t="n"/>
      <c r="H1120" s="37" t="n"/>
      <c r="I1120" s="41" t="n"/>
      <c r="J1120" s="45" t="str">
        <f>IF($I1120="","",IFERROR(INDEX(MCC_MASTER!$B$5:$B$504,MATCH($I1120,MCC_MASTER!$A$5:$A$504,0)),"⚠ MCC chưa có"))</f>
        <v/>
      </c>
      <c r="K1120" s="45" t="str">
        <f>IF($I1120="","",IFERROR(IF(INDEX(MCC_MASTER!$C$5:$C$504,MATCH($I1120,MCC_MASTER!$A$5:$A$504,0))="","Chưa phân loại",INDEX(MCC_MASTER!$C$5:$C$504,MATCH($I1120,MCC_MASTER!$A$5:$A$504,0))),"Chưa phân loại"))</f>
        <v/>
      </c>
      <c r="L1120" s="40" t="n"/>
      <c r="M1120" s="48" t="str">
        <f>IF(OR($B1120="",$D1120=""),"",IF($AC1120=0,0,IF(ISNUMBER(INDEX(CASHBACK_RULES!$L$5:$L$304,$AC1120)),MAX(0,MIN($L1120,INDEX(CASHBACK_RULES!$L$5:$L$304,$AC1120)-$AH1120)),MAX(0,$L1120))))</f>
        <v/>
      </c>
      <c r="N1120" s="49" t="str">
        <f>IF(OR($B1120="",$D1120=""),"",IF($AC1120&gt;0,INDEX(CASHBACK_RULES!$I$5:$I$304,$AC1120),0))</f>
        <v/>
      </c>
      <c r="O1120" s="48" t="str">
        <f>IF(OR($B1120="",$D1120=""),"",ROUND($M1120*$N1120,0))</f>
        <v/>
      </c>
      <c r="P1120" s="48" t="str">
        <f>IF($AC1120&gt;0,IF(ISNUMBER(INDEX(CASHBACK_RULES!$J$5:$J$304,$AC1120)),INDEX(CASHBACK_RULES!$J$5:$J$304,$AC1120),"∞"),"")</f>
        <v/>
      </c>
      <c r="Q1120" s="48" t="str">
        <f>IF(OR($B1120="",$D1120=""),"",IF($AC1120=0,0,MAX(0,MIN($O1120,IF(ISNUMBER($P1120),$P1120-$AF1120,1E+15),IF(ISNUMBER($AA1120),$AA1120-$AG1120,1E+15)))))</f>
        <v/>
      </c>
      <c r="R1120" s="48" t="str">
        <f>IF(OR($B1120="",$D1120=""),"",IF($AC1120=0,"",IF(AND(NOT(ISNUMBER($P1120)),NOT(ISNUMBER($AA1120))),"∞",MAX(0,MIN(IF(ISNUMBER($P1120),$P1120-$AF1120-$Q1120,1E+15),IF(ISNUMBER($AA1120),$AA1120-$AG1120-$Q1120,1E+15))))))</f>
        <v/>
      </c>
      <c r="S1120" s="47" t="str">
        <f>IF($AD1120="","",YEAR($AD1120)*100+MONTH($AD1120))</f>
        <v/>
      </c>
      <c r="T1120" s="50" t="str">
        <f>IF($AD1120="","",IFERROR(IF(INDEX(CARDS!$I$5:$I$34,MATCH($D1120,CARDS!$A$5:$A$34,0))="","",IF(INDEX(CARDS!$I$5:$I$34,MATCH($D1120,CARDS!$A$5:$A$34,0))&gt;INDEX(CARDS!$H$5:$H$34,MATCH($D1120,CARDS!$A$5:$A$34,0)),DATE(YEAR($AD1120),MONTH($AD1120),MIN(INDEX(CARDS!$I$5:$I$34,MATCH($D1120,CARDS!$A$5:$A$34,0)),DAY(EOMONTH($AD1120,0)))),DATE(YEAR($AD1120),MONTH($AD1120)+1,MIN(INDEX(CARDS!$I$5:$I$34,MATCH($D1120,CARDS!$A$5:$A$34,0)),DAY(EOMONTH($AD1120,1)))))),""))</f>
        <v/>
      </c>
      <c r="U1120" s="38" t="n"/>
      <c r="V1120" s="37" t="n"/>
      <c r="W1120" s="38" t="n"/>
      <c r="X1120" s="38" t="n"/>
      <c r="Y1120" s="44" t="str">
        <f>IF($AC1120&gt;0,INDEX(CASHBACK_RULES!$A$5:$A$304,$AC1120),"")</f>
        <v/>
      </c>
      <c r="Z1120" s="45" t="str">
        <f>IF($AC1120&gt;0,INDEX(CASHBACK_RULES!$E$5:$E$304,$AC1120)&amp;"","")</f>
        <v/>
      </c>
      <c r="AA1120" s="48" t="str">
        <f>IF($AC1120&gt;0,IF(ISNUMBER(INDEX(CASHBACK_RULES!$K$5:$K$304,$AC1120)),INDEX(CASHBACK_RULES!$K$5:$K$304,$AC1120),"∞"),"")</f>
        <v/>
      </c>
      <c r="AB1120" s="44" t="str">
        <f>IF(OR($B1120="",$D1120=""),"",IF($U1120="Cancelled","Đã hủy",IF($AC1120=0,"Không được hoàn",IF($Q1120=0,IF(OR($O1120&gt;0,$M1120&lt;$L1120),"Đã đạt cap","Không được hoàn"),IF(OR($Q1120&lt;$O1120,$M1120&lt;$L1120),"Hoàn một phần","Được hoàn")))))</f>
        <v/>
      </c>
      <c r="AC1120" s="43">
        <f>IF(OR($B1120="",$D1120="",$I1120="",$L1120=""),0,IF($U1120="Cancelled",0,IF($W1120&lt;&gt;"",IFERROR(IF(INDEX(CASHBACK_RULES!$B$5:$B$304,MATCH($W1120,CASHBACK_RULES!$A$5:$A$304,0))=$D1120,MATCH($W1120,CASHBACK_RULES!$A$5:$A$304,0),0),0),IFERROR(MATCH(1,INDEX((CASHBACK_RULES!$B$5:$B$304=$D1120)*(CASHBACK_RULES!$G$5:$G$304=$I1120)*(((CASHBACK_RULES!$N$5:$N$304="")+(CASHBACK_RULES!$N$5:$N$304&lt;=$B1120))&gt;0)*(((CASHBACK_RULES!$O$5:$O$304="")+(CASHBACK_RULES!$O$5:$O$304&gt;=$B1120))&gt;0)*(((CASHBACK_RULES!$M$5:$M$304="")+(CASHBACK_RULES!$M$5:$M$304&lt;=$L1120))&gt;0),0),0),0))))</f>
        <v>0</v>
      </c>
      <c r="AD1120" s="51" t="str">
        <f>IF(OR($B1120="",$D1120=""),"",IFERROR(IF(INDEX(CARDS!$H$5:$H$34,MATCH($D1120,CARDS!$A$5:$A$34,0))="","",IF(DAY($B1120)&lt;=INDEX(CARDS!$H$5:$H$34,MATCH($D1120,CARDS!$A$5:$A$34,0)),DATE(YEAR($B1120),MONTH($B1120),MIN(INDEX(CARDS!$H$5:$H$34,MATCH($D1120,CARDS!$A$5:$A$34,0)),DAY(EOMONTH($B1120,0)))),DATE(YEAR($B1120),MONTH($B1120)+1,MIN(INDEX(CARDS!$H$5:$H$34,MATCH($D1120,CARDS!$A$5:$A$34,0)),DAY(EOMONTH($B1120,1)))))),""))</f>
        <v/>
      </c>
      <c r="AE1120" s="52" t="str">
        <f>IF($C1120="","",$C1120&amp;"|"&amp;COUNTIF($C$5:$C1120,$C1120))</f>
        <v/>
      </c>
      <c r="AF1120" s="53">
        <f>IF($AC1120&gt;0,SUMIFS(Q$4:Q1119,$D$4:$D1119,$D1120,$Z$4:$Z1119,$Z1120,$C$4:$C1119,$C1120),0)</f>
        <v>0</v>
      </c>
      <c r="AG1120" s="53">
        <f>IF($AC1120&gt;0,SUMIFS(Q$4:Q1119,$D$4:$D1119,$D1120,$C$4:$C1119,$C1120),0)</f>
        <v>0</v>
      </c>
      <c r="AH1120" s="53">
        <f>IF($AC1120&gt;0,SUMIFS(M$4:M1119,$D$4:$D1119,$D1120,$Z$4:$Z1119,$Z1120,$C$4:$C1119,$C1120),0)</f>
        <v>0</v>
      </c>
      <c r="AI1120" s="43">
        <f>IF(OR($C1120="",$I1120=""),0,IF(COUNTIFS($C$5:$C1120,$C1120,$I$5:$I1120,$I1120)=1,1,0))</f>
        <v>0</v>
      </c>
      <c r="AJ1120" s="43" t="str">
        <f>IF($AI1120=1,SUMIFS($AI$4:$AI1119,$C$4:$C1119,$C1120)+1,"")</f>
        <v/>
      </c>
      <c r="AK1120" s="43">
        <f>IF(OR($C1120="",$K1120=""),0,IF(COUNTIFS($C$5:$C1120,$C1120,$K$5:$K1120,$K1120)=1,1,0))</f>
        <v>0</v>
      </c>
      <c r="AL1120" s="43" t="str">
        <f>IF($AK1120=1,SUMIFS($AK$4:$AK1119,$C$4:$C1119,$C1120)+1,"")</f>
        <v/>
      </c>
      <c r="AM1120" s="43">
        <f>IF(OR($C1120="",$G1120=""),0,IF(COUNTIFS($C$5:$C1120,$C1120,$G$5:$G1120,$G1120)=1,1,0))</f>
        <v>0</v>
      </c>
      <c r="AN1120" s="43" t="str">
        <f>IF($AM1120=1,SUMIFS($AM$4:$AM1119,$C$4:$C1119,$C1120)+1,"")</f>
        <v/>
      </c>
    </row>
    <row r="1121">
      <c r="A1121" s="44" t="str">
        <f>IF(OR($B1121="",$D1121=""),"","TX"&amp;TEXT(ROW()-4,"0000"))</f>
        <v/>
      </c>
      <c r="B1121" s="42" t="n"/>
      <c r="C1121" s="47" t="str">
        <f>IF($B1121="","",YEAR($B1121)*100+MONTH($B1121))</f>
        <v/>
      </c>
      <c r="D1121" s="37" t="n"/>
      <c r="E1121" s="45" t="str">
        <f>IF($D1121="","",IFERROR(INDEX(CARDS!$B$5:$B$34,MATCH($D1121,CARDS!$A$5:$A$34,0)),"⚠ Card ID?"))</f>
        <v/>
      </c>
      <c r="F1121" s="45" t="str">
        <f>IF($D1121="","",IFERROR(INDEX(CARDS!$C$5:$C$34,MATCH($D1121,CARDS!$A$5:$A$34,0)),"⚠ Card ID?"))</f>
        <v/>
      </c>
      <c r="G1121" s="37" t="n"/>
      <c r="H1121" s="37" t="n"/>
      <c r="I1121" s="41" t="n"/>
      <c r="J1121" s="45" t="str">
        <f>IF($I1121="","",IFERROR(INDEX(MCC_MASTER!$B$5:$B$504,MATCH($I1121,MCC_MASTER!$A$5:$A$504,0)),"⚠ MCC chưa có"))</f>
        <v/>
      </c>
      <c r="K1121" s="45" t="str">
        <f>IF($I1121="","",IFERROR(IF(INDEX(MCC_MASTER!$C$5:$C$504,MATCH($I1121,MCC_MASTER!$A$5:$A$504,0))="","Chưa phân loại",INDEX(MCC_MASTER!$C$5:$C$504,MATCH($I1121,MCC_MASTER!$A$5:$A$504,0))),"Chưa phân loại"))</f>
        <v/>
      </c>
      <c r="L1121" s="40" t="n"/>
      <c r="M1121" s="48" t="str">
        <f>IF(OR($B1121="",$D1121=""),"",IF($AC1121=0,0,IF(ISNUMBER(INDEX(CASHBACK_RULES!$L$5:$L$304,$AC1121)),MAX(0,MIN($L1121,INDEX(CASHBACK_RULES!$L$5:$L$304,$AC1121)-$AH1121)),MAX(0,$L1121))))</f>
        <v/>
      </c>
      <c r="N1121" s="49" t="str">
        <f>IF(OR($B1121="",$D1121=""),"",IF($AC1121&gt;0,INDEX(CASHBACK_RULES!$I$5:$I$304,$AC1121),0))</f>
        <v/>
      </c>
      <c r="O1121" s="48" t="str">
        <f>IF(OR($B1121="",$D1121=""),"",ROUND($M1121*$N1121,0))</f>
        <v/>
      </c>
      <c r="P1121" s="48" t="str">
        <f>IF($AC1121&gt;0,IF(ISNUMBER(INDEX(CASHBACK_RULES!$J$5:$J$304,$AC1121)),INDEX(CASHBACK_RULES!$J$5:$J$304,$AC1121),"∞"),"")</f>
        <v/>
      </c>
      <c r="Q1121" s="48" t="str">
        <f>IF(OR($B1121="",$D1121=""),"",IF($AC1121=0,0,MAX(0,MIN($O1121,IF(ISNUMBER($P1121),$P1121-$AF1121,1E+15),IF(ISNUMBER($AA1121),$AA1121-$AG1121,1E+15)))))</f>
        <v/>
      </c>
      <c r="R1121" s="48" t="str">
        <f>IF(OR($B1121="",$D1121=""),"",IF($AC1121=0,"",IF(AND(NOT(ISNUMBER($P1121)),NOT(ISNUMBER($AA1121))),"∞",MAX(0,MIN(IF(ISNUMBER($P1121),$P1121-$AF1121-$Q1121,1E+15),IF(ISNUMBER($AA1121),$AA1121-$AG1121-$Q1121,1E+15))))))</f>
        <v/>
      </c>
      <c r="S1121" s="47" t="str">
        <f>IF($AD1121="","",YEAR($AD1121)*100+MONTH($AD1121))</f>
        <v/>
      </c>
      <c r="T1121" s="50" t="str">
        <f>IF($AD1121="","",IFERROR(IF(INDEX(CARDS!$I$5:$I$34,MATCH($D1121,CARDS!$A$5:$A$34,0))="","",IF(INDEX(CARDS!$I$5:$I$34,MATCH($D1121,CARDS!$A$5:$A$34,0))&gt;INDEX(CARDS!$H$5:$H$34,MATCH($D1121,CARDS!$A$5:$A$34,0)),DATE(YEAR($AD1121),MONTH($AD1121),MIN(INDEX(CARDS!$I$5:$I$34,MATCH($D1121,CARDS!$A$5:$A$34,0)),DAY(EOMONTH($AD1121,0)))),DATE(YEAR($AD1121),MONTH($AD1121)+1,MIN(INDEX(CARDS!$I$5:$I$34,MATCH($D1121,CARDS!$A$5:$A$34,0)),DAY(EOMONTH($AD1121,1)))))),""))</f>
        <v/>
      </c>
      <c r="U1121" s="38" t="n"/>
      <c r="V1121" s="37" t="n"/>
      <c r="W1121" s="38" t="n"/>
      <c r="X1121" s="38" t="n"/>
      <c r="Y1121" s="44" t="str">
        <f>IF($AC1121&gt;0,INDEX(CASHBACK_RULES!$A$5:$A$304,$AC1121),"")</f>
        <v/>
      </c>
      <c r="Z1121" s="45" t="str">
        <f>IF($AC1121&gt;0,INDEX(CASHBACK_RULES!$E$5:$E$304,$AC1121)&amp;"","")</f>
        <v/>
      </c>
      <c r="AA1121" s="48" t="str">
        <f>IF($AC1121&gt;0,IF(ISNUMBER(INDEX(CASHBACK_RULES!$K$5:$K$304,$AC1121)),INDEX(CASHBACK_RULES!$K$5:$K$304,$AC1121),"∞"),"")</f>
        <v/>
      </c>
      <c r="AB1121" s="44" t="str">
        <f>IF(OR($B1121="",$D1121=""),"",IF($U1121="Cancelled","Đã hủy",IF($AC1121=0,"Không được hoàn",IF($Q1121=0,IF(OR($O1121&gt;0,$M1121&lt;$L1121),"Đã đạt cap","Không được hoàn"),IF(OR($Q1121&lt;$O1121,$M1121&lt;$L1121),"Hoàn một phần","Được hoàn")))))</f>
        <v/>
      </c>
      <c r="AC1121" s="43">
        <f>IF(OR($B1121="",$D1121="",$I1121="",$L1121=""),0,IF($U1121="Cancelled",0,IF($W1121&lt;&gt;"",IFERROR(IF(INDEX(CASHBACK_RULES!$B$5:$B$304,MATCH($W1121,CASHBACK_RULES!$A$5:$A$304,0))=$D1121,MATCH($W1121,CASHBACK_RULES!$A$5:$A$304,0),0),0),IFERROR(MATCH(1,INDEX((CASHBACK_RULES!$B$5:$B$304=$D1121)*(CASHBACK_RULES!$G$5:$G$304=$I1121)*(((CASHBACK_RULES!$N$5:$N$304="")+(CASHBACK_RULES!$N$5:$N$304&lt;=$B1121))&gt;0)*(((CASHBACK_RULES!$O$5:$O$304="")+(CASHBACK_RULES!$O$5:$O$304&gt;=$B1121))&gt;0)*(((CASHBACK_RULES!$M$5:$M$304="")+(CASHBACK_RULES!$M$5:$M$304&lt;=$L1121))&gt;0),0),0),0))))</f>
        <v>0</v>
      </c>
      <c r="AD1121" s="51" t="str">
        <f>IF(OR($B1121="",$D1121=""),"",IFERROR(IF(INDEX(CARDS!$H$5:$H$34,MATCH($D1121,CARDS!$A$5:$A$34,0))="","",IF(DAY($B1121)&lt;=INDEX(CARDS!$H$5:$H$34,MATCH($D1121,CARDS!$A$5:$A$34,0)),DATE(YEAR($B1121),MONTH($B1121),MIN(INDEX(CARDS!$H$5:$H$34,MATCH($D1121,CARDS!$A$5:$A$34,0)),DAY(EOMONTH($B1121,0)))),DATE(YEAR($B1121),MONTH($B1121)+1,MIN(INDEX(CARDS!$H$5:$H$34,MATCH($D1121,CARDS!$A$5:$A$34,0)),DAY(EOMONTH($B1121,1)))))),""))</f>
        <v/>
      </c>
      <c r="AE1121" s="52" t="str">
        <f>IF($C1121="","",$C1121&amp;"|"&amp;COUNTIF($C$5:$C1121,$C1121))</f>
        <v/>
      </c>
      <c r="AF1121" s="53">
        <f>IF($AC1121&gt;0,SUMIFS(Q$4:Q1120,$D$4:$D1120,$D1121,$Z$4:$Z1120,$Z1121,$C$4:$C1120,$C1121),0)</f>
        <v>0</v>
      </c>
      <c r="AG1121" s="53">
        <f>IF($AC1121&gt;0,SUMIFS(Q$4:Q1120,$D$4:$D1120,$D1121,$C$4:$C1120,$C1121),0)</f>
        <v>0</v>
      </c>
      <c r="AH1121" s="53">
        <f>IF($AC1121&gt;0,SUMIFS(M$4:M1120,$D$4:$D1120,$D1121,$Z$4:$Z1120,$Z1121,$C$4:$C1120,$C1121),0)</f>
        <v>0</v>
      </c>
      <c r="AI1121" s="43">
        <f>IF(OR($C1121="",$I1121=""),0,IF(COUNTIFS($C$5:$C1121,$C1121,$I$5:$I1121,$I1121)=1,1,0))</f>
        <v>0</v>
      </c>
      <c r="AJ1121" s="43" t="str">
        <f>IF($AI1121=1,SUMIFS($AI$4:$AI1120,$C$4:$C1120,$C1121)+1,"")</f>
        <v/>
      </c>
      <c r="AK1121" s="43">
        <f>IF(OR($C1121="",$K1121=""),0,IF(COUNTIFS($C$5:$C1121,$C1121,$K$5:$K1121,$K1121)=1,1,0))</f>
        <v>0</v>
      </c>
      <c r="AL1121" s="43" t="str">
        <f>IF($AK1121=1,SUMIFS($AK$4:$AK1120,$C$4:$C1120,$C1121)+1,"")</f>
        <v/>
      </c>
      <c r="AM1121" s="43">
        <f>IF(OR($C1121="",$G1121=""),0,IF(COUNTIFS($C$5:$C1121,$C1121,$G$5:$G1121,$G1121)=1,1,0))</f>
        <v>0</v>
      </c>
      <c r="AN1121" s="43" t="str">
        <f>IF($AM1121=1,SUMIFS($AM$4:$AM1120,$C$4:$C1120,$C1121)+1,"")</f>
        <v/>
      </c>
    </row>
    <row r="1122">
      <c r="A1122" s="44" t="str">
        <f>IF(OR($B1122="",$D1122=""),"","TX"&amp;TEXT(ROW()-4,"0000"))</f>
        <v/>
      </c>
      <c r="B1122" s="42" t="n"/>
      <c r="C1122" s="47" t="str">
        <f>IF($B1122="","",YEAR($B1122)*100+MONTH($B1122))</f>
        <v/>
      </c>
      <c r="D1122" s="37" t="n"/>
      <c r="E1122" s="45" t="str">
        <f>IF($D1122="","",IFERROR(INDEX(CARDS!$B$5:$B$34,MATCH($D1122,CARDS!$A$5:$A$34,0)),"⚠ Card ID?"))</f>
        <v/>
      </c>
      <c r="F1122" s="45" t="str">
        <f>IF($D1122="","",IFERROR(INDEX(CARDS!$C$5:$C$34,MATCH($D1122,CARDS!$A$5:$A$34,0)),"⚠ Card ID?"))</f>
        <v/>
      </c>
      <c r="G1122" s="37" t="n"/>
      <c r="H1122" s="37" t="n"/>
      <c r="I1122" s="41" t="n"/>
      <c r="J1122" s="45" t="str">
        <f>IF($I1122="","",IFERROR(INDEX(MCC_MASTER!$B$5:$B$504,MATCH($I1122,MCC_MASTER!$A$5:$A$504,0)),"⚠ MCC chưa có"))</f>
        <v/>
      </c>
      <c r="K1122" s="45" t="str">
        <f>IF($I1122="","",IFERROR(IF(INDEX(MCC_MASTER!$C$5:$C$504,MATCH($I1122,MCC_MASTER!$A$5:$A$504,0))="","Chưa phân loại",INDEX(MCC_MASTER!$C$5:$C$504,MATCH($I1122,MCC_MASTER!$A$5:$A$504,0))),"Chưa phân loại"))</f>
        <v/>
      </c>
      <c r="L1122" s="40" t="n"/>
      <c r="M1122" s="48" t="str">
        <f>IF(OR($B1122="",$D1122=""),"",IF($AC1122=0,0,IF(ISNUMBER(INDEX(CASHBACK_RULES!$L$5:$L$304,$AC1122)),MAX(0,MIN($L1122,INDEX(CASHBACK_RULES!$L$5:$L$304,$AC1122)-$AH1122)),MAX(0,$L1122))))</f>
        <v/>
      </c>
      <c r="N1122" s="49" t="str">
        <f>IF(OR($B1122="",$D1122=""),"",IF($AC1122&gt;0,INDEX(CASHBACK_RULES!$I$5:$I$304,$AC1122),0))</f>
        <v/>
      </c>
      <c r="O1122" s="48" t="str">
        <f>IF(OR($B1122="",$D1122=""),"",ROUND($M1122*$N1122,0))</f>
        <v/>
      </c>
      <c r="P1122" s="48" t="str">
        <f>IF($AC1122&gt;0,IF(ISNUMBER(INDEX(CASHBACK_RULES!$J$5:$J$304,$AC1122)),INDEX(CASHBACK_RULES!$J$5:$J$304,$AC1122),"∞"),"")</f>
        <v/>
      </c>
      <c r="Q1122" s="48" t="str">
        <f>IF(OR($B1122="",$D1122=""),"",IF($AC1122=0,0,MAX(0,MIN($O1122,IF(ISNUMBER($P1122),$P1122-$AF1122,1E+15),IF(ISNUMBER($AA1122),$AA1122-$AG1122,1E+15)))))</f>
        <v/>
      </c>
      <c r="R1122" s="48" t="str">
        <f>IF(OR($B1122="",$D1122=""),"",IF($AC1122=0,"",IF(AND(NOT(ISNUMBER($P1122)),NOT(ISNUMBER($AA1122))),"∞",MAX(0,MIN(IF(ISNUMBER($P1122),$P1122-$AF1122-$Q1122,1E+15),IF(ISNUMBER($AA1122),$AA1122-$AG1122-$Q1122,1E+15))))))</f>
        <v/>
      </c>
      <c r="S1122" s="47" t="str">
        <f>IF($AD1122="","",YEAR($AD1122)*100+MONTH($AD1122))</f>
        <v/>
      </c>
      <c r="T1122" s="50" t="str">
        <f>IF($AD1122="","",IFERROR(IF(INDEX(CARDS!$I$5:$I$34,MATCH($D1122,CARDS!$A$5:$A$34,0))="","",IF(INDEX(CARDS!$I$5:$I$34,MATCH($D1122,CARDS!$A$5:$A$34,0))&gt;INDEX(CARDS!$H$5:$H$34,MATCH($D1122,CARDS!$A$5:$A$34,0)),DATE(YEAR($AD1122),MONTH($AD1122),MIN(INDEX(CARDS!$I$5:$I$34,MATCH($D1122,CARDS!$A$5:$A$34,0)),DAY(EOMONTH($AD1122,0)))),DATE(YEAR($AD1122),MONTH($AD1122)+1,MIN(INDEX(CARDS!$I$5:$I$34,MATCH($D1122,CARDS!$A$5:$A$34,0)),DAY(EOMONTH($AD1122,1)))))),""))</f>
        <v/>
      </c>
      <c r="U1122" s="38" t="n"/>
      <c r="V1122" s="37" t="n"/>
      <c r="W1122" s="38" t="n"/>
      <c r="X1122" s="38" t="n"/>
      <c r="Y1122" s="44" t="str">
        <f>IF($AC1122&gt;0,INDEX(CASHBACK_RULES!$A$5:$A$304,$AC1122),"")</f>
        <v/>
      </c>
      <c r="Z1122" s="45" t="str">
        <f>IF($AC1122&gt;0,INDEX(CASHBACK_RULES!$E$5:$E$304,$AC1122)&amp;"","")</f>
        <v/>
      </c>
      <c r="AA1122" s="48" t="str">
        <f>IF($AC1122&gt;0,IF(ISNUMBER(INDEX(CASHBACK_RULES!$K$5:$K$304,$AC1122)),INDEX(CASHBACK_RULES!$K$5:$K$304,$AC1122),"∞"),"")</f>
        <v/>
      </c>
      <c r="AB1122" s="44" t="str">
        <f>IF(OR($B1122="",$D1122=""),"",IF($U1122="Cancelled","Đã hủy",IF($AC1122=0,"Không được hoàn",IF($Q1122=0,IF(OR($O1122&gt;0,$M1122&lt;$L1122),"Đã đạt cap","Không được hoàn"),IF(OR($Q1122&lt;$O1122,$M1122&lt;$L1122),"Hoàn một phần","Được hoàn")))))</f>
        <v/>
      </c>
      <c r="AC1122" s="43">
        <f>IF(OR($B1122="",$D1122="",$I1122="",$L1122=""),0,IF($U1122="Cancelled",0,IF($W1122&lt;&gt;"",IFERROR(IF(INDEX(CASHBACK_RULES!$B$5:$B$304,MATCH($W1122,CASHBACK_RULES!$A$5:$A$304,0))=$D1122,MATCH($W1122,CASHBACK_RULES!$A$5:$A$304,0),0),0),IFERROR(MATCH(1,INDEX((CASHBACK_RULES!$B$5:$B$304=$D1122)*(CASHBACK_RULES!$G$5:$G$304=$I1122)*(((CASHBACK_RULES!$N$5:$N$304="")+(CASHBACK_RULES!$N$5:$N$304&lt;=$B1122))&gt;0)*(((CASHBACK_RULES!$O$5:$O$304="")+(CASHBACK_RULES!$O$5:$O$304&gt;=$B1122))&gt;0)*(((CASHBACK_RULES!$M$5:$M$304="")+(CASHBACK_RULES!$M$5:$M$304&lt;=$L1122))&gt;0),0),0),0))))</f>
        <v>0</v>
      </c>
      <c r="AD1122" s="51" t="str">
        <f>IF(OR($B1122="",$D1122=""),"",IFERROR(IF(INDEX(CARDS!$H$5:$H$34,MATCH($D1122,CARDS!$A$5:$A$34,0))="","",IF(DAY($B1122)&lt;=INDEX(CARDS!$H$5:$H$34,MATCH($D1122,CARDS!$A$5:$A$34,0)),DATE(YEAR($B1122),MONTH($B1122),MIN(INDEX(CARDS!$H$5:$H$34,MATCH($D1122,CARDS!$A$5:$A$34,0)),DAY(EOMONTH($B1122,0)))),DATE(YEAR($B1122),MONTH($B1122)+1,MIN(INDEX(CARDS!$H$5:$H$34,MATCH($D1122,CARDS!$A$5:$A$34,0)),DAY(EOMONTH($B1122,1)))))),""))</f>
        <v/>
      </c>
      <c r="AE1122" s="52" t="str">
        <f>IF($C1122="","",$C1122&amp;"|"&amp;COUNTIF($C$5:$C1122,$C1122))</f>
        <v/>
      </c>
      <c r="AF1122" s="53">
        <f>IF($AC1122&gt;0,SUMIFS(Q$4:Q1121,$D$4:$D1121,$D1122,$Z$4:$Z1121,$Z1122,$C$4:$C1121,$C1122),0)</f>
        <v>0</v>
      </c>
      <c r="AG1122" s="53">
        <f>IF($AC1122&gt;0,SUMIFS(Q$4:Q1121,$D$4:$D1121,$D1122,$C$4:$C1121,$C1122),0)</f>
        <v>0</v>
      </c>
      <c r="AH1122" s="53">
        <f>IF($AC1122&gt;0,SUMIFS(M$4:M1121,$D$4:$D1121,$D1122,$Z$4:$Z1121,$Z1122,$C$4:$C1121,$C1122),0)</f>
        <v>0</v>
      </c>
      <c r="AI1122" s="43">
        <f>IF(OR($C1122="",$I1122=""),0,IF(COUNTIFS($C$5:$C1122,$C1122,$I$5:$I1122,$I1122)=1,1,0))</f>
        <v>0</v>
      </c>
      <c r="AJ1122" s="43" t="str">
        <f>IF($AI1122=1,SUMIFS($AI$4:$AI1121,$C$4:$C1121,$C1122)+1,"")</f>
        <v/>
      </c>
      <c r="AK1122" s="43">
        <f>IF(OR($C1122="",$K1122=""),0,IF(COUNTIFS($C$5:$C1122,$C1122,$K$5:$K1122,$K1122)=1,1,0))</f>
        <v>0</v>
      </c>
      <c r="AL1122" s="43" t="str">
        <f>IF($AK1122=1,SUMIFS($AK$4:$AK1121,$C$4:$C1121,$C1122)+1,"")</f>
        <v/>
      </c>
      <c r="AM1122" s="43">
        <f>IF(OR($C1122="",$G1122=""),0,IF(COUNTIFS($C$5:$C1122,$C1122,$G$5:$G1122,$G1122)=1,1,0))</f>
        <v>0</v>
      </c>
      <c r="AN1122" s="43" t="str">
        <f>IF($AM1122=1,SUMIFS($AM$4:$AM1121,$C$4:$C1121,$C1122)+1,"")</f>
        <v/>
      </c>
    </row>
    <row r="1123">
      <c r="A1123" s="44" t="str">
        <f>IF(OR($B1123="",$D1123=""),"","TX"&amp;TEXT(ROW()-4,"0000"))</f>
        <v/>
      </c>
      <c r="B1123" s="42" t="n"/>
      <c r="C1123" s="47" t="str">
        <f>IF($B1123="","",YEAR($B1123)*100+MONTH($B1123))</f>
        <v/>
      </c>
      <c r="D1123" s="37" t="n"/>
      <c r="E1123" s="45" t="str">
        <f>IF($D1123="","",IFERROR(INDEX(CARDS!$B$5:$B$34,MATCH($D1123,CARDS!$A$5:$A$34,0)),"⚠ Card ID?"))</f>
        <v/>
      </c>
      <c r="F1123" s="45" t="str">
        <f>IF($D1123="","",IFERROR(INDEX(CARDS!$C$5:$C$34,MATCH($D1123,CARDS!$A$5:$A$34,0)),"⚠ Card ID?"))</f>
        <v/>
      </c>
      <c r="G1123" s="37" t="n"/>
      <c r="H1123" s="37" t="n"/>
      <c r="I1123" s="41" t="n"/>
      <c r="J1123" s="45" t="str">
        <f>IF($I1123="","",IFERROR(INDEX(MCC_MASTER!$B$5:$B$504,MATCH($I1123,MCC_MASTER!$A$5:$A$504,0)),"⚠ MCC chưa có"))</f>
        <v/>
      </c>
      <c r="K1123" s="45" t="str">
        <f>IF($I1123="","",IFERROR(IF(INDEX(MCC_MASTER!$C$5:$C$504,MATCH($I1123,MCC_MASTER!$A$5:$A$504,0))="","Chưa phân loại",INDEX(MCC_MASTER!$C$5:$C$504,MATCH($I1123,MCC_MASTER!$A$5:$A$504,0))),"Chưa phân loại"))</f>
        <v/>
      </c>
      <c r="L1123" s="40" t="n"/>
      <c r="M1123" s="48" t="str">
        <f>IF(OR($B1123="",$D1123=""),"",IF($AC1123=0,0,IF(ISNUMBER(INDEX(CASHBACK_RULES!$L$5:$L$304,$AC1123)),MAX(0,MIN($L1123,INDEX(CASHBACK_RULES!$L$5:$L$304,$AC1123)-$AH1123)),MAX(0,$L1123))))</f>
        <v/>
      </c>
      <c r="N1123" s="49" t="str">
        <f>IF(OR($B1123="",$D1123=""),"",IF($AC1123&gt;0,INDEX(CASHBACK_RULES!$I$5:$I$304,$AC1123),0))</f>
        <v/>
      </c>
      <c r="O1123" s="48" t="str">
        <f>IF(OR($B1123="",$D1123=""),"",ROUND($M1123*$N1123,0))</f>
        <v/>
      </c>
      <c r="P1123" s="48" t="str">
        <f>IF($AC1123&gt;0,IF(ISNUMBER(INDEX(CASHBACK_RULES!$J$5:$J$304,$AC1123)),INDEX(CASHBACK_RULES!$J$5:$J$304,$AC1123),"∞"),"")</f>
        <v/>
      </c>
      <c r="Q1123" s="48" t="str">
        <f>IF(OR($B1123="",$D1123=""),"",IF($AC1123=0,0,MAX(0,MIN($O1123,IF(ISNUMBER($P1123),$P1123-$AF1123,1E+15),IF(ISNUMBER($AA1123),$AA1123-$AG1123,1E+15)))))</f>
        <v/>
      </c>
      <c r="R1123" s="48" t="str">
        <f>IF(OR($B1123="",$D1123=""),"",IF($AC1123=0,"",IF(AND(NOT(ISNUMBER($P1123)),NOT(ISNUMBER($AA1123))),"∞",MAX(0,MIN(IF(ISNUMBER($P1123),$P1123-$AF1123-$Q1123,1E+15),IF(ISNUMBER($AA1123),$AA1123-$AG1123-$Q1123,1E+15))))))</f>
        <v/>
      </c>
      <c r="S1123" s="47" t="str">
        <f>IF($AD1123="","",YEAR($AD1123)*100+MONTH($AD1123))</f>
        <v/>
      </c>
      <c r="T1123" s="50" t="str">
        <f>IF($AD1123="","",IFERROR(IF(INDEX(CARDS!$I$5:$I$34,MATCH($D1123,CARDS!$A$5:$A$34,0))="","",IF(INDEX(CARDS!$I$5:$I$34,MATCH($D1123,CARDS!$A$5:$A$34,0))&gt;INDEX(CARDS!$H$5:$H$34,MATCH($D1123,CARDS!$A$5:$A$34,0)),DATE(YEAR($AD1123),MONTH($AD1123),MIN(INDEX(CARDS!$I$5:$I$34,MATCH($D1123,CARDS!$A$5:$A$34,0)),DAY(EOMONTH($AD1123,0)))),DATE(YEAR($AD1123),MONTH($AD1123)+1,MIN(INDEX(CARDS!$I$5:$I$34,MATCH($D1123,CARDS!$A$5:$A$34,0)),DAY(EOMONTH($AD1123,1)))))),""))</f>
        <v/>
      </c>
      <c r="U1123" s="38" t="n"/>
      <c r="V1123" s="37" t="n"/>
      <c r="W1123" s="38" t="n"/>
      <c r="X1123" s="38" t="n"/>
      <c r="Y1123" s="44" t="str">
        <f>IF($AC1123&gt;0,INDEX(CASHBACK_RULES!$A$5:$A$304,$AC1123),"")</f>
        <v/>
      </c>
      <c r="Z1123" s="45" t="str">
        <f>IF($AC1123&gt;0,INDEX(CASHBACK_RULES!$E$5:$E$304,$AC1123)&amp;"","")</f>
        <v/>
      </c>
      <c r="AA1123" s="48" t="str">
        <f>IF($AC1123&gt;0,IF(ISNUMBER(INDEX(CASHBACK_RULES!$K$5:$K$304,$AC1123)),INDEX(CASHBACK_RULES!$K$5:$K$304,$AC1123),"∞"),"")</f>
        <v/>
      </c>
      <c r="AB1123" s="44" t="str">
        <f>IF(OR($B1123="",$D1123=""),"",IF($U1123="Cancelled","Đã hủy",IF($AC1123=0,"Không được hoàn",IF($Q1123=0,IF(OR($O1123&gt;0,$M1123&lt;$L1123),"Đã đạt cap","Không được hoàn"),IF(OR($Q1123&lt;$O1123,$M1123&lt;$L1123),"Hoàn một phần","Được hoàn")))))</f>
        <v/>
      </c>
      <c r="AC1123" s="43">
        <f>IF(OR($B1123="",$D1123="",$I1123="",$L1123=""),0,IF($U1123="Cancelled",0,IF($W1123&lt;&gt;"",IFERROR(IF(INDEX(CASHBACK_RULES!$B$5:$B$304,MATCH($W1123,CASHBACK_RULES!$A$5:$A$304,0))=$D1123,MATCH($W1123,CASHBACK_RULES!$A$5:$A$304,0),0),0),IFERROR(MATCH(1,INDEX((CASHBACK_RULES!$B$5:$B$304=$D1123)*(CASHBACK_RULES!$G$5:$G$304=$I1123)*(((CASHBACK_RULES!$N$5:$N$304="")+(CASHBACK_RULES!$N$5:$N$304&lt;=$B1123))&gt;0)*(((CASHBACK_RULES!$O$5:$O$304="")+(CASHBACK_RULES!$O$5:$O$304&gt;=$B1123))&gt;0)*(((CASHBACK_RULES!$M$5:$M$304="")+(CASHBACK_RULES!$M$5:$M$304&lt;=$L1123))&gt;0),0),0),0))))</f>
        <v>0</v>
      </c>
      <c r="AD1123" s="51" t="str">
        <f>IF(OR($B1123="",$D1123=""),"",IFERROR(IF(INDEX(CARDS!$H$5:$H$34,MATCH($D1123,CARDS!$A$5:$A$34,0))="","",IF(DAY($B1123)&lt;=INDEX(CARDS!$H$5:$H$34,MATCH($D1123,CARDS!$A$5:$A$34,0)),DATE(YEAR($B1123),MONTH($B1123),MIN(INDEX(CARDS!$H$5:$H$34,MATCH($D1123,CARDS!$A$5:$A$34,0)),DAY(EOMONTH($B1123,0)))),DATE(YEAR($B1123),MONTH($B1123)+1,MIN(INDEX(CARDS!$H$5:$H$34,MATCH($D1123,CARDS!$A$5:$A$34,0)),DAY(EOMONTH($B1123,1)))))),""))</f>
        <v/>
      </c>
      <c r="AE1123" s="52" t="str">
        <f>IF($C1123="","",$C1123&amp;"|"&amp;COUNTIF($C$5:$C1123,$C1123))</f>
        <v/>
      </c>
      <c r="AF1123" s="53">
        <f>IF($AC1123&gt;0,SUMIFS(Q$4:Q1122,$D$4:$D1122,$D1123,$Z$4:$Z1122,$Z1123,$C$4:$C1122,$C1123),0)</f>
        <v>0</v>
      </c>
      <c r="AG1123" s="53">
        <f>IF($AC1123&gt;0,SUMIFS(Q$4:Q1122,$D$4:$D1122,$D1123,$C$4:$C1122,$C1123),0)</f>
        <v>0</v>
      </c>
      <c r="AH1123" s="53">
        <f>IF($AC1123&gt;0,SUMIFS(M$4:M1122,$D$4:$D1122,$D1123,$Z$4:$Z1122,$Z1123,$C$4:$C1122,$C1123),0)</f>
        <v>0</v>
      </c>
      <c r="AI1123" s="43">
        <f>IF(OR($C1123="",$I1123=""),0,IF(COUNTIFS($C$5:$C1123,$C1123,$I$5:$I1123,$I1123)=1,1,0))</f>
        <v>0</v>
      </c>
      <c r="AJ1123" s="43" t="str">
        <f>IF($AI1123=1,SUMIFS($AI$4:$AI1122,$C$4:$C1122,$C1123)+1,"")</f>
        <v/>
      </c>
      <c r="AK1123" s="43">
        <f>IF(OR($C1123="",$K1123=""),0,IF(COUNTIFS($C$5:$C1123,$C1123,$K$5:$K1123,$K1123)=1,1,0))</f>
        <v>0</v>
      </c>
      <c r="AL1123" s="43" t="str">
        <f>IF($AK1123=1,SUMIFS($AK$4:$AK1122,$C$4:$C1122,$C1123)+1,"")</f>
        <v/>
      </c>
      <c r="AM1123" s="43">
        <f>IF(OR($C1123="",$G1123=""),0,IF(COUNTIFS($C$5:$C1123,$C1123,$G$5:$G1123,$G1123)=1,1,0))</f>
        <v>0</v>
      </c>
      <c r="AN1123" s="43" t="str">
        <f>IF($AM1123=1,SUMIFS($AM$4:$AM1122,$C$4:$C1122,$C1123)+1,"")</f>
        <v/>
      </c>
    </row>
    <row r="1124">
      <c r="A1124" s="44" t="str">
        <f>IF(OR($B1124="",$D1124=""),"","TX"&amp;TEXT(ROW()-4,"0000"))</f>
        <v/>
      </c>
      <c r="B1124" s="42" t="n"/>
      <c r="C1124" s="47" t="str">
        <f>IF($B1124="","",YEAR($B1124)*100+MONTH($B1124))</f>
        <v/>
      </c>
      <c r="D1124" s="37" t="n"/>
      <c r="E1124" s="45" t="str">
        <f>IF($D1124="","",IFERROR(INDEX(CARDS!$B$5:$B$34,MATCH($D1124,CARDS!$A$5:$A$34,0)),"⚠ Card ID?"))</f>
        <v/>
      </c>
      <c r="F1124" s="45" t="str">
        <f>IF($D1124="","",IFERROR(INDEX(CARDS!$C$5:$C$34,MATCH($D1124,CARDS!$A$5:$A$34,0)),"⚠ Card ID?"))</f>
        <v/>
      </c>
      <c r="G1124" s="37" t="n"/>
      <c r="H1124" s="37" t="n"/>
      <c r="I1124" s="41" t="n"/>
      <c r="J1124" s="45" t="str">
        <f>IF($I1124="","",IFERROR(INDEX(MCC_MASTER!$B$5:$B$504,MATCH($I1124,MCC_MASTER!$A$5:$A$504,0)),"⚠ MCC chưa có"))</f>
        <v/>
      </c>
      <c r="K1124" s="45" t="str">
        <f>IF($I1124="","",IFERROR(IF(INDEX(MCC_MASTER!$C$5:$C$504,MATCH($I1124,MCC_MASTER!$A$5:$A$504,0))="","Chưa phân loại",INDEX(MCC_MASTER!$C$5:$C$504,MATCH($I1124,MCC_MASTER!$A$5:$A$504,0))),"Chưa phân loại"))</f>
        <v/>
      </c>
      <c r="L1124" s="40" t="n"/>
      <c r="M1124" s="48" t="str">
        <f>IF(OR($B1124="",$D1124=""),"",IF($AC1124=0,0,IF(ISNUMBER(INDEX(CASHBACK_RULES!$L$5:$L$304,$AC1124)),MAX(0,MIN($L1124,INDEX(CASHBACK_RULES!$L$5:$L$304,$AC1124)-$AH1124)),MAX(0,$L1124))))</f>
        <v/>
      </c>
      <c r="N1124" s="49" t="str">
        <f>IF(OR($B1124="",$D1124=""),"",IF($AC1124&gt;0,INDEX(CASHBACK_RULES!$I$5:$I$304,$AC1124),0))</f>
        <v/>
      </c>
      <c r="O1124" s="48" t="str">
        <f>IF(OR($B1124="",$D1124=""),"",ROUND($M1124*$N1124,0))</f>
        <v/>
      </c>
      <c r="P1124" s="48" t="str">
        <f>IF($AC1124&gt;0,IF(ISNUMBER(INDEX(CASHBACK_RULES!$J$5:$J$304,$AC1124)),INDEX(CASHBACK_RULES!$J$5:$J$304,$AC1124),"∞"),"")</f>
        <v/>
      </c>
      <c r="Q1124" s="48" t="str">
        <f>IF(OR($B1124="",$D1124=""),"",IF($AC1124=0,0,MAX(0,MIN($O1124,IF(ISNUMBER($P1124),$P1124-$AF1124,1E+15),IF(ISNUMBER($AA1124),$AA1124-$AG1124,1E+15)))))</f>
        <v/>
      </c>
      <c r="R1124" s="48" t="str">
        <f>IF(OR($B1124="",$D1124=""),"",IF($AC1124=0,"",IF(AND(NOT(ISNUMBER($P1124)),NOT(ISNUMBER($AA1124))),"∞",MAX(0,MIN(IF(ISNUMBER($P1124),$P1124-$AF1124-$Q1124,1E+15),IF(ISNUMBER($AA1124),$AA1124-$AG1124-$Q1124,1E+15))))))</f>
        <v/>
      </c>
      <c r="S1124" s="47" t="str">
        <f>IF($AD1124="","",YEAR($AD1124)*100+MONTH($AD1124))</f>
        <v/>
      </c>
      <c r="T1124" s="50" t="str">
        <f>IF($AD1124="","",IFERROR(IF(INDEX(CARDS!$I$5:$I$34,MATCH($D1124,CARDS!$A$5:$A$34,0))="","",IF(INDEX(CARDS!$I$5:$I$34,MATCH($D1124,CARDS!$A$5:$A$34,0))&gt;INDEX(CARDS!$H$5:$H$34,MATCH($D1124,CARDS!$A$5:$A$34,0)),DATE(YEAR($AD1124),MONTH($AD1124),MIN(INDEX(CARDS!$I$5:$I$34,MATCH($D1124,CARDS!$A$5:$A$34,0)),DAY(EOMONTH($AD1124,0)))),DATE(YEAR($AD1124),MONTH($AD1124)+1,MIN(INDEX(CARDS!$I$5:$I$34,MATCH($D1124,CARDS!$A$5:$A$34,0)),DAY(EOMONTH($AD1124,1)))))),""))</f>
        <v/>
      </c>
      <c r="U1124" s="38" t="n"/>
      <c r="V1124" s="37" t="n"/>
      <c r="W1124" s="38" t="n"/>
      <c r="X1124" s="38" t="n"/>
      <c r="Y1124" s="44" t="str">
        <f>IF($AC1124&gt;0,INDEX(CASHBACK_RULES!$A$5:$A$304,$AC1124),"")</f>
        <v/>
      </c>
      <c r="Z1124" s="45" t="str">
        <f>IF($AC1124&gt;0,INDEX(CASHBACK_RULES!$E$5:$E$304,$AC1124)&amp;"","")</f>
        <v/>
      </c>
      <c r="AA1124" s="48" t="str">
        <f>IF($AC1124&gt;0,IF(ISNUMBER(INDEX(CASHBACK_RULES!$K$5:$K$304,$AC1124)),INDEX(CASHBACK_RULES!$K$5:$K$304,$AC1124),"∞"),"")</f>
        <v/>
      </c>
      <c r="AB1124" s="44" t="str">
        <f>IF(OR($B1124="",$D1124=""),"",IF($U1124="Cancelled","Đã hủy",IF($AC1124=0,"Không được hoàn",IF($Q1124=0,IF(OR($O1124&gt;0,$M1124&lt;$L1124),"Đã đạt cap","Không được hoàn"),IF(OR($Q1124&lt;$O1124,$M1124&lt;$L1124),"Hoàn một phần","Được hoàn")))))</f>
        <v/>
      </c>
      <c r="AC1124" s="43">
        <f>IF(OR($B1124="",$D1124="",$I1124="",$L1124=""),0,IF($U1124="Cancelled",0,IF($W1124&lt;&gt;"",IFERROR(IF(INDEX(CASHBACK_RULES!$B$5:$B$304,MATCH($W1124,CASHBACK_RULES!$A$5:$A$304,0))=$D1124,MATCH($W1124,CASHBACK_RULES!$A$5:$A$304,0),0),0),IFERROR(MATCH(1,INDEX((CASHBACK_RULES!$B$5:$B$304=$D1124)*(CASHBACK_RULES!$G$5:$G$304=$I1124)*(((CASHBACK_RULES!$N$5:$N$304="")+(CASHBACK_RULES!$N$5:$N$304&lt;=$B1124))&gt;0)*(((CASHBACK_RULES!$O$5:$O$304="")+(CASHBACK_RULES!$O$5:$O$304&gt;=$B1124))&gt;0)*(((CASHBACK_RULES!$M$5:$M$304="")+(CASHBACK_RULES!$M$5:$M$304&lt;=$L1124))&gt;0),0),0),0))))</f>
        <v>0</v>
      </c>
      <c r="AD1124" s="51" t="str">
        <f>IF(OR($B1124="",$D1124=""),"",IFERROR(IF(INDEX(CARDS!$H$5:$H$34,MATCH($D1124,CARDS!$A$5:$A$34,0))="","",IF(DAY($B1124)&lt;=INDEX(CARDS!$H$5:$H$34,MATCH($D1124,CARDS!$A$5:$A$34,0)),DATE(YEAR($B1124),MONTH($B1124),MIN(INDEX(CARDS!$H$5:$H$34,MATCH($D1124,CARDS!$A$5:$A$34,0)),DAY(EOMONTH($B1124,0)))),DATE(YEAR($B1124),MONTH($B1124)+1,MIN(INDEX(CARDS!$H$5:$H$34,MATCH($D1124,CARDS!$A$5:$A$34,0)),DAY(EOMONTH($B1124,1)))))),""))</f>
        <v/>
      </c>
      <c r="AE1124" s="52" t="str">
        <f>IF($C1124="","",$C1124&amp;"|"&amp;COUNTIF($C$5:$C1124,$C1124))</f>
        <v/>
      </c>
      <c r="AF1124" s="53">
        <f>IF($AC1124&gt;0,SUMIFS(Q$4:Q1123,$D$4:$D1123,$D1124,$Z$4:$Z1123,$Z1124,$C$4:$C1123,$C1124),0)</f>
        <v>0</v>
      </c>
      <c r="AG1124" s="53">
        <f>IF($AC1124&gt;0,SUMIFS(Q$4:Q1123,$D$4:$D1123,$D1124,$C$4:$C1123,$C1124),0)</f>
        <v>0</v>
      </c>
      <c r="AH1124" s="53">
        <f>IF($AC1124&gt;0,SUMIFS(M$4:M1123,$D$4:$D1123,$D1124,$Z$4:$Z1123,$Z1124,$C$4:$C1123,$C1124),0)</f>
        <v>0</v>
      </c>
      <c r="AI1124" s="43">
        <f>IF(OR($C1124="",$I1124=""),0,IF(COUNTIFS($C$5:$C1124,$C1124,$I$5:$I1124,$I1124)=1,1,0))</f>
        <v>0</v>
      </c>
      <c r="AJ1124" s="43" t="str">
        <f>IF($AI1124=1,SUMIFS($AI$4:$AI1123,$C$4:$C1123,$C1124)+1,"")</f>
        <v/>
      </c>
      <c r="AK1124" s="43">
        <f>IF(OR($C1124="",$K1124=""),0,IF(COUNTIFS($C$5:$C1124,$C1124,$K$5:$K1124,$K1124)=1,1,0))</f>
        <v>0</v>
      </c>
      <c r="AL1124" s="43" t="str">
        <f>IF($AK1124=1,SUMIFS($AK$4:$AK1123,$C$4:$C1123,$C1124)+1,"")</f>
        <v/>
      </c>
      <c r="AM1124" s="43">
        <f>IF(OR($C1124="",$G1124=""),0,IF(COUNTIFS($C$5:$C1124,$C1124,$G$5:$G1124,$G1124)=1,1,0))</f>
        <v>0</v>
      </c>
      <c r="AN1124" s="43" t="str">
        <f>IF($AM1124=1,SUMIFS($AM$4:$AM1123,$C$4:$C1123,$C1124)+1,"")</f>
        <v/>
      </c>
    </row>
    <row r="1125">
      <c r="A1125" s="44" t="str">
        <f>IF(OR($B1125="",$D1125=""),"","TX"&amp;TEXT(ROW()-4,"0000"))</f>
        <v/>
      </c>
      <c r="B1125" s="42" t="n"/>
      <c r="C1125" s="47" t="str">
        <f>IF($B1125="","",YEAR($B1125)*100+MONTH($B1125))</f>
        <v/>
      </c>
      <c r="D1125" s="37" t="n"/>
      <c r="E1125" s="45" t="str">
        <f>IF($D1125="","",IFERROR(INDEX(CARDS!$B$5:$B$34,MATCH($D1125,CARDS!$A$5:$A$34,0)),"⚠ Card ID?"))</f>
        <v/>
      </c>
      <c r="F1125" s="45" t="str">
        <f>IF($D1125="","",IFERROR(INDEX(CARDS!$C$5:$C$34,MATCH($D1125,CARDS!$A$5:$A$34,0)),"⚠ Card ID?"))</f>
        <v/>
      </c>
      <c r="G1125" s="37" t="n"/>
      <c r="H1125" s="37" t="n"/>
      <c r="I1125" s="41" t="n"/>
      <c r="J1125" s="45" t="str">
        <f>IF($I1125="","",IFERROR(INDEX(MCC_MASTER!$B$5:$B$504,MATCH($I1125,MCC_MASTER!$A$5:$A$504,0)),"⚠ MCC chưa có"))</f>
        <v/>
      </c>
      <c r="K1125" s="45" t="str">
        <f>IF($I1125="","",IFERROR(IF(INDEX(MCC_MASTER!$C$5:$C$504,MATCH($I1125,MCC_MASTER!$A$5:$A$504,0))="","Chưa phân loại",INDEX(MCC_MASTER!$C$5:$C$504,MATCH($I1125,MCC_MASTER!$A$5:$A$504,0))),"Chưa phân loại"))</f>
        <v/>
      </c>
      <c r="L1125" s="40" t="n"/>
      <c r="M1125" s="48" t="str">
        <f>IF(OR($B1125="",$D1125=""),"",IF($AC1125=0,0,IF(ISNUMBER(INDEX(CASHBACK_RULES!$L$5:$L$304,$AC1125)),MAX(0,MIN($L1125,INDEX(CASHBACK_RULES!$L$5:$L$304,$AC1125)-$AH1125)),MAX(0,$L1125))))</f>
        <v/>
      </c>
      <c r="N1125" s="49" t="str">
        <f>IF(OR($B1125="",$D1125=""),"",IF($AC1125&gt;0,INDEX(CASHBACK_RULES!$I$5:$I$304,$AC1125),0))</f>
        <v/>
      </c>
      <c r="O1125" s="48" t="str">
        <f>IF(OR($B1125="",$D1125=""),"",ROUND($M1125*$N1125,0))</f>
        <v/>
      </c>
      <c r="P1125" s="48" t="str">
        <f>IF($AC1125&gt;0,IF(ISNUMBER(INDEX(CASHBACK_RULES!$J$5:$J$304,$AC1125)),INDEX(CASHBACK_RULES!$J$5:$J$304,$AC1125),"∞"),"")</f>
        <v/>
      </c>
      <c r="Q1125" s="48" t="str">
        <f>IF(OR($B1125="",$D1125=""),"",IF($AC1125=0,0,MAX(0,MIN($O1125,IF(ISNUMBER($P1125),$P1125-$AF1125,1E+15),IF(ISNUMBER($AA1125),$AA1125-$AG1125,1E+15)))))</f>
        <v/>
      </c>
      <c r="R1125" s="48" t="str">
        <f>IF(OR($B1125="",$D1125=""),"",IF($AC1125=0,"",IF(AND(NOT(ISNUMBER($P1125)),NOT(ISNUMBER($AA1125))),"∞",MAX(0,MIN(IF(ISNUMBER($P1125),$P1125-$AF1125-$Q1125,1E+15),IF(ISNUMBER($AA1125),$AA1125-$AG1125-$Q1125,1E+15))))))</f>
        <v/>
      </c>
      <c r="S1125" s="47" t="str">
        <f>IF($AD1125="","",YEAR($AD1125)*100+MONTH($AD1125))</f>
        <v/>
      </c>
      <c r="T1125" s="50" t="str">
        <f>IF($AD1125="","",IFERROR(IF(INDEX(CARDS!$I$5:$I$34,MATCH($D1125,CARDS!$A$5:$A$34,0))="","",IF(INDEX(CARDS!$I$5:$I$34,MATCH($D1125,CARDS!$A$5:$A$34,0))&gt;INDEX(CARDS!$H$5:$H$34,MATCH($D1125,CARDS!$A$5:$A$34,0)),DATE(YEAR($AD1125),MONTH($AD1125),MIN(INDEX(CARDS!$I$5:$I$34,MATCH($D1125,CARDS!$A$5:$A$34,0)),DAY(EOMONTH($AD1125,0)))),DATE(YEAR($AD1125),MONTH($AD1125)+1,MIN(INDEX(CARDS!$I$5:$I$34,MATCH($D1125,CARDS!$A$5:$A$34,0)),DAY(EOMONTH($AD1125,1)))))),""))</f>
        <v/>
      </c>
      <c r="U1125" s="38" t="n"/>
      <c r="V1125" s="37" t="n"/>
      <c r="W1125" s="38" t="n"/>
      <c r="X1125" s="38" t="n"/>
      <c r="Y1125" s="44" t="str">
        <f>IF($AC1125&gt;0,INDEX(CASHBACK_RULES!$A$5:$A$304,$AC1125),"")</f>
        <v/>
      </c>
      <c r="Z1125" s="45" t="str">
        <f>IF($AC1125&gt;0,INDEX(CASHBACK_RULES!$E$5:$E$304,$AC1125)&amp;"","")</f>
        <v/>
      </c>
      <c r="AA1125" s="48" t="str">
        <f>IF($AC1125&gt;0,IF(ISNUMBER(INDEX(CASHBACK_RULES!$K$5:$K$304,$AC1125)),INDEX(CASHBACK_RULES!$K$5:$K$304,$AC1125),"∞"),"")</f>
        <v/>
      </c>
      <c r="AB1125" s="44" t="str">
        <f>IF(OR($B1125="",$D1125=""),"",IF($U1125="Cancelled","Đã hủy",IF($AC1125=0,"Không được hoàn",IF($Q1125=0,IF(OR($O1125&gt;0,$M1125&lt;$L1125),"Đã đạt cap","Không được hoàn"),IF(OR($Q1125&lt;$O1125,$M1125&lt;$L1125),"Hoàn một phần","Được hoàn")))))</f>
        <v/>
      </c>
      <c r="AC1125" s="43">
        <f>IF(OR($B1125="",$D1125="",$I1125="",$L1125=""),0,IF($U1125="Cancelled",0,IF($W1125&lt;&gt;"",IFERROR(IF(INDEX(CASHBACK_RULES!$B$5:$B$304,MATCH($W1125,CASHBACK_RULES!$A$5:$A$304,0))=$D1125,MATCH($W1125,CASHBACK_RULES!$A$5:$A$304,0),0),0),IFERROR(MATCH(1,INDEX((CASHBACK_RULES!$B$5:$B$304=$D1125)*(CASHBACK_RULES!$G$5:$G$304=$I1125)*(((CASHBACK_RULES!$N$5:$N$304="")+(CASHBACK_RULES!$N$5:$N$304&lt;=$B1125))&gt;0)*(((CASHBACK_RULES!$O$5:$O$304="")+(CASHBACK_RULES!$O$5:$O$304&gt;=$B1125))&gt;0)*(((CASHBACK_RULES!$M$5:$M$304="")+(CASHBACK_RULES!$M$5:$M$304&lt;=$L1125))&gt;0),0),0),0))))</f>
        <v>0</v>
      </c>
      <c r="AD1125" s="51" t="str">
        <f>IF(OR($B1125="",$D1125=""),"",IFERROR(IF(INDEX(CARDS!$H$5:$H$34,MATCH($D1125,CARDS!$A$5:$A$34,0))="","",IF(DAY($B1125)&lt;=INDEX(CARDS!$H$5:$H$34,MATCH($D1125,CARDS!$A$5:$A$34,0)),DATE(YEAR($B1125),MONTH($B1125),MIN(INDEX(CARDS!$H$5:$H$34,MATCH($D1125,CARDS!$A$5:$A$34,0)),DAY(EOMONTH($B1125,0)))),DATE(YEAR($B1125),MONTH($B1125)+1,MIN(INDEX(CARDS!$H$5:$H$34,MATCH($D1125,CARDS!$A$5:$A$34,0)),DAY(EOMONTH($B1125,1)))))),""))</f>
        <v/>
      </c>
      <c r="AE1125" s="52" t="str">
        <f>IF($C1125="","",$C1125&amp;"|"&amp;COUNTIF($C$5:$C1125,$C1125))</f>
        <v/>
      </c>
      <c r="AF1125" s="53">
        <f>IF($AC1125&gt;0,SUMIFS(Q$4:Q1124,$D$4:$D1124,$D1125,$Z$4:$Z1124,$Z1125,$C$4:$C1124,$C1125),0)</f>
        <v>0</v>
      </c>
      <c r="AG1125" s="53">
        <f>IF($AC1125&gt;0,SUMIFS(Q$4:Q1124,$D$4:$D1124,$D1125,$C$4:$C1124,$C1125),0)</f>
        <v>0</v>
      </c>
      <c r="AH1125" s="53">
        <f>IF($AC1125&gt;0,SUMIFS(M$4:M1124,$D$4:$D1124,$D1125,$Z$4:$Z1124,$Z1125,$C$4:$C1124,$C1125),0)</f>
        <v>0</v>
      </c>
      <c r="AI1125" s="43">
        <f>IF(OR($C1125="",$I1125=""),0,IF(COUNTIFS($C$5:$C1125,$C1125,$I$5:$I1125,$I1125)=1,1,0))</f>
        <v>0</v>
      </c>
      <c r="AJ1125" s="43" t="str">
        <f>IF($AI1125=1,SUMIFS($AI$4:$AI1124,$C$4:$C1124,$C1125)+1,"")</f>
        <v/>
      </c>
      <c r="AK1125" s="43">
        <f>IF(OR($C1125="",$K1125=""),0,IF(COUNTIFS($C$5:$C1125,$C1125,$K$5:$K1125,$K1125)=1,1,0))</f>
        <v>0</v>
      </c>
      <c r="AL1125" s="43" t="str">
        <f>IF($AK1125=1,SUMIFS($AK$4:$AK1124,$C$4:$C1124,$C1125)+1,"")</f>
        <v/>
      </c>
      <c r="AM1125" s="43">
        <f>IF(OR($C1125="",$G1125=""),0,IF(COUNTIFS($C$5:$C1125,$C1125,$G$5:$G1125,$G1125)=1,1,0))</f>
        <v>0</v>
      </c>
      <c r="AN1125" s="43" t="str">
        <f>IF($AM1125=1,SUMIFS($AM$4:$AM1124,$C$4:$C1124,$C1125)+1,"")</f>
        <v/>
      </c>
    </row>
    <row r="1126">
      <c r="A1126" s="44" t="str">
        <f>IF(OR($B1126="",$D1126=""),"","TX"&amp;TEXT(ROW()-4,"0000"))</f>
        <v/>
      </c>
      <c r="B1126" s="42" t="n"/>
      <c r="C1126" s="47" t="str">
        <f>IF($B1126="","",YEAR($B1126)*100+MONTH($B1126))</f>
        <v/>
      </c>
      <c r="D1126" s="37" t="n"/>
      <c r="E1126" s="45" t="str">
        <f>IF($D1126="","",IFERROR(INDEX(CARDS!$B$5:$B$34,MATCH($D1126,CARDS!$A$5:$A$34,0)),"⚠ Card ID?"))</f>
        <v/>
      </c>
      <c r="F1126" s="45" t="str">
        <f>IF($D1126="","",IFERROR(INDEX(CARDS!$C$5:$C$34,MATCH($D1126,CARDS!$A$5:$A$34,0)),"⚠ Card ID?"))</f>
        <v/>
      </c>
      <c r="G1126" s="37" t="n"/>
      <c r="H1126" s="37" t="n"/>
      <c r="I1126" s="41" t="n"/>
      <c r="J1126" s="45" t="str">
        <f>IF($I1126="","",IFERROR(INDEX(MCC_MASTER!$B$5:$B$504,MATCH($I1126,MCC_MASTER!$A$5:$A$504,0)),"⚠ MCC chưa có"))</f>
        <v/>
      </c>
      <c r="K1126" s="45" t="str">
        <f>IF($I1126="","",IFERROR(IF(INDEX(MCC_MASTER!$C$5:$C$504,MATCH($I1126,MCC_MASTER!$A$5:$A$504,0))="","Chưa phân loại",INDEX(MCC_MASTER!$C$5:$C$504,MATCH($I1126,MCC_MASTER!$A$5:$A$504,0))),"Chưa phân loại"))</f>
        <v/>
      </c>
      <c r="L1126" s="40" t="n"/>
      <c r="M1126" s="48" t="str">
        <f>IF(OR($B1126="",$D1126=""),"",IF($AC1126=0,0,IF(ISNUMBER(INDEX(CASHBACK_RULES!$L$5:$L$304,$AC1126)),MAX(0,MIN($L1126,INDEX(CASHBACK_RULES!$L$5:$L$304,$AC1126)-$AH1126)),MAX(0,$L1126))))</f>
        <v/>
      </c>
      <c r="N1126" s="49" t="str">
        <f>IF(OR($B1126="",$D1126=""),"",IF($AC1126&gt;0,INDEX(CASHBACK_RULES!$I$5:$I$304,$AC1126),0))</f>
        <v/>
      </c>
      <c r="O1126" s="48" t="str">
        <f>IF(OR($B1126="",$D1126=""),"",ROUND($M1126*$N1126,0))</f>
        <v/>
      </c>
      <c r="P1126" s="48" t="str">
        <f>IF($AC1126&gt;0,IF(ISNUMBER(INDEX(CASHBACK_RULES!$J$5:$J$304,$AC1126)),INDEX(CASHBACK_RULES!$J$5:$J$304,$AC1126),"∞"),"")</f>
        <v/>
      </c>
      <c r="Q1126" s="48" t="str">
        <f>IF(OR($B1126="",$D1126=""),"",IF($AC1126=0,0,MAX(0,MIN($O1126,IF(ISNUMBER($P1126),$P1126-$AF1126,1E+15),IF(ISNUMBER($AA1126),$AA1126-$AG1126,1E+15)))))</f>
        <v/>
      </c>
      <c r="R1126" s="48" t="str">
        <f>IF(OR($B1126="",$D1126=""),"",IF($AC1126=0,"",IF(AND(NOT(ISNUMBER($P1126)),NOT(ISNUMBER($AA1126))),"∞",MAX(0,MIN(IF(ISNUMBER($P1126),$P1126-$AF1126-$Q1126,1E+15),IF(ISNUMBER($AA1126),$AA1126-$AG1126-$Q1126,1E+15))))))</f>
        <v/>
      </c>
      <c r="S1126" s="47" t="str">
        <f>IF($AD1126="","",YEAR($AD1126)*100+MONTH($AD1126))</f>
        <v/>
      </c>
      <c r="T1126" s="50" t="str">
        <f>IF($AD1126="","",IFERROR(IF(INDEX(CARDS!$I$5:$I$34,MATCH($D1126,CARDS!$A$5:$A$34,0))="","",IF(INDEX(CARDS!$I$5:$I$34,MATCH($D1126,CARDS!$A$5:$A$34,0))&gt;INDEX(CARDS!$H$5:$H$34,MATCH($D1126,CARDS!$A$5:$A$34,0)),DATE(YEAR($AD1126),MONTH($AD1126),MIN(INDEX(CARDS!$I$5:$I$34,MATCH($D1126,CARDS!$A$5:$A$34,0)),DAY(EOMONTH($AD1126,0)))),DATE(YEAR($AD1126),MONTH($AD1126)+1,MIN(INDEX(CARDS!$I$5:$I$34,MATCH($D1126,CARDS!$A$5:$A$34,0)),DAY(EOMONTH($AD1126,1)))))),""))</f>
        <v/>
      </c>
      <c r="U1126" s="38" t="n"/>
      <c r="V1126" s="37" t="n"/>
      <c r="W1126" s="38" t="n"/>
      <c r="X1126" s="38" t="n"/>
      <c r="Y1126" s="44" t="str">
        <f>IF($AC1126&gt;0,INDEX(CASHBACK_RULES!$A$5:$A$304,$AC1126),"")</f>
        <v/>
      </c>
      <c r="Z1126" s="45" t="str">
        <f>IF($AC1126&gt;0,INDEX(CASHBACK_RULES!$E$5:$E$304,$AC1126)&amp;"","")</f>
        <v/>
      </c>
      <c r="AA1126" s="48" t="str">
        <f>IF($AC1126&gt;0,IF(ISNUMBER(INDEX(CASHBACK_RULES!$K$5:$K$304,$AC1126)),INDEX(CASHBACK_RULES!$K$5:$K$304,$AC1126),"∞"),"")</f>
        <v/>
      </c>
      <c r="AB1126" s="44" t="str">
        <f>IF(OR($B1126="",$D1126=""),"",IF($U1126="Cancelled","Đã hủy",IF($AC1126=0,"Không được hoàn",IF($Q1126=0,IF(OR($O1126&gt;0,$M1126&lt;$L1126),"Đã đạt cap","Không được hoàn"),IF(OR($Q1126&lt;$O1126,$M1126&lt;$L1126),"Hoàn một phần","Được hoàn")))))</f>
        <v/>
      </c>
      <c r="AC1126" s="43">
        <f>IF(OR($B1126="",$D1126="",$I1126="",$L1126=""),0,IF($U1126="Cancelled",0,IF($W1126&lt;&gt;"",IFERROR(IF(INDEX(CASHBACK_RULES!$B$5:$B$304,MATCH($W1126,CASHBACK_RULES!$A$5:$A$304,0))=$D1126,MATCH($W1126,CASHBACK_RULES!$A$5:$A$304,0),0),0),IFERROR(MATCH(1,INDEX((CASHBACK_RULES!$B$5:$B$304=$D1126)*(CASHBACK_RULES!$G$5:$G$304=$I1126)*(((CASHBACK_RULES!$N$5:$N$304="")+(CASHBACK_RULES!$N$5:$N$304&lt;=$B1126))&gt;0)*(((CASHBACK_RULES!$O$5:$O$304="")+(CASHBACK_RULES!$O$5:$O$304&gt;=$B1126))&gt;0)*(((CASHBACK_RULES!$M$5:$M$304="")+(CASHBACK_RULES!$M$5:$M$304&lt;=$L1126))&gt;0),0),0),0))))</f>
        <v>0</v>
      </c>
      <c r="AD1126" s="51" t="str">
        <f>IF(OR($B1126="",$D1126=""),"",IFERROR(IF(INDEX(CARDS!$H$5:$H$34,MATCH($D1126,CARDS!$A$5:$A$34,0))="","",IF(DAY($B1126)&lt;=INDEX(CARDS!$H$5:$H$34,MATCH($D1126,CARDS!$A$5:$A$34,0)),DATE(YEAR($B1126),MONTH($B1126),MIN(INDEX(CARDS!$H$5:$H$34,MATCH($D1126,CARDS!$A$5:$A$34,0)),DAY(EOMONTH($B1126,0)))),DATE(YEAR($B1126),MONTH($B1126)+1,MIN(INDEX(CARDS!$H$5:$H$34,MATCH($D1126,CARDS!$A$5:$A$34,0)),DAY(EOMONTH($B1126,1)))))),""))</f>
        <v/>
      </c>
      <c r="AE1126" s="52" t="str">
        <f>IF($C1126="","",$C1126&amp;"|"&amp;COUNTIF($C$5:$C1126,$C1126))</f>
        <v/>
      </c>
      <c r="AF1126" s="53">
        <f>IF($AC1126&gt;0,SUMIFS(Q$4:Q1125,$D$4:$D1125,$D1126,$Z$4:$Z1125,$Z1126,$C$4:$C1125,$C1126),0)</f>
        <v>0</v>
      </c>
      <c r="AG1126" s="53">
        <f>IF($AC1126&gt;0,SUMIFS(Q$4:Q1125,$D$4:$D1125,$D1126,$C$4:$C1125,$C1126),0)</f>
        <v>0</v>
      </c>
      <c r="AH1126" s="53">
        <f>IF($AC1126&gt;0,SUMIFS(M$4:M1125,$D$4:$D1125,$D1126,$Z$4:$Z1125,$Z1126,$C$4:$C1125,$C1126),0)</f>
        <v>0</v>
      </c>
      <c r="AI1126" s="43">
        <f>IF(OR($C1126="",$I1126=""),0,IF(COUNTIFS($C$5:$C1126,$C1126,$I$5:$I1126,$I1126)=1,1,0))</f>
        <v>0</v>
      </c>
      <c r="AJ1126" s="43" t="str">
        <f>IF($AI1126=1,SUMIFS($AI$4:$AI1125,$C$4:$C1125,$C1126)+1,"")</f>
        <v/>
      </c>
      <c r="AK1126" s="43">
        <f>IF(OR($C1126="",$K1126=""),0,IF(COUNTIFS($C$5:$C1126,$C1126,$K$5:$K1126,$K1126)=1,1,0))</f>
        <v>0</v>
      </c>
      <c r="AL1126" s="43" t="str">
        <f>IF($AK1126=1,SUMIFS($AK$4:$AK1125,$C$4:$C1125,$C1126)+1,"")</f>
        <v/>
      </c>
      <c r="AM1126" s="43">
        <f>IF(OR($C1126="",$G1126=""),0,IF(COUNTIFS($C$5:$C1126,$C1126,$G$5:$G1126,$G1126)=1,1,0))</f>
        <v>0</v>
      </c>
      <c r="AN1126" s="43" t="str">
        <f>IF($AM1126=1,SUMIFS($AM$4:$AM1125,$C$4:$C1125,$C1126)+1,"")</f>
        <v/>
      </c>
    </row>
    <row r="1127">
      <c r="A1127" s="44" t="str">
        <f>IF(OR($B1127="",$D1127=""),"","TX"&amp;TEXT(ROW()-4,"0000"))</f>
        <v/>
      </c>
      <c r="B1127" s="42" t="n"/>
      <c r="C1127" s="47" t="str">
        <f>IF($B1127="","",YEAR($B1127)*100+MONTH($B1127))</f>
        <v/>
      </c>
      <c r="D1127" s="37" t="n"/>
      <c r="E1127" s="45" t="str">
        <f>IF($D1127="","",IFERROR(INDEX(CARDS!$B$5:$B$34,MATCH($D1127,CARDS!$A$5:$A$34,0)),"⚠ Card ID?"))</f>
        <v/>
      </c>
      <c r="F1127" s="45" t="str">
        <f>IF($D1127="","",IFERROR(INDEX(CARDS!$C$5:$C$34,MATCH($D1127,CARDS!$A$5:$A$34,0)),"⚠ Card ID?"))</f>
        <v/>
      </c>
      <c r="G1127" s="37" t="n"/>
      <c r="H1127" s="37" t="n"/>
      <c r="I1127" s="41" t="n"/>
      <c r="J1127" s="45" t="str">
        <f>IF($I1127="","",IFERROR(INDEX(MCC_MASTER!$B$5:$B$504,MATCH($I1127,MCC_MASTER!$A$5:$A$504,0)),"⚠ MCC chưa có"))</f>
        <v/>
      </c>
      <c r="K1127" s="45" t="str">
        <f>IF($I1127="","",IFERROR(IF(INDEX(MCC_MASTER!$C$5:$C$504,MATCH($I1127,MCC_MASTER!$A$5:$A$504,0))="","Chưa phân loại",INDEX(MCC_MASTER!$C$5:$C$504,MATCH($I1127,MCC_MASTER!$A$5:$A$504,0))),"Chưa phân loại"))</f>
        <v/>
      </c>
      <c r="L1127" s="40" t="n"/>
      <c r="M1127" s="48" t="str">
        <f>IF(OR($B1127="",$D1127=""),"",IF($AC1127=0,0,IF(ISNUMBER(INDEX(CASHBACK_RULES!$L$5:$L$304,$AC1127)),MAX(0,MIN($L1127,INDEX(CASHBACK_RULES!$L$5:$L$304,$AC1127)-$AH1127)),MAX(0,$L1127))))</f>
        <v/>
      </c>
      <c r="N1127" s="49" t="str">
        <f>IF(OR($B1127="",$D1127=""),"",IF($AC1127&gt;0,INDEX(CASHBACK_RULES!$I$5:$I$304,$AC1127),0))</f>
        <v/>
      </c>
      <c r="O1127" s="48" t="str">
        <f>IF(OR($B1127="",$D1127=""),"",ROUND($M1127*$N1127,0))</f>
        <v/>
      </c>
      <c r="P1127" s="48" t="str">
        <f>IF($AC1127&gt;0,IF(ISNUMBER(INDEX(CASHBACK_RULES!$J$5:$J$304,$AC1127)),INDEX(CASHBACK_RULES!$J$5:$J$304,$AC1127),"∞"),"")</f>
        <v/>
      </c>
      <c r="Q1127" s="48" t="str">
        <f>IF(OR($B1127="",$D1127=""),"",IF($AC1127=0,0,MAX(0,MIN($O1127,IF(ISNUMBER($P1127),$P1127-$AF1127,1E+15),IF(ISNUMBER($AA1127),$AA1127-$AG1127,1E+15)))))</f>
        <v/>
      </c>
      <c r="R1127" s="48" t="str">
        <f>IF(OR($B1127="",$D1127=""),"",IF($AC1127=0,"",IF(AND(NOT(ISNUMBER($P1127)),NOT(ISNUMBER($AA1127))),"∞",MAX(0,MIN(IF(ISNUMBER($P1127),$P1127-$AF1127-$Q1127,1E+15),IF(ISNUMBER($AA1127),$AA1127-$AG1127-$Q1127,1E+15))))))</f>
        <v/>
      </c>
      <c r="S1127" s="47" t="str">
        <f>IF($AD1127="","",YEAR($AD1127)*100+MONTH($AD1127))</f>
        <v/>
      </c>
      <c r="T1127" s="50" t="str">
        <f>IF($AD1127="","",IFERROR(IF(INDEX(CARDS!$I$5:$I$34,MATCH($D1127,CARDS!$A$5:$A$34,0))="","",IF(INDEX(CARDS!$I$5:$I$34,MATCH($D1127,CARDS!$A$5:$A$34,0))&gt;INDEX(CARDS!$H$5:$H$34,MATCH($D1127,CARDS!$A$5:$A$34,0)),DATE(YEAR($AD1127),MONTH($AD1127),MIN(INDEX(CARDS!$I$5:$I$34,MATCH($D1127,CARDS!$A$5:$A$34,0)),DAY(EOMONTH($AD1127,0)))),DATE(YEAR($AD1127),MONTH($AD1127)+1,MIN(INDEX(CARDS!$I$5:$I$34,MATCH($D1127,CARDS!$A$5:$A$34,0)),DAY(EOMONTH($AD1127,1)))))),""))</f>
        <v/>
      </c>
      <c r="U1127" s="38" t="n"/>
      <c r="V1127" s="37" t="n"/>
      <c r="W1127" s="38" t="n"/>
      <c r="X1127" s="38" t="n"/>
      <c r="Y1127" s="44" t="str">
        <f>IF($AC1127&gt;0,INDEX(CASHBACK_RULES!$A$5:$A$304,$AC1127),"")</f>
        <v/>
      </c>
      <c r="Z1127" s="45" t="str">
        <f>IF($AC1127&gt;0,INDEX(CASHBACK_RULES!$E$5:$E$304,$AC1127)&amp;"","")</f>
        <v/>
      </c>
      <c r="AA1127" s="48" t="str">
        <f>IF($AC1127&gt;0,IF(ISNUMBER(INDEX(CASHBACK_RULES!$K$5:$K$304,$AC1127)),INDEX(CASHBACK_RULES!$K$5:$K$304,$AC1127),"∞"),"")</f>
        <v/>
      </c>
      <c r="AB1127" s="44" t="str">
        <f>IF(OR($B1127="",$D1127=""),"",IF($U1127="Cancelled","Đã hủy",IF($AC1127=0,"Không được hoàn",IF($Q1127=0,IF(OR($O1127&gt;0,$M1127&lt;$L1127),"Đã đạt cap","Không được hoàn"),IF(OR($Q1127&lt;$O1127,$M1127&lt;$L1127),"Hoàn một phần","Được hoàn")))))</f>
        <v/>
      </c>
      <c r="AC1127" s="43">
        <f>IF(OR($B1127="",$D1127="",$I1127="",$L1127=""),0,IF($U1127="Cancelled",0,IF($W1127&lt;&gt;"",IFERROR(IF(INDEX(CASHBACK_RULES!$B$5:$B$304,MATCH($W1127,CASHBACK_RULES!$A$5:$A$304,0))=$D1127,MATCH($W1127,CASHBACK_RULES!$A$5:$A$304,0),0),0),IFERROR(MATCH(1,INDEX((CASHBACK_RULES!$B$5:$B$304=$D1127)*(CASHBACK_RULES!$G$5:$G$304=$I1127)*(((CASHBACK_RULES!$N$5:$N$304="")+(CASHBACK_RULES!$N$5:$N$304&lt;=$B1127))&gt;0)*(((CASHBACK_RULES!$O$5:$O$304="")+(CASHBACK_RULES!$O$5:$O$304&gt;=$B1127))&gt;0)*(((CASHBACK_RULES!$M$5:$M$304="")+(CASHBACK_RULES!$M$5:$M$304&lt;=$L1127))&gt;0),0),0),0))))</f>
        <v>0</v>
      </c>
      <c r="AD1127" s="51" t="str">
        <f>IF(OR($B1127="",$D1127=""),"",IFERROR(IF(INDEX(CARDS!$H$5:$H$34,MATCH($D1127,CARDS!$A$5:$A$34,0))="","",IF(DAY($B1127)&lt;=INDEX(CARDS!$H$5:$H$34,MATCH($D1127,CARDS!$A$5:$A$34,0)),DATE(YEAR($B1127),MONTH($B1127),MIN(INDEX(CARDS!$H$5:$H$34,MATCH($D1127,CARDS!$A$5:$A$34,0)),DAY(EOMONTH($B1127,0)))),DATE(YEAR($B1127),MONTH($B1127)+1,MIN(INDEX(CARDS!$H$5:$H$34,MATCH($D1127,CARDS!$A$5:$A$34,0)),DAY(EOMONTH($B1127,1)))))),""))</f>
        <v/>
      </c>
      <c r="AE1127" s="52" t="str">
        <f>IF($C1127="","",$C1127&amp;"|"&amp;COUNTIF($C$5:$C1127,$C1127))</f>
        <v/>
      </c>
      <c r="AF1127" s="53">
        <f>IF($AC1127&gt;0,SUMIFS(Q$4:Q1126,$D$4:$D1126,$D1127,$Z$4:$Z1126,$Z1127,$C$4:$C1126,$C1127),0)</f>
        <v>0</v>
      </c>
      <c r="AG1127" s="53">
        <f>IF($AC1127&gt;0,SUMIFS(Q$4:Q1126,$D$4:$D1126,$D1127,$C$4:$C1126,$C1127),0)</f>
        <v>0</v>
      </c>
      <c r="AH1127" s="53">
        <f>IF($AC1127&gt;0,SUMIFS(M$4:M1126,$D$4:$D1126,$D1127,$Z$4:$Z1126,$Z1127,$C$4:$C1126,$C1127),0)</f>
        <v>0</v>
      </c>
      <c r="AI1127" s="43">
        <f>IF(OR($C1127="",$I1127=""),0,IF(COUNTIFS($C$5:$C1127,$C1127,$I$5:$I1127,$I1127)=1,1,0))</f>
        <v>0</v>
      </c>
      <c r="AJ1127" s="43" t="str">
        <f>IF($AI1127=1,SUMIFS($AI$4:$AI1126,$C$4:$C1126,$C1127)+1,"")</f>
        <v/>
      </c>
      <c r="AK1127" s="43">
        <f>IF(OR($C1127="",$K1127=""),0,IF(COUNTIFS($C$5:$C1127,$C1127,$K$5:$K1127,$K1127)=1,1,0))</f>
        <v>0</v>
      </c>
      <c r="AL1127" s="43" t="str">
        <f>IF($AK1127=1,SUMIFS($AK$4:$AK1126,$C$4:$C1126,$C1127)+1,"")</f>
        <v/>
      </c>
      <c r="AM1127" s="43">
        <f>IF(OR($C1127="",$G1127=""),0,IF(COUNTIFS($C$5:$C1127,$C1127,$G$5:$G1127,$G1127)=1,1,0))</f>
        <v>0</v>
      </c>
      <c r="AN1127" s="43" t="str">
        <f>IF($AM1127=1,SUMIFS($AM$4:$AM1126,$C$4:$C1126,$C1127)+1,"")</f>
        <v/>
      </c>
    </row>
    <row r="1128">
      <c r="A1128" s="44" t="str">
        <f>IF(OR($B1128="",$D1128=""),"","TX"&amp;TEXT(ROW()-4,"0000"))</f>
        <v/>
      </c>
      <c r="B1128" s="42" t="n"/>
      <c r="C1128" s="47" t="str">
        <f>IF($B1128="","",YEAR($B1128)*100+MONTH($B1128))</f>
        <v/>
      </c>
      <c r="D1128" s="37" t="n"/>
      <c r="E1128" s="45" t="str">
        <f>IF($D1128="","",IFERROR(INDEX(CARDS!$B$5:$B$34,MATCH($D1128,CARDS!$A$5:$A$34,0)),"⚠ Card ID?"))</f>
        <v/>
      </c>
      <c r="F1128" s="45" t="str">
        <f>IF($D1128="","",IFERROR(INDEX(CARDS!$C$5:$C$34,MATCH($D1128,CARDS!$A$5:$A$34,0)),"⚠ Card ID?"))</f>
        <v/>
      </c>
      <c r="G1128" s="37" t="n"/>
      <c r="H1128" s="37" t="n"/>
      <c r="I1128" s="41" t="n"/>
      <c r="J1128" s="45" t="str">
        <f>IF($I1128="","",IFERROR(INDEX(MCC_MASTER!$B$5:$B$504,MATCH($I1128,MCC_MASTER!$A$5:$A$504,0)),"⚠ MCC chưa có"))</f>
        <v/>
      </c>
      <c r="K1128" s="45" t="str">
        <f>IF($I1128="","",IFERROR(IF(INDEX(MCC_MASTER!$C$5:$C$504,MATCH($I1128,MCC_MASTER!$A$5:$A$504,0))="","Chưa phân loại",INDEX(MCC_MASTER!$C$5:$C$504,MATCH($I1128,MCC_MASTER!$A$5:$A$504,0))),"Chưa phân loại"))</f>
        <v/>
      </c>
      <c r="L1128" s="40" t="n"/>
      <c r="M1128" s="48" t="str">
        <f>IF(OR($B1128="",$D1128=""),"",IF($AC1128=0,0,IF(ISNUMBER(INDEX(CASHBACK_RULES!$L$5:$L$304,$AC1128)),MAX(0,MIN($L1128,INDEX(CASHBACK_RULES!$L$5:$L$304,$AC1128)-$AH1128)),MAX(0,$L1128))))</f>
        <v/>
      </c>
      <c r="N1128" s="49" t="str">
        <f>IF(OR($B1128="",$D1128=""),"",IF($AC1128&gt;0,INDEX(CASHBACK_RULES!$I$5:$I$304,$AC1128),0))</f>
        <v/>
      </c>
      <c r="O1128" s="48" t="str">
        <f>IF(OR($B1128="",$D1128=""),"",ROUND($M1128*$N1128,0))</f>
        <v/>
      </c>
      <c r="P1128" s="48" t="str">
        <f>IF($AC1128&gt;0,IF(ISNUMBER(INDEX(CASHBACK_RULES!$J$5:$J$304,$AC1128)),INDEX(CASHBACK_RULES!$J$5:$J$304,$AC1128),"∞"),"")</f>
        <v/>
      </c>
      <c r="Q1128" s="48" t="str">
        <f>IF(OR($B1128="",$D1128=""),"",IF($AC1128=0,0,MAX(0,MIN($O1128,IF(ISNUMBER($P1128),$P1128-$AF1128,1E+15),IF(ISNUMBER($AA1128),$AA1128-$AG1128,1E+15)))))</f>
        <v/>
      </c>
      <c r="R1128" s="48" t="str">
        <f>IF(OR($B1128="",$D1128=""),"",IF($AC1128=0,"",IF(AND(NOT(ISNUMBER($P1128)),NOT(ISNUMBER($AA1128))),"∞",MAX(0,MIN(IF(ISNUMBER($P1128),$P1128-$AF1128-$Q1128,1E+15),IF(ISNUMBER($AA1128),$AA1128-$AG1128-$Q1128,1E+15))))))</f>
        <v/>
      </c>
      <c r="S1128" s="47" t="str">
        <f>IF($AD1128="","",YEAR($AD1128)*100+MONTH($AD1128))</f>
        <v/>
      </c>
      <c r="T1128" s="50" t="str">
        <f>IF($AD1128="","",IFERROR(IF(INDEX(CARDS!$I$5:$I$34,MATCH($D1128,CARDS!$A$5:$A$34,0))="","",IF(INDEX(CARDS!$I$5:$I$34,MATCH($D1128,CARDS!$A$5:$A$34,0))&gt;INDEX(CARDS!$H$5:$H$34,MATCH($D1128,CARDS!$A$5:$A$34,0)),DATE(YEAR($AD1128),MONTH($AD1128),MIN(INDEX(CARDS!$I$5:$I$34,MATCH($D1128,CARDS!$A$5:$A$34,0)),DAY(EOMONTH($AD1128,0)))),DATE(YEAR($AD1128),MONTH($AD1128)+1,MIN(INDEX(CARDS!$I$5:$I$34,MATCH($D1128,CARDS!$A$5:$A$34,0)),DAY(EOMONTH($AD1128,1)))))),""))</f>
        <v/>
      </c>
      <c r="U1128" s="38" t="n"/>
      <c r="V1128" s="37" t="n"/>
      <c r="W1128" s="38" t="n"/>
      <c r="X1128" s="38" t="n"/>
      <c r="Y1128" s="44" t="str">
        <f>IF($AC1128&gt;0,INDEX(CASHBACK_RULES!$A$5:$A$304,$AC1128),"")</f>
        <v/>
      </c>
      <c r="Z1128" s="45" t="str">
        <f>IF($AC1128&gt;0,INDEX(CASHBACK_RULES!$E$5:$E$304,$AC1128)&amp;"","")</f>
        <v/>
      </c>
      <c r="AA1128" s="48" t="str">
        <f>IF($AC1128&gt;0,IF(ISNUMBER(INDEX(CASHBACK_RULES!$K$5:$K$304,$AC1128)),INDEX(CASHBACK_RULES!$K$5:$K$304,$AC1128),"∞"),"")</f>
        <v/>
      </c>
      <c r="AB1128" s="44" t="str">
        <f>IF(OR($B1128="",$D1128=""),"",IF($U1128="Cancelled","Đã hủy",IF($AC1128=0,"Không được hoàn",IF($Q1128=0,IF(OR($O1128&gt;0,$M1128&lt;$L1128),"Đã đạt cap","Không được hoàn"),IF(OR($Q1128&lt;$O1128,$M1128&lt;$L1128),"Hoàn một phần","Được hoàn")))))</f>
        <v/>
      </c>
      <c r="AC1128" s="43">
        <f>IF(OR($B1128="",$D1128="",$I1128="",$L1128=""),0,IF($U1128="Cancelled",0,IF($W1128&lt;&gt;"",IFERROR(IF(INDEX(CASHBACK_RULES!$B$5:$B$304,MATCH($W1128,CASHBACK_RULES!$A$5:$A$304,0))=$D1128,MATCH($W1128,CASHBACK_RULES!$A$5:$A$304,0),0),0),IFERROR(MATCH(1,INDEX((CASHBACK_RULES!$B$5:$B$304=$D1128)*(CASHBACK_RULES!$G$5:$G$304=$I1128)*(((CASHBACK_RULES!$N$5:$N$304="")+(CASHBACK_RULES!$N$5:$N$304&lt;=$B1128))&gt;0)*(((CASHBACK_RULES!$O$5:$O$304="")+(CASHBACK_RULES!$O$5:$O$304&gt;=$B1128))&gt;0)*(((CASHBACK_RULES!$M$5:$M$304="")+(CASHBACK_RULES!$M$5:$M$304&lt;=$L1128))&gt;0),0),0),0))))</f>
        <v>0</v>
      </c>
      <c r="AD1128" s="51" t="str">
        <f>IF(OR($B1128="",$D1128=""),"",IFERROR(IF(INDEX(CARDS!$H$5:$H$34,MATCH($D1128,CARDS!$A$5:$A$34,0))="","",IF(DAY($B1128)&lt;=INDEX(CARDS!$H$5:$H$34,MATCH($D1128,CARDS!$A$5:$A$34,0)),DATE(YEAR($B1128),MONTH($B1128),MIN(INDEX(CARDS!$H$5:$H$34,MATCH($D1128,CARDS!$A$5:$A$34,0)),DAY(EOMONTH($B1128,0)))),DATE(YEAR($B1128),MONTH($B1128)+1,MIN(INDEX(CARDS!$H$5:$H$34,MATCH($D1128,CARDS!$A$5:$A$34,0)),DAY(EOMONTH($B1128,1)))))),""))</f>
        <v/>
      </c>
      <c r="AE1128" s="52" t="str">
        <f>IF($C1128="","",$C1128&amp;"|"&amp;COUNTIF($C$5:$C1128,$C1128))</f>
        <v/>
      </c>
      <c r="AF1128" s="53">
        <f>IF($AC1128&gt;0,SUMIFS(Q$4:Q1127,$D$4:$D1127,$D1128,$Z$4:$Z1127,$Z1128,$C$4:$C1127,$C1128),0)</f>
        <v>0</v>
      </c>
      <c r="AG1128" s="53">
        <f>IF($AC1128&gt;0,SUMIFS(Q$4:Q1127,$D$4:$D1127,$D1128,$C$4:$C1127,$C1128),0)</f>
        <v>0</v>
      </c>
      <c r="AH1128" s="53">
        <f>IF($AC1128&gt;0,SUMIFS(M$4:M1127,$D$4:$D1127,$D1128,$Z$4:$Z1127,$Z1128,$C$4:$C1127,$C1128),0)</f>
        <v>0</v>
      </c>
      <c r="AI1128" s="43">
        <f>IF(OR($C1128="",$I1128=""),0,IF(COUNTIFS($C$5:$C1128,$C1128,$I$5:$I1128,$I1128)=1,1,0))</f>
        <v>0</v>
      </c>
      <c r="AJ1128" s="43" t="str">
        <f>IF($AI1128=1,SUMIFS($AI$4:$AI1127,$C$4:$C1127,$C1128)+1,"")</f>
        <v/>
      </c>
      <c r="AK1128" s="43">
        <f>IF(OR($C1128="",$K1128=""),0,IF(COUNTIFS($C$5:$C1128,$C1128,$K$5:$K1128,$K1128)=1,1,0))</f>
        <v>0</v>
      </c>
      <c r="AL1128" s="43" t="str">
        <f>IF($AK1128=1,SUMIFS($AK$4:$AK1127,$C$4:$C1127,$C1128)+1,"")</f>
        <v/>
      </c>
      <c r="AM1128" s="43">
        <f>IF(OR($C1128="",$G1128=""),0,IF(COUNTIFS($C$5:$C1128,$C1128,$G$5:$G1128,$G1128)=1,1,0))</f>
        <v>0</v>
      </c>
      <c r="AN1128" s="43" t="str">
        <f>IF($AM1128=1,SUMIFS($AM$4:$AM1127,$C$4:$C1127,$C1128)+1,"")</f>
        <v/>
      </c>
    </row>
    <row r="1129">
      <c r="A1129" s="44" t="str">
        <f>IF(OR($B1129="",$D1129=""),"","TX"&amp;TEXT(ROW()-4,"0000"))</f>
        <v/>
      </c>
      <c r="B1129" s="42" t="n"/>
      <c r="C1129" s="47" t="str">
        <f>IF($B1129="","",YEAR($B1129)*100+MONTH($B1129))</f>
        <v/>
      </c>
      <c r="D1129" s="37" t="n"/>
      <c r="E1129" s="45" t="str">
        <f>IF($D1129="","",IFERROR(INDEX(CARDS!$B$5:$B$34,MATCH($D1129,CARDS!$A$5:$A$34,0)),"⚠ Card ID?"))</f>
        <v/>
      </c>
      <c r="F1129" s="45" t="str">
        <f>IF($D1129="","",IFERROR(INDEX(CARDS!$C$5:$C$34,MATCH($D1129,CARDS!$A$5:$A$34,0)),"⚠ Card ID?"))</f>
        <v/>
      </c>
      <c r="G1129" s="37" t="n"/>
      <c r="H1129" s="37" t="n"/>
      <c r="I1129" s="41" t="n"/>
      <c r="J1129" s="45" t="str">
        <f>IF($I1129="","",IFERROR(INDEX(MCC_MASTER!$B$5:$B$504,MATCH($I1129,MCC_MASTER!$A$5:$A$504,0)),"⚠ MCC chưa có"))</f>
        <v/>
      </c>
      <c r="K1129" s="45" t="str">
        <f>IF($I1129="","",IFERROR(IF(INDEX(MCC_MASTER!$C$5:$C$504,MATCH($I1129,MCC_MASTER!$A$5:$A$504,0))="","Chưa phân loại",INDEX(MCC_MASTER!$C$5:$C$504,MATCH($I1129,MCC_MASTER!$A$5:$A$504,0))),"Chưa phân loại"))</f>
        <v/>
      </c>
      <c r="L1129" s="40" t="n"/>
      <c r="M1129" s="48" t="str">
        <f>IF(OR($B1129="",$D1129=""),"",IF($AC1129=0,0,IF(ISNUMBER(INDEX(CASHBACK_RULES!$L$5:$L$304,$AC1129)),MAX(0,MIN($L1129,INDEX(CASHBACK_RULES!$L$5:$L$304,$AC1129)-$AH1129)),MAX(0,$L1129))))</f>
        <v/>
      </c>
      <c r="N1129" s="49" t="str">
        <f>IF(OR($B1129="",$D1129=""),"",IF($AC1129&gt;0,INDEX(CASHBACK_RULES!$I$5:$I$304,$AC1129),0))</f>
        <v/>
      </c>
      <c r="O1129" s="48" t="str">
        <f>IF(OR($B1129="",$D1129=""),"",ROUND($M1129*$N1129,0))</f>
        <v/>
      </c>
      <c r="P1129" s="48" t="str">
        <f>IF($AC1129&gt;0,IF(ISNUMBER(INDEX(CASHBACK_RULES!$J$5:$J$304,$AC1129)),INDEX(CASHBACK_RULES!$J$5:$J$304,$AC1129),"∞"),"")</f>
        <v/>
      </c>
      <c r="Q1129" s="48" t="str">
        <f>IF(OR($B1129="",$D1129=""),"",IF($AC1129=0,0,MAX(0,MIN($O1129,IF(ISNUMBER($P1129),$P1129-$AF1129,1E+15),IF(ISNUMBER($AA1129),$AA1129-$AG1129,1E+15)))))</f>
        <v/>
      </c>
      <c r="R1129" s="48" t="str">
        <f>IF(OR($B1129="",$D1129=""),"",IF($AC1129=0,"",IF(AND(NOT(ISNUMBER($P1129)),NOT(ISNUMBER($AA1129))),"∞",MAX(0,MIN(IF(ISNUMBER($P1129),$P1129-$AF1129-$Q1129,1E+15),IF(ISNUMBER($AA1129),$AA1129-$AG1129-$Q1129,1E+15))))))</f>
        <v/>
      </c>
      <c r="S1129" s="47" t="str">
        <f>IF($AD1129="","",YEAR($AD1129)*100+MONTH($AD1129))</f>
        <v/>
      </c>
      <c r="T1129" s="50" t="str">
        <f>IF($AD1129="","",IFERROR(IF(INDEX(CARDS!$I$5:$I$34,MATCH($D1129,CARDS!$A$5:$A$34,0))="","",IF(INDEX(CARDS!$I$5:$I$34,MATCH($D1129,CARDS!$A$5:$A$34,0))&gt;INDEX(CARDS!$H$5:$H$34,MATCH($D1129,CARDS!$A$5:$A$34,0)),DATE(YEAR($AD1129),MONTH($AD1129),MIN(INDEX(CARDS!$I$5:$I$34,MATCH($D1129,CARDS!$A$5:$A$34,0)),DAY(EOMONTH($AD1129,0)))),DATE(YEAR($AD1129),MONTH($AD1129)+1,MIN(INDEX(CARDS!$I$5:$I$34,MATCH($D1129,CARDS!$A$5:$A$34,0)),DAY(EOMONTH($AD1129,1)))))),""))</f>
        <v/>
      </c>
      <c r="U1129" s="38" t="n"/>
      <c r="V1129" s="37" t="n"/>
      <c r="W1129" s="38" t="n"/>
      <c r="X1129" s="38" t="n"/>
      <c r="Y1129" s="44" t="str">
        <f>IF($AC1129&gt;0,INDEX(CASHBACK_RULES!$A$5:$A$304,$AC1129),"")</f>
        <v/>
      </c>
      <c r="Z1129" s="45" t="str">
        <f>IF($AC1129&gt;0,INDEX(CASHBACK_RULES!$E$5:$E$304,$AC1129)&amp;"","")</f>
        <v/>
      </c>
      <c r="AA1129" s="48" t="str">
        <f>IF($AC1129&gt;0,IF(ISNUMBER(INDEX(CASHBACK_RULES!$K$5:$K$304,$AC1129)),INDEX(CASHBACK_RULES!$K$5:$K$304,$AC1129),"∞"),"")</f>
        <v/>
      </c>
      <c r="AB1129" s="44" t="str">
        <f>IF(OR($B1129="",$D1129=""),"",IF($U1129="Cancelled","Đã hủy",IF($AC1129=0,"Không được hoàn",IF($Q1129=0,IF(OR($O1129&gt;0,$M1129&lt;$L1129),"Đã đạt cap","Không được hoàn"),IF(OR($Q1129&lt;$O1129,$M1129&lt;$L1129),"Hoàn một phần","Được hoàn")))))</f>
        <v/>
      </c>
      <c r="AC1129" s="43">
        <f>IF(OR($B1129="",$D1129="",$I1129="",$L1129=""),0,IF($U1129="Cancelled",0,IF($W1129&lt;&gt;"",IFERROR(IF(INDEX(CASHBACK_RULES!$B$5:$B$304,MATCH($W1129,CASHBACK_RULES!$A$5:$A$304,0))=$D1129,MATCH($W1129,CASHBACK_RULES!$A$5:$A$304,0),0),0),IFERROR(MATCH(1,INDEX((CASHBACK_RULES!$B$5:$B$304=$D1129)*(CASHBACK_RULES!$G$5:$G$304=$I1129)*(((CASHBACK_RULES!$N$5:$N$304="")+(CASHBACK_RULES!$N$5:$N$304&lt;=$B1129))&gt;0)*(((CASHBACK_RULES!$O$5:$O$304="")+(CASHBACK_RULES!$O$5:$O$304&gt;=$B1129))&gt;0)*(((CASHBACK_RULES!$M$5:$M$304="")+(CASHBACK_RULES!$M$5:$M$304&lt;=$L1129))&gt;0),0),0),0))))</f>
        <v>0</v>
      </c>
      <c r="AD1129" s="51" t="str">
        <f>IF(OR($B1129="",$D1129=""),"",IFERROR(IF(INDEX(CARDS!$H$5:$H$34,MATCH($D1129,CARDS!$A$5:$A$34,0))="","",IF(DAY($B1129)&lt;=INDEX(CARDS!$H$5:$H$34,MATCH($D1129,CARDS!$A$5:$A$34,0)),DATE(YEAR($B1129),MONTH($B1129),MIN(INDEX(CARDS!$H$5:$H$34,MATCH($D1129,CARDS!$A$5:$A$34,0)),DAY(EOMONTH($B1129,0)))),DATE(YEAR($B1129),MONTH($B1129)+1,MIN(INDEX(CARDS!$H$5:$H$34,MATCH($D1129,CARDS!$A$5:$A$34,0)),DAY(EOMONTH($B1129,1)))))),""))</f>
        <v/>
      </c>
      <c r="AE1129" s="52" t="str">
        <f>IF($C1129="","",$C1129&amp;"|"&amp;COUNTIF($C$5:$C1129,$C1129))</f>
        <v/>
      </c>
      <c r="AF1129" s="53">
        <f>IF($AC1129&gt;0,SUMIFS(Q$4:Q1128,$D$4:$D1128,$D1129,$Z$4:$Z1128,$Z1129,$C$4:$C1128,$C1129),0)</f>
        <v>0</v>
      </c>
      <c r="AG1129" s="53">
        <f>IF($AC1129&gt;0,SUMIFS(Q$4:Q1128,$D$4:$D1128,$D1129,$C$4:$C1128,$C1129),0)</f>
        <v>0</v>
      </c>
      <c r="AH1129" s="53">
        <f>IF($AC1129&gt;0,SUMIFS(M$4:M1128,$D$4:$D1128,$D1129,$Z$4:$Z1128,$Z1129,$C$4:$C1128,$C1129),0)</f>
        <v>0</v>
      </c>
      <c r="AI1129" s="43">
        <f>IF(OR($C1129="",$I1129=""),0,IF(COUNTIFS($C$5:$C1129,$C1129,$I$5:$I1129,$I1129)=1,1,0))</f>
        <v>0</v>
      </c>
      <c r="AJ1129" s="43" t="str">
        <f>IF($AI1129=1,SUMIFS($AI$4:$AI1128,$C$4:$C1128,$C1129)+1,"")</f>
        <v/>
      </c>
      <c r="AK1129" s="43">
        <f>IF(OR($C1129="",$K1129=""),0,IF(COUNTIFS($C$5:$C1129,$C1129,$K$5:$K1129,$K1129)=1,1,0))</f>
        <v>0</v>
      </c>
      <c r="AL1129" s="43" t="str">
        <f>IF($AK1129=1,SUMIFS($AK$4:$AK1128,$C$4:$C1128,$C1129)+1,"")</f>
        <v/>
      </c>
      <c r="AM1129" s="43">
        <f>IF(OR($C1129="",$G1129=""),0,IF(COUNTIFS($C$5:$C1129,$C1129,$G$5:$G1129,$G1129)=1,1,0))</f>
        <v>0</v>
      </c>
      <c r="AN1129" s="43" t="str">
        <f>IF($AM1129=1,SUMIFS($AM$4:$AM1128,$C$4:$C1128,$C1129)+1,"")</f>
        <v/>
      </c>
    </row>
    <row r="1130">
      <c r="A1130" s="44" t="str">
        <f>IF(OR($B1130="",$D1130=""),"","TX"&amp;TEXT(ROW()-4,"0000"))</f>
        <v/>
      </c>
      <c r="B1130" s="42" t="n"/>
      <c r="C1130" s="47" t="str">
        <f>IF($B1130="","",YEAR($B1130)*100+MONTH($B1130))</f>
        <v/>
      </c>
      <c r="D1130" s="37" t="n"/>
      <c r="E1130" s="45" t="str">
        <f>IF($D1130="","",IFERROR(INDEX(CARDS!$B$5:$B$34,MATCH($D1130,CARDS!$A$5:$A$34,0)),"⚠ Card ID?"))</f>
        <v/>
      </c>
      <c r="F1130" s="45" t="str">
        <f>IF($D1130="","",IFERROR(INDEX(CARDS!$C$5:$C$34,MATCH($D1130,CARDS!$A$5:$A$34,0)),"⚠ Card ID?"))</f>
        <v/>
      </c>
      <c r="G1130" s="37" t="n"/>
      <c r="H1130" s="37" t="n"/>
      <c r="I1130" s="41" t="n"/>
      <c r="J1130" s="45" t="str">
        <f>IF($I1130="","",IFERROR(INDEX(MCC_MASTER!$B$5:$B$504,MATCH($I1130,MCC_MASTER!$A$5:$A$504,0)),"⚠ MCC chưa có"))</f>
        <v/>
      </c>
      <c r="K1130" s="45" t="str">
        <f>IF($I1130="","",IFERROR(IF(INDEX(MCC_MASTER!$C$5:$C$504,MATCH($I1130,MCC_MASTER!$A$5:$A$504,0))="","Chưa phân loại",INDEX(MCC_MASTER!$C$5:$C$504,MATCH($I1130,MCC_MASTER!$A$5:$A$504,0))),"Chưa phân loại"))</f>
        <v/>
      </c>
      <c r="L1130" s="40" t="n"/>
      <c r="M1130" s="48" t="str">
        <f>IF(OR($B1130="",$D1130=""),"",IF($AC1130=0,0,IF(ISNUMBER(INDEX(CASHBACK_RULES!$L$5:$L$304,$AC1130)),MAX(0,MIN($L1130,INDEX(CASHBACK_RULES!$L$5:$L$304,$AC1130)-$AH1130)),MAX(0,$L1130))))</f>
        <v/>
      </c>
      <c r="N1130" s="49" t="str">
        <f>IF(OR($B1130="",$D1130=""),"",IF($AC1130&gt;0,INDEX(CASHBACK_RULES!$I$5:$I$304,$AC1130),0))</f>
        <v/>
      </c>
      <c r="O1130" s="48" t="str">
        <f>IF(OR($B1130="",$D1130=""),"",ROUND($M1130*$N1130,0))</f>
        <v/>
      </c>
      <c r="P1130" s="48" t="str">
        <f>IF($AC1130&gt;0,IF(ISNUMBER(INDEX(CASHBACK_RULES!$J$5:$J$304,$AC1130)),INDEX(CASHBACK_RULES!$J$5:$J$304,$AC1130),"∞"),"")</f>
        <v/>
      </c>
      <c r="Q1130" s="48" t="str">
        <f>IF(OR($B1130="",$D1130=""),"",IF($AC1130=0,0,MAX(0,MIN($O1130,IF(ISNUMBER($P1130),$P1130-$AF1130,1E+15),IF(ISNUMBER($AA1130),$AA1130-$AG1130,1E+15)))))</f>
        <v/>
      </c>
      <c r="R1130" s="48" t="str">
        <f>IF(OR($B1130="",$D1130=""),"",IF($AC1130=0,"",IF(AND(NOT(ISNUMBER($P1130)),NOT(ISNUMBER($AA1130))),"∞",MAX(0,MIN(IF(ISNUMBER($P1130),$P1130-$AF1130-$Q1130,1E+15),IF(ISNUMBER($AA1130),$AA1130-$AG1130-$Q1130,1E+15))))))</f>
        <v/>
      </c>
      <c r="S1130" s="47" t="str">
        <f>IF($AD1130="","",YEAR($AD1130)*100+MONTH($AD1130))</f>
        <v/>
      </c>
      <c r="T1130" s="50" t="str">
        <f>IF($AD1130="","",IFERROR(IF(INDEX(CARDS!$I$5:$I$34,MATCH($D1130,CARDS!$A$5:$A$34,0))="","",IF(INDEX(CARDS!$I$5:$I$34,MATCH($D1130,CARDS!$A$5:$A$34,0))&gt;INDEX(CARDS!$H$5:$H$34,MATCH($D1130,CARDS!$A$5:$A$34,0)),DATE(YEAR($AD1130),MONTH($AD1130),MIN(INDEX(CARDS!$I$5:$I$34,MATCH($D1130,CARDS!$A$5:$A$34,0)),DAY(EOMONTH($AD1130,0)))),DATE(YEAR($AD1130),MONTH($AD1130)+1,MIN(INDEX(CARDS!$I$5:$I$34,MATCH($D1130,CARDS!$A$5:$A$34,0)),DAY(EOMONTH($AD1130,1)))))),""))</f>
        <v/>
      </c>
      <c r="U1130" s="38" t="n"/>
      <c r="V1130" s="37" t="n"/>
      <c r="W1130" s="38" t="n"/>
      <c r="X1130" s="38" t="n"/>
      <c r="Y1130" s="44" t="str">
        <f>IF($AC1130&gt;0,INDEX(CASHBACK_RULES!$A$5:$A$304,$AC1130),"")</f>
        <v/>
      </c>
      <c r="Z1130" s="45" t="str">
        <f>IF($AC1130&gt;0,INDEX(CASHBACK_RULES!$E$5:$E$304,$AC1130)&amp;"","")</f>
        <v/>
      </c>
      <c r="AA1130" s="48" t="str">
        <f>IF($AC1130&gt;0,IF(ISNUMBER(INDEX(CASHBACK_RULES!$K$5:$K$304,$AC1130)),INDEX(CASHBACK_RULES!$K$5:$K$304,$AC1130),"∞"),"")</f>
        <v/>
      </c>
      <c r="AB1130" s="44" t="str">
        <f>IF(OR($B1130="",$D1130=""),"",IF($U1130="Cancelled","Đã hủy",IF($AC1130=0,"Không được hoàn",IF($Q1130=0,IF(OR($O1130&gt;0,$M1130&lt;$L1130),"Đã đạt cap","Không được hoàn"),IF(OR($Q1130&lt;$O1130,$M1130&lt;$L1130),"Hoàn một phần","Được hoàn")))))</f>
        <v/>
      </c>
      <c r="AC1130" s="43">
        <f>IF(OR($B1130="",$D1130="",$I1130="",$L1130=""),0,IF($U1130="Cancelled",0,IF($W1130&lt;&gt;"",IFERROR(IF(INDEX(CASHBACK_RULES!$B$5:$B$304,MATCH($W1130,CASHBACK_RULES!$A$5:$A$304,0))=$D1130,MATCH($W1130,CASHBACK_RULES!$A$5:$A$304,0),0),0),IFERROR(MATCH(1,INDEX((CASHBACK_RULES!$B$5:$B$304=$D1130)*(CASHBACK_RULES!$G$5:$G$304=$I1130)*(((CASHBACK_RULES!$N$5:$N$304="")+(CASHBACK_RULES!$N$5:$N$304&lt;=$B1130))&gt;0)*(((CASHBACK_RULES!$O$5:$O$304="")+(CASHBACK_RULES!$O$5:$O$304&gt;=$B1130))&gt;0)*(((CASHBACK_RULES!$M$5:$M$304="")+(CASHBACK_RULES!$M$5:$M$304&lt;=$L1130))&gt;0),0),0),0))))</f>
        <v>0</v>
      </c>
      <c r="AD1130" s="51" t="str">
        <f>IF(OR($B1130="",$D1130=""),"",IFERROR(IF(INDEX(CARDS!$H$5:$H$34,MATCH($D1130,CARDS!$A$5:$A$34,0))="","",IF(DAY($B1130)&lt;=INDEX(CARDS!$H$5:$H$34,MATCH($D1130,CARDS!$A$5:$A$34,0)),DATE(YEAR($B1130),MONTH($B1130),MIN(INDEX(CARDS!$H$5:$H$34,MATCH($D1130,CARDS!$A$5:$A$34,0)),DAY(EOMONTH($B1130,0)))),DATE(YEAR($B1130),MONTH($B1130)+1,MIN(INDEX(CARDS!$H$5:$H$34,MATCH($D1130,CARDS!$A$5:$A$34,0)),DAY(EOMONTH($B1130,1)))))),""))</f>
        <v/>
      </c>
      <c r="AE1130" s="52" t="str">
        <f>IF($C1130="","",$C1130&amp;"|"&amp;COUNTIF($C$5:$C1130,$C1130))</f>
        <v/>
      </c>
      <c r="AF1130" s="53">
        <f>IF($AC1130&gt;0,SUMIFS(Q$4:Q1129,$D$4:$D1129,$D1130,$Z$4:$Z1129,$Z1130,$C$4:$C1129,$C1130),0)</f>
        <v>0</v>
      </c>
      <c r="AG1130" s="53">
        <f>IF($AC1130&gt;0,SUMIFS(Q$4:Q1129,$D$4:$D1129,$D1130,$C$4:$C1129,$C1130),0)</f>
        <v>0</v>
      </c>
      <c r="AH1130" s="53">
        <f>IF($AC1130&gt;0,SUMIFS(M$4:M1129,$D$4:$D1129,$D1130,$Z$4:$Z1129,$Z1130,$C$4:$C1129,$C1130),0)</f>
        <v>0</v>
      </c>
      <c r="AI1130" s="43">
        <f>IF(OR($C1130="",$I1130=""),0,IF(COUNTIFS($C$5:$C1130,$C1130,$I$5:$I1130,$I1130)=1,1,0))</f>
        <v>0</v>
      </c>
      <c r="AJ1130" s="43" t="str">
        <f>IF($AI1130=1,SUMIFS($AI$4:$AI1129,$C$4:$C1129,$C1130)+1,"")</f>
        <v/>
      </c>
      <c r="AK1130" s="43">
        <f>IF(OR($C1130="",$K1130=""),0,IF(COUNTIFS($C$5:$C1130,$C1130,$K$5:$K1130,$K1130)=1,1,0))</f>
        <v>0</v>
      </c>
      <c r="AL1130" s="43" t="str">
        <f>IF($AK1130=1,SUMIFS($AK$4:$AK1129,$C$4:$C1129,$C1130)+1,"")</f>
        <v/>
      </c>
      <c r="AM1130" s="43">
        <f>IF(OR($C1130="",$G1130=""),0,IF(COUNTIFS($C$5:$C1130,$C1130,$G$5:$G1130,$G1130)=1,1,0))</f>
        <v>0</v>
      </c>
      <c r="AN1130" s="43" t="str">
        <f>IF($AM1130=1,SUMIFS($AM$4:$AM1129,$C$4:$C1129,$C1130)+1,"")</f>
        <v/>
      </c>
    </row>
    <row r="1131">
      <c r="A1131" s="44" t="str">
        <f>IF(OR($B1131="",$D1131=""),"","TX"&amp;TEXT(ROW()-4,"0000"))</f>
        <v/>
      </c>
      <c r="B1131" s="42" t="n"/>
      <c r="C1131" s="47" t="str">
        <f>IF($B1131="","",YEAR($B1131)*100+MONTH($B1131))</f>
        <v/>
      </c>
      <c r="D1131" s="37" t="n"/>
      <c r="E1131" s="45" t="str">
        <f>IF($D1131="","",IFERROR(INDEX(CARDS!$B$5:$B$34,MATCH($D1131,CARDS!$A$5:$A$34,0)),"⚠ Card ID?"))</f>
        <v/>
      </c>
      <c r="F1131" s="45" t="str">
        <f>IF($D1131="","",IFERROR(INDEX(CARDS!$C$5:$C$34,MATCH($D1131,CARDS!$A$5:$A$34,0)),"⚠ Card ID?"))</f>
        <v/>
      </c>
      <c r="G1131" s="37" t="n"/>
      <c r="H1131" s="37" t="n"/>
      <c r="I1131" s="41" t="n"/>
      <c r="J1131" s="45" t="str">
        <f>IF($I1131="","",IFERROR(INDEX(MCC_MASTER!$B$5:$B$504,MATCH($I1131,MCC_MASTER!$A$5:$A$504,0)),"⚠ MCC chưa có"))</f>
        <v/>
      </c>
      <c r="K1131" s="45" t="str">
        <f>IF($I1131="","",IFERROR(IF(INDEX(MCC_MASTER!$C$5:$C$504,MATCH($I1131,MCC_MASTER!$A$5:$A$504,0))="","Chưa phân loại",INDEX(MCC_MASTER!$C$5:$C$504,MATCH($I1131,MCC_MASTER!$A$5:$A$504,0))),"Chưa phân loại"))</f>
        <v/>
      </c>
      <c r="L1131" s="40" t="n"/>
      <c r="M1131" s="48" t="str">
        <f>IF(OR($B1131="",$D1131=""),"",IF($AC1131=0,0,IF(ISNUMBER(INDEX(CASHBACK_RULES!$L$5:$L$304,$AC1131)),MAX(0,MIN($L1131,INDEX(CASHBACK_RULES!$L$5:$L$304,$AC1131)-$AH1131)),MAX(0,$L1131))))</f>
        <v/>
      </c>
      <c r="N1131" s="49" t="str">
        <f>IF(OR($B1131="",$D1131=""),"",IF($AC1131&gt;0,INDEX(CASHBACK_RULES!$I$5:$I$304,$AC1131),0))</f>
        <v/>
      </c>
      <c r="O1131" s="48" t="str">
        <f>IF(OR($B1131="",$D1131=""),"",ROUND($M1131*$N1131,0))</f>
        <v/>
      </c>
      <c r="P1131" s="48" t="str">
        <f>IF($AC1131&gt;0,IF(ISNUMBER(INDEX(CASHBACK_RULES!$J$5:$J$304,$AC1131)),INDEX(CASHBACK_RULES!$J$5:$J$304,$AC1131),"∞"),"")</f>
        <v/>
      </c>
      <c r="Q1131" s="48" t="str">
        <f>IF(OR($B1131="",$D1131=""),"",IF($AC1131=0,0,MAX(0,MIN($O1131,IF(ISNUMBER($P1131),$P1131-$AF1131,1E+15),IF(ISNUMBER($AA1131),$AA1131-$AG1131,1E+15)))))</f>
        <v/>
      </c>
      <c r="R1131" s="48" t="str">
        <f>IF(OR($B1131="",$D1131=""),"",IF($AC1131=0,"",IF(AND(NOT(ISNUMBER($P1131)),NOT(ISNUMBER($AA1131))),"∞",MAX(0,MIN(IF(ISNUMBER($P1131),$P1131-$AF1131-$Q1131,1E+15),IF(ISNUMBER($AA1131),$AA1131-$AG1131-$Q1131,1E+15))))))</f>
        <v/>
      </c>
      <c r="S1131" s="47" t="str">
        <f>IF($AD1131="","",YEAR($AD1131)*100+MONTH($AD1131))</f>
        <v/>
      </c>
      <c r="T1131" s="50" t="str">
        <f>IF($AD1131="","",IFERROR(IF(INDEX(CARDS!$I$5:$I$34,MATCH($D1131,CARDS!$A$5:$A$34,0))="","",IF(INDEX(CARDS!$I$5:$I$34,MATCH($D1131,CARDS!$A$5:$A$34,0))&gt;INDEX(CARDS!$H$5:$H$34,MATCH($D1131,CARDS!$A$5:$A$34,0)),DATE(YEAR($AD1131),MONTH($AD1131),MIN(INDEX(CARDS!$I$5:$I$34,MATCH($D1131,CARDS!$A$5:$A$34,0)),DAY(EOMONTH($AD1131,0)))),DATE(YEAR($AD1131),MONTH($AD1131)+1,MIN(INDEX(CARDS!$I$5:$I$34,MATCH($D1131,CARDS!$A$5:$A$34,0)),DAY(EOMONTH($AD1131,1)))))),""))</f>
        <v/>
      </c>
      <c r="U1131" s="38" t="n"/>
      <c r="V1131" s="37" t="n"/>
      <c r="W1131" s="38" t="n"/>
      <c r="X1131" s="38" t="n"/>
      <c r="Y1131" s="44" t="str">
        <f>IF($AC1131&gt;0,INDEX(CASHBACK_RULES!$A$5:$A$304,$AC1131),"")</f>
        <v/>
      </c>
      <c r="Z1131" s="45" t="str">
        <f>IF($AC1131&gt;0,INDEX(CASHBACK_RULES!$E$5:$E$304,$AC1131)&amp;"","")</f>
        <v/>
      </c>
      <c r="AA1131" s="48" t="str">
        <f>IF($AC1131&gt;0,IF(ISNUMBER(INDEX(CASHBACK_RULES!$K$5:$K$304,$AC1131)),INDEX(CASHBACK_RULES!$K$5:$K$304,$AC1131),"∞"),"")</f>
        <v/>
      </c>
      <c r="AB1131" s="44" t="str">
        <f>IF(OR($B1131="",$D1131=""),"",IF($U1131="Cancelled","Đã hủy",IF($AC1131=0,"Không được hoàn",IF($Q1131=0,IF(OR($O1131&gt;0,$M1131&lt;$L1131),"Đã đạt cap","Không được hoàn"),IF(OR($Q1131&lt;$O1131,$M1131&lt;$L1131),"Hoàn một phần","Được hoàn")))))</f>
        <v/>
      </c>
      <c r="AC1131" s="43">
        <f>IF(OR($B1131="",$D1131="",$I1131="",$L1131=""),0,IF($U1131="Cancelled",0,IF($W1131&lt;&gt;"",IFERROR(IF(INDEX(CASHBACK_RULES!$B$5:$B$304,MATCH($W1131,CASHBACK_RULES!$A$5:$A$304,0))=$D1131,MATCH($W1131,CASHBACK_RULES!$A$5:$A$304,0),0),0),IFERROR(MATCH(1,INDEX((CASHBACK_RULES!$B$5:$B$304=$D1131)*(CASHBACK_RULES!$G$5:$G$304=$I1131)*(((CASHBACK_RULES!$N$5:$N$304="")+(CASHBACK_RULES!$N$5:$N$304&lt;=$B1131))&gt;0)*(((CASHBACK_RULES!$O$5:$O$304="")+(CASHBACK_RULES!$O$5:$O$304&gt;=$B1131))&gt;0)*(((CASHBACK_RULES!$M$5:$M$304="")+(CASHBACK_RULES!$M$5:$M$304&lt;=$L1131))&gt;0),0),0),0))))</f>
        <v>0</v>
      </c>
      <c r="AD1131" s="51" t="str">
        <f>IF(OR($B1131="",$D1131=""),"",IFERROR(IF(INDEX(CARDS!$H$5:$H$34,MATCH($D1131,CARDS!$A$5:$A$34,0))="","",IF(DAY($B1131)&lt;=INDEX(CARDS!$H$5:$H$34,MATCH($D1131,CARDS!$A$5:$A$34,0)),DATE(YEAR($B1131),MONTH($B1131),MIN(INDEX(CARDS!$H$5:$H$34,MATCH($D1131,CARDS!$A$5:$A$34,0)),DAY(EOMONTH($B1131,0)))),DATE(YEAR($B1131),MONTH($B1131)+1,MIN(INDEX(CARDS!$H$5:$H$34,MATCH($D1131,CARDS!$A$5:$A$34,0)),DAY(EOMONTH($B1131,1)))))),""))</f>
        <v/>
      </c>
      <c r="AE1131" s="52" t="str">
        <f>IF($C1131="","",$C1131&amp;"|"&amp;COUNTIF($C$5:$C1131,$C1131))</f>
        <v/>
      </c>
      <c r="AF1131" s="53">
        <f>IF($AC1131&gt;0,SUMIFS(Q$4:Q1130,$D$4:$D1130,$D1131,$Z$4:$Z1130,$Z1131,$C$4:$C1130,$C1131),0)</f>
        <v>0</v>
      </c>
      <c r="AG1131" s="53">
        <f>IF($AC1131&gt;0,SUMIFS(Q$4:Q1130,$D$4:$D1130,$D1131,$C$4:$C1130,$C1131),0)</f>
        <v>0</v>
      </c>
      <c r="AH1131" s="53">
        <f>IF($AC1131&gt;0,SUMIFS(M$4:M1130,$D$4:$D1130,$D1131,$Z$4:$Z1130,$Z1131,$C$4:$C1130,$C1131),0)</f>
        <v>0</v>
      </c>
      <c r="AI1131" s="43">
        <f>IF(OR($C1131="",$I1131=""),0,IF(COUNTIFS($C$5:$C1131,$C1131,$I$5:$I1131,$I1131)=1,1,0))</f>
        <v>0</v>
      </c>
      <c r="AJ1131" s="43" t="str">
        <f>IF($AI1131=1,SUMIFS($AI$4:$AI1130,$C$4:$C1130,$C1131)+1,"")</f>
        <v/>
      </c>
      <c r="AK1131" s="43">
        <f>IF(OR($C1131="",$K1131=""),0,IF(COUNTIFS($C$5:$C1131,$C1131,$K$5:$K1131,$K1131)=1,1,0))</f>
        <v>0</v>
      </c>
      <c r="AL1131" s="43" t="str">
        <f>IF($AK1131=1,SUMIFS($AK$4:$AK1130,$C$4:$C1130,$C1131)+1,"")</f>
        <v/>
      </c>
      <c r="AM1131" s="43">
        <f>IF(OR($C1131="",$G1131=""),0,IF(COUNTIFS($C$5:$C1131,$C1131,$G$5:$G1131,$G1131)=1,1,0))</f>
        <v>0</v>
      </c>
      <c r="AN1131" s="43" t="str">
        <f>IF($AM1131=1,SUMIFS($AM$4:$AM1130,$C$4:$C1130,$C1131)+1,"")</f>
        <v/>
      </c>
    </row>
    <row r="1132">
      <c r="A1132" s="44" t="str">
        <f>IF(OR($B1132="",$D1132=""),"","TX"&amp;TEXT(ROW()-4,"0000"))</f>
        <v/>
      </c>
      <c r="B1132" s="42" t="n"/>
      <c r="C1132" s="47" t="str">
        <f>IF($B1132="","",YEAR($B1132)*100+MONTH($B1132))</f>
        <v/>
      </c>
      <c r="D1132" s="37" t="n"/>
      <c r="E1132" s="45" t="str">
        <f>IF($D1132="","",IFERROR(INDEX(CARDS!$B$5:$B$34,MATCH($D1132,CARDS!$A$5:$A$34,0)),"⚠ Card ID?"))</f>
        <v/>
      </c>
      <c r="F1132" s="45" t="str">
        <f>IF($D1132="","",IFERROR(INDEX(CARDS!$C$5:$C$34,MATCH($D1132,CARDS!$A$5:$A$34,0)),"⚠ Card ID?"))</f>
        <v/>
      </c>
      <c r="G1132" s="37" t="n"/>
      <c r="H1132" s="37" t="n"/>
      <c r="I1132" s="41" t="n"/>
      <c r="J1132" s="45" t="str">
        <f>IF($I1132="","",IFERROR(INDEX(MCC_MASTER!$B$5:$B$504,MATCH($I1132,MCC_MASTER!$A$5:$A$504,0)),"⚠ MCC chưa có"))</f>
        <v/>
      </c>
      <c r="K1132" s="45" t="str">
        <f>IF($I1132="","",IFERROR(IF(INDEX(MCC_MASTER!$C$5:$C$504,MATCH($I1132,MCC_MASTER!$A$5:$A$504,0))="","Chưa phân loại",INDEX(MCC_MASTER!$C$5:$C$504,MATCH($I1132,MCC_MASTER!$A$5:$A$504,0))),"Chưa phân loại"))</f>
        <v/>
      </c>
      <c r="L1132" s="40" t="n"/>
      <c r="M1132" s="48" t="str">
        <f>IF(OR($B1132="",$D1132=""),"",IF($AC1132=0,0,IF(ISNUMBER(INDEX(CASHBACK_RULES!$L$5:$L$304,$AC1132)),MAX(0,MIN($L1132,INDEX(CASHBACK_RULES!$L$5:$L$304,$AC1132)-$AH1132)),MAX(0,$L1132))))</f>
        <v/>
      </c>
      <c r="N1132" s="49" t="str">
        <f>IF(OR($B1132="",$D1132=""),"",IF($AC1132&gt;0,INDEX(CASHBACK_RULES!$I$5:$I$304,$AC1132),0))</f>
        <v/>
      </c>
      <c r="O1132" s="48" t="str">
        <f>IF(OR($B1132="",$D1132=""),"",ROUND($M1132*$N1132,0))</f>
        <v/>
      </c>
      <c r="P1132" s="48" t="str">
        <f>IF($AC1132&gt;0,IF(ISNUMBER(INDEX(CASHBACK_RULES!$J$5:$J$304,$AC1132)),INDEX(CASHBACK_RULES!$J$5:$J$304,$AC1132),"∞"),"")</f>
        <v/>
      </c>
      <c r="Q1132" s="48" t="str">
        <f>IF(OR($B1132="",$D1132=""),"",IF($AC1132=0,0,MAX(0,MIN($O1132,IF(ISNUMBER($P1132),$P1132-$AF1132,1E+15),IF(ISNUMBER($AA1132),$AA1132-$AG1132,1E+15)))))</f>
        <v/>
      </c>
      <c r="R1132" s="48" t="str">
        <f>IF(OR($B1132="",$D1132=""),"",IF($AC1132=0,"",IF(AND(NOT(ISNUMBER($P1132)),NOT(ISNUMBER($AA1132))),"∞",MAX(0,MIN(IF(ISNUMBER($P1132),$P1132-$AF1132-$Q1132,1E+15),IF(ISNUMBER($AA1132),$AA1132-$AG1132-$Q1132,1E+15))))))</f>
        <v/>
      </c>
      <c r="S1132" s="47" t="str">
        <f>IF($AD1132="","",YEAR($AD1132)*100+MONTH($AD1132))</f>
        <v/>
      </c>
      <c r="T1132" s="50" t="str">
        <f>IF($AD1132="","",IFERROR(IF(INDEX(CARDS!$I$5:$I$34,MATCH($D1132,CARDS!$A$5:$A$34,0))="","",IF(INDEX(CARDS!$I$5:$I$34,MATCH($D1132,CARDS!$A$5:$A$34,0))&gt;INDEX(CARDS!$H$5:$H$34,MATCH($D1132,CARDS!$A$5:$A$34,0)),DATE(YEAR($AD1132),MONTH($AD1132),MIN(INDEX(CARDS!$I$5:$I$34,MATCH($D1132,CARDS!$A$5:$A$34,0)),DAY(EOMONTH($AD1132,0)))),DATE(YEAR($AD1132),MONTH($AD1132)+1,MIN(INDEX(CARDS!$I$5:$I$34,MATCH($D1132,CARDS!$A$5:$A$34,0)),DAY(EOMONTH($AD1132,1)))))),""))</f>
        <v/>
      </c>
      <c r="U1132" s="38" t="n"/>
      <c r="V1132" s="37" t="n"/>
      <c r="W1132" s="38" t="n"/>
      <c r="X1132" s="38" t="n"/>
      <c r="Y1132" s="44" t="str">
        <f>IF($AC1132&gt;0,INDEX(CASHBACK_RULES!$A$5:$A$304,$AC1132),"")</f>
        <v/>
      </c>
      <c r="Z1132" s="45" t="str">
        <f>IF($AC1132&gt;0,INDEX(CASHBACK_RULES!$E$5:$E$304,$AC1132)&amp;"","")</f>
        <v/>
      </c>
      <c r="AA1132" s="48" t="str">
        <f>IF($AC1132&gt;0,IF(ISNUMBER(INDEX(CASHBACK_RULES!$K$5:$K$304,$AC1132)),INDEX(CASHBACK_RULES!$K$5:$K$304,$AC1132),"∞"),"")</f>
        <v/>
      </c>
      <c r="AB1132" s="44" t="str">
        <f>IF(OR($B1132="",$D1132=""),"",IF($U1132="Cancelled","Đã hủy",IF($AC1132=0,"Không được hoàn",IF($Q1132=0,IF(OR($O1132&gt;0,$M1132&lt;$L1132),"Đã đạt cap","Không được hoàn"),IF(OR($Q1132&lt;$O1132,$M1132&lt;$L1132),"Hoàn một phần","Được hoàn")))))</f>
        <v/>
      </c>
      <c r="AC1132" s="43">
        <f>IF(OR($B1132="",$D1132="",$I1132="",$L1132=""),0,IF($U1132="Cancelled",0,IF($W1132&lt;&gt;"",IFERROR(IF(INDEX(CASHBACK_RULES!$B$5:$B$304,MATCH($W1132,CASHBACK_RULES!$A$5:$A$304,0))=$D1132,MATCH($W1132,CASHBACK_RULES!$A$5:$A$304,0),0),0),IFERROR(MATCH(1,INDEX((CASHBACK_RULES!$B$5:$B$304=$D1132)*(CASHBACK_RULES!$G$5:$G$304=$I1132)*(((CASHBACK_RULES!$N$5:$N$304="")+(CASHBACK_RULES!$N$5:$N$304&lt;=$B1132))&gt;0)*(((CASHBACK_RULES!$O$5:$O$304="")+(CASHBACK_RULES!$O$5:$O$304&gt;=$B1132))&gt;0)*(((CASHBACK_RULES!$M$5:$M$304="")+(CASHBACK_RULES!$M$5:$M$304&lt;=$L1132))&gt;0),0),0),0))))</f>
        <v>0</v>
      </c>
      <c r="AD1132" s="51" t="str">
        <f>IF(OR($B1132="",$D1132=""),"",IFERROR(IF(INDEX(CARDS!$H$5:$H$34,MATCH($D1132,CARDS!$A$5:$A$34,0))="","",IF(DAY($B1132)&lt;=INDEX(CARDS!$H$5:$H$34,MATCH($D1132,CARDS!$A$5:$A$34,0)),DATE(YEAR($B1132),MONTH($B1132),MIN(INDEX(CARDS!$H$5:$H$34,MATCH($D1132,CARDS!$A$5:$A$34,0)),DAY(EOMONTH($B1132,0)))),DATE(YEAR($B1132),MONTH($B1132)+1,MIN(INDEX(CARDS!$H$5:$H$34,MATCH($D1132,CARDS!$A$5:$A$34,0)),DAY(EOMONTH($B1132,1)))))),""))</f>
        <v/>
      </c>
      <c r="AE1132" s="52" t="str">
        <f>IF($C1132="","",$C1132&amp;"|"&amp;COUNTIF($C$5:$C1132,$C1132))</f>
        <v/>
      </c>
      <c r="AF1132" s="53">
        <f>IF($AC1132&gt;0,SUMIFS(Q$4:Q1131,$D$4:$D1131,$D1132,$Z$4:$Z1131,$Z1132,$C$4:$C1131,$C1132),0)</f>
        <v>0</v>
      </c>
      <c r="AG1132" s="53">
        <f>IF($AC1132&gt;0,SUMIFS(Q$4:Q1131,$D$4:$D1131,$D1132,$C$4:$C1131,$C1132),0)</f>
        <v>0</v>
      </c>
      <c r="AH1132" s="53">
        <f>IF($AC1132&gt;0,SUMIFS(M$4:M1131,$D$4:$D1131,$D1132,$Z$4:$Z1131,$Z1132,$C$4:$C1131,$C1132),0)</f>
        <v>0</v>
      </c>
      <c r="AI1132" s="43">
        <f>IF(OR($C1132="",$I1132=""),0,IF(COUNTIFS($C$5:$C1132,$C1132,$I$5:$I1132,$I1132)=1,1,0))</f>
        <v>0</v>
      </c>
      <c r="AJ1132" s="43" t="str">
        <f>IF($AI1132=1,SUMIFS($AI$4:$AI1131,$C$4:$C1131,$C1132)+1,"")</f>
        <v/>
      </c>
      <c r="AK1132" s="43">
        <f>IF(OR($C1132="",$K1132=""),0,IF(COUNTIFS($C$5:$C1132,$C1132,$K$5:$K1132,$K1132)=1,1,0))</f>
        <v>0</v>
      </c>
      <c r="AL1132" s="43" t="str">
        <f>IF($AK1132=1,SUMIFS($AK$4:$AK1131,$C$4:$C1131,$C1132)+1,"")</f>
        <v/>
      </c>
      <c r="AM1132" s="43">
        <f>IF(OR($C1132="",$G1132=""),0,IF(COUNTIFS($C$5:$C1132,$C1132,$G$5:$G1132,$G1132)=1,1,0))</f>
        <v>0</v>
      </c>
      <c r="AN1132" s="43" t="str">
        <f>IF($AM1132=1,SUMIFS($AM$4:$AM1131,$C$4:$C1131,$C1132)+1,"")</f>
        <v/>
      </c>
    </row>
    <row r="1133">
      <c r="A1133" s="44" t="str">
        <f>IF(OR($B1133="",$D1133=""),"","TX"&amp;TEXT(ROW()-4,"0000"))</f>
        <v/>
      </c>
      <c r="B1133" s="42" t="n"/>
      <c r="C1133" s="47" t="str">
        <f>IF($B1133="","",YEAR($B1133)*100+MONTH($B1133))</f>
        <v/>
      </c>
      <c r="D1133" s="37" t="n"/>
      <c r="E1133" s="45" t="str">
        <f>IF($D1133="","",IFERROR(INDEX(CARDS!$B$5:$B$34,MATCH($D1133,CARDS!$A$5:$A$34,0)),"⚠ Card ID?"))</f>
        <v/>
      </c>
      <c r="F1133" s="45" t="str">
        <f>IF($D1133="","",IFERROR(INDEX(CARDS!$C$5:$C$34,MATCH($D1133,CARDS!$A$5:$A$34,0)),"⚠ Card ID?"))</f>
        <v/>
      </c>
      <c r="G1133" s="37" t="n"/>
      <c r="H1133" s="37" t="n"/>
      <c r="I1133" s="41" t="n"/>
      <c r="J1133" s="45" t="str">
        <f>IF($I1133="","",IFERROR(INDEX(MCC_MASTER!$B$5:$B$504,MATCH($I1133,MCC_MASTER!$A$5:$A$504,0)),"⚠ MCC chưa có"))</f>
        <v/>
      </c>
      <c r="K1133" s="45" t="str">
        <f>IF($I1133="","",IFERROR(IF(INDEX(MCC_MASTER!$C$5:$C$504,MATCH($I1133,MCC_MASTER!$A$5:$A$504,0))="","Chưa phân loại",INDEX(MCC_MASTER!$C$5:$C$504,MATCH($I1133,MCC_MASTER!$A$5:$A$504,0))),"Chưa phân loại"))</f>
        <v/>
      </c>
      <c r="L1133" s="40" t="n"/>
      <c r="M1133" s="48" t="str">
        <f>IF(OR($B1133="",$D1133=""),"",IF($AC1133=0,0,IF(ISNUMBER(INDEX(CASHBACK_RULES!$L$5:$L$304,$AC1133)),MAX(0,MIN($L1133,INDEX(CASHBACK_RULES!$L$5:$L$304,$AC1133)-$AH1133)),MAX(0,$L1133))))</f>
        <v/>
      </c>
      <c r="N1133" s="49" t="str">
        <f>IF(OR($B1133="",$D1133=""),"",IF($AC1133&gt;0,INDEX(CASHBACK_RULES!$I$5:$I$304,$AC1133),0))</f>
        <v/>
      </c>
      <c r="O1133" s="48" t="str">
        <f>IF(OR($B1133="",$D1133=""),"",ROUND($M1133*$N1133,0))</f>
        <v/>
      </c>
      <c r="P1133" s="48" t="str">
        <f>IF($AC1133&gt;0,IF(ISNUMBER(INDEX(CASHBACK_RULES!$J$5:$J$304,$AC1133)),INDEX(CASHBACK_RULES!$J$5:$J$304,$AC1133),"∞"),"")</f>
        <v/>
      </c>
      <c r="Q1133" s="48" t="str">
        <f>IF(OR($B1133="",$D1133=""),"",IF($AC1133=0,0,MAX(0,MIN($O1133,IF(ISNUMBER($P1133),$P1133-$AF1133,1E+15),IF(ISNUMBER($AA1133),$AA1133-$AG1133,1E+15)))))</f>
        <v/>
      </c>
      <c r="R1133" s="48" t="str">
        <f>IF(OR($B1133="",$D1133=""),"",IF($AC1133=0,"",IF(AND(NOT(ISNUMBER($P1133)),NOT(ISNUMBER($AA1133))),"∞",MAX(0,MIN(IF(ISNUMBER($P1133),$P1133-$AF1133-$Q1133,1E+15),IF(ISNUMBER($AA1133),$AA1133-$AG1133-$Q1133,1E+15))))))</f>
        <v/>
      </c>
      <c r="S1133" s="47" t="str">
        <f>IF($AD1133="","",YEAR($AD1133)*100+MONTH($AD1133))</f>
        <v/>
      </c>
      <c r="T1133" s="50" t="str">
        <f>IF($AD1133="","",IFERROR(IF(INDEX(CARDS!$I$5:$I$34,MATCH($D1133,CARDS!$A$5:$A$34,0))="","",IF(INDEX(CARDS!$I$5:$I$34,MATCH($D1133,CARDS!$A$5:$A$34,0))&gt;INDEX(CARDS!$H$5:$H$34,MATCH($D1133,CARDS!$A$5:$A$34,0)),DATE(YEAR($AD1133),MONTH($AD1133),MIN(INDEX(CARDS!$I$5:$I$34,MATCH($D1133,CARDS!$A$5:$A$34,0)),DAY(EOMONTH($AD1133,0)))),DATE(YEAR($AD1133),MONTH($AD1133)+1,MIN(INDEX(CARDS!$I$5:$I$34,MATCH($D1133,CARDS!$A$5:$A$34,0)),DAY(EOMONTH($AD1133,1)))))),""))</f>
        <v/>
      </c>
      <c r="U1133" s="38" t="n"/>
      <c r="V1133" s="37" t="n"/>
      <c r="W1133" s="38" t="n"/>
      <c r="X1133" s="38" t="n"/>
      <c r="Y1133" s="44" t="str">
        <f>IF($AC1133&gt;0,INDEX(CASHBACK_RULES!$A$5:$A$304,$AC1133),"")</f>
        <v/>
      </c>
      <c r="Z1133" s="45" t="str">
        <f>IF($AC1133&gt;0,INDEX(CASHBACK_RULES!$E$5:$E$304,$AC1133)&amp;"","")</f>
        <v/>
      </c>
      <c r="AA1133" s="48" t="str">
        <f>IF($AC1133&gt;0,IF(ISNUMBER(INDEX(CASHBACK_RULES!$K$5:$K$304,$AC1133)),INDEX(CASHBACK_RULES!$K$5:$K$304,$AC1133),"∞"),"")</f>
        <v/>
      </c>
      <c r="AB1133" s="44" t="str">
        <f>IF(OR($B1133="",$D1133=""),"",IF($U1133="Cancelled","Đã hủy",IF($AC1133=0,"Không được hoàn",IF($Q1133=0,IF(OR($O1133&gt;0,$M1133&lt;$L1133),"Đã đạt cap","Không được hoàn"),IF(OR($Q1133&lt;$O1133,$M1133&lt;$L1133),"Hoàn một phần","Được hoàn")))))</f>
        <v/>
      </c>
      <c r="AC1133" s="43">
        <f>IF(OR($B1133="",$D1133="",$I1133="",$L1133=""),0,IF($U1133="Cancelled",0,IF($W1133&lt;&gt;"",IFERROR(IF(INDEX(CASHBACK_RULES!$B$5:$B$304,MATCH($W1133,CASHBACK_RULES!$A$5:$A$304,0))=$D1133,MATCH($W1133,CASHBACK_RULES!$A$5:$A$304,0),0),0),IFERROR(MATCH(1,INDEX((CASHBACK_RULES!$B$5:$B$304=$D1133)*(CASHBACK_RULES!$G$5:$G$304=$I1133)*(((CASHBACK_RULES!$N$5:$N$304="")+(CASHBACK_RULES!$N$5:$N$304&lt;=$B1133))&gt;0)*(((CASHBACK_RULES!$O$5:$O$304="")+(CASHBACK_RULES!$O$5:$O$304&gt;=$B1133))&gt;0)*(((CASHBACK_RULES!$M$5:$M$304="")+(CASHBACK_RULES!$M$5:$M$304&lt;=$L1133))&gt;0),0),0),0))))</f>
        <v>0</v>
      </c>
      <c r="AD1133" s="51" t="str">
        <f>IF(OR($B1133="",$D1133=""),"",IFERROR(IF(INDEX(CARDS!$H$5:$H$34,MATCH($D1133,CARDS!$A$5:$A$34,0))="","",IF(DAY($B1133)&lt;=INDEX(CARDS!$H$5:$H$34,MATCH($D1133,CARDS!$A$5:$A$34,0)),DATE(YEAR($B1133),MONTH($B1133),MIN(INDEX(CARDS!$H$5:$H$34,MATCH($D1133,CARDS!$A$5:$A$34,0)),DAY(EOMONTH($B1133,0)))),DATE(YEAR($B1133),MONTH($B1133)+1,MIN(INDEX(CARDS!$H$5:$H$34,MATCH($D1133,CARDS!$A$5:$A$34,0)),DAY(EOMONTH($B1133,1)))))),""))</f>
        <v/>
      </c>
      <c r="AE1133" s="52" t="str">
        <f>IF($C1133="","",$C1133&amp;"|"&amp;COUNTIF($C$5:$C1133,$C1133))</f>
        <v/>
      </c>
      <c r="AF1133" s="53">
        <f>IF($AC1133&gt;0,SUMIFS(Q$4:Q1132,$D$4:$D1132,$D1133,$Z$4:$Z1132,$Z1133,$C$4:$C1132,$C1133),0)</f>
        <v>0</v>
      </c>
      <c r="AG1133" s="53">
        <f>IF($AC1133&gt;0,SUMIFS(Q$4:Q1132,$D$4:$D1132,$D1133,$C$4:$C1132,$C1133),0)</f>
        <v>0</v>
      </c>
      <c r="AH1133" s="53">
        <f>IF($AC1133&gt;0,SUMIFS(M$4:M1132,$D$4:$D1132,$D1133,$Z$4:$Z1132,$Z1133,$C$4:$C1132,$C1133),0)</f>
        <v>0</v>
      </c>
      <c r="AI1133" s="43">
        <f>IF(OR($C1133="",$I1133=""),0,IF(COUNTIFS($C$5:$C1133,$C1133,$I$5:$I1133,$I1133)=1,1,0))</f>
        <v>0</v>
      </c>
      <c r="AJ1133" s="43" t="str">
        <f>IF($AI1133=1,SUMIFS($AI$4:$AI1132,$C$4:$C1132,$C1133)+1,"")</f>
        <v/>
      </c>
      <c r="AK1133" s="43">
        <f>IF(OR($C1133="",$K1133=""),0,IF(COUNTIFS($C$5:$C1133,$C1133,$K$5:$K1133,$K1133)=1,1,0))</f>
        <v>0</v>
      </c>
      <c r="AL1133" s="43" t="str">
        <f>IF($AK1133=1,SUMIFS($AK$4:$AK1132,$C$4:$C1132,$C1133)+1,"")</f>
        <v/>
      </c>
      <c r="AM1133" s="43">
        <f>IF(OR($C1133="",$G1133=""),0,IF(COUNTIFS($C$5:$C1133,$C1133,$G$5:$G1133,$G1133)=1,1,0))</f>
        <v>0</v>
      </c>
      <c r="AN1133" s="43" t="str">
        <f>IF($AM1133=1,SUMIFS($AM$4:$AM1132,$C$4:$C1132,$C1133)+1,"")</f>
        <v/>
      </c>
    </row>
    <row r="1134">
      <c r="A1134" s="44" t="str">
        <f>IF(OR($B1134="",$D1134=""),"","TX"&amp;TEXT(ROW()-4,"0000"))</f>
        <v/>
      </c>
      <c r="B1134" s="42" t="n"/>
      <c r="C1134" s="47" t="str">
        <f>IF($B1134="","",YEAR($B1134)*100+MONTH($B1134))</f>
        <v/>
      </c>
      <c r="D1134" s="37" t="n"/>
      <c r="E1134" s="45" t="str">
        <f>IF($D1134="","",IFERROR(INDEX(CARDS!$B$5:$B$34,MATCH($D1134,CARDS!$A$5:$A$34,0)),"⚠ Card ID?"))</f>
        <v/>
      </c>
      <c r="F1134" s="45" t="str">
        <f>IF($D1134="","",IFERROR(INDEX(CARDS!$C$5:$C$34,MATCH($D1134,CARDS!$A$5:$A$34,0)),"⚠ Card ID?"))</f>
        <v/>
      </c>
      <c r="G1134" s="37" t="n"/>
      <c r="H1134" s="37" t="n"/>
      <c r="I1134" s="41" t="n"/>
      <c r="J1134" s="45" t="str">
        <f>IF($I1134="","",IFERROR(INDEX(MCC_MASTER!$B$5:$B$504,MATCH($I1134,MCC_MASTER!$A$5:$A$504,0)),"⚠ MCC chưa có"))</f>
        <v/>
      </c>
      <c r="K1134" s="45" t="str">
        <f>IF($I1134="","",IFERROR(IF(INDEX(MCC_MASTER!$C$5:$C$504,MATCH($I1134,MCC_MASTER!$A$5:$A$504,0))="","Chưa phân loại",INDEX(MCC_MASTER!$C$5:$C$504,MATCH($I1134,MCC_MASTER!$A$5:$A$504,0))),"Chưa phân loại"))</f>
        <v/>
      </c>
      <c r="L1134" s="40" t="n"/>
      <c r="M1134" s="48" t="str">
        <f>IF(OR($B1134="",$D1134=""),"",IF($AC1134=0,0,IF(ISNUMBER(INDEX(CASHBACK_RULES!$L$5:$L$304,$AC1134)),MAX(0,MIN($L1134,INDEX(CASHBACK_RULES!$L$5:$L$304,$AC1134)-$AH1134)),MAX(0,$L1134))))</f>
        <v/>
      </c>
      <c r="N1134" s="49" t="str">
        <f>IF(OR($B1134="",$D1134=""),"",IF($AC1134&gt;0,INDEX(CASHBACK_RULES!$I$5:$I$304,$AC1134),0))</f>
        <v/>
      </c>
      <c r="O1134" s="48" t="str">
        <f>IF(OR($B1134="",$D1134=""),"",ROUND($M1134*$N1134,0))</f>
        <v/>
      </c>
      <c r="P1134" s="48" t="str">
        <f>IF($AC1134&gt;0,IF(ISNUMBER(INDEX(CASHBACK_RULES!$J$5:$J$304,$AC1134)),INDEX(CASHBACK_RULES!$J$5:$J$304,$AC1134),"∞"),"")</f>
        <v/>
      </c>
      <c r="Q1134" s="48" t="str">
        <f>IF(OR($B1134="",$D1134=""),"",IF($AC1134=0,0,MAX(0,MIN($O1134,IF(ISNUMBER($P1134),$P1134-$AF1134,1E+15),IF(ISNUMBER($AA1134),$AA1134-$AG1134,1E+15)))))</f>
        <v/>
      </c>
      <c r="R1134" s="48" t="str">
        <f>IF(OR($B1134="",$D1134=""),"",IF($AC1134=0,"",IF(AND(NOT(ISNUMBER($P1134)),NOT(ISNUMBER($AA1134))),"∞",MAX(0,MIN(IF(ISNUMBER($P1134),$P1134-$AF1134-$Q1134,1E+15),IF(ISNUMBER($AA1134),$AA1134-$AG1134-$Q1134,1E+15))))))</f>
        <v/>
      </c>
      <c r="S1134" s="47" t="str">
        <f>IF($AD1134="","",YEAR($AD1134)*100+MONTH($AD1134))</f>
        <v/>
      </c>
      <c r="T1134" s="50" t="str">
        <f>IF($AD1134="","",IFERROR(IF(INDEX(CARDS!$I$5:$I$34,MATCH($D1134,CARDS!$A$5:$A$34,0))="","",IF(INDEX(CARDS!$I$5:$I$34,MATCH($D1134,CARDS!$A$5:$A$34,0))&gt;INDEX(CARDS!$H$5:$H$34,MATCH($D1134,CARDS!$A$5:$A$34,0)),DATE(YEAR($AD1134),MONTH($AD1134),MIN(INDEX(CARDS!$I$5:$I$34,MATCH($D1134,CARDS!$A$5:$A$34,0)),DAY(EOMONTH($AD1134,0)))),DATE(YEAR($AD1134),MONTH($AD1134)+1,MIN(INDEX(CARDS!$I$5:$I$34,MATCH($D1134,CARDS!$A$5:$A$34,0)),DAY(EOMONTH($AD1134,1)))))),""))</f>
        <v/>
      </c>
      <c r="U1134" s="38" t="n"/>
      <c r="V1134" s="37" t="n"/>
      <c r="W1134" s="38" t="n"/>
      <c r="X1134" s="38" t="n"/>
      <c r="Y1134" s="44" t="str">
        <f>IF($AC1134&gt;0,INDEX(CASHBACK_RULES!$A$5:$A$304,$AC1134),"")</f>
        <v/>
      </c>
      <c r="Z1134" s="45" t="str">
        <f>IF($AC1134&gt;0,INDEX(CASHBACK_RULES!$E$5:$E$304,$AC1134)&amp;"","")</f>
        <v/>
      </c>
      <c r="AA1134" s="48" t="str">
        <f>IF($AC1134&gt;0,IF(ISNUMBER(INDEX(CASHBACK_RULES!$K$5:$K$304,$AC1134)),INDEX(CASHBACK_RULES!$K$5:$K$304,$AC1134),"∞"),"")</f>
        <v/>
      </c>
      <c r="AB1134" s="44" t="str">
        <f>IF(OR($B1134="",$D1134=""),"",IF($U1134="Cancelled","Đã hủy",IF($AC1134=0,"Không được hoàn",IF($Q1134=0,IF(OR($O1134&gt;0,$M1134&lt;$L1134),"Đã đạt cap","Không được hoàn"),IF(OR($Q1134&lt;$O1134,$M1134&lt;$L1134),"Hoàn một phần","Được hoàn")))))</f>
        <v/>
      </c>
      <c r="AC1134" s="43">
        <f>IF(OR($B1134="",$D1134="",$I1134="",$L1134=""),0,IF($U1134="Cancelled",0,IF($W1134&lt;&gt;"",IFERROR(IF(INDEX(CASHBACK_RULES!$B$5:$B$304,MATCH($W1134,CASHBACK_RULES!$A$5:$A$304,0))=$D1134,MATCH($W1134,CASHBACK_RULES!$A$5:$A$304,0),0),0),IFERROR(MATCH(1,INDEX((CASHBACK_RULES!$B$5:$B$304=$D1134)*(CASHBACK_RULES!$G$5:$G$304=$I1134)*(((CASHBACK_RULES!$N$5:$N$304="")+(CASHBACK_RULES!$N$5:$N$304&lt;=$B1134))&gt;0)*(((CASHBACK_RULES!$O$5:$O$304="")+(CASHBACK_RULES!$O$5:$O$304&gt;=$B1134))&gt;0)*(((CASHBACK_RULES!$M$5:$M$304="")+(CASHBACK_RULES!$M$5:$M$304&lt;=$L1134))&gt;0),0),0),0))))</f>
        <v>0</v>
      </c>
      <c r="AD1134" s="51" t="str">
        <f>IF(OR($B1134="",$D1134=""),"",IFERROR(IF(INDEX(CARDS!$H$5:$H$34,MATCH($D1134,CARDS!$A$5:$A$34,0))="","",IF(DAY($B1134)&lt;=INDEX(CARDS!$H$5:$H$34,MATCH($D1134,CARDS!$A$5:$A$34,0)),DATE(YEAR($B1134),MONTH($B1134),MIN(INDEX(CARDS!$H$5:$H$34,MATCH($D1134,CARDS!$A$5:$A$34,0)),DAY(EOMONTH($B1134,0)))),DATE(YEAR($B1134),MONTH($B1134)+1,MIN(INDEX(CARDS!$H$5:$H$34,MATCH($D1134,CARDS!$A$5:$A$34,0)),DAY(EOMONTH($B1134,1)))))),""))</f>
        <v/>
      </c>
      <c r="AE1134" s="52" t="str">
        <f>IF($C1134="","",$C1134&amp;"|"&amp;COUNTIF($C$5:$C1134,$C1134))</f>
        <v/>
      </c>
      <c r="AF1134" s="53">
        <f>IF($AC1134&gt;0,SUMIFS(Q$4:Q1133,$D$4:$D1133,$D1134,$Z$4:$Z1133,$Z1134,$C$4:$C1133,$C1134),0)</f>
        <v>0</v>
      </c>
      <c r="AG1134" s="53">
        <f>IF($AC1134&gt;0,SUMIFS(Q$4:Q1133,$D$4:$D1133,$D1134,$C$4:$C1133,$C1134),0)</f>
        <v>0</v>
      </c>
      <c r="AH1134" s="53">
        <f>IF($AC1134&gt;0,SUMIFS(M$4:M1133,$D$4:$D1133,$D1134,$Z$4:$Z1133,$Z1134,$C$4:$C1133,$C1134),0)</f>
        <v>0</v>
      </c>
      <c r="AI1134" s="43">
        <f>IF(OR($C1134="",$I1134=""),0,IF(COUNTIFS($C$5:$C1134,$C1134,$I$5:$I1134,$I1134)=1,1,0))</f>
        <v>0</v>
      </c>
      <c r="AJ1134" s="43" t="str">
        <f>IF($AI1134=1,SUMIFS($AI$4:$AI1133,$C$4:$C1133,$C1134)+1,"")</f>
        <v/>
      </c>
      <c r="AK1134" s="43">
        <f>IF(OR($C1134="",$K1134=""),0,IF(COUNTIFS($C$5:$C1134,$C1134,$K$5:$K1134,$K1134)=1,1,0))</f>
        <v>0</v>
      </c>
      <c r="AL1134" s="43" t="str">
        <f>IF($AK1134=1,SUMIFS($AK$4:$AK1133,$C$4:$C1133,$C1134)+1,"")</f>
        <v/>
      </c>
      <c r="AM1134" s="43">
        <f>IF(OR($C1134="",$G1134=""),0,IF(COUNTIFS($C$5:$C1134,$C1134,$G$5:$G1134,$G1134)=1,1,0))</f>
        <v>0</v>
      </c>
      <c r="AN1134" s="43" t="str">
        <f>IF($AM1134=1,SUMIFS($AM$4:$AM1133,$C$4:$C1133,$C1134)+1,"")</f>
        <v/>
      </c>
    </row>
    <row r="1135">
      <c r="A1135" s="44" t="str">
        <f>IF(OR($B1135="",$D1135=""),"","TX"&amp;TEXT(ROW()-4,"0000"))</f>
        <v/>
      </c>
      <c r="B1135" s="42" t="n"/>
      <c r="C1135" s="47" t="str">
        <f>IF($B1135="","",YEAR($B1135)*100+MONTH($B1135))</f>
        <v/>
      </c>
      <c r="D1135" s="37" t="n"/>
      <c r="E1135" s="45" t="str">
        <f>IF($D1135="","",IFERROR(INDEX(CARDS!$B$5:$B$34,MATCH($D1135,CARDS!$A$5:$A$34,0)),"⚠ Card ID?"))</f>
        <v/>
      </c>
      <c r="F1135" s="45" t="str">
        <f>IF($D1135="","",IFERROR(INDEX(CARDS!$C$5:$C$34,MATCH($D1135,CARDS!$A$5:$A$34,0)),"⚠ Card ID?"))</f>
        <v/>
      </c>
      <c r="G1135" s="37" t="n"/>
      <c r="H1135" s="37" t="n"/>
      <c r="I1135" s="41" t="n"/>
      <c r="J1135" s="45" t="str">
        <f>IF($I1135="","",IFERROR(INDEX(MCC_MASTER!$B$5:$B$504,MATCH($I1135,MCC_MASTER!$A$5:$A$504,0)),"⚠ MCC chưa có"))</f>
        <v/>
      </c>
      <c r="K1135" s="45" t="str">
        <f>IF($I1135="","",IFERROR(IF(INDEX(MCC_MASTER!$C$5:$C$504,MATCH($I1135,MCC_MASTER!$A$5:$A$504,0))="","Chưa phân loại",INDEX(MCC_MASTER!$C$5:$C$504,MATCH($I1135,MCC_MASTER!$A$5:$A$504,0))),"Chưa phân loại"))</f>
        <v/>
      </c>
      <c r="L1135" s="40" t="n"/>
      <c r="M1135" s="48" t="str">
        <f>IF(OR($B1135="",$D1135=""),"",IF($AC1135=0,0,IF(ISNUMBER(INDEX(CASHBACK_RULES!$L$5:$L$304,$AC1135)),MAX(0,MIN($L1135,INDEX(CASHBACK_RULES!$L$5:$L$304,$AC1135)-$AH1135)),MAX(0,$L1135))))</f>
        <v/>
      </c>
      <c r="N1135" s="49" t="str">
        <f>IF(OR($B1135="",$D1135=""),"",IF($AC1135&gt;0,INDEX(CASHBACK_RULES!$I$5:$I$304,$AC1135),0))</f>
        <v/>
      </c>
      <c r="O1135" s="48" t="str">
        <f>IF(OR($B1135="",$D1135=""),"",ROUND($M1135*$N1135,0))</f>
        <v/>
      </c>
      <c r="P1135" s="48" t="str">
        <f>IF($AC1135&gt;0,IF(ISNUMBER(INDEX(CASHBACK_RULES!$J$5:$J$304,$AC1135)),INDEX(CASHBACK_RULES!$J$5:$J$304,$AC1135),"∞"),"")</f>
        <v/>
      </c>
      <c r="Q1135" s="48" t="str">
        <f>IF(OR($B1135="",$D1135=""),"",IF($AC1135=0,0,MAX(0,MIN($O1135,IF(ISNUMBER($P1135),$P1135-$AF1135,1E+15),IF(ISNUMBER($AA1135),$AA1135-$AG1135,1E+15)))))</f>
        <v/>
      </c>
      <c r="R1135" s="48" t="str">
        <f>IF(OR($B1135="",$D1135=""),"",IF($AC1135=0,"",IF(AND(NOT(ISNUMBER($P1135)),NOT(ISNUMBER($AA1135))),"∞",MAX(0,MIN(IF(ISNUMBER($P1135),$P1135-$AF1135-$Q1135,1E+15),IF(ISNUMBER($AA1135),$AA1135-$AG1135-$Q1135,1E+15))))))</f>
        <v/>
      </c>
      <c r="S1135" s="47" t="str">
        <f>IF($AD1135="","",YEAR($AD1135)*100+MONTH($AD1135))</f>
        <v/>
      </c>
      <c r="T1135" s="50" t="str">
        <f>IF($AD1135="","",IFERROR(IF(INDEX(CARDS!$I$5:$I$34,MATCH($D1135,CARDS!$A$5:$A$34,0))="","",IF(INDEX(CARDS!$I$5:$I$34,MATCH($D1135,CARDS!$A$5:$A$34,0))&gt;INDEX(CARDS!$H$5:$H$34,MATCH($D1135,CARDS!$A$5:$A$34,0)),DATE(YEAR($AD1135),MONTH($AD1135),MIN(INDEX(CARDS!$I$5:$I$34,MATCH($D1135,CARDS!$A$5:$A$34,0)),DAY(EOMONTH($AD1135,0)))),DATE(YEAR($AD1135),MONTH($AD1135)+1,MIN(INDEX(CARDS!$I$5:$I$34,MATCH($D1135,CARDS!$A$5:$A$34,0)),DAY(EOMONTH($AD1135,1)))))),""))</f>
        <v/>
      </c>
      <c r="U1135" s="38" t="n"/>
      <c r="V1135" s="37" t="n"/>
      <c r="W1135" s="38" t="n"/>
      <c r="X1135" s="38" t="n"/>
      <c r="Y1135" s="44" t="str">
        <f>IF($AC1135&gt;0,INDEX(CASHBACK_RULES!$A$5:$A$304,$AC1135),"")</f>
        <v/>
      </c>
      <c r="Z1135" s="45" t="str">
        <f>IF($AC1135&gt;0,INDEX(CASHBACK_RULES!$E$5:$E$304,$AC1135)&amp;"","")</f>
        <v/>
      </c>
      <c r="AA1135" s="48" t="str">
        <f>IF($AC1135&gt;0,IF(ISNUMBER(INDEX(CASHBACK_RULES!$K$5:$K$304,$AC1135)),INDEX(CASHBACK_RULES!$K$5:$K$304,$AC1135),"∞"),"")</f>
        <v/>
      </c>
      <c r="AB1135" s="44" t="str">
        <f>IF(OR($B1135="",$D1135=""),"",IF($U1135="Cancelled","Đã hủy",IF($AC1135=0,"Không được hoàn",IF($Q1135=0,IF(OR($O1135&gt;0,$M1135&lt;$L1135),"Đã đạt cap","Không được hoàn"),IF(OR($Q1135&lt;$O1135,$M1135&lt;$L1135),"Hoàn một phần","Được hoàn")))))</f>
        <v/>
      </c>
      <c r="AC1135" s="43">
        <f>IF(OR($B1135="",$D1135="",$I1135="",$L1135=""),0,IF($U1135="Cancelled",0,IF($W1135&lt;&gt;"",IFERROR(IF(INDEX(CASHBACK_RULES!$B$5:$B$304,MATCH($W1135,CASHBACK_RULES!$A$5:$A$304,0))=$D1135,MATCH($W1135,CASHBACK_RULES!$A$5:$A$304,0),0),0),IFERROR(MATCH(1,INDEX((CASHBACK_RULES!$B$5:$B$304=$D1135)*(CASHBACK_RULES!$G$5:$G$304=$I1135)*(((CASHBACK_RULES!$N$5:$N$304="")+(CASHBACK_RULES!$N$5:$N$304&lt;=$B1135))&gt;0)*(((CASHBACK_RULES!$O$5:$O$304="")+(CASHBACK_RULES!$O$5:$O$304&gt;=$B1135))&gt;0)*(((CASHBACK_RULES!$M$5:$M$304="")+(CASHBACK_RULES!$M$5:$M$304&lt;=$L1135))&gt;0),0),0),0))))</f>
        <v>0</v>
      </c>
      <c r="AD1135" s="51" t="str">
        <f>IF(OR($B1135="",$D1135=""),"",IFERROR(IF(INDEX(CARDS!$H$5:$H$34,MATCH($D1135,CARDS!$A$5:$A$34,0))="","",IF(DAY($B1135)&lt;=INDEX(CARDS!$H$5:$H$34,MATCH($D1135,CARDS!$A$5:$A$34,0)),DATE(YEAR($B1135),MONTH($B1135),MIN(INDEX(CARDS!$H$5:$H$34,MATCH($D1135,CARDS!$A$5:$A$34,0)),DAY(EOMONTH($B1135,0)))),DATE(YEAR($B1135),MONTH($B1135)+1,MIN(INDEX(CARDS!$H$5:$H$34,MATCH($D1135,CARDS!$A$5:$A$34,0)),DAY(EOMONTH($B1135,1)))))),""))</f>
        <v/>
      </c>
      <c r="AE1135" s="52" t="str">
        <f>IF($C1135="","",$C1135&amp;"|"&amp;COUNTIF($C$5:$C1135,$C1135))</f>
        <v/>
      </c>
      <c r="AF1135" s="53">
        <f>IF($AC1135&gt;0,SUMIFS(Q$4:Q1134,$D$4:$D1134,$D1135,$Z$4:$Z1134,$Z1135,$C$4:$C1134,$C1135),0)</f>
        <v>0</v>
      </c>
      <c r="AG1135" s="53">
        <f>IF($AC1135&gt;0,SUMIFS(Q$4:Q1134,$D$4:$D1134,$D1135,$C$4:$C1134,$C1135),0)</f>
        <v>0</v>
      </c>
      <c r="AH1135" s="53">
        <f>IF($AC1135&gt;0,SUMIFS(M$4:M1134,$D$4:$D1134,$D1135,$Z$4:$Z1134,$Z1135,$C$4:$C1134,$C1135),0)</f>
        <v>0</v>
      </c>
      <c r="AI1135" s="43">
        <f>IF(OR($C1135="",$I1135=""),0,IF(COUNTIFS($C$5:$C1135,$C1135,$I$5:$I1135,$I1135)=1,1,0))</f>
        <v>0</v>
      </c>
      <c r="AJ1135" s="43" t="str">
        <f>IF($AI1135=1,SUMIFS($AI$4:$AI1134,$C$4:$C1134,$C1135)+1,"")</f>
        <v/>
      </c>
      <c r="AK1135" s="43">
        <f>IF(OR($C1135="",$K1135=""),0,IF(COUNTIFS($C$5:$C1135,$C1135,$K$5:$K1135,$K1135)=1,1,0))</f>
        <v>0</v>
      </c>
      <c r="AL1135" s="43" t="str">
        <f>IF($AK1135=1,SUMIFS($AK$4:$AK1134,$C$4:$C1134,$C1135)+1,"")</f>
        <v/>
      </c>
      <c r="AM1135" s="43">
        <f>IF(OR($C1135="",$G1135=""),0,IF(COUNTIFS($C$5:$C1135,$C1135,$G$5:$G1135,$G1135)=1,1,0))</f>
        <v>0</v>
      </c>
      <c r="AN1135" s="43" t="str">
        <f>IF($AM1135=1,SUMIFS($AM$4:$AM1134,$C$4:$C1134,$C1135)+1,"")</f>
        <v/>
      </c>
    </row>
    <row r="1136">
      <c r="A1136" s="44" t="str">
        <f>IF(OR($B1136="",$D1136=""),"","TX"&amp;TEXT(ROW()-4,"0000"))</f>
        <v/>
      </c>
      <c r="B1136" s="42" t="n"/>
      <c r="C1136" s="47" t="str">
        <f>IF($B1136="","",YEAR($B1136)*100+MONTH($B1136))</f>
        <v/>
      </c>
      <c r="D1136" s="37" t="n"/>
      <c r="E1136" s="45" t="str">
        <f>IF($D1136="","",IFERROR(INDEX(CARDS!$B$5:$B$34,MATCH($D1136,CARDS!$A$5:$A$34,0)),"⚠ Card ID?"))</f>
        <v/>
      </c>
      <c r="F1136" s="45" t="str">
        <f>IF($D1136="","",IFERROR(INDEX(CARDS!$C$5:$C$34,MATCH($D1136,CARDS!$A$5:$A$34,0)),"⚠ Card ID?"))</f>
        <v/>
      </c>
      <c r="G1136" s="37" t="n"/>
      <c r="H1136" s="37" t="n"/>
      <c r="I1136" s="41" t="n"/>
      <c r="J1136" s="45" t="str">
        <f>IF($I1136="","",IFERROR(INDEX(MCC_MASTER!$B$5:$B$504,MATCH($I1136,MCC_MASTER!$A$5:$A$504,0)),"⚠ MCC chưa có"))</f>
        <v/>
      </c>
      <c r="K1136" s="45" t="str">
        <f>IF($I1136="","",IFERROR(IF(INDEX(MCC_MASTER!$C$5:$C$504,MATCH($I1136,MCC_MASTER!$A$5:$A$504,0))="","Chưa phân loại",INDEX(MCC_MASTER!$C$5:$C$504,MATCH($I1136,MCC_MASTER!$A$5:$A$504,0))),"Chưa phân loại"))</f>
        <v/>
      </c>
      <c r="L1136" s="40" t="n"/>
      <c r="M1136" s="48" t="str">
        <f>IF(OR($B1136="",$D1136=""),"",IF($AC1136=0,0,IF(ISNUMBER(INDEX(CASHBACK_RULES!$L$5:$L$304,$AC1136)),MAX(0,MIN($L1136,INDEX(CASHBACK_RULES!$L$5:$L$304,$AC1136)-$AH1136)),MAX(0,$L1136))))</f>
        <v/>
      </c>
      <c r="N1136" s="49" t="str">
        <f>IF(OR($B1136="",$D1136=""),"",IF($AC1136&gt;0,INDEX(CASHBACK_RULES!$I$5:$I$304,$AC1136),0))</f>
        <v/>
      </c>
      <c r="O1136" s="48" t="str">
        <f>IF(OR($B1136="",$D1136=""),"",ROUND($M1136*$N1136,0))</f>
        <v/>
      </c>
      <c r="P1136" s="48" t="str">
        <f>IF($AC1136&gt;0,IF(ISNUMBER(INDEX(CASHBACK_RULES!$J$5:$J$304,$AC1136)),INDEX(CASHBACK_RULES!$J$5:$J$304,$AC1136),"∞"),"")</f>
        <v/>
      </c>
      <c r="Q1136" s="48" t="str">
        <f>IF(OR($B1136="",$D1136=""),"",IF($AC1136=0,0,MAX(0,MIN($O1136,IF(ISNUMBER($P1136),$P1136-$AF1136,1E+15),IF(ISNUMBER($AA1136),$AA1136-$AG1136,1E+15)))))</f>
        <v/>
      </c>
      <c r="R1136" s="48" t="str">
        <f>IF(OR($B1136="",$D1136=""),"",IF($AC1136=0,"",IF(AND(NOT(ISNUMBER($P1136)),NOT(ISNUMBER($AA1136))),"∞",MAX(0,MIN(IF(ISNUMBER($P1136),$P1136-$AF1136-$Q1136,1E+15),IF(ISNUMBER($AA1136),$AA1136-$AG1136-$Q1136,1E+15))))))</f>
        <v/>
      </c>
      <c r="S1136" s="47" t="str">
        <f>IF($AD1136="","",YEAR($AD1136)*100+MONTH($AD1136))</f>
        <v/>
      </c>
      <c r="T1136" s="50" t="str">
        <f>IF($AD1136="","",IFERROR(IF(INDEX(CARDS!$I$5:$I$34,MATCH($D1136,CARDS!$A$5:$A$34,0))="","",IF(INDEX(CARDS!$I$5:$I$34,MATCH($D1136,CARDS!$A$5:$A$34,0))&gt;INDEX(CARDS!$H$5:$H$34,MATCH($D1136,CARDS!$A$5:$A$34,0)),DATE(YEAR($AD1136),MONTH($AD1136),MIN(INDEX(CARDS!$I$5:$I$34,MATCH($D1136,CARDS!$A$5:$A$34,0)),DAY(EOMONTH($AD1136,0)))),DATE(YEAR($AD1136),MONTH($AD1136)+1,MIN(INDEX(CARDS!$I$5:$I$34,MATCH($D1136,CARDS!$A$5:$A$34,0)),DAY(EOMONTH($AD1136,1)))))),""))</f>
        <v/>
      </c>
      <c r="U1136" s="38" t="n"/>
      <c r="V1136" s="37" t="n"/>
      <c r="W1136" s="38" t="n"/>
      <c r="X1136" s="38" t="n"/>
      <c r="Y1136" s="44" t="str">
        <f>IF($AC1136&gt;0,INDEX(CASHBACK_RULES!$A$5:$A$304,$AC1136),"")</f>
        <v/>
      </c>
      <c r="Z1136" s="45" t="str">
        <f>IF($AC1136&gt;0,INDEX(CASHBACK_RULES!$E$5:$E$304,$AC1136)&amp;"","")</f>
        <v/>
      </c>
      <c r="AA1136" s="48" t="str">
        <f>IF($AC1136&gt;0,IF(ISNUMBER(INDEX(CASHBACK_RULES!$K$5:$K$304,$AC1136)),INDEX(CASHBACK_RULES!$K$5:$K$304,$AC1136),"∞"),"")</f>
        <v/>
      </c>
      <c r="AB1136" s="44" t="str">
        <f>IF(OR($B1136="",$D1136=""),"",IF($U1136="Cancelled","Đã hủy",IF($AC1136=0,"Không được hoàn",IF($Q1136=0,IF(OR($O1136&gt;0,$M1136&lt;$L1136),"Đã đạt cap","Không được hoàn"),IF(OR($Q1136&lt;$O1136,$M1136&lt;$L1136),"Hoàn một phần","Được hoàn")))))</f>
        <v/>
      </c>
      <c r="AC1136" s="43">
        <f>IF(OR($B1136="",$D1136="",$I1136="",$L1136=""),0,IF($U1136="Cancelled",0,IF($W1136&lt;&gt;"",IFERROR(IF(INDEX(CASHBACK_RULES!$B$5:$B$304,MATCH($W1136,CASHBACK_RULES!$A$5:$A$304,0))=$D1136,MATCH($W1136,CASHBACK_RULES!$A$5:$A$304,0),0),0),IFERROR(MATCH(1,INDEX((CASHBACK_RULES!$B$5:$B$304=$D1136)*(CASHBACK_RULES!$G$5:$G$304=$I1136)*(((CASHBACK_RULES!$N$5:$N$304="")+(CASHBACK_RULES!$N$5:$N$304&lt;=$B1136))&gt;0)*(((CASHBACK_RULES!$O$5:$O$304="")+(CASHBACK_RULES!$O$5:$O$304&gt;=$B1136))&gt;0)*(((CASHBACK_RULES!$M$5:$M$304="")+(CASHBACK_RULES!$M$5:$M$304&lt;=$L1136))&gt;0),0),0),0))))</f>
        <v>0</v>
      </c>
      <c r="AD1136" s="51" t="str">
        <f>IF(OR($B1136="",$D1136=""),"",IFERROR(IF(INDEX(CARDS!$H$5:$H$34,MATCH($D1136,CARDS!$A$5:$A$34,0))="","",IF(DAY($B1136)&lt;=INDEX(CARDS!$H$5:$H$34,MATCH($D1136,CARDS!$A$5:$A$34,0)),DATE(YEAR($B1136),MONTH($B1136),MIN(INDEX(CARDS!$H$5:$H$34,MATCH($D1136,CARDS!$A$5:$A$34,0)),DAY(EOMONTH($B1136,0)))),DATE(YEAR($B1136),MONTH($B1136)+1,MIN(INDEX(CARDS!$H$5:$H$34,MATCH($D1136,CARDS!$A$5:$A$34,0)),DAY(EOMONTH($B1136,1)))))),""))</f>
        <v/>
      </c>
      <c r="AE1136" s="52" t="str">
        <f>IF($C1136="","",$C1136&amp;"|"&amp;COUNTIF($C$5:$C1136,$C1136))</f>
        <v/>
      </c>
      <c r="AF1136" s="53">
        <f>IF($AC1136&gt;0,SUMIFS(Q$4:Q1135,$D$4:$D1135,$D1136,$Z$4:$Z1135,$Z1136,$C$4:$C1135,$C1136),0)</f>
        <v>0</v>
      </c>
      <c r="AG1136" s="53">
        <f>IF($AC1136&gt;0,SUMIFS(Q$4:Q1135,$D$4:$D1135,$D1136,$C$4:$C1135,$C1136),0)</f>
        <v>0</v>
      </c>
      <c r="AH1136" s="53">
        <f>IF($AC1136&gt;0,SUMIFS(M$4:M1135,$D$4:$D1135,$D1136,$Z$4:$Z1135,$Z1136,$C$4:$C1135,$C1136),0)</f>
        <v>0</v>
      </c>
      <c r="AI1136" s="43">
        <f>IF(OR($C1136="",$I1136=""),0,IF(COUNTIFS($C$5:$C1136,$C1136,$I$5:$I1136,$I1136)=1,1,0))</f>
        <v>0</v>
      </c>
      <c r="AJ1136" s="43" t="str">
        <f>IF($AI1136=1,SUMIFS($AI$4:$AI1135,$C$4:$C1135,$C1136)+1,"")</f>
        <v/>
      </c>
      <c r="AK1136" s="43">
        <f>IF(OR($C1136="",$K1136=""),0,IF(COUNTIFS($C$5:$C1136,$C1136,$K$5:$K1136,$K1136)=1,1,0))</f>
        <v>0</v>
      </c>
      <c r="AL1136" s="43" t="str">
        <f>IF($AK1136=1,SUMIFS($AK$4:$AK1135,$C$4:$C1135,$C1136)+1,"")</f>
        <v/>
      </c>
      <c r="AM1136" s="43">
        <f>IF(OR($C1136="",$G1136=""),0,IF(COUNTIFS($C$5:$C1136,$C1136,$G$5:$G1136,$G1136)=1,1,0))</f>
        <v>0</v>
      </c>
      <c r="AN1136" s="43" t="str">
        <f>IF($AM1136=1,SUMIFS($AM$4:$AM1135,$C$4:$C1135,$C1136)+1,"")</f>
        <v/>
      </c>
    </row>
    <row r="1137">
      <c r="A1137" s="44" t="str">
        <f>IF(OR($B1137="",$D1137=""),"","TX"&amp;TEXT(ROW()-4,"0000"))</f>
        <v/>
      </c>
      <c r="B1137" s="42" t="n"/>
      <c r="C1137" s="47" t="str">
        <f>IF($B1137="","",YEAR($B1137)*100+MONTH($B1137))</f>
        <v/>
      </c>
      <c r="D1137" s="37" t="n"/>
      <c r="E1137" s="45" t="str">
        <f>IF($D1137="","",IFERROR(INDEX(CARDS!$B$5:$B$34,MATCH($D1137,CARDS!$A$5:$A$34,0)),"⚠ Card ID?"))</f>
        <v/>
      </c>
      <c r="F1137" s="45" t="str">
        <f>IF($D1137="","",IFERROR(INDEX(CARDS!$C$5:$C$34,MATCH($D1137,CARDS!$A$5:$A$34,0)),"⚠ Card ID?"))</f>
        <v/>
      </c>
      <c r="G1137" s="37" t="n"/>
      <c r="H1137" s="37" t="n"/>
      <c r="I1137" s="41" t="n"/>
      <c r="J1137" s="45" t="str">
        <f>IF($I1137="","",IFERROR(INDEX(MCC_MASTER!$B$5:$B$504,MATCH($I1137,MCC_MASTER!$A$5:$A$504,0)),"⚠ MCC chưa có"))</f>
        <v/>
      </c>
      <c r="K1137" s="45" t="str">
        <f>IF($I1137="","",IFERROR(IF(INDEX(MCC_MASTER!$C$5:$C$504,MATCH($I1137,MCC_MASTER!$A$5:$A$504,0))="","Chưa phân loại",INDEX(MCC_MASTER!$C$5:$C$504,MATCH($I1137,MCC_MASTER!$A$5:$A$504,0))),"Chưa phân loại"))</f>
        <v/>
      </c>
      <c r="L1137" s="40" t="n"/>
      <c r="M1137" s="48" t="str">
        <f>IF(OR($B1137="",$D1137=""),"",IF($AC1137=0,0,IF(ISNUMBER(INDEX(CASHBACK_RULES!$L$5:$L$304,$AC1137)),MAX(0,MIN($L1137,INDEX(CASHBACK_RULES!$L$5:$L$304,$AC1137)-$AH1137)),MAX(0,$L1137))))</f>
        <v/>
      </c>
      <c r="N1137" s="49" t="str">
        <f>IF(OR($B1137="",$D1137=""),"",IF($AC1137&gt;0,INDEX(CASHBACK_RULES!$I$5:$I$304,$AC1137),0))</f>
        <v/>
      </c>
      <c r="O1137" s="48" t="str">
        <f>IF(OR($B1137="",$D1137=""),"",ROUND($M1137*$N1137,0))</f>
        <v/>
      </c>
      <c r="P1137" s="48" t="str">
        <f>IF($AC1137&gt;0,IF(ISNUMBER(INDEX(CASHBACK_RULES!$J$5:$J$304,$AC1137)),INDEX(CASHBACK_RULES!$J$5:$J$304,$AC1137),"∞"),"")</f>
        <v/>
      </c>
      <c r="Q1137" s="48" t="str">
        <f>IF(OR($B1137="",$D1137=""),"",IF($AC1137=0,0,MAX(0,MIN($O1137,IF(ISNUMBER($P1137),$P1137-$AF1137,1E+15),IF(ISNUMBER($AA1137),$AA1137-$AG1137,1E+15)))))</f>
        <v/>
      </c>
      <c r="R1137" s="48" t="str">
        <f>IF(OR($B1137="",$D1137=""),"",IF($AC1137=0,"",IF(AND(NOT(ISNUMBER($P1137)),NOT(ISNUMBER($AA1137))),"∞",MAX(0,MIN(IF(ISNUMBER($P1137),$P1137-$AF1137-$Q1137,1E+15),IF(ISNUMBER($AA1137),$AA1137-$AG1137-$Q1137,1E+15))))))</f>
        <v/>
      </c>
      <c r="S1137" s="47" t="str">
        <f>IF($AD1137="","",YEAR($AD1137)*100+MONTH($AD1137))</f>
        <v/>
      </c>
      <c r="T1137" s="50" t="str">
        <f>IF($AD1137="","",IFERROR(IF(INDEX(CARDS!$I$5:$I$34,MATCH($D1137,CARDS!$A$5:$A$34,0))="","",IF(INDEX(CARDS!$I$5:$I$34,MATCH($D1137,CARDS!$A$5:$A$34,0))&gt;INDEX(CARDS!$H$5:$H$34,MATCH($D1137,CARDS!$A$5:$A$34,0)),DATE(YEAR($AD1137),MONTH($AD1137),MIN(INDEX(CARDS!$I$5:$I$34,MATCH($D1137,CARDS!$A$5:$A$34,0)),DAY(EOMONTH($AD1137,0)))),DATE(YEAR($AD1137),MONTH($AD1137)+1,MIN(INDEX(CARDS!$I$5:$I$34,MATCH($D1137,CARDS!$A$5:$A$34,0)),DAY(EOMONTH($AD1137,1)))))),""))</f>
        <v/>
      </c>
      <c r="U1137" s="38" t="n"/>
      <c r="V1137" s="37" t="n"/>
      <c r="W1137" s="38" t="n"/>
      <c r="X1137" s="38" t="n"/>
      <c r="Y1137" s="44" t="str">
        <f>IF($AC1137&gt;0,INDEX(CASHBACK_RULES!$A$5:$A$304,$AC1137),"")</f>
        <v/>
      </c>
      <c r="Z1137" s="45" t="str">
        <f>IF($AC1137&gt;0,INDEX(CASHBACK_RULES!$E$5:$E$304,$AC1137)&amp;"","")</f>
        <v/>
      </c>
      <c r="AA1137" s="48" t="str">
        <f>IF($AC1137&gt;0,IF(ISNUMBER(INDEX(CASHBACK_RULES!$K$5:$K$304,$AC1137)),INDEX(CASHBACK_RULES!$K$5:$K$304,$AC1137),"∞"),"")</f>
        <v/>
      </c>
      <c r="AB1137" s="44" t="str">
        <f>IF(OR($B1137="",$D1137=""),"",IF($U1137="Cancelled","Đã hủy",IF($AC1137=0,"Không được hoàn",IF($Q1137=0,IF(OR($O1137&gt;0,$M1137&lt;$L1137),"Đã đạt cap","Không được hoàn"),IF(OR($Q1137&lt;$O1137,$M1137&lt;$L1137),"Hoàn một phần","Được hoàn")))))</f>
        <v/>
      </c>
      <c r="AC1137" s="43">
        <f>IF(OR($B1137="",$D1137="",$I1137="",$L1137=""),0,IF($U1137="Cancelled",0,IF($W1137&lt;&gt;"",IFERROR(IF(INDEX(CASHBACK_RULES!$B$5:$B$304,MATCH($W1137,CASHBACK_RULES!$A$5:$A$304,0))=$D1137,MATCH($W1137,CASHBACK_RULES!$A$5:$A$304,0),0),0),IFERROR(MATCH(1,INDEX((CASHBACK_RULES!$B$5:$B$304=$D1137)*(CASHBACK_RULES!$G$5:$G$304=$I1137)*(((CASHBACK_RULES!$N$5:$N$304="")+(CASHBACK_RULES!$N$5:$N$304&lt;=$B1137))&gt;0)*(((CASHBACK_RULES!$O$5:$O$304="")+(CASHBACK_RULES!$O$5:$O$304&gt;=$B1137))&gt;0)*(((CASHBACK_RULES!$M$5:$M$304="")+(CASHBACK_RULES!$M$5:$M$304&lt;=$L1137))&gt;0),0),0),0))))</f>
        <v>0</v>
      </c>
      <c r="AD1137" s="51" t="str">
        <f>IF(OR($B1137="",$D1137=""),"",IFERROR(IF(INDEX(CARDS!$H$5:$H$34,MATCH($D1137,CARDS!$A$5:$A$34,0))="","",IF(DAY($B1137)&lt;=INDEX(CARDS!$H$5:$H$34,MATCH($D1137,CARDS!$A$5:$A$34,0)),DATE(YEAR($B1137),MONTH($B1137),MIN(INDEX(CARDS!$H$5:$H$34,MATCH($D1137,CARDS!$A$5:$A$34,0)),DAY(EOMONTH($B1137,0)))),DATE(YEAR($B1137),MONTH($B1137)+1,MIN(INDEX(CARDS!$H$5:$H$34,MATCH($D1137,CARDS!$A$5:$A$34,0)),DAY(EOMONTH($B1137,1)))))),""))</f>
        <v/>
      </c>
      <c r="AE1137" s="52" t="str">
        <f>IF($C1137="","",$C1137&amp;"|"&amp;COUNTIF($C$5:$C1137,$C1137))</f>
        <v/>
      </c>
      <c r="AF1137" s="53">
        <f>IF($AC1137&gt;0,SUMIFS(Q$4:Q1136,$D$4:$D1136,$D1137,$Z$4:$Z1136,$Z1137,$C$4:$C1136,$C1137),0)</f>
        <v>0</v>
      </c>
      <c r="AG1137" s="53">
        <f>IF($AC1137&gt;0,SUMIFS(Q$4:Q1136,$D$4:$D1136,$D1137,$C$4:$C1136,$C1137),0)</f>
        <v>0</v>
      </c>
      <c r="AH1137" s="53">
        <f>IF($AC1137&gt;0,SUMIFS(M$4:M1136,$D$4:$D1136,$D1137,$Z$4:$Z1136,$Z1137,$C$4:$C1136,$C1137),0)</f>
        <v>0</v>
      </c>
      <c r="AI1137" s="43">
        <f>IF(OR($C1137="",$I1137=""),0,IF(COUNTIFS($C$5:$C1137,$C1137,$I$5:$I1137,$I1137)=1,1,0))</f>
        <v>0</v>
      </c>
      <c r="AJ1137" s="43" t="str">
        <f>IF($AI1137=1,SUMIFS($AI$4:$AI1136,$C$4:$C1136,$C1137)+1,"")</f>
        <v/>
      </c>
      <c r="AK1137" s="43">
        <f>IF(OR($C1137="",$K1137=""),0,IF(COUNTIFS($C$5:$C1137,$C1137,$K$5:$K1137,$K1137)=1,1,0))</f>
        <v>0</v>
      </c>
      <c r="AL1137" s="43" t="str">
        <f>IF($AK1137=1,SUMIFS($AK$4:$AK1136,$C$4:$C1136,$C1137)+1,"")</f>
        <v/>
      </c>
      <c r="AM1137" s="43">
        <f>IF(OR($C1137="",$G1137=""),0,IF(COUNTIFS($C$5:$C1137,$C1137,$G$5:$G1137,$G1137)=1,1,0))</f>
        <v>0</v>
      </c>
      <c r="AN1137" s="43" t="str">
        <f>IF($AM1137=1,SUMIFS($AM$4:$AM1136,$C$4:$C1136,$C1137)+1,"")</f>
        <v/>
      </c>
    </row>
    <row r="1138">
      <c r="A1138" s="44" t="str">
        <f>IF(OR($B1138="",$D1138=""),"","TX"&amp;TEXT(ROW()-4,"0000"))</f>
        <v/>
      </c>
      <c r="B1138" s="42" t="n"/>
      <c r="C1138" s="47" t="str">
        <f>IF($B1138="","",YEAR($B1138)*100+MONTH($B1138))</f>
        <v/>
      </c>
      <c r="D1138" s="37" t="n"/>
      <c r="E1138" s="45" t="str">
        <f>IF($D1138="","",IFERROR(INDEX(CARDS!$B$5:$B$34,MATCH($D1138,CARDS!$A$5:$A$34,0)),"⚠ Card ID?"))</f>
        <v/>
      </c>
      <c r="F1138" s="45" t="str">
        <f>IF($D1138="","",IFERROR(INDEX(CARDS!$C$5:$C$34,MATCH($D1138,CARDS!$A$5:$A$34,0)),"⚠ Card ID?"))</f>
        <v/>
      </c>
      <c r="G1138" s="37" t="n"/>
      <c r="H1138" s="37" t="n"/>
      <c r="I1138" s="41" t="n"/>
      <c r="J1138" s="45" t="str">
        <f>IF($I1138="","",IFERROR(INDEX(MCC_MASTER!$B$5:$B$504,MATCH($I1138,MCC_MASTER!$A$5:$A$504,0)),"⚠ MCC chưa có"))</f>
        <v/>
      </c>
      <c r="K1138" s="45" t="str">
        <f>IF($I1138="","",IFERROR(IF(INDEX(MCC_MASTER!$C$5:$C$504,MATCH($I1138,MCC_MASTER!$A$5:$A$504,0))="","Chưa phân loại",INDEX(MCC_MASTER!$C$5:$C$504,MATCH($I1138,MCC_MASTER!$A$5:$A$504,0))),"Chưa phân loại"))</f>
        <v/>
      </c>
      <c r="L1138" s="40" t="n"/>
      <c r="M1138" s="48" t="str">
        <f>IF(OR($B1138="",$D1138=""),"",IF($AC1138=0,0,IF(ISNUMBER(INDEX(CASHBACK_RULES!$L$5:$L$304,$AC1138)),MAX(0,MIN($L1138,INDEX(CASHBACK_RULES!$L$5:$L$304,$AC1138)-$AH1138)),MAX(0,$L1138))))</f>
        <v/>
      </c>
      <c r="N1138" s="49" t="str">
        <f>IF(OR($B1138="",$D1138=""),"",IF($AC1138&gt;0,INDEX(CASHBACK_RULES!$I$5:$I$304,$AC1138),0))</f>
        <v/>
      </c>
      <c r="O1138" s="48" t="str">
        <f>IF(OR($B1138="",$D1138=""),"",ROUND($M1138*$N1138,0))</f>
        <v/>
      </c>
      <c r="P1138" s="48" t="str">
        <f>IF($AC1138&gt;0,IF(ISNUMBER(INDEX(CASHBACK_RULES!$J$5:$J$304,$AC1138)),INDEX(CASHBACK_RULES!$J$5:$J$304,$AC1138),"∞"),"")</f>
        <v/>
      </c>
      <c r="Q1138" s="48" t="str">
        <f>IF(OR($B1138="",$D1138=""),"",IF($AC1138=0,0,MAX(0,MIN($O1138,IF(ISNUMBER($P1138),$P1138-$AF1138,1E+15),IF(ISNUMBER($AA1138),$AA1138-$AG1138,1E+15)))))</f>
        <v/>
      </c>
      <c r="R1138" s="48" t="str">
        <f>IF(OR($B1138="",$D1138=""),"",IF($AC1138=0,"",IF(AND(NOT(ISNUMBER($P1138)),NOT(ISNUMBER($AA1138))),"∞",MAX(0,MIN(IF(ISNUMBER($P1138),$P1138-$AF1138-$Q1138,1E+15),IF(ISNUMBER($AA1138),$AA1138-$AG1138-$Q1138,1E+15))))))</f>
        <v/>
      </c>
      <c r="S1138" s="47" t="str">
        <f>IF($AD1138="","",YEAR($AD1138)*100+MONTH($AD1138))</f>
        <v/>
      </c>
      <c r="T1138" s="50" t="str">
        <f>IF($AD1138="","",IFERROR(IF(INDEX(CARDS!$I$5:$I$34,MATCH($D1138,CARDS!$A$5:$A$34,0))="","",IF(INDEX(CARDS!$I$5:$I$34,MATCH($D1138,CARDS!$A$5:$A$34,0))&gt;INDEX(CARDS!$H$5:$H$34,MATCH($D1138,CARDS!$A$5:$A$34,0)),DATE(YEAR($AD1138),MONTH($AD1138),MIN(INDEX(CARDS!$I$5:$I$34,MATCH($D1138,CARDS!$A$5:$A$34,0)),DAY(EOMONTH($AD1138,0)))),DATE(YEAR($AD1138),MONTH($AD1138)+1,MIN(INDEX(CARDS!$I$5:$I$34,MATCH($D1138,CARDS!$A$5:$A$34,0)),DAY(EOMONTH($AD1138,1)))))),""))</f>
        <v/>
      </c>
      <c r="U1138" s="38" t="n"/>
      <c r="V1138" s="37" t="n"/>
      <c r="W1138" s="38" t="n"/>
      <c r="X1138" s="38" t="n"/>
      <c r="Y1138" s="44" t="str">
        <f>IF($AC1138&gt;0,INDEX(CASHBACK_RULES!$A$5:$A$304,$AC1138),"")</f>
        <v/>
      </c>
      <c r="Z1138" s="45" t="str">
        <f>IF($AC1138&gt;0,INDEX(CASHBACK_RULES!$E$5:$E$304,$AC1138)&amp;"","")</f>
        <v/>
      </c>
      <c r="AA1138" s="48" t="str">
        <f>IF($AC1138&gt;0,IF(ISNUMBER(INDEX(CASHBACK_RULES!$K$5:$K$304,$AC1138)),INDEX(CASHBACK_RULES!$K$5:$K$304,$AC1138),"∞"),"")</f>
        <v/>
      </c>
      <c r="AB1138" s="44" t="str">
        <f>IF(OR($B1138="",$D1138=""),"",IF($U1138="Cancelled","Đã hủy",IF($AC1138=0,"Không được hoàn",IF($Q1138=0,IF(OR($O1138&gt;0,$M1138&lt;$L1138),"Đã đạt cap","Không được hoàn"),IF(OR($Q1138&lt;$O1138,$M1138&lt;$L1138),"Hoàn một phần","Được hoàn")))))</f>
        <v/>
      </c>
      <c r="AC1138" s="43">
        <f>IF(OR($B1138="",$D1138="",$I1138="",$L1138=""),0,IF($U1138="Cancelled",0,IF($W1138&lt;&gt;"",IFERROR(IF(INDEX(CASHBACK_RULES!$B$5:$B$304,MATCH($W1138,CASHBACK_RULES!$A$5:$A$304,0))=$D1138,MATCH($W1138,CASHBACK_RULES!$A$5:$A$304,0),0),0),IFERROR(MATCH(1,INDEX((CASHBACK_RULES!$B$5:$B$304=$D1138)*(CASHBACK_RULES!$G$5:$G$304=$I1138)*(((CASHBACK_RULES!$N$5:$N$304="")+(CASHBACK_RULES!$N$5:$N$304&lt;=$B1138))&gt;0)*(((CASHBACK_RULES!$O$5:$O$304="")+(CASHBACK_RULES!$O$5:$O$304&gt;=$B1138))&gt;0)*(((CASHBACK_RULES!$M$5:$M$304="")+(CASHBACK_RULES!$M$5:$M$304&lt;=$L1138))&gt;0),0),0),0))))</f>
        <v>0</v>
      </c>
      <c r="AD1138" s="51" t="str">
        <f>IF(OR($B1138="",$D1138=""),"",IFERROR(IF(INDEX(CARDS!$H$5:$H$34,MATCH($D1138,CARDS!$A$5:$A$34,0))="","",IF(DAY($B1138)&lt;=INDEX(CARDS!$H$5:$H$34,MATCH($D1138,CARDS!$A$5:$A$34,0)),DATE(YEAR($B1138),MONTH($B1138),MIN(INDEX(CARDS!$H$5:$H$34,MATCH($D1138,CARDS!$A$5:$A$34,0)),DAY(EOMONTH($B1138,0)))),DATE(YEAR($B1138),MONTH($B1138)+1,MIN(INDEX(CARDS!$H$5:$H$34,MATCH($D1138,CARDS!$A$5:$A$34,0)),DAY(EOMONTH($B1138,1)))))),""))</f>
        <v/>
      </c>
      <c r="AE1138" s="52" t="str">
        <f>IF($C1138="","",$C1138&amp;"|"&amp;COUNTIF($C$5:$C1138,$C1138))</f>
        <v/>
      </c>
      <c r="AF1138" s="53">
        <f>IF($AC1138&gt;0,SUMIFS(Q$4:Q1137,$D$4:$D1137,$D1138,$Z$4:$Z1137,$Z1138,$C$4:$C1137,$C1138),0)</f>
        <v>0</v>
      </c>
      <c r="AG1138" s="53">
        <f>IF($AC1138&gt;0,SUMIFS(Q$4:Q1137,$D$4:$D1137,$D1138,$C$4:$C1137,$C1138),0)</f>
        <v>0</v>
      </c>
      <c r="AH1138" s="53">
        <f>IF($AC1138&gt;0,SUMIFS(M$4:M1137,$D$4:$D1137,$D1138,$Z$4:$Z1137,$Z1138,$C$4:$C1137,$C1138),0)</f>
        <v>0</v>
      </c>
      <c r="AI1138" s="43">
        <f>IF(OR($C1138="",$I1138=""),0,IF(COUNTIFS($C$5:$C1138,$C1138,$I$5:$I1138,$I1138)=1,1,0))</f>
        <v>0</v>
      </c>
      <c r="AJ1138" s="43" t="str">
        <f>IF($AI1138=1,SUMIFS($AI$4:$AI1137,$C$4:$C1137,$C1138)+1,"")</f>
        <v/>
      </c>
      <c r="AK1138" s="43">
        <f>IF(OR($C1138="",$K1138=""),0,IF(COUNTIFS($C$5:$C1138,$C1138,$K$5:$K1138,$K1138)=1,1,0))</f>
        <v>0</v>
      </c>
      <c r="AL1138" s="43" t="str">
        <f>IF($AK1138=1,SUMIFS($AK$4:$AK1137,$C$4:$C1137,$C1138)+1,"")</f>
        <v/>
      </c>
      <c r="AM1138" s="43">
        <f>IF(OR($C1138="",$G1138=""),0,IF(COUNTIFS($C$5:$C1138,$C1138,$G$5:$G1138,$G1138)=1,1,0))</f>
        <v>0</v>
      </c>
      <c r="AN1138" s="43" t="str">
        <f>IF($AM1138=1,SUMIFS($AM$4:$AM1137,$C$4:$C1137,$C1138)+1,"")</f>
        <v/>
      </c>
    </row>
    <row r="1139">
      <c r="A1139" s="44" t="str">
        <f>IF(OR($B1139="",$D1139=""),"","TX"&amp;TEXT(ROW()-4,"0000"))</f>
        <v/>
      </c>
      <c r="B1139" s="42" t="n"/>
      <c r="C1139" s="47" t="str">
        <f>IF($B1139="","",YEAR($B1139)*100+MONTH($B1139))</f>
        <v/>
      </c>
      <c r="D1139" s="37" t="n"/>
      <c r="E1139" s="45" t="str">
        <f>IF($D1139="","",IFERROR(INDEX(CARDS!$B$5:$B$34,MATCH($D1139,CARDS!$A$5:$A$34,0)),"⚠ Card ID?"))</f>
        <v/>
      </c>
      <c r="F1139" s="45" t="str">
        <f>IF($D1139="","",IFERROR(INDEX(CARDS!$C$5:$C$34,MATCH($D1139,CARDS!$A$5:$A$34,0)),"⚠ Card ID?"))</f>
        <v/>
      </c>
      <c r="G1139" s="37" t="n"/>
      <c r="H1139" s="37" t="n"/>
      <c r="I1139" s="41" t="n"/>
      <c r="J1139" s="45" t="str">
        <f>IF($I1139="","",IFERROR(INDEX(MCC_MASTER!$B$5:$B$504,MATCH($I1139,MCC_MASTER!$A$5:$A$504,0)),"⚠ MCC chưa có"))</f>
        <v/>
      </c>
      <c r="K1139" s="45" t="str">
        <f>IF($I1139="","",IFERROR(IF(INDEX(MCC_MASTER!$C$5:$C$504,MATCH($I1139,MCC_MASTER!$A$5:$A$504,0))="","Chưa phân loại",INDEX(MCC_MASTER!$C$5:$C$504,MATCH($I1139,MCC_MASTER!$A$5:$A$504,0))),"Chưa phân loại"))</f>
        <v/>
      </c>
      <c r="L1139" s="40" t="n"/>
      <c r="M1139" s="48" t="str">
        <f>IF(OR($B1139="",$D1139=""),"",IF($AC1139=0,0,IF(ISNUMBER(INDEX(CASHBACK_RULES!$L$5:$L$304,$AC1139)),MAX(0,MIN($L1139,INDEX(CASHBACK_RULES!$L$5:$L$304,$AC1139)-$AH1139)),MAX(0,$L1139))))</f>
        <v/>
      </c>
      <c r="N1139" s="49" t="str">
        <f>IF(OR($B1139="",$D1139=""),"",IF($AC1139&gt;0,INDEX(CASHBACK_RULES!$I$5:$I$304,$AC1139),0))</f>
        <v/>
      </c>
      <c r="O1139" s="48" t="str">
        <f>IF(OR($B1139="",$D1139=""),"",ROUND($M1139*$N1139,0))</f>
        <v/>
      </c>
      <c r="P1139" s="48" t="str">
        <f>IF($AC1139&gt;0,IF(ISNUMBER(INDEX(CASHBACK_RULES!$J$5:$J$304,$AC1139)),INDEX(CASHBACK_RULES!$J$5:$J$304,$AC1139),"∞"),"")</f>
        <v/>
      </c>
      <c r="Q1139" s="48" t="str">
        <f>IF(OR($B1139="",$D1139=""),"",IF($AC1139=0,0,MAX(0,MIN($O1139,IF(ISNUMBER($P1139),$P1139-$AF1139,1E+15),IF(ISNUMBER($AA1139),$AA1139-$AG1139,1E+15)))))</f>
        <v/>
      </c>
      <c r="R1139" s="48" t="str">
        <f>IF(OR($B1139="",$D1139=""),"",IF($AC1139=0,"",IF(AND(NOT(ISNUMBER($P1139)),NOT(ISNUMBER($AA1139))),"∞",MAX(0,MIN(IF(ISNUMBER($P1139),$P1139-$AF1139-$Q1139,1E+15),IF(ISNUMBER($AA1139),$AA1139-$AG1139-$Q1139,1E+15))))))</f>
        <v/>
      </c>
      <c r="S1139" s="47" t="str">
        <f>IF($AD1139="","",YEAR($AD1139)*100+MONTH($AD1139))</f>
        <v/>
      </c>
      <c r="T1139" s="50" t="str">
        <f>IF($AD1139="","",IFERROR(IF(INDEX(CARDS!$I$5:$I$34,MATCH($D1139,CARDS!$A$5:$A$34,0))="","",IF(INDEX(CARDS!$I$5:$I$34,MATCH($D1139,CARDS!$A$5:$A$34,0))&gt;INDEX(CARDS!$H$5:$H$34,MATCH($D1139,CARDS!$A$5:$A$34,0)),DATE(YEAR($AD1139),MONTH($AD1139),MIN(INDEX(CARDS!$I$5:$I$34,MATCH($D1139,CARDS!$A$5:$A$34,0)),DAY(EOMONTH($AD1139,0)))),DATE(YEAR($AD1139),MONTH($AD1139)+1,MIN(INDEX(CARDS!$I$5:$I$34,MATCH($D1139,CARDS!$A$5:$A$34,0)),DAY(EOMONTH($AD1139,1)))))),""))</f>
        <v/>
      </c>
      <c r="U1139" s="38" t="n"/>
      <c r="V1139" s="37" t="n"/>
      <c r="W1139" s="38" t="n"/>
      <c r="X1139" s="38" t="n"/>
      <c r="Y1139" s="44" t="str">
        <f>IF($AC1139&gt;0,INDEX(CASHBACK_RULES!$A$5:$A$304,$AC1139),"")</f>
        <v/>
      </c>
      <c r="Z1139" s="45" t="str">
        <f>IF($AC1139&gt;0,INDEX(CASHBACK_RULES!$E$5:$E$304,$AC1139)&amp;"","")</f>
        <v/>
      </c>
      <c r="AA1139" s="48" t="str">
        <f>IF($AC1139&gt;0,IF(ISNUMBER(INDEX(CASHBACK_RULES!$K$5:$K$304,$AC1139)),INDEX(CASHBACK_RULES!$K$5:$K$304,$AC1139),"∞"),"")</f>
        <v/>
      </c>
      <c r="AB1139" s="44" t="str">
        <f>IF(OR($B1139="",$D1139=""),"",IF($U1139="Cancelled","Đã hủy",IF($AC1139=0,"Không được hoàn",IF($Q1139=0,IF(OR($O1139&gt;0,$M1139&lt;$L1139),"Đã đạt cap","Không được hoàn"),IF(OR($Q1139&lt;$O1139,$M1139&lt;$L1139),"Hoàn một phần","Được hoàn")))))</f>
        <v/>
      </c>
      <c r="AC1139" s="43">
        <f>IF(OR($B1139="",$D1139="",$I1139="",$L1139=""),0,IF($U1139="Cancelled",0,IF($W1139&lt;&gt;"",IFERROR(IF(INDEX(CASHBACK_RULES!$B$5:$B$304,MATCH($W1139,CASHBACK_RULES!$A$5:$A$304,0))=$D1139,MATCH($W1139,CASHBACK_RULES!$A$5:$A$304,0),0),0),IFERROR(MATCH(1,INDEX((CASHBACK_RULES!$B$5:$B$304=$D1139)*(CASHBACK_RULES!$G$5:$G$304=$I1139)*(((CASHBACK_RULES!$N$5:$N$304="")+(CASHBACK_RULES!$N$5:$N$304&lt;=$B1139))&gt;0)*(((CASHBACK_RULES!$O$5:$O$304="")+(CASHBACK_RULES!$O$5:$O$304&gt;=$B1139))&gt;0)*(((CASHBACK_RULES!$M$5:$M$304="")+(CASHBACK_RULES!$M$5:$M$304&lt;=$L1139))&gt;0),0),0),0))))</f>
        <v>0</v>
      </c>
      <c r="AD1139" s="51" t="str">
        <f>IF(OR($B1139="",$D1139=""),"",IFERROR(IF(INDEX(CARDS!$H$5:$H$34,MATCH($D1139,CARDS!$A$5:$A$34,0))="","",IF(DAY($B1139)&lt;=INDEX(CARDS!$H$5:$H$34,MATCH($D1139,CARDS!$A$5:$A$34,0)),DATE(YEAR($B1139),MONTH($B1139),MIN(INDEX(CARDS!$H$5:$H$34,MATCH($D1139,CARDS!$A$5:$A$34,0)),DAY(EOMONTH($B1139,0)))),DATE(YEAR($B1139),MONTH($B1139)+1,MIN(INDEX(CARDS!$H$5:$H$34,MATCH($D1139,CARDS!$A$5:$A$34,0)),DAY(EOMONTH($B1139,1)))))),""))</f>
        <v/>
      </c>
      <c r="AE1139" s="52" t="str">
        <f>IF($C1139="","",$C1139&amp;"|"&amp;COUNTIF($C$5:$C1139,$C1139))</f>
        <v/>
      </c>
      <c r="AF1139" s="53">
        <f>IF($AC1139&gt;0,SUMIFS(Q$4:Q1138,$D$4:$D1138,$D1139,$Z$4:$Z1138,$Z1139,$C$4:$C1138,$C1139),0)</f>
        <v>0</v>
      </c>
      <c r="AG1139" s="53">
        <f>IF($AC1139&gt;0,SUMIFS(Q$4:Q1138,$D$4:$D1138,$D1139,$C$4:$C1138,$C1139),0)</f>
        <v>0</v>
      </c>
      <c r="AH1139" s="53">
        <f>IF($AC1139&gt;0,SUMIFS(M$4:M1138,$D$4:$D1138,$D1139,$Z$4:$Z1138,$Z1139,$C$4:$C1138,$C1139),0)</f>
        <v>0</v>
      </c>
      <c r="AI1139" s="43">
        <f>IF(OR($C1139="",$I1139=""),0,IF(COUNTIFS($C$5:$C1139,$C1139,$I$5:$I1139,$I1139)=1,1,0))</f>
        <v>0</v>
      </c>
      <c r="AJ1139" s="43" t="str">
        <f>IF($AI1139=1,SUMIFS($AI$4:$AI1138,$C$4:$C1138,$C1139)+1,"")</f>
        <v/>
      </c>
      <c r="AK1139" s="43">
        <f>IF(OR($C1139="",$K1139=""),0,IF(COUNTIFS($C$5:$C1139,$C1139,$K$5:$K1139,$K1139)=1,1,0))</f>
        <v>0</v>
      </c>
      <c r="AL1139" s="43" t="str">
        <f>IF($AK1139=1,SUMIFS($AK$4:$AK1138,$C$4:$C1138,$C1139)+1,"")</f>
        <v/>
      </c>
      <c r="AM1139" s="43">
        <f>IF(OR($C1139="",$G1139=""),0,IF(COUNTIFS($C$5:$C1139,$C1139,$G$5:$G1139,$G1139)=1,1,0))</f>
        <v>0</v>
      </c>
      <c r="AN1139" s="43" t="str">
        <f>IF($AM1139=1,SUMIFS($AM$4:$AM1138,$C$4:$C1138,$C1139)+1,"")</f>
        <v/>
      </c>
    </row>
    <row r="1140">
      <c r="A1140" s="44" t="str">
        <f>IF(OR($B1140="",$D1140=""),"","TX"&amp;TEXT(ROW()-4,"0000"))</f>
        <v/>
      </c>
      <c r="B1140" s="42" t="n"/>
      <c r="C1140" s="47" t="str">
        <f>IF($B1140="","",YEAR($B1140)*100+MONTH($B1140))</f>
        <v/>
      </c>
      <c r="D1140" s="37" t="n"/>
      <c r="E1140" s="45" t="str">
        <f>IF($D1140="","",IFERROR(INDEX(CARDS!$B$5:$B$34,MATCH($D1140,CARDS!$A$5:$A$34,0)),"⚠ Card ID?"))</f>
        <v/>
      </c>
      <c r="F1140" s="45" t="str">
        <f>IF($D1140="","",IFERROR(INDEX(CARDS!$C$5:$C$34,MATCH($D1140,CARDS!$A$5:$A$34,0)),"⚠ Card ID?"))</f>
        <v/>
      </c>
      <c r="G1140" s="37" t="n"/>
      <c r="H1140" s="37" t="n"/>
      <c r="I1140" s="41" t="n"/>
      <c r="J1140" s="45" t="str">
        <f>IF($I1140="","",IFERROR(INDEX(MCC_MASTER!$B$5:$B$504,MATCH($I1140,MCC_MASTER!$A$5:$A$504,0)),"⚠ MCC chưa có"))</f>
        <v/>
      </c>
      <c r="K1140" s="45" t="str">
        <f>IF($I1140="","",IFERROR(IF(INDEX(MCC_MASTER!$C$5:$C$504,MATCH($I1140,MCC_MASTER!$A$5:$A$504,0))="","Chưa phân loại",INDEX(MCC_MASTER!$C$5:$C$504,MATCH($I1140,MCC_MASTER!$A$5:$A$504,0))),"Chưa phân loại"))</f>
        <v/>
      </c>
      <c r="L1140" s="40" t="n"/>
      <c r="M1140" s="48" t="str">
        <f>IF(OR($B1140="",$D1140=""),"",IF($AC1140=0,0,IF(ISNUMBER(INDEX(CASHBACK_RULES!$L$5:$L$304,$AC1140)),MAX(0,MIN($L1140,INDEX(CASHBACK_RULES!$L$5:$L$304,$AC1140)-$AH1140)),MAX(0,$L1140))))</f>
        <v/>
      </c>
      <c r="N1140" s="49" t="str">
        <f>IF(OR($B1140="",$D1140=""),"",IF($AC1140&gt;0,INDEX(CASHBACK_RULES!$I$5:$I$304,$AC1140),0))</f>
        <v/>
      </c>
      <c r="O1140" s="48" t="str">
        <f>IF(OR($B1140="",$D1140=""),"",ROUND($M1140*$N1140,0))</f>
        <v/>
      </c>
      <c r="P1140" s="48" t="str">
        <f>IF($AC1140&gt;0,IF(ISNUMBER(INDEX(CASHBACK_RULES!$J$5:$J$304,$AC1140)),INDEX(CASHBACK_RULES!$J$5:$J$304,$AC1140),"∞"),"")</f>
        <v/>
      </c>
      <c r="Q1140" s="48" t="str">
        <f>IF(OR($B1140="",$D1140=""),"",IF($AC1140=0,0,MAX(0,MIN($O1140,IF(ISNUMBER($P1140),$P1140-$AF1140,1E+15),IF(ISNUMBER($AA1140),$AA1140-$AG1140,1E+15)))))</f>
        <v/>
      </c>
      <c r="R1140" s="48" t="str">
        <f>IF(OR($B1140="",$D1140=""),"",IF($AC1140=0,"",IF(AND(NOT(ISNUMBER($P1140)),NOT(ISNUMBER($AA1140))),"∞",MAX(0,MIN(IF(ISNUMBER($P1140),$P1140-$AF1140-$Q1140,1E+15),IF(ISNUMBER($AA1140),$AA1140-$AG1140-$Q1140,1E+15))))))</f>
        <v/>
      </c>
      <c r="S1140" s="47" t="str">
        <f>IF($AD1140="","",YEAR($AD1140)*100+MONTH($AD1140))</f>
        <v/>
      </c>
      <c r="T1140" s="50" t="str">
        <f>IF($AD1140="","",IFERROR(IF(INDEX(CARDS!$I$5:$I$34,MATCH($D1140,CARDS!$A$5:$A$34,0))="","",IF(INDEX(CARDS!$I$5:$I$34,MATCH($D1140,CARDS!$A$5:$A$34,0))&gt;INDEX(CARDS!$H$5:$H$34,MATCH($D1140,CARDS!$A$5:$A$34,0)),DATE(YEAR($AD1140),MONTH($AD1140),MIN(INDEX(CARDS!$I$5:$I$34,MATCH($D1140,CARDS!$A$5:$A$34,0)),DAY(EOMONTH($AD1140,0)))),DATE(YEAR($AD1140),MONTH($AD1140)+1,MIN(INDEX(CARDS!$I$5:$I$34,MATCH($D1140,CARDS!$A$5:$A$34,0)),DAY(EOMONTH($AD1140,1)))))),""))</f>
        <v/>
      </c>
      <c r="U1140" s="38" t="n"/>
      <c r="V1140" s="37" t="n"/>
      <c r="W1140" s="38" t="n"/>
      <c r="X1140" s="38" t="n"/>
      <c r="Y1140" s="44" t="str">
        <f>IF($AC1140&gt;0,INDEX(CASHBACK_RULES!$A$5:$A$304,$AC1140),"")</f>
        <v/>
      </c>
      <c r="Z1140" s="45" t="str">
        <f>IF($AC1140&gt;0,INDEX(CASHBACK_RULES!$E$5:$E$304,$AC1140)&amp;"","")</f>
        <v/>
      </c>
      <c r="AA1140" s="48" t="str">
        <f>IF($AC1140&gt;0,IF(ISNUMBER(INDEX(CASHBACK_RULES!$K$5:$K$304,$AC1140)),INDEX(CASHBACK_RULES!$K$5:$K$304,$AC1140),"∞"),"")</f>
        <v/>
      </c>
      <c r="AB1140" s="44" t="str">
        <f>IF(OR($B1140="",$D1140=""),"",IF($U1140="Cancelled","Đã hủy",IF($AC1140=0,"Không được hoàn",IF($Q1140=0,IF(OR($O1140&gt;0,$M1140&lt;$L1140),"Đã đạt cap","Không được hoàn"),IF(OR($Q1140&lt;$O1140,$M1140&lt;$L1140),"Hoàn một phần","Được hoàn")))))</f>
        <v/>
      </c>
      <c r="AC1140" s="43">
        <f>IF(OR($B1140="",$D1140="",$I1140="",$L1140=""),0,IF($U1140="Cancelled",0,IF($W1140&lt;&gt;"",IFERROR(IF(INDEX(CASHBACK_RULES!$B$5:$B$304,MATCH($W1140,CASHBACK_RULES!$A$5:$A$304,0))=$D1140,MATCH($W1140,CASHBACK_RULES!$A$5:$A$304,0),0),0),IFERROR(MATCH(1,INDEX((CASHBACK_RULES!$B$5:$B$304=$D1140)*(CASHBACK_RULES!$G$5:$G$304=$I1140)*(((CASHBACK_RULES!$N$5:$N$304="")+(CASHBACK_RULES!$N$5:$N$304&lt;=$B1140))&gt;0)*(((CASHBACK_RULES!$O$5:$O$304="")+(CASHBACK_RULES!$O$5:$O$304&gt;=$B1140))&gt;0)*(((CASHBACK_RULES!$M$5:$M$304="")+(CASHBACK_RULES!$M$5:$M$304&lt;=$L1140))&gt;0),0),0),0))))</f>
        <v>0</v>
      </c>
      <c r="AD1140" s="51" t="str">
        <f>IF(OR($B1140="",$D1140=""),"",IFERROR(IF(INDEX(CARDS!$H$5:$H$34,MATCH($D1140,CARDS!$A$5:$A$34,0))="","",IF(DAY($B1140)&lt;=INDEX(CARDS!$H$5:$H$34,MATCH($D1140,CARDS!$A$5:$A$34,0)),DATE(YEAR($B1140),MONTH($B1140),MIN(INDEX(CARDS!$H$5:$H$34,MATCH($D1140,CARDS!$A$5:$A$34,0)),DAY(EOMONTH($B1140,0)))),DATE(YEAR($B1140),MONTH($B1140)+1,MIN(INDEX(CARDS!$H$5:$H$34,MATCH($D1140,CARDS!$A$5:$A$34,0)),DAY(EOMONTH($B1140,1)))))),""))</f>
        <v/>
      </c>
      <c r="AE1140" s="52" t="str">
        <f>IF($C1140="","",$C1140&amp;"|"&amp;COUNTIF($C$5:$C1140,$C1140))</f>
        <v/>
      </c>
      <c r="AF1140" s="53">
        <f>IF($AC1140&gt;0,SUMIFS(Q$4:Q1139,$D$4:$D1139,$D1140,$Z$4:$Z1139,$Z1140,$C$4:$C1139,$C1140),0)</f>
        <v>0</v>
      </c>
      <c r="AG1140" s="53">
        <f>IF($AC1140&gt;0,SUMIFS(Q$4:Q1139,$D$4:$D1139,$D1140,$C$4:$C1139,$C1140),0)</f>
        <v>0</v>
      </c>
      <c r="AH1140" s="53">
        <f>IF($AC1140&gt;0,SUMIFS(M$4:M1139,$D$4:$D1139,$D1140,$Z$4:$Z1139,$Z1140,$C$4:$C1139,$C1140),0)</f>
        <v>0</v>
      </c>
      <c r="AI1140" s="43">
        <f>IF(OR($C1140="",$I1140=""),0,IF(COUNTIFS($C$5:$C1140,$C1140,$I$5:$I1140,$I1140)=1,1,0))</f>
        <v>0</v>
      </c>
      <c r="AJ1140" s="43" t="str">
        <f>IF($AI1140=1,SUMIFS($AI$4:$AI1139,$C$4:$C1139,$C1140)+1,"")</f>
        <v/>
      </c>
      <c r="AK1140" s="43">
        <f>IF(OR($C1140="",$K1140=""),0,IF(COUNTIFS($C$5:$C1140,$C1140,$K$5:$K1140,$K1140)=1,1,0))</f>
        <v>0</v>
      </c>
      <c r="AL1140" s="43" t="str">
        <f>IF($AK1140=1,SUMIFS($AK$4:$AK1139,$C$4:$C1139,$C1140)+1,"")</f>
        <v/>
      </c>
      <c r="AM1140" s="43">
        <f>IF(OR($C1140="",$G1140=""),0,IF(COUNTIFS($C$5:$C1140,$C1140,$G$5:$G1140,$G1140)=1,1,0))</f>
        <v>0</v>
      </c>
      <c r="AN1140" s="43" t="str">
        <f>IF($AM1140=1,SUMIFS($AM$4:$AM1139,$C$4:$C1139,$C1140)+1,"")</f>
        <v/>
      </c>
    </row>
    <row r="1141">
      <c r="A1141" s="44" t="str">
        <f>IF(OR($B1141="",$D1141=""),"","TX"&amp;TEXT(ROW()-4,"0000"))</f>
        <v/>
      </c>
      <c r="B1141" s="42" t="n"/>
      <c r="C1141" s="47" t="str">
        <f>IF($B1141="","",YEAR($B1141)*100+MONTH($B1141))</f>
        <v/>
      </c>
      <c r="D1141" s="37" t="n"/>
      <c r="E1141" s="45" t="str">
        <f>IF($D1141="","",IFERROR(INDEX(CARDS!$B$5:$B$34,MATCH($D1141,CARDS!$A$5:$A$34,0)),"⚠ Card ID?"))</f>
        <v/>
      </c>
      <c r="F1141" s="45" t="str">
        <f>IF($D1141="","",IFERROR(INDEX(CARDS!$C$5:$C$34,MATCH($D1141,CARDS!$A$5:$A$34,0)),"⚠ Card ID?"))</f>
        <v/>
      </c>
      <c r="G1141" s="37" t="n"/>
      <c r="H1141" s="37" t="n"/>
      <c r="I1141" s="41" t="n"/>
      <c r="J1141" s="45" t="str">
        <f>IF($I1141="","",IFERROR(INDEX(MCC_MASTER!$B$5:$B$504,MATCH($I1141,MCC_MASTER!$A$5:$A$504,0)),"⚠ MCC chưa có"))</f>
        <v/>
      </c>
      <c r="K1141" s="45" t="str">
        <f>IF($I1141="","",IFERROR(IF(INDEX(MCC_MASTER!$C$5:$C$504,MATCH($I1141,MCC_MASTER!$A$5:$A$504,0))="","Chưa phân loại",INDEX(MCC_MASTER!$C$5:$C$504,MATCH($I1141,MCC_MASTER!$A$5:$A$504,0))),"Chưa phân loại"))</f>
        <v/>
      </c>
      <c r="L1141" s="40" t="n"/>
      <c r="M1141" s="48" t="str">
        <f>IF(OR($B1141="",$D1141=""),"",IF($AC1141=0,0,IF(ISNUMBER(INDEX(CASHBACK_RULES!$L$5:$L$304,$AC1141)),MAX(0,MIN($L1141,INDEX(CASHBACK_RULES!$L$5:$L$304,$AC1141)-$AH1141)),MAX(0,$L1141))))</f>
        <v/>
      </c>
      <c r="N1141" s="49" t="str">
        <f>IF(OR($B1141="",$D1141=""),"",IF($AC1141&gt;0,INDEX(CASHBACK_RULES!$I$5:$I$304,$AC1141),0))</f>
        <v/>
      </c>
      <c r="O1141" s="48" t="str">
        <f>IF(OR($B1141="",$D1141=""),"",ROUND($M1141*$N1141,0))</f>
        <v/>
      </c>
      <c r="P1141" s="48" t="str">
        <f>IF($AC1141&gt;0,IF(ISNUMBER(INDEX(CASHBACK_RULES!$J$5:$J$304,$AC1141)),INDEX(CASHBACK_RULES!$J$5:$J$304,$AC1141),"∞"),"")</f>
        <v/>
      </c>
      <c r="Q1141" s="48" t="str">
        <f>IF(OR($B1141="",$D1141=""),"",IF($AC1141=0,0,MAX(0,MIN($O1141,IF(ISNUMBER($P1141),$P1141-$AF1141,1E+15),IF(ISNUMBER($AA1141),$AA1141-$AG1141,1E+15)))))</f>
        <v/>
      </c>
      <c r="R1141" s="48" t="str">
        <f>IF(OR($B1141="",$D1141=""),"",IF($AC1141=0,"",IF(AND(NOT(ISNUMBER($P1141)),NOT(ISNUMBER($AA1141))),"∞",MAX(0,MIN(IF(ISNUMBER($P1141),$P1141-$AF1141-$Q1141,1E+15),IF(ISNUMBER($AA1141),$AA1141-$AG1141-$Q1141,1E+15))))))</f>
        <v/>
      </c>
      <c r="S1141" s="47" t="str">
        <f>IF($AD1141="","",YEAR($AD1141)*100+MONTH($AD1141))</f>
        <v/>
      </c>
      <c r="T1141" s="50" t="str">
        <f>IF($AD1141="","",IFERROR(IF(INDEX(CARDS!$I$5:$I$34,MATCH($D1141,CARDS!$A$5:$A$34,0))="","",IF(INDEX(CARDS!$I$5:$I$34,MATCH($D1141,CARDS!$A$5:$A$34,0))&gt;INDEX(CARDS!$H$5:$H$34,MATCH($D1141,CARDS!$A$5:$A$34,0)),DATE(YEAR($AD1141),MONTH($AD1141),MIN(INDEX(CARDS!$I$5:$I$34,MATCH($D1141,CARDS!$A$5:$A$34,0)),DAY(EOMONTH($AD1141,0)))),DATE(YEAR($AD1141),MONTH($AD1141)+1,MIN(INDEX(CARDS!$I$5:$I$34,MATCH($D1141,CARDS!$A$5:$A$34,0)),DAY(EOMONTH($AD1141,1)))))),""))</f>
        <v/>
      </c>
      <c r="U1141" s="38" t="n"/>
      <c r="V1141" s="37" t="n"/>
      <c r="W1141" s="38" t="n"/>
      <c r="X1141" s="38" t="n"/>
      <c r="Y1141" s="44" t="str">
        <f>IF($AC1141&gt;0,INDEX(CASHBACK_RULES!$A$5:$A$304,$AC1141),"")</f>
        <v/>
      </c>
      <c r="Z1141" s="45" t="str">
        <f>IF($AC1141&gt;0,INDEX(CASHBACK_RULES!$E$5:$E$304,$AC1141)&amp;"","")</f>
        <v/>
      </c>
      <c r="AA1141" s="48" t="str">
        <f>IF($AC1141&gt;0,IF(ISNUMBER(INDEX(CASHBACK_RULES!$K$5:$K$304,$AC1141)),INDEX(CASHBACK_RULES!$K$5:$K$304,$AC1141),"∞"),"")</f>
        <v/>
      </c>
      <c r="AB1141" s="44" t="str">
        <f>IF(OR($B1141="",$D1141=""),"",IF($U1141="Cancelled","Đã hủy",IF($AC1141=0,"Không được hoàn",IF($Q1141=0,IF(OR($O1141&gt;0,$M1141&lt;$L1141),"Đã đạt cap","Không được hoàn"),IF(OR($Q1141&lt;$O1141,$M1141&lt;$L1141),"Hoàn một phần","Được hoàn")))))</f>
        <v/>
      </c>
      <c r="AC1141" s="43">
        <f>IF(OR($B1141="",$D1141="",$I1141="",$L1141=""),0,IF($U1141="Cancelled",0,IF($W1141&lt;&gt;"",IFERROR(IF(INDEX(CASHBACK_RULES!$B$5:$B$304,MATCH($W1141,CASHBACK_RULES!$A$5:$A$304,0))=$D1141,MATCH($W1141,CASHBACK_RULES!$A$5:$A$304,0),0),0),IFERROR(MATCH(1,INDEX((CASHBACK_RULES!$B$5:$B$304=$D1141)*(CASHBACK_RULES!$G$5:$G$304=$I1141)*(((CASHBACK_RULES!$N$5:$N$304="")+(CASHBACK_RULES!$N$5:$N$304&lt;=$B1141))&gt;0)*(((CASHBACK_RULES!$O$5:$O$304="")+(CASHBACK_RULES!$O$5:$O$304&gt;=$B1141))&gt;0)*(((CASHBACK_RULES!$M$5:$M$304="")+(CASHBACK_RULES!$M$5:$M$304&lt;=$L1141))&gt;0),0),0),0))))</f>
        <v>0</v>
      </c>
      <c r="AD1141" s="51" t="str">
        <f>IF(OR($B1141="",$D1141=""),"",IFERROR(IF(INDEX(CARDS!$H$5:$H$34,MATCH($D1141,CARDS!$A$5:$A$34,0))="","",IF(DAY($B1141)&lt;=INDEX(CARDS!$H$5:$H$34,MATCH($D1141,CARDS!$A$5:$A$34,0)),DATE(YEAR($B1141),MONTH($B1141),MIN(INDEX(CARDS!$H$5:$H$34,MATCH($D1141,CARDS!$A$5:$A$34,0)),DAY(EOMONTH($B1141,0)))),DATE(YEAR($B1141),MONTH($B1141)+1,MIN(INDEX(CARDS!$H$5:$H$34,MATCH($D1141,CARDS!$A$5:$A$34,0)),DAY(EOMONTH($B1141,1)))))),""))</f>
        <v/>
      </c>
      <c r="AE1141" s="52" t="str">
        <f>IF($C1141="","",$C1141&amp;"|"&amp;COUNTIF($C$5:$C1141,$C1141))</f>
        <v/>
      </c>
      <c r="AF1141" s="53">
        <f>IF($AC1141&gt;0,SUMIFS(Q$4:Q1140,$D$4:$D1140,$D1141,$Z$4:$Z1140,$Z1141,$C$4:$C1140,$C1141),0)</f>
        <v>0</v>
      </c>
      <c r="AG1141" s="53">
        <f>IF($AC1141&gt;0,SUMIFS(Q$4:Q1140,$D$4:$D1140,$D1141,$C$4:$C1140,$C1141),0)</f>
        <v>0</v>
      </c>
      <c r="AH1141" s="53">
        <f>IF($AC1141&gt;0,SUMIFS(M$4:M1140,$D$4:$D1140,$D1141,$Z$4:$Z1140,$Z1141,$C$4:$C1140,$C1141),0)</f>
        <v>0</v>
      </c>
      <c r="AI1141" s="43">
        <f>IF(OR($C1141="",$I1141=""),0,IF(COUNTIFS($C$5:$C1141,$C1141,$I$5:$I1141,$I1141)=1,1,0))</f>
        <v>0</v>
      </c>
      <c r="AJ1141" s="43" t="str">
        <f>IF($AI1141=1,SUMIFS($AI$4:$AI1140,$C$4:$C1140,$C1141)+1,"")</f>
        <v/>
      </c>
      <c r="AK1141" s="43">
        <f>IF(OR($C1141="",$K1141=""),0,IF(COUNTIFS($C$5:$C1141,$C1141,$K$5:$K1141,$K1141)=1,1,0))</f>
        <v>0</v>
      </c>
      <c r="AL1141" s="43" t="str">
        <f>IF($AK1141=1,SUMIFS($AK$4:$AK1140,$C$4:$C1140,$C1141)+1,"")</f>
        <v/>
      </c>
      <c r="AM1141" s="43">
        <f>IF(OR($C1141="",$G1141=""),0,IF(COUNTIFS($C$5:$C1141,$C1141,$G$5:$G1141,$G1141)=1,1,0))</f>
        <v>0</v>
      </c>
      <c r="AN1141" s="43" t="str">
        <f>IF($AM1141=1,SUMIFS($AM$4:$AM1140,$C$4:$C1140,$C1141)+1,"")</f>
        <v/>
      </c>
    </row>
    <row r="1142">
      <c r="A1142" s="44" t="str">
        <f>IF(OR($B1142="",$D1142=""),"","TX"&amp;TEXT(ROW()-4,"0000"))</f>
        <v/>
      </c>
      <c r="B1142" s="42" t="n"/>
      <c r="C1142" s="47" t="str">
        <f>IF($B1142="","",YEAR($B1142)*100+MONTH($B1142))</f>
        <v/>
      </c>
      <c r="D1142" s="37" t="n"/>
      <c r="E1142" s="45" t="str">
        <f>IF($D1142="","",IFERROR(INDEX(CARDS!$B$5:$B$34,MATCH($D1142,CARDS!$A$5:$A$34,0)),"⚠ Card ID?"))</f>
        <v/>
      </c>
      <c r="F1142" s="45" t="str">
        <f>IF($D1142="","",IFERROR(INDEX(CARDS!$C$5:$C$34,MATCH($D1142,CARDS!$A$5:$A$34,0)),"⚠ Card ID?"))</f>
        <v/>
      </c>
      <c r="G1142" s="37" t="n"/>
      <c r="H1142" s="37" t="n"/>
      <c r="I1142" s="41" t="n"/>
      <c r="J1142" s="45" t="str">
        <f>IF($I1142="","",IFERROR(INDEX(MCC_MASTER!$B$5:$B$504,MATCH($I1142,MCC_MASTER!$A$5:$A$504,0)),"⚠ MCC chưa có"))</f>
        <v/>
      </c>
      <c r="K1142" s="45" t="str">
        <f>IF($I1142="","",IFERROR(IF(INDEX(MCC_MASTER!$C$5:$C$504,MATCH($I1142,MCC_MASTER!$A$5:$A$504,0))="","Chưa phân loại",INDEX(MCC_MASTER!$C$5:$C$504,MATCH($I1142,MCC_MASTER!$A$5:$A$504,0))),"Chưa phân loại"))</f>
        <v/>
      </c>
      <c r="L1142" s="40" t="n"/>
      <c r="M1142" s="48" t="str">
        <f>IF(OR($B1142="",$D1142=""),"",IF($AC1142=0,0,IF(ISNUMBER(INDEX(CASHBACK_RULES!$L$5:$L$304,$AC1142)),MAX(0,MIN($L1142,INDEX(CASHBACK_RULES!$L$5:$L$304,$AC1142)-$AH1142)),MAX(0,$L1142))))</f>
        <v/>
      </c>
      <c r="N1142" s="49" t="str">
        <f>IF(OR($B1142="",$D1142=""),"",IF($AC1142&gt;0,INDEX(CASHBACK_RULES!$I$5:$I$304,$AC1142),0))</f>
        <v/>
      </c>
      <c r="O1142" s="48" t="str">
        <f>IF(OR($B1142="",$D1142=""),"",ROUND($M1142*$N1142,0))</f>
        <v/>
      </c>
      <c r="P1142" s="48" t="str">
        <f>IF($AC1142&gt;0,IF(ISNUMBER(INDEX(CASHBACK_RULES!$J$5:$J$304,$AC1142)),INDEX(CASHBACK_RULES!$J$5:$J$304,$AC1142),"∞"),"")</f>
        <v/>
      </c>
      <c r="Q1142" s="48" t="str">
        <f>IF(OR($B1142="",$D1142=""),"",IF($AC1142=0,0,MAX(0,MIN($O1142,IF(ISNUMBER($P1142),$P1142-$AF1142,1E+15),IF(ISNUMBER($AA1142),$AA1142-$AG1142,1E+15)))))</f>
        <v/>
      </c>
      <c r="R1142" s="48" t="str">
        <f>IF(OR($B1142="",$D1142=""),"",IF($AC1142=0,"",IF(AND(NOT(ISNUMBER($P1142)),NOT(ISNUMBER($AA1142))),"∞",MAX(0,MIN(IF(ISNUMBER($P1142),$P1142-$AF1142-$Q1142,1E+15),IF(ISNUMBER($AA1142),$AA1142-$AG1142-$Q1142,1E+15))))))</f>
        <v/>
      </c>
      <c r="S1142" s="47" t="str">
        <f>IF($AD1142="","",YEAR($AD1142)*100+MONTH($AD1142))</f>
        <v/>
      </c>
      <c r="T1142" s="50" t="str">
        <f>IF($AD1142="","",IFERROR(IF(INDEX(CARDS!$I$5:$I$34,MATCH($D1142,CARDS!$A$5:$A$34,0))="","",IF(INDEX(CARDS!$I$5:$I$34,MATCH($D1142,CARDS!$A$5:$A$34,0))&gt;INDEX(CARDS!$H$5:$H$34,MATCH($D1142,CARDS!$A$5:$A$34,0)),DATE(YEAR($AD1142),MONTH($AD1142),MIN(INDEX(CARDS!$I$5:$I$34,MATCH($D1142,CARDS!$A$5:$A$34,0)),DAY(EOMONTH($AD1142,0)))),DATE(YEAR($AD1142),MONTH($AD1142)+1,MIN(INDEX(CARDS!$I$5:$I$34,MATCH($D1142,CARDS!$A$5:$A$34,0)),DAY(EOMONTH($AD1142,1)))))),""))</f>
        <v/>
      </c>
      <c r="U1142" s="38" t="n"/>
      <c r="V1142" s="37" t="n"/>
      <c r="W1142" s="38" t="n"/>
      <c r="X1142" s="38" t="n"/>
      <c r="Y1142" s="44" t="str">
        <f>IF($AC1142&gt;0,INDEX(CASHBACK_RULES!$A$5:$A$304,$AC1142),"")</f>
        <v/>
      </c>
      <c r="Z1142" s="45" t="str">
        <f>IF($AC1142&gt;0,INDEX(CASHBACK_RULES!$E$5:$E$304,$AC1142)&amp;"","")</f>
        <v/>
      </c>
      <c r="AA1142" s="48" t="str">
        <f>IF($AC1142&gt;0,IF(ISNUMBER(INDEX(CASHBACK_RULES!$K$5:$K$304,$AC1142)),INDEX(CASHBACK_RULES!$K$5:$K$304,$AC1142),"∞"),"")</f>
        <v/>
      </c>
      <c r="AB1142" s="44" t="str">
        <f>IF(OR($B1142="",$D1142=""),"",IF($U1142="Cancelled","Đã hủy",IF($AC1142=0,"Không được hoàn",IF($Q1142=0,IF(OR($O1142&gt;0,$M1142&lt;$L1142),"Đã đạt cap","Không được hoàn"),IF(OR($Q1142&lt;$O1142,$M1142&lt;$L1142),"Hoàn một phần","Được hoàn")))))</f>
        <v/>
      </c>
      <c r="AC1142" s="43">
        <f>IF(OR($B1142="",$D1142="",$I1142="",$L1142=""),0,IF($U1142="Cancelled",0,IF($W1142&lt;&gt;"",IFERROR(IF(INDEX(CASHBACK_RULES!$B$5:$B$304,MATCH($W1142,CASHBACK_RULES!$A$5:$A$304,0))=$D1142,MATCH($W1142,CASHBACK_RULES!$A$5:$A$304,0),0),0),IFERROR(MATCH(1,INDEX((CASHBACK_RULES!$B$5:$B$304=$D1142)*(CASHBACK_RULES!$G$5:$G$304=$I1142)*(((CASHBACK_RULES!$N$5:$N$304="")+(CASHBACK_RULES!$N$5:$N$304&lt;=$B1142))&gt;0)*(((CASHBACK_RULES!$O$5:$O$304="")+(CASHBACK_RULES!$O$5:$O$304&gt;=$B1142))&gt;0)*(((CASHBACK_RULES!$M$5:$M$304="")+(CASHBACK_RULES!$M$5:$M$304&lt;=$L1142))&gt;0),0),0),0))))</f>
        <v>0</v>
      </c>
      <c r="AD1142" s="51" t="str">
        <f>IF(OR($B1142="",$D1142=""),"",IFERROR(IF(INDEX(CARDS!$H$5:$H$34,MATCH($D1142,CARDS!$A$5:$A$34,0))="","",IF(DAY($B1142)&lt;=INDEX(CARDS!$H$5:$H$34,MATCH($D1142,CARDS!$A$5:$A$34,0)),DATE(YEAR($B1142),MONTH($B1142),MIN(INDEX(CARDS!$H$5:$H$34,MATCH($D1142,CARDS!$A$5:$A$34,0)),DAY(EOMONTH($B1142,0)))),DATE(YEAR($B1142),MONTH($B1142)+1,MIN(INDEX(CARDS!$H$5:$H$34,MATCH($D1142,CARDS!$A$5:$A$34,0)),DAY(EOMONTH($B1142,1)))))),""))</f>
        <v/>
      </c>
      <c r="AE1142" s="52" t="str">
        <f>IF($C1142="","",$C1142&amp;"|"&amp;COUNTIF($C$5:$C1142,$C1142))</f>
        <v/>
      </c>
      <c r="AF1142" s="53">
        <f>IF($AC1142&gt;0,SUMIFS(Q$4:Q1141,$D$4:$D1141,$D1142,$Z$4:$Z1141,$Z1142,$C$4:$C1141,$C1142),0)</f>
        <v>0</v>
      </c>
      <c r="AG1142" s="53">
        <f>IF($AC1142&gt;0,SUMIFS(Q$4:Q1141,$D$4:$D1141,$D1142,$C$4:$C1141,$C1142),0)</f>
        <v>0</v>
      </c>
      <c r="AH1142" s="53">
        <f>IF($AC1142&gt;0,SUMIFS(M$4:M1141,$D$4:$D1141,$D1142,$Z$4:$Z1141,$Z1142,$C$4:$C1141,$C1142),0)</f>
        <v>0</v>
      </c>
      <c r="AI1142" s="43">
        <f>IF(OR($C1142="",$I1142=""),0,IF(COUNTIFS($C$5:$C1142,$C1142,$I$5:$I1142,$I1142)=1,1,0))</f>
        <v>0</v>
      </c>
      <c r="AJ1142" s="43" t="str">
        <f>IF($AI1142=1,SUMIFS($AI$4:$AI1141,$C$4:$C1141,$C1142)+1,"")</f>
        <v/>
      </c>
      <c r="AK1142" s="43">
        <f>IF(OR($C1142="",$K1142=""),0,IF(COUNTIFS($C$5:$C1142,$C1142,$K$5:$K1142,$K1142)=1,1,0))</f>
        <v>0</v>
      </c>
      <c r="AL1142" s="43" t="str">
        <f>IF($AK1142=1,SUMIFS($AK$4:$AK1141,$C$4:$C1141,$C1142)+1,"")</f>
        <v/>
      </c>
      <c r="AM1142" s="43">
        <f>IF(OR($C1142="",$G1142=""),0,IF(COUNTIFS($C$5:$C1142,$C1142,$G$5:$G1142,$G1142)=1,1,0))</f>
        <v>0</v>
      </c>
      <c r="AN1142" s="43" t="str">
        <f>IF($AM1142=1,SUMIFS($AM$4:$AM1141,$C$4:$C1141,$C1142)+1,"")</f>
        <v/>
      </c>
    </row>
    <row r="1143">
      <c r="A1143" s="44" t="str">
        <f>IF(OR($B1143="",$D1143=""),"","TX"&amp;TEXT(ROW()-4,"0000"))</f>
        <v/>
      </c>
      <c r="B1143" s="42" t="n"/>
      <c r="C1143" s="47" t="str">
        <f>IF($B1143="","",YEAR($B1143)*100+MONTH($B1143))</f>
        <v/>
      </c>
      <c r="D1143" s="37" t="n"/>
      <c r="E1143" s="45" t="str">
        <f>IF($D1143="","",IFERROR(INDEX(CARDS!$B$5:$B$34,MATCH($D1143,CARDS!$A$5:$A$34,0)),"⚠ Card ID?"))</f>
        <v/>
      </c>
      <c r="F1143" s="45" t="str">
        <f>IF($D1143="","",IFERROR(INDEX(CARDS!$C$5:$C$34,MATCH($D1143,CARDS!$A$5:$A$34,0)),"⚠ Card ID?"))</f>
        <v/>
      </c>
      <c r="G1143" s="37" t="n"/>
      <c r="H1143" s="37" t="n"/>
      <c r="I1143" s="41" t="n"/>
      <c r="J1143" s="45" t="str">
        <f>IF($I1143="","",IFERROR(INDEX(MCC_MASTER!$B$5:$B$504,MATCH($I1143,MCC_MASTER!$A$5:$A$504,0)),"⚠ MCC chưa có"))</f>
        <v/>
      </c>
      <c r="K1143" s="45" t="str">
        <f>IF($I1143="","",IFERROR(IF(INDEX(MCC_MASTER!$C$5:$C$504,MATCH($I1143,MCC_MASTER!$A$5:$A$504,0))="","Chưa phân loại",INDEX(MCC_MASTER!$C$5:$C$504,MATCH($I1143,MCC_MASTER!$A$5:$A$504,0))),"Chưa phân loại"))</f>
        <v/>
      </c>
      <c r="L1143" s="40" t="n"/>
      <c r="M1143" s="48" t="str">
        <f>IF(OR($B1143="",$D1143=""),"",IF($AC1143=0,0,IF(ISNUMBER(INDEX(CASHBACK_RULES!$L$5:$L$304,$AC1143)),MAX(0,MIN($L1143,INDEX(CASHBACK_RULES!$L$5:$L$304,$AC1143)-$AH1143)),MAX(0,$L1143))))</f>
        <v/>
      </c>
      <c r="N1143" s="49" t="str">
        <f>IF(OR($B1143="",$D1143=""),"",IF($AC1143&gt;0,INDEX(CASHBACK_RULES!$I$5:$I$304,$AC1143),0))</f>
        <v/>
      </c>
      <c r="O1143" s="48" t="str">
        <f>IF(OR($B1143="",$D1143=""),"",ROUND($M1143*$N1143,0))</f>
        <v/>
      </c>
      <c r="P1143" s="48" t="str">
        <f>IF($AC1143&gt;0,IF(ISNUMBER(INDEX(CASHBACK_RULES!$J$5:$J$304,$AC1143)),INDEX(CASHBACK_RULES!$J$5:$J$304,$AC1143),"∞"),"")</f>
        <v/>
      </c>
      <c r="Q1143" s="48" t="str">
        <f>IF(OR($B1143="",$D1143=""),"",IF($AC1143=0,0,MAX(0,MIN($O1143,IF(ISNUMBER($P1143),$P1143-$AF1143,1E+15),IF(ISNUMBER($AA1143),$AA1143-$AG1143,1E+15)))))</f>
        <v/>
      </c>
      <c r="R1143" s="48" t="str">
        <f>IF(OR($B1143="",$D1143=""),"",IF($AC1143=0,"",IF(AND(NOT(ISNUMBER($P1143)),NOT(ISNUMBER($AA1143))),"∞",MAX(0,MIN(IF(ISNUMBER($P1143),$P1143-$AF1143-$Q1143,1E+15),IF(ISNUMBER($AA1143),$AA1143-$AG1143-$Q1143,1E+15))))))</f>
        <v/>
      </c>
      <c r="S1143" s="47" t="str">
        <f>IF($AD1143="","",YEAR($AD1143)*100+MONTH($AD1143))</f>
        <v/>
      </c>
      <c r="T1143" s="50" t="str">
        <f>IF($AD1143="","",IFERROR(IF(INDEX(CARDS!$I$5:$I$34,MATCH($D1143,CARDS!$A$5:$A$34,0))="","",IF(INDEX(CARDS!$I$5:$I$34,MATCH($D1143,CARDS!$A$5:$A$34,0))&gt;INDEX(CARDS!$H$5:$H$34,MATCH($D1143,CARDS!$A$5:$A$34,0)),DATE(YEAR($AD1143),MONTH($AD1143),MIN(INDEX(CARDS!$I$5:$I$34,MATCH($D1143,CARDS!$A$5:$A$34,0)),DAY(EOMONTH($AD1143,0)))),DATE(YEAR($AD1143),MONTH($AD1143)+1,MIN(INDEX(CARDS!$I$5:$I$34,MATCH($D1143,CARDS!$A$5:$A$34,0)),DAY(EOMONTH($AD1143,1)))))),""))</f>
        <v/>
      </c>
      <c r="U1143" s="38" t="n"/>
      <c r="V1143" s="37" t="n"/>
      <c r="W1143" s="38" t="n"/>
      <c r="X1143" s="38" t="n"/>
      <c r="Y1143" s="44" t="str">
        <f>IF($AC1143&gt;0,INDEX(CASHBACK_RULES!$A$5:$A$304,$AC1143),"")</f>
        <v/>
      </c>
      <c r="Z1143" s="45" t="str">
        <f>IF($AC1143&gt;0,INDEX(CASHBACK_RULES!$E$5:$E$304,$AC1143)&amp;"","")</f>
        <v/>
      </c>
      <c r="AA1143" s="48" t="str">
        <f>IF($AC1143&gt;0,IF(ISNUMBER(INDEX(CASHBACK_RULES!$K$5:$K$304,$AC1143)),INDEX(CASHBACK_RULES!$K$5:$K$304,$AC1143),"∞"),"")</f>
        <v/>
      </c>
      <c r="AB1143" s="44" t="str">
        <f>IF(OR($B1143="",$D1143=""),"",IF($U1143="Cancelled","Đã hủy",IF($AC1143=0,"Không được hoàn",IF($Q1143=0,IF(OR($O1143&gt;0,$M1143&lt;$L1143),"Đã đạt cap","Không được hoàn"),IF(OR($Q1143&lt;$O1143,$M1143&lt;$L1143),"Hoàn một phần","Được hoàn")))))</f>
        <v/>
      </c>
      <c r="AC1143" s="43">
        <f>IF(OR($B1143="",$D1143="",$I1143="",$L1143=""),0,IF($U1143="Cancelled",0,IF($W1143&lt;&gt;"",IFERROR(IF(INDEX(CASHBACK_RULES!$B$5:$B$304,MATCH($W1143,CASHBACK_RULES!$A$5:$A$304,0))=$D1143,MATCH($W1143,CASHBACK_RULES!$A$5:$A$304,0),0),0),IFERROR(MATCH(1,INDEX((CASHBACK_RULES!$B$5:$B$304=$D1143)*(CASHBACK_RULES!$G$5:$G$304=$I1143)*(((CASHBACK_RULES!$N$5:$N$304="")+(CASHBACK_RULES!$N$5:$N$304&lt;=$B1143))&gt;0)*(((CASHBACK_RULES!$O$5:$O$304="")+(CASHBACK_RULES!$O$5:$O$304&gt;=$B1143))&gt;0)*(((CASHBACK_RULES!$M$5:$M$304="")+(CASHBACK_RULES!$M$5:$M$304&lt;=$L1143))&gt;0),0),0),0))))</f>
        <v>0</v>
      </c>
      <c r="AD1143" s="51" t="str">
        <f>IF(OR($B1143="",$D1143=""),"",IFERROR(IF(INDEX(CARDS!$H$5:$H$34,MATCH($D1143,CARDS!$A$5:$A$34,0))="","",IF(DAY($B1143)&lt;=INDEX(CARDS!$H$5:$H$34,MATCH($D1143,CARDS!$A$5:$A$34,0)),DATE(YEAR($B1143),MONTH($B1143),MIN(INDEX(CARDS!$H$5:$H$34,MATCH($D1143,CARDS!$A$5:$A$34,0)),DAY(EOMONTH($B1143,0)))),DATE(YEAR($B1143),MONTH($B1143)+1,MIN(INDEX(CARDS!$H$5:$H$34,MATCH($D1143,CARDS!$A$5:$A$34,0)),DAY(EOMONTH($B1143,1)))))),""))</f>
        <v/>
      </c>
      <c r="AE1143" s="52" t="str">
        <f>IF($C1143="","",$C1143&amp;"|"&amp;COUNTIF($C$5:$C1143,$C1143))</f>
        <v/>
      </c>
      <c r="AF1143" s="53">
        <f>IF($AC1143&gt;0,SUMIFS(Q$4:Q1142,$D$4:$D1142,$D1143,$Z$4:$Z1142,$Z1143,$C$4:$C1142,$C1143),0)</f>
        <v>0</v>
      </c>
      <c r="AG1143" s="53">
        <f>IF($AC1143&gt;0,SUMIFS(Q$4:Q1142,$D$4:$D1142,$D1143,$C$4:$C1142,$C1143),0)</f>
        <v>0</v>
      </c>
      <c r="AH1143" s="53">
        <f>IF($AC1143&gt;0,SUMIFS(M$4:M1142,$D$4:$D1142,$D1143,$Z$4:$Z1142,$Z1143,$C$4:$C1142,$C1143),0)</f>
        <v>0</v>
      </c>
      <c r="AI1143" s="43">
        <f>IF(OR($C1143="",$I1143=""),0,IF(COUNTIFS($C$5:$C1143,$C1143,$I$5:$I1143,$I1143)=1,1,0))</f>
        <v>0</v>
      </c>
      <c r="AJ1143" s="43" t="str">
        <f>IF($AI1143=1,SUMIFS($AI$4:$AI1142,$C$4:$C1142,$C1143)+1,"")</f>
        <v/>
      </c>
      <c r="AK1143" s="43">
        <f>IF(OR($C1143="",$K1143=""),0,IF(COUNTIFS($C$5:$C1143,$C1143,$K$5:$K1143,$K1143)=1,1,0))</f>
        <v>0</v>
      </c>
      <c r="AL1143" s="43" t="str">
        <f>IF($AK1143=1,SUMIFS($AK$4:$AK1142,$C$4:$C1142,$C1143)+1,"")</f>
        <v/>
      </c>
      <c r="AM1143" s="43">
        <f>IF(OR($C1143="",$G1143=""),0,IF(COUNTIFS($C$5:$C1143,$C1143,$G$5:$G1143,$G1143)=1,1,0))</f>
        <v>0</v>
      </c>
      <c r="AN1143" s="43" t="str">
        <f>IF($AM1143=1,SUMIFS($AM$4:$AM1142,$C$4:$C1142,$C1143)+1,"")</f>
        <v/>
      </c>
    </row>
    <row r="1144">
      <c r="A1144" s="44" t="str">
        <f>IF(OR($B1144="",$D1144=""),"","TX"&amp;TEXT(ROW()-4,"0000"))</f>
        <v/>
      </c>
      <c r="B1144" s="42" t="n"/>
      <c r="C1144" s="47" t="str">
        <f>IF($B1144="","",YEAR($B1144)*100+MONTH($B1144))</f>
        <v/>
      </c>
      <c r="D1144" s="37" t="n"/>
      <c r="E1144" s="45" t="str">
        <f>IF($D1144="","",IFERROR(INDEX(CARDS!$B$5:$B$34,MATCH($D1144,CARDS!$A$5:$A$34,0)),"⚠ Card ID?"))</f>
        <v/>
      </c>
      <c r="F1144" s="45" t="str">
        <f>IF($D1144="","",IFERROR(INDEX(CARDS!$C$5:$C$34,MATCH($D1144,CARDS!$A$5:$A$34,0)),"⚠ Card ID?"))</f>
        <v/>
      </c>
      <c r="G1144" s="37" t="n"/>
      <c r="H1144" s="37" t="n"/>
      <c r="I1144" s="41" t="n"/>
      <c r="J1144" s="45" t="str">
        <f>IF($I1144="","",IFERROR(INDEX(MCC_MASTER!$B$5:$B$504,MATCH($I1144,MCC_MASTER!$A$5:$A$504,0)),"⚠ MCC chưa có"))</f>
        <v/>
      </c>
      <c r="K1144" s="45" t="str">
        <f>IF($I1144="","",IFERROR(IF(INDEX(MCC_MASTER!$C$5:$C$504,MATCH($I1144,MCC_MASTER!$A$5:$A$504,0))="","Chưa phân loại",INDEX(MCC_MASTER!$C$5:$C$504,MATCH($I1144,MCC_MASTER!$A$5:$A$504,0))),"Chưa phân loại"))</f>
        <v/>
      </c>
      <c r="L1144" s="40" t="n"/>
      <c r="M1144" s="48" t="str">
        <f>IF(OR($B1144="",$D1144=""),"",IF($AC1144=0,0,IF(ISNUMBER(INDEX(CASHBACK_RULES!$L$5:$L$304,$AC1144)),MAX(0,MIN($L1144,INDEX(CASHBACK_RULES!$L$5:$L$304,$AC1144)-$AH1144)),MAX(0,$L1144))))</f>
        <v/>
      </c>
      <c r="N1144" s="49" t="str">
        <f>IF(OR($B1144="",$D1144=""),"",IF($AC1144&gt;0,INDEX(CASHBACK_RULES!$I$5:$I$304,$AC1144),0))</f>
        <v/>
      </c>
      <c r="O1144" s="48" t="str">
        <f>IF(OR($B1144="",$D1144=""),"",ROUND($M1144*$N1144,0))</f>
        <v/>
      </c>
      <c r="P1144" s="48" t="str">
        <f>IF($AC1144&gt;0,IF(ISNUMBER(INDEX(CASHBACK_RULES!$J$5:$J$304,$AC1144)),INDEX(CASHBACK_RULES!$J$5:$J$304,$AC1144),"∞"),"")</f>
        <v/>
      </c>
      <c r="Q1144" s="48" t="str">
        <f>IF(OR($B1144="",$D1144=""),"",IF($AC1144=0,0,MAX(0,MIN($O1144,IF(ISNUMBER($P1144),$P1144-$AF1144,1E+15),IF(ISNUMBER($AA1144),$AA1144-$AG1144,1E+15)))))</f>
        <v/>
      </c>
      <c r="R1144" s="48" t="str">
        <f>IF(OR($B1144="",$D1144=""),"",IF($AC1144=0,"",IF(AND(NOT(ISNUMBER($P1144)),NOT(ISNUMBER($AA1144))),"∞",MAX(0,MIN(IF(ISNUMBER($P1144),$P1144-$AF1144-$Q1144,1E+15),IF(ISNUMBER($AA1144),$AA1144-$AG1144-$Q1144,1E+15))))))</f>
        <v/>
      </c>
      <c r="S1144" s="47" t="str">
        <f>IF($AD1144="","",YEAR($AD1144)*100+MONTH($AD1144))</f>
        <v/>
      </c>
      <c r="T1144" s="50" t="str">
        <f>IF($AD1144="","",IFERROR(IF(INDEX(CARDS!$I$5:$I$34,MATCH($D1144,CARDS!$A$5:$A$34,0))="","",IF(INDEX(CARDS!$I$5:$I$34,MATCH($D1144,CARDS!$A$5:$A$34,0))&gt;INDEX(CARDS!$H$5:$H$34,MATCH($D1144,CARDS!$A$5:$A$34,0)),DATE(YEAR($AD1144),MONTH($AD1144),MIN(INDEX(CARDS!$I$5:$I$34,MATCH($D1144,CARDS!$A$5:$A$34,0)),DAY(EOMONTH($AD1144,0)))),DATE(YEAR($AD1144),MONTH($AD1144)+1,MIN(INDEX(CARDS!$I$5:$I$34,MATCH($D1144,CARDS!$A$5:$A$34,0)),DAY(EOMONTH($AD1144,1)))))),""))</f>
        <v/>
      </c>
      <c r="U1144" s="38" t="n"/>
      <c r="V1144" s="37" t="n"/>
      <c r="W1144" s="38" t="n"/>
      <c r="X1144" s="38" t="n"/>
      <c r="Y1144" s="44" t="str">
        <f>IF($AC1144&gt;0,INDEX(CASHBACK_RULES!$A$5:$A$304,$AC1144),"")</f>
        <v/>
      </c>
      <c r="Z1144" s="45" t="str">
        <f>IF($AC1144&gt;0,INDEX(CASHBACK_RULES!$E$5:$E$304,$AC1144)&amp;"","")</f>
        <v/>
      </c>
      <c r="AA1144" s="48" t="str">
        <f>IF($AC1144&gt;0,IF(ISNUMBER(INDEX(CASHBACK_RULES!$K$5:$K$304,$AC1144)),INDEX(CASHBACK_RULES!$K$5:$K$304,$AC1144),"∞"),"")</f>
        <v/>
      </c>
      <c r="AB1144" s="44" t="str">
        <f>IF(OR($B1144="",$D1144=""),"",IF($U1144="Cancelled","Đã hủy",IF($AC1144=0,"Không được hoàn",IF($Q1144=0,IF(OR($O1144&gt;0,$M1144&lt;$L1144),"Đã đạt cap","Không được hoàn"),IF(OR($Q1144&lt;$O1144,$M1144&lt;$L1144),"Hoàn một phần","Được hoàn")))))</f>
        <v/>
      </c>
      <c r="AC1144" s="43">
        <f>IF(OR($B1144="",$D1144="",$I1144="",$L1144=""),0,IF($U1144="Cancelled",0,IF($W1144&lt;&gt;"",IFERROR(IF(INDEX(CASHBACK_RULES!$B$5:$B$304,MATCH($W1144,CASHBACK_RULES!$A$5:$A$304,0))=$D1144,MATCH($W1144,CASHBACK_RULES!$A$5:$A$304,0),0),0),IFERROR(MATCH(1,INDEX((CASHBACK_RULES!$B$5:$B$304=$D1144)*(CASHBACK_RULES!$G$5:$G$304=$I1144)*(((CASHBACK_RULES!$N$5:$N$304="")+(CASHBACK_RULES!$N$5:$N$304&lt;=$B1144))&gt;0)*(((CASHBACK_RULES!$O$5:$O$304="")+(CASHBACK_RULES!$O$5:$O$304&gt;=$B1144))&gt;0)*(((CASHBACK_RULES!$M$5:$M$304="")+(CASHBACK_RULES!$M$5:$M$304&lt;=$L1144))&gt;0),0),0),0))))</f>
        <v>0</v>
      </c>
      <c r="AD1144" s="51" t="str">
        <f>IF(OR($B1144="",$D1144=""),"",IFERROR(IF(INDEX(CARDS!$H$5:$H$34,MATCH($D1144,CARDS!$A$5:$A$34,0))="","",IF(DAY($B1144)&lt;=INDEX(CARDS!$H$5:$H$34,MATCH($D1144,CARDS!$A$5:$A$34,0)),DATE(YEAR($B1144),MONTH($B1144),MIN(INDEX(CARDS!$H$5:$H$34,MATCH($D1144,CARDS!$A$5:$A$34,0)),DAY(EOMONTH($B1144,0)))),DATE(YEAR($B1144),MONTH($B1144)+1,MIN(INDEX(CARDS!$H$5:$H$34,MATCH($D1144,CARDS!$A$5:$A$34,0)),DAY(EOMONTH($B1144,1)))))),""))</f>
        <v/>
      </c>
      <c r="AE1144" s="52" t="str">
        <f>IF($C1144="","",$C1144&amp;"|"&amp;COUNTIF($C$5:$C1144,$C1144))</f>
        <v/>
      </c>
      <c r="AF1144" s="53">
        <f>IF($AC1144&gt;0,SUMIFS(Q$4:Q1143,$D$4:$D1143,$D1144,$Z$4:$Z1143,$Z1144,$C$4:$C1143,$C1144),0)</f>
        <v>0</v>
      </c>
      <c r="AG1144" s="53">
        <f>IF($AC1144&gt;0,SUMIFS(Q$4:Q1143,$D$4:$D1143,$D1144,$C$4:$C1143,$C1144),0)</f>
        <v>0</v>
      </c>
      <c r="AH1144" s="53">
        <f>IF($AC1144&gt;0,SUMIFS(M$4:M1143,$D$4:$D1143,$D1144,$Z$4:$Z1143,$Z1144,$C$4:$C1143,$C1144),0)</f>
        <v>0</v>
      </c>
      <c r="AI1144" s="43">
        <f>IF(OR($C1144="",$I1144=""),0,IF(COUNTIFS($C$5:$C1144,$C1144,$I$5:$I1144,$I1144)=1,1,0))</f>
        <v>0</v>
      </c>
      <c r="AJ1144" s="43" t="str">
        <f>IF($AI1144=1,SUMIFS($AI$4:$AI1143,$C$4:$C1143,$C1144)+1,"")</f>
        <v/>
      </c>
      <c r="AK1144" s="43">
        <f>IF(OR($C1144="",$K1144=""),0,IF(COUNTIFS($C$5:$C1144,$C1144,$K$5:$K1144,$K1144)=1,1,0))</f>
        <v>0</v>
      </c>
      <c r="AL1144" s="43" t="str">
        <f>IF($AK1144=1,SUMIFS($AK$4:$AK1143,$C$4:$C1143,$C1144)+1,"")</f>
        <v/>
      </c>
      <c r="AM1144" s="43">
        <f>IF(OR($C1144="",$G1144=""),0,IF(COUNTIFS($C$5:$C1144,$C1144,$G$5:$G1144,$G1144)=1,1,0))</f>
        <v>0</v>
      </c>
      <c r="AN1144" s="43" t="str">
        <f>IF($AM1144=1,SUMIFS($AM$4:$AM1143,$C$4:$C1143,$C1144)+1,"")</f>
        <v/>
      </c>
    </row>
    <row r="1145">
      <c r="A1145" s="44" t="str">
        <f>IF(OR($B1145="",$D1145=""),"","TX"&amp;TEXT(ROW()-4,"0000"))</f>
        <v/>
      </c>
      <c r="B1145" s="42" t="n"/>
      <c r="C1145" s="47" t="str">
        <f>IF($B1145="","",YEAR($B1145)*100+MONTH($B1145))</f>
        <v/>
      </c>
      <c r="D1145" s="37" t="n"/>
      <c r="E1145" s="45" t="str">
        <f>IF($D1145="","",IFERROR(INDEX(CARDS!$B$5:$B$34,MATCH($D1145,CARDS!$A$5:$A$34,0)),"⚠ Card ID?"))</f>
        <v/>
      </c>
      <c r="F1145" s="45" t="str">
        <f>IF($D1145="","",IFERROR(INDEX(CARDS!$C$5:$C$34,MATCH($D1145,CARDS!$A$5:$A$34,0)),"⚠ Card ID?"))</f>
        <v/>
      </c>
      <c r="G1145" s="37" t="n"/>
      <c r="H1145" s="37" t="n"/>
      <c r="I1145" s="41" t="n"/>
      <c r="J1145" s="45" t="str">
        <f>IF($I1145="","",IFERROR(INDEX(MCC_MASTER!$B$5:$B$504,MATCH($I1145,MCC_MASTER!$A$5:$A$504,0)),"⚠ MCC chưa có"))</f>
        <v/>
      </c>
      <c r="K1145" s="45" t="str">
        <f>IF($I1145="","",IFERROR(IF(INDEX(MCC_MASTER!$C$5:$C$504,MATCH($I1145,MCC_MASTER!$A$5:$A$504,0))="","Chưa phân loại",INDEX(MCC_MASTER!$C$5:$C$504,MATCH($I1145,MCC_MASTER!$A$5:$A$504,0))),"Chưa phân loại"))</f>
        <v/>
      </c>
      <c r="L1145" s="40" t="n"/>
      <c r="M1145" s="48" t="str">
        <f>IF(OR($B1145="",$D1145=""),"",IF($AC1145=0,0,IF(ISNUMBER(INDEX(CASHBACK_RULES!$L$5:$L$304,$AC1145)),MAX(0,MIN($L1145,INDEX(CASHBACK_RULES!$L$5:$L$304,$AC1145)-$AH1145)),MAX(0,$L1145))))</f>
        <v/>
      </c>
      <c r="N1145" s="49" t="str">
        <f>IF(OR($B1145="",$D1145=""),"",IF($AC1145&gt;0,INDEX(CASHBACK_RULES!$I$5:$I$304,$AC1145),0))</f>
        <v/>
      </c>
      <c r="O1145" s="48" t="str">
        <f>IF(OR($B1145="",$D1145=""),"",ROUND($M1145*$N1145,0))</f>
        <v/>
      </c>
      <c r="P1145" s="48" t="str">
        <f>IF($AC1145&gt;0,IF(ISNUMBER(INDEX(CASHBACK_RULES!$J$5:$J$304,$AC1145)),INDEX(CASHBACK_RULES!$J$5:$J$304,$AC1145),"∞"),"")</f>
        <v/>
      </c>
      <c r="Q1145" s="48" t="str">
        <f>IF(OR($B1145="",$D1145=""),"",IF($AC1145=0,0,MAX(0,MIN($O1145,IF(ISNUMBER($P1145),$P1145-$AF1145,1E+15),IF(ISNUMBER($AA1145),$AA1145-$AG1145,1E+15)))))</f>
        <v/>
      </c>
      <c r="R1145" s="48" t="str">
        <f>IF(OR($B1145="",$D1145=""),"",IF($AC1145=0,"",IF(AND(NOT(ISNUMBER($P1145)),NOT(ISNUMBER($AA1145))),"∞",MAX(0,MIN(IF(ISNUMBER($P1145),$P1145-$AF1145-$Q1145,1E+15),IF(ISNUMBER($AA1145),$AA1145-$AG1145-$Q1145,1E+15))))))</f>
        <v/>
      </c>
      <c r="S1145" s="47" t="str">
        <f>IF($AD1145="","",YEAR($AD1145)*100+MONTH($AD1145))</f>
        <v/>
      </c>
      <c r="T1145" s="50" t="str">
        <f>IF($AD1145="","",IFERROR(IF(INDEX(CARDS!$I$5:$I$34,MATCH($D1145,CARDS!$A$5:$A$34,0))="","",IF(INDEX(CARDS!$I$5:$I$34,MATCH($D1145,CARDS!$A$5:$A$34,0))&gt;INDEX(CARDS!$H$5:$H$34,MATCH($D1145,CARDS!$A$5:$A$34,0)),DATE(YEAR($AD1145),MONTH($AD1145),MIN(INDEX(CARDS!$I$5:$I$34,MATCH($D1145,CARDS!$A$5:$A$34,0)),DAY(EOMONTH($AD1145,0)))),DATE(YEAR($AD1145),MONTH($AD1145)+1,MIN(INDEX(CARDS!$I$5:$I$34,MATCH($D1145,CARDS!$A$5:$A$34,0)),DAY(EOMONTH($AD1145,1)))))),""))</f>
        <v/>
      </c>
      <c r="U1145" s="38" t="n"/>
      <c r="V1145" s="37" t="n"/>
      <c r="W1145" s="38" t="n"/>
      <c r="X1145" s="38" t="n"/>
      <c r="Y1145" s="44" t="str">
        <f>IF($AC1145&gt;0,INDEX(CASHBACK_RULES!$A$5:$A$304,$AC1145),"")</f>
        <v/>
      </c>
      <c r="Z1145" s="45" t="str">
        <f>IF($AC1145&gt;0,INDEX(CASHBACK_RULES!$E$5:$E$304,$AC1145)&amp;"","")</f>
        <v/>
      </c>
      <c r="AA1145" s="48" t="str">
        <f>IF($AC1145&gt;0,IF(ISNUMBER(INDEX(CASHBACK_RULES!$K$5:$K$304,$AC1145)),INDEX(CASHBACK_RULES!$K$5:$K$304,$AC1145),"∞"),"")</f>
        <v/>
      </c>
      <c r="AB1145" s="44" t="str">
        <f>IF(OR($B1145="",$D1145=""),"",IF($U1145="Cancelled","Đã hủy",IF($AC1145=0,"Không được hoàn",IF($Q1145=0,IF(OR($O1145&gt;0,$M1145&lt;$L1145),"Đã đạt cap","Không được hoàn"),IF(OR($Q1145&lt;$O1145,$M1145&lt;$L1145),"Hoàn một phần","Được hoàn")))))</f>
        <v/>
      </c>
      <c r="AC1145" s="43">
        <f>IF(OR($B1145="",$D1145="",$I1145="",$L1145=""),0,IF($U1145="Cancelled",0,IF($W1145&lt;&gt;"",IFERROR(IF(INDEX(CASHBACK_RULES!$B$5:$B$304,MATCH($W1145,CASHBACK_RULES!$A$5:$A$304,0))=$D1145,MATCH($W1145,CASHBACK_RULES!$A$5:$A$304,0),0),0),IFERROR(MATCH(1,INDEX((CASHBACK_RULES!$B$5:$B$304=$D1145)*(CASHBACK_RULES!$G$5:$G$304=$I1145)*(((CASHBACK_RULES!$N$5:$N$304="")+(CASHBACK_RULES!$N$5:$N$304&lt;=$B1145))&gt;0)*(((CASHBACK_RULES!$O$5:$O$304="")+(CASHBACK_RULES!$O$5:$O$304&gt;=$B1145))&gt;0)*(((CASHBACK_RULES!$M$5:$M$304="")+(CASHBACK_RULES!$M$5:$M$304&lt;=$L1145))&gt;0),0),0),0))))</f>
        <v>0</v>
      </c>
      <c r="AD1145" s="51" t="str">
        <f>IF(OR($B1145="",$D1145=""),"",IFERROR(IF(INDEX(CARDS!$H$5:$H$34,MATCH($D1145,CARDS!$A$5:$A$34,0))="","",IF(DAY($B1145)&lt;=INDEX(CARDS!$H$5:$H$34,MATCH($D1145,CARDS!$A$5:$A$34,0)),DATE(YEAR($B1145),MONTH($B1145),MIN(INDEX(CARDS!$H$5:$H$34,MATCH($D1145,CARDS!$A$5:$A$34,0)),DAY(EOMONTH($B1145,0)))),DATE(YEAR($B1145),MONTH($B1145)+1,MIN(INDEX(CARDS!$H$5:$H$34,MATCH($D1145,CARDS!$A$5:$A$34,0)),DAY(EOMONTH($B1145,1)))))),""))</f>
        <v/>
      </c>
      <c r="AE1145" s="52" t="str">
        <f>IF($C1145="","",$C1145&amp;"|"&amp;COUNTIF($C$5:$C1145,$C1145))</f>
        <v/>
      </c>
      <c r="AF1145" s="53">
        <f>IF($AC1145&gt;0,SUMIFS(Q$4:Q1144,$D$4:$D1144,$D1145,$Z$4:$Z1144,$Z1145,$C$4:$C1144,$C1145),0)</f>
        <v>0</v>
      </c>
      <c r="AG1145" s="53">
        <f>IF($AC1145&gt;0,SUMIFS(Q$4:Q1144,$D$4:$D1144,$D1145,$C$4:$C1144,$C1145),0)</f>
        <v>0</v>
      </c>
      <c r="AH1145" s="53">
        <f>IF($AC1145&gt;0,SUMIFS(M$4:M1144,$D$4:$D1144,$D1145,$Z$4:$Z1144,$Z1145,$C$4:$C1144,$C1145),0)</f>
        <v>0</v>
      </c>
      <c r="AI1145" s="43">
        <f>IF(OR($C1145="",$I1145=""),0,IF(COUNTIFS($C$5:$C1145,$C1145,$I$5:$I1145,$I1145)=1,1,0))</f>
        <v>0</v>
      </c>
      <c r="AJ1145" s="43" t="str">
        <f>IF($AI1145=1,SUMIFS($AI$4:$AI1144,$C$4:$C1144,$C1145)+1,"")</f>
        <v/>
      </c>
      <c r="AK1145" s="43">
        <f>IF(OR($C1145="",$K1145=""),0,IF(COUNTIFS($C$5:$C1145,$C1145,$K$5:$K1145,$K1145)=1,1,0))</f>
        <v>0</v>
      </c>
      <c r="AL1145" s="43" t="str">
        <f>IF($AK1145=1,SUMIFS($AK$4:$AK1144,$C$4:$C1144,$C1145)+1,"")</f>
        <v/>
      </c>
      <c r="AM1145" s="43">
        <f>IF(OR($C1145="",$G1145=""),0,IF(COUNTIFS($C$5:$C1145,$C1145,$G$5:$G1145,$G1145)=1,1,0))</f>
        <v>0</v>
      </c>
      <c r="AN1145" s="43" t="str">
        <f>IF($AM1145=1,SUMIFS($AM$4:$AM1144,$C$4:$C1144,$C1145)+1,"")</f>
        <v/>
      </c>
    </row>
    <row r="1146">
      <c r="A1146" s="44" t="str">
        <f>IF(OR($B1146="",$D1146=""),"","TX"&amp;TEXT(ROW()-4,"0000"))</f>
        <v/>
      </c>
      <c r="B1146" s="42" t="n"/>
      <c r="C1146" s="47" t="str">
        <f>IF($B1146="","",YEAR($B1146)*100+MONTH($B1146))</f>
        <v/>
      </c>
      <c r="D1146" s="37" t="n"/>
      <c r="E1146" s="45" t="str">
        <f>IF($D1146="","",IFERROR(INDEX(CARDS!$B$5:$B$34,MATCH($D1146,CARDS!$A$5:$A$34,0)),"⚠ Card ID?"))</f>
        <v/>
      </c>
      <c r="F1146" s="45" t="str">
        <f>IF($D1146="","",IFERROR(INDEX(CARDS!$C$5:$C$34,MATCH($D1146,CARDS!$A$5:$A$34,0)),"⚠ Card ID?"))</f>
        <v/>
      </c>
      <c r="G1146" s="37" t="n"/>
      <c r="H1146" s="37" t="n"/>
      <c r="I1146" s="41" t="n"/>
      <c r="J1146" s="45" t="str">
        <f>IF($I1146="","",IFERROR(INDEX(MCC_MASTER!$B$5:$B$504,MATCH($I1146,MCC_MASTER!$A$5:$A$504,0)),"⚠ MCC chưa có"))</f>
        <v/>
      </c>
      <c r="K1146" s="45" t="str">
        <f>IF($I1146="","",IFERROR(IF(INDEX(MCC_MASTER!$C$5:$C$504,MATCH($I1146,MCC_MASTER!$A$5:$A$504,0))="","Chưa phân loại",INDEX(MCC_MASTER!$C$5:$C$504,MATCH($I1146,MCC_MASTER!$A$5:$A$504,0))),"Chưa phân loại"))</f>
        <v/>
      </c>
      <c r="L1146" s="40" t="n"/>
      <c r="M1146" s="48" t="str">
        <f>IF(OR($B1146="",$D1146=""),"",IF($AC1146=0,0,IF(ISNUMBER(INDEX(CASHBACK_RULES!$L$5:$L$304,$AC1146)),MAX(0,MIN($L1146,INDEX(CASHBACK_RULES!$L$5:$L$304,$AC1146)-$AH1146)),MAX(0,$L1146))))</f>
        <v/>
      </c>
      <c r="N1146" s="49" t="str">
        <f>IF(OR($B1146="",$D1146=""),"",IF($AC1146&gt;0,INDEX(CASHBACK_RULES!$I$5:$I$304,$AC1146),0))</f>
        <v/>
      </c>
      <c r="O1146" s="48" t="str">
        <f>IF(OR($B1146="",$D1146=""),"",ROUND($M1146*$N1146,0))</f>
        <v/>
      </c>
      <c r="P1146" s="48" t="str">
        <f>IF($AC1146&gt;0,IF(ISNUMBER(INDEX(CASHBACK_RULES!$J$5:$J$304,$AC1146)),INDEX(CASHBACK_RULES!$J$5:$J$304,$AC1146),"∞"),"")</f>
        <v/>
      </c>
      <c r="Q1146" s="48" t="str">
        <f>IF(OR($B1146="",$D1146=""),"",IF($AC1146=0,0,MAX(0,MIN($O1146,IF(ISNUMBER($P1146),$P1146-$AF1146,1E+15),IF(ISNUMBER($AA1146),$AA1146-$AG1146,1E+15)))))</f>
        <v/>
      </c>
      <c r="R1146" s="48" t="str">
        <f>IF(OR($B1146="",$D1146=""),"",IF($AC1146=0,"",IF(AND(NOT(ISNUMBER($P1146)),NOT(ISNUMBER($AA1146))),"∞",MAX(0,MIN(IF(ISNUMBER($P1146),$P1146-$AF1146-$Q1146,1E+15),IF(ISNUMBER($AA1146),$AA1146-$AG1146-$Q1146,1E+15))))))</f>
        <v/>
      </c>
      <c r="S1146" s="47" t="str">
        <f>IF($AD1146="","",YEAR($AD1146)*100+MONTH($AD1146))</f>
        <v/>
      </c>
      <c r="T1146" s="50" t="str">
        <f>IF($AD1146="","",IFERROR(IF(INDEX(CARDS!$I$5:$I$34,MATCH($D1146,CARDS!$A$5:$A$34,0))="","",IF(INDEX(CARDS!$I$5:$I$34,MATCH($D1146,CARDS!$A$5:$A$34,0))&gt;INDEX(CARDS!$H$5:$H$34,MATCH($D1146,CARDS!$A$5:$A$34,0)),DATE(YEAR($AD1146),MONTH($AD1146),MIN(INDEX(CARDS!$I$5:$I$34,MATCH($D1146,CARDS!$A$5:$A$34,0)),DAY(EOMONTH($AD1146,0)))),DATE(YEAR($AD1146),MONTH($AD1146)+1,MIN(INDEX(CARDS!$I$5:$I$34,MATCH($D1146,CARDS!$A$5:$A$34,0)),DAY(EOMONTH($AD1146,1)))))),""))</f>
        <v/>
      </c>
      <c r="U1146" s="38" t="n"/>
      <c r="V1146" s="37" t="n"/>
      <c r="W1146" s="38" t="n"/>
      <c r="X1146" s="38" t="n"/>
      <c r="Y1146" s="44" t="str">
        <f>IF($AC1146&gt;0,INDEX(CASHBACK_RULES!$A$5:$A$304,$AC1146),"")</f>
        <v/>
      </c>
      <c r="Z1146" s="45" t="str">
        <f>IF($AC1146&gt;0,INDEX(CASHBACK_RULES!$E$5:$E$304,$AC1146)&amp;"","")</f>
        <v/>
      </c>
      <c r="AA1146" s="48" t="str">
        <f>IF($AC1146&gt;0,IF(ISNUMBER(INDEX(CASHBACK_RULES!$K$5:$K$304,$AC1146)),INDEX(CASHBACK_RULES!$K$5:$K$304,$AC1146),"∞"),"")</f>
        <v/>
      </c>
      <c r="AB1146" s="44" t="str">
        <f>IF(OR($B1146="",$D1146=""),"",IF($U1146="Cancelled","Đã hủy",IF($AC1146=0,"Không được hoàn",IF($Q1146=0,IF(OR($O1146&gt;0,$M1146&lt;$L1146),"Đã đạt cap","Không được hoàn"),IF(OR($Q1146&lt;$O1146,$M1146&lt;$L1146),"Hoàn một phần","Được hoàn")))))</f>
        <v/>
      </c>
      <c r="AC1146" s="43">
        <f>IF(OR($B1146="",$D1146="",$I1146="",$L1146=""),0,IF($U1146="Cancelled",0,IF($W1146&lt;&gt;"",IFERROR(IF(INDEX(CASHBACK_RULES!$B$5:$B$304,MATCH($W1146,CASHBACK_RULES!$A$5:$A$304,0))=$D1146,MATCH($W1146,CASHBACK_RULES!$A$5:$A$304,0),0),0),IFERROR(MATCH(1,INDEX((CASHBACK_RULES!$B$5:$B$304=$D1146)*(CASHBACK_RULES!$G$5:$G$304=$I1146)*(((CASHBACK_RULES!$N$5:$N$304="")+(CASHBACK_RULES!$N$5:$N$304&lt;=$B1146))&gt;0)*(((CASHBACK_RULES!$O$5:$O$304="")+(CASHBACK_RULES!$O$5:$O$304&gt;=$B1146))&gt;0)*(((CASHBACK_RULES!$M$5:$M$304="")+(CASHBACK_RULES!$M$5:$M$304&lt;=$L1146))&gt;0),0),0),0))))</f>
        <v>0</v>
      </c>
      <c r="AD1146" s="51" t="str">
        <f>IF(OR($B1146="",$D1146=""),"",IFERROR(IF(INDEX(CARDS!$H$5:$H$34,MATCH($D1146,CARDS!$A$5:$A$34,0))="","",IF(DAY($B1146)&lt;=INDEX(CARDS!$H$5:$H$34,MATCH($D1146,CARDS!$A$5:$A$34,0)),DATE(YEAR($B1146),MONTH($B1146),MIN(INDEX(CARDS!$H$5:$H$34,MATCH($D1146,CARDS!$A$5:$A$34,0)),DAY(EOMONTH($B1146,0)))),DATE(YEAR($B1146),MONTH($B1146)+1,MIN(INDEX(CARDS!$H$5:$H$34,MATCH($D1146,CARDS!$A$5:$A$34,0)),DAY(EOMONTH($B1146,1)))))),""))</f>
        <v/>
      </c>
      <c r="AE1146" s="52" t="str">
        <f>IF($C1146="","",$C1146&amp;"|"&amp;COUNTIF($C$5:$C1146,$C1146))</f>
        <v/>
      </c>
      <c r="AF1146" s="53">
        <f>IF($AC1146&gt;0,SUMIFS(Q$4:Q1145,$D$4:$D1145,$D1146,$Z$4:$Z1145,$Z1146,$C$4:$C1145,$C1146),0)</f>
        <v>0</v>
      </c>
      <c r="AG1146" s="53">
        <f>IF($AC1146&gt;0,SUMIFS(Q$4:Q1145,$D$4:$D1145,$D1146,$C$4:$C1145,$C1146),0)</f>
        <v>0</v>
      </c>
      <c r="AH1146" s="53">
        <f>IF($AC1146&gt;0,SUMIFS(M$4:M1145,$D$4:$D1145,$D1146,$Z$4:$Z1145,$Z1146,$C$4:$C1145,$C1146),0)</f>
        <v>0</v>
      </c>
      <c r="AI1146" s="43">
        <f>IF(OR($C1146="",$I1146=""),0,IF(COUNTIFS($C$5:$C1146,$C1146,$I$5:$I1146,$I1146)=1,1,0))</f>
        <v>0</v>
      </c>
      <c r="AJ1146" s="43" t="str">
        <f>IF($AI1146=1,SUMIFS($AI$4:$AI1145,$C$4:$C1145,$C1146)+1,"")</f>
        <v/>
      </c>
      <c r="AK1146" s="43">
        <f>IF(OR($C1146="",$K1146=""),0,IF(COUNTIFS($C$5:$C1146,$C1146,$K$5:$K1146,$K1146)=1,1,0))</f>
        <v>0</v>
      </c>
      <c r="AL1146" s="43" t="str">
        <f>IF($AK1146=1,SUMIFS($AK$4:$AK1145,$C$4:$C1145,$C1146)+1,"")</f>
        <v/>
      </c>
      <c r="AM1146" s="43">
        <f>IF(OR($C1146="",$G1146=""),0,IF(COUNTIFS($C$5:$C1146,$C1146,$G$5:$G1146,$G1146)=1,1,0))</f>
        <v>0</v>
      </c>
      <c r="AN1146" s="43" t="str">
        <f>IF($AM1146=1,SUMIFS($AM$4:$AM1145,$C$4:$C1145,$C1146)+1,"")</f>
        <v/>
      </c>
    </row>
    <row r="1147">
      <c r="A1147" s="44" t="str">
        <f>IF(OR($B1147="",$D1147=""),"","TX"&amp;TEXT(ROW()-4,"0000"))</f>
        <v/>
      </c>
      <c r="B1147" s="42" t="n"/>
      <c r="C1147" s="47" t="str">
        <f>IF($B1147="","",YEAR($B1147)*100+MONTH($B1147))</f>
        <v/>
      </c>
      <c r="D1147" s="37" t="n"/>
      <c r="E1147" s="45" t="str">
        <f>IF($D1147="","",IFERROR(INDEX(CARDS!$B$5:$B$34,MATCH($D1147,CARDS!$A$5:$A$34,0)),"⚠ Card ID?"))</f>
        <v/>
      </c>
      <c r="F1147" s="45" t="str">
        <f>IF($D1147="","",IFERROR(INDEX(CARDS!$C$5:$C$34,MATCH($D1147,CARDS!$A$5:$A$34,0)),"⚠ Card ID?"))</f>
        <v/>
      </c>
      <c r="G1147" s="37" t="n"/>
      <c r="H1147" s="37" t="n"/>
      <c r="I1147" s="41" t="n"/>
      <c r="J1147" s="45" t="str">
        <f>IF($I1147="","",IFERROR(INDEX(MCC_MASTER!$B$5:$B$504,MATCH($I1147,MCC_MASTER!$A$5:$A$504,0)),"⚠ MCC chưa có"))</f>
        <v/>
      </c>
      <c r="K1147" s="45" t="str">
        <f>IF($I1147="","",IFERROR(IF(INDEX(MCC_MASTER!$C$5:$C$504,MATCH($I1147,MCC_MASTER!$A$5:$A$504,0))="","Chưa phân loại",INDEX(MCC_MASTER!$C$5:$C$504,MATCH($I1147,MCC_MASTER!$A$5:$A$504,0))),"Chưa phân loại"))</f>
        <v/>
      </c>
      <c r="L1147" s="40" t="n"/>
      <c r="M1147" s="48" t="str">
        <f>IF(OR($B1147="",$D1147=""),"",IF($AC1147=0,0,IF(ISNUMBER(INDEX(CASHBACK_RULES!$L$5:$L$304,$AC1147)),MAX(0,MIN($L1147,INDEX(CASHBACK_RULES!$L$5:$L$304,$AC1147)-$AH1147)),MAX(0,$L1147))))</f>
        <v/>
      </c>
      <c r="N1147" s="49" t="str">
        <f>IF(OR($B1147="",$D1147=""),"",IF($AC1147&gt;0,INDEX(CASHBACK_RULES!$I$5:$I$304,$AC1147),0))</f>
        <v/>
      </c>
      <c r="O1147" s="48" t="str">
        <f>IF(OR($B1147="",$D1147=""),"",ROUND($M1147*$N1147,0))</f>
        <v/>
      </c>
      <c r="P1147" s="48" t="str">
        <f>IF($AC1147&gt;0,IF(ISNUMBER(INDEX(CASHBACK_RULES!$J$5:$J$304,$AC1147)),INDEX(CASHBACK_RULES!$J$5:$J$304,$AC1147),"∞"),"")</f>
        <v/>
      </c>
      <c r="Q1147" s="48" t="str">
        <f>IF(OR($B1147="",$D1147=""),"",IF($AC1147=0,0,MAX(0,MIN($O1147,IF(ISNUMBER($P1147),$P1147-$AF1147,1E+15),IF(ISNUMBER($AA1147),$AA1147-$AG1147,1E+15)))))</f>
        <v/>
      </c>
      <c r="R1147" s="48" t="str">
        <f>IF(OR($B1147="",$D1147=""),"",IF($AC1147=0,"",IF(AND(NOT(ISNUMBER($P1147)),NOT(ISNUMBER($AA1147))),"∞",MAX(0,MIN(IF(ISNUMBER($P1147),$P1147-$AF1147-$Q1147,1E+15),IF(ISNUMBER($AA1147),$AA1147-$AG1147-$Q1147,1E+15))))))</f>
        <v/>
      </c>
      <c r="S1147" s="47" t="str">
        <f>IF($AD1147="","",YEAR($AD1147)*100+MONTH($AD1147))</f>
        <v/>
      </c>
      <c r="T1147" s="50" t="str">
        <f>IF($AD1147="","",IFERROR(IF(INDEX(CARDS!$I$5:$I$34,MATCH($D1147,CARDS!$A$5:$A$34,0))="","",IF(INDEX(CARDS!$I$5:$I$34,MATCH($D1147,CARDS!$A$5:$A$34,0))&gt;INDEX(CARDS!$H$5:$H$34,MATCH($D1147,CARDS!$A$5:$A$34,0)),DATE(YEAR($AD1147),MONTH($AD1147),MIN(INDEX(CARDS!$I$5:$I$34,MATCH($D1147,CARDS!$A$5:$A$34,0)),DAY(EOMONTH($AD1147,0)))),DATE(YEAR($AD1147),MONTH($AD1147)+1,MIN(INDEX(CARDS!$I$5:$I$34,MATCH($D1147,CARDS!$A$5:$A$34,0)),DAY(EOMONTH($AD1147,1)))))),""))</f>
        <v/>
      </c>
      <c r="U1147" s="38" t="n"/>
      <c r="V1147" s="37" t="n"/>
      <c r="W1147" s="38" t="n"/>
      <c r="X1147" s="38" t="n"/>
      <c r="Y1147" s="44" t="str">
        <f>IF($AC1147&gt;0,INDEX(CASHBACK_RULES!$A$5:$A$304,$AC1147),"")</f>
        <v/>
      </c>
      <c r="Z1147" s="45" t="str">
        <f>IF($AC1147&gt;0,INDEX(CASHBACK_RULES!$E$5:$E$304,$AC1147)&amp;"","")</f>
        <v/>
      </c>
      <c r="AA1147" s="48" t="str">
        <f>IF($AC1147&gt;0,IF(ISNUMBER(INDEX(CASHBACK_RULES!$K$5:$K$304,$AC1147)),INDEX(CASHBACK_RULES!$K$5:$K$304,$AC1147),"∞"),"")</f>
        <v/>
      </c>
      <c r="AB1147" s="44" t="str">
        <f>IF(OR($B1147="",$D1147=""),"",IF($U1147="Cancelled","Đã hủy",IF($AC1147=0,"Không được hoàn",IF($Q1147=0,IF(OR($O1147&gt;0,$M1147&lt;$L1147),"Đã đạt cap","Không được hoàn"),IF(OR($Q1147&lt;$O1147,$M1147&lt;$L1147),"Hoàn một phần","Được hoàn")))))</f>
        <v/>
      </c>
      <c r="AC1147" s="43">
        <f>IF(OR($B1147="",$D1147="",$I1147="",$L1147=""),0,IF($U1147="Cancelled",0,IF($W1147&lt;&gt;"",IFERROR(IF(INDEX(CASHBACK_RULES!$B$5:$B$304,MATCH($W1147,CASHBACK_RULES!$A$5:$A$304,0))=$D1147,MATCH($W1147,CASHBACK_RULES!$A$5:$A$304,0),0),0),IFERROR(MATCH(1,INDEX((CASHBACK_RULES!$B$5:$B$304=$D1147)*(CASHBACK_RULES!$G$5:$G$304=$I1147)*(((CASHBACK_RULES!$N$5:$N$304="")+(CASHBACK_RULES!$N$5:$N$304&lt;=$B1147))&gt;0)*(((CASHBACK_RULES!$O$5:$O$304="")+(CASHBACK_RULES!$O$5:$O$304&gt;=$B1147))&gt;0)*(((CASHBACK_RULES!$M$5:$M$304="")+(CASHBACK_RULES!$M$5:$M$304&lt;=$L1147))&gt;0),0),0),0))))</f>
        <v>0</v>
      </c>
      <c r="AD1147" s="51" t="str">
        <f>IF(OR($B1147="",$D1147=""),"",IFERROR(IF(INDEX(CARDS!$H$5:$H$34,MATCH($D1147,CARDS!$A$5:$A$34,0))="","",IF(DAY($B1147)&lt;=INDEX(CARDS!$H$5:$H$34,MATCH($D1147,CARDS!$A$5:$A$34,0)),DATE(YEAR($B1147),MONTH($B1147),MIN(INDEX(CARDS!$H$5:$H$34,MATCH($D1147,CARDS!$A$5:$A$34,0)),DAY(EOMONTH($B1147,0)))),DATE(YEAR($B1147),MONTH($B1147)+1,MIN(INDEX(CARDS!$H$5:$H$34,MATCH($D1147,CARDS!$A$5:$A$34,0)),DAY(EOMONTH($B1147,1)))))),""))</f>
        <v/>
      </c>
      <c r="AE1147" s="52" t="str">
        <f>IF($C1147="","",$C1147&amp;"|"&amp;COUNTIF($C$5:$C1147,$C1147))</f>
        <v/>
      </c>
      <c r="AF1147" s="53">
        <f>IF($AC1147&gt;0,SUMIFS(Q$4:Q1146,$D$4:$D1146,$D1147,$Z$4:$Z1146,$Z1147,$C$4:$C1146,$C1147),0)</f>
        <v>0</v>
      </c>
      <c r="AG1147" s="53">
        <f>IF($AC1147&gt;0,SUMIFS(Q$4:Q1146,$D$4:$D1146,$D1147,$C$4:$C1146,$C1147),0)</f>
        <v>0</v>
      </c>
      <c r="AH1147" s="53">
        <f>IF($AC1147&gt;0,SUMIFS(M$4:M1146,$D$4:$D1146,$D1147,$Z$4:$Z1146,$Z1147,$C$4:$C1146,$C1147),0)</f>
        <v>0</v>
      </c>
      <c r="AI1147" s="43">
        <f>IF(OR($C1147="",$I1147=""),0,IF(COUNTIFS($C$5:$C1147,$C1147,$I$5:$I1147,$I1147)=1,1,0))</f>
        <v>0</v>
      </c>
      <c r="AJ1147" s="43" t="str">
        <f>IF($AI1147=1,SUMIFS($AI$4:$AI1146,$C$4:$C1146,$C1147)+1,"")</f>
        <v/>
      </c>
      <c r="AK1147" s="43">
        <f>IF(OR($C1147="",$K1147=""),0,IF(COUNTIFS($C$5:$C1147,$C1147,$K$5:$K1147,$K1147)=1,1,0))</f>
        <v>0</v>
      </c>
      <c r="AL1147" s="43" t="str">
        <f>IF($AK1147=1,SUMIFS($AK$4:$AK1146,$C$4:$C1146,$C1147)+1,"")</f>
        <v/>
      </c>
      <c r="AM1147" s="43">
        <f>IF(OR($C1147="",$G1147=""),0,IF(COUNTIFS($C$5:$C1147,$C1147,$G$5:$G1147,$G1147)=1,1,0))</f>
        <v>0</v>
      </c>
      <c r="AN1147" s="43" t="str">
        <f>IF($AM1147=1,SUMIFS($AM$4:$AM1146,$C$4:$C1146,$C1147)+1,"")</f>
        <v/>
      </c>
    </row>
    <row r="1148">
      <c r="A1148" s="44" t="str">
        <f>IF(OR($B1148="",$D1148=""),"","TX"&amp;TEXT(ROW()-4,"0000"))</f>
        <v/>
      </c>
      <c r="B1148" s="42" t="n"/>
      <c r="C1148" s="47" t="str">
        <f>IF($B1148="","",YEAR($B1148)*100+MONTH($B1148))</f>
        <v/>
      </c>
      <c r="D1148" s="37" t="n"/>
      <c r="E1148" s="45" t="str">
        <f>IF($D1148="","",IFERROR(INDEX(CARDS!$B$5:$B$34,MATCH($D1148,CARDS!$A$5:$A$34,0)),"⚠ Card ID?"))</f>
        <v/>
      </c>
      <c r="F1148" s="45" t="str">
        <f>IF($D1148="","",IFERROR(INDEX(CARDS!$C$5:$C$34,MATCH($D1148,CARDS!$A$5:$A$34,0)),"⚠ Card ID?"))</f>
        <v/>
      </c>
      <c r="G1148" s="37" t="n"/>
      <c r="H1148" s="37" t="n"/>
      <c r="I1148" s="41" t="n"/>
      <c r="J1148" s="45" t="str">
        <f>IF($I1148="","",IFERROR(INDEX(MCC_MASTER!$B$5:$B$504,MATCH($I1148,MCC_MASTER!$A$5:$A$504,0)),"⚠ MCC chưa có"))</f>
        <v/>
      </c>
      <c r="K1148" s="45" t="str">
        <f>IF($I1148="","",IFERROR(IF(INDEX(MCC_MASTER!$C$5:$C$504,MATCH($I1148,MCC_MASTER!$A$5:$A$504,0))="","Chưa phân loại",INDEX(MCC_MASTER!$C$5:$C$504,MATCH($I1148,MCC_MASTER!$A$5:$A$504,0))),"Chưa phân loại"))</f>
        <v/>
      </c>
      <c r="L1148" s="40" t="n"/>
      <c r="M1148" s="48" t="str">
        <f>IF(OR($B1148="",$D1148=""),"",IF($AC1148=0,0,IF(ISNUMBER(INDEX(CASHBACK_RULES!$L$5:$L$304,$AC1148)),MAX(0,MIN($L1148,INDEX(CASHBACK_RULES!$L$5:$L$304,$AC1148)-$AH1148)),MAX(0,$L1148))))</f>
        <v/>
      </c>
      <c r="N1148" s="49" t="str">
        <f>IF(OR($B1148="",$D1148=""),"",IF($AC1148&gt;0,INDEX(CASHBACK_RULES!$I$5:$I$304,$AC1148),0))</f>
        <v/>
      </c>
      <c r="O1148" s="48" t="str">
        <f>IF(OR($B1148="",$D1148=""),"",ROUND($M1148*$N1148,0))</f>
        <v/>
      </c>
      <c r="P1148" s="48" t="str">
        <f>IF($AC1148&gt;0,IF(ISNUMBER(INDEX(CASHBACK_RULES!$J$5:$J$304,$AC1148)),INDEX(CASHBACK_RULES!$J$5:$J$304,$AC1148),"∞"),"")</f>
        <v/>
      </c>
      <c r="Q1148" s="48" t="str">
        <f>IF(OR($B1148="",$D1148=""),"",IF($AC1148=0,0,MAX(0,MIN($O1148,IF(ISNUMBER($P1148),$P1148-$AF1148,1E+15),IF(ISNUMBER($AA1148),$AA1148-$AG1148,1E+15)))))</f>
        <v/>
      </c>
      <c r="R1148" s="48" t="str">
        <f>IF(OR($B1148="",$D1148=""),"",IF($AC1148=0,"",IF(AND(NOT(ISNUMBER($P1148)),NOT(ISNUMBER($AA1148))),"∞",MAX(0,MIN(IF(ISNUMBER($P1148),$P1148-$AF1148-$Q1148,1E+15),IF(ISNUMBER($AA1148),$AA1148-$AG1148-$Q1148,1E+15))))))</f>
        <v/>
      </c>
      <c r="S1148" s="47" t="str">
        <f>IF($AD1148="","",YEAR($AD1148)*100+MONTH($AD1148))</f>
        <v/>
      </c>
      <c r="T1148" s="50" t="str">
        <f>IF($AD1148="","",IFERROR(IF(INDEX(CARDS!$I$5:$I$34,MATCH($D1148,CARDS!$A$5:$A$34,0))="","",IF(INDEX(CARDS!$I$5:$I$34,MATCH($D1148,CARDS!$A$5:$A$34,0))&gt;INDEX(CARDS!$H$5:$H$34,MATCH($D1148,CARDS!$A$5:$A$34,0)),DATE(YEAR($AD1148),MONTH($AD1148),MIN(INDEX(CARDS!$I$5:$I$34,MATCH($D1148,CARDS!$A$5:$A$34,0)),DAY(EOMONTH($AD1148,0)))),DATE(YEAR($AD1148),MONTH($AD1148)+1,MIN(INDEX(CARDS!$I$5:$I$34,MATCH($D1148,CARDS!$A$5:$A$34,0)),DAY(EOMONTH($AD1148,1)))))),""))</f>
        <v/>
      </c>
      <c r="U1148" s="38" t="n"/>
      <c r="V1148" s="37" t="n"/>
      <c r="W1148" s="38" t="n"/>
      <c r="X1148" s="38" t="n"/>
      <c r="Y1148" s="44" t="str">
        <f>IF($AC1148&gt;0,INDEX(CASHBACK_RULES!$A$5:$A$304,$AC1148),"")</f>
        <v/>
      </c>
      <c r="Z1148" s="45" t="str">
        <f>IF($AC1148&gt;0,INDEX(CASHBACK_RULES!$E$5:$E$304,$AC1148)&amp;"","")</f>
        <v/>
      </c>
      <c r="AA1148" s="48" t="str">
        <f>IF($AC1148&gt;0,IF(ISNUMBER(INDEX(CASHBACK_RULES!$K$5:$K$304,$AC1148)),INDEX(CASHBACK_RULES!$K$5:$K$304,$AC1148),"∞"),"")</f>
        <v/>
      </c>
      <c r="AB1148" s="44" t="str">
        <f>IF(OR($B1148="",$D1148=""),"",IF($U1148="Cancelled","Đã hủy",IF($AC1148=0,"Không được hoàn",IF($Q1148=0,IF(OR($O1148&gt;0,$M1148&lt;$L1148),"Đã đạt cap","Không được hoàn"),IF(OR($Q1148&lt;$O1148,$M1148&lt;$L1148),"Hoàn một phần","Được hoàn")))))</f>
        <v/>
      </c>
      <c r="AC1148" s="43">
        <f>IF(OR($B1148="",$D1148="",$I1148="",$L1148=""),0,IF($U1148="Cancelled",0,IF($W1148&lt;&gt;"",IFERROR(IF(INDEX(CASHBACK_RULES!$B$5:$B$304,MATCH($W1148,CASHBACK_RULES!$A$5:$A$304,0))=$D1148,MATCH($W1148,CASHBACK_RULES!$A$5:$A$304,0),0),0),IFERROR(MATCH(1,INDEX((CASHBACK_RULES!$B$5:$B$304=$D1148)*(CASHBACK_RULES!$G$5:$G$304=$I1148)*(((CASHBACK_RULES!$N$5:$N$304="")+(CASHBACK_RULES!$N$5:$N$304&lt;=$B1148))&gt;0)*(((CASHBACK_RULES!$O$5:$O$304="")+(CASHBACK_RULES!$O$5:$O$304&gt;=$B1148))&gt;0)*(((CASHBACK_RULES!$M$5:$M$304="")+(CASHBACK_RULES!$M$5:$M$304&lt;=$L1148))&gt;0),0),0),0))))</f>
        <v>0</v>
      </c>
      <c r="AD1148" s="51" t="str">
        <f>IF(OR($B1148="",$D1148=""),"",IFERROR(IF(INDEX(CARDS!$H$5:$H$34,MATCH($D1148,CARDS!$A$5:$A$34,0))="","",IF(DAY($B1148)&lt;=INDEX(CARDS!$H$5:$H$34,MATCH($D1148,CARDS!$A$5:$A$34,0)),DATE(YEAR($B1148),MONTH($B1148),MIN(INDEX(CARDS!$H$5:$H$34,MATCH($D1148,CARDS!$A$5:$A$34,0)),DAY(EOMONTH($B1148,0)))),DATE(YEAR($B1148),MONTH($B1148)+1,MIN(INDEX(CARDS!$H$5:$H$34,MATCH($D1148,CARDS!$A$5:$A$34,0)),DAY(EOMONTH($B1148,1)))))),""))</f>
        <v/>
      </c>
      <c r="AE1148" s="52" t="str">
        <f>IF($C1148="","",$C1148&amp;"|"&amp;COUNTIF($C$5:$C1148,$C1148))</f>
        <v/>
      </c>
      <c r="AF1148" s="53">
        <f>IF($AC1148&gt;0,SUMIFS(Q$4:Q1147,$D$4:$D1147,$D1148,$Z$4:$Z1147,$Z1148,$C$4:$C1147,$C1148),0)</f>
        <v>0</v>
      </c>
      <c r="AG1148" s="53">
        <f>IF($AC1148&gt;0,SUMIFS(Q$4:Q1147,$D$4:$D1147,$D1148,$C$4:$C1147,$C1148),0)</f>
        <v>0</v>
      </c>
      <c r="AH1148" s="53">
        <f>IF($AC1148&gt;0,SUMIFS(M$4:M1147,$D$4:$D1147,$D1148,$Z$4:$Z1147,$Z1148,$C$4:$C1147,$C1148),0)</f>
        <v>0</v>
      </c>
      <c r="AI1148" s="43">
        <f>IF(OR($C1148="",$I1148=""),0,IF(COUNTIFS($C$5:$C1148,$C1148,$I$5:$I1148,$I1148)=1,1,0))</f>
        <v>0</v>
      </c>
      <c r="AJ1148" s="43" t="str">
        <f>IF($AI1148=1,SUMIFS($AI$4:$AI1147,$C$4:$C1147,$C1148)+1,"")</f>
        <v/>
      </c>
      <c r="AK1148" s="43">
        <f>IF(OR($C1148="",$K1148=""),0,IF(COUNTIFS($C$5:$C1148,$C1148,$K$5:$K1148,$K1148)=1,1,0))</f>
        <v>0</v>
      </c>
      <c r="AL1148" s="43" t="str">
        <f>IF($AK1148=1,SUMIFS($AK$4:$AK1147,$C$4:$C1147,$C1148)+1,"")</f>
        <v/>
      </c>
      <c r="AM1148" s="43">
        <f>IF(OR($C1148="",$G1148=""),0,IF(COUNTIFS($C$5:$C1148,$C1148,$G$5:$G1148,$G1148)=1,1,0))</f>
        <v>0</v>
      </c>
      <c r="AN1148" s="43" t="str">
        <f>IF($AM1148=1,SUMIFS($AM$4:$AM1147,$C$4:$C1147,$C1148)+1,"")</f>
        <v/>
      </c>
    </row>
    <row r="1149">
      <c r="A1149" s="44" t="str">
        <f>IF(OR($B1149="",$D1149=""),"","TX"&amp;TEXT(ROW()-4,"0000"))</f>
        <v/>
      </c>
      <c r="B1149" s="42" t="n"/>
      <c r="C1149" s="47" t="str">
        <f>IF($B1149="","",YEAR($B1149)*100+MONTH($B1149))</f>
        <v/>
      </c>
      <c r="D1149" s="37" t="n"/>
      <c r="E1149" s="45" t="str">
        <f>IF($D1149="","",IFERROR(INDEX(CARDS!$B$5:$B$34,MATCH($D1149,CARDS!$A$5:$A$34,0)),"⚠ Card ID?"))</f>
        <v/>
      </c>
      <c r="F1149" s="45" t="str">
        <f>IF($D1149="","",IFERROR(INDEX(CARDS!$C$5:$C$34,MATCH($D1149,CARDS!$A$5:$A$34,0)),"⚠ Card ID?"))</f>
        <v/>
      </c>
      <c r="G1149" s="37" t="n"/>
      <c r="H1149" s="37" t="n"/>
      <c r="I1149" s="41" t="n"/>
      <c r="J1149" s="45" t="str">
        <f>IF($I1149="","",IFERROR(INDEX(MCC_MASTER!$B$5:$B$504,MATCH($I1149,MCC_MASTER!$A$5:$A$504,0)),"⚠ MCC chưa có"))</f>
        <v/>
      </c>
      <c r="K1149" s="45" t="str">
        <f>IF($I1149="","",IFERROR(IF(INDEX(MCC_MASTER!$C$5:$C$504,MATCH($I1149,MCC_MASTER!$A$5:$A$504,0))="","Chưa phân loại",INDEX(MCC_MASTER!$C$5:$C$504,MATCH($I1149,MCC_MASTER!$A$5:$A$504,0))),"Chưa phân loại"))</f>
        <v/>
      </c>
      <c r="L1149" s="40" t="n"/>
      <c r="M1149" s="48" t="str">
        <f>IF(OR($B1149="",$D1149=""),"",IF($AC1149=0,0,IF(ISNUMBER(INDEX(CASHBACK_RULES!$L$5:$L$304,$AC1149)),MAX(0,MIN($L1149,INDEX(CASHBACK_RULES!$L$5:$L$304,$AC1149)-$AH1149)),MAX(0,$L1149))))</f>
        <v/>
      </c>
      <c r="N1149" s="49" t="str">
        <f>IF(OR($B1149="",$D1149=""),"",IF($AC1149&gt;0,INDEX(CASHBACK_RULES!$I$5:$I$304,$AC1149),0))</f>
        <v/>
      </c>
      <c r="O1149" s="48" t="str">
        <f>IF(OR($B1149="",$D1149=""),"",ROUND($M1149*$N1149,0))</f>
        <v/>
      </c>
      <c r="P1149" s="48" t="str">
        <f>IF($AC1149&gt;0,IF(ISNUMBER(INDEX(CASHBACK_RULES!$J$5:$J$304,$AC1149)),INDEX(CASHBACK_RULES!$J$5:$J$304,$AC1149),"∞"),"")</f>
        <v/>
      </c>
      <c r="Q1149" s="48" t="str">
        <f>IF(OR($B1149="",$D1149=""),"",IF($AC1149=0,0,MAX(0,MIN($O1149,IF(ISNUMBER($P1149),$P1149-$AF1149,1E+15),IF(ISNUMBER($AA1149),$AA1149-$AG1149,1E+15)))))</f>
        <v/>
      </c>
      <c r="R1149" s="48" t="str">
        <f>IF(OR($B1149="",$D1149=""),"",IF($AC1149=0,"",IF(AND(NOT(ISNUMBER($P1149)),NOT(ISNUMBER($AA1149))),"∞",MAX(0,MIN(IF(ISNUMBER($P1149),$P1149-$AF1149-$Q1149,1E+15),IF(ISNUMBER($AA1149),$AA1149-$AG1149-$Q1149,1E+15))))))</f>
        <v/>
      </c>
      <c r="S1149" s="47" t="str">
        <f>IF($AD1149="","",YEAR($AD1149)*100+MONTH($AD1149))</f>
        <v/>
      </c>
      <c r="T1149" s="50" t="str">
        <f>IF($AD1149="","",IFERROR(IF(INDEX(CARDS!$I$5:$I$34,MATCH($D1149,CARDS!$A$5:$A$34,0))="","",IF(INDEX(CARDS!$I$5:$I$34,MATCH($D1149,CARDS!$A$5:$A$34,0))&gt;INDEX(CARDS!$H$5:$H$34,MATCH($D1149,CARDS!$A$5:$A$34,0)),DATE(YEAR($AD1149),MONTH($AD1149),MIN(INDEX(CARDS!$I$5:$I$34,MATCH($D1149,CARDS!$A$5:$A$34,0)),DAY(EOMONTH($AD1149,0)))),DATE(YEAR($AD1149),MONTH($AD1149)+1,MIN(INDEX(CARDS!$I$5:$I$34,MATCH($D1149,CARDS!$A$5:$A$34,0)),DAY(EOMONTH($AD1149,1)))))),""))</f>
        <v/>
      </c>
      <c r="U1149" s="38" t="n"/>
      <c r="V1149" s="37" t="n"/>
      <c r="W1149" s="38" t="n"/>
      <c r="X1149" s="38" t="n"/>
      <c r="Y1149" s="44" t="str">
        <f>IF($AC1149&gt;0,INDEX(CASHBACK_RULES!$A$5:$A$304,$AC1149),"")</f>
        <v/>
      </c>
      <c r="Z1149" s="45" t="str">
        <f>IF($AC1149&gt;0,INDEX(CASHBACK_RULES!$E$5:$E$304,$AC1149)&amp;"","")</f>
        <v/>
      </c>
      <c r="AA1149" s="48" t="str">
        <f>IF($AC1149&gt;0,IF(ISNUMBER(INDEX(CASHBACK_RULES!$K$5:$K$304,$AC1149)),INDEX(CASHBACK_RULES!$K$5:$K$304,$AC1149),"∞"),"")</f>
        <v/>
      </c>
      <c r="AB1149" s="44" t="str">
        <f>IF(OR($B1149="",$D1149=""),"",IF($U1149="Cancelled","Đã hủy",IF($AC1149=0,"Không được hoàn",IF($Q1149=0,IF(OR($O1149&gt;0,$M1149&lt;$L1149),"Đã đạt cap","Không được hoàn"),IF(OR($Q1149&lt;$O1149,$M1149&lt;$L1149),"Hoàn một phần","Được hoàn")))))</f>
        <v/>
      </c>
      <c r="AC1149" s="43">
        <f>IF(OR($B1149="",$D1149="",$I1149="",$L1149=""),0,IF($U1149="Cancelled",0,IF($W1149&lt;&gt;"",IFERROR(IF(INDEX(CASHBACK_RULES!$B$5:$B$304,MATCH($W1149,CASHBACK_RULES!$A$5:$A$304,0))=$D1149,MATCH($W1149,CASHBACK_RULES!$A$5:$A$304,0),0),0),IFERROR(MATCH(1,INDEX((CASHBACK_RULES!$B$5:$B$304=$D1149)*(CASHBACK_RULES!$G$5:$G$304=$I1149)*(((CASHBACK_RULES!$N$5:$N$304="")+(CASHBACK_RULES!$N$5:$N$304&lt;=$B1149))&gt;0)*(((CASHBACK_RULES!$O$5:$O$304="")+(CASHBACK_RULES!$O$5:$O$304&gt;=$B1149))&gt;0)*(((CASHBACK_RULES!$M$5:$M$304="")+(CASHBACK_RULES!$M$5:$M$304&lt;=$L1149))&gt;0),0),0),0))))</f>
        <v>0</v>
      </c>
      <c r="AD1149" s="51" t="str">
        <f>IF(OR($B1149="",$D1149=""),"",IFERROR(IF(INDEX(CARDS!$H$5:$H$34,MATCH($D1149,CARDS!$A$5:$A$34,0))="","",IF(DAY($B1149)&lt;=INDEX(CARDS!$H$5:$H$34,MATCH($D1149,CARDS!$A$5:$A$34,0)),DATE(YEAR($B1149),MONTH($B1149),MIN(INDEX(CARDS!$H$5:$H$34,MATCH($D1149,CARDS!$A$5:$A$34,0)),DAY(EOMONTH($B1149,0)))),DATE(YEAR($B1149),MONTH($B1149)+1,MIN(INDEX(CARDS!$H$5:$H$34,MATCH($D1149,CARDS!$A$5:$A$34,0)),DAY(EOMONTH($B1149,1)))))),""))</f>
        <v/>
      </c>
      <c r="AE1149" s="52" t="str">
        <f>IF($C1149="","",$C1149&amp;"|"&amp;COUNTIF($C$5:$C1149,$C1149))</f>
        <v/>
      </c>
      <c r="AF1149" s="53">
        <f>IF($AC1149&gt;0,SUMIFS(Q$4:Q1148,$D$4:$D1148,$D1149,$Z$4:$Z1148,$Z1149,$C$4:$C1148,$C1149),0)</f>
        <v>0</v>
      </c>
      <c r="AG1149" s="53">
        <f>IF($AC1149&gt;0,SUMIFS(Q$4:Q1148,$D$4:$D1148,$D1149,$C$4:$C1148,$C1149),0)</f>
        <v>0</v>
      </c>
      <c r="AH1149" s="53">
        <f>IF($AC1149&gt;0,SUMIFS(M$4:M1148,$D$4:$D1148,$D1149,$Z$4:$Z1148,$Z1149,$C$4:$C1148,$C1149),0)</f>
        <v>0</v>
      </c>
      <c r="AI1149" s="43">
        <f>IF(OR($C1149="",$I1149=""),0,IF(COUNTIFS($C$5:$C1149,$C1149,$I$5:$I1149,$I1149)=1,1,0))</f>
        <v>0</v>
      </c>
      <c r="AJ1149" s="43" t="str">
        <f>IF($AI1149=1,SUMIFS($AI$4:$AI1148,$C$4:$C1148,$C1149)+1,"")</f>
        <v/>
      </c>
      <c r="AK1149" s="43">
        <f>IF(OR($C1149="",$K1149=""),0,IF(COUNTIFS($C$5:$C1149,$C1149,$K$5:$K1149,$K1149)=1,1,0))</f>
        <v>0</v>
      </c>
      <c r="AL1149" s="43" t="str">
        <f>IF($AK1149=1,SUMIFS($AK$4:$AK1148,$C$4:$C1148,$C1149)+1,"")</f>
        <v/>
      </c>
      <c r="AM1149" s="43">
        <f>IF(OR($C1149="",$G1149=""),0,IF(COUNTIFS($C$5:$C1149,$C1149,$G$5:$G1149,$G1149)=1,1,0))</f>
        <v>0</v>
      </c>
      <c r="AN1149" s="43" t="str">
        <f>IF($AM1149=1,SUMIFS($AM$4:$AM1148,$C$4:$C1148,$C1149)+1,"")</f>
        <v/>
      </c>
    </row>
    <row r="1150">
      <c r="A1150" s="44" t="str">
        <f>IF(OR($B1150="",$D1150=""),"","TX"&amp;TEXT(ROW()-4,"0000"))</f>
        <v/>
      </c>
      <c r="B1150" s="42" t="n"/>
      <c r="C1150" s="47" t="str">
        <f>IF($B1150="","",YEAR($B1150)*100+MONTH($B1150))</f>
        <v/>
      </c>
      <c r="D1150" s="37" t="n"/>
      <c r="E1150" s="45" t="str">
        <f>IF($D1150="","",IFERROR(INDEX(CARDS!$B$5:$B$34,MATCH($D1150,CARDS!$A$5:$A$34,0)),"⚠ Card ID?"))</f>
        <v/>
      </c>
      <c r="F1150" s="45" t="str">
        <f>IF($D1150="","",IFERROR(INDEX(CARDS!$C$5:$C$34,MATCH($D1150,CARDS!$A$5:$A$34,0)),"⚠ Card ID?"))</f>
        <v/>
      </c>
      <c r="G1150" s="37" t="n"/>
      <c r="H1150" s="37" t="n"/>
      <c r="I1150" s="41" t="n"/>
      <c r="J1150" s="45" t="str">
        <f>IF($I1150="","",IFERROR(INDEX(MCC_MASTER!$B$5:$B$504,MATCH($I1150,MCC_MASTER!$A$5:$A$504,0)),"⚠ MCC chưa có"))</f>
        <v/>
      </c>
      <c r="K1150" s="45" t="str">
        <f>IF($I1150="","",IFERROR(IF(INDEX(MCC_MASTER!$C$5:$C$504,MATCH($I1150,MCC_MASTER!$A$5:$A$504,0))="","Chưa phân loại",INDEX(MCC_MASTER!$C$5:$C$504,MATCH($I1150,MCC_MASTER!$A$5:$A$504,0))),"Chưa phân loại"))</f>
        <v/>
      </c>
      <c r="L1150" s="40" t="n"/>
      <c r="M1150" s="48" t="str">
        <f>IF(OR($B1150="",$D1150=""),"",IF($AC1150=0,0,IF(ISNUMBER(INDEX(CASHBACK_RULES!$L$5:$L$304,$AC1150)),MAX(0,MIN($L1150,INDEX(CASHBACK_RULES!$L$5:$L$304,$AC1150)-$AH1150)),MAX(0,$L1150))))</f>
        <v/>
      </c>
      <c r="N1150" s="49" t="str">
        <f>IF(OR($B1150="",$D1150=""),"",IF($AC1150&gt;0,INDEX(CASHBACK_RULES!$I$5:$I$304,$AC1150),0))</f>
        <v/>
      </c>
      <c r="O1150" s="48" t="str">
        <f>IF(OR($B1150="",$D1150=""),"",ROUND($M1150*$N1150,0))</f>
        <v/>
      </c>
      <c r="P1150" s="48" t="str">
        <f>IF($AC1150&gt;0,IF(ISNUMBER(INDEX(CASHBACK_RULES!$J$5:$J$304,$AC1150)),INDEX(CASHBACK_RULES!$J$5:$J$304,$AC1150),"∞"),"")</f>
        <v/>
      </c>
      <c r="Q1150" s="48" t="str">
        <f>IF(OR($B1150="",$D1150=""),"",IF($AC1150=0,0,MAX(0,MIN($O1150,IF(ISNUMBER($P1150),$P1150-$AF1150,1E+15),IF(ISNUMBER($AA1150),$AA1150-$AG1150,1E+15)))))</f>
        <v/>
      </c>
      <c r="R1150" s="48" t="str">
        <f>IF(OR($B1150="",$D1150=""),"",IF($AC1150=0,"",IF(AND(NOT(ISNUMBER($P1150)),NOT(ISNUMBER($AA1150))),"∞",MAX(0,MIN(IF(ISNUMBER($P1150),$P1150-$AF1150-$Q1150,1E+15),IF(ISNUMBER($AA1150),$AA1150-$AG1150-$Q1150,1E+15))))))</f>
        <v/>
      </c>
      <c r="S1150" s="47" t="str">
        <f>IF($AD1150="","",YEAR($AD1150)*100+MONTH($AD1150))</f>
        <v/>
      </c>
      <c r="T1150" s="50" t="str">
        <f>IF($AD1150="","",IFERROR(IF(INDEX(CARDS!$I$5:$I$34,MATCH($D1150,CARDS!$A$5:$A$34,0))="","",IF(INDEX(CARDS!$I$5:$I$34,MATCH($D1150,CARDS!$A$5:$A$34,0))&gt;INDEX(CARDS!$H$5:$H$34,MATCH($D1150,CARDS!$A$5:$A$34,0)),DATE(YEAR($AD1150),MONTH($AD1150),MIN(INDEX(CARDS!$I$5:$I$34,MATCH($D1150,CARDS!$A$5:$A$34,0)),DAY(EOMONTH($AD1150,0)))),DATE(YEAR($AD1150),MONTH($AD1150)+1,MIN(INDEX(CARDS!$I$5:$I$34,MATCH($D1150,CARDS!$A$5:$A$34,0)),DAY(EOMONTH($AD1150,1)))))),""))</f>
        <v/>
      </c>
      <c r="U1150" s="38" t="n"/>
      <c r="V1150" s="37" t="n"/>
      <c r="W1150" s="38" t="n"/>
      <c r="X1150" s="38" t="n"/>
      <c r="Y1150" s="44" t="str">
        <f>IF($AC1150&gt;0,INDEX(CASHBACK_RULES!$A$5:$A$304,$AC1150),"")</f>
        <v/>
      </c>
      <c r="Z1150" s="45" t="str">
        <f>IF($AC1150&gt;0,INDEX(CASHBACK_RULES!$E$5:$E$304,$AC1150)&amp;"","")</f>
        <v/>
      </c>
      <c r="AA1150" s="48" t="str">
        <f>IF($AC1150&gt;0,IF(ISNUMBER(INDEX(CASHBACK_RULES!$K$5:$K$304,$AC1150)),INDEX(CASHBACK_RULES!$K$5:$K$304,$AC1150),"∞"),"")</f>
        <v/>
      </c>
      <c r="AB1150" s="44" t="str">
        <f>IF(OR($B1150="",$D1150=""),"",IF($U1150="Cancelled","Đã hủy",IF($AC1150=0,"Không được hoàn",IF($Q1150=0,IF(OR($O1150&gt;0,$M1150&lt;$L1150),"Đã đạt cap","Không được hoàn"),IF(OR($Q1150&lt;$O1150,$M1150&lt;$L1150),"Hoàn một phần","Được hoàn")))))</f>
        <v/>
      </c>
      <c r="AC1150" s="43">
        <f>IF(OR($B1150="",$D1150="",$I1150="",$L1150=""),0,IF($U1150="Cancelled",0,IF($W1150&lt;&gt;"",IFERROR(IF(INDEX(CASHBACK_RULES!$B$5:$B$304,MATCH($W1150,CASHBACK_RULES!$A$5:$A$304,0))=$D1150,MATCH($W1150,CASHBACK_RULES!$A$5:$A$304,0),0),0),IFERROR(MATCH(1,INDEX((CASHBACK_RULES!$B$5:$B$304=$D1150)*(CASHBACK_RULES!$G$5:$G$304=$I1150)*(((CASHBACK_RULES!$N$5:$N$304="")+(CASHBACK_RULES!$N$5:$N$304&lt;=$B1150))&gt;0)*(((CASHBACK_RULES!$O$5:$O$304="")+(CASHBACK_RULES!$O$5:$O$304&gt;=$B1150))&gt;0)*(((CASHBACK_RULES!$M$5:$M$304="")+(CASHBACK_RULES!$M$5:$M$304&lt;=$L1150))&gt;0),0),0),0))))</f>
        <v>0</v>
      </c>
      <c r="AD1150" s="51" t="str">
        <f>IF(OR($B1150="",$D1150=""),"",IFERROR(IF(INDEX(CARDS!$H$5:$H$34,MATCH($D1150,CARDS!$A$5:$A$34,0))="","",IF(DAY($B1150)&lt;=INDEX(CARDS!$H$5:$H$34,MATCH($D1150,CARDS!$A$5:$A$34,0)),DATE(YEAR($B1150),MONTH($B1150),MIN(INDEX(CARDS!$H$5:$H$34,MATCH($D1150,CARDS!$A$5:$A$34,0)),DAY(EOMONTH($B1150,0)))),DATE(YEAR($B1150),MONTH($B1150)+1,MIN(INDEX(CARDS!$H$5:$H$34,MATCH($D1150,CARDS!$A$5:$A$34,0)),DAY(EOMONTH($B1150,1)))))),""))</f>
        <v/>
      </c>
      <c r="AE1150" s="52" t="str">
        <f>IF($C1150="","",$C1150&amp;"|"&amp;COUNTIF($C$5:$C1150,$C1150))</f>
        <v/>
      </c>
      <c r="AF1150" s="53">
        <f>IF($AC1150&gt;0,SUMIFS(Q$4:Q1149,$D$4:$D1149,$D1150,$Z$4:$Z1149,$Z1150,$C$4:$C1149,$C1150),0)</f>
        <v>0</v>
      </c>
      <c r="AG1150" s="53">
        <f>IF($AC1150&gt;0,SUMIFS(Q$4:Q1149,$D$4:$D1149,$D1150,$C$4:$C1149,$C1150),0)</f>
        <v>0</v>
      </c>
      <c r="AH1150" s="53">
        <f>IF($AC1150&gt;0,SUMIFS(M$4:M1149,$D$4:$D1149,$D1150,$Z$4:$Z1149,$Z1150,$C$4:$C1149,$C1150),0)</f>
        <v>0</v>
      </c>
      <c r="AI1150" s="43">
        <f>IF(OR($C1150="",$I1150=""),0,IF(COUNTIFS($C$5:$C1150,$C1150,$I$5:$I1150,$I1150)=1,1,0))</f>
        <v>0</v>
      </c>
      <c r="AJ1150" s="43" t="str">
        <f>IF($AI1150=1,SUMIFS($AI$4:$AI1149,$C$4:$C1149,$C1150)+1,"")</f>
        <v/>
      </c>
      <c r="AK1150" s="43">
        <f>IF(OR($C1150="",$K1150=""),0,IF(COUNTIFS($C$5:$C1150,$C1150,$K$5:$K1150,$K1150)=1,1,0))</f>
        <v>0</v>
      </c>
      <c r="AL1150" s="43" t="str">
        <f>IF($AK1150=1,SUMIFS($AK$4:$AK1149,$C$4:$C1149,$C1150)+1,"")</f>
        <v/>
      </c>
      <c r="AM1150" s="43">
        <f>IF(OR($C1150="",$G1150=""),0,IF(COUNTIFS($C$5:$C1150,$C1150,$G$5:$G1150,$G1150)=1,1,0))</f>
        <v>0</v>
      </c>
      <c r="AN1150" s="43" t="str">
        <f>IF($AM1150=1,SUMIFS($AM$4:$AM1149,$C$4:$C1149,$C1150)+1,"")</f>
        <v/>
      </c>
    </row>
    <row r="1151">
      <c r="A1151" s="44" t="str">
        <f>IF(OR($B1151="",$D1151=""),"","TX"&amp;TEXT(ROW()-4,"0000"))</f>
        <v/>
      </c>
      <c r="B1151" s="42" t="n"/>
      <c r="C1151" s="47" t="str">
        <f>IF($B1151="","",YEAR($B1151)*100+MONTH($B1151))</f>
        <v/>
      </c>
      <c r="D1151" s="37" t="n"/>
      <c r="E1151" s="45" t="str">
        <f>IF($D1151="","",IFERROR(INDEX(CARDS!$B$5:$B$34,MATCH($D1151,CARDS!$A$5:$A$34,0)),"⚠ Card ID?"))</f>
        <v/>
      </c>
      <c r="F1151" s="45" t="str">
        <f>IF($D1151="","",IFERROR(INDEX(CARDS!$C$5:$C$34,MATCH($D1151,CARDS!$A$5:$A$34,0)),"⚠ Card ID?"))</f>
        <v/>
      </c>
      <c r="G1151" s="37" t="n"/>
      <c r="H1151" s="37" t="n"/>
      <c r="I1151" s="41" t="n"/>
      <c r="J1151" s="45" t="str">
        <f>IF($I1151="","",IFERROR(INDEX(MCC_MASTER!$B$5:$B$504,MATCH($I1151,MCC_MASTER!$A$5:$A$504,0)),"⚠ MCC chưa có"))</f>
        <v/>
      </c>
      <c r="K1151" s="45" t="str">
        <f>IF($I1151="","",IFERROR(IF(INDEX(MCC_MASTER!$C$5:$C$504,MATCH($I1151,MCC_MASTER!$A$5:$A$504,0))="","Chưa phân loại",INDEX(MCC_MASTER!$C$5:$C$504,MATCH($I1151,MCC_MASTER!$A$5:$A$504,0))),"Chưa phân loại"))</f>
        <v/>
      </c>
      <c r="L1151" s="40" t="n"/>
      <c r="M1151" s="48" t="str">
        <f>IF(OR($B1151="",$D1151=""),"",IF($AC1151=0,0,IF(ISNUMBER(INDEX(CASHBACK_RULES!$L$5:$L$304,$AC1151)),MAX(0,MIN($L1151,INDEX(CASHBACK_RULES!$L$5:$L$304,$AC1151)-$AH1151)),MAX(0,$L1151))))</f>
        <v/>
      </c>
      <c r="N1151" s="49" t="str">
        <f>IF(OR($B1151="",$D1151=""),"",IF($AC1151&gt;0,INDEX(CASHBACK_RULES!$I$5:$I$304,$AC1151),0))</f>
        <v/>
      </c>
      <c r="O1151" s="48" t="str">
        <f>IF(OR($B1151="",$D1151=""),"",ROUND($M1151*$N1151,0))</f>
        <v/>
      </c>
      <c r="P1151" s="48" t="str">
        <f>IF($AC1151&gt;0,IF(ISNUMBER(INDEX(CASHBACK_RULES!$J$5:$J$304,$AC1151)),INDEX(CASHBACK_RULES!$J$5:$J$304,$AC1151),"∞"),"")</f>
        <v/>
      </c>
      <c r="Q1151" s="48" t="str">
        <f>IF(OR($B1151="",$D1151=""),"",IF($AC1151=0,0,MAX(0,MIN($O1151,IF(ISNUMBER($P1151),$P1151-$AF1151,1E+15),IF(ISNUMBER($AA1151),$AA1151-$AG1151,1E+15)))))</f>
        <v/>
      </c>
      <c r="R1151" s="48" t="str">
        <f>IF(OR($B1151="",$D1151=""),"",IF($AC1151=0,"",IF(AND(NOT(ISNUMBER($P1151)),NOT(ISNUMBER($AA1151))),"∞",MAX(0,MIN(IF(ISNUMBER($P1151),$P1151-$AF1151-$Q1151,1E+15),IF(ISNUMBER($AA1151),$AA1151-$AG1151-$Q1151,1E+15))))))</f>
        <v/>
      </c>
      <c r="S1151" s="47" t="str">
        <f>IF($AD1151="","",YEAR($AD1151)*100+MONTH($AD1151))</f>
        <v/>
      </c>
      <c r="T1151" s="50" t="str">
        <f>IF($AD1151="","",IFERROR(IF(INDEX(CARDS!$I$5:$I$34,MATCH($D1151,CARDS!$A$5:$A$34,0))="","",IF(INDEX(CARDS!$I$5:$I$34,MATCH($D1151,CARDS!$A$5:$A$34,0))&gt;INDEX(CARDS!$H$5:$H$34,MATCH($D1151,CARDS!$A$5:$A$34,0)),DATE(YEAR($AD1151),MONTH($AD1151),MIN(INDEX(CARDS!$I$5:$I$34,MATCH($D1151,CARDS!$A$5:$A$34,0)),DAY(EOMONTH($AD1151,0)))),DATE(YEAR($AD1151),MONTH($AD1151)+1,MIN(INDEX(CARDS!$I$5:$I$34,MATCH($D1151,CARDS!$A$5:$A$34,0)),DAY(EOMONTH($AD1151,1)))))),""))</f>
        <v/>
      </c>
      <c r="U1151" s="38" t="n"/>
      <c r="V1151" s="37" t="n"/>
      <c r="W1151" s="38" t="n"/>
      <c r="X1151" s="38" t="n"/>
      <c r="Y1151" s="44" t="str">
        <f>IF($AC1151&gt;0,INDEX(CASHBACK_RULES!$A$5:$A$304,$AC1151),"")</f>
        <v/>
      </c>
      <c r="Z1151" s="45" t="str">
        <f>IF($AC1151&gt;0,INDEX(CASHBACK_RULES!$E$5:$E$304,$AC1151)&amp;"","")</f>
        <v/>
      </c>
      <c r="AA1151" s="48" t="str">
        <f>IF($AC1151&gt;0,IF(ISNUMBER(INDEX(CASHBACK_RULES!$K$5:$K$304,$AC1151)),INDEX(CASHBACK_RULES!$K$5:$K$304,$AC1151),"∞"),"")</f>
        <v/>
      </c>
      <c r="AB1151" s="44" t="str">
        <f>IF(OR($B1151="",$D1151=""),"",IF($U1151="Cancelled","Đã hủy",IF($AC1151=0,"Không được hoàn",IF($Q1151=0,IF(OR($O1151&gt;0,$M1151&lt;$L1151),"Đã đạt cap","Không được hoàn"),IF(OR($Q1151&lt;$O1151,$M1151&lt;$L1151),"Hoàn một phần","Được hoàn")))))</f>
        <v/>
      </c>
      <c r="AC1151" s="43">
        <f>IF(OR($B1151="",$D1151="",$I1151="",$L1151=""),0,IF($U1151="Cancelled",0,IF($W1151&lt;&gt;"",IFERROR(IF(INDEX(CASHBACK_RULES!$B$5:$B$304,MATCH($W1151,CASHBACK_RULES!$A$5:$A$304,0))=$D1151,MATCH($W1151,CASHBACK_RULES!$A$5:$A$304,0),0),0),IFERROR(MATCH(1,INDEX((CASHBACK_RULES!$B$5:$B$304=$D1151)*(CASHBACK_RULES!$G$5:$G$304=$I1151)*(((CASHBACK_RULES!$N$5:$N$304="")+(CASHBACK_RULES!$N$5:$N$304&lt;=$B1151))&gt;0)*(((CASHBACK_RULES!$O$5:$O$304="")+(CASHBACK_RULES!$O$5:$O$304&gt;=$B1151))&gt;0)*(((CASHBACK_RULES!$M$5:$M$304="")+(CASHBACK_RULES!$M$5:$M$304&lt;=$L1151))&gt;0),0),0),0))))</f>
        <v>0</v>
      </c>
      <c r="AD1151" s="51" t="str">
        <f>IF(OR($B1151="",$D1151=""),"",IFERROR(IF(INDEX(CARDS!$H$5:$H$34,MATCH($D1151,CARDS!$A$5:$A$34,0))="","",IF(DAY($B1151)&lt;=INDEX(CARDS!$H$5:$H$34,MATCH($D1151,CARDS!$A$5:$A$34,0)),DATE(YEAR($B1151),MONTH($B1151),MIN(INDEX(CARDS!$H$5:$H$34,MATCH($D1151,CARDS!$A$5:$A$34,0)),DAY(EOMONTH($B1151,0)))),DATE(YEAR($B1151),MONTH($B1151)+1,MIN(INDEX(CARDS!$H$5:$H$34,MATCH($D1151,CARDS!$A$5:$A$34,0)),DAY(EOMONTH($B1151,1)))))),""))</f>
        <v/>
      </c>
      <c r="AE1151" s="52" t="str">
        <f>IF($C1151="","",$C1151&amp;"|"&amp;COUNTIF($C$5:$C1151,$C1151))</f>
        <v/>
      </c>
      <c r="AF1151" s="53">
        <f>IF($AC1151&gt;0,SUMIFS(Q$4:Q1150,$D$4:$D1150,$D1151,$Z$4:$Z1150,$Z1151,$C$4:$C1150,$C1151),0)</f>
        <v>0</v>
      </c>
      <c r="AG1151" s="53">
        <f>IF($AC1151&gt;0,SUMIFS(Q$4:Q1150,$D$4:$D1150,$D1151,$C$4:$C1150,$C1151),0)</f>
        <v>0</v>
      </c>
      <c r="AH1151" s="53">
        <f>IF($AC1151&gt;0,SUMIFS(M$4:M1150,$D$4:$D1150,$D1151,$Z$4:$Z1150,$Z1151,$C$4:$C1150,$C1151),0)</f>
        <v>0</v>
      </c>
      <c r="AI1151" s="43">
        <f>IF(OR($C1151="",$I1151=""),0,IF(COUNTIFS($C$5:$C1151,$C1151,$I$5:$I1151,$I1151)=1,1,0))</f>
        <v>0</v>
      </c>
      <c r="AJ1151" s="43" t="str">
        <f>IF($AI1151=1,SUMIFS($AI$4:$AI1150,$C$4:$C1150,$C1151)+1,"")</f>
        <v/>
      </c>
      <c r="AK1151" s="43">
        <f>IF(OR($C1151="",$K1151=""),0,IF(COUNTIFS($C$5:$C1151,$C1151,$K$5:$K1151,$K1151)=1,1,0))</f>
        <v>0</v>
      </c>
      <c r="AL1151" s="43" t="str">
        <f>IF($AK1151=1,SUMIFS($AK$4:$AK1150,$C$4:$C1150,$C1151)+1,"")</f>
        <v/>
      </c>
      <c r="AM1151" s="43">
        <f>IF(OR($C1151="",$G1151=""),0,IF(COUNTIFS($C$5:$C1151,$C1151,$G$5:$G1151,$G1151)=1,1,0))</f>
        <v>0</v>
      </c>
      <c r="AN1151" s="43" t="str">
        <f>IF($AM1151=1,SUMIFS($AM$4:$AM1150,$C$4:$C1150,$C1151)+1,"")</f>
        <v/>
      </c>
    </row>
    <row r="1152">
      <c r="A1152" s="44" t="str">
        <f>IF(OR($B1152="",$D1152=""),"","TX"&amp;TEXT(ROW()-4,"0000"))</f>
        <v/>
      </c>
      <c r="B1152" s="42" t="n"/>
      <c r="C1152" s="47" t="str">
        <f>IF($B1152="","",YEAR($B1152)*100+MONTH($B1152))</f>
        <v/>
      </c>
      <c r="D1152" s="37" t="n"/>
      <c r="E1152" s="45" t="str">
        <f>IF($D1152="","",IFERROR(INDEX(CARDS!$B$5:$B$34,MATCH($D1152,CARDS!$A$5:$A$34,0)),"⚠ Card ID?"))</f>
        <v/>
      </c>
      <c r="F1152" s="45" t="str">
        <f>IF($D1152="","",IFERROR(INDEX(CARDS!$C$5:$C$34,MATCH($D1152,CARDS!$A$5:$A$34,0)),"⚠ Card ID?"))</f>
        <v/>
      </c>
      <c r="G1152" s="37" t="n"/>
      <c r="H1152" s="37" t="n"/>
      <c r="I1152" s="41" t="n"/>
      <c r="J1152" s="45" t="str">
        <f>IF($I1152="","",IFERROR(INDEX(MCC_MASTER!$B$5:$B$504,MATCH($I1152,MCC_MASTER!$A$5:$A$504,0)),"⚠ MCC chưa có"))</f>
        <v/>
      </c>
      <c r="K1152" s="45" t="str">
        <f>IF($I1152="","",IFERROR(IF(INDEX(MCC_MASTER!$C$5:$C$504,MATCH($I1152,MCC_MASTER!$A$5:$A$504,0))="","Chưa phân loại",INDEX(MCC_MASTER!$C$5:$C$504,MATCH($I1152,MCC_MASTER!$A$5:$A$504,0))),"Chưa phân loại"))</f>
        <v/>
      </c>
      <c r="L1152" s="40" t="n"/>
      <c r="M1152" s="48" t="str">
        <f>IF(OR($B1152="",$D1152=""),"",IF($AC1152=0,0,IF(ISNUMBER(INDEX(CASHBACK_RULES!$L$5:$L$304,$AC1152)),MAX(0,MIN($L1152,INDEX(CASHBACK_RULES!$L$5:$L$304,$AC1152)-$AH1152)),MAX(0,$L1152))))</f>
        <v/>
      </c>
      <c r="N1152" s="49" t="str">
        <f>IF(OR($B1152="",$D1152=""),"",IF($AC1152&gt;0,INDEX(CASHBACK_RULES!$I$5:$I$304,$AC1152),0))</f>
        <v/>
      </c>
      <c r="O1152" s="48" t="str">
        <f>IF(OR($B1152="",$D1152=""),"",ROUND($M1152*$N1152,0))</f>
        <v/>
      </c>
      <c r="P1152" s="48" t="str">
        <f>IF($AC1152&gt;0,IF(ISNUMBER(INDEX(CASHBACK_RULES!$J$5:$J$304,$AC1152)),INDEX(CASHBACK_RULES!$J$5:$J$304,$AC1152),"∞"),"")</f>
        <v/>
      </c>
      <c r="Q1152" s="48" t="str">
        <f>IF(OR($B1152="",$D1152=""),"",IF($AC1152=0,0,MAX(0,MIN($O1152,IF(ISNUMBER($P1152),$P1152-$AF1152,1E+15),IF(ISNUMBER($AA1152),$AA1152-$AG1152,1E+15)))))</f>
        <v/>
      </c>
      <c r="R1152" s="48" t="str">
        <f>IF(OR($B1152="",$D1152=""),"",IF($AC1152=0,"",IF(AND(NOT(ISNUMBER($P1152)),NOT(ISNUMBER($AA1152))),"∞",MAX(0,MIN(IF(ISNUMBER($P1152),$P1152-$AF1152-$Q1152,1E+15),IF(ISNUMBER($AA1152),$AA1152-$AG1152-$Q1152,1E+15))))))</f>
        <v/>
      </c>
      <c r="S1152" s="47" t="str">
        <f>IF($AD1152="","",YEAR($AD1152)*100+MONTH($AD1152))</f>
        <v/>
      </c>
      <c r="T1152" s="50" t="str">
        <f>IF($AD1152="","",IFERROR(IF(INDEX(CARDS!$I$5:$I$34,MATCH($D1152,CARDS!$A$5:$A$34,0))="","",IF(INDEX(CARDS!$I$5:$I$34,MATCH($D1152,CARDS!$A$5:$A$34,0))&gt;INDEX(CARDS!$H$5:$H$34,MATCH($D1152,CARDS!$A$5:$A$34,0)),DATE(YEAR($AD1152),MONTH($AD1152),MIN(INDEX(CARDS!$I$5:$I$34,MATCH($D1152,CARDS!$A$5:$A$34,0)),DAY(EOMONTH($AD1152,0)))),DATE(YEAR($AD1152),MONTH($AD1152)+1,MIN(INDEX(CARDS!$I$5:$I$34,MATCH($D1152,CARDS!$A$5:$A$34,0)),DAY(EOMONTH($AD1152,1)))))),""))</f>
        <v/>
      </c>
      <c r="U1152" s="38" t="n"/>
      <c r="V1152" s="37" t="n"/>
      <c r="W1152" s="38" t="n"/>
      <c r="X1152" s="38" t="n"/>
      <c r="Y1152" s="44" t="str">
        <f>IF($AC1152&gt;0,INDEX(CASHBACK_RULES!$A$5:$A$304,$AC1152),"")</f>
        <v/>
      </c>
      <c r="Z1152" s="45" t="str">
        <f>IF($AC1152&gt;0,INDEX(CASHBACK_RULES!$E$5:$E$304,$AC1152)&amp;"","")</f>
        <v/>
      </c>
      <c r="AA1152" s="48" t="str">
        <f>IF($AC1152&gt;0,IF(ISNUMBER(INDEX(CASHBACK_RULES!$K$5:$K$304,$AC1152)),INDEX(CASHBACK_RULES!$K$5:$K$304,$AC1152),"∞"),"")</f>
        <v/>
      </c>
      <c r="AB1152" s="44" t="str">
        <f>IF(OR($B1152="",$D1152=""),"",IF($U1152="Cancelled","Đã hủy",IF($AC1152=0,"Không được hoàn",IF($Q1152=0,IF(OR($O1152&gt;0,$M1152&lt;$L1152),"Đã đạt cap","Không được hoàn"),IF(OR($Q1152&lt;$O1152,$M1152&lt;$L1152),"Hoàn một phần","Được hoàn")))))</f>
        <v/>
      </c>
      <c r="AC1152" s="43">
        <f>IF(OR($B1152="",$D1152="",$I1152="",$L1152=""),0,IF($U1152="Cancelled",0,IF($W1152&lt;&gt;"",IFERROR(IF(INDEX(CASHBACK_RULES!$B$5:$B$304,MATCH($W1152,CASHBACK_RULES!$A$5:$A$304,0))=$D1152,MATCH($W1152,CASHBACK_RULES!$A$5:$A$304,0),0),0),IFERROR(MATCH(1,INDEX((CASHBACK_RULES!$B$5:$B$304=$D1152)*(CASHBACK_RULES!$G$5:$G$304=$I1152)*(((CASHBACK_RULES!$N$5:$N$304="")+(CASHBACK_RULES!$N$5:$N$304&lt;=$B1152))&gt;0)*(((CASHBACK_RULES!$O$5:$O$304="")+(CASHBACK_RULES!$O$5:$O$304&gt;=$B1152))&gt;0)*(((CASHBACK_RULES!$M$5:$M$304="")+(CASHBACK_RULES!$M$5:$M$304&lt;=$L1152))&gt;0),0),0),0))))</f>
        <v>0</v>
      </c>
      <c r="AD1152" s="51" t="str">
        <f>IF(OR($B1152="",$D1152=""),"",IFERROR(IF(INDEX(CARDS!$H$5:$H$34,MATCH($D1152,CARDS!$A$5:$A$34,0))="","",IF(DAY($B1152)&lt;=INDEX(CARDS!$H$5:$H$34,MATCH($D1152,CARDS!$A$5:$A$34,0)),DATE(YEAR($B1152),MONTH($B1152),MIN(INDEX(CARDS!$H$5:$H$34,MATCH($D1152,CARDS!$A$5:$A$34,0)),DAY(EOMONTH($B1152,0)))),DATE(YEAR($B1152),MONTH($B1152)+1,MIN(INDEX(CARDS!$H$5:$H$34,MATCH($D1152,CARDS!$A$5:$A$34,0)),DAY(EOMONTH($B1152,1)))))),""))</f>
        <v/>
      </c>
      <c r="AE1152" s="52" t="str">
        <f>IF($C1152="","",$C1152&amp;"|"&amp;COUNTIF($C$5:$C1152,$C1152))</f>
        <v/>
      </c>
      <c r="AF1152" s="53">
        <f>IF($AC1152&gt;0,SUMIFS(Q$4:Q1151,$D$4:$D1151,$D1152,$Z$4:$Z1151,$Z1152,$C$4:$C1151,$C1152),0)</f>
        <v>0</v>
      </c>
      <c r="AG1152" s="53">
        <f>IF($AC1152&gt;0,SUMIFS(Q$4:Q1151,$D$4:$D1151,$D1152,$C$4:$C1151,$C1152),0)</f>
        <v>0</v>
      </c>
      <c r="AH1152" s="53">
        <f>IF($AC1152&gt;0,SUMIFS(M$4:M1151,$D$4:$D1151,$D1152,$Z$4:$Z1151,$Z1152,$C$4:$C1151,$C1152),0)</f>
        <v>0</v>
      </c>
      <c r="AI1152" s="43">
        <f>IF(OR($C1152="",$I1152=""),0,IF(COUNTIFS($C$5:$C1152,$C1152,$I$5:$I1152,$I1152)=1,1,0))</f>
        <v>0</v>
      </c>
      <c r="AJ1152" s="43" t="str">
        <f>IF($AI1152=1,SUMIFS($AI$4:$AI1151,$C$4:$C1151,$C1152)+1,"")</f>
        <v/>
      </c>
      <c r="AK1152" s="43">
        <f>IF(OR($C1152="",$K1152=""),0,IF(COUNTIFS($C$5:$C1152,$C1152,$K$5:$K1152,$K1152)=1,1,0))</f>
        <v>0</v>
      </c>
      <c r="AL1152" s="43" t="str">
        <f>IF($AK1152=1,SUMIFS($AK$4:$AK1151,$C$4:$C1151,$C1152)+1,"")</f>
        <v/>
      </c>
      <c r="AM1152" s="43">
        <f>IF(OR($C1152="",$G1152=""),0,IF(COUNTIFS($C$5:$C1152,$C1152,$G$5:$G1152,$G1152)=1,1,0))</f>
        <v>0</v>
      </c>
      <c r="AN1152" s="43" t="str">
        <f>IF($AM1152=1,SUMIFS($AM$4:$AM1151,$C$4:$C1151,$C1152)+1,"")</f>
        <v/>
      </c>
    </row>
    <row r="1153">
      <c r="A1153" s="44" t="str">
        <f>IF(OR($B1153="",$D1153=""),"","TX"&amp;TEXT(ROW()-4,"0000"))</f>
        <v/>
      </c>
      <c r="B1153" s="42" t="n"/>
      <c r="C1153" s="47" t="str">
        <f>IF($B1153="","",YEAR($B1153)*100+MONTH($B1153))</f>
        <v/>
      </c>
      <c r="D1153" s="37" t="n"/>
      <c r="E1153" s="45" t="str">
        <f>IF($D1153="","",IFERROR(INDEX(CARDS!$B$5:$B$34,MATCH($D1153,CARDS!$A$5:$A$34,0)),"⚠ Card ID?"))</f>
        <v/>
      </c>
      <c r="F1153" s="45" t="str">
        <f>IF($D1153="","",IFERROR(INDEX(CARDS!$C$5:$C$34,MATCH($D1153,CARDS!$A$5:$A$34,0)),"⚠ Card ID?"))</f>
        <v/>
      </c>
      <c r="G1153" s="37" t="n"/>
      <c r="H1153" s="37" t="n"/>
      <c r="I1153" s="41" t="n"/>
      <c r="J1153" s="45" t="str">
        <f>IF($I1153="","",IFERROR(INDEX(MCC_MASTER!$B$5:$B$504,MATCH($I1153,MCC_MASTER!$A$5:$A$504,0)),"⚠ MCC chưa có"))</f>
        <v/>
      </c>
      <c r="K1153" s="45" t="str">
        <f>IF($I1153="","",IFERROR(IF(INDEX(MCC_MASTER!$C$5:$C$504,MATCH($I1153,MCC_MASTER!$A$5:$A$504,0))="","Chưa phân loại",INDEX(MCC_MASTER!$C$5:$C$504,MATCH($I1153,MCC_MASTER!$A$5:$A$504,0))),"Chưa phân loại"))</f>
        <v/>
      </c>
      <c r="L1153" s="40" t="n"/>
      <c r="M1153" s="48" t="str">
        <f>IF(OR($B1153="",$D1153=""),"",IF($AC1153=0,0,IF(ISNUMBER(INDEX(CASHBACK_RULES!$L$5:$L$304,$AC1153)),MAX(0,MIN($L1153,INDEX(CASHBACK_RULES!$L$5:$L$304,$AC1153)-$AH1153)),MAX(0,$L1153))))</f>
        <v/>
      </c>
      <c r="N1153" s="49" t="str">
        <f>IF(OR($B1153="",$D1153=""),"",IF($AC1153&gt;0,INDEX(CASHBACK_RULES!$I$5:$I$304,$AC1153),0))</f>
        <v/>
      </c>
      <c r="O1153" s="48" t="str">
        <f>IF(OR($B1153="",$D1153=""),"",ROUND($M1153*$N1153,0))</f>
        <v/>
      </c>
      <c r="P1153" s="48" t="str">
        <f>IF($AC1153&gt;0,IF(ISNUMBER(INDEX(CASHBACK_RULES!$J$5:$J$304,$AC1153)),INDEX(CASHBACK_RULES!$J$5:$J$304,$AC1153),"∞"),"")</f>
        <v/>
      </c>
      <c r="Q1153" s="48" t="str">
        <f>IF(OR($B1153="",$D1153=""),"",IF($AC1153=0,0,MAX(0,MIN($O1153,IF(ISNUMBER($P1153),$P1153-$AF1153,1E+15),IF(ISNUMBER($AA1153),$AA1153-$AG1153,1E+15)))))</f>
        <v/>
      </c>
      <c r="R1153" s="48" t="str">
        <f>IF(OR($B1153="",$D1153=""),"",IF($AC1153=0,"",IF(AND(NOT(ISNUMBER($P1153)),NOT(ISNUMBER($AA1153))),"∞",MAX(0,MIN(IF(ISNUMBER($P1153),$P1153-$AF1153-$Q1153,1E+15),IF(ISNUMBER($AA1153),$AA1153-$AG1153-$Q1153,1E+15))))))</f>
        <v/>
      </c>
      <c r="S1153" s="47" t="str">
        <f>IF($AD1153="","",YEAR($AD1153)*100+MONTH($AD1153))</f>
        <v/>
      </c>
      <c r="T1153" s="50" t="str">
        <f>IF($AD1153="","",IFERROR(IF(INDEX(CARDS!$I$5:$I$34,MATCH($D1153,CARDS!$A$5:$A$34,0))="","",IF(INDEX(CARDS!$I$5:$I$34,MATCH($D1153,CARDS!$A$5:$A$34,0))&gt;INDEX(CARDS!$H$5:$H$34,MATCH($D1153,CARDS!$A$5:$A$34,0)),DATE(YEAR($AD1153),MONTH($AD1153),MIN(INDEX(CARDS!$I$5:$I$34,MATCH($D1153,CARDS!$A$5:$A$34,0)),DAY(EOMONTH($AD1153,0)))),DATE(YEAR($AD1153),MONTH($AD1153)+1,MIN(INDEX(CARDS!$I$5:$I$34,MATCH($D1153,CARDS!$A$5:$A$34,0)),DAY(EOMONTH($AD1153,1)))))),""))</f>
        <v/>
      </c>
      <c r="U1153" s="38" t="n"/>
      <c r="V1153" s="37" t="n"/>
      <c r="W1153" s="38" t="n"/>
      <c r="X1153" s="38" t="n"/>
      <c r="Y1153" s="44" t="str">
        <f>IF($AC1153&gt;0,INDEX(CASHBACK_RULES!$A$5:$A$304,$AC1153),"")</f>
        <v/>
      </c>
      <c r="Z1153" s="45" t="str">
        <f>IF($AC1153&gt;0,INDEX(CASHBACK_RULES!$E$5:$E$304,$AC1153)&amp;"","")</f>
        <v/>
      </c>
      <c r="AA1153" s="48" t="str">
        <f>IF($AC1153&gt;0,IF(ISNUMBER(INDEX(CASHBACK_RULES!$K$5:$K$304,$AC1153)),INDEX(CASHBACK_RULES!$K$5:$K$304,$AC1153),"∞"),"")</f>
        <v/>
      </c>
      <c r="AB1153" s="44" t="str">
        <f>IF(OR($B1153="",$D1153=""),"",IF($U1153="Cancelled","Đã hủy",IF($AC1153=0,"Không được hoàn",IF($Q1153=0,IF(OR($O1153&gt;0,$M1153&lt;$L1153),"Đã đạt cap","Không được hoàn"),IF(OR($Q1153&lt;$O1153,$M1153&lt;$L1153),"Hoàn một phần","Được hoàn")))))</f>
        <v/>
      </c>
      <c r="AC1153" s="43">
        <f>IF(OR($B1153="",$D1153="",$I1153="",$L1153=""),0,IF($U1153="Cancelled",0,IF($W1153&lt;&gt;"",IFERROR(IF(INDEX(CASHBACK_RULES!$B$5:$B$304,MATCH($W1153,CASHBACK_RULES!$A$5:$A$304,0))=$D1153,MATCH($W1153,CASHBACK_RULES!$A$5:$A$304,0),0),0),IFERROR(MATCH(1,INDEX((CASHBACK_RULES!$B$5:$B$304=$D1153)*(CASHBACK_RULES!$G$5:$G$304=$I1153)*(((CASHBACK_RULES!$N$5:$N$304="")+(CASHBACK_RULES!$N$5:$N$304&lt;=$B1153))&gt;0)*(((CASHBACK_RULES!$O$5:$O$304="")+(CASHBACK_RULES!$O$5:$O$304&gt;=$B1153))&gt;0)*(((CASHBACK_RULES!$M$5:$M$304="")+(CASHBACK_RULES!$M$5:$M$304&lt;=$L1153))&gt;0),0),0),0))))</f>
        <v>0</v>
      </c>
      <c r="AD1153" s="51" t="str">
        <f>IF(OR($B1153="",$D1153=""),"",IFERROR(IF(INDEX(CARDS!$H$5:$H$34,MATCH($D1153,CARDS!$A$5:$A$34,0))="","",IF(DAY($B1153)&lt;=INDEX(CARDS!$H$5:$H$34,MATCH($D1153,CARDS!$A$5:$A$34,0)),DATE(YEAR($B1153),MONTH($B1153),MIN(INDEX(CARDS!$H$5:$H$34,MATCH($D1153,CARDS!$A$5:$A$34,0)),DAY(EOMONTH($B1153,0)))),DATE(YEAR($B1153),MONTH($B1153)+1,MIN(INDEX(CARDS!$H$5:$H$34,MATCH($D1153,CARDS!$A$5:$A$34,0)),DAY(EOMONTH($B1153,1)))))),""))</f>
        <v/>
      </c>
      <c r="AE1153" s="52" t="str">
        <f>IF($C1153="","",$C1153&amp;"|"&amp;COUNTIF($C$5:$C1153,$C1153))</f>
        <v/>
      </c>
      <c r="AF1153" s="53">
        <f>IF($AC1153&gt;0,SUMIFS(Q$4:Q1152,$D$4:$D1152,$D1153,$Z$4:$Z1152,$Z1153,$C$4:$C1152,$C1153),0)</f>
        <v>0</v>
      </c>
      <c r="AG1153" s="53">
        <f>IF($AC1153&gt;0,SUMIFS(Q$4:Q1152,$D$4:$D1152,$D1153,$C$4:$C1152,$C1153),0)</f>
        <v>0</v>
      </c>
      <c r="AH1153" s="53">
        <f>IF($AC1153&gt;0,SUMIFS(M$4:M1152,$D$4:$D1152,$D1153,$Z$4:$Z1152,$Z1153,$C$4:$C1152,$C1153),0)</f>
        <v>0</v>
      </c>
      <c r="AI1153" s="43">
        <f>IF(OR($C1153="",$I1153=""),0,IF(COUNTIFS($C$5:$C1153,$C1153,$I$5:$I1153,$I1153)=1,1,0))</f>
        <v>0</v>
      </c>
      <c r="AJ1153" s="43" t="str">
        <f>IF($AI1153=1,SUMIFS($AI$4:$AI1152,$C$4:$C1152,$C1153)+1,"")</f>
        <v/>
      </c>
      <c r="AK1153" s="43">
        <f>IF(OR($C1153="",$K1153=""),0,IF(COUNTIFS($C$5:$C1153,$C1153,$K$5:$K1153,$K1153)=1,1,0))</f>
        <v>0</v>
      </c>
      <c r="AL1153" s="43" t="str">
        <f>IF($AK1153=1,SUMIFS($AK$4:$AK1152,$C$4:$C1152,$C1153)+1,"")</f>
        <v/>
      </c>
      <c r="AM1153" s="43">
        <f>IF(OR($C1153="",$G1153=""),0,IF(COUNTIFS($C$5:$C1153,$C1153,$G$5:$G1153,$G1153)=1,1,0))</f>
        <v>0</v>
      </c>
      <c r="AN1153" s="43" t="str">
        <f>IF($AM1153=1,SUMIFS($AM$4:$AM1152,$C$4:$C1152,$C1153)+1,"")</f>
        <v/>
      </c>
    </row>
    <row r="1154">
      <c r="A1154" s="44" t="str">
        <f>IF(OR($B1154="",$D1154=""),"","TX"&amp;TEXT(ROW()-4,"0000"))</f>
        <v/>
      </c>
      <c r="B1154" s="42" t="n"/>
      <c r="C1154" s="47" t="str">
        <f>IF($B1154="","",YEAR($B1154)*100+MONTH($B1154))</f>
        <v/>
      </c>
      <c r="D1154" s="37" t="n"/>
      <c r="E1154" s="45" t="str">
        <f>IF($D1154="","",IFERROR(INDEX(CARDS!$B$5:$B$34,MATCH($D1154,CARDS!$A$5:$A$34,0)),"⚠ Card ID?"))</f>
        <v/>
      </c>
      <c r="F1154" s="45" t="str">
        <f>IF($D1154="","",IFERROR(INDEX(CARDS!$C$5:$C$34,MATCH($D1154,CARDS!$A$5:$A$34,0)),"⚠ Card ID?"))</f>
        <v/>
      </c>
      <c r="G1154" s="37" t="n"/>
      <c r="H1154" s="37" t="n"/>
      <c r="I1154" s="41" t="n"/>
      <c r="J1154" s="45" t="str">
        <f>IF($I1154="","",IFERROR(INDEX(MCC_MASTER!$B$5:$B$504,MATCH($I1154,MCC_MASTER!$A$5:$A$504,0)),"⚠ MCC chưa có"))</f>
        <v/>
      </c>
      <c r="K1154" s="45" t="str">
        <f>IF($I1154="","",IFERROR(IF(INDEX(MCC_MASTER!$C$5:$C$504,MATCH($I1154,MCC_MASTER!$A$5:$A$504,0))="","Chưa phân loại",INDEX(MCC_MASTER!$C$5:$C$504,MATCH($I1154,MCC_MASTER!$A$5:$A$504,0))),"Chưa phân loại"))</f>
        <v/>
      </c>
      <c r="L1154" s="40" t="n"/>
      <c r="M1154" s="48" t="str">
        <f>IF(OR($B1154="",$D1154=""),"",IF($AC1154=0,0,IF(ISNUMBER(INDEX(CASHBACK_RULES!$L$5:$L$304,$AC1154)),MAX(0,MIN($L1154,INDEX(CASHBACK_RULES!$L$5:$L$304,$AC1154)-$AH1154)),MAX(0,$L1154))))</f>
        <v/>
      </c>
      <c r="N1154" s="49" t="str">
        <f>IF(OR($B1154="",$D1154=""),"",IF($AC1154&gt;0,INDEX(CASHBACK_RULES!$I$5:$I$304,$AC1154),0))</f>
        <v/>
      </c>
      <c r="O1154" s="48" t="str">
        <f>IF(OR($B1154="",$D1154=""),"",ROUND($M1154*$N1154,0))</f>
        <v/>
      </c>
      <c r="P1154" s="48" t="str">
        <f>IF($AC1154&gt;0,IF(ISNUMBER(INDEX(CASHBACK_RULES!$J$5:$J$304,$AC1154)),INDEX(CASHBACK_RULES!$J$5:$J$304,$AC1154),"∞"),"")</f>
        <v/>
      </c>
      <c r="Q1154" s="48" t="str">
        <f>IF(OR($B1154="",$D1154=""),"",IF($AC1154=0,0,MAX(0,MIN($O1154,IF(ISNUMBER($P1154),$P1154-$AF1154,1E+15),IF(ISNUMBER($AA1154),$AA1154-$AG1154,1E+15)))))</f>
        <v/>
      </c>
      <c r="R1154" s="48" t="str">
        <f>IF(OR($B1154="",$D1154=""),"",IF($AC1154=0,"",IF(AND(NOT(ISNUMBER($P1154)),NOT(ISNUMBER($AA1154))),"∞",MAX(0,MIN(IF(ISNUMBER($P1154),$P1154-$AF1154-$Q1154,1E+15),IF(ISNUMBER($AA1154),$AA1154-$AG1154-$Q1154,1E+15))))))</f>
        <v/>
      </c>
      <c r="S1154" s="47" t="str">
        <f>IF($AD1154="","",YEAR($AD1154)*100+MONTH($AD1154))</f>
        <v/>
      </c>
      <c r="T1154" s="50" t="str">
        <f>IF($AD1154="","",IFERROR(IF(INDEX(CARDS!$I$5:$I$34,MATCH($D1154,CARDS!$A$5:$A$34,0))="","",IF(INDEX(CARDS!$I$5:$I$34,MATCH($D1154,CARDS!$A$5:$A$34,0))&gt;INDEX(CARDS!$H$5:$H$34,MATCH($D1154,CARDS!$A$5:$A$34,0)),DATE(YEAR($AD1154),MONTH($AD1154),MIN(INDEX(CARDS!$I$5:$I$34,MATCH($D1154,CARDS!$A$5:$A$34,0)),DAY(EOMONTH($AD1154,0)))),DATE(YEAR($AD1154),MONTH($AD1154)+1,MIN(INDEX(CARDS!$I$5:$I$34,MATCH($D1154,CARDS!$A$5:$A$34,0)),DAY(EOMONTH($AD1154,1)))))),""))</f>
        <v/>
      </c>
      <c r="U1154" s="38" t="n"/>
      <c r="V1154" s="37" t="n"/>
      <c r="W1154" s="38" t="n"/>
      <c r="X1154" s="38" t="n"/>
      <c r="Y1154" s="44" t="str">
        <f>IF($AC1154&gt;0,INDEX(CASHBACK_RULES!$A$5:$A$304,$AC1154),"")</f>
        <v/>
      </c>
      <c r="Z1154" s="45" t="str">
        <f>IF($AC1154&gt;0,INDEX(CASHBACK_RULES!$E$5:$E$304,$AC1154)&amp;"","")</f>
        <v/>
      </c>
      <c r="AA1154" s="48" t="str">
        <f>IF($AC1154&gt;0,IF(ISNUMBER(INDEX(CASHBACK_RULES!$K$5:$K$304,$AC1154)),INDEX(CASHBACK_RULES!$K$5:$K$304,$AC1154),"∞"),"")</f>
        <v/>
      </c>
      <c r="AB1154" s="44" t="str">
        <f>IF(OR($B1154="",$D1154=""),"",IF($U1154="Cancelled","Đã hủy",IF($AC1154=0,"Không được hoàn",IF($Q1154=0,IF(OR($O1154&gt;0,$M1154&lt;$L1154),"Đã đạt cap","Không được hoàn"),IF(OR($Q1154&lt;$O1154,$M1154&lt;$L1154),"Hoàn một phần","Được hoàn")))))</f>
        <v/>
      </c>
      <c r="AC1154" s="43">
        <f>IF(OR($B1154="",$D1154="",$I1154="",$L1154=""),0,IF($U1154="Cancelled",0,IF($W1154&lt;&gt;"",IFERROR(IF(INDEX(CASHBACK_RULES!$B$5:$B$304,MATCH($W1154,CASHBACK_RULES!$A$5:$A$304,0))=$D1154,MATCH($W1154,CASHBACK_RULES!$A$5:$A$304,0),0),0),IFERROR(MATCH(1,INDEX((CASHBACK_RULES!$B$5:$B$304=$D1154)*(CASHBACK_RULES!$G$5:$G$304=$I1154)*(((CASHBACK_RULES!$N$5:$N$304="")+(CASHBACK_RULES!$N$5:$N$304&lt;=$B1154))&gt;0)*(((CASHBACK_RULES!$O$5:$O$304="")+(CASHBACK_RULES!$O$5:$O$304&gt;=$B1154))&gt;0)*(((CASHBACK_RULES!$M$5:$M$304="")+(CASHBACK_RULES!$M$5:$M$304&lt;=$L1154))&gt;0),0),0),0))))</f>
        <v>0</v>
      </c>
      <c r="AD1154" s="51" t="str">
        <f>IF(OR($B1154="",$D1154=""),"",IFERROR(IF(INDEX(CARDS!$H$5:$H$34,MATCH($D1154,CARDS!$A$5:$A$34,0))="","",IF(DAY($B1154)&lt;=INDEX(CARDS!$H$5:$H$34,MATCH($D1154,CARDS!$A$5:$A$34,0)),DATE(YEAR($B1154),MONTH($B1154),MIN(INDEX(CARDS!$H$5:$H$34,MATCH($D1154,CARDS!$A$5:$A$34,0)),DAY(EOMONTH($B1154,0)))),DATE(YEAR($B1154),MONTH($B1154)+1,MIN(INDEX(CARDS!$H$5:$H$34,MATCH($D1154,CARDS!$A$5:$A$34,0)),DAY(EOMONTH($B1154,1)))))),""))</f>
        <v/>
      </c>
      <c r="AE1154" s="52" t="str">
        <f>IF($C1154="","",$C1154&amp;"|"&amp;COUNTIF($C$5:$C1154,$C1154))</f>
        <v/>
      </c>
      <c r="AF1154" s="53">
        <f>IF($AC1154&gt;0,SUMIFS(Q$4:Q1153,$D$4:$D1153,$D1154,$Z$4:$Z1153,$Z1154,$C$4:$C1153,$C1154),0)</f>
        <v>0</v>
      </c>
      <c r="AG1154" s="53">
        <f>IF($AC1154&gt;0,SUMIFS(Q$4:Q1153,$D$4:$D1153,$D1154,$C$4:$C1153,$C1154),0)</f>
        <v>0</v>
      </c>
      <c r="AH1154" s="53">
        <f>IF($AC1154&gt;0,SUMIFS(M$4:M1153,$D$4:$D1153,$D1154,$Z$4:$Z1153,$Z1154,$C$4:$C1153,$C1154),0)</f>
        <v>0</v>
      </c>
      <c r="AI1154" s="43">
        <f>IF(OR($C1154="",$I1154=""),0,IF(COUNTIFS($C$5:$C1154,$C1154,$I$5:$I1154,$I1154)=1,1,0))</f>
        <v>0</v>
      </c>
      <c r="AJ1154" s="43" t="str">
        <f>IF($AI1154=1,SUMIFS($AI$4:$AI1153,$C$4:$C1153,$C1154)+1,"")</f>
        <v/>
      </c>
      <c r="AK1154" s="43">
        <f>IF(OR($C1154="",$K1154=""),0,IF(COUNTIFS($C$5:$C1154,$C1154,$K$5:$K1154,$K1154)=1,1,0))</f>
        <v>0</v>
      </c>
      <c r="AL1154" s="43" t="str">
        <f>IF($AK1154=1,SUMIFS($AK$4:$AK1153,$C$4:$C1153,$C1154)+1,"")</f>
        <v/>
      </c>
      <c r="AM1154" s="43">
        <f>IF(OR($C1154="",$G1154=""),0,IF(COUNTIFS($C$5:$C1154,$C1154,$G$5:$G1154,$G1154)=1,1,0))</f>
        <v>0</v>
      </c>
      <c r="AN1154" s="43" t="str">
        <f>IF($AM1154=1,SUMIFS($AM$4:$AM1153,$C$4:$C1153,$C1154)+1,"")</f>
        <v/>
      </c>
    </row>
    <row r="1155">
      <c r="A1155" s="44" t="str">
        <f>IF(OR($B1155="",$D1155=""),"","TX"&amp;TEXT(ROW()-4,"0000"))</f>
        <v/>
      </c>
      <c r="B1155" s="42" t="n"/>
      <c r="C1155" s="47" t="str">
        <f>IF($B1155="","",YEAR($B1155)*100+MONTH($B1155))</f>
        <v/>
      </c>
      <c r="D1155" s="37" t="n"/>
      <c r="E1155" s="45" t="str">
        <f>IF($D1155="","",IFERROR(INDEX(CARDS!$B$5:$B$34,MATCH($D1155,CARDS!$A$5:$A$34,0)),"⚠ Card ID?"))</f>
        <v/>
      </c>
      <c r="F1155" s="45" t="str">
        <f>IF($D1155="","",IFERROR(INDEX(CARDS!$C$5:$C$34,MATCH($D1155,CARDS!$A$5:$A$34,0)),"⚠ Card ID?"))</f>
        <v/>
      </c>
      <c r="G1155" s="37" t="n"/>
      <c r="H1155" s="37" t="n"/>
      <c r="I1155" s="41" t="n"/>
      <c r="J1155" s="45" t="str">
        <f>IF($I1155="","",IFERROR(INDEX(MCC_MASTER!$B$5:$B$504,MATCH($I1155,MCC_MASTER!$A$5:$A$504,0)),"⚠ MCC chưa có"))</f>
        <v/>
      </c>
      <c r="K1155" s="45" t="str">
        <f>IF($I1155="","",IFERROR(IF(INDEX(MCC_MASTER!$C$5:$C$504,MATCH($I1155,MCC_MASTER!$A$5:$A$504,0))="","Chưa phân loại",INDEX(MCC_MASTER!$C$5:$C$504,MATCH($I1155,MCC_MASTER!$A$5:$A$504,0))),"Chưa phân loại"))</f>
        <v/>
      </c>
      <c r="L1155" s="40" t="n"/>
      <c r="M1155" s="48" t="str">
        <f>IF(OR($B1155="",$D1155=""),"",IF($AC1155=0,0,IF(ISNUMBER(INDEX(CASHBACK_RULES!$L$5:$L$304,$AC1155)),MAX(0,MIN($L1155,INDEX(CASHBACK_RULES!$L$5:$L$304,$AC1155)-$AH1155)),MAX(0,$L1155))))</f>
        <v/>
      </c>
      <c r="N1155" s="49" t="str">
        <f>IF(OR($B1155="",$D1155=""),"",IF($AC1155&gt;0,INDEX(CASHBACK_RULES!$I$5:$I$304,$AC1155),0))</f>
        <v/>
      </c>
      <c r="O1155" s="48" t="str">
        <f>IF(OR($B1155="",$D1155=""),"",ROUND($M1155*$N1155,0))</f>
        <v/>
      </c>
      <c r="P1155" s="48" t="str">
        <f>IF($AC1155&gt;0,IF(ISNUMBER(INDEX(CASHBACK_RULES!$J$5:$J$304,$AC1155)),INDEX(CASHBACK_RULES!$J$5:$J$304,$AC1155),"∞"),"")</f>
        <v/>
      </c>
      <c r="Q1155" s="48" t="str">
        <f>IF(OR($B1155="",$D1155=""),"",IF($AC1155=0,0,MAX(0,MIN($O1155,IF(ISNUMBER($P1155),$P1155-$AF1155,1E+15),IF(ISNUMBER($AA1155),$AA1155-$AG1155,1E+15)))))</f>
        <v/>
      </c>
      <c r="R1155" s="48" t="str">
        <f>IF(OR($B1155="",$D1155=""),"",IF($AC1155=0,"",IF(AND(NOT(ISNUMBER($P1155)),NOT(ISNUMBER($AA1155))),"∞",MAX(0,MIN(IF(ISNUMBER($P1155),$P1155-$AF1155-$Q1155,1E+15),IF(ISNUMBER($AA1155),$AA1155-$AG1155-$Q1155,1E+15))))))</f>
        <v/>
      </c>
      <c r="S1155" s="47" t="str">
        <f>IF($AD1155="","",YEAR($AD1155)*100+MONTH($AD1155))</f>
        <v/>
      </c>
      <c r="T1155" s="50" t="str">
        <f>IF($AD1155="","",IFERROR(IF(INDEX(CARDS!$I$5:$I$34,MATCH($D1155,CARDS!$A$5:$A$34,0))="","",IF(INDEX(CARDS!$I$5:$I$34,MATCH($D1155,CARDS!$A$5:$A$34,0))&gt;INDEX(CARDS!$H$5:$H$34,MATCH($D1155,CARDS!$A$5:$A$34,0)),DATE(YEAR($AD1155),MONTH($AD1155),MIN(INDEX(CARDS!$I$5:$I$34,MATCH($D1155,CARDS!$A$5:$A$34,0)),DAY(EOMONTH($AD1155,0)))),DATE(YEAR($AD1155),MONTH($AD1155)+1,MIN(INDEX(CARDS!$I$5:$I$34,MATCH($D1155,CARDS!$A$5:$A$34,0)),DAY(EOMONTH($AD1155,1)))))),""))</f>
        <v/>
      </c>
      <c r="U1155" s="38" t="n"/>
      <c r="V1155" s="37" t="n"/>
      <c r="W1155" s="38" t="n"/>
      <c r="X1155" s="38" t="n"/>
      <c r="Y1155" s="44" t="str">
        <f>IF($AC1155&gt;0,INDEX(CASHBACK_RULES!$A$5:$A$304,$AC1155),"")</f>
        <v/>
      </c>
      <c r="Z1155" s="45" t="str">
        <f>IF($AC1155&gt;0,INDEX(CASHBACK_RULES!$E$5:$E$304,$AC1155)&amp;"","")</f>
        <v/>
      </c>
      <c r="AA1155" s="48" t="str">
        <f>IF($AC1155&gt;0,IF(ISNUMBER(INDEX(CASHBACK_RULES!$K$5:$K$304,$AC1155)),INDEX(CASHBACK_RULES!$K$5:$K$304,$AC1155),"∞"),"")</f>
        <v/>
      </c>
      <c r="AB1155" s="44" t="str">
        <f>IF(OR($B1155="",$D1155=""),"",IF($U1155="Cancelled","Đã hủy",IF($AC1155=0,"Không được hoàn",IF($Q1155=0,IF(OR($O1155&gt;0,$M1155&lt;$L1155),"Đã đạt cap","Không được hoàn"),IF(OR($Q1155&lt;$O1155,$M1155&lt;$L1155),"Hoàn một phần","Được hoàn")))))</f>
        <v/>
      </c>
      <c r="AC1155" s="43">
        <f>IF(OR($B1155="",$D1155="",$I1155="",$L1155=""),0,IF($U1155="Cancelled",0,IF($W1155&lt;&gt;"",IFERROR(IF(INDEX(CASHBACK_RULES!$B$5:$B$304,MATCH($W1155,CASHBACK_RULES!$A$5:$A$304,0))=$D1155,MATCH($W1155,CASHBACK_RULES!$A$5:$A$304,0),0),0),IFERROR(MATCH(1,INDEX((CASHBACK_RULES!$B$5:$B$304=$D1155)*(CASHBACK_RULES!$G$5:$G$304=$I1155)*(((CASHBACK_RULES!$N$5:$N$304="")+(CASHBACK_RULES!$N$5:$N$304&lt;=$B1155))&gt;0)*(((CASHBACK_RULES!$O$5:$O$304="")+(CASHBACK_RULES!$O$5:$O$304&gt;=$B1155))&gt;0)*(((CASHBACK_RULES!$M$5:$M$304="")+(CASHBACK_RULES!$M$5:$M$304&lt;=$L1155))&gt;0),0),0),0))))</f>
        <v>0</v>
      </c>
      <c r="AD1155" s="51" t="str">
        <f>IF(OR($B1155="",$D1155=""),"",IFERROR(IF(INDEX(CARDS!$H$5:$H$34,MATCH($D1155,CARDS!$A$5:$A$34,0))="","",IF(DAY($B1155)&lt;=INDEX(CARDS!$H$5:$H$34,MATCH($D1155,CARDS!$A$5:$A$34,0)),DATE(YEAR($B1155),MONTH($B1155),MIN(INDEX(CARDS!$H$5:$H$34,MATCH($D1155,CARDS!$A$5:$A$34,0)),DAY(EOMONTH($B1155,0)))),DATE(YEAR($B1155),MONTH($B1155)+1,MIN(INDEX(CARDS!$H$5:$H$34,MATCH($D1155,CARDS!$A$5:$A$34,0)),DAY(EOMONTH($B1155,1)))))),""))</f>
        <v/>
      </c>
      <c r="AE1155" s="52" t="str">
        <f>IF($C1155="","",$C1155&amp;"|"&amp;COUNTIF($C$5:$C1155,$C1155))</f>
        <v/>
      </c>
      <c r="AF1155" s="53">
        <f>IF($AC1155&gt;0,SUMIFS(Q$4:Q1154,$D$4:$D1154,$D1155,$Z$4:$Z1154,$Z1155,$C$4:$C1154,$C1155),0)</f>
        <v>0</v>
      </c>
      <c r="AG1155" s="53">
        <f>IF($AC1155&gt;0,SUMIFS(Q$4:Q1154,$D$4:$D1154,$D1155,$C$4:$C1154,$C1155),0)</f>
        <v>0</v>
      </c>
      <c r="AH1155" s="53">
        <f>IF($AC1155&gt;0,SUMIFS(M$4:M1154,$D$4:$D1154,$D1155,$Z$4:$Z1154,$Z1155,$C$4:$C1154,$C1155),0)</f>
        <v>0</v>
      </c>
      <c r="AI1155" s="43">
        <f>IF(OR($C1155="",$I1155=""),0,IF(COUNTIFS($C$5:$C1155,$C1155,$I$5:$I1155,$I1155)=1,1,0))</f>
        <v>0</v>
      </c>
      <c r="AJ1155" s="43" t="str">
        <f>IF($AI1155=1,SUMIFS($AI$4:$AI1154,$C$4:$C1154,$C1155)+1,"")</f>
        <v/>
      </c>
      <c r="AK1155" s="43">
        <f>IF(OR($C1155="",$K1155=""),0,IF(COUNTIFS($C$5:$C1155,$C1155,$K$5:$K1155,$K1155)=1,1,0))</f>
        <v>0</v>
      </c>
      <c r="AL1155" s="43" t="str">
        <f>IF($AK1155=1,SUMIFS($AK$4:$AK1154,$C$4:$C1154,$C1155)+1,"")</f>
        <v/>
      </c>
      <c r="AM1155" s="43">
        <f>IF(OR($C1155="",$G1155=""),0,IF(COUNTIFS($C$5:$C1155,$C1155,$G$5:$G1155,$G1155)=1,1,0))</f>
        <v>0</v>
      </c>
      <c r="AN1155" s="43" t="str">
        <f>IF($AM1155=1,SUMIFS($AM$4:$AM1154,$C$4:$C1154,$C1155)+1,"")</f>
        <v/>
      </c>
    </row>
    <row r="1156">
      <c r="A1156" s="44" t="str">
        <f>IF(OR($B1156="",$D1156=""),"","TX"&amp;TEXT(ROW()-4,"0000"))</f>
        <v/>
      </c>
      <c r="B1156" s="42" t="n"/>
      <c r="C1156" s="47" t="str">
        <f>IF($B1156="","",YEAR($B1156)*100+MONTH($B1156))</f>
        <v/>
      </c>
      <c r="D1156" s="37" t="n"/>
      <c r="E1156" s="45" t="str">
        <f>IF($D1156="","",IFERROR(INDEX(CARDS!$B$5:$B$34,MATCH($D1156,CARDS!$A$5:$A$34,0)),"⚠ Card ID?"))</f>
        <v/>
      </c>
      <c r="F1156" s="45" t="str">
        <f>IF($D1156="","",IFERROR(INDEX(CARDS!$C$5:$C$34,MATCH($D1156,CARDS!$A$5:$A$34,0)),"⚠ Card ID?"))</f>
        <v/>
      </c>
      <c r="G1156" s="37" t="n"/>
      <c r="H1156" s="37" t="n"/>
      <c r="I1156" s="41" t="n"/>
      <c r="J1156" s="45" t="str">
        <f>IF($I1156="","",IFERROR(INDEX(MCC_MASTER!$B$5:$B$504,MATCH($I1156,MCC_MASTER!$A$5:$A$504,0)),"⚠ MCC chưa có"))</f>
        <v/>
      </c>
      <c r="K1156" s="45" t="str">
        <f>IF($I1156="","",IFERROR(IF(INDEX(MCC_MASTER!$C$5:$C$504,MATCH($I1156,MCC_MASTER!$A$5:$A$504,0))="","Chưa phân loại",INDEX(MCC_MASTER!$C$5:$C$504,MATCH($I1156,MCC_MASTER!$A$5:$A$504,0))),"Chưa phân loại"))</f>
        <v/>
      </c>
      <c r="L1156" s="40" t="n"/>
      <c r="M1156" s="48" t="str">
        <f>IF(OR($B1156="",$D1156=""),"",IF($AC1156=0,0,IF(ISNUMBER(INDEX(CASHBACK_RULES!$L$5:$L$304,$AC1156)),MAX(0,MIN($L1156,INDEX(CASHBACK_RULES!$L$5:$L$304,$AC1156)-$AH1156)),MAX(0,$L1156))))</f>
        <v/>
      </c>
      <c r="N1156" s="49" t="str">
        <f>IF(OR($B1156="",$D1156=""),"",IF($AC1156&gt;0,INDEX(CASHBACK_RULES!$I$5:$I$304,$AC1156),0))</f>
        <v/>
      </c>
      <c r="O1156" s="48" t="str">
        <f>IF(OR($B1156="",$D1156=""),"",ROUND($M1156*$N1156,0))</f>
        <v/>
      </c>
      <c r="P1156" s="48" t="str">
        <f>IF($AC1156&gt;0,IF(ISNUMBER(INDEX(CASHBACK_RULES!$J$5:$J$304,$AC1156)),INDEX(CASHBACK_RULES!$J$5:$J$304,$AC1156),"∞"),"")</f>
        <v/>
      </c>
      <c r="Q1156" s="48" t="str">
        <f>IF(OR($B1156="",$D1156=""),"",IF($AC1156=0,0,MAX(0,MIN($O1156,IF(ISNUMBER($P1156),$P1156-$AF1156,1E+15),IF(ISNUMBER($AA1156),$AA1156-$AG1156,1E+15)))))</f>
        <v/>
      </c>
      <c r="R1156" s="48" t="str">
        <f>IF(OR($B1156="",$D1156=""),"",IF($AC1156=0,"",IF(AND(NOT(ISNUMBER($P1156)),NOT(ISNUMBER($AA1156))),"∞",MAX(0,MIN(IF(ISNUMBER($P1156),$P1156-$AF1156-$Q1156,1E+15),IF(ISNUMBER($AA1156),$AA1156-$AG1156-$Q1156,1E+15))))))</f>
        <v/>
      </c>
      <c r="S1156" s="47" t="str">
        <f>IF($AD1156="","",YEAR($AD1156)*100+MONTH($AD1156))</f>
        <v/>
      </c>
      <c r="T1156" s="50" t="str">
        <f>IF($AD1156="","",IFERROR(IF(INDEX(CARDS!$I$5:$I$34,MATCH($D1156,CARDS!$A$5:$A$34,0))="","",IF(INDEX(CARDS!$I$5:$I$34,MATCH($D1156,CARDS!$A$5:$A$34,0))&gt;INDEX(CARDS!$H$5:$H$34,MATCH($D1156,CARDS!$A$5:$A$34,0)),DATE(YEAR($AD1156),MONTH($AD1156),MIN(INDEX(CARDS!$I$5:$I$34,MATCH($D1156,CARDS!$A$5:$A$34,0)),DAY(EOMONTH($AD1156,0)))),DATE(YEAR($AD1156),MONTH($AD1156)+1,MIN(INDEX(CARDS!$I$5:$I$34,MATCH($D1156,CARDS!$A$5:$A$34,0)),DAY(EOMONTH($AD1156,1)))))),""))</f>
        <v/>
      </c>
      <c r="U1156" s="38" t="n"/>
      <c r="V1156" s="37" t="n"/>
      <c r="W1156" s="38" t="n"/>
      <c r="X1156" s="38" t="n"/>
      <c r="Y1156" s="44" t="str">
        <f>IF($AC1156&gt;0,INDEX(CASHBACK_RULES!$A$5:$A$304,$AC1156),"")</f>
        <v/>
      </c>
      <c r="Z1156" s="45" t="str">
        <f>IF($AC1156&gt;0,INDEX(CASHBACK_RULES!$E$5:$E$304,$AC1156)&amp;"","")</f>
        <v/>
      </c>
      <c r="AA1156" s="48" t="str">
        <f>IF($AC1156&gt;0,IF(ISNUMBER(INDEX(CASHBACK_RULES!$K$5:$K$304,$AC1156)),INDEX(CASHBACK_RULES!$K$5:$K$304,$AC1156),"∞"),"")</f>
        <v/>
      </c>
      <c r="AB1156" s="44" t="str">
        <f>IF(OR($B1156="",$D1156=""),"",IF($U1156="Cancelled","Đã hủy",IF($AC1156=0,"Không được hoàn",IF($Q1156=0,IF(OR($O1156&gt;0,$M1156&lt;$L1156),"Đã đạt cap","Không được hoàn"),IF(OR($Q1156&lt;$O1156,$M1156&lt;$L1156),"Hoàn một phần","Được hoàn")))))</f>
        <v/>
      </c>
      <c r="AC1156" s="43">
        <f>IF(OR($B1156="",$D1156="",$I1156="",$L1156=""),0,IF($U1156="Cancelled",0,IF($W1156&lt;&gt;"",IFERROR(IF(INDEX(CASHBACK_RULES!$B$5:$B$304,MATCH($W1156,CASHBACK_RULES!$A$5:$A$304,0))=$D1156,MATCH($W1156,CASHBACK_RULES!$A$5:$A$304,0),0),0),IFERROR(MATCH(1,INDEX((CASHBACK_RULES!$B$5:$B$304=$D1156)*(CASHBACK_RULES!$G$5:$G$304=$I1156)*(((CASHBACK_RULES!$N$5:$N$304="")+(CASHBACK_RULES!$N$5:$N$304&lt;=$B1156))&gt;0)*(((CASHBACK_RULES!$O$5:$O$304="")+(CASHBACK_RULES!$O$5:$O$304&gt;=$B1156))&gt;0)*(((CASHBACK_RULES!$M$5:$M$304="")+(CASHBACK_RULES!$M$5:$M$304&lt;=$L1156))&gt;0),0),0),0))))</f>
        <v>0</v>
      </c>
      <c r="AD1156" s="51" t="str">
        <f>IF(OR($B1156="",$D1156=""),"",IFERROR(IF(INDEX(CARDS!$H$5:$H$34,MATCH($D1156,CARDS!$A$5:$A$34,0))="","",IF(DAY($B1156)&lt;=INDEX(CARDS!$H$5:$H$34,MATCH($D1156,CARDS!$A$5:$A$34,0)),DATE(YEAR($B1156),MONTH($B1156),MIN(INDEX(CARDS!$H$5:$H$34,MATCH($D1156,CARDS!$A$5:$A$34,0)),DAY(EOMONTH($B1156,0)))),DATE(YEAR($B1156),MONTH($B1156)+1,MIN(INDEX(CARDS!$H$5:$H$34,MATCH($D1156,CARDS!$A$5:$A$34,0)),DAY(EOMONTH($B1156,1)))))),""))</f>
        <v/>
      </c>
      <c r="AE1156" s="52" t="str">
        <f>IF($C1156="","",$C1156&amp;"|"&amp;COUNTIF($C$5:$C1156,$C1156))</f>
        <v/>
      </c>
      <c r="AF1156" s="53">
        <f>IF($AC1156&gt;0,SUMIFS(Q$4:Q1155,$D$4:$D1155,$D1156,$Z$4:$Z1155,$Z1156,$C$4:$C1155,$C1156),0)</f>
        <v>0</v>
      </c>
      <c r="AG1156" s="53">
        <f>IF($AC1156&gt;0,SUMIFS(Q$4:Q1155,$D$4:$D1155,$D1156,$C$4:$C1155,$C1156),0)</f>
        <v>0</v>
      </c>
      <c r="AH1156" s="53">
        <f>IF($AC1156&gt;0,SUMIFS(M$4:M1155,$D$4:$D1155,$D1156,$Z$4:$Z1155,$Z1156,$C$4:$C1155,$C1156),0)</f>
        <v>0</v>
      </c>
      <c r="AI1156" s="43">
        <f>IF(OR($C1156="",$I1156=""),0,IF(COUNTIFS($C$5:$C1156,$C1156,$I$5:$I1156,$I1156)=1,1,0))</f>
        <v>0</v>
      </c>
      <c r="AJ1156" s="43" t="str">
        <f>IF($AI1156=1,SUMIFS($AI$4:$AI1155,$C$4:$C1155,$C1156)+1,"")</f>
        <v/>
      </c>
      <c r="AK1156" s="43">
        <f>IF(OR($C1156="",$K1156=""),0,IF(COUNTIFS($C$5:$C1156,$C1156,$K$5:$K1156,$K1156)=1,1,0))</f>
        <v>0</v>
      </c>
      <c r="AL1156" s="43" t="str">
        <f>IF($AK1156=1,SUMIFS($AK$4:$AK1155,$C$4:$C1155,$C1156)+1,"")</f>
        <v/>
      </c>
      <c r="AM1156" s="43">
        <f>IF(OR($C1156="",$G1156=""),0,IF(COUNTIFS($C$5:$C1156,$C1156,$G$5:$G1156,$G1156)=1,1,0))</f>
        <v>0</v>
      </c>
      <c r="AN1156" s="43" t="str">
        <f>IF($AM1156=1,SUMIFS($AM$4:$AM1155,$C$4:$C1155,$C1156)+1,"")</f>
        <v/>
      </c>
    </row>
    <row r="1157">
      <c r="A1157" s="44" t="str">
        <f>IF(OR($B1157="",$D1157=""),"","TX"&amp;TEXT(ROW()-4,"0000"))</f>
        <v/>
      </c>
      <c r="B1157" s="42" t="n"/>
      <c r="C1157" s="47" t="str">
        <f>IF($B1157="","",YEAR($B1157)*100+MONTH($B1157))</f>
        <v/>
      </c>
      <c r="D1157" s="37" t="n"/>
      <c r="E1157" s="45" t="str">
        <f>IF($D1157="","",IFERROR(INDEX(CARDS!$B$5:$B$34,MATCH($D1157,CARDS!$A$5:$A$34,0)),"⚠ Card ID?"))</f>
        <v/>
      </c>
      <c r="F1157" s="45" t="str">
        <f>IF($D1157="","",IFERROR(INDEX(CARDS!$C$5:$C$34,MATCH($D1157,CARDS!$A$5:$A$34,0)),"⚠ Card ID?"))</f>
        <v/>
      </c>
      <c r="G1157" s="37" t="n"/>
      <c r="H1157" s="37" t="n"/>
      <c r="I1157" s="41" t="n"/>
      <c r="J1157" s="45" t="str">
        <f>IF($I1157="","",IFERROR(INDEX(MCC_MASTER!$B$5:$B$504,MATCH($I1157,MCC_MASTER!$A$5:$A$504,0)),"⚠ MCC chưa có"))</f>
        <v/>
      </c>
      <c r="K1157" s="45" t="str">
        <f>IF($I1157="","",IFERROR(IF(INDEX(MCC_MASTER!$C$5:$C$504,MATCH($I1157,MCC_MASTER!$A$5:$A$504,0))="","Chưa phân loại",INDEX(MCC_MASTER!$C$5:$C$504,MATCH($I1157,MCC_MASTER!$A$5:$A$504,0))),"Chưa phân loại"))</f>
        <v/>
      </c>
      <c r="L1157" s="40" t="n"/>
      <c r="M1157" s="48" t="str">
        <f>IF(OR($B1157="",$D1157=""),"",IF($AC1157=0,0,IF(ISNUMBER(INDEX(CASHBACK_RULES!$L$5:$L$304,$AC1157)),MAX(0,MIN($L1157,INDEX(CASHBACK_RULES!$L$5:$L$304,$AC1157)-$AH1157)),MAX(0,$L1157))))</f>
        <v/>
      </c>
      <c r="N1157" s="49" t="str">
        <f>IF(OR($B1157="",$D1157=""),"",IF($AC1157&gt;0,INDEX(CASHBACK_RULES!$I$5:$I$304,$AC1157),0))</f>
        <v/>
      </c>
      <c r="O1157" s="48" t="str">
        <f>IF(OR($B1157="",$D1157=""),"",ROUND($M1157*$N1157,0))</f>
        <v/>
      </c>
      <c r="P1157" s="48" t="str">
        <f>IF($AC1157&gt;0,IF(ISNUMBER(INDEX(CASHBACK_RULES!$J$5:$J$304,$AC1157)),INDEX(CASHBACK_RULES!$J$5:$J$304,$AC1157),"∞"),"")</f>
        <v/>
      </c>
      <c r="Q1157" s="48" t="str">
        <f>IF(OR($B1157="",$D1157=""),"",IF($AC1157=0,0,MAX(0,MIN($O1157,IF(ISNUMBER($P1157),$P1157-$AF1157,1E+15),IF(ISNUMBER($AA1157),$AA1157-$AG1157,1E+15)))))</f>
        <v/>
      </c>
      <c r="R1157" s="48" t="str">
        <f>IF(OR($B1157="",$D1157=""),"",IF($AC1157=0,"",IF(AND(NOT(ISNUMBER($P1157)),NOT(ISNUMBER($AA1157))),"∞",MAX(0,MIN(IF(ISNUMBER($P1157),$P1157-$AF1157-$Q1157,1E+15),IF(ISNUMBER($AA1157),$AA1157-$AG1157-$Q1157,1E+15))))))</f>
        <v/>
      </c>
      <c r="S1157" s="47" t="str">
        <f>IF($AD1157="","",YEAR($AD1157)*100+MONTH($AD1157))</f>
        <v/>
      </c>
      <c r="T1157" s="50" t="str">
        <f>IF($AD1157="","",IFERROR(IF(INDEX(CARDS!$I$5:$I$34,MATCH($D1157,CARDS!$A$5:$A$34,0))="","",IF(INDEX(CARDS!$I$5:$I$34,MATCH($D1157,CARDS!$A$5:$A$34,0))&gt;INDEX(CARDS!$H$5:$H$34,MATCH($D1157,CARDS!$A$5:$A$34,0)),DATE(YEAR($AD1157),MONTH($AD1157),MIN(INDEX(CARDS!$I$5:$I$34,MATCH($D1157,CARDS!$A$5:$A$34,0)),DAY(EOMONTH($AD1157,0)))),DATE(YEAR($AD1157),MONTH($AD1157)+1,MIN(INDEX(CARDS!$I$5:$I$34,MATCH($D1157,CARDS!$A$5:$A$34,0)),DAY(EOMONTH($AD1157,1)))))),""))</f>
        <v/>
      </c>
      <c r="U1157" s="38" t="n"/>
      <c r="V1157" s="37" t="n"/>
      <c r="W1157" s="38" t="n"/>
      <c r="X1157" s="38" t="n"/>
      <c r="Y1157" s="44" t="str">
        <f>IF($AC1157&gt;0,INDEX(CASHBACK_RULES!$A$5:$A$304,$AC1157),"")</f>
        <v/>
      </c>
      <c r="Z1157" s="45" t="str">
        <f>IF($AC1157&gt;0,INDEX(CASHBACK_RULES!$E$5:$E$304,$AC1157)&amp;"","")</f>
        <v/>
      </c>
      <c r="AA1157" s="48" t="str">
        <f>IF($AC1157&gt;0,IF(ISNUMBER(INDEX(CASHBACK_RULES!$K$5:$K$304,$AC1157)),INDEX(CASHBACK_RULES!$K$5:$K$304,$AC1157),"∞"),"")</f>
        <v/>
      </c>
      <c r="AB1157" s="44" t="str">
        <f>IF(OR($B1157="",$D1157=""),"",IF($U1157="Cancelled","Đã hủy",IF($AC1157=0,"Không được hoàn",IF($Q1157=0,IF(OR($O1157&gt;0,$M1157&lt;$L1157),"Đã đạt cap","Không được hoàn"),IF(OR($Q1157&lt;$O1157,$M1157&lt;$L1157),"Hoàn một phần","Được hoàn")))))</f>
        <v/>
      </c>
      <c r="AC1157" s="43">
        <f>IF(OR($B1157="",$D1157="",$I1157="",$L1157=""),0,IF($U1157="Cancelled",0,IF($W1157&lt;&gt;"",IFERROR(IF(INDEX(CASHBACK_RULES!$B$5:$B$304,MATCH($W1157,CASHBACK_RULES!$A$5:$A$304,0))=$D1157,MATCH($W1157,CASHBACK_RULES!$A$5:$A$304,0),0),0),IFERROR(MATCH(1,INDEX((CASHBACK_RULES!$B$5:$B$304=$D1157)*(CASHBACK_RULES!$G$5:$G$304=$I1157)*(((CASHBACK_RULES!$N$5:$N$304="")+(CASHBACK_RULES!$N$5:$N$304&lt;=$B1157))&gt;0)*(((CASHBACK_RULES!$O$5:$O$304="")+(CASHBACK_RULES!$O$5:$O$304&gt;=$B1157))&gt;0)*(((CASHBACK_RULES!$M$5:$M$304="")+(CASHBACK_RULES!$M$5:$M$304&lt;=$L1157))&gt;0),0),0),0))))</f>
        <v>0</v>
      </c>
      <c r="AD1157" s="51" t="str">
        <f>IF(OR($B1157="",$D1157=""),"",IFERROR(IF(INDEX(CARDS!$H$5:$H$34,MATCH($D1157,CARDS!$A$5:$A$34,0))="","",IF(DAY($B1157)&lt;=INDEX(CARDS!$H$5:$H$34,MATCH($D1157,CARDS!$A$5:$A$34,0)),DATE(YEAR($B1157),MONTH($B1157),MIN(INDEX(CARDS!$H$5:$H$34,MATCH($D1157,CARDS!$A$5:$A$34,0)),DAY(EOMONTH($B1157,0)))),DATE(YEAR($B1157),MONTH($B1157)+1,MIN(INDEX(CARDS!$H$5:$H$34,MATCH($D1157,CARDS!$A$5:$A$34,0)),DAY(EOMONTH($B1157,1)))))),""))</f>
        <v/>
      </c>
      <c r="AE1157" s="52" t="str">
        <f>IF($C1157="","",$C1157&amp;"|"&amp;COUNTIF($C$5:$C1157,$C1157))</f>
        <v/>
      </c>
      <c r="AF1157" s="53">
        <f>IF($AC1157&gt;0,SUMIFS(Q$4:Q1156,$D$4:$D1156,$D1157,$Z$4:$Z1156,$Z1157,$C$4:$C1156,$C1157),0)</f>
        <v>0</v>
      </c>
      <c r="AG1157" s="53">
        <f>IF($AC1157&gt;0,SUMIFS(Q$4:Q1156,$D$4:$D1156,$D1157,$C$4:$C1156,$C1157),0)</f>
        <v>0</v>
      </c>
      <c r="AH1157" s="53">
        <f>IF($AC1157&gt;0,SUMIFS(M$4:M1156,$D$4:$D1156,$D1157,$Z$4:$Z1156,$Z1157,$C$4:$C1156,$C1157),0)</f>
        <v>0</v>
      </c>
      <c r="AI1157" s="43">
        <f>IF(OR($C1157="",$I1157=""),0,IF(COUNTIFS($C$5:$C1157,$C1157,$I$5:$I1157,$I1157)=1,1,0))</f>
        <v>0</v>
      </c>
      <c r="AJ1157" s="43" t="str">
        <f>IF($AI1157=1,SUMIFS($AI$4:$AI1156,$C$4:$C1156,$C1157)+1,"")</f>
        <v/>
      </c>
      <c r="AK1157" s="43">
        <f>IF(OR($C1157="",$K1157=""),0,IF(COUNTIFS($C$5:$C1157,$C1157,$K$5:$K1157,$K1157)=1,1,0))</f>
        <v>0</v>
      </c>
      <c r="AL1157" s="43" t="str">
        <f>IF($AK1157=1,SUMIFS($AK$4:$AK1156,$C$4:$C1156,$C1157)+1,"")</f>
        <v/>
      </c>
      <c r="AM1157" s="43">
        <f>IF(OR($C1157="",$G1157=""),0,IF(COUNTIFS($C$5:$C1157,$C1157,$G$5:$G1157,$G1157)=1,1,0))</f>
        <v>0</v>
      </c>
      <c r="AN1157" s="43" t="str">
        <f>IF($AM1157=1,SUMIFS($AM$4:$AM1156,$C$4:$C1156,$C1157)+1,"")</f>
        <v/>
      </c>
    </row>
    <row r="1158">
      <c r="A1158" s="44" t="str">
        <f>IF(OR($B1158="",$D1158=""),"","TX"&amp;TEXT(ROW()-4,"0000"))</f>
        <v/>
      </c>
      <c r="B1158" s="42" t="n"/>
      <c r="C1158" s="47" t="str">
        <f>IF($B1158="","",YEAR($B1158)*100+MONTH($B1158))</f>
        <v/>
      </c>
      <c r="D1158" s="37" t="n"/>
      <c r="E1158" s="45" t="str">
        <f>IF($D1158="","",IFERROR(INDEX(CARDS!$B$5:$B$34,MATCH($D1158,CARDS!$A$5:$A$34,0)),"⚠ Card ID?"))</f>
        <v/>
      </c>
      <c r="F1158" s="45" t="str">
        <f>IF($D1158="","",IFERROR(INDEX(CARDS!$C$5:$C$34,MATCH($D1158,CARDS!$A$5:$A$34,0)),"⚠ Card ID?"))</f>
        <v/>
      </c>
      <c r="G1158" s="37" t="n"/>
      <c r="H1158" s="37" t="n"/>
      <c r="I1158" s="41" t="n"/>
      <c r="J1158" s="45" t="str">
        <f>IF($I1158="","",IFERROR(INDEX(MCC_MASTER!$B$5:$B$504,MATCH($I1158,MCC_MASTER!$A$5:$A$504,0)),"⚠ MCC chưa có"))</f>
        <v/>
      </c>
      <c r="K1158" s="45" t="str">
        <f>IF($I1158="","",IFERROR(IF(INDEX(MCC_MASTER!$C$5:$C$504,MATCH($I1158,MCC_MASTER!$A$5:$A$504,0))="","Chưa phân loại",INDEX(MCC_MASTER!$C$5:$C$504,MATCH($I1158,MCC_MASTER!$A$5:$A$504,0))),"Chưa phân loại"))</f>
        <v/>
      </c>
      <c r="L1158" s="40" t="n"/>
      <c r="M1158" s="48" t="str">
        <f>IF(OR($B1158="",$D1158=""),"",IF($AC1158=0,0,IF(ISNUMBER(INDEX(CASHBACK_RULES!$L$5:$L$304,$AC1158)),MAX(0,MIN($L1158,INDEX(CASHBACK_RULES!$L$5:$L$304,$AC1158)-$AH1158)),MAX(0,$L1158))))</f>
        <v/>
      </c>
      <c r="N1158" s="49" t="str">
        <f>IF(OR($B1158="",$D1158=""),"",IF($AC1158&gt;0,INDEX(CASHBACK_RULES!$I$5:$I$304,$AC1158),0))</f>
        <v/>
      </c>
      <c r="O1158" s="48" t="str">
        <f>IF(OR($B1158="",$D1158=""),"",ROUND($M1158*$N1158,0))</f>
        <v/>
      </c>
      <c r="P1158" s="48" t="str">
        <f>IF($AC1158&gt;0,IF(ISNUMBER(INDEX(CASHBACK_RULES!$J$5:$J$304,$AC1158)),INDEX(CASHBACK_RULES!$J$5:$J$304,$AC1158),"∞"),"")</f>
        <v/>
      </c>
      <c r="Q1158" s="48" t="str">
        <f>IF(OR($B1158="",$D1158=""),"",IF($AC1158=0,0,MAX(0,MIN($O1158,IF(ISNUMBER($P1158),$P1158-$AF1158,1E+15),IF(ISNUMBER($AA1158),$AA1158-$AG1158,1E+15)))))</f>
        <v/>
      </c>
      <c r="R1158" s="48" t="str">
        <f>IF(OR($B1158="",$D1158=""),"",IF($AC1158=0,"",IF(AND(NOT(ISNUMBER($P1158)),NOT(ISNUMBER($AA1158))),"∞",MAX(0,MIN(IF(ISNUMBER($P1158),$P1158-$AF1158-$Q1158,1E+15),IF(ISNUMBER($AA1158),$AA1158-$AG1158-$Q1158,1E+15))))))</f>
        <v/>
      </c>
      <c r="S1158" s="47" t="str">
        <f>IF($AD1158="","",YEAR($AD1158)*100+MONTH($AD1158))</f>
        <v/>
      </c>
      <c r="T1158" s="50" t="str">
        <f>IF($AD1158="","",IFERROR(IF(INDEX(CARDS!$I$5:$I$34,MATCH($D1158,CARDS!$A$5:$A$34,0))="","",IF(INDEX(CARDS!$I$5:$I$34,MATCH($D1158,CARDS!$A$5:$A$34,0))&gt;INDEX(CARDS!$H$5:$H$34,MATCH($D1158,CARDS!$A$5:$A$34,0)),DATE(YEAR($AD1158),MONTH($AD1158),MIN(INDEX(CARDS!$I$5:$I$34,MATCH($D1158,CARDS!$A$5:$A$34,0)),DAY(EOMONTH($AD1158,0)))),DATE(YEAR($AD1158),MONTH($AD1158)+1,MIN(INDEX(CARDS!$I$5:$I$34,MATCH($D1158,CARDS!$A$5:$A$34,0)),DAY(EOMONTH($AD1158,1)))))),""))</f>
        <v/>
      </c>
      <c r="U1158" s="38" t="n"/>
      <c r="V1158" s="37" t="n"/>
      <c r="W1158" s="38" t="n"/>
      <c r="X1158" s="38" t="n"/>
      <c r="Y1158" s="44" t="str">
        <f>IF($AC1158&gt;0,INDEX(CASHBACK_RULES!$A$5:$A$304,$AC1158),"")</f>
        <v/>
      </c>
      <c r="Z1158" s="45" t="str">
        <f>IF($AC1158&gt;0,INDEX(CASHBACK_RULES!$E$5:$E$304,$AC1158)&amp;"","")</f>
        <v/>
      </c>
      <c r="AA1158" s="48" t="str">
        <f>IF($AC1158&gt;0,IF(ISNUMBER(INDEX(CASHBACK_RULES!$K$5:$K$304,$AC1158)),INDEX(CASHBACK_RULES!$K$5:$K$304,$AC1158),"∞"),"")</f>
        <v/>
      </c>
      <c r="AB1158" s="44" t="str">
        <f>IF(OR($B1158="",$D1158=""),"",IF($U1158="Cancelled","Đã hủy",IF($AC1158=0,"Không được hoàn",IF($Q1158=0,IF(OR($O1158&gt;0,$M1158&lt;$L1158),"Đã đạt cap","Không được hoàn"),IF(OR($Q1158&lt;$O1158,$M1158&lt;$L1158),"Hoàn một phần","Được hoàn")))))</f>
        <v/>
      </c>
      <c r="AC1158" s="43">
        <f>IF(OR($B1158="",$D1158="",$I1158="",$L1158=""),0,IF($U1158="Cancelled",0,IF($W1158&lt;&gt;"",IFERROR(IF(INDEX(CASHBACK_RULES!$B$5:$B$304,MATCH($W1158,CASHBACK_RULES!$A$5:$A$304,0))=$D1158,MATCH($W1158,CASHBACK_RULES!$A$5:$A$304,0),0),0),IFERROR(MATCH(1,INDEX((CASHBACK_RULES!$B$5:$B$304=$D1158)*(CASHBACK_RULES!$G$5:$G$304=$I1158)*(((CASHBACK_RULES!$N$5:$N$304="")+(CASHBACK_RULES!$N$5:$N$304&lt;=$B1158))&gt;0)*(((CASHBACK_RULES!$O$5:$O$304="")+(CASHBACK_RULES!$O$5:$O$304&gt;=$B1158))&gt;0)*(((CASHBACK_RULES!$M$5:$M$304="")+(CASHBACK_RULES!$M$5:$M$304&lt;=$L1158))&gt;0),0),0),0))))</f>
        <v>0</v>
      </c>
      <c r="AD1158" s="51" t="str">
        <f>IF(OR($B1158="",$D1158=""),"",IFERROR(IF(INDEX(CARDS!$H$5:$H$34,MATCH($D1158,CARDS!$A$5:$A$34,0))="","",IF(DAY($B1158)&lt;=INDEX(CARDS!$H$5:$H$34,MATCH($D1158,CARDS!$A$5:$A$34,0)),DATE(YEAR($B1158),MONTH($B1158),MIN(INDEX(CARDS!$H$5:$H$34,MATCH($D1158,CARDS!$A$5:$A$34,0)),DAY(EOMONTH($B1158,0)))),DATE(YEAR($B1158),MONTH($B1158)+1,MIN(INDEX(CARDS!$H$5:$H$34,MATCH($D1158,CARDS!$A$5:$A$34,0)),DAY(EOMONTH($B1158,1)))))),""))</f>
        <v/>
      </c>
      <c r="AE1158" s="52" t="str">
        <f>IF($C1158="","",$C1158&amp;"|"&amp;COUNTIF($C$5:$C1158,$C1158))</f>
        <v/>
      </c>
      <c r="AF1158" s="53">
        <f>IF($AC1158&gt;0,SUMIFS(Q$4:Q1157,$D$4:$D1157,$D1158,$Z$4:$Z1157,$Z1158,$C$4:$C1157,$C1158),0)</f>
        <v>0</v>
      </c>
      <c r="AG1158" s="53">
        <f>IF($AC1158&gt;0,SUMIFS(Q$4:Q1157,$D$4:$D1157,$D1158,$C$4:$C1157,$C1158),0)</f>
        <v>0</v>
      </c>
      <c r="AH1158" s="53">
        <f>IF($AC1158&gt;0,SUMIFS(M$4:M1157,$D$4:$D1157,$D1158,$Z$4:$Z1157,$Z1158,$C$4:$C1157,$C1158),0)</f>
        <v>0</v>
      </c>
      <c r="AI1158" s="43">
        <f>IF(OR($C1158="",$I1158=""),0,IF(COUNTIFS($C$5:$C1158,$C1158,$I$5:$I1158,$I1158)=1,1,0))</f>
        <v>0</v>
      </c>
      <c r="AJ1158" s="43" t="str">
        <f>IF($AI1158=1,SUMIFS($AI$4:$AI1157,$C$4:$C1157,$C1158)+1,"")</f>
        <v/>
      </c>
      <c r="AK1158" s="43">
        <f>IF(OR($C1158="",$K1158=""),0,IF(COUNTIFS($C$5:$C1158,$C1158,$K$5:$K1158,$K1158)=1,1,0))</f>
        <v>0</v>
      </c>
      <c r="AL1158" s="43" t="str">
        <f>IF($AK1158=1,SUMIFS($AK$4:$AK1157,$C$4:$C1157,$C1158)+1,"")</f>
        <v/>
      </c>
      <c r="AM1158" s="43">
        <f>IF(OR($C1158="",$G1158=""),0,IF(COUNTIFS($C$5:$C1158,$C1158,$G$5:$G1158,$G1158)=1,1,0))</f>
        <v>0</v>
      </c>
      <c r="AN1158" s="43" t="str">
        <f>IF($AM1158=1,SUMIFS($AM$4:$AM1157,$C$4:$C1157,$C1158)+1,"")</f>
        <v/>
      </c>
    </row>
    <row r="1159">
      <c r="A1159" s="44" t="str">
        <f>IF(OR($B1159="",$D1159=""),"","TX"&amp;TEXT(ROW()-4,"0000"))</f>
        <v/>
      </c>
      <c r="B1159" s="42" t="n"/>
      <c r="C1159" s="47" t="str">
        <f>IF($B1159="","",YEAR($B1159)*100+MONTH($B1159))</f>
        <v/>
      </c>
      <c r="D1159" s="37" t="n"/>
      <c r="E1159" s="45" t="str">
        <f>IF($D1159="","",IFERROR(INDEX(CARDS!$B$5:$B$34,MATCH($D1159,CARDS!$A$5:$A$34,0)),"⚠ Card ID?"))</f>
        <v/>
      </c>
      <c r="F1159" s="45" t="str">
        <f>IF($D1159="","",IFERROR(INDEX(CARDS!$C$5:$C$34,MATCH($D1159,CARDS!$A$5:$A$34,0)),"⚠ Card ID?"))</f>
        <v/>
      </c>
      <c r="G1159" s="37" t="n"/>
      <c r="H1159" s="37" t="n"/>
      <c r="I1159" s="41" t="n"/>
      <c r="J1159" s="45" t="str">
        <f>IF($I1159="","",IFERROR(INDEX(MCC_MASTER!$B$5:$B$504,MATCH($I1159,MCC_MASTER!$A$5:$A$504,0)),"⚠ MCC chưa có"))</f>
        <v/>
      </c>
      <c r="K1159" s="45" t="str">
        <f>IF($I1159="","",IFERROR(IF(INDEX(MCC_MASTER!$C$5:$C$504,MATCH($I1159,MCC_MASTER!$A$5:$A$504,0))="","Chưa phân loại",INDEX(MCC_MASTER!$C$5:$C$504,MATCH($I1159,MCC_MASTER!$A$5:$A$504,0))),"Chưa phân loại"))</f>
        <v/>
      </c>
      <c r="L1159" s="40" t="n"/>
      <c r="M1159" s="48" t="str">
        <f>IF(OR($B1159="",$D1159=""),"",IF($AC1159=0,0,IF(ISNUMBER(INDEX(CASHBACK_RULES!$L$5:$L$304,$AC1159)),MAX(0,MIN($L1159,INDEX(CASHBACK_RULES!$L$5:$L$304,$AC1159)-$AH1159)),MAX(0,$L1159))))</f>
        <v/>
      </c>
      <c r="N1159" s="49" t="str">
        <f>IF(OR($B1159="",$D1159=""),"",IF($AC1159&gt;0,INDEX(CASHBACK_RULES!$I$5:$I$304,$AC1159),0))</f>
        <v/>
      </c>
      <c r="O1159" s="48" t="str">
        <f>IF(OR($B1159="",$D1159=""),"",ROUND($M1159*$N1159,0))</f>
        <v/>
      </c>
      <c r="P1159" s="48" t="str">
        <f>IF($AC1159&gt;0,IF(ISNUMBER(INDEX(CASHBACK_RULES!$J$5:$J$304,$AC1159)),INDEX(CASHBACK_RULES!$J$5:$J$304,$AC1159),"∞"),"")</f>
        <v/>
      </c>
      <c r="Q1159" s="48" t="str">
        <f>IF(OR($B1159="",$D1159=""),"",IF($AC1159=0,0,MAX(0,MIN($O1159,IF(ISNUMBER($P1159),$P1159-$AF1159,1E+15),IF(ISNUMBER($AA1159),$AA1159-$AG1159,1E+15)))))</f>
        <v/>
      </c>
      <c r="R1159" s="48" t="str">
        <f>IF(OR($B1159="",$D1159=""),"",IF($AC1159=0,"",IF(AND(NOT(ISNUMBER($P1159)),NOT(ISNUMBER($AA1159))),"∞",MAX(0,MIN(IF(ISNUMBER($P1159),$P1159-$AF1159-$Q1159,1E+15),IF(ISNUMBER($AA1159),$AA1159-$AG1159-$Q1159,1E+15))))))</f>
        <v/>
      </c>
      <c r="S1159" s="47" t="str">
        <f>IF($AD1159="","",YEAR($AD1159)*100+MONTH($AD1159))</f>
        <v/>
      </c>
      <c r="T1159" s="50" t="str">
        <f>IF($AD1159="","",IFERROR(IF(INDEX(CARDS!$I$5:$I$34,MATCH($D1159,CARDS!$A$5:$A$34,0))="","",IF(INDEX(CARDS!$I$5:$I$34,MATCH($D1159,CARDS!$A$5:$A$34,0))&gt;INDEX(CARDS!$H$5:$H$34,MATCH($D1159,CARDS!$A$5:$A$34,0)),DATE(YEAR($AD1159),MONTH($AD1159),MIN(INDEX(CARDS!$I$5:$I$34,MATCH($D1159,CARDS!$A$5:$A$34,0)),DAY(EOMONTH($AD1159,0)))),DATE(YEAR($AD1159),MONTH($AD1159)+1,MIN(INDEX(CARDS!$I$5:$I$34,MATCH($D1159,CARDS!$A$5:$A$34,0)),DAY(EOMONTH($AD1159,1)))))),""))</f>
        <v/>
      </c>
      <c r="U1159" s="38" t="n"/>
      <c r="V1159" s="37" t="n"/>
      <c r="W1159" s="38" t="n"/>
      <c r="X1159" s="38" t="n"/>
      <c r="Y1159" s="44" t="str">
        <f>IF($AC1159&gt;0,INDEX(CASHBACK_RULES!$A$5:$A$304,$AC1159),"")</f>
        <v/>
      </c>
      <c r="Z1159" s="45" t="str">
        <f>IF($AC1159&gt;0,INDEX(CASHBACK_RULES!$E$5:$E$304,$AC1159)&amp;"","")</f>
        <v/>
      </c>
      <c r="AA1159" s="48" t="str">
        <f>IF($AC1159&gt;0,IF(ISNUMBER(INDEX(CASHBACK_RULES!$K$5:$K$304,$AC1159)),INDEX(CASHBACK_RULES!$K$5:$K$304,$AC1159),"∞"),"")</f>
        <v/>
      </c>
      <c r="AB1159" s="44" t="str">
        <f>IF(OR($B1159="",$D1159=""),"",IF($U1159="Cancelled","Đã hủy",IF($AC1159=0,"Không được hoàn",IF($Q1159=0,IF(OR($O1159&gt;0,$M1159&lt;$L1159),"Đã đạt cap","Không được hoàn"),IF(OR($Q1159&lt;$O1159,$M1159&lt;$L1159),"Hoàn một phần","Được hoàn")))))</f>
        <v/>
      </c>
      <c r="AC1159" s="43">
        <f>IF(OR($B1159="",$D1159="",$I1159="",$L1159=""),0,IF($U1159="Cancelled",0,IF($W1159&lt;&gt;"",IFERROR(IF(INDEX(CASHBACK_RULES!$B$5:$B$304,MATCH($W1159,CASHBACK_RULES!$A$5:$A$304,0))=$D1159,MATCH($W1159,CASHBACK_RULES!$A$5:$A$304,0),0),0),IFERROR(MATCH(1,INDEX((CASHBACK_RULES!$B$5:$B$304=$D1159)*(CASHBACK_RULES!$G$5:$G$304=$I1159)*(((CASHBACK_RULES!$N$5:$N$304="")+(CASHBACK_RULES!$N$5:$N$304&lt;=$B1159))&gt;0)*(((CASHBACK_RULES!$O$5:$O$304="")+(CASHBACK_RULES!$O$5:$O$304&gt;=$B1159))&gt;0)*(((CASHBACK_RULES!$M$5:$M$304="")+(CASHBACK_RULES!$M$5:$M$304&lt;=$L1159))&gt;0),0),0),0))))</f>
        <v>0</v>
      </c>
      <c r="AD1159" s="51" t="str">
        <f>IF(OR($B1159="",$D1159=""),"",IFERROR(IF(INDEX(CARDS!$H$5:$H$34,MATCH($D1159,CARDS!$A$5:$A$34,0))="","",IF(DAY($B1159)&lt;=INDEX(CARDS!$H$5:$H$34,MATCH($D1159,CARDS!$A$5:$A$34,0)),DATE(YEAR($B1159),MONTH($B1159),MIN(INDEX(CARDS!$H$5:$H$34,MATCH($D1159,CARDS!$A$5:$A$34,0)),DAY(EOMONTH($B1159,0)))),DATE(YEAR($B1159),MONTH($B1159)+1,MIN(INDEX(CARDS!$H$5:$H$34,MATCH($D1159,CARDS!$A$5:$A$34,0)),DAY(EOMONTH($B1159,1)))))),""))</f>
        <v/>
      </c>
      <c r="AE1159" s="52" t="str">
        <f>IF($C1159="","",$C1159&amp;"|"&amp;COUNTIF($C$5:$C1159,$C1159))</f>
        <v/>
      </c>
      <c r="AF1159" s="53">
        <f>IF($AC1159&gt;0,SUMIFS(Q$4:Q1158,$D$4:$D1158,$D1159,$Z$4:$Z1158,$Z1159,$C$4:$C1158,$C1159),0)</f>
        <v>0</v>
      </c>
      <c r="AG1159" s="53">
        <f>IF($AC1159&gt;0,SUMIFS(Q$4:Q1158,$D$4:$D1158,$D1159,$C$4:$C1158,$C1159),0)</f>
        <v>0</v>
      </c>
      <c r="AH1159" s="53">
        <f>IF($AC1159&gt;0,SUMIFS(M$4:M1158,$D$4:$D1158,$D1159,$Z$4:$Z1158,$Z1159,$C$4:$C1158,$C1159),0)</f>
        <v>0</v>
      </c>
      <c r="AI1159" s="43">
        <f>IF(OR($C1159="",$I1159=""),0,IF(COUNTIFS($C$5:$C1159,$C1159,$I$5:$I1159,$I1159)=1,1,0))</f>
        <v>0</v>
      </c>
      <c r="AJ1159" s="43" t="str">
        <f>IF($AI1159=1,SUMIFS($AI$4:$AI1158,$C$4:$C1158,$C1159)+1,"")</f>
        <v/>
      </c>
      <c r="AK1159" s="43">
        <f>IF(OR($C1159="",$K1159=""),0,IF(COUNTIFS($C$5:$C1159,$C1159,$K$5:$K1159,$K1159)=1,1,0))</f>
        <v>0</v>
      </c>
      <c r="AL1159" s="43" t="str">
        <f>IF($AK1159=1,SUMIFS($AK$4:$AK1158,$C$4:$C1158,$C1159)+1,"")</f>
        <v/>
      </c>
      <c r="AM1159" s="43">
        <f>IF(OR($C1159="",$G1159=""),0,IF(COUNTIFS($C$5:$C1159,$C1159,$G$5:$G1159,$G1159)=1,1,0))</f>
        <v>0</v>
      </c>
      <c r="AN1159" s="43" t="str">
        <f>IF($AM1159=1,SUMIFS($AM$4:$AM1158,$C$4:$C1158,$C1159)+1,"")</f>
        <v/>
      </c>
    </row>
    <row r="1160">
      <c r="A1160" s="44" t="str">
        <f>IF(OR($B1160="",$D1160=""),"","TX"&amp;TEXT(ROW()-4,"0000"))</f>
        <v/>
      </c>
      <c r="B1160" s="42" t="n"/>
      <c r="C1160" s="47" t="str">
        <f>IF($B1160="","",YEAR($B1160)*100+MONTH($B1160))</f>
        <v/>
      </c>
      <c r="D1160" s="37" t="n"/>
      <c r="E1160" s="45" t="str">
        <f>IF($D1160="","",IFERROR(INDEX(CARDS!$B$5:$B$34,MATCH($D1160,CARDS!$A$5:$A$34,0)),"⚠ Card ID?"))</f>
        <v/>
      </c>
      <c r="F1160" s="45" t="str">
        <f>IF($D1160="","",IFERROR(INDEX(CARDS!$C$5:$C$34,MATCH($D1160,CARDS!$A$5:$A$34,0)),"⚠ Card ID?"))</f>
        <v/>
      </c>
      <c r="G1160" s="37" t="n"/>
      <c r="H1160" s="37" t="n"/>
      <c r="I1160" s="41" t="n"/>
      <c r="J1160" s="45" t="str">
        <f>IF($I1160="","",IFERROR(INDEX(MCC_MASTER!$B$5:$B$504,MATCH($I1160,MCC_MASTER!$A$5:$A$504,0)),"⚠ MCC chưa có"))</f>
        <v/>
      </c>
      <c r="K1160" s="45" t="str">
        <f>IF($I1160="","",IFERROR(IF(INDEX(MCC_MASTER!$C$5:$C$504,MATCH($I1160,MCC_MASTER!$A$5:$A$504,0))="","Chưa phân loại",INDEX(MCC_MASTER!$C$5:$C$504,MATCH($I1160,MCC_MASTER!$A$5:$A$504,0))),"Chưa phân loại"))</f>
        <v/>
      </c>
      <c r="L1160" s="40" t="n"/>
      <c r="M1160" s="48" t="str">
        <f>IF(OR($B1160="",$D1160=""),"",IF($AC1160=0,0,IF(ISNUMBER(INDEX(CASHBACK_RULES!$L$5:$L$304,$AC1160)),MAX(0,MIN($L1160,INDEX(CASHBACK_RULES!$L$5:$L$304,$AC1160)-$AH1160)),MAX(0,$L1160))))</f>
        <v/>
      </c>
      <c r="N1160" s="49" t="str">
        <f>IF(OR($B1160="",$D1160=""),"",IF($AC1160&gt;0,INDEX(CASHBACK_RULES!$I$5:$I$304,$AC1160),0))</f>
        <v/>
      </c>
      <c r="O1160" s="48" t="str">
        <f>IF(OR($B1160="",$D1160=""),"",ROUND($M1160*$N1160,0))</f>
        <v/>
      </c>
      <c r="P1160" s="48" t="str">
        <f>IF($AC1160&gt;0,IF(ISNUMBER(INDEX(CASHBACK_RULES!$J$5:$J$304,$AC1160)),INDEX(CASHBACK_RULES!$J$5:$J$304,$AC1160),"∞"),"")</f>
        <v/>
      </c>
      <c r="Q1160" s="48" t="str">
        <f>IF(OR($B1160="",$D1160=""),"",IF($AC1160=0,0,MAX(0,MIN($O1160,IF(ISNUMBER($P1160),$P1160-$AF1160,1E+15),IF(ISNUMBER($AA1160),$AA1160-$AG1160,1E+15)))))</f>
        <v/>
      </c>
      <c r="R1160" s="48" t="str">
        <f>IF(OR($B1160="",$D1160=""),"",IF($AC1160=0,"",IF(AND(NOT(ISNUMBER($P1160)),NOT(ISNUMBER($AA1160))),"∞",MAX(0,MIN(IF(ISNUMBER($P1160),$P1160-$AF1160-$Q1160,1E+15),IF(ISNUMBER($AA1160),$AA1160-$AG1160-$Q1160,1E+15))))))</f>
        <v/>
      </c>
      <c r="S1160" s="47" t="str">
        <f>IF($AD1160="","",YEAR($AD1160)*100+MONTH($AD1160))</f>
        <v/>
      </c>
      <c r="T1160" s="50" t="str">
        <f>IF($AD1160="","",IFERROR(IF(INDEX(CARDS!$I$5:$I$34,MATCH($D1160,CARDS!$A$5:$A$34,0))="","",IF(INDEX(CARDS!$I$5:$I$34,MATCH($D1160,CARDS!$A$5:$A$34,0))&gt;INDEX(CARDS!$H$5:$H$34,MATCH($D1160,CARDS!$A$5:$A$34,0)),DATE(YEAR($AD1160),MONTH($AD1160),MIN(INDEX(CARDS!$I$5:$I$34,MATCH($D1160,CARDS!$A$5:$A$34,0)),DAY(EOMONTH($AD1160,0)))),DATE(YEAR($AD1160),MONTH($AD1160)+1,MIN(INDEX(CARDS!$I$5:$I$34,MATCH($D1160,CARDS!$A$5:$A$34,0)),DAY(EOMONTH($AD1160,1)))))),""))</f>
        <v/>
      </c>
      <c r="U1160" s="38" t="n"/>
      <c r="V1160" s="37" t="n"/>
      <c r="W1160" s="38" t="n"/>
      <c r="X1160" s="38" t="n"/>
      <c r="Y1160" s="44" t="str">
        <f>IF($AC1160&gt;0,INDEX(CASHBACK_RULES!$A$5:$A$304,$AC1160),"")</f>
        <v/>
      </c>
      <c r="Z1160" s="45" t="str">
        <f>IF($AC1160&gt;0,INDEX(CASHBACK_RULES!$E$5:$E$304,$AC1160)&amp;"","")</f>
        <v/>
      </c>
      <c r="AA1160" s="48" t="str">
        <f>IF($AC1160&gt;0,IF(ISNUMBER(INDEX(CASHBACK_RULES!$K$5:$K$304,$AC1160)),INDEX(CASHBACK_RULES!$K$5:$K$304,$AC1160),"∞"),"")</f>
        <v/>
      </c>
      <c r="AB1160" s="44" t="str">
        <f>IF(OR($B1160="",$D1160=""),"",IF($U1160="Cancelled","Đã hủy",IF($AC1160=0,"Không được hoàn",IF($Q1160=0,IF(OR($O1160&gt;0,$M1160&lt;$L1160),"Đã đạt cap","Không được hoàn"),IF(OR($Q1160&lt;$O1160,$M1160&lt;$L1160),"Hoàn một phần","Được hoàn")))))</f>
        <v/>
      </c>
      <c r="AC1160" s="43">
        <f>IF(OR($B1160="",$D1160="",$I1160="",$L1160=""),0,IF($U1160="Cancelled",0,IF($W1160&lt;&gt;"",IFERROR(IF(INDEX(CASHBACK_RULES!$B$5:$B$304,MATCH($W1160,CASHBACK_RULES!$A$5:$A$304,0))=$D1160,MATCH($W1160,CASHBACK_RULES!$A$5:$A$304,0),0),0),IFERROR(MATCH(1,INDEX((CASHBACK_RULES!$B$5:$B$304=$D1160)*(CASHBACK_RULES!$G$5:$G$304=$I1160)*(((CASHBACK_RULES!$N$5:$N$304="")+(CASHBACK_RULES!$N$5:$N$304&lt;=$B1160))&gt;0)*(((CASHBACK_RULES!$O$5:$O$304="")+(CASHBACK_RULES!$O$5:$O$304&gt;=$B1160))&gt;0)*(((CASHBACK_RULES!$M$5:$M$304="")+(CASHBACK_RULES!$M$5:$M$304&lt;=$L1160))&gt;0),0),0),0))))</f>
        <v>0</v>
      </c>
      <c r="AD1160" s="51" t="str">
        <f>IF(OR($B1160="",$D1160=""),"",IFERROR(IF(INDEX(CARDS!$H$5:$H$34,MATCH($D1160,CARDS!$A$5:$A$34,0))="","",IF(DAY($B1160)&lt;=INDEX(CARDS!$H$5:$H$34,MATCH($D1160,CARDS!$A$5:$A$34,0)),DATE(YEAR($B1160),MONTH($B1160),MIN(INDEX(CARDS!$H$5:$H$34,MATCH($D1160,CARDS!$A$5:$A$34,0)),DAY(EOMONTH($B1160,0)))),DATE(YEAR($B1160),MONTH($B1160)+1,MIN(INDEX(CARDS!$H$5:$H$34,MATCH($D1160,CARDS!$A$5:$A$34,0)),DAY(EOMONTH($B1160,1)))))),""))</f>
        <v/>
      </c>
      <c r="AE1160" s="52" t="str">
        <f>IF($C1160="","",$C1160&amp;"|"&amp;COUNTIF($C$5:$C1160,$C1160))</f>
        <v/>
      </c>
      <c r="AF1160" s="53">
        <f>IF($AC1160&gt;0,SUMIFS(Q$4:Q1159,$D$4:$D1159,$D1160,$Z$4:$Z1159,$Z1160,$C$4:$C1159,$C1160),0)</f>
        <v>0</v>
      </c>
      <c r="AG1160" s="53">
        <f>IF($AC1160&gt;0,SUMIFS(Q$4:Q1159,$D$4:$D1159,$D1160,$C$4:$C1159,$C1160),0)</f>
        <v>0</v>
      </c>
      <c r="AH1160" s="53">
        <f>IF($AC1160&gt;0,SUMIFS(M$4:M1159,$D$4:$D1159,$D1160,$Z$4:$Z1159,$Z1160,$C$4:$C1159,$C1160),0)</f>
        <v>0</v>
      </c>
      <c r="AI1160" s="43">
        <f>IF(OR($C1160="",$I1160=""),0,IF(COUNTIFS($C$5:$C1160,$C1160,$I$5:$I1160,$I1160)=1,1,0))</f>
        <v>0</v>
      </c>
      <c r="AJ1160" s="43" t="str">
        <f>IF($AI1160=1,SUMIFS($AI$4:$AI1159,$C$4:$C1159,$C1160)+1,"")</f>
        <v/>
      </c>
      <c r="AK1160" s="43">
        <f>IF(OR($C1160="",$K1160=""),0,IF(COUNTIFS($C$5:$C1160,$C1160,$K$5:$K1160,$K1160)=1,1,0))</f>
        <v>0</v>
      </c>
      <c r="AL1160" s="43" t="str">
        <f>IF($AK1160=1,SUMIFS($AK$4:$AK1159,$C$4:$C1159,$C1160)+1,"")</f>
        <v/>
      </c>
      <c r="AM1160" s="43">
        <f>IF(OR($C1160="",$G1160=""),0,IF(COUNTIFS($C$5:$C1160,$C1160,$G$5:$G1160,$G1160)=1,1,0))</f>
        <v>0</v>
      </c>
      <c r="AN1160" s="43" t="str">
        <f>IF($AM1160=1,SUMIFS($AM$4:$AM1159,$C$4:$C1159,$C1160)+1,"")</f>
        <v/>
      </c>
    </row>
    <row r="1161">
      <c r="A1161" s="44" t="str">
        <f>IF(OR($B1161="",$D1161=""),"","TX"&amp;TEXT(ROW()-4,"0000"))</f>
        <v/>
      </c>
      <c r="B1161" s="42" t="n"/>
      <c r="C1161" s="47" t="str">
        <f>IF($B1161="","",YEAR($B1161)*100+MONTH($B1161))</f>
        <v/>
      </c>
      <c r="D1161" s="37" t="n"/>
      <c r="E1161" s="45" t="str">
        <f>IF($D1161="","",IFERROR(INDEX(CARDS!$B$5:$B$34,MATCH($D1161,CARDS!$A$5:$A$34,0)),"⚠ Card ID?"))</f>
        <v/>
      </c>
      <c r="F1161" s="45" t="str">
        <f>IF($D1161="","",IFERROR(INDEX(CARDS!$C$5:$C$34,MATCH($D1161,CARDS!$A$5:$A$34,0)),"⚠ Card ID?"))</f>
        <v/>
      </c>
      <c r="G1161" s="37" t="n"/>
      <c r="H1161" s="37" t="n"/>
      <c r="I1161" s="41" t="n"/>
      <c r="J1161" s="45" t="str">
        <f>IF($I1161="","",IFERROR(INDEX(MCC_MASTER!$B$5:$B$504,MATCH($I1161,MCC_MASTER!$A$5:$A$504,0)),"⚠ MCC chưa có"))</f>
        <v/>
      </c>
      <c r="K1161" s="45" t="str">
        <f>IF($I1161="","",IFERROR(IF(INDEX(MCC_MASTER!$C$5:$C$504,MATCH($I1161,MCC_MASTER!$A$5:$A$504,0))="","Chưa phân loại",INDEX(MCC_MASTER!$C$5:$C$504,MATCH($I1161,MCC_MASTER!$A$5:$A$504,0))),"Chưa phân loại"))</f>
        <v/>
      </c>
      <c r="L1161" s="40" t="n"/>
      <c r="M1161" s="48" t="str">
        <f>IF(OR($B1161="",$D1161=""),"",IF($AC1161=0,0,IF(ISNUMBER(INDEX(CASHBACK_RULES!$L$5:$L$304,$AC1161)),MAX(0,MIN($L1161,INDEX(CASHBACK_RULES!$L$5:$L$304,$AC1161)-$AH1161)),MAX(0,$L1161))))</f>
        <v/>
      </c>
      <c r="N1161" s="49" t="str">
        <f>IF(OR($B1161="",$D1161=""),"",IF($AC1161&gt;0,INDEX(CASHBACK_RULES!$I$5:$I$304,$AC1161),0))</f>
        <v/>
      </c>
      <c r="O1161" s="48" t="str">
        <f>IF(OR($B1161="",$D1161=""),"",ROUND($M1161*$N1161,0))</f>
        <v/>
      </c>
      <c r="P1161" s="48" t="str">
        <f>IF($AC1161&gt;0,IF(ISNUMBER(INDEX(CASHBACK_RULES!$J$5:$J$304,$AC1161)),INDEX(CASHBACK_RULES!$J$5:$J$304,$AC1161),"∞"),"")</f>
        <v/>
      </c>
      <c r="Q1161" s="48" t="str">
        <f>IF(OR($B1161="",$D1161=""),"",IF($AC1161=0,0,MAX(0,MIN($O1161,IF(ISNUMBER($P1161),$P1161-$AF1161,1E+15),IF(ISNUMBER($AA1161),$AA1161-$AG1161,1E+15)))))</f>
        <v/>
      </c>
      <c r="R1161" s="48" t="str">
        <f>IF(OR($B1161="",$D1161=""),"",IF($AC1161=0,"",IF(AND(NOT(ISNUMBER($P1161)),NOT(ISNUMBER($AA1161))),"∞",MAX(0,MIN(IF(ISNUMBER($P1161),$P1161-$AF1161-$Q1161,1E+15),IF(ISNUMBER($AA1161),$AA1161-$AG1161-$Q1161,1E+15))))))</f>
        <v/>
      </c>
      <c r="S1161" s="47" t="str">
        <f>IF($AD1161="","",YEAR($AD1161)*100+MONTH($AD1161))</f>
        <v/>
      </c>
      <c r="T1161" s="50" t="str">
        <f>IF($AD1161="","",IFERROR(IF(INDEX(CARDS!$I$5:$I$34,MATCH($D1161,CARDS!$A$5:$A$34,0))="","",IF(INDEX(CARDS!$I$5:$I$34,MATCH($D1161,CARDS!$A$5:$A$34,0))&gt;INDEX(CARDS!$H$5:$H$34,MATCH($D1161,CARDS!$A$5:$A$34,0)),DATE(YEAR($AD1161),MONTH($AD1161),MIN(INDEX(CARDS!$I$5:$I$34,MATCH($D1161,CARDS!$A$5:$A$34,0)),DAY(EOMONTH($AD1161,0)))),DATE(YEAR($AD1161),MONTH($AD1161)+1,MIN(INDEX(CARDS!$I$5:$I$34,MATCH($D1161,CARDS!$A$5:$A$34,0)),DAY(EOMONTH($AD1161,1)))))),""))</f>
        <v/>
      </c>
      <c r="U1161" s="38" t="n"/>
      <c r="V1161" s="37" t="n"/>
      <c r="W1161" s="38" t="n"/>
      <c r="X1161" s="38" t="n"/>
      <c r="Y1161" s="44" t="str">
        <f>IF($AC1161&gt;0,INDEX(CASHBACK_RULES!$A$5:$A$304,$AC1161),"")</f>
        <v/>
      </c>
      <c r="Z1161" s="45" t="str">
        <f>IF($AC1161&gt;0,INDEX(CASHBACK_RULES!$E$5:$E$304,$AC1161)&amp;"","")</f>
        <v/>
      </c>
      <c r="AA1161" s="48" t="str">
        <f>IF($AC1161&gt;0,IF(ISNUMBER(INDEX(CASHBACK_RULES!$K$5:$K$304,$AC1161)),INDEX(CASHBACK_RULES!$K$5:$K$304,$AC1161),"∞"),"")</f>
        <v/>
      </c>
      <c r="AB1161" s="44" t="str">
        <f>IF(OR($B1161="",$D1161=""),"",IF($U1161="Cancelled","Đã hủy",IF($AC1161=0,"Không được hoàn",IF($Q1161=0,IF(OR($O1161&gt;0,$M1161&lt;$L1161),"Đã đạt cap","Không được hoàn"),IF(OR($Q1161&lt;$O1161,$M1161&lt;$L1161),"Hoàn một phần","Được hoàn")))))</f>
        <v/>
      </c>
      <c r="AC1161" s="43">
        <f>IF(OR($B1161="",$D1161="",$I1161="",$L1161=""),0,IF($U1161="Cancelled",0,IF($W1161&lt;&gt;"",IFERROR(IF(INDEX(CASHBACK_RULES!$B$5:$B$304,MATCH($W1161,CASHBACK_RULES!$A$5:$A$304,0))=$D1161,MATCH($W1161,CASHBACK_RULES!$A$5:$A$304,0),0),0),IFERROR(MATCH(1,INDEX((CASHBACK_RULES!$B$5:$B$304=$D1161)*(CASHBACK_RULES!$G$5:$G$304=$I1161)*(((CASHBACK_RULES!$N$5:$N$304="")+(CASHBACK_RULES!$N$5:$N$304&lt;=$B1161))&gt;0)*(((CASHBACK_RULES!$O$5:$O$304="")+(CASHBACK_RULES!$O$5:$O$304&gt;=$B1161))&gt;0)*(((CASHBACK_RULES!$M$5:$M$304="")+(CASHBACK_RULES!$M$5:$M$304&lt;=$L1161))&gt;0),0),0),0))))</f>
        <v>0</v>
      </c>
      <c r="AD1161" s="51" t="str">
        <f>IF(OR($B1161="",$D1161=""),"",IFERROR(IF(INDEX(CARDS!$H$5:$H$34,MATCH($D1161,CARDS!$A$5:$A$34,0))="","",IF(DAY($B1161)&lt;=INDEX(CARDS!$H$5:$H$34,MATCH($D1161,CARDS!$A$5:$A$34,0)),DATE(YEAR($B1161),MONTH($B1161),MIN(INDEX(CARDS!$H$5:$H$34,MATCH($D1161,CARDS!$A$5:$A$34,0)),DAY(EOMONTH($B1161,0)))),DATE(YEAR($B1161),MONTH($B1161)+1,MIN(INDEX(CARDS!$H$5:$H$34,MATCH($D1161,CARDS!$A$5:$A$34,0)),DAY(EOMONTH($B1161,1)))))),""))</f>
        <v/>
      </c>
      <c r="AE1161" s="52" t="str">
        <f>IF($C1161="","",$C1161&amp;"|"&amp;COUNTIF($C$5:$C1161,$C1161))</f>
        <v/>
      </c>
      <c r="AF1161" s="53">
        <f>IF($AC1161&gt;0,SUMIFS(Q$4:Q1160,$D$4:$D1160,$D1161,$Z$4:$Z1160,$Z1161,$C$4:$C1160,$C1161),0)</f>
        <v>0</v>
      </c>
      <c r="AG1161" s="53">
        <f>IF($AC1161&gt;0,SUMIFS(Q$4:Q1160,$D$4:$D1160,$D1161,$C$4:$C1160,$C1161),0)</f>
        <v>0</v>
      </c>
      <c r="AH1161" s="53">
        <f>IF($AC1161&gt;0,SUMIFS(M$4:M1160,$D$4:$D1160,$D1161,$Z$4:$Z1160,$Z1161,$C$4:$C1160,$C1161),0)</f>
        <v>0</v>
      </c>
      <c r="AI1161" s="43">
        <f>IF(OR($C1161="",$I1161=""),0,IF(COUNTIFS($C$5:$C1161,$C1161,$I$5:$I1161,$I1161)=1,1,0))</f>
        <v>0</v>
      </c>
      <c r="AJ1161" s="43" t="str">
        <f>IF($AI1161=1,SUMIFS($AI$4:$AI1160,$C$4:$C1160,$C1161)+1,"")</f>
        <v/>
      </c>
      <c r="AK1161" s="43">
        <f>IF(OR($C1161="",$K1161=""),0,IF(COUNTIFS($C$5:$C1161,$C1161,$K$5:$K1161,$K1161)=1,1,0))</f>
        <v>0</v>
      </c>
      <c r="AL1161" s="43" t="str">
        <f>IF($AK1161=1,SUMIFS($AK$4:$AK1160,$C$4:$C1160,$C1161)+1,"")</f>
        <v/>
      </c>
      <c r="AM1161" s="43">
        <f>IF(OR($C1161="",$G1161=""),0,IF(COUNTIFS($C$5:$C1161,$C1161,$G$5:$G1161,$G1161)=1,1,0))</f>
        <v>0</v>
      </c>
      <c r="AN1161" s="43" t="str">
        <f>IF($AM1161=1,SUMIFS($AM$4:$AM1160,$C$4:$C1160,$C1161)+1,"")</f>
        <v/>
      </c>
    </row>
    <row r="1162">
      <c r="A1162" s="44" t="str">
        <f>IF(OR($B1162="",$D1162=""),"","TX"&amp;TEXT(ROW()-4,"0000"))</f>
        <v/>
      </c>
      <c r="B1162" s="42" t="n"/>
      <c r="C1162" s="47" t="str">
        <f>IF($B1162="","",YEAR($B1162)*100+MONTH($B1162))</f>
        <v/>
      </c>
      <c r="D1162" s="37" t="n"/>
      <c r="E1162" s="45" t="str">
        <f>IF($D1162="","",IFERROR(INDEX(CARDS!$B$5:$B$34,MATCH($D1162,CARDS!$A$5:$A$34,0)),"⚠ Card ID?"))</f>
        <v/>
      </c>
      <c r="F1162" s="45" t="str">
        <f>IF($D1162="","",IFERROR(INDEX(CARDS!$C$5:$C$34,MATCH($D1162,CARDS!$A$5:$A$34,0)),"⚠ Card ID?"))</f>
        <v/>
      </c>
      <c r="G1162" s="37" t="n"/>
      <c r="H1162" s="37" t="n"/>
      <c r="I1162" s="41" t="n"/>
      <c r="J1162" s="45" t="str">
        <f>IF($I1162="","",IFERROR(INDEX(MCC_MASTER!$B$5:$B$504,MATCH($I1162,MCC_MASTER!$A$5:$A$504,0)),"⚠ MCC chưa có"))</f>
        <v/>
      </c>
      <c r="K1162" s="45" t="str">
        <f>IF($I1162="","",IFERROR(IF(INDEX(MCC_MASTER!$C$5:$C$504,MATCH($I1162,MCC_MASTER!$A$5:$A$504,0))="","Chưa phân loại",INDEX(MCC_MASTER!$C$5:$C$504,MATCH($I1162,MCC_MASTER!$A$5:$A$504,0))),"Chưa phân loại"))</f>
        <v/>
      </c>
      <c r="L1162" s="40" t="n"/>
      <c r="M1162" s="48" t="str">
        <f>IF(OR($B1162="",$D1162=""),"",IF($AC1162=0,0,IF(ISNUMBER(INDEX(CASHBACK_RULES!$L$5:$L$304,$AC1162)),MAX(0,MIN($L1162,INDEX(CASHBACK_RULES!$L$5:$L$304,$AC1162)-$AH1162)),MAX(0,$L1162))))</f>
        <v/>
      </c>
      <c r="N1162" s="49" t="str">
        <f>IF(OR($B1162="",$D1162=""),"",IF($AC1162&gt;0,INDEX(CASHBACK_RULES!$I$5:$I$304,$AC1162),0))</f>
        <v/>
      </c>
      <c r="O1162" s="48" t="str">
        <f>IF(OR($B1162="",$D1162=""),"",ROUND($M1162*$N1162,0))</f>
        <v/>
      </c>
      <c r="P1162" s="48" t="str">
        <f>IF($AC1162&gt;0,IF(ISNUMBER(INDEX(CASHBACK_RULES!$J$5:$J$304,$AC1162)),INDEX(CASHBACK_RULES!$J$5:$J$304,$AC1162),"∞"),"")</f>
        <v/>
      </c>
      <c r="Q1162" s="48" t="str">
        <f>IF(OR($B1162="",$D1162=""),"",IF($AC1162=0,0,MAX(0,MIN($O1162,IF(ISNUMBER($P1162),$P1162-$AF1162,1E+15),IF(ISNUMBER($AA1162),$AA1162-$AG1162,1E+15)))))</f>
        <v/>
      </c>
      <c r="R1162" s="48" t="str">
        <f>IF(OR($B1162="",$D1162=""),"",IF($AC1162=0,"",IF(AND(NOT(ISNUMBER($P1162)),NOT(ISNUMBER($AA1162))),"∞",MAX(0,MIN(IF(ISNUMBER($P1162),$P1162-$AF1162-$Q1162,1E+15),IF(ISNUMBER($AA1162),$AA1162-$AG1162-$Q1162,1E+15))))))</f>
        <v/>
      </c>
      <c r="S1162" s="47" t="str">
        <f>IF($AD1162="","",YEAR($AD1162)*100+MONTH($AD1162))</f>
        <v/>
      </c>
      <c r="T1162" s="50" t="str">
        <f>IF($AD1162="","",IFERROR(IF(INDEX(CARDS!$I$5:$I$34,MATCH($D1162,CARDS!$A$5:$A$34,0))="","",IF(INDEX(CARDS!$I$5:$I$34,MATCH($D1162,CARDS!$A$5:$A$34,0))&gt;INDEX(CARDS!$H$5:$H$34,MATCH($D1162,CARDS!$A$5:$A$34,0)),DATE(YEAR($AD1162),MONTH($AD1162),MIN(INDEX(CARDS!$I$5:$I$34,MATCH($D1162,CARDS!$A$5:$A$34,0)),DAY(EOMONTH($AD1162,0)))),DATE(YEAR($AD1162),MONTH($AD1162)+1,MIN(INDEX(CARDS!$I$5:$I$34,MATCH($D1162,CARDS!$A$5:$A$34,0)),DAY(EOMONTH($AD1162,1)))))),""))</f>
        <v/>
      </c>
      <c r="U1162" s="38" t="n"/>
      <c r="V1162" s="37" t="n"/>
      <c r="W1162" s="38" t="n"/>
      <c r="X1162" s="38" t="n"/>
      <c r="Y1162" s="44" t="str">
        <f>IF($AC1162&gt;0,INDEX(CASHBACK_RULES!$A$5:$A$304,$AC1162),"")</f>
        <v/>
      </c>
      <c r="Z1162" s="45" t="str">
        <f>IF($AC1162&gt;0,INDEX(CASHBACK_RULES!$E$5:$E$304,$AC1162)&amp;"","")</f>
        <v/>
      </c>
      <c r="AA1162" s="48" t="str">
        <f>IF($AC1162&gt;0,IF(ISNUMBER(INDEX(CASHBACK_RULES!$K$5:$K$304,$AC1162)),INDEX(CASHBACK_RULES!$K$5:$K$304,$AC1162),"∞"),"")</f>
        <v/>
      </c>
      <c r="AB1162" s="44" t="str">
        <f>IF(OR($B1162="",$D1162=""),"",IF($U1162="Cancelled","Đã hủy",IF($AC1162=0,"Không được hoàn",IF($Q1162=0,IF(OR($O1162&gt;0,$M1162&lt;$L1162),"Đã đạt cap","Không được hoàn"),IF(OR($Q1162&lt;$O1162,$M1162&lt;$L1162),"Hoàn một phần","Được hoàn")))))</f>
        <v/>
      </c>
      <c r="AC1162" s="43">
        <f>IF(OR($B1162="",$D1162="",$I1162="",$L1162=""),0,IF($U1162="Cancelled",0,IF($W1162&lt;&gt;"",IFERROR(IF(INDEX(CASHBACK_RULES!$B$5:$B$304,MATCH($W1162,CASHBACK_RULES!$A$5:$A$304,0))=$D1162,MATCH($W1162,CASHBACK_RULES!$A$5:$A$304,0),0),0),IFERROR(MATCH(1,INDEX((CASHBACK_RULES!$B$5:$B$304=$D1162)*(CASHBACK_RULES!$G$5:$G$304=$I1162)*(((CASHBACK_RULES!$N$5:$N$304="")+(CASHBACK_RULES!$N$5:$N$304&lt;=$B1162))&gt;0)*(((CASHBACK_RULES!$O$5:$O$304="")+(CASHBACK_RULES!$O$5:$O$304&gt;=$B1162))&gt;0)*(((CASHBACK_RULES!$M$5:$M$304="")+(CASHBACK_RULES!$M$5:$M$304&lt;=$L1162))&gt;0),0),0),0))))</f>
        <v>0</v>
      </c>
      <c r="AD1162" s="51" t="str">
        <f>IF(OR($B1162="",$D1162=""),"",IFERROR(IF(INDEX(CARDS!$H$5:$H$34,MATCH($D1162,CARDS!$A$5:$A$34,0))="","",IF(DAY($B1162)&lt;=INDEX(CARDS!$H$5:$H$34,MATCH($D1162,CARDS!$A$5:$A$34,0)),DATE(YEAR($B1162),MONTH($B1162),MIN(INDEX(CARDS!$H$5:$H$34,MATCH($D1162,CARDS!$A$5:$A$34,0)),DAY(EOMONTH($B1162,0)))),DATE(YEAR($B1162),MONTH($B1162)+1,MIN(INDEX(CARDS!$H$5:$H$34,MATCH($D1162,CARDS!$A$5:$A$34,0)),DAY(EOMONTH($B1162,1)))))),""))</f>
        <v/>
      </c>
      <c r="AE1162" s="52" t="str">
        <f>IF($C1162="","",$C1162&amp;"|"&amp;COUNTIF($C$5:$C1162,$C1162))</f>
        <v/>
      </c>
      <c r="AF1162" s="53">
        <f>IF($AC1162&gt;0,SUMIFS(Q$4:Q1161,$D$4:$D1161,$D1162,$Z$4:$Z1161,$Z1162,$C$4:$C1161,$C1162),0)</f>
        <v>0</v>
      </c>
      <c r="AG1162" s="53">
        <f>IF($AC1162&gt;0,SUMIFS(Q$4:Q1161,$D$4:$D1161,$D1162,$C$4:$C1161,$C1162),0)</f>
        <v>0</v>
      </c>
      <c r="AH1162" s="53">
        <f>IF($AC1162&gt;0,SUMIFS(M$4:M1161,$D$4:$D1161,$D1162,$Z$4:$Z1161,$Z1162,$C$4:$C1161,$C1162),0)</f>
        <v>0</v>
      </c>
      <c r="AI1162" s="43">
        <f>IF(OR($C1162="",$I1162=""),0,IF(COUNTIFS($C$5:$C1162,$C1162,$I$5:$I1162,$I1162)=1,1,0))</f>
        <v>0</v>
      </c>
      <c r="AJ1162" s="43" t="str">
        <f>IF($AI1162=1,SUMIFS($AI$4:$AI1161,$C$4:$C1161,$C1162)+1,"")</f>
        <v/>
      </c>
      <c r="AK1162" s="43">
        <f>IF(OR($C1162="",$K1162=""),0,IF(COUNTIFS($C$5:$C1162,$C1162,$K$5:$K1162,$K1162)=1,1,0))</f>
        <v>0</v>
      </c>
      <c r="AL1162" s="43" t="str">
        <f>IF($AK1162=1,SUMIFS($AK$4:$AK1161,$C$4:$C1161,$C1162)+1,"")</f>
        <v/>
      </c>
      <c r="AM1162" s="43">
        <f>IF(OR($C1162="",$G1162=""),0,IF(COUNTIFS($C$5:$C1162,$C1162,$G$5:$G1162,$G1162)=1,1,0))</f>
        <v>0</v>
      </c>
      <c r="AN1162" s="43" t="str">
        <f>IF($AM1162=1,SUMIFS($AM$4:$AM1161,$C$4:$C1161,$C1162)+1,"")</f>
        <v/>
      </c>
    </row>
    <row r="1163">
      <c r="A1163" s="44" t="str">
        <f>IF(OR($B1163="",$D1163=""),"","TX"&amp;TEXT(ROW()-4,"0000"))</f>
        <v/>
      </c>
      <c r="B1163" s="42" t="n"/>
      <c r="C1163" s="47" t="str">
        <f>IF($B1163="","",YEAR($B1163)*100+MONTH($B1163))</f>
        <v/>
      </c>
      <c r="D1163" s="37" t="n"/>
      <c r="E1163" s="45" t="str">
        <f>IF($D1163="","",IFERROR(INDEX(CARDS!$B$5:$B$34,MATCH($D1163,CARDS!$A$5:$A$34,0)),"⚠ Card ID?"))</f>
        <v/>
      </c>
      <c r="F1163" s="45" t="str">
        <f>IF($D1163="","",IFERROR(INDEX(CARDS!$C$5:$C$34,MATCH($D1163,CARDS!$A$5:$A$34,0)),"⚠ Card ID?"))</f>
        <v/>
      </c>
      <c r="G1163" s="37" t="n"/>
      <c r="H1163" s="37" t="n"/>
      <c r="I1163" s="41" t="n"/>
      <c r="J1163" s="45" t="str">
        <f>IF($I1163="","",IFERROR(INDEX(MCC_MASTER!$B$5:$B$504,MATCH($I1163,MCC_MASTER!$A$5:$A$504,0)),"⚠ MCC chưa có"))</f>
        <v/>
      </c>
      <c r="K1163" s="45" t="str">
        <f>IF($I1163="","",IFERROR(IF(INDEX(MCC_MASTER!$C$5:$C$504,MATCH($I1163,MCC_MASTER!$A$5:$A$504,0))="","Chưa phân loại",INDEX(MCC_MASTER!$C$5:$C$504,MATCH($I1163,MCC_MASTER!$A$5:$A$504,0))),"Chưa phân loại"))</f>
        <v/>
      </c>
      <c r="L1163" s="40" t="n"/>
      <c r="M1163" s="48" t="str">
        <f>IF(OR($B1163="",$D1163=""),"",IF($AC1163=0,0,IF(ISNUMBER(INDEX(CASHBACK_RULES!$L$5:$L$304,$AC1163)),MAX(0,MIN($L1163,INDEX(CASHBACK_RULES!$L$5:$L$304,$AC1163)-$AH1163)),MAX(0,$L1163))))</f>
        <v/>
      </c>
      <c r="N1163" s="49" t="str">
        <f>IF(OR($B1163="",$D1163=""),"",IF($AC1163&gt;0,INDEX(CASHBACK_RULES!$I$5:$I$304,$AC1163),0))</f>
        <v/>
      </c>
      <c r="O1163" s="48" t="str">
        <f>IF(OR($B1163="",$D1163=""),"",ROUND($M1163*$N1163,0))</f>
        <v/>
      </c>
      <c r="P1163" s="48" t="str">
        <f>IF($AC1163&gt;0,IF(ISNUMBER(INDEX(CASHBACK_RULES!$J$5:$J$304,$AC1163)),INDEX(CASHBACK_RULES!$J$5:$J$304,$AC1163),"∞"),"")</f>
        <v/>
      </c>
      <c r="Q1163" s="48" t="str">
        <f>IF(OR($B1163="",$D1163=""),"",IF($AC1163=0,0,MAX(0,MIN($O1163,IF(ISNUMBER($P1163),$P1163-$AF1163,1E+15),IF(ISNUMBER($AA1163),$AA1163-$AG1163,1E+15)))))</f>
        <v/>
      </c>
      <c r="R1163" s="48" t="str">
        <f>IF(OR($B1163="",$D1163=""),"",IF($AC1163=0,"",IF(AND(NOT(ISNUMBER($P1163)),NOT(ISNUMBER($AA1163))),"∞",MAX(0,MIN(IF(ISNUMBER($P1163),$P1163-$AF1163-$Q1163,1E+15),IF(ISNUMBER($AA1163),$AA1163-$AG1163-$Q1163,1E+15))))))</f>
        <v/>
      </c>
      <c r="S1163" s="47" t="str">
        <f>IF($AD1163="","",YEAR($AD1163)*100+MONTH($AD1163))</f>
        <v/>
      </c>
      <c r="T1163" s="50" t="str">
        <f>IF($AD1163="","",IFERROR(IF(INDEX(CARDS!$I$5:$I$34,MATCH($D1163,CARDS!$A$5:$A$34,0))="","",IF(INDEX(CARDS!$I$5:$I$34,MATCH($D1163,CARDS!$A$5:$A$34,0))&gt;INDEX(CARDS!$H$5:$H$34,MATCH($D1163,CARDS!$A$5:$A$34,0)),DATE(YEAR($AD1163),MONTH($AD1163),MIN(INDEX(CARDS!$I$5:$I$34,MATCH($D1163,CARDS!$A$5:$A$34,0)),DAY(EOMONTH($AD1163,0)))),DATE(YEAR($AD1163),MONTH($AD1163)+1,MIN(INDEX(CARDS!$I$5:$I$34,MATCH($D1163,CARDS!$A$5:$A$34,0)),DAY(EOMONTH($AD1163,1)))))),""))</f>
        <v/>
      </c>
      <c r="U1163" s="38" t="n"/>
      <c r="V1163" s="37" t="n"/>
      <c r="W1163" s="38" t="n"/>
      <c r="X1163" s="38" t="n"/>
      <c r="Y1163" s="44" t="str">
        <f>IF($AC1163&gt;0,INDEX(CASHBACK_RULES!$A$5:$A$304,$AC1163),"")</f>
        <v/>
      </c>
      <c r="Z1163" s="45" t="str">
        <f>IF($AC1163&gt;0,INDEX(CASHBACK_RULES!$E$5:$E$304,$AC1163)&amp;"","")</f>
        <v/>
      </c>
      <c r="AA1163" s="48" t="str">
        <f>IF($AC1163&gt;0,IF(ISNUMBER(INDEX(CASHBACK_RULES!$K$5:$K$304,$AC1163)),INDEX(CASHBACK_RULES!$K$5:$K$304,$AC1163),"∞"),"")</f>
        <v/>
      </c>
      <c r="AB1163" s="44" t="str">
        <f>IF(OR($B1163="",$D1163=""),"",IF($U1163="Cancelled","Đã hủy",IF($AC1163=0,"Không được hoàn",IF($Q1163=0,IF(OR($O1163&gt;0,$M1163&lt;$L1163),"Đã đạt cap","Không được hoàn"),IF(OR($Q1163&lt;$O1163,$M1163&lt;$L1163),"Hoàn một phần","Được hoàn")))))</f>
        <v/>
      </c>
      <c r="AC1163" s="43">
        <f>IF(OR($B1163="",$D1163="",$I1163="",$L1163=""),0,IF($U1163="Cancelled",0,IF($W1163&lt;&gt;"",IFERROR(IF(INDEX(CASHBACK_RULES!$B$5:$B$304,MATCH($W1163,CASHBACK_RULES!$A$5:$A$304,0))=$D1163,MATCH($W1163,CASHBACK_RULES!$A$5:$A$304,0),0),0),IFERROR(MATCH(1,INDEX((CASHBACK_RULES!$B$5:$B$304=$D1163)*(CASHBACK_RULES!$G$5:$G$304=$I1163)*(((CASHBACK_RULES!$N$5:$N$304="")+(CASHBACK_RULES!$N$5:$N$304&lt;=$B1163))&gt;0)*(((CASHBACK_RULES!$O$5:$O$304="")+(CASHBACK_RULES!$O$5:$O$304&gt;=$B1163))&gt;0)*(((CASHBACK_RULES!$M$5:$M$304="")+(CASHBACK_RULES!$M$5:$M$304&lt;=$L1163))&gt;0),0),0),0))))</f>
        <v>0</v>
      </c>
      <c r="AD1163" s="51" t="str">
        <f>IF(OR($B1163="",$D1163=""),"",IFERROR(IF(INDEX(CARDS!$H$5:$H$34,MATCH($D1163,CARDS!$A$5:$A$34,0))="","",IF(DAY($B1163)&lt;=INDEX(CARDS!$H$5:$H$34,MATCH($D1163,CARDS!$A$5:$A$34,0)),DATE(YEAR($B1163),MONTH($B1163),MIN(INDEX(CARDS!$H$5:$H$34,MATCH($D1163,CARDS!$A$5:$A$34,0)),DAY(EOMONTH($B1163,0)))),DATE(YEAR($B1163),MONTH($B1163)+1,MIN(INDEX(CARDS!$H$5:$H$34,MATCH($D1163,CARDS!$A$5:$A$34,0)),DAY(EOMONTH($B1163,1)))))),""))</f>
        <v/>
      </c>
      <c r="AE1163" s="52" t="str">
        <f>IF($C1163="","",$C1163&amp;"|"&amp;COUNTIF($C$5:$C1163,$C1163))</f>
        <v/>
      </c>
      <c r="AF1163" s="53">
        <f>IF($AC1163&gt;0,SUMIFS(Q$4:Q1162,$D$4:$D1162,$D1163,$Z$4:$Z1162,$Z1163,$C$4:$C1162,$C1163),0)</f>
        <v>0</v>
      </c>
      <c r="AG1163" s="53">
        <f>IF($AC1163&gt;0,SUMIFS(Q$4:Q1162,$D$4:$D1162,$D1163,$C$4:$C1162,$C1163),0)</f>
        <v>0</v>
      </c>
      <c r="AH1163" s="53">
        <f>IF($AC1163&gt;0,SUMIFS(M$4:M1162,$D$4:$D1162,$D1163,$Z$4:$Z1162,$Z1163,$C$4:$C1162,$C1163),0)</f>
        <v>0</v>
      </c>
      <c r="AI1163" s="43">
        <f>IF(OR($C1163="",$I1163=""),0,IF(COUNTIFS($C$5:$C1163,$C1163,$I$5:$I1163,$I1163)=1,1,0))</f>
        <v>0</v>
      </c>
      <c r="AJ1163" s="43" t="str">
        <f>IF($AI1163=1,SUMIFS($AI$4:$AI1162,$C$4:$C1162,$C1163)+1,"")</f>
        <v/>
      </c>
      <c r="AK1163" s="43">
        <f>IF(OR($C1163="",$K1163=""),0,IF(COUNTIFS($C$5:$C1163,$C1163,$K$5:$K1163,$K1163)=1,1,0))</f>
        <v>0</v>
      </c>
      <c r="AL1163" s="43" t="str">
        <f>IF($AK1163=1,SUMIFS($AK$4:$AK1162,$C$4:$C1162,$C1163)+1,"")</f>
        <v/>
      </c>
      <c r="AM1163" s="43">
        <f>IF(OR($C1163="",$G1163=""),0,IF(COUNTIFS($C$5:$C1163,$C1163,$G$5:$G1163,$G1163)=1,1,0))</f>
        <v>0</v>
      </c>
      <c r="AN1163" s="43" t="str">
        <f>IF($AM1163=1,SUMIFS($AM$4:$AM1162,$C$4:$C1162,$C1163)+1,"")</f>
        <v/>
      </c>
    </row>
    <row r="1164">
      <c r="A1164" s="44" t="str">
        <f>IF(OR($B1164="",$D1164=""),"","TX"&amp;TEXT(ROW()-4,"0000"))</f>
        <v/>
      </c>
      <c r="B1164" s="42" t="n"/>
      <c r="C1164" s="47" t="str">
        <f>IF($B1164="","",YEAR($B1164)*100+MONTH($B1164))</f>
        <v/>
      </c>
      <c r="D1164" s="37" t="n"/>
      <c r="E1164" s="45" t="str">
        <f>IF($D1164="","",IFERROR(INDEX(CARDS!$B$5:$B$34,MATCH($D1164,CARDS!$A$5:$A$34,0)),"⚠ Card ID?"))</f>
        <v/>
      </c>
      <c r="F1164" s="45" t="str">
        <f>IF($D1164="","",IFERROR(INDEX(CARDS!$C$5:$C$34,MATCH($D1164,CARDS!$A$5:$A$34,0)),"⚠ Card ID?"))</f>
        <v/>
      </c>
      <c r="G1164" s="37" t="n"/>
      <c r="H1164" s="37" t="n"/>
      <c r="I1164" s="41" t="n"/>
      <c r="J1164" s="45" t="str">
        <f>IF($I1164="","",IFERROR(INDEX(MCC_MASTER!$B$5:$B$504,MATCH($I1164,MCC_MASTER!$A$5:$A$504,0)),"⚠ MCC chưa có"))</f>
        <v/>
      </c>
      <c r="K1164" s="45" t="str">
        <f>IF($I1164="","",IFERROR(IF(INDEX(MCC_MASTER!$C$5:$C$504,MATCH($I1164,MCC_MASTER!$A$5:$A$504,0))="","Chưa phân loại",INDEX(MCC_MASTER!$C$5:$C$504,MATCH($I1164,MCC_MASTER!$A$5:$A$504,0))),"Chưa phân loại"))</f>
        <v/>
      </c>
      <c r="L1164" s="40" t="n"/>
      <c r="M1164" s="48" t="str">
        <f>IF(OR($B1164="",$D1164=""),"",IF($AC1164=0,0,IF(ISNUMBER(INDEX(CASHBACK_RULES!$L$5:$L$304,$AC1164)),MAX(0,MIN($L1164,INDEX(CASHBACK_RULES!$L$5:$L$304,$AC1164)-$AH1164)),MAX(0,$L1164))))</f>
        <v/>
      </c>
      <c r="N1164" s="49" t="str">
        <f>IF(OR($B1164="",$D1164=""),"",IF($AC1164&gt;0,INDEX(CASHBACK_RULES!$I$5:$I$304,$AC1164),0))</f>
        <v/>
      </c>
      <c r="O1164" s="48" t="str">
        <f>IF(OR($B1164="",$D1164=""),"",ROUND($M1164*$N1164,0))</f>
        <v/>
      </c>
      <c r="P1164" s="48" t="str">
        <f>IF($AC1164&gt;0,IF(ISNUMBER(INDEX(CASHBACK_RULES!$J$5:$J$304,$AC1164)),INDEX(CASHBACK_RULES!$J$5:$J$304,$AC1164),"∞"),"")</f>
        <v/>
      </c>
      <c r="Q1164" s="48" t="str">
        <f>IF(OR($B1164="",$D1164=""),"",IF($AC1164=0,0,MAX(0,MIN($O1164,IF(ISNUMBER($P1164),$P1164-$AF1164,1E+15),IF(ISNUMBER($AA1164),$AA1164-$AG1164,1E+15)))))</f>
        <v/>
      </c>
      <c r="R1164" s="48" t="str">
        <f>IF(OR($B1164="",$D1164=""),"",IF($AC1164=0,"",IF(AND(NOT(ISNUMBER($P1164)),NOT(ISNUMBER($AA1164))),"∞",MAX(0,MIN(IF(ISNUMBER($P1164),$P1164-$AF1164-$Q1164,1E+15),IF(ISNUMBER($AA1164),$AA1164-$AG1164-$Q1164,1E+15))))))</f>
        <v/>
      </c>
      <c r="S1164" s="47" t="str">
        <f>IF($AD1164="","",YEAR($AD1164)*100+MONTH($AD1164))</f>
        <v/>
      </c>
      <c r="T1164" s="50" t="str">
        <f>IF($AD1164="","",IFERROR(IF(INDEX(CARDS!$I$5:$I$34,MATCH($D1164,CARDS!$A$5:$A$34,0))="","",IF(INDEX(CARDS!$I$5:$I$34,MATCH($D1164,CARDS!$A$5:$A$34,0))&gt;INDEX(CARDS!$H$5:$H$34,MATCH($D1164,CARDS!$A$5:$A$34,0)),DATE(YEAR($AD1164),MONTH($AD1164),MIN(INDEX(CARDS!$I$5:$I$34,MATCH($D1164,CARDS!$A$5:$A$34,0)),DAY(EOMONTH($AD1164,0)))),DATE(YEAR($AD1164),MONTH($AD1164)+1,MIN(INDEX(CARDS!$I$5:$I$34,MATCH($D1164,CARDS!$A$5:$A$34,0)),DAY(EOMONTH($AD1164,1)))))),""))</f>
        <v/>
      </c>
      <c r="U1164" s="38" t="n"/>
      <c r="V1164" s="37" t="n"/>
      <c r="W1164" s="38" t="n"/>
      <c r="X1164" s="38" t="n"/>
      <c r="Y1164" s="44" t="str">
        <f>IF($AC1164&gt;0,INDEX(CASHBACK_RULES!$A$5:$A$304,$AC1164),"")</f>
        <v/>
      </c>
      <c r="Z1164" s="45" t="str">
        <f>IF($AC1164&gt;0,INDEX(CASHBACK_RULES!$E$5:$E$304,$AC1164)&amp;"","")</f>
        <v/>
      </c>
      <c r="AA1164" s="48" t="str">
        <f>IF($AC1164&gt;0,IF(ISNUMBER(INDEX(CASHBACK_RULES!$K$5:$K$304,$AC1164)),INDEX(CASHBACK_RULES!$K$5:$K$304,$AC1164),"∞"),"")</f>
        <v/>
      </c>
      <c r="AB1164" s="44" t="str">
        <f>IF(OR($B1164="",$D1164=""),"",IF($U1164="Cancelled","Đã hủy",IF($AC1164=0,"Không được hoàn",IF($Q1164=0,IF(OR($O1164&gt;0,$M1164&lt;$L1164),"Đã đạt cap","Không được hoàn"),IF(OR($Q1164&lt;$O1164,$M1164&lt;$L1164),"Hoàn một phần","Được hoàn")))))</f>
        <v/>
      </c>
      <c r="AC1164" s="43">
        <f>IF(OR($B1164="",$D1164="",$I1164="",$L1164=""),0,IF($U1164="Cancelled",0,IF($W1164&lt;&gt;"",IFERROR(IF(INDEX(CASHBACK_RULES!$B$5:$B$304,MATCH($W1164,CASHBACK_RULES!$A$5:$A$304,0))=$D1164,MATCH($W1164,CASHBACK_RULES!$A$5:$A$304,0),0),0),IFERROR(MATCH(1,INDEX((CASHBACK_RULES!$B$5:$B$304=$D1164)*(CASHBACK_RULES!$G$5:$G$304=$I1164)*(((CASHBACK_RULES!$N$5:$N$304="")+(CASHBACK_RULES!$N$5:$N$304&lt;=$B1164))&gt;0)*(((CASHBACK_RULES!$O$5:$O$304="")+(CASHBACK_RULES!$O$5:$O$304&gt;=$B1164))&gt;0)*(((CASHBACK_RULES!$M$5:$M$304="")+(CASHBACK_RULES!$M$5:$M$304&lt;=$L1164))&gt;0),0),0),0))))</f>
        <v>0</v>
      </c>
      <c r="AD1164" s="51" t="str">
        <f>IF(OR($B1164="",$D1164=""),"",IFERROR(IF(INDEX(CARDS!$H$5:$H$34,MATCH($D1164,CARDS!$A$5:$A$34,0))="","",IF(DAY($B1164)&lt;=INDEX(CARDS!$H$5:$H$34,MATCH($D1164,CARDS!$A$5:$A$34,0)),DATE(YEAR($B1164),MONTH($B1164),MIN(INDEX(CARDS!$H$5:$H$34,MATCH($D1164,CARDS!$A$5:$A$34,0)),DAY(EOMONTH($B1164,0)))),DATE(YEAR($B1164),MONTH($B1164)+1,MIN(INDEX(CARDS!$H$5:$H$34,MATCH($D1164,CARDS!$A$5:$A$34,0)),DAY(EOMONTH($B1164,1)))))),""))</f>
        <v/>
      </c>
      <c r="AE1164" s="52" t="str">
        <f>IF($C1164="","",$C1164&amp;"|"&amp;COUNTIF($C$5:$C1164,$C1164))</f>
        <v/>
      </c>
      <c r="AF1164" s="53">
        <f>IF($AC1164&gt;0,SUMIFS(Q$4:Q1163,$D$4:$D1163,$D1164,$Z$4:$Z1163,$Z1164,$C$4:$C1163,$C1164),0)</f>
        <v>0</v>
      </c>
      <c r="AG1164" s="53">
        <f>IF($AC1164&gt;0,SUMIFS(Q$4:Q1163,$D$4:$D1163,$D1164,$C$4:$C1163,$C1164),0)</f>
        <v>0</v>
      </c>
      <c r="AH1164" s="53">
        <f>IF($AC1164&gt;0,SUMIFS(M$4:M1163,$D$4:$D1163,$D1164,$Z$4:$Z1163,$Z1164,$C$4:$C1163,$C1164),0)</f>
        <v>0</v>
      </c>
      <c r="AI1164" s="43">
        <f>IF(OR($C1164="",$I1164=""),0,IF(COUNTIFS($C$5:$C1164,$C1164,$I$5:$I1164,$I1164)=1,1,0))</f>
        <v>0</v>
      </c>
      <c r="AJ1164" s="43" t="str">
        <f>IF($AI1164=1,SUMIFS($AI$4:$AI1163,$C$4:$C1163,$C1164)+1,"")</f>
        <v/>
      </c>
      <c r="AK1164" s="43">
        <f>IF(OR($C1164="",$K1164=""),0,IF(COUNTIFS($C$5:$C1164,$C1164,$K$5:$K1164,$K1164)=1,1,0))</f>
        <v>0</v>
      </c>
      <c r="AL1164" s="43" t="str">
        <f>IF($AK1164=1,SUMIFS($AK$4:$AK1163,$C$4:$C1163,$C1164)+1,"")</f>
        <v/>
      </c>
      <c r="AM1164" s="43">
        <f>IF(OR($C1164="",$G1164=""),0,IF(COUNTIFS($C$5:$C1164,$C1164,$G$5:$G1164,$G1164)=1,1,0))</f>
        <v>0</v>
      </c>
      <c r="AN1164" s="43" t="str">
        <f>IF($AM1164=1,SUMIFS($AM$4:$AM1163,$C$4:$C1163,$C1164)+1,"")</f>
        <v/>
      </c>
    </row>
    <row r="1165">
      <c r="A1165" s="44" t="str">
        <f>IF(OR($B1165="",$D1165=""),"","TX"&amp;TEXT(ROW()-4,"0000"))</f>
        <v/>
      </c>
      <c r="B1165" s="42" t="n"/>
      <c r="C1165" s="47" t="str">
        <f>IF($B1165="","",YEAR($B1165)*100+MONTH($B1165))</f>
        <v/>
      </c>
      <c r="D1165" s="37" t="n"/>
      <c r="E1165" s="45" t="str">
        <f>IF($D1165="","",IFERROR(INDEX(CARDS!$B$5:$B$34,MATCH($D1165,CARDS!$A$5:$A$34,0)),"⚠ Card ID?"))</f>
        <v/>
      </c>
      <c r="F1165" s="45" t="str">
        <f>IF($D1165="","",IFERROR(INDEX(CARDS!$C$5:$C$34,MATCH($D1165,CARDS!$A$5:$A$34,0)),"⚠ Card ID?"))</f>
        <v/>
      </c>
      <c r="G1165" s="37" t="n"/>
      <c r="H1165" s="37" t="n"/>
      <c r="I1165" s="41" t="n"/>
      <c r="J1165" s="45" t="str">
        <f>IF($I1165="","",IFERROR(INDEX(MCC_MASTER!$B$5:$B$504,MATCH($I1165,MCC_MASTER!$A$5:$A$504,0)),"⚠ MCC chưa có"))</f>
        <v/>
      </c>
      <c r="K1165" s="45" t="str">
        <f>IF($I1165="","",IFERROR(IF(INDEX(MCC_MASTER!$C$5:$C$504,MATCH($I1165,MCC_MASTER!$A$5:$A$504,0))="","Chưa phân loại",INDEX(MCC_MASTER!$C$5:$C$504,MATCH($I1165,MCC_MASTER!$A$5:$A$504,0))),"Chưa phân loại"))</f>
        <v/>
      </c>
      <c r="L1165" s="40" t="n"/>
      <c r="M1165" s="48" t="str">
        <f>IF(OR($B1165="",$D1165=""),"",IF($AC1165=0,0,IF(ISNUMBER(INDEX(CASHBACK_RULES!$L$5:$L$304,$AC1165)),MAX(0,MIN($L1165,INDEX(CASHBACK_RULES!$L$5:$L$304,$AC1165)-$AH1165)),MAX(0,$L1165))))</f>
        <v/>
      </c>
      <c r="N1165" s="49" t="str">
        <f>IF(OR($B1165="",$D1165=""),"",IF($AC1165&gt;0,INDEX(CASHBACK_RULES!$I$5:$I$304,$AC1165),0))</f>
        <v/>
      </c>
      <c r="O1165" s="48" t="str">
        <f>IF(OR($B1165="",$D1165=""),"",ROUND($M1165*$N1165,0))</f>
        <v/>
      </c>
      <c r="P1165" s="48" t="str">
        <f>IF($AC1165&gt;0,IF(ISNUMBER(INDEX(CASHBACK_RULES!$J$5:$J$304,$AC1165)),INDEX(CASHBACK_RULES!$J$5:$J$304,$AC1165),"∞"),"")</f>
        <v/>
      </c>
      <c r="Q1165" s="48" t="str">
        <f>IF(OR($B1165="",$D1165=""),"",IF($AC1165=0,0,MAX(0,MIN($O1165,IF(ISNUMBER($P1165),$P1165-$AF1165,1E+15),IF(ISNUMBER($AA1165),$AA1165-$AG1165,1E+15)))))</f>
        <v/>
      </c>
      <c r="R1165" s="48" t="str">
        <f>IF(OR($B1165="",$D1165=""),"",IF($AC1165=0,"",IF(AND(NOT(ISNUMBER($P1165)),NOT(ISNUMBER($AA1165))),"∞",MAX(0,MIN(IF(ISNUMBER($P1165),$P1165-$AF1165-$Q1165,1E+15),IF(ISNUMBER($AA1165),$AA1165-$AG1165-$Q1165,1E+15))))))</f>
        <v/>
      </c>
      <c r="S1165" s="47" t="str">
        <f>IF($AD1165="","",YEAR($AD1165)*100+MONTH($AD1165))</f>
        <v/>
      </c>
      <c r="T1165" s="50" t="str">
        <f>IF($AD1165="","",IFERROR(IF(INDEX(CARDS!$I$5:$I$34,MATCH($D1165,CARDS!$A$5:$A$34,0))="","",IF(INDEX(CARDS!$I$5:$I$34,MATCH($D1165,CARDS!$A$5:$A$34,0))&gt;INDEX(CARDS!$H$5:$H$34,MATCH($D1165,CARDS!$A$5:$A$34,0)),DATE(YEAR($AD1165),MONTH($AD1165),MIN(INDEX(CARDS!$I$5:$I$34,MATCH($D1165,CARDS!$A$5:$A$34,0)),DAY(EOMONTH($AD1165,0)))),DATE(YEAR($AD1165),MONTH($AD1165)+1,MIN(INDEX(CARDS!$I$5:$I$34,MATCH($D1165,CARDS!$A$5:$A$34,0)),DAY(EOMONTH($AD1165,1)))))),""))</f>
        <v/>
      </c>
      <c r="U1165" s="38" t="n"/>
      <c r="V1165" s="37" t="n"/>
      <c r="W1165" s="38" t="n"/>
      <c r="X1165" s="38" t="n"/>
      <c r="Y1165" s="44" t="str">
        <f>IF($AC1165&gt;0,INDEX(CASHBACK_RULES!$A$5:$A$304,$AC1165),"")</f>
        <v/>
      </c>
      <c r="Z1165" s="45" t="str">
        <f>IF($AC1165&gt;0,INDEX(CASHBACK_RULES!$E$5:$E$304,$AC1165)&amp;"","")</f>
        <v/>
      </c>
      <c r="AA1165" s="48" t="str">
        <f>IF($AC1165&gt;0,IF(ISNUMBER(INDEX(CASHBACK_RULES!$K$5:$K$304,$AC1165)),INDEX(CASHBACK_RULES!$K$5:$K$304,$AC1165),"∞"),"")</f>
        <v/>
      </c>
      <c r="AB1165" s="44" t="str">
        <f>IF(OR($B1165="",$D1165=""),"",IF($U1165="Cancelled","Đã hủy",IF($AC1165=0,"Không được hoàn",IF($Q1165=0,IF(OR($O1165&gt;0,$M1165&lt;$L1165),"Đã đạt cap","Không được hoàn"),IF(OR($Q1165&lt;$O1165,$M1165&lt;$L1165),"Hoàn một phần","Được hoàn")))))</f>
        <v/>
      </c>
      <c r="AC1165" s="43">
        <f>IF(OR($B1165="",$D1165="",$I1165="",$L1165=""),0,IF($U1165="Cancelled",0,IF($W1165&lt;&gt;"",IFERROR(IF(INDEX(CASHBACK_RULES!$B$5:$B$304,MATCH($W1165,CASHBACK_RULES!$A$5:$A$304,0))=$D1165,MATCH($W1165,CASHBACK_RULES!$A$5:$A$304,0),0),0),IFERROR(MATCH(1,INDEX((CASHBACK_RULES!$B$5:$B$304=$D1165)*(CASHBACK_RULES!$G$5:$G$304=$I1165)*(((CASHBACK_RULES!$N$5:$N$304="")+(CASHBACK_RULES!$N$5:$N$304&lt;=$B1165))&gt;0)*(((CASHBACK_RULES!$O$5:$O$304="")+(CASHBACK_RULES!$O$5:$O$304&gt;=$B1165))&gt;0)*(((CASHBACK_RULES!$M$5:$M$304="")+(CASHBACK_RULES!$M$5:$M$304&lt;=$L1165))&gt;0),0),0),0))))</f>
        <v>0</v>
      </c>
      <c r="AD1165" s="51" t="str">
        <f>IF(OR($B1165="",$D1165=""),"",IFERROR(IF(INDEX(CARDS!$H$5:$H$34,MATCH($D1165,CARDS!$A$5:$A$34,0))="","",IF(DAY($B1165)&lt;=INDEX(CARDS!$H$5:$H$34,MATCH($D1165,CARDS!$A$5:$A$34,0)),DATE(YEAR($B1165),MONTH($B1165),MIN(INDEX(CARDS!$H$5:$H$34,MATCH($D1165,CARDS!$A$5:$A$34,0)),DAY(EOMONTH($B1165,0)))),DATE(YEAR($B1165),MONTH($B1165)+1,MIN(INDEX(CARDS!$H$5:$H$34,MATCH($D1165,CARDS!$A$5:$A$34,0)),DAY(EOMONTH($B1165,1)))))),""))</f>
        <v/>
      </c>
      <c r="AE1165" s="52" t="str">
        <f>IF($C1165="","",$C1165&amp;"|"&amp;COUNTIF($C$5:$C1165,$C1165))</f>
        <v/>
      </c>
      <c r="AF1165" s="53">
        <f>IF($AC1165&gt;0,SUMIFS(Q$4:Q1164,$D$4:$D1164,$D1165,$Z$4:$Z1164,$Z1165,$C$4:$C1164,$C1165),0)</f>
        <v>0</v>
      </c>
      <c r="AG1165" s="53">
        <f>IF($AC1165&gt;0,SUMIFS(Q$4:Q1164,$D$4:$D1164,$D1165,$C$4:$C1164,$C1165),0)</f>
        <v>0</v>
      </c>
      <c r="AH1165" s="53">
        <f>IF($AC1165&gt;0,SUMIFS(M$4:M1164,$D$4:$D1164,$D1165,$Z$4:$Z1164,$Z1165,$C$4:$C1164,$C1165),0)</f>
        <v>0</v>
      </c>
      <c r="AI1165" s="43">
        <f>IF(OR($C1165="",$I1165=""),0,IF(COUNTIFS($C$5:$C1165,$C1165,$I$5:$I1165,$I1165)=1,1,0))</f>
        <v>0</v>
      </c>
      <c r="AJ1165" s="43" t="str">
        <f>IF($AI1165=1,SUMIFS($AI$4:$AI1164,$C$4:$C1164,$C1165)+1,"")</f>
        <v/>
      </c>
      <c r="AK1165" s="43">
        <f>IF(OR($C1165="",$K1165=""),0,IF(COUNTIFS($C$5:$C1165,$C1165,$K$5:$K1165,$K1165)=1,1,0))</f>
        <v>0</v>
      </c>
      <c r="AL1165" s="43" t="str">
        <f>IF($AK1165=1,SUMIFS($AK$4:$AK1164,$C$4:$C1164,$C1165)+1,"")</f>
        <v/>
      </c>
      <c r="AM1165" s="43">
        <f>IF(OR($C1165="",$G1165=""),0,IF(COUNTIFS($C$5:$C1165,$C1165,$G$5:$G1165,$G1165)=1,1,0))</f>
        <v>0</v>
      </c>
      <c r="AN1165" s="43" t="str">
        <f>IF($AM1165=1,SUMIFS($AM$4:$AM1164,$C$4:$C1164,$C1165)+1,"")</f>
        <v/>
      </c>
    </row>
    <row r="1166">
      <c r="A1166" s="44" t="str">
        <f>IF(OR($B1166="",$D1166=""),"","TX"&amp;TEXT(ROW()-4,"0000"))</f>
        <v/>
      </c>
      <c r="B1166" s="42" t="n"/>
      <c r="C1166" s="47" t="str">
        <f>IF($B1166="","",YEAR($B1166)*100+MONTH($B1166))</f>
        <v/>
      </c>
      <c r="D1166" s="37" t="n"/>
      <c r="E1166" s="45" t="str">
        <f>IF($D1166="","",IFERROR(INDEX(CARDS!$B$5:$B$34,MATCH($D1166,CARDS!$A$5:$A$34,0)),"⚠ Card ID?"))</f>
        <v/>
      </c>
      <c r="F1166" s="45" t="str">
        <f>IF($D1166="","",IFERROR(INDEX(CARDS!$C$5:$C$34,MATCH($D1166,CARDS!$A$5:$A$34,0)),"⚠ Card ID?"))</f>
        <v/>
      </c>
      <c r="G1166" s="37" t="n"/>
      <c r="H1166" s="37" t="n"/>
      <c r="I1166" s="41" t="n"/>
      <c r="J1166" s="45" t="str">
        <f>IF($I1166="","",IFERROR(INDEX(MCC_MASTER!$B$5:$B$504,MATCH($I1166,MCC_MASTER!$A$5:$A$504,0)),"⚠ MCC chưa có"))</f>
        <v/>
      </c>
      <c r="K1166" s="45" t="str">
        <f>IF($I1166="","",IFERROR(IF(INDEX(MCC_MASTER!$C$5:$C$504,MATCH($I1166,MCC_MASTER!$A$5:$A$504,0))="","Chưa phân loại",INDEX(MCC_MASTER!$C$5:$C$504,MATCH($I1166,MCC_MASTER!$A$5:$A$504,0))),"Chưa phân loại"))</f>
        <v/>
      </c>
      <c r="L1166" s="40" t="n"/>
      <c r="M1166" s="48" t="str">
        <f>IF(OR($B1166="",$D1166=""),"",IF($AC1166=0,0,IF(ISNUMBER(INDEX(CASHBACK_RULES!$L$5:$L$304,$AC1166)),MAX(0,MIN($L1166,INDEX(CASHBACK_RULES!$L$5:$L$304,$AC1166)-$AH1166)),MAX(0,$L1166))))</f>
        <v/>
      </c>
      <c r="N1166" s="49" t="str">
        <f>IF(OR($B1166="",$D1166=""),"",IF($AC1166&gt;0,INDEX(CASHBACK_RULES!$I$5:$I$304,$AC1166),0))</f>
        <v/>
      </c>
      <c r="O1166" s="48" t="str">
        <f>IF(OR($B1166="",$D1166=""),"",ROUND($M1166*$N1166,0))</f>
        <v/>
      </c>
      <c r="P1166" s="48" t="str">
        <f>IF($AC1166&gt;0,IF(ISNUMBER(INDEX(CASHBACK_RULES!$J$5:$J$304,$AC1166)),INDEX(CASHBACK_RULES!$J$5:$J$304,$AC1166),"∞"),"")</f>
        <v/>
      </c>
      <c r="Q1166" s="48" t="str">
        <f>IF(OR($B1166="",$D1166=""),"",IF($AC1166=0,0,MAX(0,MIN($O1166,IF(ISNUMBER($P1166),$P1166-$AF1166,1E+15),IF(ISNUMBER($AA1166),$AA1166-$AG1166,1E+15)))))</f>
        <v/>
      </c>
      <c r="R1166" s="48" t="str">
        <f>IF(OR($B1166="",$D1166=""),"",IF($AC1166=0,"",IF(AND(NOT(ISNUMBER($P1166)),NOT(ISNUMBER($AA1166))),"∞",MAX(0,MIN(IF(ISNUMBER($P1166),$P1166-$AF1166-$Q1166,1E+15),IF(ISNUMBER($AA1166),$AA1166-$AG1166-$Q1166,1E+15))))))</f>
        <v/>
      </c>
      <c r="S1166" s="47" t="str">
        <f>IF($AD1166="","",YEAR($AD1166)*100+MONTH($AD1166))</f>
        <v/>
      </c>
      <c r="T1166" s="50" t="str">
        <f>IF($AD1166="","",IFERROR(IF(INDEX(CARDS!$I$5:$I$34,MATCH($D1166,CARDS!$A$5:$A$34,0))="","",IF(INDEX(CARDS!$I$5:$I$34,MATCH($D1166,CARDS!$A$5:$A$34,0))&gt;INDEX(CARDS!$H$5:$H$34,MATCH($D1166,CARDS!$A$5:$A$34,0)),DATE(YEAR($AD1166),MONTH($AD1166),MIN(INDEX(CARDS!$I$5:$I$34,MATCH($D1166,CARDS!$A$5:$A$34,0)),DAY(EOMONTH($AD1166,0)))),DATE(YEAR($AD1166),MONTH($AD1166)+1,MIN(INDEX(CARDS!$I$5:$I$34,MATCH($D1166,CARDS!$A$5:$A$34,0)),DAY(EOMONTH($AD1166,1)))))),""))</f>
        <v/>
      </c>
      <c r="U1166" s="38" t="n"/>
      <c r="V1166" s="37" t="n"/>
      <c r="W1166" s="38" t="n"/>
      <c r="X1166" s="38" t="n"/>
      <c r="Y1166" s="44" t="str">
        <f>IF($AC1166&gt;0,INDEX(CASHBACK_RULES!$A$5:$A$304,$AC1166),"")</f>
        <v/>
      </c>
      <c r="Z1166" s="45" t="str">
        <f>IF($AC1166&gt;0,INDEX(CASHBACK_RULES!$E$5:$E$304,$AC1166)&amp;"","")</f>
        <v/>
      </c>
      <c r="AA1166" s="48" t="str">
        <f>IF($AC1166&gt;0,IF(ISNUMBER(INDEX(CASHBACK_RULES!$K$5:$K$304,$AC1166)),INDEX(CASHBACK_RULES!$K$5:$K$304,$AC1166),"∞"),"")</f>
        <v/>
      </c>
      <c r="AB1166" s="44" t="str">
        <f>IF(OR($B1166="",$D1166=""),"",IF($U1166="Cancelled","Đã hủy",IF($AC1166=0,"Không được hoàn",IF($Q1166=0,IF(OR($O1166&gt;0,$M1166&lt;$L1166),"Đã đạt cap","Không được hoàn"),IF(OR($Q1166&lt;$O1166,$M1166&lt;$L1166),"Hoàn một phần","Được hoàn")))))</f>
        <v/>
      </c>
      <c r="AC1166" s="43">
        <f>IF(OR($B1166="",$D1166="",$I1166="",$L1166=""),0,IF($U1166="Cancelled",0,IF($W1166&lt;&gt;"",IFERROR(IF(INDEX(CASHBACK_RULES!$B$5:$B$304,MATCH($W1166,CASHBACK_RULES!$A$5:$A$304,0))=$D1166,MATCH($W1166,CASHBACK_RULES!$A$5:$A$304,0),0),0),IFERROR(MATCH(1,INDEX((CASHBACK_RULES!$B$5:$B$304=$D1166)*(CASHBACK_RULES!$G$5:$G$304=$I1166)*(((CASHBACK_RULES!$N$5:$N$304="")+(CASHBACK_RULES!$N$5:$N$304&lt;=$B1166))&gt;0)*(((CASHBACK_RULES!$O$5:$O$304="")+(CASHBACK_RULES!$O$5:$O$304&gt;=$B1166))&gt;0)*(((CASHBACK_RULES!$M$5:$M$304="")+(CASHBACK_RULES!$M$5:$M$304&lt;=$L1166))&gt;0),0),0),0))))</f>
        <v>0</v>
      </c>
      <c r="AD1166" s="51" t="str">
        <f>IF(OR($B1166="",$D1166=""),"",IFERROR(IF(INDEX(CARDS!$H$5:$H$34,MATCH($D1166,CARDS!$A$5:$A$34,0))="","",IF(DAY($B1166)&lt;=INDEX(CARDS!$H$5:$H$34,MATCH($D1166,CARDS!$A$5:$A$34,0)),DATE(YEAR($B1166),MONTH($B1166),MIN(INDEX(CARDS!$H$5:$H$34,MATCH($D1166,CARDS!$A$5:$A$34,0)),DAY(EOMONTH($B1166,0)))),DATE(YEAR($B1166),MONTH($B1166)+1,MIN(INDEX(CARDS!$H$5:$H$34,MATCH($D1166,CARDS!$A$5:$A$34,0)),DAY(EOMONTH($B1166,1)))))),""))</f>
        <v/>
      </c>
      <c r="AE1166" s="52" t="str">
        <f>IF($C1166="","",$C1166&amp;"|"&amp;COUNTIF($C$5:$C1166,$C1166))</f>
        <v/>
      </c>
      <c r="AF1166" s="53">
        <f>IF($AC1166&gt;0,SUMIFS(Q$4:Q1165,$D$4:$D1165,$D1166,$Z$4:$Z1165,$Z1166,$C$4:$C1165,$C1166),0)</f>
        <v>0</v>
      </c>
      <c r="AG1166" s="53">
        <f>IF($AC1166&gt;0,SUMIFS(Q$4:Q1165,$D$4:$D1165,$D1166,$C$4:$C1165,$C1166),0)</f>
        <v>0</v>
      </c>
      <c r="AH1166" s="53">
        <f>IF($AC1166&gt;0,SUMIFS(M$4:M1165,$D$4:$D1165,$D1166,$Z$4:$Z1165,$Z1166,$C$4:$C1165,$C1166),0)</f>
        <v>0</v>
      </c>
      <c r="AI1166" s="43">
        <f>IF(OR($C1166="",$I1166=""),0,IF(COUNTIFS($C$5:$C1166,$C1166,$I$5:$I1166,$I1166)=1,1,0))</f>
        <v>0</v>
      </c>
      <c r="AJ1166" s="43" t="str">
        <f>IF($AI1166=1,SUMIFS($AI$4:$AI1165,$C$4:$C1165,$C1166)+1,"")</f>
        <v/>
      </c>
      <c r="AK1166" s="43">
        <f>IF(OR($C1166="",$K1166=""),0,IF(COUNTIFS($C$5:$C1166,$C1166,$K$5:$K1166,$K1166)=1,1,0))</f>
        <v>0</v>
      </c>
      <c r="AL1166" s="43" t="str">
        <f>IF($AK1166=1,SUMIFS($AK$4:$AK1165,$C$4:$C1165,$C1166)+1,"")</f>
        <v/>
      </c>
      <c r="AM1166" s="43">
        <f>IF(OR($C1166="",$G1166=""),0,IF(COUNTIFS($C$5:$C1166,$C1166,$G$5:$G1166,$G1166)=1,1,0))</f>
        <v>0</v>
      </c>
      <c r="AN1166" s="43" t="str">
        <f>IF($AM1166=1,SUMIFS($AM$4:$AM1165,$C$4:$C1165,$C1166)+1,"")</f>
        <v/>
      </c>
    </row>
    <row r="1167">
      <c r="A1167" s="44" t="str">
        <f>IF(OR($B1167="",$D1167=""),"","TX"&amp;TEXT(ROW()-4,"0000"))</f>
        <v/>
      </c>
      <c r="B1167" s="42" t="n"/>
      <c r="C1167" s="47" t="str">
        <f>IF($B1167="","",YEAR($B1167)*100+MONTH($B1167))</f>
        <v/>
      </c>
      <c r="D1167" s="37" t="n"/>
      <c r="E1167" s="45" t="str">
        <f>IF($D1167="","",IFERROR(INDEX(CARDS!$B$5:$B$34,MATCH($D1167,CARDS!$A$5:$A$34,0)),"⚠ Card ID?"))</f>
        <v/>
      </c>
      <c r="F1167" s="45" t="str">
        <f>IF($D1167="","",IFERROR(INDEX(CARDS!$C$5:$C$34,MATCH($D1167,CARDS!$A$5:$A$34,0)),"⚠ Card ID?"))</f>
        <v/>
      </c>
      <c r="G1167" s="37" t="n"/>
      <c r="H1167" s="37" t="n"/>
      <c r="I1167" s="41" t="n"/>
      <c r="J1167" s="45" t="str">
        <f>IF($I1167="","",IFERROR(INDEX(MCC_MASTER!$B$5:$B$504,MATCH($I1167,MCC_MASTER!$A$5:$A$504,0)),"⚠ MCC chưa có"))</f>
        <v/>
      </c>
      <c r="K1167" s="45" t="str">
        <f>IF($I1167="","",IFERROR(IF(INDEX(MCC_MASTER!$C$5:$C$504,MATCH($I1167,MCC_MASTER!$A$5:$A$504,0))="","Chưa phân loại",INDEX(MCC_MASTER!$C$5:$C$504,MATCH($I1167,MCC_MASTER!$A$5:$A$504,0))),"Chưa phân loại"))</f>
        <v/>
      </c>
      <c r="L1167" s="40" t="n"/>
      <c r="M1167" s="48" t="str">
        <f>IF(OR($B1167="",$D1167=""),"",IF($AC1167=0,0,IF(ISNUMBER(INDEX(CASHBACK_RULES!$L$5:$L$304,$AC1167)),MAX(0,MIN($L1167,INDEX(CASHBACK_RULES!$L$5:$L$304,$AC1167)-$AH1167)),MAX(0,$L1167))))</f>
        <v/>
      </c>
      <c r="N1167" s="49" t="str">
        <f>IF(OR($B1167="",$D1167=""),"",IF($AC1167&gt;0,INDEX(CASHBACK_RULES!$I$5:$I$304,$AC1167),0))</f>
        <v/>
      </c>
      <c r="O1167" s="48" t="str">
        <f>IF(OR($B1167="",$D1167=""),"",ROUND($M1167*$N1167,0))</f>
        <v/>
      </c>
      <c r="P1167" s="48" t="str">
        <f>IF($AC1167&gt;0,IF(ISNUMBER(INDEX(CASHBACK_RULES!$J$5:$J$304,$AC1167)),INDEX(CASHBACK_RULES!$J$5:$J$304,$AC1167),"∞"),"")</f>
        <v/>
      </c>
      <c r="Q1167" s="48" t="str">
        <f>IF(OR($B1167="",$D1167=""),"",IF($AC1167=0,0,MAX(0,MIN($O1167,IF(ISNUMBER($P1167),$P1167-$AF1167,1E+15),IF(ISNUMBER($AA1167),$AA1167-$AG1167,1E+15)))))</f>
        <v/>
      </c>
      <c r="R1167" s="48" t="str">
        <f>IF(OR($B1167="",$D1167=""),"",IF($AC1167=0,"",IF(AND(NOT(ISNUMBER($P1167)),NOT(ISNUMBER($AA1167))),"∞",MAX(0,MIN(IF(ISNUMBER($P1167),$P1167-$AF1167-$Q1167,1E+15),IF(ISNUMBER($AA1167),$AA1167-$AG1167-$Q1167,1E+15))))))</f>
        <v/>
      </c>
      <c r="S1167" s="47" t="str">
        <f>IF($AD1167="","",YEAR($AD1167)*100+MONTH($AD1167))</f>
        <v/>
      </c>
      <c r="T1167" s="50" t="str">
        <f>IF($AD1167="","",IFERROR(IF(INDEX(CARDS!$I$5:$I$34,MATCH($D1167,CARDS!$A$5:$A$34,0))="","",IF(INDEX(CARDS!$I$5:$I$34,MATCH($D1167,CARDS!$A$5:$A$34,0))&gt;INDEX(CARDS!$H$5:$H$34,MATCH($D1167,CARDS!$A$5:$A$34,0)),DATE(YEAR($AD1167),MONTH($AD1167),MIN(INDEX(CARDS!$I$5:$I$34,MATCH($D1167,CARDS!$A$5:$A$34,0)),DAY(EOMONTH($AD1167,0)))),DATE(YEAR($AD1167),MONTH($AD1167)+1,MIN(INDEX(CARDS!$I$5:$I$34,MATCH($D1167,CARDS!$A$5:$A$34,0)),DAY(EOMONTH($AD1167,1)))))),""))</f>
        <v/>
      </c>
      <c r="U1167" s="38" t="n"/>
      <c r="V1167" s="37" t="n"/>
      <c r="W1167" s="38" t="n"/>
      <c r="X1167" s="38" t="n"/>
      <c r="Y1167" s="44" t="str">
        <f>IF($AC1167&gt;0,INDEX(CASHBACK_RULES!$A$5:$A$304,$AC1167),"")</f>
        <v/>
      </c>
      <c r="Z1167" s="45" t="str">
        <f>IF($AC1167&gt;0,INDEX(CASHBACK_RULES!$E$5:$E$304,$AC1167)&amp;"","")</f>
        <v/>
      </c>
      <c r="AA1167" s="48" t="str">
        <f>IF($AC1167&gt;0,IF(ISNUMBER(INDEX(CASHBACK_RULES!$K$5:$K$304,$AC1167)),INDEX(CASHBACK_RULES!$K$5:$K$304,$AC1167),"∞"),"")</f>
        <v/>
      </c>
      <c r="AB1167" s="44" t="str">
        <f>IF(OR($B1167="",$D1167=""),"",IF($U1167="Cancelled","Đã hủy",IF($AC1167=0,"Không được hoàn",IF($Q1167=0,IF(OR($O1167&gt;0,$M1167&lt;$L1167),"Đã đạt cap","Không được hoàn"),IF(OR($Q1167&lt;$O1167,$M1167&lt;$L1167),"Hoàn một phần","Được hoàn")))))</f>
        <v/>
      </c>
      <c r="AC1167" s="43">
        <f>IF(OR($B1167="",$D1167="",$I1167="",$L1167=""),0,IF($U1167="Cancelled",0,IF($W1167&lt;&gt;"",IFERROR(IF(INDEX(CASHBACK_RULES!$B$5:$B$304,MATCH($W1167,CASHBACK_RULES!$A$5:$A$304,0))=$D1167,MATCH($W1167,CASHBACK_RULES!$A$5:$A$304,0),0),0),IFERROR(MATCH(1,INDEX((CASHBACK_RULES!$B$5:$B$304=$D1167)*(CASHBACK_RULES!$G$5:$G$304=$I1167)*(((CASHBACK_RULES!$N$5:$N$304="")+(CASHBACK_RULES!$N$5:$N$304&lt;=$B1167))&gt;0)*(((CASHBACK_RULES!$O$5:$O$304="")+(CASHBACK_RULES!$O$5:$O$304&gt;=$B1167))&gt;0)*(((CASHBACK_RULES!$M$5:$M$304="")+(CASHBACK_RULES!$M$5:$M$304&lt;=$L1167))&gt;0),0),0),0))))</f>
        <v>0</v>
      </c>
      <c r="AD1167" s="51" t="str">
        <f>IF(OR($B1167="",$D1167=""),"",IFERROR(IF(INDEX(CARDS!$H$5:$H$34,MATCH($D1167,CARDS!$A$5:$A$34,0))="","",IF(DAY($B1167)&lt;=INDEX(CARDS!$H$5:$H$34,MATCH($D1167,CARDS!$A$5:$A$34,0)),DATE(YEAR($B1167),MONTH($B1167),MIN(INDEX(CARDS!$H$5:$H$34,MATCH($D1167,CARDS!$A$5:$A$34,0)),DAY(EOMONTH($B1167,0)))),DATE(YEAR($B1167),MONTH($B1167)+1,MIN(INDEX(CARDS!$H$5:$H$34,MATCH($D1167,CARDS!$A$5:$A$34,0)),DAY(EOMONTH($B1167,1)))))),""))</f>
        <v/>
      </c>
      <c r="AE1167" s="52" t="str">
        <f>IF($C1167="","",$C1167&amp;"|"&amp;COUNTIF($C$5:$C1167,$C1167))</f>
        <v/>
      </c>
      <c r="AF1167" s="53">
        <f>IF($AC1167&gt;0,SUMIFS(Q$4:Q1166,$D$4:$D1166,$D1167,$Z$4:$Z1166,$Z1167,$C$4:$C1166,$C1167),0)</f>
        <v>0</v>
      </c>
      <c r="AG1167" s="53">
        <f>IF($AC1167&gt;0,SUMIFS(Q$4:Q1166,$D$4:$D1166,$D1167,$C$4:$C1166,$C1167),0)</f>
        <v>0</v>
      </c>
      <c r="AH1167" s="53">
        <f>IF($AC1167&gt;0,SUMIFS(M$4:M1166,$D$4:$D1166,$D1167,$Z$4:$Z1166,$Z1167,$C$4:$C1166,$C1167),0)</f>
        <v>0</v>
      </c>
      <c r="AI1167" s="43">
        <f>IF(OR($C1167="",$I1167=""),0,IF(COUNTIFS($C$5:$C1167,$C1167,$I$5:$I1167,$I1167)=1,1,0))</f>
        <v>0</v>
      </c>
      <c r="AJ1167" s="43" t="str">
        <f>IF($AI1167=1,SUMIFS($AI$4:$AI1166,$C$4:$C1166,$C1167)+1,"")</f>
        <v/>
      </c>
      <c r="AK1167" s="43">
        <f>IF(OR($C1167="",$K1167=""),0,IF(COUNTIFS($C$5:$C1167,$C1167,$K$5:$K1167,$K1167)=1,1,0))</f>
        <v>0</v>
      </c>
      <c r="AL1167" s="43" t="str">
        <f>IF($AK1167=1,SUMIFS($AK$4:$AK1166,$C$4:$C1166,$C1167)+1,"")</f>
        <v/>
      </c>
      <c r="AM1167" s="43">
        <f>IF(OR($C1167="",$G1167=""),0,IF(COUNTIFS($C$5:$C1167,$C1167,$G$5:$G1167,$G1167)=1,1,0))</f>
        <v>0</v>
      </c>
      <c r="AN1167" s="43" t="str">
        <f>IF($AM1167=1,SUMIFS($AM$4:$AM1166,$C$4:$C1166,$C1167)+1,"")</f>
        <v/>
      </c>
    </row>
    <row r="1168">
      <c r="A1168" s="44" t="str">
        <f>IF(OR($B1168="",$D1168=""),"","TX"&amp;TEXT(ROW()-4,"0000"))</f>
        <v/>
      </c>
      <c r="B1168" s="42" t="n"/>
      <c r="C1168" s="47" t="str">
        <f>IF($B1168="","",YEAR($B1168)*100+MONTH($B1168))</f>
        <v/>
      </c>
      <c r="D1168" s="37" t="n"/>
      <c r="E1168" s="45" t="str">
        <f>IF($D1168="","",IFERROR(INDEX(CARDS!$B$5:$B$34,MATCH($D1168,CARDS!$A$5:$A$34,0)),"⚠ Card ID?"))</f>
        <v/>
      </c>
      <c r="F1168" s="45" t="str">
        <f>IF($D1168="","",IFERROR(INDEX(CARDS!$C$5:$C$34,MATCH($D1168,CARDS!$A$5:$A$34,0)),"⚠ Card ID?"))</f>
        <v/>
      </c>
      <c r="G1168" s="37" t="n"/>
      <c r="H1168" s="37" t="n"/>
      <c r="I1168" s="41" t="n"/>
      <c r="J1168" s="45" t="str">
        <f>IF($I1168="","",IFERROR(INDEX(MCC_MASTER!$B$5:$B$504,MATCH($I1168,MCC_MASTER!$A$5:$A$504,0)),"⚠ MCC chưa có"))</f>
        <v/>
      </c>
      <c r="K1168" s="45" t="str">
        <f>IF($I1168="","",IFERROR(IF(INDEX(MCC_MASTER!$C$5:$C$504,MATCH($I1168,MCC_MASTER!$A$5:$A$504,0))="","Chưa phân loại",INDEX(MCC_MASTER!$C$5:$C$504,MATCH($I1168,MCC_MASTER!$A$5:$A$504,0))),"Chưa phân loại"))</f>
        <v/>
      </c>
      <c r="L1168" s="40" t="n"/>
      <c r="M1168" s="48" t="str">
        <f>IF(OR($B1168="",$D1168=""),"",IF($AC1168=0,0,IF(ISNUMBER(INDEX(CASHBACK_RULES!$L$5:$L$304,$AC1168)),MAX(0,MIN($L1168,INDEX(CASHBACK_RULES!$L$5:$L$304,$AC1168)-$AH1168)),MAX(0,$L1168))))</f>
        <v/>
      </c>
      <c r="N1168" s="49" t="str">
        <f>IF(OR($B1168="",$D1168=""),"",IF($AC1168&gt;0,INDEX(CASHBACK_RULES!$I$5:$I$304,$AC1168),0))</f>
        <v/>
      </c>
      <c r="O1168" s="48" t="str">
        <f>IF(OR($B1168="",$D1168=""),"",ROUND($M1168*$N1168,0))</f>
        <v/>
      </c>
      <c r="P1168" s="48" t="str">
        <f>IF($AC1168&gt;0,IF(ISNUMBER(INDEX(CASHBACK_RULES!$J$5:$J$304,$AC1168)),INDEX(CASHBACK_RULES!$J$5:$J$304,$AC1168),"∞"),"")</f>
        <v/>
      </c>
      <c r="Q1168" s="48" t="str">
        <f>IF(OR($B1168="",$D1168=""),"",IF($AC1168=0,0,MAX(0,MIN($O1168,IF(ISNUMBER($P1168),$P1168-$AF1168,1E+15),IF(ISNUMBER($AA1168),$AA1168-$AG1168,1E+15)))))</f>
        <v/>
      </c>
      <c r="R1168" s="48" t="str">
        <f>IF(OR($B1168="",$D1168=""),"",IF($AC1168=0,"",IF(AND(NOT(ISNUMBER($P1168)),NOT(ISNUMBER($AA1168))),"∞",MAX(0,MIN(IF(ISNUMBER($P1168),$P1168-$AF1168-$Q1168,1E+15),IF(ISNUMBER($AA1168),$AA1168-$AG1168-$Q1168,1E+15))))))</f>
        <v/>
      </c>
      <c r="S1168" s="47" t="str">
        <f>IF($AD1168="","",YEAR($AD1168)*100+MONTH($AD1168))</f>
        <v/>
      </c>
      <c r="T1168" s="50" t="str">
        <f>IF($AD1168="","",IFERROR(IF(INDEX(CARDS!$I$5:$I$34,MATCH($D1168,CARDS!$A$5:$A$34,0))="","",IF(INDEX(CARDS!$I$5:$I$34,MATCH($D1168,CARDS!$A$5:$A$34,0))&gt;INDEX(CARDS!$H$5:$H$34,MATCH($D1168,CARDS!$A$5:$A$34,0)),DATE(YEAR($AD1168),MONTH($AD1168),MIN(INDEX(CARDS!$I$5:$I$34,MATCH($D1168,CARDS!$A$5:$A$34,0)),DAY(EOMONTH($AD1168,0)))),DATE(YEAR($AD1168),MONTH($AD1168)+1,MIN(INDEX(CARDS!$I$5:$I$34,MATCH($D1168,CARDS!$A$5:$A$34,0)),DAY(EOMONTH($AD1168,1)))))),""))</f>
        <v/>
      </c>
      <c r="U1168" s="38" t="n"/>
      <c r="V1168" s="37" t="n"/>
      <c r="W1168" s="38" t="n"/>
      <c r="X1168" s="38" t="n"/>
      <c r="Y1168" s="44" t="str">
        <f>IF($AC1168&gt;0,INDEX(CASHBACK_RULES!$A$5:$A$304,$AC1168),"")</f>
        <v/>
      </c>
      <c r="Z1168" s="45" t="str">
        <f>IF($AC1168&gt;0,INDEX(CASHBACK_RULES!$E$5:$E$304,$AC1168)&amp;"","")</f>
        <v/>
      </c>
      <c r="AA1168" s="48" t="str">
        <f>IF($AC1168&gt;0,IF(ISNUMBER(INDEX(CASHBACK_RULES!$K$5:$K$304,$AC1168)),INDEX(CASHBACK_RULES!$K$5:$K$304,$AC1168),"∞"),"")</f>
        <v/>
      </c>
      <c r="AB1168" s="44" t="str">
        <f>IF(OR($B1168="",$D1168=""),"",IF($U1168="Cancelled","Đã hủy",IF($AC1168=0,"Không được hoàn",IF($Q1168=0,IF(OR($O1168&gt;0,$M1168&lt;$L1168),"Đã đạt cap","Không được hoàn"),IF(OR($Q1168&lt;$O1168,$M1168&lt;$L1168),"Hoàn một phần","Được hoàn")))))</f>
        <v/>
      </c>
      <c r="AC1168" s="43">
        <f>IF(OR($B1168="",$D1168="",$I1168="",$L1168=""),0,IF($U1168="Cancelled",0,IF($W1168&lt;&gt;"",IFERROR(IF(INDEX(CASHBACK_RULES!$B$5:$B$304,MATCH($W1168,CASHBACK_RULES!$A$5:$A$304,0))=$D1168,MATCH($W1168,CASHBACK_RULES!$A$5:$A$304,0),0),0),IFERROR(MATCH(1,INDEX((CASHBACK_RULES!$B$5:$B$304=$D1168)*(CASHBACK_RULES!$G$5:$G$304=$I1168)*(((CASHBACK_RULES!$N$5:$N$304="")+(CASHBACK_RULES!$N$5:$N$304&lt;=$B1168))&gt;0)*(((CASHBACK_RULES!$O$5:$O$304="")+(CASHBACK_RULES!$O$5:$O$304&gt;=$B1168))&gt;0)*(((CASHBACK_RULES!$M$5:$M$304="")+(CASHBACK_RULES!$M$5:$M$304&lt;=$L1168))&gt;0),0),0),0))))</f>
        <v>0</v>
      </c>
      <c r="AD1168" s="51" t="str">
        <f>IF(OR($B1168="",$D1168=""),"",IFERROR(IF(INDEX(CARDS!$H$5:$H$34,MATCH($D1168,CARDS!$A$5:$A$34,0))="","",IF(DAY($B1168)&lt;=INDEX(CARDS!$H$5:$H$34,MATCH($D1168,CARDS!$A$5:$A$34,0)),DATE(YEAR($B1168),MONTH($B1168),MIN(INDEX(CARDS!$H$5:$H$34,MATCH($D1168,CARDS!$A$5:$A$34,0)),DAY(EOMONTH($B1168,0)))),DATE(YEAR($B1168),MONTH($B1168)+1,MIN(INDEX(CARDS!$H$5:$H$34,MATCH($D1168,CARDS!$A$5:$A$34,0)),DAY(EOMONTH($B1168,1)))))),""))</f>
        <v/>
      </c>
      <c r="AE1168" s="52" t="str">
        <f>IF($C1168="","",$C1168&amp;"|"&amp;COUNTIF($C$5:$C1168,$C1168))</f>
        <v/>
      </c>
      <c r="AF1168" s="53">
        <f>IF($AC1168&gt;0,SUMIFS(Q$4:Q1167,$D$4:$D1167,$D1168,$Z$4:$Z1167,$Z1168,$C$4:$C1167,$C1168),0)</f>
        <v>0</v>
      </c>
      <c r="AG1168" s="53">
        <f>IF($AC1168&gt;0,SUMIFS(Q$4:Q1167,$D$4:$D1167,$D1168,$C$4:$C1167,$C1168),0)</f>
        <v>0</v>
      </c>
      <c r="AH1168" s="53">
        <f>IF($AC1168&gt;0,SUMIFS(M$4:M1167,$D$4:$D1167,$D1168,$Z$4:$Z1167,$Z1168,$C$4:$C1167,$C1168),0)</f>
        <v>0</v>
      </c>
      <c r="AI1168" s="43">
        <f>IF(OR($C1168="",$I1168=""),0,IF(COUNTIFS($C$5:$C1168,$C1168,$I$5:$I1168,$I1168)=1,1,0))</f>
        <v>0</v>
      </c>
      <c r="AJ1168" s="43" t="str">
        <f>IF($AI1168=1,SUMIFS($AI$4:$AI1167,$C$4:$C1167,$C1168)+1,"")</f>
        <v/>
      </c>
      <c r="AK1168" s="43">
        <f>IF(OR($C1168="",$K1168=""),0,IF(COUNTIFS($C$5:$C1168,$C1168,$K$5:$K1168,$K1168)=1,1,0))</f>
        <v>0</v>
      </c>
      <c r="AL1168" s="43" t="str">
        <f>IF($AK1168=1,SUMIFS($AK$4:$AK1167,$C$4:$C1167,$C1168)+1,"")</f>
        <v/>
      </c>
      <c r="AM1168" s="43">
        <f>IF(OR($C1168="",$G1168=""),0,IF(COUNTIFS($C$5:$C1168,$C1168,$G$5:$G1168,$G1168)=1,1,0))</f>
        <v>0</v>
      </c>
      <c r="AN1168" s="43" t="str">
        <f>IF($AM1168=1,SUMIFS($AM$4:$AM1167,$C$4:$C1167,$C1168)+1,"")</f>
        <v/>
      </c>
    </row>
    <row r="1169">
      <c r="A1169" s="44" t="str">
        <f>IF(OR($B1169="",$D1169=""),"","TX"&amp;TEXT(ROW()-4,"0000"))</f>
        <v/>
      </c>
      <c r="B1169" s="42" t="n"/>
      <c r="C1169" s="47" t="str">
        <f>IF($B1169="","",YEAR($B1169)*100+MONTH($B1169))</f>
        <v/>
      </c>
      <c r="D1169" s="37" t="n"/>
      <c r="E1169" s="45" t="str">
        <f>IF($D1169="","",IFERROR(INDEX(CARDS!$B$5:$B$34,MATCH($D1169,CARDS!$A$5:$A$34,0)),"⚠ Card ID?"))</f>
        <v/>
      </c>
      <c r="F1169" s="45" t="str">
        <f>IF($D1169="","",IFERROR(INDEX(CARDS!$C$5:$C$34,MATCH($D1169,CARDS!$A$5:$A$34,0)),"⚠ Card ID?"))</f>
        <v/>
      </c>
      <c r="G1169" s="37" t="n"/>
      <c r="H1169" s="37" t="n"/>
      <c r="I1169" s="41" t="n"/>
      <c r="J1169" s="45" t="str">
        <f>IF($I1169="","",IFERROR(INDEX(MCC_MASTER!$B$5:$B$504,MATCH($I1169,MCC_MASTER!$A$5:$A$504,0)),"⚠ MCC chưa có"))</f>
        <v/>
      </c>
      <c r="K1169" s="45" t="str">
        <f>IF($I1169="","",IFERROR(IF(INDEX(MCC_MASTER!$C$5:$C$504,MATCH($I1169,MCC_MASTER!$A$5:$A$504,0))="","Chưa phân loại",INDEX(MCC_MASTER!$C$5:$C$504,MATCH($I1169,MCC_MASTER!$A$5:$A$504,0))),"Chưa phân loại"))</f>
        <v/>
      </c>
      <c r="L1169" s="40" t="n"/>
      <c r="M1169" s="48" t="str">
        <f>IF(OR($B1169="",$D1169=""),"",IF($AC1169=0,0,IF(ISNUMBER(INDEX(CASHBACK_RULES!$L$5:$L$304,$AC1169)),MAX(0,MIN($L1169,INDEX(CASHBACK_RULES!$L$5:$L$304,$AC1169)-$AH1169)),MAX(0,$L1169))))</f>
        <v/>
      </c>
      <c r="N1169" s="49" t="str">
        <f>IF(OR($B1169="",$D1169=""),"",IF($AC1169&gt;0,INDEX(CASHBACK_RULES!$I$5:$I$304,$AC1169),0))</f>
        <v/>
      </c>
      <c r="O1169" s="48" t="str">
        <f>IF(OR($B1169="",$D1169=""),"",ROUND($M1169*$N1169,0))</f>
        <v/>
      </c>
      <c r="P1169" s="48" t="str">
        <f>IF($AC1169&gt;0,IF(ISNUMBER(INDEX(CASHBACK_RULES!$J$5:$J$304,$AC1169)),INDEX(CASHBACK_RULES!$J$5:$J$304,$AC1169),"∞"),"")</f>
        <v/>
      </c>
      <c r="Q1169" s="48" t="str">
        <f>IF(OR($B1169="",$D1169=""),"",IF($AC1169=0,0,MAX(0,MIN($O1169,IF(ISNUMBER($P1169),$P1169-$AF1169,1E+15),IF(ISNUMBER($AA1169),$AA1169-$AG1169,1E+15)))))</f>
        <v/>
      </c>
      <c r="R1169" s="48" t="str">
        <f>IF(OR($B1169="",$D1169=""),"",IF($AC1169=0,"",IF(AND(NOT(ISNUMBER($P1169)),NOT(ISNUMBER($AA1169))),"∞",MAX(0,MIN(IF(ISNUMBER($P1169),$P1169-$AF1169-$Q1169,1E+15),IF(ISNUMBER($AA1169),$AA1169-$AG1169-$Q1169,1E+15))))))</f>
        <v/>
      </c>
      <c r="S1169" s="47" t="str">
        <f>IF($AD1169="","",YEAR($AD1169)*100+MONTH($AD1169))</f>
        <v/>
      </c>
      <c r="T1169" s="50" t="str">
        <f>IF($AD1169="","",IFERROR(IF(INDEX(CARDS!$I$5:$I$34,MATCH($D1169,CARDS!$A$5:$A$34,0))="","",IF(INDEX(CARDS!$I$5:$I$34,MATCH($D1169,CARDS!$A$5:$A$34,0))&gt;INDEX(CARDS!$H$5:$H$34,MATCH($D1169,CARDS!$A$5:$A$34,0)),DATE(YEAR($AD1169),MONTH($AD1169),MIN(INDEX(CARDS!$I$5:$I$34,MATCH($D1169,CARDS!$A$5:$A$34,0)),DAY(EOMONTH($AD1169,0)))),DATE(YEAR($AD1169),MONTH($AD1169)+1,MIN(INDEX(CARDS!$I$5:$I$34,MATCH($D1169,CARDS!$A$5:$A$34,0)),DAY(EOMONTH($AD1169,1)))))),""))</f>
        <v/>
      </c>
      <c r="U1169" s="38" t="n"/>
      <c r="V1169" s="37" t="n"/>
      <c r="W1169" s="38" t="n"/>
      <c r="X1169" s="38" t="n"/>
      <c r="Y1169" s="44" t="str">
        <f>IF($AC1169&gt;0,INDEX(CASHBACK_RULES!$A$5:$A$304,$AC1169),"")</f>
        <v/>
      </c>
      <c r="Z1169" s="45" t="str">
        <f>IF($AC1169&gt;0,INDEX(CASHBACK_RULES!$E$5:$E$304,$AC1169)&amp;"","")</f>
        <v/>
      </c>
      <c r="AA1169" s="48" t="str">
        <f>IF($AC1169&gt;0,IF(ISNUMBER(INDEX(CASHBACK_RULES!$K$5:$K$304,$AC1169)),INDEX(CASHBACK_RULES!$K$5:$K$304,$AC1169),"∞"),"")</f>
        <v/>
      </c>
      <c r="AB1169" s="44" t="str">
        <f>IF(OR($B1169="",$D1169=""),"",IF($U1169="Cancelled","Đã hủy",IF($AC1169=0,"Không được hoàn",IF($Q1169=0,IF(OR($O1169&gt;0,$M1169&lt;$L1169),"Đã đạt cap","Không được hoàn"),IF(OR($Q1169&lt;$O1169,$M1169&lt;$L1169),"Hoàn một phần","Được hoàn")))))</f>
        <v/>
      </c>
      <c r="AC1169" s="43">
        <f>IF(OR($B1169="",$D1169="",$I1169="",$L1169=""),0,IF($U1169="Cancelled",0,IF($W1169&lt;&gt;"",IFERROR(IF(INDEX(CASHBACK_RULES!$B$5:$B$304,MATCH($W1169,CASHBACK_RULES!$A$5:$A$304,0))=$D1169,MATCH($W1169,CASHBACK_RULES!$A$5:$A$304,0),0),0),IFERROR(MATCH(1,INDEX((CASHBACK_RULES!$B$5:$B$304=$D1169)*(CASHBACK_RULES!$G$5:$G$304=$I1169)*(((CASHBACK_RULES!$N$5:$N$304="")+(CASHBACK_RULES!$N$5:$N$304&lt;=$B1169))&gt;0)*(((CASHBACK_RULES!$O$5:$O$304="")+(CASHBACK_RULES!$O$5:$O$304&gt;=$B1169))&gt;0)*(((CASHBACK_RULES!$M$5:$M$304="")+(CASHBACK_RULES!$M$5:$M$304&lt;=$L1169))&gt;0),0),0),0))))</f>
        <v>0</v>
      </c>
      <c r="AD1169" s="51" t="str">
        <f>IF(OR($B1169="",$D1169=""),"",IFERROR(IF(INDEX(CARDS!$H$5:$H$34,MATCH($D1169,CARDS!$A$5:$A$34,0))="","",IF(DAY($B1169)&lt;=INDEX(CARDS!$H$5:$H$34,MATCH($D1169,CARDS!$A$5:$A$34,0)),DATE(YEAR($B1169),MONTH($B1169),MIN(INDEX(CARDS!$H$5:$H$34,MATCH($D1169,CARDS!$A$5:$A$34,0)),DAY(EOMONTH($B1169,0)))),DATE(YEAR($B1169),MONTH($B1169)+1,MIN(INDEX(CARDS!$H$5:$H$34,MATCH($D1169,CARDS!$A$5:$A$34,0)),DAY(EOMONTH($B1169,1)))))),""))</f>
        <v/>
      </c>
      <c r="AE1169" s="52" t="str">
        <f>IF($C1169="","",$C1169&amp;"|"&amp;COUNTIF($C$5:$C1169,$C1169))</f>
        <v/>
      </c>
      <c r="AF1169" s="53">
        <f>IF($AC1169&gt;0,SUMIFS(Q$4:Q1168,$D$4:$D1168,$D1169,$Z$4:$Z1168,$Z1169,$C$4:$C1168,$C1169),0)</f>
        <v>0</v>
      </c>
      <c r="AG1169" s="53">
        <f>IF($AC1169&gt;0,SUMIFS(Q$4:Q1168,$D$4:$D1168,$D1169,$C$4:$C1168,$C1169),0)</f>
        <v>0</v>
      </c>
      <c r="AH1169" s="53">
        <f>IF($AC1169&gt;0,SUMIFS(M$4:M1168,$D$4:$D1168,$D1169,$Z$4:$Z1168,$Z1169,$C$4:$C1168,$C1169),0)</f>
        <v>0</v>
      </c>
      <c r="AI1169" s="43">
        <f>IF(OR($C1169="",$I1169=""),0,IF(COUNTIFS($C$5:$C1169,$C1169,$I$5:$I1169,$I1169)=1,1,0))</f>
        <v>0</v>
      </c>
      <c r="AJ1169" s="43" t="str">
        <f>IF($AI1169=1,SUMIFS($AI$4:$AI1168,$C$4:$C1168,$C1169)+1,"")</f>
        <v/>
      </c>
      <c r="AK1169" s="43">
        <f>IF(OR($C1169="",$K1169=""),0,IF(COUNTIFS($C$5:$C1169,$C1169,$K$5:$K1169,$K1169)=1,1,0))</f>
        <v>0</v>
      </c>
      <c r="AL1169" s="43" t="str">
        <f>IF($AK1169=1,SUMIFS($AK$4:$AK1168,$C$4:$C1168,$C1169)+1,"")</f>
        <v/>
      </c>
      <c r="AM1169" s="43">
        <f>IF(OR($C1169="",$G1169=""),0,IF(COUNTIFS($C$5:$C1169,$C1169,$G$5:$G1169,$G1169)=1,1,0))</f>
        <v>0</v>
      </c>
      <c r="AN1169" s="43" t="str">
        <f>IF($AM1169=1,SUMIFS($AM$4:$AM1168,$C$4:$C1168,$C1169)+1,"")</f>
        <v/>
      </c>
    </row>
    <row r="1170">
      <c r="A1170" s="44" t="str">
        <f>IF(OR($B1170="",$D1170=""),"","TX"&amp;TEXT(ROW()-4,"0000"))</f>
        <v/>
      </c>
      <c r="B1170" s="42" t="n"/>
      <c r="C1170" s="47" t="str">
        <f>IF($B1170="","",YEAR($B1170)*100+MONTH($B1170))</f>
        <v/>
      </c>
      <c r="D1170" s="37" t="n"/>
      <c r="E1170" s="45" t="str">
        <f>IF($D1170="","",IFERROR(INDEX(CARDS!$B$5:$B$34,MATCH($D1170,CARDS!$A$5:$A$34,0)),"⚠ Card ID?"))</f>
        <v/>
      </c>
      <c r="F1170" s="45" t="str">
        <f>IF($D1170="","",IFERROR(INDEX(CARDS!$C$5:$C$34,MATCH($D1170,CARDS!$A$5:$A$34,0)),"⚠ Card ID?"))</f>
        <v/>
      </c>
      <c r="G1170" s="37" t="n"/>
      <c r="H1170" s="37" t="n"/>
      <c r="I1170" s="41" t="n"/>
      <c r="J1170" s="45" t="str">
        <f>IF($I1170="","",IFERROR(INDEX(MCC_MASTER!$B$5:$B$504,MATCH($I1170,MCC_MASTER!$A$5:$A$504,0)),"⚠ MCC chưa có"))</f>
        <v/>
      </c>
      <c r="K1170" s="45" t="str">
        <f>IF($I1170="","",IFERROR(IF(INDEX(MCC_MASTER!$C$5:$C$504,MATCH($I1170,MCC_MASTER!$A$5:$A$504,0))="","Chưa phân loại",INDEX(MCC_MASTER!$C$5:$C$504,MATCH($I1170,MCC_MASTER!$A$5:$A$504,0))),"Chưa phân loại"))</f>
        <v/>
      </c>
      <c r="L1170" s="40" t="n"/>
      <c r="M1170" s="48" t="str">
        <f>IF(OR($B1170="",$D1170=""),"",IF($AC1170=0,0,IF(ISNUMBER(INDEX(CASHBACK_RULES!$L$5:$L$304,$AC1170)),MAX(0,MIN($L1170,INDEX(CASHBACK_RULES!$L$5:$L$304,$AC1170)-$AH1170)),MAX(0,$L1170))))</f>
        <v/>
      </c>
      <c r="N1170" s="49" t="str">
        <f>IF(OR($B1170="",$D1170=""),"",IF($AC1170&gt;0,INDEX(CASHBACK_RULES!$I$5:$I$304,$AC1170),0))</f>
        <v/>
      </c>
      <c r="O1170" s="48" t="str">
        <f>IF(OR($B1170="",$D1170=""),"",ROUND($M1170*$N1170,0))</f>
        <v/>
      </c>
      <c r="P1170" s="48" t="str">
        <f>IF($AC1170&gt;0,IF(ISNUMBER(INDEX(CASHBACK_RULES!$J$5:$J$304,$AC1170)),INDEX(CASHBACK_RULES!$J$5:$J$304,$AC1170),"∞"),"")</f>
        <v/>
      </c>
      <c r="Q1170" s="48" t="str">
        <f>IF(OR($B1170="",$D1170=""),"",IF($AC1170=0,0,MAX(0,MIN($O1170,IF(ISNUMBER($P1170),$P1170-$AF1170,1E+15),IF(ISNUMBER($AA1170),$AA1170-$AG1170,1E+15)))))</f>
        <v/>
      </c>
      <c r="R1170" s="48" t="str">
        <f>IF(OR($B1170="",$D1170=""),"",IF($AC1170=0,"",IF(AND(NOT(ISNUMBER($P1170)),NOT(ISNUMBER($AA1170))),"∞",MAX(0,MIN(IF(ISNUMBER($P1170),$P1170-$AF1170-$Q1170,1E+15),IF(ISNUMBER($AA1170),$AA1170-$AG1170-$Q1170,1E+15))))))</f>
        <v/>
      </c>
      <c r="S1170" s="47" t="str">
        <f>IF($AD1170="","",YEAR($AD1170)*100+MONTH($AD1170))</f>
        <v/>
      </c>
      <c r="T1170" s="50" t="str">
        <f>IF($AD1170="","",IFERROR(IF(INDEX(CARDS!$I$5:$I$34,MATCH($D1170,CARDS!$A$5:$A$34,0))="","",IF(INDEX(CARDS!$I$5:$I$34,MATCH($D1170,CARDS!$A$5:$A$34,0))&gt;INDEX(CARDS!$H$5:$H$34,MATCH($D1170,CARDS!$A$5:$A$34,0)),DATE(YEAR($AD1170),MONTH($AD1170),MIN(INDEX(CARDS!$I$5:$I$34,MATCH($D1170,CARDS!$A$5:$A$34,0)),DAY(EOMONTH($AD1170,0)))),DATE(YEAR($AD1170),MONTH($AD1170)+1,MIN(INDEX(CARDS!$I$5:$I$34,MATCH($D1170,CARDS!$A$5:$A$34,0)),DAY(EOMONTH($AD1170,1)))))),""))</f>
        <v/>
      </c>
      <c r="U1170" s="38" t="n"/>
      <c r="V1170" s="37" t="n"/>
      <c r="W1170" s="38" t="n"/>
      <c r="X1170" s="38" t="n"/>
      <c r="Y1170" s="44" t="str">
        <f>IF($AC1170&gt;0,INDEX(CASHBACK_RULES!$A$5:$A$304,$AC1170),"")</f>
        <v/>
      </c>
      <c r="Z1170" s="45" t="str">
        <f>IF($AC1170&gt;0,INDEX(CASHBACK_RULES!$E$5:$E$304,$AC1170)&amp;"","")</f>
        <v/>
      </c>
      <c r="AA1170" s="48" t="str">
        <f>IF($AC1170&gt;0,IF(ISNUMBER(INDEX(CASHBACK_RULES!$K$5:$K$304,$AC1170)),INDEX(CASHBACK_RULES!$K$5:$K$304,$AC1170),"∞"),"")</f>
        <v/>
      </c>
      <c r="AB1170" s="44" t="str">
        <f>IF(OR($B1170="",$D1170=""),"",IF($U1170="Cancelled","Đã hủy",IF($AC1170=0,"Không được hoàn",IF($Q1170=0,IF(OR($O1170&gt;0,$M1170&lt;$L1170),"Đã đạt cap","Không được hoàn"),IF(OR($Q1170&lt;$O1170,$M1170&lt;$L1170),"Hoàn một phần","Được hoàn")))))</f>
        <v/>
      </c>
      <c r="AC1170" s="43">
        <f>IF(OR($B1170="",$D1170="",$I1170="",$L1170=""),0,IF($U1170="Cancelled",0,IF($W1170&lt;&gt;"",IFERROR(IF(INDEX(CASHBACK_RULES!$B$5:$B$304,MATCH($W1170,CASHBACK_RULES!$A$5:$A$304,0))=$D1170,MATCH($W1170,CASHBACK_RULES!$A$5:$A$304,0),0),0),IFERROR(MATCH(1,INDEX((CASHBACK_RULES!$B$5:$B$304=$D1170)*(CASHBACK_RULES!$G$5:$G$304=$I1170)*(((CASHBACK_RULES!$N$5:$N$304="")+(CASHBACK_RULES!$N$5:$N$304&lt;=$B1170))&gt;0)*(((CASHBACK_RULES!$O$5:$O$304="")+(CASHBACK_RULES!$O$5:$O$304&gt;=$B1170))&gt;0)*(((CASHBACK_RULES!$M$5:$M$304="")+(CASHBACK_RULES!$M$5:$M$304&lt;=$L1170))&gt;0),0),0),0))))</f>
        <v>0</v>
      </c>
      <c r="AD1170" s="51" t="str">
        <f>IF(OR($B1170="",$D1170=""),"",IFERROR(IF(INDEX(CARDS!$H$5:$H$34,MATCH($D1170,CARDS!$A$5:$A$34,0))="","",IF(DAY($B1170)&lt;=INDEX(CARDS!$H$5:$H$34,MATCH($D1170,CARDS!$A$5:$A$34,0)),DATE(YEAR($B1170),MONTH($B1170),MIN(INDEX(CARDS!$H$5:$H$34,MATCH($D1170,CARDS!$A$5:$A$34,0)),DAY(EOMONTH($B1170,0)))),DATE(YEAR($B1170),MONTH($B1170)+1,MIN(INDEX(CARDS!$H$5:$H$34,MATCH($D1170,CARDS!$A$5:$A$34,0)),DAY(EOMONTH($B1170,1)))))),""))</f>
        <v/>
      </c>
      <c r="AE1170" s="52" t="str">
        <f>IF($C1170="","",$C1170&amp;"|"&amp;COUNTIF($C$5:$C1170,$C1170))</f>
        <v/>
      </c>
      <c r="AF1170" s="53">
        <f>IF($AC1170&gt;0,SUMIFS(Q$4:Q1169,$D$4:$D1169,$D1170,$Z$4:$Z1169,$Z1170,$C$4:$C1169,$C1170),0)</f>
        <v>0</v>
      </c>
      <c r="AG1170" s="53">
        <f>IF($AC1170&gt;0,SUMIFS(Q$4:Q1169,$D$4:$D1169,$D1170,$C$4:$C1169,$C1170),0)</f>
        <v>0</v>
      </c>
      <c r="AH1170" s="53">
        <f>IF($AC1170&gt;0,SUMIFS(M$4:M1169,$D$4:$D1169,$D1170,$Z$4:$Z1169,$Z1170,$C$4:$C1169,$C1170),0)</f>
        <v>0</v>
      </c>
      <c r="AI1170" s="43">
        <f>IF(OR($C1170="",$I1170=""),0,IF(COUNTIFS($C$5:$C1170,$C1170,$I$5:$I1170,$I1170)=1,1,0))</f>
        <v>0</v>
      </c>
      <c r="AJ1170" s="43" t="str">
        <f>IF($AI1170=1,SUMIFS($AI$4:$AI1169,$C$4:$C1169,$C1170)+1,"")</f>
        <v/>
      </c>
      <c r="AK1170" s="43">
        <f>IF(OR($C1170="",$K1170=""),0,IF(COUNTIFS($C$5:$C1170,$C1170,$K$5:$K1170,$K1170)=1,1,0))</f>
        <v>0</v>
      </c>
      <c r="AL1170" s="43" t="str">
        <f>IF($AK1170=1,SUMIFS($AK$4:$AK1169,$C$4:$C1169,$C1170)+1,"")</f>
        <v/>
      </c>
      <c r="AM1170" s="43">
        <f>IF(OR($C1170="",$G1170=""),0,IF(COUNTIFS($C$5:$C1170,$C1170,$G$5:$G1170,$G1170)=1,1,0))</f>
        <v>0</v>
      </c>
      <c r="AN1170" s="43" t="str">
        <f>IF($AM1170=1,SUMIFS($AM$4:$AM1169,$C$4:$C1169,$C1170)+1,"")</f>
        <v/>
      </c>
    </row>
    <row r="1171">
      <c r="A1171" s="44" t="str">
        <f>IF(OR($B1171="",$D1171=""),"","TX"&amp;TEXT(ROW()-4,"0000"))</f>
        <v/>
      </c>
      <c r="B1171" s="42" t="n"/>
      <c r="C1171" s="47" t="str">
        <f>IF($B1171="","",YEAR($B1171)*100+MONTH($B1171))</f>
        <v/>
      </c>
      <c r="D1171" s="37" t="n"/>
      <c r="E1171" s="45" t="str">
        <f>IF($D1171="","",IFERROR(INDEX(CARDS!$B$5:$B$34,MATCH($D1171,CARDS!$A$5:$A$34,0)),"⚠ Card ID?"))</f>
        <v/>
      </c>
      <c r="F1171" s="45" t="str">
        <f>IF($D1171="","",IFERROR(INDEX(CARDS!$C$5:$C$34,MATCH($D1171,CARDS!$A$5:$A$34,0)),"⚠ Card ID?"))</f>
        <v/>
      </c>
      <c r="G1171" s="37" t="n"/>
      <c r="H1171" s="37" t="n"/>
      <c r="I1171" s="41" t="n"/>
      <c r="J1171" s="45" t="str">
        <f>IF($I1171="","",IFERROR(INDEX(MCC_MASTER!$B$5:$B$504,MATCH($I1171,MCC_MASTER!$A$5:$A$504,0)),"⚠ MCC chưa có"))</f>
        <v/>
      </c>
      <c r="K1171" s="45" t="str">
        <f>IF($I1171="","",IFERROR(IF(INDEX(MCC_MASTER!$C$5:$C$504,MATCH($I1171,MCC_MASTER!$A$5:$A$504,0))="","Chưa phân loại",INDEX(MCC_MASTER!$C$5:$C$504,MATCH($I1171,MCC_MASTER!$A$5:$A$504,0))),"Chưa phân loại"))</f>
        <v/>
      </c>
      <c r="L1171" s="40" t="n"/>
      <c r="M1171" s="48" t="str">
        <f>IF(OR($B1171="",$D1171=""),"",IF($AC1171=0,0,IF(ISNUMBER(INDEX(CASHBACK_RULES!$L$5:$L$304,$AC1171)),MAX(0,MIN($L1171,INDEX(CASHBACK_RULES!$L$5:$L$304,$AC1171)-$AH1171)),MAX(0,$L1171))))</f>
        <v/>
      </c>
      <c r="N1171" s="49" t="str">
        <f>IF(OR($B1171="",$D1171=""),"",IF($AC1171&gt;0,INDEX(CASHBACK_RULES!$I$5:$I$304,$AC1171),0))</f>
        <v/>
      </c>
      <c r="O1171" s="48" t="str">
        <f>IF(OR($B1171="",$D1171=""),"",ROUND($M1171*$N1171,0))</f>
        <v/>
      </c>
      <c r="P1171" s="48" t="str">
        <f>IF($AC1171&gt;0,IF(ISNUMBER(INDEX(CASHBACK_RULES!$J$5:$J$304,$AC1171)),INDEX(CASHBACK_RULES!$J$5:$J$304,$AC1171),"∞"),"")</f>
        <v/>
      </c>
      <c r="Q1171" s="48" t="str">
        <f>IF(OR($B1171="",$D1171=""),"",IF($AC1171=0,0,MAX(0,MIN($O1171,IF(ISNUMBER($P1171),$P1171-$AF1171,1E+15),IF(ISNUMBER($AA1171),$AA1171-$AG1171,1E+15)))))</f>
        <v/>
      </c>
      <c r="R1171" s="48" t="str">
        <f>IF(OR($B1171="",$D1171=""),"",IF($AC1171=0,"",IF(AND(NOT(ISNUMBER($P1171)),NOT(ISNUMBER($AA1171))),"∞",MAX(0,MIN(IF(ISNUMBER($P1171),$P1171-$AF1171-$Q1171,1E+15),IF(ISNUMBER($AA1171),$AA1171-$AG1171-$Q1171,1E+15))))))</f>
        <v/>
      </c>
      <c r="S1171" s="47" t="str">
        <f>IF($AD1171="","",YEAR($AD1171)*100+MONTH($AD1171))</f>
        <v/>
      </c>
      <c r="T1171" s="50" t="str">
        <f>IF($AD1171="","",IFERROR(IF(INDEX(CARDS!$I$5:$I$34,MATCH($D1171,CARDS!$A$5:$A$34,0))="","",IF(INDEX(CARDS!$I$5:$I$34,MATCH($D1171,CARDS!$A$5:$A$34,0))&gt;INDEX(CARDS!$H$5:$H$34,MATCH($D1171,CARDS!$A$5:$A$34,0)),DATE(YEAR($AD1171),MONTH($AD1171),MIN(INDEX(CARDS!$I$5:$I$34,MATCH($D1171,CARDS!$A$5:$A$34,0)),DAY(EOMONTH($AD1171,0)))),DATE(YEAR($AD1171),MONTH($AD1171)+1,MIN(INDEX(CARDS!$I$5:$I$34,MATCH($D1171,CARDS!$A$5:$A$34,0)),DAY(EOMONTH($AD1171,1)))))),""))</f>
        <v/>
      </c>
      <c r="U1171" s="38" t="n"/>
      <c r="V1171" s="37" t="n"/>
      <c r="W1171" s="38" t="n"/>
      <c r="X1171" s="38" t="n"/>
      <c r="Y1171" s="44" t="str">
        <f>IF($AC1171&gt;0,INDEX(CASHBACK_RULES!$A$5:$A$304,$AC1171),"")</f>
        <v/>
      </c>
      <c r="Z1171" s="45" t="str">
        <f>IF($AC1171&gt;0,INDEX(CASHBACK_RULES!$E$5:$E$304,$AC1171)&amp;"","")</f>
        <v/>
      </c>
      <c r="AA1171" s="48" t="str">
        <f>IF($AC1171&gt;0,IF(ISNUMBER(INDEX(CASHBACK_RULES!$K$5:$K$304,$AC1171)),INDEX(CASHBACK_RULES!$K$5:$K$304,$AC1171),"∞"),"")</f>
        <v/>
      </c>
      <c r="AB1171" s="44" t="str">
        <f>IF(OR($B1171="",$D1171=""),"",IF($U1171="Cancelled","Đã hủy",IF($AC1171=0,"Không được hoàn",IF($Q1171=0,IF(OR($O1171&gt;0,$M1171&lt;$L1171),"Đã đạt cap","Không được hoàn"),IF(OR($Q1171&lt;$O1171,$M1171&lt;$L1171),"Hoàn một phần","Được hoàn")))))</f>
        <v/>
      </c>
      <c r="AC1171" s="43">
        <f>IF(OR($B1171="",$D1171="",$I1171="",$L1171=""),0,IF($U1171="Cancelled",0,IF($W1171&lt;&gt;"",IFERROR(IF(INDEX(CASHBACK_RULES!$B$5:$B$304,MATCH($W1171,CASHBACK_RULES!$A$5:$A$304,0))=$D1171,MATCH($W1171,CASHBACK_RULES!$A$5:$A$304,0),0),0),IFERROR(MATCH(1,INDEX((CASHBACK_RULES!$B$5:$B$304=$D1171)*(CASHBACK_RULES!$G$5:$G$304=$I1171)*(((CASHBACK_RULES!$N$5:$N$304="")+(CASHBACK_RULES!$N$5:$N$304&lt;=$B1171))&gt;0)*(((CASHBACK_RULES!$O$5:$O$304="")+(CASHBACK_RULES!$O$5:$O$304&gt;=$B1171))&gt;0)*(((CASHBACK_RULES!$M$5:$M$304="")+(CASHBACK_RULES!$M$5:$M$304&lt;=$L1171))&gt;0),0),0),0))))</f>
        <v>0</v>
      </c>
      <c r="AD1171" s="51" t="str">
        <f>IF(OR($B1171="",$D1171=""),"",IFERROR(IF(INDEX(CARDS!$H$5:$H$34,MATCH($D1171,CARDS!$A$5:$A$34,0))="","",IF(DAY($B1171)&lt;=INDEX(CARDS!$H$5:$H$34,MATCH($D1171,CARDS!$A$5:$A$34,0)),DATE(YEAR($B1171),MONTH($B1171),MIN(INDEX(CARDS!$H$5:$H$34,MATCH($D1171,CARDS!$A$5:$A$34,0)),DAY(EOMONTH($B1171,0)))),DATE(YEAR($B1171),MONTH($B1171)+1,MIN(INDEX(CARDS!$H$5:$H$34,MATCH($D1171,CARDS!$A$5:$A$34,0)),DAY(EOMONTH($B1171,1)))))),""))</f>
        <v/>
      </c>
      <c r="AE1171" s="52" t="str">
        <f>IF($C1171="","",$C1171&amp;"|"&amp;COUNTIF($C$5:$C1171,$C1171))</f>
        <v/>
      </c>
      <c r="AF1171" s="53">
        <f>IF($AC1171&gt;0,SUMIFS(Q$4:Q1170,$D$4:$D1170,$D1171,$Z$4:$Z1170,$Z1171,$C$4:$C1170,$C1171),0)</f>
        <v>0</v>
      </c>
      <c r="AG1171" s="53">
        <f>IF($AC1171&gt;0,SUMIFS(Q$4:Q1170,$D$4:$D1170,$D1171,$C$4:$C1170,$C1171),0)</f>
        <v>0</v>
      </c>
      <c r="AH1171" s="53">
        <f>IF($AC1171&gt;0,SUMIFS(M$4:M1170,$D$4:$D1170,$D1171,$Z$4:$Z1170,$Z1171,$C$4:$C1170,$C1171),0)</f>
        <v>0</v>
      </c>
      <c r="AI1171" s="43">
        <f>IF(OR($C1171="",$I1171=""),0,IF(COUNTIFS($C$5:$C1171,$C1171,$I$5:$I1171,$I1171)=1,1,0))</f>
        <v>0</v>
      </c>
      <c r="AJ1171" s="43" t="str">
        <f>IF($AI1171=1,SUMIFS($AI$4:$AI1170,$C$4:$C1170,$C1171)+1,"")</f>
        <v/>
      </c>
      <c r="AK1171" s="43">
        <f>IF(OR($C1171="",$K1171=""),0,IF(COUNTIFS($C$5:$C1171,$C1171,$K$5:$K1171,$K1171)=1,1,0))</f>
        <v>0</v>
      </c>
      <c r="AL1171" s="43" t="str">
        <f>IF($AK1171=1,SUMIFS($AK$4:$AK1170,$C$4:$C1170,$C1171)+1,"")</f>
        <v/>
      </c>
      <c r="AM1171" s="43">
        <f>IF(OR($C1171="",$G1171=""),0,IF(COUNTIFS($C$5:$C1171,$C1171,$G$5:$G1171,$G1171)=1,1,0))</f>
        <v>0</v>
      </c>
      <c r="AN1171" s="43" t="str">
        <f>IF($AM1171=1,SUMIFS($AM$4:$AM1170,$C$4:$C1170,$C1171)+1,"")</f>
        <v/>
      </c>
    </row>
    <row r="1172">
      <c r="A1172" s="44" t="str">
        <f>IF(OR($B1172="",$D1172=""),"","TX"&amp;TEXT(ROW()-4,"0000"))</f>
        <v/>
      </c>
      <c r="B1172" s="42" t="n"/>
      <c r="C1172" s="47" t="str">
        <f>IF($B1172="","",YEAR($B1172)*100+MONTH($B1172))</f>
        <v/>
      </c>
      <c r="D1172" s="37" t="n"/>
      <c r="E1172" s="45" t="str">
        <f>IF($D1172="","",IFERROR(INDEX(CARDS!$B$5:$B$34,MATCH($D1172,CARDS!$A$5:$A$34,0)),"⚠ Card ID?"))</f>
        <v/>
      </c>
      <c r="F1172" s="45" t="str">
        <f>IF($D1172="","",IFERROR(INDEX(CARDS!$C$5:$C$34,MATCH($D1172,CARDS!$A$5:$A$34,0)),"⚠ Card ID?"))</f>
        <v/>
      </c>
      <c r="G1172" s="37" t="n"/>
      <c r="H1172" s="37" t="n"/>
      <c r="I1172" s="41" t="n"/>
      <c r="J1172" s="45" t="str">
        <f>IF($I1172="","",IFERROR(INDEX(MCC_MASTER!$B$5:$B$504,MATCH($I1172,MCC_MASTER!$A$5:$A$504,0)),"⚠ MCC chưa có"))</f>
        <v/>
      </c>
      <c r="K1172" s="45" t="str">
        <f>IF($I1172="","",IFERROR(IF(INDEX(MCC_MASTER!$C$5:$C$504,MATCH($I1172,MCC_MASTER!$A$5:$A$504,0))="","Chưa phân loại",INDEX(MCC_MASTER!$C$5:$C$504,MATCH($I1172,MCC_MASTER!$A$5:$A$504,0))),"Chưa phân loại"))</f>
        <v/>
      </c>
      <c r="L1172" s="40" t="n"/>
      <c r="M1172" s="48" t="str">
        <f>IF(OR($B1172="",$D1172=""),"",IF($AC1172=0,0,IF(ISNUMBER(INDEX(CASHBACK_RULES!$L$5:$L$304,$AC1172)),MAX(0,MIN($L1172,INDEX(CASHBACK_RULES!$L$5:$L$304,$AC1172)-$AH1172)),MAX(0,$L1172))))</f>
        <v/>
      </c>
      <c r="N1172" s="49" t="str">
        <f>IF(OR($B1172="",$D1172=""),"",IF($AC1172&gt;0,INDEX(CASHBACK_RULES!$I$5:$I$304,$AC1172),0))</f>
        <v/>
      </c>
      <c r="O1172" s="48" t="str">
        <f>IF(OR($B1172="",$D1172=""),"",ROUND($M1172*$N1172,0))</f>
        <v/>
      </c>
      <c r="P1172" s="48" t="str">
        <f>IF($AC1172&gt;0,IF(ISNUMBER(INDEX(CASHBACK_RULES!$J$5:$J$304,$AC1172)),INDEX(CASHBACK_RULES!$J$5:$J$304,$AC1172),"∞"),"")</f>
        <v/>
      </c>
      <c r="Q1172" s="48" t="str">
        <f>IF(OR($B1172="",$D1172=""),"",IF($AC1172=0,0,MAX(0,MIN($O1172,IF(ISNUMBER($P1172),$P1172-$AF1172,1E+15),IF(ISNUMBER($AA1172),$AA1172-$AG1172,1E+15)))))</f>
        <v/>
      </c>
      <c r="R1172" s="48" t="str">
        <f>IF(OR($B1172="",$D1172=""),"",IF($AC1172=0,"",IF(AND(NOT(ISNUMBER($P1172)),NOT(ISNUMBER($AA1172))),"∞",MAX(0,MIN(IF(ISNUMBER($P1172),$P1172-$AF1172-$Q1172,1E+15),IF(ISNUMBER($AA1172),$AA1172-$AG1172-$Q1172,1E+15))))))</f>
        <v/>
      </c>
      <c r="S1172" s="47" t="str">
        <f>IF($AD1172="","",YEAR($AD1172)*100+MONTH($AD1172))</f>
        <v/>
      </c>
      <c r="T1172" s="50" t="str">
        <f>IF($AD1172="","",IFERROR(IF(INDEX(CARDS!$I$5:$I$34,MATCH($D1172,CARDS!$A$5:$A$34,0))="","",IF(INDEX(CARDS!$I$5:$I$34,MATCH($D1172,CARDS!$A$5:$A$34,0))&gt;INDEX(CARDS!$H$5:$H$34,MATCH($D1172,CARDS!$A$5:$A$34,0)),DATE(YEAR($AD1172),MONTH($AD1172),MIN(INDEX(CARDS!$I$5:$I$34,MATCH($D1172,CARDS!$A$5:$A$34,0)),DAY(EOMONTH($AD1172,0)))),DATE(YEAR($AD1172),MONTH($AD1172)+1,MIN(INDEX(CARDS!$I$5:$I$34,MATCH($D1172,CARDS!$A$5:$A$34,0)),DAY(EOMONTH($AD1172,1)))))),""))</f>
        <v/>
      </c>
      <c r="U1172" s="38" t="n"/>
      <c r="V1172" s="37" t="n"/>
      <c r="W1172" s="38" t="n"/>
      <c r="X1172" s="38" t="n"/>
      <c r="Y1172" s="44" t="str">
        <f>IF($AC1172&gt;0,INDEX(CASHBACK_RULES!$A$5:$A$304,$AC1172),"")</f>
        <v/>
      </c>
      <c r="Z1172" s="45" t="str">
        <f>IF($AC1172&gt;0,INDEX(CASHBACK_RULES!$E$5:$E$304,$AC1172)&amp;"","")</f>
        <v/>
      </c>
      <c r="AA1172" s="48" t="str">
        <f>IF($AC1172&gt;0,IF(ISNUMBER(INDEX(CASHBACK_RULES!$K$5:$K$304,$AC1172)),INDEX(CASHBACK_RULES!$K$5:$K$304,$AC1172),"∞"),"")</f>
        <v/>
      </c>
      <c r="AB1172" s="44" t="str">
        <f>IF(OR($B1172="",$D1172=""),"",IF($U1172="Cancelled","Đã hủy",IF($AC1172=0,"Không được hoàn",IF($Q1172=0,IF(OR($O1172&gt;0,$M1172&lt;$L1172),"Đã đạt cap","Không được hoàn"),IF(OR($Q1172&lt;$O1172,$M1172&lt;$L1172),"Hoàn một phần","Được hoàn")))))</f>
        <v/>
      </c>
      <c r="AC1172" s="43">
        <f>IF(OR($B1172="",$D1172="",$I1172="",$L1172=""),0,IF($U1172="Cancelled",0,IF($W1172&lt;&gt;"",IFERROR(IF(INDEX(CASHBACK_RULES!$B$5:$B$304,MATCH($W1172,CASHBACK_RULES!$A$5:$A$304,0))=$D1172,MATCH($W1172,CASHBACK_RULES!$A$5:$A$304,0),0),0),IFERROR(MATCH(1,INDEX((CASHBACK_RULES!$B$5:$B$304=$D1172)*(CASHBACK_RULES!$G$5:$G$304=$I1172)*(((CASHBACK_RULES!$N$5:$N$304="")+(CASHBACK_RULES!$N$5:$N$304&lt;=$B1172))&gt;0)*(((CASHBACK_RULES!$O$5:$O$304="")+(CASHBACK_RULES!$O$5:$O$304&gt;=$B1172))&gt;0)*(((CASHBACK_RULES!$M$5:$M$304="")+(CASHBACK_RULES!$M$5:$M$304&lt;=$L1172))&gt;0),0),0),0))))</f>
        <v>0</v>
      </c>
      <c r="AD1172" s="51" t="str">
        <f>IF(OR($B1172="",$D1172=""),"",IFERROR(IF(INDEX(CARDS!$H$5:$H$34,MATCH($D1172,CARDS!$A$5:$A$34,0))="","",IF(DAY($B1172)&lt;=INDEX(CARDS!$H$5:$H$34,MATCH($D1172,CARDS!$A$5:$A$34,0)),DATE(YEAR($B1172),MONTH($B1172),MIN(INDEX(CARDS!$H$5:$H$34,MATCH($D1172,CARDS!$A$5:$A$34,0)),DAY(EOMONTH($B1172,0)))),DATE(YEAR($B1172),MONTH($B1172)+1,MIN(INDEX(CARDS!$H$5:$H$34,MATCH($D1172,CARDS!$A$5:$A$34,0)),DAY(EOMONTH($B1172,1)))))),""))</f>
        <v/>
      </c>
      <c r="AE1172" s="52" t="str">
        <f>IF($C1172="","",$C1172&amp;"|"&amp;COUNTIF($C$5:$C1172,$C1172))</f>
        <v/>
      </c>
      <c r="AF1172" s="53">
        <f>IF($AC1172&gt;0,SUMIFS(Q$4:Q1171,$D$4:$D1171,$D1172,$Z$4:$Z1171,$Z1172,$C$4:$C1171,$C1172),0)</f>
        <v>0</v>
      </c>
      <c r="AG1172" s="53">
        <f>IF($AC1172&gt;0,SUMIFS(Q$4:Q1171,$D$4:$D1171,$D1172,$C$4:$C1171,$C1172),0)</f>
        <v>0</v>
      </c>
      <c r="AH1172" s="53">
        <f>IF($AC1172&gt;0,SUMIFS(M$4:M1171,$D$4:$D1171,$D1172,$Z$4:$Z1171,$Z1172,$C$4:$C1171,$C1172),0)</f>
        <v>0</v>
      </c>
      <c r="AI1172" s="43">
        <f>IF(OR($C1172="",$I1172=""),0,IF(COUNTIFS($C$5:$C1172,$C1172,$I$5:$I1172,$I1172)=1,1,0))</f>
        <v>0</v>
      </c>
      <c r="AJ1172" s="43" t="str">
        <f>IF($AI1172=1,SUMIFS($AI$4:$AI1171,$C$4:$C1171,$C1172)+1,"")</f>
        <v/>
      </c>
      <c r="AK1172" s="43">
        <f>IF(OR($C1172="",$K1172=""),0,IF(COUNTIFS($C$5:$C1172,$C1172,$K$5:$K1172,$K1172)=1,1,0))</f>
        <v>0</v>
      </c>
      <c r="AL1172" s="43" t="str">
        <f>IF($AK1172=1,SUMIFS($AK$4:$AK1171,$C$4:$C1171,$C1172)+1,"")</f>
        <v/>
      </c>
      <c r="AM1172" s="43">
        <f>IF(OR($C1172="",$G1172=""),0,IF(COUNTIFS($C$5:$C1172,$C1172,$G$5:$G1172,$G1172)=1,1,0))</f>
        <v>0</v>
      </c>
      <c r="AN1172" s="43" t="str">
        <f>IF($AM1172=1,SUMIFS($AM$4:$AM1171,$C$4:$C1171,$C1172)+1,"")</f>
        <v/>
      </c>
    </row>
    <row r="1173">
      <c r="A1173" s="44" t="str">
        <f>IF(OR($B1173="",$D1173=""),"","TX"&amp;TEXT(ROW()-4,"0000"))</f>
        <v/>
      </c>
      <c r="B1173" s="42" t="n"/>
      <c r="C1173" s="47" t="str">
        <f>IF($B1173="","",YEAR($B1173)*100+MONTH($B1173))</f>
        <v/>
      </c>
      <c r="D1173" s="37" t="n"/>
      <c r="E1173" s="45" t="str">
        <f>IF($D1173="","",IFERROR(INDEX(CARDS!$B$5:$B$34,MATCH($D1173,CARDS!$A$5:$A$34,0)),"⚠ Card ID?"))</f>
        <v/>
      </c>
      <c r="F1173" s="45" t="str">
        <f>IF($D1173="","",IFERROR(INDEX(CARDS!$C$5:$C$34,MATCH($D1173,CARDS!$A$5:$A$34,0)),"⚠ Card ID?"))</f>
        <v/>
      </c>
      <c r="G1173" s="37" t="n"/>
      <c r="H1173" s="37" t="n"/>
      <c r="I1173" s="41" t="n"/>
      <c r="J1173" s="45" t="str">
        <f>IF($I1173="","",IFERROR(INDEX(MCC_MASTER!$B$5:$B$504,MATCH($I1173,MCC_MASTER!$A$5:$A$504,0)),"⚠ MCC chưa có"))</f>
        <v/>
      </c>
      <c r="K1173" s="45" t="str">
        <f>IF($I1173="","",IFERROR(IF(INDEX(MCC_MASTER!$C$5:$C$504,MATCH($I1173,MCC_MASTER!$A$5:$A$504,0))="","Chưa phân loại",INDEX(MCC_MASTER!$C$5:$C$504,MATCH($I1173,MCC_MASTER!$A$5:$A$504,0))),"Chưa phân loại"))</f>
        <v/>
      </c>
      <c r="L1173" s="40" t="n"/>
      <c r="M1173" s="48" t="str">
        <f>IF(OR($B1173="",$D1173=""),"",IF($AC1173=0,0,IF(ISNUMBER(INDEX(CASHBACK_RULES!$L$5:$L$304,$AC1173)),MAX(0,MIN($L1173,INDEX(CASHBACK_RULES!$L$5:$L$304,$AC1173)-$AH1173)),MAX(0,$L1173))))</f>
        <v/>
      </c>
      <c r="N1173" s="49" t="str">
        <f>IF(OR($B1173="",$D1173=""),"",IF($AC1173&gt;0,INDEX(CASHBACK_RULES!$I$5:$I$304,$AC1173),0))</f>
        <v/>
      </c>
      <c r="O1173" s="48" t="str">
        <f>IF(OR($B1173="",$D1173=""),"",ROUND($M1173*$N1173,0))</f>
        <v/>
      </c>
      <c r="P1173" s="48" t="str">
        <f>IF($AC1173&gt;0,IF(ISNUMBER(INDEX(CASHBACK_RULES!$J$5:$J$304,$AC1173)),INDEX(CASHBACK_RULES!$J$5:$J$304,$AC1173),"∞"),"")</f>
        <v/>
      </c>
      <c r="Q1173" s="48" t="str">
        <f>IF(OR($B1173="",$D1173=""),"",IF($AC1173=0,0,MAX(0,MIN($O1173,IF(ISNUMBER($P1173),$P1173-$AF1173,1E+15),IF(ISNUMBER($AA1173),$AA1173-$AG1173,1E+15)))))</f>
        <v/>
      </c>
      <c r="R1173" s="48" t="str">
        <f>IF(OR($B1173="",$D1173=""),"",IF($AC1173=0,"",IF(AND(NOT(ISNUMBER($P1173)),NOT(ISNUMBER($AA1173))),"∞",MAX(0,MIN(IF(ISNUMBER($P1173),$P1173-$AF1173-$Q1173,1E+15),IF(ISNUMBER($AA1173),$AA1173-$AG1173-$Q1173,1E+15))))))</f>
        <v/>
      </c>
      <c r="S1173" s="47" t="str">
        <f>IF($AD1173="","",YEAR($AD1173)*100+MONTH($AD1173))</f>
        <v/>
      </c>
      <c r="T1173" s="50" t="str">
        <f>IF($AD1173="","",IFERROR(IF(INDEX(CARDS!$I$5:$I$34,MATCH($D1173,CARDS!$A$5:$A$34,0))="","",IF(INDEX(CARDS!$I$5:$I$34,MATCH($D1173,CARDS!$A$5:$A$34,0))&gt;INDEX(CARDS!$H$5:$H$34,MATCH($D1173,CARDS!$A$5:$A$34,0)),DATE(YEAR($AD1173),MONTH($AD1173),MIN(INDEX(CARDS!$I$5:$I$34,MATCH($D1173,CARDS!$A$5:$A$34,0)),DAY(EOMONTH($AD1173,0)))),DATE(YEAR($AD1173),MONTH($AD1173)+1,MIN(INDEX(CARDS!$I$5:$I$34,MATCH($D1173,CARDS!$A$5:$A$34,0)),DAY(EOMONTH($AD1173,1)))))),""))</f>
        <v/>
      </c>
      <c r="U1173" s="38" t="n"/>
      <c r="V1173" s="37" t="n"/>
      <c r="W1173" s="38" t="n"/>
      <c r="X1173" s="38" t="n"/>
      <c r="Y1173" s="44" t="str">
        <f>IF($AC1173&gt;0,INDEX(CASHBACK_RULES!$A$5:$A$304,$AC1173),"")</f>
        <v/>
      </c>
      <c r="Z1173" s="45" t="str">
        <f>IF($AC1173&gt;0,INDEX(CASHBACK_RULES!$E$5:$E$304,$AC1173)&amp;"","")</f>
        <v/>
      </c>
      <c r="AA1173" s="48" t="str">
        <f>IF($AC1173&gt;0,IF(ISNUMBER(INDEX(CASHBACK_RULES!$K$5:$K$304,$AC1173)),INDEX(CASHBACK_RULES!$K$5:$K$304,$AC1173),"∞"),"")</f>
        <v/>
      </c>
      <c r="AB1173" s="44" t="str">
        <f>IF(OR($B1173="",$D1173=""),"",IF($U1173="Cancelled","Đã hủy",IF($AC1173=0,"Không được hoàn",IF($Q1173=0,IF(OR($O1173&gt;0,$M1173&lt;$L1173),"Đã đạt cap","Không được hoàn"),IF(OR($Q1173&lt;$O1173,$M1173&lt;$L1173),"Hoàn một phần","Được hoàn")))))</f>
        <v/>
      </c>
      <c r="AC1173" s="43">
        <f>IF(OR($B1173="",$D1173="",$I1173="",$L1173=""),0,IF($U1173="Cancelled",0,IF($W1173&lt;&gt;"",IFERROR(IF(INDEX(CASHBACK_RULES!$B$5:$B$304,MATCH($W1173,CASHBACK_RULES!$A$5:$A$304,0))=$D1173,MATCH($W1173,CASHBACK_RULES!$A$5:$A$304,0),0),0),IFERROR(MATCH(1,INDEX((CASHBACK_RULES!$B$5:$B$304=$D1173)*(CASHBACK_RULES!$G$5:$G$304=$I1173)*(((CASHBACK_RULES!$N$5:$N$304="")+(CASHBACK_RULES!$N$5:$N$304&lt;=$B1173))&gt;0)*(((CASHBACK_RULES!$O$5:$O$304="")+(CASHBACK_RULES!$O$5:$O$304&gt;=$B1173))&gt;0)*(((CASHBACK_RULES!$M$5:$M$304="")+(CASHBACK_RULES!$M$5:$M$304&lt;=$L1173))&gt;0),0),0),0))))</f>
        <v>0</v>
      </c>
      <c r="AD1173" s="51" t="str">
        <f>IF(OR($B1173="",$D1173=""),"",IFERROR(IF(INDEX(CARDS!$H$5:$H$34,MATCH($D1173,CARDS!$A$5:$A$34,0))="","",IF(DAY($B1173)&lt;=INDEX(CARDS!$H$5:$H$34,MATCH($D1173,CARDS!$A$5:$A$34,0)),DATE(YEAR($B1173),MONTH($B1173),MIN(INDEX(CARDS!$H$5:$H$34,MATCH($D1173,CARDS!$A$5:$A$34,0)),DAY(EOMONTH($B1173,0)))),DATE(YEAR($B1173),MONTH($B1173)+1,MIN(INDEX(CARDS!$H$5:$H$34,MATCH($D1173,CARDS!$A$5:$A$34,0)),DAY(EOMONTH($B1173,1)))))),""))</f>
        <v/>
      </c>
      <c r="AE1173" s="52" t="str">
        <f>IF($C1173="","",$C1173&amp;"|"&amp;COUNTIF($C$5:$C1173,$C1173))</f>
        <v/>
      </c>
      <c r="AF1173" s="53">
        <f>IF($AC1173&gt;0,SUMIFS(Q$4:Q1172,$D$4:$D1172,$D1173,$Z$4:$Z1172,$Z1173,$C$4:$C1172,$C1173),0)</f>
        <v>0</v>
      </c>
      <c r="AG1173" s="53">
        <f>IF($AC1173&gt;0,SUMIFS(Q$4:Q1172,$D$4:$D1172,$D1173,$C$4:$C1172,$C1173),0)</f>
        <v>0</v>
      </c>
      <c r="AH1173" s="53">
        <f>IF($AC1173&gt;0,SUMIFS(M$4:M1172,$D$4:$D1172,$D1173,$Z$4:$Z1172,$Z1173,$C$4:$C1172,$C1173),0)</f>
        <v>0</v>
      </c>
      <c r="AI1173" s="43">
        <f>IF(OR($C1173="",$I1173=""),0,IF(COUNTIFS($C$5:$C1173,$C1173,$I$5:$I1173,$I1173)=1,1,0))</f>
        <v>0</v>
      </c>
      <c r="AJ1173" s="43" t="str">
        <f>IF($AI1173=1,SUMIFS($AI$4:$AI1172,$C$4:$C1172,$C1173)+1,"")</f>
        <v/>
      </c>
      <c r="AK1173" s="43">
        <f>IF(OR($C1173="",$K1173=""),0,IF(COUNTIFS($C$5:$C1173,$C1173,$K$5:$K1173,$K1173)=1,1,0))</f>
        <v>0</v>
      </c>
      <c r="AL1173" s="43" t="str">
        <f>IF($AK1173=1,SUMIFS($AK$4:$AK1172,$C$4:$C1172,$C1173)+1,"")</f>
        <v/>
      </c>
      <c r="AM1173" s="43">
        <f>IF(OR($C1173="",$G1173=""),0,IF(COUNTIFS($C$5:$C1173,$C1173,$G$5:$G1173,$G1173)=1,1,0))</f>
        <v>0</v>
      </c>
      <c r="AN1173" s="43" t="str">
        <f>IF($AM1173=1,SUMIFS($AM$4:$AM1172,$C$4:$C1172,$C1173)+1,"")</f>
        <v/>
      </c>
    </row>
    <row r="1174">
      <c r="A1174" s="44" t="str">
        <f>IF(OR($B1174="",$D1174=""),"","TX"&amp;TEXT(ROW()-4,"0000"))</f>
        <v/>
      </c>
      <c r="B1174" s="42" t="n"/>
      <c r="C1174" s="47" t="str">
        <f>IF($B1174="","",YEAR($B1174)*100+MONTH($B1174))</f>
        <v/>
      </c>
      <c r="D1174" s="37" t="n"/>
      <c r="E1174" s="45" t="str">
        <f>IF($D1174="","",IFERROR(INDEX(CARDS!$B$5:$B$34,MATCH($D1174,CARDS!$A$5:$A$34,0)),"⚠ Card ID?"))</f>
        <v/>
      </c>
      <c r="F1174" s="45" t="str">
        <f>IF($D1174="","",IFERROR(INDEX(CARDS!$C$5:$C$34,MATCH($D1174,CARDS!$A$5:$A$34,0)),"⚠ Card ID?"))</f>
        <v/>
      </c>
      <c r="G1174" s="37" t="n"/>
      <c r="H1174" s="37" t="n"/>
      <c r="I1174" s="41" t="n"/>
      <c r="J1174" s="45" t="str">
        <f>IF($I1174="","",IFERROR(INDEX(MCC_MASTER!$B$5:$B$504,MATCH($I1174,MCC_MASTER!$A$5:$A$504,0)),"⚠ MCC chưa có"))</f>
        <v/>
      </c>
      <c r="K1174" s="45" t="str">
        <f>IF($I1174="","",IFERROR(IF(INDEX(MCC_MASTER!$C$5:$C$504,MATCH($I1174,MCC_MASTER!$A$5:$A$504,0))="","Chưa phân loại",INDEX(MCC_MASTER!$C$5:$C$504,MATCH($I1174,MCC_MASTER!$A$5:$A$504,0))),"Chưa phân loại"))</f>
        <v/>
      </c>
      <c r="L1174" s="40" t="n"/>
      <c r="M1174" s="48" t="str">
        <f>IF(OR($B1174="",$D1174=""),"",IF($AC1174=0,0,IF(ISNUMBER(INDEX(CASHBACK_RULES!$L$5:$L$304,$AC1174)),MAX(0,MIN($L1174,INDEX(CASHBACK_RULES!$L$5:$L$304,$AC1174)-$AH1174)),MAX(0,$L1174))))</f>
        <v/>
      </c>
      <c r="N1174" s="49" t="str">
        <f>IF(OR($B1174="",$D1174=""),"",IF($AC1174&gt;0,INDEX(CASHBACK_RULES!$I$5:$I$304,$AC1174),0))</f>
        <v/>
      </c>
      <c r="O1174" s="48" t="str">
        <f>IF(OR($B1174="",$D1174=""),"",ROUND($M1174*$N1174,0))</f>
        <v/>
      </c>
      <c r="P1174" s="48" t="str">
        <f>IF($AC1174&gt;0,IF(ISNUMBER(INDEX(CASHBACK_RULES!$J$5:$J$304,$AC1174)),INDEX(CASHBACK_RULES!$J$5:$J$304,$AC1174),"∞"),"")</f>
        <v/>
      </c>
      <c r="Q1174" s="48" t="str">
        <f>IF(OR($B1174="",$D1174=""),"",IF($AC1174=0,0,MAX(0,MIN($O1174,IF(ISNUMBER($P1174),$P1174-$AF1174,1E+15),IF(ISNUMBER($AA1174),$AA1174-$AG1174,1E+15)))))</f>
        <v/>
      </c>
      <c r="R1174" s="48" t="str">
        <f>IF(OR($B1174="",$D1174=""),"",IF($AC1174=0,"",IF(AND(NOT(ISNUMBER($P1174)),NOT(ISNUMBER($AA1174))),"∞",MAX(0,MIN(IF(ISNUMBER($P1174),$P1174-$AF1174-$Q1174,1E+15),IF(ISNUMBER($AA1174),$AA1174-$AG1174-$Q1174,1E+15))))))</f>
        <v/>
      </c>
      <c r="S1174" s="47" t="str">
        <f>IF($AD1174="","",YEAR($AD1174)*100+MONTH($AD1174))</f>
        <v/>
      </c>
      <c r="T1174" s="50" t="str">
        <f>IF($AD1174="","",IFERROR(IF(INDEX(CARDS!$I$5:$I$34,MATCH($D1174,CARDS!$A$5:$A$34,0))="","",IF(INDEX(CARDS!$I$5:$I$34,MATCH($D1174,CARDS!$A$5:$A$34,0))&gt;INDEX(CARDS!$H$5:$H$34,MATCH($D1174,CARDS!$A$5:$A$34,0)),DATE(YEAR($AD1174),MONTH($AD1174),MIN(INDEX(CARDS!$I$5:$I$34,MATCH($D1174,CARDS!$A$5:$A$34,0)),DAY(EOMONTH($AD1174,0)))),DATE(YEAR($AD1174),MONTH($AD1174)+1,MIN(INDEX(CARDS!$I$5:$I$34,MATCH($D1174,CARDS!$A$5:$A$34,0)),DAY(EOMONTH($AD1174,1)))))),""))</f>
        <v/>
      </c>
      <c r="U1174" s="38" t="n"/>
      <c r="V1174" s="37" t="n"/>
      <c r="W1174" s="38" t="n"/>
      <c r="X1174" s="38" t="n"/>
      <c r="Y1174" s="44" t="str">
        <f>IF($AC1174&gt;0,INDEX(CASHBACK_RULES!$A$5:$A$304,$AC1174),"")</f>
        <v/>
      </c>
      <c r="Z1174" s="45" t="str">
        <f>IF($AC1174&gt;0,INDEX(CASHBACK_RULES!$E$5:$E$304,$AC1174)&amp;"","")</f>
        <v/>
      </c>
      <c r="AA1174" s="48" t="str">
        <f>IF($AC1174&gt;0,IF(ISNUMBER(INDEX(CASHBACK_RULES!$K$5:$K$304,$AC1174)),INDEX(CASHBACK_RULES!$K$5:$K$304,$AC1174),"∞"),"")</f>
        <v/>
      </c>
      <c r="AB1174" s="44" t="str">
        <f>IF(OR($B1174="",$D1174=""),"",IF($U1174="Cancelled","Đã hủy",IF($AC1174=0,"Không được hoàn",IF($Q1174=0,IF(OR($O1174&gt;0,$M1174&lt;$L1174),"Đã đạt cap","Không được hoàn"),IF(OR($Q1174&lt;$O1174,$M1174&lt;$L1174),"Hoàn một phần","Được hoàn")))))</f>
        <v/>
      </c>
      <c r="AC1174" s="43">
        <f>IF(OR($B1174="",$D1174="",$I1174="",$L1174=""),0,IF($U1174="Cancelled",0,IF($W1174&lt;&gt;"",IFERROR(IF(INDEX(CASHBACK_RULES!$B$5:$B$304,MATCH($W1174,CASHBACK_RULES!$A$5:$A$304,0))=$D1174,MATCH($W1174,CASHBACK_RULES!$A$5:$A$304,0),0),0),IFERROR(MATCH(1,INDEX((CASHBACK_RULES!$B$5:$B$304=$D1174)*(CASHBACK_RULES!$G$5:$G$304=$I1174)*(((CASHBACK_RULES!$N$5:$N$304="")+(CASHBACK_RULES!$N$5:$N$304&lt;=$B1174))&gt;0)*(((CASHBACK_RULES!$O$5:$O$304="")+(CASHBACK_RULES!$O$5:$O$304&gt;=$B1174))&gt;0)*(((CASHBACK_RULES!$M$5:$M$304="")+(CASHBACK_RULES!$M$5:$M$304&lt;=$L1174))&gt;0),0),0),0))))</f>
        <v>0</v>
      </c>
      <c r="AD1174" s="51" t="str">
        <f>IF(OR($B1174="",$D1174=""),"",IFERROR(IF(INDEX(CARDS!$H$5:$H$34,MATCH($D1174,CARDS!$A$5:$A$34,0))="","",IF(DAY($B1174)&lt;=INDEX(CARDS!$H$5:$H$34,MATCH($D1174,CARDS!$A$5:$A$34,0)),DATE(YEAR($B1174),MONTH($B1174),MIN(INDEX(CARDS!$H$5:$H$34,MATCH($D1174,CARDS!$A$5:$A$34,0)),DAY(EOMONTH($B1174,0)))),DATE(YEAR($B1174),MONTH($B1174)+1,MIN(INDEX(CARDS!$H$5:$H$34,MATCH($D1174,CARDS!$A$5:$A$34,0)),DAY(EOMONTH($B1174,1)))))),""))</f>
        <v/>
      </c>
      <c r="AE1174" s="52" t="str">
        <f>IF($C1174="","",$C1174&amp;"|"&amp;COUNTIF($C$5:$C1174,$C1174))</f>
        <v/>
      </c>
      <c r="AF1174" s="53">
        <f>IF($AC1174&gt;0,SUMIFS(Q$4:Q1173,$D$4:$D1173,$D1174,$Z$4:$Z1173,$Z1174,$C$4:$C1173,$C1174),0)</f>
        <v>0</v>
      </c>
      <c r="AG1174" s="53">
        <f>IF($AC1174&gt;0,SUMIFS(Q$4:Q1173,$D$4:$D1173,$D1174,$C$4:$C1173,$C1174),0)</f>
        <v>0</v>
      </c>
      <c r="AH1174" s="53">
        <f>IF($AC1174&gt;0,SUMIFS(M$4:M1173,$D$4:$D1173,$D1174,$Z$4:$Z1173,$Z1174,$C$4:$C1173,$C1174),0)</f>
        <v>0</v>
      </c>
      <c r="AI1174" s="43">
        <f>IF(OR($C1174="",$I1174=""),0,IF(COUNTIFS($C$5:$C1174,$C1174,$I$5:$I1174,$I1174)=1,1,0))</f>
        <v>0</v>
      </c>
      <c r="AJ1174" s="43" t="str">
        <f>IF($AI1174=1,SUMIFS($AI$4:$AI1173,$C$4:$C1173,$C1174)+1,"")</f>
        <v/>
      </c>
      <c r="AK1174" s="43">
        <f>IF(OR($C1174="",$K1174=""),0,IF(COUNTIFS($C$5:$C1174,$C1174,$K$5:$K1174,$K1174)=1,1,0))</f>
        <v>0</v>
      </c>
      <c r="AL1174" s="43" t="str">
        <f>IF($AK1174=1,SUMIFS($AK$4:$AK1173,$C$4:$C1173,$C1174)+1,"")</f>
        <v/>
      </c>
      <c r="AM1174" s="43">
        <f>IF(OR($C1174="",$G1174=""),0,IF(COUNTIFS($C$5:$C1174,$C1174,$G$5:$G1174,$G1174)=1,1,0))</f>
        <v>0</v>
      </c>
      <c r="AN1174" s="43" t="str">
        <f>IF($AM1174=1,SUMIFS($AM$4:$AM1173,$C$4:$C1173,$C1174)+1,"")</f>
        <v/>
      </c>
    </row>
    <row r="1175">
      <c r="A1175" s="44" t="str">
        <f>IF(OR($B1175="",$D1175=""),"","TX"&amp;TEXT(ROW()-4,"0000"))</f>
        <v/>
      </c>
      <c r="B1175" s="42" t="n"/>
      <c r="C1175" s="47" t="str">
        <f>IF($B1175="","",YEAR($B1175)*100+MONTH($B1175))</f>
        <v/>
      </c>
      <c r="D1175" s="37" t="n"/>
      <c r="E1175" s="45" t="str">
        <f>IF($D1175="","",IFERROR(INDEX(CARDS!$B$5:$B$34,MATCH($D1175,CARDS!$A$5:$A$34,0)),"⚠ Card ID?"))</f>
        <v/>
      </c>
      <c r="F1175" s="45" t="str">
        <f>IF($D1175="","",IFERROR(INDEX(CARDS!$C$5:$C$34,MATCH($D1175,CARDS!$A$5:$A$34,0)),"⚠ Card ID?"))</f>
        <v/>
      </c>
      <c r="G1175" s="37" t="n"/>
      <c r="H1175" s="37" t="n"/>
      <c r="I1175" s="41" t="n"/>
      <c r="J1175" s="45" t="str">
        <f>IF($I1175="","",IFERROR(INDEX(MCC_MASTER!$B$5:$B$504,MATCH($I1175,MCC_MASTER!$A$5:$A$504,0)),"⚠ MCC chưa có"))</f>
        <v/>
      </c>
      <c r="K1175" s="45" t="str">
        <f>IF($I1175="","",IFERROR(IF(INDEX(MCC_MASTER!$C$5:$C$504,MATCH($I1175,MCC_MASTER!$A$5:$A$504,0))="","Chưa phân loại",INDEX(MCC_MASTER!$C$5:$C$504,MATCH($I1175,MCC_MASTER!$A$5:$A$504,0))),"Chưa phân loại"))</f>
        <v/>
      </c>
      <c r="L1175" s="40" t="n"/>
      <c r="M1175" s="48" t="str">
        <f>IF(OR($B1175="",$D1175=""),"",IF($AC1175=0,0,IF(ISNUMBER(INDEX(CASHBACK_RULES!$L$5:$L$304,$AC1175)),MAX(0,MIN($L1175,INDEX(CASHBACK_RULES!$L$5:$L$304,$AC1175)-$AH1175)),MAX(0,$L1175))))</f>
        <v/>
      </c>
      <c r="N1175" s="49" t="str">
        <f>IF(OR($B1175="",$D1175=""),"",IF($AC1175&gt;0,INDEX(CASHBACK_RULES!$I$5:$I$304,$AC1175),0))</f>
        <v/>
      </c>
      <c r="O1175" s="48" t="str">
        <f>IF(OR($B1175="",$D1175=""),"",ROUND($M1175*$N1175,0))</f>
        <v/>
      </c>
      <c r="P1175" s="48" t="str">
        <f>IF($AC1175&gt;0,IF(ISNUMBER(INDEX(CASHBACK_RULES!$J$5:$J$304,$AC1175)),INDEX(CASHBACK_RULES!$J$5:$J$304,$AC1175),"∞"),"")</f>
        <v/>
      </c>
      <c r="Q1175" s="48" t="str">
        <f>IF(OR($B1175="",$D1175=""),"",IF($AC1175=0,0,MAX(0,MIN($O1175,IF(ISNUMBER($P1175),$P1175-$AF1175,1E+15),IF(ISNUMBER($AA1175),$AA1175-$AG1175,1E+15)))))</f>
        <v/>
      </c>
      <c r="R1175" s="48" t="str">
        <f>IF(OR($B1175="",$D1175=""),"",IF($AC1175=0,"",IF(AND(NOT(ISNUMBER($P1175)),NOT(ISNUMBER($AA1175))),"∞",MAX(0,MIN(IF(ISNUMBER($P1175),$P1175-$AF1175-$Q1175,1E+15),IF(ISNUMBER($AA1175),$AA1175-$AG1175-$Q1175,1E+15))))))</f>
        <v/>
      </c>
      <c r="S1175" s="47" t="str">
        <f>IF($AD1175="","",YEAR($AD1175)*100+MONTH($AD1175))</f>
        <v/>
      </c>
      <c r="T1175" s="50" t="str">
        <f>IF($AD1175="","",IFERROR(IF(INDEX(CARDS!$I$5:$I$34,MATCH($D1175,CARDS!$A$5:$A$34,0))="","",IF(INDEX(CARDS!$I$5:$I$34,MATCH($D1175,CARDS!$A$5:$A$34,0))&gt;INDEX(CARDS!$H$5:$H$34,MATCH($D1175,CARDS!$A$5:$A$34,0)),DATE(YEAR($AD1175),MONTH($AD1175),MIN(INDEX(CARDS!$I$5:$I$34,MATCH($D1175,CARDS!$A$5:$A$34,0)),DAY(EOMONTH($AD1175,0)))),DATE(YEAR($AD1175),MONTH($AD1175)+1,MIN(INDEX(CARDS!$I$5:$I$34,MATCH($D1175,CARDS!$A$5:$A$34,0)),DAY(EOMONTH($AD1175,1)))))),""))</f>
        <v/>
      </c>
      <c r="U1175" s="38" t="n"/>
      <c r="V1175" s="37" t="n"/>
      <c r="W1175" s="38" t="n"/>
      <c r="X1175" s="38" t="n"/>
      <c r="Y1175" s="44" t="str">
        <f>IF($AC1175&gt;0,INDEX(CASHBACK_RULES!$A$5:$A$304,$AC1175),"")</f>
        <v/>
      </c>
      <c r="Z1175" s="45" t="str">
        <f>IF($AC1175&gt;0,INDEX(CASHBACK_RULES!$E$5:$E$304,$AC1175)&amp;"","")</f>
        <v/>
      </c>
      <c r="AA1175" s="48" t="str">
        <f>IF($AC1175&gt;0,IF(ISNUMBER(INDEX(CASHBACK_RULES!$K$5:$K$304,$AC1175)),INDEX(CASHBACK_RULES!$K$5:$K$304,$AC1175),"∞"),"")</f>
        <v/>
      </c>
      <c r="AB1175" s="44" t="str">
        <f>IF(OR($B1175="",$D1175=""),"",IF($U1175="Cancelled","Đã hủy",IF($AC1175=0,"Không được hoàn",IF($Q1175=0,IF(OR($O1175&gt;0,$M1175&lt;$L1175),"Đã đạt cap","Không được hoàn"),IF(OR($Q1175&lt;$O1175,$M1175&lt;$L1175),"Hoàn một phần","Được hoàn")))))</f>
        <v/>
      </c>
      <c r="AC1175" s="43">
        <f>IF(OR($B1175="",$D1175="",$I1175="",$L1175=""),0,IF($U1175="Cancelled",0,IF($W1175&lt;&gt;"",IFERROR(IF(INDEX(CASHBACK_RULES!$B$5:$B$304,MATCH($W1175,CASHBACK_RULES!$A$5:$A$304,0))=$D1175,MATCH($W1175,CASHBACK_RULES!$A$5:$A$304,0),0),0),IFERROR(MATCH(1,INDEX((CASHBACK_RULES!$B$5:$B$304=$D1175)*(CASHBACK_RULES!$G$5:$G$304=$I1175)*(((CASHBACK_RULES!$N$5:$N$304="")+(CASHBACK_RULES!$N$5:$N$304&lt;=$B1175))&gt;0)*(((CASHBACK_RULES!$O$5:$O$304="")+(CASHBACK_RULES!$O$5:$O$304&gt;=$B1175))&gt;0)*(((CASHBACK_RULES!$M$5:$M$304="")+(CASHBACK_RULES!$M$5:$M$304&lt;=$L1175))&gt;0),0),0),0))))</f>
        <v>0</v>
      </c>
      <c r="AD1175" s="51" t="str">
        <f>IF(OR($B1175="",$D1175=""),"",IFERROR(IF(INDEX(CARDS!$H$5:$H$34,MATCH($D1175,CARDS!$A$5:$A$34,0))="","",IF(DAY($B1175)&lt;=INDEX(CARDS!$H$5:$H$34,MATCH($D1175,CARDS!$A$5:$A$34,0)),DATE(YEAR($B1175),MONTH($B1175),MIN(INDEX(CARDS!$H$5:$H$34,MATCH($D1175,CARDS!$A$5:$A$34,0)),DAY(EOMONTH($B1175,0)))),DATE(YEAR($B1175),MONTH($B1175)+1,MIN(INDEX(CARDS!$H$5:$H$34,MATCH($D1175,CARDS!$A$5:$A$34,0)),DAY(EOMONTH($B1175,1)))))),""))</f>
        <v/>
      </c>
      <c r="AE1175" s="52" t="str">
        <f>IF($C1175="","",$C1175&amp;"|"&amp;COUNTIF($C$5:$C1175,$C1175))</f>
        <v/>
      </c>
      <c r="AF1175" s="53">
        <f>IF($AC1175&gt;0,SUMIFS(Q$4:Q1174,$D$4:$D1174,$D1175,$Z$4:$Z1174,$Z1175,$C$4:$C1174,$C1175),0)</f>
        <v>0</v>
      </c>
      <c r="AG1175" s="53">
        <f>IF($AC1175&gt;0,SUMIFS(Q$4:Q1174,$D$4:$D1174,$D1175,$C$4:$C1174,$C1175),0)</f>
        <v>0</v>
      </c>
      <c r="AH1175" s="53">
        <f>IF($AC1175&gt;0,SUMIFS(M$4:M1174,$D$4:$D1174,$D1175,$Z$4:$Z1174,$Z1175,$C$4:$C1174,$C1175),0)</f>
        <v>0</v>
      </c>
      <c r="AI1175" s="43">
        <f>IF(OR($C1175="",$I1175=""),0,IF(COUNTIFS($C$5:$C1175,$C1175,$I$5:$I1175,$I1175)=1,1,0))</f>
        <v>0</v>
      </c>
      <c r="AJ1175" s="43" t="str">
        <f>IF($AI1175=1,SUMIFS($AI$4:$AI1174,$C$4:$C1174,$C1175)+1,"")</f>
        <v/>
      </c>
      <c r="AK1175" s="43">
        <f>IF(OR($C1175="",$K1175=""),0,IF(COUNTIFS($C$5:$C1175,$C1175,$K$5:$K1175,$K1175)=1,1,0))</f>
        <v>0</v>
      </c>
      <c r="AL1175" s="43" t="str">
        <f>IF($AK1175=1,SUMIFS($AK$4:$AK1174,$C$4:$C1174,$C1175)+1,"")</f>
        <v/>
      </c>
      <c r="AM1175" s="43">
        <f>IF(OR($C1175="",$G1175=""),0,IF(COUNTIFS($C$5:$C1175,$C1175,$G$5:$G1175,$G1175)=1,1,0))</f>
        <v>0</v>
      </c>
      <c r="AN1175" s="43" t="str">
        <f>IF($AM1175=1,SUMIFS($AM$4:$AM1174,$C$4:$C1174,$C1175)+1,"")</f>
        <v/>
      </c>
    </row>
    <row r="1176">
      <c r="A1176" s="44" t="str">
        <f>IF(OR($B1176="",$D1176=""),"","TX"&amp;TEXT(ROW()-4,"0000"))</f>
        <v/>
      </c>
      <c r="B1176" s="42" t="n"/>
      <c r="C1176" s="47" t="str">
        <f>IF($B1176="","",YEAR($B1176)*100+MONTH($B1176))</f>
        <v/>
      </c>
      <c r="D1176" s="37" t="n"/>
      <c r="E1176" s="45" t="str">
        <f>IF($D1176="","",IFERROR(INDEX(CARDS!$B$5:$B$34,MATCH($D1176,CARDS!$A$5:$A$34,0)),"⚠ Card ID?"))</f>
        <v/>
      </c>
      <c r="F1176" s="45" t="str">
        <f>IF($D1176="","",IFERROR(INDEX(CARDS!$C$5:$C$34,MATCH($D1176,CARDS!$A$5:$A$34,0)),"⚠ Card ID?"))</f>
        <v/>
      </c>
      <c r="G1176" s="37" t="n"/>
      <c r="H1176" s="37" t="n"/>
      <c r="I1176" s="41" t="n"/>
      <c r="J1176" s="45" t="str">
        <f>IF($I1176="","",IFERROR(INDEX(MCC_MASTER!$B$5:$B$504,MATCH($I1176,MCC_MASTER!$A$5:$A$504,0)),"⚠ MCC chưa có"))</f>
        <v/>
      </c>
      <c r="K1176" s="45" t="str">
        <f>IF($I1176="","",IFERROR(IF(INDEX(MCC_MASTER!$C$5:$C$504,MATCH($I1176,MCC_MASTER!$A$5:$A$504,0))="","Chưa phân loại",INDEX(MCC_MASTER!$C$5:$C$504,MATCH($I1176,MCC_MASTER!$A$5:$A$504,0))),"Chưa phân loại"))</f>
        <v/>
      </c>
      <c r="L1176" s="40" t="n"/>
      <c r="M1176" s="48" t="str">
        <f>IF(OR($B1176="",$D1176=""),"",IF($AC1176=0,0,IF(ISNUMBER(INDEX(CASHBACK_RULES!$L$5:$L$304,$AC1176)),MAX(0,MIN($L1176,INDEX(CASHBACK_RULES!$L$5:$L$304,$AC1176)-$AH1176)),MAX(0,$L1176))))</f>
        <v/>
      </c>
      <c r="N1176" s="49" t="str">
        <f>IF(OR($B1176="",$D1176=""),"",IF($AC1176&gt;0,INDEX(CASHBACK_RULES!$I$5:$I$304,$AC1176),0))</f>
        <v/>
      </c>
      <c r="O1176" s="48" t="str">
        <f>IF(OR($B1176="",$D1176=""),"",ROUND($M1176*$N1176,0))</f>
        <v/>
      </c>
      <c r="P1176" s="48" t="str">
        <f>IF($AC1176&gt;0,IF(ISNUMBER(INDEX(CASHBACK_RULES!$J$5:$J$304,$AC1176)),INDEX(CASHBACK_RULES!$J$5:$J$304,$AC1176),"∞"),"")</f>
        <v/>
      </c>
      <c r="Q1176" s="48" t="str">
        <f>IF(OR($B1176="",$D1176=""),"",IF($AC1176=0,0,MAX(0,MIN($O1176,IF(ISNUMBER($P1176),$P1176-$AF1176,1E+15),IF(ISNUMBER($AA1176),$AA1176-$AG1176,1E+15)))))</f>
        <v/>
      </c>
      <c r="R1176" s="48" t="str">
        <f>IF(OR($B1176="",$D1176=""),"",IF($AC1176=0,"",IF(AND(NOT(ISNUMBER($P1176)),NOT(ISNUMBER($AA1176))),"∞",MAX(0,MIN(IF(ISNUMBER($P1176),$P1176-$AF1176-$Q1176,1E+15),IF(ISNUMBER($AA1176),$AA1176-$AG1176-$Q1176,1E+15))))))</f>
        <v/>
      </c>
      <c r="S1176" s="47" t="str">
        <f>IF($AD1176="","",YEAR($AD1176)*100+MONTH($AD1176))</f>
        <v/>
      </c>
      <c r="T1176" s="50" t="str">
        <f>IF($AD1176="","",IFERROR(IF(INDEX(CARDS!$I$5:$I$34,MATCH($D1176,CARDS!$A$5:$A$34,0))="","",IF(INDEX(CARDS!$I$5:$I$34,MATCH($D1176,CARDS!$A$5:$A$34,0))&gt;INDEX(CARDS!$H$5:$H$34,MATCH($D1176,CARDS!$A$5:$A$34,0)),DATE(YEAR($AD1176),MONTH($AD1176),MIN(INDEX(CARDS!$I$5:$I$34,MATCH($D1176,CARDS!$A$5:$A$34,0)),DAY(EOMONTH($AD1176,0)))),DATE(YEAR($AD1176),MONTH($AD1176)+1,MIN(INDEX(CARDS!$I$5:$I$34,MATCH($D1176,CARDS!$A$5:$A$34,0)),DAY(EOMONTH($AD1176,1)))))),""))</f>
        <v/>
      </c>
      <c r="U1176" s="38" t="n"/>
      <c r="V1176" s="37" t="n"/>
      <c r="W1176" s="38" t="n"/>
      <c r="X1176" s="38" t="n"/>
      <c r="Y1176" s="44" t="str">
        <f>IF($AC1176&gt;0,INDEX(CASHBACK_RULES!$A$5:$A$304,$AC1176),"")</f>
        <v/>
      </c>
      <c r="Z1176" s="45" t="str">
        <f>IF($AC1176&gt;0,INDEX(CASHBACK_RULES!$E$5:$E$304,$AC1176)&amp;"","")</f>
        <v/>
      </c>
      <c r="AA1176" s="48" t="str">
        <f>IF($AC1176&gt;0,IF(ISNUMBER(INDEX(CASHBACK_RULES!$K$5:$K$304,$AC1176)),INDEX(CASHBACK_RULES!$K$5:$K$304,$AC1176),"∞"),"")</f>
        <v/>
      </c>
      <c r="AB1176" s="44" t="str">
        <f>IF(OR($B1176="",$D1176=""),"",IF($U1176="Cancelled","Đã hủy",IF($AC1176=0,"Không được hoàn",IF($Q1176=0,IF(OR($O1176&gt;0,$M1176&lt;$L1176),"Đã đạt cap","Không được hoàn"),IF(OR($Q1176&lt;$O1176,$M1176&lt;$L1176),"Hoàn một phần","Được hoàn")))))</f>
        <v/>
      </c>
      <c r="AC1176" s="43">
        <f>IF(OR($B1176="",$D1176="",$I1176="",$L1176=""),0,IF($U1176="Cancelled",0,IF($W1176&lt;&gt;"",IFERROR(IF(INDEX(CASHBACK_RULES!$B$5:$B$304,MATCH($W1176,CASHBACK_RULES!$A$5:$A$304,0))=$D1176,MATCH($W1176,CASHBACK_RULES!$A$5:$A$304,0),0),0),IFERROR(MATCH(1,INDEX((CASHBACK_RULES!$B$5:$B$304=$D1176)*(CASHBACK_RULES!$G$5:$G$304=$I1176)*(((CASHBACK_RULES!$N$5:$N$304="")+(CASHBACK_RULES!$N$5:$N$304&lt;=$B1176))&gt;0)*(((CASHBACK_RULES!$O$5:$O$304="")+(CASHBACK_RULES!$O$5:$O$304&gt;=$B1176))&gt;0)*(((CASHBACK_RULES!$M$5:$M$304="")+(CASHBACK_RULES!$M$5:$M$304&lt;=$L1176))&gt;0),0),0),0))))</f>
        <v>0</v>
      </c>
      <c r="AD1176" s="51" t="str">
        <f>IF(OR($B1176="",$D1176=""),"",IFERROR(IF(INDEX(CARDS!$H$5:$H$34,MATCH($D1176,CARDS!$A$5:$A$34,0))="","",IF(DAY($B1176)&lt;=INDEX(CARDS!$H$5:$H$34,MATCH($D1176,CARDS!$A$5:$A$34,0)),DATE(YEAR($B1176),MONTH($B1176),MIN(INDEX(CARDS!$H$5:$H$34,MATCH($D1176,CARDS!$A$5:$A$34,0)),DAY(EOMONTH($B1176,0)))),DATE(YEAR($B1176),MONTH($B1176)+1,MIN(INDEX(CARDS!$H$5:$H$34,MATCH($D1176,CARDS!$A$5:$A$34,0)),DAY(EOMONTH($B1176,1)))))),""))</f>
        <v/>
      </c>
      <c r="AE1176" s="52" t="str">
        <f>IF($C1176="","",$C1176&amp;"|"&amp;COUNTIF($C$5:$C1176,$C1176))</f>
        <v/>
      </c>
      <c r="AF1176" s="53">
        <f>IF($AC1176&gt;0,SUMIFS(Q$4:Q1175,$D$4:$D1175,$D1176,$Z$4:$Z1175,$Z1176,$C$4:$C1175,$C1176),0)</f>
        <v>0</v>
      </c>
      <c r="AG1176" s="53">
        <f>IF($AC1176&gt;0,SUMIFS(Q$4:Q1175,$D$4:$D1175,$D1176,$C$4:$C1175,$C1176),0)</f>
        <v>0</v>
      </c>
      <c r="AH1176" s="53">
        <f>IF($AC1176&gt;0,SUMIFS(M$4:M1175,$D$4:$D1175,$D1176,$Z$4:$Z1175,$Z1176,$C$4:$C1175,$C1176),0)</f>
        <v>0</v>
      </c>
      <c r="AI1176" s="43">
        <f>IF(OR($C1176="",$I1176=""),0,IF(COUNTIFS($C$5:$C1176,$C1176,$I$5:$I1176,$I1176)=1,1,0))</f>
        <v>0</v>
      </c>
      <c r="AJ1176" s="43" t="str">
        <f>IF($AI1176=1,SUMIFS($AI$4:$AI1175,$C$4:$C1175,$C1176)+1,"")</f>
        <v/>
      </c>
      <c r="AK1176" s="43">
        <f>IF(OR($C1176="",$K1176=""),0,IF(COUNTIFS($C$5:$C1176,$C1176,$K$5:$K1176,$K1176)=1,1,0))</f>
        <v>0</v>
      </c>
      <c r="AL1176" s="43" t="str">
        <f>IF($AK1176=1,SUMIFS($AK$4:$AK1175,$C$4:$C1175,$C1176)+1,"")</f>
        <v/>
      </c>
      <c r="AM1176" s="43">
        <f>IF(OR($C1176="",$G1176=""),0,IF(COUNTIFS($C$5:$C1176,$C1176,$G$5:$G1176,$G1176)=1,1,0))</f>
        <v>0</v>
      </c>
      <c r="AN1176" s="43" t="str">
        <f>IF($AM1176=1,SUMIFS($AM$4:$AM1175,$C$4:$C1175,$C1176)+1,"")</f>
        <v/>
      </c>
    </row>
    <row r="1177">
      <c r="A1177" s="44" t="str">
        <f>IF(OR($B1177="",$D1177=""),"","TX"&amp;TEXT(ROW()-4,"0000"))</f>
        <v/>
      </c>
      <c r="B1177" s="42" t="n"/>
      <c r="C1177" s="47" t="str">
        <f>IF($B1177="","",YEAR($B1177)*100+MONTH($B1177))</f>
        <v/>
      </c>
      <c r="D1177" s="37" t="n"/>
      <c r="E1177" s="45" t="str">
        <f>IF($D1177="","",IFERROR(INDEX(CARDS!$B$5:$B$34,MATCH($D1177,CARDS!$A$5:$A$34,0)),"⚠ Card ID?"))</f>
        <v/>
      </c>
      <c r="F1177" s="45" t="str">
        <f>IF($D1177="","",IFERROR(INDEX(CARDS!$C$5:$C$34,MATCH($D1177,CARDS!$A$5:$A$34,0)),"⚠ Card ID?"))</f>
        <v/>
      </c>
      <c r="G1177" s="37" t="n"/>
      <c r="H1177" s="37" t="n"/>
      <c r="I1177" s="41" t="n"/>
      <c r="J1177" s="45" t="str">
        <f>IF($I1177="","",IFERROR(INDEX(MCC_MASTER!$B$5:$B$504,MATCH($I1177,MCC_MASTER!$A$5:$A$504,0)),"⚠ MCC chưa có"))</f>
        <v/>
      </c>
      <c r="K1177" s="45" t="str">
        <f>IF($I1177="","",IFERROR(IF(INDEX(MCC_MASTER!$C$5:$C$504,MATCH($I1177,MCC_MASTER!$A$5:$A$504,0))="","Chưa phân loại",INDEX(MCC_MASTER!$C$5:$C$504,MATCH($I1177,MCC_MASTER!$A$5:$A$504,0))),"Chưa phân loại"))</f>
        <v/>
      </c>
      <c r="L1177" s="40" t="n"/>
      <c r="M1177" s="48" t="str">
        <f>IF(OR($B1177="",$D1177=""),"",IF($AC1177=0,0,IF(ISNUMBER(INDEX(CASHBACK_RULES!$L$5:$L$304,$AC1177)),MAX(0,MIN($L1177,INDEX(CASHBACK_RULES!$L$5:$L$304,$AC1177)-$AH1177)),MAX(0,$L1177))))</f>
        <v/>
      </c>
      <c r="N1177" s="49" t="str">
        <f>IF(OR($B1177="",$D1177=""),"",IF($AC1177&gt;0,INDEX(CASHBACK_RULES!$I$5:$I$304,$AC1177),0))</f>
        <v/>
      </c>
      <c r="O1177" s="48" t="str">
        <f>IF(OR($B1177="",$D1177=""),"",ROUND($M1177*$N1177,0))</f>
        <v/>
      </c>
      <c r="P1177" s="48" t="str">
        <f>IF($AC1177&gt;0,IF(ISNUMBER(INDEX(CASHBACK_RULES!$J$5:$J$304,$AC1177)),INDEX(CASHBACK_RULES!$J$5:$J$304,$AC1177),"∞"),"")</f>
        <v/>
      </c>
      <c r="Q1177" s="48" t="str">
        <f>IF(OR($B1177="",$D1177=""),"",IF($AC1177=0,0,MAX(0,MIN($O1177,IF(ISNUMBER($P1177),$P1177-$AF1177,1E+15),IF(ISNUMBER($AA1177),$AA1177-$AG1177,1E+15)))))</f>
        <v/>
      </c>
      <c r="R1177" s="48" t="str">
        <f>IF(OR($B1177="",$D1177=""),"",IF($AC1177=0,"",IF(AND(NOT(ISNUMBER($P1177)),NOT(ISNUMBER($AA1177))),"∞",MAX(0,MIN(IF(ISNUMBER($P1177),$P1177-$AF1177-$Q1177,1E+15),IF(ISNUMBER($AA1177),$AA1177-$AG1177-$Q1177,1E+15))))))</f>
        <v/>
      </c>
      <c r="S1177" s="47" t="str">
        <f>IF($AD1177="","",YEAR($AD1177)*100+MONTH($AD1177))</f>
        <v/>
      </c>
      <c r="T1177" s="50" t="str">
        <f>IF($AD1177="","",IFERROR(IF(INDEX(CARDS!$I$5:$I$34,MATCH($D1177,CARDS!$A$5:$A$34,0))="","",IF(INDEX(CARDS!$I$5:$I$34,MATCH($D1177,CARDS!$A$5:$A$34,0))&gt;INDEX(CARDS!$H$5:$H$34,MATCH($D1177,CARDS!$A$5:$A$34,0)),DATE(YEAR($AD1177),MONTH($AD1177),MIN(INDEX(CARDS!$I$5:$I$34,MATCH($D1177,CARDS!$A$5:$A$34,0)),DAY(EOMONTH($AD1177,0)))),DATE(YEAR($AD1177),MONTH($AD1177)+1,MIN(INDEX(CARDS!$I$5:$I$34,MATCH($D1177,CARDS!$A$5:$A$34,0)),DAY(EOMONTH($AD1177,1)))))),""))</f>
        <v/>
      </c>
      <c r="U1177" s="38" t="n"/>
      <c r="V1177" s="37" t="n"/>
      <c r="W1177" s="38" t="n"/>
      <c r="X1177" s="38" t="n"/>
      <c r="Y1177" s="44" t="str">
        <f>IF($AC1177&gt;0,INDEX(CASHBACK_RULES!$A$5:$A$304,$AC1177),"")</f>
        <v/>
      </c>
      <c r="Z1177" s="45" t="str">
        <f>IF($AC1177&gt;0,INDEX(CASHBACK_RULES!$E$5:$E$304,$AC1177)&amp;"","")</f>
        <v/>
      </c>
      <c r="AA1177" s="48" t="str">
        <f>IF($AC1177&gt;0,IF(ISNUMBER(INDEX(CASHBACK_RULES!$K$5:$K$304,$AC1177)),INDEX(CASHBACK_RULES!$K$5:$K$304,$AC1177),"∞"),"")</f>
        <v/>
      </c>
      <c r="AB1177" s="44" t="str">
        <f>IF(OR($B1177="",$D1177=""),"",IF($U1177="Cancelled","Đã hủy",IF($AC1177=0,"Không được hoàn",IF($Q1177=0,IF(OR($O1177&gt;0,$M1177&lt;$L1177),"Đã đạt cap","Không được hoàn"),IF(OR($Q1177&lt;$O1177,$M1177&lt;$L1177),"Hoàn một phần","Được hoàn")))))</f>
        <v/>
      </c>
      <c r="AC1177" s="43">
        <f>IF(OR($B1177="",$D1177="",$I1177="",$L1177=""),0,IF($U1177="Cancelled",0,IF($W1177&lt;&gt;"",IFERROR(IF(INDEX(CASHBACK_RULES!$B$5:$B$304,MATCH($W1177,CASHBACK_RULES!$A$5:$A$304,0))=$D1177,MATCH($W1177,CASHBACK_RULES!$A$5:$A$304,0),0),0),IFERROR(MATCH(1,INDEX((CASHBACK_RULES!$B$5:$B$304=$D1177)*(CASHBACK_RULES!$G$5:$G$304=$I1177)*(((CASHBACK_RULES!$N$5:$N$304="")+(CASHBACK_RULES!$N$5:$N$304&lt;=$B1177))&gt;0)*(((CASHBACK_RULES!$O$5:$O$304="")+(CASHBACK_RULES!$O$5:$O$304&gt;=$B1177))&gt;0)*(((CASHBACK_RULES!$M$5:$M$304="")+(CASHBACK_RULES!$M$5:$M$304&lt;=$L1177))&gt;0),0),0),0))))</f>
        <v>0</v>
      </c>
      <c r="AD1177" s="51" t="str">
        <f>IF(OR($B1177="",$D1177=""),"",IFERROR(IF(INDEX(CARDS!$H$5:$H$34,MATCH($D1177,CARDS!$A$5:$A$34,0))="","",IF(DAY($B1177)&lt;=INDEX(CARDS!$H$5:$H$34,MATCH($D1177,CARDS!$A$5:$A$34,0)),DATE(YEAR($B1177),MONTH($B1177),MIN(INDEX(CARDS!$H$5:$H$34,MATCH($D1177,CARDS!$A$5:$A$34,0)),DAY(EOMONTH($B1177,0)))),DATE(YEAR($B1177),MONTH($B1177)+1,MIN(INDEX(CARDS!$H$5:$H$34,MATCH($D1177,CARDS!$A$5:$A$34,0)),DAY(EOMONTH($B1177,1)))))),""))</f>
        <v/>
      </c>
      <c r="AE1177" s="52" t="str">
        <f>IF($C1177="","",$C1177&amp;"|"&amp;COUNTIF($C$5:$C1177,$C1177))</f>
        <v/>
      </c>
      <c r="AF1177" s="53">
        <f>IF($AC1177&gt;0,SUMIFS(Q$4:Q1176,$D$4:$D1176,$D1177,$Z$4:$Z1176,$Z1177,$C$4:$C1176,$C1177),0)</f>
        <v>0</v>
      </c>
      <c r="AG1177" s="53">
        <f>IF($AC1177&gt;0,SUMIFS(Q$4:Q1176,$D$4:$D1176,$D1177,$C$4:$C1176,$C1177),0)</f>
        <v>0</v>
      </c>
      <c r="AH1177" s="53">
        <f>IF($AC1177&gt;0,SUMIFS(M$4:M1176,$D$4:$D1176,$D1177,$Z$4:$Z1176,$Z1177,$C$4:$C1176,$C1177),0)</f>
        <v>0</v>
      </c>
      <c r="AI1177" s="43">
        <f>IF(OR($C1177="",$I1177=""),0,IF(COUNTIFS($C$5:$C1177,$C1177,$I$5:$I1177,$I1177)=1,1,0))</f>
        <v>0</v>
      </c>
      <c r="AJ1177" s="43" t="str">
        <f>IF($AI1177=1,SUMIFS($AI$4:$AI1176,$C$4:$C1176,$C1177)+1,"")</f>
        <v/>
      </c>
      <c r="AK1177" s="43">
        <f>IF(OR($C1177="",$K1177=""),0,IF(COUNTIFS($C$5:$C1177,$C1177,$K$5:$K1177,$K1177)=1,1,0))</f>
        <v>0</v>
      </c>
      <c r="AL1177" s="43" t="str">
        <f>IF($AK1177=1,SUMIFS($AK$4:$AK1176,$C$4:$C1176,$C1177)+1,"")</f>
        <v/>
      </c>
      <c r="AM1177" s="43">
        <f>IF(OR($C1177="",$G1177=""),0,IF(COUNTIFS($C$5:$C1177,$C1177,$G$5:$G1177,$G1177)=1,1,0))</f>
        <v>0</v>
      </c>
      <c r="AN1177" s="43" t="str">
        <f>IF($AM1177=1,SUMIFS($AM$4:$AM1176,$C$4:$C1176,$C1177)+1,"")</f>
        <v/>
      </c>
    </row>
    <row r="1178">
      <c r="A1178" s="44" t="str">
        <f>IF(OR($B1178="",$D1178=""),"","TX"&amp;TEXT(ROW()-4,"0000"))</f>
        <v/>
      </c>
      <c r="B1178" s="42" t="n"/>
      <c r="C1178" s="47" t="str">
        <f>IF($B1178="","",YEAR($B1178)*100+MONTH($B1178))</f>
        <v/>
      </c>
      <c r="D1178" s="37" t="n"/>
      <c r="E1178" s="45" t="str">
        <f>IF($D1178="","",IFERROR(INDEX(CARDS!$B$5:$B$34,MATCH($D1178,CARDS!$A$5:$A$34,0)),"⚠ Card ID?"))</f>
        <v/>
      </c>
      <c r="F1178" s="45" t="str">
        <f>IF($D1178="","",IFERROR(INDEX(CARDS!$C$5:$C$34,MATCH($D1178,CARDS!$A$5:$A$34,0)),"⚠ Card ID?"))</f>
        <v/>
      </c>
      <c r="G1178" s="37" t="n"/>
      <c r="H1178" s="37" t="n"/>
      <c r="I1178" s="41" t="n"/>
      <c r="J1178" s="45" t="str">
        <f>IF($I1178="","",IFERROR(INDEX(MCC_MASTER!$B$5:$B$504,MATCH($I1178,MCC_MASTER!$A$5:$A$504,0)),"⚠ MCC chưa có"))</f>
        <v/>
      </c>
      <c r="K1178" s="45" t="str">
        <f>IF($I1178="","",IFERROR(IF(INDEX(MCC_MASTER!$C$5:$C$504,MATCH($I1178,MCC_MASTER!$A$5:$A$504,0))="","Chưa phân loại",INDEX(MCC_MASTER!$C$5:$C$504,MATCH($I1178,MCC_MASTER!$A$5:$A$504,0))),"Chưa phân loại"))</f>
        <v/>
      </c>
      <c r="L1178" s="40" t="n"/>
      <c r="M1178" s="48" t="str">
        <f>IF(OR($B1178="",$D1178=""),"",IF($AC1178=0,0,IF(ISNUMBER(INDEX(CASHBACK_RULES!$L$5:$L$304,$AC1178)),MAX(0,MIN($L1178,INDEX(CASHBACK_RULES!$L$5:$L$304,$AC1178)-$AH1178)),MAX(0,$L1178))))</f>
        <v/>
      </c>
      <c r="N1178" s="49" t="str">
        <f>IF(OR($B1178="",$D1178=""),"",IF($AC1178&gt;0,INDEX(CASHBACK_RULES!$I$5:$I$304,$AC1178),0))</f>
        <v/>
      </c>
      <c r="O1178" s="48" t="str">
        <f>IF(OR($B1178="",$D1178=""),"",ROUND($M1178*$N1178,0))</f>
        <v/>
      </c>
      <c r="P1178" s="48" t="str">
        <f>IF($AC1178&gt;0,IF(ISNUMBER(INDEX(CASHBACK_RULES!$J$5:$J$304,$AC1178)),INDEX(CASHBACK_RULES!$J$5:$J$304,$AC1178),"∞"),"")</f>
        <v/>
      </c>
      <c r="Q1178" s="48" t="str">
        <f>IF(OR($B1178="",$D1178=""),"",IF($AC1178=0,0,MAX(0,MIN($O1178,IF(ISNUMBER($P1178),$P1178-$AF1178,1E+15),IF(ISNUMBER($AA1178),$AA1178-$AG1178,1E+15)))))</f>
        <v/>
      </c>
      <c r="R1178" s="48" t="str">
        <f>IF(OR($B1178="",$D1178=""),"",IF($AC1178=0,"",IF(AND(NOT(ISNUMBER($P1178)),NOT(ISNUMBER($AA1178))),"∞",MAX(0,MIN(IF(ISNUMBER($P1178),$P1178-$AF1178-$Q1178,1E+15),IF(ISNUMBER($AA1178),$AA1178-$AG1178-$Q1178,1E+15))))))</f>
        <v/>
      </c>
      <c r="S1178" s="47" t="str">
        <f>IF($AD1178="","",YEAR($AD1178)*100+MONTH($AD1178))</f>
        <v/>
      </c>
      <c r="T1178" s="50" t="str">
        <f>IF($AD1178="","",IFERROR(IF(INDEX(CARDS!$I$5:$I$34,MATCH($D1178,CARDS!$A$5:$A$34,0))="","",IF(INDEX(CARDS!$I$5:$I$34,MATCH($D1178,CARDS!$A$5:$A$34,0))&gt;INDEX(CARDS!$H$5:$H$34,MATCH($D1178,CARDS!$A$5:$A$34,0)),DATE(YEAR($AD1178),MONTH($AD1178),MIN(INDEX(CARDS!$I$5:$I$34,MATCH($D1178,CARDS!$A$5:$A$34,0)),DAY(EOMONTH($AD1178,0)))),DATE(YEAR($AD1178),MONTH($AD1178)+1,MIN(INDEX(CARDS!$I$5:$I$34,MATCH($D1178,CARDS!$A$5:$A$34,0)),DAY(EOMONTH($AD1178,1)))))),""))</f>
        <v/>
      </c>
      <c r="U1178" s="38" t="n"/>
      <c r="V1178" s="37" t="n"/>
      <c r="W1178" s="38" t="n"/>
      <c r="X1178" s="38" t="n"/>
      <c r="Y1178" s="44" t="str">
        <f>IF($AC1178&gt;0,INDEX(CASHBACK_RULES!$A$5:$A$304,$AC1178),"")</f>
        <v/>
      </c>
      <c r="Z1178" s="45" t="str">
        <f>IF($AC1178&gt;0,INDEX(CASHBACK_RULES!$E$5:$E$304,$AC1178)&amp;"","")</f>
        <v/>
      </c>
      <c r="AA1178" s="48" t="str">
        <f>IF($AC1178&gt;0,IF(ISNUMBER(INDEX(CASHBACK_RULES!$K$5:$K$304,$AC1178)),INDEX(CASHBACK_RULES!$K$5:$K$304,$AC1178),"∞"),"")</f>
        <v/>
      </c>
      <c r="AB1178" s="44" t="str">
        <f>IF(OR($B1178="",$D1178=""),"",IF($U1178="Cancelled","Đã hủy",IF($AC1178=0,"Không được hoàn",IF($Q1178=0,IF(OR($O1178&gt;0,$M1178&lt;$L1178),"Đã đạt cap","Không được hoàn"),IF(OR($Q1178&lt;$O1178,$M1178&lt;$L1178),"Hoàn một phần","Được hoàn")))))</f>
        <v/>
      </c>
      <c r="AC1178" s="43">
        <f>IF(OR($B1178="",$D1178="",$I1178="",$L1178=""),0,IF($U1178="Cancelled",0,IF($W1178&lt;&gt;"",IFERROR(IF(INDEX(CASHBACK_RULES!$B$5:$B$304,MATCH($W1178,CASHBACK_RULES!$A$5:$A$304,0))=$D1178,MATCH($W1178,CASHBACK_RULES!$A$5:$A$304,0),0),0),IFERROR(MATCH(1,INDEX((CASHBACK_RULES!$B$5:$B$304=$D1178)*(CASHBACK_RULES!$G$5:$G$304=$I1178)*(((CASHBACK_RULES!$N$5:$N$304="")+(CASHBACK_RULES!$N$5:$N$304&lt;=$B1178))&gt;0)*(((CASHBACK_RULES!$O$5:$O$304="")+(CASHBACK_RULES!$O$5:$O$304&gt;=$B1178))&gt;0)*(((CASHBACK_RULES!$M$5:$M$304="")+(CASHBACK_RULES!$M$5:$M$304&lt;=$L1178))&gt;0),0),0),0))))</f>
        <v>0</v>
      </c>
      <c r="AD1178" s="51" t="str">
        <f>IF(OR($B1178="",$D1178=""),"",IFERROR(IF(INDEX(CARDS!$H$5:$H$34,MATCH($D1178,CARDS!$A$5:$A$34,0))="","",IF(DAY($B1178)&lt;=INDEX(CARDS!$H$5:$H$34,MATCH($D1178,CARDS!$A$5:$A$34,0)),DATE(YEAR($B1178),MONTH($B1178),MIN(INDEX(CARDS!$H$5:$H$34,MATCH($D1178,CARDS!$A$5:$A$34,0)),DAY(EOMONTH($B1178,0)))),DATE(YEAR($B1178),MONTH($B1178)+1,MIN(INDEX(CARDS!$H$5:$H$34,MATCH($D1178,CARDS!$A$5:$A$34,0)),DAY(EOMONTH($B1178,1)))))),""))</f>
        <v/>
      </c>
      <c r="AE1178" s="52" t="str">
        <f>IF($C1178="","",$C1178&amp;"|"&amp;COUNTIF($C$5:$C1178,$C1178))</f>
        <v/>
      </c>
      <c r="AF1178" s="53">
        <f>IF($AC1178&gt;0,SUMIFS(Q$4:Q1177,$D$4:$D1177,$D1178,$Z$4:$Z1177,$Z1178,$C$4:$C1177,$C1178),0)</f>
        <v>0</v>
      </c>
      <c r="AG1178" s="53">
        <f>IF($AC1178&gt;0,SUMIFS(Q$4:Q1177,$D$4:$D1177,$D1178,$C$4:$C1177,$C1178),0)</f>
        <v>0</v>
      </c>
      <c r="AH1178" s="53">
        <f>IF($AC1178&gt;0,SUMIFS(M$4:M1177,$D$4:$D1177,$D1178,$Z$4:$Z1177,$Z1178,$C$4:$C1177,$C1178),0)</f>
        <v>0</v>
      </c>
      <c r="AI1178" s="43">
        <f>IF(OR($C1178="",$I1178=""),0,IF(COUNTIFS($C$5:$C1178,$C1178,$I$5:$I1178,$I1178)=1,1,0))</f>
        <v>0</v>
      </c>
      <c r="AJ1178" s="43" t="str">
        <f>IF($AI1178=1,SUMIFS($AI$4:$AI1177,$C$4:$C1177,$C1178)+1,"")</f>
        <v/>
      </c>
      <c r="AK1178" s="43">
        <f>IF(OR($C1178="",$K1178=""),0,IF(COUNTIFS($C$5:$C1178,$C1178,$K$5:$K1178,$K1178)=1,1,0))</f>
        <v>0</v>
      </c>
      <c r="AL1178" s="43" t="str">
        <f>IF($AK1178=1,SUMIFS($AK$4:$AK1177,$C$4:$C1177,$C1178)+1,"")</f>
        <v/>
      </c>
      <c r="AM1178" s="43">
        <f>IF(OR($C1178="",$G1178=""),0,IF(COUNTIFS($C$5:$C1178,$C1178,$G$5:$G1178,$G1178)=1,1,0))</f>
        <v>0</v>
      </c>
      <c r="AN1178" s="43" t="str">
        <f>IF($AM1178=1,SUMIFS($AM$4:$AM1177,$C$4:$C1177,$C1178)+1,"")</f>
        <v/>
      </c>
    </row>
    <row r="1179">
      <c r="A1179" s="44" t="str">
        <f>IF(OR($B1179="",$D1179=""),"","TX"&amp;TEXT(ROW()-4,"0000"))</f>
        <v/>
      </c>
      <c r="B1179" s="42" t="n"/>
      <c r="C1179" s="47" t="str">
        <f>IF($B1179="","",YEAR($B1179)*100+MONTH($B1179))</f>
        <v/>
      </c>
      <c r="D1179" s="37" t="n"/>
      <c r="E1179" s="45" t="str">
        <f>IF($D1179="","",IFERROR(INDEX(CARDS!$B$5:$B$34,MATCH($D1179,CARDS!$A$5:$A$34,0)),"⚠ Card ID?"))</f>
        <v/>
      </c>
      <c r="F1179" s="45" t="str">
        <f>IF($D1179="","",IFERROR(INDEX(CARDS!$C$5:$C$34,MATCH($D1179,CARDS!$A$5:$A$34,0)),"⚠ Card ID?"))</f>
        <v/>
      </c>
      <c r="G1179" s="37" t="n"/>
      <c r="H1179" s="37" t="n"/>
      <c r="I1179" s="41" t="n"/>
      <c r="J1179" s="45" t="str">
        <f>IF($I1179="","",IFERROR(INDEX(MCC_MASTER!$B$5:$B$504,MATCH($I1179,MCC_MASTER!$A$5:$A$504,0)),"⚠ MCC chưa có"))</f>
        <v/>
      </c>
      <c r="K1179" s="45" t="str">
        <f>IF($I1179="","",IFERROR(IF(INDEX(MCC_MASTER!$C$5:$C$504,MATCH($I1179,MCC_MASTER!$A$5:$A$504,0))="","Chưa phân loại",INDEX(MCC_MASTER!$C$5:$C$504,MATCH($I1179,MCC_MASTER!$A$5:$A$504,0))),"Chưa phân loại"))</f>
        <v/>
      </c>
      <c r="L1179" s="40" t="n"/>
      <c r="M1179" s="48" t="str">
        <f>IF(OR($B1179="",$D1179=""),"",IF($AC1179=0,0,IF(ISNUMBER(INDEX(CASHBACK_RULES!$L$5:$L$304,$AC1179)),MAX(0,MIN($L1179,INDEX(CASHBACK_RULES!$L$5:$L$304,$AC1179)-$AH1179)),MAX(0,$L1179))))</f>
        <v/>
      </c>
      <c r="N1179" s="49" t="str">
        <f>IF(OR($B1179="",$D1179=""),"",IF($AC1179&gt;0,INDEX(CASHBACK_RULES!$I$5:$I$304,$AC1179),0))</f>
        <v/>
      </c>
      <c r="O1179" s="48" t="str">
        <f>IF(OR($B1179="",$D1179=""),"",ROUND($M1179*$N1179,0))</f>
        <v/>
      </c>
      <c r="P1179" s="48" t="str">
        <f>IF($AC1179&gt;0,IF(ISNUMBER(INDEX(CASHBACK_RULES!$J$5:$J$304,$AC1179)),INDEX(CASHBACK_RULES!$J$5:$J$304,$AC1179),"∞"),"")</f>
        <v/>
      </c>
      <c r="Q1179" s="48" t="str">
        <f>IF(OR($B1179="",$D1179=""),"",IF($AC1179=0,0,MAX(0,MIN($O1179,IF(ISNUMBER($P1179),$P1179-$AF1179,1E+15),IF(ISNUMBER($AA1179),$AA1179-$AG1179,1E+15)))))</f>
        <v/>
      </c>
      <c r="R1179" s="48" t="str">
        <f>IF(OR($B1179="",$D1179=""),"",IF($AC1179=0,"",IF(AND(NOT(ISNUMBER($P1179)),NOT(ISNUMBER($AA1179))),"∞",MAX(0,MIN(IF(ISNUMBER($P1179),$P1179-$AF1179-$Q1179,1E+15),IF(ISNUMBER($AA1179),$AA1179-$AG1179-$Q1179,1E+15))))))</f>
        <v/>
      </c>
      <c r="S1179" s="47" t="str">
        <f>IF($AD1179="","",YEAR($AD1179)*100+MONTH($AD1179))</f>
        <v/>
      </c>
      <c r="T1179" s="50" t="str">
        <f>IF($AD1179="","",IFERROR(IF(INDEX(CARDS!$I$5:$I$34,MATCH($D1179,CARDS!$A$5:$A$34,0))="","",IF(INDEX(CARDS!$I$5:$I$34,MATCH($D1179,CARDS!$A$5:$A$34,0))&gt;INDEX(CARDS!$H$5:$H$34,MATCH($D1179,CARDS!$A$5:$A$34,0)),DATE(YEAR($AD1179),MONTH($AD1179),MIN(INDEX(CARDS!$I$5:$I$34,MATCH($D1179,CARDS!$A$5:$A$34,0)),DAY(EOMONTH($AD1179,0)))),DATE(YEAR($AD1179),MONTH($AD1179)+1,MIN(INDEX(CARDS!$I$5:$I$34,MATCH($D1179,CARDS!$A$5:$A$34,0)),DAY(EOMONTH($AD1179,1)))))),""))</f>
        <v/>
      </c>
      <c r="U1179" s="38" t="n"/>
      <c r="V1179" s="37" t="n"/>
      <c r="W1179" s="38" t="n"/>
      <c r="X1179" s="38" t="n"/>
      <c r="Y1179" s="44" t="str">
        <f>IF($AC1179&gt;0,INDEX(CASHBACK_RULES!$A$5:$A$304,$AC1179),"")</f>
        <v/>
      </c>
      <c r="Z1179" s="45" t="str">
        <f>IF($AC1179&gt;0,INDEX(CASHBACK_RULES!$E$5:$E$304,$AC1179)&amp;"","")</f>
        <v/>
      </c>
      <c r="AA1179" s="48" t="str">
        <f>IF($AC1179&gt;0,IF(ISNUMBER(INDEX(CASHBACK_RULES!$K$5:$K$304,$AC1179)),INDEX(CASHBACK_RULES!$K$5:$K$304,$AC1179),"∞"),"")</f>
        <v/>
      </c>
      <c r="AB1179" s="44" t="str">
        <f>IF(OR($B1179="",$D1179=""),"",IF($U1179="Cancelled","Đã hủy",IF($AC1179=0,"Không được hoàn",IF($Q1179=0,IF(OR($O1179&gt;0,$M1179&lt;$L1179),"Đã đạt cap","Không được hoàn"),IF(OR($Q1179&lt;$O1179,$M1179&lt;$L1179),"Hoàn một phần","Được hoàn")))))</f>
        <v/>
      </c>
      <c r="AC1179" s="43">
        <f>IF(OR($B1179="",$D1179="",$I1179="",$L1179=""),0,IF($U1179="Cancelled",0,IF($W1179&lt;&gt;"",IFERROR(IF(INDEX(CASHBACK_RULES!$B$5:$B$304,MATCH($W1179,CASHBACK_RULES!$A$5:$A$304,0))=$D1179,MATCH($W1179,CASHBACK_RULES!$A$5:$A$304,0),0),0),IFERROR(MATCH(1,INDEX((CASHBACK_RULES!$B$5:$B$304=$D1179)*(CASHBACK_RULES!$G$5:$G$304=$I1179)*(((CASHBACK_RULES!$N$5:$N$304="")+(CASHBACK_RULES!$N$5:$N$304&lt;=$B1179))&gt;0)*(((CASHBACK_RULES!$O$5:$O$304="")+(CASHBACK_RULES!$O$5:$O$304&gt;=$B1179))&gt;0)*(((CASHBACK_RULES!$M$5:$M$304="")+(CASHBACK_RULES!$M$5:$M$304&lt;=$L1179))&gt;0),0),0),0))))</f>
        <v>0</v>
      </c>
      <c r="AD1179" s="51" t="str">
        <f>IF(OR($B1179="",$D1179=""),"",IFERROR(IF(INDEX(CARDS!$H$5:$H$34,MATCH($D1179,CARDS!$A$5:$A$34,0))="","",IF(DAY($B1179)&lt;=INDEX(CARDS!$H$5:$H$34,MATCH($D1179,CARDS!$A$5:$A$34,0)),DATE(YEAR($B1179),MONTH($B1179),MIN(INDEX(CARDS!$H$5:$H$34,MATCH($D1179,CARDS!$A$5:$A$34,0)),DAY(EOMONTH($B1179,0)))),DATE(YEAR($B1179),MONTH($B1179)+1,MIN(INDEX(CARDS!$H$5:$H$34,MATCH($D1179,CARDS!$A$5:$A$34,0)),DAY(EOMONTH($B1179,1)))))),""))</f>
        <v/>
      </c>
      <c r="AE1179" s="52" t="str">
        <f>IF($C1179="","",$C1179&amp;"|"&amp;COUNTIF($C$5:$C1179,$C1179))</f>
        <v/>
      </c>
      <c r="AF1179" s="53">
        <f>IF($AC1179&gt;0,SUMIFS(Q$4:Q1178,$D$4:$D1178,$D1179,$Z$4:$Z1178,$Z1179,$C$4:$C1178,$C1179),0)</f>
        <v>0</v>
      </c>
      <c r="AG1179" s="53">
        <f>IF($AC1179&gt;0,SUMIFS(Q$4:Q1178,$D$4:$D1178,$D1179,$C$4:$C1178,$C1179),0)</f>
        <v>0</v>
      </c>
      <c r="AH1179" s="53">
        <f>IF($AC1179&gt;0,SUMIFS(M$4:M1178,$D$4:$D1178,$D1179,$Z$4:$Z1178,$Z1179,$C$4:$C1178,$C1179),0)</f>
        <v>0</v>
      </c>
      <c r="AI1179" s="43">
        <f>IF(OR($C1179="",$I1179=""),0,IF(COUNTIFS($C$5:$C1179,$C1179,$I$5:$I1179,$I1179)=1,1,0))</f>
        <v>0</v>
      </c>
      <c r="AJ1179" s="43" t="str">
        <f>IF($AI1179=1,SUMIFS($AI$4:$AI1178,$C$4:$C1178,$C1179)+1,"")</f>
        <v/>
      </c>
      <c r="AK1179" s="43">
        <f>IF(OR($C1179="",$K1179=""),0,IF(COUNTIFS($C$5:$C1179,$C1179,$K$5:$K1179,$K1179)=1,1,0))</f>
        <v>0</v>
      </c>
      <c r="AL1179" s="43" t="str">
        <f>IF($AK1179=1,SUMIFS($AK$4:$AK1178,$C$4:$C1178,$C1179)+1,"")</f>
        <v/>
      </c>
      <c r="AM1179" s="43">
        <f>IF(OR($C1179="",$G1179=""),0,IF(COUNTIFS($C$5:$C1179,$C1179,$G$5:$G1179,$G1179)=1,1,0))</f>
        <v>0</v>
      </c>
      <c r="AN1179" s="43" t="str">
        <f>IF($AM1179=1,SUMIFS($AM$4:$AM1178,$C$4:$C1178,$C1179)+1,"")</f>
        <v/>
      </c>
    </row>
    <row r="1180">
      <c r="A1180" s="44" t="str">
        <f>IF(OR($B1180="",$D1180=""),"","TX"&amp;TEXT(ROW()-4,"0000"))</f>
        <v/>
      </c>
      <c r="B1180" s="42" t="n"/>
      <c r="C1180" s="47" t="str">
        <f>IF($B1180="","",YEAR($B1180)*100+MONTH($B1180))</f>
        <v/>
      </c>
      <c r="D1180" s="37" t="n"/>
      <c r="E1180" s="45" t="str">
        <f>IF($D1180="","",IFERROR(INDEX(CARDS!$B$5:$B$34,MATCH($D1180,CARDS!$A$5:$A$34,0)),"⚠ Card ID?"))</f>
        <v/>
      </c>
      <c r="F1180" s="45" t="str">
        <f>IF($D1180="","",IFERROR(INDEX(CARDS!$C$5:$C$34,MATCH($D1180,CARDS!$A$5:$A$34,0)),"⚠ Card ID?"))</f>
        <v/>
      </c>
      <c r="G1180" s="37" t="n"/>
      <c r="H1180" s="37" t="n"/>
      <c r="I1180" s="41" t="n"/>
      <c r="J1180" s="45" t="str">
        <f>IF($I1180="","",IFERROR(INDEX(MCC_MASTER!$B$5:$B$504,MATCH($I1180,MCC_MASTER!$A$5:$A$504,0)),"⚠ MCC chưa có"))</f>
        <v/>
      </c>
      <c r="K1180" s="45" t="str">
        <f>IF($I1180="","",IFERROR(IF(INDEX(MCC_MASTER!$C$5:$C$504,MATCH($I1180,MCC_MASTER!$A$5:$A$504,0))="","Chưa phân loại",INDEX(MCC_MASTER!$C$5:$C$504,MATCH($I1180,MCC_MASTER!$A$5:$A$504,0))),"Chưa phân loại"))</f>
        <v/>
      </c>
      <c r="L1180" s="40" t="n"/>
      <c r="M1180" s="48" t="str">
        <f>IF(OR($B1180="",$D1180=""),"",IF($AC1180=0,0,IF(ISNUMBER(INDEX(CASHBACK_RULES!$L$5:$L$304,$AC1180)),MAX(0,MIN($L1180,INDEX(CASHBACK_RULES!$L$5:$L$304,$AC1180)-$AH1180)),MAX(0,$L1180))))</f>
        <v/>
      </c>
      <c r="N1180" s="49" t="str">
        <f>IF(OR($B1180="",$D1180=""),"",IF($AC1180&gt;0,INDEX(CASHBACK_RULES!$I$5:$I$304,$AC1180),0))</f>
        <v/>
      </c>
      <c r="O1180" s="48" t="str">
        <f>IF(OR($B1180="",$D1180=""),"",ROUND($M1180*$N1180,0))</f>
        <v/>
      </c>
      <c r="P1180" s="48" t="str">
        <f>IF($AC1180&gt;0,IF(ISNUMBER(INDEX(CASHBACK_RULES!$J$5:$J$304,$AC1180)),INDEX(CASHBACK_RULES!$J$5:$J$304,$AC1180),"∞"),"")</f>
        <v/>
      </c>
      <c r="Q1180" s="48" t="str">
        <f>IF(OR($B1180="",$D1180=""),"",IF($AC1180=0,0,MAX(0,MIN($O1180,IF(ISNUMBER($P1180),$P1180-$AF1180,1E+15),IF(ISNUMBER($AA1180),$AA1180-$AG1180,1E+15)))))</f>
        <v/>
      </c>
      <c r="R1180" s="48" t="str">
        <f>IF(OR($B1180="",$D1180=""),"",IF($AC1180=0,"",IF(AND(NOT(ISNUMBER($P1180)),NOT(ISNUMBER($AA1180))),"∞",MAX(0,MIN(IF(ISNUMBER($P1180),$P1180-$AF1180-$Q1180,1E+15),IF(ISNUMBER($AA1180),$AA1180-$AG1180-$Q1180,1E+15))))))</f>
        <v/>
      </c>
      <c r="S1180" s="47" t="str">
        <f>IF($AD1180="","",YEAR($AD1180)*100+MONTH($AD1180))</f>
        <v/>
      </c>
      <c r="T1180" s="50" t="str">
        <f>IF($AD1180="","",IFERROR(IF(INDEX(CARDS!$I$5:$I$34,MATCH($D1180,CARDS!$A$5:$A$34,0))="","",IF(INDEX(CARDS!$I$5:$I$34,MATCH($D1180,CARDS!$A$5:$A$34,0))&gt;INDEX(CARDS!$H$5:$H$34,MATCH($D1180,CARDS!$A$5:$A$34,0)),DATE(YEAR($AD1180),MONTH($AD1180),MIN(INDEX(CARDS!$I$5:$I$34,MATCH($D1180,CARDS!$A$5:$A$34,0)),DAY(EOMONTH($AD1180,0)))),DATE(YEAR($AD1180),MONTH($AD1180)+1,MIN(INDEX(CARDS!$I$5:$I$34,MATCH($D1180,CARDS!$A$5:$A$34,0)),DAY(EOMONTH($AD1180,1)))))),""))</f>
        <v/>
      </c>
      <c r="U1180" s="38" t="n"/>
      <c r="V1180" s="37" t="n"/>
      <c r="W1180" s="38" t="n"/>
      <c r="X1180" s="38" t="n"/>
      <c r="Y1180" s="44" t="str">
        <f>IF($AC1180&gt;0,INDEX(CASHBACK_RULES!$A$5:$A$304,$AC1180),"")</f>
        <v/>
      </c>
      <c r="Z1180" s="45" t="str">
        <f>IF($AC1180&gt;0,INDEX(CASHBACK_RULES!$E$5:$E$304,$AC1180)&amp;"","")</f>
        <v/>
      </c>
      <c r="AA1180" s="48" t="str">
        <f>IF($AC1180&gt;0,IF(ISNUMBER(INDEX(CASHBACK_RULES!$K$5:$K$304,$AC1180)),INDEX(CASHBACK_RULES!$K$5:$K$304,$AC1180),"∞"),"")</f>
        <v/>
      </c>
      <c r="AB1180" s="44" t="str">
        <f>IF(OR($B1180="",$D1180=""),"",IF($U1180="Cancelled","Đã hủy",IF($AC1180=0,"Không được hoàn",IF($Q1180=0,IF(OR($O1180&gt;0,$M1180&lt;$L1180),"Đã đạt cap","Không được hoàn"),IF(OR($Q1180&lt;$O1180,$M1180&lt;$L1180),"Hoàn một phần","Được hoàn")))))</f>
        <v/>
      </c>
      <c r="AC1180" s="43">
        <f>IF(OR($B1180="",$D1180="",$I1180="",$L1180=""),0,IF($U1180="Cancelled",0,IF($W1180&lt;&gt;"",IFERROR(IF(INDEX(CASHBACK_RULES!$B$5:$B$304,MATCH($W1180,CASHBACK_RULES!$A$5:$A$304,0))=$D1180,MATCH($W1180,CASHBACK_RULES!$A$5:$A$304,0),0),0),IFERROR(MATCH(1,INDEX((CASHBACK_RULES!$B$5:$B$304=$D1180)*(CASHBACK_RULES!$G$5:$G$304=$I1180)*(((CASHBACK_RULES!$N$5:$N$304="")+(CASHBACK_RULES!$N$5:$N$304&lt;=$B1180))&gt;0)*(((CASHBACK_RULES!$O$5:$O$304="")+(CASHBACK_RULES!$O$5:$O$304&gt;=$B1180))&gt;0)*(((CASHBACK_RULES!$M$5:$M$304="")+(CASHBACK_RULES!$M$5:$M$304&lt;=$L1180))&gt;0),0),0),0))))</f>
        <v>0</v>
      </c>
      <c r="AD1180" s="51" t="str">
        <f>IF(OR($B1180="",$D1180=""),"",IFERROR(IF(INDEX(CARDS!$H$5:$H$34,MATCH($D1180,CARDS!$A$5:$A$34,0))="","",IF(DAY($B1180)&lt;=INDEX(CARDS!$H$5:$H$34,MATCH($D1180,CARDS!$A$5:$A$34,0)),DATE(YEAR($B1180),MONTH($B1180),MIN(INDEX(CARDS!$H$5:$H$34,MATCH($D1180,CARDS!$A$5:$A$34,0)),DAY(EOMONTH($B1180,0)))),DATE(YEAR($B1180),MONTH($B1180)+1,MIN(INDEX(CARDS!$H$5:$H$34,MATCH($D1180,CARDS!$A$5:$A$34,0)),DAY(EOMONTH($B1180,1)))))),""))</f>
        <v/>
      </c>
      <c r="AE1180" s="52" t="str">
        <f>IF($C1180="","",$C1180&amp;"|"&amp;COUNTIF($C$5:$C1180,$C1180))</f>
        <v/>
      </c>
      <c r="AF1180" s="53">
        <f>IF($AC1180&gt;0,SUMIFS(Q$4:Q1179,$D$4:$D1179,$D1180,$Z$4:$Z1179,$Z1180,$C$4:$C1179,$C1180),0)</f>
        <v>0</v>
      </c>
      <c r="AG1180" s="53">
        <f>IF($AC1180&gt;0,SUMIFS(Q$4:Q1179,$D$4:$D1179,$D1180,$C$4:$C1179,$C1180),0)</f>
        <v>0</v>
      </c>
      <c r="AH1180" s="53">
        <f>IF($AC1180&gt;0,SUMIFS(M$4:M1179,$D$4:$D1179,$D1180,$Z$4:$Z1179,$Z1180,$C$4:$C1179,$C1180),0)</f>
        <v>0</v>
      </c>
      <c r="AI1180" s="43">
        <f>IF(OR($C1180="",$I1180=""),0,IF(COUNTIFS($C$5:$C1180,$C1180,$I$5:$I1180,$I1180)=1,1,0))</f>
        <v>0</v>
      </c>
      <c r="AJ1180" s="43" t="str">
        <f>IF($AI1180=1,SUMIFS($AI$4:$AI1179,$C$4:$C1179,$C1180)+1,"")</f>
        <v/>
      </c>
      <c r="AK1180" s="43">
        <f>IF(OR($C1180="",$K1180=""),0,IF(COUNTIFS($C$5:$C1180,$C1180,$K$5:$K1180,$K1180)=1,1,0))</f>
        <v>0</v>
      </c>
      <c r="AL1180" s="43" t="str">
        <f>IF($AK1180=1,SUMIFS($AK$4:$AK1179,$C$4:$C1179,$C1180)+1,"")</f>
        <v/>
      </c>
      <c r="AM1180" s="43">
        <f>IF(OR($C1180="",$G1180=""),0,IF(COUNTIFS($C$5:$C1180,$C1180,$G$5:$G1180,$G1180)=1,1,0))</f>
        <v>0</v>
      </c>
      <c r="AN1180" s="43" t="str">
        <f>IF($AM1180=1,SUMIFS($AM$4:$AM1179,$C$4:$C1179,$C1180)+1,"")</f>
        <v/>
      </c>
    </row>
    <row r="1181">
      <c r="A1181" s="44" t="str">
        <f>IF(OR($B1181="",$D1181=""),"","TX"&amp;TEXT(ROW()-4,"0000"))</f>
        <v/>
      </c>
      <c r="B1181" s="42" t="n"/>
      <c r="C1181" s="47" t="str">
        <f>IF($B1181="","",YEAR($B1181)*100+MONTH($B1181))</f>
        <v/>
      </c>
      <c r="D1181" s="37" t="n"/>
      <c r="E1181" s="45" t="str">
        <f>IF($D1181="","",IFERROR(INDEX(CARDS!$B$5:$B$34,MATCH($D1181,CARDS!$A$5:$A$34,0)),"⚠ Card ID?"))</f>
        <v/>
      </c>
      <c r="F1181" s="45" t="str">
        <f>IF($D1181="","",IFERROR(INDEX(CARDS!$C$5:$C$34,MATCH($D1181,CARDS!$A$5:$A$34,0)),"⚠ Card ID?"))</f>
        <v/>
      </c>
      <c r="G1181" s="37" t="n"/>
      <c r="H1181" s="37" t="n"/>
      <c r="I1181" s="41" t="n"/>
      <c r="J1181" s="45" t="str">
        <f>IF($I1181="","",IFERROR(INDEX(MCC_MASTER!$B$5:$B$504,MATCH($I1181,MCC_MASTER!$A$5:$A$504,0)),"⚠ MCC chưa có"))</f>
        <v/>
      </c>
      <c r="K1181" s="45" t="str">
        <f>IF($I1181="","",IFERROR(IF(INDEX(MCC_MASTER!$C$5:$C$504,MATCH($I1181,MCC_MASTER!$A$5:$A$504,0))="","Chưa phân loại",INDEX(MCC_MASTER!$C$5:$C$504,MATCH($I1181,MCC_MASTER!$A$5:$A$504,0))),"Chưa phân loại"))</f>
        <v/>
      </c>
      <c r="L1181" s="40" t="n"/>
      <c r="M1181" s="48" t="str">
        <f>IF(OR($B1181="",$D1181=""),"",IF($AC1181=0,0,IF(ISNUMBER(INDEX(CASHBACK_RULES!$L$5:$L$304,$AC1181)),MAX(0,MIN($L1181,INDEX(CASHBACK_RULES!$L$5:$L$304,$AC1181)-$AH1181)),MAX(0,$L1181))))</f>
        <v/>
      </c>
      <c r="N1181" s="49" t="str">
        <f>IF(OR($B1181="",$D1181=""),"",IF($AC1181&gt;0,INDEX(CASHBACK_RULES!$I$5:$I$304,$AC1181),0))</f>
        <v/>
      </c>
      <c r="O1181" s="48" t="str">
        <f>IF(OR($B1181="",$D1181=""),"",ROUND($M1181*$N1181,0))</f>
        <v/>
      </c>
      <c r="P1181" s="48" t="str">
        <f>IF($AC1181&gt;0,IF(ISNUMBER(INDEX(CASHBACK_RULES!$J$5:$J$304,$AC1181)),INDEX(CASHBACK_RULES!$J$5:$J$304,$AC1181),"∞"),"")</f>
        <v/>
      </c>
      <c r="Q1181" s="48" t="str">
        <f>IF(OR($B1181="",$D1181=""),"",IF($AC1181=0,0,MAX(0,MIN($O1181,IF(ISNUMBER($P1181),$P1181-$AF1181,1E+15),IF(ISNUMBER($AA1181),$AA1181-$AG1181,1E+15)))))</f>
        <v/>
      </c>
      <c r="R1181" s="48" t="str">
        <f>IF(OR($B1181="",$D1181=""),"",IF($AC1181=0,"",IF(AND(NOT(ISNUMBER($P1181)),NOT(ISNUMBER($AA1181))),"∞",MAX(0,MIN(IF(ISNUMBER($P1181),$P1181-$AF1181-$Q1181,1E+15),IF(ISNUMBER($AA1181),$AA1181-$AG1181-$Q1181,1E+15))))))</f>
        <v/>
      </c>
      <c r="S1181" s="47" t="str">
        <f>IF($AD1181="","",YEAR($AD1181)*100+MONTH($AD1181))</f>
        <v/>
      </c>
      <c r="T1181" s="50" t="str">
        <f>IF($AD1181="","",IFERROR(IF(INDEX(CARDS!$I$5:$I$34,MATCH($D1181,CARDS!$A$5:$A$34,0))="","",IF(INDEX(CARDS!$I$5:$I$34,MATCH($D1181,CARDS!$A$5:$A$34,0))&gt;INDEX(CARDS!$H$5:$H$34,MATCH($D1181,CARDS!$A$5:$A$34,0)),DATE(YEAR($AD1181),MONTH($AD1181),MIN(INDEX(CARDS!$I$5:$I$34,MATCH($D1181,CARDS!$A$5:$A$34,0)),DAY(EOMONTH($AD1181,0)))),DATE(YEAR($AD1181),MONTH($AD1181)+1,MIN(INDEX(CARDS!$I$5:$I$34,MATCH($D1181,CARDS!$A$5:$A$34,0)),DAY(EOMONTH($AD1181,1)))))),""))</f>
        <v/>
      </c>
      <c r="U1181" s="38" t="n"/>
      <c r="V1181" s="37" t="n"/>
      <c r="W1181" s="38" t="n"/>
      <c r="X1181" s="38" t="n"/>
      <c r="Y1181" s="44" t="str">
        <f>IF($AC1181&gt;0,INDEX(CASHBACK_RULES!$A$5:$A$304,$AC1181),"")</f>
        <v/>
      </c>
      <c r="Z1181" s="45" t="str">
        <f>IF($AC1181&gt;0,INDEX(CASHBACK_RULES!$E$5:$E$304,$AC1181)&amp;"","")</f>
        <v/>
      </c>
      <c r="AA1181" s="48" t="str">
        <f>IF($AC1181&gt;0,IF(ISNUMBER(INDEX(CASHBACK_RULES!$K$5:$K$304,$AC1181)),INDEX(CASHBACK_RULES!$K$5:$K$304,$AC1181),"∞"),"")</f>
        <v/>
      </c>
      <c r="AB1181" s="44" t="str">
        <f>IF(OR($B1181="",$D1181=""),"",IF($U1181="Cancelled","Đã hủy",IF($AC1181=0,"Không được hoàn",IF($Q1181=0,IF(OR($O1181&gt;0,$M1181&lt;$L1181),"Đã đạt cap","Không được hoàn"),IF(OR($Q1181&lt;$O1181,$M1181&lt;$L1181),"Hoàn một phần","Được hoàn")))))</f>
        <v/>
      </c>
      <c r="AC1181" s="43">
        <f>IF(OR($B1181="",$D1181="",$I1181="",$L1181=""),0,IF($U1181="Cancelled",0,IF($W1181&lt;&gt;"",IFERROR(IF(INDEX(CASHBACK_RULES!$B$5:$B$304,MATCH($W1181,CASHBACK_RULES!$A$5:$A$304,0))=$D1181,MATCH($W1181,CASHBACK_RULES!$A$5:$A$304,0),0),0),IFERROR(MATCH(1,INDEX((CASHBACK_RULES!$B$5:$B$304=$D1181)*(CASHBACK_RULES!$G$5:$G$304=$I1181)*(((CASHBACK_RULES!$N$5:$N$304="")+(CASHBACK_RULES!$N$5:$N$304&lt;=$B1181))&gt;0)*(((CASHBACK_RULES!$O$5:$O$304="")+(CASHBACK_RULES!$O$5:$O$304&gt;=$B1181))&gt;0)*(((CASHBACK_RULES!$M$5:$M$304="")+(CASHBACK_RULES!$M$5:$M$304&lt;=$L1181))&gt;0),0),0),0))))</f>
        <v>0</v>
      </c>
      <c r="AD1181" s="51" t="str">
        <f>IF(OR($B1181="",$D1181=""),"",IFERROR(IF(INDEX(CARDS!$H$5:$H$34,MATCH($D1181,CARDS!$A$5:$A$34,0))="","",IF(DAY($B1181)&lt;=INDEX(CARDS!$H$5:$H$34,MATCH($D1181,CARDS!$A$5:$A$34,0)),DATE(YEAR($B1181),MONTH($B1181),MIN(INDEX(CARDS!$H$5:$H$34,MATCH($D1181,CARDS!$A$5:$A$34,0)),DAY(EOMONTH($B1181,0)))),DATE(YEAR($B1181),MONTH($B1181)+1,MIN(INDEX(CARDS!$H$5:$H$34,MATCH($D1181,CARDS!$A$5:$A$34,0)),DAY(EOMONTH($B1181,1)))))),""))</f>
        <v/>
      </c>
      <c r="AE1181" s="52" t="str">
        <f>IF($C1181="","",$C1181&amp;"|"&amp;COUNTIF($C$5:$C1181,$C1181))</f>
        <v/>
      </c>
      <c r="AF1181" s="53">
        <f>IF($AC1181&gt;0,SUMIFS(Q$4:Q1180,$D$4:$D1180,$D1181,$Z$4:$Z1180,$Z1181,$C$4:$C1180,$C1181),0)</f>
        <v>0</v>
      </c>
      <c r="AG1181" s="53">
        <f>IF($AC1181&gt;0,SUMIFS(Q$4:Q1180,$D$4:$D1180,$D1181,$C$4:$C1180,$C1181),0)</f>
        <v>0</v>
      </c>
      <c r="AH1181" s="53">
        <f>IF($AC1181&gt;0,SUMIFS(M$4:M1180,$D$4:$D1180,$D1181,$Z$4:$Z1180,$Z1181,$C$4:$C1180,$C1181),0)</f>
        <v>0</v>
      </c>
      <c r="AI1181" s="43">
        <f>IF(OR($C1181="",$I1181=""),0,IF(COUNTIFS($C$5:$C1181,$C1181,$I$5:$I1181,$I1181)=1,1,0))</f>
        <v>0</v>
      </c>
      <c r="AJ1181" s="43" t="str">
        <f>IF($AI1181=1,SUMIFS($AI$4:$AI1180,$C$4:$C1180,$C1181)+1,"")</f>
        <v/>
      </c>
      <c r="AK1181" s="43">
        <f>IF(OR($C1181="",$K1181=""),0,IF(COUNTIFS($C$5:$C1181,$C1181,$K$5:$K1181,$K1181)=1,1,0))</f>
        <v>0</v>
      </c>
      <c r="AL1181" s="43" t="str">
        <f>IF($AK1181=1,SUMIFS($AK$4:$AK1180,$C$4:$C1180,$C1181)+1,"")</f>
        <v/>
      </c>
      <c r="AM1181" s="43">
        <f>IF(OR($C1181="",$G1181=""),0,IF(COUNTIFS($C$5:$C1181,$C1181,$G$5:$G1181,$G1181)=1,1,0))</f>
        <v>0</v>
      </c>
      <c r="AN1181" s="43" t="str">
        <f>IF($AM1181=1,SUMIFS($AM$4:$AM1180,$C$4:$C1180,$C1181)+1,"")</f>
        <v/>
      </c>
    </row>
    <row r="1182">
      <c r="A1182" s="44" t="str">
        <f>IF(OR($B1182="",$D1182=""),"","TX"&amp;TEXT(ROW()-4,"0000"))</f>
        <v/>
      </c>
      <c r="B1182" s="42" t="n"/>
      <c r="C1182" s="47" t="str">
        <f>IF($B1182="","",YEAR($B1182)*100+MONTH($B1182))</f>
        <v/>
      </c>
      <c r="D1182" s="37" t="n"/>
      <c r="E1182" s="45" t="str">
        <f>IF($D1182="","",IFERROR(INDEX(CARDS!$B$5:$B$34,MATCH($D1182,CARDS!$A$5:$A$34,0)),"⚠ Card ID?"))</f>
        <v/>
      </c>
      <c r="F1182" s="45" t="str">
        <f>IF($D1182="","",IFERROR(INDEX(CARDS!$C$5:$C$34,MATCH($D1182,CARDS!$A$5:$A$34,0)),"⚠ Card ID?"))</f>
        <v/>
      </c>
      <c r="G1182" s="37" t="n"/>
      <c r="H1182" s="37" t="n"/>
      <c r="I1182" s="41" t="n"/>
      <c r="J1182" s="45" t="str">
        <f>IF($I1182="","",IFERROR(INDEX(MCC_MASTER!$B$5:$B$504,MATCH($I1182,MCC_MASTER!$A$5:$A$504,0)),"⚠ MCC chưa có"))</f>
        <v/>
      </c>
      <c r="K1182" s="45" t="str">
        <f>IF($I1182="","",IFERROR(IF(INDEX(MCC_MASTER!$C$5:$C$504,MATCH($I1182,MCC_MASTER!$A$5:$A$504,0))="","Chưa phân loại",INDEX(MCC_MASTER!$C$5:$C$504,MATCH($I1182,MCC_MASTER!$A$5:$A$504,0))),"Chưa phân loại"))</f>
        <v/>
      </c>
      <c r="L1182" s="40" t="n"/>
      <c r="M1182" s="48" t="str">
        <f>IF(OR($B1182="",$D1182=""),"",IF($AC1182=0,0,IF(ISNUMBER(INDEX(CASHBACK_RULES!$L$5:$L$304,$AC1182)),MAX(0,MIN($L1182,INDEX(CASHBACK_RULES!$L$5:$L$304,$AC1182)-$AH1182)),MAX(0,$L1182))))</f>
        <v/>
      </c>
      <c r="N1182" s="49" t="str">
        <f>IF(OR($B1182="",$D1182=""),"",IF($AC1182&gt;0,INDEX(CASHBACK_RULES!$I$5:$I$304,$AC1182),0))</f>
        <v/>
      </c>
      <c r="O1182" s="48" t="str">
        <f>IF(OR($B1182="",$D1182=""),"",ROUND($M1182*$N1182,0))</f>
        <v/>
      </c>
      <c r="P1182" s="48" t="str">
        <f>IF($AC1182&gt;0,IF(ISNUMBER(INDEX(CASHBACK_RULES!$J$5:$J$304,$AC1182)),INDEX(CASHBACK_RULES!$J$5:$J$304,$AC1182),"∞"),"")</f>
        <v/>
      </c>
      <c r="Q1182" s="48" t="str">
        <f>IF(OR($B1182="",$D1182=""),"",IF($AC1182=0,0,MAX(0,MIN($O1182,IF(ISNUMBER($P1182),$P1182-$AF1182,1E+15),IF(ISNUMBER($AA1182),$AA1182-$AG1182,1E+15)))))</f>
        <v/>
      </c>
      <c r="R1182" s="48" t="str">
        <f>IF(OR($B1182="",$D1182=""),"",IF($AC1182=0,"",IF(AND(NOT(ISNUMBER($P1182)),NOT(ISNUMBER($AA1182))),"∞",MAX(0,MIN(IF(ISNUMBER($P1182),$P1182-$AF1182-$Q1182,1E+15),IF(ISNUMBER($AA1182),$AA1182-$AG1182-$Q1182,1E+15))))))</f>
        <v/>
      </c>
      <c r="S1182" s="47" t="str">
        <f>IF($AD1182="","",YEAR($AD1182)*100+MONTH($AD1182))</f>
        <v/>
      </c>
      <c r="T1182" s="50" t="str">
        <f>IF($AD1182="","",IFERROR(IF(INDEX(CARDS!$I$5:$I$34,MATCH($D1182,CARDS!$A$5:$A$34,0))="","",IF(INDEX(CARDS!$I$5:$I$34,MATCH($D1182,CARDS!$A$5:$A$34,0))&gt;INDEX(CARDS!$H$5:$H$34,MATCH($D1182,CARDS!$A$5:$A$34,0)),DATE(YEAR($AD1182),MONTH($AD1182),MIN(INDEX(CARDS!$I$5:$I$34,MATCH($D1182,CARDS!$A$5:$A$34,0)),DAY(EOMONTH($AD1182,0)))),DATE(YEAR($AD1182),MONTH($AD1182)+1,MIN(INDEX(CARDS!$I$5:$I$34,MATCH($D1182,CARDS!$A$5:$A$34,0)),DAY(EOMONTH($AD1182,1)))))),""))</f>
        <v/>
      </c>
      <c r="U1182" s="38" t="n"/>
      <c r="V1182" s="37" t="n"/>
      <c r="W1182" s="38" t="n"/>
      <c r="X1182" s="38" t="n"/>
      <c r="Y1182" s="44" t="str">
        <f>IF($AC1182&gt;0,INDEX(CASHBACK_RULES!$A$5:$A$304,$AC1182),"")</f>
        <v/>
      </c>
      <c r="Z1182" s="45" t="str">
        <f>IF($AC1182&gt;0,INDEX(CASHBACK_RULES!$E$5:$E$304,$AC1182)&amp;"","")</f>
        <v/>
      </c>
      <c r="AA1182" s="48" t="str">
        <f>IF($AC1182&gt;0,IF(ISNUMBER(INDEX(CASHBACK_RULES!$K$5:$K$304,$AC1182)),INDEX(CASHBACK_RULES!$K$5:$K$304,$AC1182),"∞"),"")</f>
        <v/>
      </c>
      <c r="AB1182" s="44" t="str">
        <f>IF(OR($B1182="",$D1182=""),"",IF($U1182="Cancelled","Đã hủy",IF($AC1182=0,"Không được hoàn",IF($Q1182=0,IF(OR($O1182&gt;0,$M1182&lt;$L1182),"Đã đạt cap","Không được hoàn"),IF(OR($Q1182&lt;$O1182,$M1182&lt;$L1182),"Hoàn một phần","Được hoàn")))))</f>
        <v/>
      </c>
      <c r="AC1182" s="43">
        <f>IF(OR($B1182="",$D1182="",$I1182="",$L1182=""),0,IF($U1182="Cancelled",0,IF($W1182&lt;&gt;"",IFERROR(IF(INDEX(CASHBACK_RULES!$B$5:$B$304,MATCH($W1182,CASHBACK_RULES!$A$5:$A$304,0))=$D1182,MATCH($W1182,CASHBACK_RULES!$A$5:$A$304,0),0),0),IFERROR(MATCH(1,INDEX((CASHBACK_RULES!$B$5:$B$304=$D1182)*(CASHBACK_RULES!$G$5:$G$304=$I1182)*(((CASHBACK_RULES!$N$5:$N$304="")+(CASHBACK_RULES!$N$5:$N$304&lt;=$B1182))&gt;0)*(((CASHBACK_RULES!$O$5:$O$304="")+(CASHBACK_RULES!$O$5:$O$304&gt;=$B1182))&gt;0)*(((CASHBACK_RULES!$M$5:$M$304="")+(CASHBACK_RULES!$M$5:$M$304&lt;=$L1182))&gt;0),0),0),0))))</f>
        <v>0</v>
      </c>
      <c r="AD1182" s="51" t="str">
        <f>IF(OR($B1182="",$D1182=""),"",IFERROR(IF(INDEX(CARDS!$H$5:$H$34,MATCH($D1182,CARDS!$A$5:$A$34,0))="","",IF(DAY($B1182)&lt;=INDEX(CARDS!$H$5:$H$34,MATCH($D1182,CARDS!$A$5:$A$34,0)),DATE(YEAR($B1182),MONTH($B1182),MIN(INDEX(CARDS!$H$5:$H$34,MATCH($D1182,CARDS!$A$5:$A$34,0)),DAY(EOMONTH($B1182,0)))),DATE(YEAR($B1182),MONTH($B1182)+1,MIN(INDEX(CARDS!$H$5:$H$34,MATCH($D1182,CARDS!$A$5:$A$34,0)),DAY(EOMONTH($B1182,1)))))),""))</f>
        <v/>
      </c>
      <c r="AE1182" s="52" t="str">
        <f>IF($C1182="","",$C1182&amp;"|"&amp;COUNTIF($C$5:$C1182,$C1182))</f>
        <v/>
      </c>
      <c r="AF1182" s="53">
        <f>IF($AC1182&gt;0,SUMIFS(Q$4:Q1181,$D$4:$D1181,$D1182,$Z$4:$Z1181,$Z1182,$C$4:$C1181,$C1182),0)</f>
        <v>0</v>
      </c>
      <c r="AG1182" s="53">
        <f>IF($AC1182&gt;0,SUMIFS(Q$4:Q1181,$D$4:$D1181,$D1182,$C$4:$C1181,$C1182),0)</f>
        <v>0</v>
      </c>
      <c r="AH1182" s="53">
        <f>IF($AC1182&gt;0,SUMIFS(M$4:M1181,$D$4:$D1181,$D1182,$Z$4:$Z1181,$Z1182,$C$4:$C1181,$C1182),0)</f>
        <v>0</v>
      </c>
      <c r="AI1182" s="43">
        <f>IF(OR($C1182="",$I1182=""),0,IF(COUNTIFS($C$5:$C1182,$C1182,$I$5:$I1182,$I1182)=1,1,0))</f>
        <v>0</v>
      </c>
      <c r="AJ1182" s="43" t="str">
        <f>IF($AI1182=1,SUMIFS($AI$4:$AI1181,$C$4:$C1181,$C1182)+1,"")</f>
        <v/>
      </c>
      <c r="AK1182" s="43">
        <f>IF(OR($C1182="",$K1182=""),0,IF(COUNTIFS($C$5:$C1182,$C1182,$K$5:$K1182,$K1182)=1,1,0))</f>
        <v>0</v>
      </c>
      <c r="AL1182" s="43" t="str">
        <f>IF($AK1182=1,SUMIFS($AK$4:$AK1181,$C$4:$C1181,$C1182)+1,"")</f>
        <v/>
      </c>
      <c r="AM1182" s="43">
        <f>IF(OR($C1182="",$G1182=""),0,IF(COUNTIFS($C$5:$C1182,$C1182,$G$5:$G1182,$G1182)=1,1,0))</f>
        <v>0</v>
      </c>
      <c r="AN1182" s="43" t="str">
        <f>IF($AM1182=1,SUMIFS($AM$4:$AM1181,$C$4:$C1181,$C1182)+1,"")</f>
        <v/>
      </c>
    </row>
    <row r="1183">
      <c r="A1183" s="44" t="str">
        <f>IF(OR($B1183="",$D1183=""),"","TX"&amp;TEXT(ROW()-4,"0000"))</f>
        <v/>
      </c>
      <c r="B1183" s="42" t="n"/>
      <c r="C1183" s="47" t="str">
        <f>IF($B1183="","",YEAR($B1183)*100+MONTH($B1183))</f>
        <v/>
      </c>
      <c r="D1183" s="37" t="n"/>
      <c r="E1183" s="45" t="str">
        <f>IF($D1183="","",IFERROR(INDEX(CARDS!$B$5:$B$34,MATCH($D1183,CARDS!$A$5:$A$34,0)),"⚠ Card ID?"))</f>
        <v/>
      </c>
      <c r="F1183" s="45" t="str">
        <f>IF($D1183="","",IFERROR(INDEX(CARDS!$C$5:$C$34,MATCH($D1183,CARDS!$A$5:$A$34,0)),"⚠ Card ID?"))</f>
        <v/>
      </c>
      <c r="G1183" s="37" t="n"/>
      <c r="H1183" s="37" t="n"/>
      <c r="I1183" s="41" t="n"/>
      <c r="J1183" s="45" t="str">
        <f>IF($I1183="","",IFERROR(INDEX(MCC_MASTER!$B$5:$B$504,MATCH($I1183,MCC_MASTER!$A$5:$A$504,0)),"⚠ MCC chưa có"))</f>
        <v/>
      </c>
      <c r="K1183" s="45" t="str">
        <f>IF($I1183="","",IFERROR(IF(INDEX(MCC_MASTER!$C$5:$C$504,MATCH($I1183,MCC_MASTER!$A$5:$A$504,0))="","Chưa phân loại",INDEX(MCC_MASTER!$C$5:$C$504,MATCH($I1183,MCC_MASTER!$A$5:$A$504,0))),"Chưa phân loại"))</f>
        <v/>
      </c>
      <c r="L1183" s="40" t="n"/>
      <c r="M1183" s="48" t="str">
        <f>IF(OR($B1183="",$D1183=""),"",IF($AC1183=0,0,IF(ISNUMBER(INDEX(CASHBACK_RULES!$L$5:$L$304,$AC1183)),MAX(0,MIN($L1183,INDEX(CASHBACK_RULES!$L$5:$L$304,$AC1183)-$AH1183)),MAX(0,$L1183))))</f>
        <v/>
      </c>
      <c r="N1183" s="49" t="str">
        <f>IF(OR($B1183="",$D1183=""),"",IF($AC1183&gt;0,INDEX(CASHBACK_RULES!$I$5:$I$304,$AC1183),0))</f>
        <v/>
      </c>
      <c r="O1183" s="48" t="str">
        <f>IF(OR($B1183="",$D1183=""),"",ROUND($M1183*$N1183,0))</f>
        <v/>
      </c>
      <c r="P1183" s="48" t="str">
        <f>IF($AC1183&gt;0,IF(ISNUMBER(INDEX(CASHBACK_RULES!$J$5:$J$304,$AC1183)),INDEX(CASHBACK_RULES!$J$5:$J$304,$AC1183),"∞"),"")</f>
        <v/>
      </c>
      <c r="Q1183" s="48" t="str">
        <f>IF(OR($B1183="",$D1183=""),"",IF($AC1183=0,0,MAX(0,MIN($O1183,IF(ISNUMBER($P1183),$P1183-$AF1183,1E+15),IF(ISNUMBER($AA1183),$AA1183-$AG1183,1E+15)))))</f>
        <v/>
      </c>
      <c r="R1183" s="48" t="str">
        <f>IF(OR($B1183="",$D1183=""),"",IF($AC1183=0,"",IF(AND(NOT(ISNUMBER($P1183)),NOT(ISNUMBER($AA1183))),"∞",MAX(0,MIN(IF(ISNUMBER($P1183),$P1183-$AF1183-$Q1183,1E+15),IF(ISNUMBER($AA1183),$AA1183-$AG1183-$Q1183,1E+15))))))</f>
        <v/>
      </c>
      <c r="S1183" s="47" t="str">
        <f>IF($AD1183="","",YEAR($AD1183)*100+MONTH($AD1183))</f>
        <v/>
      </c>
      <c r="T1183" s="50" t="str">
        <f>IF($AD1183="","",IFERROR(IF(INDEX(CARDS!$I$5:$I$34,MATCH($D1183,CARDS!$A$5:$A$34,0))="","",IF(INDEX(CARDS!$I$5:$I$34,MATCH($D1183,CARDS!$A$5:$A$34,0))&gt;INDEX(CARDS!$H$5:$H$34,MATCH($D1183,CARDS!$A$5:$A$34,0)),DATE(YEAR($AD1183),MONTH($AD1183),MIN(INDEX(CARDS!$I$5:$I$34,MATCH($D1183,CARDS!$A$5:$A$34,0)),DAY(EOMONTH($AD1183,0)))),DATE(YEAR($AD1183),MONTH($AD1183)+1,MIN(INDEX(CARDS!$I$5:$I$34,MATCH($D1183,CARDS!$A$5:$A$34,0)),DAY(EOMONTH($AD1183,1)))))),""))</f>
        <v/>
      </c>
      <c r="U1183" s="38" t="n"/>
      <c r="V1183" s="37" t="n"/>
      <c r="W1183" s="38" t="n"/>
      <c r="X1183" s="38" t="n"/>
      <c r="Y1183" s="44" t="str">
        <f>IF($AC1183&gt;0,INDEX(CASHBACK_RULES!$A$5:$A$304,$AC1183),"")</f>
        <v/>
      </c>
      <c r="Z1183" s="45" t="str">
        <f>IF($AC1183&gt;0,INDEX(CASHBACK_RULES!$E$5:$E$304,$AC1183)&amp;"","")</f>
        <v/>
      </c>
      <c r="AA1183" s="48" t="str">
        <f>IF($AC1183&gt;0,IF(ISNUMBER(INDEX(CASHBACK_RULES!$K$5:$K$304,$AC1183)),INDEX(CASHBACK_RULES!$K$5:$K$304,$AC1183),"∞"),"")</f>
        <v/>
      </c>
      <c r="AB1183" s="44" t="str">
        <f>IF(OR($B1183="",$D1183=""),"",IF($U1183="Cancelled","Đã hủy",IF($AC1183=0,"Không được hoàn",IF($Q1183=0,IF(OR($O1183&gt;0,$M1183&lt;$L1183),"Đã đạt cap","Không được hoàn"),IF(OR($Q1183&lt;$O1183,$M1183&lt;$L1183),"Hoàn một phần","Được hoàn")))))</f>
        <v/>
      </c>
      <c r="AC1183" s="43">
        <f>IF(OR($B1183="",$D1183="",$I1183="",$L1183=""),0,IF($U1183="Cancelled",0,IF($W1183&lt;&gt;"",IFERROR(IF(INDEX(CASHBACK_RULES!$B$5:$B$304,MATCH($W1183,CASHBACK_RULES!$A$5:$A$304,0))=$D1183,MATCH($W1183,CASHBACK_RULES!$A$5:$A$304,0),0),0),IFERROR(MATCH(1,INDEX((CASHBACK_RULES!$B$5:$B$304=$D1183)*(CASHBACK_RULES!$G$5:$G$304=$I1183)*(((CASHBACK_RULES!$N$5:$N$304="")+(CASHBACK_RULES!$N$5:$N$304&lt;=$B1183))&gt;0)*(((CASHBACK_RULES!$O$5:$O$304="")+(CASHBACK_RULES!$O$5:$O$304&gt;=$B1183))&gt;0)*(((CASHBACK_RULES!$M$5:$M$304="")+(CASHBACK_RULES!$M$5:$M$304&lt;=$L1183))&gt;0),0),0),0))))</f>
        <v>0</v>
      </c>
      <c r="AD1183" s="51" t="str">
        <f>IF(OR($B1183="",$D1183=""),"",IFERROR(IF(INDEX(CARDS!$H$5:$H$34,MATCH($D1183,CARDS!$A$5:$A$34,0))="","",IF(DAY($B1183)&lt;=INDEX(CARDS!$H$5:$H$34,MATCH($D1183,CARDS!$A$5:$A$34,0)),DATE(YEAR($B1183),MONTH($B1183),MIN(INDEX(CARDS!$H$5:$H$34,MATCH($D1183,CARDS!$A$5:$A$34,0)),DAY(EOMONTH($B1183,0)))),DATE(YEAR($B1183),MONTH($B1183)+1,MIN(INDEX(CARDS!$H$5:$H$34,MATCH($D1183,CARDS!$A$5:$A$34,0)),DAY(EOMONTH($B1183,1)))))),""))</f>
        <v/>
      </c>
      <c r="AE1183" s="52" t="str">
        <f>IF($C1183="","",$C1183&amp;"|"&amp;COUNTIF($C$5:$C1183,$C1183))</f>
        <v/>
      </c>
      <c r="AF1183" s="53">
        <f>IF($AC1183&gt;0,SUMIFS(Q$4:Q1182,$D$4:$D1182,$D1183,$Z$4:$Z1182,$Z1183,$C$4:$C1182,$C1183),0)</f>
        <v>0</v>
      </c>
      <c r="AG1183" s="53">
        <f>IF($AC1183&gt;0,SUMIFS(Q$4:Q1182,$D$4:$D1182,$D1183,$C$4:$C1182,$C1183),0)</f>
        <v>0</v>
      </c>
      <c r="AH1183" s="53">
        <f>IF($AC1183&gt;0,SUMIFS(M$4:M1182,$D$4:$D1182,$D1183,$Z$4:$Z1182,$Z1183,$C$4:$C1182,$C1183),0)</f>
        <v>0</v>
      </c>
      <c r="AI1183" s="43">
        <f>IF(OR($C1183="",$I1183=""),0,IF(COUNTIFS($C$5:$C1183,$C1183,$I$5:$I1183,$I1183)=1,1,0))</f>
        <v>0</v>
      </c>
      <c r="AJ1183" s="43" t="str">
        <f>IF($AI1183=1,SUMIFS($AI$4:$AI1182,$C$4:$C1182,$C1183)+1,"")</f>
        <v/>
      </c>
      <c r="AK1183" s="43">
        <f>IF(OR($C1183="",$K1183=""),0,IF(COUNTIFS($C$5:$C1183,$C1183,$K$5:$K1183,$K1183)=1,1,0))</f>
        <v>0</v>
      </c>
      <c r="AL1183" s="43" t="str">
        <f>IF($AK1183=1,SUMIFS($AK$4:$AK1182,$C$4:$C1182,$C1183)+1,"")</f>
        <v/>
      </c>
      <c r="AM1183" s="43">
        <f>IF(OR($C1183="",$G1183=""),0,IF(COUNTIFS($C$5:$C1183,$C1183,$G$5:$G1183,$G1183)=1,1,0))</f>
        <v>0</v>
      </c>
      <c r="AN1183" s="43" t="str">
        <f>IF($AM1183=1,SUMIFS($AM$4:$AM1182,$C$4:$C1182,$C1183)+1,"")</f>
        <v/>
      </c>
    </row>
    <row r="1184">
      <c r="A1184" s="44" t="str">
        <f>IF(OR($B1184="",$D1184=""),"","TX"&amp;TEXT(ROW()-4,"0000"))</f>
        <v/>
      </c>
      <c r="B1184" s="42" t="n"/>
      <c r="C1184" s="47" t="str">
        <f>IF($B1184="","",YEAR($B1184)*100+MONTH($B1184))</f>
        <v/>
      </c>
      <c r="D1184" s="37" t="n"/>
      <c r="E1184" s="45" t="str">
        <f>IF($D1184="","",IFERROR(INDEX(CARDS!$B$5:$B$34,MATCH($D1184,CARDS!$A$5:$A$34,0)),"⚠ Card ID?"))</f>
        <v/>
      </c>
      <c r="F1184" s="45" t="str">
        <f>IF($D1184="","",IFERROR(INDEX(CARDS!$C$5:$C$34,MATCH($D1184,CARDS!$A$5:$A$34,0)),"⚠ Card ID?"))</f>
        <v/>
      </c>
      <c r="G1184" s="37" t="n"/>
      <c r="H1184" s="37" t="n"/>
      <c r="I1184" s="41" t="n"/>
      <c r="J1184" s="45" t="str">
        <f>IF($I1184="","",IFERROR(INDEX(MCC_MASTER!$B$5:$B$504,MATCH($I1184,MCC_MASTER!$A$5:$A$504,0)),"⚠ MCC chưa có"))</f>
        <v/>
      </c>
      <c r="K1184" s="45" t="str">
        <f>IF($I1184="","",IFERROR(IF(INDEX(MCC_MASTER!$C$5:$C$504,MATCH($I1184,MCC_MASTER!$A$5:$A$504,0))="","Chưa phân loại",INDEX(MCC_MASTER!$C$5:$C$504,MATCH($I1184,MCC_MASTER!$A$5:$A$504,0))),"Chưa phân loại"))</f>
        <v/>
      </c>
      <c r="L1184" s="40" t="n"/>
      <c r="M1184" s="48" t="str">
        <f>IF(OR($B1184="",$D1184=""),"",IF($AC1184=0,0,IF(ISNUMBER(INDEX(CASHBACK_RULES!$L$5:$L$304,$AC1184)),MAX(0,MIN($L1184,INDEX(CASHBACK_RULES!$L$5:$L$304,$AC1184)-$AH1184)),MAX(0,$L1184))))</f>
        <v/>
      </c>
      <c r="N1184" s="49" t="str">
        <f>IF(OR($B1184="",$D1184=""),"",IF($AC1184&gt;0,INDEX(CASHBACK_RULES!$I$5:$I$304,$AC1184),0))</f>
        <v/>
      </c>
      <c r="O1184" s="48" t="str">
        <f>IF(OR($B1184="",$D1184=""),"",ROUND($M1184*$N1184,0))</f>
        <v/>
      </c>
      <c r="P1184" s="48" t="str">
        <f>IF($AC1184&gt;0,IF(ISNUMBER(INDEX(CASHBACK_RULES!$J$5:$J$304,$AC1184)),INDEX(CASHBACK_RULES!$J$5:$J$304,$AC1184),"∞"),"")</f>
        <v/>
      </c>
      <c r="Q1184" s="48" t="str">
        <f>IF(OR($B1184="",$D1184=""),"",IF($AC1184=0,0,MAX(0,MIN($O1184,IF(ISNUMBER($P1184),$P1184-$AF1184,1E+15),IF(ISNUMBER($AA1184),$AA1184-$AG1184,1E+15)))))</f>
        <v/>
      </c>
      <c r="R1184" s="48" t="str">
        <f>IF(OR($B1184="",$D1184=""),"",IF($AC1184=0,"",IF(AND(NOT(ISNUMBER($P1184)),NOT(ISNUMBER($AA1184))),"∞",MAX(0,MIN(IF(ISNUMBER($P1184),$P1184-$AF1184-$Q1184,1E+15),IF(ISNUMBER($AA1184),$AA1184-$AG1184-$Q1184,1E+15))))))</f>
        <v/>
      </c>
      <c r="S1184" s="47" t="str">
        <f>IF($AD1184="","",YEAR($AD1184)*100+MONTH($AD1184))</f>
        <v/>
      </c>
      <c r="T1184" s="50" t="str">
        <f>IF($AD1184="","",IFERROR(IF(INDEX(CARDS!$I$5:$I$34,MATCH($D1184,CARDS!$A$5:$A$34,0))="","",IF(INDEX(CARDS!$I$5:$I$34,MATCH($D1184,CARDS!$A$5:$A$34,0))&gt;INDEX(CARDS!$H$5:$H$34,MATCH($D1184,CARDS!$A$5:$A$34,0)),DATE(YEAR($AD1184),MONTH($AD1184),MIN(INDEX(CARDS!$I$5:$I$34,MATCH($D1184,CARDS!$A$5:$A$34,0)),DAY(EOMONTH($AD1184,0)))),DATE(YEAR($AD1184),MONTH($AD1184)+1,MIN(INDEX(CARDS!$I$5:$I$34,MATCH($D1184,CARDS!$A$5:$A$34,0)),DAY(EOMONTH($AD1184,1)))))),""))</f>
        <v/>
      </c>
      <c r="U1184" s="38" t="n"/>
      <c r="V1184" s="37" t="n"/>
      <c r="W1184" s="38" t="n"/>
      <c r="X1184" s="38" t="n"/>
      <c r="Y1184" s="44" t="str">
        <f>IF($AC1184&gt;0,INDEX(CASHBACK_RULES!$A$5:$A$304,$AC1184),"")</f>
        <v/>
      </c>
      <c r="Z1184" s="45" t="str">
        <f>IF($AC1184&gt;0,INDEX(CASHBACK_RULES!$E$5:$E$304,$AC1184)&amp;"","")</f>
        <v/>
      </c>
      <c r="AA1184" s="48" t="str">
        <f>IF($AC1184&gt;0,IF(ISNUMBER(INDEX(CASHBACK_RULES!$K$5:$K$304,$AC1184)),INDEX(CASHBACK_RULES!$K$5:$K$304,$AC1184),"∞"),"")</f>
        <v/>
      </c>
      <c r="AB1184" s="44" t="str">
        <f>IF(OR($B1184="",$D1184=""),"",IF($U1184="Cancelled","Đã hủy",IF($AC1184=0,"Không được hoàn",IF($Q1184=0,IF(OR($O1184&gt;0,$M1184&lt;$L1184),"Đã đạt cap","Không được hoàn"),IF(OR($Q1184&lt;$O1184,$M1184&lt;$L1184),"Hoàn một phần","Được hoàn")))))</f>
        <v/>
      </c>
      <c r="AC1184" s="43">
        <f>IF(OR($B1184="",$D1184="",$I1184="",$L1184=""),0,IF($U1184="Cancelled",0,IF($W1184&lt;&gt;"",IFERROR(IF(INDEX(CASHBACK_RULES!$B$5:$B$304,MATCH($W1184,CASHBACK_RULES!$A$5:$A$304,0))=$D1184,MATCH($W1184,CASHBACK_RULES!$A$5:$A$304,0),0),0),IFERROR(MATCH(1,INDEX((CASHBACK_RULES!$B$5:$B$304=$D1184)*(CASHBACK_RULES!$G$5:$G$304=$I1184)*(((CASHBACK_RULES!$N$5:$N$304="")+(CASHBACK_RULES!$N$5:$N$304&lt;=$B1184))&gt;0)*(((CASHBACK_RULES!$O$5:$O$304="")+(CASHBACK_RULES!$O$5:$O$304&gt;=$B1184))&gt;0)*(((CASHBACK_RULES!$M$5:$M$304="")+(CASHBACK_RULES!$M$5:$M$304&lt;=$L1184))&gt;0),0),0),0))))</f>
        <v>0</v>
      </c>
      <c r="AD1184" s="51" t="str">
        <f>IF(OR($B1184="",$D1184=""),"",IFERROR(IF(INDEX(CARDS!$H$5:$H$34,MATCH($D1184,CARDS!$A$5:$A$34,0))="","",IF(DAY($B1184)&lt;=INDEX(CARDS!$H$5:$H$34,MATCH($D1184,CARDS!$A$5:$A$34,0)),DATE(YEAR($B1184),MONTH($B1184),MIN(INDEX(CARDS!$H$5:$H$34,MATCH($D1184,CARDS!$A$5:$A$34,0)),DAY(EOMONTH($B1184,0)))),DATE(YEAR($B1184),MONTH($B1184)+1,MIN(INDEX(CARDS!$H$5:$H$34,MATCH($D1184,CARDS!$A$5:$A$34,0)),DAY(EOMONTH($B1184,1)))))),""))</f>
        <v/>
      </c>
      <c r="AE1184" s="52" t="str">
        <f>IF($C1184="","",$C1184&amp;"|"&amp;COUNTIF($C$5:$C1184,$C1184))</f>
        <v/>
      </c>
      <c r="AF1184" s="53">
        <f>IF($AC1184&gt;0,SUMIFS(Q$4:Q1183,$D$4:$D1183,$D1184,$Z$4:$Z1183,$Z1184,$C$4:$C1183,$C1184),0)</f>
        <v>0</v>
      </c>
      <c r="AG1184" s="53">
        <f>IF($AC1184&gt;0,SUMIFS(Q$4:Q1183,$D$4:$D1183,$D1184,$C$4:$C1183,$C1184),0)</f>
        <v>0</v>
      </c>
      <c r="AH1184" s="53">
        <f>IF($AC1184&gt;0,SUMIFS(M$4:M1183,$D$4:$D1183,$D1184,$Z$4:$Z1183,$Z1184,$C$4:$C1183,$C1184),0)</f>
        <v>0</v>
      </c>
      <c r="AI1184" s="43">
        <f>IF(OR($C1184="",$I1184=""),0,IF(COUNTIFS($C$5:$C1184,$C1184,$I$5:$I1184,$I1184)=1,1,0))</f>
        <v>0</v>
      </c>
      <c r="AJ1184" s="43" t="str">
        <f>IF($AI1184=1,SUMIFS($AI$4:$AI1183,$C$4:$C1183,$C1184)+1,"")</f>
        <v/>
      </c>
      <c r="AK1184" s="43">
        <f>IF(OR($C1184="",$K1184=""),0,IF(COUNTIFS($C$5:$C1184,$C1184,$K$5:$K1184,$K1184)=1,1,0))</f>
        <v>0</v>
      </c>
      <c r="AL1184" s="43" t="str">
        <f>IF($AK1184=1,SUMIFS($AK$4:$AK1183,$C$4:$C1183,$C1184)+1,"")</f>
        <v/>
      </c>
      <c r="AM1184" s="43">
        <f>IF(OR($C1184="",$G1184=""),0,IF(COUNTIFS($C$5:$C1184,$C1184,$G$5:$G1184,$G1184)=1,1,0))</f>
        <v>0</v>
      </c>
      <c r="AN1184" s="43" t="str">
        <f>IF($AM1184=1,SUMIFS($AM$4:$AM1183,$C$4:$C1183,$C1184)+1,"")</f>
        <v/>
      </c>
    </row>
    <row r="1185">
      <c r="A1185" s="44" t="str">
        <f>IF(OR($B1185="",$D1185=""),"","TX"&amp;TEXT(ROW()-4,"0000"))</f>
        <v/>
      </c>
      <c r="B1185" s="42" t="n"/>
      <c r="C1185" s="47" t="str">
        <f>IF($B1185="","",YEAR($B1185)*100+MONTH($B1185))</f>
        <v/>
      </c>
      <c r="D1185" s="37" t="n"/>
      <c r="E1185" s="45" t="str">
        <f>IF($D1185="","",IFERROR(INDEX(CARDS!$B$5:$B$34,MATCH($D1185,CARDS!$A$5:$A$34,0)),"⚠ Card ID?"))</f>
        <v/>
      </c>
      <c r="F1185" s="45" t="str">
        <f>IF($D1185="","",IFERROR(INDEX(CARDS!$C$5:$C$34,MATCH($D1185,CARDS!$A$5:$A$34,0)),"⚠ Card ID?"))</f>
        <v/>
      </c>
      <c r="G1185" s="37" t="n"/>
      <c r="H1185" s="37" t="n"/>
      <c r="I1185" s="41" t="n"/>
      <c r="J1185" s="45" t="str">
        <f>IF($I1185="","",IFERROR(INDEX(MCC_MASTER!$B$5:$B$504,MATCH($I1185,MCC_MASTER!$A$5:$A$504,0)),"⚠ MCC chưa có"))</f>
        <v/>
      </c>
      <c r="K1185" s="45" t="str">
        <f>IF($I1185="","",IFERROR(IF(INDEX(MCC_MASTER!$C$5:$C$504,MATCH($I1185,MCC_MASTER!$A$5:$A$504,0))="","Chưa phân loại",INDEX(MCC_MASTER!$C$5:$C$504,MATCH($I1185,MCC_MASTER!$A$5:$A$504,0))),"Chưa phân loại"))</f>
        <v/>
      </c>
      <c r="L1185" s="40" t="n"/>
      <c r="M1185" s="48" t="str">
        <f>IF(OR($B1185="",$D1185=""),"",IF($AC1185=0,0,IF(ISNUMBER(INDEX(CASHBACK_RULES!$L$5:$L$304,$AC1185)),MAX(0,MIN($L1185,INDEX(CASHBACK_RULES!$L$5:$L$304,$AC1185)-$AH1185)),MAX(0,$L1185))))</f>
        <v/>
      </c>
      <c r="N1185" s="49" t="str">
        <f>IF(OR($B1185="",$D1185=""),"",IF($AC1185&gt;0,INDEX(CASHBACK_RULES!$I$5:$I$304,$AC1185),0))</f>
        <v/>
      </c>
      <c r="O1185" s="48" t="str">
        <f>IF(OR($B1185="",$D1185=""),"",ROUND($M1185*$N1185,0))</f>
        <v/>
      </c>
      <c r="P1185" s="48" t="str">
        <f>IF($AC1185&gt;0,IF(ISNUMBER(INDEX(CASHBACK_RULES!$J$5:$J$304,$AC1185)),INDEX(CASHBACK_RULES!$J$5:$J$304,$AC1185),"∞"),"")</f>
        <v/>
      </c>
      <c r="Q1185" s="48" t="str">
        <f>IF(OR($B1185="",$D1185=""),"",IF($AC1185=0,0,MAX(0,MIN($O1185,IF(ISNUMBER($P1185),$P1185-$AF1185,1E+15),IF(ISNUMBER($AA1185),$AA1185-$AG1185,1E+15)))))</f>
        <v/>
      </c>
      <c r="R1185" s="48" t="str">
        <f>IF(OR($B1185="",$D1185=""),"",IF($AC1185=0,"",IF(AND(NOT(ISNUMBER($P1185)),NOT(ISNUMBER($AA1185))),"∞",MAX(0,MIN(IF(ISNUMBER($P1185),$P1185-$AF1185-$Q1185,1E+15),IF(ISNUMBER($AA1185),$AA1185-$AG1185-$Q1185,1E+15))))))</f>
        <v/>
      </c>
      <c r="S1185" s="47" t="str">
        <f>IF($AD1185="","",YEAR($AD1185)*100+MONTH($AD1185))</f>
        <v/>
      </c>
      <c r="T1185" s="50" t="str">
        <f>IF($AD1185="","",IFERROR(IF(INDEX(CARDS!$I$5:$I$34,MATCH($D1185,CARDS!$A$5:$A$34,0))="","",IF(INDEX(CARDS!$I$5:$I$34,MATCH($D1185,CARDS!$A$5:$A$34,0))&gt;INDEX(CARDS!$H$5:$H$34,MATCH($D1185,CARDS!$A$5:$A$34,0)),DATE(YEAR($AD1185),MONTH($AD1185),MIN(INDEX(CARDS!$I$5:$I$34,MATCH($D1185,CARDS!$A$5:$A$34,0)),DAY(EOMONTH($AD1185,0)))),DATE(YEAR($AD1185),MONTH($AD1185)+1,MIN(INDEX(CARDS!$I$5:$I$34,MATCH($D1185,CARDS!$A$5:$A$34,0)),DAY(EOMONTH($AD1185,1)))))),""))</f>
        <v/>
      </c>
      <c r="U1185" s="38" t="n"/>
      <c r="V1185" s="37" t="n"/>
      <c r="W1185" s="38" t="n"/>
      <c r="X1185" s="38" t="n"/>
      <c r="Y1185" s="44" t="str">
        <f>IF($AC1185&gt;0,INDEX(CASHBACK_RULES!$A$5:$A$304,$AC1185),"")</f>
        <v/>
      </c>
      <c r="Z1185" s="45" t="str">
        <f>IF($AC1185&gt;0,INDEX(CASHBACK_RULES!$E$5:$E$304,$AC1185)&amp;"","")</f>
        <v/>
      </c>
      <c r="AA1185" s="48" t="str">
        <f>IF($AC1185&gt;0,IF(ISNUMBER(INDEX(CASHBACK_RULES!$K$5:$K$304,$AC1185)),INDEX(CASHBACK_RULES!$K$5:$K$304,$AC1185),"∞"),"")</f>
        <v/>
      </c>
      <c r="AB1185" s="44" t="str">
        <f>IF(OR($B1185="",$D1185=""),"",IF($U1185="Cancelled","Đã hủy",IF($AC1185=0,"Không được hoàn",IF($Q1185=0,IF(OR($O1185&gt;0,$M1185&lt;$L1185),"Đã đạt cap","Không được hoàn"),IF(OR($Q1185&lt;$O1185,$M1185&lt;$L1185),"Hoàn một phần","Được hoàn")))))</f>
        <v/>
      </c>
      <c r="AC1185" s="43">
        <f>IF(OR($B1185="",$D1185="",$I1185="",$L1185=""),0,IF($U1185="Cancelled",0,IF($W1185&lt;&gt;"",IFERROR(IF(INDEX(CASHBACK_RULES!$B$5:$B$304,MATCH($W1185,CASHBACK_RULES!$A$5:$A$304,0))=$D1185,MATCH($W1185,CASHBACK_RULES!$A$5:$A$304,0),0),0),IFERROR(MATCH(1,INDEX((CASHBACK_RULES!$B$5:$B$304=$D1185)*(CASHBACK_RULES!$G$5:$G$304=$I1185)*(((CASHBACK_RULES!$N$5:$N$304="")+(CASHBACK_RULES!$N$5:$N$304&lt;=$B1185))&gt;0)*(((CASHBACK_RULES!$O$5:$O$304="")+(CASHBACK_RULES!$O$5:$O$304&gt;=$B1185))&gt;0)*(((CASHBACK_RULES!$M$5:$M$304="")+(CASHBACK_RULES!$M$5:$M$304&lt;=$L1185))&gt;0),0),0),0))))</f>
        <v>0</v>
      </c>
      <c r="AD1185" s="51" t="str">
        <f>IF(OR($B1185="",$D1185=""),"",IFERROR(IF(INDEX(CARDS!$H$5:$H$34,MATCH($D1185,CARDS!$A$5:$A$34,0))="","",IF(DAY($B1185)&lt;=INDEX(CARDS!$H$5:$H$34,MATCH($D1185,CARDS!$A$5:$A$34,0)),DATE(YEAR($B1185),MONTH($B1185),MIN(INDEX(CARDS!$H$5:$H$34,MATCH($D1185,CARDS!$A$5:$A$34,0)),DAY(EOMONTH($B1185,0)))),DATE(YEAR($B1185),MONTH($B1185)+1,MIN(INDEX(CARDS!$H$5:$H$34,MATCH($D1185,CARDS!$A$5:$A$34,0)),DAY(EOMONTH($B1185,1)))))),""))</f>
        <v/>
      </c>
      <c r="AE1185" s="52" t="str">
        <f>IF($C1185="","",$C1185&amp;"|"&amp;COUNTIF($C$5:$C1185,$C1185))</f>
        <v/>
      </c>
      <c r="AF1185" s="53">
        <f>IF($AC1185&gt;0,SUMIFS(Q$4:Q1184,$D$4:$D1184,$D1185,$Z$4:$Z1184,$Z1185,$C$4:$C1184,$C1185),0)</f>
        <v>0</v>
      </c>
      <c r="AG1185" s="53">
        <f>IF($AC1185&gt;0,SUMIFS(Q$4:Q1184,$D$4:$D1184,$D1185,$C$4:$C1184,$C1185),0)</f>
        <v>0</v>
      </c>
      <c r="AH1185" s="53">
        <f>IF($AC1185&gt;0,SUMIFS(M$4:M1184,$D$4:$D1184,$D1185,$Z$4:$Z1184,$Z1185,$C$4:$C1184,$C1185),0)</f>
        <v>0</v>
      </c>
      <c r="AI1185" s="43">
        <f>IF(OR($C1185="",$I1185=""),0,IF(COUNTIFS($C$5:$C1185,$C1185,$I$5:$I1185,$I1185)=1,1,0))</f>
        <v>0</v>
      </c>
      <c r="AJ1185" s="43" t="str">
        <f>IF($AI1185=1,SUMIFS($AI$4:$AI1184,$C$4:$C1184,$C1185)+1,"")</f>
        <v/>
      </c>
      <c r="AK1185" s="43">
        <f>IF(OR($C1185="",$K1185=""),0,IF(COUNTIFS($C$5:$C1185,$C1185,$K$5:$K1185,$K1185)=1,1,0))</f>
        <v>0</v>
      </c>
      <c r="AL1185" s="43" t="str">
        <f>IF($AK1185=1,SUMIFS($AK$4:$AK1184,$C$4:$C1184,$C1185)+1,"")</f>
        <v/>
      </c>
      <c r="AM1185" s="43">
        <f>IF(OR($C1185="",$G1185=""),0,IF(COUNTIFS($C$5:$C1185,$C1185,$G$5:$G1185,$G1185)=1,1,0))</f>
        <v>0</v>
      </c>
      <c r="AN1185" s="43" t="str">
        <f>IF($AM1185=1,SUMIFS($AM$4:$AM1184,$C$4:$C1184,$C1185)+1,"")</f>
        <v/>
      </c>
    </row>
    <row r="1186">
      <c r="A1186" s="44" t="str">
        <f>IF(OR($B1186="",$D1186=""),"","TX"&amp;TEXT(ROW()-4,"0000"))</f>
        <v/>
      </c>
      <c r="B1186" s="42" t="n"/>
      <c r="C1186" s="47" t="str">
        <f>IF($B1186="","",YEAR($B1186)*100+MONTH($B1186))</f>
        <v/>
      </c>
      <c r="D1186" s="37" t="n"/>
      <c r="E1186" s="45" t="str">
        <f>IF($D1186="","",IFERROR(INDEX(CARDS!$B$5:$B$34,MATCH($D1186,CARDS!$A$5:$A$34,0)),"⚠ Card ID?"))</f>
        <v/>
      </c>
      <c r="F1186" s="45" t="str">
        <f>IF($D1186="","",IFERROR(INDEX(CARDS!$C$5:$C$34,MATCH($D1186,CARDS!$A$5:$A$34,0)),"⚠ Card ID?"))</f>
        <v/>
      </c>
      <c r="G1186" s="37" t="n"/>
      <c r="H1186" s="37" t="n"/>
      <c r="I1186" s="41" t="n"/>
      <c r="J1186" s="45" t="str">
        <f>IF($I1186="","",IFERROR(INDEX(MCC_MASTER!$B$5:$B$504,MATCH($I1186,MCC_MASTER!$A$5:$A$504,0)),"⚠ MCC chưa có"))</f>
        <v/>
      </c>
      <c r="K1186" s="45" t="str">
        <f>IF($I1186="","",IFERROR(IF(INDEX(MCC_MASTER!$C$5:$C$504,MATCH($I1186,MCC_MASTER!$A$5:$A$504,0))="","Chưa phân loại",INDEX(MCC_MASTER!$C$5:$C$504,MATCH($I1186,MCC_MASTER!$A$5:$A$504,0))),"Chưa phân loại"))</f>
        <v/>
      </c>
      <c r="L1186" s="40" t="n"/>
      <c r="M1186" s="48" t="str">
        <f>IF(OR($B1186="",$D1186=""),"",IF($AC1186=0,0,IF(ISNUMBER(INDEX(CASHBACK_RULES!$L$5:$L$304,$AC1186)),MAX(0,MIN($L1186,INDEX(CASHBACK_RULES!$L$5:$L$304,$AC1186)-$AH1186)),MAX(0,$L1186))))</f>
        <v/>
      </c>
      <c r="N1186" s="49" t="str">
        <f>IF(OR($B1186="",$D1186=""),"",IF($AC1186&gt;0,INDEX(CASHBACK_RULES!$I$5:$I$304,$AC1186),0))</f>
        <v/>
      </c>
      <c r="O1186" s="48" t="str">
        <f>IF(OR($B1186="",$D1186=""),"",ROUND($M1186*$N1186,0))</f>
        <v/>
      </c>
      <c r="P1186" s="48" t="str">
        <f>IF($AC1186&gt;0,IF(ISNUMBER(INDEX(CASHBACK_RULES!$J$5:$J$304,$AC1186)),INDEX(CASHBACK_RULES!$J$5:$J$304,$AC1186),"∞"),"")</f>
        <v/>
      </c>
      <c r="Q1186" s="48" t="str">
        <f>IF(OR($B1186="",$D1186=""),"",IF($AC1186=0,0,MAX(0,MIN($O1186,IF(ISNUMBER($P1186),$P1186-$AF1186,1E+15),IF(ISNUMBER($AA1186),$AA1186-$AG1186,1E+15)))))</f>
        <v/>
      </c>
      <c r="R1186" s="48" t="str">
        <f>IF(OR($B1186="",$D1186=""),"",IF($AC1186=0,"",IF(AND(NOT(ISNUMBER($P1186)),NOT(ISNUMBER($AA1186))),"∞",MAX(0,MIN(IF(ISNUMBER($P1186),$P1186-$AF1186-$Q1186,1E+15),IF(ISNUMBER($AA1186),$AA1186-$AG1186-$Q1186,1E+15))))))</f>
        <v/>
      </c>
      <c r="S1186" s="47" t="str">
        <f>IF($AD1186="","",YEAR($AD1186)*100+MONTH($AD1186))</f>
        <v/>
      </c>
      <c r="T1186" s="50" t="str">
        <f>IF($AD1186="","",IFERROR(IF(INDEX(CARDS!$I$5:$I$34,MATCH($D1186,CARDS!$A$5:$A$34,0))="","",IF(INDEX(CARDS!$I$5:$I$34,MATCH($D1186,CARDS!$A$5:$A$34,0))&gt;INDEX(CARDS!$H$5:$H$34,MATCH($D1186,CARDS!$A$5:$A$34,0)),DATE(YEAR($AD1186),MONTH($AD1186),MIN(INDEX(CARDS!$I$5:$I$34,MATCH($D1186,CARDS!$A$5:$A$34,0)),DAY(EOMONTH($AD1186,0)))),DATE(YEAR($AD1186),MONTH($AD1186)+1,MIN(INDEX(CARDS!$I$5:$I$34,MATCH($D1186,CARDS!$A$5:$A$34,0)),DAY(EOMONTH($AD1186,1)))))),""))</f>
        <v/>
      </c>
      <c r="U1186" s="38" t="n"/>
      <c r="V1186" s="37" t="n"/>
      <c r="W1186" s="38" t="n"/>
      <c r="X1186" s="38" t="n"/>
      <c r="Y1186" s="44" t="str">
        <f>IF($AC1186&gt;0,INDEX(CASHBACK_RULES!$A$5:$A$304,$AC1186),"")</f>
        <v/>
      </c>
      <c r="Z1186" s="45" t="str">
        <f>IF($AC1186&gt;0,INDEX(CASHBACK_RULES!$E$5:$E$304,$AC1186)&amp;"","")</f>
        <v/>
      </c>
      <c r="AA1186" s="48" t="str">
        <f>IF($AC1186&gt;0,IF(ISNUMBER(INDEX(CASHBACK_RULES!$K$5:$K$304,$AC1186)),INDEX(CASHBACK_RULES!$K$5:$K$304,$AC1186),"∞"),"")</f>
        <v/>
      </c>
      <c r="AB1186" s="44" t="str">
        <f>IF(OR($B1186="",$D1186=""),"",IF($U1186="Cancelled","Đã hủy",IF($AC1186=0,"Không được hoàn",IF($Q1186=0,IF(OR($O1186&gt;0,$M1186&lt;$L1186),"Đã đạt cap","Không được hoàn"),IF(OR($Q1186&lt;$O1186,$M1186&lt;$L1186),"Hoàn một phần","Được hoàn")))))</f>
        <v/>
      </c>
      <c r="AC1186" s="43">
        <f>IF(OR($B1186="",$D1186="",$I1186="",$L1186=""),0,IF($U1186="Cancelled",0,IF($W1186&lt;&gt;"",IFERROR(IF(INDEX(CASHBACK_RULES!$B$5:$B$304,MATCH($W1186,CASHBACK_RULES!$A$5:$A$304,0))=$D1186,MATCH($W1186,CASHBACK_RULES!$A$5:$A$304,0),0),0),IFERROR(MATCH(1,INDEX((CASHBACK_RULES!$B$5:$B$304=$D1186)*(CASHBACK_RULES!$G$5:$G$304=$I1186)*(((CASHBACK_RULES!$N$5:$N$304="")+(CASHBACK_RULES!$N$5:$N$304&lt;=$B1186))&gt;0)*(((CASHBACK_RULES!$O$5:$O$304="")+(CASHBACK_RULES!$O$5:$O$304&gt;=$B1186))&gt;0)*(((CASHBACK_RULES!$M$5:$M$304="")+(CASHBACK_RULES!$M$5:$M$304&lt;=$L1186))&gt;0),0),0),0))))</f>
        <v>0</v>
      </c>
      <c r="AD1186" s="51" t="str">
        <f>IF(OR($B1186="",$D1186=""),"",IFERROR(IF(INDEX(CARDS!$H$5:$H$34,MATCH($D1186,CARDS!$A$5:$A$34,0))="","",IF(DAY($B1186)&lt;=INDEX(CARDS!$H$5:$H$34,MATCH($D1186,CARDS!$A$5:$A$34,0)),DATE(YEAR($B1186),MONTH($B1186),MIN(INDEX(CARDS!$H$5:$H$34,MATCH($D1186,CARDS!$A$5:$A$34,0)),DAY(EOMONTH($B1186,0)))),DATE(YEAR($B1186),MONTH($B1186)+1,MIN(INDEX(CARDS!$H$5:$H$34,MATCH($D1186,CARDS!$A$5:$A$34,0)),DAY(EOMONTH($B1186,1)))))),""))</f>
        <v/>
      </c>
      <c r="AE1186" s="52" t="str">
        <f>IF($C1186="","",$C1186&amp;"|"&amp;COUNTIF($C$5:$C1186,$C1186))</f>
        <v/>
      </c>
      <c r="AF1186" s="53">
        <f>IF($AC1186&gt;0,SUMIFS(Q$4:Q1185,$D$4:$D1185,$D1186,$Z$4:$Z1185,$Z1186,$C$4:$C1185,$C1186),0)</f>
        <v>0</v>
      </c>
      <c r="AG1186" s="53">
        <f>IF($AC1186&gt;0,SUMIFS(Q$4:Q1185,$D$4:$D1185,$D1186,$C$4:$C1185,$C1186),0)</f>
        <v>0</v>
      </c>
      <c r="AH1186" s="53">
        <f>IF($AC1186&gt;0,SUMIFS(M$4:M1185,$D$4:$D1185,$D1186,$Z$4:$Z1185,$Z1186,$C$4:$C1185,$C1186),0)</f>
        <v>0</v>
      </c>
      <c r="AI1186" s="43">
        <f>IF(OR($C1186="",$I1186=""),0,IF(COUNTIFS($C$5:$C1186,$C1186,$I$5:$I1186,$I1186)=1,1,0))</f>
        <v>0</v>
      </c>
      <c r="AJ1186" s="43" t="str">
        <f>IF($AI1186=1,SUMIFS($AI$4:$AI1185,$C$4:$C1185,$C1186)+1,"")</f>
        <v/>
      </c>
      <c r="AK1186" s="43">
        <f>IF(OR($C1186="",$K1186=""),0,IF(COUNTIFS($C$5:$C1186,$C1186,$K$5:$K1186,$K1186)=1,1,0))</f>
        <v>0</v>
      </c>
      <c r="AL1186" s="43" t="str">
        <f>IF($AK1186=1,SUMIFS($AK$4:$AK1185,$C$4:$C1185,$C1186)+1,"")</f>
        <v/>
      </c>
      <c r="AM1186" s="43">
        <f>IF(OR($C1186="",$G1186=""),0,IF(COUNTIFS($C$5:$C1186,$C1186,$G$5:$G1186,$G1186)=1,1,0))</f>
        <v>0</v>
      </c>
      <c r="AN1186" s="43" t="str">
        <f>IF($AM1186=1,SUMIFS($AM$4:$AM1185,$C$4:$C1185,$C1186)+1,"")</f>
        <v/>
      </c>
    </row>
    <row r="1187">
      <c r="A1187" s="44" t="str">
        <f>IF(OR($B1187="",$D1187=""),"","TX"&amp;TEXT(ROW()-4,"0000"))</f>
        <v/>
      </c>
      <c r="B1187" s="42" t="n"/>
      <c r="C1187" s="47" t="str">
        <f>IF($B1187="","",YEAR($B1187)*100+MONTH($B1187))</f>
        <v/>
      </c>
      <c r="D1187" s="37" t="n"/>
      <c r="E1187" s="45" t="str">
        <f>IF($D1187="","",IFERROR(INDEX(CARDS!$B$5:$B$34,MATCH($D1187,CARDS!$A$5:$A$34,0)),"⚠ Card ID?"))</f>
        <v/>
      </c>
      <c r="F1187" s="45" t="str">
        <f>IF($D1187="","",IFERROR(INDEX(CARDS!$C$5:$C$34,MATCH($D1187,CARDS!$A$5:$A$34,0)),"⚠ Card ID?"))</f>
        <v/>
      </c>
      <c r="G1187" s="37" t="n"/>
      <c r="H1187" s="37" t="n"/>
      <c r="I1187" s="41" t="n"/>
      <c r="J1187" s="45" t="str">
        <f>IF($I1187="","",IFERROR(INDEX(MCC_MASTER!$B$5:$B$504,MATCH($I1187,MCC_MASTER!$A$5:$A$504,0)),"⚠ MCC chưa có"))</f>
        <v/>
      </c>
      <c r="K1187" s="45" t="str">
        <f>IF($I1187="","",IFERROR(IF(INDEX(MCC_MASTER!$C$5:$C$504,MATCH($I1187,MCC_MASTER!$A$5:$A$504,0))="","Chưa phân loại",INDEX(MCC_MASTER!$C$5:$C$504,MATCH($I1187,MCC_MASTER!$A$5:$A$504,0))),"Chưa phân loại"))</f>
        <v/>
      </c>
      <c r="L1187" s="40" t="n"/>
      <c r="M1187" s="48" t="str">
        <f>IF(OR($B1187="",$D1187=""),"",IF($AC1187=0,0,IF(ISNUMBER(INDEX(CASHBACK_RULES!$L$5:$L$304,$AC1187)),MAX(0,MIN($L1187,INDEX(CASHBACK_RULES!$L$5:$L$304,$AC1187)-$AH1187)),MAX(0,$L1187))))</f>
        <v/>
      </c>
      <c r="N1187" s="49" t="str">
        <f>IF(OR($B1187="",$D1187=""),"",IF($AC1187&gt;0,INDEX(CASHBACK_RULES!$I$5:$I$304,$AC1187),0))</f>
        <v/>
      </c>
      <c r="O1187" s="48" t="str">
        <f>IF(OR($B1187="",$D1187=""),"",ROUND($M1187*$N1187,0))</f>
        <v/>
      </c>
      <c r="P1187" s="48" t="str">
        <f>IF($AC1187&gt;0,IF(ISNUMBER(INDEX(CASHBACK_RULES!$J$5:$J$304,$AC1187)),INDEX(CASHBACK_RULES!$J$5:$J$304,$AC1187),"∞"),"")</f>
        <v/>
      </c>
      <c r="Q1187" s="48" t="str">
        <f>IF(OR($B1187="",$D1187=""),"",IF($AC1187=0,0,MAX(0,MIN($O1187,IF(ISNUMBER($P1187),$P1187-$AF1187,1E+15),IF(ISNUMBER($AA1187),$AA1187-$AG1187,1E+15)))))</f>
        <v/>
      </c>
      <c r="R1187" s="48" t="str">
        <f>IF(OR($B1187="",$D1187=""),"",IF($AC1187=0,"",IF(AND(NOT(ISNUMBER($P1187)),NOT(ISNUMBER($AA1187))),"∞",MAX(0,MIN(IF(ISNUMBER($P1187),$P1187-$AF1187-$Q1187,1E+15),IF(ISNUMBER($AA1187),$AA1187-$AG1187-$Q1187,1E+15))))))</f>
        <v/>
      </c>
      <c r="S1187" s="47" t="str">
        <f>IF($AD1187="","",YEAR($AD1187)*100+MONTH($AD1187))</f>
        <v/>
      </c>
      <c r="T1187" s="50" t="str">
        <f>IF($AD1187="","",IFERROR(IF(INDEX(CARDS!$I$5:$I$34,MATCH($D1187,CARDS!$A$5:$A$34,0))="","",IF(INDEX(CARDS!$I$5:$I$34,MATCH($D1187,CARDS!$A$5:$A$34,0))&gt;INDEX(CARDS!$H$5:$H$34,MATCH($D1187,CARDS!$A$5:$A$34,0)),DATE(YEAR($AD1187),MONTH($AD1187),MIN(INDEX(CARDS!$I$5:$I$34,MATCH($D1187,CARDS!$A$5:$A$34,0)),DAY(EOMONTH($AD1187,0)))),DATE(YEAR($AD1187),MONTH($AD1187)+1,MIN(INDEX(CARDS!$I$5:$I$34,MATCH($D1187,CARDS!$A$5:$A$34,0)),DAY(EOMONTH($AD1187,1)))))),""))</f>
        <v/>
      </c>
      <c r="U1187" s="38" t="n"/>
      <c r="V1187" s="37" t="n"/>
      <c r="W1187" s="38" t="n"/>
      <c r="X1187" s="38" t="n"/>
      <c r="Y1187" s="44" t="str">
        <f>IF($AC1187&gt;0,INDEX(CASHBACK_RULES!$A$5:$A$304,$AC1187),"")</f>
        <v/>
      </c>
      <c r="Z1187" s="45" t="str">
        <f>IF($AC1187&gt;0,INDEX(CASHBACK_RULES!$E$5:$E$304,$AC1187)&amp;"","")</f>
        <v/>
      </c>
      <c r="AA1187" s="48" t="str">
        <f>IF($AC1187&gt;0,IF(ISNUMBER(INDEX(CASHBACK_RULES!$K$5:$K$304,$AC1187)),INDEX(CASHBACK_RULES!$K$5:$K$304,$AC1187),"∞"),"")</f>
        <v/>
      </c>
      <c r="AB1187" s="44" t="str">
        <f>IF(OR($B1187="",$D1187=""),"",IF($U1187="Cancelled","Đã hủy",IF($AC1187=0,"Không được hoàn",IF($Q1187=0,IF(OR($O1187&gt;0,$M1187&lt;$L1187),"Đã đạt cap","Không được hoàn"),IF(OR($Q1187&lt;$O1187,$M1187&lt;$L1187),"Hoàn một phần","Được hoàn")))))</f>
        <v/>
      </c>
      <c r="AC1187" s="43">
        <f>IF(OR($B1187="",$D1187="",$I1187="",$L1187=""),0,IF($U1187="Cancelled",0,IF($W1187&lt;&gt;"",IFERROR(IF(INDEX(CASHBACK_RULES!$B$5:$B$304,MATCH($W1187,CASHBACK_RULES!$A$5:$A$304,0))=$D1187,MATCH($W1187,CASHBACK_RULES!$A$5:$A$304,0),0),0),IFERROR(MATCH(1,INDEX((CASHBACK_RULES!$B$5:$B$304=$D1187)*(CASHBACK_RULES!$G$5:$G$304=$I1187)*(((CASHBACK_RULES!$N$5:$N$304="")+(CASHBACK_RULES!$N$5:$N$304&lt;=$B1187))&gt;0)*(((CASHBACK_RULES!$O$5:$O$304="")+(CASHBACK_RULES!$O$5:$O$304&gt;=$B1187))&gt;0)*(((CASHBACK_RULES!$M$5:$M$304="")+(CASHBACK_RULES!$M$5:$M$304&lt;=$L1187))&gt;0),0),0),0))))</f>
        <v>0</v>
      </c>
      <c r="AD1187" s="51" t="str">
        <f>IF(OR($B1187="",$D1187=""),"",IFERROR(IF(INDEX(CARDS!$H$5:$H$34,MATCH($D1187,CARDS!$A$5:$A$34,0))="","",IF(DAY($B1187)&lt;=INDEX(CARDS!$H$5:$H$34,MATCH($D1187,CARDS!$A$5:$A$34,0)),DATE(YEAR($B1187),MONTH($B1187),MIN(INDEX(CARDS!$H$5:$H$34,MATCH($D1187,CARDS!$A$5:$A$34,0)),DAY(EOMONTH($B1187,0)))),DATE(YEAR($B1187),MONTH($B1187)+1,MIN(INDEX(CARDS!$H$5:$H$34,MATCH($D1187,CARDS!$A$5:$A$34,0)),DAY(EOMONTH($B1187,1)))))),""))</f>
        <v/>
      </c>
      <c r="AE1187" s="52" t="str">
        <f>IF($C1187="","",$C1187&amp;"|"&amp;COUNTIF($C$5:$C1187,$C1187))</f>
        <v/>
      </c>
      <c r="AF1187" s="53">
        <f>IF($AC1187&gt;0,SUMIFS(Q$4:Q1186,$D$4:$D1186,$D1187,$Z$4:$Z1186,$Z1187,$C$4:$C1186,$C1187),0)</f>
        <v>0</v>
      </c>
      <c r="AG1187" s="53">
        <f>IF($AC1187&gt;0,SUMIFS(Q$4:Q1186,$D$4:$D1186,$D1187,$C$4:$C1186,$C1187),0)</f>
        <v>0</v>
      </c>
      <c r="AH1187" s="53">
        <f>IF($AC1187&gt;0,SUMIFS(M$4:M1186,$D$4:$D1186,$D1187,$Z$4:$Z1186,$Z1187,$C$4:$C1186,$C1187),0)</f>
        <v>0</v>
      </c>
      <c r="AI1187" s="43">
        <f>IF(OR($C1187="",$I1187=""),0,IF(COUNTIFS($C$5:$C1187,$C1187,$I$5:$I1187,$I1187)=1,1,0))</f>
        <v>0</v>
      </c>
      <c r="AJ1187" s="43" t="str">
        <f>IF($AI1187=1,SUMIFS($AI$4:$AI1186,$C$4:$C1186,$C1187)+1,"")</f>
        <v/>
      </c>
      <c r="AK1187" s="43">
        <f>IF(OR($C1187="",$K1187=""),0,IF(COUNTIFS($C$5:$C1187,$C1187,$K$5:$K1187,$K1187)=1,1,0))</f>
        <v>0</v>
      </c>
      <c r="AL1187" s="43" t="str">
        <f>IF($AK1187=1,SUMIFS($AK$4:$AK1186,$C$4:$C1186,$C1187)+1,"")</f>
        <v/>
      </c>
      <c r="AM1187" s="43">
        <f>IF(OR($C1187="",$G1187=""),0,IF(COUNTIFS($C$5:$C1187,$C1187,$G$5:$G1187,$G1187)=1,1,0))</f>
        <v>0</v>
      </c>
      <c r="AN1187" s="43" t="str">
        <f>IF($AM1187=1,SUMIFS($AM$4:$AM1186,$C$4:$C1186,$C1187)+1,"")</f>
        <v/>
      </c>
    </row>
    <row r="1188">
      <c r="A1188" s="44" t="str">
        <f>IF(OR($B1188="",$D1188=""),"","TX"&amp;TEXT(ROW()-4,"0000"))</f>
        <v/>
      </c>
      <c r="B1188" s="42" t="n"/>
      <c r="C1188" s="47" t="str">
        <f>IF($B1188="","",YEAR($B1188)*100+MONTH($B1188))</f>
        <v/>
      </c>
      <c r="D1188" s="37" t="n"/>
      <c r="E1188" s="45" t="str">
        <f>IF($D1188="","",IFERROR(INDEX(CARDS!$B$5:$B$34,MATCH($D1188,CARDS!$A$5:$A$34,0)),"⚠ Card ID?"))</f>
        <v/>
      </c>
      <c r="F1188" s="45" t="str">
        <f>IF($D1188="","",IFERROR(INDEX(CARDS!$C$5:$C$34,MATCH($D1188,CARDS!$A$5:$A$34,0)),"⚠ Card ID?"))</f>
        <v/>
      </c>
      <c r="G1188" s="37" t="n"/>
      <c r="H1188" s="37" t="n"/>
      <c r="I1188" s="41" t="n"/>
      <c r="J1188" s="45" t="str">
        <f>IF($I1188="","",IFERROR(INDEX(MCC_MASTER!$B$5:$B$504,MATCH($I1188,MCC_MASTER!$A$5:$A$504,0)),"⚠ MCC chưa có"))</f>
        <v/>
      </c>
      <c r="K1188" s="45" t="str">
        <f>IF($I1188="","",IFERROR(IF(INDEX(MCC_MASTER!$C$5:$C$504,MATCH($I1188,MCC_MASTER!$A$5:$A$504,0))="","Chưa phân loại",INDEX(MCC_MASTER!$C$5:$C$504,MATCH($I1188,MCC_MASTER!$A$5:$A$504,0))),"Chưa phân loại"))</f>
        <v/>
      </c>
      <c r="L1188" s="40" t="n"/>
      <c r="M1188" s="48" t="str">
        <f>IF(OR($B1188="",$D1188=""),"",IF($AC1188=0,0,IF(ISNUMBER(INDEX(CASHBACK_RULES!$L$5:$L$304,$AC1188)),MAX(0,MIN($L1188,INDEX(CASHBACK_RULES!$L$5:$L$304,$AC1188)-$AH1188)),MAX(0,$L1188))))</f>
        <v/>
      </c>
      <c r="N1188" s="49" t="str">
        <f>IF(OR($B1188="",$D1188=""),"",IF($AC1188&gt;0,INDEX(CASHBACK_RULES!$I$5:$I$304,$AC1188),0))</f>
        <v/>
      </c>
      <c r="O1188" s="48" t="str">
        <f>IF(OR($B1188="",$D1188=""),"",ROUND($M1188*$N1188,0))</f>
        <v/>
      </c>
      <c r="P1188" s="48" t="str">
        <f>IF($AC1188&gt;0,IF(ISNUMBER(INDEX(CASHBACK_RULES!$J$5:$J$304,$AC1188)),INDEX(CASHBACK_RULES!$J$5:$J$304,$AC1188),"∞"),"")</f>
        <v/>
      </c>
      <c r="Q1188" s="48" t="str">
        <f>IF(OR($B1188="",$D1188=""),"",IF($AC1188=0,0,MAX(0,MIN($O1188,IF(ISNUMBER($P1188),$P1188-$AF1188,1E+15),IF(ISNUMBER($AA1188),$AA1188-$AG1188,1E+15)))))</f>
        <v/>
      </c>
      <c r="R1188" s="48" t="str">
        <f>IF(OR($B1188="",$D1188=""),"",IF($AC1188=0,"",IF(AND(NOT(ISNUMBER($P1188)),NOT(ISNUMBER($AA1188))),"∞",MAX(0,MIN(IF(ISNUMBER($P1188),$P1188-$AF1188-$Q1188,1E+15),IF(ISNUMBER($AA1188),$AA1188-$AG1188-$Q1188,1E+15))))))</f>
        <v/>
      </c>
      <c r="S1188" s="47" t="str">
        <f>IF($AD1188="","",YEAR($AD1188)*100+MONTH($AD1188))</f>
        <v/>
      </c>
      <c r="T1188" s="50" t="str">
        <f>IF($AD1188="","",IFERROR(IF(INDEX(CARDS!$I$5:$I$34,MATCH($D1188,CARDS!$A$5:$A$34,0))="","",IF(INDEX(CARDS!$I$5:$I$34,MATCH($D1188,CARDS!$A$5:$A$34,0))&gt;INDEX(CARDS!$H$5:$H$34,MATCH($D1188,CARDS!$A$5:$A$34,0)),DATE(YEAR($AD1188),MONTH($AD1188),MIN(INDEX(CARDS!$I$5:$I$34,MATCH($D1188,CARDS!$A$5:$A$34,0)),DAY(EOMONTH($AD1188,0)))),DATE(YEAR($AD1188),MONTH($AD1188)+1,MIN(INDEX(CARDS!$I$5:$I$34,MATCH($D1188,CARDS!$A$5:$A$34,0)),DAY(EOMONTH($AD1188,1)))))),""))</f>
        <v/>
      </c>
      <c r="U1188" s="38" t="n"/>
      <c r="V1188" s="37" t="n"/>
      <c r="W1188" s="38" t="n"/>
      <c r="X1188" s="38" t="n"/>
      <c r="Y1188" s="44" t="str">
        <f>IF($AC1188&gt;0,INDEX(CASHBACK_RULES!$A$5:$A$304,$AC1188),"")</f>
        <v/>
      </c>
      <c r="Z1188" s="45" t="str">
        <f>IF($AC1188&gt;0,INDEX(CASHBACK_RULES!$E$5:$E$304,$AC1188)&amp;"","")</f>
        <v/>
      </c>
      <c r="AA1188" s="48" t="str">
        <f>IF($AC1188&gt;0,IF(ISNUMBER(INDEX(CASHBACK_RULES!$K$5:$K$304,$AC1188)),INDEX(CASHBACK_RULES!$K$5:$K$304,$AC1188),"∞"),"")</f>
        <v/>
      </c>
      <c r="AB1188" s="44" t="str">
        <f>IF(OR($B1188="",$D1188=""),"",IF($U1188="Cancelled","Đã hủy",IF($AC1188=0,"Không được hoàn",IF($Q1188=0,IF(OR($O1188&gt;0,$M1188&lt;$L1188),"Đã đạt cap","Không được hoàn"),IF(OR($Q1188&lt;$O1188,$M1188&lt;$L1188),"Hoàn một phần","Được hoàn")))))</f>
        <v/>
      </c>
      <c r="AC1188" s="43">
        <f>IF(OR($B1188="",$D1188="",$I1188="",$L1188=""),0,IF($U1188="Cancelled",0,IF($W1188&lt;&gt;"",IFERROR(IF(INDEX(CASHBACK_RULES!$B$5:$B$304,MATCH($W1188,CASHBACK_RULES!$A$5:$A$304,0))=$D1188,MATCH($W1188,CASHBACK_RULES!$A$5:$A$304,0),0),0),IFERROR(MATCH(1,INDEX((CASHBACK_RULES!$B$5:$B$304=$D1188)*(CASHBACK_RULES!$G$5:$G$304=$I1188)*(((CASHBACK_RULES!$N$5:$N$304="")+(CASHBACK_RULES!$N$5:$N$304&lt;=$B1188))&gt;0)*(((CASHBACK_RULES!$O$5:$O$304="")+(CASHBACK_RULES!$O$5:$O$304&gt;=$B1188))&gt;0)*(((CASHBACK_RULES!$M$5:$M$304="")+(CASHBACK_RULES!$M$5:$M$304&lt;=$L1188))&gt;0),0),0),0))))</f>
        <v>0</v>
      </c>
      <c r="AD1188" s="51" t="str">
        <f>IF(OR($B1188="",$D1188=""),"",IFERROR(IF(INDEX(CARDS!$H$5:$H$34,MATCH($D1188,CARDS!$A$5:$A$34,0))="","",IF(DAY($B1188)&lt;=INDEX(CARDS!$H$5:$H$34,MATCH($D1188,CARDS!$A$5:$A$34,0)),DATE(YEAR($B1188),MONTH($B1188),MIN(INDEX(CARDS!$H$5:$H$34,MATCH($D1188,CARDS!$A$5:$A$34,0)),DAY(EOMONTH($B1188,0)))),DATE(YEAR($B1188),MONTH($B1188)+1,MIN(INDEX(CARDS!$H$5:$H$34,MATCH($D1188,CARDS!$A$5:$A$34,0)),DAY(EOMONTH($B1188,1)))))),""))</f>
        <v/>
      </c>
      <c r="AE1188" s="52" t="str">
        <f>IF($C1188="","",$C1188&amp;"|"&amp;COUNTIF($C$5:$C1188,$C1188))</f>
        <v/>
      </c>
      <c r="AF1188" s="53">
        <f>IF($AC1188&gt;0,SUMIFS(Q$4:Q1187,$D$4:$D1187,$D1188,$Z$4:$Z1187,$Z1188,$C$4:$C1187,$C1188),0)</f>
        <v>0</v>
      </c>
      <c r="AG1188" s="53">
        <f>IF($AC1188&gt;0,SUMIFS(Q$4:Q1187,$D$4:$D1187,$D1188,$C$4:$C1187,$C1188),0)</f>
        <v>0</v>
      </c>
      <c r="AH1188" s="53">
        <f>IF($AC1188&gt;0,SUMIFS(M$4:M1187,$D$4:$D1187,$D1188,$Z$4:$Z1187,$Z1188,$C$4:$C1187,$C1188),0)</f>
        <v>0</v>
      </c>
      <c r="AI1188" s="43">
        <f>IF(OR($C1188="",$I1188=""),0,IF(COUNTIFS($C$5:$C1188,$C1188,$I$5:$I1188,$I1188)=1,1,0))</f>
        <v>0</v>
      </c>
      <c r="AJ1188" s="43" t="str">
        <f>IF($AI1188=1,SUMIFS($AI$4:$AI1187,$C$4:$C1187,$C1188)+1,"")</f>
        <v/>
      </c>
      <c r="AK1188" s="43">
        <f>IF(OR($C1188="",$K1188=""),0,IF(COUNTIFS($C$5:$C1188,$C1188,$K$5:$K1188,$K1188)=1,1,0))</f>
        <v>0</v>
      </c>
      <c r="AL1188" s="43" t="str">
        <f>IF($AK1188=1,SUMIFS($AK$4:$AK1187,$C$4:$C1187,$C1188)+1,"")</f>
        <v/>
      </c>
      <c r="AM1188" s="43">
        <f>IF(OR($C1188="",$G1188=""),0,IF(COUNTIFS($C$5:$C1188,$C1188,$G$5:$G1188,$G1188)=1,1,0))</f>
        <v>0</v>
      </c>
      <c r="AN1188" s="43" t="str">
        <f>IF($AM1188=1,SUMIFS($AM$4:$AM1187,$C$4:$C1187,$C1188)+1,"")</f>
        <v/>
      </c>
    </row>
    <row r="1189">
      <c r="A1189" s="44" t="str">
        <f>IF(OR($B1189="",$D1189=""),"","TX"&amp;TEXT(ROW()-4,"0000"))</f>
        <v/>
      </c>
      <c r="B1189" s="42" t="n"/>
      <c r="C1189" s="47" t="str">
        <f>IF($B1189="","",YEAR($B1189)*100+MONTH($B1189))</f>
        <v/>
      </c>
      <c r="D1189" s="37" t="n"/>
      <c r="E1189" s="45" t="str">
        <f>IF($D1189="","",IFERROR(INDEX(CARDS!$B$5:$B$34,MATCH($D1189,CARDS!$A$5:$A$34,0)),"⚠ Card ID?"))</f>
        <v/>
      </c>
      <c r="F1189" s="45" t="str">
        <f>IF($D1189="","",IFERROR(INDEX(CARDS!$C$5:$C$34,MATCH($D1189,CARDS!$A$5:$A$34,0)),"⚠ Card ID?"))</f>
        <v/>
      </c>
      <c r="G1189" s="37" t="n"/>
      <c r="H1189" s="37" t="n"/>
      <c r="I1189" s="41" t="n"/>
      <c r="J1189" s="45" t="str">
        <f>IF($I1189="","",IFERROR(INDEX(MCC_MASTER!$B$5:$B$504,MATCH($I1189,MCC_MASTER!$A$5:$A$504,0)),"⚠ MCC chưa có"))</f>
        <v/>
      </c>
      <c r="K1189" s="45" t="str">
        <f>IF($I1189="","",IFERROR(IF(INDEX(MCC_MASTER!$C$5:$C$504,MATCH($I1189,MCC_MASTER!$A$5:$A$504,0))="","Chưa phân loại",INDEX(MCC_MASTER!$C$5:$C$504,MATCH($I1189,MCC_MASTER!$A$5:$A$504,0))),"Chưa phân loại"))</f>
        <v/>
      </c>
      <c r="L1189" s="40" t="n"/>
      <c r="M1189" s="48" t="str">
        <f>IF(OR($B1189="",$D1189=""),"",IF($AC1189=0,0,IF(ISNUMBER(INDEX(CASHBACK_RULES!$L$5:$L$304,$AC1189)),MAX(0,MIN($L1189,INDEX(CASHBACK_RULES!$L$5:$L$304,$AC1189)-$AH1189)),MAX(0,$L1189))))</f>
        <v/>
      </c>
      <c r="N1189" s="49" t="str">
        <f>IF(OR($B1189="",$D1189=""),"",IF($AC1189&gt;0,INDEX(CASHBACK_RULES!$I$5:$I$304,$AC1189),0))</f>
        <v/>
      </c>
      <c r="O1189" s="48" t="str">
        <f>IF(OR($B1189="",$D1189=""),"",ROUND($M1189*$N1189,0))</f>
        <v/>
      </c>
      <c r="P1189" s="48" t="str">
        <f>IF($AC1189&gt;0,IF(ISNUMBER(INDEX(CASHBACK_RULES!$J$5:$J$304,$AC1189)),INDEX(CASHBACK_RULES!$J$5:$J$304,$AC1189),"∞"),"")</f>
        <v/>
      </c>
      <c r="Q1189" s="48" t="str">
        <f>IF(OR($B1189="",$D1189=""),"",IF($AC1189=0,0,MAX(0,MIN($O1189,IF(ISNUMBER($P1189),$P1189-$AF1189,1E+15),IF(ISNUMBER($AA1189),$AA1189-$AG1189,1E+15)))))</f>
        <v/>
      </c>
      <c r="R1189" s="48" t="str">
        <f>IF(OR($B1189="",$D1189=""),"",IF($AC1189=0,"",IF(AND(NOT(ISNUMBER($P1189)),NOT(ISNUMBER($AA1189))),"∞",MAX(0,MIN(IF(ISNUMBER($P1189),$P1189-$AF1189-$Q1189,1E+15),IF(ISNUMBER($AA1189),$AA1189-$AG1189-$Q1189,1E+15))))))</f>
        <v/>
      </c>
      <c r="S1189" s="47" t="str">
        <f>IF($AD1189="","",YEAR($AD1189)*100+MONTH($AD1189))</f>
        <v/>
      </c>
      <c r="T1189" s="50" t="str">
        <f>IF($AD1189="","",IFERROR(IF(INDEX(CARDS!$I$5:$I$34,MATCH($D1189,CARDS!$A$5:$A$34,0))="","",IF(INDEX(CARDS!$I$5:$I$34,MATCH($D1189,CARDS!$A$5:$A$34,0))&gt;INDEX(CARDS!$H$5:$H$34,MATCH($D1189,CARDS!$A$5:$A$34,0)),DATE(YEAR($AD1189),MONTH($AD1189),MIN(INDEX(CARDS!$I$5:$I$34,MATCH($D1189,CARDS!$A$5:$A$34,0)),DAY(EOMONTH($AD1189,0)))),DATE(YEAR($AD1189),MONTH($AD1189)+1,MIN(INDEX(CARDS!$I$5:$I$34,MATCH($D1189,CARDS!$A$5:$A$34,0)),DAY(EOMONTH($AD1189,1)))))),""))</f>
        <v/>
      </c>
      <c r="U1189" s="38" t="n"/>
      <c r="V1189" s="37" t="n"/>
      <c r="W1189" s="38" t="n"/>
      <c r="X1189" s="38" t="n"/>
      <c r="Y1189" s="44" t="str">
        <f>IF($AC1189&gt;0,INDEX(CASHBACK_RULES!$A$5:$A$304,$AC1189),"")</f>
        <v/>
      </c>
      <c r="Z1189" s="45" t="str">
        <f>IF($AC1189&gt;0,INDEX(CASHBACK_RULES!$E$5:$E$304,$AC1189)&amp;"","")</f>
        <v/>
      </c>
      <c r="AA1189" s="48" t="str">
        <f>IF($AC1189&gt;0,IF(ISNUMBER(INDEX(CASHBACK_RULES!$K$5:$K$304,$AC1189)),INDEX(CASHBACK_RULES!$K$5:$K$304,$AC1189),"∞"),"")</f>
        <v/>
      </c>
      <c r="AB1189" s="44" t="str">
        <f>IF(OR($B1189="",$D1189=""),"",IF($U1189="Cancelled","Đã hủy",IF($AC1189=0,"Không được hoàn",IF($Q1189=0,IF(OR($O1189&gt;0,$M1189&lt;$L1189),"Đã đạt cap","Không được hoàn"),IF(OR($Q1189&lt;$O1189,$M1189&lt;$L1189),"Hoàn một phần","Được hoàn")))))</f>
        <v/>
      </c>
      <c r="AC1189" s="43">
        <f>IF(OR($B1189="",$D1189="",$I1189="",$L1189=""),0,IF($U1189="Cancelled",0,IF($W1189&lt;&gt;"",IFERROR(IF(INDEX(CASHBACK_RULES!$B$5:$B$304,MATCH($W1189,CASHBACK_RULES!$A$5:$A$304,0))=$D1189,MATCH($W1189,CASHBACK_RULES!$A$5:$A$304,0),0),0),IFERROR(MATCH(1,INDEX((CASHBACK_RULES!$B$5:$B$304=$D1189)*(CASHBACK_RULES!$G$5:$G$304=$I1189)*(((CASHBACK_RULES!$N$5:$N$304="")+(CASHBACK_RULES!$N$5:$N$304&lt;=$B1189))&gt;0)*(((CASHBACK_RULES!$O$5:$O$304="")+(CASHBACK_RULES!$O$5:$O$304&gt;=$B1189))&gt;0)*(((CASHBACK_RULES!$M$5:$M$304="")+(CASHBACK_RULES!$M$5:$M$304&lt;=$L1189))&gt;0),0),0),0))))</f>
        <v>0</v>
      </c>
      <c r="AD1189" s="51" t="str">
        <f>IF(OR($B1189="",$D1189=""),"",IFERROR(IF(INDEX(CARDS!$H$5:$H$34,MATCH($D1189,CARDS!$A$5:$A$34,0))="","",IF(DAY($B1189)&lt;=INDEX(CARDS!$H$5:$H$34,MATCH($D1189,CARDS!$A$5:$A$34,0)),DATE(YEAR($B1189),MONTH($B1189),MIN(INDEX(CARDS!$H$5:$H$34,MATCH($D1189,CARDS!$A$5:$A$34,0)),DAY(EOMONTH($B1189,0)))),DATE(YEAR($B1189),MONTH($B1189)+1,MIN(INDEX(CARDS!$H$5:$H$34,MATCH($D1189,CARDS!$A$5:$A$34,0)),DAY(EOMONTH($B1189,1)))))),""))</f>
        <v/>
      </c>
      <c r="AE1189" s="52" t="str">
        <f>IF($C1189="","",$C1189&amp;"|"&amp;COUNTIF($C$5:$C1189,$C1189))</f>
        <v/>
      </c>
      <c r="AF1189" s="53">
        <f>IF($AC1189&gt;0,SUMIFS(Q$4:Q1188,$D$4:$D1188,$D1189,$Z$4:$Z1188,$Z1189,$C$4:$C1188,$C1189),0)</f>
        <v>0</v>
      </c>
      <c r="AG1189" s="53">
        <f>IF($AC1189&gt;0,SUMIFS(Q$4:Q1188,$D$4:$D1188,$D1189,$C$4:$C1188,$C1189),0)</f>
        <v>0</v>
      </c>
      <c r="AH1189" s="53">
        <f>IF($AC1189&gt;0,SUMIFS(M$4:M1188,$D$4:$D1188,$D1189,$Z$4:$Z1188,$Z1189,$C$4:$C1188,$C1189),0)</f>
        <v>0</v>
      </c>
      <c r="AI1189" s="43">
        <f>IF(OR($C1189="",$I1189=""),0,IF(COUNTIFS($C$5:$C1189,$C1189,$I$5:$I1189,$I1189)=1,1,0))</f>
        <v>0</v>
      </c>
      <c r="AJ1189" s="43" t="str">
        <f>IF($AI1189=1,SUMIFS($AI$4:$AI1188,$C$4:$C1188,$C1189)+1,"")</f>
        <v/>
      </c>
      <c r="AK1189" s="43">
        <f>IF(OR($C1189="",$K1189=""),0,IF(COUNTIFS($C$5:$C1189,$C1189,$K$5:$K1189,$K1189)=1,1,0))</f>
        <v>0</v>
      </c>
      <c r="AL1189" s="43" t="str">
        <f>IF($AK1189=1,SUMIFS($AK$4:$AK1188,$C$4:$C1188,$C1189)+1,"")</f>
        <v/>
      </c>
      <c r="AM1189" s="43">
        <f>IF(OR($C1189="",$G1189=""),0,IF(COUNTIFS($C$5:$C1189,$C1189,$G$5:$G1189,$G1189)=1,1,0))</f>
        <v>0</v>
      </c>
      <c r="AN1189" s="43" t="str">
        <f>IF($AM1189=1,SUMIFS($AM$4:$AM1188,$C$4:$C1188,$C1189)+1,"")</f>
        <v/>
      </c>
    </row>
    <row r="1190">
      <c r="A1190" s="44" t="str">
        <f>IF(OR($B1190="",$D1190=""),"","TX"&amp;TEXT(ROW()-4,"0000"))</f>
        <v/>
      </c>
      <c r="B1190" s="42" t="n"/>
      <c r="C1190" s="47" t="str">
        <f>IF($B1190="","",YEAR($B1190)*100+MONTH($B1190))</f>
        <v/>
      </c>
      <c r="D1190" s="37" t="n"/>
      <c r="E1190" s="45" t="str">
        <f>IF($D1190="","",IFERROR(INDEX(CARDS!$B$5:$B$34,MATCH($D1190,CARDS!$A$5:$A$34,0)),"⚠ Card ID?"))</f>
        <v/>
      </c>
      <c r="F1190" s="45" t="str">
        <f>IF($D1190="","",IFERROR(INDEX(CARDS!$C$5:$C$34,MATCH($D1190,CARDS!$A$5:$A$34,0)),"⚠ Card ID?"))</f>
        <v/>
      </c>
      <c r="G1190" s="37" t="n"/>
      <c r="H1190" s="37" t="n"/>
      <c r="I1190" s="41" t="n"/>
      <c r="J1190" s="45" t="str">
        <f>IF($I1190="","",IFERROR(INDEX(MCC_MASTER!$B$5:$B$504,MATCH($I1190,MCC_MASTER!$A$5:$A$504,0)),"⚠ MCC chưa có"))</f>
        <v/>
      </c>
      <c r="K1190" s="45" t="str">
        <f>IF($I1190="","",IFERROR(IF(INDEX(MCC_MASTER!$C$5:$C$504,MATCH($I1190,MCC_MASTER!$A$5:$A$504,0))="","Chưa phân loại",INDEX(MCC_MASTER!$C$5:$C$504,MATCH($I1190,MCC_MASTER!$A$5:$A$504,0))),"Chưa phân loại"))</f>
        <v/>
      </c>
      <c r="L1190" s="40" t="n"/>
      <c r="M1190" s="48" t="str">
        <f>IF(OR($B1190="",$D1190=""),"",IF($AC1190=0,0,IF(ISNUMBER(INDEX(CASHBACK_RULES!$L$5:$L$304,$AC1190)),MAX(0,MIN($L1190,INDEX(CASHBACK_RULES!$L$5:$L$304,$AC1190)-$AH1190)),MAX(0,$L1190))))</f>
        <v/>
      </c>
      <c r="N1190" s="49" t="str">
        <f>IF(OR($B1190="",$D1190=""),"",IF($AC1190&gt;0,INDEX(CASHBACK_RULES!$I$5:$I$304,$AC1190),0))</f>
        <v/>
      </c>
      <c r="O1190" s="48" t="str">
        <f>IF(OR($B1190="",$D1190=""),"",ROUND($M1190*$N1190,0))</f>
        <v/>
      </c>
      <c r="P1190" s="48" t="str">
        <f>IF($AC1190&gt;0,IF(ISNUMBER(INDEX(CASHBACK_RULES!$J$5:$J$304,$AC1190)),INDEX(CASHBACK_RULES!$J$5:$J$304,$AC1190),"∞"),"")</f>
        <v/>
      </c>
      <c r="Q1190" s="48" t="str">
        <f>IF(OR($B1190="",$D1190=""),"",IF($AC1190=0,0,MAX(0,MIN($O1190,IF(ISNUMBER($P1190),$P1190-$AF1190,1E+15),IF(ISNUMBER($AA1190),$AA1190-$AG1190,1E+15)))))</f>
        <v/>
      </c>
      <c r="R1190" s="48" t="str">
        <f>IF(OR($B1190="",$D1190=""),"",IF($AC1190=0,"",IF(AND(NOT(ISNUMBER($P1190)),NOT(ISNUMBER($AA1190))),"∞",MAX(0,MIN(IF(ISNUMBER($P1190),$P1190-$AF1190-$Q1190,1E+15),IF(ISNUMBER($AA1190),$AA1190-$AG1190-$Q1190,1E+15))))))</f>
        <v/>
      </c>
      <c r="S1190" s="47" t="str">
        <f>IF($AD1190="","",YEAR($AD1190)*100+MONTH($AD1190))</f>
        <v/>
      </c>
      <c r="T1190" s="50" t="str">
        <f>IF($AD1190="","",IFERROR(IF(INDEX(CARDS!$I$5:$I$34,MATCH($D1190,CARDS!$A$5:$A$34,0))="","",IF(INDEX(CARDS!$I$5:$I$34,MATCH($D1190,CARDS!$A$5:$A$34,0))&gt;INDEX(CARDS!$H$5:$H$34,MATCH($D1190,CARDS!$A$5:$A$34,0)),DATE(YEAR($AD1190),MONTH($AD1190),MIN(INDEX(CARDS!$I$5:$I$34,MATCH($D1190,CARDS!$A$5:$A$34,0)),DAY(EOMONTH($AD1190,0)))),DATE(YEAR($AD1190),MONTH($AD1190)+1,MIN(INDEX(CARDS!$I$5:$I$34,MATCH($D1190,CARDS!$A$5:$A$34,0)),DAY(EOMONTH($AD1190,1)))))),""))</f>
        <v/>
      </c>
      <c r="U1190" s="38" t="n"/>
      <c r="V1190" s="37" t="n"/>
      <c r="W1190" s="38" t="n"/>
      <c r="X1190" s="38" t="n"/>
      <c r="Y1190" s="44" t="str">
        <f>IF($AC1190&gt;0,INDEX(CASHBACK_RULES!$A$5:$A$304,$AC1190),"")</f>
        <v/>
      </c>
      <c r="Z1190" s="45" t="str">
        <f>IF($AC1190&gt;0,INDEX(CASHBACK_RULES!$E$5:$E$304,$AC1190)&amp;"","")</f>
        <v/>
      </c>
      <c r="AA1190" s="48" t="str">
        <f>IF($AC1190&gt;0,IF(ISNUMBER(INDEX(CASHBACK_RULES!$K$5:$K$304,$AC1190)),INDEX(CASHBACK_RULES!$K$5:$K$304,$AC1190),"∞"),"")</f>
        <v/>
      </c>
      <c r="AB1190" s="44" t="str">
        <f>IF(OR($B1190="",$D1190=""),"",IF($U1190="Cancelled","Đã hủy",IF($AC1190=0,"Không được hoàn",IF($Q1190=0,IF(OR($O1190&gt;0,$M1190&lt;$L1190),"Đã đạt cap","Không được hoàn"),IF(OR($Q1190&lt;$O1190,$M1190&lt;$L1190),"Hoàn một phần","Được hoàn")))))</f>
        <v/>
      </c>
      <c r="AC1190" s="43">
        <f>IF(OR($B1190="",$D1190="",$I1190="",$L1190=""),0,IF($U1190="Cancelled",0,IF($W1190&lt;&gt;"",IFERROR(IF(INDEX(CASHBACK_RULES!$B$5:$B$304,MATCH($W1190,CASHBACK_RULES!$A$5:$A$304,0))=$D1190,MATCH($W1190,CASHBACK_RULES!$A$5:$A$304,0),0),0),IFERROR(MATCH(1,INDEX((CASHBACK_RULES!$B$5:$B$304=$D1190)*(CASHBACK_RULES!$G$5:$G$304=$I1190)*(((CASHBACK_RULES!$N$5:$N$304="")+(CASHBACK_RULES!$N$5:$N$304&lt;=$B1190))&gt;0)*(((CASHBACK_RULES!$O$5:$O$304="")+(CASHBACK_RULES!$O$5:$O$304&gt;=$B1190))&gt;0)*(((CASHBACK_RULES!$M$5:$M$304="")+(CASHBACK_RULES!$M$5:$M$304&lt;=$L1190))&gt;0),0),0),0))))</f>
        <v>0</v>
      </c>
      <c r="AD1190" s="51" t="str">
        <f>IF(OR($B1190="",$D1190=""),"",IFERROR(IF(INDEX(CARDS!$H$5:$H$34,MATCH($D1190,CARDS!$A$5:$A$34,0))="","",IF(DAY($B1190)&lt;=INDEX(CARDS!$H$5:$H$34,MATCH($D1190,CARDS!$A$5:$A$34,0)),DATE(YEAR($B1190),MONTH($B1190),MIN(INDEX(CARDS!$H$5:$H$34,MATCH($D1190,CARDS!$A$5:$A$34,0)),DAY(EOMONTH($B1190,0)))),DATE(YEAR($B1190),MONTH($B1190)+1,MIN(INDEX(CARDS!$H$5:$H$34,MATCH($D1190,CARDS!$A$5:$A$34,0)),DAY(EOMONTH($B1190,1)))))),""))</f>
        <v/>
      </c>
      <c r="AE1190" s="52" t="str">
        <f>IF($C1190="","",$C1190&amp;"|"&amp;COUNTIF($C$5:$C1190,$C1190))</f>
        <v/>
      </c>
      <c r="AF1190" s="53">
        <f>IF($AC1190&gt;0,SUMIFS(Q$4:Q1189,$D$4:$D1189,$D1190,$Z$4:$Z1189,$Z1190,$C$4:$C1189,$C1190),0)</f>
        <v>0</v>
      </c>
      <c r="AG1190" s="53">
        <f>IF($AC1190&gt;0,SUMIFS(Q$4:Q1189,$D$4:$D1189,$D1190,$C$4:$C1189,$C1190),0)</f>
        <v>0</v>
      </c>
      <c r="AH1190" s="53">
        <f>IF($AC1190&gt;0,SUMIFS(M$4:M1189,$D$4:$D1189,$D1190,$Z$4:$Z1189,$Z1190,$C$4:$C1189,$C1190),0)</f>
        <v>0</v>
      </c>
      <c r="AI1190" s="43">
        <f>IF(OR($C1190="",$I1190=""),0,IF(COUNTIFS($C$5:$C1190,$C1190,$I$5:$I1190,$I1190)=1,1,0))</f>
        <v>0</v>
      </c>
      <c r="AJ1190" s="43" t="str">
        <f>IF($AI1190=1,SUMIFS($AI$4:$AI1189,$C$4:$C1189,$C1190)+1,"")</f>
        <v/>
      </c>
      <c r="AK1190" s="43">
        <f>IF(OR($C1190="",$K1190=""),0,IF(COUNTIFS($C$5:$C1190,$C1190,$K$5:$K1190,$K1190)=1,1,0))</f>
        <v>0</v>
      </c>
      <c r="AL1190" s="43" t="str">
        <f>IF($AK1190=1,SUMIFS($AK$4:$AK1189,$C$4:$C1189,$C1190)+1,"")</f>
        <v/>
      </c>
      <c r="AM1190" s="43">
        <f>IF(OR($C1190="",$G1190=""),0,IF(COUNTIFS($C$5:$C1190,$C1190,$G$5:$G1190,$G1190)=1,1,0))</f>
        <v>0</v>
      </c>
      <c r="AN1190" s="43" t="str">
        <f>IF($AM1190=1,SUMIFS($AM$4:$AM1189,$C$4:$C1189,$C1190)+1,"")</f>
        <v/>
      </c>
    </row>
    <row r="1191">
      <c r="A1191" s="44" t="str">
        <f>IF(OR($B1191="",$D1191=""),"","TX"&amp;TEXT(ROW()-4,"0000"))</f>
        <v/>
      </c>
      <c r="B1191" s="42" t="n"/>
      <c r="C1191" s="47" t="str">
        <f>IF($B1191="","",YEAR($B1191)*100+MONTH($B1191))</f>
        <v/>
      </c>
      <c r="D1191" s="37" t="n"/>
      <c r="E1191" s="45" t="str">
        <f>IF($D1191="","",IFERROR(INDEX(CARDS!$B$5:$B$34,MATCH($D1191,CARDS!$A$5:$A$34,0)),"⚠ Card ID?"))</f>
        <v/>
      </c>
      <c r="F1191" s="45" t="str">
        <f>IF($D1191="","",IFERROR(INDEX(CARDS!$C$5:$C$34,MATCH($D1191,CARDS!$A$5:$A$34,0)),"⚠ Card ID?"))</f>
        <v/>
      </c>
      <c r="G1191" s="37" t="n"/>
      <c r="H1191" s="37" t="n"/>
      <c r="I1191" s="41" t="n"/>
      <c r="J1191" s="45" t="str">
        <f>IF($I1191="","",IFERROR(INDEX(MCC_MASTER!$B$5:$B$504,MATCH($I1191,MCC_MASTER!$A$5:$A$504,0)),"⚠ MCC chưa có"))</f>
        <v/>
      </c>
      <c r="K1191" s="45" t="str">
        <f>IF($I1191="","",IFERROR(IF(INDEX(MCC_MASTER!$C$5:$C$504,MATCH($I1191,MCC_MASTER!$A$5:$A$504,0))="","Chưa phân loại",INDEX(MCC_MASTER!$C$5:$C$504,MATCH($I1191,MCC_MASTER!$A$5:$A$504,0))),"Chưa phân loại"))</f>
        <v/>
      </c>
      <c r="L1191" s="40" t="n"/>
      <c r="M1191" s="48" t="str">
        <f>IF(OR($B1191="",$D1191=""),"",IF($AC1191=0,0,IF(ISNUMBER(INDEX(CASHBACK_RULES!$L$5:$L$304,$AC1191)),MAX(0,MIN($L1191,INDEX(CASHBACK_RULES!$L$5:$L$304,$AC1191)-$AH1191)),MAX(0,$L1191))))</f>
        <v/>
      </c>
      <c r="N1191" s="49" t="str">
        <f>IF(OR($B1191="",$D1191=""),"",IF($AC1191&gt;0,INDEX(CASHBACK_RULES!$I$5:$I$304,$AC1191),0))</f>
        <v/>
      </c>
      <c r="O1191" s="48" t="str">
        <f>IF(OR($B1191="",$D1191=""),"",ROUND($M1191*$N1191,0))</f>
        <v/>
      </c>
      <c r="P1191" s="48" t="str">
        <f>IF($AC1191&gt;0,IF(ISNUMBER(INDEX(CASHBACK_RULES!$J$5:$J$304,$AC1191)),INDEX(CASHBACK_RULES!$J$5:$J$304,$AC1191),"∞"),"")</f>
        <v/>
      </c>
      <c r="Q1191" s="48" t="str">
        <f>IF(OR($B1191="",$D1191=""),"",IF($AC1191=0,0,MAX(0,MIN($O1191,IF(ISNUMBER($P1191),$P1191-$AF1191,1E+15),IF(ISNUMBER($AA1191),$AA1191-$AG1191,1E+15)))))</f>
        <v/>
      </c>
      <c r="R1191" s="48" t="str">
        <f>IF(OR($B1191="",$D1191=""),"",IF($AC1191=0,"",IF(AND(NOT(ISNUMBER($P1191)),NOT(ISNUMBER($AA1191))),"∞",MAX(0,MIN(IF(ISNUMBER($P1191),$P1191-$AF1191-$Q1191,1E+15),IF(ISNUMBER($AA1191),$AA1191-$AG1191-$Q1191,1E+15))))))</f>
        <v/>
      </c>
      <c r="S1191" s="47" t="str">
        <f>IF($AD1191="","",YEAR($AD1191)*100+MONTH($AD1191))</f>
        <v/>
      </c>
      <c r="T1191" s="50" t="str">
        <f>IF($AD1191="","",IFERROR(IF(INDEX(CARDS!$I$5:$I$34,MATCH($D1191,CARDS!$A$5:$A$34,0))="","",IF(INDEX(CARDS!$I$5:$I$34,MATCH($D1191,CARDS!$A$5:$A$34,0))&gt;INDEX(CARDS!$H$5:$H$34,MATCH($D1191,CARDS!$A$5:$A$34,0)),DATE(YEAR($AD1191),MONTH($AD1191),MIN(INDEX(CARDS!$I$5:$I$34,MATCH($D1191,CARDS!$A$5:$A$34,0)),DAY(EOMONTH($AD1191,0)))),DATE(YEAR($AD1191),MONTH($AD1191)+1,MIN(INDEX(CARDS!$I$5:$I$34,MATCH($D1191,CARDS!$A$5:$A$34,0)),DAY(EOMONTH($AD1191,1)))))),""))</f>
        <v/>
      </c>
      <c r="U1191" s="38" t="n"/>
      <c r="V1191" s="37" t="n"/>
      <c r="W1191" s="38" t="n"/>
      <c r="X1191" s="38" t="n"/>
      <c r="Y1191" s="44" t="str">
        <f>IF($AC1191&gt;0,INDEX(CASHBACK_RULES!$A$5:$A$304,$AC1191),"")</f>
        <v/>
      </c>
      <c r="Z1191" s="45" t="str">
        <f>IF($AC1191&gt;0,INDEX(CASHBACK_RULES!$E$5:$E$304,$AC1191)&amp;"","")</f>
        <v/>
      </c>
      <c r="AA1191" s="48" t="str">
        <f>IF($AC1191&gt;0,IF(ISNUMBER(INDEX(CASHBACK_RULES!$K$5:$K$304,$AC1191)),INDEX(CASHBACK_RULES!$K$5:$K$304,$AC1191),"∞"),"")</f>
        <v/>
      </c>
      <c r="AB1191" s="44" t="str">
        <f>IF(OR($B1191="",$D1191=""),"",IF($U1191="Cancelled","Đã hủy",IF($AC1191=0,"Không được hoàn",IF($Q1191=0,IF(OR($O1191&gt;0,$M1191&lt;$L1191),"Đã đạt cap","Không được hoàn"),IF(OR($Q1191&lt;$O1191,$M1191&lt;$L1191),"Hoàn một phần","Được hoàn")))))</f>
        <v/>
      </c>
      <c r="AC1191" s="43">
        <f>IF(OR($B1191="",$D1191="",$I1191="",$L1191=""),0,IF($U1191="Cancelled",0,IF($W1191&lt;&gt;"",IFERROR(IF(INDEX(CASHBACK_RULES!$B$5:$B$304,MATCH($W1191,CASHBACK_RULES!$A$5:$A$304,0))=$D1191,MATCH($W1191,CASHBACK_RULES!$A$5:$A$304,0),0),0),IFERROR(MATCH(1,INDEX((CASHBACK_RULES!$B$5:$B$304=$D1191)*(CASHBACK_RULES!$G$5:$G$304=$I1191)*(((CASHBACK_RULES!$N$5:$N$304="")+(CASHBACK_RULES!$N$5:$N$304&lt;=$B1191))&gt;0)*(((CASHBACK_RULES!$O$5:$O$304="")+(CASHBACK_RULES!$O$5:$O$304&gt;=$B1191))&gt;0)*(((CASHBACK_RULES!$M$5:$M$304="")+(CASHBACK_RULES!$M$5:$M$304&lt;=$L1191))&gt;0),0),0),0))))</f>
        <v>0</v>
      </c>
      <c r="AD1191" s="51" t="str">
        <f>IF(OR($B1191="",$D1191=""),"",IFERROR(IF(INDEX(CARDS!$H$5:$H$34,MATCH($D1191,CARDS!$A$5:$A$34,0))="","",IF(DAY($B1191)&lt;=INDEX(CARDS!$H$5:$H$34,MATCH($D1191,CARDS!$A$5:$A$34,0)),DATE(YEAR($B1191),MONTH($B1191),MIN(INDEX(CARDS!$H$5:$H$34,MATCH($D1191,CARDS!$A$5:$A$34,0)),DAY(EOMONTH($B1191,0)))),DATE(YEAR($B1191),MONTH($B1191)+1,MIN(INDEX(CARDS!$H$5:$H$34,MATCH($D1191,CARDS!$A$5:$A$34,0)),DAY(EOMONTH($B1191,1)))))),""))</f>
        <v/>
      </c>
      <c r="AE1191" s="52" t="str">
        <f>IF($C1191="","",$C1191&amp;"|"&amp;COUNTIF($C$5:$C1191,$C1191))</f>
        <v/>
      </c>
      <c r="AF1191" s="53">
        <f>IF($AC1191&gt;0,SUMIFS(Q$4:Q1190,$D$4:$D1190,$D1191,$Z$4:$Z1190,$Z1191,$C$4:$C1190,$C1191),0)</f>
        <v>0</v>
      </c>
      <c r="AG1191" s="53">
        <f>IF($AC1191&gt;0,SUMIFS(Q$4:Q1190,$D$4:$D1190,$D1191,$C$4:$C1190,$C1191),0)</f>
        <v>0</v>
      </c>
      <c r="AH1191" s="53">
        <f>IF($AC1191&gt;0,SUMIFS(M$4:M1190,$D$4:$D1190,$D1191,$Z$4:$Z1190,$Z1191,$C$4:$C1190,$C1191),0)</f>
        <v>0</v>
      </c>
      <c r="AI1191" s="43">
        <f>IF(OR($C1191="",$I1191=""),0,IF(COUNTIFS($C$5:$C1191,$C1191,$I$5:$I1191,$I1191)=1,1,0))</f>
        <v>0</v>
      </c>
      <c r="AJ1191" s="43" t="str">
        <f>IF($AI1191=1,SUMIFS($AI$4:$AI1190,$C$4:$C1190,$C1191)+1,"")</f>
        <v/>
      </c>
      <c r="AK1191" s="43">
        <f>IF(OR($C1191="",$K1191=""),0,IF(COUNTIFS($C$5:$C1191,$C1191,$K$5:$K1191,$K1191)=1,1,0))</f>
        <v>0</v>
      </c>
      <c r="AL1191" s="43" t="str">
        <f>IF($AK1191=1,SUMIFS($AK$4:$AK1190,$C$4:$C1190,$C1191)+1,"")</f>
        <v/>
      </c>
      <c r="AM1191" s="43">
        <f>IF(OR($C1191="",$G1191=""),0,IF(COUNTIFS($C$5:$C1191,$C1191,$G$5:$G1191,$G1191)=1,1,0))</f>
        <v>0</v>
      </c>
      <c r="AN1191" s="43" t="str">
        <f>IF($AM1191=1,SUMIFS($AM$4:$AM1190,$C$4:$C1190,$C1191)+1,"")</f>
        <v/>
      </c>
    </row>
    <row r="1192">
      <c r="A1192" s="44" t="str">
        <f>IF(OR($B1192="",$D1192=""),"","TX"&amp;TEXT(ROW()-4,"0000"))</f>
        <v/>
      </c>
      <c r="B1192" s="42" t="n"/>
      <c r="C1192" s="47" t="str">
        <f>IF($B1192="","",YEAR($B1192)*100+MONTH($B1192))</f>
        <v/>
      </c>
      <c r="D1192" s="37" t="n"/>
      <c r="E1192" s="45" t="str">
        <f>IF($D1192="","",IFERROR(INDEX(CARDS!$B$5:$B$34,MATCH($D1192,CARDS!$A$5:$A$34,0)),"⚠ Card ID?"))</f>
        <v/>
      </c>
      <c r="F1192" s="45" t="str">
        <f>IF($D1192="","",IFERROR(INDEX(CARDS!$C$5:$C$34,MATCH($D1192,CARDS!$A$5:$A$34,0)),"⚠ Card ID?"))</f>
        <v/>
      </c>
      <c r="G1192" s="37" t="n"/>
      <c r="H1192" s="37" t="n"/>
      <c r="I1192" s="41" t="n"/>
      <c r="J1192" s="45" t="str">
        <f>IF($I1192="","",IFERROR(INDEX(MCC_MASTER!$B$5:$B$504,MATCH($I1192,MCC_MASTER!$A$5:$A$504,0)),"⚠ MCC chưa có"))</f>
        <v/>
      </c>
      <c r="K1192" s="45" t="str">
        <f>IF($I1192="","",IFERROR(IF(INDEX(MCC_MASTER!$C$5:$C$504,MATCH($I1192,MCC_MASTER!$A$5:$A$504,0))="","Chưa phân loại",INDEX(MCC_MASTER!$C$5:$C$504,MATCH($I1192,MCC_MASTER!$A$5:$A$504,0))),"Chưa phân loại"))</f>
        <v/>
      </c>
      <c r="L1192" s="40" t="n"/>
      <c r="M1192" s="48" t="str">
        <f>IF(OR($B1192="",$D1192=""),"",IF($AC1192=0,0,IF(ISNUMBER(INDEX(CASHBACK_RULES!$L$5:$L$304,$AC1192)),MAX(0,MIN($L1192,INDEX(CASHBACK_RULES!$L$5:$L$304,$AC1192)-$AH1192)),MAX(0,$L1192))))</f>
        <v/>
      </c>
      <c r="N1192" s="49" t="str">
        <f>IF(OR($B1192="",$D1192=""),"",IF($AC1192&gt;0,INDEX(CASHBACK_RULES!$I$5:$I$304,$AC1192),0))</f>
        <v/>
      </c>
      <c r="O1192" s="48" t="str">
        <f>IF(OR($B1192="",$D1192=""),"",ROUND($M1192*$N1192,0))</f>
        <v/>
      </c>
      <c r="P1192" s="48" t="str">
        <f>IF($AC1192&gt;0,IF(ISNUMBER(INDEX(CASHBACK_RULES!$J$5:$J$304,$AC1192)),INDEX(CASHBACK_RULES!$J$5:$J$304,$AC1192),"∞"),"")</f>
        <v/>
      </c>
      <c r="Q1192" s="48" t="str">
        <f>IF(OR($B1192="",$D1192=""),"",IF($AC1192=0,0,MAX(0,MIN($O1192,IF(ISNUMBER($P1192),$P1192-$AF1192,1E+15),IF(ISNUMBER($AA1192),$AA1192-$AG1192,1E+15)))))</f>
        <v/>
      </c>
      <c r="R1192" s="48" t="str">
        <f>IF(OR($B1192="",$D1192=""),"",IF($AC1192=0,"",IF(AND(NOT(ISNUMBER($P1192)),NOT(ISNUMBER($AA1192))),"∞",MAX(0,MIN(IF(ISNUMBER($P1192),$P1192-$AF1192-$Q1192,1E+15),IF(ISNUMBER($AA1192),$AA1192-$AG1192-$Q1192,1E+15))))))</f>
        <v/>
      </c>
      <c r="S1192" s="47" t="str">
        <f>IF($AD1192="","",YEAR($AD1192)*100+MONTH($AD1192))</f>
        <v/>
      </c>
      <c r="T1192" s="50" t="str">
        <f>IF($AD1192="","",IFERROR(IF(INDEX(CARDS!$I$5:$I$34,MATCH($D1192,CARDS!$A$5:$A$34,0))="","",IF(INDEX(CARDS!$I$5:$I$34,MATCH($D1192,CARDS!$A$5:$A$34,0))&gt;INDEX(CARDS!$H$5:$H$34,MATCH($D1192,CARDS!$A$5:$A$34,0)),DATE(YEAR($AD1192),MONTH($AD1192),MIN(INDEX(CARDS!$I$5:$I$34,MATCH($D1192,CARDS!$A$5:$A$34,0)),DAY(EOMONTH($AD1192,0)))),DATE(YEAR($AD1192),MONTH($AD1192)+1,MIN(INDEX(CARDS!$I$5:$I$34,MATCH($D1192,CARDS!$A$5:$A$34,0)),DAY(EOMONTH($AD1192,1)))))),""))</f>
        <v/>
      </c>
      <c r="U1192" s="38" t="n"/>
      <c r="V1192" s="37" t="n"/>
      <c r="W1192" s="38" t="n"/>
      <c r="X1192" s="38" t="n"/>
      <c r="Y1192" s="44" t="str">
        <f>IF($AC1192&gt;0,INDEX(CASHBACK_RULES!$A$5:$A$304,$AC1192),"")</f>
        <v/>
      </c>
      <c r="Z1192" s="45" t="str">
        <f>IF($AC1192&gt;0,INDEX(CASHBACK_RULES!$E$5:$E$304,$AC1192)&amp;"","")</f>
        <v/>
      </c>
      <c r="AA1192" s="48" t="str">
        <f>IF($AC1192&gt;0,IF(ISNUMBER(INDEX(CASHBACK_RULES!$K$5:$K$304,$AC1192)),INDEX(CASHBACK_RULES!$K$5:$K$304,$AC1192),"∞"),"")</f>
        <v/>
      </c>
      <c r="AB1192" s="44" t="str">
        <f>IF(OR($B1192="",$D1192=""),"",IF($U1192="Cancelled","Đã hủy",IF($AC1192=0,"Không được hoàn",IF($Q1192=0,IF(OR($O1192&gt;0,$M1192&lt;$L1192),"Đã đạt cap","Không được hoàn"),IF(OR($Q1192&lt;$O1192,$M1192&lt;$L1192),"Hoàn một phần","Được hoàn")))))</f>
        <v/>
      </c>
      <c r="AC1192" s="43">
        <f>IF(OR($B1192="",$D1192="",$I1192="",$L1192=""),0,IF($U1192="Cancelled",0,IF($W1192&lt;&gt;"",IFERROR(IF(INDEX(CASHBACK_RULES!$B$5:$B$304,MATCH($W1192,CASHBACK_RULES!$A$5:$A$304,0))=$D1192,MATCH($W1192,CASHBACK_RULES!$A$5:$A$304,0),0),0),IFERROR(MATCH(1,INDEX((CASHBACK_RULES!$B$5:$B$304=$D1192)*(CASHBACK_RULES!$G$5:$G$304=$I1192)*(((CASHBACK_RULES!$N$5:$N$304="")+(CASHBACK_RULES!$N$5:$N$304&lt;=$B1192))&gt;0)*(((CASHBACK_RULES!$O$5:$O$304="")+(CASHBACK_RULES!$O$5:$O$304&gt;=$B1192))&gt;0)*(((CASHBACK_RULES!$M$5:$M$304="")+(CASHBACK_RULES!$M$5:$M$304&lt;=$L1192))&gt;0),0),0),0))))</f>
        <v>0</v>
      </c>
      <c r="AD1192" s="51" t="str">
        <f>IF(OR($B1192="",$D1192=""),"",IFERROR(IF(INDEX(CARDS!$H$5:$H$34,MATCH($D1192,CARDS!$A$5:$A$34,0))="","",IF(DAY($B1192)&lt;=INDEX(CARDS!$H$5:$H$34,MATCH($D1192,CARDS!$A$5:$A$34,0)),DATE(YEAR($B1192),MONTH($B1192),MIN(INDEX(CARDS!$H$5:$H$34,MATCH($D1192,CARDS!$A$5:$A$34,0)),DAY(EOMONTH($B1192,0)))),DATE(YEAR($B1192),MONTH($B1192)+1,MIN(INDEX(CARDS!$H$5:$H$34,MATCH($D1192,CARDS!$A$5:$A$34,0)),DAY(EOMONTH($B1192,1)))))),""))</f>
        <v/>
      </c>
      <c r="AE1192" s="52" t="str">
        <f>IF($C1192="","",$C1192&amp;"|"&amp;COUNTIF($C$5:$C1192,$C1192))</f>
        <v/>
      </c>
      <c r="AF1192" s="53">
        <f>IF($AC1192&gt;0,SUMIFS(Q$4:Q1191,$D$4:$D1191,$D1192,$Z$4:$Z1191,$Z1192,$C$4:$C1191,$C1192),0)</f>
        <v>0</v>
      </c>
      <c r="AG1192" s="53">
        <f>IF($AC1192&gt;0,SUMIFS(Q$4:Q1191,$D$4:$D1191,$D1192,$C$4:$C1191,$C1192),0)</f>
        <v>0</v>
      </c>
      <c r="AH1192" s="53">
        <f>IF($AC1192&gt;0,SUMIFS(M$4:M1191,$D$4:$D1191,$D1192,$Z$4:$Z1191,$Z1192,$C$4:$C1191,$C1192),0)</f>
        <v>0</v>
      </c>
      <c r="AI1192" s="43">
        <f>IF(OR($C1192="",$I1192=""),0,IF(COUNTIFS($C$5:$C1192,$C1192,$I$5:$I1192,$I1192)=1,1,0))</f>
        <v>0</v>
      </c>
      <c r="AJ1192" s="43" t="str">
        <f>IF($AI1192=1,SUMIFS($AI$4:$AI1191,$C$4:$C1191,$C1192)+1,"")</f>
        <v/>
      </c>
      <c r="AK1192" s="43">
        <f>IF(OR($C1192="",$K1192=""),0,IF(COUNTIFS($C$5:$C1192,$C1192,$K$5:$K1192,$K1192)=1,1,0))</f>
        <v>0</v>
      </c>
      <c r="AL1192" s="43" t="str">
        <f>IF($AK1192=1,SUMIFS($AK$4:$AK1191,$C$4:$C1191,$C1192)+1,"")</f>
        <v/>
      </c>
      <c r="AM1192" s="43">
        <f>IF(OR($C1192="",$G1192=""),0,IF(COUNTIFS($C$5:$C1192,$C1192,$G$5:$G1192,$G1192)=1,1,0))</f>
        <v>0</v>
      </c>
      <c r="AN1192" s="43" t="str">
        <f>IF($AM1192=1,SUMIFS($AM$4:$AM1191,$C$4:$C1191,$C1192)+1,"")</f>
        <v/>
      </c>
    </row>
    <row r="1193">
      <c r="A1193" s="44" t="str">
        <f>IF(OR($B1193="",$D1193=""),"","TX"&amp;TEXT(ROW()-4,"0000"))</f>
        <v/>
      </c>
      <c r="B1193" s="42" t="n"/>
      <c r="C1193" s="47" t="str">
        <f>IF($B1193="","",YEAR($B1193)*100+MONTH($B1193))</f>
        <v/>
      </c>
      <c r="D1193" s="37" t="n"/>
      <c r="E1193" s="45" t="str">
        <f>IF($D1193="","",IFERROR(INDEX(CARDS!$B$5:$B$34,MATCH($D1193,CARDS!$A$5:$A$34,0)),"⚠ Card ID?"))</f>
        <v/>
      </c>
      <c r="F1193" s="45" t="str">
        <f>IF($D1193="","",IFERROR(INDEX(CARDS!$C$5:$C$34,MATCH($D1193,CARDS!$A$5:$A$34,0)),"⚠ Card ID?"))</f>
        <v/>
      </c>
      <c r="G1193" s="37" t="n"/>
      <c r="H1193" s="37" t="n"/>
      <c r="I1193" s="41" t="n"/>
      <c r="J1193" s="45" t="str">
        <f>IF($I1193="","",IFERROR(INDEX(MCC_MASTER!$B$5:$B$504,MATCH($I1193,MCC_MASTER!$A$5:$A$504,0)),"⚠ MCC chưa có"))</f>
        <v/>
      </c>
      <c r="K1193" s="45" t="str">
        <f>IF($I1193="","",IFERROR(IF(INDEX(MCC_MASTER!$C$5:$C$504,MATCH($I1193,MCC_MASTER!$A$5:$A$504,0))="","Chưa phân loại",INDEX(MCC_MASTER!$C$5:$C$504,MATCH($I1193,MCC_MASTER!$A$5:$A$504,0))),"Chưa phân loại"))</f>
        <v/>
      </c>
      <c r="L1193" s="40" t="n"/>
      <c r="M1193" s="48" t="str">
        <f>IF(OR($B1193="",$D1193=""),"",IF($AC1193=0,0,IF(ISNUMBER(INDEX(CASHBACK_RULES!$L$5:$L$304,$AC1193)),MAX(0,MIN($L1193,INDEX(CASHBACK_RULES!$L$5:$L$304,$AC1193)-$AH1193)),MAX(0,$L1193))))</f>
        <v/>
      </c>
      <c r="N1193" s="49" t="str">
        <f>IF(OR($B1193="",$D1193=""),"",IF($AC1193&gt;0,INDEX(CASHBACK_RULES!$I$5:$I$304,$AC1193),0))</f>
        <v/>
      </c>
      <c r="O1193" s="48" t="str">
        <f>IF(OR($B1193="",$D1193=""),"",ROUND($M1193*$N1193,0))</f>
        <v/>
      </c>
      <c r="P1193" s="48" t="str">
        <f>IF($AC1193&gt;0,IF(ISNUMBER(INDEX(CASHBACK_RULES!$J$5:$J$304,$AC1193)),INDEX(CASHBACK_RULES!$J$5:$J$304,$AC1193),"∞"),"")</f>
        <v/>
      </c>
      <c r="Q1193" s="48" t="str">
        <f>IF(OR($B1193="",$D1193=""),"",IF($AC1193=0,0,MAX(0,MIN($O1193,IF(ISNUMBER($P1193),$P1193-$AF1193,1E+15),IF(ISNUMBER($AA1193),$AA1193-$AG1193,1E+15)))))</f>
        <v/>
      </c>
      <c r="R1193" s="48" t="str">
        <f>IF(OR($B1193="",$D1193=""),"",IF($AC1193=0,"",IF(AND(NOT(ISNUMBER($P1193)),NOT(ISNUMBER($AA1193))),"∞",MAX(0,MIN(IF(ISNUMBER($P1193),$P1193-$AF1193-$Q1193,1E+15),IF(ISNUMBER($AA1193),$AA1193-$AG1193-$Q1193,1E+15))))))</f>
        <v/>
      </c>
      <c r="S1193" s="47" t="str">
        <f>IF($AD1193="","",YEAR($AD1193)*100+MONTH($AD1193))</f>
        <v/>
      </c>
      <c r="T1193" s="50" t="str">
        <f>IF($AD1193="","",IFERROR(IF(INDEX(CARDS!$I$5:$I$34,MATCH($D1193,CARDS!$A$5:$A$34,0))="","",IF(INDEX(CARDS!$I$5:$I$34,MATCH($D1193,CARDS!$A$5:$A$34,0))&gt;INDEX(CARDS!$H$5:$H$34,MATCH($D1193,CARDS!$A$5:$A$34,0)),DATE(YEAR($AD1193),MONTH($AD1193),MIN(INDEX(CARDS!$I$5:$I$34,MATCH($D1193,CARDS!$A$5:$A$34,0)),DAY(EOMONTH($AD1193,0)))),DATE(YEAR($AD1193),MONTH($AD1193)+1,MIN(INDEX(CARDS!$I$5:$I$34,MATCH($D1193,CARDS!$A$5:$A$34,0)),DAY(EOMONTH($AD1193,1)))))),""))</f>
        <v/>
      </c>
      <c r="U1193" s="38" t="n"/>
      <c r="V1193" s="37" t="n"/>
      <c r="W1193" s="38" t="n"/>
      <c r="X1193" s="38" t="n"/>
      <c r="Y1193" s="44" t="str">
        <f>IF($AC1193&gt;0,INDEX(CASHBACK_RULES!$A$5:$A$304,$AC1193),"")</f>
        <v/>
      </c>
      <c r="Z1193" s="45" t="str">
        <f>IF($AC1193&gt;0,INDEX(CASHBACK_RULES!$E$5:$E$304,$AC1193)&amp;"","")</f>
        <v/>
      </c>
      <c r="AA1193" s="48" t="str">
        <f>IF($AC1193&gt;0,IF(ISNUMBER(INDEX(CASHBACK_RULES!$K$5:$K$304,$AC1193)),INDEX(CASHBACK_RULES!$K$5:$K$304,$AC1193),"∞"),"")</f>
        <v/>
      </c>
      <c r="AB1193" s="44" t="str">
        <f>IF(OR($B1193="",$D1193=""),"",IF($U1193="Cancelled","Đã hủy",IF($AC1193=0,"Không được hoàn",IF($Q1193=0,IF(OR($O1193&gt;0,$M1193&lt;$L1193),"Đã đạt cap","Không được hoàn"),IF(OR($Q1193&lt;$O1193,$M1193&lt;$L1193),"Hoàn một phần","Được hoàn")))))</f>
        <v/>
      </c>
      <c r="AC1193" s="43">
        <f>IF(OR($B1193="",$D1193="",$I1193="",$L1193=""),0,IF($U1193="Cancelled",0,IF($W1193&lt;&gt;"",IFERROR(IF(INDEX(CASHBACK_RULES!$B$5:$B$304,MATCH($W1193,CASHBACK_RULES!$A$5:$A$304,0))=$D1193,MATCH($W1193,CASHBACK_RULES!$A$5:$A$304,0),0),0),IFERROR(MATCH(1,INDEX((CASHBACK_RULES!$B$5:$B$304=$D1193)*(CASHBACK_RULES!$G$5:$G$304=$I1193)*(((CASHBACK_RULES!$N$5:$N$304="")+(CASHBACK_RULES!$N$5:$N$304&lt;=$B1193))&gt;0)*(((CASHBACK_RULES!$O$5:$O$304="")+(CASHBACK_RULES!$O$5:$O$304&gt;=$B1193))&gt;0)*(((CASHBACK_RULES!$M$5:$M$304="")+(CASHBACK_RULES!$M$5:$M$304&lt;=$L1193))&gt;0),0),0),0))))</f>
        <v>0</v>
      </c>
      <c r="AD1193" s="51" t="str">
        <f>IF(OR($B1193="",$D1193=""),"",IFERROR(IF(INDEX(CARDS!$H$5:$H$34,MATCH($D1193,CARDS!$A$5:$A$34,0))="","",IF(DAY($B1193)&lt;=INDEX(CARDS!$H$5:$H$34,MATCH($D1193,CARDS!$A$5:$A$34,0)),DATE(YEAR($B1193),MONTH($B1193),MIN(INDEX(CARDS!$H$5:$H$34,MATCH($D1193,CARDS!$A$5:$A$34,0)),DAY(EOMONTH($B1193,0)))),DATE(YEAR($B1193),MONTH($B1193)+1,MIN(INDEX(CARDS!$H$5:$H$34,MATCH($D1193,CARDS!$A$5:$A$34,0)),DAY(EOMONTH($B1193,1)))))),""))</f>
        <v/>
      </c>
      <c r="AE1193" s="52" t="str">
        <f>IF($C1193="","",$C1193&amp;"|"&amp;COUNTIF($C$5:$C1193,$C1193))</f>
        <v/>
      </c>
      <c r="AF1193" s="53">
        <f>IF($AC1193&gt;0,SUMIFS(Q$4:Q1192,$D$4:$D1192,$D1193,$Z$4:$Z1192,$Z1193,$C$4:$C1192,$C1193),0)</f>
        <v>0</v>
      </c>
      <c r="AG1193" s="53">
        <f>IF($AC1193&gt;0,SUMIFS(Q$4:Q1192,$D$4:$D1192,$D1193,$C$4:$C1192,$C1193),0)</f>
        <v>0</v>
      </c>
      <c r="AH1193" s="53">
        <f>IF($AC1193&gt;0,SUMIFS(M$4:M1192,$D$4:$D1192,$D1193,$Z$4:$Z1192,$Z1193,$C$4:$C1192,$C1193),0)</f>
        <v>0</v>
      </c>
      <c r="AI1193" s="43">
        <f>IF(OR($C1193="",$I1193=""),0,IF(COUNTIFS($C$5:$C1193,$C1193,$I$5:$I1193,$I1193)=1,1,0))</f>
        <v>0</v>
      </c>
      <c r="AJ1193" s="43" t="str">
        <f>IF($AI1193=1,SUMIFS($AI$4:$AI1192,$C$4:$C1192,$C1193)+1,"")</f>
        <v/>
      </c>
      <c r="AK1193" s="43">
        <f>IF(OR($C1193="",$K1193=""),0,IF(COUNTIFS($C$5:$C1193,$C1193,$K$5:$K1193,$K1193)=1,1,0))</f>
        <v>0</v>
      </c>
      <c r="AL1193" s="43" t="str">
        <f>IF($AK1193=1,SUMIFS($AK$4:$AK1192,$C$4:$C1192,$C1193)+1,"")</f>
        <v/>
      </c>
      <c r="AM1193" s="43">
        <f>IF(OR($C1193="",$G1193=""),0,IF(COUNTIFS($C$5:$C1193,$C1193,$G$5:$G1193,$G1193)=1,1,0))</f>
        <v>0</v>
      </c>
      <c r="AN1193" s="43" t="str">
        <f>IF($AM1193=1,SUMIFS($AM$4:$AM1192,$C$4:$C1192,$C1193)+1,"")</f>
        <v/>
      </c>
    </row>
    <row r="1194">
      <c r="A1194" s="44" t="str">
        <f>IF(OR($B1194="",$D1194=""),"","TX"&amp;TEXT(ROW()-4,"0000"))</f>
        <v/>
      </c>
      <c r="B1194" s="42" t="n"/>
      <c r="C1194" s="47" t="str">
        <f>IF($B1194="","",YEAR($B1194)*100+MONTH($B1194))</f>
        <v/>
      </c>
      <c r="D1194" s="37" t="n"/>
      <c r="E1194" s="45" t="str">
        <f>IF($D1194="","",IFERROR(INDEX(CARDS!$B$5:$B$34,MATCH($D1194,CARDS!$A$5:$A$34,0)),"⚠ Card ID?"))</f>
        <v/>
      </c>
      <c r="F1194" s="45" t="str">
        <f>IF($D1194="","",IFERROR(INDEX(CARDS!$C$5:$C$34,MATCH($D1194,CARDS!$A$5:$A$34,0)),"⚠ Card ID?"))</f>
        <v/>
      </c>
      <c r="G1194" s="37" t="n"/>
      <c r="H1194" s="37" t="n"/>
      <c r="I1194" s="41" t="n"/>
      <c r="J1194" s="45" t="str">
        <f>IF($I1194="","",IFERROR(INDEX(MCC_MASTER!$B$5:$B$504,MATCH($I1194,MCC_MASTER!$A$5:$A$504,0)),"⚠ MCC chưa có"))</f>
        <v/>
      </c>
      <c r="K1194" s="45" t="str">
        <f>IF($I1194="","",IFERROR(IF(INDEX(MCC_MASTER!$C$5:$C$504,MATCH($I1194,MCC_MASTER!$A$5:$A$504,0))="","Chưa phân loại",INDEX(MCC_MASTER!$C$5:$C$504,MATCH($I1194,MCC_MASTER!$A$5:$A$504,0))),"Chưa phân loại"))</f>
        <v/>
      </c>
      <c r="L1194" s="40" t="n"/>
      <c r="M1194" s="48" t="str">
        <f>IF(OR($B1194="",$D1194=""),"",IF($AC1194=0,0,IF(ISNUMBER(INDEX(CASHBACK_RULES!$L$5:$L$304,$AC1194)),MAX(0,MIN($L1194,INDEX(CASHBACK_RULES!$L$5:$L$304,$AC1194)-$AH1194)),MAX(0,$L1194))))</f>
        <v/>
      </c>
      <c r="N1194" s="49" t="str">
        <f>IF(OR($B1194="",$D1194=""),"",IF($AC1194&gt;0,INDEX(CASHBACK_RULES!$I$5:$I$304,$AC1194),0))</f>
        <v/>
      </c>
      <c r="O1194" s="48" t="str">
        <f>IF(OR($B1194="",$D1194=""),"",ROUND($M1194*$N1194,0))</f>
        <v/>
      </c>
      <c r="P1194" s="48" t="str">
        <f>IF($AC1194&gt;0,IF(ISNUMBER(INDEX(CASHBACK_RULES!$J$5:$J$304,$AC1194)),INDEX(CASHBACK_RULES!$J$5:$J$304,$AC1194),"∞"),"")</f>
        <v/>
      </c>
      <c r="Q1194" s="48" t="str">
        <f>IF(OR($B1194="",$D1194=""),"",IF($AC1194=0,0,MAX(0,MIN($O1194,IF(ISNUMBER($P1194),$P1194-$AF1194,1E+15),IF(ISNUMBER($AA1194),$AA1194-$AG1194,1E+15)))))</f>
        <v/>
      </c>
      <c r="R1194" s="48" t="str">
        <f>IF(OR($B1194="",$D1194=""),"",IF($AC1194=0,"",IF(AND(NOT(ISNUMBER($P1194)),NOT(ISNUMBER($AA1194))),"∞",MAX(0,MIN(IF(ISNUMBER($P1194),$P1194-$AF1194-$Q1194,1E+15),IF(ISNUMBER($AA1194),$AA1194-$AG1194-$Q1194,1E+15))))))</f>
        <v/>
      </c>
      <c r="S1194" s="47" t="str">
        <f>IF($AD1194="","",YEAR($AD1194)*100+MONTH($AD1194))</f>
        <v/>
      </c>
      <c r="T1194" s="50" t="str">
        <f>IF($AD1194="","",IFERROR(IF(INDEX(CARDS!$I$5:$I$34,MATCH($D1194,CARDS!$A$5:$A$34,0))="","",IF(INDEX(CARDS!$I$5:$I$34,MATCH($D1194,CARDS!$A$5:$A$34,0))&gt;INDEX(CARDS!$H$5:$H$34,MATCH($D1194,CARDS!$A$5:$A$34,0)),DATE(YEAR($AD1194),MONTH($AD1194),MIN(INDEX(CARDS!$I$5:$I$34,MATCH($D1194,CARDS!$A$5:$A$34,0)),DAY(EOMONTH($AD1194,0)))),DATE(YEAR($AD1194),MONTH($AD1194)+1,MIN(INDEX(CARDS!$I$5:$I$34,MATCH($D1194,CARDS!$A$5:$A$34,0)),DAY(EOMONTH($AD1194,1)))))),""))</f>
        <v/>
      </c>
      <c r="U1194" s="38" t="n"/>
      <c r="V1194" s="37" t="n"/>
      <c r="W1194" s="38" t="n"/>
      <c r="X1194" s="38" t="n"/>
      <c r="Y1194" s="44" t="str">
        <f>IF($AC1194&gt;0,INDEX(CASHBACK_RULES!$A$5:$A$304,$AC1194),"")</f>
        <v/>
      </c>
      <c r="Z1194" s="45" t="str">
        <f>IF($AC1194&gt;0,INDEX(CASHBACK_RULES!$E$5:$E$304,$AC1194)&amp;"","")</f>
        <v/>
      </c>
      <c r="AA1194" s="48" t="str">
        <f>IF($AC1194&gt;0,IF(ISNUMBER(INDEX(CASHBACK_RULES!$K$5:$K$304,$AC1194)),INDEX(CASHBACK_RULES!$K$5:$K$304,$AC1194),"∞"),"")</f>
        <v/>
      </c>
      <c r="AB1194" s="44" t="str">
        <f>IF(OR($B1194="",$D1194=""),"",IF($U1194="Cancelled","Đã hủy",IF($AC1194=0,"Không được hoàn",IF($Q1194=0,IF(OR($O1194&gt;0,$M1194&lt;$L1194),"Đã đạt cap","Không được hoàn"),IF(OR($Q1194&lt;$O1194,$M1194&lt;$L1194),"Hoàn một phần","Được hoàn")))))</f>
        <v/>
      </c>
      <c r="AC1194" s="43">
        <f>IF(OR($B1194="",$D1194="",$I1194="",$L1194=""),0,IF($U1194="Cancelled",0,IF($W1194&lt;&gt;"",IFERROR(IF(INDEX(CASHBACK_RULES!$B$5:$B$304,MATCH($W1194,CASHBACK_RULES!$A$5:$A$304,0))=$D1194,MATCH($W1194,CASHBACK_RULES!$A$5:$A$304,0),0),0),IFERROR(MATCH(1,INDEX((CASHBACK_RULES!$B$5:$B$304=$D1194)*(CASHBACK_RULES!$G$5:$G$304=$I1194)*(((CASHBACK_RULES!$N$5:$N$304="")+(CASHBACK_RULES!$N$5:$N$304&lt;=$B1194))&gt;0)*(((CASHBACK_RULES!$O$5:$O$304="")+(CASHBACK_RULES!$O$5:$O$304&gt;=$B1194))&gt;0)*(((CASHBACK_RULES!$M$5:$M$304="")+(CASHBACK_RULES!$M$5:$M$304&lt;=$L1194))&gt;0),0),0),0))))</f>
        <v>0</v>
      </c>
      <c r="AD1194" s="51" t="str">
        <f>IF(OR($B1194="",$D1194=""),"",IFERROR(IF(INDEX(CARDS!$H$5:$H$34,MATCH($D1194,CARDS!$A$5:$A$34,0))="","",IF(DAY($B1194)&lt;=INDEX(CARDS!$H$5:$H$34,MATCH($D1194,CARDS!$A$5:$A$34,0)),DATE(YEAR($B1194),MONTH($B1194),MIN(INDEX(CARDS!$H$5:$H$34,MATCH($D1194,CARDS!$A$5:$A$34,0)),DAY(EOMONTH($B1194,0)))),DATE(YEAR($B1194),MONTH($B1194)+1,MIN(INDEX(CARDS!$H$5:$H$34,MATCH($D1194,CARDS!$A$5:$A$34,0)),DAY(EOMONTH($B1194,1)))))),""))</f>
        <v/>
      </c>
      <c r="AE1194" s="52" t="str">
        <f>IF($C1194="","",$C1194&amp;"|"&amp;COUNTIF($C$5:$C1194,$C1194))</f>
        <v/>
      </c>
      <c r="AF1194" s="53">
        <f>IF($AC1194&gt;0,SUMIFS(Q$4:Q1193,$D$4:$D1193,$D1194,$Z$4:$Z1193,$Z1194,$C$4:$C1193,$C1194),0)</f>
        <v>0</v>
      </c>
      <c r="AG1194" s="53">
        <f>IF($AC1194&gt;0,SUMIFS(Q$4:Q1193,$D$4:$D1193,$D1194,$C$4:$C1193,$C1194),0)</f>
        <v>0</v>
      </c>
      <c r="AH1194" s="53">
        <f>IF($AC1194&gt;0,SUMIFS(M$4:M1193,$D$4:$D1193,$D1194,$Z$4:$Z1193,$Z1194,$C$4:$C1193,$C1194),0)</f>
        <v>0</v>
      </c>
      <c r="AI1194" s="43">
        <f>IF(OR($C1194="",$I1194=""),0,IF(COUNTIFS($C$5:$C1194,$C1194,$I$5:$I1194,$I1194)=1,1,0))</f>
        <v>0</v>
      </c>
      <c r="AJ1194" s="43" t="str">
        <f>IF($AI1194=1,SUMIFS($AI$4:$AI1193,$C$4:$C1193,$C1194)+1,"")</f>
        <v/>
      </c>
      <c r="AK1194" s="43">
        <f>IF(OR($C1194="",$K1194=""),0,IF(COUNTIFS($C$5:$C1194,$C1194,$K$5:$K1194,$K1194)=1,1,0))</f>
        <v>0</v>
      </c>
      <c r="AL1194" s="43" t="str">
        <f>IF($AK1194=1,SUMIFS($AK$4:$AK1193,$C$4:$C1193,$C1194)+1,"")</f>
        <v/>
      </c>
      <c r="AM1194" s="43">
        <f>IF(OR($C1194="",$G1194=""),0,IF(COUNTIFS($C$5:$C1194,$C1194,$G$5:$G1194,$G1194)=1,1,0))</f>
        <v>0</v>
      </c>
      <c r="AN1194" s="43" t="str">
        <f>IF($AM1194=1,SUMIFS($AM$4:$AM1193,$C$4:$C1193,$C1194)+1,"")</f>
        <v/>
      </c>
    </row>
    <row r="1195">
      <c r="A1195" s="44" t="str">
        <f>IF(OR($B1195="",$D1195=""),"","TX"&amp;TEXT(ROW()-4,"0000"))</f>
        <v/>
      </c>
      <c r="B1195" s="42" t="n"/>
      <c r="C1195" s="47" t="str">
        <f>IF($B1195="","",YEAR($B1195)*100+MONTH($B1195))</f>
        <v/>
      </c>
      <c r="D1195" s="37" t="n"/>
      <c r="E1195" s="45" t="str">
        <f>IF($D1195="","",IFERROR(INDEX(CARDS!$B$5:$B$34,MATCH($D1195,CARDS!$A$5:$A$34,0)),"⚠ Card ID?"))</f>
        <v/>
      </c>
      <c r="F1195" s="45" t="str">
        <f>IF($D1195="","",IFERROR(INDEX(CARDS!$C$5:$C$34,MATCH($D1195,CARDS!$A$5:$A$34,0)),"⚠ Card ID?"))</f>
        <v/>
      </c>
      <c r="G1195" s="37" t="n"/>
      <c r="H1195" s="37" t="n"/>
      <c r="I1195" s="41" t="n"/>
      <c r="J1195" s="45" t="str">
        <f>IF($I1195="","",IFERROR(INDEX(MCC_MASTER!$B$5:$B$504,MATCH($I1195,MCC_MASTER!$A$5:$A$504,0)),"⚠ MCC chưa có"))</f>
        <v/>
      </c>
      <c r="K1195" s="45" t="str">
        <f>IF($I1195="","",IFERROR(IF(INDEX(MCC_MASTER!$C$5:$C$504,MATCH($I1195,MCC_MASTER!$A$5:$A$504,0))="","Chưa phân loại",INDEX(MCC_MASTER!$C$5:$C$504,MATCH($I1195,MCC_MASTER!$A$5:$A$504,0))),"Chưa phân loại"))</f>
        <v/>
      </c>
      <c r="L1195" s="40" t="n"/>
      <c r="M1195" s="48" t="str">
        <f>IF(OR($B1195="",$D1195=""),"",IF($AC1195=0,0,IF(ISNUMBER(INDEX(CASHBACK_RULES!$L$5:$L$304,$AC1195)),MAX(0,MIN($L1195,INDEX(CASHBACK_RULES!$L$5:$L$304,$AC1195)-$AH1195)),MAX(0,$L1195))))</f>
        <v/>
      </c>
      <c r="N1195" s="49" t="str">
        <f>IF(OR($B1195="",$D1195=""),"",IF($AC1195&gt;0,INDEX(CASHBACK_RULES!$I$5:$I$304,$AC1195),0))</f>
        <v/>
      </c>
      <c r="O1195" s="48" t="str">
        <f>IF(OR($B1195="",$D1195=""),"",ROUND($M1195*$N1195,0))</f>
        <v/>
      </c>
      <c r="P1195" s="48" t="str">
        <f>IF($AC1195&gt;0,IF(ISNUMBER(INDEX(CASHBACK_RULES!$J$5:$J$304,$AC1195)),INDEX(CASHBACK_RULES!$J$5:$J$304,$AC1195),"∞"),"")</f>
        <v/>
      </c>
      <c r="Q1195" s="48" t="str">
        <f>IF(OR($B1195="",$D1195=""),"",IF($AC1195=0,0,MAX(0,MIN($O1195,IF(ISNUMBER($P1195),$P1195-$AF1195,1E+15),IF(ISNUMBER($AA1195),$AA1195-$AG1195,1E+15)))))</f>
        <v/>
      </c>
      <c r="R1195" s="48" t="str">
        <f>IF(OR($B1195="",$D1195=""),"",IF($AC1195=0,"",IF(AND(NOT(ISNUMBER($P1195)),NOT(ISNUMBER($AA1195))),"∞",MAX(0,MIN(IF(ISNUMBER($P1195),$P1195-$AF1195-$Q1195,1E+15),IF(ISNUMBER($AA1195),$AA1195-$AG1195-$Q1195,1E+15))))))</f>
        <v/>
      </c>
      <c r="S1195" s="47" t="str">
        <f>IF($AD1195="","",YEAR($AD1195)*100+MONTH($AD1195))</f>
        <v/>
      </c>
      <c r="T1195" s="50" t="str">
        <f>IF($AD1195="","",IFERROR(IF(INDEX(CARDS!$I$5:$I$34,MATCH($D1195,CARDS!$A$5:$A$34,0))="","",IF(INDEX(CARDS!$I$5:$I$34,MATCH($D1195,CARDS!$A$5:$A$34,0))&gt;INDEX(CARDS!$H$5:$H$34,MATCH($D1195,CARDS!$A$5:$A$34,0)),DATE(YEAR($AD1195),MONTH($AD1195),MIN(INDEX(CARDS!$I$5:$I$34,MATCH($D1195,CARDS!$A$5:$A$34,0)),DAY(EOMONTH($AD1195,0)))),DATE(YEAR($AD1195),MONTH($AD1195)+1,MIN(INDEX(CARDS!$I$5:$I$34,MATCH($D1195,CARDS!$A$5:$A$34,0)),DAY(EOMONTH($AD1195,1)))))),""))</f>
        <v/>
      </c>
      <c r="U1195" s="38" t="n"/>
      <c r="V1195" s="37" t="n"/>
      <c r="W1195" s="38" t="n"/>
      <c r="X1195" s="38" t="n"/>
      <c r="Y1195" s="44" t="str">
        <f>IF($AC1195&gt;0,INDEX(CASHBACK_RULES!$A$5:$A$304,$AC1195),"")</f>
        <v/>
      </c>
      <c r="Z1195" s="45" t="str">
        <f>IF($AC1195&gt;0,INDEX(CASHBACK_RULES!$E$5:$E$304,$AC1195)&amp;"","")</f>
        <v/>
      </c>
      <c r="AA1195" s="48" t="str">
        <f>IF($AC1195&gt;0,IF(ISNUMBER(INDEX(CASHBACK_RULES!$K$5:$K$304,$AC1195)),INDEX(CASHBACK_RULES!$K$5:$K$304,$AC1195),"∞"),"")</f>
        <v/>
      </c>
      <c r="AB1195" s="44" t="str">
        <f>IF(OR($B1195="",$D1195=""),"",IF($U1195="Cancelled","Đã hủy",IF($AC1195=0,"Không được hoàn",IF($Q1195=0,IF(OR($O1195&gt;0,$M1195&lt;$L1195),"Đã đạt cap","Không được hoàn"),IF(OR($Q1195&lt;$O1195,$M1195&lt;$L1195),"Hoàn một phần","Được hoàn")))))</f>
        <v/>
      </c>
      <c r="AC1195" s="43">
        <f>IF(OR($B1195="",$D1195="",$I1195="",$L1195=""),0,IF($U1195="Cancelled",0,IF($W1195&lt;&gt;"",IFERROR(IF(INDEX(CASHBACK_RULES!$B$5:$B$304,MATCH($W1195,CASHBACK_RULES!$A$5:$A$304,0))=$D1195,MATCH($W1195,CASHBACK_RULES!$A$5:$A$304,0),0),0),IFERROR(MATCH(1,INDEX((CASHBACK_RULES!$B$5:$B$304=$D1195)*(CASHBACK_RULES!$G$5:$G$304=$I1195)*(((CASHBACK_RULES!$N$5:$N$304="")+(CASHBACK_RULES!$N$5:$N$304&lt;=$B1195))&gt;0)*(((CASHBACK_RULES!$O$5:$O$304="")+(CASHBACK_RULES!$O$5:$O$304&gt;=$B1195))&gt;0)*(((CASHBACK_RULES!$M$5:$M$304="")+(CASHBACK_RULES!$M$5:$M$304&lt;=$L1195))&gt;0),0),0),0))))</f>
        <v>0</v>
      </c>
      <c r="AD1195" s="51" t="str">
        <f>IF(OR($B1195="",$D1195=""),"",IFERROR(IF(INDEX(CARDS!$H$5:$H$34,MATCH($D1195,CARDS!$A$5:$A$34,0))="","",IF(DAY($B1195)&lt;=INDEX(CARDS!$H$5:$H$34,MATCH($D1195,CARDS!$A$5:$A$34,0)),DATE(YEAR($B1195),MONTH($B1195),MIN(INDEX(CARDS!$H$5:$H$34,MATCH($D1195,CARDS!$A$5:$A$34,0)),DAY(EOMONTH($B1195,0)))),DATE(YEAR($B1195),MONTH($B1195)+1,MIN(INDEX(CARDS!$H$5:$H$34,MATCH($D1195,CARDS!$A$5:$A$34,0)),DAY(EOMONTH($B1195,1)))))),""))</f>
        <v/>
      </c>
      <c r="AE1195" s="52" t="str">
        <f>IF($C1195="","",$C1195&amp;"|"&amp;COUNTIF($C$5:$C1195,$C1195))</f>
        <v/>
      </c>
      <c r="AF1195" s="53">
        <f>IF($AC1195&gt;0,SUMIFS(Q$4:Q1194,$D$4:$D1194,$D1195,$Z$4:$Z1194,$Z1195,$C$4:$C1194,$C1195),0)</f>
        <v>0</v>
      </c>
      <c r="AG1195" s="53">
        <f>IF($AC1195&gt;0,SUMIFS(Q$4:Q1194,$D$4:$D1194,$D1195,$C$4:$C1194,$C1195),0)</f>
        <v>0</v>
      </c>
      <c r="AH1195" s="53">
        <f>IF($AC1195&gt;0,SUMIFS(M$4:M1194,$D$4:$D1194,$D1195,$Z$4:$Z1194,$Z1195,$C$4:$C1194,$C1195),0)</f>
        <v>0</v>
      </c>
      <c r="AI1195" s="43">
        <f>IF(OR($C1195="",$I1195=""),0,IF(COUNTIFS($C$5:$C1195,$C1195,$I$5:$I1195,$I1195)=1,1,0))</f>
        <v>0</v>
      </c>
      <c r="AJ1195" s="43" t="str">
        <f>IF($AI1195=1,SUMIFS($AI$4:$AI1194,$C$4:$C1194,$C1195)+1,"")</f>
        <v/>
      </c>
      <c r="AK1195" s="43">
        <f>IF(OR($C1195="",$K1195=""),0,IF(COUNTIFS($C$5:$C1195,$C1195,$K$5:$K1195,$K1195)=1,1,0))</f>
        <v>0</v>
      </c>
      <c r="AL1195" s="43" t="str">
        <f>IF($AK1195=1,SUMIFS($AK$4:$AK1194,$C$4:$C1194,$C1195)+1,"")</f>
        <v/>
      </c>
      <c r="AM1195" s="43">
        <f>IF(OR($C1195="",$G1195=""),0,IF(COUNTIFS($C$5:$C1195,$C1195,$G$5:$G1195,$G1195)=1,1,0))</f>
        <v>0</v>
      </c>
      <c r="AN1195" s="43" t="str">
        <f>IF($AM1195=1,SUMIFS($AM$4:$AM1194,$C$4:$C1194,$C1195)+1,"")</f>
        <v/>
      </c>
    </row>
    <row r="1196">
      <c r="A1196" s="44" t="str">
        <f>IF(OR($B1196="",$D1196=""),"","TX"&amp;TEXT(ROW()-4,"0000"))</f>
        <v/>
      </c>
      <c r="B1196" s="42" t="n"/>
      <c r="C1196" s="47" t="str">
        <f>IF($B1196="","",YEAR($B1196)*100+MONTH($B1196))</f>
        <v/>
      </c>
      <c r="D1196" s="37" t="n"/>
      <c r="E1196" s="45" t="str">
        <f>IF($D1196="","",IFERROR(INDEX(CARDS!$B$5:$B$34,MATCH($D1196,CARDS!$A$5:$A$34,0)),"⚠ Card ID?"))</f>
        <v/>
      </c>
      <c r="F1196" s="45" t="str">
        <f>IF($D1196="","",IFERROR(INDEX(CARDS!$C$5:$C$34,MATCH($D1196,CARDS!$A$5:$A$34,0)),"⚠ Card ID?"))</f>
        <v/>
      </c>
      <c r="G1196" s="37" t="n"/>
      <c r="H1196" s="37" t="n"/>
      <c r="I1196" s="41" t="n"/>
      <c r="J1196" s="45" t="str">
        <f>IF($I1196="","",IFERROR(INDEX(MCC_MASTER!$B$5:$B$504,MATCH($I1196,MCC_MASTER!$A$5:$A$504,0)),"⚠ MCC chưa có"))</f>
        <v/>
      </c>
      <c r="K1196" s="45" t="str">
        <f>IF($I1196="","",IFERROR(IF(INDEX(MCC_MASTER!$C$5:$C$504,MATCH($I1196,MCC_MASTER!$A$5:$A$504,0))="","Chưa phân loại",INDEX(MCC_MASTER!$C$5:$C$504,MATCH($I1196,MCC_MASTER!$A$5:$A$504,0))),"Chưa phân loại"))</f>
        <v/>
      </c>
      <c r="L1196" s="40" t="n"/>
      <c r="M1196" s="48" t="str">
        <f>IF(OR($B1196="",$D1196=""),"",IF($AC1196=0,0,IF(ISNUMBER(INDEX(CASHBACK_RULES!$L$5:$L$304,$AC1196)),MAX(0,MIN($L1196,INDEX(CASHBACK_RULES!$L$5:$L$304,$AC1196)-$AH1196)),MAX(0,$L1196))))</f>
        <v/>
      </c>
      <c r="N1196" s="49" t="str">
        <f>IF(OR($B1196="",$D1196=""),"",IF($AC1196&gt;0,INDEX(CASHBACK_RULES!$I$5:$I$304,$AC1196),0))</f>
        <v/>
      </c>
      <c r="O1196" s="48" t="str">
        <f>IF(OR($B1196="",$D1196=""),"",ROUND($M1196*$N1196,0))</f>
        <v/>
      </c>
      <c r="P1196" s="48" t="str">
        <f>IF($AC1196&gt;0,IF(ISNUMBER(INDEX(CASHBACK_RULES!$J$5:$J$304,$AC1196)),INDEX(CASHBACK_RULES!$J$5:$J$304,$AC1196),"∞"),"")</f>
        <v/>
      </c>
      <c r="Q1196" s="48" t="str">
        <f>IF(OR($B1196="",$D1196=""),"",IF($AC1196=0,0,MAX(0,MIN($O1196,IF(ISNUMBER($P1196),$P1196-$AF1196,1E+15),IF(ISNUMBER($AA1196),$AA1196-$AG1196,1E+15)))))</f>
        <v/>
      </c>
      <c r="R1196" s="48" t="str">
        <f>IF(OR($B1196="",$D1196=""),"",IF($AC1196=0,"",IF(AND(NOT(ISNUMBER($P1196)),NOT(ISNUMBER($AA1196))),"∞",MAX(0,MIN(IF(ISNUMBER($P1196),$P1196-$AF1196-$Q1196,1E+15),IF(ISNUMBER($AA1196),$AA1196-$AG1196-$Q1196,1E+15))))))</f>
        <v/>
      </c>
      <c r="S1196" s="47" t="str">
        <f>IF($AD1196="","",YEAR($AD1196)*100+MONTH($AD1196))</f>
        <v/>
      </c>
      <c r="T1196" s="50" t="str">
        <f>IF($AD1196="","",IFERROR(IF(INDEX(CARDS!$I$5:$I$34,MATCH($D1196,CARDS!$A$5:$A$34,0))="","",IF(INDEX(CARDS!$I$5:$I$34,MATCH($D1196,CARDS!$A$5:$A$34,0))&gt;INDEX(CARDS!$H$5:$H$34,MATCH($D1196,CARDS!$A$5:$A$34,0)),DATE(YEAR($AD1196),MONTH($AD1196),MIN(INDEX(CARDS!$I$5:$I$34,MATCH($D1196,CARDS!$A$5:$A$34,0)),DAY(EOMONTH($AD1196,0)))),DATE(YEAR($AD1196),MONTH($AD1196)+1,MIN(INDEX(CARDS!$I$5:$I$34,MATCH($D1196,CARDS!$A$5:$A$34,0)),DAY(EOMONTH($AD1196,1)))))),""))</f>
        <v/>
      </c>
      <c r="U1196" s="38" t="n"/>
      <c r="V1196" s="37" t="n"/>
      <c r="W1196" s="38" t="n"/>
      <c r="X1196" s="38" t="n"/>
      <c r="Y1196" s="44" t="str">
        <f>IF($AC1196&gt;0,INDEX(CASHBACK_RULES!$A$5:$A$304,$AC1196),"")</f>
        <v/>
      </c>
      <c r="Z1196" s="45" t="str">
        <f>IF($AC1196&gt;0,INDEX(CASHBACK_RULES!$E$5:$E$304,$AC1196)&amp;"","")</f>
        <v/>
      </c>
      <c r="AA1196" s="48" t="str">
        <f>IF($AC1196&gt;0,IF(ISNUMBER(INDEX(CASHBACK_RULES!$K$5:$K$304,$AC1196)),INDEX(CASHBACK_RULES!$K$5:$K$304,$AC1196),"∞"),"")</f>
        <v/>
      </c>
      <c r="AB1196" s="44" t="str">
        <f>IF(OR($B1196="",$D1196=""),"",IF($U1196="Cancelled","Đã hủy",IF($AC1196=0,"Không được hoàn",IF($Q1196=0,IF(OR($O1196&gt;0,$M1196&lt;$L1196),"Đã đạt cap","Không được hoàn"),IF(OR($Q1196&lt;$O1196,$M1196&lt;$L1196),"Hoàn một phần","Được hoàn")))))</f>
        <v/>
      </c>
      <c r="AC1196" s="43">
        <f>IF(OR($B1196="",$D1196="",$I1196="",$L1196=""),0,IF($U1196="Cancelled",0,IF($W1196&lt;&gt;"",IFERROR(IF(INDEX(CASHBACK_RULES!$B$5:$B$304,MATCH($W1196,CASHBACK_RULES!$A$5:$A$304,0))=$D1196,MATCH($W1196,CASHBACK_RULES!$A$5:$A$304,0),0),0),IFERROR(MATCH(1,INDEX((CASHBACK_RULES!$B$5:$B$304=$D1196)*(CASHBACK_RULES!$G$5:$G$304=$I1196)*(((CASHBACK_RULES!$N$5:$N$304="")+(CASHBACK_RULES!$N$5:$N$304&lt;=$B1196))&gt;0)*(((CASHBACK_RULES!$O$5:$O$304="")+(CASHBACK_RULES!$O$5:$O$304&gt;=$B1196))&gt;0)*(((CASHBACK_RULES!$M$5:$M$304="")+(CASHBACK_RULES!$M$5:$M$304&lt;=$L1196))&gt;0),0),0),0))))</f>
        <v>0</v>
      </c>
      <c r="AD1196" s="51" t="str">
        <f>IF(OR($B1196="",$D1196=""),"",IFERROR(IF(INDEX(CARDS!$H$5:$H$34,MATCH($D1196,CARDS!$A$5:$A$34,0))="","",IF(DAY($B1196)&lt;=INDEX(CARDS!$H$5:$H$34,MATCH($D1196,CARDS!$A$5:$A$34,0)),DATE(YEAR($B1196),MONTH($B1196),MIN(INDEX(CARDS!$H$5:$H$34,MATCH($D1196,CARDS!$A$5:$A$34,0)),DAY(EOMONTH($B1196,0)))),DATE(YEAR($B1196),MONTH($B1196)+1,MIN(INDEX(CARDS!$H$5:$H$34,MATCH($D1196,CARDS!$A$5:$A$34,0)),DAY(EOMONTH($B1196,1)))))),""))</f>
        <v/>
      </c>
      <c r="AE1196" s="52" t="str">
        <f>IF($C1196="","",$C1196&amp;"|"&amp;COUNTIF($C$5:$C1196,$C1196))</f>
        <v/>
      </c>
      <c r="AF1196" s="53">
        <f>IF($AC1196&gt;0,SUMIFS(Q$4:Q1195,$D$4:$D1195,$D1196,$Z$4:$Z1195,$Z1196,$C$4:$C1195,$C1196),0)</f>
        <v>0</v>
      </c>
      <c r="AG1196" s="53">
        <f>IF($AC1196&gt;0,SUMIFS(Q$4:Q1195,$D$4:$D1195,$D1196,$C$4:$C1195,$C1196),0)</f>
        <v>0</v>
      </c>
      <c r="AH1196" s="53">
        <f>IF($AC1196&gt;0,SUMIFS(M$4:M1195,$D$4:$D1195,$D1196,$Z$4:$Z1195,$Z1196,$C$4:$C1195,$C1196),0)</f>
        <v>0</v>
      </c>
      <c r="AI1196" s="43">
        <f>IF(OR($C1196="",$I1196=""),0,IF(COUNTIFS($C$5:$C1196,$C1196,$I$5:$I1196,$I1196)=1,1,0))</f>
        <v>0</v>
      </c>
      <c r="AJ1196" s="43" t="str">
        <f>IF($AI1196=1,SUMIFS($AI$4:$AI1195,$C$4:$C1195,$C1196)+1,"")</f>
        <v/>
      </c>
      <c r="AK1196" s="43">
        <f>IF(OR($C1196="",$K1196=""),0,IF(COUNTIFS($C$5:$C1196,$C1196,$K$5:$K1196,$K1196)=1,1,0))</f>
        <v>0</v>
      </c>
      <c r="AL1196" s="43" t="str">
        <f>IF($AK1196=1,SUMIFS($AK$4:$AK1195,$C$4:$C1195,$C1196)+1,"")</f>
        <v/>
      </c>
      <c r="AM1196" s="43">
        <f>IF(OR($C1196="",$G1196=""),0,IF(COUNTIFS($C$5:$C1196,$C1196,$G$5:$G1196,$G1196)=1,1,0))</f>
        <v>0</v>
      </c>
      <c r="AN1196" s="43" t="str">
        <f>IF($AM1196=1,SUMIFS($AM$4:$AM1195,$C$4:$C1195,$C1196)+1,"")</f>
        <v/>
      </c>
    </row>
    <row r="1197">
      <c r="A1197" s="44" t="str">
        <f>IF(OR($B1197="",$D1197=""),"","TX"&amp;TEXT(ROW()-4,"0000"))</f>
        <v/>
      </c>
      <c r="B1197" s="42" t="n"/>
      <c r="C1197" s="47" t="str">
        <f>IF($B1197="","",YEAR($B1197)*100+MONTH($B1197))</f>
        <v/>
      </c>
      <c r="D1197" s="37" t="n"/>
      <c r="E1197" s="45" t="str">
        <f>IF($D1197="","",IFERROR(INDEX(CARDS!$B$5:$B$34,MATCH($D1197,CARDS!$A$5:$A$34,0)),"⚠ Card ID?"))</f>
        <v/>
      </c>
      <c r="F1197" s="45" t="str">
        <f>IF($D1197="","",IFERROR(INDEX(CARDS!$C$5:$C$34,MATCH($D1197,CARDS!$A$5:$A$34,0)),"⚠ Card ID?"))</f>
        <v/>
      </c>
      <c r="G1197" s="37" t="n"/>
      <c r="H1197" s="37" t="n"/>
      <c r="I1197" s="41" t="n"/>
      <c r="J1197" s="45" t="str">
        <f>IF($I1197="","",IFERROR(INDEX(MCC_MASTER!$B$5:$B$504,MATCH($I1197,MCC_MASTER!$A$5:$A$504,0)),"⚠ MCC chưa có"))</f>
        <v/>
      </c>
      <c r="K1197" s="45" t="str">
        <f>IF($I1197="","",IFERROR(IF(INDEX(MCC_MASTER!$C$5:$C$504,MATCH($I1197,MCC_MASTER!$A$5:$A$504,0))="","Chưa phân loại",INDEX(MCC_MASTER!$C$5:$C$504,MATCH($I1197,MCC_MASTER!$A$5:$A$504,0))),"Chưa phân loại"))</f>
        <v/>
      </c>
      <c r="L1197" s="40" t="n"/>
      <c r="M1197" s="48" t="str">
        <f>IF(OR($B1197="",$D1197=""),"",IF($AC1197=0,0,IF(ISNUMBER(INDEX(CASHBACK_RULES!$L$5:$L$304,$AC1197)),MAX(0,MIN($L1197,INDEX(CASHBACK_RULES!$L$5:$L$304,$AC1197)-$AH1197)),MAX(0,$L1197))))</f>
        <v/>
      </c>
      <c r="N1197" s="49" t="str">
        <f>IF(OR($B1197="",$D1197=""),"",IF($AC1197&gt;0,INDEX(CASHBACK_RULES!$I$5:$I$304,$AC1197),0))</f>
        <v/>
      </c>
      <c r="O1197" s="48" t="str">
        <f>IF(OR($B1197="",$D1197=""),"",ROUND($M1197*$N1197,0))</f>
        <v/>
      </c>
      <c r="P1197" s="48" t="str">
        <f>IF($AC1197&gt;0,IF(ISNUMBER(INDEX(CASHBACK_RULES!$J$5:$J$304,$AC1197)),INDEX(CASHBACK_RULES!$J$5:$J$304,$AC1197),"∞"),"")</f>
        <v/>
      </c>
      <c r="Q1197" s="48" t="str">
        <f>IF(OR($B1197="",$D1197=""),"",IF($AC1197=0,0,MAX(0,MIN($O1197,IF(ISNUMBER($P1197),$P1197-$AF1197,1E+15),IF(ISNUMBER($AA1197),$AA1197-$AG1197,1E+15)))))</f>
        <v/>
      </c>
      <c r="R1197" s="48" t="str">
        <f>IF(OR($B1197="",$D1197=""),"",IF($AC1197=0,"",IF(AND(NOT(ISNUMBER($P1197)),NOT(ISNUMBER($AA1197))),"∞",MAX(0,MIN(IF(ISNUMBER($P1197),$P1197-$AF1197-$Q1197,1E+15),IF(ISNUMBER($AA1197),$AA1197-$AG1197-$Q1197,1E+15))))))</f>
        <v/>
      </c>
      <c r="S1197" s="47" t="str">
        <f>IF($AD1197="","",YEAR($AD1197)*100+MONTH($AD1197))</f>
        <v/>
      </c>
      <c r="T1197" s="50" t="str">
        <f>IF($AD1197="","",IFERROR(IF(INDEX(CARDS!$I$5:$I$34,MATCH($D1197,CARDS!$A$5:$A$34,0))="","",IF(INDEX(CARDS!$I$5:$I$34,MATCH($D1197,CARDS!$A$5:$A$34,0))&gt;INDEX(CARDS!$H$5:$H$34,MATCH($D1197,CARDS!$A$5:$A$34,0)),DATE(YEAR($AD1197),MONTH($AD1197),MIN(INDEX(CARDS!$I$5:$I$34,MATCH($D1197,CARDS!$A$5:$A$34,0)),DAY(EOMONTH($AD1197,0)))),DATE(YEAR($AD1197),MONTH($AD1197)+1,MIN(INDEX(CARDS!$I$5:$I$34,MATCH($D1197,CARDS!$A$5:$A$34,0)),DAY(EOMONTH($AD1197,1)))))),""))</f>
        <v/>
      </c>
      <c r="U1197" s="38" t="n"/>
      <c r="V1197" s="37" t="n"/>
      <c r="W1197" s="38" t="n"/>
      <c r="X1197" s="38" t="n"/>
      <c r="Y1197" s="44" t="str">
        <f>IF($AC1197&gt;0,INDEX(CASHBACK_RULES!$A$5:$A$304,$AC1197),"")</f>
        <v/>
      </c>
      <c r="Z1197" s="45" t="str">
        <f>IF($AC1197&gt;0,INDEX(CASHBACK_RULES!$E$5:$E$304,$AC1197)&amp;"","")</f>
        <v/>
      </c>
      <c r="AA1197" s="48" t="str">
        <f>IF($AC1197&gt;0,IF(ISNUMBER(INDEX(CASHBACK_RULES!$K$5:$K$304,$AC1197)),INDEX(CASHBACK_RULES!$K$5:$K$304,$AC1197),"∞"),"")</f>
        <v/>
      </c>
      <c r="AB1197" s="44" t="str">
        <f>IF(OR($B1197="",$D1197=""),"",IF($U1197="Cancelled","Đã hủy",IF($AC1197=0,"Không được hoàn",IF($Q1197=0,IF(OR($O1197&gt;0,$M1197&lt;$L1197),"Đã đạt cap","Không được hoàn"),IF(OR($Q1197&lt;$O1197,$M1197&lt;$L1197),"Hoàn một phần","Được hoàn")))))</f>
        <v/>
      </c>
      <c r="AC1197" s="43">
        <f>IF(OR($B1197="",$D1197="",$I1197="",$L1197=""),0,IF($U1197="Cancelled",0,IF($W1197&lt;&gt;"",IFERROR(IF(INDEX(CASHBACK_RULES!$B$5:$B$304,MATCH($W1197,CASHBACK_RULES!$A$5:$A$304,0))=$D1197,MATCH($W1197,CASHBACK_RULES!$A$5:$A$304,0),0),0),IFERROR(MATCH(1,INDEX((CASHBACK_RULES!$B$5:$B$304=$D1197)*(CASHBACK_RULES!$G$5:$G$304=$I1197)*(((CASHBACK_RULES!$N$5:$N$304="")+(CASHBACK_RULES!$N$5:$N$304&lt;=$B1197))&gt;0)*(((CASHBACK_RULES!$O$5:$O$304="")+(CASHBACK_RULES!$O$5:$O$304&gt;=$B1197))&gt;0)*(((CASHBACK_RULES!$M$5:$M$304="")+(CASHBACK_RULES!$M$5:$M$304&lt;=$L1197))&gt;0),0),0),0))))</f>
        <v>0</v>
      </c>
      <c r="AD1197" s="51" t="str">
        <f>IF(OR($B1197="",$D1197=""),"",IFERROR(IF(INDEX(CARDS!$H$5:$H$34,MATCH($D1197,CARDS!$A$5:$A$34,0))="","",IF(DAY($B1197)&lt;=INDEX(CARDS!$H$5:$H$34,MATCH($D1197,CARDS!$A$5:$A$34,0)),DATE(YEAR($B1197),MONTH($B1197),MIN(INDEX(CARDS!$H$5:$H$34,MATCH($D1197,CARDS!$A$5:$A$34,0)),DAY(EOMONTH($B1197,0)))),DATE(YEAR($B1197),MONTH($B1197)+1,MIN(INDEX(CARDS!$H$5:$H$34,MATCH($D1197,CARDS!$A$5:$A$34,0)),DAY(EOMONTH($B1197,1)))))),""))</f>
        <v/>
      </c>
      <c r="AE1197" s="52" t="str">
        <f>IF($C1197="","",$C1197&amp;"|"&amp;COUNTIF($C$5:$C1197,$C1197))</f>
        <v/>
      </c>
      <c r="AF1197" s="53">
        <f>IF($AC1197&gt;0,SUMIFS(Q$4:Q1196,$D$4:$D1196,$D1197,$Z$4:$Z1196,$Z1197,$C$4:$C1196,$C1197),0)</f>
        <v>0</v>
      </c>
      <c r="AG1197" s="53">
        <f>IF($AC1197&gt;0,SUMIFS(Q$4:Q1196,$D$4:$D1196,$D1197,$C$4:$C1196,$C1197),0)</f>
        <v>0</v>
      </c>
      <c r="AH1197" s="53">
        <f>IF($AC1197&gt;0,SUMIFS(M$4:M1196,$D$4:$D1196,$D1197,$Z$4:$Z1196,$Z1197,$C$4:$C1196,$C1197),0)</f>
        <v>0</v>
      </c>
      <c r="AI1197" s="43">
        <f>IF(OR($C1197="",$I1197=""),0,IF(COUNTIFS($C$5:$C1197,$C1197,$I$5:$I1197,$I1197)=1,1,0))</f>
        <v>0</v>
      </c>
      <c r="AJ1197" s="43" t="str">
        <f>IF($AI1197=1,SUMIFS($AI$4:$AI1196,$C$4:$C1196,$C1197)+1,"")</f>
        <v/>
      </c>
      <c r="AK1197" s="43">
        <f>IF(OR($C1197="",$K1197=""),0,IF(COUNTIFS($C$5:$C1197,$C1197,$K$5:$K1197,$K1197)=1,1,0))</f>
        <v>0</v>
      </c>
      <c r="AL1197" s="43" t="str">
        <f>IF($AK1197=1,SUMIFS($AK$4:$AK1196,$C$4:$C1196,$C1197)+1,"")</f>
        <v/>
      </c>
      <c r="AM1197" s="43">
        <f>IF(OR($C1197="",$G1197=""),0,IF(COUNTIFS($C$5:$C1197,$C1197,$G$5:$G1197,$G1197)=1,1,0))</f>
        <v>0</v>
      </c>
      <c r="AN1197" s="43" t="str">
        <f>IF($AM1197=1,SUMIFS($AM$4:$AM1196,$C$4:$C1196,$C1197)+1,"")</f>
        <v/>
      </c>
    </row>
    <row r="1198">
      <c r="A1198" s="44" t="str">
        <f>IF(OR($B1198="",$D1198=""),"","TX"&amp;TEXT(ROW()-4,"0000"))</f>
        <v/>
      </c>
      <c r="B1198" s="42" t="n"/>
      <c r="C1198" s="47" t="str">
        <f>IF($B1198="","",YEAR($B1198)*100+MONTH($B1198))</f>
        <v/>
      </c>
      <c r="D1198" s="37" t="n"/>
      <c r="E1198" s="45" t="str">
        <f>IF($D1198="","",IFERROR(INDEX(CARDS!$B$5:$B$34,MATCH($D1198,CARDS!$A$5:$A$34,0)),"⚠ Card ID?"))</f>
        <v/>
      </c>
      <c r="F1198" s="45" t="str">
        <f>IF($D1198="","",IFERROR(INDEX(CARDS!$C$5:$C$34,MATCH($D1198,CARDS!$A$5:$A$34,0)),"⚠ Card ID?"))</f>
        <v/>
      </c>
      <c r="G1198" s="37" t="n"/>
      <c r="H1198" s="37" t="n"/>
      <c r="I1198" s="41" t="n"/>
      <c r="J1198" s="45" t="str">
        <f>IF($I1198="","",IFERROR(INDEX(MCC_MASTER!$B$5:$B$504,MATCH($I1198,MCC_MASTER!$A$5:$A$504,0)),"⚠ MCC chưa có"))</f>
        <v/>
      </c>
      <c r="K1198" s="45" t="str">
        <f>IF($I1198="","",IFERROR(IF(INDEX(MCC_MASTER!$C$5:$C$504,MATCH($I1198,MCC_MASTER!$A$5:$A$504,0))="","Chưa phân loại",INDEX(MCC_MASTER!$C$5:$C$504,MATCH($I1198,MCC_MASTER!$A$5:$A$504,0))),"Chưa phân loại"))</f>
        <v/>
      </c>
      <c r="L1198" s="40" t="n"/>
      <c r="M1198" s="48" t="str">
        <f>IF(OR($B1198="",$D1198=""),"",IF($AC1198=0,0,IF(ISNUMBER(INDEX(CASHBACK_RULES!$L$5:$L$304,$AC1198)),MAX(0,MIN($L1198,INDEX(CASHBACK_RULES!$L$5:$L$304,$AC1198)-$AH1198)),MAX(0,$L1198))))</f>
        <v/>
      </c>
      <c r="N1198" s="49" t="str">
        <f>IF(OR($B1198="",$D1198=""),"",IF($AC1198&gt;0,INDEX(CASHBACK_RULES!$I$5:$I$304,$AC1198),0))</f>
        <v/>
      </c>
      <c r="O1198" s="48" t="str">
        <f>IF(OR($B1198="",$D1198=""),"",ROUND($M1198*$N1198,0))</f>
        <v/>
      </c>
      <c r="P1198" s="48" t="str">
        <f>IF($AC1198&gt;0,IF(ISNUMBER(INDEX(CASHBACK_RULES!$J$5:$J$304,$AC1198)),INDEX(CASHBACK_RULES!$J$5:$J$304,$AC1198),"∞"),"")</f>
        <v/>
      </c>
      <c r="Q1198" s="48" t="str">
        <f>IF(OR($B1198="",$D1198=""),"",IF($AC1198=0,0,MAX(0,MIN($O1198,IF(ISNUMBER($P1198),$P1198-$AF1198,1E+15),IF(ISNUMBER($AA1198),$AA1198-$AG1198,1E+15)))))</f>
        <v/>
      </c>
      <c r="R1198" s="48" t="str">
        <f>IF(OR($B1198="",$D1198=""),"",IF($AC1198=0,"",IF(AND(NOT(ISNUMBER($P1198)),NOT(ISNUMBER($AA1198))),"∞",MAX(0,MIN(IF(ISNUMBER($P1198),$P1198-$AF1198-$Q1198,1E+15),IF(ISNUMBER($AA1198),$AA1198-$AG1198-$Q1198,1E+15))))))</f>
        <v/>
      </c>
      <c r="S1198" s="47" t="str">
        <f>IF($AD1198="","",YEAR($AD1198)*100+MONTH($AD1198))</f>
        <v/>
      </c>
      <c r="T1198" s="50" t="str">
        <f>IF($AD1198="","",IFERROR(IF(INDEX(CARDS!$I$5:$I$34,MATCH($D1198,CARDS!$A$5:$A$34,0))="","",IF(INDEX(CARDS!$I$5:$I$34,MATCH($D1198,CARDS!$A$5:$A$34,0))&gt;INDEX(CARDS!$H$5:$H$34,MATCH($D1198,CARDS!$A$5:$A$34,0)),DATE(YEAR($AD1198),MONTH($AD1198),MIN(INDEX(CARDS!$I$5:$I$34,MATCH($D1198,CARDS!$A$5:$A$34,0)),DAY(EOMONTH($AD1198,0)))),DATE(YEAR($AD1198),MONTH($AD1198)+1,MIN(INDEX(CARDS!$I$5:$I$34,MATCH($D1198,CARDS!$A$5:$A$34,0)),DAY(EOMONTH($AD1198,1)))))),""))</f>
        <v/>
      </c>
      <c r="U1198" s="38" t="n"/>
      <c r="V1198" s="37" t="n"/>
      <c r="W1198" s="38" t="n"/>
      <c r="X1198" s="38" t="n"/>
      <c r="Y1198" s="44" t="str">
        <f>IF($AC1198&gt;0,INDEX(CASHBACK_RULES!$A$5:$A$304,$AC1198),"")</f>
        <v/>
      </c>
      <c r="Z1198" s="45" t="str">
        <f>IF($AC1198&gt;0,INDEX(CASHBACK_RULES!$E$5:$E$304,$AC1198)&amp;"","")</f>
        <v/>
      </c>
      <c r="AA1198" s="48" t="str">
        <f>IF($AC1198&gt;0,IF(ISNUMBER(INDEX(CASHBACK_RULES!$K$5:$K$304,$AC1198)),INDEX(CASHBACK_RULES!$K$5:$K$304,$AC1198),"∞"),"")</f>
        <v/>
      </c>
      <c r="AB1198" s="44" t="str">
        <f>IF(OR($B1198="",$D1198=""),"",IF($U1198="Cancelled","Đã hủy",IF($AC1198=0,"Không được hoàn",IF($Q1198=0,IF(OR($O1198&gt;0,$M1198&lt;$L1198),"Đã đạt cap","Không được hoàn"),IF(OR($Q1198&lt;$O1198,$M1198&lt;$L1198),"Hoàn một phần","Được hoàn")))))</f>
        <v/>
      </c>
      <c r="AC1198" s="43">
        <f>IF(OR($B1198="",$D1198="",$I1198="",$L1198=""),0,IF($U1198="Cancelled",0,IF($W1198&lt;&gt;"",IFERROR(IF(INDEX(CASHBACK_RULES!$B$5:$B$304,MATCH($W1198,CASHBACK_RULES!$A$5:$A$304,0))=$D1198,MATCH($W1198,CASHBACK_RULES!$A$5:$A$304,0),0),0),IFERROR(MATCH(1,INDEX((CASHBACK_RULES!$B$5:$B$304=$D1198)*(CASHBACK_RULES!$G$5:$G$304=$I1198)*(((CASHBACK_RULES!$N$5:$N$304="")+(CASHBACK_RULES!$N$5:$N$304&lt;=$B1198))&gt;0)*(((CASHBACK_RULES!$O$5:$O$304="")+(CASHBACK_RULES!$O$5:$O$304&gt;=$B1198))&gt;0)*(((CASHBACK_RULES!$M$5:$M$304="")+(CASHBACK_RULES!$M$5:$M$304&lt;=$L1198))&gt;0),0),0),0))))</f>
        <v>0</v>
      </c>
      <c r="AD1198" s="51" t="str">
        <f>IF(OR($B1198="",$D1198=""),"",IFERROR(IF(INDEX(CARDS!$H$5:$H$34,MATCH($D1198,CARDS!$A$5:$A$34,0))="","",IF(DAY($B1198)&lt;=INDEX(CARDS!$H$5:$H$34,MATCH($D1198,CARDS!$A$5:$A$34,0)),DATE(YEAR($B1198),MONTH($B1198),MIN(INDEX(CARDS!$H$5:$H$34,MATCH($D1198,CARDS!$A$5:$A$34,0)),DAY(EOMONTH($B1198,0)))),DATE(YEAR($B1198),MONTH($B1198)+1,MIN(INDEX(CARDS!$H$5:$H$34,MATCH($D1198,CARDS!$A$5:$A$34,0)),DAY(EOMONTH($B1198,1)))))),""))</f>
        <v/>
      </c>
      <c r="AE1198" s="52" t="str">
        <f>IF($C1198="","",$C1198&amp;"|"&amp;COUNTIF($C$5:$C1198,$C1198))</f>
        <v/>
      </c>
      <c r="AF1198" s="53">
        <f>IF($AC1198&gt;0,SUMIFS(Q$4:Q1197,$D$4:$D1197,$D1198,$Z$4:$Z1197,$Z1198,$C$4:$C1197,$C1198),0)</f>
        <v>0</v>
      </c>
      <c r="AG1198" s="53">
        <f>IF($AC1198&gt;0,SUMIFS(Q$4:Q1197,$D$4:$D1197,$D1198,$C$4:$C1197,$C1198),0)</f>
        <v>0</v>
      </c>
      <c r="AH1198" s="53">
        <f>IF($AC1198&gt;0,SUMIFS(M$4:M1197,$D$4:$D1197,$D1198,$Z$4:$Z1197,$Z1198,$C$4:$C1197,$C1198),0)</f>
        <v>0</v>
      </c>
      <c r="AI1198" s="43">
        <f>IF(OR($C1198="",$I1198=""),0,IF(COUNTIFS($C$5:$C1198,$C1198,$I$5:$I1198,$I1198)=1,1,0))</f>
        <v>0</v>
      </c>
      <c r="AJ1198" s="43" t="str">
        <f>IF($AI1198=1,SUMIFS($AI$4:$AI1197,$C$4:$C1197,$C1198)+1,"")</f>
        <v/>
      </c>
      <c r="AK1198" s="43">
        <f>IF(OR($C1198="",$K1198=""),0,IF(COUNTIFS($C$5:$C1198,$C1198,$K$5:$K1198,$K1198)=1,1,0))</f>
        <v>0</v>
      </c>
      <c r="AL1198" s="43" t="str">
        <f>IF($AK1198=1,SUMIFS($AK$4:$AK1197,$C$4:$C1197,$C1198)+1,"")</f>
        <v/>
      </c>
      <c r="AM1198" s="43">
        <f>IF(OR($C1198="",$G1198=""),0,IF(COUNTIFS($C$5:$C1198,$C1198,$G$5:$G1198,$G1198)=1,1,0))</f>
        <v>0</v>
      </c>
      <c r="AN1198" s="43" t="str">
        <f>IF($AM1198=1,SUMIFS($AM$4:$AM1197,$C$4:$C1197,$C1198)+1,"")</f>
        <v/>
      </c>
    </row>
    <row r="1199">
      <c r="A1199" s="44" t="str">
        <f>IF(OR($B1199="",$D1199=""),"","TX"&amp;TEXT(ROW()-4,"0000"))</f>
        <v/>
      </c>
      <c r="B1199" s="42" t="n"/>
      <c r="C1199" s="47" t="str">
        <f>IF($B1199="","",YEAR($B1199)*100+MONTH($B1199))</f>
        <v/>
      </c>
      <c r="D1199" s="37" t="n"/>
      <c r="E1199" s="45" t="str">
        <f>IF($D1199="","",IFERROR(INDEX(CARDS!$B$5:$B$34,MATCH($D1199,CARDS!$A$5:$A$34,0)),"⚠ Card ID?"))</f>
        <v/>
      </c>
      <c r="F1199" s="45" t="str">
        <f>IF($D1199="","",IFERROR(INDEX(CARDS!$C$5:$C$34,MATCH($D1199,CARDS!$A$5:$A$34,0)),"⚠ Card ID?"))</f>
        <v/>
      </c>
      <c r="G1199" s="37" t="n"/>
      <c r="H1199" s="37" t="n"/>
      <c r="I1199" s="41" t="n"/>
      <c r="J1199" s="45" t="str">
        <f>IF($I1199="","",IFERROR(INDEX(MCC_MASTER!$B$5:$B$504,MATCH($I1199,MCC_MASTER!$A$5:$A$504,0)),"⚠ MCC chưa có"))</f>
        <v/>
      </c>
      <c r="K1199" s="45" t="str">
        <f>IF($I1199="","",IFERROR(IF(INDEX(MCC_MASTER!$C$5:$C$504,MATCH($I1199,MCC_MASTER!$A$5:$A$504,0))="","Chưa phân loại",INDEX(MCC_MASTER!$C$5:$C$504,MATCH($I1199,MCC_MASTER!$A$5:$A$504,0))),"Chưa phân loại"))</f>
        <v/>
      </c>
      <c r="L1199" s="40" t="n"/>
      <c r="M1199" s="48" t="str">
        <f>IF(OR($B1199="",$D1199=""),"",IF($AC1199=0,0,IF(ISNUMBER(INDEX(CASHBACK_RULES!$L$5:$L$304,$AC1199)),MAX(0,MIN($L1199,INDEX(CASHBACK_RULES!$L$5:$L$304,$AC1199)-$AH1199)),MAX(0,$L1199))))</f>
        <v/>
      </c>
      <c r="N1199" s="49" t="str">
        <f>IF(OR($B1199="",$D1199=""),"",IF($AC1199&gt;0,INDEX(CASHBACK_RULES!$I$5:$I$304,$AC1199),0))</f>
        <v/>
      </c>
      <c r="O1199" s="48" t="str">
        <f>IF(OR($B1199="",$D1199=""),"",ROUND($M1199*$N1199,0))</f>
        <v/>
      </c>
      <c r="P1199" s="48" t="str">
        <f>IF($AC1199&gt;0,IF(ISNUMBER(INDEX(CASHBACK_RULES!$J$5:$J$304,$AC1199)),INDEX(CASHBACK_RULES!$J$5:$J$304,$AC1199),"∞"),"")</f>
        <v/>
      </c>
      <c r="Q1199" s="48" t="str">
        <f>IF(OR($B1199="",$D1199=""),"",IF($AC1199=0,0,MAX(0,MIN($O1199,IF(ISNUMBER($P1199),$P1199-$AF1199,1E+15),IF(ISNUMBER($AA1199),$AA1199-$AG1199,1E+15)))))</f>
        <v/>
      </c>
      <c r="R1199" s="48" t="str">
        <f>IF(OR($B1199="",$D1199=""),"",IF($AC1199=0,"",IF(AND(NOT(ISNUMBER($P1199)),NOT(ISNUMBER($AA1199))),"∞",MAX(0,MIN(IF(ISNUMBER($P1199),$P1199-$AF1199-$Q1199,1E+15),IF(ISNUMBER($AA1199),$AA1199-$AG1199-$Q1199,1E+15))))))</f>
        <v/>
      </c>
      <c r="S1199" s="47" t="str">
        <f>IF($AD1199="","",YEAR($AD1199)*100+MONTH($AD1199))</f>
        <v/>
      </c>
      <c r="T1199" s="50" t="str">
        <f>IF($AD1199="","",IFERROR(IF(INDEX(CARDS!$I$5:$I$34,MATCH($D1199,CARDS!$A$5:$A$34,0))="","",IF(INDEX(CARDS!$I$5:$I$34,MATCH($D1199,CARDS!$A$5:$A$34,0))&gt;INDEX(CARDS!$H$5:$H$34,MATCH($D1199,CARDS!$A$5:$A$34,0)),DATE(YEAR($AD1199),MONTH($AD1199),MIN(INDEX(CARDS!$I$5:$I$34,MATCH($D1199,CARDS!$A$5:$A$34,0)),DAY(EOMONTH($AD1199,0)))),DATE(YEAR($AD1199),MONTH($AD1199)+1,MIN(INDEX(CARDS!$I$5:$I$34,MATCH($D1199,CARDS!$A$5:$A$34,0)),DAY(EOMONTH($AD1199,1)))))),""))</f>
        <v/>
      </c>
      <c r="U1199" s="38" t="n"/>
      <c r="V1199" s="37" t="n"/>
      <c r="W1199" s="38" t="n"/>
      <c r="X1199" s="38" t="n"/>
      <c r="Y1199" s="44" t="str">
        <f>IF($AC1199&gt;0,INDEX(CASHBACK_RULES!$A$5:$A$304,$AC1199),"")</f>
        <v/>
      </c>
      <c r="Z1199" s="45" t="str">
        <f>IF($AC1199&gt;0,INDEX(CASHBACK_RULES!$E$5:$E$304,$AC1199)&amp;"","")</f>
        <v/>
      </c>
      <c r="AA1199" s="48" t="str">
        <f>IF($AC1199&gt;0,IF(ISNUMBER(INDEX(CASHBACK_RULES!$K$5:$K$304,$AC1199)),INDEX(CASHBACK_RULES!$K$5:$K$304,$AC1199),"∞"),"")</f>
        <v/>
      </c>
      <c r="AB1199" s="44" t="str">
        <f>IF(OR($B1199="",$D1199=""),"",IF($U1199="Cancelled","Đã hủy",IF($AC1199=0,"Không được hoàn",IF($Q1199=0,IF(OR($O1199&gt;0,$M1199&lt;$L1199),"Đã đạt cap","Không được hoàn"),IF(OR($Q1199&lt;$O1199,$M1199&lt;$L1199),"Hoàn một phần","Được hoàn")))))</f>
        <v/>
      </c>
      <c r="AC1199" s="43">
        <f>IF(OR($B1199="",$D1199="",$I1199="",$L1199=""),0,IF($U1199="Cancelled",0,IF($W1199&lt;&gt;"",IFERROR(IF(INDEX(CASHBACK_RULES!$B$5:$B$304,MATCH($W1199,CASHBACK_RULES!$A$5:$A$304,0))=$D1199,MATCH($W1199,CASHBACK_RULES!$A$5:$A$304,0),0),0),IFERROR(MATCH(1,INDEX((CASHBACK_RULES!$B$5:$B$304=$D1199)*(CASHBACK_RULES!$G$5:$G$304=$I1199)*(((CASHBACK_RULES!$N$5:$N$304="")+(CASHBACK_RULES!$N$5:$N$304&lt;=$B1199))&gt;0)*(((CASHBACK_RULES!$O$5:$O$304="")+(CASHBACK_RULES!$O$5:$O$304&gt;=$B1199))&gt;0)*(((CASHBACK_RULES!$M$5:$M$304="")+(CASHBACK_RULES!$M$5:$M$304&lt;=$L1199))&gt;0),0),0),0))))</f>
        <v>0</v>
      </c>
      <c r="AD1199" s="51" t="str">
        <f>IF(OR($B1199="",$D1199=""),"",IFERROR(IF(INDEX(CARDS!$H$5:$H$34,MATCH($D1199,CARDS!$A$5:$A$34,0))="","",IF(DAY($B1199)&lt;=INDEX(CARDS!$H$5:$H$34,MATCH($D1199,CARDS!$A$5:$A$34,0)),DATE(YEAR($B1199),MONTH($B1199),MIN(INDEX(CARDS!$H$5:$H$34,MATCH($D1199,CARDS!$A$5:$A$34,0)),DAY(EOMONTH($B1199,0)))),DATE(YEAR($B1199),MONTH($B1199)+1,MIN(INDEX(CARDS!$H$5:$H$34,MATCH($D1199,CARDS!$A$5:$A$34,0)),DAY(EOMONTH($B1199,1)))))),""))</f>
        <v/>
      </c>
      <c r="AE1199" s="52" t="str">
        <f>IF($C1199="","",$C1199&amp;"|"&amp;COUNTIF($C$5:$C1199,$C1199))</f>
        <v/>
      </c>
      <c r="AF1199" s="53">
        <f>IF($AC1199&gt;0,SUMIFS(Q$4:Q1198,$D$4:$D1198,$D1199,$Z$4:$Z1198,$Z1199,$C$4:$C1198,$C1199),0)</f>
        <v>0</v>
      </c>
      <c r="AG1199" s="53">
        <f>IF($AC1199&gt;0,SUMIFS(Q$4:Q1198,$D$4:$D1198,$D1199,$C$4:$C1198,$C1199),0)</f>
        <v>0</v>
      </c>
      <c r="AH1199" s="53">
        <f>IF($AC1199&gt;0,SUMIFS(M$4:M1198,$D$4:$D1198,$D1199,$Z$4:$Z1198,$Z1199,$C$4:$C1198,$C1199),0)</f>
        <v>0</v>
      </c>
      <c r="AI1199" s="43">
        <f>IF(OR($C1199="",$I1199=""),0,IF(COUNTIFS($C$5:$C1199,$C1199,$I$5:$I1199,$I1199)=1,1,0))</f>
        <v>0</v>
      </c>
      <c r="AJ1199" s="43" t="str">
        <f>IF($AI1199=1,SUMIFS($AI$4:$AI1198,$C$4:$C1198,$C1199)+1,"")</f>
        <v/>
      </c>
      <c r="AK1199" s="43">
        <f>IF(OR($C1199="",$K1199=""),0,IF(COUNTIFS($C$5:$C1199,$C1199,$K$5:$K1199,$K1199)=1,1,0))</f>
        <v>0</v>
      </c>
      <c r="AL1199" s="43" t="str">
        <f>IF($AK1199=1,SUMIFS($AK$4:$AK1198,$C$4:$C1198,$C1199)+1,"")</f>
        <v/>
      </c>
      <c r="AM1199" s="43">
        <f>IF(OR($C1199="",$G1199=""),0,IF(COUNTIFS($C$5:$C1199,$C1199,$G$5:$G1199,$G1199)=1,1,0))</f>
        <v>0</v>
      </c>
      <c r="AN1199" s="43" t="str">
        <f>IF($AM1199=1,SUMIFS($AM$4:$AM1198,$C$4:$C1198,$C1199)+1,"")</f>
        <v/>
      </c>
    </row>
    <row r="1200">
      <c r="A1200" s="44" t="str">
        <f>IF(OR($B1200="",$D1200=""),"","TX"&amp;TEXT(ROW()-4,"0000"))</f>
        <v/>
      </c>
      <c r="B1200" s="42" t="n"/>
      <c r="C1200" s="47" t="str">
        <f>IF($B1200="","",YEAR($B1200)*100+MONTH($B1200))</f>
        <v/>
      </c>
      <c r="D1200" s="37" t="n"/>
      <c r="E1200" s="45" t="str">
        <f>IF($D1200="","",IFERROR(INDEX(CARDS!$B$5:$B$34,MATCH($D1200,CARDS!$A$5:$A$34,0)),"⚠ Card ID?"))</f>
        <v/>
      </c>
      <c r="F1200" s="45" t="str">
        <f>IF($D1200="","",IFERROR(INDEX(CARDS!$C$5:$C$34,MATCH($D1200,CARDS!$A$5:$A$34,0)),"⚠ Card ID?"))</f>
        <v/>
      </c>
      <c r="G1200" s="37" t="n"/>
      <c r="H1200" s="37" t="n"/>
      <c r="I1200" s="41" t="n"/>
      <c r="J1200" s="45" t="str">
        <f>IF($I1200="","",IFERROR(INDEX(MCC_MASTER!$B$5:$B$504,MATCH($I1200,MCC_MASTER!$A$5:$A$504,0)),"⚠ MCC chưa có"))</f>
        <v/>
      </c>
      <c r="K1200" s="45" t="str">
        <f>IF($I1200="","",IFERROR(IF(INDEX(MCC_MASTER!$C$5:$C$504,MATCH($I1200,MCC_MASTER!$A$5:$A$504,0))="","Chưa phân loại",INDEX(MCC_MASTER!$C$5:$C$504,MATCH($I1200,MCC_MASTER!$A$5:$A$504,0))),"Chưa phân loại"))</f>
        <v/>
      </c>
      <c r="L1200" s="40" t="n"/>
      <c r="M1200" s="48" t="str">
        <f>IF(OR($B1200="",$D1200=""),"",IF($AC1200=0,0,IF(ISNUMBER(INDEX(CASHBACK_RULES!$L$5:$L$304,$AC1200)),MAX(0,MIN($L1200,INDEX(CASHBACK_RULES!$L$5:$L$304,$AC1200)-$AH1200)),MAX(0,$L1200))))</f>
        <v/>
      </c>
      <c r="N1200" s="49" t="str">
        <f>IF(OR($B1200="",$D1200=""),"",IF($AC1200&gt;0,INDEX(CASHBACK_RULES!$I$5:$I$304,$AC1200),0))</f>
        <v/>
      </c>
      <c r="O1200" s="48" t="str">
        <f>IF(OR($B1200="",$D1200=""),"",ROUND($M1200*$N1200,0))</f>
        <v/>
      </c>
      <c r="P1200" s="48" t="str">
        <f>IF($AC1200&gt;0,IF(ISNUMBER(INDEX(CASHBACK_RULES!$J$5:$J$304,$AC1200)),INDEX(CASHBACK_RULES!$J$5:$J$304,$AC1200),"∞"),"")</f>
        <v/>
      </c>
      <c r="Q1200" s="48" t="str">
        <f>IF(OR($B1200="",$D1200=""),"",IF($AC1200=0,0,MAX(0,MIN($O1200,IF(ISNUMBER($P1200),$P1200-$AF1200,1E+15),IF(ISNUMBER($AA1200),$AA1200-$AG1200,1E+15)))))</f>
        <v/>
      </c>
      <c r="R1200" s="48" t="str">
        <f>IF(OR($B1200="",$D1200=""),"",IF($AC1200=0,"",IF(AND(NOT(ISNUMBER($P1200)),NOT(ISNUMBER($AA1200))),"∞",MAX(0,MIN(IF(ISNUMBER($P1200),$P1200-$AF1200-$Q1200,1E+15),IF(ISNUMBER($AA1200),$AA1200-$AG1200-$Q1200,1E+15))))))</f>
        <v/>
      </c>
      <c r="S1200" s="47" t="str">
        <f>IF($AD1200="","",YEAR($AD1200)*100+MONTH($AD1200))</f>
        <v/>
      </c>
      <c r="T1200" s="50" t="str">
        <f>IF($AD1200="","",IFERROR(IF(INDEX(CARDS!$I$5:$I$34,MATCH($D1200,CARDS!$A$5:$A$34,0))="","",IF(INDEX(CARDS!$I$5:$I$34,MATCH($D1200,CARDS!$A$5:$A$34,0))&gt;INDEX(CARDS!$H$5:$H$34,MATCH($D1200,CARDS!$A$5:$A$34,0)),DATE(YEAR($AD1200),MONTH($AD1200),MIN(INDEX(CARDS!$I$5:$I$34,MATCH($D1200,CARDS!$A$5:$A$34,0)),DAY(EOMONTH($AD1200,0)))),DATE(YEAR($AD1200),MONTH($AD1200)+1,MIN(INDEX(CARDS!$I$5:$I$34,MATCH($D1200,CARDS!$A$5:$A$34,0)),DAY(EOMONTH($AD1200,1)))))),""))</f>
        <v/>
      </c>
      <c r="U1200" s="38" t="n"/>
      <c r="V1200" s="37" t="n"/>
      <c r="W1200" s="38" t="n"/>
      <c r="X1200" s="38" t="n"/>
      <c r="Y1200" s="44" t="str">
        <f>IF($AC1200&gt;0,INDEX(CASHBACK_RULES!$A$5:$A$304,$AC1200),"")</f>
        <v/>
      </c>
      <c r="Z1200" s="45" t="str">
        <f>IF($AC1200&gt;0,INDEX(CASHBACK_RULES!$E$5:$E$304,$AC1200)&amp;"","")</f>
        <v/>
      </c>
      <c r="AA1200" s="48" t="str">
        <f>IF($AC1200&gt;0,IF(ISNUMBER(INDEX(CASHBACK_RULES!$K$5:$K$304,$AC1200)),INDEX(CASHBACK_RULES!$K$5:$K$304,$AC1200),"∞"),"")</f>
        <v/>
      </c>
      <c r="AB1200" s="44" t="str">
        <f>IF(OR($B1200="",$D1200=""),"",IF($U1200="Cancelled","Đã hủy",IF($AC1200=0,"Không được hoàn",IF($Q1200=0,IF(OR($O1200&gt;0,$M1200&lt;$L1200),"Đã đạt cap","Không được hoàn"),IF(OR($Q1200&lt;$O1200,$M1200&lt;$L1200),"Hoàn một phần","Được hoàn")))))</f>
        <v/>
      </c>
      <c r="AC1200" s="43">
        <f>IF(OR($B1200="",$D1200="",$I1200="",$L1200=""),0,IF($U1200="Cancelled",0,IF($W1200&lt;&gt;"",IFERROR(IF(INDEX(CASHBACK_RULES!$B$5:$B$304,MATCH($W1200,CASHBACK_RULES!$A$5:$A$304,0))=$D1200,MATCH($W1200,CASHBACK_RULES!$A$5:$A$304,0),0),0),IFERROR(MATCH(1,INDEX((CASHBACK_RULES!$B$5:$B$304=$D1200)*(CASHBACK_RULES!$G$5:$G$304=$I1200)*(((CASHBACK_RULES!$N$5:$N$304="")+(CASHBACK_RULES!$N$5:$N$304&lt;=$B1200))&gt;0)*(((CASHBACK_RULES!$O$5:$O$304="")+(CASHBACK_RULES!$O$5:$O$304&gt;=$B1200))&gt;0)*(((CASHBACK_RULES!$M$5:$M$304="")+(CASHBACK_RULES!$M$5:$M$304&lt;=$L1200))&gt;0),0),0),0))))</f>
        <v>0</v>
      </c>
      <c r="AD1200" s="51" t="str">
        <f>IF(OR($B1200="",$D1200=""),"",IFERROR(IF(INDEX(CARDS!$H$5:$H$34,MATCH($D1200,CARDS!$A$5:$A$34,0))="","",IF(DAY($B1200)&lt;=INDEX(CARDS!$H$5:$H$34,MATCH($D1200,CARDS!$A$5:$A$34,0)),DATE(YEAR($B1200),MONTH($B1200),MIN(INDEX(CARDS!$H$5:$H$34,MATCH($D1200,CARDS!$A$5:$A$34,0)),DAY(EOMONTH($B1200,0)))),DATE(YEAR($B1200),MONTH($B1200)+1,MIN(INDEX(CARDS!$H$5:$H$34,MATCH($D1200,CARDS!$A$5:$A$34,0)),DAY(EOMONTH($B1200,1)))))),""))</f>
        <v/>
      </c>
      <c r="AE1200" s="52" t="str">
        <f>IF($C1200="","",$C1200&amp;"|"&amp;COUNTIF($C$5:$C1200,$C1200))</f>
        <v/>
      </c>
      <c r="AF1200" s="53">
        <f>IF($AC1200&gt;0,SUMIFS(Q$4:Q1199,$D$4:$D1199,$D1200,$Z$4:$Z1199,$Z1200,$C$4:$C1199,$C1200),0)</f>
        <v>0</v>
      </c>
      <c r="AG1200" s="53">
        <f>IF($AC1200&gt;0,SUMIFS(Q$4:Q1199,$D$4:$D1199,$D1200,$C$4:$C1199,$C1200),0)</f>
        <v>0</v>
      </c>
      <c r="AH1200" s="53">
        <f>IF($AC1200&gt;0,SUMIFS(M$4:M1199,$D$4:$D1199,$D1200,$Z$4:$Z1199,$Z1200,$C$4:$C1199,$C1200),0)</f>
        <v>0</v>
      </c>
      <c r="AI1200" s="43">
        <f>IF(OR($C1200="",$I1200=""),0,IF(COUNTIFS($C$5:$C1200,$C1200,$I$5:$I1200,$I1200)=1,1,0))</f>
        <v>0</v>
      </c>
      <c r="AJ1200" s="43" t="str">
        <f>IF($AI1200=1,SUMIFS($AI$4:$AI1199,$C$4:$C1199,$C1200)+1,"")</f>
        <v/>
      </c>
      <c r="AK1200" s="43">
        <f>IF(OR($C1200="",$K1200=""),0,IF(COUNTIFS($C$5:$C1200,$C1200,$K$5:$K1200,$K1200)=1,1,0))</f>
        <v>0</v>
      </c>
      <c r="AL1200" s="43" t="str">
        <f>IF($AK1200=1,SUMIFS($AK$4:$AK1199,$C$4:$C1199,$C1200)+1,"")</f>
        <v/>
      </c>
      <c r="AM1200" s="43">
        <f>IF(OR($C1200="",$G1200=""),0,IF(COUNTIFS($C$5:$C1200,$C1200,$G$5:$G1200,$G1200)=1,1,0))</f>
        <v>0</v>
      </c>
      <c r="AN1200" s="43" t="str">
        <f>IF($AM1200=1,SUMIFS($AM$4:$AM1199,$C$4:$C1199,$C1200)+1,"")</f>
        <v/>
      </c>
    </row>
    <row r="1201">
      <c r="A1201" s="44" t="str">
        <f>IF(OR($B1201="",$D1201=""),"","TX"&amp;TEXT(ROW()-4,"0000"))</f>
        <v/>
      </c>
      <c r="B1201" s="42" t="n"/>
      <c r="C1201" s="47" t="str">
        <f>IF($B1201="","",YEAR($B1201)*100+MONTH($B1201))</f>
        <v/>
      </c>
      <c r="D1201" s="37" t="n"/>
      <c r="E1201" s="45" t="str">
        <f>IF($D1201="","",IFERROR(INDEX(CARDS!$B$5:$B$34,MATCH($D1201,CARDS!$A$5:$A$34,0)),"⚠ Card ID?"))</f>
        <v/>
      </c>
      <c r="F1201" s="45" t="str">
        <f>IF($D1201="","",IFERROR(INDEX(CARDS!$C$5:$C$34,MATCH($D1201,CARDS!$A$5:$A$34,0)),"⚠ Card ID?"))</f>
        <v/>
      </c>
      <c r="G1201" s="37" t="n"/>
      <c r="H1201" s="37" t="n"/>
      <c r="I1201" s="41" t="n"/>
      <c r="J1201" s="45" t="str">
        <f>IF($I1201="","",IFERROR(INDEX(MCC_MASTER!$B$5:$B$504,MATCH($I1201,MCC_MASTER!$A$5:$A$504,0)),"⚠ MCC chưa có"))</f>
        <v/>
      </c>
      <c r="K1201" s="45" t="str">
        <f>IF($I1201="","",IFERROR(IF(INDEX(MCC_MASTER!$C$5:$C$504,MATCH($I1201,MCC_MASTER!$A$5:$A$504,0))="","Chưa phân loại",INDEX(MCC_MASTER!$C$5:$C$504,MATCH($I1201,MCC_MASTER!$A$5:$A$504,0))),"Chưa phân loại"))</f>
        <v/>
      </c>
      <c r="L1201" s="40" t="n"/>
      <c r="M1201" s="48" t="str">
        <f>IF(OR($B1201="",$D1201=""),"",IF($AC1201=0,0,IF(ISNUMBER(INDEX(CASHBACK_RULES!$L$5:$L$304,$AC1201)),MAX(0,MIN($L1201,INDEX(CASHBACK_RULES!$L$5:$L$304,$AC1201)-$AH1201)),MAX(0,$L1201))))</f>
        <v/>
      </c>
      <c r="N1201" s="49" t="str">
        <f>IF(OR($B1201="",$D1201=""),"",IF($AC1201&gt;0,INDEX(CASHBACK_RULES!$I$5:$I$304,$AC1201),0))</f>
        <v/>
      </c>
      <c r="O1201" s="48" t="str">
        <f>IF(OR($B1201="",$D1201=""),"",ROUND($M1201*$N1201,0))</f>
        <v/>
      </c>
      <c r="P1201" s="48" t="str">
        <f>IF($AC1201&gt;0,IF(ISNUMBER(INDEX(CASHBACK_RULES!$J$5:$J$304,$AC1201)),INDEX(CASHBACK_RULES!$J$5:$J$304,$AC1201),"∞"),"")</f>
        <v/>
      </c>
      <c r="Q1201" s="48" t="str">
        <f>IF(OR($B1201="",$D1201=""),"",IF($AC1201=0,0,MAX(0,MIN($O1201,IF(ISNUMBER($P1201),$P1201-$AF1201,1E+15),IF(ISNUMBER($AA1201),$AA1201-$AG1201,1E+15)))))</f>
        <v/>
      </c>
      <c r="R1201" s="48" t="str">
        <f>IF(OR($B1201="",$D1201=""),"",IF($AC1201=0,"",IF(AND(NOT(ISNUMBER($P1201)),NOT(ISNUMBER($AA1201))),"∞",MAX(0,MIN(IF(ISNUMBER($P1201),$P1201-$AF1201-$Q1201,1E+15),IF(ISNUMBER($AA1201),$AA1201-$AG1201-$Q1201,1E+15))))))</f>
        <v/>
      </c>
      <c r="S1201" s="47" t="str">
        <f>IF($AD1201="","",YEAR($AD1201)*100+MONTH($AD1201))</f>
        <v/>
      </c>
      <c r="T1201" s="50" t="str">
        <f>IF($AD1201="","",IFERROR(IF(INDEX(CARDS!$I$5:$I$34,MATCH($D1201,CARDS!$A$5:$A$34,0))="","",IF(INDEX(CARDS!$I$5:$I$34,MATCH($D1201,CARDS!$A$5:$A$34,0))&gt;INDEX(CARDS!$H$5:$H$34,MATCH($D1201,CARDS!$A$5:$A$34,0)),DATE(YEAR($AD1201),MONTH($AD1201),MIN(INDEX(CARDS!$I$5:$I$34,MATCH($D1201,CARDS!$A$5:$A$34,0)),DAY(EOMONTH($AD1201,0)))),DATE(YEAR($AD1201),MONTH($AD1201)+1,MIN(INDEX(CARDS!$I$5:$I$34,MATCH($D1201,CARDS!$A$5:$A$34,0)),DAY(EOMONTH($AD1201,1)))))),""))</f>
        <v/>
      </c>
      <c r="U1201" s="38" t="n"/>
      <c r="V1201" s="37" t="n"/>
      <c r="W1201" s="38" t="n"/>
      <c r="X1201" s="38" t="n"/>
      <c r="Y1201" s="44" t="str">
        <f>IF($AC1201&gt;0,INDEX(CASHBACK_RULES!$A$5:$A$304,$AC1201),"")</f>
        <v/>
      </c>
      <c r="Z1201" s="45" t="str">
        <f>IF($AC1201&gt;0,INDEX(CASHBACK_RULES!$E$5:$E$304,$AC1201)&amp;"","")</f>
        <v/>
      </c>
      <c r="AA1201" s="48" t="str">
        <f>IF($AC1201&gt;0,IF(ISNUMBER(INDEX(CASHBACK_RULES!$K$5:$K$304,$AC1201)),INDEX(CASHBACK_RULES!$K$5:$K$304,$AC1201),"∞"),"")</f>
        <v/>
      </c>
      <c r="AB1201" s="44" t="str">
        <f>IF(OR($B1201="",$D1201=""),"",IF($U1201="Cancelled","Đã hủy",IF($AC1201=0,"Không được hoàn",IF($Q1201=0,IF(OR($O1201&gt;0,$M1201&lt;$L1201),"Đã đạt cap","Không được hoàn"),IF(OR($Q1201&lt;$O1201,$M1201&lt;$L1201),"Hoàn một phần","Được hoàn")))))</f>
        <v/>
      </c>
      <c r="AC1201" s="43">
        <f>IF(OR($B1201="",$D1201="",$I1201="",$L1201=""),0,IF($U1201="Cancelled",0,IF($W1201&lt;&gt;"",IFERROR(IF(INDEX(CASHBACK_RULES!$B$5:$B$304,MATCH($W1201,CASHBACK_RULES!$A$5:$A$304,0))=$D1201,MATCH($W1201,CASHBACK_RULES!$A$5:$A$304,0),0),0),IFERROR(MATCH(1,INDEX((CASHBACK_RULES!$B$5:$B$304=$D1201)*(CASHBACK_RULES!$G$5:$G$304=$I1201)*(((CASHBACK_RULES!$N$5:$N$304="")+(CASHBACK_RULES!$N$5:$N$304&lt;=$B1201))&gt;0)*(((CASHBACK_RULES!$O$5:$O$304="")+(CASHBACK_RULES!$O$5:$O$304&gt;=$B1201))&gt;0)*(((CASHBACK_RULES!$M$5:$M$304="")+(CASHBACK_RULES!$M$5:$M$304&lt;=$L1201))&gt;0),0),0),0))))</f>
        <v>0</v>
      </c>
      <c r="AD1201" s="51" t="str">
        <f>IF(OR($B1201="",$D1201=""),"",IFERROR(IF(INDEX(CARDS!$H$5:$H$34,MATCH($D1201,CARDS!$A$5:$A$34,0))="","",IF(DAY($B1201)&lt;=INDEX(CARDS!$H$5:$H$34,MATCH($D1201,CARDS!$A$5:$A$34,0)),DATE(YEAR($B1201),MONTH($B1201),MIN(INDEX(CARDS!$H$5:$H$34,MATCH($D1201,CARDS!$A$5:$A$34,0)),DAY(EOMONTH($B1201,0)))),DATE(YEAR($B1201),MONTH($B1201)+1,MIN(INDEX(CARDS!$H$5:$H$34,MATCH($D1201,CARDS!$A$5:$A$34,0)),DAY(EOMONTH($B1201,1)))))),""))</f>
        <v/>
      </c>
      <c r="AE1201" s="52" t="str">
        <f>IF($C1201="","",$C1201&amp;"|"&amp;COUNTIF($C$5:$C1201,$C1201))</f>
        <v/>
      </c>
      <c r="AF1201" s="53">
        <f>IF($AC1201&gt;0,SUMIFS(Q$4:Q1200,$D$4:$D1200,$D1201,$Z$4:$Z1200,$Z1201,$C$4:$C1200,$C1201),0)</f>
        <v>0</v>
      </c>
      <c r="AG1201" s="53">
        <f>IF($AC1201&gt;0,SUMIFS(Q$4:Q1200,$D$4:$D1200,$D1201,$C$4:$C1200,$C1201),0)</f>
        <v>0</v>
      </c>
      <c r="AH1201" s="53">
        <f>IF($AC1201&gt;0,SUMIFS(M$4:M1200,$D$4:$D1200,$D1201,$Z$4:$Z1200,$Z1201,$C$4:$C1200,$C1201),0)</f>
        <v>0</v>
      </c>
      <c r="AI1201" s="43">
        <f>IF(OR($C1201="",$I1201=""),0,IF(COUNTIFS($C$5:$C1201,$C1201,$I$5:$I1201,$I1201)=1,1,0))</f>
        <v>0</v>
      </c>
      <c r="AJ1201" s="43" t="str">
        <f>IF($AI1201=1,SUMIFS($AI$4:$AI1200,$C$4:$C1200,$C1201)+1,"")</f>
        <v/>
      </c>
      <c r="AK1201" s="43">
        <f>IF(OR($C1201="",$K1201=""),0,IF(COUNTIFS($C$5:$C1201,$C1201,$K$5:$K1201,$K1201)=1,1,0))</f>
        <v>0</v>
      </c>
      <c r="AL1201" s="43" t="str">
        <f>IF($AK1201=1,SUMIFS($AK$4:$AK1200,$C$4:$C1200,$C1201)+1,"")</f>
        <v/>
      </c>
      <c r="AM1201" s="43">
        <f>IF(OR($C1201="",$G1201=""),0,IF(COUNTIFS($C$5:$C1201,$C1201,$G$5:$G1201,$G1201)=1,1,0))</f>
        <v>0</v>
      </c>
      <c r="AN1201" s="43" t="str">
        <f>IF($AM1201=1,SUMIFS($AM$4:$AM1200,$C$4:$C1200,$C1201)+1,"")</f>
        <v/>
      </c>
    </row>
    <row r="1202">
      <c r="A1202" s="44" t="str">
        <f>IF(OR($B1202="",$D1202=""),"","TX"&amp;TEXT(ROW()-4,"0000"))</f>
        <v/>
      </c>
      <c r="B1202" s="42" t="n"/>
      <c r="C1202" s="47" t="str">
        <f>IF($B1202="","",YEAR($B1202)*100+MONTH($B1202))</f>
        <v/>
      </c>
      <c r="D1202" s="37" t="n"/>
      <c r="E1202" s="45" t="str">
        <f>IF($D1202="","",IFERROR(INDEX(CARDS!$B$5:$B$34,MATCH($D1202,CARDS!$A$5:$A$34,0)),"⚠ Card ID?"))</f>
        <v/>
      </c>
      <c r="F1202" s="45" t="str">
        <f>IF($D1202="","",IFERROR(INDEX(CARDS!$C$5:$C$34,MATCH($D1202,CARDS!$A$5:$A$34,0)),"⚠ Card ID?"))</f>
        <v/>
      </c>
      <c r="G1202" s="37" t="n"/>
      <c r="H1202" s="37" t="n"/>
      <c r="I1202" s="41" t="n"/>
      <c r="J1202" s="45" t="str">
        <f>IF($I1202="","",IFERROR(INDEX(MCC_MASTER!$B$5:$B$504,MATCH($I1202,MCC_MASTER!$A$5:$A$504,0)),"⚠ MCC chưa có"))</f>
        <v/>
      </c>
      <c r="K1202" s="45" t="str">
        <f>IF($I1202="","",IFERROR(IF(INDEX(MCC_MASTER!$C$5:$C$504,MATCH($I1202,MCC_MASTER!$A$5:$A$504,0))="","Chưa phân loại",INDEX(MCC_MASTER!$C$5:$C$504,MATCH($I1202,MCC_MASTER!$A$5:$A$504,0))),"Chưa phân loại"))</f>
        <v/>
      </c>
      <c r="L1202" s="40" t="n"/>
      <c r="M1202" s="48" t="str">
        <f>IF(OR($B1202="",$D1202=""),"",IF($AC1202=0,0,IF(ISNUMBER(INDEX(CASHBACK_RULES!$L$5:$L$304,$AC1202)),MAX(0,MIN($L1202,INDEX(CASHBACK_RULES!$L$5:$L$304,$AC1202)-$AH1202)),MAX(0,$L1202))))</f>
        <v/>
      </c>
      <c r="N1202" s="49" t="str">
        <f>IF(OR($B1202="",$D1202=""),"",IF($AC1202&gt;0,INDEX(CASHBACK_RULES!$I$5:$I$304,$AC1202),0))</f>
        <v/>
      </c>
      <c r="O1202" s="48" t="str">
        <f>IF(OR($B1202="",$D1202=""),"",ROUND($M1202*$N1202,0))</f>
        <v/>
      </c>
      <c r="P1202" s="48" t="str">
        <f>IF($AC1202&gt;0,IF(ISNUMBER(INDEX(CASHBACK_RULES!$J$5:$J$304,$AC1202)),INDEX(CASHBACK_RULES!$J$5:$J$304,$AC1202),"∞"),"")</f>
        <v/>
      </c>
      <c r="Q1202" s="48" t="str">
        <f>IF(OR($B1202="",$D1202=""),"",IF($AC1202=0,0,MAX(0,MIN($O1202,IF(ISNUMBER($P1202),$P1202-$AF1202,1E+15),IF(ISNUMBER($AA1202),$AA1202-$AG1202,1E+15)))))</f>
        <v/>
      </c>
      <c r="R1202" s="48" t="str">
        <f>IF(OR($B1202="",$D1202=""),"",IF($AC1202=0,"",IF(AND(NOT(ISNUMBER($P1202)),NOT(ISNUMBER($AA1202))),"∞",MAX(0,MIN(IF(ISNUMBER($P1202),$P1202-$AF1202-$Q1202,1E+15),IF(ISNUMBER($AA1202),$AA1202-$AG1202-$Q1202,1E+15))))))</f>
        <v/>
      </c>
      <c r="S1202" s="47" t="str">
        <f>IF($AD1202="","",YEAR($AD1202)*100+MONTH($AD1202))</f>
        <v/>
      </c>
      <c r="T1202" s="50" t="str">
        <f>IF($AD1202="","",IFERROR(IF(INDEX(CARDS!$I$5:$I$34,MATCH($D1202,CARDS!$A$5:$A$34,0))="","",IF(INDEX(CARDS!$I$5:$I$34,MATCH($D1202,CARDS!$A$5:$A$34,0))&gt;INDEX(CARDS!$H$5:$H$34,MATCH($D1202,CARDS!$A$5:$A$34,0)),DATE(YEAR($AD1202),MONTH($AD1202),MIN(INDEX(CARDS!$I$5:$I$34,MATCH($D1202,CARDS!$A$5:$A$34,0)),DAY(EOMONTH($AD1202,0)))),DATE(YEAR($AD1202),MONTH($AD1202)+1,MIN(INDEX(CARDS!$I$5:$I$34,MATCH($D1202,CARDS!$A$5:$A$34,0)),DAY(EOMONTH($AD1202,1)))))),""))</f>
        <v/>
      </c>
      <c r="U1202" s="38" t="n"/>
      <c r="V1202" s="37" t="n"/>
      <c r="W1202" s="38" t="n"/>
      <c r="X1202" s="38" t="n"/>
      <c r="Y1202" s="44" t="str">
        <f>IF($AC1202&gt;0,INDEX(CASHBACK_RULES!$A$5:$A$304,$AC1202),"")</f>
        <v/>
      </c>
      <c r="Z1202" s="45" t="str">
        <f>IF($AC1202&gt;0,INDEX(CASHBACK_RULES!$E$5:$E$304,$AC1202)&amp;"","")</f>
        <v/>
      </c>
      <c r="AA1202" s="48" t="str">
        <f>IF($AC1202&gt;0,IF(ISNUMBER(INDEX(CASHBACK_RULES!$K$5:$K$304,$AC1202)),INDEX(CASHBACK_RULES!$K$5:$K$304,$AC1202),"∞"),"")</f>
        <v/>
      </c>
      <c r="AB1202" s="44" t="str">
        <f>IF(OR($B1202="",$D1202=""),"",IF($U1202="Cancelled","Đã hủy",IF($AC1202=0,"Không được hoàn",IF($Q1202=0,IF(OR($O1202&gt;0,$M1202&lt;$L1202),"Đã đạt cap","Không được hoàn"),IF(OR($Q1202&lt;$O1202,$M1202&lt;$L1202),"Hoàn một phần","Được hoàn")))))</f>
        <v/>
      </c>
      <c r="AC1202" s="43">
        <f>IF(OR($B1202="",$D1202="",$I1202="",$L1202=""),0,IF($U1202="Cancelled",0,IF($W1202&lt;&gt;"",IFERROR(IF(INDEX(CASHBACK_RULES!$B$5:$B$304,MATCH($W1202,CASHBACK_RULES!$A$5:$A$304,0))=$D1202,MATCH($W1202,CASHBACK_RULES!$A$5:$A$304,0),0),0),IFERROR(MATCH(1,INDEX((CASHBACK_RULES!$B$5:$B$304=$D1202)*(CASHBACK_RULES!$G$5:$G$304=$I1202)*(((CASHBACK_RULES!$N$5:$N$304="")+(CASHBACK_RULES!$N$5:$N$304&lt;=$B1202))&gt;0)*(((CASHBACK_RULES!$O$5:$O$304="")+(CASHBACK_RULES!$O$5:$O$304&gt;=$B1202))&gt;0)*(((CASHBACK_RULES!$M$5:$M$304="")+(CASHBACK_RULES!$M$5:$M$304&lt;=$L1202))&gt;0),0),0),0))))</f>
        <v>0</v>
      </c>
      <c r="AD1202" s="51" t="str">
        <f>IF(OR($B1202="",$D1202=""),"",IFERROR(IF(INDEX(CARDS!$H$5:$H$34,MATCH($D1202,CARDS!$A$5:$A$34,0))="","",IF(DAY($B1202)&lt;=INDEX(CARDS!$H$5:$H$34,MATCH($D1202,CARDS!$A$5:$A$34,0)),DATE(YEAR($B1202),MONTH($B1202),MIN(INDEX(CARDS!$H$5:$H$34,MATCH($D1202,CARDS!$A$5:$A$34,0)),DAY(EOMONTH($B1202,0)))),DATE(YEAR($B1202),MONTH($B1202)+1,MIN(INDEX(CARDS!$H$5:$H$34,MATCH($D1202,CARDS!$A$5:$A$34,0)),DAY(EOMONTH($B1202,1)))))),""))</f>
        <v/>
      </c>
      <c r="AE1202" s="52" t="str">
        <f>IF($C1202="","",$C1202&amp;"|"&amp;COUNTIF($C$5:$C1202,$C1202))</f>
        <v/>
      </c>
      <c r="AF1202" s="53">
        <f>IF($AC1202&gt;0,SUMIFS(Q$4:Q1201,$D$4:$D1201,$D1202,$Z$4:$Z1201,$Z1202,$C$4:$C1201,$C1202),0)</f>
        <v>0</v>
      </c>
      <c r="AG1202" s="53">
        <f>IF($AC1202&gt;0,SUMIFS(Q$4:Q1201,$D$4:$D1201,$D1202,$C$4:$C1201,$C1202),0)</f>
        <v>0</v>
      </c>
      <c r="AH1202" s="53">
        <f>IF($AC1202&gt;0,SUMIFS(M$4:M1201,$D$4:$D1201,$D1202,$Z$4:$Z1201,$Z1202,$C$4:$C1201,$C1202),0)</f>
        <v>0</v>
      </c>
      <c r="AI1202" s="43">
        <f>IF(OR($C1202="",$I1202=""),0,IF(COUNTIFS($C$5:$C1202,$C1202,$I$5:$I1202,$I1202)=1,1,0))</f>
        <v>0</v>
      </c>
      <c r="AJ1202" s="43" t="str">
        <f>IF($AI1202=1,SUMIFS($AI$4:$AI1201,$C$4:$C1201,$C1202)+1,"")</f>
        <v/>
      </c>
      <c r="AK1202" s="43">
        <f>IF(OR($C1202="",$K1202=""),0,IF(COUNTIFS($C$5:$C1202,$C1202,$K$5:$K1202,$K1202)=1,1,0))</f>
        <v>0</v>
      </c>
      <c r="AL1202" s="43" t="str">
        <f>IF($AK1202=1,SUMIFS($AK$4:$AK1201,$C$4:$C1201,$C1202)+1,"")</f>
        <v/>
      </c>
      <c r="AM1202" s="43">
        <f>IF(OR($C1202="",$G1202=""),0,IF(COUNTIFS($C$5:$C1202,$C1202,$G$5:$G1202,$G1202)=1,1,0))</f>
        <v>0</v>
      </c>
      <c r="AN1202" s="43" t="str">
        <f>IF($AM1202=1,SUMIFS($AM$4:$AM1201,$C$4:$C1201,$C1202)+1,"")</f>
        <v/>
      </c>
    </row>
    <row r="1203">
      <c r="A1203" s="44" t="str">
        <f>IF(OR($B1203="",$D1203=""),"","TX"&amp;TEXT(ROW()-4,"0000"))</f>
        <v/>
      </c>
      <c r="B1203" s="42" t="n"/>
      <c r="C1203" s="47" t="str">
        <f>IF($B1203="","",YEAR($B1203)*100+MONTH($B1203))</f>
        <v/>
      </c>
      <c r="D1203" s="37" t="n"/>
      <c r="E1203" s="45" t="str">
        <f>IF($D1203="","",IFERROR(INDEX(CARDS!$B$5:$B$34,MATCH($D1203,CARDS!$A$5:$A$34,0)),"⚠ Card ID?"))</f>
        <v/>
      </c>
      <c r="F1203" s="45" t="str">
        <f>IF($D1203="","",IFERROR(INDEX(CARDS!$C$5:$C$34,MATCH($D1203,CARDS!$A$5:$A$34,0)),"⚠ Card ID?"))</f>
        <v/>
      </c>
      <c r="G1203" s="37" t="n"/>
      <c r="H1203" s="37" t="n"/>
      <c r="I1203" s="41" t="n"/>
      <c r="J1203" s="45" t="str">
        <f>IF($I1203="","",IFERROR(INDEX(MCC_MASTER!$B$5:$B$504,MATCH($I1203,MCC_MASTER!$A$5:$A$504,0)),"⚠ MCC chưa có"))</f>
        <v/>
      </c>
      <c r="K1203" s="45" t="str">
        <f>IF($I1203="","",IFERROR(IF(INDEX(MCC_MASTER!$C$5:$C$504,MATCH($I1203,MCC_MASTER!$A$5:$A$504,0))="","Chưa phân loại",INDEX(MCC_MASTER!$C$5:$C$504,MATCH($I1203,MCC_MASTER!$A$5:$A$504,0))),"Chưa phân loại"))</f>
        <v/>
      </c>
      <c r="L1203" s="40" t="n"/>
      <c r="M1203" s="48" t="str">
        <f>IF(OR($B1203="",$D1203=""),"",IF($AC1203=0,0,IF(ISNUMBER(INDEX(CASHBACK_RULES!$L$5:$L$304,$AC1203)),MAX(0,MIN($L1203,INDEX(CASHBACK_RULES!$L$5:$L$304,$AC1203)-$AH1203)),MAX(0,$L1203))))</f>
        <v/>
      </c>
      <c r="N1203" s="49" t="str">
        <f>IF(OR($B1203="",$D1203=""),"",IF($AC1203&gt;0,INDEX(CASHBACK_RULES!$I$5:$I$304,$AC1203),0))</f>
        <v/>
      </c>
      <c r="O1203" s="48" t="str">
        <f>IF(OR($B1203="",$D1203=""),"",ROUND($M1203*$N1203,0))</f>
        <v/>
      </c>
      <c r="P1203" s="48" t="str">
        <f>IF($AC1203&gt;0,IF(ISNUMBER(INDEX(CASHBACK_RULES!$J$5:$J$304,$AC1203)),INDEX(CASHBACK_RULES!$J$5:$J$304,$AC1203),"∞"),"")</f>
        <v/>
      </c>
      <c r="Q1203" s="48" t="str">
        <f>IF(OR($B1203="",$D1203=""),"",IF($AC1203=0,0,MAX(0,MIN($O1203,IF(ISNUMBER($P1203),$P1203-$AF1203,1E+15),IF(ISNUMBER($AA1203),$AA1203-$AG1203,1E+15)))))</f>
        <v/>
      </c>
      <c r="R1203" s="48" t="str">
        <f>IF(OR($B1203="",$D1203=""),"",IF($AC1203=0,"",IF(AND(NOT(ISNUMBER($P1203)),NOT(ISNUMBER($AA1203))),"∞",MAX(0,MIN(IF(ISNUMBER($P1203),$P1203-$AF1203-$Q1203,1E+15),IF(ISNUMBER($AA1203),$AA1203-$AG1203-$Q1203,1E+15))))))</f>
        <v/>
      </c>
      <c r="S1203" s="47" t="str">
        <f>IF($AD1203="","",YEAR($AD1203)*100+MONTH($AD1203))</f>
        <v/>
      </c>
      <c r="T1203" s="50" t="str">
        <f>IF($AD1203="","",IFERROR(IF(INDEX(CARDS!$I$5:$I$34,MATCH($D1203,CARDS!$A$5:$A$34,0))="","",IF(INDEX(CARDS!$I$5:$I$34,MATCH($D1203,CARDS!$A$5:$A$34,0))&gt;INDEX(CARDS!$H$5:$H$34,MATCH($D1203,CARDS!$A$5:$A$34,0)),DATE(YEAR($AD1203),MONTH($AD1203),MIN(INDEX(CARDS!$I$5:$I$34,MATCH($D1203,CARDS!$A$5:$A$34,0)),DAY(EOMONTH($AD1203,0)))),DATE(YEAR($AD1203),MONTH($AD1203)+1,MIN(INDEX(CARDS!$I$5:$I$34,MATCH($D1203,CARDS!$A$5:$A$34,0)),DAY(EOMONTH($AD1203,1)))))),""))</f>
        <v/>
      </c>
      <c r="U1203" s="38" t="n"/>
      <c r="V1203" s="37" t="n"/>
      <c r="W1203" s="38" t="n"/>
      <c r="X1203" s="38" t="n"/>
      <c r="Y1203" s="44" t="str">
        <f>IF($AC1203&gt;0,INDEX(CASHBACK_RULES!$A$5:$A$304,$AC1203),"")</f>
        <v/>
      </c>
      <c r="Z1203" s="45" t="str">
        <f>IF($AC1203&gt;0,INDEX(CASHBACK_RULES!$E$5:$E$304,$AC1203)&amp;"","")</f>
        <v/>
      </c>
      <c r="AA1203" s="48" t="str">
        <f>IF($AC1203&gt;0,IF(ISNUMBER(INDEX(CASHBACK_RULES!$K$5:$K$304,$AC1203)),INDEX(CASHBACK_RULES!$K$5:$K$304,$AC1203),"∞"),"")</f>
        <v/>
      </c>
      <c r="AB1203" s="44" t="str">
        <f>IF(OR($B1203="",$D1203=""),"",IF($U1203="Cancelled","Đã hủy",IF($AC1203=0,"Không được hoàn",IF($Q1203=0,IF(OR($O1203&gt;0,$M1203&lt;$L1203),"Đã đạt cap","Không được hoàn"),IF(OR($Q1203&lt;$O1203,$M1203&lt;$L1203),"Hoàn một phần","Được hoàn")))))</f>
        <v/>
      </c>
      <c r="AC1203" s="43">
        <f>IF(OR($B1203="",$D1203="",$I1203="",$L1203=""),0,IF($U1203="Cancelled",0,IF($W1203&lt;&gt;"",IFERROR(IF(INDEX(CASHBACK_RULES!$B$5:$B$304,MATCH($W1203,CASHBACK_RULES!$A$5:$A$304,0))=$D1203,MATCH($W1203,CASHBACK_RULES!$A$5:$A$304,0),0),0),IFERROR(MATCH(1,INDEX((CASHBACK_RULES!$B$5:$B$304=$D1203)*(CASHBACK_RULES!$G$5:$G$304=$I1203)*(((CASHBACK_RULES!$N$5:$N$304="")+(CASHBACK_RULES!$N$5:$N$304&lt;=$B1203))&gt;0)*(((CASHBACK_RULES!$O$5:$O$304="")+(CASHBACK_RULES!$O$5:$O$304&gt;=$B1203))&gt;0)*(((CASHBACK_RULES!$M$5:$M$304="")+(CASHBACK_RULES!$M$5:$M$304&lt;=$L1203))&gt;0),0),0),0))))</f>
        <v>0</v>
      </c>
      <c r="AD1203" s="51" t="str">
        <f>IF(OR($B1203="",$D1203=""),"",IFERROR(IF(INDEX(CARDS!$H$5:$H$34,MATCH($D1203,CARDS!$A$5:$A$34,0))="","",IF(DAY($B1203)&lt;=INDEX(CARDS!$H$5:$H$34,MATCH($D1203,CARDS!$A$5:$A$34,0)),DATE(YEAR($B1203),MONTH($B1203),MIN(INDEX(CARDS!$H$5:$H$34,MATCH($D1203,CARDS!$A$5:$A$34,0)),DAY(EOMONTH($B1203,0)))),DATE(YEAR($B1203),MONTH($B1203)+1,MIN(INDEX(CARDS!$H$5:$H$34,MATCH($D1203,CARDS!$A$5:$A$34,0)),DAY(EOMONTH($B1203,1)))))),""))</f>
        <v/>
      </c>
      <c r="AE1203" s="52" t="str">
        <f>IF($C1203="","",$C1203&amp;"|"&amp;COUNTIF($C$5:$C1203,$C1203))</f>
        <v/>
      </c>
      <c r="AF1203" s="53">
        <f>IF($AC1203&gt;0,SUMIFS(Q$4:Q1202,$D$4:$D1202,$D1203,$Z$4:$Z1202,$Z1203,$C$4:$C1202,$C1203),0)</f>
        <v>0</v>
      </c>
      <c r="AG1203" s="53">
        <f>IF($AC1203&gt;0,SUMIFS(Q$4:Q1202,$D$4:$D1202,$D1203,$C$4:$C1202,$C1203),0)</f>
        <v>0</v>
      </c>
      <c r="AH1203" s="53">
        <f>IF($AC1203&gt;0,SUMIFS(M$4:M1202,$D$4:$D1202,$D1203,$Z$4:$Z1202,$Z1203,$C$4:$C1202,$C1203),0)</f>
        <v>0</v>
      </c>
      <c r="AI1203" s="43">
        <f>IF(OR($C1203="",$I1203=""),0,IF(COUNTIFS($C$5:$C1203,$C1203,$I$5:$I1203,$I1203)=1,1,0))</f>
        <v>0</v>
      </c>
      <c r="AJ1203" s="43" t="str">
        <f>IF($AI1203=1,SUMIFS($AI$4:$AI1202,$C$4:$C1202,$C1203)+1,"")</f>
        <v/>
      </c>
      <c r="AK1203" s="43">
        <f>IF(OR($C1203="",$K1203=""),0,IF(COUNTIFS($C$5:$C1203,$C1203,$K$5:$K1203,$K1203)=1,1,0))</f>
        <v>0</v>
      </c>
      <c r="AL1203" s="43" t="str">
        <f>IF($AK1203=1,SUMIFS($AK$4:$AK1202,$C$4:$C1202,$C1203)+1,"")</f>
        <v/>
      </c>
      <c r="AM1203" s="43">
        <f>IF(OR($C1203="",$G1203=""),0,IF(COUNTIFS($C$5:$C1203,$C1203,$G$5:$G1203,$G1203)=1,1,0))</f>
        <v>0</v>
      </c>
      <c r="AN1203" s="43" t="str">
        <f>IF($AM1203=1,SUMIFS($AM$4:$AM1202,$C$4:$C1202,$C1203)+1,"")</f>
        <v/>
      </c>
    </row>
    <row r="1204">
      <c r="A1204" s="44" t="str">
        <f>IF(OR($B1204="",$D1204=""),"","TX"&amp;TEXT(ROW()-4,"0000"))</f>
        <v/>
      </c>
      <c r="B1204" s="42" t="n"/>
      <c r="C1204" s="47" t="str">
        <f>IF($B1204="","",YEAR($B1204)*100+MONTH($B1204))</f>
        <v/>
      </c>
      <c r="D1204" s="37" t="n"/>
      <c r="E1204" s="45" t="str">
        <f>IF($D1204="","",IFERROR(INDEX(CARDS!$B$5:$B$34,MATCH($D1204,CARDS!$A$5:$A$34,0)),"⚠ Card ID?"))</f>
        <v/>
      </c>
      <c r="F1204" s="45" t="str">
        <f>IF($D1204="","",IFERROR(INDEX(CARDS!$C$5:$C$34,MATCH($D1204,CARDS!$A$5:$A$34,0)),"⚠ Card ID?"))</f>
        <v/>
      </c>
      <c r="G1204" s="37" t="n"/>
      <c r="H1204" s="37" t="n"/>
      <c r="I1204" s="41" t="n"/>
      <c r="J1204" s="45" t="str">
        <f>IF($I1204="","",IFERROR(INDEX(MCC_MASTER!$B$5:$B$504,MATCH($I1204,MCC_MASTER!$A$5:$A$504,0)),"⚠ MCC chưa có"))</f>
        <v/>
      </c>
      <c r="K1204" s="45" t="str">
        <f>IF($I1204="","",IFERROR(IF(INDEX(MCC_MASTER!$C$5:$C$504,MATCH($I1204,MCC_MASTER!$A$5:$A$504,0))="","Chưa phân loại",INDEX(MCC_MASTER!$C$5:$C$504,MATCH($I1204,MCC_MASTER!$A$5:$A$504,0))),"Chưa phân loại"))</f>
        <v/>
      </c>
      <c r="L1204" s="40" t="n"/>
      <c r="M1204" s="48" t="str">
        <f>IF(OR($B1204="",$D1204=""),"",IF($AC1204=0,0,IF(ISNUMBER(INDEX(CASHBACK_RULES!$L$5:$L$304,$AC1204)),MAX(0,MIN($L1204,INDEX(CASHBACK_RULES!$L$5:$L$304,$AC1204)-$AH1204)),MAX(0,$L1204))))</f>
        <v/>
      </c>
      <c r="N1204" s="49" t="str">
        <f>IF(OR($B1204="",$D1204=""),"",IF($AC1204&gt;0,INDEX(CASHBACK_RULES!$I$5:$I$304,$AC1204),0))</f>
        <v/>
      </c>
      <c r="O1204" s="48" t="str">
        <f>IF(OR($B1204="",$D1204=""),"",ROUND($M1204*$N1204,0))</f>
        <v/>
      </c>
      <c r="P1204" s="48" t="str">
        <f>IF($AC1204&gt;0,IF(ISNUMBER(INDEX(CASHBACK_RULES!$J$5:$J$304,$AC1204)),INDEX(CASHBACK_RULES!$J$5:$J$304,$AC1204),"∞"),"")</f>
        <v/>
      </c>
      <c r="Q1204" s="48" t="str">
        <f>IF(OR($B1204="",$D1204=""),"",IF($AC1204=0,0,MAX(0,MIN($O1204,IF(ISNUMBER($P1204),$P1204-$AF1204,1E+15),IF(ISNUMBER($AA1204),$AA1204-$AG1204,1E+15)))))</f>
        <v/>
      </c>
      <c r="R1204" s="48" t="str">
        <f>IF(OR($B1204="",$D1204=""),"",IF($AC1204=0,"",IF(AND(NOT(ISNUMBER($P1204)),NOT(ISNUMBER($AA1204))),"∞",MAX(0,MIN(IF(ISNUMBER($P1204),$P1204-$AF1204-$Q1204,1E+15),IF(ISNUMBER($AA1204),$AA1204-$AG1204-$Q1204,1E+15))))))</f>
        <v/>
      </c>
      <c r="S1204" s="47" t="str">
        <f>IF($AD1204="","",YEAR($AD1204)*100+MONTH($AD1204))</f>
        <v/>
      </c>
      <c r="T1204" s="50" t="str">
        <f>IF($AD1204="","",IFERROR(IF(INDEX(CARDS!$I$5:$I$34,MATCH($D1204,CARDS!$A$5:$A$34,0))="","",IF(INDEX(CARDS!$I$5:$I$34,MATCH($D1204,CARDS!$A$5:$A$34,0))&gt;INDEX(CARDS!$H$5:$H$34,MATCH($D1204,CARDS!$A$5:$A$34,0)),DATE(YEAR($AD1204),MONTH($AD1204),MIN(INDEX(CARDS!$I$5:$I$34,MATCH($D1204,CARDS!$A$5:$A$34,0)),DAY(EOMONTH($AD1204,0)))),DATE(YEAR($AD1204),MONTH($AD1204)+1,MIN(INDEX(CARDS!$I$5:$I$34,MATCH($D1204,CARDS!$A$5:$A$34,0)),DAY(EOMONTH($AD1204,1)))))),""))</f>
        <v/>
      </c>
      <c r="U1204" s="38" t="n"/>
      <c r="V1204" s="37" t="n"/>
      <c r="W1204" s="38" t="n"/>
      <c r="X1204" s="38" t="n"/>
      <c r="Y1204" s="44" t="str">
        <f>IF($AC1204&gt;0,INDEX(CASHBACK_RULES!$A$5:$A$304,$AC1204),"")</f>
        <v/>
      </c>
      <c r="Z1204" s="45" t="str">
        <f>IF($AC1204&gt;0,INDEX(CASHBACK_RULES!$E$5:$E$304,$AC1204)&amp;"","")</f>
        <v/>
      </c>
      <c r="AA1204" s="48" t="str">
        <f>IF($AC1204&gt;0,IF(ISNUMBER(INDEX(CASHBACK_RULES!$K$5:$K$304,$AC1204)),INDEX(CASHBACK_RULES!$K$5:$K$304,$AC1204),"∞"),"")</f>
        <v/>
      </c>
      <c r="AB1204" s="44" t="str">
        <f>IF(OR($B1204="",$D1204=""),"",IF($U1204="Cancelled","Đã hủy",IF($AC1204=0,"Không được hoàn",IF($Q1204=0,IF(OR($O1204&gt;0,$M1204&lt;$L1204),"Đã đạt cap","Không được hoàn"),IF(OR($Q1204&lt;$O1204,$M1204&lt;$L1204),"Hoàn một phần","Được hoàn")))))</f>
        <v/>
      </c>
      <c r="AC1204" s="43">
        <f>IF(OR($B1204="",$D1204="",$I1204="",$L1204=""),0,IF($U1204="Cancelled",0,IF($W1204&lt;&gt;"",IFERROR(IF(INDEX(CASHBACK_RULES!$B$5:$B$304,MATCH($W1204,CASHBACK_RULES!$A$5:$A$304,0))=$D1204,MATCH($W1204,CASHBACK_RULES!$A$5:$A$304,0),0),0),IFERROR(MATCH(1,INDEX((CASHBACK_RULES!$B$5:$B$304=$D1204)*(CASHBACK_RULES!$G$5:$G$304=$I1204)*(((CASHBACK_RULES!$N$5:$N$304="")+(CASHBACK_RULES!$N$5:$N$304&lt;=$B1204))&gt;0)*(((CASHBACK_RULES!$O$5:$O$304="")+(CASHBACK_RULES!$O$5:$O$304&gt;=$B1204))&gt;0)*(((CASHBACK_RULES!$M$5:$M$304="")+(CASHBACK_RULES!$M$5:$M$304&lt;=$L1204))&gt;0),0),0),0))))</f>
        <v>0</v>
      </c>
      <c r="AD1204" s="51" t="str">
        <f>IF(OR($B1204="",$D1204=""),"",IFERROR(IF(INDEX(CARDS!$H$5:$H$34,MATCH($D1204,CARDS!$A$5:$A$34,0))="","",IF(DAY($B1204)&lt;=INDEX(CARDS!$H$5:$H$34,MATCH($D1204,CARDS!$A$5:$A$34,0)),DATE(YEAR($B1204),MONTH($B1204),MIN(INDEX(CARDS!$H$5:$H$34,MATCH($D1204,CARDS!$A$5:$A$34,0)),DAY(EOMONTH($B1204,0)))),DATE(YEAR($B1204),MONTH($B1204)+1,MIN(INDEX(CARDS!$H$5:$H$34,MATCH($D1204,CARDS!$A$5:$A$34,0)),DAY(EOMONTH($B1204,1)))))),""))</f>
        <v/>
      </c>
      <c r="AE1204" s="52" t="str">
        <f>IF($C1204="","",$C1204&amp;"|"&amp;COUNTIF($C$5:$C1204,$C1204))</f>
        <v/>
      </c>
      <c r="AF1204" s="53">
        <f>IF($AC1204&gt;0,SUMIFS(Q$4:Q1203,$D$4:$D1203,$D1204,$Z$4:$Z1203,$Z1204,$C$4:$C1203,$C1204),0)</f>
        <v>0</v>
      </c>
      <c r="AG1204" s="53">
        <f>IF($AC1204&gt;0,SUMIFS(Q$4:Q1203,$D$4:$D1203,$D1204,$C$4:$C1203,$C1204),0)</f>
        <v>0</v>
      </c>
      <c r="AH1204" s="53">
        <f>IF($AC1204&gt;0,SUMIFS(M$4:M1203,$D$4:$D1203,$D1204,$Z$4:$Z1203,$Z1204,$C$4:$C1203,$C1204),0)</f>
        <v>0</v>
      </c>
      <c r="AI1204" s="43">
        <f>IF(OR($C1204="",$I1204=""),0,IF(COUNTIFS($C$5:$C1204,$C1204,$I$5:$I1204,$I1204)=1,1,0))</f>
        <v>0</v>
      </c>
      <c r="AJ1204" s="43" t="str">
        <f>IF($AI1204=1,SUMIFS($AI$4:$AI1203,$C$4:$C1203,$C1204)+1,"")</f>
        <v/>
      </c>
      <c r="AK1204" s="43">
        <f>IF(OR($C1204="",$K1204=""),0,IF(COUNTIFS($C$5:$C1204,$C1204,$K$5:$K1204,$K1204)=1,1,0))</f>
        <v>0</v>
      </c>
      <c r="AL1204" s="43" t="str">
        <f>IF($AK1204=1,SUMIFS($AK$4:$AK1203,$C$4:$C1203,$C1204)+1,"")</f>
        <v/>
      </c>
      <c r="AM1204" s="43">
        <f>IF(OR($C1204="",$G1204=""),0,IF(COUNTIFS($C$5:$C1204,$C1204,$G$5:$G1204,$G1204)=1,1,0))</f>
        <v>0</v>
      </c>
      <c r="AN1204" s="43" t="str">
        <f>IF($AM1204=1,SUMIFS($AM$4:$AM1203,$C$4:$C1203,$C1204)+1,"")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conditionalFormatting sqref="B5:B1204">
    <cfRule type="expression" priority="1" dxfId="5" stopIfTrue="0">
      <formula>MOD(ROW(),2)=0</formula>
    </cfRule>
  </conditionalFormatting>
  <conditionalFormatting sqref="D5:D1204">
    <cfRule type="expression" priority="2" dxfId="5" stopIfTrue="0">
      <formula>MOD(ROW(),2)=0</formula>
    </cfRule>
  </conditionalFormatting>
  <conditionalFormatting sqref="G5:I1204">
    <cfRule type="expression" priority="3" dxfId="5" stopIfTrue="0">
      <formula>MOD(ROW(),2)=0</formula>
    </cfRule>
  </conditionalFormatting>
  <conditionalFormatting sqref="L5:L1204">
    <cfRule type="expression" priority="4" dxfId="5" stopIfTrue="0">
      <formula>MOD(ROW(),2)=0</formula>
    </cfRule>
  </conditionalFormatting>
  <conditionalFormatting sqref="U5:X1204">
    <cfRule type="expression" priority="5" dxfId="5" stopIfTrue="0">
      <formula>MOD(ROW(),2)=0</formula>
    </cfRule>
  </conditionalFormatting>
  <conditionalFormatting sqref="AB5:AB1204">
    <cfRule type="cellIs" priority="6" operator="equal" dxfId="3">
      <formula>"Được hoàn"</formula>
    </cfRule>
    <cfRule type="cellIs" priority="7" operator="equal" dxfId="2">
      <formula>"Hoàn một phần"</formula>
    </cfRule>
    <cfRule type="cellIs" priority="8" operator="equal" dxfId="1">
      <formula>"Đã đạt cap"</formula>
    </cfRule>
    <cfRule type="cellIs" priority="9" operator="equal" dxfId="4">
      <formula>"Không được hoàn"</formula>
    </cfRule>
    <cfRule type="cellIs" priority="10" operator="equal" dxfId="0">
      <formula>"Đã hủy"</formula>
    </cfRule>
  </conditionalFormatting>
  <conditionalFormatting sqref="Q5:Q1204">
    <cfRule type="expression" priority="11" dxfId="7">
      <formula>AND(ISNUMBER($Q5),$Q5&gt;0)</formula>
    </cfRule>
  </conditionalFormatting>
  <conditionalFormatting sqref="U5:U1204">
    <cfRule type="cellIs" priority="12" operator="equal" dxfId="8">
      <formula>"Cancelled"</formula>
    </cfRule>
  </conditionalFormatting>
  <conditionalFormatting sqref="X5:X1204">
    <cfRule type="cellIs" priority="13" operator="equal" dxfId="6">
      <formula>"Đã thanh toán"</formula>
    </cfRule>
  </conditionalFormatting>
  <conditionalFormatting sqref="E5:F1204">
    <cfRule type="expression" priority="14" dxfId="0">
      <formula>LEFT(E5,1)="⚠"</formula>
    </cfRule>
  </conditionalFormatting>
  <conditionalFormatting sqref="J5:J1204">
    <cfRule type="expression" priority="15" dxfId="0">
      <formula>LEFT(J5,1)="⚠"</formula>
    </cfRule>
  </conditionalFormatting>
  <dataValidations count="7">
    <dataValidation sqref="D5:D1204" showDropDown="0" showInputMessage="1" showErrorMessage="1" allowBlank="1" errorTitle="Giá trị không hợp lệ" error="Hãy chọn từ danh sách (hoặc thêm vào bảng nguồn trước)." promptTitle="Card ID" prompt="Chọn Card ID (thêm thẻ ở sheet CARDS trước)." type="list" errorStyle="stop">
      <formula1>lstCards</formula1>
    </dataValidation>
    <dataValidation sqref="I5:I1204" showDropDown="0" showInputMessage="1" showErrorMessage="1" allowBlank="1" errorTitle="Giá trị không hợp lệ" error="Hãy chọn từ danh sách (hoặc thêm vào bảng nguồn trước)." promptTitle="MCC" prompt="Chọn MCC — tên MCC, danh mục, rule cashback sẽ tự nhận diện." type="list" errorStyle="warning">
      <formula1>lstMCC</formula1>
    </dataValidation>
    <dataValidation sqref="U5:U1204" showDropDown="0" showInputMessage="0" showErrorMessage="1" allowBlank="1" errorTitle="Giá trị không hợp lệ" error="Hãy chọn từ danh sách (hoặc thêm vào bảng nguồn trước)." type="list" errorStyle="stop">
      <formula1>lstTxStatus</formula1>
    </dataValidation>
    <dataValidation sqref="X5:X1204" showDropDown="0" showInputMessage="0" showErrorMessage="1" allowBlank="1" errorTitle="Giá trị không hợp lệ" error="Hãy chọn từ danh sách (hoặc thêm vào bảng nguồn trước)." type="list" errorStyle="stop">
      <formula1>lstPayStatus</formula1>
    </dataValidation>
    <dataValidation sqref="W5:W1204" showDropDown="0" showInputMessage="1" showErrorMessage="1" allowBlank="1" errorTitle="Giá trị không hợp lệ" error="Hãy chọn từ danh sách (hoặc thêm vào bảng nguồn trước)." promptTitle="Rule ID" prompt="Để trống = tự chọn rule đầu tiên khớp. Chọn Rule ID để ép giao dịch vào một rule cụ thể." type="list" errorStyle="warning">
      <formula1>lstRuleIDs</formula1>
    </dataValidation>
    <dataValidation sqref="B5:B1204" showDropDown="0" showInputMessage="0" showErrorMessage="1" allowBlank="1" errorTitle="Dữ liệu" error="Nhập ngày hợp lệ" type="date" operator="greaterThan">
      <formula1>36526</formula1>
    </dataValidation>
    <dataValidation sqref="L5:L1204" showDropDown="0" showInputMessage="0" showErrorMessage="1" allowBlank="1" errorTitle="Dữ liệu" error="Số tiền phải ≥ 0 (giao dịch hoàn / hủy: chọn Status = Cancelled)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E58FB0"/>
    <outlinePr summaryBelow="1" summaryRight="1"/>
    <pageSetUpPr/>
  </sheetPr>
  <dimension ref="A1:O3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1" customWidth="1" min="4" max="4"/>
    <col width="17" customWidth="1" min="5" max="5"/>
    <col width="17" customWidth="1" min="6" max="6"/>
    <col width="17" customWidth="1" min="7" max="7"/>
    <col width="12" customWidth="1" min="8" max="8"/>
    <col width="17" customWidth="1" min="9" max="9"/>
    <col width="14" customWidth="1" min="10" max="10"/>
    <col width="14" customWidth="1" min="11" max="11"/>
    <col width="17" customWidth="1" min="12" max="12"/>
    <col width="14" customWidth="1" min="13" max="13"/>
    <col width="11" customWidth="1" min="14" max="14"/>
    <col width="19" customWidth="1" min="15" max="15"/>
  </cols>
  <sheetData>
    <row r="1" ht="30" customHeight="1">
      <c r="A1" s="33" t="inlineStr">
        <is>
          <t>📅 CARD_TRACKER — hạn mức, sao kê &amp; hạn thanh toán</t>
        </is>
      </c>
    </row>
    <row r="2">
      <c r="A2" s="5" t="inlineStr">
        <is>
          <t>Tự động từ CARDS + TRANSACTIONS_MASTER. Dư nợ = giao dịch chưa 'Đã thanh toán' (không tính Cancelled). Ngưỡng cảnh báo chỉnh ở SETTINGS.</t>
        </is>
      </c>
    </row>
    <row r="3">
      <c r="A3" s="54" t="str">
        <f>"Ngày tham chiếu: "&amp;TEXT(pToday,"dd/mm/yyyy")</f>
        <v>Ngày tham chiếu: 07/10/2026</v>
      </c>
    </row>
    <row r="4" ht="36" customHeight="1">
      <c r="A4" s="21" t="inlineStr">
        <is>
          <t>Card ID</t>
        </is>
      </c>
      <c r="B4" s="21" t="inlineStr">
        <is>
          <t>Ngân hàng</t>
        </is>
      </c>
      <c r="C4" s="21" t="inlineStr">
        <is>
          <t>Tên thẻ</t>
        </is>
      </c>
      <c r="D4" s="21" t="inlineStr">
        <is>
          <t>Trạng thái</t>
        </is>
      </c>
      <c r="E4" s="21" t="inlineStr">
        <is>
          <t>Hạn mức tín dụng</t>
        </is>
      </c>
      <c r="F4" s="21" t="inlineStr">
        <is>
          <t>Dư nợ hiện tại (Used)</t>
        </is>
      </c>
      <c r="G4" s="21" t="inlineStr">
        <is>
          <t>Hạn mức còn lại (Available)</t>
        </is>
      </c>
      <c r="H4" s="21" t="inlineStr">
        <is>
          <t>Utilization %</t>
        </is>
      </c>
      <c r="I4" s="21" t="inlineStr">
        <is>
          <t>Mức sử dụng</t>
        </is>
      </c>
      <c r="J4" s="21" t="inlineStr">
        <is>
          <t>Ngày sao kê gần nhất</t>
        </is>
      </c>
      <c r="K4" s="21" t="inlineStr">
        <is>
          <t>Ngày sao kê kế tiếp</t>
        </is>
      </c>
      <c r="L4" s="21" t="inlineStr">
        <is>
          <t>Dư nợ cần thanh toán</t>
        </is>
      </c>
      <c r="M4" s="21" t="inlineStr">
        <is>
          <t>Hạn thanh toán</t>
        </is>
      </c>
      <c r="N4" s="21" t="inlineStr">
        <is>
          <t>Số ngày còn lại</t>
        </is>
      </c>
      <c r="O4" s="21" t="inlineStr">
        <is>
          <t>Trạng thái thanh toán</t>
        </is>
      </c>
    </row>
    <row r="5" ht="21" customHeight="1">
      <c r="A5" s="55" t="str">
        <f>IF(CARDS!A5="","",CARDS!A5)</f>
        <v>VPB-JCBZ</v>
      </c>
      <c r="B5" s="55" t="str">
        <f>IF($A5="","",CARDS!B5&amp;"")</f>
        <v>VPBank</v>
      </c>
      <c r="C5" s="55" t="str">
        <f>IF($A5="","",CARDS!C5&amp;"")</f>
        <v>JCB Z Card</v>
      </c>
      <c r="D5" s="28" t="str">
        <f>IF($A5="","",CARDS!M5&amp;"")</f>
        <v>Active</v>
      </c>
      <c r="E5" s="25">
        <f>IF($A5="","",N(CARDS!G5))</f>
        <v>50000000</v>
      </c>
      <c r="F5" s="25">
        <f>IF($A5="","",SUMIFS(TRANSACTIONS_MASTER!$L$5:$L$1204,TRANSACTIONS_MASTER!$D$5:$D$1204,$A5,TRANSACTIONS_MASTER!$X$5:$X$1204,"&lt;&gt;Đã thanh toán",TRANSACTIONS_MASTER!$U$5:$U$1204,"&lt;&gt;Cancelled"))</f>
        <v>16800000</v>
      </c>
      <c r="G5" s="25">
        <f>IF($A5="","",$E5-$F5)</f>
        <v>33200000</v>
      </c>
      <c r="H5" s="56">
        <f>IF($A5="","",IF(AND($D5="Active",$E5&gt;0),$F5/$E5,""))</f>
        <v>0.336</v>
      </c>
      <c r="I5" s="28" t="str">
        <f>IF($H5="","",IF($H5&gt;pUtil3,"⚠ Nguy hiểm",IF($H5&gt;=pUtil2,"⚠ Cảnh báo",IF($H5&gt;=pUtil1,"● Cảnh báo nhẹ","● Bình thường"))))</f>
        <v>● Bình thường</v>
      </c>
      <c r="J5" s="57">
        <f>IF(OR($A5="",NOT(ISNUMBER(CARDS!$H5))),"",IF(DATE(YEAR(pToday),MONTH(pToday),MIN(CARDS!$H5,DAY(EOMONTH(pToday,0))))&lt;=pToday,DATE(YEAR(pToday),MONTH(pToday),MIN(CARDS!$H5,DAY(EOMONTH(pToday,0)))),DATE(YEAR(pToday),MONTH(pToday)-1,MIN(CARDS!$H5,DAY(EOMONTH(pToday,-1))))))</f>
        <v>46290.0</v>
      </c>
      <c r="K5" s="57">
        <f>IF($J5="","",IF(DATE(YEAR(pToday),MONTH(pToday),MIN(CARDS!$H5,DAY(EOMONTH(pToday,0))))&gt;pToday,DATE(YEAR(pToday),MONTH(pToday),MIN(CARDS!$H5,DAY(EOMONTH(pToday,0)))),DATE(YEAR(pToday),MONTH(pToday)+1,MIN(CARDS!$H5,DAY(EOMONTH(pToday,1))))))</f>
        <v>46320.0</v>
      </c>
      <c r="L5" s="25">
        <f>IF($J5="","",SUMIFS(TRANSACTIONS_MASTER!$L$5:$L$1204,TRANSACTIONS_MASTER!$D$5:$D$1204,$A5,TRANSACTIONS_MASTER!$X$5:$X$1204,"&lt;&gt;Đã thanh toán",TRANSACTIONS_MASTER!$U$5:$U$1204,"&lt;&gt;Cancelled",TRANSACTIONS_MASTER!$B$5:$B$1204,"&lt;="&amp;$J5))</f>
        <v>0</v>
      </c>
      <c r="M5" s="57">
        <f>IF(OR($J5="",NOT(ISNUMBER(CARDS!$I5))),"",IF(CARDS!$I5&gt;CARDS!$H5,DATE(YEAR($J5),MONTH($J5),MIN(CARDS!$I5,DAY(EOMONTH($J5,0)))),DATE(YEAR($J5),MONTH($J5)+1,MIN(CARDS!$I5,DAY(EOMONTH($J5,1))))))</f>
        <v>46310.0</v>
      </c>
      <c r="N5" s="58">
        <f>IF($M5="","",$M5-pToday)</f>
        <v>8</v>
      </c>
      <c r="O5" s="28" t="str">
        <f>IF($M5="","",IF($L5&lt;=0,"Đã thanh toán",IF($N5&lt;0,"Quá hạn",IF($N5=0,"Đến hạn",IF($N5&lt;=pWarnDays,"Sắp đến hạn","Chưa đến hạn")))))</f>
        <v>Đã thanh toán</v>
      </c>
    </row>
    <row r="6" ht="21" customHeight="1">
      <c r="A6" s="55" t="str">
        <f>IF(CARDS!A6="","",CARDS!A6)</f>
        <v>VIB-A</v>
      </c>
      <c r="B6" s="55" t="str">
        <f>IF($A6="","",CARDS!B6&amp;"")</f>
        <v>VIB</v>
      </c>
      <c r="C6" s="55" t="str">
        <f>IF($A6="","",CARDS!C6&amp;"")</f>
        <v>Cashback Demo A</v>
      </c>
      <c r="D6" s="28" t="str">
        <f>IF($A6="","",CARDS!M6&amp;"")</f>
        <v>Active</v>
      </c>
      <c r="E6" s="25">
        <f>IF($A6="","",N(CARDS!G6))</f>
        <v>30000000</v>
      </c>
      <c r="F6" s="25">
        <f>IF($A6="","",SUMIFS(TRANSACTIONS_MASTER!$L$5:$L$1204,TRANSACTIONS_MASTER!$D$5:$D$1204,$A6,TRANSACTIONS_MASTER!$X$5:$X$1204,"&lt;&gt;Đã thanh toán",TRANSACTIONS_MASTER!$U$5:$U$1204,"&lt;&gt;Cancelled"))</f>
        <v>11500000</v>
      </c>
      <c r="G6" s="25">
        <f>IF($A6="","",$E6-$F6)</f>
        <v>18500000</v>
      </c>
      <c r="H6" s="56">
        <f>IF($A6="","",IF(AND($D6="Active",$E6&gt;0),$F6/$E6,""))</f>
        <v>0.383333333333333</v>
      </c>
      <c r="I6" s="28" t="str">
        <f>IF($H6="","",IF($H6&gt;pUtil3,"⚠ Nguy hiểm",IF($H6&gt;=pUtil2,"⚠ Cảnh báo",IF($H6&gt;=pUtil1,"● Cảnh báo nhẹ","● Bình thường"))))</f>
        <v>● Bình thường</v>
      </c>
      <c r="J6" s="57">
        <f>IF(OR($A6="",NOT(ISNUMBER(CARDS!$H6))),"",IF(DATE(YEAR(pToday),MONTH(pToday),MIN(CARDS!$H6,DAY(EOMONTH(pToday,0))))&lt;=pToday,DATE(YEAR(pToday),MONTH(pToday),MIN(CARDS!$H6,DAY(EOMONTH(pToday,0)))),DATE(YEAR(pToday),MONTH(pToday)-1,MIN(CARDS!$H6,DAY(EOMONTH(pToday,-1))))))</f>
        <v>46300.0</v>
      </c>
      <c r="K6" s="57">
        <f>IF($J6="","",IF(DATE(YEAR(pToday),MONTH(pToday),MIN(CARDS!$H6,DAY(EOMONTH(pToday,0))))&gt;pToday,DATE(YEAR(pToday),MONTH(pToday),MIN(CARDS!$H6,DAY(EOMONTH(pToday,0)))),DATE(YEAR(pToday),MONTH(pToday)+1,MIN(CARDS!$H6,DAY(EOMONTH(pToday,1))))))</f>
        <v>46331.0</v>
      </c>
      <c r="L6" s="25">
        <f>IF($J6="","",SUMIFS(TRANSACTIONS_MASTER!$L$5:$L$1204,TRANSACTIONS_MASTER!$D$5:$D$1204,$A6,TRANSACTIONS_MASTER!$X$5:$X$1204,"&lt;&gt;Đã thanh toán",TRANSACTIONS_MASTER!$U$5:$U$1204,"&lt;&gt;Cancelled",TRANSACTIONS_MASTER!$B$5:$B$1204,"&lt;="&amp;$J6))</f>
        <v>11500000</v>
      </c>
      <c r="M6" s="57">
        <f>IF(OR($J6="",NOT(ISNUMBER(CARDS!$I6))),"",IF(CARDS!$I6&gt;CARDS!$H6,DATE(YEAR($J6),MONTH($J6),MIN(CARDS!$I6,DAY(EOMONTH($J6,0)))),DATE(YEAR($J6),MONTH($J6)+1,MIN(CARDS!$I6,DAY(EOMONTH($J6,1))))))</f>
        <v>46320.0</v>
      </c>
      <c r="N6" s="58">
        <f>IF($M6="","",$M6-pToday)</f>
        <v>18</v>
      </c>
      <c r="O6" s="28" t="str">
        <f>IF($M6="","",IF($L6&lt;=0,"Đã thanh toán",IF($N6&lt;0,"Quá hạn",IF($N6=0,"Đến hạn",IF($N6&lt;=pWarnDays,"Sắp đến hạn","Chưa đến hạn")))))</f>
        <v>Chưa đến hạn</v>
      </c>
    </row>
    <row r="7" ht="21" customHeight="1">
      <c r="A7" s="55" t="str">
        <f>IF(CARDS!A7="","",CARDS!A7)</f>
        <v>TCB-B</v>
      </c>
      <c r="B7" s="55" t="str">
        <f>IF($A7="","",CARDS!B7&amp;"")</f>
        <v>Techcombank</v>
      </c>
      <c r="C7" s="55" t="str">
        <f>IF($A7="","",CARDS!C7&amp;"")</f>
        <v>Cashback Demo B</v>
      </c>
      <c r="D7" s="28" t="str">
        <f>IF($A7="","",CARDS!M7&amp;"")</f>
        <v>Active</v>
      </c>
      <c r="E7" s="25">
        <f>IF($A7="","",N(CARDS!G7))</f>
        <v>40000000</v>
      </c>
      <c r="F7" s="25">
        <f>IF($A7="","",SUMIFS(TRANSACTIONS_MASTER!$L$5:$L$1204,TRANSACTIONS_MASTER!$D$5:$D$1204,$A7,TRANSACTIONS_MASTER!$X$5:$X$1204,"&lt;&gt;Đã thanh toán",TRANSACTIONS_MASTER!$U$5:$U$1204,"&lt;&gt;Cancelled"))</f>
        <v>8300000</v>
      </c>
      <c r="G7" s="25">
        <f>IF($A7="","",$E7-$F7)</f>
        <v>31700000</v>
      </c>
      <c r="H7" s="56">
        <f>IF($A7="","",IF(AND($D7="Active",$E7&gt;0),$F7/$E7,""))</f>
        <v>0.2075</v>
      </c>
      <c r="I7" s="28" t="str">
        <f>IF($H7="","",IF($H7&gt;pUtil3,"⚠ Nguy hiểm",IF($H7&gt;=pUtil2,"⚠ Cảnh báo",IF($H7&gt;=pUtil1,"● Cảnh báo nhẹ","● Bình thường"))))</f>
        <v>● Bình thường</v>
      </c>
      <c r="J7" s="57">
        <f>IF(OR($A7="",NOT(ISNUMBER(CARDS!$H7))),"",IF(DATE(YEAR(pToday),MONTH(pToday),MIN(CARDS!$H7,DAY(EOMONTH(pToday,0))))&lt;=pToday,DATE(YEAR(pToday),MONTH(pToday),MIN(CARDS!$H7,DAY(EOMONTH(pToday,0)))),DATE(YEAR(pToday),MONTH(pToday)-1,MIN(CARDS!$H7,DAY(EOMONTH(pToday,-1))))))</f>
        <v>46285.0</v>
      </c>
      <c r="K7" s="57">
        <f>IF($J7="","",IF(DATE(YEAR(pToday),MONTH(pToday),MIN(CARDS!$H7,DAY(EOMONTH(pToday,0))))&gt;pToday,DATE(YEAR(pToday),MONTH(pToday),MIN(CARDS!$H7,DAY(EOMONTH(pToday,0)))),DATE(YEAR(pToday),MONTH(pToday)+1,MIN(CARDS!$H7,DAY(EOMONTH(pToday,1))))))</f>
        <v>46315.0</v>
      </c>
      <c r="L7" s="25">
        <f>IF($J7="","",SUMIFS(TRANSACTIONS_MASTER!$L$5:$L$1204,TRANSACTIONS_MASTER!$D$5:$D$1204,$A7,TRANSACTIONS_MASTER!$X$5:$X$1204,"&lt;&gt;Đã thanh toán",TRANSACTIONS_MASTER!$U$5:$U$1204,"&lt;&gt;Cancelled",TRANSACTIONS_MASTER!$B$5:$B$1204,"&lt;="&amp;$J7))</f>
        <v>0</v>
      </c>
      <c r="M7" s="57">
        <f>IF(OR($J7="",NOT(ISNUMBER(CARDS!$I7))),"",IF(CARDS!$I7&gt;CARDS!$H7,DATE(YEAR($J7),MONTH($J7),MIN(CARDS!$I7,DAY(EOMONTH($J7,0)))),DATE(YEAR($J7),MONTH($J7)+1,MIN(CARDS!$I7,DAY(EOMONTH($J7,1))))))</f>
        <v>46305.0</v>
      </c>
      <c r="N7" s="58">
        <f>IF($M7="","",$M7-pToday)</f>
        <v>3</v>
      </c>
      <c r="O7" s="28" t="str">
        <f>IF($M7="","",IF($L7&lt;=0,"Đã thanh toán",IF($N7&lt;0,"Quá hạn",IF($N7=0,"Đến hạn",IF($N7&lt;=pWarnDays,"Sắp đến hạn","Chưa đến hạn")))))</f>
        <v>Đã thanh toán</v>
      </c>
    </row>
    <row r="8" ht="21" customHeight="1">
      <c r="A8" s="55" t="str">
        <f>IF(CARDS!A8="","",CARDS!A8)</f>
        <v>UOB-C</v>
      </c>
      <c r="B8" s="55" t="str">
        <f>IF($A8="","",CARDS!B8&amp;"")</f>
        <v>UOB</v>
      </c>
      <c r="C8" s="55" t="str">
        <f>IF($A8="","",CARDS!C8&amp;"")</f>
        <v>Cashback Demo C</v>
      </c>
      <c r="D8" s="28" t="str">
        <f>IF($A8="","",CARDS!M8&amp;"")</f>
        <v>Active</v>
      </c>
      <c r="E8" s="25">
        <f>IF($A8="","",N(CARDS!G8))</f>
        <v>25000000</v>
      </c>
      <c r="F8" s="25">
        <f>IF($A8="","",SUMIFS(TRANSACTIONS_MASTER!$L$5:$L$1204,TRANSACTIONS_MASTER!$D$5:$D$1204,$A8,TRANSACTIONS_MASTER!$X$5:$X$1204,"&lt;&gt;Đã thanh toán",TRANSACTIONS_MASTER!$U$5:$U$1204,"&lt;&gt;Cancelled"))</f>
        <v>7000000</v>
      </c>
      <c r="G8" s="25">
        <f>IF($A8="","",$E8-$F8)</f>
        <v>18000000</v>
      </c>
      <c r="H8" s="56">
        <f>IF($A8="","",IF(AND($D8="Active",$E8&gt;0),$F8/$E8,""))</f>
        <v>0.28</v>
      </c>
      <c r="I8" s="28" t="str">
        <f>IF($H8="","",IF($H8&gt;pUtil3,"⚠ Nguy hiểm",IF($H8&gt;=pUtil2,"⚠ Cảnh báo",IF($H8&gt;=pUtil1,"● Cảnh báo nhẹ","● Bình thường"))))</f>
        <v>● Bình thường</v>
      </c>
      <c r="J8" s="57">
        <f>IF(OR($A8="",NOT(ISNUMBER(CARDS!$H8))),"",IF(DATE(YEAR(pToday),MONTH(pToday),MIN(CARDS!$H8,DAY(EOMONTH(pToday,0))))&lt;=pToday,DATE(YEAR(pToday),MONTH(pToday),MIN(CARDS!$H8,DAY(EOMONTH(pToday,0)))),DATE(YEAR(pToday),MONTH(pToday)-1,MIN(CARDS!$H8,DAY(EOMONTH(pToday,-1))))))</f>
        <v>46275.0</v>
      </c>
      <c r="K8" s="57">
        <f>IF($J8="","",IF(DATE(YEAR(pToday),MONTH(pToday),MIN(CARDS!$H8,DAY(EOMONTH(pToday,0))))&gt;pToday,DATE(YEAR(pToday),MONTH(pToday),MIN(CARDS!$H8,DAY(EOMONTH(pToday,0)))),DATE(YEAR(pToday),MONTH(pToday)+1,MIN(CARDS!$H8,DAY(EOMONTH(pToday,1))))))</f>
        <v>46305.0</v>
      </c>
      <c r="L8" s="25">
        <f>IF($J8="","",SUMIFS(TRANSACTIONS_MASTER!$L$5:$L$1204,TRANSACTIONS_MASTER!$D$5:$D$1204,$A8,TRANSACTIONS_MASTER!$X$5:$X$1204,"&lt;&gt;Đã thanh toán",TRANSACTIONS_MASTER!$U$5:$U$1204,"&lt;&gt;Cancelled",TRANSACTIONS_MASTER!$B$5:$B$1204,"&lt;="&amp;$J8))</f>
        <v>0</v>
      </c>
      <c r="M8" s="57">
        <f>IF(OR($J8="",NOT(ISNUMBER(CARDS!$I8))),"",IF(CARDS!$I8&gt;CARDS!$H8,DATE(YEAR($J8),MONTH($J8),MIN(CARDS!$I8,DAY(EOMONTH($J8,0)))),DATE(YEAR($J8),MONTH($J8)+1,MIN(CARDS!$I8,DAY(EOMONTH($J8,1))))))</f>
        <v>46293.0</v>
      </c>
      <c r="N8" s="58">
        <f>IF($M8="","",$M8-pToday)</f>
        <v>-9</v>
      </c>
      <c r="O8" s="28" t="str">
        <f>IF($M8="","",IF($L8&lt;=0,"Đã thanh toán",IF($N8&lt;0,"Quá hạn",IF($N8=0,"Đến hạn",IF($N8&lt;=pWarnDays,"Sắp đến hạn","Chưa đến hạn")))))</f>
        <v>Đã thanh toán</v>
      </c>
    </row>
    <row r="9" ht="21" customHeight="1">
      <c r="A9" s="55" t="str">
        <f>IF(CARDS!A9="","",CARDS!A9)</f>
        <v>MB-D</v>
      </c>
      <c r="B9" s="55" t="str">
        <f>IF($A9="","",CARDS!B9&amp;"")</f>
        <v>MB</v>
      </c>
      <c r="C9" s="55" t="str">
        <f>IF($A9="","",CARDS!C9&amp;"")</f>
        <v>Cashback Demo D</v>
      </c>
      <c r="D9" s="28" t="str">
        <f>IF($A9="","",CARDS!M9&amp;"")</f>
        <v>Active</v>
      </c>
      <c r="E9" s="25">
        <f>IF($A9="","",N(CARDS!G9))</f>
        <v>20000000</v>
      </c>
      <c r="F9" s="25">
        <f>IF($A9="","",SUMIFS(TRANSACTIONS_MASTER!$L$5:$L$1204,TRANSACTIONS_MASTER!$D$5:$D$1204,$A9,TRANSACTIONS_MASTER!$X$5:$X$1204,"&lt;&gt;Đã thanh toán",TRANSACTIONS_MASTER!$U$5:$U$1204,"&lt;&gt;Cancelled"))</f>
        <v>10350000</v>
      </c>
      <c r="G9" s="25">
        <f>IF($A9="","",$E9-$F9)</f>
        <v>9650000</v>
      </c>
      <c r="H9" s="56">
        <f>IF($A9="","",IF(AND($D9="Active",$E9&gt;0),$F9/$E9,""))</f>
        <v>0.5175</v>
      </c>
      <c r="I9" s="28" t="str">
        <f>IF($H9="","",IF($H9&gt;pUtil3,"⚠ Nguy hiểm",IF($H9&gt;=pUtil2,"⚠ Cảnh báo",IF($H9&gt;=pUtil1,"● Cảnh báo nhẹ","● Bình thường"))))</f>
        <v>● Cảnh báo nhẹ</v>
      </c>
      <c r="J9" s="57">
        <f>IF(OR($A9="",NOT(ISNUMBER(CARDS!$H9))),"",IF(DATE(YEAR(pToday),MONTH(pToday),MIN(CARDS!$H9,DAY(EOMONTH(pToday,0))))&lt;=pToday,DATE(YEAR(pToday),MONTH(pToday),MIN(CARDS!$H9,DAY(EOMONTH(pToday,0)))),DATE(YEAR(pToday),MONTH(pToday)-1,MIN(CARDS!$H9,DAY(EOMONTH(pToday,-1))))))</f>
        <v>46296.0</v>
      </c>
      <c r="K9" s="57">
        <f>IF($J9="","",IF(DATE(YEAR(pToday),MONTH(pToday),MIN(CARDS!$H9,DAY(EOMONTH(pToday,0))))&gt;pToday,DATE(YEAR(pToday),MONTH(pToday),MIN(CARDS!$H9,DAY(EOMONTH(pToday,0)))),DATE(YEAR(pToday),MONTH(pToday)+1,MIN(CARDS!$H9,DAY(EOMONTH(pToday,1))))))</f>
        <v>46327.0</v>
      </c>
      <c r="L9" s="25">
        <f>IF($J9="","",SUMIFS(TRANSACTIONS_MASTER!$L$5:$L$1204,TRANSACTIONS_MASTER!$D$5:$D$1204,$A9,TRANSACTIONS_MASTER!$X$5:$X$1204,"&lt;&gt;Đã thanh toán",TRANSACTIONS_MASTER!$U$5:$U$1204,"&lt;&gt;Cancelled",TRANSACTIONS_MASTER!$B$5:$B$1204,"&lt;="&amp;$J9))</f>
        <v>800000</v>
      </c>
      <c r="M9" s="57">
        <f>IF(OR($J9="",NOT(ISNUMBER(CARDS!$I9))),"",IF(CARDS!$I9&gt;CARDS!$H9,DATE(YEAR($J9),MONTH($J9),MIN(CARDS!$I9,DAY(EOMONTH($J9,0)))),DATE(YEAR($J9),MONTH($J9)+1,MIN(CARDS!$I9,DAY(EOMONTH($J9,1))))))</f>
        <v>46303.0</v>
      </c>
      <c r="N9" s="58">
        <f>IF($M9="","",$M9-pToday)</f>
        <v>1</v>
      </c>
      <c r="O9" s="28" t="str">
        <f>IF($M9="","",IF($L9&lt;=0,"Đã thanh toán",IF($N9&lt;0,"Quá hạn",IF($N9=0,"Đến hạn",IF($N9&lt;=pWarnDays,"Sắp đến hạn","Chưa đến hạn")))))</f>
        <v>Sắp đến hạn</v>
      </c>
    </row>
    <row r="10" ht="21" customHeight="1">
      <c r="A10" s="55" t="str">
        <f>IF(CARDS!A10="","",CARDS!A10)</f>
        <v>ACB-E</v>
      </c>
      <c r="B10" s="55" t="str">
        <f>IF($A10="","",CARDS!B10&amp;"")</f>
        <v>ACB</v>
      </c>
      <c r="C10" s="55" t="str">
        <f>IF($A10="","",CARDS!C10&amp;"")</f>
        <v>Demo E (không cashback)</v>
      </c>
      <c r="D10" s="28" t="str">
        <f>IF($A10="","",CARDS!M10&amp;"")</f>
        <v>Active</v>
      </c>
      <c r="E10" s="25">
        <f>IF($A10="","",N(CARDS!G10))</f>
        <v>20000000</v>
      </c>
      <c r="F10" s="25">
        <f>IF($A10="","",SUMIFS(TRANSACTIONS_MASTER!$L$5:$L$1204,TRANSACTIONS_MASTER!$D$5:$D$1204,$A10,TRANSACTIONS_MASTER!$X$5:$X$1204,"&lt;&gt;Đã thanh toán",TRANSACTIONS_MASTER!$U$5:$U$1204,"&lt;&gt;Cancelled"))</f>
        <v>1000000</v>
      </c>
      <c r="G10" s="25">
        <f>IF($A10="","",$E10-$F10)</f>
        <v>19000000</v>
      </c>
      <c r="H10" s="56">
        <f>IF($A10="","",IF(AND($D10="Active",$E10&gt;0),$F10/$E10,""))</f>
        <v>0.05</v>
      </c>
      <c r="I10" s="28" t="str">
        <f>IF($H10="","",IF($H10&gt;pUtil3,"⚠ Nguy hiểm",IF($H10&gt;=pUtil2,"⚠ Cảnh báo",IF($H10&gt;=pUtil1,"● Cảnh báo nhẹ","● Bình thường"))))</f>
        <v>● Bình thường</v>
      </c>
      <c r="J10" s="57">
        <f>IF(OR($A10="",NOT(ISNUMBER(CARDS!$H10))),"",IF(DATE(YEAR(pToday),MONTH(pToday),MIN(CARDS!$H10,DAY(EOMONTH(pToday,0))))&lt;=pToday,DATE(YEAR(pToday),MONTH(pToday),MIN(CARDS!$H10,DAY(EOMONTH(pToday,0)))),DATE(YEAR(pToday),MONTH(pToday)-1,MIN(CARDS!$H10,DAY(EOMONTH(pToday,-1))))))</f>
        <v>46280.0</v>
      </c>
      <c r="K10" s="57">
        <f>IF($J10="","",IF(DATE(YEAR(pToday),MONTH(pToday),MIN(CARDS!$H10,DAY(EOMONTH(pToday,0))))&gt;pToday,DATE(YEAR(pToday),MONTH(pToday),MIN(CARDS!$H10,DAY(EOMONTH(pToday,0)))),DATE(YEAR(pToday),MONTH(pToday)+1,MIN(CARDS!$H10,DAY(EOMONTH(pToday,1))))))</f>
        <v>46310.0</v>
      </c>
      <c r="L10" s="25">
        <f>IF($J10="","",SUMIFS(TRANSACTIONS_MASTER!$L$5:$L$1204,TRANSACTIONS_MASTER!$D$5:$D$1204,$A10,TRANSACTIONS_MASTER!$X$5:$X$1204,"&lt;&gt;Đã thanh toán",TRANSACTIONS_MASTER!$U$5:$U$1204,"&lt;&gt;Cancelled",TRANSACTIONS_MASTER!$B$5:$B$1204,"&lt;="&amp;$J10))</f>
        <v>0</v>
      </c>
      <c r="M10" s="57">
        <f>IF(OR($J10="",NOT(ISNUMBER(CARDS!$I10))),"",IF(CARDS!$I10&gt;CARDS!$H10,DATE(YEAR($J10),MONTH($J10),MIN(CARDS!$I10,DAY(EOMONTH($J10,0)))),DATE(YEAR($J10),MONTH($J10)+1,MIN(CARDS!$I10,DAY(EOMONTH($J10,1))))))</f>
        <v>46298.0</v>
      </c>
      <c r="N10" s="58">
        <f>IF($M10="","",$M10-pToday)</f>
        <v>-4</v>
      </c>
      <c r="O10" s="28" t="str">
        <f>IF($M10="","",IF($L10&lt;=0,"Đã thanh toán",IF($N10&lt;0,"Quá hạn",IF($N10=0,"Đến hạn",IF($N10&lt;=pWarnDays,"Sắp đến hạn","Chưa đến hạn")))))</f>
        <v>Đã thanh toán</v>
      </c>
    </row>
    <row r="11" ht="21" customHeight="1">
      <c r="A11" s="55" t="str">
        <f>IF(CARDS!A11="","",CARDS!A11)</f>
        <v/>
      </c>
      <c r="B11" s="55" t="str">
        <f>IF($A11="","",CARDS!B11&amp;"")</f>
        <v/>
      </c>
      <c r="C11" s="55" t="str">
        <f>IF($A11="","",CARDS!C11&amp;"")</f>
        <v/>
      </c>
      <c r="D11" s="28" t="str">
        <f>IF($A11="","",CARDS!M11&amp;"")</f>
        <v/>
      </c>
      <c r="E11" s="25" t="str">
        <f>IF($A11="","",N(CARDS!G11))</f>
        <v/>
      </c>
      <c r="F11" s="25" t="str">
        <f>IF($A11="","",SUMIFS(TRANSACTIONS_MASTER!$L$5:$L$1204,TRANSACTIONS_MASTER!$D$5:$D$1204,$A11,TRANSACTIONS_MASTER!$X$5:$X$1204,"&lt;&gt;Đã thanh toán",TRANSACTIONS_MASTER!$U$5:$U$1204,"&lt;&gt;Cancelled"))</f>
        <v/>
      </c>
      <c r="G11" s="25" t="str">
        <f>IF($A11="","",$E11-$F11)</f>
        <v/>
      </c>
      <c r="H11" s="56" t="str">
        <f>IF($A11="","",IF(AND($D11="Active",$E11&gt;0),$F11/$E11,""))</f>
        <v/>
      </c>
      <c r="I11" s="28" t="str">
        <f>IF($H11="","",IF($H11&gt;pUtil3,"⚠ Nguy hiểm",IF($H11&gt;=pUtil2,"⚠ Cảnh báo",IF($H11&gt;=pUtil1,"● Cảnh báo nhẹ","● Bình thường"))))</f>
        <v/>
      </c>
      <c r="J11" s="57" t="str">
        <f>IF(OR($A11="",NOT(ISNUMBER(CARDS!$H11))),"",IF(DATE(YEAR(pToday),MONTH(pToday),MIN(CARDS!$H11,DAY(EOMONTH(pToday,0))))&lt;=pToday,DATE(YEAR(pToday),MONTH(pToday),MIN(CARDS!$H11,DAY(EOMONTH(pToday,0)))),DATE(YEAR(pToday),MONTH(pToday)-1,MIN(CARDS!$H11,DAY(EOMONTH(pToday,-1))))))</f>
        <v/>
      </c>
      <c r="K11" s="57" t="str">
        <f>IF($J11="","",IF(DATE(YEAR(pToday),MONTH(pToday),MIN(CARDS!$H11,DAY(EOMONTH(pToday,0))))&gt;pToday,DATE(YEAR(pToday),MONTH(pToday),MIN(CARDS!$H11,DAY(EOMONTH(pToday,0)))),DATE(YEAR(pToday),MONTH(pToday)+1,MIN(CARDS!$H11,DAY(EOMONTH(pToday,1))))))</f>
        <v/>
      </c>
      <c r="L11" s="25" t="str">
        <f>IF($J11="","",SUMIFS(TRANSACTIONS_MASTER!$L$5:$L$1204,TRANSACTIONS_MASTER!$D$5:$D$1204,$A11,TRANSACTIONS_MASTER!$X$5:$X$1204,"&lt;&gt;Đã thanh toán",TRANSACTIONS_MASTER!$U$5:$U$1204,"&lt;&gt;Cancelled",TRANSACTIONS_MASTER!$B$5:$B$1204,"&lt;="&amp;$J11))</f>
        <v/>
      </c>
      <c r="M11" s="57" t="str">
        <f>IF(OR($J11="",NOT(ISNUMBER(CARDS!$I11))),"",IF(CARDS!$I11&gt;CARDS!$H11,DATE(YEAR($J11),MONTH($J11),MIN(CARDS!$I11,DAY(EOMONTH($J11,0)))),DATE(YEAR($J11),MONTH($J11)+1,MIN(CARDS!$I11,DAY(EOMONTH($J11,1))))))</f>
        <v/>
      </c>
      <c r="N11" s="58" t="str">
        <f>IF($M11="","",$M11-pToday)</f>
        <v/>
      </c>
      <c r="O11" s="28" t="str">
        <f>IF($M11="","",IF($L11&lt;=0,"Đã thanh toán",IF($N11&lt;0,"Quá hạn",IF($N11=0,"Đến hạn",IF($N11&lt;=pWarnDays,"Sắp đến hạn","Chưa đến hạn")))))</f>
        <v/>
      </c>
    </row>
    <row r="12" ht="21" customHeight="1">
      <c r="A12" s="55" t="str">
        <f>IF(CARDS!A12="","",CARDS!A12)</f>
        <v/>
      </c>
      <c r="B12" s="55" t="str">
        <f>IF($A12="","",CARDS!B12&amp;"")</f>
        <v/>
      </c>
      <c r="C12" s="55" t="str">
        <f>IF($A12="","",CARDS!C12&amp;"")</f>
        <v/>
      </c>
      <c r="D12" s="28" t="str">
        <f>IF($A12="","",CARDS!M12&amp;"")</f>
        <v/>
      </c>
      <c r="E12" s="25" t="str">
        <f>IF($A12="","",N(CARDS!G12))</f>
        <v/>
      </c>
      <c r="F12" s="25" t="str">
        <f>IF($A12="","",SUMIFS(TRANSACTIONS_MASTER!$L$5:$L$1204,TRANSACTIONS_MASTER!$D$5:$D$1204,$A12,TRANSACTIONS_MASTER!$X$5:$X$1204,"&lt;&gt;Đã thanh toán",TRANSACTIONS_MASTER!$U$5:$U$1204,"&lt;&gt;Cancelled"))</f>
        <v/>
      </c>
      <c r="G12" s="25" t="str">
        <f>IF($A12="","",$E12-$F12)</f>
        <v/>
      </c>
      <c r="H12" s="56" t="str">
        <f>IF($A12="","",IF(AND($D12="Active",$E12&gt;0),$F12/$E12,""))</f>
        <v/>
      </c>
      <c r="I12" s="28" t="str">
        <f>IF($H12="","",IF($H12&gt;pUtil3,"⚠ Nguy hiểm",IF($H12&gt;=pUtil2,"⚠ Cảnh báo",IF($H12&gt;=pUtil1,"● Cảnh báo nhẹ","● Bình thường"))))</f>
        <v/>
      </c>
      <c r="J12" s="57" t="str">
        <f>IF(OR($A12="",NOT(ISNUMBER(CARDS!$H12))),"",IF(DATE(YEAR(pToday),MONTH(pToday),MIN(CARDS!$H12,DAY(EOMONTH(pToday,0))))&lt;=pToday,DATE(YEAR(pToday),MONTH(pToday),MIN(CARDS!$H12,DAY(EOMONTH(pToday,0)))),DATE(YEAR(pToday),MONTH(pToday)-1,MIN(CARDS!$H12,DAY(EOMONTH(pToday,-1))))))</f>
        <v/>
      </c>
      <c r="K12" s="57" t="str">
        <f>IF($J12="","",IF(DATE(YEAR(pToday),MONTH(pToday),MIN(CARDS!$H12,DAY(EOMONTH(pToday,0))))&gt;pToday,DATE(YEAR(pToday),MONTH(pToday),MIN(CARDS!$H12,DAY(EOMONTH(pToday,0)))),DATE(YEAR(pToday),MONTH(pToday)+1,MIN(CARDS!$H12,DAY(EOMONTH(pToday,1))))))</f>
        <v/>
      </c>
      <c r="L12" s="25" t="str">
        <f>IF($J12="","",SUMIFS(TRANSACTIONS_MASTER!$L$5:$L$1204,TRANSACTIONS_MASTER!$D$5:$D$1204,$A12,TRANSACTIONS_MASTER!$X$5:$X$1204,"&lt;&gt;Đã thanh toán",TRANSACTIONS_MASTER!$U$5:$U$1204,"&lt;&gt;Cancelled",TRANSACTIONS_MASTER!$B$5:$B$1204,"&lt;="&amp;$J12))</f>
        <v/>
      </c>
      <c r="M12" s="57" t="str">
        <f>IF(OR($J12="",NOT(ISNUMBER(CARDS!$I12))),"",IF(CARDS!$I12&gt;CARDS!$H12,DATE(YEAR($J12),MONTH($J12),MIN(CARDS!$I12,DAY(EOMONTH($J12,0)))),DATE(YEAR($J12),MONTH($J12)+1,MIN(CARDS!$I12,DAY(EOMONTH($J12,1))))))</f>
        <v/>
      </c>
      <c r="N12" s="58" t="str">
        <f>IF($M12="","",$M12-pToday)</f>
        <v/>
      </c>
      <c r="O12" s="28" t="str">
        <f>IF($M12="","",IF($L12&lt;=0,"Đã thanh toán",IF($N12&lt;0,"Quá hạn",IF($N12=0,"Đến hạn",IF($N12&lt;=pWarnDays,"Sắp đến hạn","Chưa đến hạn")))))</f>
        <v/>
      </c>
    </row>
    <row r="13" ht="21" customHeight="1">
      <c r="A13" s="55" t="str">
        <f>IF(CARDS!A13="","",CARDS!A13)</f>
        <v/>
      </c>
      <c r="B13" s="55" t="str">
        <f>IF($A13="","",CARDS!B13&amp;"")</f>
        <v/>
      </c>
      <c r="C13" s="55" t="str">
        <f>IF($A13="","",CARDS!C13&amp;"")</f>
        <v/>
      </c>
      <c r="D13" s="28" t="str">
        <f>IF($A13="","",CARDS!M13&amp;"")</f>
        <v/>
      </c>
      <c r="E13" s="25" t="str">
        <f>IF($A13="","",N(CARDS!G13))</f>
        <v/>
      </c>
      <c r="F13" s="25" t="str">
        <f>IF($A13="","",SUMIFS(TRANSACTIONS_MASTER!$L$5:$L$1204,TRANSACTIONS_MASTER!$D$5:$D$1204,$A13,TRANSACTIONS_MASTER!$X$5:$X$1204,"&lt;&gt;Đã thanh toán",TRANSACTIONS_MASTER!$U$5:$U$1204,"&lt;&gt;Cancelled"))</f>
        <v/>
      </c>
      <c r="G13" s="25" t="str">
        <f>IF($A13="","",$E13-$F13)</f>
        <v/>
      </c>
      <c r="H13" s="56" t="str">
        <f>IF($A13="","",IF(AND($D13="Active",$E13&gt;0),$F13/$E13,""))</f>
        <v/>
      </c>
      <c r="I13" s="28" t="str">
        <f>IF($H13="","",IF($H13&gt;pUtil3,"⚠ Nguy hiểm",IF($H13&gt;=pUtil2,"⚠ Cảnh báo",IF($H13&gt;=pUtil1,"● Cảnh báo nhẹ","● Bình thường"))))</f>
        <v/>
      </c>
      <c r="J13" s="57" t="str">
        <f>IF(OR($A13="",NOT(ISNUMBER(CARDS!$H13))),"",IF(DATE(YEAR(pToday),MONTH(pToday),MIN(CARDS!$H13,DAY(EOMONTH(pToday,0))))&lt;=pToday,DATE(YEAR(pToday),MONTH(pToday),MIN(CARDS!$H13,DAY(EOMONTH(pToday,0)))),DATE(YEAR(pToday),MONTH(pToday)-1,MIN(CARDS!$H13,DAY(EOMONTH(pToday,-1))))))</f>
        <v/>
      </c>
      <c r="K13" s="57" t="str">
        <f>IF($J13="","",IF(DATE(YEAR(pToday),MONTH(pToday),MIN(CARDS!$H13,DAY(EOMONTH(pToday,0))))&gt;pToday,DATE(YEAR(pToday),MONTH(pToday),MIN(CARDS!$H13,DAY(EOMONTH(pToday,0)))),DATE(YEAR(pToday),MONTH(pToday)+1,MIN(CARDS!$H13,DAY(EOMONTH(pToday,1))))))</f>
        <v/>
      </c>
      <c r="L13" s="25" t="str">
        <f>IF($J13="","",SUMIFS(TRANSACTIONS_MASTER!$L$5:$L$1204,TRANSACTIONS_MASTER!$D$5:$D$1204,$A13,TRANSACTIONS_MASTER!$X$5:$X$1204,"&lt;&gt;Đã thanh toán",TRANSACTIONS_MASTER!$U$5:$U$1204,"&lt;&gt;Cancelled",TRANSACTIONS_MASTER!$B$5:$B$1204,"&lt;="&amp;$J13))</f>
        <v/>
      </c>
      <c r="M13" s="57" t="str">
        <f>IF(OR($J13="",NOT(ISNUMBER(CARDS!$I13))),"",IF(CARDS!$I13&gt;CARDS!$H13,DATE(YEAR($J13),MONTH($J13),MIN(CARDS!$I13,DAY(EOMONTH($J13,0)))),DATE(YEAR($J13),MONTH($J13)+1,MIN(CARDS!$I13,DAY(EOMONTH($J13,1))))))</f>
        <v/>
      </c>
      <c r="N13" s="58" t="str">
        <f>IF($M13="","",$M13-pToday)</f>
        <v/>
      </c>
      <c r="O13" s="28" t="str">
        <f>IF($M13="","",IF($L13&lt;=0,"Đã thanh toán",IF($N13&lt;0,"Quá hạn",IF($N13=0,"Đến hạn",IF($N13&lt;=pWarnDays,"Sắp đến hạn","Chưa đến hạn")))))</f>
        <v/>
      </c>
    </row>
    <row r="14" ht="21" customHeight="1">
      <c r="A14" s="55" t="str">
        <f>IF(CARDS!A14="","",CARDS!A14)</f>
        <v/>
      </c>
      <c r="B14" s="55" t="str">
        <f>IF($A14="","",CARDS!B14&amp;"")</f>
        <v/>
      </c>
      <c r="C14" s="55" t="str">
        <f>IF($A14="","",CARDS!C14&amp;"")</f>
        <v/>
      </c>
      <c r="D14" s="28" t="str">
        <f>IF($A14="","",CARDS!M14&amp;"")</f>
        <v/>
      </c>
      <c r="E14" s="25" t="str">
        <f>IF($A14="","",N(CARDS!G14))</f>
        <v/>
      </c>
      <c r="F14" s="25" t="str">
        <f>IF($A14="","",SUMIFS(TRANSACTIONS_MASTER!$L$5:$L$1204,TRANSACTIONS_MASTER!$D$5:$D$1204,$A14,TRANSACTIONS_MASTER!$X$5:$X$1204,"&lt;&gt;Đã thanh toán",TRANSACTIONS_MASTER!$U$5:$U$1204,"&lt;&gt;Cancelled"))</f>
        <v/>
      </c>
      <c r="G14" s="25" t="str">
        <f>IF($A14="","",$E14-$F14)</f>
        <v/>
      </c>
      <c r="H14" s="56" t="str">
        <f>IF($A14="","",IF(AND($D14="Active",$E14&gt;0),$F14/$E14,""))</f>
        <v/>
      </c>
      <c r="I14" s="28" t="str">
        <f>IF($H14="","",IF($H14&gt;pUtil3,"⚠ Nguy hiểm",IF($H14&gt;=pUtil2,"⚠ Cảnh báo",IF($H14&gt;=pUtil1,"● Cảnh báo nhẹ","● Bình thường"))))</f>
        <v/>
      </c>
      <c r="J14" s="57" t="str">
        <f>IF(OR($A14="",NOT(ISNUMBER(CARDS!$H14))),"",IF(DATE(YEAR(pToday),MONTH(pToday),MIN(CARDS!$H14,DAY(EOMONTH(pToday,0))))&lt;=pToday,DATE(YEAR(pToday),MONTH(pToday),MIN(CARDS!$H14,DAY(EOMONTH(pToday,0)))),DATE(YEAR(pToday),MONTH(pToday)-1,MIN(CARDS!$H14,DAY(EOMONTH(pToday,-1))))))</f>
        <v/>
      </c>
      <c r="K14" s="57" t="str">
        <f>IF($J14="","",IF(DATE(YEAR(pToday),MONTH(pToday),MIN(CARDS!$H14,DAY(EOMONTH(pToday,0))))&gt;pToday,DATE(YEAR(pToday),MONTH(pToday),MIN(CARDS!$H14,DAY(EOMONTH(pToday,0)))),DATE(YEAR(pToday),MONTH(pToday)+1,MIN(CARDS!$H14,DAY(EOMONTH(pToday,1))))))</f>
        <v/>
      </c>
      <c r="L14" s="25" t="str">
        <f>IF($J14="","",SUMIFS(TRANSACTIONS_MASTER!$L$5:$L$1204,TRANSACTIONS_MASTER!$D$5:$D$1204,$A14,TRANSACTIONS_MASTER!$X$5:$X$1204,"&lt;&gt;Đã thanh toán",TRANSACTIONS_MASTER!$U$5:$U$1204,"&lt;&gt;Cancelled",TRANSACTIONS_MASTER!$B$5:$B$1204,"&lt;="&amp;$J14))</f>
        <v/>
      </c>
      <c r="M14" s="57" t="str">
        <f>IF(OR($J14="",NOT(ISNUMBER(CARDS!$I14))),"",IF(CARDS!$I14&gt;CARDS!$H14,DATE(YEAR($J14),MONTH($J14),MIN(CARDS!$I14,DAY(EOMONTH($J14,0)))),DATE(YEAR($J14),MONTH($J14)+1,MIN(CARDS!$I14,DAY(EOMONTH($J14,1))))))</f>
        <v/>
      </c>
      <c r="N14" s="58" t="str">
        <f>IF($M14="","",$M14-pToday)</f>
        <v/>
      </c>
      <c r="O14" s="28" t="str">
        <f>IF($M14="","",IF($L14&lt;=0,"Đã thanh toán",IF($N14&lt;0,"Quá hạn",IF($N14=0,"Đến hạn",IF($N14&lt;=pWarnDays,"Sắp đến hạn","Chưa đến hạn")))))</f>
        <v/>
      </c>
    </row>
    <row r="15" ht="21" customHeight="1">
      <c r="A15" s="55" t="str">
        <f>IF(CARDS!A15="","",CARDS!A15)</f>
        <v/>
      </c>
      <c r="B15" s="55" t="str">
        <f>IF($A15="","",CARDS!B15&amp;"")</f>
        <v/>
      </c>
      <c r="C15" s="55" t="str">
        <f>IF($A15="","",CARDS!C15&amp;"")</f>
        <v/>
      </c>
      <c r="D15" s="28" t="str">
        <f>IF($A15="","",CARDS!M15&amp;"")</f>
        <v/>
      </c>
      <c r="E15" s="25" t="str">
        <f>IF($A15="","",N(CARDS!G15))</f>
        <v/>
      </c>
      <c r="F15" s="25" t="str">
        <f>IF($A15="","",SUMIFS(TRANSACTIONS_MASTER!$L$5:$L$1204,TRANSACTIONS_MASTER!$D$5:$D$1204,$A15,TRANSACTIONS_MASTER!$X$5:$X$1204,"&lt;&gt;Đã thanh toán",TRANSACTIONS_MASTER!$U$5:$U$1204,"&lt;&gt;Cancelled"))</f>
        <v/>
      </c>
      <c r="G15" s="25" t="str">
        <f>IF($A15="","",$E15-$F15)</f>
        <v/>
      </c>
      <c r="H15" s="56" t="str">
        <f>IF($A15="","",IF(AND($D15="Active",$E15&gt;0),$F15/$E15,""))</f>
        <v/>
      </c>
      <c r="I15" s="28" t="str">
        <f>IF($H15="","",IF($H15&gt;pUtil3,"⚠ Nguy hiểm",IF($H15&gt;=pUtil2,"⚠ Cảnh báo",IF($H15&gt;=pUtil1,"● Cảnh báo nhẹ","● Bình thường"))))</f>
        <v/>
      </c>
      <c r="J15" s="57" t="str">
        <f>IF(OR($A15="",NOT(ISNUMBER(CARDS!$H15))),"",IF(DATE(YEAR(pToday),MONTH(pToday),MIN(CARDS!$H15,DAY(EOMONTH(pToday,0))))&lt;=pToday,DATE(YEAR(pToday),MONTH(pToday),MIN(CARDS!$H15,DAY(EOMONTH(pToday,0)))),DATE(YEAR(pToday),MONTH(pToday)-1,MIN(CARDS!$H15,DAY(EOMONTH(pToday,-1))))))</f>
        <v/>
      </c>
      <c r="K15" s="57" t="str">
        <f>IF($J15="","",IF(DATE(YEAR(pToday),MONTH(pToday),MIN(CARDS!$H15,DAY(EOMONTH(pToday,0))))&gt;pToday,DATE(YEAR(pToday),MONTH(pToday),MIN(CARDS!$H15,DAY(EOMONTH(pToday,0)))),DATE(YEAR(pToday),MONTH(pToday)+1,MIN(CARDS!$H15,DAY(EOMONTH(pToday,1))))))</f>
        <v/>
      </c>
      <c r="L15" s="25" t="str">
        <f>IF($J15="","",SUMIFS(TRANSACTIONS_MASTER!$L$5:$L$1204,TRANSACTIONS_MASTER!$D$5:$D$1204,$A15,TRANSACTIONS_MASTER!$X$5:$X$1204,"&lt;&gt;Đã thanh toán",TRANSACTIONS_MASTER!$U$5:$U$1204,"&lt;&gt;Cancelled",TRANSACTIONS_MASTER!$B$5:$B$1204,"&lt;="&amp;$J15))</f>
        <v/>
      </c>
      <c r="M15" s="57" t="str">
        <f>IF(OR($J15="",NOT(ISNUMBER(CARDS!$I15))),"",IF(CARDS!$I15&gt;CARDS!$H15,DATE(YEAR($J15),MONTH($J15),MIN(CARDS!$I15,DAY(EOMONTH($J15,0)))),DATE(YEAR($J15),MONTH($J15)+1,MIN(CARDS!$I15,DAY(EOMONTH($J15,1))))))</f>
        <v/>
      </c>
      <c r="N15" s="58" t="str">
        <f>IF($M15="","",$M15-pToday)</f>
        <v/>
      </c>
      <c r="O15" s="28" t="str">
        <f>IF($M15="","",IF($L15&lt;=0,"Đã thanh toán",IF($N15&lt;0,"Quá hạn",IF($N15=0,"Đến hạn",IF($N15&lt;=pWarnDays,"Sắp đến hạn","Chưa đến hạn")))))</f>
        <v/>
      </c>
    </row>
    <row r="16" ht="21" customHeight="1">
      <c r="A16" s="55" t="str">
        <f>IF(CARDS!A16="","",CARDS!A16)</f>
        <v/>
      </c>
      <c r="B16" s="55" t="str">
        <f>IF($A16="","",CARDS!B16&amp;"")</f>
        <v/>
      </c>
      <c r="C16" s="55" t="str">
        <f>IF($A16="","",CARDS!C16&amp;"")</f>
        <v/>
      </c>
      <c r="D16" s="28" t="str">
        <f>IF($A16="","",CARDS!M16&amp;"")</f>
        <v/>
      </c>
      <c r="E16" s="25" t="str">
        <f>IF($A16="","",N(CARDS!G16))</f>
        <v/>
      </c>
      <c r="F16" s="25" t="str">
        <f>IF($A16="","",SUMIFS(TRANSACTIONS_MASTER!$L$5:$L$1204,TRANSACTIONS_MASTER!$D$5:$D$1204,$A16,TRANSACTIONS_MASTER!$X$5:$X$1204,"&lt;&gt;Đã thanh toán",TRANSACTIONS_MASTER!$U$5:$U$1204,"&lt;&gt;Cancelled"))</f>
        <v/>
      </c>
      <c r="G16" s="25" t="str">
        <f>IF($A16="","",$E16-$F16)</f>
        <v/>
      </c>
      <c r="H16" s="56" t="str">
        <f>IF($A16="","",IF(AND($D16="Active",$E16&gt;0),$F16/$E16,""))</f>
        <v/>
      </c>
      <c r="I16" s="28" t="str">
        <f>IF($H16="","",IF($H16&gt;pUtil3,"⚠ Nguy hiểm",IF($H16&gt;=pUtil2,"⚠ Cảnh báo",IF($H16&gt;=pUtil1,"● Cảnh báo nhẹ","● Bình thường"))))</f>
        <v/>
      </c>
      <c r="J16" s="57" t="str">
        <f>IF(OR($A16="",NOT(ISNUMBER(CARDS!$H16))),"",IF(DATE(YEAR(pToday),MONTH(pToday),MIN(CARDS!$H16,DAY(EOMONTH(pToday,0))))&lt;=pToday,DATE(YEAR(pToday),MONTH(pToday),MIN(CARDS!$H16,DAY(EOMONTH(pToday,0)))),DATE(YEAR(pToday),MONTH(pToday)-1,MIN(CARDS!$H16,DAY(EOMONTH(pToday,-1))))))</f>
        <v/>
      </c>
      <c r="K16" s="57" t="str">
        <f>IF($J16="","",IF(DATE(YEAR(pToday),MONTH(pToday),MIN(CARDS!$H16,DAY(EOMONTH(pToday,0))))&gt;pToday,DATE(YEAR(pToday),MONTH(pToday),MIN(CARDS!$H16,DAY(EOMONTH(pToday,0)))),DATE(YEAR(pToday),MONTH(pToday)+1,MIN(CARDS!$H16,DAY(EOMONTH(pToday,1))))))</f>
        <v/>
      </c>
      <c r="L16" s="25" t="str">
        <f>IF($J16="","",SUMIFS(TRANSACTIONS_MASTER!$L$5:$L$1204,TRANSACTIONS_MASTER!$D$5:$D$1204,$A16,TRANSACTIONS_MASTER!$X$5:$X$1204,"&lt;&gt;Đã thanh toán",TRANSACTIONS_MASTER!$U$5:$U$1204,"&lt;&gt;Cancelled",TRANSACTIONS_MASTER!$B$5:$B$1204,"&lt;="&amp;$J16))</f>
        <v/>
      </c>
      <c r="M16" s="57" t="str">
        <f>IF(OR($J16="",NOT(ISNUMBER(CARDS!$I16))),"",IF(CARDS!$I16&gt;CARDS!$H16,DATE(YEAR($J16),MONTH($J16),MIN(CARDS!$I16,DAY(EOMONTH($J16,0)))),DATE(YEAR($J16),MONTH($J16)+1,MIN(CARDS!$I16,DAY(EOMONTH($J16,1))))))</f>
        <v/>
      </c>
      <c r="N16" s="58" t="str">
        <f>IF($M16="","",$M16-pToday)</f>
        <v/>
      </c>
      <c r="O16" s="28" t="str">
        <f>IF($M16="","",IF($L16&lt;=0,"Đã thanh toán",IF($N16&lt;0,"Quá hạn",IF($N16=0,"Đến hạn",IF($N16&lt;=pWarnDays,"Sắp đến hạn","Chưa đến hạn")))))</f>
        <v/>
      </c>
    </row>
    <row r="17" ht="21" customHeight="1">
      <c r="A17" s="55" t="str">
        <f>IF(CARDS!A17="","",CARDS!A17)</f>
        <v/>
      </c>
      <c r="B17" s="55" t="str">
        <f>IF($A17="","",CARDS!B17&amp;"")</f>
        <v/>
      </c>
      <c r="C17" s="55" t="str">
        <f>IF($A17="","",CARDS!C17&amp;"")</f>
        <v/>
      </c>
      <c r="D17" s="28" t="str">
        <f>IF($A17="","",CARDS!M17&amp;"")</f>
        <v/>
      </c>
      <c r="E17" s="25" t="str">
        <f>IF($A17="","",N(CARDS!G17))</f>
        <v/>
      </c>
      <c r="F17" s="25" t="str">
        <f>IF($A17="","",SUMIFS(TRANSACTIONS_MASTER!$L$5:$L$1204,TRANSACTIONS_MASTER!$D$5:$D$1204,$A17,TRANSACTIONS_MASTER!$X$5:$X$1204,"&lt;&gt;Đã thanh toán",TRANSACTIONS_MASTER!$U$5:$U$1204,"&lt;&gt;Cancelled"))</f>
        <v/>
      </c>
      <c r="G17" s="25" t="str">
        <f>IF($A17="","",$E17-$F17)</f>
        <v/>
      </c>
      <c r="H17" s="56" t="str">
        <f>IF($A17="","",IF(AND($D17="Active",$E17&gt;0),$F17/$E17,""))</f>
        <v/>
      </c>
      <c r="I17" s="28" t="str">
        <f>IF($H17="","",IF($H17&gt;pUtil3,"⚠ Nguy hiểm",IF($H17&gt;=pUtil2,"⚠ Cảnh báo",IF($H17&gt;=pUtil1,"● Cảnh báo nhẹ","● Bình thường"))))</f>
        <v/>
      </c>
      <c r="J17" s="57" t="str">
        <f>IF(OR($A17="",NOT(ISNUMBER(CARDS!$H17))),"",IF(DATE(YEAR(pToday),MONTH(pToday),MIN(CARDS!$H17,DAY(EOMONTH(pToday,0))))&lt;=pToday,DATE(YEAR(pToday),MONTH(pToday),MIN(CARDS!$H17,DAY(EOMONTH(pToday,0)))),DATE(YEAR(pToday),MONTH(pToday)-1,MIN(CARDS!$H17,DAY(EOMONTH(pToday,-1))))))</f>
        <v/>
      </c>
      <c r="K17" s="57" t="str">
        <f>IF($J17="","",IF(DATE(YEAR(pToday),MONTH(pToday),MIN(CARDS!$H17,DAY(EOMONTH(pToday,0))))&gt;pToday,DATE(YEAR(pToday),MONTH(pToday),MIN(CARDS!$H17,DAY(EOMONTH(pToday,0)))),DATE(YEAR(pToday),MONTH(pToday)+1,MIN(CARDS!$H17,DAY(EOMONTH(pToday,1))))))</f>
        <v/>
      </c>
      <c r="L17" s="25" t="str">
        <f>IF($J17="","",SUMIFS(TRANSACTIONS_MASTER!$L$5:$L$1204,TRANSACTIONS_MASTER!$D$5:$D$1204,$A17,TRANSACTIONS_MASTER!$X$5:$X$1204,"&lt;&gt;Đã thanh toán",TRANSACTIONS_MASTER!$U$5:$U$1204,"&lt;&gt;Cancelled",TRANSACTIONS_MASTER!$B$5:$B$1204,"&lt;="&amp;$J17))</f>
        <v/>
      </c>
      <c r="M17" s="57" t="str">
        <f>IF(OR($J17="",NOT(ISNUMBER(CARDS!$I17))),"",IF(CARDS!$I17&gt;CARDS!$H17,DATE(YEAR($J17),MONTH($J17),MIN(CARDS!$I17,DAY(EOMONTH($J17,0)))),DATE(YEAR($J17),MONTH($J17)+1,MIN(CARDS!$I17,DAY(EOMONTH($J17,1))))))</f>
        <v/>
      </c>
      <c r="N17" s="58" t="str">
        <f>IF($M17="","",$M17-pToday)</f>
        <v/>
      </c>
      <c r="O17" s="28" t="str">
        <f>IF($M17="","",IF($L17&lt;=0,"Đã thanh toán",IF($N17&lt;0,"Quá hạn",IF($N17=0,"Đến hạn",IF($N17&lt;=pWarnDays,"Sắp đến hạn","Chưa đến hạn")))))</f>
        <v/>
      </c>
    </row>
    <row r="18" ht="21" customHeight="1">
      <c r="A18" s="55" t="str">
        <f>IF(CARDS!A18="","",CARDS!A18)</f>
        <v/>
      </c>
      <c r="B18" s="55" t="str">
        <f>IF($A18="","",CARDS!B18&amp;"")</f>
        <v/>
      </c>
      <c r="C18" s="55" t="str">
        <f>IF($A18="","",CARDS!C18&amp;"")</f>
        <v/>
      </c>
      <c r="D18" s="28" t="str">
        <f>IF($A18="","",CARDS!M18&amp;"")</f>
        <v/>
      </c>
      <c r="E18" s="25" t="str">
        <f>IF($A18="","",N(CARDS!G18))</f>
        <v/>
      </c>
      <c r="F18" s="25" t="str">
        <f>IF($A18="","",SUMIFS(TRANSACTIONS_MASTER!$L$5:$L$1204,TRANSACTIONS_MASTER!$D$5:$D$1204,$A18,TRANSACTIONS_MASTER!$X$5:$X$1204,"&lt;&gt;Đã thanh toán",TRANSACTIONS_MASTER!$U$5:$U$1204,"&lt;&gt;Cancelled"))</f>
        <v/>
      </c>
      <c r="G18" s="25" t="str">
        <f>IF($A18="","",$E18-$F18)</f>
        <v/>
      </c>
      <c r="H18" s="56" t="str">
        <f>IF($A18="","",IF(AND($D18="Active",$E18&gt;0),$F18/$E18,""))</f>
        <v/>
      </c>
      <c r="I18" s="28" t="str">
        <f>IF($H18="","",IF($H18&gt;pUtil3,"⚠ Nguy hiểm",IF($H18&gt;=pUtil2,"⚠ Cảnh báo",IF($H18&gt;=pUtil1,"● Cảnh báo nhẹ","● Bình thường"))))</f>
        <v/>
      </c>
      <c r="J18" s="57" t="str">
        <f>IF(OR($A18="",NOT(ISNUMBER(CARDS!$H18))),"",IF(DATE(YEAR(pToday),MONTH(pToday),MIN(CARDS!$H18,DAY(EOMONTH(pToday,0))))&lt;=pToday,DATE(YEAR(pToday),MONTH(pToday),MIN(CARDS!$H18,DAY(EOMONTH(pToday,0)))),DATE(YEAR(pToday),MONTH(pToday)-1,MIN(CARDS!$H18,DAY(EOMONTH(pToday,-1))))))</f>
        <v/>
      </c>
      <c r="K18" s="57" t="str">
        <f>IF($J18="","",IF(DATE(YEAR(pToday),MONTH(pToday),MIN(CARDS!$H18,DAY(EOMONTH(pToday,0))))&gt;pToday,DATE(YEAR(pToday),MONTH(pToday),MIN(CARDS!$H18,DAY(EOMONTH(pToday,0)))),DATE(YEAR(pToday),MONTH(pToday)+1,MIN(CARDS!$H18,DAY(EOMONTH(pToday,1))))))</f>
        <v/>
      </c>
      <c r="L18" s="25" t="str">
        <f>IF($J18="","",SUMIFS(TRANSACTIONS_MASTER!$L$5:$L$1204,TRANSACTIONS_MASTER!$D$5:$D$1204,$A18,TRANSACTIONS_MASTER!$X$5:$X$1204,"&lt;&gt;Đã thanh toán",TRANSACTIONS_MASTER!$U$5:$U$1204,"&lt;&gt;Cancelled",TRANSACTIONS_MASTER!$B$5:$B$1204,"&lt;="&amp;$J18))</f>
        <v/>
      </c>
      <c r="M18" s="57" t="str">
        <f>IF(OR($J18="",NOT(ISNUMBER(CARDS!$I18))),"",IF(CARDS!$I18&gt;CARDS!$H18,DATE(YEAR($J18),MONTH($J18),MIN(CARDS!$I18,DAY(EOMONTH($J18,0)))),DATE(YEAR($J18),MONTH($J18)+1,MIN(CARDS!$I18,DAY(EOMONTH($J18,1))))))</f>
        <v/>
      </c>
      <c r="N18" s="58" t="str">
        <f>IF($M18="","",$M18-pToday)</f>
        <v/>
      </c>
      <c r="O18" s="28" t="str">
        <f>IF($M18="","",IF($L18&lt;=0,"Đã thanh toán",IF($N18&lt;0,"Quá hạn",IF($N18=0,"Đến hạn",IF($N18&lt;=pWarnDays,"Sắp đến hạn","Chưa đến hạn")))))</f>
        <v/>
      </c>
    </row>
    <row r="19" ht="21" customHeight="1">
      <c r="A19" s="55" t="str">
        <f>IF(CARDS!A19="","",CARDS!A19)</f>
        <v/>
      </c>
      <c r="B19" s="55" t="str">
        <f>IF($A19="","",CARDS!B19&amp;"")</f>
        <v/>
      </c>
      <c r="C19" s="55" t="str">
        <f>IF($A19="","",CARDS!C19&amp;"")</f>
        <v/>
      </c>
      <c r="D19" s="28" t="str">
        <f>IF($A19="","",CARDS!M19&amp;"")</f>
        <v/>
      </c>
      <c r="E19" s="25" t="str">
        <f>IF($A19="","",N(CARDS!G19))</f>
        <v/>
      </c>
      <c r="F19" s="25" t="str">
        <f>IF($A19="","",SUMIFS(TRANSACTIONS_MASTER!$L$5:$L$1204,TRANSACTIONS_MASTER!$D$5:$D$1204,$A19,TRANSACTIONS_MASTER!$X$5:$X$1204,"&lt;&gt;Đã thanh toán",TRANSACTIONS_MASTER!$U$5:$U$1204,"&lt;&gt;Cancelled"))</f>
        <v/>
      </c>
      <c r="G19" s="25" t="str">
        <f>IF($A19="","",$E19-$F19)</f>
        <v/>
      </c>
      <c r="H19" s="56" t="str">
        <f>IF($A19="","",IF(AND($D19="Active",$E19&gt;0),$F19/$E19,""))</f>
        <v/>
      </c>
      <c r="I19" s="28" t="str">
        <f>IF($H19="","",IF($H19&gt;pUtil3,"⚠ Nguy hiểm",IF($H19&gt;=pUtil2,"⚠ Cảnh báo",IF($H19&gt;=pUtil1,"● Cảnh báo nhẹ","● Bình thường"))))</f>
        <v/>
      </c>
      <c r="J19" s="57" t="str">
        <f>IF(OR($A19="",NOT(ISNUMBER(CARDS!$H19))),"",IF(DATE(YEAR(pToday),MONTH(pToday),MIN(CARDS!$H19,DAY(EOMONTH(pToday,0))))&lt;=pToday,DATE(YEAR(pToday),MONTH(pToday),MIN(CARDS!$H19,DAY(EOMONTH(pToday,0)))),DATE(YEAR(pToday),MONTH(pToday)-1,MIN(CARDS!$H19,DAY(EOMONTH(pToday,-1))))))</f>
        <v/>
      </c>
      <c r="K19" s="57" t="str">
        <f>IF($J19="","",IF(DATE(YEAR(pToday),MONTH(pToday),MIN(CARDS!$H19,DAY(EOMONTH(pToday,0))))&gt;pToday,DATE(YEAR(pToday),MONTH(pToday),MIN(CARDS!$H19,DAY(EOMONTH(pToday,0)))),DATE(YEAR(pToday),MONTH(pToday)+1,MIN(CARDS!$H19,DAY(EOMONTH(pToday,1))))))</f>
        <v/>
      </c>
      <c r="L19" s="25" t="str">
        <f>IF($J19="","",SUMIFS(TRANSACTIONS_MASTER!$L$5:$L$1204,TRANSACTIONS_MASTER!$D$5:$D$1204,$A19,TRANSACTIONS_MASTER!$X$5:$X$1204,"&lt;&gt;Đã thanh toán",TRANSACTIONS_MASTER!$U$5:$U$1204,"&lt;&gt;Cancelled",TRANSACTIONS_MASTER!$B$5:$B$1204,"&lt;="&amp;$J19))</f>
        <v/>
      </c>
      <c r="M19" s="57" t="str">
        <f>IF(OR($J19="",NOT(ISNUMBER(CARDS!$I19))),"",IF(CARDS!$I19&gt;CARDS!$H19,DATE(YEAR($J19),MONTH($J19),MIN(CARDS!$I19,DAY(EOMONTH($J19,0)))),DATE(YEAR($J19),MONTH($J19)+1,MIN(CARDS!$I19,DAY(EOMONTH($J19,1))))))</f>
        <v/>
      </c>
      <c r="N19" s="58" t="str">
        <f>IF($M19="","",$M19-pToday)</f>
        <v/>
      </c>
      <c r="O19" s="28" t="str">
        <f>IF($M19="","",IF($L19&lt;=0,"Đã thanh toán",IF($N19&lt;0,"Quá hạn",IF($N19=0,"Đến hạn",IF($N19&lt;=pWarnDays,"Sắp đến hạn","Chưa đến hạn")))))</f>
        <v/>
      </c>
    </row>
    <row r="20" ht="21" customHeight="1">
      <c r="A20" s="55" t="str">
        <f>IF(CARDS!A20="","",CARDS!A20)</f>
        <v/>
      </c>
      <c r="B20" s="55" t="str">
        <f>IF($A20="","",CARDS!B20&amp;"")</f>
        <v/>
      </c>
      <c r="C20" s="55" t="str">
        <f>IF($A20="","",CARDS!C20&amp;"")</f>
        <v/>
      </c>
      <c r="D20" s="28" t="str">
        <f>IF($A20="","",CARDS!M20&amp;"")</f>
        <v/>
      </c>
      <c r="E20" s="25" t="str">
        <f>IF($A20="","",N(CARDS!G20))</f>
        <v/>
      </c>
      <c r="F20" s="25" t="str">
        <f>IF($A20="","",SUMIFS(TRANSACTIONS_MASTER!$L$5:$L$1204,TRANSACTIONS_MASTER!$D$5:$D$1204,$A20,TRANSACTIONS_MASTER!$X$5:$X$1204,"&lt;&gt;Đã thanh toán",TRANSACTIONS_MASTER!$U$5:$U$1204,"&lt;&gt;Cancelled"))</f>
        <v/>
      </c>
      <c r="G20" s="25" t="str">
        <f>IF($A20="","",$E20-$F20)</f>
        <v/>
      </c>
      <c r="H20" s="56" t="str">
        <f>IF($A20="","",IF(AND($D20="Active",$E20&gt;0),$F20/$E20,""))</f>
        <v/>
      </c>
      <c r="I20" s="28" t="str">
        <f>IF($H20="","",IF($H20&gt;pUtil3,"⚠ Nguy hiểm",IF($H20&gt;=pUtil2,"⚠ Cảnh báo",IF($H20&gt;=pUtil1,"● Cảnh báo nhẹ","● Bình thường"))))</f>
        <v/>
      </c>
      <c r="J20" s="57" t="str">
        <f>IF(OR($A20="",NOT(ISNUMBER(CARDS!$H20))),"",IF(DATE(YEAR(pToday),MONTH(pToday),MIN(CARDS!$H20,DAY(EOMONTH(pToday,0))))&lt;=pToday,DATE(YEAR(pToday),MONTH(pToday),MIN(CARDS!$H20,DAY(EOMONTH(pToday,0)))),DATE(YEAR(pToday),MONTH(pToday)-1,MIN(CARDS!$H20,DAY(EOMONTH(pToday,-1))))))</f>
        <v/>
      </c>
      <c r="K20" s="57" t="str">
        <f>IF($J20="","",IF(DATE(YEAR(pToday),MONTH(pToday),MIN(CARDS!$H20,DAY(EOMONTH(pToday,0))))&gt;pToday,DATE(YEAR(pToday),MONTH(pToday),MIN(CARDS!$H20,DAY(EOMONTH(pToday,0)))),DATE(YEAR(pToday),MONTH(pToday)+1,MIN(CARDS!$H20,DAY(EOMONTH(pToday,1))))))</f>
        <v/>
      </c>
      <c r="L20" s="25" t="str">
        <f>IF($J20="","",SUMIFS(TRANSACTIONS_MASTER!$L$5:$L$1204,TRANSACTIONS_MASTER!$D$5:$D$1204,$A20,TRANSACTIONS_MASTER!$X$5:$X$1204,"&lt;&gt;Đã thanh toán",TRANSACTIONS_MASTER!$U$5:$U$1204,"&lt;&gt;Cancelled",TRANSACTIONS_MASTER!$B$5:$B$1204,"&lt;="&amp;$J20))</f>
        <v/>
      </c>
      <c r="M20" s="57" t="str">
        <f>IF(OR($J20="",NOT(ISNUMBER(CARDS!$I20))),"",IF(CARDS!$I20&gt;CARDS!$H20,DATE(YEAR($J20),MONTH($J20),MIN(CARDS!$I20,DAY(EOMONTH($J20,0)))),DATE(YEAR($J20),MONTH($J20)+1,MIN(CARDS!$I20,DAY(EOMONTH($J20,1))))))</f>
        <v/>
      </c>
      <c r="N20" s="58" t="str">
        <f>IF($M20="","",$M20-pToday)</f>
        <v/>
      </c>
      <c r="O20" s="28" t="str">
        <f>IF($M20="","",IF($L20&lt;=0,"Đã thanh toán",IF($N20&lt;0,"Quá hạn",IF($N20=0,"Đến hạn",IF($N20&lt;=pWarnDays,"Sắp đến hạn","Chưa đến hạn")))))</f>
        <v/>
      </c>
    </row>
    <row r="21" ht="21" customHeight="1">
      <c r="A21" s="55" t="str">
        <f>IF(CARDS!A21="","",CARDS!A21)</f>
        <v/>
      </c>
      <c r="B21" s="55" t="str">
        <f>IF($A21="","",CARDS!B21&amp;"")</f>
        <v/>
      </c>
      <c r="C21" s="55" t="str">
        <f>IF($A21="","",CARDS!C21&amp;"")</f>
        <v/>
      </c>
      <c r="D21" s="28" t="str">
        <f>IF($A21="","",CARDS!M21&amp;"")</f>
        <v/>
      </c>
      <c r="E21" s="25" t="str">
        <f>IF($A21="","",N(CARDS!G21))</f>
        <v/>
      </c>
      <c r="F21" s="25" t="str">
        <f>IF($A21="","",SUMIFS(TRANSACTIONS_MASTER!$L$5:$L$1204,TRANSACTIONS_MASTER!$D$5:$D$1204,$A21,TRANSACTIONS_MASTER!$X$5:$X$1204,"&lt;&gt;Đã thanh toán",TRANSACTIONS_MASTER!$U$5:$U$1204,"&lt;&gt;Cancelled"))</f>
        <v/>
      </c>
      <c r="G21" s="25" t="str">
        <f>IF($A21="","",$E21-$F21)</f>
        <v/>
      </c>
      <c r="H21" s="56" t="str">
        <f>IF($A21="","",IF(AND($D21="Active",$E21&gt;0),$F21/$E21,""))</f>
        <v/>
      </c>
      <c r="I21" s="28" t="str">
        <f>IF($H21="","",IF($H21&gt;pUtil3,"⚠ Nguy hiểm",IF($H21&gt;=pUtil2,"⚠ Cảnh báo",IF($H21&gt;=pUtil1,"● Cảnh báo nhẹ","● Bình thường"))))</f>
        <v/>
      </c>
      <c r="J21" s="57" t="str">
        <f>IF(OR($A21="",NOT(ISNUMBER(CARDS!$H21))),"",IF(DATE(YEAR(pToday),MONTH(pToday),MIN(CARDS!$H21,DAY(EOMONTH(pToday,0))))&lt;=pToday,DATE(YEAR(pToday),MONTH(pToday),MIN(CARDS!$H21,DAY(EOMONTH(pToday,0)))),DATE(YEAR(pToday),MONTH(pToday)-1,MIN(CARDS!$H21,DAY(EOMONTH(pToday,-1))))))</f>
        <v/>
      </c>
      <c r="K21" s="57" t="str">
        <f>IF($J21="","",IF(DATE(YEAR(pToday),MONTH(pToday),MIN(CARDS!$H21,DAY(EOMONTH(pToday,0))))&gt;pToday,DATE(YEAR(pToday),MONTH(pToday),MIN(CARDS!$H21,DAY(EOMONTH(pToday,0)))),DATE(YEAR(pToday),MONTH(pToday)+1,MIN(CARDS!$H21,DAY(EOMONTH(pToday,1))))))</f>
        <v/>
      </c>
      <c r="L21" s="25" t="str">
        <f>IF($J21="","",SUMIFS(TRANSACTIONS_MASTER!$L$5:$L$1204,TRANSACTIONS_MASTER!$D$5:$D$1204,$A21,TRANSACTIONS_MASTER!$X$5:$X$1204,"&lt;&gt;Đã thanh toán",TRANSACTIONS_MASTER!$U$5:$U$1204,"&lt;&gt;Cancelled",TRANSACTIONS_MASTER!$B$5:$B$1204,"&lt;="&amp;$J21))</f>
        <v/>
      </c>
      <c r="M21" s="57" t="str">
        <f>IF(OR($J21="",NOT(ISNUMBER(CARDS!$I21))),"",IF(CARDS!$I21&gt;CARDS!$H21,DATE(YEAR($J21),MONTH($J21),MIN(CARDS!$I21,DAY(EOMONTH($J21,0)))),DATE(YEAR($J21),MONTH($J21)+1,MIN(CARDS!$I21,DAY(EOMONTH($J21,1))))))</f>
        <v/>
      </c>
      <c r="N21" s="58" t="str">
        <f>IF($M21="","",$M21-pToday)</f>
        <v/>
      </c>
      <c r="O21" s="28" t="str">
        <f>IF($M21="","",IF($L21&lt;=0,"Đã thanh toán",IF($N21&lt;0,"Quá hạn",IF($N21=0,"Đến hạn",IF($N21&lt;=pWarnDays,"Sắp đến hạn","Chưa đến hạn")))))</f>
        <v/>
      </c>
    </row>
    <row r="22" ht="21" customHeight="1">
      <c r="A22" s="55" t="str">
        <f>IF(CARDS!A22="","",CARDS!A22)</f>
        <v/>
      </c>
      <c r="B22" s="55" t="str">
        <f>IF($A22="","",CARDS!B22&amp;"")</f>
        <v/>
      </c>
      <c r="C22" s="55" t="str">
        <f>IF($A22="","",CARDS!C22&amp;"")</f>
        <v/>
      </c>
      <c r="D22" s="28" t="str">
        <f>IF($A22="","",CARDS!M22&amp;"")</f>
        <v/>
      </c>
      <c r="E22" s="25" t="str">
        <f>IF($A22="","",N(CARDS!G22))</f>
        <v/>
      </c>
      <c r="F22" s="25" t="str">
        <f>IF($A22="","",SUMIFS(TRANSACTIONS_MASTER!$L$5:$L$1204,TRANSACTIONS_MASTER!$D$5:$D$1204,$A22,TRANSACTIONS_MASTER!$X$5:$X$1204,"&lt;&gt;Đã thanh toán",TRANSACTIONS_MASTER!$U$5:$U$1204,"&lt;&gt;Cancelled"))</f>
        <v/>
      </c>
      <c r="G22" s="25" t="str">
        <f>IF($A22="","",$E22-$F22)</f>
        <v/>
      </c>
      <c r="H22" s="56" t="str">
        <f>IF($A22="","",IF(AND($D22="Active",$E22&gt;0),$F22/$E22,""))</f>
        <v/>
      </c>
      <c r="I22" s="28" t="str">
        <f>IF($H22="","",IF($H22&gt;pUtil3,"⚠ Nguy hiểm",IF($H22&gt;=pUtil2,"⚠ Cảnh báo",IF($H22&gt;=pUtil1,"● Cảnh báo nhẹ","● Bình thường"))))</f>
        <v/>
      </c>
      <c r="J22" s="57" t="str">
        <f>IF(OR($A22="",NOT(ISNUMBER(CARDS!$H22))),"",IF(DATE(YEAR(pToday),MONTH(pToday),MIN(CARDS!$H22,DAY(EOMONTH(pToday,0))))&lt;=pToday,DATE(YEAR(pToday),MONTH(pToday),MIN(CARDS!$H22,DAY(EOMONTH(pToday,0)))),DATE(YEAR(pToday),MONTH(pToday)-1,MIN(CARDS!$H22,DAY(EOMONTH(pToday,-1))))))</f>
        <v/>
      </c>
      <c r="K22" s="57" t="str">
        <f>IF($J22="","",IF(DATE(YEAR(pToday),MONTH(pToday),MIN(CARDS!$H22,DAY(EOMONTH(pToday,0))))&gt;pToday,DATE(YEAR(pToday),MONTH(pToday),MIN(CARDS!$H22,DAY(EOMONTH(pToday,0)))),DATE(YEAR(pToday),MONTH(pToday)+1,MIN(CARDS!$H22,DAY(EOMONTH(pToday,1))))))</f>
        <v/>
      </c>
      <c r="L22" s="25" t="str">
        <f>IF($J22="","",SUMIFS(TRANSACTIONS_MASTER!$L$5:$L$1204,TRANSACTIONS_MASTER!$D$5:$D$1204,$A22,TRANSACTIONS_MASTER!$X$5:$X$1204,"&lt;&gt;Đã thanh toán",TRANSACTIONS_MASTER!$U$5:$U$1204,"&lt;&gt;Cancelled",TRANSACTIONS_MASTER!$B$5:$B$1204,"&lt;="&amp;$J22))</f>
        <v/>
      </c>
      <c r="M22" s="57" t="str">
        <f>IF(OR($J22="",NOT(ISNUMBER(CARDS!$I22))),"",IF(CARDS!$I22&gt;CARDS!$H22,DATE(YEAR($J22),MONTH($J22),MIN(CARDS!$I22,DAY(EOMONTH($J22,0)))),DATE(YEAR($J22),MONTH($J22)+1,MIN(CARDS!$I22,DAY(EOMONTH($J22,1))))))</f>
        <v/>
      </c>
      <c r="N22" s="58" t="str">
        <f>IF($M22="","",$M22-pToday)</f>
        <v/>
      </c>
      <c r="O22" s="28" t="str">
        <f>IF($M22="","",IF($L22&lt;=0,"Đã thanh toán",IF($N22&lt;0,"Quá hạn",IF($N22=0,"Đến hạn",IF($N22&lt;=pWarnDays,"Sắp đến hạn","Chưa đến hạn")))))</f>
        <v/>
      </c>
    </row>
    <row r="23" ht="21" customHeight="1">
      <c r="A23" s="55" t="str">
        <f>IF(CARDS!A23="","",CARDS!A23)</f>
        <v/>
      </c>
      <c r="B23" s="55" t="str">
        <f>IF($A23="","",CARDS!B23&amp;"")</f>
        <v/>
      </c>
      <c r="C23" s="55" t="str">
        <f>IF($A23="","",CARDS!C23&amp;"")</f>
        <v/>
      </c>
      <c r="D23" s="28" t="str">
        <f>IF($A23="","",CARDS!M23&amp;"")</f>
        <v/>
      </c>
      <c r="E23" s="25" t="str">
        <f>IF($A23="","",N(CARDS!G23))</f>
        <v/>
      </c>
      <c r="F23" s="25" t="str">
        <f>IF($A23="","",SUMIFS(TRANSACTIONS_MASTER!$L$5:$L$1204,TRANSACTIONS_MASTER!$D$5:$D$1204,$A23,TRANSACTIONS_MASTER!$X$5:$X$1204,"&lt;&gt;Đã thanh toán",TRANSACTIONS_MASTER!$U$5:$U$1204,"&lt;&gt;Cancelled"))</f>
        <v/>
      </c>
      <c r="G23" s="25" t="str">
        <f>IF($A23="","",$E23-$F23)</f>
        <v/>
      </c>
      <c r="H23" s="56" t="str">
        <f>IF($A23="","",IF(AND($D23="Active",$E23&gt;0),$F23/$E23,""))</f>
        <v/>
      </c>
      <c r="I23" s="28" t="str">
        <f>IF($H23="","",IF($H23&gt;pUtil3,"⚠ Nguy hiểm",IF($H23&gt;=pUtil2,"⚠ Cảnh báo",IF($H23&gt;=pUtil1,"● Cảnh báo nhẹ","● Bình thường"))))</f>
        <v/>
      </c>
      <c r="J23" s="57" t="str">
        <f>IF(OR($A23="",NOT(ISNUMBER(CARDS!$H23))),"",IF(DATE(YEAR(pToday),MONTH(pToday),MIN(CARDS!$H23,DAY(EOMONTH(pToday,0))))&lt;=pToday,DATE(YEAR(pToday),MONTH(pToday),MIN(CARDS!$H23,DAY(EOMONTH(pToday,0)))),DATE(YEAR(pToday),MONTH(pToday)-1,MIN(CARDS!$H23,DAY(EOMONTH(pToday,-1))))))</f>
        <v/>
      </c>
      <c r="K23" s="57" t="str">
        <f>IF($J23="","",IF(DATE(YEAR(pToday),MONTH(pToday),MIN(CARDS!$H23,DAY(EOMONTH(pToday,0))))&gt;pToday,DATE(YEAR(pToday),MONTH(pToday),MIN(CARDS!$H23,DAY(EOMONTH(pToday,0)))),DATE(YEAR(pToday),MONTH(pToday)+1,MIN(CARDS!$H23,DAY(EOMONTH(pToday,1))))))</f>
        <v/>
      </c>
      <c r="L23" s="25" t="str">
        <f>IF($J23="","",SUMIFS(TRANSACTIONS_MASTER!$L$5:$L$1204,TRANSACTIONS_MASTER!$D$5:$D$1204,$A23,TRANSACTIONS_MASTER!$X$5:$X$1204,"&lt;&gt;Đã thanh toán",TRANSACTIONS_MASTER!$U$5:$U$1204,"&lt;&gt;Cancelled",TRANSACTIONS_MASTER!$B$5:$B$1204,"&lt;="&amp;$J23))</f>
        <v/>
      </c>
      <c r="M23" s="57" t="str">
        <f>IF(OR($J23="",NOT(ISNUMBER(CARDS!$I23))),"",IF(CARDS!$I23&gt;CARDS!$H23,DATE(YEAR($J23),MONTH($J23),MIN(CARDS!$I23,DAY(EOMONTH($J23,0)))),DATE(YEAR($J23),MONTH($J23)+1,MIN(CARDS!$I23,DAY(EOMONTH($J23,1))))))</f>
        <v/>
      </c>
      <c r="N23" s="58" t="str">
        <f>IF($M23="","",$M23-pToday)</f>
        <v/>
      </c>
      <c r="O23" s="28" t="str">
        <f>IF($M23="","",IF($L23&lt;=0,"Đã thanh toán",IF($N23&lt;0,"Quá hạn",IF($N23=0,"Đến hạn",IF($N23&lt;=pWarnDays,"Sắp đến hạn","Chưa đến hạn")))))</f>
        <v/>
      </c>
    </row>
    <row r="24" ht="21" customHeight="1">
      <c r="A24" s="55" t="str">
        <f>IF(CARDS!A24="","",CARDS!A24)</f>
        <v/>
      </c>
      <c r="B24" s="55" t="str">
        <f>IF($A24="","",CARDS!B24&amp;"")</f>
        <v/>
      </c>
      <c r="C24" s="55" t="str">
        <f>IF($A24="","",CARDS!C24&amp;"")</f>
        <v/>
      </c>
      <c r="D24" s="28" t="str">
        <f>IF($A24="","",CARDS!M24&amp;"")</f>
        <v/>
      </c>
      <c r="E24" s="25" t="str">
        <f>IF($A24="","",N(CARDS!G24))</f>
        <v/>
      </c>
      <c r="F24" s="25" t="str">
        <f>IF($A24="","",SUMIFS(TRANSACTIONS_MASTER!$L$5:$L$1204,TRANSACTIONS_MASTER!$D$5:$D$1204,$A24,TRANSACTIONS_MASTER!$X$5:$X$1204,"&lt;&gt;Đã thanh toán",TRANSACTIONS_MASTER!$U$5:$U$1204,"&lt;&gt;Cancelled"))</f>
        <v/>
      </c>
      <c r="G24" s="25" t="str">
        <f>IF($A24="","",$E24-$F24)</f>
        <v/>
      </c>
      <c r="H24" s="56" t="str">
        <f>IF($A24="","",IF(AND($D24="Active",$E24&gt;0),$F24/$E24,""))</f>
        <v/>
      </c>
      <c r="I24" s="28" t="str">
        <f>IF($H24="","",IF($H24&gt;pUtil3,"⚠ Nguy hiểm",IF($H24&gt;=pUtil2,"⚠ Cảnh báo",IF($H24&gt;=pUtil1,"● Cảnh báo nhẹ","● Bình thường"))))</f>
        <v/>
      </c>
      <c r="J24" s="57" t="str">
        <f>IF(OR($A24="",NOT(ISNUMBER(CARDS!$H24))),"",IF(DATE(YEAR(pToday),MONTH(pToday),MIN(CARDS!$H24,DAY(EOMONTH(pToday,0))))&lt;=pToday,DATE(YEAR(pToday),MONTH(pToday),MIN(CARDS!$H24,DAY(EOMONTH(pToday,0)))),DATE(YEAR(pToday),MONTH(pToday)-1,MIN(CARDS!$H24,DAY(EOMONTH(pToday,-1))))))</f>
        <v/>
      </c>
      <c r="K24" s="57" t="str">
        <f>IF($J24="","",IF(DATE(YEAR(pToday),MONTH(pToday),MIN(CARDS!$H24,DAY(EOMONTH(pToday,0))))&gt;pToday,DATE(YEAR(pToday),MONTH(pToday),MIN(CARDS!$H24,DAY(EOMONTH(pToday,0)))),DATE(YEAR(pToday),MONTH(pToday)+1,MIN(CARDS!$H24,DAY(EOMONTH(pToday,1))))))</f>
        <v/>
      </c>
      <c r="L24" s="25" t="str">
        <f>IF($J24="","",SUMIFS(TRANSACTIONS_MASTER!$L$5:$L$1204,TRANSACTIONS_MASTER!$D$5:$D$1204,$A24,TRANSACTIONS_MASTER!$X$5:$X$1204,"&lt;&gt;Đã thanh toán",TRANSACTIONS_MASTER!$U$5:$U$1204,"&lt;&gt;Cancelled",TRANSACTIONS_MASTER!$B$5:$B$1204,"&lt;="&amp;$J24))</f>
        <v/>
      </c>
      <c r="M24" s="57" t="str">
        <f>IF(OR($J24="",NOT(ISNUMBER(CARDS!$I24))),"",IF(CARDS!$I24&gt;CARDS!$H24,DATE(YEAR($J24),MONTH($J24),MIN(CARDS!$I24,DAY(EOMONTH($J24,0)))),DATE(YEAR($J24),MONTH($J24)+1,MIN(CARDS!$I24,DAY(EOMONTH($J24,1))))))</f>
        <v/>
      </c>
      <c r="N24" s="58" t="str">
        <f>IF($M24="","",$M24-pToday)</f>
        <v/>
      </c>
      <c r="O24" s="28" t="str">
        <f>IF($M24="","",IF($L24&lt;=0,"Đã thanh toán",IF($N24&lt;0,"Quá hạn",IF($N24=0,"Đến hạn",IF($N24&lt;=pWarnDays,"Sắp đến hạn","Chưa đến hạn")))))</f>
        <v/>
      </c>
    </row>
    <row r="25" ht="21" customHeight="1">
      <c r="A25" s="55" t="str">
        <f>IF(CARDS!A25="","",CARDS!A25)</f>
        <v/>
      </c>
      <c r="B25" s="55" t="str">
        <f>IF($A25="","",CARDS!B25&amp;"")</f>
        <v/>
      </c>
      <c r="C25" s="55" t="str">
        <f>IF($A25="","",CARDS!C25&amp;"")</f>
        <v/>
      </c>
      <c r="D25" s="28" t="str">
        <f>IF($A25="","",CARDS!M25&amp;"")</f>
        <v/>
      </c>
      <c r="E25" s="25" t="str">
        <f>IF($A25="","",N(CARDS!G25))</f>
        <v/>
      </c>
      <c r="F25" s="25" t="str">
        <f>IF($A25="","",SUMIFS(TRANSACTIONS_MASTER!$L$5:$L$1204,TRANSACTIONS_MASTER!$D$5:$D$1204,$A25,TRANSACTIONS_MASTER!$X$5:$X$1204,"&lt;&gt;Đã thanh toán",TRANSACTIONS_MASTER!$U$5:$U$1204,"&lt;&gt;Cancelled"))</f>
        <v/>
      </c>
      <c r="G25" s="25" t="str">
        <f>IF($A25="","",$E25-$F25)</f>
        <v/>
      </c>
      <c r="H25" s="56" t="str">
        <f>IF($A25="","",IF(AND($D25="Active",$E25&gt;0),$F25/$E25,""))</f>
        <v/>
      </c>
      <c r="I25" s="28" t="str">
        <f>IF($H25="","",IF($H25&gt;pUtil3,"⚠ Nguy hiểm",IF($H25&gt;=pUtil2,"⚠ Cảnh báo",IF($H25&gt;=pUtil1,"● Cảnh báo nhẹ","● Bình thường"))))</f>
        <v/>
      </c>
      <c r="J25" s="57" t="str">
        <f>IF(OR($A25="",NOT(ISNUMBER(CARDS!$H25))),"",IF(DATE(YEAR(pToday),MONTH(pToday),MIN(CARDS!$H25,DAY(EOMONTH(pToday,0))))&lt;=pToday,DATE(YEAR(pToday),MONTH(pToday),MIN(CARDS!$H25,DAY(EOMONTH(pToday,0)))),DATE(YEAR(pToday),MONTH(pToday)-1,MIN(CARDS!$H25,DAY(EOMONTH(pToday,-1))))))</f>
        <v/>
      </c>
      <c r="K25" s="57" t="str">
        <f>IF($J25="","",IF(DATE(YEAR(pToday),MONTH(pToday),MIN(CARDS!$H25,DAY(EOMONTH(pToday,0))))&gt;pToday,DATE(YEAR(pToday),MONTH(pToday),MIN(CARDS!$H25,DAY(EOMONTH(pToday,0)))),DATE(YEAR(pToday),MONTH(pToday)+1,MIN(CARDS!$H25,DAY(EOMONTH(pToday,1))))))</f>
        <v/>
      </c>
      <c r="L25" s="25" t="str">
        <f>IF($J25="","",SUMIFS(TRANSACTIONS_MASTER!$L$5:$L$1204,TRANSACTIONS_MASTER!$D$5:$D$1204,$A25,TRANSACTIONS_MASTER!$X$5:$X$1204,"&lt;&gt;Đã thanh toán",TRANSACTIONS_MASTER!$U$5:$U$1204,"&lt;&gt;Cancelled",TRANSACTIONS_MASTER!$B$5:$B$1204,"&lt;="&amp;$J25))</f>
        <v/>
      </c>
      <c r="M25" s="57" t="str">
        <f>IF(OR($J25="",NOT(ISNUMBER(CARDS!$I25))),"",IF(CARDS!$I25&gt;CARDS!$H25,DATE(YEAR($J25),MONTH($J25),MIN(CARDS!$I25,DAY(EOMONTH($J25,0)))),DATE(YEAR($J25),MONTH($J25)+1,MIN(CARDS!$I25,DAY(EOMONTH($J25,1))))))</f>
        <v/>
      </c>
      <c r="N25" s="58" t="str">
        <f>IF($M25="","",$M25-pToday)</f>
        <v/>
      </c>
      <c r="O25" s="28" t="str">
        <f>IF($M25="","",IF($L25&lt;=0,"Đã thanh toán",IF($N25&lt;0,"Quá hạn",IF($N25=0,"Đến hạn",IF($N25&lt;=pWarnDays,"Sắp đến hạn","Chưa đến hạn")))))</f>
        <v/>
      </c>
    </row>
    <row r="26" ht="21" customHeight="1">
      <c r="A26" s="55" t="str">
        <f>IF(CARDS!A26="","",CARDS!A26)</f>
        <v/>
      </c>
      <c r="B26" s="55" t="str">
        <f>IF($A26="","",CARDS!B26&amp;"")</f>
        <v/>
      </c>
      <c r="C26" s="55" t="str">
        <f>IF($A26="","",CARDS!C26&amp;"")</f>
        <v/>
      </c>
      <c r="D26" s="28" t="str">
        <f>IF($A26="","",CARDS!M26&amp;"")</f>
        <v/>
      </c>
      <c r="E26" s="25" t="str">
        <f>IF($A26="","",N(CARDS!G26))</f>
        <v/>
      </c>
      <c r="F26" s="25" t="str">
        <f>IF($A26="","",SUMIFS(TRANSACTIONS_MASTER!$L$5:$L$1204,TRANSACTIONS_MASTER!$D$5:$D$1204,$A26,TRANSACTIONS_MASTER!$X$5:$X$1204,"&lt;&gt;Đã thanh toán",TRANSACTIONS_MASTER!$U$5:$U$1204,"&lt;&gt;Cancelled"))</f>
        <v/>
      </c>
      <c r="G26" s="25" t="str">
        <f>IF($A26="","",$E26-$F26)</f>
        <v/>
      </c>
      <c r="H26" s="56" t="str">
        <f>IF($A26="","",IF(AND($D26="Active",$E26&gt;0),$F26/$E26,""))</f>
        <v/>
      </c>
      <c r="I26" s="28" t="str">
        <f>IF($H26="","",IF($H26&gt;pUtil3,"⚠ Nguy hiểm",IF($H26&gt;=pUtil2,"⚠ Cảnh báo",IF($H26&gt;=pUtil1,"● Cảnh báo nhẹ","● Bình thường"))))</f>
        <v/>
      </c>
      <c r="J26" s="57" t="str">
        <f>IF(OR($A26="",NOT(ISNUMBER(CARDS!$H26))),"",IF(DATE(YEAR(pToday),MONTH(pToday),MIN(CARDS!$H26,DAY(EOMONTH(pToday,0))))&lt;=pToday,DATE(YEAR(pToday),MONTH(pToday),MIN(CARDS!$H26,DAY(EOMONTH(pToday,0)))),DATE(YEAR(pToday),MONTH(pToday)-1,MIN(CARDS!$H26,DAY(EOMONTH(pToday,-1))))))</f>
        <v/>
      </c>
      <c r="K26" s="57" t="str">
        <f>IF($J26="","",IF(DATE(YEAR(pToday),MONTH(pToday),MIN(CARDS!$H26,DAY(EOMONTH(pToday,0))))&gt;pToday,DATE(YEAR(pToday),MONTH(pToday),MIN(CARDS!$H26,DAY(EOMONTH(pToday,0)))),DATE(YEAR(pToday),MONTH(pToday)+1,MIN(CARDS!$H26,DAY(EOMONTH(pToday,1))))))</f>
        <v/>
      </c>
      <c r="L26" s="25" t="str">
        <f>IF($J26="","",SUMIFS(TRANSACTIONS_MASTER!$L$5:$L$1204,TRANSACTIONS_MASTER!$D$5:$D$1204,$A26,TRANSACTIONS_MASTER!$X$5:$X$1204,"&lt;&gt;Đã thanh toán",TRANSACTIONS_MASTER!$U$5:$U$1204,"&lt;&gt;Cancelled",TRANSACTIONS_MASTER!$B$5:$B$1204,"&lt;="&amp;$J26))</f>
        <v/>
      </c>
      <c r="M26" s="57" t="str">
        <f>IF(OR($J26="",NOT(ISNUMBER(CARDS!$I26))),"",IF(CARDS!$I26&gt;CARDS!$H26,DATE(YEAR($J26),MONTH($J26),MIN(CARDS!$I26,DAY(EOMONTH($J26,0)))),DATE(YEAR($J26),MONTH($J26)+1,MIN(CARDS!$I26,DAY(EOMONTH($J26,1))))))</f>
        <v/>
      </c>
      <c r="N26" s="58" t="str">
        <f>IF($M26="","",$M26-pToday)</f>
        <v/>
      </c>
      <c r="O26" s="28" t="str">
        <f>IF($M26="","",IF($L26&lt;=0,"Đã thanh toán",IF($N26&lt;0,"Quá hạn",IF($N26=0,"Đến hạn",IF($N26&lt;=pWarnDays,"Sắp đến hạn","Chưa đến hạn")))))</f>
        <v/>
      </c>
    </row>
    <row r="27" ht="21" customHeight="1">
      <c r="A27" s="55" t="str">
        <f>IF(CARDS!A27="","",CARDS!A27)</f>
        <v/>
      </c>
      <c r="B27" s="55" t="str">
        <f>IF($A27="","",CARDS!B27&amp;"")</f>
        <v/>
      </c>
      <c r="C27" s="55" t="str">
        <f>IF($A27="","",CARDS!C27&amp;"")</f>
        <v/>
      </c>
      <c r="D27" s="28" t="str">
        <f>IF($A27="","",CARDS!M27&amp;"")</f>
        <v/>
      </c>
      <c r="E27" s="25" t="str">
        <f>IF($A27="","",N(CARDS!G27))</f>
        <v/>
      </c>
      <c r="F27" s="25" t="str">
        <f>IF($A27="","",SUMIFS(TRANSACTIONS_MASTER!$L$5:$L$1204,TRANSACTIONS_MASTER!$D$5:$D$1204,$A27,TRANSACTIONS_MASTER!$X$5:$X$1204,"&lt;&gt;Đã thanh toán",TRANSACTIONS_MASTER!$U$5:$U$1204,"&lt;&gt;Cancelled"))</f>
        <v/>
      </c>
      <c r="G27" s="25" t="str">
        <f>IF($A27="","",$E27-$F27)</f>
        <v/>
      </c>
      <c r="H27" s="56" t="str">
        <f>IF($A27="","",IF(AND($D27="Active",$E27&gt;0),$F27/$E27,""))</f>
        <v/>
      </c>
      <c r="I27" s="28" t="str">
        <f>IF($H27="","",IF($H27&gt;pUtil3,"⚠ Nguy hiểm",IF($H27&gt;=pUtil2,"⚠ Cảnh báo",IF($H27&gt;=pUtil1,"● Cảnh báo nhẹ","● Bình thường"))))</f>
        <v/>
      </c>
      <c r="J27" s="57" t="str">
        <f>IF(OR($A27="",NOT(ISNUMBER(CARDS!$H27))),"",IF(DATE(YEAR(pToday),MONTH(pToday),MIN(CARDS!$H27,DAY(EOMONTH(pToday,0))))&lt;=pToday,DATE(YEAR(pToday),MONTH(pToday),MIN(CARDS!$H27,DAY(EOMONTH(pToday,0)))),DATE(YEAR(pToday),MONTH(pToday)-1,MIN(CARDS!$H27,DAY(EOMONTH(pToday,-1))))))</f>
        <v/>
      </c>
      <c r="K27" s="57" t="str">
        <f>IF($J27="","",IF(DATE(YEAR(pToday),MONTH(pToday),MIN(CARDS!$H27,DAY(EOMONTH(pToday,0))))&gt;pToday,DATE(YEAR(pToday),MONTH(pToday),MIN(CARDS!$H27,DAY(EOMONTH(pToday,0)))),DATE(YEAR(pToday),MONTH(pToday)+1,MIN(CARDS!$H27,DAY(EOMONTH(pToday,1))))))</f>
        <v/>
      </c>
      <c r="L27" s="25" t="str">
        <f>IF($J27="","",SUMIFS(TRANSACTIONS_MASTER!$L$5:$L$1204,TRANSACTIONS_MASTER!$D$5:$D$1204,$A27,TRANSACTIONS_MASTER!$X$5:$X$1204,"&lt;&gt;Đã thanh toán",TRANSACTIONS_MASTER!$U$5:$U$1204,"&lt;&gt;Cancelled",TRANSACTIONS_MASTER!$B$5:$B$1204,"&lt;="&amp;$J27))</f>
        <v/>
      </c>
      <c r="M27" s="57" t="str">
        <f>IF(OR($J27="",NOT(ISNUMBER(CARDS!$I27))),"",IF(CARDS!$I27&gt;CARDS!$H27,DATE(YEAR($J27),MONTH($J27),MIN(CARDS!$I27,DAY(EOMONTH($J27,0)))),DATE(YEAR($J27),MONTH($J27)+1,MIN(CARDS!$I27,DAY(EOMONTH($J27,1))))))</f>
        <v/>
      </c>
      <c r="N27" s="58" t="str">
        <f>IF($M27="","",$M27-pToday)</f>
        <v/>
      </c>
      <c r="O27" s="28" t="str">
        <f>IF($M27="","",IF($L27&lt;=0,"Đã thanh toán",IF($N27&lt;0,"Quá hạn",IF($N27=0,"Đến hạn",IF($N27&lt;=pWarnDays,"Sắp đến hạn","Chưa đến hạn")))))</f>
        <v/>
      </c>
    </row>
    <row r="28" ht="21" customHeight="1">
      <c r="A28" s="55" t="str">
        <f>IF(CARDS!A28="","",CARDS!A28)</f>
        <v/>
      </c>
      <c r="B28" s="55" t="str">
        <f>IF($A28="","",CARDS!B28&amp;"")</f>
        <v/>
      </c>
      <c r="C28" s="55" t="str">
        <f>IF($A28="","",CARDS!C28&amp;"")</f>
        <v/>
      </c>
      <c r="D28" s="28" t="str">
        <f>IF($A28="","",CARDS!M28&amp;"")</f>
        <v/>
      </c>
      <c r="E28" s="25" t="str">
        <f>IF($A28="","",N(CARDS!G28))</f>
        <v/>
      </c>
      <c r="F28" s="25" t="str">
        <f>IF($A28="","",SUMIFS(TRANSACTIONS_MASTER!$L$5:$L$1204,TRANSACTIONS_MASTER!$D$5:$D$1204,$A28,TRANSACTIONS_MASTER!$X$5:$X$1204,"&lt;&gt;Đã thanh toán",TRANSACTIONS_MASTER!$U$5:$U$1204,"&lt;&gt;Cancelled"))</f>
        <v/>
      </c>
      <c r="G28" s="25" t="str">
        <f>IF($A28="","",$E28-$F28)</f>
        <v/>
      </c>
      <c r="H28" s="56" t="str">
        <f>IF($A28="","",IF(AND($D28="Active",$E28&gt;0),$F28/$E28,""))</f>
        <v/>
      </c>
      <c r="I28" s="28" t="str">
        <f>IF($H28="","",IF($H28&gt;pUtil3,"⚠ Nguy hiểm",IF($H28&gt;=pUtil2,"⚠ Cảnh báo",IF($H28&gt;=pUtil1,"● Cảnh báo nhẹ","● Bình thường"))))</f>
        <v/>
      </c>
      <c r="J28" s="57" t="str">
        <f>IF(OR($A28="",NOT(ISNUMBER(CARDS!$H28))),"",IF(DATE(YEAR(pToday),MONTH(pToday),MIN(CARDS!$H28,DAY(EOMONTH(pToday,0))))&lt;=pToday,DATE(YEAR(pToday),MONTH(pToday),MIN(CARDS!$H28,DAY(EOMONTH(pToday,0)))),DATE(YEAR(pToday),MONTH(pToday)-1,MIN(CARDS!$H28,DAY(EOMONTH(pToday,-1))))))</f>
        <v/>
      </c>
      <c r="K28" s="57" t="str">
        <f>IF($J28="","",IF(DATE(YEAR(pToday),MONTH(pToday),MIN(CARDS!$H28,DAY(EOMONTH(pToday,0))))&gt;pToday,DATE(YEAR(pToday),MONTH(pToday),MIN(CARDS!$H28,DAY(EOMONTH(pToday,0)))),DATE(YEAR(pToday),MONTH(pToday)+1,MIN(CARDS!$H28,DAY(EOMONTH(pToday,1))))))</f>
        <v/>
      </c>
      <c r="L28" s="25" t="str">
        <f>IF($J28="","",SUMIFS(TRANSACTIONS_MASTER!$L$5:$L$1204,TRANSACTIONS_MASTER!$D$5:$D$1204,$A28,TRANSACTIONS_MASTER!$X$5:$X$1204,"&lt;&gt;Đã thanh toán",TRANSACTIONS_MASTER!$U$5:$U$1204,"&lt;&gt;Cancelled",TRANSACTIONS_MASTER!$B$5:$B$1204,"&lt;="&amp;$J28))</f>
        <v/>
      </c>
      <c r="M28" s="57" t="str">
        <f>IF(OR($J28="",NOT(ISNUMBER(CARDS!$I28))),"",IF(CARDS!$I28&gt;CARDS!$H28,DATE(YEAR($J28),MONTH($J28),MIN(CARDS!$I28,DAY(EOMONTH($J28,0)))),DATE(YEAR($J28),MONTH($J28)+1,MIN(CARDS!$I28,DAY(EOMONTH($J28,1))))))</f>
        <v/>
      </c>
      <c r="N28" s="58" t="str">
        <f>IF($M28="","",$M28-pToday)</f>
        <v/>
      </c>
      <c r="O28" s="28" t="str">
        <f>IF($M28="","",IF($L28&lt;=0,"Đã thanh toán",IF($N28&lt;0,"Quá hạn",IF($N28=0,"Đến hạn",IF($N28&lt;=pWarnDays,"Sắp đến hạn","Chưa đến hạn")))))</f>
        <v/>
      </c>
    </row>
    <row r="29" ht="21" customHeight="1">
      <c r="A29" s="55" t="str">
        <f>IF(CARDS!A29="","",CARDS!A29)</f>
        <v/>
      </c>
      <c r="B29" s="55" t="str">
        <f>IF($A29="","",CARDS!B29&amp;"")</f>
        <v/>
      </c>
      <c r="C29" s="55" t="str">
        <f>IF($A29="","",CARDS!C29&amp;"")</f>
        <v/>
      </c>
      <c r="D29" s="28" t="str">
        <f>IF($A29="","",CARDS!M29&amp;"")</f>
        <v/>
      </c>
      <c r="E29" s="25" t="str">
        <f>IF($A29="","",N(CARDS!G29))</f>
        <v/>
      </c>
      <c r="F29" s="25" t="str">
        <f>IF($A29="","",SUMIFS(TRANSACTIONS_MASTER!$L$5:$L$1204,TRANSACTIONS_MASTER!$D$5:$D$1204,$A29,TRANSACTIONS_MASTER!$X$5:$X$1204,"&lt;&gt;Đã thanh toán",TRANSACTIONS_MASTER!$U$5:$U$1204,"&lt;&gt;Cancelled"))</f>
        <v/>
      </c>
      <c r="G29" s="25" t="str">
        <f>IF($A29="","",$E29-$F29)</f>
        <v/>
      </c>
      <c r="H29" s="56" t="str">
        <f>IF($A29="","",IF(AND($D29="Active",$E29&gt;0),$F29/$E29,""))</f>
        <v/>
      </c>
      <c r="I29" s="28" t="str">
        <f>IF($H29="","",IF($H29&gt;pUtil3,"⚠ Nguy hiểm",IF($H29&gt;=pUtil2,"⚠ Cảnh báo",IF($H29&gt;=pUtil1,"● Cảnh báo nhẹ","● Bình thường"))))</f>
        <v/>
      </c>
      <c r="J29" s="57" t="str">
        <f>IF(OR($A29="",NOT(ISNUMBER(CARDS!$H29))),"",IF(DATE(YEAR(pToday),MONTH(pToday),MIN(CARDS!$H29,DAY(EOMONTH(pToday,0))))&lt;=pToday,DATE(YEAR(pToday),MONTH(pToday),MIN(CARDS!$H29,DAY(EOMONTH(pToday,0)))),DATE(YEAR(pToday),MONTH(pToday)-1,MIN(CARDS!$H29,DAY(EOMONTH(pToday,-1))))))</f>
        <v/>
      </c>
      <c r="K29" s="57" t="str">
        <f>IF($J29="","",IF(DATE(YEAR(pToday),MONTH(pToday),MIN(CARDS!$H29,DAY(EOMONTH(pToday,0))))&gt;pToday,DATE(YEAR(pToday),MONTH(pToday),MIN(CARDS!$H29,DAY(EOMONTH(pToday,0)))),DATE(YEAR(pToday),MONTH(pToday)+1,MIN(CARDS!$H29,DAY(EOMONTH(pToday,1))))))</f>
        <v/>
      </c>
      <c r="L29" s="25" t="str">
        <f>IF($J29="","",SUMIFS(TRANSACTIONS_MASTER!$L$5:$L$1204,TRANSACTIONS_MASTER!$D$5:$D$1204,$A29,TRANSACTIONS_MASTER!$X$5:$X$1204,"&lt;&gt;Đã thanh toán",TRANSACTIONS_MASTER!$U$5:$U$1204,"&lt;&gt;Cancelled",TRANSACTIONS_MASTER!$B$5:$B$1204,"&lt;="&amp;$J29))</f>
        <v/>
      </c>
      <c r="M29" s="57" t="str">
        <f>IF(OR($J29="",NOT(ISNUMBER(CARDS!$I29))),"",IF(CARDS!$I29&gt;CARDS!$H29,DATE(YEAR($J29),MONTH($J29),MIN(CARDS!$I29,DAY(EOMONTH($J29,0)))),DATE(YEAR($J29),MONTH($J29)+1,MIN(CARDS!$I29,DAY(EOMONTH($J29,1))))))</f>
        <v/>
      </c>
      <c r="N29" s="58" t="str">
        <f>IF($M29="","",$M29-pToday)</f>
        <v/>
      </c>
      <c r="O29" s="28" t="str">
        <f>IF($M29="","",IF($L29&lt;=0,"Đã thanh toán",IF($N29&lt;0,"Quá hạn",IF($N29=0,"Đến hạn",IF($N29&lt;=pWarnDays,"Sắp đến hạn","Chưa đến hạn")))))</f>
        <v/>
      </c>
    </row>
    <row r="30" ht="21" customHeight="1">
      <c r="A30" s="55" t="str">
        <f>IF(CARDS!A30="","",CARDS!A30)</f>
        <v/>
      </c>
      <c r="B30" s="55" t="str">
        <f>IF($A30="","",CARDS!B30&amp;"")</f>
        <v/>
      </c>
      <c r="C30" s="55" t="str">
        <f>IF($A30="","",CARDS!C30&amp;"")</f>
        <v/>
      </c>
      <c r="D30" s="28" t="str">
        <f>IF($A30="","",CARDS!M30&amp;"")</f>
        <v/>
      </c>
      <c r="E30" s="25" t="str">
        <f>IF($A30="","",N(CARDS!G30))</f>
        <v/>
      </c>
      <c r="F30" s="25" t="str">
        <f>IF($A30="","",SUMIFS(TRANSACTIONS_MASTER!$L$5:$L$1204,TRANSACTIONS_MASTER!$D$5:$D$1204,$A30,TRANSACTIONS_MASTER!$X$5:$X$1204,"&lt;&gt;Đã thanh toán",TRANSACTIONS_MASTER!$U$5:$U$1204,"&lt;&gt;Cancelled"))</f>
        <v/>
      </c>
      <c r="G30" s="25" t="str">
        <f>IF($A30="","",$E30-$F30)</f>
        <v/>
      </c>
      <c r="H30" s="56" t="str">
        <f>IF($A30="","",IF(AND($D30="Active",$E30&gt;0),$F30/$E30,""))</f>
        <v/>
      </c>
      <c r="I30" s="28" t="str">
        <f>IF($H30="","",IF($H30&gt;pUtil3,"⚠ Nguy hiểm",IF($H30&gt;=pUtil2,"⚠ Cảnh báo",IF($H30&gt;=pUtil1,"● Cảnh báo nhẹ","● Bình thường"))))</f>
        <v/>
      </c>
      <c r="J30" s="57" t="str">
        <f>IF(OR($A30="",NOT(ISNUMBER(CARDS!$H30))),"",IF(DATE(YEAR(pToday),MONTH(pToday),MIN(CARDS!$H30,DAY(EOMONTH(pToday,0))))&lt;=pToday,DATE(YEAR(pToday),MONTH(pToday),MIN(CARDS!$H30,DAY(EOMONTH(pToday,0)))),DATE(YEAR(pToday),MONTH(pToday)-1,MIN(CARDS!$H30,DAY(EOMONTH(pToday,-1))))))</f>
        <v/>
      </c>
      <c r="K30" s="57" t="str">
        <f>IF($J30="","",IF(DATE(YEAR(pToday),MONTH(pToday),MIN(CARDS!$H30,DAY(EOMONTH(pToday,0))))&gt;pToday,DATE(YEAR(pToday),MONTH(pToday),MIN(CARDS!$H30,DAY(EOMONTH(pToday,0)))),DATE(YEAR(pToday),MONTH(pToday)+1,MIN(CARDS!$H30,DAY(EOMONTH(pToday,1))))))</f>
        <v/>
      </c>
      <c r="L30" s="25" t="str">
        <f>IF($J30="","",SUMIFS(TRANSACTIONS_MASTER!$L$5:$L$1204,TRANSACTIONS_MASTER!$D$5:$D$1204,$A30,TRANSACTIONS_MASTER!$X$5:$X$1204,"&lt;&gt;Đã thanh toán",TRANSACTIONS_MASTER!$U$5:$U$1204,"&lt;&gt;Cancelled",TRANSACTIONS_MASTER!$B$5:$B$1204,"&lt;="&amp;$J30))</f>
        <v/>
      </c>
      <c r="M30" s="57" t="str">
        <f>IF(OR($J30="",NOT(ISNUMBER(CARDS!$I30))),"",IF(CARDS!$I30&gt;CARDS!$H30,DATE(YEAR($J30),MONTH($J30),MIN(CARDS!$I30,DAY(EOMONTH($J30,0)))),DATE(YEAR($J30),MONTH($J30)+1,MIN(CARDS!$I30,DAY(EOMONTH($J30,1))))))</f>
        <v/>
      </c>
      <c r="N30" s="58" t="str">
        <f>IF($M30="","",$M30-pToday)</f>
        <v/>
      </c>
      <c r="O30" s="28" t="str">
        <f>IF($M30="","",IF($L30&lt;=0,"Đã thanh toán",IF($N30&lt;0,"Quá hạn",IF($N30=0,"Đến hạn",IF($N30&lt;=pWarnDays,"Sắp đến hạn","Chưa đến hạn")))))</f>
        <v/>
      </c>
    </row>
    <row r="31" ht="21" customHeight="1">
      <c r="A31" s="55" t="str">
        <f>IF(CARDS!A31="","",CARDS!A31)</f>
        <v/>
      </c>
      <c r="B31" s="55" t="str">
        <f>IF($A31="","",CARDS!B31&amp;"")</f>
        <v/>
      </c>
      <c r="C31" s="55" t="str">
        <f>IF($A31="","",CARDS!C31&amp;"")</f>
        <v/>
      </c>
      <c r="D31" s="28" t="str">
        <f>IF($A31="","",CARDS!M31&amp;"")</f>
        <v/>
      </c>
      <c r="E31" s="25" t="str">
        <f>IF($A31="","",N(CARDS!G31))</f>
        <v/>
      </c>
      <c r="F31" s="25" t="str">
        <f>IF($A31="","",SUMIFS(TRANSACTIONS_MASTER!$L$5:$L$1204,TRANSACTIONS_MASTER!$D$5:$D$1204,$A31,TRANSACTIONS_MASTER!$X$5:$X$1204,"&lt;&gt;Đã thanh toán",TRANSACTIONS_MASTER!$U$5:$U$1204,"&lt;&gt;Cancelled"))</f>
        <v/>
      </c>
      <c r="G31" s="25" t="str">
        <f>IF($A31="","",$E31-$F31)</f>
        <v/>
      </c>
      <c r="H31" s="56" t="str">
        <f>IF($A31="","",IF(AND($D31="Active",$E31&gt;0),$F31/$E31,""))</f>
        <v/>
      </c>
      <c r="I31" s="28" t="str">
        <f>IF($H31="","",IF($H31&gt;pUtil3,"⚠ Nguy hiểm",IF($H31&gt;=pUtil2,"⚠ Cảnh báo",IF($H31&gt;=pUtil1,"● Cảnh báo nhẹ","● Bình thường"))))</f>
        <v/>
      </c>
      <c r="J31" s="57" t="str">
        <f>IF(OR($A31="",NOT(ISNUMBER(CARDS!$H31))),"",IF(DATE(YEAR(pToday),MONTH(pToday),MIN(CARDS!$H31,DAY(EOMONTH(pToday,0))))&lt;=pToday,DATE(YEAR(pToday),MONTH(pToday),MIN(CARDS!$H31,DAY(EOMONTH(pToday,0)))),DATE(YEAR(pToday),MONTH(pToday)-1,MIN(CARDS!$H31,DAY(EOMONTH(pToday,-1))))))</f>
        <v/>
      </c>
      <c r="K31" s="57" t="str">
        <f>IF($J31="","",IF(DATE(YEAR(pToday),MONTH(pToday),MIN(CARDS!$H31,DAY(EOMONTH(pToday,0))))&gt;pToday,DATE(YEAR(pToday),MONTH(pToday),MIN(CARDS!$H31,DAY(EOMONTH(pToday,0)))),DATE(YEAR(pToday),MONTH(pToday)+1,MIN(CARDS!$H31,DAY(EOMONTH(pToday,1))))))</f>
        <v/>
      </c>
      <c r="L31" s="25" t="str">
        <f>IF($J31="","",SUMIFS(TRANSACTIONS_MASTER!$L$5:$L$1204,TRANSACTIONS_MASTER!$D$5:$D$1204,$A31,TRANSACTIONS_MASTER!$X$5:$X$1204,"&lt;&gt;Đã thanh toán",TRANSACTIONS_MASTER!$U$5:$U$1204,"&lt;&gt;Cancelled",TRANSACTIONS_MASTER!$B$5:$B$1204,"&lt;="&amp;$J31))</f>
        <v/>
      </c>
      <c r="M31" s="57" t="str">
        <f>IF(OR($J31="",NOT(ISNUMBER(CARDS!$I31))),"",IF(CARDS!$I31&gt;CARDS!$H31,DATE(YEAR($J31),MONTH($J31),MIN(CARDS!$I31,DAY(EOMONTH($J31,0)))),DATE(YEAR($J31),MONTH($J31)+1,MIN(CARDS!$I31,DAY(EOMONTH($J31,1))))))</f>
        <v/>
      </c>
      <c r="N31" s="58" t="str">
        <f>IF($M31="","",$M31-pToday)</f>
        <v/>
      </c>
      <c r="O31" s="28" t="str">
        <f>IF($M31="","",IF($L31&lt;=0,"Đã thanh toán",IF($N31&lt;0,"Quá hạn",IF($N31=0,"Đến hạn",IF($N31&lt;=pWarnDays,"Sắp đến hạn","Chưa đến hạn")))))</f>
        <v/>
      </c>
    </row>
    <row r="32" ht="21" customHeight="1">
      <c r="A32" s="55" t="str">
        <f>IF(CARDS!A32="","",CARDS!A32)</f>
        <v/>
      </c>
      <c r="B32" s="55" t="str">
        <f>IF($A32="","",CARDS!B32&amp;"")</f>
        <v/>
      </c>
      <c r="C32" s="55" t="str">
        <f>IF($A32="","",CARDS!C32&amp;"")</f>
        <v/>
      </c>
      <c r="D32" s="28" t="str">
        <f>IF($A32="","",CARDS!M32&amp;"")</f>
        <v/>
      </c>
      <c r="E32" s="25" t="str">
        <f>IF($A32="","",N(CARDS!G32))</f>
        <v/>
      </c>
      <c r="F32" s="25" t="str">
        <f>IF($A32="","",SUMIFS(TRANSACTIONS_MASTER!$L$5:$L$1204,TRANSACTIONS_MASTER!$D$5:$D$1204,$A32,TRANSACTIONS_MASTER!$X$5:$X$1204,"&lt;&gt;Đã thanh toán",TRANSACTIONS_MASTER!$U$5:$U$1204,"&lt;&gt;Cancelled"))</f>
        <v/>
      </c>
      <c r="G32" s="25" t="str">
        <f>IF($A32="","",$E32-$F32)</f>
        <v/>
      </c>
      <c r="H32" s="56" t="str">
        <f>IF($A32="","",IF(AND($D32="Active",$E32&gt;0),$F32/$E32,""))</f>
        <v/>
      </c>
      <c r="I32" s="28" t="str">
        <f>IF($H32="","",IF($H32&gt;pUtil3,"⚠ Nguy hiểm",IF($H32&gt;=pUtil2,"⚠ Cảnh báo",IF($H32&gt;=pUtil1,"● Cảnh báo nhẹ","● Bình thường"))))</f>
        <v/>
      </c>
      <c r="J32" s="57" t="str">
        <f>IF(OR($A32="",NOT(ISNUMBER(CARDS!$H32))),"",IF(DATE(YEAR(pToday),MONTH(pToday),MIN(CARDS!$H32,DAY(EOMONTH(pToday,0))))&lt;=pToday,DATE(YEAR(pToday),MONTH(pToday),MIN(CARDS!$H32,DAY(EOMONTH(pToday,0)))),DATE(YEAR(pToday),MONTH(pToday)-1,MIN(CARDS!$H32,DAY(EOMONTH(pToday,-1))))))</f>
        <v/>
      </c>
      <c r="K32" s="57" t="str">
        <f>IF($J32="","",IF(DATE(YEAR(pToday),MONTH(pToday),MIN(CARDS!$H32,DAY(EOMONTH(pToday,0))))&gt;pToday,DATE(YEAR(pToday),MONTH(pToday),MIN(CARDS!$H32,DAY(EOMONTH(pToday,0)))),DATE(YEAR(pToday),MONTH(pToday)+1,MIN(CARDS!$H32,DAY(EOMONTH(pToday,1))))))</f>
        <v/>
      </c>
      <c r="L32" s="25" t="str">
        <f>IF($J32="","",SUMIFS(TRANSACTIONS_MASTER!$L$5:$L$1204,TRANSACTIONS_MASTER!$D$5:$D$1204,$A32,TRANSACTIONS_MASTER!$X$5:$X$1204,"&lt;&gt;Đã thanh toán",TRANSACTIONS_MASTER!$U$5:$U$1204,"&lt;&gt;Cancelled",TRANSACTIONS_MASTER!$B$5:$B$1204,"&lt;="&amp;$J32))</f>
        <v/>
      </c>
      <c r="M32" s="57" t="str">
        <f>IF(OR($J32="",NOT(ISNUMBER(CARDS!$I32))),"",IF(CARDS!$I32&gt;CARDS!$H32,DATE(YEAR($J32),MONTH($J32),MIN(CARDS!$I32,DAY(EOMONTH($J32,0)))),DATE(YEAR($J32),MONTH($J32)+1,MIN(CARDS!$I32,DAY(EOMONTH($J32,1))))))</f>
        <v/>
      </c>
      <c r="N32" s="58" t="str">
        <f>IF($M32="","",$M32-pToday)</f>
        <v/>
      </c>
      <c r="O32" s="28" t="str">
        <f>IF($M32="","",IF($L32&lt;=0,"Đã thanh toán",IF($N32&lt;0,"Quá hạn",IF($N32=0,"Đến hạn",IF($N32&lt;=pWarnDays,"Sắp đến hạn","Chưa đến hạn")))))</f>
        <v/>
      </c>
    </row>
    <row r="33" ht="21" customHeight="1">
      <c r="A33" s="55" t="str">
        <f>IF(CARDS!A33="","",CARDS!A33)</f>
        <v/>
      </c>
      <c r="B33" s="55" t="str">
        <f>IF($A33="","",CARDS!B33&amp;"")</f>
        <v/>
      </c>
      <c r="C33" s="55" t="str">
        <f>IF($A33="","",CARDS!C33&amp;"")</f>
        <v/>
      </c>
      <c r="D33" s="28" t="str">
        <f>IF($A33="","",CARDS!M33&amp;"")</f>
        <v/>
      </c>
      <c r="E33" s="25" t="str">
        <f>IF($A33="","",N(CARDS!G33))</f>
        <v/>
      </c>
      <c r="F33" s="25" t="str">
        <f>IF($A33="","",SUMIFS(TRANSACTIONS_MASTER!$L$5:$L$1204,TRANSACTIONS_MASTER!$D$5:$D$1204,$A33,TRANSACTIONS_MASTER!$X$5:$X$1204,"&lt;&gt;Đã thanh toán",TRANSACTIONS_MASTER!$U$5:$U$1204,"&lt;&gt;Cancelled"))</f>
        <v/>
      </c>
      <c r="G33" s="25" t="str">
        <f>IF($A33="","",$E33-$F33)</f>
        <v/>
      </c>
      <c r="H33" s="56" t="str">
        <f>IF($A33="","",IF(AND($D33="Active",$E33&gt;0),$F33/$E33,""))</f>
        <v/>
      </c>
      <c r="I33" s="28" t="str">
        <f>IF($H33="","",IF($H33&gt;pUtil3,"⚠ Nguy hiểm",IF($H33&gt;=pUtil2,"⚠ Cảnh báo",IF($H33&gt;=pUtil1,"● Cảnh báo nhẹ","● Bình thường"))))</f>
        <v/>
      </c>
      <c r="J33" s="57" t="str">
        <f>IF(OR($A33="",NOT(ISNUMBER(CARDS!$H33))),"",IF(DATE(YEAR(pToday),MONTH(pToday),MIN(CARDS!$H33,DAY(EOMONTH(pToday,0))))&lt;=pToday,DATE(YEAR(pToday),MONTH(pToday),MIN(CARDS!$H33,DAY(EOMONTH(pToday,0)))),DATE(YEAR(pToday),MONTH(pToday)-1,MIN(CARDS!$H33,DAY(EOMONTH(pToday,-1))))))</f>
        <v/>
      </c>
      <c r="K33" s="57" t="str">
        <f>IF($J33="","",IF(DATE(YEAR(pToday),MONTH(pToday),MIN(CARDS!$H33,DAY(EOMONTH(pToday,0))))&gt;pToday,DATE(YEAR(pToday),MONTH(pToday),MIN(CARDS!$H33,DAY(EOMONTH(pToday,0)))),DATE(YEAR(pToday),MONTH(pToday)+1,MIN(CARDS!$H33,DAY(EOMONTH(pToday,1))))))</f>
        <v/>
      </c>
      <c r="L33" s="25" t="str">
        <f>IF($J33="","",SUMIFS(TRANSACTIONS_MASTER!$L$5:$L$1204,TRANSACTIONS_MASTER!$D$5:$D$1204,$A33,TRANSACTIONS_MASTER!$X$5:$X$1204,"&lt;&gt;Đã thanh toán",TRANSACTIONS_MASTER!$U$5:$U$1204,"&lt;&gt;Cancelled",TRANSACTIONS_MASTER!$B$5:$B$1204,"&lt;="&amp;$J33))</f>
        <v/>
      </c>
      <c r="M33" s="57" t="str">
        <f>IF(OR($J33="",NOT(ISNUMBER(CARDS!$I33))),"",IF(CARDS!$I33&gt;CARDS!$H33,DATE(YEAR($J33),MONTH($J33),MIN(CARDS!$I33,DAY(EOMONTH($J33,0)))),DATE(YEAR($J33),MONTH($J33)+1,MIN(CARDS!$I33,DAY(EOMONTH($J33,1))))))</f>
        <v/>
      </c>
      <c r="N33" s="58" t="str">
        <f>IF($M33="","",$M33-pToday)</f>
        <v/>
      </c>
      <c r="O33" s="28" t="str">
        <f>IF($M33="","",IF($L33&lt;=0,"Đã thanh toán",IF($N33&lt;0,"Quá hạn",IF($N33=0,"Đến hạn",IF($N33&lt;=pWarnDays,"Sắp đến hạn","Chưa đến hạn")))))</f>
        <v/>
      </c>
    </row>
    <row r="34" ht="21" customHeight="1">
      <c r="A34" s="55" t="str">
        <f>IF(CARDS!A34="","",CARDS!A34)</f>
        <v/>
      </c>
      <c r="B34" s="55" t="str">
        <f>IF($A34="","",CARDS!B34&amp;"")</f>
        <v/>
      </c>
      <c r="C34" s="55" t="str">
        <f>IF($A34="","",CARDS!C34&amp;"")</f>
        <v/>
      </c>
      <c r="D34" s="28" t="str">
        <f>IF($A34="","",CARDS!M34&amp;"")</f>
        <v/>
      </c>
      <c r="E34" s="25" t="str">
        <f>IF($A34="","",N(CARDS!G34))</f>
        <v/>
      </c>
      <c r="F34" s="25" t="str">
        <f>IF($A34="","",SUMIFS(TRANSACTIONS_MASTER!$L$5:$L$1204,TRANSACTIONS_MASTER!$D$5:$D$1204,$A34,TRANSACTIONS_MASTER!$X$5:$X$1204,"&lt;&gt;Đã thanh toán",TRANSACTIONS_MASTER!$U$5:$U$1204,"&lt;&gt;Cancelled"))</f>
        <v/>
      </c>
      <c r="G34" s="25" t="str">
        <f>IF($A34="","",$E34-$F34)</f>
        <v/>
      </c>
      <c r="H34" s="56" t="str">
        <f>IF($A34="","",IF(AND($D34="Active",$E34&gt;0),$F34/$E34,""))</f>
        <v/>
      </c>
      <c r="I34" s="28" t="str">
        <f>IF($H34="","",IF($H34&gt;pUtil3,"⚠ Nguy hiểm",IF($H34&gt;=pUtil2,"⚠ Cảnh báo",IF($H34&gt;=pUtil1,"● Cảnh báo nhẹ","● Bình thường"))))</f>
        <v/>
      </c>
      <c r="J34" s="57" t="str">
        <f>IF(OR($A34="",NOT(ISNUMBER(CARDS!$H34))),"",IF(DATE(YEAR(pToday),MONTH(pToday),MIN(CARDS!$H34,DAY(EOMONTH(pToday,0))))&lt;=pToday,DATE(YEAR(pToday),MONTH(pToday),MIN(CARDS!$H34,DAY(EOMONTH(pToday,0)))),DATE(YEAR(pToday),MONTH(pToday)-1,MIN(CARDS!$H34,DAY(EOMONTH(pToday,-1))))))</f>
        <v/>
      </c>
      <c r="K34" s="57" t="str">
        <f>IF($J34="","",IF(DATE(YEAR(pToday),MONTH(pToday),MIN(CARDS!$H34,DAY(EOMONTH(pToday,0))))&gt;pToday,DATE(YEAR(pToday),MONTH(pToday),MIN(CARDS!$H34,DAY(EOMONTH(pToday,0)))),DATE(YEAR(pToday),MONTH(pToday)+1,MIN(CARDS!$H34,DAY(EOMONTH(pToday,1))))))</f>
        <v/>
      </c>
      <c r="L34" s="25" t="str">
        <f>IF($J34="","",SUMIFS(TRANSACTIONS_MASTER!$L$5:$L$1204,TRANSACTIONS_MASTER!$D$5:$D$1204,$A34,TRANSACTIONS_MASTER!$X$5:$X$1204,"&lt;&gt;Đã thanh toán",TRANSACTIONS_MASTER!$U$5:$U$1204,"&lt;&gt;Cancelled",TRANSACTIONS_MASTER!$B$5:$B$1204,"&lt;="&amp;$J34))</f>
        <v/>
      </c>
      <c r="M34" s="57" t="str">
        <f>IF(OR($J34="",NOT(ISNUMBER(CARDS!$I34))),"",IF(CARDS!$I34&gt;CARDS!$H34,DATE(YEAR($J34),MONTH($J34),MIN(CARDS!$I34,DAY(EOMONTH($J34,0)))),DATE(YEAR($J34),MONTH($J34)+1,MIN(CARDS!$I34,DAY(EOMONTH($J34,1))))))</f>
        <v/>
      </c>
      <c r="N34" s="58" t="str">
        <f>IF($M34="","",$M34-pToday)</f>
        <v/>
      </c>
      <c r="O34" s="28" t="str">
        <f>IF($M34="","",IF($L34&lt;=0,"Đã thanh toán",IF($N34&lt;0,"Quá hạn",IF($N34=0,"Đến hạn",IF($N34&lt;=pWarnDays,"Sắp đến hạn","Chưa đến hạn")))))</f>
        <v/>
      </c>
    </row>
    <row r="36">
      <c r="A36" s="59" t="inlineStr">
        <is>
          <t>TỔNG (thẻ Active)</t>
        </is>
      </c>
      <c r="B36" s="60" t="n"/>
      <c r="C36" s="60" t="n"/>
      <c r="D36" s="60" t="n"/>
      <c r="E36" s="31">
        <f>SUMIFS($E$5:$E$34,$D$5:$D$34,"Active")</f>
        <v>185000000</v>
      </c>
      <c r="F36" s="31">
        <f>SUMIFS($F$5:$F$34,$D$5:$D$34,"Active")</f>
        <v>54950000</v>
      </c>
      <c r="G36" s="31">
        <f>E36-F36</f>
        <v>130050000</v>
      </c>
      <c r="H36" s="61">
        <f>IF(E36&gt;0,F36/E36,0)</f>
        <v>0.297027027027027</v>
      </c>
      <c r="I36" s="30" t="str">
        <f>IF(E36=0,"",IF(H36&gt;pUtil3,"⚠ Nguy hiểm",IF(H36&gt;=pUtil2,"⚠ Cảnh báo",IF(H36&gt;=pUtil1,"● Cảnh báo nhẹ","● Bình thường"))))</f>
        <v>● Bình thường</v>
      </c>
      <c r="L36" s="31">
        <f>SUMIFS($L$5:$L$34,$D$5:$D$34,"Active")</f>
        <v>12300000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conditionalFormatting sqref="H5:I34">
    <cfRule type="expression" priority="1" dxfId="0">
      <formula>AND(ISNUMBER($H5),$H5&gt;pUtil3)</formula>
    </cfRule>
    <cfRule type="expression" priority="2" dxfId="1">
      <formula>AND(ISNUMBER($H5),$H5&gt;=pUtil2,$H5&lt;=pUtil3)</formula>
    </cfRule>
    <cfRule type="expression" priority="3" dxfId="2">
      <formula>AND(ISNUMBER($H5),$H5&gt;=pUtil1,$H5&lt;pUtil2)</formula>
    </cfRule>
    <cfRule type="expression" priority="4" dxfId="3">
      <formula>AND(ISNUMBER($H5),$H5&lt;pUtil1)</formula>
    </cfRule>
  </conditionalFormatting>
  <conditionalFormatting sqref="O5:O34">
    <cfRule type="cellIs" priority="5" operator="equal" dxfId="0">
      <formula>"Quá hạn"</formula>
    </cfRule>
    <cfRule type="cellIs" priority="7" operator="equal" dxfId="1">
      <formula>"Đến hạn"</formula>
    </cfRule>
    <cfRule type="cellIs" priority="9" operator="equal" dxfId="2">
      <formula>"Sắp đến hạn"</formula>
    </cfRule>
    <cfRule type="cellIs" priority="11" operator="equal" dxfId="3">
      <formula>"Chưa đến hạn"</formula>
    </cfRule>
    <cfRule type="cellIs" priority="13" operator="equal" dxfId="4">
      <formula>"Đã thanh toán"</formula>
    </cfRule>
  </conditionalFormatting>
  <conditionalFormatting sqref="N5:N34">
    <cfRule type="expression" priority="6" dxfId="0">
      <formula>AND(ISNUMBER($N5),$O5="Quá hạn")</formula>
    </cfRule>
    <cfRule type="expression" priority="8" dxfId="1">
      <formula>AND(ISNUMBER($N5),$O5="Đến hạn")</formula>
    </cfRule>
    <cfRule type="expression" priority="10" dxfId="2">
      <formula>AND(ISNUMBER($N5),$O5="Sắp đến hạn")</formula>
    </cfRule>
    <cfRule type="expression" priority="12" dxfId="3">
      <formula>AND(ISNUMBER($N5),$O5="Chưa đến hạn")</formula>
    </cfRule>
    <cfRule type="expression" priority="14" dxfId="4">
      <formula>AND(ISNUMBER($N5),$O5="Đã thanh toán")</formula>
    </cfRule>
  </conditionalFormatting>
  <conditionalFormatting sqref="D5:D34">
    <cfRule type="cellIs" priority="15" operator="equal" dxfId="9">
      <formula>"Closed"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58FB0"/>
    <outlinePr summaryBelow="1" summaryRight="1"/>
    <pageSetUpPr/>
  </sheetPr>
  <dimension ref="B1:J9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14" customWidth="1" min="3" max="3"/>
    <col width="30" customWidth="1" min="4" max="4"/>
    <col width="18" customWidth="1" min="5" max="5"/>
    <col width="18" customWidth="1" min="6" max="6"/>
    <col width="16" customWidth="1" min="7" max="7"/>
    <col width="16" customWidth="1" min="8" max="8"/>
    <col width="14" customWidth="1" min="9" max="9"/>
    <col width="10" customWidth="1" min="10" max="10"/>
  </cols>
  <sheetData>
    <row r="1" ht="30" customHeight="1">
      <c r="B1" s="62" t="inlineStr">
        <is>
          <t>🎯 CAP_TRACKER — tiến độ cap theo thẻ / nhóm (tháng đang xem ở Dashboard)</t>
        </is>
      </c>
    </row>
    <row r="2">
      <c r="B2" s="63" t="inlineStr">
        <is>
          <t>Tháng:</t>
        </is>
      </c>
      <c r="C2" s="64">
        <f>Dashboard!$D$4</f>
        <v>202610</v>
      </c>
      <c r="D2" s="65" t="inlineStr">
        <is>
          <t>← đổi tháng ở ô 'Tháng đang xem' trên Dashboard</t>
        </is>
      </c>
      <c r="G2" s="66" t="str">
        <f>HYPERLINK("#Dashboard!A1","← Dashboard")</f>
        <v>← Dashboard</v>
      </c>
    </row>
    <row r="4" ht="22" customHeight="1">
      <c r="C4" s="19" t="inlineStr">
        <is>
          <t>THEO DÕI CAP — TỪNG NHÓM CASHBACK (progress bar)</t>
        </is>
      </c>
      <c r="D4" s="20" t="n"/>
      <c r="E4" s="20" t="n"/>
      <c r="F4" s="20" t="n"/>
      <c r="G4" s="20" t="n"/>
      <c r="H4" s="20" t="n"/>
      <c r="I4" s="20" t="n"/>
      <c r="J4" s="20" t="n"/>
    </row>
    <row r="5" ht="30" customHeight="1">
      <c r="B5" s="21" t="inlineStr">
        <is>
          <t>#</t>
        </is>
      </c>
      <c r="C5" s="21" t="inlineStr">
        <is>
          <t>Card ID</t>
        </is>
      </c>
      <c r="D5" s="21" t="inlineStr">
        <is>
          <t>Thẻ</t>
        </is>
      </c>
      <c r="E5" s="21" t="inlineStr">
        <is>
          <t>Nhóm</t>
        </is>
      </c>
      <c r="F5" s="21" t="inlineStr">
        <is>
          <t>Danh mục</t>
        </is>
      </c>
      <c r="G5" s="21" t="inlineStr">
        <is>
          <t>Đã cashback</t>
        </is>
      </c>
      <c r="H5" s="21" t="inlineStr">
        <is>
          <t>Cap nhóm</t>
        </is>
      </c>
      <c r="I5" s="21" t="inlineStr">
        <is>
          <t>Còn lại</t>
        </is>
      </c>
      <c r="J5" s="21" t="inlineStr">
        <is>
          <t>Progress</t>
        </is>
      </c>
    </row>
    <row r="6" ht="20" customHeight="1">
      <c r="B6" s="67">
        <f>IFERROR(MATCH(1,CASHBACK_RULES!$S$5:$S$304,0),"")</f>
        <v>1</v>
      </c>
      <c r="C6" s="55" t="str">
        <f>IF($B6="","",INDEX(CASHBACK_RULES!$B$5:$B$304,$B6))</f>
        <v>VPB-JCBZ</v>
      </c>
      <c r="D6" s="55" t="str">
        <f>IF($B6="","",INDEX(CASHBACK_RULES!$C$5:$C$304,$B6)&amp;" "&amp;INDEX(CASHBACK_RULES!$D$5:$D$304,$B6))</f>
        <v>VPBank JCB Z Card</v>
      </c>
      <c r="E6" s="55" t="str">
        <f>IF($B6="","",INDEX(CASHBACK_RULES!$E$5:$E$304,$B6)&amp;"")</f>
        <v>Group 1</v>
      </c>
      <c r="F6" s="55" t="str">
        <f>IF($B6="","",INDEX(CASHBACK_RULES!$F$5:$F$304,$B6)&amp;"")</f>
        <v>Dining</v>
      </c>
      <c r="G6" s="26">
        <f>IF($B6="","",SUMIFS(TRANSACTIONS_MASTER!$Q$5:$Q$1204,TRANSACTIONS_MASTER!$D$5:$D$1204,$C6,TRANSACTIONS_MASTER!$Z$5:$Z$1204,$E6,TRANSACTIONS_MASTER!$C$5:$C$1204,$C$2))</f>
        <v>450000</v>
      </c>
      <c r="H6" s="25">
        <f>IF($B6="","",IF(ISNUMBER(INDEX(CASHBACK_RULES!$J$5:$J$304,$B6)),INDEX(CASHBACK_RULES!$J$5:$J$304,$B6),"∞"))</f>
        <v>500000</v>
      </c>
      <c r="I6" s="25">
        <f>IF($B6="","",IF(ISNUMBER($H6),MAX(0,$H6-$G6),"∞"))</f>
        <v>50000</v>
      </c>
      <c r="J6" s="27">
        <f>IF($B6="","",IF(ISNUMBER($H6),IF($H6=0,0,$G6/$H6),""))</f>
        <v>0.9</v>
      </c>
    </row>
    <row r="7" ht="20" customHeight="1">
      <c r="B7" s="67">
        <f>IFERROR(MATCH(2,CASHBACK_RULES!$S$5:$S$304,0),"")</f>
        <v>5</v>
      </c>
      <c r="C7" s="55" t="str">
        <f>IF($B7="","",INDEX(CASHBACK_RULES!$B$5:$B$304,$B7))</f>
        <v>VPB-JCBZ</v>
      </c>
      <c r="D7" s="55" t="str">
        <f>IF($B7="","",INDEX(CASHBACK_RULES!$C$5:$C$304,$B7)&amp;" "&amp;INDEX(CASHBACK_RULES!$D$5:$D$304,$B7))</f>
        <v>VPBank JCB Z Card</v>
      </c>
      <c r="E7" s="55" t="str">
        <f>IF($B7="","",INDEX(CASHBACK_RULES!$E$5:$E$304,$B7)&amp;"")</f>
        <v>Group 2</v>
      </c>
      <c r="F7" s="55" t="str">
        <f>IF($B7="","",INDEX(CASHBACK_RULES!$F$5:$F$304,$B7)&amp;"")</f>
        <v>Entertainment / Fitness</v>
      </c>
      <c r="G7" s="26">
        <f>IF($B7="","",SUMIFS(TRANSACTIONS_MASTER!$Q$5:$Q$1204,TRANSACTIONS_MASTER!$D$5:$D$1204,$C7,TRANSACTIONS_MASTER!$Z$5:$Z$1204,$E7,TRANSACTIONS_MASTER!$C$5:$C$1204,$C$2))</f>
        <v>500000</v>
      </c>
      <c r="H7" s="25">
        <f>IF($B7="","",IF(ISNUMBER(INDEX(CASHBACK_RULES!$J$5:$J$304,$B7)),INDEX(CASHBACK_RULES!$J$5:$J$304,$B7),"∞"))</f>
        <v>500000</v>
      </c>
      <c r="I7" s="25">
        <f>IF($B7="","",IF(ISNUMBER($H7),MAX(0,$H7-$G7),"∞"))</f>
        <v>0</v>
      </c>
      <c r="J7" s="27">
        <f>IF($B7="","",IF(ISNUMBER($H7),IF($H7=0,0,$G7/$H7),""))</f>
        <v>1</v>
      </c>
    </row>
    <row r="8" ht="20" customHeight="1">
      <c r="B8" s="67">
        <f>IFERROR(MATCH(3,CASHBACK_RULES!$S$5:$S$304,0),"")</f>
        <v>9</v>
      </c>
      <c r="C8" s="55" t="str">
        <f>IF($B8="","",INDEX(CASHBACK_RULES!$B$5:$B$304,$B8))</f>
        <v>VPB-JCBZ</v>
      </c>
      <c r="D8" s="55" t="str">
        <f>IF($B8="","",INDEX(CASHBACK_RULES!$C$5:$C$304,$B8)&amp;" "&amp;INDEX(CASHBACK_RULES!$D$5:$D$304,$B8))</f>
        <v>VPBank JCB Z Card</v>
      </c>
      <c r="E8" s="55" t="str">
        <f>IF($B8="","",INDEX(CASHBACK_RULES!$E$5:$E$304,$B8)&amp;"")</f>
        <v>Group 3</v>
      </c>
      <c r="F8" s="55" t="str">
        <f>IF($B8="","",INDEX(CASHBACK_RULES!$F$5:$F$304,$B8)&amp;"")</f>
        <v>Transport / Food Delivery</v>
      </c>
      <c r="G8" s="26">
        <f>IF($B8="","",SUMIFS(TRANSACTIONS_MASTER!$Q$5:$Q$1204,TRANSACTIONS_MASTER!$D$5:$D$1204,$C8,TRANSACTIONS_MASTER!$Z$5:$Z$1204,$E8,TRANSACTIONS_MASTER!$C$5:$C$1204,$C$2))</f>
        <v>50000</v>
      </c>
      <c r="H8" s="25">
        <f>IF($B8="","",IF(ISNUMBER(INDEX(CASHBACK_RULES!$J$5:$J$304,$B8)),INDEX(CASHBACK_RULES!$J$5:$J$304,$B8),"∞"))</f>
        <v>500000</v>
      </c>
      <c r="I8" s="25">
        <f>IF($B8="","",IF(ISNUMBER($H8),MAX(0,$H8-$G8),"∞"))</f>
        <v>450000</v>
      </c>
      <c r="J8" s="27">
        <f>IF($B8="","",IF(ISNUMBER($H8),IF($H8=0,0,$G8/$H8),""))</f>
        <v>0.1</v>
      </c>
    </row>
    <row r="9" ht="20" customHeight="1">
      <c r="B9" s="67">
        <f>IFERROR(MATCH(4,CASHBACK_RULES!$S$5:$S$304,0),"")</f>
        <v>11</v>
      </c>
      <c r="C9" s="55" t="str">
        <f>IF($B9="","",INDEX(CASHBACK_RULES!$B$5:$B$304,$B9))</f>
        <v>VIB-A</v>
      </c>
      <c r="D9" s="55" t="str">
        <f>IF($B9="","",INDEX(CASHBACK_RULES!$C$5:$C$304,$B9)&amp;" "&amp;INDEX(CASHBACK_RULES!$D$5:$D$304,$B9))</f>
        <v>VIB Cashback Demo A</v>
      </c>
      <c r="E9" s="55" t="str">
        <f>IF($B9="","",INDEX(CASHBACK_RULES!$E$5:$E$304,$B9)&amp;"")</f>
        <v>Group 1</v>
      </c>
      <c r="F9" s="55" t="str">
        <f>IF($B9="","",INDEX(CASHBACK_RULES!$F$5:$F$304,$B9)&amp;"")</f>
        <v>Groceries</v>
      </c>
      <c r="G9" s="26">
        <f>IF($B9="","",SUMIFS(TRANSACTIONS_MASTER!$Q$5:$Q$1204,TRANSACTIONS_MASTER!$D$5:$D$1204,$C9,TRANSACTIONS_MASTER!$Z$5:$Z$1204,$E9,TRANSACTIONS_MASTER!$C$5:$C$1204,$C$2))</f>
        <v>500000</v>
      </c>
      <c r="H9" s="25">
        <f>IF($B9="","",IF(ISNUMBER(INDEX(CASHBACK_RULES!$J$5:$J$304,$B9)),INDEX(CASHBACK_RULES!$J$5:$J$304,$B9),"∞"))</f>
        <v>500000</v>
      </c>
      <c r="I9" s="25">
        <f>IF($B9="","",IF(ISNUMBER($H9),MAX(0,$H9-$G9),"∞"))</f>
        <v>0</v>
      </c>
      <c r="J9" s="27">
        <f>IF($B9="","",IF(ISNUMBER($H9),IF($H9=0,0,$G9/$H9),""))</f>
        <v>1</v>
      </c>
    </row>
    <row r="10" ht="20" customHeight="1">
      <c r="B10" s="67">
        <f>IFERROR(MATCH(5,CASHBACK_RULES!$S$5:$S$304,0),"")</f>
        <v>13</v>
      </c>
      <c r="C10" s="55" t="str">
        <f>IF($B10="","",INDEX(CASHBACK_RULES!$B$5:$B$304,$B10))</f>
        <v>VIB-A</v>
      </c>
      <c r="D10" s="55" t="str">
        <f>IF($B10="","",INDEX(CASHBACK_RULES!$C$5:$C$304,$B10)&amp;" "&amp;INDEX(CASHBACK_RULES!$D$5:$D$304,$B10))</f>
        <v>VIB Cashback Demo A</v>
      </c>
      <c r="E10" s="55" t="str">
        <f>IF($B10="","",INDEX(CASHBACK_RULES!$E$5:$E$304,$B10)&amp;"")</f>
        <v>Group 2</v>
      </c>
      <c r="F10" s="55" t="str">
        <f>IF($B10="","",INDEX(CASHBACK_RULES!$F$5:$F$304,$B10)&amp;"")</f>
        <v>Shopping</v>
      </c>
      <c r="G10" s="26">
        <f>IF($B10="","",SUMIFS(TRANSACTIONS_MASTER!$Q$5:$Q$1204,TRANSACTIONS_MASTER!$D$5:$D$1204,$C10,TRANSACTIONS_MASTER!$Z$5:$Z$1204,$E10,TRANSACTIONS_MASTER!$C$5:$C$1204,$C$2))</f>
        <v>500000</v>
      </c>
      <c r="H10" s="25">
        <f>IF($B10="","",IF(ISNUMBER(INDEX(CASHBACK_RULES!$J$5:$J$304,$B10)),INDEX(CASHBACK_RULES!$J$5:$J$304,$B10),"∞"))</f>
        <v>500000</v>
      </c>
      <c r="I10" s="25">
        <f>IF($B10="","",IF(ISNUMBER($H10),MAX(0,$H10-$G10),"∞"))</f>
        <v>0</v>
      </c>
      <c r="J10" s="27">
        <f>IF($B10="","",IF(ISNUMBER($H10),IF($H10=0,0,$G10/$H10),""))</f>
        <v>1</v>
      </c>
    </row>
    <row r="11" ht="20" customHeight="1">
      <c r="B11" s="67">
        <f>IFERROR(MATCH(6,CASHBACK_RULES!$S$5:$S$304,0),"")</f>
        <v>15</v>
      </c>
      <c r="C11" s="55" t="str">
        <f>IF($B11="","",INDEX(CASHBACK_RULES!$B$5:$B$304,$B11))</f>
        <v>TCB-B</v>
      </c>
      <c r="D11" s="55" t="str">
        <f>IF($B11="","",INDEX(CASHBACK_RULES!$C$5:$C$304,$B11)&amp;" "&amp;INDEX(CASHBACK_RULES!$D$5:$D$304,$B11))</f>
        <v>Techcombank Cashback Demo B</v>
      </c>
      <c r="E11" s="55" t="str">
        <f>IF($B11="","",INDEX(CASHBACK_RULES!$E$5:$E$304,$B11)&amp;"")</f>
        <v>Group 1</v>
      </c>
      <c r="F11" s="55" t="str">
        <f>IF($B11="","",INDEX(CASHBACK_RULES!$F$5:$F$304,$B11)&amp;"")</f>
        <v>Fuel &amp; Transport</v>
      </c>
      <c r="G11" s="26">
        <f>IF($B11="","",SUMIFS(TRANSACTIONS_MASTER!$Q$5:$Q$1204,TRANSACTIONS_MASTER!$D$5:$D$1204,$C11,TRANSACTIONS_MASTER!$Z$5:$Z$1204,$E11,TRANSACTIONS_MASTER!$C$5:$C$1204,$C$2))</f>
        <v>300000</v>
      </c>
      <c r="H11" s="25">
        <f>IF($B11="","",IF(ISNUMBER(INDEX(CASHBACK_RULES!$J$5:$J$304,$B11)),INDEX(CASHBACK_RULES!$J$5:$J$304,$B11),"∞"))</f>
        <v>300000</v>
      </c>
      <c r="I11" s="25">
        <f>IF($B11="","",IF(ISNUMBER($H11),MAX(0,$H11-$G11),"∞"))</f>
        <v>0</v>
      </c>
      <c r="J11" s="27">
        <f>IF($B11="","",IF(ISNUMBER($H11),IF($H11=0,0,$G11/$H11),""))</f>
        <v>1</v>
      </c>
    </row>
    <row r="12" ht="20" customHeight="1">
      <c r="B12" s="67">
        <f>IFERROR(MATCH(7,CASHBACK_RULES!$S$5:$S$304,0),"")</f>
        <v>18</v>
      </c>
      <c r="C12" s="55" t="str">
        <f>IF($B12="","",INDEX(CASHBACK_RULES!$B$5:$B$304,$B12))</f>
        <v>TCB-B</v>
      </c>
      <c r="D12" s="55" t="str">
        <f>IF($B12="","",INDEX(CASHBACK_RULES!$C$5:$C$304,$B12)&amp;" "&amp;INDEX(CASHBACK_RULES!$D$5:$D$304,$B12))</f>
        <v>Techcombank Cashback Demo B</v>
      </c>
      <c r="E12" s="55" t="str">
        <f>IF($B12="","",INDEX(CASHBACK_RULES!$E$5:$E$304,$B12)&amp;"")</f>
        <v>Group 2</v>
      </c>
      <c r="F12" s="55" t="str">
        <f>IF($B12="","",INDEX(CASHBACK_RULES!$F$5:$F$304,$B12)&amp;"")</f>
        <v>Healthcare</v>
      </c>
      <c r="G12" s="26">
        <f>IF($B12="","",SUMIFS(TRANSACTIONS_MASTER!$Q$5:$Q$1204,TRANSACTIONS_MASTER!$D$5:$D$1204,$C12,TRANSACTIONS_MASTER!$Z$5:$Z$1204,$E12,TRANSACTIONS_MASTER!$C$5:$C$1204,$C$2))</f>
        <v>75000</v>
      </c>
      <c r="H12" s="25">
        <f>IF($B12="","",IF(ISNUMBER(INDEX(CASHBACK_RULES!$J$5:$J$304,$B12)),INDEX(CASHBACK_RULES!$J$5:$J$304,$B12),"∞"))</f>
        <v>300000</v>
      </c>
      <c r="I12" s="25">
        <f>IF($B12="","",IF(ISNUMBER($H12),MAX(0,$H12-$G12),"∞"))</f>
        <v>225000</v>
      </c>
      <c r="J12" s="27">
        <f>IF($B12="","",IF(ISNUMBER($H12),IF($H12=0,0,$G12/$H12),""))</f>
        <v>0.25</v>
      </c>
    </row>
    <row r="13" ht="20" customHeight="1">
      <c r="B13" s="67">
        <f>IFERROR(MATCH(8,CASHBACK_RULES!$S$5:$S$304,0),"")</f>
        <v>20</v>
      </c>
      <c r="C13" s="55" t="str">
        <f>IF($B13="","",INDEX(CASHBACK_RULES!$B$5:$B$304,$B13))</f>
        <v>TCB-B</v>
      </c>
      <c r="D13" s="55" t="str">
        <f>IF($B13="","",INDEX(CASHBACK_RULES!$C$5:$C$304,$B13)&amp;" "&amp;INDEX(CASHBACK_RULES!$D$5:$D$304,$B13))</f>
        <v>Techcombank Cashback Demo B</v>
      </c>
      <c r="E13" s="55" t="str">
        <f>IF($B13="","",INDEX(CASHBACK_RULES!$E$5:$E$304,$B13)&amp;"")</f>
        <v>Group 3</v>
      </c>
      <c r="F13" s="55" t="str">
        <f>IF($B13="","",INDEX(CASHBACK_RULES!$F$5:$F$304,$B13)&amp;"")</f>
        <v>Utilities &amp; Telecom</v>
      </c>
      <c r="G13" s="26">
        <f>IF($B13="","",SUMIFS(TRANSACTIONS_MASTER!$Q$5:$Q$1204,TRANSACTIONS_MASTER!$D$5:$D$1204,$C13,TRANSACTIONS_MASTER!$Z$5:$Z$1204,$E13,TRANSACTIONS_MASTER!$C$5:$C$1204,$C$2))</f>
        <v>15000</v>
      </c>
      <c r="H13" s="25">
        <f>IF($B13="","",IF(ISNUMBER(INDEX(CASHBACK_RULES!$J$5:$J$304,$B13)),INDEX(CASHBACK_RULES!$J$5:$J$304,$B13),"∞"))</f>
        <v>300000</v>
      </c>
      <c r="I13" s="25">
        <f>IF($B13="","",IF(ISNUMBER($H13),MAX(0,$H13-$G13),"∞"))</f>
        <v>285000</v>
      </c>
      <c r="J13" s="27">
        <f>IF($B13="","",IF(ISNUMBER($H13),IF($H13=0,0,$G13/$H13),""))</f>
        <v>0.05</v>
      </c>
    </row>
    <row r="14" ht="20" customHeight="1">
      <c r="B14" s="67">
        <f>IFERROR(MATCH(9,CASHBACK_RULES!$S$5:$S$304,0),"")</f>
        <v>22</v>
      </c>
      <c r="C14" s="55" t="str">
        <f>IF($B14="","",INDEX(CASHBACK_RULES!$B$5:$B$304,$B14))</f>
        <v>UOB-C</v>
      </c>
      <c r="D14" s="55" t="str">
        <f>IF($B14="","",INDEX(CASHBACK_RULES!$C$5:$C$304,$B14)&amp;" "&amp;INDEX(CASHBACK_RULES!$D$5:$D$304,$B14))</f>
        <v>UOB Cashback Demo C</v>
      </c>
      <c r="E14" s="55" t="str">
        <f>IF($B14="","",INDEX(CASHBACK_RULES!$E$5:$E$304,$B14)&amp;"")</f>
        <v>Group 1</v>
      </c>
      <c r="F14" s="55" t="str">
        <f>IF($B14="","",INDEX(CASHBACK_RULES!$F$5:$F$304,$B14)&amp;"")</f>
        <v>Dining</v>
      </c>
      <c r="G14" s="26">
        <f>IF($B14="","",SUMIFS(TRANSACTIONS_MASTER!$Q$5:$Q$1204,TRANSACTIONS_MASTER!$D$5:$D$1204,$C14,TRANSACTIONS_MASTER!$Z$5:$Z$1204,$E14,TRANSACTIONS_MASTER!$C$5:$C$1204,$C$2))</f>
        <v>1000000</v>
      </c>
      <c r="H14" s="25">
        <f>IF($B14="","",IF(ISNUMBER(INDEX(CASHBACK_RULES!$J$5:$J$304,$B14)),INDEX(CASHBACK_RULES!$J$5:$J$304,$B14),"∞"))</f>
        <v>1000000</v>
      </c>
      <c r="I14" s="25">
        <f>IF($B14="","",IF(ISNUMBER($H14),MAX(0,$H14-$G14),"∞"))</f>
        <v>0</v>
      </c>
      <c r="J14" s="27">
        <f>IF($B14="","",IF(ISNUMBER($H14),IF($H14=0,0,$G14/$H14),""))</f>
        <v>1</v>
      </c>
    </row>
    <row r="15" ht="20" customHeight="1">
      <c r="B15" s="67">
        <f>IFERROR(MATCH(10,CASHBACK_RULES!$S$5:$S$304,0),"")</f>
        <v>24</v>
      </c>
      <c r="C15" s="55" t="str">
        <f>IF($B15="","",INDEX(CASHBACK_RULES!$B$5:$B$304,$B15))</f>
        <v>MB-D</v>
      </c>
      <c r="D15" s="55" t="str">
        <f>IF($B15="","",INDEX(CASHBACK_RULES!$C$5:$C$304,$B15)&amp;" "&amp;INDEX(CASHBACK_RULES!$D$5:$D$304,$B15))</f>
        <v>MB Cashback Demo D</v>
      </c>
      <c r="E15" s="55" t="str">
        <f>IF($B15="","",INDEX(CASHBACK_RULES!$E$5:$E$304,$B15)&amp;"")</f>
        <v>Dining</v>
      </c>
      <c r="F15" s="55" t="str">
        <f>IF($B15="","",INDEX(CASHBACK_RULES!$F$5:$F$304,$B15)&amp;"")</f>
        <v>Dining</v>
      </c>
      <c r="G15" s="26">
        <f>IF($B15="","",SUMIFS(TRANSACTIONS_MASTER!$Q$5:$Q$1204,TRANSACTIONS_MASTER!$D$5:$D$1204,$C15,TRANSACTIONS_MASTER!$Z$5:$Z$1204,$E15,TRANSACTIONS_MASTER!$C$5:$C$1204,$C$2))</f>
        <v>400000</v>
      </c>
      <c r="H15" s="25">
        <f>IF($B15="","",IF(ISNUMBER(INDEX(CASHBACK_RULES!$J$5:$J$304,$B15)),INDEX(CASHBACK_RULES!$J$5:$J$304,$B15),"∞"))</f>
        <v>500000</v>
      </c>
      <c r="I15" s="25">
        <f>IF($B15="","",IF(ISNUMBER($H15),MAX(0,$H15-$G15),"∞"))</f>
        <v>100000</v>
      </c>
      <c r="J15" s="27">
        <f>IF($B15="","",IF(ISNUMBER($H15),IF($H15=0,0,$G15/$H15),""))</f>
        <v>0.8</v>
      </c>
    </row>
    <row r="16" ht="20" customHeight="1">
      <c r="B16" s="67">
        <f>IFERROR(MATCH(11,CASHBACK_RULES!$S$5:$S$304,0),"")</f>
        <v>25</v>
      </c>
      <c r="C16" s="55" t="str">
        <f>IF($B16="","",INDEX(CASHBACK_RULES!$B$5:$B$304,$B16))</f>
        <v>MB-D</v>
      </c>
      <c r="D16" s="55" t="str">
        <f>IF($B16="","",INDEX(CASHBACK_RULES!$C$5:$C$304,$B16)&amp;" "&amp;INDEX(CASHBACK_RULES!$D$5:$D$304,$B16))</f>
        <v>MB Cashback Demo D</v>
      </c>
      <c r="E16" s="55" t="str">
        <f>IF($B16="","",INDEX(CASHBACK_RULES!$E$5:$E$304,$B16)&amp;"")</f>
        <v>Fuel</v>
      </c>
      <c r="F16" s="55" t="str">
        <f>IF($B16="","",INDEX(CASHBACK_RULES!$F$5:$F$304,$B16)&amp;"")</f>
        <v>Fuel</v>
      </c>
      <c r="G16" s="26">
        <f>IF($B16="","",SUMIFS(TRANSACTIONS_MASTER!$Q$5:$Q$1204,TRANSACTIONS_MASTER!$D$5:$D$1204,$C16,TRANSACTIONS_MASTER!$Z$5:$Z$1204,$E16,TRANSACTIONS_MASTER!$C$5:$C$1204,$C$2))</f>
        <v>60000</v>
      </c>
      <c r="H16" s="25">
        <f>IF($B16="","",IF(ISNUMBER(INDEX(CASHBACK_RULES!$J$5:$J$304,$B16)),INDEX(CASHBACK_RULES!$J$5:$J$304,$B16),"∞"))</f>
        <v>200000</v>
      </c>
      <c r="I16" s="25">
        <f>IF($B16="","",IF(ISNUMBER($H16),MAX(0,$H16-$G16),"∞"))</f>
        <v>140000</v>
      </c>
      <c r="J16" s="27">
        <f>IF($B16="","",IF(ISNUMBER($H16),IF($H16=0,0,$G16/$H16),""))</f>
        <v>0.3</v>
      </c>
    </row>
    <row r="17" ht="20" customHeight="1">
      <c r="B17" s="67">
        <f>IFERROR(MATCH(12,CASHBACK_RULES!$S$5:$S$304,0),"")</f>
        <v>26</v>
      </c>
      <c r="C17" s="55" t="str">
        <f>IF($B17="","",INDEX(CASHBACK_RULES!$B$5:$B$304,$B17))</f>
        <v>MB-D</v>
      </c>
      <c r="D17" s="55" t="str">
        <f>IF($B17="","",INDEX(CASHBACK_RULES!$C$5:$C$304,$B17)&amp;" "&amp;INDEX(CASHBACK_RULES!$D$5:$D$304,$B17))</f>
        <v>MB Cashback Demo D</v>
      </c>
      <c r="E17" s="55" t="str">
        <f>IF($B17="","",INDEX(CASHBACK_RULES!$E$5:$E$304,$B17)&amp;"")</f>
        <v>Groceries</v>
      </c>
      <c r="F17" s="55" t="str">
        <f>IF($B17="","",INDEX(CASHBACK_RULES!$F$5:$F$304,$B17)&amp;"")</f>
        <v>Groceries</v>
      </c>
      <c r="G17" s="26">
        <f>IF($B17="","",SUMIFS(TRANSACTIONS_MASTER!$Q$5:$Q$1204,TRANSACTIONS_MASTER!$D$5:$D$1204,$C17,TRANSACTIONS_MASTER!$Z$5:$Z$1204,$E17,TRANSACTIONS_MASTER!$C$5:$C$1204,$C$2))</f>
        <v>30000</v>
      </c>
      <c r="H17" s="25">
        <f>IF($B17="","",IF(ISNUMBER(INDEX(CASHBACK_RULES!$J$5:$J$304,$B17)),INDEX(CASHBACK_RULES!$J$5:$J$304,$B17),"∞"))</f>
        <v>100000</v>
      </c>
      <c r="I17" s="25">
        <f>IF($B17="","",IF(ISNUMBER($H17),MAX(0,$H17-$G17),"∞"))</f>
        <v>70000</v>
      </c>
      <c r="J17" s="27">
        <f>IF($B17="","",IF(ISNUMBER($H17),IF($H17=0,0,$G17/$H17),""))</f>
        <v>0.3</v>
      </c>
    </row>
    <row r="18" ht="20" customHeight="1">
      <c r="B18" s="67">
        <f>IFERROR(MATCH(13,CASHBACK_RULES!$S$5:$S$304,0),"")</f>
        <v>27</v>
      </c>
      <c r="C18" s="55" t="str">
        <f>IF($B18="","",INDEX(CASHBACK_RULES!$B$5:$B$304,$B18))</f>
        <v>MB-D</v>
      </c>
      <c r="D18" s="55" t="str">
        <f>IF($B18="","",INDEX(CASHBACK_RULES!$C$5:$C$304,$B18)&amp;" "&amp;INDEX(CASHBACK_RULES!$D$5:$D$304,$B18))</f>
        <v>MB Cashback Demo D</v>
      </c>
      <c r="E18" s="55" t="str">
        <f>IF($B18="","",INDEX(CASHBACK_RULES!$E$5:$E$304,$B18)&amp;"")</f>
        <v>Shopping</v>
      </c>
      <c r="F18" s="55" t="str">
        <f>IF($B18="","",INDEX(CASHBACK_RULES!$F$5:$F$304,$B18)&amp;"")</f>
        <v>Shopping</v>
      </c>
      <c r="G18" s="26">
        <f>IF($B18="","",SUMIFS(TRANSACTIONS_MASTER!$Q$5:$Q$1204,TRANSACTIONS_MASTER!$D$5:$D$1204,$C18,TRANSACTIONS_MASTER!$Z$5:$Z$1204,$E18,TRANSACTIONS_MASTER!$C$5:$C$1204,$C$2))</f>
        <v>0</v>
      </c>
      <c r="H18" s="25">
        <f>IF($B18="","",IF(ISNUMBER(INDEX(CASHBACK_RULES!$J$5:$J$304,$B18)),INDEX(CASHBACK_RULES!$J$5:$J$304,$B18),"∞"))</f>
        <v>100000</v>
      </c>
      <c r="I18" s="25">
        <f>IF($B18="","",IF(ISNUMBER($H18),MAX(0,$H18-$G18),"∞"))</f>
        <v>100000</v>
      </c>
      <c r="J18" s="27">
        <f>IF($B18="","",IF(ISNUMBER($H18),IF($H18=0,0,$G18/$H18),""))</f>
        <v>0</v>
      </c>
    </row>
    <row r="19" ht="20" customHeight="1">
      <c r="B19" s="67" t="str">
        <f>IFERROR(MATCH(14,CASHBACK_RULES!$S$5:$S$304,0),"")</f>
        <v/>
      </c>
      <c r="C19" s="55" t="str">
        <f>IF($B19="","",INDEX(CASHBACK_RULES!$B$5:$B$304,$B19))</f>
        <v/>
      </c>
      <c r="D19" s="55" t="str">
        <f>IF($B19="","",INDEX(CASHBACK_RULES!$C$5:$C$304,$B19)&amp;" "&amp;INDEX(CASHBACK_RULES!$D$5:$D$304,$B19))</f>
        <v/>
      </c>
      <c r="E19" s="55" t="str">
        <f>IF($B19="","",INDEX(CASHBACK_RULES!$E$5:$E$304,$B19)&amp;"")</f>
        <v/>
      </c>
      <c r="F19" s="55" t="str">
        <f>IF($B19="","",INDEX(CASHBACK_RULES!$F$5:$F$304,$B19)&amp;"")</f>
        <v/>
      </c>
      <c r="G19" s="26" t="str">
        <f>IF($B19="","",SUMIFS(TRANSACTIONS_MASTER!$Q$5:$Q$1204,TRANSACTIONS_MASTER!$D$5:$D$1204,$C19,TRANSACTIONS_MASTER!$Z$5:$Z$1204,$E19,TRANSACTIONS_MASTER!$C$5:$C$1204,$C$2))</f>
        <v/>
      </c>
      <c r="H19" s="25" t="str">
        <f>IF($B19="","",IF(ISNUMBER(INDEX(CASHBACK_RULES!$J$5:$J$304,$B19)),INDEX(CASHBACK_RULES!$J$5:$J$304,$B19),"∞"))</f>
        <v/>
      </c>
      <c r="I19" s="25" t="str">
        <f>IF($B19="","",IF(ISNUMBER($H19),MAX(0,$H19-$G19),"∞"))</f>
        <v/>
      </c>
      <c r="J19" s="27" t="str">
        <f>IF($B19="","",IF(ISNUMBER($H19),IF($H19=0,0,$G19/$H19),""))</f>
        <v/>
      </c>
    </row>
    <row r="20" ht="20" customHeight="1">
      <c r="B20" s="67" t="str">
        <f>IFERROR(MATCH(15,CASHBACK_RULES!$S$5:$S$304,0),"")</f>
        <v/>
      </c>
      <c r="C20" s="55" t="str">
        <f>IF($B20="","",INDEX(CASHBACK_RULES!$B$5:$B$304,$B20))</f>
        <v/>
      </c>
      <c r="D20" s="55" t="str">
        <f>IF($B20="","",INDEX(CASHBACK_RULES!$C$5:$C$304,$B20)&amp;" "&amp;INDEX(CASHBACK_RULES!$D$5:$D$304,$B20))</f>
        <v/>
      </c>
      <c r="E20" s="55" t="str">
        <f>IF($B20="","",INDEX(CASHBACK_RULES!$E$5:$E$304,$B20)&amp;"")</f>
        <v/>
      </c>
      <c r="F20" s="55" t="str">
        <f>IF($B20="","",INDEX(CASHBACK_RULES!$F$5:$F$304,$B20)&amp;"")</f>
        <v/>
      </c>
      <c r="G20" s="26" t="str">
        <f>IF($B20="","",SUMIFS(TRANSACTIONS_MASTER!$Q$5:$Q$1204,TRANSACTIONS_MASTER!$D$5:$D$1204,$C20,TRANSACTIONS_MASTER!$Z$5:$Z$1204,$E20,TRANSACTIONS_MASTER!$C$5:$C$1204,$C$2))</f>
        <v/>
      </c>
      <c r="H20" s="25" t="str">
        <f>IF($B20="","",IF(ISNUMBER(INDEX(CASHBACK_RULES!$J$5:$J$304,$B20)),INDEX(CASHBACK_RULES!$J$5:$J$304,$B20),"∞"))</f>
        <v/>
      </c>
      <c r="I20" s="25" t="str">
        <f>IF($B20="","",IF(ISNUMBER($H20),MAX(0,$H20-$G20),"∞"))</f>
        <v/>
      </c>
      <c r="J20" s="27" t="str">
        <f>IF($B20="","",IF(ISNUMBER($H20),IF($H20=0,0,$G20/$H20),""))</f>
        <v/>
      </c>
    </row>
    <row r="21" ht="20" customHeight="1">
      <c r="B21" s="67" t="str">
        <f>IFERROR(MATCH(16,CASHBACK_RULES!$S$5:$S$304,0),"")</f>
        <v/>
      </c>
      <c r="C21" s="55" t="str">
        <f>IF($B21="","",INDEX(CASHBACK_RULES!$B$5:$B$304,$B21))</f>
        <v/>
      </c>
      <c r="D21" s="55" t="str">
        <f>IF($B21="","",INDEX(CASHBACK_RULES!$C$5:$C$304,$B21)&amp;" "&amp;INDEX(CASHBACK_RULES!$D$5:$D$304,$B21))</f>
        <v/>
      </c>
      <c r="E21" s="55" t="str">
        <f>IF($B21="","",INDEX(CASHBACK_RULES!$E$5:$E$304,$B21)&amp;"")</f>
        <v/>
      </c>
      <c r="F21" s="55" t="str">
        <f>IF($B21="","",INDEX(CASHBACK_RULES!$F$5:$F$304,$B21)&amp;"")</f>
        <v/>
      </c>
      <c r="G21" s="26" t="str">
        <f>IF($B21="","",SUMIFS(TRANSACTIONS_MASTER!$Q$5:$Q$1204,TRANSACTIONS_MASTER!$D$5:$D$1204,$C21,TRANSACTIONS_MASTER!$Z$5:$Z$1204,$E21,TRANSACTIONS_MASTER!$C$5:$C$1204,$C$2))</f>
        <v/>
      </c>
      <c r="H21" s="25" t="str">
        <f>IF($B21="","",IF(ISNUMBER(INDEX(CASHBACK_RULES!$J$5:$J$304,$B21)),INDEX(CASHBACK_RULES!$J$5:$J$304,$B21),"∞"))</f>
        <v/>
      </c>
      <c r="I21" s="25" t="str">
        <f>IF($B21="","",IF(ISNUMBER($H21),MAX(0,$H21-$G21),"∞"))</f>
        <v/>
      </c>
      <c r="J21" s="27" t="str">
        <f>IF($B21="","",IF(ISNUMBER($H21),IF($H21=0,0,$G21/$H21),""))</f>
        <v/>
      </c>
    </row>
    <row r="22" ht="20" customHeight="1">
      <c r="B22" s="67" t="str">
        <f>IFERROR(MATCH(17,CASHBACK_RULES!$S$5:$S$304,0),"")</f>
        <v/>
      </c>
      <c r="C22" s="55" t="str">
        <f>IF($B22="","",INDEX(CASHBACK_RULES!$B$5:$B$304,$B22))</f>
        <v/>
      </c>
      <c r="D22" s="55" t="str">
        <f>IF($B22="","",INDEX(CASHBACK_RULES!$C$5:$C$304,$B22)&amp;" "&amp;INDEX(CASHBACK_RULES!$D$5:$D$304,$B22))</f>
        <v/>
      </c>
      <c r="E22" s="55" t="str">
        <f>IF($B22="","",INDEX(CASHBACK_RULES!$E$5:$E$304,$B22)&amp;"")</f>
        <v/>
      </c>
      <c r="F22" s="55" t="str">
        <f>IF($B22="","",INDEX(CASHBACK_RULES!$F$5:$F$304,$B22)&amp;"")</f>
        <v/>
      </c>
      <c r="G22" s="26" t="str">
        <f>IF($B22="","",SUMIFS(TRANSACTIONS_MASTER!$Q$5:$Q$1204,TRANSACTIONS_MASTER!$D$5:$D$1204,$C22,TRANSACTIONS_MASTER!$Z$5:$Z$1204,$E22,TRANSACTIONS_MASTER!$C$5:$C$1204,$C$2))</f>
        <v/>
      </c>
      <c r="H22" s="25" t="str">
        <f>IF($B22="","",IF(ISNUMBER(INDEX(CASHBACK_RULES!$J$5:$J$304,$B22)),INDEX(CASHBACK_RULES!$J$5:$J$304,$B22),"∞"))</f>
        <v/>
      </c>
      <c r="I22" s="25" t="str">
        <f>IF($B22="","",IF(ISNUMBER($H22),MAX(0,$H22-$G22),"∞"))</f>
        <v/>
      </c>
      <c r="J22" s="27" t="str">
        <f>IF($B22="","",IF(ISNUMBER($H22),IF($H22=0,0,$G22/$H22),""))</f>
        <v/>
      </c>
    </row>
    <row r="23" ht="20" customHeight="1">
      <c r="B23" s="67" t="str">
        <f>IFERROR(MATCH(18,CASHBACK_RULES!$S$5:$S$304,0),"")</f>
        <v/>
      </c>
      <c r="C23" s="55" t="str">
        <f>IF($B23="","",INDEX(CASHBACK_RULES!$B$5:$B$304,$B23))</f>
        <v/>
      </c>
      <c r="D23" s="55" t="str">
        <f>IF($B23="","",INDEX(CASHBACK_RULES!$C$5:$C$304,$B23)&amp;" "&amp;INDEX(CASHBACK_RULES!$D$5:$D$304,$B23))</f>
        <v/>
      </c>
      <c r="E23" s="55" t="str">
        <f>IF($B23="","",INDEX(CASHBACK_RULES!$E$5:$E$304,$B23)&amp;"")</f>
        <v/>
      </c>
      <c r="F23" s="55" t="str">
        <f>IF($B23="","",INDEX(CASHBACK_RULES!$F$5:$F$304,$B23)&amp;"")</f>
        <v/>
      </c>
      <c r="G23" s="26" t="str">
        <f>IF($B23="","",SUMIFS(TRANSACTIONS_MASTER!$Q$5:$Q$1204,TRANSACTIONS_MASTER!$D$5:$D$1204,$C23,TRANSACTIONS_MASTER!$Z$5:$Z$1204,$E23,TRANSACTIONS_MASTER!$C$5:$C$1204,$C$2))</f>
        <v/>
      </c>
      <c r="H23" s="25" t="str">
        <f>IF($B23="","",IF(ISNUMBER(INDEX(CASHBACK_RULES!$J$5:$J$304,$B23)),INDEX(CASHBACK_RULES!$J$5:$J$304,$B23),"∞"))</f>
        <v/>
      </c>
      <c r="I23" s="25" t="str">
        <f>IF($B23="","",IF(ISNUMBER($H23),MAX(0,$H23-$G23),"∞"))</f>
        <v/>
      </c>
      <c r="J23" s="27" t="str">
        <f>IF($B23="","",IF(ISNUMBER($H23),IF($H23=0,0,$G23/$H23),""))</f>
        <v/>
      </c>
    </row>
    <row r="24" ht="20" customHeight="1">
      <c r="B24" s="67" t="str">
        <f>IFERROR(MATCH(19,CASHBACK_RULES!$S$5:$S$304,0),"")</f>
        <v/>
      </c>
      <c r="C24" s="55" t="str">
        <f>IF($B24="","",INDEX(CASHBACK_RULES!$B$5:$B$304,$B24))</f>
        <v/>
      </c>
      <c r="D24" s="55" t="str">
        <f>IF($B24="","",INDEX(CASHBACK_RULES!$C$5:$C$304,$B24)&amp;" "&amp;INDEX(CASHBACK_RULES!$D$5:$D$304,$B24))</f>
        <v/>
      </c>
      <c r="E24" s="55" t="str">
        <f>IF($B24="","",INDEX(CASHBACK_RULES!$E$5:$E$304,$B24)&amp;"")</f>
        <v/>
      </c>
      <c r="F24" s="55" t="str">
        <f>IF($B24="","",INDEX(CASHBACK_RULES!$F$5:$F$304,$B24)&amp;"")</f>
        <v/>
      </c>
      <c r="G24" s="26" t="str">
        <f>IF($B24="","",SUMIFS(TRANSACTIONS_MASTER!$Q$5:$Q$1204,TRANSACTIONS_MASTER!$D$5:$D$1204,$C24,TRANSACTIONS_MASTER!$Z$5:$Z$1204,$E24,TRANSACTIONS_MASTER!$C$5:$C$1204,$C$2))</f>
        <v/>
      </c>
      <c r="H24" s="25" t="str">
        <f>IF($B24="","",IF(ISNUMBER(INDEX(CASHBACK_RULES!$J$5:$J$304,$B24)),INDEX(CASHBACK_RULES!$J$5:$J$304,$B24),"∞"))</f>
        <v/>
      </c>
      <c r="I24" s="25" t="str">
        <f>IF($B24="","",IF(ISNUMBER($H24),MAX(0,$H24-$G24),"∞"))</f>
        <v/>
      </c>
      <c r="J24" s="27" t="str">
        <f>IF($B24="","",IF(ISNUMBER($H24),IF($H24=0,0,$G24/$H24),""))</f>
        <v/>
      </c>
    </row>
    <row r="25" ht="20" customHeight="1">
      <c r="B25" s="67" t="str">
        <f>IFERROR(MATCH(20,CASHBACK_RULES!$S$5:$S$304,0),"")</f>
        <v/>
      </c>
      <c r="C25" s="55" t="str">
        <f>IF($B25="","",INDEX(CASHBACK_RULES!$B$5:$B$304,$B25))</f>
        <v/>
      </c>
      <c r="D25" s="55" t="str">
        <f>IF($B25="","",INDEX(CASHBACK_RULES!$C$5:$C$304,$B25)&amp;" "&amp;INDEX(CASHBACK_RULES!$D$5:$D$304,$B25))</f>
        <v/>
      </c>
      <c r="E25" s="55" t="str">
        <f>IF($B25="","",INDEX(CASHBACK_RULES!$E$5:$E$304,$B25)&amp;"")</f>
        <v/>
      </c>
      <c r="F25" s="55" t="str">
        <f>IF($B25="","",INDEX(CASHBACK_RULES!$F$5:$F$304,$B25)&amp;"")</f>
        <v/>
      </c>
      <c r="G25" s="26" t="str">
        <f>IF($B25="","",SUMIFS(TRANSACTIONS_MASTER!$Q$5:$Q$1204,TRANSACTIONS_MASTER!$D$5:$D$1204,$C25,TRANSACTIONS_MASTER!$Z$5:$Z$1204,$E25,TRANSACTIONS_MASTER!$C$5:$C$1204,$C$2))</f>
        <v/>
      </c>
      <c r="H25" s="25" t="str">
        <f>IF($B25="","",IF(ISNUMBER(INDEX(CASHBACK_RULES!$J$5:$J$304,$B25)),INDEX(CASHBACK_RULES!$J$5:$J$304,$B25),"∞"))</f>
        <v/>
      </c>
      <c r="I25" s="25" t="str">
        <f>IF($B25="","",IF(ISNUMBER($H25),MAX(0,$H25-$G25),"∞"))</f>
        <v/>
      </c>
      <c r="J25" s="27" t="str">
        <f>IF($B25="","",IF(ISNUMBER($H25),IF($H25=0,0,$G25/$H25),""))</f>
        <v/>
      </c>
    </row>
    <row r="26" ht="20" customHeight="1">
      <c r="B26" s="67" t="str">
        <f>IFERROR(MATCH(21,CASHBACK_RULES!$S$5:$S$304,0),"")</f>
        <v/>
      </c>
      <c r="C26" s="55" t="str">
        <f>IF($B26="","",INDEX(CASHBACK_RULES!$B$5:$B$304,$B26))</f>
        <v/>
      </c>
      <c r="D26" s="55" t="str">
        <f>IF($B26="","",INDEX(CASHBACK_RULES!$C$5:$C$304,$B26)&amp;" "&amp;INDEX(CASHBACK_RULES!$D$5:$D$304,$B26))</f>
        <v/>
      </c>
      <c r="E26" s="55" t="str">
        <f>IF($B26="","",INDEX(CASHBACK_RULES!$E$5:$E$304,$B26)&amp;"")</f>
        <v/>
      </c>
      <c r="F26" s="55" t="str">
        <f>IF($B26="","",INDEX(CASHBACK_RULES!$F$5:$F$304,$B26)&amp;"")</f>
        <v/>
      </c>
      <c r="G26" s="26" t="str">
        <f>IF($B26="","",SUMIFS(TRANSACTIONS_MASTER!$Q$5:$Q$1204,TRANSACTIONS_MASTER!$D$5:$D$1204,$C26,TRANSACTIONS_MASTER!$Z$5:$Z$1204,$E26,TRANSACTIONS_MASTER!$C$5:$C$1204,$C$2))</f>
        <v/>
      </c>
      <c r="H26" s="25" t="str">
        <f>IF($B26="","",IF(ISNUMBER(INDEX(CASHBACK_RULES!$J$5:$J$304,$B26)),INDEX(CASHBACK_RULES!$J$5:$J$304,$B26),"∞"))</f>
        <v/>
      </c>
      <c r="I26" s="25" t="str">
        <f>IF($B26="","",IF(ISNUMBER($H26),MAX(0,$H26-$G26),"∞"))</f>
        <v/>
      </c>
      <c r="J26" s="27" t="str">
        <f>IF($B26="","",IF(ISNUMBER($H26),IF($H26=0,0,$G26/$H26),""))</f>
        <v/>
      </c>
    </row>
    <row r="27" ht="20" customHeight="1">
      <c r="B27" s="67" t="str">
        <f>IFERROR(MATCH(22,CASHBACK_RULES!$S$5:$S$304,0),"")</f>
        <v/>
      </c>
      <c r="C27" s="55" t="str">
        <f>IF($B27="","",INDEX(CASHBACK_RULES!$B$5:$B$304,$B27))</f>
        <v/>
      </c>
      <c r="D27" s="55" t="str">
        <f>IF($B27="","",INDEX(CASHBACK_RULES!$C$5:$C$304,$B27)&amp;" "&amp;INDEX(CASHBACK_RULES!$D$5:$D$304,$B27))</f>
        <v/>
      </c>
      <c r="E27" s="55" t="str">
        <f>IF($B27="","",INDEX(CASHBACK_RULES!$E$5:$E$304,$B27)&amp;"")</f>
        <v/>
      </c>
      <c r="F27" s="55" t="str">
        <f>IF($B27="","",INDEX(CASHBACK_RULES!$F$5:$F$304,$B27)&amp;"")</f>
        <v/>
      </c>
      <c r="G27" s="26" t="str">
        <f>IF($B27="","",SUMIFS(TRANSACTIONS_MASTER!$Q$5:$Q$1204,TRANSACTIONS_MASTER!$D$5:$D$1204,$C27,TRANSACTIONS_MASTER!$Z$5:$Z$1204,$E27,TRANSACTIONS_MASTER!$C$5:$C$1204,$C$2))</f>
        <v/>
      </c>
      <c r="H27" s="25" t="str">
        <f>IF($B27="","",IF(ISNUMBER(INDEX(CASHBACK_RULES!$J$5:$J$304,$B27)),INDEX(CASHBACK_RULES!$J$5:$J$304,$B27),"∞"))</f>
        <v/>
      </c>
      <c r="I27" s="25" t="str">
        <f>IF($B27="","",IF(ISNUMBER($H27),MAX(0,$H27-$G27),"∞"))</f>
        <v/>
      </c>
      <c r="J27" s="27" t="str">
        <f>IF($B27="","",IF(ISNUMBER($H27),IF($H27=0,0,$G27/$H27),""))</f>
        <v/>
      </c>
    </row>
    <row r="28" ht="20" customHeight="1">
      <c r="B28" s="67" t="str">
        <f>IFERROR(MATCH(23,CASHBACK_RULES!$S$5:$S$304,0),"")</f>
        <v/>
      </c>
      <c r="C28" s="55" t="str">
        <f>IF($B28="","",INDEX(CASHBACK_RULES!$B$5:$B$304,$B28))</f>
        <v/>
      </c>
      <c r="D28" s="55" t="str">
        <f>IF($B28="","",INDEX(CASHBACK_RULES!$C$5:$C$304,$B28)&amp;" "&amp;INDEX(CASHBACK_RULES!$D$5:$D$304,$B28))</f>
        <v/>
      </c>
      <c r="E28" s="55" t="str">
        <f>IF($B28="","",INDEX(CASHBACK_RULES!$E$5:$E$304,$B28)&amp;"")</f>
        <v/>
      </c>
      <c r="F28" s="55" t="str">
        <f>IF($B28="","",INDEX(CASHBACK_RULES!$F$5:$F$304,$B28)&amp;"")</f>
        <v/>
      </c>
      <c r="G28" s="26" t="str">
        <f>IF($B28="","",SUMIFS(TRANSACTIONS_MASTER!$Q$5:$Q$1204,TRANSACTIONS_MASTER!$D$5:$D$1204,$C28,TRANSACTIONS_MASTER!$Z$5:$Z$1204,$E28,TRANSACTIONS_MASTER!$C$5:$C$1204,$C$2))</f>
        <v/>
      </c>
      <c r="H28" s="25" t="str">
        <f>IF($B28="","",IF(ISNUMBER(INDEX(CASHBACK_RULES!$J$5:$J$304,$B28)),INDEX(CASHBACK_RULES!$J$5:$J$304,$B28),"∞"))</f>
        <v/>
      </c>
      <c r="I28" s="25" t="str">
        <f>IF($B28="","",IF(ISNUMBER($H28),MAX(0,$H28-$G28),"∞"))</f>
        <v/>
      </c>
      <c r="J28" s="27" t="str">
        <f>IF($B28="","",IF(ISNUMBER($H28),IF($H28=0,0,$G28/$H28),""))</f>
        <v/>
      </c>
    </row>
    <row r="29" ht="20" customHeight="1">
      <c r="B29" s="67" t="str">
        <f>IFERROR(MATCH(24,CASHBACK_RULES!$S$5:$S$304,0),"")</f>
        <v/>
      </c>
      <c r="C29" s="55" t="str">
        <f>IF($B29="","",INDEX(CASHBACK_RULES!$B$5:$B$304,$B29))</f>
        <v/>
      </c>
      <c r="D29" s="55" t="str">
        <f>IF($B29="","",INDEX(CASHBACK_RULES!$C$5:$C$304,$B29)&amp;" "&amp;INDEX(CASHBACK_RULES!$D$5:$D$304,$B29))</f>
        <v/>
      </c>
      <c r="E29" s="55" t="str">
        <f>IF($B29="","",INDEX(CASHBACK_RULES!$E$5:$E$304,$B29)&amp;"")</f>
        <v/>
      </c>
      <c r="F29" s="55" t="str">
        <f>IF($B29="","",INDEX(CASHBACK_RULES!$F$5:$F$304,$B29)&amp;"")</f>
        <v/>
      </c>
      <c r="G29" s="26" t="str">
        <f>IF($B29="","",SUMIFS(TRANSACTIONS_MASTER!$Q$5:$Q$1204,TRANSACTIONS_MASTER!$D$5:$D$1204,$C29,TRANSACTIONS_MASTER!$Z$5:$Z$1204,$E29,TRANSACTIONS_MASTER!$C$5:$C$1204,$C$2))</f>
        <v/>
      </c>
      <c r="H29" s="25" t="str">
        <f>IF($B29="","",IF(ISNUMBER(INDEX(CASHBACK_RULES!$J$5:$J$304,$B29)),INDEX(CASHBACK_RULES!$J$5:$J$304,$B29),"∞"))</f>
        <v/>
      </c>
      <c r="I29" s="25" t="str">
        <f>IF($B29="","",IF(ISNUMBER($H29),MAX(0,$H29-$G29),"∞"))</f>
        <v/>
      </c>
      <c r="J29" s="27" t="str">
        <f>IF($B29="","",IF(ISNUMBER($H29),IF($H29=0,0,$G29/$H29),""))</f>
        <v/>
      </c>
    </row>
    <row r="30" ht="20" customHeight="1">
      <c r="B30" s="67" t="str">
        <f>IFERROR(MATCH(25,CASHBACK_RULES!$S$5:$S$304,0),"")</f>
        <v/>
      </c>
      <c r="C30" s="55" t="str">
        <f>IF($B30="","",INDEX(CASHBACK_RULES!$B$5:$B$304,$B30))</f>
        <v/>
      </c>
      <c r="D30" s="55" t="str">
        <f>IF($B30="","",INDEX(CASHBACK_RULES!$C$5:$C$304,$B30)&amp;" "&amp;INDEX(CASHBACK_RULES!$D$5:$D$304,$B30))</f>
        <v/>
      </c>
      <c r="E30" s="55" t="str">
        <f>IF($B30="","",INDEX(CASHBACK_RULES!$E$5:$E$304,$B30)&amp;"")</f>
        <v/>
      </c>
      <c r="F30" s="55" t="str">
        <f>IF($B30="","",INDEX(CASHBACK_RULES!$F$5:$F$304,$B30)&amp;"")</f>
        <v/>
      </c>
      <c r="G30" s="26" t="str">
        <f>IF($B30="","",SUMIFS(TRANSACTIONS_MASTER!$Q$5:$Q$1204,TRANSACTIONS_MASTER!$D$5:$D$1204,$C30,TRANSACTIONS_MASTER!$Z$5:$Z$1204,$E30,TRANSACTIONS_MASTER!$C$5:$C$1204,$C$2))</f>
        <v/>
      </c>
      <c r="H30" s="25" t="str">
        <f>IF($B30="","",IF(ISNUMBER(INDEX(CASHBACK_RULES!$J$5:$J$304,$B30)),INDEX(CASHBACK_RULES!$J$5:$J$304,$B30),"∞"))</f>
        <v/>
      </c>
      <c r="I30" s="25" t="str">
        <f>IF($B30="","",IF(ISNUMBER($H30),MAX(0,$H30-$G30),"∞"))</f>
        <v/>
      </c>
      <c r="J30" s="27" t="str">
        <f>IF($B30="","",IF(ISNUMBER($H30),IF($H30=0,0,$G30/$H30),""))</f>
        <v/>
      </c>
    </row>
    <row r="31" ht="20" customHeight="1">
      <c r="B31" s="67" t="str">
        <f>IFERROR(MATCH(26,CASHBACK_RULES!$S$5:$S$304,0),"")</f>
        <v/>
      </c>
      <c r="C31" s="55" t="str">
        <f>IF($B31="","",INDEX(CASHBACK_RULES!$B$5:$B$304,$B31))</f>
        <v/>
      </c>
      <c r="D31" s="55" t="str">
        <f>IF($B31="","",INDEX(CASHBACK_RULES!$C$5:$C$304,$B31)&amp;" "&amp;INDEX(CASHBACK_RULES!$D$5:$D$304,$B31))</f>
        <v/>
      </c>
      <c r="E31" s="55" t="str">
        <f>IF($B31="","",INDEX(CASHBACK_RULES!$E$5:$E$304,$B31)&amp;"")</f>
        <v/>
      </c>
      <c r="F31" s="55" t="str">
        <f>IF($B31="","",INDEX(CASHBACK_RULES!$F$5:$F$304,$B31)&amp;"")</f>
        <v/>
      </c>
      <c r="G31" s="26" t="str">
        <f>IF($B31="","",SUMIFS(TRANSACTIONS_MASTER!$Q$5:$Q$1204,TRANSACTIONS_MASTER!$D$5:$D$1204,$C31,TRANSACTIONS_MASTER!$Z$5:$Z$1204,$E31,TRANSACTIONS_MASTER!$C$5:$C$1204,$C$2))</f>
        <v/>
      </c>
      <c r="H31" s="25" t="str">
        <f>IF($B31="","",IF(ISNUMBER(INDEX(CASHBACK_RULES!$J$5:$J$304,$B31)),INDEX(CASHBACK_RULES!$J$5:$J$304,$B31),"∞"))</f>
        <v/>
      </c>
      <c r="I31" s="25" t="str">
        <f>IF($B31="","",IF(ISNUMBER($H31),MAX(0,$H31-$G31),"∞"))</f>
        <v/>
      </c>
      <c r="J31" s="27" t="str">
        <f>IF($B31="","",IF(ISNUMBER($H31),IF($H31=0,0,$G31/$H31),""))</f>
        <v/>
      </c>
    </row>
    <row r="32" ht="20" customHeight="1">
      <c r="B32" s="67" t="str">
        <f>IFERROR(MATCH(27,CASHBACK_RULES!$S$5:$S$304,0),"")</f>
        <v/>
      </c>
      <c r="C32" s="55" t="str">
        <f>IF($B32="","",INDEX(CASHBACK_RULES!$B$5:$B$304,$B32))</f>
        <v/>
      </c>
      <c r="D32" s="55" t="str">
        <f>IF($B32="","",INDEX(CASHBACK_RULES!$C$5:$C$304,$B32)&amp;" "&amp;INDEX(CASHBACK_RULES!$D$5:$D$304,$B32))</f>
        <v/>
      </c>
      <c r="E32" s="55" t="str">
        <f>IF($B32="","",INDEX(CASHBACK_RULES!$E$5:$E$304,$B32)&amp;"")</f>
        <v/>
      </c>
      <c r="F32" s="55" t="str">
        <f>IF($B32="","",INDEX(CASHBACK_RULES!$F$5:$F$304,$B32)&amp;"")</f>
        <v/>
      </c>
      <c r="G32" s="26" t="str">
        <f>IF($B32="","",SUMIFS(TRANSACTIONS_MASTER!$Q$5:$Q$1204,TRANSACTIONS_MASTER!$D$5:$D$1204,$C32,TRANSACTIONS_MASTER!$Z$5:$Z$1204,$E32,TRANSACTIONS_MASTER!$C$5:$C$1204,$C$2))</f>
        <v/>
      </c>
      <c r="H32" s="25" t="str">
        <f>IF($B32="","",IF(ISNUMBER(INDEX(CASHBACK_RULES!$J$5:$J$304,$B32)),INDEX(CASHBACK_RULES!$J$5:$J$304,$B32),"∞"))</f>
        <v/>
      </c>
      <c r="I32" s="25" t="str">
        <f>IF($B32="","",IF(ISNUMBER($H32),MAX(0,$H32-$G32),"∞"))</f>
        <v/>
      </c>
      <c r="J32" s="27" t="str">
        <f>IF($B32="","",IF(ISNUMBER($H32),IF($H32=0,0,$G32/$H32),""))</f>
        <v/>
      </c>
    </row>
    <row r="33" ht="20" customHeight="1">
      <c r="B33" s="67" t="str">
        <f>IFERROR(MATCH(28,CASHBACK_RULES!$S$5:$S$304,0),"")</f>
        <v/>
      </c>
      <c r="C33" s="55" t="str">
        <f>IF($B33="","",INDEX(CASHBACK_RULES!$B$5:$B$304,$B33))</f>
        <v/>
      </c>
      <c r="D33" s="55" t="str">
        <f>IF($B33="","",INDEX(CASHBACK_RULES!$C$5:$C$304,$B33)&amp;" "&amp;INDEX(CASHBACK_RULES!$D$5:$D$304,$B33))</f>
        <v/>
      </c>
      <c r="E33" s="55" t="str">
        <f>IF($B33="","",INDEX(CASHBACK_RULES!$E$5:$E$304,$B33)&amp;"")</f>
        <v/>
      </c>
      <c r="F33" s="55" t="str">
        <f>IF($B33="","",INDEX(CASHBACK_RULES!$F$5:$F$304,$B33)&amp;"")</f>
        <v/>
      </c>
      <c r="G33" s="26" t="str">
        <f>IF($B33="","",SUMIFS(TRANSACTIONS_MASTER!$Q$5:$Q$1204,TRANSACTIONS_MASTER!$D$5:$D$1204,$C33,TRANSACTIONS_MASTER!$Z$5:$Z$1204,$E33,TRANSACTIONS_MASTER!$C$5:$C$1204,$C$2))</f>
        <v/>
      </c>
      <c r="H33" s="25" t="str">
        <f>IF($B33="","",IF(ISNUMBER(INDEX(CASHBACK_RULES!$J$5:$J$304,$B33)),INDEX(CASHBACK_RULES!$J$5:$J$304,$B33),"∞"))</f>
        <v/>
      </c>
      <c r="I33" s="25" t="str">
        <f>IF($B33="","",IF(ISNUMBER($H33),MAX(0,$H33-$G33),"∞"))</f>
        <v/>
      </c>
      <c r="J33" s="27" t="str">
        <f>IF($B33="","",IF(ISNUMBER($H33),IF($H33=0,0,$G33/$H33),""))</f>
        <v/>
      </c>
    </row>
    <row r="34" ht="20" customHeight="1">
      <c r="B34" s="67" t="str">
        <f>IFERROR(MATCH(29,CASHBACK_RULES!$S$5:$S$304,0),"")</f>
        <v/>
      </c>
      <c r="C34" s="55" t="str">
        <f>IF($B34="","",INDEX(CASHBACK_RULES!$B$5:$B$304,$B34))</f>
        <v/>
      </c>
      <c r="D34" s="55" t="str">
        <f>IF($B34="","",INDEX(CASHBACK_RULES!$C$5:$C$304,$B34)&amp;" "&amp;INDEX(CASHBACK_RULES!$D$5:$D$304,$B34))</f>
        <v/>
      </c>
      <c r="E34" s="55" t="str">
        <f>IF($B34="","",INDEX(CASHBACK_RULES!$E$5:$E$304,$B34)&amp;"")</f>
        <v/>
      </c>
      <c r="F34" s="55" t="str">
        <f>IF($B34="","",INDEX(CASHBACK_RULES!$F$5:$F$304,$B34)&amp;"")</f>
        <v/>
      </c>
      <c r="G34" s="26" t="str">
        <f>IF($B34="","",SUMIFS(TRANSACTIONS_MASTER!$Q$5:$Q$1204,TRANSACTIONS_MASTER!$D$5:$D$1204,$C34,TRANSACTIONS_MASTER!$Z$5:$Z$1204,$E34,TRANSACTIONS_MASTER!$C$5:$C$1204,$C$2))</f>
        <v/>
      </c>
      <c r="H34" s="25" t="str">
        <f>IF($B34="","",IF(ISNUMBER(INDEX(CASHBACK_RULES!$J$5:$J$304,$B34)),INDEX(CASHBACK_RULES!$J$5:$J$304,$B34),"∞"))</f>
        <v/>
      </c>
      <c r="I34" s="25" t="str">
        <f>IF($B34="","",IF(ISNUMBER($H34),MAX(0,$H34-$G34),"∞"))</f>
        <v/>
      </c>
      <c r="J34" s="27" t="str">
        <f>IF($B34="","",IF(ISNUMBER($H34),IF($H34=0,0,$G34/$H34),""))</f>
        <v/>
      </c>
    </row>
    <row r="35" ht="20" customHeight="1">
      <c r="B35" s="67" t="str">
        <f>IFERROR(MATCH(30,CASHBACK_RULES!$S$5:$S$304,0),"")</f>
        <v/>
      </c>
      <c r="C35" s="55" t="str">
        <f>IF($B35="","",INDEX(CASHBACK_RULES!$B$5:$B$304,$B35))</f>
        <v/>
      </c>
      <c r="D35" s="55" t="str">
        <f>IF($B35="","",INDEX(CASHBACK_RULES!$C$5:$C$304,$B35)&amp;" "&amp;INDEX(CASHBACK_RULES!$D$5:$D$304,$B35))</f>
        <v/>
      </c>
      <c r="E35" s="55" t="str">
        <f>IF($B35="","",INDEX(CASHBACK_RULES!$E$5:$E$304,$B35)&amp;"")</f>
        <v/>
      </c>
      <c r="F35" s="55" t="str">
        <f>IF($B35="","",INDEX(CASHBACK_RULES!$F$5:$F$304,$B35)&amp;"")</f>
        <v/>
      </c>
      <c r="G35" s="26" t="str">
        <f>IF($B35="","",SUMIFS(TRANSACTIONS_MASTER!$Q$5:$Q$1204,TRANSACTIONS_MASTER!$D$5:$D$1204,$C35,TRANSACTIONS_MASTER!$Z$5:$Z$1204,$E35,TRANSACTIONS_MASTER!$C$5:$C$1204,$C$2))</f>
        <v/>
      </c>
      <c r="H35" s="25" t="str">
        <f>IF($B35="","",IF(ISNUMBER(INDEX(CASHBACK_RULES!$J$5:$J$304,$B35)),INDEX(CASHBACK_RULES!$J$5:$J$304,$B35),"∞"))</f>
        <v/>
      </c>
      <c r="I35" s="25" t="str">
        <f>IF($B35="","",IF(ISNUMBER($H35),MAX(0,$H35-$G35),"∞"))</f>
        <v/>
      </c>
      <c r="J35" s="27" t="str">
        <f>IF($B35="","",IF(ISNUMBER($H35),IF($H35=0,0,$G35/$H35),""))</f>
        <v/>
      </c>
    </row>
    <row r="36" ht="20" customHeight="1">
      <c r="B36" s="67" t="str">
        <f>IFERROR(MATCH(31,CASHBACK_RULES!$S$5:$S$304,0),"")</f>
        <v/>
      </c>
      <c r="C36" s="55" t="str">
        <f>IF($B36="","",INDEX(CASHBACK_RULES!$B$5:$B$304,$B36))</f>
        <v/>
      </c>
      <c r="D36" s="55" t="str">
        <f>IF($B36="","",INDEX(CASHBACK_RULES!$C$5:$C$304,$B36)&amp;" "&amp;INDEX(CASHBACK_RULES!$D$5:$D$304,$B36))</f>
        <v/>
      </c>
      <c r="E36" s="55" t="str">
        <f>IF($B36="","",INDEX(CASHBACK_RULES!$E$5:$E$304,$B36)&amp;"")</f>
        <v/>
      </c>
      <c r="F36" s="55" t="str">
        <f>IF($B36="","",INDEX(CASHBACK_RULES!$F$5:$F$304,$B36)&amp;"")</f>
        <v/>
      </c>
      <c r="G36" s="26" t="str">
        <f>IF($B36="","",SUMIFS(TRANSACTIONS_MASTER!$Q$5:$Q$1204,TRANSACTIONS_MASTER!$D$5:$D$1204,$C36,TRANSACTIONS_MASTER!$Z$5:$Z$1204,$E36,TRANSACTIONS_MASTER!$C$5:$C$1204,$C$2))</f>
        <v/>
      </c>
      <c r="H36" s="25" t="str">
        <f>IF($B36="","",IF(ISNUMBER(INDEX(CASHBACK_RULES!$J$5:$J$304,$B36)),INDEX(CASHBACK_RULES!$J$5:$J$304,$B36),"∞"))</f>
        <v/>
      </c>
      <c r="I36" s="25" t="str">
        <f>IF($B36="","",IF(ISNUMBER($H36),MAX(0,$H36-$G36),"∞"))</f>
        <v/>
      </c>
      <c r="J36" s="27" t="str">
        <f>IF($B36="","",IF(ISNUMBER($H36),IF($H36=0,0,$G36/$H36),""))</f>
        <v/>
      </c>
    </row>
    <row r="37" ht="20" customHeight="1">
      <c r="B37" s="67" t="str">
        <f>IFERROR(MATCH(32,CASHBACK_RULES!$S$5:$S$304,0),"")</f>
        <v/>
      </c>
      <c r="C37" s="55" t="str">
        <f>IF($B37="","",INDEX(CASHBACK_RULES!$B$5:$B$304,$B37))</f>
        <v/>
      </c>
      <c r="D37" s="55" t="str">
        <f>IF($B37="","",INDEX(CASHBACK_RULES!$C$5:$C$304,$B37)&amp;" "&amp;INDEX(CASHBACK_RULES!$D$5:$D$304,$B37))</f>
        <v/>
      </c>
      <c r="E37" s="55" t="str">
        <f>IF($B37="","",INDEX(CASHBACK_RULES!$E$5:$E$304,$B37)&amp;"")</f>
        <v/>
      </c>
      <c r="F37" s="55" t="str">
        <f>IF($B37="","",INDEX(CASHBACK_RULES!$F$5:$F$304,$B37)&amp;"")</f>
        <v/>
      </c>
      <c r="G37" s="26" t="str">
        <f>IF($B37="","",SUMIFS(TRANSACTIONS_MASTER!$Q$5:$Q$1204,TRANSACTIONS_MASTER!$D$5:$D$1204,$C37,TRANSACTIONS_MASTER!$Z$5:$Z$1204,$E37,TRANSACTIONS_MASTER!$C$5:$C$1204,$C$2))</f>
        <v/>
      </c>
      <c r="H37" s="25" t="str">
        <f>IF($B37="","",IF(ISNUMBER(INDEX(CASHBACK_RULES!$J$5:$J$304,$B37)),INDEX(CASHBACK_RULES!$J$5:$J$304,$B37),"∞"))</f>
        <v/>
      </c>
      <c r="I37" s="25" t="str">
        <f>IF($B37="","",IF(ISNUMBER($H37),MAX(0,$H37-$G37),"∞"))</f>
        <v/>
      </c>
      <c r="J37" s="27" t="str">
        <f>IF($B37="","",IF(ISNUMBER($H37),IF($H37=0,0,$G37/$H37),""))</f>
        <v/>
      </c>
    </row>
    <row r="38" ht="20" customHeight="1">
      <c r="B38" s="67" t="str">
        <f>IFERROR(MATCH(33,CASHBACK_RULES!$S$5:$S$304,0),"")</f>
        <v/>
      </c>
      <c r="C38" s="55" t="str">
        <f>IF($B38="","",INDEX(CASHBACK_RULES!$B$5:$B$304,$B38))</f>
        <v/>
      </c>
      <c r="D38" s="55" t="str">
        <f>IF($B38="","",INDEX(CASHBACK_RULES!$C$5:$C$304,$B38)&amp;" "&amp;INDEX(CASHBACK_RULES!$D$5:$D$304,$B38))</f>
        <v/>
      </c>
      <c r="E38" s="55" t="str">
        <f>IF($B38="","",INDEX(CASHBACK_RULES!$E$5:$E$304,$B38)&amp;"")</f>
        <v/>
      </c>
      <c r="F38" s="55" t="str">
        <f>IF($B38="","",INDEX(CASHBACK_RULES!$F$5:$F$304,$B38)&amp;"")</f>
        <v/>
      </c>
      <c r="G38" s="26" t="str">
        <f>IF($B38="","",SUMIFS(TRANSACTIONS_MASTER!$Q$5:$Q$1204,TRANSACTIONS_MASTER!$D$5:$D$1204,$C38,TRANSACTIONS_MASTER!$Z$5:$Z$1204,$E38,TRANSACTIONS_MASTER!$C$5:$C$1204,$C$2))</f>
        <v/>
      </c>
      <c r="H38" s="25" t="str">
        <f>IF($B38="","",IF(ISNUMBER(INDEX(CASHBACK_RULES!$J$5:$J$304,$B38)),INDEX(CASHBACK_RULES!$J$5:$J$304,$B38),"∞"))</f>
        <v/>
      </c>
      <c r="I38" s="25" t="str">
        <f>IF($B38="","",IF(ISNUMBER($H38),MAX(0,$H38-$G38),"∞"))</f>
        <v/>
      </c>
      <c r="J38" s="27" t="str">
        <f>IF($B38="","",IF(ISNUMBER($H38),IF($H38=0,0,$G38/$H38),""))</f>
        <v/>
      </c>
    </row>
    <row r="39" ht="20" customHeight="1">
      <c r="B39" s="67" t="str">
        <f>IFERROR(MATCH(34,CASHBACK_RULES!$S$5:$S$304,0),"")</f>
        <v/>
      </c>
      <c r="C39" s="55" t="str">
        <f>IF($B39="","",INDEX(CASHBACK_RULES!$B$5:$B$304,$B39))</f>
        <v/>
      </c>
      <c r="D39" s="55" t="str">
        <f>IF($B39="","",INDEX(CASHBACK_RULES!$C$5:$C$304,$B39)&amp;" "&amp;INDEX(CASHBACK_RULES!$D$5:$D$304,$B39))</f>
        <v/>
      </c>
      <c r="E39" s="55" t="str">
        <f>IF($B39="","",INDEX(CASHBACK_RULES!$E$5:$E$304,$B39)&amp;"")</f>
        <v/>
      </c>
      <c r="F39" s="55" t="str">
        <f>IF($B39="","",INDEX(CASHBACK_RULES!$F$5:$F$304,$B39)&amp;"")</f>
        <v/>
      </c>
      <c r="G39" s="26" t="str">
        <f>IF($B39="","",SUMIFS(TRANSACTIONS_MASTER!$Q$5:$Q$1204,TRANSACTIONS_MASTER!$D$5:$D$1204,$C39,TRANSACTIONS_MASTER!$Z$5:$Z$1204,$E39,TRANSACTIONS_MASTER!$C$5:$C$1204,$C$2))</f>
        <v/>
      </c>
      <c r="H39" s="25" t="str">
        <f>IF($B39="","",IF(ISNUMBER(INDEX(CASHBACK_RULES!$J$5:$J$304,$B39)),INDEX(CASHBACK_RULES!$J$5:$J$304,$B39),"∞"))</f>
        <v/>
      </c>
      <c r="I39" s="25" t="str">
        <f>IF($B39="","",IF(ISNUMBER($H39),MAX(0,$H39-$G39),"∞"))</f>
        <v/>
      </c>
      <c r="J39" s="27" t="str">
        <f>IF($B39="","",IF(ISNUMBER($H39),IF($H39=0,0,$G39/$H39),""))</f>
        <v/>
      </c>
    </row>
    <row r="40" ht="20" customHeight="1">
      <c r="B40" s="67" t="str">
        <f>IFERROR(MATCH(35,CASHBACK_RULES!$S$5:$S$304,0),"")</f>
        <v/>
      </c>
      <c r="C40" s="55" t="str">
        <f>IF($B40="","",INDEX(CASHBACK_RULES!$B$5:$B$304,$B40))</f>
        <v/>
      </c>
      <c r="D40" s="55" t="str">
        <f>IF($B40="","",INDEX(CASHBACK_RULES!$C$5:$C$304,$B40)&amp;" "&amp;INDEX(CASHBACK_RULES!$D$5:$D$304,$B40))</f>
        <v/>
      </c>
      <c r="E40" s="55" t="str">
        <f>IF($B40="","",INDEX(CASHBACK_RULES!$E$5:$E$304,$B40)&amp;"")</f>
        <v/>
      </c>
      <c r="F40" s="55" t="str">
        <f>IF($B40="","",INDEX(CASHBACK_RULES!$F$5:$F$304,$B40)&amp;"")</f>
        <v/>
      </c>
      <c r="G40" s="26" t="str">
        <f>IF($B40="","",SUMIFS(TRANSACTIONS_MASTER!$Q$5:$Q$1204,TRANSACTIONS_MASTER!$D$5:$D$1204,$C40,TRANSACTIONS_MASTER!$Z$5:$Z$1204,$E40,TRANSACTIONS_MASTER!$C$5:$C$1204,$C$2))</f>
        <v/>
      </c>
      <c r="H40" s="25" t="str">
        <f>IF($B40="","",IF(ISNUMBER(INDEX(CASHBACK_RULES!$J$5:$J$304,$B40)),INDEX(CASHBACK_RULES!$J$5:$J$304,$B40),"∞"))</f>
        <v/>
      </c>
      <c r="I40" s="25" t="str">
        <f>IF($B40="","",IF(ISNUMBER($H40),MAX(0,$H40-$G40),"∞"))</f>
        <v/>
      </c>
      <c r="J40" s="27" t="str">
        <f>IF($B40="","",IF(ISNUMBER($H40),IF($H40=0,0,$G40/$H40),""))</f>
        <v/>
      </c>
    </row>
    <row r="41" ht="20" customHeight="1">
      <c r="B41" s="67" t="str">
        <f>IFERROR(MATCH(36,CASHBACK_RULES!$S$5:$S$304,0),"")</f>
        <v/>
      </c>
      <c r="C41" s="55" t="str">
        <f>IF($B41="","",INDEX(CASHBACK_RULES!$B$5:$B$304,$B41))</f>
        <v/>
      </c>
      <c r="D41" s="55" t="str">
        <f>IF($B41="","",INDEX(CASHBACK_RULES!$C$5:$C$304,$B41)&amp;" "&amp;INDEX(CASHBACK_RULES!$D$5:$D$304,$B41))</f>
        <v/>
      </c>
      <c r="E41" s="55" t="str">
        <f>IF($B41="","",INDEX(CASHBACK_RULES!$E$5:$E$304,$B41)&amp;"")</f>
        <v/>
      </c>
      <c r="F41" s="55" t="str">
        <f>IF($B41="","",INDEX(CASHBACK_RULES!$F$5:$F$304,$B41)&amp;"")</f>
        <v/>
      </c>
      <c r="G41" s="26" t="str">
        <f>IF($B41="","",SUMIFS(TRANSACTIONS_MASTER!$Q$5:$Q$1204,TRANSACTIONS_MASTER!$D$5:$D$1204,$C41,TRANSACTIONS_MASTER!$Z$5:$Z$1204,$E41,TRANSACTIONS_MASTER!$C$5:$C$1204,$C$2))</f>
        <v/>
      </c>
      <c r="H41" s="25" t="str">
        <f>IF($B41="","",IF(ISNUMBER(INDEX(CASHBACK_RULES!$J$5:$J$304,$B41)),INDEX(CASHBACK_RULES!$J$5:$J$304,$B41),"∞"))</f>
        <v/>
      </c>
      <c r="I41" s="25" t="str">
        <f>IF($B41="","",IF(ISNUMBER($H41),MAX(0,$H41-$G41),"∞"))</f>
        <v/>
      </c>
      <c r="J41" s="27" t="str">
        <f>IF($B41="","",IF(ISNUMBER($H41),IF($H41=0,0,$G41/$H41),""))</f>
        <v/>
      </c>
    </row>
    <row r="42" ht="20" customHeight="1">
      <c r="B42" s="67" t="str">
        <f>IFERROR(MATCH(37,CASHBACK_RULES!$S$5:$S$304,0),"")</f>
        <v/>
      </c>
      <c r="C42" s="55" t="str">
        <f>IF($B42="","",INDEX(CASHBACK_RULES!$B$5:$B$304,$B42))</f>
        <v/>
      </c>
      <c r="D42" s="55" t="str">
        <f>IF($B42="","",INDEX(CASHBACK_RULES!$C$5:$C$304,$B42)&amp;" "&amp;INDEX(CASHBACK_RULES!$D$5:$D$304,$B42))</f>
        <v/>
      </c>
      <c r="E42" s="55" t="str">
        <f>IF($B42="","",INDEX(CASHBACK_RULES!$E$5:$E$304,$B42)&amp;"")</f>
        <v/>
      </c>
      <c r="F42" s="55" t="str">
        <f>IF($B42="","",INDEX(CASHBACK_RULES!$F$5:$F$304,$B42)&amp;"")</f>
        <v/>
      </c>
      <c r="G42" s="26" t="str">
        <f>IF($B42="","",SUMIFS(TRANSACTIONS_MASTER!$Q$5:$Q$1204,TRANSACTIONS_MASTER!$D$5:$D$1204,$C42,TRANSACTIONS_MASTER!$Z$5:$Z$1204,$E42,TRANSACTIONS_MASTER!$C$5:$C$1204,$C$2))</f>
        <v/>
      </c>
      <c r="H42" s="25" t="str">
        <f>IF($B42="","",IF(ISNUMBER(INDEX(CASHBACK_RULES!$J$5:$J$304,$B42)),INDEX(CASHBACK_RULES!$J$5:$J$304,$B42),"∞"))</f>
        <v/>
      </c>
      <c r="I42" s="25" t="str">
        <f>IF($B42="","",IF(ISNUMBER($H42),MAX(0,$H42-$G42),"∞"))</f>
        <v/>
      </c>
      <c r="J42" s="27" t="str">
        <f>IF($B42="","",IF(ISNUMBER($H42),IF($H42=0,0,$G42/$H42),""))</f>
        <v/>
      </c>
    </row>
    <row r="43" ht="20" customHeight="1">
      <c r="B43" s="67" t="str">
        <f>IFERROR(MATCH(38,CASHBACK_RULES!$S$5:$S$304,0),"")</f>
        <v/>
      </c>
      <c r="C43" s="55" t="str">
        <f>IF($B43="","",INDEX(CASHBACK_RULES!$B$5:$B$304,$B43))</f>
        <v/>
      </c>
      <c r="D43" s="55" t="str">
        <f>IF($B43="","",INDEX(CASHBACK_RULES!$C$5:$C$304,$B43)&amp;" "&amp;INDEX(CASHBACK_RULES!$D$5:$D$304,$B43))</f>
        <v/>
      </c>
      <c r="E43" s="55" t="str">
        <f>IF($B43="","",INDEX(CASHBACK_RULES!$E$5:$E$304,$B43)&amp;"")</f>
        <v/>
      </c>
      <c r="F43" s="55" t="str">
        <f>IF($B43="","",INDEX(CASHBACK_RULES!$F$5:$F$304,$B43)&amp;"")</f>
        <v/>
      </c>
      <c r="G43" s="26" t="str">
        <f>IF($B43="","",SUMIFS(TRANSACTIONS_MASTER!$Q$5:$Q$1204,TRANSACTIONS_MASTER!$D$5:$D$1204,$C43,TRANSACTIONS_MASTER!$Z$5:$Z$1204,$E43,TRANSACTIONS_MASTER!$C$5:$C$1204,$C$2))</f>
        <v/>
      </c>
      <c r="H43" s="25" t="str">
        <f>IF($B43="","",IF(ISNUMBER(INDEX(CASHBACK_RULES!$J$5:$J$304,$B43)),INDEX(CASHBACK_RULES!$J$5:$J$304,$B43),"∞"))</f>
        <v/>
      </c>
      <c r="I43" s="25" t="str">
        <f>IF($B43="","",IF(ISNUMBER($H43),MAX(0,$H43-$G43),"∞"))</f>
        <v/>
      </c>
      <c r="J43" s="27" t="str">
        <f>IF($B43="","",IF(ISNUMBER($H43),IF($H43=0,0,$G43/$H43),""))</f>
        <v/>
      </c>
    </row>
    <row r="44" ht="20" customHeight="1">
      <c r="B44" s="67" t="str">
        <f>IFERROR(MATCH(39,CASHBACK_RULES!$S$5:$S$304,0),"")</f>
        <v/>
      </c>
      <c r="C44" s="55" t="str">
        <f>IF($B44="","",INDEX(CASHBACK_RULES!$B$5:$B$304,$B44))</f>
        <v/>
      </c>
      <c r="D44" s="55" t="str">
        <f>IF($B44="","",INDEX(CASHBACK_RULES!$C$5:$C$304,$B44)&amp;" "&amp;INDEX(CASHBACK_RULES!$D$5:$D$304,$B44))</f>
        <v/>
      </c>
      <c r="E44" s="55" t="str">
        <f>IF($B44="","",INDEX(CASHBACK_RULES!$E$5:$E$304,$B44)&amp;"")</f>
        <v/>
      </c>
      <c r="F44" s="55" t="str">
        <f>IF($B44="","",INDEX(CASHBACK_RULES!$F$5:$F$304,$B44)&amp;"")</f>
        <v/>
      </c>
      <c r="G44" s="26" t="str">
        <f>IF($B44="","",SUMIFS(TRANSACTIONS_MASTER!$Q$5:$Q$1204,TRANSACTIONS_MASTER!$D$5:$D$1204,$C44,TRANSACTIONS_MASTER!$Z$5:$Z$1204,$E44,TRANSACTIONS_MASTER!$C$5:$C$1204,$C$2))</f>
        <v/>
      </c>
      <c r="H44" s="25" t="str">
        <f>IF($B44="","",IF(ISNUMBER(INDEX(CASHBACK_RULES!$J$5:$J$304,$B44)),INDEX(CASHBACK_RULES!$J$5:$J$304,$B44),"∞"))</f>
        <v/>
      </c>
      <c r="I44" s="25" t="str">
        <f>IF($B44="","",IF(ISNUMBER($H44),MAX(0,$H44-$G44),"∞"))</f>
        <v/>
      </c>
      <c r="J44" s="27" t="str">
        <f>IF($B44="","",IF(ISNUMBER($H44),IF($H44=0,0,$G44/$H44),""))</f>
        <v/>
      </c>
    </row>
    <row r="45" ht="20" customHeight="1">
      <c r="B45" s="67" t="str">
        <f>IFERROR(MATCH(40,CASHBACK_RULES!$S$5:$S$304,0),"")</f>
        <v/>
      </c>
      <c r="C45" s="55" t="str">
        <f>IF($B45="","",INDEX(CASHBACK_RULES!$B$5:$B$304,$B45))</f>
        <v/>
      </c>
      <c r="D45" s="55" t="str">
        <f>IF($B45="","",INDEX(CASHBACK_RULES!$C$5:$C$304,$B45)&amp;" "&amp;INDEX(CASHBACK_RULES!$D$5:$D$304,$B45))</f>
        <v/>
      </c>
      <c r="E45" s="55" t="str">
        <f>IF($B45="","",INDEX(CASHBACK_RULES!$E$5:$E$304,$B45)&amp;"")</f>
        <v/>
      </c>
      <c r="F45" s="55" t="str">
        <f>IF($B45="","",INDEX(CASHBACK_RULES!$F$5:$F$304,$B45)&amp;"")</f>
        <v/>
      </c>
      <c r="G45" s="26" t="str">
        <f>IF($B45="","",SUMIFS(TRANSACTIONS_MASTER!$Q$5:$Q$1204,TRANSACTIONS_MASTER!$D$5:$D$1204,$C45,TRANSACTIONS_MASTER!$Z$5:$Z$1204,$E45,TRANSACTIONS_MASTER!$C$5:$C$1204,$C$2))</f>
        <v/>
      </c>
      <c r="H45" s="25" t="str">
        <f>IF($B45="","",IF(ISNUMBER(INDEX(CASHBACK_RULES!$J$5:$J$304,$B45)),INDEX(CASHBACK_RULES!$J$5:$J$304,$B45),"∞"))</f>
        <v/>
      </c>
      <c r="I45" s="25" t="str">
        <f>IF($B45="","",IF(ISNUMBER($H45),MAX(0,$H45-$G45),"∞"))</f>
        <v/>
      </c>
      <c r="J45" s="27" t="str">
        <f>IF($B45="","",IF(ISNUMBER($H45),IF($H45=0,0,$G45/$H45),""))</f>
        <v/>
      </c>
    </row>
    <row r="46" ht="20" customHeight="1">
      <c r="B46" s="67" t="str">
        <f>IFERROR(MATCH(41,CASHBACK_RULES!$S$5:$S$304,0),"")</f>
        <v/>
      </c>
      <c r="C46" s="55" t="str">
        <f>IF($B46="","",INDEX(CASHBACK_RULES!$B$5:$B$304,$B46))</f>
        <v/>
      </c>
      <c r="D46" s="55" t="str">
        <f>IF($B46="","",INDEX(CASHBACK_RULES!$C$5:$C$304,$B46)&amp;" "&amp;INDEX(CASHBACK_RULES!$D$5:$D$304,$B46))</f>
        <v/>
      </c>
      <c r="E46" s="55" t="str">
        <f>IF($B46="","",INDEX(CASHBACK_RULES!$E$5:$E$304,$B46)&amp;"")</f>
        <v/>
      </c>
      <c r="F46" s="55" t="str">
        <f>IF($B46="","",INDEX(CASHBACK_RULES!$F$5:$F$304,$B46)&amp;"")</f>
        <v/>
      </c>
      <c r="G46" s="26" t="str">
        <f>IF($B46="","",SUMIFS(TRANSACTIONS_MASTER!$Q$5:$Q$1204,TRANSACTIONS_MASTER!$D$5:$D$1204,$C46,TRANSACTIONS_MASTER!$Z$5:$Z$1204,$E46,TRANSACTIONS_MASTER!$C$5:$C$1204,$C$2))</f>
        <v/>
      </c>
      <c r="H46" s="25" t="str">
        <f>IF($B46="","",IF(ISNUMBER(INDEX(CASHBACK_RULES!$J$5:$J$304,$B46)),INDEX(CASHBACK_RULES!$J$5:$J$304,$B46),"∞"))</f>
        <v/>
      </c>
      <c r="I46" s="25" t="str">
        <f>IF($B46="","",IF(ISNUMBER($H46),MAX(0,$H46-$G46),"∞"))</f>
        <v/>
      </c>
      <c r="J46" s="27" t="str">
        <f>IF($B46="","",IF(ISNUMBER($H46),IF($H46=0,0,$G46/$H46),""))</f>
        <v/>
      </c>
    </row>
    <row r="47" ht="20" customHeight="1">
      <c r="B47" s="67" t="str">
        <f>IFERROR(MATCH(42,CASHBACK_RULES!$S$5:$S$304,0),"")</f>
        <v/>
      </c>
      <c r="C47" s="55" t="str">
        <f>IF($B47="","",INDEX(CASHBACK_RULES!$B$5:$B$304,$B47))</f>
        <v/>
      </c>
      <c r="D47" s="55" t="str">
        <f>IF($B47="","",INDEX(CASHBACK_RULES!$C$5:$C$304,$B47)&amp;" "&amp;INDEX(CASHBACK_RULES!$D$5:$D$304,$B47))</f>
        <v/>
      </c>
      <c r="E47" s="55" t="str">
        <f>IF($B47="","",INDEX(CASHBACK_RULES!$E$5:$E$304,$B47)&amp;"")</f>
        <v/>
      </c>
      <c r="F47" s="55" t="str">
        <f>IF($B47="","",INDEX(CASHBACK_RULES!$F$5:$F$304,$B47)&amp;"")</f>
        <v/>
      </c>
      <c r="G47" s="26" t="str">
        <f>IF($B47="","",SUMIFS(TRANSACTIONS_MASTER!$Q$5:$Q$1204,TRANSACTIONS_MASTER!$D$5:$D$1204,$C47,TRANSACTIONS_MASTER!$Z$5:$Z$1204,$E47,TRANSACTIONS_MASTER!$C$5:$C$1204,$C$2))</f>
        <v/>
      </c>
      <c r="H47" s="25" t="str">
        <f>IF($B47="","",IF(ISNUMBER(INDEX(CASHBACK_RULES!$J$5:$J$304,$B47)),INDEX(CASHBACK_RULES!$J$5:$J$304,$B47),"∞"))</f>
        <v/>
      </c>
      <c r="I47" s="25" t="str">
        <f>IF($B47="","",IF(ISNUMBER($H47),MAX(0,$H47-$G47),"∞"))</f>
        <v/>
      </c>
      <c r="J47" s="27" t="str">
        <f>IF($B47="","",IF(ISNUMBER($H47),IF($H47=0,0,$G47/$H47),""))</f>
        <v/>
      </c>
    </row>
    <row r="48" ht="20" customHeight="1">
      <c r="B48" s="67" t="str">
        <f>IFERROR(MATCH(43,CASHBACK_RULES!$S$5:$S$304,0),"")</f>
        <v/>
      </c>
      <c r="C48" s="55" t="str">
        <f>IF($B48="","",INDEX(CASHBACK_RULES!$B$5:$B$304,$B48))</f>
        <v/>
      </c>
      <c r="D48" s="55" t="str">
        <f>IF($B48="","",INDEX(CASHBACK_RULES!$C$5:$C$304,$B48)&amp;" "&amp;INDEX(CASHBACK_RULES!$D$5:$D$304,$B48))</f>
        <v/>
      </c>
      <c r="E48" s="55" t="str">
        <f>IF($B48="","",INDEX(CASHBACK_RULES!$E$5:$E$304,$B48)&amp;"")</f>
        <v/>
      </c>
      <c r="F48" s="55" t="str">
        <f>IF($B48="","",INDEX(CASHBACK_RULES!$F$5:$F$304,$B48)&amp;"")</f>
        <v/>
      </c>
      <c r="G48" s="26" t="str">
        <f>IF($B48="","",SUMIFS(TRANSACTIONS_MASTER!$Q$5:$Q$1204,TRANSACTIONS_MASTER!$D$5:$D$1204,$C48,TRANSACTIONS_MASTER!$Z$5:$Z$1204,$E48,TRANSACTIONS_MASTER!$C$5:$C$1204,$C$2))</f>
        <v/>
      </c>
      <c r="H48" s="25" t="str">
        <f>IF($B48="","",IF(ISNUMBER(INDEX(CASHBACK_RULES!$J$5:$J$304,$B48)),INDEX(CASHBACK_RULES!$J$5:$J$304,$B48),"∞"))</f>
        <v/>
      </c>
      <c r="I48" s="25" t="str">
        <f>IF($B48="","",IF(ISNUMBER($H48),MAX(0,$H48-$G48),"∞"))</f>
        <v/>
      </c>
      <c r="J48" s="27" t="str">
        <f>IF($B48="","",IF(ISNUMBER($H48),IF($H48=0,0,$G48/$H48),""))</f>
        <v/>
      </c>
    </row>
    <row r="49" ht="20" customHeight="1">
      <c r="B49" s="67" t="str">
        <f>IFERROR(MATCH(44,CASHBACK_RULES!$S$5:$S$304,0),"")</f>
        <v/>
      </c>
      <c r="C49" s="55" t="str">
        <f>IF($B49="","",INDEX(CASHBACK_RULES!$B$5:$B$304,$B49))</f>
        <v/>
      </c>
      <c r="D49" s="55" t="str">
        <f>IF($B49="","",INDEX(CASHBACK_RULES!$C$5:$C$304,$B49)&amp;" "&amp;INDEX(CASHBACK_RULES!$D$5:$D$304,$B49))</f>
        <v/>
      </c>
      <c r="E49" s="55" t="str">
        <f>IF($B49="","",INDEX(CASHBACK_RULES!$E$5:$E$304,$B49)&amp;"")</f>
        <v/>
      </c>
      <c r="F49" s="55" t="str">
        <f>IF($B49="","",INDEX(CASHBACK_RULES!$F$5:$F$304,$B49)&amp;"")</f>
        <v/>
      </c>
      <c r="G49" s="26" t="str">
        <f>IF($B49="","",SUMIFS(TRANSACTIONS_MASTER!$Q$5:$Q$1204,TRANSACTIONS_MASTER!$D$5:$D$1204,$C49,TRANSACTIONS_MASTER!$Z$5:$Z$1204,$E49,TRANSACTIONS_MASTER!$C$5:$C$1204,$C$2))</f>
        <v/>
      </c>
      <c r="H49" s="25" t="str">
        <f>IF($B49="","",IF(ISNUMBER(INDEX(CASHBACK_RULES!$J$5:$J$304,$B49)),INDEX(CASHBACK_RULES!$J$5:$J$304,$B49),"∞"))</f>
        <v/>
      </c>
      <c r="I49" s="25" t="str">
        <f>IF($B49="","",IF(ISNUMBER($H49),MAX(0,$H49-$G49),"∞"))</f>
        <v/>
      </c>
      <c r="J49" s="27" t="str">
        <f>IF($B49="","",IF(ISNUMBER($H49),IF($H49=0,0,$G49/$H49),""))</f>
        <v/>
      </c>
    </row>
    <row r="50" ht="20" customHeight="1">
      <c r="B50" s="67" t="str">
        <f>IFERROR(MATCH(45,CASHBACK_RULES!$S$5:$S$304,0),"")</f>
        <v/>
      </c>
      <c r="C50" s="55" t="str">
        <f>IF($B50="","",INDEX(CASHBACK_RULES!$B$5:$B$304,$B50))</f>
        <v/>
      </c>
      <c r="D50" s="55" t="str">
        <f>IF($B50="","",INDEX(CASHBACK_RULES!$C$5:$C$304,$B50)&amp;" "&amp;INDEX(CASHBACK_RULES!$D$5:$D$304,$B50))</f>
        <v/>
      </c>
      <c r="E50" s="55" t="str">
        <f>IF($B50="","",INDEX(CASHBACK_RULES!$E$5:$E$304,$B50)&amp;"")</f>
        <v/>
      </c>
      <c r="F50" s="55" t="str">
        <f>IF($B50="","",INDEX(CASHBACK_RULES!$F$5:$F$304,$B50)&amp;"")</f>
        <v/>
      </c>
      <c r="G50" s="26" t="str">
        <f>IF($B50="","",SUMIFS(TRANSACTIONS_MASTER!$Q$5:$Q$1204,TRANSACTIONS_MASTER!$D$5:$D$1204,$C50,TRANSACTIONS_MASTER!$Z$5:$Z$1204,$E50,TRANSACTIONS_MASTER!$C$5:$C$1204,$C$2))</f>
        <v/>
      </c>
      <c r="H50" s="25" t="str">
        <f>IF($B50="","",IF(ISNUMBER(INDEX(CASHBACK_RULES!$J$5:$J$304,$B50)),INDEX(CASHBACK_RULES!$J$5:$J$304,$B50),"∞"))</f>
        <v/>
      </c>
      <c r="I50" s="25" t="str">
        <f>IF($B50="","",IF(ISNUMBER($H50),MAX(0,$H50-$G50),"∞"))</f>
        <v/>
      </c>
      <c r="J50" s="27" t="str">
        <f>IF($B50="","",IF(ISNUMBER($H50),IF($H50=0,0,$G50/$H50),""))</f>
        <v/>
      </c>
    </row>
    <row r="51" ht="20" customHeight="1">
      <c r="B51" s="67" t="str">
        <f>IFERROR(MATCH(46,CASHBACK_RULES!$S$5:$S$304,0),"")</f>
        <v/>
      </c>
      <c r="C51" s="55" t="str">
        <f>IF($B51="","",INDEX(CASHBACK_RULES!$B$5:$B$304,$B51))</f>
        <v/>
      </c>
      <c r="D51" s="55" t="str">
        <f>IF($B51="","",INDEX(CASHBACK_RULES!$C$5:$C$304,$B51)&amp;" "&amp;INDEX(CASHBACK_RULES!$D$5:$D$304,$B51))</f>
        <v/>
      </c>
      <c r="E51" s="55" t="str">
        <f>IF($B51="","",INDEX(CASHBACK_RULES!$E$5:$E$304,$B51)&amp;"")</f>
        <v/>
      </c>
      <c r="F51" s="55" t="str">
        <f>IF($B51="","",INDEX(CASHBACK_RULES!$F$5:$F$304,$B51)&amp;"")</f>
        <v/>
      </c>
      <c r="G51" s="26" t="str">
        <f>IF($B51="","",SUMIFS(TRANSACTIONS_MASTER!$Q$5:$Q$1204,TRANSACTIONS_MASTER!$D$5:$D$1204,$C51,TRANSACTIONS_MASTER!$Z$5:$Z$1204,$E51,TRANSACTIONS_MASTER!$C$5:$C$1204,$C$2))</f>
        <v/>
      </c>
      <c r="H51" s="25" t="str">
        <f>IF($B51="","",IF(ISNUMBER(INDEX(CASHBACK_RULES!$J$5:$J$304,$B51)),INDEX(CASHBACK_RULES!$J$5:$J$304,$B51),"∞"))</f>
        <v/>
      </c>
      <c r="I51" s="25" t="str">
        <f>IF($B51="","",IF(ISNUMBER($H51),MAX(0,$H51-$G51),"∞"))</f>
        <v/>
      </c>
      <c r="J51" s="27" t="str">
        <f>IF($B51="","",IF(ISNUMBER($H51),IF($H51=0,0,$G51/$H51),""))</f>
        <v/>
      </c>
    </row>
    <row r="52" ht="20" customHeight="1">
      <c r="B52" s="67" t="str">
        <f>IFERROR(MATCH(47,CASHBACK_RULES!$S$5:$S$304,0),"")</f>
        <v/>
      </c>
      <c r="C52" s="55" t="str">
        <f>IF($B52="","",INDEX(CASHBACK_RULES!$B$5:$B$304,$B52))</f>
        <v/>
      </c>
      <c r="D52" s="55" t="str">
        <f>IF($B52="","",INDEX(CASHBACK_RULES!$C$5:$C$304,$B52)&amp;" "&amp;INDEX(CASHBACK_RULES!$D$5:$D$304,$B52))</f>
        <v/>
      </c>
      <c r="E52" s="55" t="str">
        <f>IF($B52="","",INDEX(CASHBACK_RULES!$E$5:$E$304,$B52)&amp;"")</f>
        <v/>
      </c>
      <c r="F52" s="55" t="str">
        <f>IF($B52="","",INDEX(CASHBACK_RULES!$F$5:$F$304,$B52)&amp;"")</f>
        <v/>
      </c>
      <c r="G52" s="26" t="str">
        <f>IF($B52="","",SUMIFS(TRANSACTIONS_MASTER!$Q$5:$Q$1204,TRANSACTIONS_MASTER!$D$5:$D$1204,$C52,TRANSACTIONS_MASTER!$Z$5:$Z$1204,$E52,TRANSACTIONS_MASTER!$C$5:$C$1204,$C$2))</f>
        <v/>
      </c>
      <c r="H52" s="25" t="str">
        <f>IF($B52="","",IF(ISNUMBER(INDEX(CASHBACK_RULES!$J$5:$J$304,$B52)),INDEX(CASHBACK_RULES!$J$5:$J$304,$B52),"∞"))</f>
        <v/>
      </c>
      <c r="I52" s="25" t="str">
        <f>IF($B52="","",IF(ISNUMBER($H52),MAX(0,$H52-$G52),"∞"))</f>
        <v/>
      </c>
      <c r="J52" s="27" t="str">
        <f>IF($B52="","",IF(ISNUMBER($H52),IF($H52=0,0,$G52/$H52),""))</f>
        <v/>
      </c>
    </row>
    <row r="53" ht="20" customHeight="1">
      <c r="B53" s="67" t="str">
        <f>IFERROR(MATCH(48,CASHBACK_RULES!$S$5:$S$304,0),"")</f>
        <v/>
      </c>
      <c r="C53" s="55" t="str">
        <f>IF($B53="","",INDEX(CASHBACK_RULES!$B$5:$B$304,$B53))</f>
        <v/>
      </c>
      <c r="D53" s="55" t="str">
        <f>IF($B53="","",INDEX(CASHBACK_RULES!$C$5:$C$304,$B53)&amp;" "&amp;INDEX(CASHBACK_RULES!$D$5:$D$304,$B53))</f>
        <v/>
      </c>
      <c r="E53" s="55" t="str">
        <f>IF($B53="","",INDEX(CASHBACK_RULES!$E$5:$E$304,$B53)&amp;"")</f>
        <v/>
      </c>
      <c r="F53" s="55" t="str">
        <f>IF($B53="","",INDEX(CASHBACK_RULES!$F$5:$F$304,$B53)&amp;"")</f>
        <v/>
      </c>
      <c r="G53" s="26" t="str">
        <f>IF($B53="","",SUMIFS(TRANSACTIONS_MASTER!$Q$5:$Q$1204,TRANSACTIONS_MASTER!$D$5:$D$1204,$C53,TRANSACTIONS_MASTER!$Z$5:$Z$1204,$E53,TRANSACTIONS_MASTER!$C$5:$C$1204,$C$2))</f>
        <v/>
      </c>
      <c r="H53" s="25" t="str">
        <f>IF($B53="","",IF(ISNUMBER(INDEX(CASHBACK_RULES!$J$5:$J$304,$B53)),INDEX(CASHBACK_RULES!$J$5:$J$304,$B53),"∞"))</f>
        <v/>
      </c>
      <c r="I53" s="25" t="str">
        <f>IF($B53="","",IF(ISNUMBER($H53),MAX(0,$H53-$G53),"∞"))</f>
        <v/>
      </c>
      <c r="J53" s="27" t="str">
        <f>IF($B53="","",IF(ISNUMBER($H53),IF($H53=0,0,$G53/$H53),""))</f>
        <v/>
      </c>
    </row>
    <row r="54" ht="20" customHeight="1">
      <c r="B54" s="67" t="str">
        <f>IFERROR(MATCH(49,CASHBACK_RULES!$S$5:$S$304,0),"")</f>
        <v/>
      </c>
      <c r="C54" s="55" t="str">
        <f>IF($B54="","",INDEX(CASHBACK_RULES!$B$5:$B$304,$B54))</f>
        <v/>
      </c>
      <c r="D54" s="55" t="str">
        <f>IF($B54="","",INDEX(CASHBACK_RULES!$C$5:$C$304,$B54)&amp;" "&amp;INDEX(CASHBACK_RULES!$D$5:$D$304,$B54))</f>
        <v/>
      </c>
      <c r="E54" s="55" t="str">
        <f>IF($B54="","",INDEX(CASHBACK_RULES!$E$5:$E$304,$B54)&amp;"")</f>
        <v/>
      </c>
      <c r="F54" s="55" t="str">
        <f>IF($B54="","",INDEX(CASHBACK_RULES!$F$5:$F$304,$B54)&amp;"")</f>
        <v/>
      </c>
      <c r="G54" s="26" t="str">
        <f>IF($B54="","",SUMIFS(TRANSACTIONS_MASTER!$Q$5:$Q$1204,TRANSACTIONS_MASTER!$D$5:$D$1204,$C54,TRANSACTIONS_MASTER!$Z$5:$Z$1204,$E54,TRANSACTIONS_MASTER!$C$5:$C$1204,$C$2))</f>
        <v/>
      </c>
      <c r="H54" s="25" t="str">
        <f>IF($B54="","",IF(ISNUMBER(INDEX(CASHBACK_RULES!$J$5:$J$304,$B54)),INDEX(CASHBACK_RULES!$J$5:$J$304,$B54),"∞"))</f>
        <v/>
      </c>
      <c r="I54" s="25" t="str">
        <f>IF($B54="","",IF(ISNUMBER($H54),MAX(0,$H54-$G54),"∞"))</f>
        <v/>
      </c>
      <c r="J54" s="27" t="str">
        <f>IF($B54="","",IF(ISNUMBER($H54),IF($H54=0,0,$G54/$H54),""))</f>
        <v/>
      </c>
    </row>
    <row r="55" ht="20" customHeight="1">
      <c r="B55" s="67" t="str">
        <f>IFERROR(MATCH(50,CASHBACK_RULES!$S$5:$S$304,0),"")</f>
        <v/>
      </c>
      <c r="C55" s="55" t="str">
        <f>IF($B55="","",INDEX(CASHBACK_RULES!$B$5:$B$304,$B55))</f>
        <v/>
      </c>
      <c r="D55" s="55" t="str">
        <f>IF($B55="","",INDEX(CASHBACK_RULES!$C$5:$C$304,$B55)&amp;" "&amp;INDEX(CASHBACK_RULES!$D$5:$D$304,$B55))</f>
        <v/>
      </c>
      <c r="E55" s="55" t="str">
        <f>IF($B55="","",INDEX(CASHBACK_RULES!$E$5:$E$304,$B55)&amp;"")</f>
        <v/>
      </c>
      <c r="F55" s="55" t="str">
        <f>IF($B55="","",INDEX(CASHBACK_RULES!$F$5:$F$304,$B55)&amp;"")</f>
        <v/>
      </c>
      <c r="G55" s="26" t="str">
        <f>IF($B55="","",SUMIFS(TRANSACTIONS_MASTER!$Q$5:$Q$1204,TRANSACTIONS_MASTER!$D$5:$D$1204,$C55,TRANSACTIONS_MASTER!$Z$5:$Z$1204,$E55,TRANSACTIONS_MASTER!$C$5:$C$1204,$C$2))</f>
        <v/>
      </c>
      <c r="H55" s="25" t="str">
        <f>IF($B55="","",IF(ISNUMBER(INDEX(CASHBACK_RULES!$J$5:$J$304,$B55)),INDEX(CASHBACK_RULES!$J$5:$J$304,$B55),"∞"))</f>
        <v/>
      </c>
      <c r="I55" s="25" t="str">
        <f>IF($B55="","",IF(ISNUMBER($H55),MAX(0,$H55-$G55),"∞"))</f>
        <v/>
      </c>
      <c r="J55" s="27" t="str">
        <f>IF($B55="","",IF(ISNUMBER($H55),IF($H55=0,0,$G55/$H55),""))</f>
        <v/>
      </c>
    </row>
    <row r="58" ht="22" customHeight="1">
      <c r="C58" s="19" t="inlineStr">
        <is>
          <t>TỔNG THEO THẺ — chi tiêu · cashback · cap thẻ / tháng</t>
        </is>
      </c>
      <c r="D58" s="20" t="n"/>
      <c r="E58" s="20" t="n"/>
      <c r="F58" s="20" t="n"/>
      <c r="G58" s="20" t="n"/>
      <c r="H58" s="20" t="n"/>
      <c r="I58" s="20" t="n"/>
      <c r="J58" s="20" t="n"/>
    </row>
    <row r="59" ht="30" customHeight="1">
      <c r="B59" s="21" t="inlineStr">
        <is>
          <t>#</t>
        </is>
      </c>
      <c r="C59" s="21" t="inlineStr">
        <is>
          <t>Card ID</t>
        </is>
      </c>
      <c r="D59" s="21" t="inlineStr">
        <is>
          <t>Thẻ</t>
        </is>
      </c>
      <c r="E59" s="21" t="inlineStr">
        <is>
          <t>Chi tiêu</t>
        </is>
      </c>
      <c r="F59" s="21" t="inlineStr">
        <is>
          <t>Cashback</t>
        </is>
      </c>
      <c r="G59" s="21" t="inlineStr">
        <is>
          <t>Cap thẻ / tháng</t>
        </is>
      </c>
      <c r="H59" s="21" t="inlineStr">
        <is>
          <t>Còn lại (tối đa)</t>
        </is>
      </c>
      <c r="I59" s="21" t="inlineStr">
        <is>
          <t>Progress</t>
        </is>
      </c>
      <c r="J59" s="21" t="inlineStr">
        <is>
          <t>Số GD</t>
        </is>
      </c>
    </row>
    <row r="60">
      <c r="B60" s="67" t="n">
        <v>1</v>
      </c>
      <c r="C60" s="55" t="str">
        <f>IF(CARDS!$A5="","",CARDS!$A5)</f>
        <v>VPB-JCBZ</v>
      </c>
      <c r="D60" s="55" t="str">
        <f>IF($C60="","",CARDS!$B5&amp;" "&amp;CARDS!$C5)</f>
        <v>VPBank JCB Z Card</v>
      </c>
      <c r="E60" s="25">
        <f>IF($C60="","",SUMIFS(TRANSACTIONS_MASTER!$L$5:$L$1204,TRANSACTIONS_MASTER!$D$5:$D$1204,$C60,TRANSACTIONS_MASTER!$C$5:$C$1204,$C$2,TRANSACTIONS_MASTER!$U$5:$U$1204,"&lt;&gt;Cancelled"))</f>
        <v>16800000</v>
      </c>
      <c r="F60" s="26">
        <f>IF($C60="","",SUMIFS(TRANSACTIONS_MASTER!$Q$5:$Q$1204,TRANSACTIONS_MASTER!$D$5:$D$1204,$C60,TRANSACTIONS_MASTER!$C$5:$C$1204,$C$2))</f>
        <v>1000000</v>
      </c>
      <c r="G60" s="25">
        <f>IF($C60="","",IFERROR(IF(ISNUMBER(INDEX(CASHBACK_RULES!$K$5:$K$304,MATCH($C60,CASHBACK_RULES!$B$5:$B$304,0))),INDEX(CASHBACK_RULES!$K$5:$K$304,MATCH($C60,CASHBACK_RULES!$B$5:$B$304,0)),"∞"),"—"))</f>
        <v>1000000</v>
      </c>
      <c r="H60" s="25">
        <f>IF($C60="","",IF($G60="—","—",IF(COUNTIFS($C$6:$C$55,$C60,$I$6:$I$55,"∞")&gt;0,IF(ISNUMBER($G60),MAX(0,$G60-$F60),"∞"),IF(ISNUMBER($G60),MAX(0,MIN($G60-$F60,SUMIFS($I$6:$I$55,$C$6:$C$55,$C60))),SUMIFS($I$6:$I$55,$C$6:$C$55,$C60)))))</f>
        <v>0</v>
      </c>
      <c r="I60" s="27">
        <f>IF($C60="","",IF(ISNUMBER($G60),IF($G60=0,0,$F60/$G60),IF(ISNUMBER($H60),IF($F60+$H60=0,0,$F60/($F60+$H60)),"")))</f>
        <v>1</v>
      </c>
      <c r="J60" s="29">
        <f>IF($C60="","",COUNTIFS(TRANSACTIONS_MASTER!$D$5:$D$1204,$C60,TRANSACTIONS_MASTER!$C$5:$C$1204,$C$2,TRANSACTIONS_MASTER!$U$5:$U$1204,"&lt;&gt;Cancelled"))</f>
        <v>9</v>
      </c>
    </row>
    <row r="61">
      <c r="B61" s="67" t="n">
        <v>2</v>
      </c>
      <c r="C61" s="55" t="str">
        <f>IF(CARDS!$A6="","",CARDS!$A6)</f>
        <v>VIB-A</v>
      </c>
      <c r="D61" s="55" t="str">
        <f>IF($C61="","",CARDS!$B6&amp;" "&amp;CARDS!$C6)</f>
        <v>VIB Cashback Demo A</v>
      </c>
      <c r="E61" s="25">
        <f>IF($C61="","",SUMIFS(TRANSACTIONS_MASTER!$L$5:$L$1204,TRANSACTIONS_MASTER!$D$5:$D$1204,$C61,TRANSACTIONS_MASTER!$C$5:$C$1204,$C$2,TRANSACTIONS_MASTER!$U$5:$U$1204,"&lt;&gt;Cancelled"))</f>
        <v>11500000</v>
      </c>
      <c r="F61" s="26">
        <f>IF($C61="","",SUMIFS(TRANSACTIONS_MASTER!$Q$5:$Q$1204,TRANSACTIONS_MASTER!$D$5:$D$1204,$C61,TRANSACTIONS_MASTER!$C$5:$C$1204,$C$2))</f>
        <v>1000000</v>
      </c>
      <c r="G61" s="25">
        <f>IF($C61="","",IFERROR(IF(ISNUMBER(INDEX(CASHBACK_RULES!$K$5:$K$304,MATCH($C61,CASHBACK_RULES!$B$5:$B$304,0))),INDEX(CASHBACK_RULES!$K$5:$K$304,MATCH($C61,CASHBACK_RULES!$B$5:$B$304,0)),"∞"),"—"))</f>
        <v>1000000</v>
      </c>
      <c r="H61" s="25">
        <f>IF($C61="","",IF($G61="—","—",IF(COUNTIFS($C$6:$C$55,$C61,$I$6:$I$55,"∞")&gt;0,IF(ISNUMBER($G61),MAX(0,$G61-$F61),"∞"),IF(ISNUMBER($G61),MAX(0,MIN($G61-$F61,SUMIFS($I$6:$I$55,$C$6:$C$55,$C61))),SUMIFS($I$6:$I$55,$C$6:$C$55,$C61)))))</f>
        <v>0</v>
      </c>
      <c r="I61" s="27">
        <f>IF($C61="","",IF(ISNUMBER($G61),IF($G61=0,0,$F61/$G61),IF(ISNUMBER($H61),IF($F61+$H61=0,0,$F61/($F61+$H61)),"")))</f>
        <v>1</v>
      </c>
      <c r="J61" s="29">
        <f>IF($C61="","",COUNTIFS(TRANSACTIONS_MASTER!$D$5:$D$1204,$C61,TRANSACTIONS_MASTER!$C$5:$C$1204,$C$2,TRANSACTIONS_MASTER!$U$5:$U$1204,"&lt;&gt;Cancelled"))</f>
        <v>4</v>
      </c>
    </row>
    <row r="62">
      <c r="B62" s="67" t="n">
        <v>3</v>
      </c>
      <c r="C62" s="55" t="str">
        <f>IF(CARDS!$A7="","",CARDS!$A7)</f>
        <v>TCB-B</v>
      </c>
      <c r="D62" s="55" t="str">
        <f>IF($C62="","",CARDS!$B7&amp;" "&amp;CARDS!$C7)</f>
        <v>Techcombank Cashback Demo B</v>
      </c>
      <c r="E62" s="25">
        <f>IF($C62="","",SUMIFS(TRANSACTIONS_MASTER!$L$5:$L$1204,TRANSACTIONS_MASTER!$D$5:$D$1204,$C62,TRANSACTIONS_MASTER!$C$5:$C$1204,$C$2,TRANSACTIONS_MASTER!$U$5:$U$1204,"&lt;&gt;Cancelled"))</f>
        <v>8300000</v>
      </c>
      <c r="F62" s="26">
        <f>IF($C62="","",SUMIFS(TRANSACTIONS_MASTER!$Q$5:$Q$1204,TRANSACTIONS_MASTER!$D$5:$D$1204,$C62,TRANSACTIONS_MASTER!$C$5:$C$1204,$C$2))</f>
        <v>390000</v>
      </c>
      <c r="G62" s="25">
        <f>IF($C62="","",IFERROR(IF(ISNUMBER(INDEX(CASHBACK_RULES!$K$5:$K$304,MATCH($C62,CASHBACK_RULES!$B$5:$B$304,0))),INDEX(CASHBACK_RULES!$K$5:$K$304,MATCH($C62,CASHBACK_RULES!$B$5:$B$304,0)),"∞"),"—"))</f>
        <v>2000000</v>
      </c>
      <c r="H62" s="25">
        <f>IF($C62="","",IF($G62="—","—",IF(COUNTIFS($C$6:$C$55,$C62,$I$6:$I$55,"∞")&gt;0,IF(ISNUMBER($G62),MAX(0,$G62-$F62),"∞"),IF(ISNUMBER($G62),MAX(0,MIN($G62-$F62,SUMIFS($I$6:$I$55,$C$6:$C$55,$C62))),SUMIFS($I$6:$I$55,$C$6:$C$55,$C62)))))</f>
        <v>510000</v>
      </c>
      <c r="I62" s="27">
        <f>IF($C62="","",IF(ISNUMBER($G62),IF($G62=0,0,$F62/$G62),IF(ISNUMBER($H62),IF($F62+$H62=0,0,$F62/($F62+$H62)),"")))</f>
        <v>0.195</v>
      </c>
      <c r="J62" s="29">
        <f>IF($C62="","",COUNTIFS(TRANSACTIONS_MASTER!$D$5:$D$1204,$C62,TRANSACTIONS_MASTER!$C$5:$C$1204,$C$2,TRANSACTIONS_MASTER!$U$5:$U$1204,"&lt;&gt;Cancelled"))</f>
        <v>3</v>
      </c>
    </row>
    <row r="63">
      <c r="B63" s="67" t="n">
        <v>4</v>
      </c>
      <c r="C63" s="55" t="str">
        <f>IF(CARDS!$A8="","",CARDS!$A8)</f>
        <v>UOB-C</v>
      </c>
      <c r="D63" s="55" t="str">
        <f>IF($C63="","",CARDS!$B8&amp;" "&amp;CARDS!$C8)</f>
        <v>UOB Cashback Demo C</v>
      </c>
      <c r="E63" s="25">
        <f>IF($C63="","",SUMIFS(TRANSACTIONS_MASTER!$L$5:$L$1204,TRANSACTIONS_MASTER!$D$5:$D$1204,$C63,TRANSACTIONS_MASTER!$C$5:$C$1204,$C$2,TRANSACTIONS_MASTER!$U$5:$U$1204,"&lt;&gt;Cancelled"))</f>
        <v>7000000</v>
      </c>
      <c r="F63" s="26">
        <f>IF($C63="","",SUMIFS(TRANSACTIONS_MASTER!$Q$5:$Q$1204,TRANSACTIONS_MASTER!$D$5:$D$1204,$C63,TRANSACTIONS_MASTER!$C$5:$C$1204,$C$2))</f>
        <v>1000000</v>
      </c>
      <c r="G63" s="25" t="str">
        <f>IF($C63="","",IFERROR(IF(ISNUMBER(INDEX(CASHBACK_RULES!$K$5:$K$304,MATCH($C63,CASHBACK_RULES!$B$5:$B$304,0))),INDEX(CASHBACK_RULES!$K$5:$K$304,MATCH($C63,CASHBACK_RULES!$B$5:$B$304,0)),"∞"),"—"))</f>
        <v>∞</v>
      </c>
      <c r="H63" s="25">
        <f>IF($C63="","",IF($G63="—","—",IF(COUNTIFS($C$6:$C$55,$C63,$I$6:$I$55,"∞")&gt;0,IF(ISNUMBER($G63),MAX(0,$G63-$F63),"∞"),IF(ISNUMBER($G63),MAX(0,MIN($G63-$F63,SUMIFS($I$6:$I$55,$C$6:$C$55,$C63))),SUMIFS($I$6:$I$55,$C$6:$C$55,$C63)))))</f>
        <v>0</v>
      </c>
      <c r="I63" s="27">
        <f>IF($C63="","",IF(ISNUMBER($G63),IF($G63=0,0,$F63/$G63),IF(ISNUMBER($H63),IF($F63+$H63=0,0,$F63/($F63+$H63)),"")))</f>
        <v>1</v>
      </c>
      <c r="J63" s="29">
        <f>IF($C63="","",COUNTIFS(TRANSACTIONS_MASTER!$D$5:$D$1204,$C63,TRANSACTIONS_MASTER!$C$5:$C$1204,$C$2,TRANSACTIONS_MASTER!$U$5:$U$1204,"&lt;&gt;Cancelled"))</f>
        <v>2</v>
      </c>
    </row>
    <row r="64">
      <c r="B64" s="67" t="n">
        <v>5</v>
      </c>
      <c r="C64" s="55" t="str">
        <f>IF(CARDS!$A9="","",CARDS!$A9)</f>
        <v>MB-D</v>
      </c>
      <c r="D64" s="55" t="str">
        <f>IF($C64="","",CARDS!$B9&amp;" "&amp;CARDS!$C9)</f>
        <v>MB Cashback Demo D</v>
      </c>
      <c r="E64" s="25">
        <f>IF($C64="","",SUMIFS(TRANSACTIONS_MASTER!$L$5:$L$1204,TRANSACTIONS_MASTER!$D$5:$D$1204,$C64,TRANSACTIONS_MASTER!$C$5:$C$1204,$C$2,TRANSACTIONS_MASTER!$U$5:$U$1204,"&lt;&gt;Cancelled"))</f>
        <v>9550000</v>
      </c>
      <c r="F64" s="26">
        <f>IF($C64="","",SUMIFS(TRANSACTIONS_MASTER!$Q$5:$Q$1204,TRANSACTIONS_MASTER!$D$5:$D$1204,$C64,TRANSACTIONS_MASTER!$C$5:$C$1204,$C$2))</f>
        <v>490000</v>
      </c>
      <c r="G64" s="25">
        <f>IF($C64="","",IFERROR(IF(ISNUMBER(INDEX(CASHBACK_RULES!$K$5:$K$304,MATCH($C64,CASHBACK_RULES!$B$5:$B$304,0))),INDEX(CASHBACK_RULES!$K$5:$K$304,MATCH($C64,CASHBACK_RULES!$B$5:$B$304,0)),"∞"),"—"))</f>
        <v>600000</v>
      </c>
      <c r="H64" s="25">
        <f>IF($C64="","",IF($G64="—","—",IF(COUNTIFS($C$6:$C$55,$C64,$I$6:$I$55,"∞")&gt;0,IF(ISNUMBER($G64),MAX(0,$G64-$F64),"∞"),IF(ISNUMBER($G64),MAX(0,MIN($G64-$F64,SUMIFS($I$6:$I$55,$C$6:$C$55,$C64))),SUMIFS($I$6:$I$55,$C$6:$C$55,$C64)))))</f>
        <v>110000</v>
      </c>
      <c r="I64" s="27">
        <f>IF($C64="","",IF(ISNUMBER($G64),IF($G64=0,0,$F64/$G64),IF(ISNUMBER($H64),IF($F64+$H64=0,0,$F64/($F64+$H64)),"")))</f>
        <v>0.816666666666667</v>
      </c>
      <c r="J64" s="29">
        <f>IF($C64="","",COUNTIFS(TRANSACTIONS_MASTER!$D$5:$D$1204,$C64,TRANSACTIONS_MASTER!$C$5:$C$1204,$C$2,TRANSACTIONS_MASTER!$U$5:$U$1204,"&lt;&gt;Cancelled"))</f>
        <v>4</v>
      </c>
    </row>
    <row r="65">
      <c r="B65" s="67" t="n">
        <v>6</v>
      </c>
      <c r="C65" s="55" t="str">
        <f>IF(CARDS!$A10="","",CARDS!$A10)</f>
        <v>ACB-E</v>
      </c>
      <c r="D65" s="55" t="str">
        <f>IF($C65="","",CARDS!$B10&amp;" "&amp;CARDS!$C10)</f>
        <v>ACB Demo E (không cashback)</v>
      </c>
      <c r="E65" s="25">
        <f>IF($C65="","",SUMIFS(TRANSACTIONS_MASTER!$L$5:$L$1204,TRANSACTIONS_MASTER!$D$5:$D$1204,$C65,TRANSACTIONS_MASTER!$C$5:$C$1204,$C$2,TRANSACTIONS_MASTER!$U$5:$U$1204,"&lt;&gt;Cancelled"))</f>
        <v>1000000</v>
      </c>
      <c r="F65" s="26">
        <f>IF($C65="","",SUMIFS(TRANSACTIONS_MASTER!$Q$5:$Q$1204,TRANSACTIONS_MASTER!$D$5:$D$1204,$C65,TRANSACTIONS_MASTER!$C$5:$C$1204,$C$2))</f>
        <v>0</v>
      </c>
      <c r="G65" s="25" t="str">
        <f>IF($C65="","",IFERROR(IF(ISNUMBER(INDEX(CASHBACK_RULES!$K$5:$K$304,MATCH($C65,CASHBACK_RULES!$B$5:$B$304,0))),INDEX(CASHBACK_RULES!$K$5:$K$304,MATCH($C65,CASHBACK_RULES!$B$5:$B$304,0)),"∞"),"—"))</f>
        <v>∞</v>
      </c>
      <c r="H65" s="25">
        <f>IF($C65="","",IF($G65="—","—",IF(COUNTIFS($C$6:$C$55,$C65,$I$6:$I$55,"∞")&gt;0,IF(ISNUMBER($G65),MAX(0,$G65-$F65),"∞"),IF(ISNUMBER($G65),MAX(0,MIN($G65-$F65,SUMIFS($I$6:$I$55,$C$6:$C$55,$C65))),SUMIFS($I$6:$I$55,$C$6:$C$55,$C65)))))</f>
        <v>0</v>
      </c>
      <c r="I65" s="27">
        <f>IF($C65="","",IF(ISNUMBER($G65),IF($G65=0,0,$F65/$G65),IF(ISNUMBER($H65),IF($F65+$H65=0,0,$F65/($F65+$H65)),"")))</f>
        <v>0</v>
      </c>
      <c r="J65" s="29">
        <f>IF($C65="","",COUNTIFS(TRANSACTIONS_MASTER!$D$5:$D$1204,$C65,TRANSACTIONS_MASTER!$C$5:$C$1204,$C$2,TRANSACTIONS_MASTER!$U$5:$U$1204,"&lt;&gt;Cancelled"))</f>
        <v>1</v>
      </c>
    </row>
    <row r="66">
      <c r="B66" s="67" t="n">
        <v>7</v>
      </c>
      <c r="C66" s="55" t="str">
        <f>IF(CARDS!$A11="","",CARDS!$A11)</f>
        <v/>
      </c>
      <c r="D66" s="55" t="str">
        <f>IF($C66="","",CARDS!$B11&amp;" "&amp;CARDS!$C11)</f>
        <v/>
      </c>
      <c r="E66" s="25" t="str">
        <f>IF($C66="","",SUMIFS(TRANSACTIONS_MASTER!$L$5:$L$1204,TRANSACTIONS_MASTER!$D$5:$D$1204,$C66,TRANSACTIONS_MASTER!$C$5:$C$1204,$C$2,TRANSACTIONS_MASTER!$U$5:$U$1204,"&lt;&gt;Cancelled"))</f>
        <v/>
      </c>
      <c r="F66" s="26" t="str">
        <f>IF($C66="","",SUMIFS(TRANSACTIONS_MASTER!$Q$5:$Q$1204,TRANSACTIONS_MASTER!$D$5:$D$1204,$C66,TRANSACTIONS_MASTER!$C$5:$C$1204,$C$2))</f>
        <v/>
      </c>
      <c r="G66" s="25" t="str">
        <f>IF($C66="","",IFERROR(IF(ISNUMBER(INDEX(CASHBACK_RULES!$K$5:$K$304,MATCH($C66,CASHBACK_RULES!$B$5:$B$304,0))),INDEX(CASHBACK_RULES!$K$5:$K$304,MATCH($C66,CASHBACK_RULES!$B$5:$B$304,0)),"∞"),"—"))</f>
        <v/>
      </c>
      <c r="H66" s="25" t="str">
        <f>IF($C66="","",IF($G66="—","—",IF(COUNTIFS($C$6:$C$55,$C66,$I$6:$I$55,"∞")&gt;0,IF(ISNUMBER($G66),MAX(0,$G66-$F66),"∞"),IF(ISNUMBER($G66),MAX(0,MIN($G66-$F66,SUMIFS($I$6:$I$55,$C$6:$C$55,$C66))),SUMIFS($I$6:$I$55,$C$6:$C$55,$C66)))))</f>
        <v/>
      </c>
      <c r="I66" s="27" t="str">
        <f>IF($C66="","",IF(ISNUMBER($G66),IF($G66=0,0,$F66/$G66),IF(ISNUMBER($H66),IF($F66+$H66=0,0,$F66/($F66+$H66)),"")))</f>
        <v/>
      </c>
      <c r="J66" s="29" t="str">
        <f>IF($C66="","",COUNTIFS(TRANSACTIONS_MASTER!$D$5:$D$1204,$C66,TRANSACTIONS_MASTER!$C$5:$C$1204,$C$2,TRANSACTIONS_MASTER!$U$5:$U$1204,"&lt;&gt;Cancelled"))</f>
        <v/>
      </c>
    </row>
    <row r="67">
      <c r="B67" s="67" t="n">
        <v>8</v>
      </c>
      <c r="C67" s="55" t="str">
        <f>IF(CARDS!$A12="","",CARDS!$A12)</f>
        <v/>
      </c>
      <c r="D67" s="55" t="str">
        <f>IF($C67="","",CARDS!$B12&amp;" "&amp;CARDS!$C12)</f>
        <v/>
      </c>
      <c r="E67" s="25" t="str">
        <f>IF($C67="","",SUMIFS(TRANSACTIONS_MASTER!$L$5:$L$1204,TRANSACTIONS_MASTER!$D$5:$D$1204,$C67,TRANSACTIONS_MASTER!$C$5:$C$1204,$C$2,TRANSACTIONS_MASTER!$U$5:$U$1204,"&lt;&gt;Cancelled"))</f>
        <v/>
      </c>
      <c r="F67" s="26" t="str">
        <f>IF($C67="","",SUMIFS(TRANSACTIONS_MASTER!$Q$5:$Q$1204,TRANSACTIONS_MASTER!$D$5:$D$1204,$C67,TRANSACTIONS_MASTER!$C$5:$C$1204,$C$2))</f>
        <v/>
      </c>
      <c r="G67" s="25" t="str">
        <f>IF($C67="","",IFERROR(IF(ISNUMBER(INDEX(CASHBACK_RULES!$K$5:$K$304,MATCH($C67,CASHBACK_RULES!$B$5:$B$304,0))),INDEX(CASHBACK_RULES!$K$5:$K$304,MATCH($C67,CASHBACK_RULES!$B$5:$B$304,0)),"∞"),"—"))</f>
        <v/>
      </c>
      <c r="H67" s="25" t="str">
        <f>IF($C67="","",IF($G67="—","—",IF(COUNTIFS($C$6:$C$55,$C67,$I$6:$I$55,"∞")&gt;0,IF(ISNUMBER($G67),MAX(0,$G67-$F67),"∞"),IF(ISNUMBER($G67),MAX(0,MIN($G67-$F67,SUMIFS($I$6:$I$55,$C$6:$C$55,$C67))),SUMIFS($I$6:$I$55,$C$6:$C$55,$C67)))))</f>
        <v/>
      </c>
      <c r="I67" s="27" t="str">
        <f>IF($C67="","",IF(ISNUMBER($G67),IF($G67=0,0,$F67/$G67),IF(ISNUMBER($H67),IF($F67+$H67=0,0,$F67/($F67+$H67)),"")))</f>
        <v/>
      </c>
      <c r="J67" s="29" t="str">
        <f>IF($C67="","",COUNTIFS(TRANSACTIONS_MASTER!$D$5:$D$1204,$C67,TRANSACTIONS_MASTER!$C$5:$C$1204,$C$2,TRANSACTIONS_MASTER!$U$5:$U$1204,"&lt;&gt;Cancelled"))</f>
        <v/>
      </c>
    </row>
    <row r="68">
      <c r="B68" s="67" t="n">
        <v>9</v>
      </c>
      <c r="C68" s="55" t="str">
        <f>IF(CARDS!$A13="","",CARDS!$A13)</f>
        <v/>
      </c>
      <c r="D68" s="55" t="str">
        <f>IF($C68="","",CARDS!$B13&amp;" "&amp;CARDS!$C13)</f>
        <v/>
      </c>
      <c r="E68" s="25" t="str">
        <f>IF($C68="","",SUMIFS(TRANSACTIONS_MASTER!$L$5:$L$1204,TRANSACTIONS_MASTER!$D$5:$D$1204,$C68,TRANSACTIONS_MASTER!$C$5:$C$1204,$C$2,TRANSACTIONS_MASTER!$U$5:$U$1204,"&lt;&gt;Cancelled"))</f>
        <v/>
      </c>
      <c r="F68" s="26" t="str">
        <f>IF($C68="","",SUMIFS(TRANSACTIONS_MASTER!$Q$5:$Q$1204,TRANSACTIONS_MASTER!$D$5:$D$1204,$C68,TRANSACTIONS_MASTER!$C$5:$C$1204,$C$2))</f>
        <v/>
      </c>
      <c r="G68" s="25" t="str">
        <f>IF($C68="","",IFERROR(IF(ISNUMBER(INDEX(CASHBACK_RULES!$K$5:$K$304,MATCH($C68,CASHBACK_RULES!$B$5:$B$304,0))),INDEX(CASHBACK_RULES!$K$5:$K$304,MATCH($C68,CASHBACK_RULES!$B$5:$B$304,0)),"∞"),"—"))</f>
        <v/>
      </c>
      <c r="H68" s="25" t="str">
        <f>IF($C68="","",IF($G68="—","—",IF(COUNTIFS($C$6:$C$55,$C68,$I$6:$I$55,"∞")&gt;0,IF(ISNUMBER($G68),MAX(0,$G68-$F68),"∞"),IF(ISNUMBER($G68),MAX(0,MIN($G68-$F68,SUMIFS($I$6:$I$55,$C$6:$C$55,$C68))),SUMIFS($I$6:$I$55,$C$6:$C$55,$C68)))))</f>
        <v/>
      </c>
      <c r="I68" s="27" t="str">
        <f>IF($C68="","",IF(ISNUMBER($G68),IF($G68=0,0,$F68/$G68),IF(ISNUMBER($H68),IF($F68+$H68=0,0,$F68/($F68+$H68)),"")))</f>
        <v/>
      </c>
      <c r="J68" s="29" t="str">
        <f>IF($C68="","",COUNTIFS(TRANSACTIONS_MASTER!$D$5:$D$1204,$C68,TRANSACTIONS_MASTER!$C$5:$C$1204,$C$2,TRANSACTIONS_MASTER!$U$5:$U$1204,"&lt;&gt;Cancelled"))</f>
        <v/>
      </c>
    </row>
    <row r="69">
      <c r="B69" s="67" t="n">
        <v>10</v>
      </c>
      <c r="C69" s="55" t="str">
        <f>IF(CARDS!$A14="","",CARDS!$A14)</f>
        <v/>
      </c>
      <c r="D69" s="55" t="str">
        <f>IF($C69="","",CARDS!$B14&amp;" "&amp;CARDS!$C14)</f>
        <v/>
      </c>
      <c r="E69" s="25" t="str">
        <f>IF($C69="","",SUMIFS(TRANSACTIONS_MASTER!$L$5:$L$1204,TRANSACTIONS_MASTER!$D$5:$D$1204,$C69,TRANSACTIONS_MASTER!$C$5:$C$1204,$C$2,TRANSACTIONS_MASTER!$U$5:$U$1204,"&lt;&gt;Cancelled"))</f>
        <v/>
      </c>
      <c r="F69" s="26" t="str">
        <f>IF($C69="","",SUMIFS(TRANSACTIONS_MASTER!$Q$5:$Q$1204,TRANSACTIONS_MASTER!$D$5:$D$1204,$C69,TRANSACTIONS_MASTER!$C$5:$C$1204,$C$2))</f>
        <v/>
      </c>
      <c r="G69" s="25" t="str">
        <f>IF($C69="","",IFERROR(IF(ISNUMBER(INDEX(CASHBACK_RULES!$K$5:$K$304,MATCH($C69,CASHBACK_RULES!$B$5:$B$304,0))),INDEX(CASHBACK_RULES!$K$5:$K$304,MATCH($C69,CASHBACK_RULES!$B$5:$B$304,0)),"∞"),"—"))</f>
        <v/>
      </c>
      <c r="H69" s="25" t="str">
        <f>IF($C69="","",IF($G69="—","—",IF(COUNTIFS($C$6:$C$55,$C69,$I$6:$I$55,"∞")&gt;0,IF(ISNUMBER($G69),MAX(0,$G69-$F69),"∞"),IF(ISNUMBER($G69),MAX(0,MIN($G69-$F69,SUMIFS($I$6:$I$55,$C$6:$C$55,$C69))),SUMIFS($I$6:$I$55,$C$6:$C$55,$C69)))))</f>
        <v/>
      </c>
      <c r="I69" s="27" t="str">
        <f>IF($C69="","",IF(ISNUMBER($G69),IF($G69=0,0,$F69/$G69),IF(ISNUMBER($H69),IF($F69+$H69=0,0,$F69/($F69+$H69)),"")))</f>
        <v/>
      </c>
      <c r="J69" s="29" t="str">
        <f>IF($C69="","",COUNTIFS(TRANSACTIONS_MASTER!$D$5:$D$1204,$C69,TRANSACTIONS_MASTER!$C$5:$C$1204,$C$2,TRANSACTIONS_MASTER!$U$5:$U$1204,"&lt;&gt;Cancelled"))</f>
        <v/>
      </c>
    </row>
    <row r="70">
      <c r="B70" s="67" t="n">
        <v>11</v>
      </c>
      <c r="C70" s="55" t="str">
        <f>IF(CARDS!$A15="","",CARDS!$A15)</f>
        <v/>
      </c>
      <c r="D70" s="55" t="str">
        <f>IF($C70="","",CARDS!$B15&amp;" "&amp;CARDS!$C15)</f>
        <v/>
      </c>
      <c r="E70" s="25" t="str">
        <f>IF($C70="","",SUMIFS(TRANSACTIONS_MASTER!$L$5:$L$1204,TRANSACTIONS_MASTER!$D$5:$D$1204,$C70,TRANSACTIONS_MASTER!$C$5:$C$1204,$C$2,TRANSACTIONS_MASTER!$U$5:$U$1204,"&lt;&gt;Cancelled"))</f>
        <v/>
      </c>
      <c r="F70" s="26" t="str">
        <f>IF($C70="","",SUMIFS(TRANSACTIONS_MASTER!$Q$5:$Q$1204,TRANSACTIONS_MASTER!$D$5:$D$1204,$C70,TRANSACTIONS_MASTER!$C$5:$C$1204,$C$2))</f>
        <v/>
      </c>
      <c r="G70" s="25" t="str">
        <f>IF($C70="","",IFERROR(IF(ISNUMBER(INDEX(CASHBACK_RULES!$K$5:$K$304,MATCH($C70,CASHBACK_RULES!$B$5:$B$304,0))),INDEX(CASHBACK_RULES!$K$5:$K$304,MATCH($C70,CASHBACK_RULES!$B$5:$B$304,0)),"∞"),"—"))</f>
        <v/>
      </c>
      <c r="H70" s="25" t="str">
        <f>IF($C70="","",IF($G70="—","—",IF(COUNTIFS($C$6:$C$55,$C70,$I$6:$I$55,"∞")&gt;0,IF(ISNUMBER($G70),MAX(0,$G70-$F70),"∞"),IF(ISNUMBER($G70),MAX(0,MIN($G70-$F70,SUMIFS($I$6:$I$55,$C$6:$C$55,$C70))),SUMIFS($I$6:$I$55,$C$6:$C$55,$C70)))))</f>
        <v/>
      </c>
      <c r="I70" s="27" t="str">
        <f>IF($C70="","",IF(ISNUMBER($G70),IF($G70=0,0,$F70/$G70),IF(ISNUMBER($H70),IF($F70+$H70=0,0,$F70/($F70+$H70)),"")))</f>
        <v/>
      </c>
      <c r="J70" s="29" t="str">
        <f>IF($C70="","",COUNTIFS(TRANSACTIONS_MASTER!$D$5:$D$1204,$C70,TRANSACTIONS_MASTER!$C$5:$C$1204,$C$2,TRANSACTIONS_MASTER!$U$5:$U$1204,"&lt;&gt;Cancelled"))</f>
        <v/>
      </c>
    </row>
    <row r="71">
      <c r="B71" s="67" t="n">
        <v>12</v>
      </c>
      <c r="C71" s="55" t="str">
        <f>IF(CARDS!$A16="","",CARDS!$A16)</f>
        <v/>
      </c>
      <c r="D71" s="55" t="str">
        <f>IF($C71="","",CARDS!$B16&amp;" "&amp;CARDS!$C16)</f>
        <v/>
      </c>
      <c r="E71" s="25" t="str">
        <f>IF($C71="","",SUMIFS(TRANSACTIONS_MASTER!$L$5:$L$1204,TRANSACTIONS_MASTER!$D$5:$D$1204,$C71,TRANSACTIONS_MASTER!$C$5:$C$1204,$C$2,TRANSACTIONS_MASTER!$U$5:$U$1204,"&lt;&gt;Cancelled"))</f>
        <v/>
      </c>
      <c r="F71" s="26" t="str">
        <f>IF($C71="","",SUMIFS(TRANSACTIONS_MASTER!$Q$5:$Q$1204,TRANSACTIONS_MASTER!$D$5:$D$1204,$C71,TRANSACTIONS_MASTER!$C$5:$C$1204,$C$2))</f>
        <v/>
      </c>
      <c r="G71" s="25" t="str">
        <f>IF($C71="","",IFERROR(IF(ISNUMBER(INDEX(CASHBACK_RULES!$K$5:$K$304,MATCH($C71,CASHBACK_RULES!$B$5:$B$304,0))),INDEX(CASHBACK_RULES!$K$5:$K$304,MATCH($C71,CASHBACK_RULES!$B$5:$B$304,0)),"∞"),"—"))</f>
        <v/>
      </c>
      <c r="H71" s="25" t="str">
        <f>IF($C71="","",IF($G71="—","—",IF(COUNTIFS($C$6:$C$55,$C71,$I$6:$I$55,"∞")&gt;0,IF(ISNUMBER($G71),MAX(0,$G71-$F71),"∞"),IF(ISNUMBER($G71),MAX(0,MIN($G71-$F71,SUMIFS($I$6:$I$55,$C$6:$C$55,$C71))),SUMIFS($I$6:$I$55,$C$6:$C$55,$C71)))))</f>
        <v/>
      </c>
      <c r="I71" s="27" t="str">
        <f>IF($C71="","",IF(ISNUMBER($G71),IF($G71=0,0,$F71/$G71),IF(ISNUMBER($H71),IF($F71+$H71=0,0,$F71/($F71+$H71)),"")))</f>
        <v/>
      </c>
      <c r="J71" s="29" t="str">
        <f>IF($C71="","",COUNTIFS(TRANSACTIONS_MASTER!$D$5:$D$1204,$C71,TRANSACTIONS_MASTER!$C$5:$C$1204,$C$2,TRANSACTIONS_MASTER!$U$5:$U$1204,"&lt;&gt;Cancelled"))</f>
        <v/>
      </c>
    </row>
    <row r="72">
      <c r="B72" s="67" t="n">
        <v>13</v>
      </c>
      <c r="C72" s="55" t="str">
        <f>IF(CARDS!$A17="","",CARDS!$A17)</f>
        <v/>
      </c>
      <c r="D72" s="55" t="str">
        <f>IF($C72="","",CARDS!$B17&amp;" "&amp;CARDS!$C17)</f>
        <v/>
      </c>
      <c r="E72" s="25" t="str">
        <f>IF($C72="","",SUMIFS(TRANSACTIONS_MASTER!$L$5:$L$1204,TRANSACTIONS_MASTER!$D$5:$D$1204,$C72,TRANSACTIONS_MASTER!$C$5:$C$1204,$C$2,TRANSACTIONS_MASTER!$U$5:$U$1204,"&lt;&gt;Cancelled"))</f>
        <v/>
      </c>
      <c r="F72" s="26" t="str">
        <f>IF($C72="","",SUMIFS(TRANSACTIONS_MASTER!$Q$5:$Q$1204,TRANSACTIONS_MASTER!$D$5:$D$1204,$C72,TRANSACTIONS_MASTER!$C$5:$C$1204,$C$2))</f>
        <v/>
      </c>
      <c r="G72" s="25" t="str">
        <f>IF($C72="","",IFERROR(IF(ISNUMBER(INDEX(CASHBACK_RULES!$K$5:$K$304,MATCH($C72,CASHBACK_RULES!$B$5:$B$304,0))),INDEX(CASHBACK_RULES!$K$5:$K$304,MATCH($C72,CASHBACK_RULES!$B$5:$B$304,0)),"∞"),"—"))</f>
        <v/>
      </c>
      <c r="H72" s="25" t="str">
        <f>IF($C72="","",IF($G72="—","—",IF(COUNTIFS($C$6:$C$55,$C72,$I$6:$I$55,"∞")&gt;0,IF(ISNUMBER($G72),MAX(0,$G72-$F72),"∞"),IF(ISNUMBER($G72),MAX(0,MIN($G72-$F72,SUMIFS($I$6:$I$55,$C$6:$C$55,$C72))),SUMIFS($I$6:$I$55,$C$6:$C$55,$C72)))))</f>
        <v/>
      </c>
      <c r="I72" s="27" t="str">
        <f>IF($C72="","",IF(ISNUMBER($G72),IF($G72=0,0,$F72/$G72),IF(ISNUMBER($H72),IF($F72+$H72=0,0,$F72/($F72+$H72)),"")))</f>
        <v/>
      </c>
      <c r="J72" s="29" t="str">
        <f>IF($C72="","",COUNTIFS(TRANSACTIONS_MASTER!$D$5:$D$1204,$C72,TRANSACTIONS_MASTER!$C$5:$C$1204,$C$2,TRANSACTIONS_MASTER!$U$5:$U$1204,"&lt;&gt;Cancelled"))</f>
        <v/>
      </c>
    </row>
    <row r="73">
      <c r="B73" s="67" t="n">
        <v>14</v>
      </c>
      <c r="C73" s="55" t="str">
        <f>IF(CARDS!$A18="","",CARDS!$A18)</f>
        <v/>
      </c>
      <c r="D73" s="55" t="str">
        <f>IF($C73="","",CARDS!$B18&amp;" "&amp;CARDS!$C18)</f>
        <v/>
      </c>
      <c r="E73" s="25" t="str">
        <f>IF($C73="","",SUMIFS(TRANSACTIONS_MASTER!$L$5:$L$1204,TRANSACTIONS_MASTER!$D$5:$D$1204,$C73,TRANSACTIONS_MASTER!$C$5:$C$1204,$C$2,TRANSACTIONS_MASTER!$U$5:$U$1204,"&lt;&gt;Cancelled"))</f>
        <v/>
      </c>
      <c r="F73" s="26" t="str">
        <f>IF($C73="","",SUMIFS(TRANSACTIONS_MASTER!$Q$5:$Q$1204,TRANSACTIONS_MASTER!$D$5:$D$1204,$C73,TRANSACTIONS_MASTER!$C$5:$C$1204,$C$2))</f>
        <v/>
      </c>
      <c r="G73" s="25" t="str">
        <f>IF($C73="","",IFERROR(IF(ISNUMBER(INDEX(CASHBACK_RULES!$K$5:$K$304,MATCH($C73,CASHBACK_RULES!$B$5:$B$304,0))),INDEX(CASHBACK_RULES!$K$5:$K$304,MATCH($C73,CASHBACK_RULES!$B$5:$B$304,0)),"∞"),"—"))</f>
        <v/>
      </c>
      <c r="H73" s="25" t="str">
        <f>IF($C73="","",IF($G73="—","—",IF(COUNTIFS($C$6:$C$55,$C73,$I$6:$I$55,"∞")&gt;0,IF(ISNUMBER($G73),MAX(0,$G73-$F73),"∞"),IF(ISNUMBER($G73),MAX(0,MIN($G73-$F73,SUMIFS($I$6:$I$55,$C$6:$C$55,$C73))),SUMIFS($I$6:$I$55,$C$6:$C$55,$C73)))))</f>
        <v/>
      </c>
      <c r="I73" s="27" t="str">
        <f>IF($C73="","",IF(ISNUMBER($G73),IF($G73=0,0,$F73/$G73),IF(ISNUMBER($H73),IF($F73+$H73=0,0,$F73/($F73+$H73)),"")))</f>
        <v/>
      </c>
      <c r="J73" s="29" t="str">
        <f>IF($C73="","",COUNTIFS(TRANSACTIONS_MASTER!$D$5:$D$1204,$C73,TRANSACTIONS_MASTER!$C$5:$C$1204,$C$2,TRANSACTIONS_MASTER!$U$5:$U$1204,"&lt;&gt;Cancelled"))</f>
        <v/>
      </c>
    </row>
    <row r="74">
      <c r="B74" s="67" t="n">
        <v>15</v>
      </c>
      <c r="C74" s="55" t="str">
        <f>IF(CARDS!$A19="","",CARDS!$A19)</f>
        <v/>
      </c>
      <c r="D74" s="55" t="str">
        <f>IF($C74="","",CARDS!$B19&amp;" "&amp;CARDS!$C19)</f>
        <v/>
      </c>
      <c r="E74" s="25" t="str">
        <f>IF($C74="","",SUMIFS(TRANSACTIONS_MASTER!$L$5:$L$1204,TRANSACTIONS_MASTER!$D$5:$D$1204,$C74,TRANSACTIONS_MASTER!$C$5:$C$1204,$C$2,TRANSACTIONS_MASTER!$U$5:$U$1204,"&lt;&gt;Cancelled"))</f>
        <v/>
      </c>
      <c r="F74" s="26" t="str">
        <f>IF($C74="","",SUMIFS(TRANSACTIONS_MASTER!$Q$5:$Q$1204,TRANSACTIONS_MASTER!$D$5:$D$1204,$C74,TRANSACTIONS_MASTER!$C$5:$C$1204,$C$2))</f>
        <v/>
      </c>
      <c r="G74" s="25" t="str">
        <f>IF($C74="","",IFERROR(IF(ISNUMBER(INDEX(CASHBACK_RULES!$K$5:$K$304,MATCH($C74,CASHBACK_RULES!$B$5:$B$304,0))),INDEX(CASHBACK_RULES!$K$5:$K$304,MATCH($C74,CASHBACK_RULES!$B$5:$B$304,0)),"∞"),"—"))</f>
        <v/>
      </c>
      <c r="H74" s="25" t="str">
        <f>IF($C74="","",IF($G74="—","—",IF(COUNTIFS($C$6:$C$55,$C74,$I$6:$I$55,"∞")&gt;0,IF(ISNUMBER($G74),MAX(0,$G74-$F74),"∞"),IF(ISNUMBER($G74),MAX(0,MIN($G74-$F74,SUMIFS($I$6:$I$55,$C$6:$C$55,$C74))),SUMIFS($I$6:$I$55,$C$6:$C$55,$C74)))))</f>
        <v/>
      </c>
      <c r="I74" s="27" t="str">
        <f>IF($C74="","",IF(ISNUMBER($G74),IF($G74=0,0,$F74/$G74),IF(ISNUMBER($H74),IF($F74+$H74=0,0,$F74/($F74+$H74)),"")))</f>
        <v/>
      </c>
      <c r="J74" s="29" t="str">
        <f>IF($C74="","",COUNTIFS(TRANSACTIONS_MASTER!$D$5:$D$1204,$C74,TRANSACTIONS_MASTER!$C$5:$C$1204,$C$2,TRANSACTIONS_MASTER!$U$5:$U$1204,"&lt;&gt;Cancelled"))</f>
        <v/>
      </c>
    </row>
    <row r="75">
      <c r="B75" s="67" t="n">
        <v>16</v>
      </c>
      <c r="C75" s="55" t="str">
        <f>IF(CARDS!$A20="","",CARDS!$A20)</f>
        <v/>
      </c>
      <c r="D75" s="55" t="str">
        <f>IF($C75="","",CARDS!$B20&amp;" "&amp;CARDS!$C20)</f>
        <v/>
      </c>
      <c r="E75" s="25" t="str">
        <f>IF($C75="","",SUMIFS(TRANSACTIONS_MASTER!$L$5:$L$1204,TRANSACTIONS_MASTER!$D$5:$D$1204,$C75,TRANSACTIONS_MASTER!$C$5:$C$1204,$C$2,TRANSACTIONS_MASTER!$U$5:$U$1204,"&lt;&gt;Cancelled"))</f>
        <v/>
      </c>
      <c r="F75" s="26" t="str">
        <f>IF($C75="","",SUMIFS(TRANSACTIONS_MASTER!$Q$5:$Q$1204,TRANSACTIONS_MASTER!$D$5:$D$1204,$C75,TRANSACTIONS_MASTER!$C$5:$C$1204,$C$2))</f>
        <v/>
      </c>
      <c r="G75" s="25" t="str">
        <f>IF($C75="","",IFERROR(IF(ISNUMBER(INDEX(CASHBACK_RULES!$K$5:$K$304,MATCH($C75,CASHBACK_RULES!$B$5:$B$304,0))),INDEX(CASHBACK_RULES!$K$5:$K$304,MATCH($C75,CASHBACK_RULES!$B$5:$B$304,0)),"∞"),"—"))</f>
        <v/>
      </c>
      <c r="H75" s="25" t="str">
        <f>IF($C75="","",IF($G75="—","—",IF(COUNTIFS($C$6:$C$55,$C75,$I$6:$I$55,"∞")&gt;0,IF(ISNUMBER($G75),MAX(0,$G75-$F75),"∞"),IF(ISNUMBER($G75),MAX(0,MIN($G75-$F75,SUMIFS($I$6:$I$55,$C$6:$C$55,$C75))),SUMIFS($I$6:$I$55,$C$6:$C$55,$C75)))))</f>
        <v/>
      </c>
      <c r="I75" s="27" t="str">
        <f>IF($C75="","",IF(ISNUMBER($G75),IF($G75=0,0,$F75/$G75),IF(ISNUMBER($H75),IF($F75+$H75=0,0,$F75/($F75+$H75)),"")))</f>
        <v/>
      </c>
      <c r="J75" s="29" t="str">
        <f>IF($C75="","",COUNTIFS(TRANSACTIONS_MASTER!$D$5:$D$1204,$C75,TRANSACTIONS_MASTER!$C$5:$C$1204,$C$2,TRANSACTIONS_MASTER!$U$5:$U$1204,"&lt;&gt;Cancelled"))</f>
        <v/>
      </c>
    </row>
    <row r="76">
      <c r="B76" s="67" t="n">
        <v>17</v>
      </c>
      <c r="C76" s="55" t="str">
        <f>IF(CARDS!$A21="","",CARDS!$A21)</f>
        <v/>
      </c>
      <c r="D76" s="55" t="str">
        <f>IF($C76="","",CARDS!$B21&amp;" "&amp;CARDS!$C21)</f>
        <v/>
      </c>
      <c r="E76" s="25" t="str">
        <f>IF($C76="","",SUMIFS(TRANSACTIONS_MASTER!$L$5:$L$1204,TRANSACTIONS_MASTER!$D$5:$D$1204,$C76,TRANSACTIONS_MASTER!$C$5:$C$1204,$C$2,TRANSACTIONS_MASTER!$U$5:$U$1204,"&lt;&gt;Cancelled"))</f>
        <v/>
      </c>
      <c r="F76" s="26" t="str">
        <f>IF($C76="","",SUMIFS(TRANSACTIONS_MASTER!$Q$5:$Q$1204,TRANSACTIONS_MASTER!$D$5:$D$1204,$C76,TRANSACTIONS_MASTER!$C$5:$C$1204,$C$2))</f>
        <v/>
      </c>
      <c r="G76" s="25" t="str">
        <f>IF($C76="","",IFERROR(IF(ISNUMBER(INDEX(CASHBACK_RULES!$K$5:$K$304,MATCH($C76,CASHBACK_RULES!$B$5:$B$304,0))),INDEX(CASHBACK_RULES!$K$5:$K$304,MATCH($C76,CASHBACK_RULES!$B$5:$B$304,0)),"∞"),"—"))</f>
        <v/>
      </c>
      <c r="H76" s="25" t="str">
        <f>IF($C76="","",IF($G76="—","—",IF(COUNTIFS($C$6:$C$55,$C76,$I$6:$I$55,"∞")&gt;0,IF(ISNUMBER($G76),MAX(0,$G76-$F76),"∞"),IF(ISNUMBER($G76),MAX(0,MIN($G76-$F76,SUMIFS($I$6:$I$55,$C$6:$C$55,$C76))),SUMIFS($I$6:$I$55,$C$6:$C$55,$C76)))))</f>
        <v/>
      </c>
      <c r="I76" s="27" t="str">
        <f>IF($C76="","",IF(ISNUMBER($G76),IF($G76=0,0,$F76/$G76),IF(ISNUMBER($H76),IF($F76+$H76=0,0,$F76/($F76+$H76)),"")))</f>
        <v/>
      </c>
      <c r="J76" s="29" t="str">
        <f>IF($C76="","",COUNTIFS(TRANSACTIONS_MASTER!$D$5:$D$1204,$C76,TRANSACTIONS_MASTER!$C$5:$C$1204,$C$2,TRANSACTIONS_MASTER!$U$5:$U$1204,"&lt;&gt;Cancelled"))</f>
        <v/>
      </c>
    </row>
    <row r="77">
      <c r="B77" s="67" t="n">
        <v>18</v>
      </c>
      <c r="C77" s="55" t="str">
        <f>IF(CARDS!$A22="","",CARDS!$A22)</f>
        <v/>
      </c>
      <c r="D77" s="55" t="str">
        <f>IF($C77="","",CARDS!$B22&amp;" "&amp;CARDS!$C22)</f>
        <v/>
      </c>
      <c r="E77" s="25" t="str">
        <f>IF($C77="","",SUMIFS(TRANSACTIONS_MASTER!$L$5:$L$1204,TRANSACTIONS_MASTER!$D$5:$D$1204,$C77,TRANSACTIONS_MASTER!$C$5:$C$1204,$C$2,TRANSACTIONS_MASTER!$U$5:$U$1204,"&lt;&gt;Cancelled"))</f>
        <v/>
      </c>
      <c r="F77" s="26" t="str">
        <f>IF($C77="","",SUMIFS(TRANSACTIONS_MASTER!$Q$5:$Q$1204,TRANSACTIONS_MASTER!$D$5:$D$1204,$C77,TRANSACTIONS_MASTER!$C$5:$C$1204,$C$2))</f>
        <v/>
      </c>
      <c r="G77" s="25" t="str">
        <f>IF($C77="","",IFERROR(IF(ISNUMBER(INDEX(CASHBACK_RULES!$K$5:$K$304,MATCH($C77,CASHBACK_RULES!$B$5:$B$304,0))),INDEX(CASHBACK_RULES!$K$5:$K$304,MATCH($C77,CASHBACK_RULES!$B$5:$B$304,0)),"∞"),"—"))</f>
        <v/>
      </c>
      <c r="H77" s="25" t="str">
        <f>IF($C77="","",IF($G77="—","—",IF(COUNTIFS($C$6:$C$55,$C77,$I$6:$I$55,"∞")&gt;0,IF(ISNUMBER($G77),MAX(0,$G77-$F77),"∞"),IF(ISNUMBER($G77),MAX(0,MIN($G77-$F77,SUMIFS($I$6:$I$55,$C$6:$C$55,$C77))),SUMIFS($I$6:$I$55,$C$6:$C$55,$C77)))))</f>
        <v/>
      </c>
      <c r="I77" s="27" t="str">
        <f>IF($C77="","",IF(ISNUMBER($G77),IF($G77=0,0,$F77/$G77),IF(ISNUMBER($H77),IF($F77+$H77=0,0,$F77/($F77+$H77)),"")))</f>
        <v/>
      </c>
      <c r="J77" s="29" t="str">
        <f>IF($C77="","",COUNTIFS(TRANSACTIONS_MASTER!$D$5:$D$1204,$C77,TRANSACTIONS_MASTER!$C$5:$C$1204,$C$2,TRANSACTIONS_MASTER!$U$5:$U$1204,"&lt;&gt;Cancelled"))</f>
        <v/>
      </c>
    </row>
    <row r="78">
      <c r="B78" s="67" t="n">
        <v>19</v>
      </c>
      <c r="C78" s="55" t="str">
        <f>IF(CARDS!$A23="","",CARDS!$A23)</f>
        <v/>
      </c>
      <c r="D78" s="55" t="str">
        <f>IF($C78="","",CARDS!$B23&amp;" "&amp;CARDS!$C23)</f>
        <v/>
      </c>
      <c r="E78" s="25" t="str">
        <f>IF($C78="","",SUMIFS(TRANSACTIONS_MASTER!$L$5:$L$1204,TRANSACTIONS_MASTER!$D$5:$D$1204,$C78,TRANSACTIONS_MASTER!$C$5:$C$1204,$C$2,TRANSACTIONS_MASTER!$U$5:$U$1204,"&lt;&gt;Cancelled"))</f>
        <v/>
      </c>
      <c r="F78" s="26" t="str">
        <f>IF($C78="","",SUMIFS(TRANSACTIONS_MASTER!$Q$5:$Q$1204,TRANSACTIONS_MASTER!$D$5:$D$1204,$C78,TRANSACTIONS_MASTER!$C$5:$C$1204,$C$2))</f>
        <v/>
      </c>
      <c r="G78" s="25" t="str">
        <f>IF($C78="","",IFERROR(IF(ISNUMBER(INDEX(CASHBACK_RULES!$K$5:$K$304,MATCH($C78,CASHBACK_RULES!$B$5:$B$304,0))),INDEX(CASHBACK_RULES!$K$5:$K$304,MATCH($C78,CASHBACK_RULES!$B$5:$B$304,0)),"∞"),"—"))</f>
        <v/>
      </c>
      <c r="H78" s="25" t="str">
        <f>IF($C78="","",IF($G78="—","—",IF(COUNTIFS($C$6:$C$55,$C78,$I$6:$I$55,"∞")&gt;0,IF(ISNUMBER($G78),MAX(0,$G78-$F78),"∞"),IF(ISNUMBER($G78),MAX(0,MIN($G78-$F78,SUMIFS($I$6:$I$55,$C$6:$C$55,$C78))),SUMIFS($I$6:$I$55,$C$6:$C$55,$C78)))))</f>
        <v/>
      </c>
      <c r="I78" s="27" t="str">
        <f>IF($C78="","",IF(ISNUMBER($G78),IF($G78=0,0,$F78/$G78),IF(ISNUMBER($H78),IF($F78+$H78=0,0,$F78/($F78+$H78)),"")))</f>
        <v/>
      </c>
      <c r="J78" s="29" t="str">
        <f>IF($C78="","",COUNTIFS(TRANSACTIONS_MASTER!$D$5:$D$1204,$C78,TRANSACTIONS_MASTER!$C$5:$C$1204,$C$2,TRANSACTIONS_MASTER!$U$5:$U$1204,"&lt;&gt;Cancelled"))</f>
        <v/>
      </c>
    </row>
    <row r="79">
      <c r="B79" s="67" t="n">
        <v>20</v>
      </c>
      <c r="C79" s="55" t="str">
        <f>IF(CARDS!$A24="","",CARDS!$A24)</f>
        <v/>
      </c>
      <c r="D79" s="55" t="str">
        <f>IF($C79="","",CARDS!$B24&amp;" "&amp;CARDS!$C24)</f>
        <v/>
      </c>
      <c r="E79" s="25" t="str">
        <f>IF($C79="","",SUMIFS(TRANSACTIONS_MASTER!$L$5:$L$1204,TRANSACTIONS_MASTER!$D$5:$D$1204,$C79,TRANSACTIONS_MASTER!$C$5:$C$1204,$C$2,TRANSACTIONS_MASTER!$U$5:$U$1204,"&lt;&gt;Cancelled"))</f>
        <v/>
      </c>
      <c r="F79" s="26" t="str">
        <f>IF($C79="","",SUMIFS(TRANSACTIONS_MASTER!$Q$5:$Q$1204,TRANSACTIONS_MASTER!$D$5:$D$1204,$C79,TRANSACTIONS_MASTER!$C$5:$C$1204,$C$2))</f>
        <v/>
      </c>
      <c r="G79" s="25" t="str">
        <f>IF($C79="","",IFERROR(IF(ISNUMBER(INDEX(CASHBACK_RULES!$K$5:$K$304,MATCH($C79,CASHBACK_RULES!$B$5:$B$304,0))),INDEX(CASHBACK_RULES!$K$5:$K$304,MATCH($C79,CASHBACK_RULES!$B$5:$B$304,0)),"∞"),"—"))</f>
        <v/>
      </c>
      <c r="H79" s="25" t="str">
        <f>IF($C79="","",IF($G79="—","—",IF(COUNTIFS($C$6:$C$55,$C79,$I$6:$I$55,"∞")&gt;0,IF(ISNUMBER($G79),MAX(0,$G79-$F79),"∞"),IF(ISNUMBER($G79),MAX(0,MIN($G79-$F79,SUMIFS($I$6:$I$55,$C$6:$C$55,$C79))),SUMIFS($I$6:$I$55,$C$6:$C$55,$C79)))))</f>
        <v/>
      </c>
      <c r="I79" s="27" t="str">
        <f>IF($C79="","",IF(ISNUMBER($G79),IF($G79=0,0,$F79/$G79),IF(ISNUMBER($H79),IF($F79+$H79=0,0,$F79/($F79+$H79)),"")))</f>
        <v/>
      </c>
      <c r="J79" s="29" t="str">
        <f>IF($C79="","",COUNTIFS(TRANSACTIONS_MASTER!$D$5:$D$1204,$C79,TRANSACTIONS_MASTER!$C$5:$C$1204,$C$2,TRANSACTIONS_MASTER!$U$5:$U$1204,"&lt;&gt;Cancelled"))</f>
        <v/>
      </c>
    </row>
    <row r="80">
      <c r="B80" s="67" t="n">
        <v>21</v>
      </c>
      <c r="C80" s="55" t="str">
        <f>IF(CARDS!$A25="","",CARDS!$A25)</f>
        <v/>
      </c>
      <c r="D80" s="55" t="str">
        <f>IF($C80="","",CARDS!$B25&amp;" "&amp;CARDS!$C25)</f>
        <v/>
      </c>
      <c r="E80" s="25" t="str">
        <f>IF($C80="","",SUMIFS(TRANSACTIONS_MASTER!$L$5:$L$1204,TRANSACTIONS_MASTER!$D$5:$D$1204,$C80,TRANSACTIONS_MASTER!$C$5:$C$1204,$C$2,TRANSACTIONS_MASTER!$U$5:$U$1204,"&lt;&gt;Cancelled"))</f>
        <v/>
      </c>
      <c r="F80" s="26" t="str">
        <f>IF($C80="","",SUMIFS(TRANSACTIONS_MASTER!$Q$5:$Q$1204,TRANSACTIONS_MASTER!$D$5:$D$1204,$C80,TRANSACTIONS_MASTER!$C$5:$C$1204,$C$2))</f>
        <v/>
      </c>
      <c r="G80" s="25" t="str">
        <f>IF($C80="","",IFERROR(IF(ISNUMBER(INDEX(CASHBACK_RULES!$K$5:$K$304,MATCH($C80,CASHBACK_RULES!$B$5:$B$304,0))),INDEX(CASHBACK_RULES!$K$5:$K$304,MATCH($C80,CASHBACK_RULES!$B$5:$B$304,0)),"∞"),"—"))</f>
        <v/>
      </c>
      <c r="H80" s="25" t="str">
        <f>IF($C80="","",IF($G80="—","—",IF(COUNTIFS($C$6:$C$55,$C80,$I$6:$I$55,"∞")&gt;0,IF(ISNUMBER($G80),MAX(0,$G80-$F80),"∞"),IF(ISNUMBER($G80),MAX(0,MIN($G80-$F80,SUMIFS($I$6:$I$55,$C$6:$C$55,$C80))),SUMIFS($I$6:$I$55,$C$6:$C$55,$C80)))))</f>
        <v/>
      </c>
      <c r="I80" s="27" t="str">
        <f>IF($C80="","",IF(ISNUMBER($G80),IF($G80=0,0,$F80/$G80),IF(ISNUMBER($H80),IF($F80+$H80=0,0,$F80/($F80+$H80)),"")))</f>
        <v/>
      </c>
      <c r="J80" s="29" t="str">
        <f>IF($C80="","",COUNTIFS(TRANSACTIONS_MASTER!$D$5:$D$1204,$C80,TRANSACTIONS_MASTER!$C$5:$C$1204,$C$2,TRANSACTIONS_MASTER!$U$5:$U$1204,"&lt;&gt;Cancelled"))</f>
        <v/>
      </c>
    </row>
    <row r="81">
      <c r="B81" s="67" t="n">
        <v>22</v>
      </c>
      <c r="C81" s="55" t="str">
        <f>IF(CARDS!$A26="","",CARDS!$A26)</f>
        <v/>
      </c>
      <c r="D81" s="55" t="str">
        <f>IF($C81="","",CARDS!$B26&amp;" "&amp;CARDS!$C26)</f>
        <v/>
      </c>
      <c r="E81" s="25" t="str">
        <f>IF($C81="","",SUMIFS(TRANSACTIONS_MASTER!$L$5:$L$1204,TRANSACTIONS_MASTER!$D$5:$D$1204,$C81,TRANSACTIONS_MASTER!$C$5:$C$1204,$C$2,TRANSACTIONS_MASTER!$U$5:$U$1204,"&lt;&gt;Cancelled"))</f>
        <v/>
      </c>
      <c r="F81" s="26" t="str">
        <f>IF($C81="","",SUMIFS(TRANSACTIONS_MASTER!$Q$5:$Q$1204,TRANSACTIONS_MASTER!$D$5:$D$1204,$C81,TRANSACTIONS_MASTER!$C$5:$C$1204,$C$2))</f>
        <v/>
      </c>
      <c r="G81" s="25" t="str">
        <f>IF($C81="","",IFERROR(IF(ISNUMBER(INDEX(CASHBACK_RULES!$K$5:$K$304,MATCH($C81,CASHBACK_RULES!$B$5:$B$304,0))),INDEX(CASHBACK_RULES!$K$5:$K$304,MATCH($C81,CASHBACK_RULES!$B$5:$B$304,0)),"∞"),"—"))</f>
        <v/>
      </c>
      <c r="H81" s="25" t="str">
        <f>IF($C81="","",IF($G81="—","—",IF(COUNTIFS($C$6:$C$55,$C81,$I$6:$I$55,"∞")&gt;0,IF(ISNUMBER($G81),MAX(0,$G81-$F81),"∞"),IF(ISNUMBER($G81),MAX(0,MIN($G81-$F81,SUMIFS($I$6:$I$55,$C$6:$C$55,$C81))),SUMIFS($I$6:$I$55,$C$6:$C$55,$C81)))))</f>
        <v/>
      </c>
      <c r="I81" s="27" t="str">
        <f>IF($C81="","",IF(ISNUMBER($G81),IF($G81=0,0,$F81/$G81),IF(ISNUMBER($H81),IF($F81+$H81=0,0,$F81/($F81+$H81)),"")))</f>
        <v/>
      </c>
      <c r="J81" s="29" t="str">
        <f>IF($C81="","",COUNTIFS(TRANSACTIONS_MASTER!$D$5:$D$1204,$C81,TRANSACTIONS_MASTER!$C$5:$C$1204,$C$2,TRANSACTIONS_MASTER!$U$5:$U$1204,"&lt;&gt;Cancelled"))</f>
        <v/>
      </c>
    </row>
    <row r="82">
      <c r="B82" s="67" t="n">
        <v>23</v>
      </c>
      <c r="C82" s="55" t="str">
        <f>IF(CARDS!$A27="","",CARDS!$A27)</f>
        <v/>
      </c>
      <c r="D82" s="55" t="str">
        <f>IF($C82="","",CARDS!$B27&amp;" "&amp;CARDS!$C27)</f>
        <v/>
      </c>
      <c r="E82" s="25" t="str">
        <f>IF($C82="","",SUMIFS(TRANSACTIONS_MASTER!$L$5:$L$1204,TRANSACTIONS_MASTER!$D$5:$D$1204,$C82,TRANSACTIONS_MASTER!$C$5:$C$1204,$C$2,TRANSACTIONS_MASTER!$U$5:$U$1204,"&lt;&gt;Cancelled"))</f>
        <v/>
      </c>
      <c r="F82" s="26" t="str">
        <f>IF($C82="","",SUMIFS(TRANSACTIONS_MASTER!$Q$5:$Q$1204,TRANSACTIONS_MASTER!$D$5:$D$1204,$C82,TRANSACTIONS_MASTER!$C$5:$C$1204,$C$2))</f>
        <v/>
      </c>
      <c r="G82" s="25" t="str">
        <f>IF($C82="","",IFERROR(IF(ISNUMBER(INDEX(CASHBACK_RULES!$K$5:$K$304,MATCH($C82,CASHBACK_RULES!$B$5:$B$304,0))),INDEX(CASHBACK_RULES!$K$5:$K$304,MATCH($C82,CASHBACK_RULES!$B$5:$B$304,0)),"∞"),"—"))</f>
        <v/>
      </c>
      <c r="H82" s="25" t="str">
        <f>IF($C82="","",IF($G82="—","—",IF(COUNTIFS($C$6:$C$55,$C82,$I$6:$I$55,"∞")&gt;0,IF(ISNUMBER($G82),MAX(0,$G82-$F82),"∞"),IF(ISNUMBER($G82),MAX(0,MIN($G82-$F82,SUMIFS($I$6:$I$55,$C$6:$C$55,$C82))),SUMIFS($I$6:$I$55,$C$6:$C$55,$C82)))))</f>
        <v/>
      </c>
      <c r="I82" s="27" t="str">
        <f>IF($C82="","",IF(ISNUMBER($G82),IF($G82=0,0,$F82/$G82),IF(ISNUMBER($H82),IF($F82+$H82=0,0,$F82/($F82+$H82)),"")))</f>
        <v/>
      </c>
      <c r="J82" s="29" t="str">
        <f>IF($C82="","",COUNTIFS(TRANSACTIONS_MASTER!$D$5:$D$1204,$C82,TRANSACTIONS_MASTER!$C$5:$C$1204,$C$2,TRANSACTIONS_MASTER!$U$5:$U$1204,"&lt;&gt;Cancelled"))</f>
        <v/>
      </c>
    </row>
    <row r="83">
      <c r="B83" s="67" t="n">
        <v>24</v>
      </c>
      <c r="C83" s="55" t="str">
        <f>IF(CARDS!$A28="","",CARDS!$A28)</f>
        <v/>
      </c>
      <c r="D83" s="55" t="str">
        <f>IF($C83="","",CARDS!$B28&amp;" "&amp;CARDS!$C28)</f>
        <v/>
      </c>
      <c r="E83" s="25" t="str">
        <f>IF($C83="","",SUMIFS(TRANSACTIONS_MASTER!$L$5:$L$1204,TRANSACTIONS_MASTER!$D$5:$D$1204,$C83,TRANSACTIONS_MASTER!$C$5:$C$1204,$C$2,TRANSACTIONS_MASTER!$U$5:$U$1204,"&lt;&gt;Cancelled"))</f>
        <v/>
      </c>
      <c r="F83" s="26" t="str">
        <f>IF($C83="","",SUMIFS(TRANSACTIONS_MASTER!$Q$5:$Q$1204,TRANSACTIONS_MASTER!$D$5:$D$1204,$C83,TRANSACTIONS_MASTER!$C$5:$C$1204,$C$2))</f>
        <v/>
      </c>
      <c r="G83" s="25" t="str">
        <f>IF($C83="","",IFERROR(IF(ISNUMBER(INDEX(CASHBACK_RULES!$K$5:$K$304,MATCH($C83,CASHBACK_RULES!$B$5:$B$304,0))),INDEX(CASHBACK_RULES!$K$5:$K$304,MATCH($C83,CASHBACK_RULES!$B$5:$B$304,0)),"∞"),"—"))</f>
        <v/>
      </c>
      <c r="H83" s="25" t="str">
        <f>IF($C83="","",IF($G83="—","—",IF(COUNTIFS($C$6:$C$55,$C83,$I$6:$I$55,"∞")&gt;0,IF(ISNUMBER($G83),MAX(0,$G83-$F83),"∞"),IF(ISNUMBER($G83),MAX(0,MIN($G83-$F83,SUMIFS($I$6:$I$55,$C$6:$C$55,$C83))),SUMIFS($I$6:$I$55,$C$6:$C$55,$C83)))))</f>
        <v/>
      </c>
      <c r="I83" s="27" t="str">
        <f>IF($C83="","",IF(ISNUMBER($G83),IF($G83=0,0,$F83/$G83),IF(ISNUMBER($H83),IF($F83+$H83=0,0,$F83/($F83+$H83)),"")))</f>
        <v/>
      </c>
      <c r="J83" s="29" t="str">
        <f>IF($C83="","",COUNTIFS(TRANSACTIONS_MASTER!$D$5:$D$1204,$C83,TRANSACTIONS_MASTER!$C$5:$C$1204,$C$2,TRANSACTIONS_MASTER!$U$5:$U$1204,"&lt;&gt;Cancelled"))</f>
        <v/>
      </c>
    </row>
    <row r="84">
      <c r="B84" s="67" t="n">
        <v>25</v>
      </c>
      <c r="C84" s="55" t="str">
        <f>IF(CARDS!$A29="","",CARDS!$A29)</f>
        <v/>
      </c>
      <c r="D84" s="55" t="str">
        <f>IF($C84="","",CARDS!$B29&amp;" "&amp;CARDS!$C29)</f>
        <v/>
      </c>
      <c r="E84" s="25" t="str">
        <f>IF($C84="","",SUMIFS(TRANSACTIONS_MASTER!$L$5:$L$1204,TRANSACTIONS_MASTER!$D$5:$D$1204,$C84,TRANSACTIONS_MASTER!$C$5:$C$1204,$C$2,TRANSACTIONS_MASTER!$U$5:$U$1204,"&lt;&gt;Cancelled"))</f>
        <v/>
      </c>
      <c r="F84" s="26" t="str">
        <f>IF($C84="","",SUMIFS(TRANSACTIONS_MASTER!$Q$5:$Q$1204,TRANSACTIONS_MASTER!$D$5:$D$1204,$C84,TRANSACTIONS_MASTER!$C$5:$C$1204,$C$2))</f>
        <v/>
      </c>
      <c r="G84" s="25" t="str">
        <f>IF($C84="","",IFERROR(IF(ISNUMBER(INDEX(CASHBACK_RULES!$K$5:$K$304,MATCH($C84,CASHBACK_RULES!$B$5:$B$304,0))),INDEX(CASHBACK_RULES!$K$5:$K$304,MATCH($C84,CASHBACK_RULES!$B$5:$B$304,0)),"∞"),"—"))</f>
        <v/>
      </c>
      <c r="H84" s="25" t="str">
        <f>IF($C84="","",IF($G84="—","—",IF(COUNTIFS($C$6:$C$55,$C84,$I$6:$I$55,"∞")&gt;0,IF(ISNUMBER($G84),MAX(0,$G84-$F84),"∞"),IF(ISNUMBER($G84),MAX(0,MIN($G84-$F84,SUMIFS($I$6:$I$55,$C$6:$C$55,$C84))),SUMIFS($I$6:$I$55,$C$6:$C$55,$C84)))))</f>
        <v/>
      </c>
      <c r="I84" s="27" t="str">
        <f>IF($C84="","",IF(ISNUMBER($G84),IF($G84=0,0,$F84/$G84),IF(ISNUMBER($H84),IF($F84+$H84=0,0,$F84/($F84+$H84)),"")))</f>
        <v/>
      </c>
      <c r="J84" s="29" t="str">
        <f>IF($C84="","",COUNTIFS(TRANSACTIONS_MASTER!$D$5:$D$1204,$C84,TRANSACTIONS_MASTER!$C$5:$C$1204,$C$2,TRANSACTIONS_MASTER!$U$5:$U$1204,"&lt;&gt;Cancelled"))</f>
        <v/>
      </c>
    </row>
    <row r="85">
      <c r="B85" s="67" t="n">
        <v>26</v>
      </c>
      <c r="C85" s="55" t="str">
        <f>IF(CARDS!$A30="","",CARDS!$A30)</f>
        <v/>
      </c>
      <c r="D85" s="55" t="str">
        <f>IF($C85="","",CARDS!$B30&amp;" "&amp;CARDS!$C30)</f>
        <v/>
      </c>
      <c r="E85" s="25" t="str">
        <f>IF($C85="","",SUMIFS(TRANSACTIONS_MASTER!$L$5:$L$1204,TRANSACTIONS_MASTER!$D$5:$D$1204,$C85,TRANSACTIONS_MASTER!$C$5:$C$1204,$C$2,TRANSACTIONS_MASTER!$U$5:$U$1204,"&lt;&gt;Cancelled"))</f>
        <v/>
      </c>
      <c r="F85" s="26" t="str">
        <f>IF($C85="","",SUMIFS(TRANSACTIONS_MASTER!$Q$5:$Q$1204,TRANSACTIONS_MASTER!$D$5:$D$1204,$C85,TRANSACTIONS_MASTER!$C$5:$C$1204,$C$2))</f>
        <v/>
      </c>
      <c r="G85" s="25" t="str">
        <f>IF($C85="","",IFERROR(IF(ISNUMBER(INDEX(CASHBACK_RULES!$K$5:$K$304,MATCH($C85,CASHBACK_RULES!$B$5:$B$304,0))),INDEX(CASHBACK_RULES!$K$5:$K$304,MATCH($C85,CASHBACK_RULES!$B$5:$B$304,0)),"∞"),"—"))</f>
        <v/>
      </c>
      <c r="H85" s="25" t="str">
        <f>IF($C85="","",IF($G85="—","—",IF(COUNTIFS($C$6:$C$55,$C85,$I$6:$I$55,"∞")&gt;0,IF(ISNUMBER($G85),MAX(0,$G85-$F85),"∞"),IF(ISNUMBER($G85),MAX(0,MIN($G85-$F85,SUMIFS($I$6:$I$55,$C$6:$C$55,$C85))),SUMIFS($I$6:$I$55,$C$6:$C$55,$C85)))))</f>
        <v/>
      </c>
      <c r="I85" s="27" t="str">
        <f>IF($C85="","",IF(ISNUMBER($G85),IF($G85=0,0,$F85/$G85),IF(ISNUMBER($H85),IF($F85+$H85=0,0,$F85/($F85+$H85)),"")))</f>
        <v/>
      </c>
      <c r="J85" s="29" t="str">
        <f>IF($C85="","",COUNTIFS(TRANSACTIONS_MASTER!$D$5:$D$1204,$C85,TRANSACTIONS_MASTER!$C$5:$C$1204,$C$2,TRANSACTIONS_MASTER!$U$5:$U$1204,"&lt;&gt;Cancelled"))</f>
        <v/>
      </c>
    </row>
    <row r="86">
      <c r="B86" s="67" t="n">
        <v>27</v>
      </c>
      <c r="C86" s="55" t="str">
        <f>IF(CARDS!$A31="","",CARDS!$A31)</f>
        <v/>
      </c>
      <c r="D86" s="55" t="str">
        <f>IF($C86="","",CARDS!$B31&amp;" "&amp;CARDS!$C31)</f>
        <v/>
      </c>
      <c r="E86" s="25" t="str">
        <f>IF($C86="","",SUMIFS(TRANSACTIONS_MASTER!$L$5:$L$1204,TRANSACTIONS_MASTER!$D$5:$D$1204,$C86,TRANSACTIONS_MASTER!$C$5:$C$1204,$C$2,TRANSACTIONS_MASTER!$U$5:$U$1204,"&lt;&gt;Cancelled"))</f>
        <v/>
      </c>
      <c r="F86" s="26" t="str">
        <f>IF($C86="","",SUMIFS(TRANSACTIONS_MASTER!$Q$5:$Q$1204,TRANSACTIONS_MASTER!$D$5:$D$1204,$C86,TRANSACTIONS_MASTER!$C$5:$C$1204,$C$2))</f>
        <v/>
      </c>
      <c r="G86" s="25" t="str">
        <f>IF($C86="","",IFERROR(IF(ISNUMBER(INDEX(CASHBACK_RULES!$K$5:$K$304,MATCH($C86,CASHBACK_RULES!$B$5:$B$304,0))),INDEX(CASHBACK_RULES!$K$5:$K$304,MATCH($C86,CASHBACK_RULES!$B$5:$B$304,0)),"∞"),"—"))</f>
        <v/>
      </c>
      <c r="H86" s="25" t="str">
        <f>IF($C86="","",IF($G86="—","—",IF(COUNTIFS($C$6:$C$55,$C86,$I$6:$I$55,"∞")&gt;0,IF(ISNUMBER($G86),MAX(0,$G86-$F86),"∞"),IF(ISNUMBER($G86),MAX(0,MIN($G86-$F86,SUMIFS($I$6:$I$55,$C$6:$C$55,$C86))),SUMIFS($I$6:$I$55,$C$6:$C$55,$C86)))))</f>
        <v/>
      </c>
      <c r="I86" s="27" t="str">
        <f>IF($C86="","",IF(ISNUMBER($G86),IF($G86=0,0,$F86/$G86),IF(ISNUMBER($H86),IF($F86+$H86=0,0,$F86/($F86+$H86)),"")))</f>
        <v/>
      </c>
      <c r="J86" s="29" t="str">
        <f>IF($C86="","",COUNTIFS(TRANSACTIONS_MASTER!$D$5:$D$1204,$C86,TRANSACTIONS_MASTER!$C$5:$C$1204,$C$2,TRANSACTIONS_MASTER!$U$5:$U$1204,"&lt;&gt;Cancelled"))</f>
        <v/>
      </c>
    </row>
    <row r="87">
      <c r="B87" s="67" t="n">
        <v>28</v>
      </c>
      <c r="C87" s="55" t="str">
        <f>IF(CARDS!$A32="","",CARDS!$A32)</f>
        <v/>
      </c>
      <c r="D87" s="55" t="str">
        <f>IF($C87="","",CARDS!$B32&amp;" "&amp;CARDS!$C32)</f>
        <v/>
      </c>
      <c r="E87" s="25" t="str">
        <f>IF($C87="","",SUMIFS(TRANSACTIONS_MASTER!$L$5:$L$1204,TRANSACTIONS_MASTER!$D$5:$D$1204,$C87,TRANSACTIONS_MASTER!$C$5:$C$1204,$C$2,TRANSACTIONS_MASTER!$U$5:$U$1204,"&lt;&gt;Cancelled"))</f>
        <v/>
      </c>
      <c r="F87" s="26" t="str">
        <f>IF($C87="","",SUMIFS(TRANSACTIONS_MASTER!$Q$5:$Q$1204,TRANSACTIONS_MASTER!$D$5:$D$1204,$C87,TRANSACTIONS_MASTER!$C$5:$C$1204,$C$2))</f>
        <v/>
      </c>
      <c r="G87" s="25" t="str">
        <f>IF($C87="","",IFERROR(IF(ISNUMBER(INDEX(CASHBACK_RULES!$K$5:$K$304,MATCH($C87,CASHBACK_RULES!$B$5:$B$304,0))),INDEX(CASHBACK_RULES!$K$5:$K$304,MATCH($C87,CASHBACK_RULES!$B$5:$B$304,0)),"∞"),"—"))</f>
        <v/>
      </c>
      <c r="H87" s="25" t="str">
        <f>IF($C87="","",IF($G87="—","—",IF(COUNTIFS($C$6:$C$55,$C87,$I$6:$I$55,"∞")&gt;0,IF(ISNUMBER($G87),MAX(0,$G87-$F87),"∞"),IF(ISNUMBER($G87),MAX(0,MIN($G87-$F87,SUMIFS($I$6:$I$55,$C$6:$C$55,$C87))),SUMIFS($I$6:$I$55,$C$6:$C$55,$C87)))))</f>
        <v/>
      </c>
      <c r="I87" s="27" t="str">
        <f>IF($C87="","",IF(ISNUMBER($G87),IF($G87=0,0,$F87/$G87),IF(ISNUMBER($H87),IF($F87+$H87=0,0,$F87/($F87+$H87)),"")))</f>
        <v/>
      </c>
      <c r="J87" s="29" t="str">
        <f>IF($C87="","",COUNTIFS(TRANSACTIONS_MASTER!$D$5:$D$1204,$C87,TRANSACTIONS_MASTER!$C$5:$C$1204,$C$2,TRANSACTIONS_MASTER!$U$5:$U$1204,"&lt;&gt;Cancelled"))</f>
        <v/>
      </c>
    </row>
    <row r="88">
      <c r="B88" s="67" t="n">
        <v>29</v>
      </c>
      <c r="C88" s="55" t="str">
        <f>IF(CARDS!$A33="","",CARDS!$A33)</f>
        <v/>
      </c>
      <c r="D88" s="55" t="str">
        <f>IF($C88="","",CARDS!$B33&amp;" "&amp;CARDS!$C33)</f>
        <v/>
      </c>
      <c r="E88" s="25" t="str">
        <f>IF($C88="","",SUMIFS(TRANSACTIONS_MASTER!$L$5:$L$1204,TRANSACTIONS_MASTER!$D$5:$D$1204,$C88,TRANSACTIONS_MASTER!$C$5:$C$1204,$C$2,TRANSACTIONS_MASTER!$U$5:$U$1204,"&lt;&gt;Cancelled"))</f>
        <v/>
      </c>
      <c r="F88" s="26" t="str">
        <f>IF($C88="","",SUMIFS(TRANSACTIONS_MASTER!$Q$5:$Q$1204,TRANSACTIONS_MASTER!$D$5:$D$1204,$C88,TRANSACTIONS_MASTER!$C$5:$C$1204,$C$2))</f>
        <v/>
      </c>
      <c r="G88" s="25" t="str">
        <f>IF($C88="","",IFERROR(IF(ISNUMBER(INDEX(CASHBACK_RULES!$K$5:$K$304,MATCH($C88,CASHBACK_RULES!$B$5:$B$304,0))),INDEX(CASHBACK_RULES!$K$5:$K$304,MATCH($C88,CASHBACK_RULES!$B$5:$B$304,0)),"∞"),"—"))</f>
        <v/>
      </c>
      <c r="H88" s="25" t="str">
        <f>IF($C88="","",IF($G88="—","—",IF(COUNTIFS($C$6:$C$55,$C88,$I$6:$I$55,"∞")&gt;0,IF(ISNUMBER($G88),MAX(0,$G88-$F88),"∞"),IF(ISNUMBER($G88),MAX(0,MIN($G88-$F88,SUMIFS($I$6:$I$55,$C$6:$C$55,$C88))),SUMIFS($I$6:$I$55,$C$6:$C$55,$C88)))))</f>
        <v/>
      </c>
      <c r="I88" s="27" t="str">
        <f>IF($C88="","",IF(ISNUMBER($G88),IF($G88=0,0,$F88/$G88),IF(ISNUMBER($H88),IF($F88+$H88=0,0,$F88/($F88+$H88)),"")))</f>
        <v/>
      </c>
      <c r="J88" s="29" t="str">
        <f>IF($C88="","",COUNTIFS(TRANSACTIONS_MASTER!$D$5:$D$1204,$C88,TRANSACTIONS_MASTER!$C$5:$C$1204,$C$2,TRANSACTIONS_MASTER!$U$5:$U$1204,"&lt;&gt;Cancelled"))</f>
        <v/>
      </c>
    </row>
    <row r="89">
      <c r="B89" s="67" t="n">
        <v>30</v>
      </c>
      <c r="C89" s="55" t="str">
        <f>IF(CARDS!$A34="","",CARDS!$A34)</f>
        <v/>
      </c>
      <c r="D89" s="55" t="str">
        <f>IF($C89="","",CARDS!$B34&amp;" "&amp;CARDS!$C34)</f>
        <v/>
      </c>
      <c r="E89" s="25" t="str">
        <f>IF($C89="","",SUMIFS(TRANSACTIONS_MASTER!$L$5:$L$1204,TRANSACTIONS_MASTER!$D$5:$D$1204,$C89,TRANSACTIONS_MASTER!$C$5:$C$1204,$C$2,TRANSACTIONS_MASTER!$U$5:$U$1204,"&lt;&gt;Cancelled"))</f>
        <v/>
      </c>
      <c r="F89" s="26" t="str">
        <f>IF($C89="","",SUMIFS(TRANSACTIONS_MASTER!$Q$5:$Q$1204,TRANSACTIONS_MASTER!$D$5:$D$1204,$C89,TRANSACTIONS_MASTER!$C$5:$C$1204,$C$2))</f>
        <v/>
      </c>
      <c r="G89" s="25" t="str">
        <f>IF($C89="","",IFERROR(IF(ISNUMBER(INDEX(CASHBACK_RULES!$K$5:$K$304,MATCH($C89,CASHBACK_RULES!$B$5:$B$304,0))),INDEX(CASHBACK_RULES!$K$5:$K$304,MATCH($C89,CASHBACK_RULES!$B$5:$B$304,0)),"∞"),"—"))</f>
        <v/>
      </c>
      <c r="H89" s="25" t="str">
        <f>IF($C89="","",IF($G89="—","—",IF(COUNTIFS($C$6:$C$55,$C89,$I$6:$I$55,"∞")&gt;0,IF(ISNUMBER($G89),MAX(0,$G89-$F89),"∞"),IF(ISNUMBER($G89),MAX(0,MIN($G89-$F89,SUMIFS($I$6:$I$55,$C$6:$C$55,$C89))),SUMIFS($I$6:$I$55,$C$6:$C$55,$C89)))))</f>
        <v/>
      </c>
      <c r="I89" s="27" t="str">
        <f>IF($C89="","",IF(ISNUMBER($G89),IF($G89=0,0,$F89/$G89),IF(ISNUMBER($H89),IF($F89+$H89=0,0,$F89/($F89+$H89)),"")))</f>
        <v/>
      </c>
      <c r="J89" s="29" t="str">
        <f>IF($C89="","",COUNTIFS(TRANSACTIONS_MASTER!$D$5:$D$1204,$C89,TRANSACTIONS_MASTER!$C$5:$C$1204,$C$2,TRANSACTIONS_MASTER!$U$5:$U$1204,"&lt;&gt;Cancelled"))</f>
        <v/>
      </c>
    </row>
    <row r="90">
      <c r="C90" s="68" t="n"/>
      <c r="D90" s="69" t="inlineStr">
        <is>
          <t>TỔNG</t>
        </is>
      </c>
      <c r="E90" s="31">
        <f>SUM(E60:E89)</f>
        <v>54150000</v>
      </c>
      <c r="F90" s="31">
        <f>SUM(F60:F89)</f>
        <v>3880000</v>
      </c>
      <c r="G90" s="68" t="n"/>
      <c r="H90" s="31">
        <f>SUM(H60:H89)</f>
        <v>620000</v>
      </c>
      <c r="I90" s="68" t="n"/>
      <c r="J90" s="32">
        <f>SUM(J60:J89)</f>
        <v>23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conditionalFormatting sqref="J6:J55">
    <cfRule type="dataBar" priority="1">
      <dataBar showValue="1">
        <cfvo type="num" val="0"/>
        <cfvo type="num" val="1"/>
        <color rgb="00F2A1BF"/>
      </dataBar>
    </cfRule>
    <cfRule type="expression" priority="2" dxfId="8">
      <formula>AND(ISNUMBER(J6),J6&gt;=1)</formula>
    </cfRule>
  </conditionalFormatting>
  <conditionalFormatting sqref="I6:I55">
    <cfRule type="cellIs" priority="3" operator="equal" dxfId="1">
      <formula>0</formula>
    </cfRule>
  </conditionalFormatting>
  <conditionalFormatting sqref="I60:I89">
    <cfRule type="dataBar" priority="4">
      <dataBar showValue="1">
        <cfvo type="num" val="0"/>
        <cfvo type="num" val="1"/>
        <color rgb="00F2A1BF"/>
      </dataBar>
    </cfRule>
    <cfRule type="expression" priority="5" dxfId="8">
      <formula>AND(ISNUMBER(I60),I60&gt;=1)</formula>
    </cfRule>
  </conditionalFormatting>
  <conditionalFormatting sqref="H60:H89">
    <cfRule type="cellIs" priority="6" operator="equal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8C8DC"/>
    <outlinePr summaryBelow="1" summaryRight="1"/>
    <pageSetUpPr/>
  </sheetPr>
  <dimension ref="A1:AA20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13" customWidth="1" min="4" max="4"/>
    <col width="22" customWidth="1" min="5" max="5"/>
    <col width="8" customWidth="1" min="6" max="6"/>
    <col width="17" customWidth="1" min="7" max="7"/>
    <col width="14" customWidth="1" min="8" max="8"/>
    <col width="10" customWidth="1" min="9" max="9"/>
    <col width="15" customWidth="1" min="10" max="10"/>
    <col width="15" customWidth="1" min="11" max="11"/>
    <col width="14" customWidth="1" min="12" max="12"/>
    <col width="14" customWidth="1" min="13" max="13"/>
    <col width="15" customWidth="1" min="14" max="14"/>
    <col width="16" customWidth="1" min="15" max="15"/>
    <col width="14" customWidth="1" min="16" max="16"/>
    <col width="3" customWidth="1" min="17" max="17"/>
    <col width="3" customWidth="1" min="18" max="18"/>
    <col width="4" customWidth="1" min="19" max="19"/>
    <col width="12" customWidth="1" min="20" max="20"/>
    <col width="30" customWidth="1" min="21" max="21"/>
    <col width="15" customWidth="1" min="22" max="22"/>
    <col width="17" customWidth="1" min="23" max="23"/>
    <col width="15" customWidth="1" min="24" max="24"/>
    <col width="15" customWidth="1" min="25" max="25"/>
    <col width="15" customWidth="1" min="26" max="26"/>
    <col width="12" customWidth="1" min="27" max="27"/>
  </cols>
  <sheetData>
    <row r="1" ht="28" customHeight="1">
      <c r="B1" s="70" t="str">
        <f>"THÁNG "&amp;MOD($C$2,100)&amp;"/"&amp;INT($C$2/100)&amp;"   ♥"</f>
        <v>THÁNG 1/2026   ♥</v>
      </c>
    </row>
    <row r="2" ht="20" customHeight="1">
      <c r="B2" s="71" t="inlineStr">
        <is>
          <t>Mã tháng</t>
        </is>
      </c>
      <c r="C2" s="72" t="n">
        <v>202601</v>
      </c>
      <c r="E2" s="66" t="str">
        <f>HYPERLINK("#Dashboard!A1","← Dashboard")</f>
        <v>← Dashboard</v>
      </c>
      <c r="G2" s="66" t="str">
        <f>HYPERLINK("#TRANSACTIONS_MASTER!A1","Giao dịch (nhập ở đây) →")</f>
        <v>Giao dịch (nhập ở đây) →</v>
      </c>
      <c r="J2" s="66" t="str">
        <f>HYPERLINK("#'2026-01'!S6","Cap &amp; thẻ →")</f>
        <v>Cap &amp; thẻ →</v>
      </c>
      <c r="L2" s="66" t="str">
        <f>HYPERLINK("#'2026-01'!S95","Phân tích →")</f>
        <v>Phân tích →</v>
      </c>
      <c r="N2" s="66" t="str">
        <f>HYPERLINK("#'2026-01'!A1","↑ Đầu trang")</f>
        <v>↑ Đầu trang</v>
      </c>
      <c r="O2" s="73" t="inlineStr">
        <is>
          <t>Sheet này là bản xem tự động — nhập giao dịch ở TRANSACTIONS_MASTER</t>
        </is>
      </c>
    </row>
    <row r="3" ht="17" customHeight="1">
      <c r="B3" s="74" t="inlineStr">
        <is>
          <t>💰 Tổng chi tiêu</t>
        </is>
      </c>
      <c r="C3" s="75" t="n"/>
      <c r="D3" s="74" t="inlineStr">
        <is>
          <t>★ Tổng cashback (thực nhận)</t>
        </is>
      </c>
      <c r="E3" s="75" t="n"/>
      <c r="F3" s="74" t="inlineStr">
        <is>
          <t>Cashback còn có thể nhận</t>
        </is>
      </c>
      <c r="G3" s="75" t="n"/>
      <c r="H3" s="75" t="n"/>
      <c r="I3" s="74" t="inlineStr">
        <is>
          <t>Số giao dịch</t>
        </is>
      </c>
      <c r="J3" s="75" t="n"/>
      <c r="K3" s="74" t="inlineStr">
        <is>
          <t>Số thẻ sử dụng</t>
        </is>
      </c>
      <c r="L3" s="75" t="n"/>
      <c r="M3" s="74" t="inlineStr">
        <is>
          <t>Thẻ có cashback cao nhất</t>
        </is>
      </c>
      <c r="N3" s="75" t="n"/>
      <c r="O3" s="75" t="n"/>
      <c r="T3" s="74" t="inlineStr">
        <is>
          <t>Danh mục chi tiêu nhiều nhất</t>
        </is>
      </c>
      <c r="U3" s="75" t="n"/>
      <c r="V3" s="75" t="n"/>
      <c r="W3" s="75" t="n"/>
    </row>
    <row r="4" ht="30" customHeight="1">
      <c r="B4" s="76">
        <f>SUMIFS(TRANSACTIONS_MASTER!$L$5:$L$1204,TRANSACTIONS_MASTER!$C$5:$C$1204,$C$2,TRANSACTIONS_MASTER!$U$5:$U$1204,"&lt;&gt;Cancelled")</f>
        <v>0</v>
      </c>
      <c r="C4" s="77" t="n"/>
      <c r="D4" s="76">
        <f>SUMIFS(TRANSACTIONS_MASTER!$Q$5:$Q$1204,TRANSACTIONS_MASTER!$C$5:$C$1204,$C$2)</f>
        <v>0</v>
      </c>
      <c r="E4" s="77" t="n"/>
      <c r="F4" s="76">
        <f>SUM($Y$62:$Y$91)</f>
        <v>4500000</v>
      </c>
      <c r="G4" s="77" t="n"/>
      <c r="H4" s="77" t="n"/>
      <c r="I4" s="78">
        <f>COUNTIFS(TRANSACTIONS_MASTER!$C$5:$C$1204,$C$2,TRANSACTIONS_MASTER!$U$5:$U$1204,"&lt;&gt;Cancelled")</f>
        <v>0</v>
      </c>
      <c r="J4" s="77" t="n"/>
      <c r="K4" s="78">
        <f>COUNTIF($AA$62:$AA$91,"&gt;0")</f>
        <v>0</v>
      </c>
      <c r="L4" s="77" t="n"/>
      <c r="M4" s="79" t="str">
        <f>IF(MAX($W$62:$W$91)&gt;0,INDEX($U$62:$U$91,MATCH(MAX($W$62:$W$91),$W$62:$W$91,0)),"—")</f>
        <v>—</v>
      </c>
      <c r="N4" s="77" t="n"/>
      <c r="O4" s="77" t="n"/>
      <c r="T4" s="79" t="str">
        <f>IF(MAX($V$117:$V$131)&gt;0,INDEX($U$117:$U$131,MATCH(MAX($V$117:$V$131),$V$117:$V$131,0)),"—")</f>
        <v>—</v>
      </c>
      <c r="U4" s="77" t="n"/>
      <c r="V4" s="77" t="n"/>
      <c r="W4" s="77" t="n"/>
    </row>
    <row r="5" ht="6" customHeight="1"/>
    <row r="6" ht="22" customHeight="1">
      <c r="A6" s="19" t="inlineStr">
        <is>
          <t>GIAO DỊCH TRONG THÁNG</t>
        </is>
      </c>
      <c r="B6" s="20" t="n"/>
      <c r="C6" s="20" t="n"/>
      <c r="D6" s="20" t="n"/>
      <c r="E6" s="20" t="n"/>
      <c r="F6" s="20" t="n"/>
      <c r="G6" s="20" t="n"/>
      <c r="H6" s="80" t="str">
        <f>IF(COUNTIFS(TRANSACTIONS_MASTER!$C$5:$C$1204,$C$2)&gt;200,"⚠ Còn "&amp;(COUNTIFS(TRANSACTIONS_MASTER!$C$5:$C$1204,$C$2)-200)&amp;" giao dịch chưa hiển thị — xem TRANSACTIONS_MASTER","")</f>
        <v/>
      </c>
      <c r="I6" s="20" t="n"/>
      <c r="J6" s="20" t="n"/>
      <c r="K6" s="20" t="n"/>
      <c r="L6" s="20" t="n"/>
      <c r="M6" s="20" t="n"/>
      <c r="N6" s="20" t="n"/>
      <c r="O6" s="20" t="n"/>
      <c r="P6" s="20" t="n"/>
      <c r="T6" s="19" t="inlineStr">
        <is>
          <t>THEO DÕI CAP — TỪNG NHÓM CASHBACK (progress bar)</t>
        </is>
      </c>
      <c r="U6" s="20" t="n"/>
      <c r="V6" s="20" t="n"/>
      <c r="W6" s="20" t="n"/>
      <c r="X6" s="20" t="n"/>
      <c r="Y6" s="20" t="n"/>
      <c r="Z6" s="20" t="n"/>
      <c r="AA6" s="20" t="n"/>
    </row>
    <row r="7" ht="30" customHeight="1">
      <c r="A7" s="21" t="inlineStr">
        <is>
          <t>#</t>
        </is>
      </c>
      <c r="B7" s="21" t="inlineStr">
        <is>
          <t>Ngày</t>
        </is>
      </c>
      <c r="C7" s="21" t="inlineStr">
        <is>
          <t>Thẻ</t>
        </is>
      </c>
      <c r="D7" s="21" t="inlineStr">
        <is>
          <t>Ngân hàng</t>
        </is>
      </c>
      <c r="E7" s="21" t="inlineStr">
        <is>
          <t>Merchant</t>
        </is>
      </c>
      <c r="F7" s="21" t="inlineStr">
        <is>
          <t>MCC</t>
        </is>
      </c>
      <c r="G7" s="21" t="inlineStr">
        <is>
          <t>Danh mục</t>
        </is>
      </c>
      <c r="H7" s="21" t="inlineStr">
        <is>
          <t>Số tiền</t>
        </is>
      </c>
      <c r="I7" s="21" t="inlineStr">
        <is>
          <t>Cashback %</t>
        </is>
      </c>
      <c r="J7" s="21" t="inlineStr">
        <is>
          <t>Cashback tính toán</t>
        </is>
      </c>
      <c r="K7" s="21" t="inlineStr">
        <is>
          <t>Cashback thực nhận</t>
        </is>
      </c>
      <c r="L7" s="21" t="inlineStr">
        <is>
          <t>Cap danh mục</t>
        </is>
      </c>
      <c r="M7" s="21" t="inlineStr">
        <is>
          <t>Cap thẻ</t>
        </is>
      </c>
      <c r="N7" s="21" t="inlineStr">
        <is>
          <t>Cashback còn lại</t>
        </is>
      </c>
      <c r="O7" s="21" t="inlineStr">
        <is>
          <t>Trạng thái hoàn</t>
        </is>
      </c>
      <c r="P7" s="21" t="inlineStr">
        <is>
          <t>Nhóm cashback</t>
        </is>
      </c>
      <c r="Q7" s="21" t="inlineStr">
        <is>
          <t>⚙</t>
        </is>
      </c>
      <c r="S7" s="21" t="inlineStr">
        <is>
          <t>#</t>
        </is>
      </c>
      <c r="T7" s="21" t="inlineStr">
        <is>
          <t>Card ID</t>
        </is>
      </c>
      <c r="U7" s="21" t="inlineStr">
        <is>
          <t>Thẻ</t>
        </is>
      </c>
      <c r="V7" s="21" t="inlineStr">
        <is>
          <t>Nhóm</t>
        </is>
      </c>
      <c r="W7" s="21" t="inlineStr">
        <is>
          <t>Danh mục</t>
        </is>
      </c>
      <c r="X7" s="21" t="inlineStr">
        <is>
          <t>Đã cashback</t>
        </is>
      </c>
      <c r="Y7" s="21" t="inlineStr">
        <is>
          <t>Cap nhóm</t>
        </is>
      </c>
      <c r="Z7" s="21" t="inlineStr">
        <is>
          <t>Còn lại</t>
        </is>
      </c>
      <c r="AA7" s="21" t="inlineStr">
        <is>
          <t>Progress</t>
        </is>
      </c>
    </row>
    <row r="8" ht="20" customHeight="1">
      <c r="A8" s="81" t="str">
        <f>IF($Q8="","",1)</f>
        <v/>
      </c>
      <c r="B8" s="57" t="str">
        <f>IF($Q8="","",INDEX(TRANSACTIONS_MASTER!$B$5:$B$1204,$Q8))</f>
        <v/>
      </c>
      <c r="C8" s="55" t="str">
        <f>IF($Q8="","",INDEX(TRANSACTIONS_MASTER!$F$5:$F$1204,$Q8))</f>
        <v/>
      </c>
      <c r="D8" s="55" t="str">
        <f>IF($Q8="","",INDEX(TRANSACTIONS_MASTER!$E$5:$E$1204,$Q8))</f>
        <v/>
      </c>
      <c r="E8" s="55" t="str">
        <f>IF($Q8="","",INDEX(TRANSACTIONS_MASTER!$G$5:$G$1204,$Q8)&amp;"")</f>
        <v/>
      </c>
      <c r="F8" s="29" t="str">
        <f>IF($Q8="","",INDEX(TRANSACTIONS_MASTER!$I$5:$I$1204,$Q8))</f>
        <v/>
      </c>
      <c r="G8" s="55" t="str">
        <f>IF($Q8="","",INDEX(TRANSACTIONS_MASTER!$K$5:$K$1204,$Q8))</f>
        <v/>
      </c>
      <c r="H8" s="25" t="str">
        <f>IF($Q8="","",INDEX(TRANSACTIONS_MASTER!$L$5:$L$1204,$Q8))</f>
        <v/>
      </c>
      <c r="I8" s="56" t="str">
        <f>IF($Q8="","",INDEX(TRANSACTIONS_MASTER!$N$5:$N$1204,$Q8))</f>
        <v/>
      </c>
      <c r="J8" s="25" t="str">
        <f>IF($Q8="","",INDEX(TRANSACTIONS_MASTER!$O$5:$O$1204,$Q8))</f>
        <v/>
      </c>
      <c r="K8" s="26" t="str">
        <f>IF($Q8="","",INDEX(TRANSACTIONS_MASTER!$Q$5:$Q$1204,$Q8))</f>
        <v/>
      </c>
      <c r="L8" s="25" t="str">
        <f>IF($Q8="","",INDEX(TRANSACTIONS_MASTER!$P$5:$P$1204,$Q8))</f>
        <v/>
      </c>
      <c r="M8" s="25" t="str">
        <f>IF($Q8="","",INDEX(TRANSACTIONS_MASTER!$AA$5:$AA$1204,$Q8))</f>
        <v/>
      </c>
      <c r="N8" s="25" t="str">
        <f>IF($Q8="","",INDEX(TRANSACTIONS_MASTER!$R$5:$R$1204,$Q8))</f>
        <v/>
      </c>
      <c r="O8" s="28" t="str">
        <f>IF($Q8="","",INDEX(TRANSACTIONS_MASTER!$AB$5:$AB$1204,$Q8))</f>
        <v/>
      </c>
      <c r="P8" s="55" t="str">
        <f>IF($Q8="","",INDEX(TRANSACTIONS_MASTER!$Z$5:$Z$1204,$Q8)&amp;"")</f>
        <v/>
      </c>
      <c r="Q8" s="67" t="str">
        <f>IFERROR(MATCH($C$2&amp;"|"&amp;1,TRANSACTIONS_MASTER!$AE$5:$AE$1204,0),"")</f>
        <v/>
      </c>
      <c r="S8" s="67">
        <f>IFERROR(MATCH(1,CASHBACK_RULES!$S$5:$S$304,0),"")</f>
        <v>1</v>
      </c>
      <c r="T8" s="55" t="str">
        <f>IF($S8="","",INDEX(CASHBACK_RULES!$B$5:$B$304,$S8))</f>
        <v>VPB-JCBZ</v>
      </c>
      <c r="U8" s="55" t="str">
        <f>IF($S8="","",INDEX(CASHBACK_RULES!$C$5:$C$304,$S8)&amp;" "&amp;INDEX(CASHBACK_RULES!$D$5:$D$304,$S8))</f>
        <v>VPBank JCB Z Card</v>
      </c>
      <c r="V8" s="55" t="str">
        <f>IF($S8="","",INDEX(CASHBACK_RULES!$E$5:$E$304,$S8)&amp;"")</f>
        <v>Group 1</v>
      </c>
      <c r="W8" s="55" t="str">
        <f>IF($S8="","",INDEX(CASHBACK_RULES!$F$5:$F$304,$S8)&amp;"")</f>
        <v>Dining</v>
      </c>
      <c r="X8" s="26">
        <f>IF($S8="","",SUMIFS(TRANSACTIONS_MASTER!$Q$5:$Q$1204,TRANSACTIONS_MASTER!$D$5:$D$1204,$T8,TRANSACTIONS_MASTER!$Z$5:$Z$1204,$V8,TRANSACTIONS_MASTER!$C$5:$C$1204,$C$2))</f>
        <v>0</v>
      </c>
      <c r="Y8" s="25">
        <f>IF($S8="","",IF(ISNUMBER(INDEX(CASHBACK_RULES!$J$5:$J$304,$S8)),INDEX(CASHBACK_RULES!$J$5:$J$304,$S8),"∞"))</f>
        <v>500000</v>
      </c>
      <c r="Z8" s="25">
        <f>IF($S8="","",IF(ISNUMBER($Y8),MAX(0,$Y8-$X8),"∞"))</f>
        <v>500000</v>
      </c>
      <c r="AA8" s="27">
        <f>IF($S8="","",IF(ISNUMBER($Y8),IF($Y8=0,0,$X8/$Y8),""))</f>
        <v>0</v>
      </c>
    </row>
    <row r="9" ht="20" customHeight="1">
      <c r="A9" s="81" t="str">
        <f>IF($Q9="","",2)</f>
        <v/>
      </c>
      <c r="B9" s="57" t="str">
        <f>IF($Q9="","",INDEX(TRANSACTIONS_MASTER!$B$5:$B$1204,$Q9))</f>
        <v/>
      </c>
      <c r="C9" s="55" t="str">
        <f>IF($Q9="","",INDEX(TRANSACTIONS_MASTER!$F$5:$F$1204,$Q9))</f>
        <v/>
      </c>
      <c r="D9" s="55" t="str">
        <f>IF($Q9="","",INDEX(TRANSACTIONS_MASTER!$E$5:$E$1204,$Q9))</f>
        <v/>
      </c>
      <c r="E9" s="55" t="str">
        <f>IF($Q9="","",INDEX(TRANSACTIONS_MASTER!$G$5:$G$1204,$Q9)&amp;"")</f>
        <v/>
      </c>
      <c r="F9" s="29" t="str">
        <f>IF($Q9="","",INDEX(TRANSACTIONS_MASTER!$I$5:$I$1204,$Q9))</f>
        <v/>
      </c>
      <c r="G9" s="55" t="str">
        <f>IF($Q9="","",INDEX(TRANSACTIONS_MASTER!$K$5:$K$1204,$Q9))</f>
        <v/>
      </c>
      <c r="H9" s="25" t="str">
        <f>IF($Q9="","",INDEX(TRANSACTIONS_MASTER!$L$5:$L$1204,$Q9))</f>
        <v/>
      </c>
      <c r="I9" s="56" t="str">
        <f>IF($Q9="","",INDEX(TRANSACTIONS_MASTER!$N$5:$N$1204,$Q9))</f>
        <v/>
      </c>
      <c r="J9" s="25" t="str">
        <f>IF($Q9="","",INDEX(TRANSACTIONS_MASTER!$O$5:$O$1204,$Q9))</f>
        <v/>
      </c>
      <c r="K9" s="26" t="str">
        <f>IF($Q9="","",INDEX(TRANSACTIONS_MASTER!$Q$5:$Q$1204,$Q9))</f>
        <v/>
      </c>
      <c r="L9" s="25" t="str">
        <f>IF($Q9="","",INDEX(TRANSACTIONS_MASTER!$P$5:$P$1204,$Q9))</f>
        <v/>
      </c>
      <c r="M9" s="25" t="str">
        <f>IF($Q9="","",INDEX(TRANSACTIONS_MASTER!$AA$5:$AA$1204,$Q9))</f>
        <v/>
      </c>
      <c r="N9" s="25" t="str">
        <f>IF($Q9="","",INDEX(TRANSACTIONS_MASTER!$R$5:$R$1204,$Q9))</f>
        <v/>
      </c>
      <c r="O9" s="28" t="str">
        <f>IF($Q9="","",INDEX(TRANSACTIONS_MASTER!$AB$5:$AB$1204,$Q9))</f>
        <v/>
      </c>
      <c r="P9" s="55" t="str">
        <f>IF($Q9="","",INDEX(TRANSACTIONS_MASTER!$Z$5:$Z$1204,$Q9)&amp;"")</f>
        <v/>
      </c>
      <c r="Q9" s="67" t="str">
        <f>IFERROR(MATCH($C$2&amp;"|"&amp;2,TRANSACTIONS_MASTER!$AE$5:$AE$1204,0),"")</f>
        <v/>
      </c>
      <c r="S9" s="67">
        <f>IFERROR(MATCH(2,CASHBACK_RULES!$S$5:$S$304,0),"")</f>
        <v>5</v>
      </c>
      <c r="T9" s="55" t="str">
        <f>IF($S9="","",INDEX(CASHBACK_RULES!$B$5:$B$304,$S9))</f>
        <v>VPB-JCBZ</v>
      </c>
      <c r="U9" s="55" t="str">
        <f>IF($S9="","",INDEX(CASHBACK_RULES!$C$5:$C$304,$S9)&amp;" "&amp;INDEX(CASHBACK_RULES!$D$5:$D$304,$S9))</f>
        <v>VPBank JCB Z Card</v>
      </c>
      <c r="V9" s="55" t="str">
        <f>IF($S9="","",INDEX(CASHBACK_RULES!$E$5:$E$304,$S9)&amp;"")</f>
        <v>Group 2</v>
      </c>
      <c r="W9" s="55" t="str">
        <f>IF($S9="","",INDEX(CASHBACK_RULES!$F$5:$F$304,$S9)&amp;"")</f>
        <v>Entertainment / Fitness</v>
      </c>
      <c r="X9" s="26">
        <f>IF($S9="","",SUMIFS(TRANSACTIONS_MASTER!$Q$5:$Q$1204,TRANSACTIONS_MASTER!$D$5:$D$1204,$T9,TRANSACTIONS_MASTER!$Z$5:$Z$1204,$V9,TRANSACTIONS_MASTER!$C$5:$C$1204,$C$2))</f>
        <v>0</v>
      </c>
      <c r="Y9" s="25">
        <f>IF($S9="","",IF(ISNUMBER(INDEX(CASHBACK_RULES!$J$5:$J$304,$S9)),INDEX(CASHBACK_RULES!$J$5:$J$304,$S9),"∞"))</f>
        <v>500000</v>
      </c>
      <c r="Z9" s="25">
        <f>IF($S9="","",IF(ISNUMBER($Y9),MAX(0,$Y9-$X9),"∞"))</f>
        <v>500000</v>
      </c>
      <c r="AA9" s="27">
        <f>IF($S9="","",IF(ISNUMBER($Y9),IF($Y9=0,0,$X9/$Y9),""))</f>
        <v>0</v>
      </c>
    </row>
    <row r="10" ht="20" customHeight="1">
      <c r="A10" s="81" t="str">
        <f>IF($Q10="","",3)</f>
        <v/>
      </c>
      <c r="B10" s="57" t="str">
        <f>IF($Q10="","",INDEX(TRANSACTIONS_MASTER!$B$5:$B$1204,$Q10))</f>
        <v/>
      </c>
      <c r="C10" s="55" t="str">
        <f>IF($Q10="","",INDEX(TRANSACTIONS_MASTER!$F$5:$F$1204,$Q10))</f>
        <v/>
      </c>
      <c r="D10" s="55" t="str">
        <f>IF($Q10="","",INDEX(TRANSACTIONS_MASTER!$E$5:$E$1204,$Q10))</f>
        <v/>
      </c>
      <c r="E10" s="55" t="str">
        <f>IF($Q10="","",INDEX(TRANSACTIONS_MASTER!$G$5:$G$1204,$Q10)&amp;"")</f>
        <v/>
      </c>
      <c r="F10" s="29" t="str">
        <f>IF($Q10="","",INDEX(TRANSACTIONS_MASTER!$I$5:$I$1204,$Q10))</f>
        <v/>
      </c>
      <c r="G10" s="55" t="str">
        <f>IF($Q10="","",INDEX(TRANSACTIONS_MASTER!$K$5:$K$1204,$Q10))</f>
        <v/>
      </c>
      <c r="H10" s="25" t="str">
        <f>IF($Q10="","",INDEX(TRANSACTIONS_MASTER!$L$5:$L$1204,$Q10))</f>
        <v/>
      </c>
      <c r="I10" s="56" t="str">
        <f>IF($Q10="","",INDEX(TRANSACTIONS_MASTER!$N$5:$N$1204,$Q10))</f>
        <v/>
      </c>
      <c r="J10" s="25" t="str">
        <f>IF($Q10="","",INDEX(TRANSACTIONS_MASTER!$O$5:$O$1204,$Q10))</f>
        <v/>
      </c>
      <c r="K10" s="26" t="str">
        <f>IF($Q10="","",INDEX(TRANSACTIONS_MASTER!$Q$5:$Q$1204,$Q10))</f>
        <v/>
      </c>
      <c r="L10" s="25" t="str">
        <f>IF($Q10="","",INDEX(TRANSACTIONS_MASTER!$P$5:$P$1204,$Q10))</f>
        <v/>
      </c>
      <c r="M10" s="25" t="str">
        <f>IF($Q10="","",INDEX(TRANSACTIONS_MASTER!$AA$5:$AA$1204,$Q10))</f>
        <v/>
      </c>
      <c r="N10" s="25" t="str">
        <f>IF($Q10="","",INDEX(TRANSACTIONS_MASTER!$R$5:$R$1204,$Q10))</f>
        <v/>
      </c>
      <c r="O10" s="28" t="str">
        <f>IF($Q10="","",INDEX(TRANSACTIONS_MASTER!$AB$5:$AB$1204,$Q10))</f>
        <v/>
      </c>
      <c r="P10" s="55" t="str">
        <f>IF($Q10="","",INDEX(TRANSACTIONS_MASTER!$Z$5:$Z$1204,$Q10)&amp;"")</f>
        <v/>
      </c>
      <c r="Q10" s="67" t="str">
        <f>IFERROR(MATCH($C$2&amp;"|"&amp;3,TRANSACTIONS_MASTER!$AE$5:$AE$1204,0),"")</f>
        <v/>
      </c>
      <c r="S10" s="67">
        <f>IFERROR(MATCH(3,CASHBACK_RULES!$S$5:$S$304,0),"")</f>
        <v>9</v>
      </c>
      <c r="T10" s="55" t="str">
        <f>IF($S10="","",INDEX(CASHBACK_RULES!$B$5:$B$304,$S10))</f>
        <v>VPB-JCBZ</v>
      </c>
      <c r="U10" s="55" t="str">
        <f>IF($S10="","",INDEX(CASHBACK_RULES!$C$5:$C$304,$S10)&amp;" "&amp;INDEX(CASHBACK_RULES!$D$5:$D$304,$S10))</f>
        <v>VPBank JCB Z Card</v>
      </c>
      <c r="V10" s="55" t="str">
        <f>IF($S10="","",INDEX(CASHBACK_RULES!$E$5:$E$304,$S10)&amp;"")</f>
        <v>Group 3</v>
      </c>
      <c r="W10" s="55" t="str">
        <f>IF($S10="","",INDEX(CASHBACK_RULES!$F$5:$F$304,$S10)&amp;"")</f>
        <v>Transport / Food Delivery</v>
      </c>
      <c r="X10" s="26">
        <f>IF($S10="","",SUMIFS(TRANSACTIONS_MASTER!$Q$5:$Q$1204,TRANSACTIONS_MASTER!$D$5:$D$1204,$T10,TRANSACTIONS_MASTER!$Z$5:$Z$1204,$V10,TRANSACTIONS_MASTER!$C$5:$C$1204,$C$2))</f>
        <v>0</v>
      </c>
      <c r="Y10" s="25">
        <f>IF($S10="","",IF(ISNUMBER(INDEX(CASHBACK_RULES!$J$5:$J$304,$S10)),INDEX(CASHBACK_RULES!$J$5:$J$304,$S10),"∞"))</f>
        <v>500000</v>
      </c>
      <c r="Z10" s="25">
        <f>IF($S10="","",IF(ISNUMBER($Y10),MAX(0,$Y10-$X10),"∞"))</f>
        <v>500000</v>
      </c>
      <c r="AA10" s="27">
        <f>IF($S10="","",IF(ISNUMBER($Y10),IF($Y10=0,0,$X10/$Y10),""))</f>
        <v>0</v>
      </c>
    </row>
    <row r="11" ht="20" customHeight="1">
      <c r="A11" s="81" t="str">
        <f>IF($Q11="","",4)</f>
        <v/>
      </c>
      <c r="B11" s="57" t="str">
        <f>IF($Q11="","",INDEX(TRANSACTIONS_MASTER!$B$5:$B$1204,$Q11))</f>
        <v/>
      </c>
      <c r="C11" s="55" t="str">
        <f>IF($Q11="","",INDEX(TRANSACTIONS_MASTER!$F$5:$F$1204,$Q11))</f>
        <v/>
      </c>
      <c r="D11" s="55" t="str">
        <f>IF($Q11="","",INDEX(TRANSACTIONS_MASTER!$E$5:$E$1204,$Q11))</f>
        <v/>
      </c>
      <c r="E11" s="55" t="str">
        <f>IF($Q11="","",INDEX(TRANSACTIONS_MASTER!$G$5:$G$1204,$Q11)&amp;"")</f>
        <v/>
      </c>
      <c r="F11" s="29" t="str">
        <f>IF($Q11="","",INDEX(TRANSACTIONS_MASTER!$I$5:$I$1204,$Q11))</f>
        <v/>
      </c>
      <c r="G11" s="55" t="str">
        <f>IF($Q11="","",INDEX(TRANSACTIONS_MASTER!$K$5:$K$1204,$Q11))</f>
        <v/>
      </c>
      <c r="H11" s="25" t="str">
        <f>IF($Q11="","",INDEX(TRANSACTIONS_MASTER!$L$5:$L$1204,$Q11))</f>
        <v/>
      </c>
      <c r="I11" s="56" t="str">
        <f>IF($Q11="","",INDEX(TRANSACTIONS_MASTER!$N$5:$N$1204,$Q11))</f>
        <v/>
      </c>
      <c r="J11" s="25" t="str">
        <f>IF($Q11="","",INDEX(TRANSACTIONS_MASTER!$O$5:$O$1204,$Q11))</f>
        <v/>
      </c>
      <c r="K11" s="26" t="str">
        <f>IF($Q11="","",INDEX(TRANSACTIONS_MASTER!$Q$5:$Q$1204,$Q11))</f>
        <v/>
      </c>
      <c r="L11" s="25" t="str">
        <f>IF($Q11="","",INDEX(TRANSACTIONS_MASTER!$P$5:$P$1204,$Q11))</f>
        <v/>
      </c>
      <c r="M11" s="25" t="str">
        <f>IF($Q11="","",INDEX(TRANSACTIONS_MASTER!$AA$5:$AA$1204,$Q11))</f>
        <v/>
      </c>
      <c r="N11" s="25" t="str">
        <f>IF($Q11="","",INDEX(TRANSACTIONS_MASTER!$R$5:$R$1204,$Q11))</f>
        <v/>
      </c>
      <c r="O11" s="28" t="str">
        <f>IF($Q11="","",INDEX(TRANSACTIONS_MASTER!$AB$5:$AB$1204,$Q11))</f>
        <v/>
      </c>
      <c r="P11" s="55" t="str">
        <f>IF($Q11="","",INDEX(TRANSACTIONS_MASTER!$Z$5:$Z$1204,$Q11)&amp;"")</f>
        <v/>
      </c>
      <c r="Q11" s="67" t="str">
        <f>IFERROR(MATCH($C$2&amp;"|"&amp;4,TRANSACTIONS_MASTER!$AE$5:$AE$1204,0),"")</f>
        <v/>
      </c>
      <c r="S11" s="67">
        <f>IFERROR(MATCH(4,CASHBACK_RULES!$S$5:$S$304,0),"")</f>
        <v>11</v>
      </c>
      <c r="T11" s="55" t="str">
        <f>IF($S11="","",INDEX(CASHBACK_RULES!$B$5:$B$304,$S11))</f>
        <v>VIB-A</v>
      </c>
      <c r="U11" s="55" t="str">
        <f>IF($S11="","",INDEX(CASHBACK_RULES!$C$5:$C$304,$S11)&amp;" "&amp;INDEX(CASHBACK_RULES!$D$5:$D$304,$S11))</f>
        <v>VIB Cashback Demo A</v>
      </c>
      <c r="V11" s="55" t="str">
        <f>IF($S11="","",INDEX(CASHBACK_RULES!$E$5:$E$304,$S11)&amp;"")</f>
        <v>Group 1</v>
      </c>
      <c r="W11" s="55" t="str">
        <f>IF($S11="","",INDEX(CASHBACK_RULES!$F$5:$F$304,$S11)&amp;"")</f>
        <v>Groceries</v>
      </c>
      <c r="X11" s="26">
        <f>IF($S11="","",SUMIFS(TRANSACTIONS_MASTER!$Q$5:$Q$1204,TRANSACTIONS_MASTER!$D$5:$D$1204,$T11,TRANSACTIONS_MASTER!$Z$5:$Z$1204,$V11,TRANSACTIONS_MASTER!$C$5:$C$1204,$C$2))</f>
        <v>0</v>
      </c>
      <c r="Y11" s="25">
        <f>IF($S11="","",IF(ISNUMBER(INDEX(CASHBACK_RULES!$J$5:$J$304,$S11)),INDEX(CASHBACK_RULES!$J$5:$J$304,$S11),"∞"))</f>
        <v>500000</v>
      </c>
      <c r="Z11" s="25">
        <f>IF($S11="","",IF(ISNUMBER($Y11),MAX(0,$Y11-$X11),"∞"))</f>
        <v>500000</v>
      </c>
      <c r="AA11" s="27">
        <f>IF($S11="","",IF(ISNUMBER($Y11),IF($Y11=0,0,$X11/$Y11),""))</f>
        <v>0</v>
      </c>
    </row>
    <row r="12" ht="20" customHeight="1">
      <c r="A12" s="81" t="str">
        <f>IF($Q12="","",5)</f>
        <v/>
      </c>
      <c r="B12" s="57" t="str">
        <f>IF($Q12="","",INDEX(TRANSACTIONS_MASTER!$B$5:$B$1204,$Q12))</f>
        <v/>
      </c>
      <c r="C12" s="55" t="str">
        <f>IF($Q12="","",INDEX(TRANSACTIONS_MASTER!$F$5:$F$1204,$Q12))</f>
        <v/>
      </c>
      <c r="D12" s="55" t="str">
        <f>IF($Q12="","",INDEX(TRANSACTIONS_MASTER!$E$5:$E$1204,$Q12))</f>
        <v/>
      </c>
      <c r="E12" s="55" t="str">
        <f>IF($Q12="","",INDEX(TRANSACTIONS_MASTER!$G$5:$G$1204,$Q12)&amp;"")</f>
        <v/>
      </c>
      <c r="F12" s="29" t="str">
        <f>IF($Q12="","",INDEX(TRANSACTIONS_MASTER!$I$5:$I$1204,$Q12))</f>
        <v/>
      </c>
      <c r="G12" s="55" t="str">
        <f>IF($Q12="","",INDEX(TRANSACTIONS_MASTER!$K$5:$K$1204,$Q12))</f>
        <v/>
      </c>
      <c r="H12" s="25" t="str">
        <f>IF($Q12="","",INDEX(TRANSACTIONS_MASTER!$L$5:$L$1204,$Q12))</f>
        <v/>
      </c>
      <c r="I12" s="56" t="str">
        <f>IF($Q12="","",INDEX(TRANSACTIONS_MASTER!$N$5:$N$1204,$Q12))</f>
        <v/>
      </c>
      <c r="J12" s="25" t="str">
        <f>IF($Q12="","",INDEX(TRANSACTIONS_MASTER!$O$5:$O$1204,$Q12))</f>
        <v/>
      </c>
      <c r="K12" s="26" t="str">
        <f>IF($Q12="","",INDEX(TRANSACTIONS_MASTER!$Q$5:$Q$1204,$Q12))</f>
        <v/>
      </c>
      <c r="L12" s="25" t="str">
        <f>IF($Q12="","",INDEX(TRANSACTIONS_MASTER!$P$5:$P$1204,$Q12))</f>
        <v/>
      </c>
      <c r="M12" s="25" t="str">
        <f>IF($Q12="","",INDEX(TRANSACTIONS_MASTER!$AA$5:$AA$1204,$Q12))</f>
        <v/>
      </c>
      <c r="N12" s="25" t="str">
        <f>IF($Q12="","",INDEX(TRANSACTIONS_MASTER!$R$5:$R$1204,$Q12))</f>
        <v/>
      </c>
      <c r="O12" s="28" t="str">
        <f>IF($Q12="","",INDEX(TRANSACTIONS_MASTER!$AB$5:$AB$1204,$Q12))</f>
        <v/>
      </c>
      <c r="P12" s="55" t="str">
        <f>IF($Q12="","",INDEX(TRANSACTIONS_MASTER!$Z$5:$Z$1204,$Q12)&amp;"")</f>
        <v/>
      </c>
      <c r="Q12" s="67" t="str">
        <f>IFERROR(MATCH($C$2&amp;"|"&amp;5,TRANSACTIONS_MASTER!$AE$5:$AE$1204,0),"")</f>
        <v/>
      </c>
      <c r="S12" s="67">
        <f>IFERROR(MATCH(5,CASHBACK_RULES!$S$5:$S$304,0),"")</f>
        <v>13</v>
      </c>
      <c r="T12" s="55" t="str">
        <f>IF($S12="","",INDEX(CASHBACK_RULES!$B$5:$B$304,$S12))</f>
        <v>VIB-A</v>
      </c>
      <c r="U12" s="55" t="str">
        <f>IF($S12="","",INDEX(CASHBACK_RULES!$C$5:$C$304,$S12)&amp;" "&amp;INDEX(CASHBACK_RULES!$D$5:$D$304,$S12))</f>
        <v>VIB Cashback Demo A</v>
      </c>
      <c r="V12" s="55" t="str">
        <f>IF($S12="","",INDEX(CASHBACK_RULES!$E$5:$E$304,$S12)&amp;"")</f>
        <v>Group 2</v>
      </c>
      <c r="W12" s="55" t="str">
        <f>IF($S12="","",INDEX(CASHBACK_RULES!$F$5:$F$304,$S12)&amp;"")</f>
        <v>Shopping</v>
      </c>
      <c r="X12" s="26">
        <f>IF($S12="","",SUMIFS(TRANSACTIONS_MASTER!$Q$5:$Q$1204,TRANSACTIONS_MASTER!$D$5:$D$1204,$T12,TRANSACTIONS_MASTER!$Z$5:$Z$1204,$V12,TRANSACTIONS_MASTER!$C$5:$C$1204,$C$2))</f>
        <v>0</v>
      </c>
      <c r="Y12" s="25">
        <f>IF($S12="","",IF(ISNUMBER(INDEX(CASHBACK_RULES!$J$5:$J$304,$S12)),INDEX(CASHBACK_RULES!$J$5:$J$304,$S12),"∞"))</f>
        <v>500000</v>
      </c>
      <c r="Z12" s="25">
        <f>IF($S12="","",IF(ISNUMBER($Y12),MAX(0,$Y12-$X12),"∞"))</f>
        <v>500000</v>
      </c>
      <c r="AA12" s="27">
        <f>IF($S12="","",IF(ISNUMBER($Y12),IF($Y12=0,0,$X12/$Y12),""))</f>
        <v>0</v>
      </c>
    </row>
    <row r="13" ht="20" customHeight="1">
      <c r="A13" s="81" t="str">
        <f>IF($Q13="","",6)</f>
        <v/>
      </c>
      <c r="B13" s="57" t="str">
        <f>IF($Q13="","",INDEX(TRANSACTIONS_MASTER!$B$5:$B$1204,$Q13))</f>
        <v/>
      </c>
      <c r="C13" s="55" t="str">
        <f>IF($Q13="","",INDEX(TRANSACTIONS_MASTER!$F$5:$F$1204,$Q13))</f>
        <v/>
      </c>
      <c r="D13" s="55" t="str">
        <f>IF($Q13="","",INDEX(TRANSACTIONS_MASTER!$E$5:$E$1204,$Q13))</f>
        <v/>
      </c>
      <c r="E13" s="55" t="str">
        <f>IF($Q13="","",INDEX(TRANSACTIONS_MASTER!$G$5:$G$1204,$Q13)&amp;"")</f>
        <v/>
      </c>
      <c r="F13" s="29" t="str">
        <f>IF($Q13="","",INDEX(TRANSACTIONS_MASTER!$I$5:$I$1204,$Q13))</f>
        <v/>
      </c>
      <c r="G13" s="55" t="str">
        <f>IF($Q13="","",INDEX(TRANSACTIONS_MASTER!$K$5:$K$1204,$Q13))</f>
        <v/>
      </c>
      <c r="H13" s="25" t="str">
        <f>IF($Q13="","",INDEX(TRANSACTIONS_MASTER!$L$5:$L$1204,$Q13))</f>
        <v/>
      </c>
      <c r="I13" s="56" t="str">
        <f>IF($Q13="","",INDEX(TRANSACTIONS_MASTER!$N$5:$N$1204,$Q13))</f>
        <v/>
      </c>
      <c r="J13" s="25" t="str">
        <f>IF($Q13="","",INDEX(TRANSACTIONS_MASTER!$O$5:$O$1204,$Q13))</f>
        <v/>
      </c>
      <c r="K13" s="26" t="str">
        <f>IF($Q13="","",INDEX(TRANSACTIONS_MASTER!$Q$5:$Q$1204,$Q13))</f>
        <v/>
      </c>
      <c r="L13" s="25" t="str">
        <f>IF($Q13="","",INDEX(TRANSACTIONS_MASTER!$P$5:$P$1204,$Q13))</f>
        <v/>
      </c>
      <c r="M13" s="25" t="str">
        <f>IF($Q13="","",INDEX(TRANSACTIONS_MASTER!$AA$5:$AA$1204,$Q13))</f>
        <v/>
      </c>
      <c r="N13" s="25" t="str">
        <f>IF($Q13="","",INDEX(TRANSACTIONS_MASTER!$R$5:$R$1204,$Q13))</f>
        <v/>
      </c>
      <c r="O13" s="28" t="str">
        <f>IF($Q13="","",INDEX(TRANSACTIONS_MASTER!$AB$5:$AB$1204,$Q13))</f>
        <v/>
      </c>
      <c r="P13" s="55" t="str">
        <f>IF($Q13="","",INDEX(TRANSACTIONS_MASTER!$Z$5:$Z$1204,$Q13)&amp;"")</f>
        <v/>
      </c>
      <c r="Q13" s="67" t="str">
        <f>IFERROR(MATCH($C$2&amp;"|"&amp;6,TRANSACTIONS_MASTER!$AE$5:$AE$1204,0),"")</f>
        <v/>
      </c>
      <c r="S13" s="67">
        <f>IFERROR(MATCH(6,CASHBACK_RULES!$S$5:$S$304,0),"")</f>
        <v>15</v>
      </c>
      <c r="T13" s="55" t="str">
        <f>IF($S13="","",INDEX(CASHBACK_RULES!$B$5:$B$304,$S13))</f>
        <v>TCB-B</v>
      </c>
      <c r="U13" s="55" t="str">
        <f>IF($S13="","",INDEX(CASHBACK_RULES!$C$5:$C$304,$S13)&amp;" "&amp;INDEX(CASHBACK_RULES!$D$5:$D$304,$S13))</f>
        <v>Techcombank Cashback Demo B</v>
      </c>
      <c r="V13" s="55" t="str">
        <f>IF($S13="","",INDEX(CASHBACK_RULES!$E$5:$E$304,$S13)&amp;"")</f>
        <v>Group 1</v>
      </c>
      <c r="W13" s="55" t="str">
        <f>IF($S13="","",INDEX(CASHBACK_RULES!$F$5:$F$304,$S13)&amp;"")</f>
        <v>Fuel &amp; Transport</v>
      </c>
      <c r="X13" s="26">
        <f>IF($S13="","",SUMIFS(TRANSACTIONS_MASTER!$Q$5:$Q$1204,TRANSACTIONS_MASTER!$D$5:$D$1204,$T13,TRANSACTIONS_MASTER!$Z$5:$Z$1204,$V13,TRANSACTIONS_MASTER!$C$5:$C$1204,$C$2))</f>
        <v>0</v>
      </c>
      <c r="Y13" s="25">
        <f>IF($S13="","",IF(ISNUMBER(INDEX(CASHBACK_RULES!$J$5:$J$304,$S13)),INDEX(CASHBACK_RULES!$J$5:$J$304,$S13),"∞"))</f>
        <v>300000</v>
      </c>
      <c r="Z13" s="25">
        <f>IF($S13="","",IF(ISNUMBER($Y13),MAX(0,$Y13-$X13),"∞"))</f>
        <v>300000</v>
      </c>
      <c r="AA13" s="27">
        <f>IF($S13="","",IF(ISNUMBER($Y13),IF($Y13=0,0,$X13/$Y13),""))</f>
        <v>0</v>
      </c>
    </row>
    <row r="14" ht="20" customHeight="1">
      <c r="A14" s="81" t="str">
        <f>IF($Q14="","",7)</f>
        <v/>
      </c>
      <c r="B14" s="57" t="str">
        <f>IF($Q14="","",INDEX(TRANSACTIONS_MASTER!$B$5:$B$1204,$Q14))</f>
        <v/>
      </c>
      <c r="C14" s="55" t="str">
        <f>IF($Q14="","",INDEX(TRANSACTIONS_MASTER!$F$5:$F$1204,$Q14))</f>
        <v/>
      </c>
      <c r="D14" s="55" t="str">
        <f>IF($Q14="","",INDEX(TRANSACTIONS_MASTER!$E$5:$E$1204,$Q14))</f>
        <v/>
      </c>
      <c r="E14" s="55" t="str">
        <f>IF($Q14="","",INDEX(TRANSACTIONS_MASTER!$G$5:$G$1204,$Q14)&amp;"")</f>
        <v/>
      </c>
      <c r="F14" s="29" t="str">
        <f>IF($Q14="","",INDEX(TRANSACTIONS_MASTER!$I$5:$I$1204,$Q14))</f>
        <v/>
      </c>
      <c r="G14" s="55" t="str">
        <f>IF($Q14="","",INDEX(TRANSACTIONS_MASTER!$K$5:$K$1204,$Q14))</f>
        <v/>
      </c>
      <c r="H14" s="25" t="str">
        <f>IF($Q14="","",INDEX(TRANSACTIONS_MASTER!$L$5:$L$1204,$Q14))</f>
        <v/>
      </c>
      <c r="I14" s="56" t="str">
        <f>IF($Q14="","",INDEX(TRANSACTIONS_MASTER!$N$5:$N$1204,$Q14))</f>
        <v/>
      </c>
      <c r="J14" s="25" t="str">
        <f>IF($Q14="","",INDEX(TRANSACTIONS_MASTER!$O$5:$O$1204,$Q14))</f>
        <v/>
      </c>
      <c r="K14" s="26" t="str">
        <f>IF($Q14="","",INDEX(TRANSACTIONS_MASTER!$Q$5:$Q$1204,$Q14))</f>
        <v/>
      </c>
      <c r="L14" s="25" t="str">
        <f>IF($Q14="","",INDEX(TRANSACTIONS_MASTER!$P$5:$P$1204,$Q14))</f>
        <v/>
      </c>
      <c r="M14" s="25" t="str">
        <f>IF($Q14="","",INDEX(TRANSACTIONS_MASTER!$AA$5:$AA$1204,$Q14))</f>
        <v/>
      </c>
      <c r="N14" s="25" t="str">
        <f>IF($Q14="","",INDEX(TRANSACTIONS_MASTER!$R$5:$R$1204,$Q14))</f>
        <v/>
      </c>
      <c r="O14" s="28" t="str">
        <f>IF($Q14="","",INDEX(TRANSACTIONS_MASTER!$AB$5:$AB$1204,$Q14))</f>
        <v/>
      </c>
      <c r="P14" s="55" t="str">
        <f>IF($Q14="","",INDEX(TRANSACTIONS_MASTER!$Z$5:$Z$1204,$Q14)&amp;"")</f>
        <v/>
      </c>
      <c r="Q14" s="67" t="str">
        <f>IFERROR(MATCH($C$2&amp;"|"&amp;7,TRANSACTIONS_MASTER!$AE$5:$AE$1204,0),"")</f>
        <v/>
      </c>
      <c r="S14" s="67">
        <f>IFERROR(MATCH(7,CASHBACK_RULES!$S$5:$S$304,0),"")</f>
        <v>18</v>
      </c>
      <c r="T14" s="55" t="str">
        <f>IF($S14="","",INDEX(CASHBACK_RULES!$B$5:$B$304,$S14))</f>
        <v>TCB-B</v>
      </c>
      <c r="U14" s="55" t="str">
        <f>IF($S14="","",INDEX(CASHBACK_RULES!$C$5:$C$304,$S14)&amp;" "&amp;INDEX(CASHBACK_RULES!$D$5:$D$304,$S14))</f>
        <v>Techcombank Cashback Demo B</v>
      </c>
      <c r="V14" s="55" t="str">
        <f>IF($S14="","",INDEX(CASHBACK_RULES!$E$5:$E$304,$S14)&amp;"")</f>
        <v>Group 2</v>
      </c>
      <c r="W14" s="55" t="str">
        <f>IF($S14="","",INDEX(CASHBACK_RULES!$F$5:$F$304,$S14)&amp;"")</f>
        <v>Healthcare</v>
      </c>
      <c r="X14" s="26">
        <f>IF($S14="","",SUMIFS(TRANSACTIONS_MASTER!$Q$5:$Q$1204,TRANSACTIONS_MASTER!$D$5:$D$1204,$T14,TRANSACTIONS_MASTER!$Z$5:$Z$1204,$V14,TRANSACTIONS_MASTER!$C$5:$C$1204,$C$2))</f>
        <v>0</v>
      </c>
      <c r="Y14" s="25">
        <f>IF($S14="","",IF(ISNUMBER(INDEX(CASHBACK_RULES!$J$5:$J$304,$S14)),INDEX(CASHBACK_RULES!$J$5:$J$304,$S14),"∞"))</f>
        <v>300000</v>
      </c>
      <c r="Z14" s="25">
        <f>IF($S14="","",IF(ISNUMBER($Y14),MAX(0,$Y14-$X14),"∞"))</f>
        <v>300000</v>
      </c>
      <c r="AA14" s="27">
        <f>IF($S14="","",IF(ISNUMBER($Y14),IF($Y14=0,0,$X14/$Y14),""))</f>
        <v>0</v>
      </c>
    </row>
    <row r="15" ht="20" customHeight="1">
      <c r="A15" s="81" t="str">
        <f>IF($Q15="","",8)</f>
        <v/>
      </c>
      <c r="B15" s="57" t="str">
        <f>IF($Q15="","",INDEX(TRANSACTIONS_MASTER!$B$5:$B$1204,$Q15))</f>
        <v/>
      </c>
      <c r="C15" s="55" t="str">
        <f>IF($Q15="","",INDEX(TRANSACTIONS_MASTER!$F$5:$F$1204,$Q15))</f>
        <v/>
      </c>
      <c r="D15" s="55" t="str">
        <f>IF($Q15="","",INDEX(TRANSACTIONS_MASTER!$E$5:$E$1204,$Q15))</f>
        <v/>
      </c>
      <c r="E15" s="55" t="str">
        <f>IF($Q15="","",INDEX(TRANSACTIONS_MASTER!$G$5:$G$1204,$Q15)&amp;"")</f>
        <v/>
      </c>
      <c r="F15" s="29" t="str">
        <f>IF($Q15="","",INDEX(TRANSACTIONS_MASTER!$I$5:$I$1204,$Q15))</f>
        <v/>
      </c>
      <c r="G15" s="55" t="str">
        <f>IF($Q15="","",INDEX(TRANSACTIONS_MASTER!$K$5:$K$1204,$Q15))</f>
        <v/>
      </c>
      <c r="H15" s="25" t="str">
        <f>IF($Q15="","",INDEX(TRANSACTIONS_MASTER!$L$5:$L$1204,$Q15))</f>
        <v/>
      </c>
      <c r="I15" s="56" t="str">
        <f>IF($Q15="","",INDEX(TRANSACTIONS_MASTER!$N$5:$N$1204,$Q15))</f>
        <v/>
      </c>
      <c r="J15" s="25" t="str">
        <f>IF($Q15="","",INDEX(TRANSACTIONS_MASTER!$O$5:$O$1204,$Q15))</f>
        <v/>
      </c>
      <c r="K15" s="26" t="str">
        <f>IF($Q15="","",INDEX(TRANSACTIONS_MASTER!$Q$5:$Q$1204,$Q15))</f>
        <v/>
      </c>
      <c r="L15" s="25" t="str">
        <f>IF($Q15="","",INDEX(TRANSACTIONS_MASTER!$P$5:$P$1204,$Q15))</f>
        <v/>
      </c>
      <c r="M15" s="25" t="str">
        <f>IF($Q15="","",INDEX(TRANSACTIONS_MASTER!$AA$5:$AA$1204,$Q15))</f>
        <v/>
      </c>
      <c r="N15" s="25" t="str">
        <f>IF($Q15="","",INDEX(TRANSACTIONS_MASTER!$R$5:$R$1204,$Q15))</f>
        <v/>
      </c>
      <c r="O15" s="28" t="str">
        <f>IF($Q15="","",INDEX(TRANSACTIONS_MASTER!$AB$5:$AB$1204,$Q15))</f>
        <v/>
      </c>
      <c r="P15" s="55" t="str">
        <f>IF($Q15="","",INDEX(TRANSACTIONS_MASTER!$Z$5:$Z$1204,$Q15)&amp;"")</f>
        <v/>
      </c>
      <c r="Q15" s="67" t="str">
        <f>IFERROR(MATCH($C$2&amp;"|"&amp;8,TRANSACTIONS_MASTER!$AE$5:$AE$1204,0),"")</f>
        <v/>
      </c>
      <c r="S15" s="67">
        <f>IFERROR(MATCH(8,CASHBACK_RULES!$S$5:$S$304,0),"")</f>
        <v>20</v>
      </c>
      <c r="T15" s="55" t="str">
        <f>IF($S15="","",INDEX(CASHBACK_RULES!$B$5:$B$304,$S15))</f>
        <v>TCB-B</v>
      </c>
      <c r="U15" s="55" t="str">
        <f>IF($S15="","",INDEX(CASHBACK_RULES!$C$5:$C$304,$S15)&amp;" "&amp;INDEX(CASHBACK_RULES!$D$5:$D$304,$S15))</f>
        <v>Techcombank Cashback Demo B</v>
      </c>
      <c r="V15" s="55" t="str">
        <f>IF($S15="","",INDEX(CASHBACK_RULES!$E$5:$E$304,$S15)&amp;"")</f>
        <v>Group 3</v>
      </c>
      <c r="W15" s="55" t="str">
        <f>IF($S15="","",INDEX(CASHBACK_RULES!$F$5:$F$304,$S15)&amp;"")</f>
        <v>Utilities &amp; Telecom</v>
      </c>
      <c r="X15" s="26">
        <f>IF($S15="","",SUMIFS(TRANSACTIONS_MASTER!$Q$5:$Q$1204,TRANSACTIONS_MASTER!$D$5:$D$1204,$T15,TRANSACTIONS_MASTER!$Z$5:$Z$1204,$V15,TRANSACTIONS_MASTER!$C$5:$C$1204,$C$2))</f>
        <v>0</v>
      </c>
      <c r="Y15" s="25">
        <f>IF($S15="","",IF(ISNUMBER(INDEX(CASHBACK_RULES!$J$5:$J$304,$S15)),INDEX(CASHBACK_RULES!$J$5:$J$304,$S15),"∞"))</f>
        <v>300000</v>
      </c>
      <c r="Z15" s="25">
        <f>IF($S15="","",IF(ISNUMBER($Y15),MAX(0,$Y15-$X15),"∞"))</f>
        <v>300000</v>
      </c>
      <c r="AA15" s="27">
        <f>IF($S15="","",IF(ISNUMBER($Y15),IF($Y15=0,0,$X15/$Y15),""))</f>
        <v>0</v>
      </c>
    </row>
    <row r="16" ht="20" customHeight="1">
      <c r="A16" s="81" t="str">
        <f>IF($Q16="","",9)</f>
        <v/>
      </c>
      <c r="B16" s="57" t="str">
        <f>IF($Q16="","",INDEX(TRANSACTIONS_MASTER!$B$5:$B$1204,$Q16))</f>
        <v/>
      </c>
      <c r="C16" s="55" t="str">
        <f>IF($Q16="","",INDEX(TRANSACTIONS_MASTER!$F$5:$F$1204,$Q16))</f>
        <v/>
      </c>
      <c r="D16" s="55" t="str">
        <f>IF($Q16="","",INDEX(TRANSACTIONS_MASTER!$E$5:$E$1204,$Q16))</f>
        <v/>
      </c>
      <c r="E16" s="55" t="str">
        <f>IF($Q16="","",INDEX(TRANSACTIONS_MASTER!$G$5:$G$1204,$Q16)&amp;"")</f>
        <v/>
      </c>
      <c r="F16" s="29" t="str">
        <f>IF($Q16="","",INDEX(TRANSACTIONS_MASTER!$I$5:$I$1204,$Q16))</f>
        <v/>
      </c>
      <c r="G16" s="55" t="str">
        <f>IF($Q16="","",INDEX(TRANSACTIONS_MASTER!$K$5:$K$1204,$Q16))</f>
        <v/>
      </c>
      <c r="H16" s="25" t="str">
        <f>IF($Q16="","",INDEX(TRANSACTIONS_MASTER!$L$5:$L$1204,$Q16))</f>
        <v/>
      </c>
      <c r="I16" s="56" t="str">
        <f>IF($Q16="","",INDEX(TRANSACTIONS_MASTER!$N$5:$N$1204,$Q16))</f>
        <v/>
      </c>
      <c r="J16" s="25" t="str">
        <f>IF($Q16="","",INDEX(TRANSACTIONS_MASTER!$O$5:$O$1204,$Q16))</f>
        <v/>
      </c>
      <c r="K16" s="26" t="str">
        <f>IF($Q16="","",INDEX(TRANSACTIONS_MASTER!$Q$5:$Q$1204,$Q16))</f>
        <v/>
      </c>
      <c r="L16" s="25" t="str">
        <f>IF($Q16="","",INDEX(TRANSACTIONS_MASTER!$P$5:$P$1204,$Q16))</f>
        <v/>
      </c>
      <c r="M16" s="25" t="str">
        <f>IF($Q16="","",INDEX(TRANSACTIONS_MASTER!$AA$5:$AA$1204,$Q16))</f>
        <v/>
      </c>
      <c r="N16" s="25" t="str">
        <f>IF($Q16="","",INDEX(TRANSACTIONS_MASTER!$R$5:$R$1204,$Q16))</f>
        <v/>
      </c>
      <c r="O16" s="28" t="str">
        <f>IF($Q16="","",INDEX(TRANSACTIONS_MASTER!$AB$5:$AB$1204,$Q16))</f>
        <v/>
      </c>
      <c r="P16" s="55" t="str">
        <f>IF($Q16="","",INDEX(TRANSACTIONS_MASTER!$Z$5:$Z$1204,$Q16)&amp;"")</f>
        <v/>
      </c>
      <c r="Q16" s="67" t="str">
        <f>IFERROR(MATCH($C$2&amp;"|"&amp;9,TRANSACTIONS_MASTER!$AE$5:$AE$1204,0),"")</f>
        <v/>
      </c>
      <c r="S16" s="67">
        <f>IFERROR(MATCH(9,CASHBACK_RULES!$S$5:$S$304,0),"")</f>
        <v>22</v>
      </c>
      <c r="T16" s="55" t="str">
        <f>IF($S16="","",INDEX(CASHBACK_RULES!$B$5:$B$304,$S16))</f>
        <v>UOB-C</v>
      </c>
      <c r="U16" s="55" t="str">
        <f>IF($S16="","",INDEX(CASHBACK_RULES!$C$5:$C$304,$S16)&amp;" "&amp;INDEX(CASHBACK_RULES!$D$5:$D$304,$S16))</f>
        <v>UOB Cashback Demo C</v>
      </c>
      <c r="V16" s="55" t="str">
        <f>IF($S16="","",INDEX(CASHBACK_RULES!$E$5:$E$304,$S16)&amp;"")</f>
        <v>Group 1</v>
      </c>
      <c r="W16" s="55" t="str">
        <f>IF($S16="","",INDEX(CASHBACK_RULES!$F$5:$F$304,$S16)&amp;"")</f>
        <v>Dining</v>
      </c>
      <c r="X16" s="26">
        <f>IF($S16="","",SUMIFS(TRANSACTIONS_MASTER!$Q$5:$Q$1204,TRANSACTIONS_MASTER!$D$5:$D$1204,$T16,TRANSACTIONS_MASTER!$Z$5:$Z$1204,$V16,TRANSACTIONS_MASTER!$C$5:$C$1204,$C$2))</f>
        <v>0</v>
      </c>
      <c r="Y16" s="25">
        <f>IF($S16="","",IF(ISNUMBER(INDEX(CASHBACK_RULES!$J$5:$J$304,$S16)),INDEX(CASHBACK_RULES!$J$5:$J$304,$S16),"∞"))</f>
        <v>1000000</v>
      </c>
      <c r="Z16" s="25">
        <f>IF($S16="","",IF(ISNUMBER($Y16),MAX(0,$Y16-$X16),"∞"))</f>
        <v>1000000</v>
      </c>
      <c r="AA16" s="27">
        <f>IF($S16="","",IF(ISNUMBER($Y16),IF($Y16=0,0,$X16/$Y16),""))</f>
        <v>0</v>
      </c>
    </row>
    <row r="17" ht="20" customHeight="1">
      <c r="A17" s="81" t="str">
        <f>IF($Q17="","",10)</f>
        <v/>
      </c>
      <c r="B17" s="57" t="str">
        <f>IF($Q17="","",INDEX(TRANSACTIONS_MASTER!$B$5:$B$1204,$Q17))</f>
        <v/>
      </c>
      <c r="C17" s="55" t="str">
        <f>IF($Q17="","",INDEX(TRANSACTIONS_MASTER!$F$5:$F$1204,$Q17))</f>
        <v/>
      </c>
      <c r="D17" s="55" t="str">
        <f>IF($Q17="","",INDEX(TRANSACTIONS_MASTER!$E$5:$E$1204,$Q17))</f>
        <v/>
      </c>
      <c r="E17" s="55" t="str">
        <f>IF($Q17="","",INDEX(TRANSACTIONS_MASTER!$G$5:$G$1204,$Q17)&amp;"")</f>
        <v/>
      </c>
      <c r="F17" s="29" t="str">
        <f>IF($Q17="","",INDEX(TRANSACTIONS_MASTER!$I$5:$I$1204,$Q17))</f>
        <v/>
      </c>
      <c r="G17" s="55" t="str">
        <f>IF($Q17="","",INDEX(TRANSACTIONS_MASTER!$K$5:$K$1204,$Q17))</f>
        <v/>
      </c>
      <c r="H17" s="25" t="str">
        <f>IF($Q17="","",INDEX(TRANSACTIONS_MASTER!$L$5:$L$1204,$Q17))</f>
        <v/>
      </c>
      <c r="I17" s="56" t="str">
        <f>IF($Q17="","",INDEX(TRANSACTIONS_MASTER!$N$5:$N$1204,$Q17))</f>
        <v/>
      </c>
      <c r="J17" s="25" t="str">
        <f>IF($Q17="","",INDEX(TRANSACTIONS_MASTER!$O$5:$O$1204,$Q17))</f>
        <v/>
      </c>
      <c r="K17" s="26" t="str">
        <f>IF($Q17="","",INDEX(TRANSACTIONS_MASTER!$Q$5:$Q$1204,$Q17))</f>
        <v/>
      </c>
      <c r="L17" s="25" t="str">
        <f>IF($Q17="","",INDEX(TRANSACTIONS_MASTER!$P$5:$P$1204,$Q17))</f>
        <v/>
      </c>
      <c r="M17" s="25" t="str">
        <f>IF($Q17="","",INDEX(TRANSACTIONS_MASTER!$AA$5:$AA$1204,$Q17))</f>
        <v/>
      </c>
      <c r="N17" s="25" t="str">
        <f>IF($Q17="","",INDEX(TRANSACTIONS_MASTER!$R$5:$R$1204,$Q17))</f>
        <v/>
      </c>
      <c r="O17" s="28" t="str">
        <f>IF($Q17="","",INDEX(TRANSACTIONS_MASTER!$AB$5:$AB$1204,$Q17))</f>
        <v/>
      </c>
      <c r="P17" s="55" t="str">
        <f>IF($Q17="","",INDEX(TRANSACTIONS_MASTER!$Z$5:$Z$1204,$Q17)&amp;"")</f>
        <v/>
      </c>
      <c r="Q17" s="67" t="str">
        <f>IFERROR(MATCH($C$2&amp;"|"&amp;10,TRANSACTIONS_MASTER!$AE$5:$AE$1204,0),"")</f>
        <v/>
      </c>
      <c r="S17" s="67">
        <f>IFERROR(MATCH(10,CASHBACK_RULES!$S$5:$S$304,0),"")</f>
        <v>24</v>
      </c>
      <c r="T17" s="55" t="str">
        <f>IF($S17="","",INDEX(CASHBACK_RULES!$B$5:$B$304,$S17))</f>
        <v>MB-D</v>
      </c>
      <c r="U17" s="55" t="str">
        <f>IF($S17="","",INDEX(CASHBACK_RULES!$C$5:$C$304,$S17)&amp;" "&amp;INDEX(CASHBACK_RULES!$D$5:$D$304,$S17))</f>
        <v>MB Cashback Demo D</v>
      </c>
      <c r="V17" s="55" t="str">
        <f>IF($S17="","",INDEX(CASHBACK_RULES!$E$5:$E$304,$S17)&amp;"")</f>
        <v>Dining</v>
      </c>
      <c r="W17" s="55" t="str">
        <f>IF($S17="","",INDEX(CASHBACK_RULES!$F$5:$F$304,$S17)&amp;"")</f>
        <v>Dining</v>
      </c>
      <c r="X17" s="26">
        <f>IF($S17="","",SUMIFS(TRANSACTIONS_MASTER!$Q$5:$Q$1204,TRANSACTIONS_MASTER!$D$5:$D$1204,$T17,TRANSACTIONS_MASTER!$Z$5:$Z$1204,$V17,TRANSACTIONS_MASTER!$C$5:$C$1204,$C$2))</f>
        <v>0</v>
      </c>
      <c r="Y17" s="25">
        <f>IF($S17="","",IF(ISNUMBER(INDEX(CASHBACK_RULES!$J$5:$J$304,$S17)),INDEX(CASHBACK_RULES!$J$5:$J$304,$S17),"∞"))</f>
        <v>500000</v>
      </c>
      <c r="Z17" s="25">
        <f>IF($S17="","",IF(ISNUMBER($Y17),MAX(0,$Y17-$X17),"∞"))</f>
        <v>500000</v>
      </c>
      <c r="AA17" s="27">
        <f>IF($S17="","",IF(ISNUMBER($Y17),IF($Y17=0,0,$X17/$Y17),""))</f>
        <v>0</v>
      </c>
    </row>
    <row r="18" ht="20" customHeight="1">
      <c r="A18" s="81" t="str">
        <f>IF($Q18="","",11)</f>
        <v/>
      </c>
      <c r="B18" s="57" t="str">
        <f>IF($Q18="","",INDEX(TRANSACTIONS_MASTER!$B$5:$B$1204,$Q18))</f>
        <v/>
      </c>
      <c r="C18" s="55" t="str">
        <f>IF($Q18="","",INDEX(TRANSACTIONS_MASTER!$F$5:$F$1204,$Q18))</f>
        <v/>
      </c>
      <c r="D18" s="55" t="str">
        <f>IF($Q18="","",INDEX(TRANSACTIONS_MASTER!$E$5:$E$1204,$Q18))</f>
        <v/>
      </c>
      <c r="E18" s="55" t="str">
        <f>IF($Q18="","",INDEX(TRANSACTIONS_MASTER!$G$5:$G$1204,$Q18)&amp;"")</f>
        <v/>
      </c>
      <c r="F18" s="29" t="str">
        <f>IF($Q18="","",INDEX(TRANSACTIONS_MASTER!$I$5:$I$1204,$Q18))</f>
        <v/>
      </c>
      <c r="G18" s="55" t="str">
        <f>IF($Q18="","",INDEX(TRANSACTIONS_MASTER!$K$5:$K$1204,$Q18))</f>
        <v/>
      </c>
      <c r="H18" s="25" t="str">
        <f>IF($Q18="","",INDEX(TRANSACTIONS_MASTER!$L$5:$L$1204,$Q18))</f>
        <v/>
      </c>
      <c r="I18" s="56" t="str">
        <f>IF($Q18="","",INDEX(TRANSACTIONS_MASTER!$N$5:$N$1204,$Q18))</f>
        <v/>
      </c>
      <c r="J18" s="25" t="str">
        <f>IF($Q18="","",INDEX(TRANSACTIONS_MASTER!$O$5:$O$1204,$Q18))</f>
        <v/>
      </c>
      <c r="K18" s="26" t="str">
        <f>IF($Q18="","",INDEX(TRANSACTIONS_MASTER!$Q$5:$Q$1204,$Q18))</f>
        <v/>
      </c>
      <c r="L18" s="25" t="str">
        <f>IF($Q18="","",INDEX(TRANSACTIONS_MASTER!$P$5:$P$1204,$Q18))</f>
        <v/>
      </c>
      <c r="M18" s="25" t="str">
        <f>IF($Q18="","",INDEX(TRANSACTIONS_MASTER!$AA$5:$AA$1204,$Q18))</f>
        <v/>
      </c>
      <c r="N18" s="25" t="str">
        <f>IF($Q18="","",INDEX(TRANSACTIONS_MASTER!$R$5:$R$1204,$Q18))</f>
        <v/>
      </c>
      <c r="O18" s="28" t="str">
        <f>IF($Q18="","",INDEX(TRANSACTIONS_MASTER!$AB$5:$AB$1204,$Q18))</f>
        <v/>
      </c>
      <c r="P18" s="55" t="str">
        <f>IF($Q18="","",INDEX(TRANSACTIONS_MASTER!$Z$5:$Z$1204,$Q18)&amp;"")</f>
        <v/>
      </c>
      <c r="Q18" s="67" t="str">
        <f>IFERROR(MATCH($C$2&amp;"|"&amp;11,TRANSACTIONS_MASTER!$AE$5:$AE$1204,0),"")</f>
        <v/>
      </c>
      <c r="S18" s="67">
        <f>IFERROR(MATCH(11,CASHBACK_RULES!$S$5:$S$304,0),"")</f>
        <v>25</v>
      </c>
      <c r="T18" s="55" t="str">
        <f>IF($S18="","",INDEX(CASHBACK_RULES!$B$5:$B$304,$S18))</f>
        <v>MB-D</v>
      </c>
      <c r="U18" s="55" t="str">
        <f>IF($S18="","",INDEX(CASHBACK_RULES!$C$5:$C$304,$S18)&amp;" "&amp;INDEX(CASHBACK_RULES!$D$5:$D$304,$S18))</f>
        <v>MB Cashback Demo D</v>
      </c>
      <c r="V18" s="55" t="str">
        <f>IF($S18="","",INDEX(CASHBACK_RULES!$E$5:$E$304,$S18)&amp;"")</f>
        <v>Fuel</v>
      </c>
      <c r="W18" s="55" t="str">
        <f>IF($S18="","",INDEX(CASHBACK_RULES!$F$5:$F$304,$S18)&amp;"")</f>
        <v>Fuel</v>
      </c>
      <c r="X18" s="26">
        <f>IF($S18="","",SUMIFS(TRANSACTIONS_MASTER!$Q$5:$Q$1204,TRANSACTIONS_MASTER!$D$5:$D$1204,$T18,TRANSACTIONS_MASTER!$Z$5:$Z$1204,$V18,TRANSACTIONS_MASTER!$C$5:$C$1204,$C$2))</f>
        <v>0</v>
      </c>
      <c r="Y18" s="25">
        <f>IF($S18="","",IF(ISNUMBER(INDEX(CASHBACK_RULES!$J$5:$J$304,$S18)),INDEX(CASHBACK_RULES!$J$5:$J$304,$S18),"∞"))</f>
        <v>200000</v>
      </c>
      <c r="Z18" s="25">
        <f>IF($S18="","",IF(ISNUMBER($Y18),MAX(0,$Y18-$X18),"∞"))</f>
        <v>200000</v>
      </c>
      <c r="AA18" s="27">
        <f>IF($S18="","",IF(ISNUMBER($Y18),IF($Y18=0,0,$X18/$Y18),""))</f>
        <v>0</v>
      </c>
    </row>
    <row r="19" ht="20" customHeight="1">
      <c r="A19" s="81" t="str">
        <f>IF($Q19="","",12)</f>
        <v/>
      </c>
      <c r="B19" s="57" t="str">
        <f>IF($Q19="","",INDEX(TRANSACTIONS_MASTER!$B$5:$B$1204,$Q19))</f>
        <v/>
      </c>
      <c r="C19" s="55" t="str">
        <f>IF($Q19="","",INDEX(TRANSACTIONS_MASTER!$F$5:$F$1204,$Q19))</f>
        <v/>
      </c>
      <c r="D19" s="55" t="str">
        <f>IF($Q19="","",INDEX(TRANSACTIONS_MASTER!$E$5:$E$1204,$Q19))</f>
        <v/>
      </c>
      <c r="E19" s="55" t="str">
        <f>IF($Q19="","",INDEX(TRANSACTIONS_MASTER!$G$5:$G$1204,$Q19)&amp;"")</f>
        <v/>
      </c>
      <c r="F19" s="29" t="str">
        <f>IF($Q19="","",INDEX(TRANSACTIONS_MASTER!$I$5:$I$1204,$Q19))</f>
        <v/>
      </c>
      <c r="G19" s="55" t="str">
        <f>IF($Q19="","",INDEX(TRANSACTIONS_MASTER!$K$5:$K$1204,$Q19))</f>
        <v/>
      </c>
      <c r="H19" s="25" t="str">
        <f>IF($Q19="","",INDEX(TRANSACTIONS_MASTER!$L$5:$L$1204,$Q19))</f>
        <v/>
      </c>
      <c r="I19" s="56" t="str">
        <f>IF($Q19="","",INDEX(TRANSACTIONS_MASTER!$N$5:$N$1204,$Q19))</f>
        <v/>
      </c>
      <c r="J19" s="25" t="str">
        <f>IF($Q19="","",INDEX(TRANSACTIONS_MASTER!$O$5:$O$1204,$Q19))</f>
        <v/>
      </c>
      <c r="K19" s="26" t="str">
        <f>IF($Q19="","",INDEX(TRANSACTIONS_MASTER!$Q$5:$Q$1204,$Q19))</f>
        <v/>
      </c>
      <c r="L19" s="25" t="str">
        <f>IF($Q19="","",INDEX(TRANSACTIONS_MASTER!$P$5:$P$1204,$Q19))</f>
        <v/>
      </c>
      <c r="M19" s="25" t="str">
        <f>IF($Q19="","",INDEX(TRANSACTIONS_MASTER!$AA$5:$AA$1204,$Q19))</f>
        <v/>
      </c>
      <c r="N19" s="25" t="str">
        <f>IF($Q19="","",INDEX(TRANSACTIONS_MASTER!$R$5:$R$1204,$Q19))</f>
        <v/>
      </c>
      <c r="O19" s="28" t="str">
        <f>IF($Q19="","",INDEX(TRANSACTIONS_MASTER!$AB$5:$AB$1204,$Q19))</f>
        <v/>
      </c>
      <c r="P19" s="55" t="str">
        <f>IF($Q19="","",INDEX(TRANSACTIONS_MASTER!$Z$5:$Z$1204,$Q19)&amp;"")</f>
        <v/>
      </c>
      <c r="Q19" s="67" t="str">
        <f>IFERROR(MATCH($C$2&amp;"|"&amp;12,TRANSACTIONS_MASTER!$AE$5:$AE$1204,0),"")</f>
        <v/>
      </c>
      <c r="S19" s="67">
        <f>IFERROR(MATCH(12,CASHBACK_RULES!$S$5:$S$304,0),"")</f>
        <v>26</v>
      </c>
      <c r="T19" s="55" t="str">
        <f>IF($S19="","",INDEX(CASHBACK_RULES!$B$5:$B$304,$S19))</f>
        <v>MB-D</v>
      </c>
      <c r="U19" s="55" t="str">
        <f>IF($S19="","",INDEX(CASHBACK_RULES!$C$5:$C$304,$S19)&amp;" "&amp;INDEX(CASHBACK_RULES!$D$5:$D$304,$S19))</f>
        <v>MB Cashback Demo D</v>
      </c>
      <c r="V19" s="55" t="str">
        <f>IF($S19="","",INDEX(CASHBACK_RULES!$E$5:$E$304,$S19)&amp;"")</f>
        <v>Groceries</v>
      </c>
      <c r="W19" s="55" t="str">
        <f>IF($S19="","",INDEX(CASHBACK_RULES!$F$5:$F$304,$S19)&amp;"")</f>
        <v>Groceries</v>
      </c>
      <c r="X19" s="26">
        <f>IF($S19="","",SUMIFS(TRANSACTIONS_MASTER!$Q$5:$Q$1204,TRANSACTIONS_MASTER!$D$5:$D$1204,$T19,TRANSACTIONS_MASTER!$Z$5:$Z$1204,$V19,TRANSACTIONS_MASTER!$C$5:$C$1204,$C$2))</f>
        <v>0</v>
      </c>
      <c r="Y19" s="25">
        <f>IF($S19="","",IF(ISNUMBER(INDEX(CASHBACK_RULES!$J$5:$J$304,$S19)),INDEX(CASHBACK_RULES!$J$5:$J$304,$S19),"∞"))</f>
        <v>100000</v>
      </c>
      <c r="Z19" s="25">
        <f>IF($S19="","",IF(ISNUMBER($Y19),MAX(0,$Y19-$X19),"∞"))</f>
        <v>100000</v>
      </c>
      <c r="AA19" s="27">
        <f>IF($S19="","",IF(ISNUMBER($Y19),IF($Y19=0,0,$X19/$Y19),""))</f>
        <v>0</v>
      </c>
    </row>
    <row r="20" ht="20" customHeight="1">
      <c r="A20" s="81" t="str">
        <f>IF($Q20="","",13)</f>
        <v/>
      </c>
      <c r="B20" s="57" t="str">
        <f>IF($Q20="","",INDEX(TRANSACTIONS_MASTER!$B$5:$B$1204,$Q20))</f>
        <v/>
      </c>
      <c r="C20" s="55" t="str">
        <f>IF($Q20="","",INDEX(TRANSACTIONS_MASTER!$F$5:$F$1204,$Q20))</f>
        <v/>
      </c>
      <c r="D20" s="55" t="str">
        <f>IF($Q20="","",INDEX(TRANSACTIONS_MASTER!$E$5:$E$1204,$Q20))</f>
        <v/>
      </c>
      <c r="E20" s="55" t="str">
        <f>IF($Q20="","",INDEX(TRANSACTIONS_MASTER!$G$5:$G$1204,$Q20)&amp;"")</f>
        <v/>
      </c>
      <c r="F20" s="29" t="str">
        <f>IF($Q20="","",INDEX(TRANSACTIONS_MASTER!$I$5:$I$1204,$Q20))</f>
        <v/>
      </c>
      <c r="G20" s="55" t="str">
        <f>IF($Q20="","",INDEX(TRANSACTIONS_MASTER!$K$5:$K$1204,$Q20))</f>
        <v/>
      </c>
      <c r="H20" s="25" t="str">
        <f>IF($Q20="","",INDEX(TRANSACTIONS_MASTER!$L$5:$L$1204,$Q20))</f>
        <v/>
      </c>
      <c r="I20" s="56" t="str">
        <f>IF($Q20="","",INDEX(TRANSACTIONS_MASTER!$N$5:$N$1204,$Q20))</f>
        <v/>
      </c>
      <c r="J20" s="25" t="str">
        <f>IF($Q20="","",INDEX(TRANSACTIONS_MASTER!$O$5:$O$1204,$Q20))</f>
        <v/>
      </c>
      <c r="K20" s="26" t="str">
        <f>IF($Q20="","",INDEX(TRANSACTIONS_MASTER!$Q$5:$Q$1204,$Q20))</f>
        <v/>
      </c>
      <c r="L20" s="25" t="str">
        <f>IF($Q20="","",INDEX(TRANSACTIONS_MASTER!$P$5:$P$1204,$Q20))</f>
        <v/>
      </c>
      <c r="M20" s="25" t="str">
        <f>IF($Q20="","",INDEX(TRANSACTIONS_MASTER!$AA$5:$AA$1204,$Q20))</f>
        <v/>
      </c>
      <c r="N20" s="25" t="str">
        <f>IF($Q20="","",INDEX(TRANSACTIONS_MASTER!$R$5:$R$1204,$Q20))</f>
        <v/>
      </c>
      <c r="O20" s="28" t="str">
        <f>IF($Q20="","",INDEX(TRANSACTIONS_MASTER!$AB$5:$AB$1204,$Q20))</f>
        <v/>
      </c>
      <c r="P20" s="55" t="str">
        <f>IF($Q20="","",INDEX(TRANSACTIONS_MASTER!$Z$5:$Z$1204,$Q20)&amp;"")</f>
        <v/>
      </c>
      <c r="Q20" s="67" t="str">
        <f>IFERROR(MATCH($C$2&amp;"|"&amp;13,TRANSACTIONS_MASTER!$AE$5:$AE$1204,0),"")</f>
        <v/>
      </c>
      <c r="S20" s="67">
        <f>IFERROR(MATCH(13,CASHBACK_RULES!$S$5:$S$304,0),"")</f>
        <v>27</v>
      </c>
      <c r="T20" s="55" t="str">
        <f>IF($S20="","",INDEX(CASHBACK_RULES!$B$5:$B$304,$S20))</f>
        <v>MB-D</v>
      </c>
      <c r="U20" s="55" t="str">
        <f>IF($S20="","",INDEX(CASHBACK_RULES!$C$5:$C$304,$S20)&amp;" "&amp;INDEX(CASHBACK_RULES!$D$5:$D$304,$S20))</f>
        <v>MB Cashback Demo D</v>
      </c>
      <c r="V20" s="55" t="str">
        <f>IF($S20="","",INDEX(CASHBACK_RULES!$E$5:$E$304,$S20)&amp;"")</f>
        <v>Shopping</v>
      </c>
      <c r="W20" s="55" t="str">
        <f>IF($S20="","",INDEX(CASHBACK_RULES!$F$5:$F$304,$S20)&amp;"")</f>
        <v>Shopping</v>
      </c>
      <c r="X20" s="26">
        <f>IF($S20="","",SUMIFS(TRANSACTIONS_MASTER!$Q$5:$Q$1204,TRANSACTIONS_MASTER!$D$5:$D$1204,$T20,TRANSACTIONS_MASTER!$Z$5:$Z$1204,$V20,TRANSACTIONS_MASTER!$C$5:$C$1204,$C$2))</f>
        <v>0</v>
      </c>
      <c r="Y20" s="25">
        <f>IF($S20="","",IF(ISNUMBER(INDEX(CASHBACK_RULES!$J$5:$J$304,$S20)),INDEX(CASHBACK_RULES!$J$5:$J$304,$S20),"∞"))</f>
        <v>100000</v>
      </c>
      <c r="Z20" s="25">
        <f>IF($S20="","",IF(ISNUMBER($Y20),MAX(0,$Y20-$X20),"∞"))</f>
        <v>100000</v>
      </c>
      <c r="AA20" s="27">
        <f>IF($S20="","",IF(ISNUMBER($Y20),IF($Y20=0,0,$X20/$Y20),""))</f>
        <v>0</v>
      </c>
    </row>
    <row r="21" ht="20" customHeight="1">
      <c r="A21" s="81" t="str">
        <f>IF($Q21="","",14)</f>
        <v/>
      </c>
      <c r="B21" s="57" t="str">
        <f>IF($Q21="","",INDEX(TRANSACTIONS_MASTER!$B$5:$B$1204,$Q21))</f>
        <v/>
      </c>
      <c r="C21" s="55" t="str">
        <f>IF($Q21="","",INDEX(TRANSACTIONS_MASTER!$F$5:$F$1204,$Q21))</f>
        <v/>
      </c>
      <c r="D21" s="55" t="str">
        <f>IF($Q21="","",INDEX(TRANSACTIONS_MASTER!$E$5:$E$1204,$Q21))</f>
        <v/>
      </c>
      <c r="E21" s="55" t="str">
        <f>IF($Q21="","",INDEX(TRANSACTIONS_MASTER!$G$5:$G$1204,$Q21)&amp;"")</f>
        <v/>
      </c>
      <c r="F21" s="29" t="str">
        <f>IF($Q21="","",INDEX(TRANSACTIONS_MASTER!$I$5:$I$1204,$Q21))</f>
        <v/>
      </c>
      <c r="G21" s="55" t="str">
        <f>IF($Q21="","",INDEX(TRANSACTIONS_MASTER!$K$5:$K$1204,$Q21))</f>
        <v/>
      </c>
      <c r="H21" s="25" t="str">
        <f>IF($Q21="","",INDEX(TRANSACTIONS_MASTER!$L$5:$L$1204,$Q21))</f>
        <v/>
      </c>
      <c r="I21" s="56" t="str">
        <f>IF($Q21="","",INDEX(TRANSACTIONS_MASTER!$N$5:$N$1204,$Q21))</f>
        <v/>
      </c>
      <c r="J21" s="25" t="str">
        <f>IF($Q21="","",INDEX(TRANSACTIONS_MASTER!$O$5:$O$1204,$Q21))</f>
        <v/>
      </c>
      <c r="K21" s="26" t="str">
        <f>IF($Q21="","",INDEX(TRANSACTIONS_MASTER!$Q$5:$Q$1204,$Q21))</f>
        <v/>
      </c>
      <c r="L21" s="25" t="str">
        <f>IF($Q21="","",INDEX(TRANSACTIONS_MASTER!$P$5:$P$1204,$Q21))</f>
        <v/>
      </c>
      <c r="M21" s="25" t="str">
        <f>IF($Q21="","",INDEX(TRANSACTIONS_MASTER!$AA$5:$AA$1204,$Q21))</f>
        <v/>
      </c>
      <c r="N21" s="25" t="str">
        <f>IF($Q21="","",INDEX(TRANSACTIONS_MASTER!$R$5:$R$1204,$Q21))</f>
        <v/>
      </c>
      <c r="O21" s="28" t="str">
        <f>IF($Q21="","",INDEX(TRANSACTIONS_MASTER!$AB$5:$AB$1204,$Q21))</f>
        <v/>
      </c>
      <c r="P21" s="55" t="str">
        <f>IF($Q21="","",INDEX(TRANSACTIONS_MASTER!$Z$5:$Z$1204,$Q21)&amp;"")</f>
        <v/>
      </c>
      <c r="Q21" s="67" t="str">
        <f>IFERROR(MATCH($C$2&amp;"|"&amp;14,TRANSACTIONS_MASTER!$AE$5:$AE$1204,0),"")</f>
        <v/>
      </c>
      <c r="S21" s="67" t="str">
        <f>IFERROR(MATCH(14,CASHBACK_RULES!$S$5:$S$304,0),"")</f>
        <v/>
      </c>
      <c r="T21" s="55" t="str">
        <f>IF($S21="","",INDEX(CASHBACK_RULES!$B$5:$B$304,$S21))</f>
        <v/>
      </c>
      <c r="U21" s="55" t="str">
        <f>IF($S21="","",INDEX(CASHBACK_RULES!$C$5:$C$304,$S21)&amp;" "&amp;INDEX(CASHBACK_RULES!$D$5:$D$304,$S21))</f>
        <v/>
      </c>
      <c r="V21" s="55" t="str">
        <f>IF($S21="","",INDEX(CASHBACK_RULES!$E$5:$E$304,$S21)&amp;"")</f>
        <v/>
      </c>
      <c r="W21" s="55" t="str">
        <f>IF($S21="","",INDEX(CASHBACK_RULES!$F$5:$F$304,$S21)&amp;"")</f>
        <v/>
      </c>
      <c r="X21" s="26" t="str">
        <f>IF($S21="","",SUMIFS(TRANSACTIONS_MASTER!$Q$5:$Q$1204,TRANSACTIONS_MASTER!$D$5:$D$1204,$T21,TRANSACTIONS_MASTER!$Z$5:$Z$1204,$V21,TRANSACTIONS_MASTER!$C$5:$C$1204,$C$2))</f>
        <v/>
      </c>
      <c r="Y21" s="25" t="str">
        <f>IF($S21="","",IF(ISNUMBER(INDEX(CASHBACK_RULES!$J$5:$J$304,$S21)),INDEX(CASHBACK_RULES!$J$5:$J$304,$S21),"∞"))</f>
        <v/>
      </c>
      <c r="Z21" s="25" t="str">
        <f>IF($S21="","",IF(ISNUMBER($Y21),MAX(0,$Y21-$X21),"∞"))</f>
        <v/>
      </c>
      <c r="AA21" s="27" t="str">
        <f>IF($S21="","",IF(ISNUMBER($Y21),IF($Y21=0,0,$X21/$Y21),""))</f>
        <v/>
      </c>
    </row>
    <row r="22" ht="20" customHeight="1">
      <c r="A22" s="81" t="str">
        <f>IF($Q22="","",15)</f>
        <v/>
      </c>
      <c r="B22" s="57" t="str">
        <f>IF($Q22="","",INDEX(TRANSACTIONS_MASTER!$B$5:$B$1204,$Q22))</f>
        <v/>
      </c>
      <c r="C22" s="55" t="str">
        <f>IF($Q22="","",INDEX(TRANSACTIONS_MASTER!$F$5:$F$1204,$Q22))</f>
        <v/>
      </c>
      <c r="D22" s="55" t="str">
        <f>IF($Q22="","",INDEX(TRANSACTIONS_MASTER!$E$5:$E$1204,$Q22))</f>
        <v/>
      </c>
      <c r="E22" s="55" t="str">
        <f>IF($Q22="","",INDEX(TRANSACTIONS_MASTER!$G$5:$G$1204,$Q22)&amp;"")</f>
        <v/>
      </c>
      <c r="F22" s="29" t="str">
        <f>IF($Q22="","",INDEX(TRANSACTIONS_MASTER!$I$5:$I$1204,$Q22))</f>
        <v/>
      </c>
      <c r="G22" s="55" t="str">
        <f>IF($Q22="","",INDEX(TRANSACTIONS_MASTER!$K$5:$K$1204,$Q22))</f>
        <v/>
      </c>
      <c r="H22" s="25" t="str">
        <f>IF($Q22="","",INDEX(TRANSACTIONS_MASTER!$L$5:$L$1204,$Q22))</f>
        <v/>
      </c>
      <c r="I22" s="56" t="str">
        <f>IF($Q22="","",INDEX(TRANSACTIONS_MASTER!$N$5:$N$1204,$Q22))</f>
        <v/>
      </c>
      <c r="J22" s="25" t="str">
        <f>IF($Q22="","",INDEX(TRANSACTIONS_MASTER!$O$5:$O$1204,$Q22))</f>
        <v/>
      </c>
      <c r="K22" s="26" t="str">
        <f>IF($Q22="","",INDEX(TRANSACTIONS_MASTER!$Q$5:$Q$1204,$Q22))</f>
        <v/>
      </c>
      <c r="L22" s="25" t="str">
        <f>IF($Q22="","",INDEX(TRANSACTIONS_MASTER!$P$5:$P$1204,$Q22))</f>
        <v/>
      </c>
      <c r="M22" s="25" t="str">
        <f>IF($Q22="","",INDEX(TRANSACTIONS_MASTER!$AA$5:$AA$1204,$Q22))</f>
        <v/>
      </c>
      <c r="N22" s="25" t="str">
        <f>IF($Q22="","",INDEX(TRANSACTIONS_MASTER!$R$5:$R$1204,$Q22))</f>
        <v/>
      </c>
      <c r="O22" s="28" t="str">
        <f>IF($Q22="","",INDEX(TRANSACTIONS_MASTER!$AB$5:$AB$1204,$Q22))</f>
        <v/>
      </c>
      <c r="P22" s="55" t="str">
        <f>IF($Q22="","",INDEX(TRANSACTIONS_MASTER!$Z$5:$Z$1204,$Q22)&amp;"")</f>
        <v/>
      </c>
      <c r="Q22" s="67" t="str">
        <f>IFERROR(MATCH($C$2&amp;"|"&amp;15,TRANSACTIONS_MASTER!$AE$5:$AE$1204,0),"")</f>
        <v/>
      </c>
      <c r="S22" s="67" t="str">
        <f>IFERROR(MATCH(15,CASHBACK_RULES!$S$5:$S$304,0),"")</f>
        <v/>
      </c>
      <c r="T22" s="55" t="str">
        <f>IF($S22="","",INDEX(CASHBACK_RULES!$B$5:$B$304,$S22))</f>
        <v/>
      </c>
      <c r="U22" s="55" t="str">
        <f>IF($S22="","",INDEX(CASHBACK_RULES!$C$5:$C$304,$S22)&amp;" "&amp;INDEX(CASHBACK_RULES!$D$5:$D$304,$S22))</f>
        <v/>
      </c>
      <c r="V22" s="55" t="str">
        <f>IF($S22="","",INDEX(CASHBACK_RULES!$E$5:$E$304,$S22)&amp;"")</f>
        <v/>
      </c>
      <c r="W22" s="55" t="str">
        <f>IF($S22="","",INDEX(CASHBACK_RULES!$F$5:$F$304,$S22)&amp;"")</f>
        <v/>
      </c>
      <c r="X22" s="26" t="str">
        <f>IF($S22="","",SUMIFS(TRANSACTIONS_MASTER!$Q$5:$Q$1204,TRANSACTIONS_MASTER!$D$5:$D$1204,$T22,TRANSACTIONS_MASTER!$Z$5:$Z$1204,$V22,TRANSACTIONS_MASTER!$C$5:$C$1204,$C$2))</f>
        <v/>
      </c>
      <c r="Y22" s="25" t="str">
        <f>IF($S22="","",IF(ISNUMBER(INDEX(CASHBACK_RULES!$J$5:$J$304,$S22)),INDEX(CASHBACK_RULES!$J$5:$J$304,$S22),"∞"))</f>
        <v/>
      </c>
      <c r="Z22" s="25" t="str">
        <f>IF($S22="","",IF(ISNUMBER($Y22),MAX(0,$Y22-$X22),"∞"))</f>
        <v/>
      </c>
      <c r="AA22" s="27" t="str">
        <f>IF($S22="","",IF(ISNUMBER($Y22),IF($Y22=0,0,$X22/$Y22),""))</f>
        <v/>
      </c>
    </row>
    <row r="23" ht="20" customHeight="1">
      <c r="A23" s="81" t="str">
        <f>IF($Q23="","",16)</f>
        <v/>
      </c>
      <c r="B23" s="57" t="str">
        <f>IF($Q23="","",INDEX(TRANSACTIONS_MASTER!$B$5:$B$1204,$Q23))</f>
        <v/>
      </c>
      <c r="C23" s="55" t="str">
        <f>IF($Q23="","",INDEX(TRANSACTIONS_MASTER!$F$5:$F$1204,$Q23))</f>
        <v/>
      </c>
      <c r="D23" s="55" t="str">
        <f>IF($Q23="","",INDEX(TRANSACTIONS_MASTER!$E$5:$E$1204,$Q23))</f>
        <v/>
      </c>
      <c r="E23" s="55" t="str">
        <f>IF($Q23="","",INDEX(TRANSACTIONS_MASTER!$G$5:$G$1204,$Q23)&amp;"")</f>
        <v/>
      </c>
      <c r="F23" s="29" t="str">
        <f>IF($Q23="","",INDEX(TRANSACTIONS_MASTER!$I$5:$I$1204,$Q23))</f>
        <v/>
      </c>
      <c r="G23" s="55" t="str">
        <f>IF($Q23="","",INDEX(TRANSACTIONS_MASTER!$K$5:$K$1204,$Q23))</f>
        <v/>
      </c>
      <c r="H23" s="25" t="str">
        <f>IF($Q23="","",INDEX(TRANSACTIONS_MASTER!$L$5:$L$1204,$Q23))</f>
        <v/>
      </c>
      <c r="I23" s="56" t="str">
        <f>IF($Q23="","",INDEX(TRANSACTIONS_MASTER!$N$5:$N$1204,$Q23))</f>
        <v/>
      </c>
      <c r="J23" s="25" t="str">
        <f>IF($Q23="","",INDEX(TRANSACTIONS_MASTER!$O$5:$O$1204,$Q23))</f>
        <v/>
      </c>
      <c r="K23" s="26" t="str">
        <f>IF($Q23="","",INDEX(TRANSACTIONS_MASTER!$Q$5:$Q$1204,$Q23))</f>
        <v/>
      </c>
      <c r="L23" s="25" t="str">
        <f>IF($Q23="","",INDEX(TRANSACTIONS_MASTER!$P$5:$P$1204,$Q23))</f>
        <v/>
      </c>
      <c r="M23" s="25" t="str">
        <f>IF($Q23="","",INDEX(TRANSACTIONS_MASTER!$AA$5:$AA$1204,$Q23))</f>
        <v/>
      </c>
      <c r="N23" s="25" t="str">
        <f>IF($Q23="","",INDEX(TRANSACTIONS_MASTER!$R$5:$R$1204,$Q23))</f>
        <v/>
      </c>
      <c r="O23" s="28" t="str">
        <f>IF($Q23="","",INDEX(TRANSACTIONS_MASTER!$AB$5:$AB$1204,$Q23))</f>
        <v/>
      </c>
      <c r="P23" s="55" t="str">
        <f>IF($Q23="","",INDEX(TRANSACTIONS_MASTER!$Z$5:$Z$1204,$Q23)&amp;"")</f>
        <v/>
      </c>
      <c r="Q23" s="67" t="str">
        <f>IFERROR(MATCH($C$2&amp;"|"&amp;16,TRANSACTIONS_MASTER!$AE$5:$AE$1204,0),"")</f>
        <v/>
      </c>
      <c r="S23" s="67" t="str">
        <f>IFERROR(MATCH(16,CASHBACK_RULES!$S$5:$S$304,0),"")</f>
        <v/>
      </c>
      <c r="T23" s="55" t="str">
        <f>IF($S23="","",INDEX(CASHBACK_RULES!$B$5:$B$304,$S23))</f>
        <v/>
      </c>
      <c r="U23" s="55" t="str">
        <f>IF($S23="","",INDEX(CASHBACK_RULES!$C$5:$C$304,$S23)&amp;" "&amp;INDEX(CASHBACK_RULES!$D$5:$D$304,$S23))</f>
        <v/>
      </c>
      <c r="V23" s="55" t="str">
        <f>IF($S23="","",INDEX(CASHBACK_RULES!$E$5:$E$304,$S23)&amp;"")</f>
        <v/>
      </c>
      <c r="W23" s="55" t="str">
        <f>IF($S23="","",INDEX(CASHBACK_RULES!$F$5:$F$304,$S23)&amp;"")</f>
        <v/>
      </c>
      <c r="X23" s="26" t="str">
        <f>IF($S23="","",SUMIFS(TRANSACTIONS_MASTER!$Q$5:$Q$1204,TRANSACTIONS_MASTER!$D$5:$D$1204,$T23,TRANSACTIONS_MASTER!$Z$5:$Z$1204,$V23,TRANSACTIONS_MASTER!$C$5:$C$1204,$C$2))</f>
        <v/>
      </c>
      <c r="Y23" s="25" t="str">
        <f>IF($S23="","",IF(ISNUMBER(INDEX(CASHBACK_RULES!$J$5:$J$304,$S23)),INDEX(CASHBACK_RULES!$J$5:$J$304,$S23),"∞"))</f>
        <v/>
      </c>
      <c r="Z23" s="25" t="str">
        <f>IF($S23="","",IF(ISNUMBER($Y23),MAX(0,$Y23-$X23),"∞"))</f>
        <v/>
      </c>
      <c r="AA23" s="27" t="str">
        <f>IF($S23="","",IF(ISNUMBER($Y23),IF($Y23=0,0,$X23/$Y23),""))</f>
        <v/>
      </c>
    </row>
    <row r="24" ht="20" customHeight="1">
      <c r="A24" s="81" t="str">
        <f>IF($Q24="","",17)</f>
        <v/>
      </c>
      <c r="B24" s="57" t="str">
        <f>IF($Q24="","",INDEX(TRANSACTIONS_MASTER!$B$5:$B$1204,$Q24))</f>
        <v/>
      </c>
      <c r="C24" s="55" t="str">
        <f>IF($Q24="","",INDEX(TRANSACTIONS_MASTER!$F$5:$F$1204,$Q24))</f>
        <v/>
      </c>
      <c r="D24" s="55" t="str">
        <f>IF($Q24="","",INDEX(TRANSACTIONS_MASTER!$E$5:$E$1204,$Q24))</f>
        <v/>
      </c>
      <c r="E24" s="55" t="str">
        <f>IF($Q24="","",INDEX(TRANSACTIONS_MASTER!$G$5:$G$1204,$Q24)&amp;"")</f>
        <v/>
      </c>
      <c r="F24" s="29" t="str">
        <f>IF($Q24="","",INDEX(TRANSACTIONS_MASTER!$I$5:$I$1204,$Q24))</f>
        <v/>
      </c>
      <c r="G24" s="55" t="str">
        <f>IF($Q24="","",INDEX(TRANSACTIONS_MASTER!$K$5:$K$1204,$Q24))</f>
        <v/>
      </c>
      <c r="H24" s="25" t="str">
        <f>IF($Q24="","",INDEX(TRANSACTIONS_MASTER!$L$5:$L$1204,$Q24))</f>
        <v/>
      </c>
      <c r="I24" s="56" t="str">
        <f>IF($Q24="","",INDEX(TRANSACTIONS_MASTER!$N$5:$N$1204,$Q24))</f>
        <v/>
      </c>
      <c r="J24" s="25" t="str">
        <f>IF($Q24="","",INDEX(TRANSACTIONS_MASTER!$O$5:$O$1204,$Q24))</f>
        <v/>
      </c>
      <c r="K24" s="26" t="str">
        <f>IF($Q24="","",INDEX(TRANSACTIONS_MASTER!$Q$5:$Q$1204,$Q24))</f>
        <v/>
      </c>
      <c r="L24" s="25" t="str">
        <f>IF($Q24="","",INDEX(TRANSACTIONS_MASTER!$P$5:$P$1204,$Q24))</f>
        <v/>
      </c>
      <c r="M24" s="25" t="str">
        <f>IF($Q24="","",INDEX(TRANSACTIONS_MASTER!$AA$5:$AA$1204,$Q24))</f>
        <v/>
      </c>
      <c r="N24" s="25" t="str">
        <f>IF($Q24="","",INDEX(TRANSACTIONS_MASTER!$R$5:$R$1204,$Q24))</f>
        <v/>
      </c>
      <c r="O24" s="28" t="str">
        <f>IF($Q24="","",INDEX(TRANSACTIONS_MASTER!$AB$5:$AB$1204,$Q24))</f>
        <v/>
      </c>
      <c r="P24" s="55" t="str">
        <f>IF($Q24="","",INDEX(TRANSACTIONS_MASTER!$Z$5:$Z$1204,$Q24)&amp;"")</f>
        <v/>
      </c>
      <c r="Q24" s="67" t="str">
        <f>IFERROR(MATCH($C$2&amp;"|"&amp;17,TRANSACTIONS_MASTER!$AE$5:$AE$1204,0),"")</f>
        <v/>
      </c>
      <c r="S24" s="67" t="str">
        <f>IFERROR(MATCH(17,CASHBACK_RULES!$S$5:$S$304,0),"")</f>
        <v/>
      </c>
      <c r="T24" s="55" t="str">
        <f>IF($S24="","",INDEX(CASHBACK_RULES!$B$5:$B$304,$S24))</f>
        <v/>
      </c>
      <c r="U24" s="55" t="str">
        <f>IF($S24="","",INDEX(CASHBACK_RULES!$C$5:$C$304,$S24)&amp;" "&amp;INDEX(CASHBACK_RULES!$D$5:$D$304,$S24))</f>
        <v/>
      </c>
      <c r="V24" s="55" t="str">
        <f>IF($S24="","",INDEX(CASHBACK_RULES!$E$5:$E$304,$S24)&amp;"")</f>
        <v/>
      </c>
      <c r="W24" s="55" t="str">
        <f>IF($S24="","",INDEX(CASHBACK_RULES!$F$5:$F$304,$S24)&amp;"")</f>
        <v/>
      </c>
      <c r="X24" s="26" t="str">
        <f>IF($S24="","",SUMIFS(TRANSACTIONS_MASTER!$Q$5:$Q$1204,TRANSACTIONS_MASTER!$D$5:$D$1204,$T24,TRANSACTIONS_MASTER!$Z$5:$Z$1204,$V24,TRANSACTIONS_MASTER!$C$5:$C$1204,$C$2))</f>
        <v/>
      </c>
      <c r="Y24" s="25" t="str">
        <f>IF($S24="","",IF(ISNUMBER(INDEX(CASHBACK_RULES!$J$5:$J$304,$S24)),INDEX(CASHBACK_RULES!$J$5:$J$304,$S24),"∞"))</f>
        <v/>
      </c>
      <c r="Z24" s="25" t="str">
        <f>IF($S24="","",IF(ISNUMBER($Y24),MAX(0,$Y24-$X24),"∞"))</f>
        <v/>
      </c>
      <c r="AA24" s="27" t="str">
        <f>IF($S24="","",IF(ISNUMBER($Y24),IF($Y24=0,0,$X24/$Y24),""))</f>
        <v/>
      </c>
    </row>
    <row r="25" ht="20" customHeight="1">
      <c r="A25" s="81" t="str">
        <f>IF($Q25="","",18)</f>
        <v/>
      </c>
      <c r="B25" s="57" t="str">
        <f>IF($Q25="","",INDEX(TRANSACTIONS_MASTER!$B$5:$B$1204,$Q25))</f>
        <v/>
      </c>
      <c r="C25" s="55" t="str">
        <f>IF($Q25="","",INDEX(TRANSACTIONS_MASTER!$F$5:$F$1204,$Q25))</f>
        <v/>
      </c>
      <c r="D25" s="55" t="str">
        <f>IF($Q25="","",INDEX(TRANSACTIONS_MASTER!$E$5:$E$1204,$Q25))</f>
        <v/>
      </c>
      <c r="E25" s="55" t="str">
        <f>IF($Q25="","",INDEX(TRANSACTIONS_MASTER!$G$5:$G$1204,$Q25)&amp;"")</f>
        <v/>
      </c>
      <c r="F25" s="29" t="str">
        <f>IF($Q25="","",INDEX(TRANSACTIONS_MASTER!$I$5:$I$1204,$Q25))</f>
        <v/>
      </c>
      <c r="G25" s="55" t="str">
        <f>IF($Q25="","",INDEX(TRANSACTIONS_MASTER!$K$5:$K$1204,$Q25))</f>
        <v/>
      </c>
      <c r="H25" s="25" t="str">
        <f>IF($Q25="","",INDEX(TRANSACTIONS_MASTER!$L$5:$L$1204,$Q25))</f>
        <v/>
      </c>
      <c r="I25" s="56" t="str">
        <f>IF($Q25="","",INDEX(TRANSACTIONS_MASTER!$N$5:$N$1204,$Q25))</f>
        <v/>
      </c>
      <c r="J25" s="25" t="str">
        <f>IF($Q25="","",INDEX(TRANSACTIONS_MASTER!$O$5:$O$1204,$Q25))</f>
        <v/>
      </c>
      <c r="K25" s="26" t="str">
        <f>IF($Q25="","",INDEX(TRANSACTIONS_MASTER!$Q$5:$Q$1204,$Q25))</f>
        <v/>
      </c>
      <c r="L25" s="25" t="str">
        <f>IF($Q25="","",INDEX(TRANSACTIONS_MASTER!$P$5:$P$1204,$Q25))</f>
        <v/>
      </c>
      <c r="M25" s="25" t="str">
        <f>IF($Q25="","",INDEX(TRANSACTIONS_MASTER!$AA$5:$AA$1204,$Q25))</f>
        <v/>
      </c>
      <c r="N25" s="25" t="str">
        <f>IF($Q25="","",INDEX(TRANSACTIONS_MASTER!$R$5:$R$1204,$Q25))</f>
        <v/>
      </c>
      <c r="O25" s="28" t="str">
        <f>IF($Q25="","",INDEX(TRANSACTIONS_MASTER!$AB$5:$AB$1204,$Q25))</f>
        <v/>
      </c>
      <c r="P25" s="55" t="str">
        <f>IF($Q25="","",INDEX(TRANSACTIONS_MASTER!$Z$5:$Z$1204,$Q25)&amp;"")</f>
        <v/>
      </c>
      <c r="Q25" s="67" t="str">
        <f>IFERROR(MATCH($C$2&amp;"|"&amp;18,TRANSACTIONS_MASTER!$AE$5:$AE$1204,0),"")</f>
        <v/>
      </c>
      <c r="S25" s="67" t="str">
        <f>IFERROR(MATCH(18,CASHBACK_RULES!$S$5:$S$304,0),"")</f>
        <v/>
      </c>
      <c r="T25" s="55" t="str">
        <f>IF($S25="","",INDEX(CASHBACK_RULES!$B$5:$B$304,$S25))</f>
        <v/>
      </c>
      <c r="U25" s="55" t="str">
        <f>IF($S25="","",INDEX(CASHBACK_RULES!$C$5:$C$304,$S25)&amp;" "&amp;INDEX(CASHBACK_RULES!$D$5:$D$304,$S25))</f>
        <v/>
      </c>
      <c r="V25" s="55" t="str">
        <f>IF($S25="","",INDEX(CASHBACK_RULES!$E$5:$E$304,$S25)&amp;"")</f>
        <v/>
      </c>
      <c r="W25" s="55" t="str">
        <f>IF($S25="","",INDEX(CASHBACK_RULES!$F$5:$F$304,$S25)&amp;"")</f>
        <v/>
      </c>
      <c r="X25" s="26" t="str">
        <f>IF($S25="","",SUMIFS(TRANSACTIONS_MASTER!$Q$5:$Q$1204,TRANSACTIONS_MASTER!$D$5:$D$1204,$T25,TRANSACTIONS_MASTER!$Z$5:$Z$1204,$V25,TRANSACTIONS_MASTER!$C$5:$C$1204,$C$2))</f>
        <v/>
      </c>
      <c r="Y25" s="25" t="str">
        <f>IF($S25="","",IF(ISNUMBER(INDEX(CASHBACK_RULES!$J$5:$J$304,$S25)),INDEX(CASHBACK_RULES!$J$5:$J$304,$S25),"∞"))</f>
        <v/>
      </c>
      <c r="Z25" s="25" t="str">
        <f>IF($S25="","",IF(ISNUMBER($Y25),MAX(0,$Y25-$X25),"∞"))</f>
        <v/>
      </c>
      <c r="AA25" s="27" t="str">
        <f>IF($S25="","",IF(ISNUMBER($Y25),IF($Y25=0,0,$X25/$Y25),""))</f>
        <v/>
      </c>
    </row>
    <row r="26" ht="20" customHeight="1">
      <c r="A26" s="81" t="str">
        <f>IF($Q26="","",19)</f>
        <v/>
      </c>
      <c r="B26" s="57" t="str">
        <f>IF($Q26="","",INDEX(TRANSACTIONS_MASTER!$B$5:$B$1204,$Q26))</f>
        <v/>
      </c>
      <c r="C26" s="55" t="str">
        <f>IF($Q26="","",INDEX(TRANSACTIONS_MASTER!$F$5:$F$1204,$Q26))</f>
        <v/>
      </c>
      <c r="D26" s="55" t="str">
        <f>IF($Q26="","",INDEX(TRANSACTIONS_MASTER!$E$5:$E$1204,$Q26))</f>
        <v/>
      </c>
      <c r="E26" s="55" t="str">
        <f>IF($Q26="","",INDEX(TRANSACTIONS_MASTER!$G$5:$G$1204,$Q26)&amp;"")</f>
        <v/>
      </c>
      <c r="F26" s="29" t="str">
        <f>IF($Q26="","",INDEX(TRANSACTIONS_MASTER!$I$5:$I$1204,$Q26))</f>
        <v/>
      </c>
      <c r="G26" s="55" t="str">
        <f>IF($Q26="","",INDEX(TRANSACTIONS_MASTER!$K$5:$K$1204,$Q26))</f>
        <v/>
      </c>
      <c r="H26" s="25" t="str">
        <f>IF($Q26="","",INDEX(TRANSACTIONS_MASTER!$L$5:$L$1204,$Q26))</f>
        <v/>
      </c>
      <c r="I26" s="56" t="str">
        <f>IF($Q26="","",INDEX(TRANSACTIONS_MASTER!$N$5:$N$1204,$Q26))</f>
        <v/>
      </c>
      <c r="J26" s="25" t="str">
        <f>IF($Q26="","",INDEX(TRANSACTIONS_MASTER!$O$5:$O$1204,$Q26))</f>
        <v/>
      </c>
      <c r="K26" s="26" t="str">
        <f>IF($Q26="","",INDEX(TRANSACTIONS_MASTER!$Q$5:$Q$1204,$Q26))</f>
        <v/>
      </c>
      <c r="L26" s="25" t="str">
        <f>IF($Q26="","",INDEX(TRANSACTIONS_MASTER!$P$5:$P$1204,$Q26))</f>
        <v/>
      </c>
      <c r="M26" s="25" t="str">
        <f>IF($Q26="","",INDEX(TRANSACTIONS_MASTER!$AA$5:$AA$1204,$Q26))</f>
        <v/>
      </c>
      <c r="N26" s="25" t="str">
        <f>IF($Q26="","",INDEX(TRANSACTIONS_MASTER!$R$5:$R$1204,$Q26))</f>
        <v/>
      </c>
      <c r="O26" s="28" t="str">
        <f>IF($Q26="","",INDEX(TRANSACTIONS_MASTER!$AB$5:$AB$1204,$Q26))</f>
        <v/>
      </c>
      <c r="P26" s="55" t="str">
        <f>IF($Q26="","",INDEX(TRANSACTIONS_MASTER!$Z$5:$Z$1204,$Q26)&amp;"")</f>
        <v/>
      </c>
      <c r="Q26" s="67" t="str">
        <f>IFERROR(MATCH($C$2&amp;"|"&amp;19,TRANSACTIONS_MASTER!$AE$5:$AE$1204,0),"")</f>
        <v/>
      </c>
      <c r="S26" s="67" t="str">
        <f>IFERROR(MATCH(19,CASHBACK_RULES!$S$5:$S$304,0),"")</f>
        <v/>
      </c>
      <c r="T26" s="55" t="str">
        <f>IF($S26="","",INDEX(CASHBACK_RULES!$B$5:$B$304,$S26))</f>
        <v/>
      </c>
      <c r="U26" s="55" t="str">
        <f>IF($S26="","",INDEX(CASHBACK_RULES!$C$5:$C$304,$S26)&amp;" "&amp;INDEX(CASHBACK_RULES!$D$5:$D$304,$S26))</f>
        <v/>
      </c>
      <c r="V26" s="55" t="str">
        <f>IF($S26="","",INDEX(CASHBACK_RULES!$E$5:$E$304,$S26)&amp;"")</f>
        <v/>
      </c>
      <c r="W26" s="55" t="str">
        <f>IF($S26="","",INDEX(CASHBACK_RULES!$F$5:$F$304,$S26)&amp;"")</f>
        <v/>
      </c>
      <c r="X26" s="26" t="str">
        <f>IF($S26="","",SUMIFS(TRANSACTIONS_MASTER!$Q$5:$Q$1204,TRANSACTIONS_MASTER!$D$5:$D$1204,$T26,TRANSACTIONS_MASTER!$Z$5:$Z$1204,$V26,TRANSACTIONS_MASTER!$C$5:$C$1204,$C$2))</f>
        <v/>
      </c>
      <c r="Y26" s="25" t="str">
        <f>IF($S26="","",IF(ISNUMBER(INDEX(CASHBACK_RULES!$J$5:$J$304,$S26)),INDEX(CASHBACK_RULES!$J$5:$J$304,$S26),"∞"))</f>
        <v/>
      </c>
      <c r="Z26" s="25" t="str">
        <f>IF($S26="","",IF(ISNUMBER($Y26),MAX(0,$Y26-$X26),"∞"))</f>
        <v/>
      </c>
      <c r="AA26" s="27" t="str">
        <f>IF($S26="","",IF(ISNUMBER($Y26),IF($Y26=0,0,$X26/$Y26),""))</f>
        <v/>
      </c>
    </row>
    <row r="27" ht="20" customHeight="1">
      <c r="A27" s="81" t="str">
        <f>IF($Q27="","",20)</f>
        <v/>
      </c>
      <c r="B27" s="57" t="str">
        <f>IF($Q27="","",INDEX(TRANSACTIONS_MASTER!$B$5:$B$1204,$Q27))</f>
        <v/>
      </c>
      <c r="C27" s="55" t="str">
        <f>IF($Q27="","",INDEX(TRANSACTIONS_MASTER!$F$5:$F$1204,$Q27))</f>
        <v/>
      </c>
      <c r="D27" s="55" t="str">
        <f>IF($Q27="","",INDEX(TRANSACTIONS_MASTER!$E$5:$E$1204,$Q27))</f>
        <v/>
      </c>
      <c r="E27" s="55" t="str">
        <f>IF($Q27="","",INDEX(TRANSACTIONS_MASTER!$G$5:$G$1204,$Q27)&amp;"")</f>
        <v/>
      </c>
      <c r="F27" s="29" t="str">
        <f>IF($Q27="","",INDEX(TRANSACTIONS_MASTER!$I$5:$I$1204,$Q27))</f>
        <v/>
      </c>
      <c r="G27" s="55" t="str">
        <f>IF($Q27="","",INDEX(TRANSACTIONS_MASTER!$K$5:$K$1204,$Q27))</f>
        <v/>
      </c>
      <c r="H27" s="25" t="str">
        <f>IF($Q27="","",INDEX(TRANSACTIONS_MASTER!$L$5:$L$1204,$Q27))</f>
        <v/>
      </c>
      <c r="I27" s="56" t="str">
        <f>IF($Q27="","",INDEX(TRANSACTIONS_MASTER!$N$5:$N$1204,$Q27))</f>
        <v/>
      </c>
      <c r="J27" s="25" t="str">
        <f>IF($Q27="","",INDEX(TRANSACTIONS_MASTER!$O$5:$O$1204,$Q27))</f>
        <v/>
      </c>
      <c r="K27" s="26" t="str">
        <f>IF($Q27="","",INDEX(TRANSACTIONS_MASTER!$Q$5:$Q$1204,$Q27))</f>
        <v/>
      </c>
      <c r="L27" s="25" t="str">
        <f>IF($Q27="","",INDEX(TRANSACTIONS_MASTER!$P$5:$P$1204,$Q27))</f>
        <v/>
      </c>
      <c r="M27" s="25" t="str">
        <f>IF($Q27="","",INDEX(TRANSACTIONS_MASTER!$AA$5:$AA$1204,$Q27))</f>
        <v/>
      </c>
      <c r="N27" s="25" t="str">
        <f>IF($Q27="","",INDEX(TRANSACTIONS_MASTER!$R$5:$R$1204,$Q27))</f>
        <v/>
      </c>
      <c r="O27" s="28" t="str">
        <f>IF($Q27="","",INDEX(TRANSACTIONS_MASTER!$AB$5:$AB$1204,$Q27))</f>
        <v/>
      </c>
      <c r="P27" s="55" t="str">
        <f>IF($Q27="","",INDEX(TRANSACTIONS_MASTER!$Z$5:$Z$1204,$Q27)&amp;"")</f>
        <v/>
      </c>
      <c r="Q27" s="67" t="str">
        <f>IFERROR(MATCH($C$2&amp;"|"&amp;20,TRANSACTIONS_MASTER!$AE$5:$AE$1204,0),"")</f>
        <v/>
      </c>
      <c r="S27" s="67" t="str">
        <f>IFERROR(MATCH(20,CASHBACK_RULES!$S$5:$S$304,0),"")</f>
        <v/>
      </c>
      <c r="T27" s="55" t="str">
        <f>IF($S27="","",INDEX(CASHBACK_RULES!$B$5:$B$304,$S27))</f>
        <v/>
      </c>
      <c r="U27" s="55" t="str">
        <f>IF($S27="","",INDEX(CASHBACK_RULES!$C$5:$C$304,$S27)&amp;" "&amp;INDEX(CASHBACK_RULES!$D$5:$D$304,$S27))</f>
        <v/>
      </c>
      <c r="V27" s="55" t="str">
        <f>IF($S27="","",INDEX(CASHBACK_RULES!$E$5:$E$304,$S27)&amp;"")</f>
        <v/>
      </c>
      <c r="W27" s="55" t="str">
        <f>IF($S27="","",INDEX(CASHBACK_RULES!$F$5:$F$304,$S27)&amp;"")</f>
        <v/>
      </c>
      <c r="X27" s="26" t="str">
        <f>IF($S27="","",SUMIFS(TRANSACTIONS_MASTER!$Q$5:$Q$1204,TRANSACTIONS_MASTER!$D$5:$D$1204,$T27,TRANSACTIONS_MASTER!$Z$5:$Z$1204,$V27,TRANSACTIONS_MASTER!$C$5:$C$1204,$C$2))</f>
        <v/>
      </c>
      <c r="Y27" s="25" t="str">
        <f>IF($S27="","",IF(ISNUMBER(INDEX(CASHBACK_RULES!$J$5:$J$304,$S27)),INDEX(CASHBACK_RULES!$J$5:$J$304,$S27),"∞"))</f>
        <v/>
      </c>
      <c r="Z27" s="25" t="str">
        <f>IF($S27="","",IF(ISNUMBER($Y27),MAX(0,$Y27-$X27),"∞"))</f>
        <v/>
      </c>
      <c r="AA27" s="27" t="str">
        <f>IF($S27="","",IF(ISNUMBER($Y27),IF($Y27=0,0,$X27/$Y27),""))</f>
        <v/>
      </c>
    </row>
    <row r="28" ht="20" customHeight="1">
      <c r="A28" s="81" t="str">
        <f>IF($Q28="","",21)</f>
        <v/>
      </c>
      <c r="B28" s="57" t="str">
        <f>IF($Q28="","",INDEX(TRANSACTIONS_MASTER!$B$5:$B$1204,$Q28))</f>
        <v/>
      </c>
      <c r="C28" s="55" t="str">
        <f>IF($Q28="","",INDEX(TRANSACTIONS_MASTER!$F$5:$F$1204,$Q28))</f>
        <v/>
      </c>
      <c r="D28" s="55" t="str">
        <f>IF($Q28="","",INDEX(TRANSACTIONS_MASTER!$E$5:$E$1204,$Q28))</f>
        <v/>
      </c>
      <c r="E28" s="55" t="str">
        <f>IF($Q28="","",INDEX(TRANSACTIONS_MASTER!$G$5:$G$1204,$Q28)&amp;"")</f>
        <v/>
      </c>
      <c r="F28" s="29" t="str">
        <f>IF($Q28="","",INDEX(TRANSACTIONS_MASTER!$I$5:$I$1204,$Q28))</f>
        <v/>
      </c>
      <c r="G28" s="55" t="str">
        <f>IF($Q28="","",INDEX(TRANSACTIONS_MASTER!$K$5:$K$1204,$Q28))</f>
        <v/>
      </c>
      <c r="H28" s="25" t="str">
        <f>IF($Q28="","",INDEX(TRANSACTIONS_MASTER!$L$5:$L$1204,$Q28))</f>
        <v/>
      </c>
      <c r="I28" s="56" t="str">
        <f>IF($Q28="","",INDEX(TRANSACTIONS_MASTER!$N$5:$N$1204,$Q28))</f>
        <v/>
      </c>
      <c r="J28" s="25" t="str">
        <f>IF($Q28="","",INDEX(TRANSACTIONS_MASTER!$O$5:$O$1204,$Q28))</f>
        <v/>
      </c>
      <c r="K28" s="26" t="str">
        <f>IF($Q28="","",INDEX(TRANSACTIONS_MASTER!$Q$5:$Q$1204,$Q28))</f>
        <v/>
      </c>
      <c r="L28" s="25" t="str">
        <f>IF($Q28="","",INDEX(TRANSACTIONS_MASTER!$P$5:$P$1204,$Q28))</f>
        <v/>
      </c>
      <c r="M28" s="25" t="str">
        <f>IF($Q28="","",INDEX(TRANSACTIONS_MASTER!$AA$5:$AA$1204,$Q28))</f>
        <v/>
      </c>
      <c r="N28" s="25" t="str">
        <f>IF($Q28="","",INDEX(TRANSACTIONS_MASTER!$R$5:$R$1204,$Q28))</f>
        <v/>
      </c>
      <c r="O28" s="28" t="str">
        <f>IF($Q28="","",INDEX(TRANSACTIONS_MASTER!$AB$5:$AB$1204,$Q28))</f>
        <v/>
      </c>
      <c r="P28" s="55" t="str">
        <f>IF($Q28="","",INDEX(TRANSACTIONS_MASTER!$Z$5:$Z$1204,$Q28)&amp;"")</f>
        <v/>
      </c>
      <c r="Q28" s="67" t="str">
        <f>IFERROR(MATCH($C$2&amp;"|"&amp;21,TRANSACTIONS_MASTER!$AE$5:$AE$1204,0),"")</f>
        <v/>
      </c>
      <c r="S28" s="67" t="str">
        <f>IFERROR(MATCH(21,CASHBACK_RULES!$S$5:$S$304,0),"")</f>
        <v/>
      </c>
      <c r="T28" s="55" t="str">
        <f>IF($S28="","",INDEX(CASHBACK_RULES!$B$5:$B$304,$S28))</f>
        <v/>
      </c>
      <c r="U28" s="55" t="str">
        <f>IF($S28="","",INDEX(CASHBACK_RULES!$C$5:$C$304,$S28)&amp;" "&amp;INDEX(CASHBACK_RULES!$D$5:$D$304,$S28))</f>
        <v/>
      </c>
      <c r="V28" s="55" t="str">
        <f>IF($S28="","",INDEX(CASHBACK_RULES!$E$5:$E$304,$S28)&amp;"")</f>
        <v/>
      </c>
      <c r="W28" s="55" t="str">
        <f>IF($S28="","",INDEX(CASHBACK_RULES!$F$5:$F$304,$S28)&amp;"")</f>
        <v/>
      </c>
      <c r="X28" s="26" t="str">
        <f>IF($S28="","",SUMIFS(TRANSACTIONS_MASTER!$Q$5:$Q$1204,TRANSACTIONS_MASTER!$D$5:$D$1204,$T28,TRANSACTIONS_MASTER!$Z$5:$Z$1204,$V28,TRANSACTIONS_MASTER!$C$5:$C$1204,$C$2))</f>
        <v/>
      </c>
      <c r="Y28" s="25" t="str">
        <f>IF($S28="","",IF(ISNUMBER(INDEX(CASHBACK_RULES!$J$5:$J$304,$S28)),INDEX(CASHBACK_RULES!$J$5:$J$304,$S28),"∞"))</f>
        <v/>
      </c>
      <c r="Z28" s="25" t="str">
        <f>IF($S28="","",IF(ISNUMBER($Y28),MAX(0,$Y28-$X28),"∞"))</f>
        <v/>
      </c>
      <c r="AA28" s="27" t="str">
        <f>IF($S28="","",IF(ISNUMBER($Y28),IF($Y28=0,0,$X28/$Y28),""))</f>
        <v/>
      </c>
    </row>
    <row r="29" ht="20" customHeight="1">
      <c r="A29" s="81" t="str">
        <f>IF($Q29="","",22)</f>
        <v/>
      </c>
      <c r="B29" s="57" t="str">
        <f>IF($Q29="","",INDEX(TRANSACTIONS_MASTER!$B$5:$B$1204,$Q29))</f>
        <v/>
      </c>
      <c r="C29" s="55" t="str">
        <f>IF($Q29="","",INDEX(TRANSACTIONS_MASTER!$F$5:$F$1204,$Q29))</f>
        <v/>
      </c>
      <c r="D29" s="55" t="str">
        <f>IF($Q29="","",INDEX(TRANSACTIONS_MASTER!$E$5:$E$1204,$Q29))</f>
        <v/>
      </c>
      <c r="E29" s="55" t="str">
        <f>IF($Q29="","",INDEX(TRANSACTIONS_MASTER!$G$5:$G$1204,$Q29)&amp;"")</f>
        <v/>
      </c>
      <c r="F29" s="29" t="str">
        <f>IF($Q29="","",INDEX(TRANSACTIONS_MASTER!$I$5:$I$1204,$Q29))</f>
        <v/>
      </c>
      <c r="G29" s="55" t="str">
        <f>IF($Q29="","",INDEX(TRANSACTIONS_MASTER!$K$5:$K$1204,$Q29))</f>
        <v/>
      </c>
      <c r="H29" s="25" t="str">
        <f>IF($Q29="","",INDEX(TRANSACTIONS_MASTER!$L$5:$L$1204,$Q29))</f>
        <v/>
      </c>
      <c r="I29" s="56" t="str">
        <f>IF($Q29="","",INDEX(TRANSACTIONS_MASTER!$N$5:$N$1204,$Q29))</f>
        <v/>
      </c>
      <c r="J29" s="25" t="str">
        <f>IF($Q29="","",INDEX(TRANSACTIONS_MASTER!$O$5:$O$1204,$Q29))</f>
        <v/>
      </c>
      <c r="K29" s="26" t="str">
        <f>IF($Q29="","",INDEX(TRANSACTIONS_MASTER!$Q$5:$Q$1204,$Q29))</f>
        <v/>
      </c>
      <c r="L29" s="25" t="str">
        <f>IF($Q29="","",INDEX(TRANSACTIONS_MASTER!$P$5:$P$1204,$Q29))</f>
        <v/>
      </c>
      <c r="M29" s="25" t="str">
        <f>IF($Q29="","",INDEX(TRANSACTIONS_MASTER!$AA$5:$AA$1204,$Q29))</f>
        <v/>
      </c>
      <c r="N29" s="25" t="str">
        <f>IF($Q29="","",INDEX(TRANSACTIONS_MASTER!$R$5:$R$1204,$Q29))</f>
        <v/>
      </c>
      <c r="O29" s="28" t="str">
        <f>IF($Q29="","",INDEX(TRANSACTIONS_MASTER!$AB$5:$AB$1204,$Q29))</f>
        <v/>
      </c>
      <c r="P29" s="55" t="str">
        <f>IF($Q29="","",INDEX(TRANSACTIONS_MASTER!$Z$5:$Z$1204,$Q29)&amp;"")</f>
        <v/>
      </c>
      <c r="Q29" s="67" t="str">
        <f>IFERROR(MATCH($C$2&amp;"|"&amp;22,TRANSACTIONS_MASTER!$AE$5:$AE$1204,0),"")</f>
        <v/>
      </c>
      <c r="S29" s="67" t="str">
        <f>IFERROR(MATCH(22,CASHBACK_RULES!$S$5:$S$304,0),"")</f>
        <v/>
      </c>
      <c r="T29" s="55" t="str">
        <f>IF($S29="","",INDEX(CASHBACK_RULES!$B$5:$B$304,$S29))</f>
        <v/>
      </c>
      <c r="U29" s="55" t="str">
        <f>IF($S29="","",INDEX(CASHBACK_RULES!$C$5:$C$304,$S29)&amp;" "&amp;INDEX(CASHBACK_RULES!$D$5:$D$304,$S29))</f>
        <v/>
      </c>
      <c r="V29" s="55" t="str">
        <f>IF($S29="","",INDEX(CASHBACK_RULES!$E$5:$E$304,$S29)&amp;"")</f>
        <v/>
      </c>
      <c r="W29" s="55" t="str">
        <f>IF($S29="","",INDEX(CASHBACK_RULES!$F$5:$F$304,$S29)&amp;"")</f>
        <v/>
      </c>
      <c r="X29" s="26" t="str">
        <f>IF($S29="","",SUMIFS(TRANSACTIONS_MASTER!$Q$5:$Q$1204,TRANSACTIONS_MASTER!$D$5:$D$1204,$T29,TRANSACTIONS_MASTER!$Z$5:$Z$1204,$V29,TRANSACTIONS_MASTER!$C$5:$C$1204,$C$2))</f>
        <v/>
      </c>
      <c r="Y29" s="25" t="str">
        <f>IF($S29="","",IF(ISNUMBER(INDEX(CASHBACK_RULES!$J$5:$J$304,$S29)),INDEX(CASHBACK_RULES!$J$5:$J$304,$S29),"∞"))</f>
        <v/>
      </c>
      <c r="Z29" s="25" t="str">
        <f>IF($S29="","",IF(ISNUMBER($Y29),MAX(0,$Y29-$X29),"∞"))</f>
        <v/>
      </c>
      <c r="AA29" s="27" t="str">
        <f>IF($S29="","",IF(ISNUMBER($Y29),IF($Y29=0,0,$X29/$Y29),""))</f>
        <v/>
      </c>
    </row>
    <row r="30" ht="20" customHeight="1">
      <c r="A30" s="81" t="str">
        <f>IF($Q30="","",23)</f>
        <v/>
      </c>
      <c r="B30" s="57" t="str">
        <f>IF($Q30="","",INDEX(TRANSACTIONS_MASTER!$B$5:$B$1204,$Q30))</f>
        <v/>
      </c>
      <c r="C30" s="55" t="str">
        <f>IF($Q30="","",INDEX(TRANSACTIONS_MASTER!$F$5:$F$1204,$Q30))</f>
        <v/>
      </c>
      <c r="D30" s="55" t="str">
        <f>IF($Q30="","",INDEX(TRANSACTIONS_MASTER!$E$5:$E$1204,$Q30))</f>
        <v/>
      </c>
      <c r="E30" s="55" t="str">
        <f>IF($Q30="","",INDEX(TRANSACTIONS_MASTER!$G$5:$G$1204,$Q30)&amp;"")</f>
        <v/>
      </c>
      <c r="F30" s="29" t="str">
        <f>IF($Q30="","",INDEX(TRANSACTIONS_MASTER!$I$5:$I$1204,$Q30))</f>
        <v/>
      </c>
      <c r="G30" s="55" t="str">
        <f>IF($Q30="","",INDEX(TRANSACTIONS_MASTER!$K$5:$K$1204,$Q30))</f>
        <v/>
      </c>
      <c r="H30" s="25" t="str">
        <f>IF($Q30="","",INDEX(TRANSACTIONS_MASTER!$L$5:$L$1204,$Q30))</f>
        <v/>
      </c>
      <c r="I30" s="56" t="str">
        <f>IF($Q30="","",INDEX(TRANSACTIONS_MASTER!$N$5:$N$1204,$Q30))</f>
        <v/>
      </c>
      <c r="J30" s="25" t="str">
        <f>IF($Q30="","",INDEX(TRANSACTIONS_MASTER!$O$5:$O$1204,$Q30))</f>
        <v/>
      </c>
      <c r="K30" s="26" t="str">
        <f>IF($Q30="","",INDEX(TRANSACTIONS_MASTER!$Q$5:$Q$1204,$Q30))</f>
        <v/>
      </c>
      <c r="L30" s="25" t="str">
        <f>IF($Q30="","",INDEX(TRANSACTIONS_MASTER!$P$5:$P$1204,$Q30))</f>
        <v/>
      </c>
      <c r="M30" s="25" t="str">
        <f>IF($Q30="","",INDEX(TRANSACTIONS_MASTER!$AA$5:$AA$1204,$Q30))</f>
        <v/>
      </c>
      <c r="N30" s="25" t="str">
        <f>IF($Q30="","",INDEX(TRANSACTIONS_MASTER!$R$5:$R$1204,$Q30))</f>
        <v/>
      </c>
      <c r="O30" s="28" t="str">
        <f>IF($Q30="","",INDEX(TRANSACTIONS_MASTER!$AB$5:$AB$1204,$Q30))</f>
        <v/>
      </c>
      <c r="P30" s="55" t="str">
        <f>IF($Q30="","",INDEX(TRANSACTIONS_MASTER!$Z$5:$Z$1204,$Q30)&amp;"")</f>
        <v/>
      </c>
      <c r="Q30" s="67" t="str">
        <f>IFERROR(MATCH($C$2&amp;"|"&amp;23,TRANSACTIONS_MASTER!$AE$5:$AE$1204,0),"")</f>
        <v/>
      </c>
      <c r="S30" s="67" t="str">
        <f>IFERROR(MATCH(23,CASHBACK_RULES!$S$5:$S$304,0),"")</f>
        <v/>
      </c>
      <c r="T30" s="55" t="str">
        <f>IF($S30="","",INDEX(CASHBACK_RULES!$B$5:$B$304,$S30))</f>
        <v/>
      </c>
      <c r="U30" s="55" t="str">
        <f>IF($S30="","",INDEX(CASHBACK_RULES!$C$5:$C$304,$S30)&amp;" "&amp;INDEX(CASHBACK_RULES!$D$5:$D$304,$S30))</f>
        <v/>
      </c>
      <c r="V30" s="55" t="str">
        <f>IF($S30="","",INDEX(CASHBACK_RULES!$E$5:$E$304,$S30)&amp;"")</f>
        <v/>
      </c>
      <c r="W30" s="55" t="str">
        <f>IF($S30="","",INDEX(CASHBACK_RULES!$F$5:$F$304,$S30)&amp;"")</f>
        <v/>
      </c>
      <c r="X30" s="26" t="str">
        <f>IF($S30="","",SUMIFS(TRANSACTIONS_MASTER!$Q$5:$Q$1204,TRANSACTIONS_MASTER!$D$5:$D$1204,$T30,TRANSACTIONS_MASTER!$Z$5:$Z$1204,$V30,TRANSACTIONS_MASTER!$C$5:$C$1204,$C$2))</f>
        <v/>
      </c>
      <c r="Y30" s="25" t="str">
        <f>IF($S30="","",IF(ISNUMBER(INDEX(CASHBACK_RULES!$J$5:$J$304,$S30)),INDEX(CASHBACK_RULES!$J$5:$J$304,$S30),"∞"))</f>
        <v/>
      </c>
      <c r="Z30" s="25" t="str">
        <f>IF($S30="","",IF(ISNUMBER($Y30),MAX(0,$Y30-$X30),"∞"))</f>
        <v/>
      </c>
      <c r="AA30" s="27" t="str">
        <f>IF($S30="","",IF(ISNUMBER($Y30),IF($Y30=0,0,$X30/$Y30),""))</f>
        <v/>
      </c>
    </row>
    <row r="31" ht="20" customHeight="1">
      <c r="A31" s="81" t="str">
        <f>IF($Q31="","",24)</f>
        <v/>
      </c>
      <c r="B31" s="57" t="str">
        <f>IF($Q31="","",INDEX(TRANSACTIONS_MASTER!$B$5:$B$1204,$Q31))</f>
        <v/>
      </c>
      <c r="C31" s="55" t="str">
        <f>IF($Q31="","",INDEX(TRANSACTIONS_MASTER!$F$5:$F$1204,$Q31))</f>
        <v/>
      </c>
      <c r="D31" s="55" t="str">
        <f>IF($Q31="","",INDEX(TRANSACTIONS_MASTER!$E$5:$E$1204,$Q31))</f>
        <v/>
      </c>
      <c r="E31" s="55" t="str">
        <f>IF($Q31="","",INDEX(TRANSACTIONS_MASTER!$G$5:$G$1204,$Q31)&amp;"")</f>
        <v/>
      </c>
      <c r="F31" s="29" t="str">
        <f>IF($Q31="","",INDEX(TRANSACTIONS_MASTER!$I$5:$I$1204,$Q31))</f>
        <v/>
      </c>
      <c r="G31" s="55" t="str">
        <f>IF($Q31="","",INDEX(TRANSACTIONS_MASTER!$K$5:$K$1204,$Q31))</f>
        <v/>
      </c>
      <c r="H31" s="25" t="str">
        <f>IF($Q31="","",INDEX(TRANSACTIONS_MASTER!$L$5:$L$1204,$Q31))</f>
        <v/>
      </c>
      <c r="I31" s="56" t="str">
        <f>IF($Q31="","",INDEX(TRANSACTIONS_MASTER!$N$5:$N$1204,$Q31))</f>
        <v/>
      </c>
      <c r="J31" s="25" t="str">
        <f>IF($Q31="","",INDEX(TRANSACTIONS_MASTER!$O$5:$O$1204,$Q31))</f>
        <v/>
      </c>
      <c r="K31" s="26" t="str">
        <f>IF($Q31="","",INDEX(TRANSACTIONS_MASTER!$Q$5:$Q$1204,$Q31))</f>
        <v/>
      </c>
      <c r="L31" s="25" t="str">
        <f>IF($Q31="","",INDEX(TRANSACTIONS_MASTER!$P$5:$P$1204,$Q31))</f>
        <v/>
      </c>
      <c r="M31" s="25" t="str">
        <f>IF($Q31="","",INDEX(TRANSACTIONS_MASTER!$AA$5:$AA$1204,$Q31))</f>
        <v/>
      </c>
      <c r="N31" s="25" t="str">
        <f>IF($Q31="","",INDEX(TRANSACTIONS_MASTER!$R$5:$R$1204,$Q31))</f>
        <v/>
      </c>
      <c r="O31" s="28" t="str">
        <f>IF($Q31="","",INDEX(TRANSACTIONS_MASTER!$AB$5:$AB$1204,$Q31))</f>
        <v/>
      </c>
      <c r="P31" s="55" t="str">
        <f>IF($Q31="","",INDEX(TRANSACTIONS_MASTER!$Z$5:$Z$1204,$Q31)&amp;"")</f>
        <v/>
      </c>
      <c r="Q31" s="67" t="str">
        <f>IFERROR(MATCH($C$2&amp;"|"&amp;24,TRANSACTIONS_MASTER!$AE$5:$AE$1204,0),"")</f>
        <v/>
      </c>
      <c r="S31" s="67" t="str">
        <f>IFERROR(MATCH(24,CASHBACK_RULES!$S$5:$S$304,0),"")</f>
        <v/>
      </c>
      <c r="T31" s="55" t="str">
        <f>IF($S31="","",INDEX(CASHBACK_RULES!$B$5:$B$304,$S31))</f>
        <v/>
      </c>
      <c r="U31" s="55" t="str">
        <f>IF($S31="","",INDEX(CASHBACK_RULES!$C$5:$C$304,$S31)&amp;" "&amp;INDEX(CASHBACK_RULES!$D$5:$D$304,$S31))</f>
        <v/>
      </c>
      <c r="V31" s="55" t="str">
        <f>IF($S31="","",INDEX(CASHBACK_RULES!$E$5:$E$304,$S31)&amp;"")</f>
        <v/>
      </c>
      <c r="W31" s="55" t="str">
        <f>IF($S31="","",INDEX(CASHBACK_RULES!$F$5:$F$304,$S31)&amp;"")</f>
        <v/>
      </c>
      <c r="X31" s="26" t="str">
        <f>IF($S31="","",SUMIFS(TRANSACTIONS_MASTER!$Q$5:$Q$1204,TRANSACTIONS_MASTER!$D$5:$D$1204,$T31,TRANSACTIONS_MASTER!$Z$5:$Z$1204,$V31,TRANSACTIONS_MASTER!$C$5:$C$1204,$C$2))</f>
        <v/>
      </c>
      <c r="Y31" s="25" t="str">
        <f>IF($S31="","",IF(ISNUMBER(INDEX(CASHBACK_RULES!$J$5:$J$304,$S31)),INDEX(CASHBACK_RULES!$J$5:$J$304,$S31),"∞"))</f>
        <v/>
      </c>
      <c r="Z31" s="25" t="str">
        <f>IF($S31="","",IF(ISNUMBER($Y31),MAX(0,$Y31-$X31),"∞"))</f>
        <v/>
      </c>
      <c r="AA31" s="27" t="str">
        <f>IF($S31="","",IF(ISNUMBER($Y31),IF($Y31=0,0,$X31/$Y31),""))</f>
        <v/>
      </c>
    </row>
    <row r="32" ht="20" customHeight="1">
      <c r="A32" s="81" t="str">
        <f>IF($Q32="","",25)</f>
        <v/>
      </c>
      <c r="B32" s="57" t="str">
        <f>IF($Q32="","",INDEX(TRANSACTIONS_MASTER!$B$5:$B$1204,$Q32))</f>
        <v/>
      </c>
      <c r="C32" s="55" t="str">
        <f>IF($Q32="","",INDEX(TRANSACTIONS_MASTER!$F$5:$F$1204,$Q32))</f>
        <v/>
      </c>
      <c r="D32" s="55" t="str">
        <f>IF($Q32="","",INDEX(TRANSACTIONS_MASTER!$E$5:$E$1204,$Q32))</f>
        <v/>
      </c>
      <c r="E32" s="55" t="str">
        <f>IF($Q32="","",INDEX(TRANSACTIONS_MASTER!$G$5:$G$1204,$Q32)&amp;"")</f>
        <v/>
      </c>
      <c r="F32" s="29" t="str">
        <f>IF($Q32="","",INDEX(TRANSACTIONS_MASTER!$I$5:$I$1204,$Q32))</f>
        <v/>
      </c>
      <c r="G32" s="55" t="str">
        <f>IF($Q32="","",INDEX(TRANSACTIONS_MASTER!$K$5:$K$1204,$Q32))</f>
        <v/>
      </c>
      <c r="H32" s="25" t="str">
        <f>IF($Q32="","",INDEX(TRANSACTIONS_MASTER!$L$5:$L$1204,$Q32))</f>
        <v/>
      </c>
      <c r="I32" s="56" t="str">
        <f>IF($Q32="","",INDEX(TRANSACTIONS_MASTER!$N$5:$N$1204,$Q32))</f>
        <v/>
      </c>
      <c r="J32" s="25" t="str">
        <f>IF($Q32="","",INDEX(TRANSACTIONS_MASTER!$O$5:$O$1204,$Q32))</f>
        <v/>
      </c>
      <c r="K32" s="26" t="str">
        <f>IF($Q32="","",INDEX(TRANSACTIONS_MASTER!$Q$5:$Q$1204,$Q32))</f>
        <v/>
      </c>
      <c r="L32" s="25" t="str">
        <f>IF($Q32="","",INDEX(TRANSACTIONS_MASTER!$P$5:$P$1204,$Q32))</f>
        <v/>
      </c>
      <c r="M32" s="25" t="str">
        <f>IF($Q32="","",INDEX(TRANSACTIONS_MASTER!$AA$5:$AA$1204,$Q32))</f>
        <v/>
      </c>
      <c r="N32" s="25" t="str">
        <f>IF($Q32="","",INDEX(TRANSACTIONS_MASTER!$R$5:$R$1204,$Q32))</f>
        <v/>
      </c>
      <c r="O32" s="28" t="str">
        <f>IF($Q32="","",INDEX(TRANSACTIONS_MASTER!$AB$5:$AB$1204,$Q32))</f>
        <v/>
      </c>
      <c r="P32" s="55" t="str">
        <f>IF($Q32="","",INDEX(TRANSACTIONS_MASTER!$Z$5:$Z$1204,$Q32)&amp;"")</f>
        <v/>
      </c>
      <c r="Q32" s="67" t="str">
        <f>IFERROR(MATCH($C$2&amp;"|"&amp;25,TRANSACTIONS_MASTER!$AE$5:$AE$1204,0),"")</f>
        <v/>
      </c>
      <c r="S32" s="67" t="str">
        <f>IFERROR(MATCH(25,CASHBACK_RULES!$S$5:$S$304,0),"")</f>
        <v/>
      </c>
      <c r="T32" s="55" t="str">
        <f>IF($S32="","",INDEX(CASHBACK_RULES!$B$5:$B$304,$S32))</f>
        <v/>
      </c>
      <c r="U32" s="55" t="str">
        <f>IF($S32="","",INDEX(CASHBACK_RULES!$C$5:$C$304,$S32)&amp;" "&amp;INDEX(CASHBACK_RULES!$D$5:$D$304,$S32))</f>
        <v/>
      </c>
      <c r="V32" s="55" t="str">
        <f>IF($S32="","",INDEX(CASHBACK_RULES!$E$5:$E$304,$S32)&amp;"")</f>
        <v/>
      </c>
      <c r="W32" s="55" t="str">
        <f>IF($S32="","",INDEX(CASHBACK_RULES!$F$5:$F$304,$S32)&amp;"")</f>
        <v/>
      </c>
      <c r="X32" s="26" t="str">
        <f>IF($S32="","",SUMIFS(TRANSACTIONS_MASTER!$Q$5:$Q$1204,TRANSACTIONS_MASTER!$D$5:$D$1204,$T32,TRANSACTIONS_MASTER!$Z$5:$Z$1204,$V32,TRANSACTIONS_MASTER!$C$5:$C$1204,$C$2))</f>
        <v/>
      </c>
      <c r="Y32" s="25" t="str">
        <f>IF($S32="","",IF(ISNUMBER(INDEX(CASHBACK_RULES!$J$5:$J$304,$S32)),INDEX(CASHBACK_RULES!$J$5:$J$304,$S32),"∞"))</f>
        <v/>
      </c>
      <c r="Z32" s="25" t="str">
        <f>IF($S32="","",IF(ISNUMBER($Y32),MAX(0,$Y32-$X32),"∞"))</f>
        <v/>
      </c>
      <c r="AA32" s="27" t="str">
        <f>IF($S32="","",IF(ISNUMBER($Y32),IF($Y32=0,0,$X32/$Y32),""))</f>
        <v/>
      </c>
    </row>
    <row r="33" ht="20" customHeight="1">
      <c r="A33" s="81" t="str">
        <f>IF($Q33="","",26)</f>
        <v/>
      </c>
      <c r="B33" s="57" t="str">
        <f>IF($Q33="","",INDEX(TRANSACTIONS_MASTER!$B$5:$B$1204,$Q33))</f>
        <v/>
      </c>
      <c r="C33" s="55" t="str">
        <f>IF($Q33="","",INDEX(TRANSACTIONS_MASTER!$F$5:$F$1204,$Q33))</f>
        <v/>
      </c>
      <c r="D33" s="55" t="str">
        <f>IF($Q33="","",INDEX(TRANSACTIONS_MASTER!$E$5:$E$1204,$Q33))</f>
        <v/>
      </c>
      <c r="E33" s="55" t="str">
        <f>IF($Q33="","",INDEX(TRANSACTIONS_MASTER!$G$5:$G$1204,$Q33)&amp;"")</f>
        <v/>
      </c>
      <c r="F33" s="29" t="str">
        <f>IF($Q33="","",INDEX(TRANSACTIONS_MASTER!$I$5:$I$1204,$Q33))</f>
        <v/>
      </c>
      <c r="G33" s="55" t="str">
        <f>IF($Q33="","",INDEX(TRANSACTIONS_MASTER!$K$5:$K$1204,$Q33))</f>
        <v/>
      </c>
      <c r="H33" s="25" t="str">
        <f>IF($Q33="","",INDEX(TRANSACTIONS_MASTER!$L$5:$L$1204,$Q33))</f>
        <v/>
      </c>
      <c r="I33" s="56" t="str">
        <f>IF($Q33="","",INDEX(TRANSACTIONS_MASTER!$N$5:$N$1204,$Q33))</f>
        <v/>
      </c>
      <c r="J33" s="25" t="str">
        <f>IF($Q33="","",INDEX(TRANSACTIONS_MASTER!$O$5:$O$1204,$Q33))</f>
        <v/>
      </c>
      <c r="K33" s="26" t="str">
        <f>IF($Q33="","",INDEX(TRANSACTIONS_MASTER!$Q$5:$Q$1204,$Q33))</f>
        <v/>
      </c>
      <c r="L33" s="25" t="str">
        <f>IF($Q33="","",INDEX(TRANSACTIONS_MASTER!$P$5:$P$1204,$Q33))</f>
        <v/>
      </c>
      <c r="M33" s="25" t="str">
        <f>IF($Q33="","",INDEX(TRANSACTIONS_MASTER!$AA$5:$AA$1204,$Q33))</f>
        <v/>
      </c>
      <c r="N33" s="25" t="str">
        <f>IF($Q33="","",INDEX(TRANSACTIONS_MASTER!$R$5:$R$1204,$Q33))</f>
        <v/>
      </c>
      <c r="O33" s="28" t="str">
        <f>IF($Q33="","",INDEX(TRANSACTIONS_MASTER!$AB$5:$AB$1204,$Q33))</f>
        <v/>
      </c>
      <c r="P33" s="55" t="str">
        <f>IF($Q33="","",INDEX(TRANSACTIONS_MASTER!$Z$5:$Z$1204,$Q33)&amp;"")</f>
        <v/>
      </c>
      <c r="Q33" s="67" t="str">
        <f>IFERROR(MATCH($C$2&amp;"|"&amp;26,TRANSACTIONS_MASTER!$AE$5:$AE$1204,0),"")</f>
        <v/>
      </c>
      <c r="S33" s="67" t="str">
        <f>IFERROR(MATCH(26,CASHBACK_RULES!$S$5:$S$304,0),"")</f>
        <v/>
      </c>
      <c r="T33" s="55" t="str">
        <f>IF($S33="","",INDEX(CASHBACK_RULES!$B$5:$B$304,$S33))</f>
        <v/>
      </c>
      <c r="U33" s="55" t="str">
        <f>IF($S33="","",INDEX(CASHBACK_RULES!$C$5:$C$304,$S33)&amp;" "&amp;INDEX(CASHBACK_RULES!$D$5:$D$304,$S33))</f>
        <v/>
      </c>
      <c r="V33" s="55" t="str">
        <f>IF($S33="","",INDEX(CASHBACK_RULES!$E$5:$E$304,$S33)&amp;"")</f>
        <v/>
      </c>
      <c r="W33" s="55" t="str">
        <f>IF($S33="","",INDEX(CASHBACK_RULES!$F$5:$F$304,$S33)&amp;"")</f>
        <v/>
      </c>
      <c r="X33" s="26" t="str">
        <f>IF($S33="","",SUMIFS(TRANSACTIONS_MASTER!$Q$5:$Q$1204,TRANSACTIONS_MASTER!$D$5:$D$1204,$T33,TRANSACTIONS_MASTER!$Z$5:$Z$1204,$V33,TRANSACTIONS_MASTER!$C$5:$C$1204,$C$2))</f>
        <v/>
      </c>
      <c r="Y33" s="25" t="str">
        <f>IF($S33="","",IF(ISNUMBER(INDEX(CASHBACK_RULES!$J$5:$J$304,$S33)),INDEX(CASHBACK_RULES!$J$5:$J$304,$S33),"∞"))</f>
        <v/>
      </c>
      <c r="Z33" s="25" t="str">
        <f>IF($S33="","",IF(ISNUMBER($Y33),MAX(0,$Y33-$X33),"∞"))</f>
        <v/>
      </c>
      <c r="AA33" s="27" t="str">
        <f>IF($S33="","",IF(ISNUMBER($Y33),IF($Y33=0,0,$X33/$Y33),""))</f>
        <v/>
      </c>
    </row>
    <row r="34" ht="20" customHeight="1">
      <c r="A34" s="81" t="str">
        <f>IF($Q34="","",27)</f>
        <v/>
      </c>
      <c r="B34" s="57" t="str">
        <f>IF($Q34="","",INDEX(TRANSACTIONS_MASTER!$B$5:$B$1204,$Q34))</f>
        <v/>
      </c>
      <c r="C34" s="55" t="str">
        <f>IF($Q34="","",INDEX(TRANSACTIONS_MASTER!$F$5:$F$1204,$Q34))</f>
        <v/>
      </c>
      <c r="D34" s="55" t="str">
        <f>IF($Q34="","",INDEX(TRANSACTIONS_MASTER!$E$5:$E$1204,$Q34))</f>
        <v/>
      </c>
      <c r="E34" s="55" t="str">
        <f>IF($Q34="","",INDEX(TRANSACTIONS_MASTER!$G$5:$G$1204,$Q34)&amp;"")</f>
        <v/>
      </c>
      <c r="F34" s="29" t="str">
        <f>IF($Q34="","",INDEX(TRANSACTIONS_MASTER!$I$5:$I$1204,$Q34))</f>
        <v/>
      </c>
      <c r="G34" s="55" t="str">
        <f>IF($Q34="","",INDEX(TRANSACTIONS_MASTER!$K$5:$K$1204,$Q34))</f>
        <v/>
      </c>
      <c r="H34" s="25" t="str">
        <f>IF($Q34="","",INDEX(TRANSACTIONS_MASTER!$L$5:$L$1204,$Q34))</f>
        <v/>
      </c>
      <c r="I34" s="56" t="str">
        <f>IF($Q34="","",INDEX(TRANSACTIONS_MASTER!$N$5:$N$1204,$Q34))</f>
        <v/>
      </c>
      <c r="J34" s="25" t="str">
        <f>IF($Q34="","",INDEX(TRANSACTIONS_MASTER!$O$5:$O$1204,$Q34))</f>
        <v/>
      </c>
      <c r="K34" s="26" t="str">
        <f>IF($Q34="","",INDEX(TRANSACTIONS_MASTER!$Q$5:$Q$1204,$Q34))</f>
        <v/>
      </c>
      <c r="L34" s="25" t="str">
        <f>IF($Q34="","",INDEX(TRANSACTIONS_MASTER!$P$5:$P$1204,$Q34))</f>
        <v/>
      </c>
      <c r="M34" s="25" t="str">
        <f>IF($Q34="","",INDEX(TRANSACTIONS_MASTER!$AA$5:$AA$1204,$Q34))</f>
        <v/>
      </c>
      <c r="N34" s="25" t="str">
        <f>IF($Q34="","",INDEX(TRANSACTIONS_MASTER!$R$5:$R$1204,$Q34))</f>
        <v/>
      </c>
      <c r="O34" s="28" t="str">
        <f>IF($Q34="","",INDEX(TRANSACTIONS_MASTER!$AB$5:$AB$1204,$Q34))</f>
        <v/>
      </c>
      <c r="P34" s="55" t="str">
        <f>IF($Q34="","",INDEX(TRANSACTIONS_MASTER!$Z$5:$Z$1204,$Q34)&amp;"")</f>
        <v/>
      </c>
      <c r="Q34" s="67" t="str">
        <f>IFERROR(MATCH($C$2&amp;"|"&amp;27,TRANSACTIONS_MASTER!$AE$5:$AE$1204,0),"")</f>
        <v/>
      </c>
      <c r="S34" s="67" t="str">
        <f>IFERROR(MATCH(27,CASHBACK_RULES!$S$5:$S$304,0),"")</f>
        <v/>
      </c>
      <c r="T34" s="55" t="str">
        <f>IF($S34="","",INDEX(CASHBACK_RULES!$B$5:$B$304,$S34))</f>
        <v/>
      </c>
      <c r="U34" s="55" t="str">
        <f>IF($S34="","",INDEX(CASHBACK_RULES!$C$5:$C$304,$S34)&amp;" "&amp;INDEX(CASHBACK_RULES!$D$5:$D$304,$S34))</f>
        <v/>
      </c>
      <c r="V34" s="55" t="str">
        <f>IF($S34="","",INDEX(CASHBACK_RULES!$E$5:$E$304,$S34)&amp;"")</f>
        <v/>
      </c>
      <c r="W34" s="55" t="str">
        <f>IF($S34="","",INDEX(CASHBACK_RULES!$F$5:$F$304,$S34)&amp;"")</f>
        <v/>
      </c>
      <c r="X34" s="26" t="str">
        <f>IF($S34="","",SUMIFS(TRANSACTIONS_MASTER!$Q$5:$Q$1204,TRANSACTIONS_MASTER!$D$5:$D$1204,$T34,TRANSACTIONS_MASTER!$Z$5:$Z$1204,$V34,TRANSACTIONS_MASTER!$C$5:$C$1204,$C$2))</f>
        <v/>
      </c>
      <c r="Y34" s="25" t="str">
        <f>IF($S34="","",IF(ISNUMBER(INDEX(CASHBACK_RULES!$J$5:$J$304,$S34)),INDEX(CASHBACK_RULES!$J$5:$J$304,$S34),"∞"))</f>
        <v/>
      </c>
      <c r="Z34" s="25" t="str">
        <f>IF($S34="","",IF(ISNUMBER($Y34),MAX(0,$Y34-$X34),"∞"))</f>
        <v/>
      </c>
      <c r="AA34" s="27" t="str">
        <f>IF($S34="","",IF(ISNUMBER($Y34),IF($Y34=0,0,$X34/$Y34),""))</f>
        <v/>
      </c>
    </row>
    <row r="35" ht="20" customHeight="1">
      <c r="A35" s="81" t="str">
        <f>IF($Q35="","",28)</f>
        <v/>
      </c>
      <c r="B35" s="57" t="str">
        <f>IF($Q35="","",INDEX(TRANSACTIONS_MASTER!$B$5:$B$1204,$Q35))</f>
        <v/>
      </c>
      <c r="C35" s="55" t="str">
        <f>IF($Q35="","",INDEX(TRANSACTIONS_MASTER!$F$5:$F$1204,$Q35))</f>
        <v/>
      </c>
      <c r="D35" s="55" t="str">
        <f>IF($Q35="","",INDEX(TRANSACTIONS_MASTER!$E$5:$E$1204,$Q35))</f>
        <v/>
      </c>
      <c r="E35" s="55" t="str">
        <f>IF($Q35="","",INDEX(TRANSACTIONS_MASTER!$G$5:$G$1204,$Q35)&amp;"")</f>
        <v/>
      </c>
      <c r="F35" s="29" t="str">
        <f>IF($Q35="","",INDEX(TRANSACTIONS_MASTER!$I$5:$I$1204,$Q35))</f>
        <v/>
      </c>
      <c r="G35" s="55" t="str">
        <f>IF($Q35="","",INDEX(TRANSACTIONS_MASTER!$K$5:$K$1204,$Q35))</f>
        <v/>
      </c>
      <c r="H35" s="25" t="str">
        <f>IF($Q35="","",INDEX(TRANSACTIONS_MASTER!$L$5:$L$1204,$Q35))</f>
        <v/>
      </c>
      <c r="I35" s="56" t="str">
        <f>IF($Q35="","",INDEX(TRANSACTIONS_MASTER!$N$5:$N$1204,$Q35))</f>
        <v/>
      </c>
      <c r="J35" s="25" t="str">
        <f>IF($Q35="","",INDEX(TRANSACTIONS_MASTER!$O$5:$O$1204,$Q35))</f>
        <v/>
      </c>
      <c r="K35" s="26" t="str">
        <f>IF($Q35="","",INDEX(TRANSACTIONS_MASTER!$Q$5:$Q$1204,$Q35))</f>
        <v/>
      </c>
      <c r="L35" s="25" t="str">
        <f>IF($Q35="","",INDEX(TRANSACTIONS_MASTER!$P$5:$P$1204,$Q35))</f>
        <v/>
      </c>
      <c r="M35" s="25" t="str">
        <f>IF($Q35="","",INDEX(TRANSACTIONS_MASTER!$AA$5:$AA$1204,$Q35))</f>
        <v/>
      </c>
      <c r="N35" s="25" t="str">
        <f>IF($Q35="","",INDEX(TRANSACTIONS_MASTER!$R$5:$R$1204,$Q35))</f>
        <v/>
      </c>
      <c r="O35" s="28" t="str">
        <f>IF($Q35="","",INDEX(TRANSACTIONS_MASTER!$AB$5:$AB$1204,$Q35))</f>
        <v/>
      </c>
      <c r="P35" s="55" t="str">
        <f>IF($Q35="","",INDEX(TRANSACTIONS_MASTER!$Z$5:$Z$1204,$Q35)&amp;"")</f>
        <v/>
      </c>
      <c r="Q35" s="67" t="str">
        <f>IFERROR(MATCH($C$2&amp;"|"&amp;28,TRANSACTIONS_MASTER!$AE$5:$AE$1204,0),"")</f>
        <v/>
      </c>
      <c r="S35" s="67" t="str">
        <f>IFERROR(MATCH(28,CASHBACK_RULES!$S$5:$S$304,0),"")</f>
        <v/>
      </c>
      <c r="T35" s="55" t="str">
        <f>IF($S35="","",INDEX(CASHBACK_RULES!$B$5:$B$304,$S35))</f>
        <v/>
      </c>
      <c r="U35" s="55" t="str">
        <f>IF($S35="","",INDEX(CASHBACK_RULES!$C$5:$C$304,$S35)&amp;" "&amp;INDEX(CASHBACK_RULES!$D$5:$D$304,$S35))</f>
        <v/>
      </c>
      <c r="V35" s="55" t="str">
        <f>IF($S35="","",INDEX(CASHBACK_RULES!$E$5:$E$304,$S35)&amp;"")</f>
        <v/>
      </c>
      <c r="W35" s="55" t="str">
        <f>IF($S35="","",INDEX(CASHBACK_RULES!$F$5:$F$304,$S35)&amp;"")</f>
        <v/>
      </c>
      <c r="X35" s="26" t="str">
        <f>IF($S35="","",SUMIFS(TRANSACTIONS_MASTER!$Q$5:$Q$1204,TRANSACTIONS_MASTER!$D$5:$D$1204,$T35,TRANSACTIONS_MASTER!$Z$5:$Z$1204,$V35,TRANSACTIONS_MASTER!$C$5:$C$1204,$C$2))</f>
        <v/>
      </c>
      <c r="Y35" s="25" t="str">
        <f>IF($S35="","",IF(ISNUMBER(INDEX(CASHBACK_RULES!$J$5:$J$304,$S35)),INDEX(CASHBACK_RULES!$J$5:$J$304,$S35),"∞"))</f>
        <v/>
      </c>
      <c r="Z35" s="25" t="str">
        <f>IF($S35="","",IF(ISNUMBER($Y35),MAX(0,$Y35-$X35),"∞"))</f>
        <v/>
      </c>
      <c r="AA35" s="27" t="str">
        <f>IF($S35="","",IF(ISNUMBER($Y35),IF($Y35=0,0,$X35/$Y35),""))</f>
        <v/>
      </c>
    </row>
    <row r="36" ht="20" customHeight="1">
      <c r="A36" s="81" t="str">
        <f>IF($Q36="","",29)</f>
        <v/>
      </c>
      <c r="B36" s="57" t="str">
        <f>IF($Q36="","",INDEX(TRANSACTIONS_MASTER!$B$5:$B$1204,$Q36))</f>
        <v/>
      </c>
      <c r="C36" s="55" t="str">
        <f>IF($Q36="","",INDEX(TRANSACTIONS_MASTER!$F$5:$F$1204,$Q36))</f>
        <v/>
      </c>
      <c r="D36" s="55" t="str">
        <f>IF($Q36="","",INDEX(TRANSACTIONS_MASTER!$E$5:$E$1204,$Q36))</f>
        <v/>
      </c>
      <c r="E36" s="55" t="str">
        <f>IF($Q36="","",INDEX(TRANSACTIONS_MASTER!$G$5:$G$1204,$Q36)&amp;"")</f>
        <v/>
      </c>
      <c r="F36" s="29" t="str">
        <f>IF($Q36="","",INDEX(TRANSACTIONS_MASTER!$I$5:$I$1204,$Q36))</f>
        <v/>
      </c>
      <c r="G36" s="55" t="str">
        <f>IF($Q36="","",INDEX(TRANSACTIONS_MASTER!$K$5:$K$1204,$Q36))</f>
        <v/>
      </c>
      <c r="H36" s="25" t="str">
        <f>IF($Q36="","",INDEX(TRANSACTIONS_MASTER!$L$5:$L$1204,$Q36))</f>
        <v/>
      </c>
      <c r="I36" s="56" t="str">
        <f>IF($Q36="","",INDEX(TRANSACTIONS_MASTER!$N$5:$N$1204,$Q36))</f>
        <v/>
      </c>
      <c r="J36" s="25" t="str">
        <f>IF($Q36="","",INDEX(TRANSACTIONS_MASTER!$O$5:$O$1204,$Q36))</f>
        <v/>
      </c>
      <c r="K36" s="26" t="str">
        <f>IF($Q36="","",INDEX(TRANSACTIONS_MASTER!$Q$5:$Q$1204,$Q36))</f>
        <v/>
      </c>
      <c r="L36" s="25" t="str">
        <f>IF($Q36="","",INDEX(TRANSACTIONS_MASTER!$P$5:$P$1204,$Q36))</f>
        <v/>
      </c>
      <c r="M36" s="25" t="str">
        <f>IF($Q36="","",INDEX(TRANSACTIONS_MASTER!$AA$5:$AA$1204,$Q36))</f>
        <v/>
      </c>
      <c r="N36" s="25" t="str">
        <f>IF($Q36="","",INDEX(TRANSACTIONS_MASTER!$R$5:$R$1204,$Q36))</f>
        <v/>
      </c>
      <c r="O36" s="28" t="str">
        <f>IF($Q36="","",INDEX(TRANSACTIONS_MASTER!$AB$5:$AB$1204,$Q36))</f>
        <v/>
      </c>
      <c r="P36" s="55" t="str">
        <f>IF($Q36="","",INDEX(TRANSACTIONS_MASTER!$Z$5:$Z$1204,$Q36)&amp;"")</f>
        <v/>
      </c>
      <c r="Q36" s="67" t="str">
        <f>IFERROR(MATCH($C$2&amp;"|"&amp;29,TRANSACTIONS_MASTER!$AE$5:$AE$1204,0),"")</f>
        <v/>
      </c>
      <c r="S36" s="67" t="str">
        <f>IFERROR(MATCH(29,CASHBACK_RULES!$S$5:$S$304,0),"")</f>
        <v/>
      </c>
      <c r="T36" s="55" t="str">
        <f>IF($S36="","",INDEX(CASHBACK_RULES!$B$5:$B$304,$S36))</f>
        <v/>
      </c>
      <c r="U36" s="55" t="str">
        <f>IF($S36="","",INDEX(CASHBACK_RULES!$C$5:$C$304,$S36)&amp;" "&amp;INDEX(CASHBACK_RULES!$D$5:$D$304,$S36))</f>
        <v/>
      </c>
      <c r="V36" s="55" t="str">
        <f>IF($S36="","",INDEX(CASHBACK_RULES!$E$5:$E$304,$S36)&amp;"")</f>
        <v/>
      </c>
      <c r="W36" s="55" t="str">
        <f>IF($S36="","",INDEX(CASHBACK_RULES!$F$5:$F$304,$S36)&amp;"")</f>
        <v/>
      </c>
      <c r="X36" s="26" t="str">
        <f>IF($S36="","",SUMIFS(TRANSACTIONS_MASTER!$Q$5:$Q$1204,TRANSACTIONS_MASTER!$D$5:$D$1204,$T36,TRANSACTIONS_MASTER!$Z$5:$Z$1204,$V36,TRANSACTIONS_MASTER!$C$5:$C$1204,$C$2))</f>
        <v/>
      </c>
      <c r="Y36" s="25" t="str">
        <f>IF($S36="","",IF(ISNUMBER(INDEX(CASHBACK_RULES!$J$5:$J$304,$S36)),INDEX(CASHBACK_RULES!$J$5:$J$304,$S36),"∞"))</f>
        <v/>
      </c>
      <c r="Z36" s="25" t="str">
        <f>IF($S36="","",IF(ISNUMBER($Y36),MAX(0,$Y36-$X36),"∞"))</f>
        <v/>
      </c>
      <c r="AA36" s="27" t="str">
        <f>IF($S36="","",IF(ISNUMBER($Y36),IF($Y36=0,0,$X36/$Y36),""))</f>
        <v/>
      </c>
    </row>
    <row r="37" ht="20" customHeight="1">
      <c r="A37" s="81" t="str">
        <f>IF($Q37="","",30)</f>
        <v/>
      </c>
      <c r="B37" s="57" t="str">
        <f>IF($Q37="","",INDEX(TRANSACTIONS_MASTER!$B$5:$B$1204,$Q37))</f>
        <v/>
      </c>
      <c r="C37" s="55" t="str">
        <f>IF($Q37="","",INDEX(TRANSACTIONS_MASTER!$F$5:$F$1204,$Q37))</f>
        <v/>
      </c>
      <c r="D37" s="55" t="str">
        <f>IF($Q37="","",INDEX(TRANSACTIONS_MASTER!$E$5:$E$1204,$Q37))</f>
        <v/>
      </c>
      <c r="E37" s="55" t="str">
        <f>IF($Q37="","",INDEX(TRANSACTIONS_MASTER!$G$5:$G$1204,$Q37)&amp;"")</f>
        <v/>
      </c>
      <c r="F37" s="29" t="str">
        <f>IF($Q37="","",INDEX(TRANSACTIONS_MASTER!$I$5:$I$1204,$Q37))</f>
        <v/>
      </c>
      <c r="G37" s="55" t="str">
        <f>IF($Q37="","",INDEX(TRANSACTIONS_MASTER!$K$5:$K$1204,$Q37))</f>
        <v/>
      </c>
      <c r="H37" s="25" t="str">
        <f>IF($Q37="","",INDEX(TRANSACTIONS_MASTER!$L$5:$L$1204,$Q37))</f>
        <v/>
      </c>
      <c r="I37" s="56" t="str">
        <f>IF($Q37="","",INDEX(TRANSACTIONS_MASTER!$N$5:$N$1204,$Q37))</f>
        <v/>
      </c>
      <c r="J37" s="25" t="str">
        <f>IF($Q37="","",INDEX(TRANSACTIONS_MASTER!$O$5:$O$1204,$Q37))</f>
        <v/>
      </c>
      <c r="K37" s="26" t="str">
        <f>IF($Q37="","",INDEX(TRANSACTIONS_MASTER!$Q$5:$Q$1204,$Q37))</f>
        <v/>
      </c>
      <c r="L37" s="25" t="str">
        <f>IF($Q37="","",INDEX(TRANSACTIONS_MASTER!$P$5:$P$1204,$Q37))</f>
        <v/>
      </c>
      <c r="M37" s="25" t="str">
        <f>IF($Q37="","",INDEX(TRANSACTIONS_MASTER!$AA$5:$AA$1204,$Q37))</f>
        <v/>
      </c>
      <c r="N37" s="25" t="str">
        <f>IF($Q37="","",INDEX(TRANSACTIONS_MASTER!$R$5:$R$1204,$Q37))</f>
        <v/>
      </c>
      <c r="O37" s="28" t="str">
        <f>IF($Q37="","",INDEX(TRANSACTIONS_MASTER!$AB$5:$AB$1204,$Q37))</f>
        <v/>
      </c>
      <c r="P37" s="55" t="str">
        <f>IF($Q37="","",INDEX(TRANSACTIONS_MASTER!$Z$5:$Z$1204,$Q37)&amp;"")</f>
        <v/>
      </c>
      <c r="Q37" s="67" t="str">
        <f>IFERROR(MATCH($C$2&amp;"|"&amp;30,TRANSACTIONS_MASTER!$AE$5:$AE$1204,0),"")</f>
        <v/>
      </c>
      <c r="S37" s="67" t="str">
        <f>IFERROR(MATCH(30,CASHBACK_RULES!$S$5:$S$304,0),"")</f>
        <v/>
      </c>
      <c r="T37" s="55" t="str">
        <f>IF($S37="","",INDEX(CASHBACK_RULES!$B$5:$B$304,$S37))</f>
        <v/>
      </c>
      <c r="U37" s="55" t="str">
        <f>IF($S37="","",INDEX(CASHBACK_RULES!$C$5:$C$304,$S37)&amp;" "&amp;INDEX(CASHBACK_RULES!$D$5:$D$304,$S37))</f>
        <v/>
      </c>
      <c r="V37" s="55" t="str">
        <f>IF($S37="","",INDEX(CASHBACK_RULES!$E$5:$E$304,$S37)&amp;"")</f>
        <v/>
      </c>
      <c r="W37" s="55" t="str">
        <f>IF($S37="","",INDEX(CASHBACK_RULES!$F$5:$F$304,$S37)&amp;"")</f>
        <v/>
      </c>
      <c r="X37" s="26" t="str">
        <f>IF($S37="","",SUMIFS(TRANSACTIONS_MASTER!$Q$5:$Q$1204,TRANSACTIONS_MASTER!$D$5:$D$1204,$T37,TRANSACTIONS_MASTER!$Z$5:$Z$1204,$V37,TRANSACTIONS_MASTER!$C$5:$C$1204,$C$2))</f>
        <v/>
      </c>
      <c r="Y37" s="25" t="str">
        <f>IF($S37="","",IF(ISNUMBER(INDEX(CASHBACK_RULES!$J$5:$J$304,$S37)),INDEX(CASHBACK_RULES!$J$5:$J$304,$S37),"∞"))</f>
        <v/>
      </c>
      <c r="Z37" s="25" t="str">
        <f>IF($S37="","",IF(ISNUMBER($Y37),MAX(0,$Y37-$X37),"∞"))</f>
        <v/>
      </c>
      <c r="AA37" s="27" t="str">
        <f>IF($S37="","",IF(ISNUMBER($Y37),IF($Y37=0,0,$X37/$Y37),""))</f>
        <v/>
      </c>
    </row>
    <row r="38" ht="20" customHeight="1">
      <c r="A38" s="81" t="str">
        <f>IF($Q38="","",31)</f>
        <v/>
      </c>
      <c r="B38" s="57" t="str">
        <f>IF($Q38="","",INDEX(TRANSACTIONS_MASTER!$B$5:$B$1204,$Q38))</f>
        <v/>
      </c>
      <c r="C38" s="55" t="str">
        <f>IF($Q38="","",INDEX(TRANSACTIONS_MASTER!$F$5:$F$1204,$Q38))</f>
        <v/>
      </c>
      <c r="D38" s="55" t="str">
        <f>IF($Q38="","",INDEX(TRANSACTIONS_MASTER!$E$5:$E$1204,$Q38))</f>
        <v/>
      </c>
      <c r="E38" s="55" t="str">
        <f>IF($Q38="","",INDEX(TRANSACTIONS_MASTER!$G$5:$G$1204,$Q38)&amp;"")</f>
        <v/>
      </c>
      <c r="F38" s="29" t="str">
        <f>IF($Q38="","",INDEX(TRANSACTIONS_MASTER!$I$5:$I$1204,$Q38))</f>
        <v/>
      </c>
      <c r="G38" s="55" t="str">
        <f>IF($Q38="","",INDEX(TRANSACTIONS_MASTER!$K$5:$K$1204,$Q38))</f>
        <v/>
      </c>
      <c r="H38" s="25" t="str">
        <f>IF($Q38="","",INDEX(TRANSACTIONS_MASTER!$L$5:$L$1204,$Q38))</f>
        <v/>
      </c>
      <c r="I38" s="56" t="str">
        <f>IF($Q38="","",INDEX(TRANSACTIONS_MASTER!$N$5:$N$1204,$Q38))</f>
        <v/>
      </c>
      <c r="J38" s="25" t="str">
        <f>IF($Q38="","",INDEX(TRANSACTIONS_MASTER!$O$5:$O$1204,$Q38))</f>
        <v/>
      </c>
      <c r="K38" s="26" t="str">
        <f>IF($Q38="","",INDEX(TRANSACTIONS_MASTER!$Q$5:$Q$1204,$Q38))</f>
        <v/>
      </c>
      <c r="L38" s="25" t="str">
        <f>IF($Q38="","",INDEX(TRANSACTIONS_MASTER!$P$5:$P$1204,$Q38))</f>
        <v/>
      </c>
      <c r="M38" s="25" t="str">
        <f>IF($Q38="","",INDEX(TRANSACTIONS_MASTER!$AA$5:$AA$1204,$Q38))</f>
        <v/>
      </c>
      <c r="N38" s="25" t="str">
        <f>IF($Q38="","",INDEX(TRANSACTIONS_MASTER!$R$5:$R$1204,$Q38))</f>
        <v/>
      </c>
      <c r="O38" s="28" t="str">
        <f>IF($Q38="","",INDEX(TRANSACTIONS_MASTER!$AB$5:$AB$1204,$Q38))</f>
        <v/>
      </c>
      <c r="P38" s="55" t="str">
        <f>IF($Q38="","",INDEX(TRANSACTIONS_MASTER!$Z$5:$Z$1204,$Q38)&amp;"")</f>
        <v/>
      </c>
      <c r="Q38" s="67" t="str">
        <f>IFERROR(MATCH($C$2&amp;"|"&amp;31,TRANSACTIONS_MASTER!$AE$5:$AE$1204,0),"")</f>
        <v/>
      </c>
      <c r="S38" s="67" t="str">
        <f>IFERROR(MATCH(31,CASHBACK_RULES!$S$5:$S$304,0),"")</f>
        <v/>
      </c>
      <c r="T38" s="55" t="str">
        <f>IF($S38="","",INDEX(CASHBACK_RULES!$B$5:$B$304,$S38))</f>
        <v/>
      </c>
      <c r="U38" s="55" t="str">
        <f>IF($S38="","",INDEX(CASHBACK_RULES!$C$5:$C$304,$S38)&amp;" "&amp;INDEX(CASHBACK_RULES!$D$5:$D$304,$S38))</f>
        <v/>
      </c>
      <c r="V38" s="55" t="str">
        <f>IF($S38="","",INDEX(CASHBACK_RULES!$E$5:$E$304,$S38)&amp;"")</f>
        <v/>
      </c>
      <c r="W38" s="55" t="str">
        <f>IF($S38="","",INDEX(CASHBACK_RULES!$F$5:$F$304,$S38)&amp;"")</f>
        <v/>
      </c>
      <c r="X38" s="26" t="str">
        <f>IF($S38="","",SUMIFS(TRANSACTIONS_MASTER!$Q$5:$Q$1204,TRANSACTIONS_MASTER!$D$5:$D$1204,$T38,TRANSACTIONS_MASTER!$Z$5:$Z$1204,$V38,TRANSACTIONS_MASTER!$C$5:$C$1204,$C$2))</f>
        <v/>
      </c>
      <c r="Y38" s="25" t="str">
        <f>IF($S38="","",IF(ISNUMBER(INDEX(CASHBACK_RULES!$J$5:$J$304,$S38)),INDEX(CASHBACK_RULES!$J$5:$J$304,$S38),"∞"))</f>
        <v/>
      </c>
      <c r="Z38" s="25" t="str">
        <f>IF($S38="","",IF(ISNUMBER($Y38),MAX(0,$Y38-$X38),"∞"))</f>
        <v/>
      </c>
      <c r="AA38" s="27" t="str">
        <f>IF($S38="","",IF(ISNUMBER($Y38),IF($Y38=0,0,$X38/$Y38),""))</f>
        <v/>
      </c>
    </row>
    <row r="39" ht="20" customHeight="1">
      <c r="A39" s="81" t="str">
        <f>IF($Q39="","",32)</f>
        <v/>
      </c>
      <c r="B39" s="57" t="str">
        <f>IF($Q39="","",INDEX(TRANSACTIONS_MASTER!$B$5:$B$1204,$Q39))</f>
        <v/>
      </c>
      <c r="C39" s="55" t="str">
        <f>IF($Q39="","",INDEX(TRANSACTIONS_MASTER!$F$5:$F$1204,$Q39))</f>
        <v/>
      </c>
      <c r="D39" s="55" t="str">
        <f>IF($Q39="","",INDEX(TRANSACTIONS_MASTER!$E$5:$E$1204,$Q39))</f>
        <v/>
      </c>
      <c r="E39" s="55" t="str">
        <f>IF($Q39="","",INDEX(TRANSACTIONS_MASTER!$G$5:$G$1204,$Q39)&amp;"")</f>
        <v/>
      </c>
      <c r="F39" s="29" t="str">
        <f>IF($Q39="","",INDEX(TRANSACTIONS_MASTER!$I$5:$I$1204,$Q39))</f>
        <v/>
      </c>
      <c r="G39" s="55" t="str">
        <f>IF($Q39="","",INDEX(TRANSACTIONS_MASTER!$K$5:$K$1204,$Q39))</f>
        <v/>
      </c>
      <c r="H39" s="25" t="str">
        <f>IF($Q39="","",INDEX(TRANSACTIONS_MASTER!$L$5:$L$1204,$Q39))</f>
        <v/>
      </c>
      <c r="I39" s="56" t="str">
        <f>IF($Q39="","",INDEX(TRANSACTIONS_MASTER!$N$5:$N$1204,$Q39))</f>
        <v/>
      </c>
      <c r="J39" s="25" t="str">
        <f>IF($Q39="","",INDEX(TRANSACTIONS_MASTER!$O$5:$O$1204,$Q39))</f>
        <v/>
      </c>
      <c r="K39" s="26" t="str">
        <f>IF($Q39="","",INDEX(TRANSACTIONS_MASTER!$Q$5:$Q$1204,$Q39))</f>
        <v/>
      </c>
      <c r="L39" s="25" t="str">
        <f>IF($Q39="","",INDEX(TRANSACTIONS_MASTER!$P$5:$P$1204,$Q39))</f>
        <v/>
      </c>
      <c r="M39" s="25" t="str">
        <f>IF($Q39="","",INDEX(TRANSACTIONS_MASTER!$AA$5:$AA$1204,$Q39))</f>
        <v/>
      </c>
      <c r="N39" s="25" t="str">
        <f>IF($Q39="","",INDEX(TRANSACTIONS_MASTER!$R$5:$R$1204,$Q39))</f>
        <v/>
      </c>
      <c r="O39" s="28" t="str">
        <f>IF($Q39="","",INDEX(TRANSACTIONS_MASTER!$AB$5:$AB$1204,$Q39))</f>
        <v/>
      </c>
      <c r="P39" s="55" t="str">
        <f>IF($Q39="","",INDEX(TRANSACTIONS_MASTER!$Z$5:$Z$1204,$Q39)&amp;"")</f>
        <v/>
      </c>
      <c r="Q39" s="67" t="str">
        <f>IFERROR(MATCH($C$2&amp;"|"&amp;32,TRANSACTIONS_MASTER!$AE$5:$AE$1204,0),"")</f>
        <v/>
      </c>
      <c r="S39" s="67" t="str">
        <f>IFERROR(MATCH(32,CASHBACK_RULES!$S$5:$S$304,0),"")</f>
        <v/>
      </c>
      <c r="T39" s="55" t="str">
        <f>IF($S39="","",INDEX(CASHBACK_RULES!$B$5:$B$304,$S39))</f>
        <v/>
      </c>
      <c r="U39" s="55" t="str">
        <f>IF($S39="","",INDEX(CASHBACK_RULES!$C$5:$C$304,$S39)&amp;" "&amp;INDEX(CASHBACK_RULES!$D$5:$D$304,$S39))</f>
        <v/>
      </c>
      <c r="V39" s="55" t="str">
        <f>IF($S39="","",INDEX(CASHBACK_RULES!$E$5:$E$304,$S39)&amp;"")</f>
        <v/>
      </c>
      <c r="W39" s="55" t="str">
        <f>IF($S39="","",INDEX(CASHBACK_RULES!$F$5:$F$304,$S39)&amp;"")</f>
        <v/>
      </c>
      <c r="X39" s="26" t="str">
        <f>IF($S39="","",SUMIFS(TRANSACTIONS_MASTER!$Q$5:$Q$1204,TRANSACTIONS_MASTER!$D$5:$D$1204,$T39,TRANSACTIONS_MASTER!$Z$5:$Z$1204,$V39,TRANSACTIONS_MASTER!$C$5:$C$1204,$C$2))</f>
        <v/>
      </c>
      <c r="Y39" s="25" t="str">
        <f>IF($S39="","",IF(ISNUMBER(INDEX(CASHBACK_RULES!$J$5:$J$304,$S39)),INDEX(CASHBACK_RULES!$J$5:$J$304,$S39),"∞"))</f>
        <v/>
      </c>
      <c r="Z39" s="25" t="str">
        <f>IF($S39="","",IF(ISNUMBER($Y39),MAX(0,$Y39-$X39),"∞"))</f>
        <v/>
      </c>
      <c r="AA39" s="27" t="str">
        <f>IF($S39="","",IF(ISNUMBER($Y39),IF($Y39=0,0,$X39/$Y39),""))</f>
        <v/>
      </c>
    </row>
    <row r="40" ht="20" customHeight="1">
      <c r="A40" s="81" t="str">
        <f>IF($Q40="","",33)</f>
        <v/>
      </c>
      <c r="B40" s="57" t="str">
        <f>IF($Q40="","",INDEX(TRANSACTIONS_MASTER!$B$5:$B$1204,$Q40))</f>
        <v/>
      </c>
      <c r="C40" s="55" t="str">
        <f>IF($Q40="","",INDEX(TRANSACTIONS_MASTER!$F$5:$F$1204,$Q40))</f>
        <v/>
      </c>
      <c r="D40" s="55" t="str">
        <f>IF($Q40="","",INDEX(TRANSACTIONS_MASTER!$E$5:$E$1204,$Q40))</f>
        <v/>
      </c>
      <c r="E40" s="55" t="str">
        <f>IF($Q40="","",INDEX(TRANSACTIONS_MASTER!$G$5:$G$1204,$Q40)&amp;"")</f>
        <v/>
      </c>
      <c r="F40" s="29" t="str">
        <f>IF($Q40="","",INDEX(TRANSACTIONS_MASTER!$I$5:$I$1204,$Q40))</f>
        <v/>
      </c>
      <c r="G40" s="55" t="str">
        <f>IF($Q40="","",INDEX(TRANSACTIONS_MASTER!$K$5:$K$1204,$Q40))</f>
        <v/>
      </c>
      <c r="H40" s="25" t="str">
        <f>IF($Q40="","",INDEX(TRANSACTIONS_MASTER!$L$5:$L$1204,$Q40))</f>
        <v/>
      </c>
      <c r="I40" s="56" t="str">
        <f>IF($Q40="","",INDEX(TRANSACTIONS_MASTER!$N$5:$N$1204,$Q40))</f>
        <v/>
      </c>
      <c r="J40" s="25" t="str">
        <f>IF($Q40="","",INDEX(TRANSACTIONS_MASTER!$O$5:$O$1204,$Q40))</f>
        <v/>
      </c>
      <c r="K40" s="26" t="str">
        <f>IF($Q40="","",INDEX(TRANSACTIONS_MASTER!$Q$5:$Q$1204,$Q40))</f>
        <v/>
      </c>
      <c r="L40" s="25" t="str">
        <f>IF($Q40="","",INDEX(TRANSACTIONS_MASTER!$P$5:$P$1204,$Q40))</f>
        <v/>
      </c>
      <c r="M40" s="25" t="str">
        <f>IF($Q40="","",INDEX(TRANSACTIONS_MASTER!$AA$5:$AA$1204,$Q40))</f>
        <v/>
      </c>
      <c r="N40" s="25" t="str">
        <f>IF($Q40="","",INDEX(TRANSACTIONS_MASTER!$R$5:$R$1204,$Q40))</f>
        <v/>
      </c>
      <c r="O40" s="28" t="str">
        <f>IF($Q40="","",INDEX(TRANSACTIONS_MASTER!$AB$5:$AB$1204,$Q40))</f>
        <v/>
      </c>
      <c r="P40" s="55" t="str">
        <f>IF($Q40="","",INDEX(TRANSACTIONS_MASTER!$Z$5:$Z$1204,$Q40)&amp;"")</f>
        <v/>
      </c>
      <c r="Q40" s="67" t="str">
        <f>IFERROR(MATCH($C$2&amp;"|"&amp;33,TRANSACTIONS_MASTER!$AE$5:$AE$1204,0),"")</f>
        <v/>
      </c>
      <c r="S40" s="67" t="str">
        <f>IFERROR(MATCH(33,CASHBACK_RULES!$S$5:$S$304,0),"")</f>
        <v/>
      </c>
      <c r="T40" s="55" t="str">
        <f>IF($S40="","",INDEX(CASHBACK_RULES!$B$5:$B$304,$S40))</f>
        <v/>
      </c>
      <c r="U40" s="55" t="str">
        <f>IF($S40="","",INDEX(CASHBACK_RULES!$C$5:$C$304,$S40)&amp;" "&amp;INDEX(CASHBACK_RULES!$D$5:$D$304,$S40))</f>
        <v/>
      </c>
      <c r="V40" s="55" t="str">
        <f>IF($S40="","",INDEX(CASHBACK_RULES!$E$5:$E$304,$S40)&amp;"")</f>
        <v/>
      </c>
      <c r="W40" s="55" t="str">
        <f>IF($S40="","",INDEX(CASHBACK_RULES!$F$5:$F$304,$S40)&amp;"")</f>
        <v/>
      </c>
      <c r="X40" s="26" t="str">
        <f>IF($S40="","",SUMIFS(TRANSACTIONS_MASTER!$Q$5:$Q$1204,TRANSACTIONS_MASTER!$D$5:$D$1204,$T40,TRANSACTIONS_MASTER!$Z$5:$Z$1204,$V40,TRANSACTIONS_MASTER!$C$5:$C$1204,$C$2))</f>
        <v/>
      </c>
      <c r="Y40" s="25" t="str">
        <f>IF($S40="","",IF(ISNUMBER(INDEX(CASHBACK_RULES!$J$5:$J$304,$S40)),INDEX(CASHBACK_RULES!$J$5:$J$304,$S40),"∞"))</f>
        <v/>
      </c>
      <c r="Z40" s="25" t="str">
        <f>IF($S40="","",IF(ISNUMBER($Y40),MAX(0,$Y40-$X40),"∞"))</f>
        <v/>
      </c>
      <c r="AA40" s="27" t="str">
        <f>IF($S40="","",IF(ISNUMBER($Y40),IF($Y40=0,0,$X40/$Y40),""))</f>
        <v/>
      </c>
    </row>
    <row r="41" ht="20" customHeight="1">
      <c r="A41" s="81" t="str">
        <f>IF($Q41="","",34)</f>
        <v/>
      </c>
      <c r="B41" s="57" t="str">
        <f>IF($Q41="","",INDEX(TRANSACTIONS_MASTER!$B$5:$B$1204,$Q41))</f>
        <v/>
      </c>
      <c r="C41" s="55" t="str">
        <f>IF($Q41="","",INDEX(TRANSACTIONS_MASTER!$F$5:$F$1204,$Q41))</f>
        <v/>
      </c>
      <c r="D41" s="55" t="str">
        <f>IF($Q41="","",INDEX(TRANSACTIONS_MASTER!$E$5:$E$1204,$Q41))</f>
        <v/>
      </c>
      <c r="E41" s="55" t="str">
        <f>IF($Q41="","",INDEX(TRANSACTIONS_MASTER!$G$5:$G$1204,$Q41)&amp;"")</f>
        <v/>
      </c>
      <c r="F41" s="29" t="str">
        <f>IF($Q41="","",INDEX(TRANSACTIONS_MASTER!$I$5:$I$1204,$Q41))</f>
        <v/>
      </c>
      <c r="G41" s="55" t="str">
        <f>IF($Q41="","",INDEX(TRANSACTIONS_MASTER!$K$5:$K$1204,$Q41))</f>
        <v/>
      </c>
      <c r="H41" s="25" t="str">
        <f>IF($Q41="","",INDEX(TRANSACTIONS_MASTER!$L$5:$L$1204,$Q41))</f>
        <v/>
      </c>
      <c r="I41" s="56" t="str">
        <f>IF($Q41="","",INDEX(TRANSACTIONS_MASTER!$N$5:$N$1204,$Q41))</f>
        <v/>
      </c>
      <c r="J41" s="25" t="str">
        <f>IF($Q41="","",INDEX(TRANSACTIONS_MASTER!$O$5:$O$1204,$Q41))</f>
        <v/>
      </c>
      <c r="K41" s="26" t="str">
        <f>IF($Q41="","",INDEX(TRANSACTIONS_MASTER!$Q$5:$Q$1204,$Q41))</f>
        <v/>
      </c>
      <c r="L41" s="25" t="str">
        <f>IF($Q41="","",INDEX(TRANSACTIONS_MASTER!$P$5:$P$1204,$Q41))</f>
        <v/>
      </c>
      <c r="M41" s="25" t="str">
        <f>IF($Q41="","",INDEX(TRANSACTIONS_MASTER!$AA$5:$AA$1204,$Q41))</f>
        <v/>
      </c>
      <c r="N41" s="25" t="str">
        <f>IF($Q41="","",INDEX(TRANSACTIONS_MASTER!$R$5:$R$1204,$Q41))</f>
        <v/>
      </c>
      <c r="O41" s="28" t="str">
        <f>IF($Q41="","",INDEX(TRANSACTIONS_MASTER!$AB$5:$AB$1204,$Q41))</f>
        <v/>
      </c>
      <c r="P41" s="55" t="str">
        <f>IF($Q41="","",INDEX(TRANSACTIONS_MASTER!$Z$5:$Z$1204,$Q41)&amp;"")</f>
        <v/>
      </c>
      <c r="Q41" s="67" t="str">
        <f>IFERROR(MATCH($C$2&amp;"|"&amp;34,TRANSACTIONS_MASTER!$AE$5:$AE$1204,0),"")</f>
        <v/>
      </c>
      <c r="S41" s="67" t="str">
        <f>IFERROR(MATCH(34,CASHBACK_RULES!$S$5:$S$304,0),"")</f>
        <v/>
      </c>
      <c r="T41" s="55" t="str">
        <f>IF($S41="","",INDEX(CASHBACK_RULES!$B$5:$B$304,$S41))</f>
        <v/>
      </c>
      <c r="U41" s="55" t="str">
        <f>IF($S41="","",INDEX(CASHBACK_RULES!$C$5:$C$304,$S41)&amp;" "&amp;INDEX(CASHBACK_RULES!$D$5:$D$304,$S41))</f>
        <v/>
      </c>
      <c r="V41" s="55" t="str">
        <f>IF($S41="","",INDEX(CASHBACK_RULES!$E$5:$E$304,$S41)&amp;"")</f>
        <v/>
      </c>
      <c r="W41" s="55" t="str">
        <f>IF($S41="","",INDEX(CASHBACK_RULES!$F$5:$F$304,$S41)&amp;"")</f>
        <v/>
      </c>
      <c r="X41" s="26" t="str">
        <f>IF($S41="","",SUMIFS(TRANSACTIONS_MASTER!$Q$5:$Q$1204,TRANSACTIONS_MASTER!$D$5:$D$1204,$T41,TRANSACTIONS_MASTER!$Z$5:$Z$1204,$V41,TRANSACTIONS_MASTER!$C$5:$C$1204,$C$2))</f>
        <v/>
      </c>
      <c r="Y41" s="25" t="str">
        <f>IF($S41="","",IF(ISNUMBER(INDEX(CASHBACK_RULES!$J$5:$J$304,$S41)),INDEX(CASHBACK_RULES!$J$5:$J$304,$S41),"∞"))</f>
        <v/>
      </c>
      <c r="Z41" s="25" t="str">
        <f>IF($S41="","",IF(ISNUMBER($Y41),MAX(0,$Y41-$X41),"∞"))</f>
        <v/>
      </c>
      <c r="AA41" s="27" t="str">
        <f>IF($S41="","",IF(ISNUMBER($Y41),IF($Y41=0,0,$X41/$Y41),""))</f>
        <v/>
      </c>
    </row>
    <row r="42" ht="20" customHeight="1">
      <c r="A42" s="81" t="str">
        <f>IF($Q42="","",35)</f>
        <v/>
      </c>
      <c r="B42" s="57" t="str">
        <f>IF($Q42="","",INDEX(TRANSACTIONS_MASTER!$B$5:$B$1204,$Q42))</f>
        <v/>
      </c>
      <c r="C42" s="55" t="str">
        <f>IF($Q42="","",INDEX(TRANSACTIONS_MASTER!$F$5:$F$1204,$Q42))</f>
        <v/>
      </c>
      <c r="D42" s="55" t="str">
        <f>IF($Q42="","",INDEX(TRANSACTIONS_MASTER!$E$5:$E$1204,$Q42))</f>
        <v/>
      </c>
      <c r="E42" s="55" t="str">
        <f>IF($Q42="","",INDEX(TRANSACTIONS_MASTER!$G$5:$G$1204,$Q42)&amp;"")</f>
        <v/>
      </c>
      <c r="F42" s="29" t="str">
        <f>IF($Q42="","",INDEX(TRANSACTIONS_MASTER!$I$5:$I$1204,$Q42))</f>
        <v/>
      </c>
      <c r="G42" s="55" t="str">
        <f>IF($Q42="","",INDEX(TRANSACTIONS_MASTER!$K$5:$K$1204,$Q42))</f>
        <v/>
      </c>
      <c r="H42" s="25" t="str">
        <f>IF($Q42="","",INDEX(TRANSACTIONS_MASTER!$L$5:$L$1204,$Q42))</f>
        <v/>
      </c>
      <c r="I42" s="56" t="str">
        <f>IF($Q42="","",INDEX(TRANSACTIONS_MASTER!$N$5:$N$1204,$Q42))</f>
        <v/>
      </c>
      <c r="J42" s="25" t="str">
        <f>IF($Q42="","",INDEX(TRANSACTIONS_MASTER!$O$5:$O$1204,$Q42))</f>
        <v/>
      </c>
      <c r="K42" s="26" t="str">
        <f>IF($Q42="","",INDEX(TRANSACTIONS_MASTER!$Q$5:$Q$1204,$Q42))</f>
        <v/>
      </c>
      <c r="L42" s="25" t="str">
        <f>IF($Q42="","",INDEX(TRANSACTIONS_MASTER!$P$5:$P$1204,$Q42))</f>
        <v/>
      </c>
      <c r="M42" s="25" t="str">
        <f>IF($Q42="","",INDEX(TRANSACTIONS_MASTER!$AA$5:$AA$1204,$Q42))</f>
        <v/>
      </c>
      <c r="N42" s="25" t="str">
        <f>IF($Q42="","",INDEX(TRANSACTIONS_MASTER!$R$5:$R$1204,$Q42))</f>
        <v/>
      </c>
      <c r="O42" s="28" t="str">
        <f>IF($Q42="","",INDEX(TRANSACTIONS_MASTER!$AB$5:$AB$1204,$Q42))</f>
        <v/>
      </c>
      <c r="P42" s="55" t="str">
        <f>IF($Q42="","",INDEX(TRANSACTIONS_MASTER!$Z$5:$Z$1204,$Q42)&amp;"")</f>
        <v/>
      </c>
      <c r="Q42" s="67" t="str">
        <f>IFERROR(MATCH($C$2&amp;"|"&amp;35,TRANSACTIONS_MASTER!$AE$5:$AE$1204,0),"")</f>
        <v/>
      </c>
      <c r="S42" s="67" t="str">
        <f>IFERROR(MATCH(35,CASHBACK_RULES!$S$5:$S$304,0),"")</f>
        <v/>
      </c>
      <c r="T42" s="55" t="str">
        <f>IF($S42="","",INDEX(CASHBACK_RULES!$B$5:$B$304,$S42))</f>
        <v/>
      </c>
      <c r="U42" s="55" t="str">
        <f>IF($S42="","",INDEX(CASHBACK_RULES!$C$5:$C$304,$S42)&amp;" "&amp;INDEX(CASHBACK_RULES!$D$5:$D$304,$S42))</f>
        <v/>
      </c>
      <c r="V42" s="55" t="str">
        <f>IF($S42="","",INDEX(CASHBACK_RULES!$E$5:$E$304,$S42)&amp;"")</f>
        <v/>
      </c>
      <c r="W42" s="55" t="str">
        <f>IF($S42="","",INDEX(CASHBACK_RULES!$F$5:$F$304,$S42)&amp;"")</f>
        <v/>
      </c>
      <c r="X42" s="26" t="str">
        <f>IF($S42="","",SUMIFS(TRANSACTIONS_MASTER!$Q$5:$Q$1204,TRANSACTIONS_MASTER!$D$5:$D$1204,$T42,TRANSACTIONS_MASTER!$Z$5:$Z$1204,$V42,TRANSACTIONS_MASTER!$C$5:$C$1204,$C$2))</f>
        <v/>
      </c>
      <c r="Y42" s="25" t="str">
        <f>IF($S42="","",IF(ISNUMBER(INDEX(CASHBACK_RULES!$J$5:$J$304,$S42)),INDEX(CASHBACK_RULES!$J$5:$J$304,$S42),"∞"))</f>
        <v/>
      </c>
      <c r="Z42" s="25" t="str">
        <f>IF($S42="","",IF(ISNUMBER($Y42),MAX(0,$Y42-$X42),"∞"))</f>
        <v/>
      </c>
      <c r="AA42" s="27" t="str">
        <f>IF($S42="","",IF(ISNUMBER($Y42),IF($Y42=0,0,$X42/$Y42),""))</f>
        <v/>
      </c>
    </row>
    <row r="43" ht="20" customHeight="1">
      <c r="A43" s="81" t="str">
        <f>IF($Q43="","",36)</f>
        <v/>
      </c>
      <c r="B43" s="57" t="str">
        <f>IF($Q43="","",INDEX(TRANSACTIONS_MASTER!$B$5:$B$1204,$Q43))</f>
        <v/>
      </c>
      <c r="C43" s="55" t="str">
        <f>IF($Q43="","",INDEX(TRANSACTIONS_MASTER!$F$5:$F$1204,$Q43))</f>
        <v/>
      </c>
      <c r="D43" s="55" t="str">
        <f>IF($Q43="","",INDEX(TRANSACTIONS_MASTER!$E$5:$E$1204,$Q43))</f>
        <v/>
      </c>
      <c r="E43" s="55" t="str">
        <f>IF($Q43="","",INDEX(TRANSACTIONS_MASTER!$G$5:$G$1204,$Q43)&amp;"")</f>
        <v/>
      </c>
      <c r="F43" s="29" t="str">
        <f>IF($Q43="","",INDEX(TRANSACTIONS_MASTER!$I$5:$I$1204,$Q43))</f>
        <v/>
      </c>
      <c r="G43" s="55" t="str">
        <f>IF($Q43="","",INDEX(TRANSACTIONS_MASTER!$K$5:$K$1204,$Q43))</f>
        <v/>
      </c>
      <c r="H43" s="25" t="str">
        <f>IF($Q43="","",INDEX(TRANSACTIONS_MASTER!$L$5:$L$1204,$Q43))</f>
        <v/>
      </c>
      <c r="I43" s="56" t="str">
        <f>IF($Q43="","",INDEX(TRANSACTIONS_MASTER!$N$5:$N$1204,$Q43))</f>
        <v/>
      </c>
      <c r="J43" s="25" t="str">
        <f>IF($Q43="","",INDEX(TRANSACTIONS_MASTER!$O$5:$O$1204,$Q43))</f>
        <v/>
      </c>
      <c r="K43" s="26" t="str">
        <f>IF($Q43="","",INDEX(TRANSACTIONS_MASTER!$Q$5:$Q$1204,$Q43))</f>
        <v/>
      </c>
      <c r="L43" s="25" t="str">
        <f>IF($Q43="","",INDEX(TRANSACTIONS_MASTER!$P$5:$P$1204,$Q43))</f>
        <v/>
      </c>
      <c r="M43" s="25" t="str">
        <f>IF($Q43="","",INDEX(TRANSACTIONS_MASTER!$AA$5:$AA$1204,$Q43))</f>
        <v/>
      </c>
      <c r="N43" s="25" t="str">
        <f>IF($Q43="","",INDEX(TRANSACTIONS_MASTER!$R$5:$R$1204,$Q43))</f>
        <v/>
      </c>
      <c r="O43" s="28" t="str">
        <f>IF($Q43="","",INDEX(TRANSACTIONS_MASTER!$AB$5:$AB$1204,$Q43))</f>
        <v/>
      </c>
      <c r="P43" s="55" t="str">
        <f>IF($Q43="","",INDEX(TRANSACTIONS_MASTER!$Z$5:$Z$1204,$Q43)&amp;"")</f>
        <v/>
      </c>
      <c r="Q43" s="67" t="str">
        <f>IFERROR(MATCH($C$2&amp;"|"&amp;36,TRANSACTIONS_MASTER!$AE$5:$AE$1204,0),"")</f>
        <v/>
      </c>
      <c r="S43" s="67" t="str">
        <f>IFERROR(MATCH(36,CASHBACK_RULES!$S$5:$S$304,0),"")</f>
        <v/>
      </c>
      <c r="T43" s="55" t="str">
        <f>IF($S43="","",INDEX(CASHBACK_RULES!$B$5:$B$304,$S43))</f>
        <v/>
      </c>
      <c r="U43" s="55" t="str">
        <f>IF($S43="","",INDEX(CASHBACK_RULES!$C$5:$C$304,$S43)&amp;" "&amp;INDEX(CASHBACK_RULES!$D$5:$D$304,$S43))</f>
        <v/>
      </c>
      <c r="V43" s="55" t="str">
        <f>IF($S43="","",INDEX(CASHBACK_RULES!$E$5:$E$304,$S43)&amp;"")</f>
        <v/>
      </c>
      <c r="W43" s="55" t="str">
        <f>IF($S43="","",INDEX(CASHBACK_RULES!$F$5:$F$304,$S43)&amp;"")</f>
        <v/>
      </c>
      <c r="X43" s="26" t="str">
        <f>IF($S43="","",SUMIFS(TRANSACTIONS_MASTER!$Q$5:$Q$1204,TRANSACTIONS_MASTER!$D$5:$D$1204,$T43,TRANSACTIONS_MASTER!$Z$5:$Z$1204,$V43,TRANSACTIONS_MASTER!$C$5:$C$1204,$C$2))</f>
        <v/>
      </c>
      <c r="Y43" s="25" t="str">
        <f>IF($S43="","",IF(ISNUMBER(INDEX(CASHBACK_RULES!$J$5:$J$304,$S43)),INDEX(CASHBACK_RULES!$J$5:$J$304,$S43),"∞"))</f>
        <v/>
      </c>
      <c r="Z43" s="25" t="str">
        <f>IF($S43="","",IF(ISNUMBER($Y43),MAX(0,$Y43-$X43),"∞"))</f>
        <v/>
      </c>
      <c r="AA43" s="27" t="str">
        <f>IF($S43="","",IF(ISNUMBER($Y43),IF($Y43=0,0,$X43/$Y43),""))</f>
        <v/>
      </c>
    </row>
    <row r="44" ht="20" customHeight="1">
      <c r="A44" s="81" t="str">
        <f>IF($Q44="","",37)</f>
        <v/>
      </c>
      <c r="B44" s="57" t="str">
        <f>IF($Q44="","",INDEX(TRANSACTIONS_MASTER!$B$5:$B$1204,$Q44))</f>
        <v/>
      </c>
      <c r="C44" s="55" t="str">
        <f>IF($Q44="","",INDEX(TRANSACTIONS_MASTER!$F$5:$F$1204,$Q44))</f>
        <v/>
      </c>
      <c r="D44" s="55" t="str">
        <f>IF($Q44="","",INDEX(TRANSACTIONS_MASTER!$E$5:$E$1204,$Q44))</f>
        <v/>
      </c>
      <c r="E44" s="55" t="str">
        <f>IF($Q44="","",INDEX(TRANSACTIONS_MASTER!$G$5:$G$1204,$Q44)&amp;"")</f>
        <v/>
      </c>
      <c r="F44" s="29" t="str">
        <f>IF($Q44="","",INDEX(TRANSACTIONS_MASTER!$I$5:$I$1204,$Q44))</f>
        <v/>
      </c>
      <c r="G44" s="55" t="str">
        <f>IF($Q44="","",INDEX(TRANSACTIONS_MASTER!$K$5:$K$1204,$Q44))</f>
        <v/>
      </c>
      <c r="H44" s="25" t="str">
        <f>IF($Q44="","",INDEX(TRANSACTIONS_MASTER!$L$5:$L$1204,$Q44))</f>
        <v/>
      </c>
      <c r="I44" s="56" t="str">
        <f>IF($Q44="","",INDEX(TRANSACTIONS_MASTER!$N$5:$N$1204,$Q44))</f>
        <v/>
      </c>
      <c r="J44" s="25" t="str">
        <f>IF($Q44="","",INDEX(TRANSACTIONS_MASTER!$O$5:$O$1204,$Q44))</f>
        <v/>
      </c>
      <c r="K44" s="26" t="str">
        <f>IF($Q44="","",INDEX(TRANSACTIONS_MASTER!$Q$5:$Q$1204,$Q44))</f>
        <v/>
      </c>
      <c r="L44" s="25" t="str">
        <f>IF($Q44="","",INDEX(TRANSACTIONS_MASTER!$P$5:$P$1204,$Q44))</f>
        <v/>
      </c>
      <c r="M44" s="25" t="str">
        <f>IF($Q44="","",INDEX(TRANSACTIONS_MASTER!$AA$5:$AA$1204,$Q44))</f>
        <v/>
      </c>
      <c r="N44" s="25" t="str">
        <f>IF($Q44="","",INDEX(TRANSACTIONS_MASTER!$R$5:$R$1204,$Q44))</f>
        <v/>
      </c>
      <c r="O44" s="28" t="str">
        <f>IF($Q44="","",INDEX(TRANSACTIONS_MASTER!$AB$5:$AB$1204,$Q44))</f>
        <v/>
      </c>
      <c r="P44" s="55" t="str">
        <f>IF($Q44="","",INDEX(TRANSACTIONS_MASTER!$Z$5:$Z$1204,$Q44)&amp;"")</f>
        <v/>
      </c>
      <c r="Q44" s="67" t="str">
        <f>IFERROR(MATCH($C$2&amp;"|"&amp;37,TRANSACTIONS_MASTER!$AE$5:$AE$1204,0),"")</f>
        <v/>
      </c>
      <c r="S44" s="67" t="str">
        <f>IFERROR(MATCH(37,CASHBACK_RULES!$S$5:$S$304,0),"")</f>
        <v/>
      </c>
      <c r="T44" s="55" t="str">
        <f>IF($S44="","",INDEX(CASHBACK_RULES!$B$5:$B$304,$S44))</f>
        <v/>
      </c>
      <c r="U44" s="55" t="str">
        <f>IF($S44="","",INDEX(CASHBACK_RULES!$C$5:$C$304,$S44)&amp;" "&amp;INDEX(CASHBACK_RULES!$D$5:$D$304,$S44))</f>
        <v/>
      </c>
      <c r="V44" s="55" t="str">
        <f>IF($S44="","",INDEX(CASHBACK_RULES!$E$5:$E$304,$S44)&amp;"")</f>
        <v/>
      </c>
      <c r="W44" s="55" t="str">
        <f>IF($S44="","",INDEX(CASHBACK_RULES!$F$5:$F$304,$S44)&amp;"")</f>
        <v/>
      </c>
      <c r="X44" s="26" t="str">
        <f>IF($S44="","",SUMIFS(TRANSACTIONS_MASTER!$Q$5:$Q$1204,TRANSACTIONS_MASTER!$D$5:$D$1204,$T44,TRANSACTIONS_MASTER!$Z$5:$Z$1204,$V44,TRANSACTIONS_MASTER!$C$5:$C$1204,$C$2))</f>
        <v/>
      </c>
      <c r="Y44" s="25" t="str">
        <f>IF($S44="","",IF(ISNUMBER(INDEX(CASHBACK_RULES!$J$5:$J$304,$S44)),INDEX(CASHBACK_RULES!$J$5:$J$304,$S44),"∞"))</f>
        <v/>
      </c>
      <c r="Z44" s="25" t="str">
        <f>IF($S44="","",IF(ISNUMBER($Y44),MAX(0,$Y44-$X44),"∞"))</f>
        <v/>
      </c>
      <c r="AA44" s="27" t="str">
        <f>IF($S44="","",IF(ISNUMBER($Y44),IF($Y44=0,0,$X44/$Y44),""))</f>
        <v/>
      </c>
    </row>
    <row r="45" ht="20" customHeight="1">
      <c r="A45" s="81" t="str">
        <f>IF($Q45="","",38)</f>
        <v/>
      </c>
      <c r="B45" s="57" t="str">
        <f>IF($Q45="","",INDEX(TRANSACTIONS_MASTER!$B$5:$B$1204,$Q45))</f>
        <v/>
      </c>
      <c r="C45" s="55" t="str">
        <f>IF($Q45="","",INDEX(TRANSACTIONS_MASTER!$F$5:$F$1204,$Q45))</f>
        <v/>
      </c>
      <c r="D45" s="55" t="str">
        <f>IF($Q45="","",INDEX(TRANSACTIONS_MASTER!$E$5:$E$1204,$Q45))</f>
        <v/>
      </c>
      <c r="E45" s="55" t="str">
        <f>IF($Q45="","",INDEX(TRANSACTIONS_MASTER!$G$5:$G$1204,$Q45)&amp;"")</f>
        <v/>
      </c>
      <c r="F45" s="29" t="str">
        <f>IF($Q45="","",INDEX(TRANSACTIONS_MASTER!$I$5:$I$1204,$Q45))</f>
        <v/>
      </c>
      <c r="G45" s="55" t="str">
        <f>IF($Q45="","",INDEX(TRANSACTIONS_MASTER!$K$5:$K$1204,$Q45))</f>
        <v/>
      </c>
      <c r="H45" s="25" t="str">
        <f>IF($Q45="","",INDEX(TRANSACTIONS_MASTER!$L$5:$L$1204,$Q45))</f>
        <v/>
      </c>
      <c r="I45" s="56" t="str">
        <f>IF($Q45="","",INDEX(TRANSACTIONS_MASTER!$N$5:$N$1204,$Q45))</f>
        <v/>
      </c>
      <c r="J45" s="25" t="str">
        <f>IF($Q45="","",INDEX(TRANSACTIONS_MASTER!$O$5:$O$1204,$Q45))</f>
        <v/>
      </c>
      <c r="K45" s="26" t="str">
        <f>IF($Q45="","",INDEX(TRANSACTIONS_MASTER!$Q$5:$Q$1204,$Q45))</f>
        <v/>
      </c>
      <c r="L45" s="25" t="str">
        <f>IF($Q45="","",INDEX(TRANSACTIONS_MASTER!$P$5:$P$1204,$Q45))</f>
        <v/>
      </c>
      <c r="M45" s="25" t="str">
        <f>IF($Q45="","",INDEX(TRANSACTIONS_MASTER!$AA$5:$AA$1204,$Q45))</f>
        <v/>
      </c>
      <c r="N45" s="25" t="str">
        <f>IF($Q45="","",INDEX(TRANSACTIONS_MASTER!$R$5:$R$1204,$Q45))</f>
        <v/>
      </c>
      <c r="O45" s="28" t="str">
        <f>IF($Q45="","",INDEX(TRANSACTIONS_MASTER!$AB$5:$AB$1204,$Q45))</f>
        <v/>
      </c>
      <c r="P45" s="55" t="str">
        <f>IF($Q45="","",INDEX(TRANSACTIONS_MASTER!$Z$5:$Z$1204,$Q45)&amp;"")</f>
        <v/>
      </c>
      <c r="Q45" s="67" t="str">
        <f>IFERROR(MATCH($C$2&amp;"|"&amp;38,TRANSACTIONS_MASTER!$AE$5:$AE$1204,0),"")</f>
        <v/>
      </c>
      <c r="S45" s="67" t="str">
        <f>IFERROR(MATCH(38,CASHBACK_RULES!$S$5:$S$304,0),"")</f>
        <v/>
      </c>
      <c r="T45" s="55" t="str">
        <f>IF($S45="","",INDEX(CASHBACK_RULES!$B$5:$B$304,$S45))</f>
        <v/>
      </c>
      <c r="U45" s="55" t="str">
        <f>IF($S45="","",INDEX(CASHBACK_RULES!$C$5:$C$304,$S45)&amp;" "&amp;INDEX(CASHBACK_RULES!$D$5:$D$304,$S45))</f>
        <v/>
      </c>
      <c r="V45" s="55" t="str">
        <f>IF($S45="","",INDEX(CASHBACK_RULES!$E$5:$E$304,$S45)&amp;"")</f>
        <v/>
      </c>
      <c r="W45" s="55" t="str">
        <f>IF($S45="","",INDEX(CASHBACK_RULES!$F$5:$F$304,$S45)&amp;"")</f>
        <v/>
      </c>
      <c r="X45" s="26" t="str">
        <f>IF($S45="","",SUMIFS(TRANSACTIONS_MASTER!$Q$5:$Q$1204,TRANSACTIONS_MASTER!$D$5:$D$1204,$T45,TRANSACTIONS_MASTER!$Z$5:$Z$1204,$V45,TRANSACTIONS_MASTER!$C$5:$C$1204,$C$2))</f>
        <v/>
      </c>
      <c r="Y45" s="25" t="str">
        <f>IF($S45="","",IF(ISNUMBER(INDEX(CASHBACK_RULES!$J$5:$J$304,$S45)),INDEX(CASHBACK_RULES!$J$5:$J$304,$S45),"∞"))</f>
        <v/>
      </c>
      <c r="Z45" s="25" t="str">
        <f>IF($S45="","",IF(ISNUMBER($Y45),MAX(0,$Y45-$X45),"∞"))</f>
        <v/>
      </c>
      <c r="AA45" s="27" t="str">
        <f>IF($S45="","",IF(ISNUMBER($Y45),IF($Y45=0,0,$X45/$Y45),""))</f>
        <v/>
      </c>
    </row>
    <row r="46" ht="20" customHeight="1">
      <c r="A46" s="81" t="str">
        <f>IF($Q46="","",39)</f>
        <v/>
      </c>
      <c r="B46" s="57" t="str">
        <f>IF($Q46="","",INDEX(TRANSACTIONS_MASTER!$B$5:$B$1204,$Q46))</f>
        <v/>
      </c>
      <c r="C46" s="55" t="str">
        <f>IF($Q46="","",INDEX(TRANSACTIONS_MASTER!$F$5:$F$1204,$Q46))</f>
        <v/>
      </c>
      <c r="D46" s="55" t="str">
        <f>IF($Q46="","",INDEX(TRANSACTIONS_MASTER!$E$5:$E$1204,$Q46))</f>
        <v/>
      </c>
      <c r="E46" s="55" t="str">
        <f>IF($Q46="","",INDEX(TRANSACTIONS_MASTER!$G$5:$G$1204,$Q46)&amp;"")</f>
        <v/>
      </c>
      <c r="F46" s="29" t="str">
        <f>IF($Q46="","",INDEX(TRANSACTIONS_MASTER!$I$5:$I$1204,$Q46))</f>
        <v/>
      </c>
      <c r="G46" s="55" t="str">
        <f>IF($Q46="","",INDEX(TRANSACTIONS_MASTER!$K$5:$K$1204,$Q46))</f>
        <v/>
      </c>
      <c r="H46" s="25" t="str">
        <f>IF($Q46="","",INDEX(TRANSACTIONS_MASTER!$L$5:$L$1204,$Q46))</f>
        <v/>
      </c>
      <c r="I46" s="56" t="str">
        <f>IF($Q46="","",INDEX(TRANSACTIONS_MASTER!$N$5:$N$1204,$Q46))</f>
        <v/>
      </c>
      <c r="J46" s="25" t="str">
        <f>IF($Q46="","",INDEX(TRANSACTIONS_MASTER!$O$5:$O$1204,$Q46))</f>
        <v/>
      </c>
      <c r="K46" s="26" t="str">
        <f>IF($Q46="","",INDEX(TRANSACTIONS_MASTER!$Q$5:$Q$1204,$Q46))</f>
        <v/>
      </c>
      <c r="L46" s="25" t="str">
        <f>IF($Q46="","",INDEX(TRANSACTIONS_MASTER!$P$5:$P$1204,$Q46))</f>
        <v/>
      </c>
      <c r="M46" s="25" t="str">
        <f>IF($Q46="","",INDEX(TRANSACTIONS_MASTER!$AA$5:$AA$1204,$Q46))</f>
        <v/>
      </c>
      <c r="N46" s="25" t="str">
        <f>IF($Q46="","",INDEX(TRANSACTIONS_MASTER!$R$5:$R$1204,$Q46))</f>
        <v/>
      </c>
      <c r="O46" s="28" t="str">
        <f>IF($Q46="","",INDEX(TRANSACTIONS_MASTER!$AB$5:$AB$1204,$Q46))</f>
        <v/>
      </c>
      <c r="P46" s="55" t="str">
        <f>IF($Q46="","",INDEX(TRANSACTIONS_MASTER!$Z$5:$Z$1204,$Q46)&amp;"")</f>
        <v/>
      </c>
      <c r="Q46" s="67" t="str">
        <f>IFERROR(MATCH($C$2&amp;"|"&amp;39,TRANSACTIONS_MASTER!$AE$5:$AE$1204,0),"")</f>
        <v/>
      </c>
      <c r="S46" s="67" t="str">
        <f>IFERROR(MATCH(39,CASHBACK_RULES!$S$5:$S$304,0),"")</f>
        <v/>
      </c>
      <c r="T46" s="55" t="str">
        <f>IF($S46="","",INDEX(CASHBACK_RULES!$B$5:$B$304,$S46))</f>
        <v/>
      </c>
      <c r="U46" s="55" t="str">
        <f>IF($S46="","",INDEX(CASHBACK_RULES!$C$5:$C$304,$S46)&amp;" "&amp;INDEX(CASHBACK_RULES!$D$5:$D$304,$S46))</f>
        <v/>
      </c>
      <c r="V46" s="55" t="str">
        <f>IF($S46="","",INDEX(CASHBACK_RULES!$E$5:$E$304,$S46)&amp;"")</f>
        <v/>
      </c>
      <c r="W46" s="55" t="str">
        <f>IF($S46="","",INDEX(CASHBACK_RULES!$F$5:$F$304,$S46)&amp;"")</f>
        <v/>
      </c>
      <c r="X46" s="26" t="str">
        <f>IF($S46="","",SUMIFS(TRANSACTIONS_MASTER!$Q$5:$Q$1204,TRANSACTIONS_MASTER!$D$5:$D$1204,$T46,TRANSACTIONS_MASTER!$Z$5:$Z$1204,$V46,TRANSACTIONS_MASTER!$C$5:$C$1204,$C$2))</f>
        <v/>
      </c>
      <c r="Y46" s="25" t="str">
        <f>IF($S46="","",IF(ISNUMBER(INDEX(CASHBACK_RULES!$J$5:$J$304,$S46)),INDEX(CASHBACK_RULES!$J$5:$J$304,$S46),"∞"))</f>
        <v/>
      </c>
      <c r="Z46" s="25" t="str">
        <f>IF($S46="","",IF(ISNUMBER($Y46),MAX(0,$Y46-$X46),"∞"))</f>
        <v/>
      </c>
      <c r="AA46" s="27" t="str">
        <f>IF($S46="","",IF(ISNUMBER($Y46),IF($Y46=0,0,$X46/$Y46),""))</f>
        <v/>
      </c>
    </row>
    <row r="47" ht="20" customHeight="1">
      <c r="A47" s="81" t="str">
        <f>IF($Q47="","",40)</f>
        <v/>
      </c>
      <c r="B47" s="57" t="str">
        <f>IF($Q47="","",INDEX(TRANSACTIONS_MASTER!$B$5:$B$1204,$Q47))</f>
        <v/>
      </c>
      <c r="C47" s="55" t="str">
        <f>IF($Q47="","",INDEX(TRANSACTIONS_MASTER!$F$5:$F$1204,$Q47))</f>
        <v/>
      </c>
      <c r="D47" s="55" t="str">
        <f>IF($Q47="","",INDEX(TRANSACTIONS_MASTER!$E$5:$E$1204,$Q47))</f>
        <v/>
      </c>
      <c r="E47" s="55" t="str">
        <f>IF($Q47="","",INDEX(TRANSACTIONS_MASTER!$G$5:$G$1204,$Q47)&amp;"")</f>
        <v/>
      </c>
      <c r="F47" s="29" t="str">
        <f>IF($Q47="","",INDEX(TRANSACTIONS_MASTER!$I$5:$I$1204,$Q47))</f>
        <v/>
      </c>
      <c r="G47" s="55" t="str">
        <f>IF($Q47="","",INDEX(TRANSACTIONS_MASTER!$K$5:$K$1204,$Q47))</f>
        <v/>
      </c>
      <c r="H47" s="25" t="str">
        <f>IF($Q47="","",INDEX(TRANSACTIONS_MASTER!$L$5:$L$1204,$Q47))</f>
        <v/>
      </c>
      <c r="I47" s="56" t="str">
        <f>IF($Q47="","",INDEX(TRANSACTIONS_MASTER!$N$5:$N$1204,$Q47))</f>
        <v/>
      </c>
      <c r="J47" s="25" t="str">
        <f>IF($Q47="","",INDEX(TRANSACTIONS_MASTER!$O$5:$O$1204,$Q47))</f>
        <v/>
      </c>
      <c r="K47" s="26" t="str">
        <f>IF($Q47="","",INDEX(TRANSACTIONS_MASTER!$Q$5:$Q$1204,$Q47))</f>
        <v/>
      </c>
      <c r="L47" s="25" t="str">
        <f>IF($Q47="","",INDEX(TRANSACTIONS_MASTER!$P$5:$P$1204,$Q47))</f>
        <v/>
      </c>
      <c r="M47" s="25" t="str">
        <f>IF($Q47="","",INDEX(TRANSACTIONS_MASTER!$AA$5:$AA$1204,$Q47))</f>
        <v/>
      </c>
      <c r="N47" s="25" t="str">
        <f>IF($Q47="","",INDEX(TRANSACTIONS_MASTER!$R$5:$R$1204,$Q47))</f>
        <v/>
      </c>
      <c r="O47" s="28" t="str">
        <f>IF($Q47="","",INDEX(TRANSACTIONS_MASTER!$AB$5:$AB$1204,$Q47))</f>
        <v/>
      </c>
      <c r="P47" s="55" t="str">
        <f>IF($Q47="","",INDEX(TRANSACTIONS_MASTER!$Z$5:$Z$1204,$Q47)&amp;"")</f>
        <v/>
      </c>
      <c r="Q47" s="67" t="str">
        <f>IFERROR(MATCH($C$2&amp;"|"&amp;40,TRANSACTIONS_MASTER!$AE$5:$AE$1204,0),"")</f>
        <v/>
      </c>
      <c r="S47" s="67" t="str">
        <f>IFERROR(MATCH(40,CASHBACK_RULES!$S$5:$S$304,0),"")</f>
        <v/>
      </c>
      <c r="T47" s="55" t="str">
        <f>IF($S47="","",INDEX(CASHBACK_RULES!$B$5:$B$304,$S47))</f>
        <v/>
      </c>
      <c r="U47" s="55" t="str">
        <f>IF($S47="","",INDEX(CASHBACK_RULES!$C$5:$C$304,$S47)&amp;" "&amp;INDEX(CASHBACK_RULES!$D$5:$D$304,$S47))</f>
        <v/>
      </c>
      <c r="V47" s="55" t="str">
        <f>IF($S47="","",INDEX(CASHBACK_RULES!$E$5:$E$304,$S47)&amp;"")</f>
        <v/>
      </c>
      <c r="W47" s="55" t="str">
        <f>IF($S47="","",INDEX(CASHBACK_RULES!$F$5:$F$304,$S47)&amp;"")</f>
        <v/>
      </c>
      <c r="X47" s="26" t="str">
        <f>IF($S47="","",SUMIFS(TRANSACTIONS_MASTER!$Q$5:$Q$1204,TRANSACTIONS_MASTER!$D$5:$D$1204,$T47,TRANSACTIONS_MASTER!$Z$5:$Z$1204,$V47,TRANSACTIONS_MASTER!$C$5:$C$1204,$C$2))</f>
        <v/>
      </c>
      <c r="Y47" s="25" t="str">
        <f>IF($S47="","",IF(ISNUMBER(INDEX(CASHBACK_RULES!$J$5:$J$304,$S47)),INDEX(CASHBACK_RULES!$J$5:$J$304,$S47),"∞"))</f>
        <v/>
      </c>
      <c r="Z47" s="25" t="str">
        <f>IF($S47="","",IF(ISNUMBER($Y47),MAX(0,$Y47-$X47),"∞"))</f>
        <v/>
      </c>
      <c r="AA47" s="27" t="str">
        <f>IF($S47="","",IF(ISNUMBER($Y47),IF($Y47=0,0,$X47/$Y47),""))</f>
        <v/>
      </c>
    </row>
    <row r="48" ht="20" customHeight="1">
      <c r="A48" s="81" t="str">
        <f>IF($Q48="","",41)</f>
        <v/>
      </c>
      <c r="B48" s="57" t="str">
        <f>IF($Q48="","",INDEX(TRANSACTIONS_MASTER!$B$5:$B$1204,$Q48))</f>
        <v/>
      </c>
      <c r="C48" s="55" t="str">
        <f>IF($Q48="","",INDEX(TRANSACTIONS_MASTER!$F$5:$F$1204,$Q48))</f>
        <v/>
      </c>
      <c r="D48" s="55" t="str">
        <f>IF($Q48="","",INDEX(TRANSACTIONS_MASTER!$E$5:$E$1204,$Q48))</f>
        <v/>
      </c>
      <c r="E48" s="55" t="str">
        <f>IF($Q48="","",INDEX(TRANSACTIONS_MASTER!$G$5:$G$1204,$Q48)&amp;"")</f>
        <v/>
      </c>
      <c r="F48" s="29" t="str">
        <f>IF($Q48="","",INDEX(TRANSACTIONS_MASTER!$I$5:$I$1204,$Q48))</f>
        <v/>
      </c>
      <c r="G48" s="55" t="str">
        <f>IF($Q48="","",INDEX(TRANSACTIONS_MASTER!$K$5:$K$1204,$Q48))</f>
        <v/>
      </c>
      <c r="H48" s="25" t="str">
        <f>IF($Q48="","",INDEX(TRANSACTIONS_MASTER!$L$5:$L$1204,$Q48))</f>
        <v/>
      </c>
      <c r="I48" s="56" t="str">
        <f>IF($Q48="","",INDEX(TRANSACTIONS_MASTER!$N$5:$N$1204,$Q48))</f>
        <v/>
      </c>
      <c r="J48" s="25" t="str">
        <f>IF($Q48="","",INDEX(TRANSACTIONS_MASTER!$O$5:$O$1204,$Q48))</f>
        <v/>
      </c>
      <c r="K48" s="26" t="str">
        <f>IF($Q48="","",INDEX(TRANSACTIONS_MASTER!$Q$5:$Q$1204,$Q48))</f>
        <v/>
      </c>
      <c r="L48" s="25" t="str">
        <f>IF($Q48="","",INDEX(TRANSACTIONS_MASTER!$P$5:$P$1204,$Q48))</f>
        <v/>
      </c>
      <c r="M48" s="25" t="str">
        <f>IF($Q48="","",INDEX(TRANSACTIONS_MASTER!$AA$5:$AA$1204,$Q48))</f>
        <v/>
      </c>
      <c r="N48" s="25" t="str">
        <f>IF($Q48="","",INDEX(TRANSACTIONS_MASTER!$R$5:$R$1204,$Q48))</f>
        <v/>
      </c>
      <c r="O48" s="28" t="str">
        <f>IF($Q48="","",INDEX(TRANSACTIONS_MASTER!$AB$5:$AB$1204,$Q48))</f>
        <v/>
      </c>
      <c r="P48" s="55" t="str">
        <f>IF($Q48="","",INDEX(TRANSACTIONS_MASTER!$Z$5:$Z$1204,$Q48)&amp;"")</f>
        <v/>
      </c>
      <c r="Q48" s="67" t="str">
        <f>IFERROR(MATCH($C$2&amp;"|"&amp;41,TRANSACTIONS_MASTER!$AE$5:$AE$1204,0),"")</f>
        <v/>
      </c>
      <c r="S48" s="67" t="str">
        <f>IFERROR(MATCH(41,CASHBACK_RULES!$S$5:$S$304,0),"")</f>
        <v/>
      </c>
      <c r="T48" s="55" t="str">
        <f>IF($S48="","",INDEX(CASHBACK_RULES!$B$5:$B$304,$S48))</f>
        <v/>
      </c>
      <c r="U48" s="55" t="str">
        <f>IF($S48="","",INDEX(CASHBACK_RULES!$C$5:$C$304,$S48)&amp;" "&amp;INDEX(CASHBACK_RULES!$D$5:$D$304,$S48))</f>
        <v/>
      </c>
      <c r="V48" s="55" t="str">
        <f>IF($S48="","",INDEX(CASHBACK_RULES!$E$5:$E$304,$S48)&amp;"")</f>
        <v/>
      </c>
      <c r="W48" s="55" t="str">
        <f>IF($S48="","",INDEX(CASHBACK_RULES!$F$5:$F$304,$S48)&amp;"")</f>
        <v/>
      </c>
      <c r="X48" s="26" t="str">
        <f>IF($S48="","",SUMIFS(TRANSACTIONS_MASTER!$Q$5:$Q$1204,TRANSACTIONS_MASTER!$D$5:$D$1204,$T48,TRANSACTIONS_MASTER!$Z$5:$Z$1204,$V48,TRANSACTIONS_MASTER!$C$5:$C$1204,$C$2))</f>
        <v/>
      </c>
      <c r="Y48" s="25" t="str">
        <f>IF($S48="","",IF(ISNUMBER(INDEX(CASHBACK_RULES!$J$5:$J$304,$S48)),INDEX(CASHBACK_RULES!$J$5:$J$304,$S48),"∞"))</f>
        <v/>
      </c>
      <c r="Z48" s="25" t="str">
        <f>IF($S48="","",IF(ISNUMBER($Y48),MAX(0,$Y48-$X48),"∞"))</f>
        <v/>
      </c>
      <c r="AA48" s="27" t="str">
        <f>IF($S48="","",IF(ISNUMBER($Y48),IF($Y48=0,0,$X48/$Y48),""))</f>
        <v/>
      </c>
    </row>
    <row r="49" ht="20" customHeight="1">
      <c r="A49" s="81" t="str">
        <f>IF($Q49="","",42)</f>
        <v/>
      </c>
      <c r="B49" s="57" t="str">
        <f>IF($Q49="","",INDEX(TRANSACTIONS_MASTER!$B$5:$B$1204,$Q49))</f>
        <v/>
      </c>
      <c r="C49" s="55" t="str">
        <f>IF($Q49="","",INDEX(TRANSACTIONS_MASTER!$F$5:$F$1204,$Q49))</f>
        <v/>
      </c>
      <c r="D49" s="55" t="str">
        <f>IF($Q49="","",INDEX(TRANSACTIONS_MASTER!$E$5:$E$1204,$Q49))</f>
        <v/>
      </c>
      <c r="E49" s="55" t="str">
        <f>IF($Q49="","",INDEX(TRANSACTIONS_MASTER!$G$5:$G$1204,$Q49)&amp;"")</f>
        <v/>
      </c>
      <c r="F49" s="29" t="str">
        <f>IF($Q49="","",INDEX(TRANSACTIONS_MASTER!$I$5:$I$1204,$Q49))</f>
        <v/>
      </c>
      <c r="G49" s="55" t="str">
        <f>IF($Q49="","",INDEX(TRANSACTIONS_MASTER!$K$5:$K$1204,$Q49))</f>
        <v/>
      </c>
      <c r="H49" s="25" t="str">
        <f>IF($Q49="","",INDEX(TRANSACTIONS_MASTER!$L$5:$L$1204,$Q49))</f>
        <v/>
      </c>
      <c r="I49" s="56" t="str">
        <f>IF($Q49="","",INDEX(TRANSACTIONS_MASTER!$N$5:$N$1204,$Q49))</f>
        <v/>
      </c>
      <c r="J49" s="25" t="str">
        <f>IF($Q49="","",INDEX(TRANSACTIONS_MASTER!$O$5:$O$1204,$Q49))</f>
        <v/>
      </c>
      <c r="K49" s="26" t="str">
        <f>IF($Q49="","",INDEX(TRANSACTIONS_MASTER!$Q$5:$Q$1204,$Q49))</f>
        <v/>
      </c>
      <c r="L49" s="25" t="str">
        <f>IF($Q49="","",INDEX(TRANSACTIONS_MASTER!$P$5:$P$1204,$Q49))</f>
        <v/>
      </c>
      <c r="M49" s="25" t="str">
        <f>IF($Q49="","",INDEX(TRANSACTIONS_MASTER!$AA$5:$AA$1204,$Q49))</f>
        <v/>
      </c>
      <c r="N49" s="25" t="str">
        <f>IF($Q49="","",INDEX(TRANSACTIONS_MASTER!$R$5:$R$1204,$Q49))</f>
        <v/>
      </c>
      <c r="O49" s="28" t="str">
        <f>IF($Q49="","",INDEX(TRANSACTIONS_MASTER!$AB$5:$AB$1204,$Q49))</f>
        <v/>
      </c>
      <c r="P49" s="55" t="str">
        <f>IF($Q49="","",INDEX(TRANSACTIONS_MASTER!$Z$5:$Z$1204,$Q49)&amp;"")</f>
        <v/>
      </c>
      <c r="Q49" s="67" t="str">
        <f>IFERROR(MATCH($C$2&amp;"|"&amp;42,TRANSACTIONS_MASTER!$AE$5:$AE$1204,0),"")</f>
        <v/>
      </c>
      <c r="S49" s="67" t="str">
        <f>IFERROR(MATCH(42,CASHBACK_RULES!$S$5:$S$304,0),"")</f>
        <v/>
      </c>
      <c r="T49" s="55" t="str">
        <f>IF($S49="","",INDEX(CASHBACK_RULES!$B$5:$B$304,$S49))</f>
        <v/>
      </c>
      <c r="U49" s="55" t="str">
        <f>IF($S49="","",INDEX(CASHBACK_RULES!$C$5:$C$304,$S49)&amp;" "&amp;INDEX(CASHBACK_RULES!$D$5:$D$304,$S49))</f>
        <v/>
      </c>
      <c r="V49" s="55" t="str">
        <f>IF($S49="","",INDEX(CASHBACK_RULES!$E$5:$E$304,$S49)&amp;"")</f>
        <v/>
      </c>
      <c r="W49" s="55" t="str">
        <f>IF($S49="","",INDEX(CASHBACK_RULES!$F$5:$F$304,$S49)&amp;"")</f>
        <v/>
      </c>
      <c r="X49" s="26" t="str">
        <f>IF($S49="","",SUMIFS(TRANSACTIONS_MASTER!$Q$5:$Q$1204,TRANSACTIONS_MASTER!$D$5:$D$1204,$T49,TRANSACTIONS_MASTER!$Z$5:$Z$1204,$V49,TRANSACTIONS_MASTER!$C$5:$C$1204,$C$2))</f>
        <v/>
      </c>
      <c r="Y49" s="25" t="str">
        <f>IF($S49="","",IF(ISNUMBER(INDEX(CASHBACK_RULES!$J$5:$J$304,$S49)),INDEX(CASHBACK_RULES!$J$5:$J$304,$S49),"∞"))</f>
        <v/>
      </c>
      <c r="Z49" s="25" t="str">
        <f>IF($S49="","",IF(ISNUMBER($Y49),MAX(0,$Y49-$X49),"∞"))</f>
        <v/>
      </c>
      <c r="AA49" s="27" t="str">
        <f>IF($S49="","",IF(ISNUMBER($Y49),IF($Y49=0,0,$X49/$Y49),""))</f>
        <v/>
      </c>
    </row>
    <row r="50" ht="20" customHeight="1">
      <c r="A50" s="81" t="str">
        <f>IF($Q50="","",43)</f>
        <v/>
      </c>
      <c r="B50" s="57" t="str">
        <f>IF($Q50="","",INDEX(TRANSACTIONS_MASTER!$B$5:$B$1204,$Q50))</f>
        <v/>
      </c>
      <c r="C50" s="55" t="str">
        <f>IF($Q50="","",INDEX(TRANSACTIONS_MASTER!$F$5:$F$1204,$Q50))</f>
        <v/>
      </c>
      <c r="D50" s="55" t="str">
        <f>IF($Q50="","",INDEX(TRANSACTIONS_MASTER!$E$5:$E$1204,$Q50))</f>
        <v/>
      </c>
      <c r="E50" s="55" t="str">
        <f>IF($Q50="","",INDEX(TRANSACTIONS_MASTER!$G$5:$G$1204,$Q50)&amp;"")</f>
        <v/>
      </c>
      <c r="F50" s="29" t="str">
        <f>IF($Q50="","",INDEX(TRANSACTIONS_MASTER!$I$5:$I$1204,$Q50))</f>
        <v/>
      </c>
      <c r="G50" s="55" t="str">
        <f>IF($Q50="","",INDEX(TRANSACTIONS_MASTER!$K$5:$K$1204,$Q50))</f>
        <v/>
      </c>
      <c r="H50" s="25" t="str">
        <f>IF($Q50="","",INDEX(TRANSACTIONS_MASTER!$L$5:$L$1204,$Q50))</f>
        <v/>
      </c>
      <c r="I50" s="56" t="str">
        <f>IF($Q50="","",INDEX(TRANSACTIONS_MASTER!$N$5:$N$1204,$Q50))</f>
        <v/>
      </c>
      <c r="J50" s="25" t="str">
        <f>IF($Q50="","",INDEX(TRANSACTIONS_MASTER!$O$5:$O$1204,$Q50))</f>
        <v/>
      </c>
      <c r="K50" s="26" t="str">
        <f>IF($Q50="","",INDEX(TRANSACTIONS_MASTER!$Q$5:$Q$1204,$Q50))</f>
        <v/>
      </c>
      <c r="L50" s="25" t="str">
        <f>IF($Q50="","",INDEX(TRANSACTIONS_MASTER!$P$5:$P$1204,$Q50))</f>
        <v/>
      </c>
      <c r="M50" s="25" t="str">
        <f>IF($Q50="","",INDEX(TRANSACTIONS_MASTER!$AA$5:$AA$1204,$Q50))</f>
        <v/>
      </c>
      <c r="N50" s="25" t="str">
        <f>IF($Q50="","",INDEX(TRANSACTIONS_MASTER!$R$5:$R$1204,$Q50))</f>
        <v/>
      </c>
      <c r="O50" s="28" t="str">
        <f>IF($Q50="","",INDEX(TRANSACTIONS_MASTER!$AB$5:$AB$1204,$Q50))</f>
        <v/>
      </c>
      <c r="P50" s="55" t="str">
        <f>IF($Q50="","",INDEX(TRANSACTIONS_MASTER!$Z$5:$Z$1204,$Q50)&amp;"")</f>
        <v/>
      </c>
      <c r="Q50" s="67" t="str">
        <f>IFERROR(MATCH($C$2&amp;"|"&amp;43,TRANSACTIONS_MASTER!$AE$5:$AE$1204,0),"")</f>
        <v/>
      </c>
      <c r="S50" s="67" t="str">
        <f>IFERROR(MATCH(43,CASHBACK_RULES!$S$5:$S$304,0),"")</f>
        <v/>
      </c>
      <c r="T50" s="55" t="str">
        <f>IF($S50="","",INDEX(CASHBACK_RULES!$B$5:$B$304,$S50))</f>
        <v/>
      </c>
      <c r="U50" s="55" t="str">
        <f>IF($S50="","",INDEX(CASHBACK_RULES!$C$5:$C$304,$S50)&amp;" "&amp;INDEX(CASHBACK_RULES!$D$5:$D$304,$S50))</f>
        <v/>
      </c>
      <c r="V50" s="55" t="str">
        <f>IF($S50="","",INDEX(CASHBACK_RULES!$E$5:$E$304,$S50)&amp;"")</f>
        <v/>
      </c>
      <c r="W50" s="55" t="str">
        <f>IF($S50="","",INDEX(CASHBACK_RULES!$F$5:$F$304,$S50)&amp;"")</f>
        <v/>
      </c>
      <c r="X50" s="26" t="str">
        <f>IF($S50="","",SUMIFS(TRANSACTIONS_MASTER!$Q$5:$Q$1204,TRANSACTIONS_MASTER!$D$5:$D$1204,$T50,TRANSACTIONS_MASTER!$Z$5:$Z$1204,$V50,TRANSACTIONS_MASTER!$C$5:$C$1204,$C$2))</f>
        <v/>
      </c>
      <c r="Y50" s="25" t="str">
        <f>IF($S50="","",IF(ISNUMBER(INDEX(CASHBACK_RULES!$J$5:$J$304,$S50)),INDEX(CASHBACK_RULES!$J$5:$J$304,$S50),"∞"))</f>
        <v/>
      </c>
      <c r="Z50" s="25" t="str">
        <f>IF($S50="","",IF(ISNUMBER($Y50),MAX(0,$Y50-$X50),"∞"))</f>
        <v/>
      </c>
      <c r="AA50" s="27" t="str">
        <f>IF($S50="","",IF(ISNUMBER($Y50),IF($Y50=0,0,$X50/$Y50),""))</f>
        <v/>
      </c>
    </row>
    <row r="51" ht="20" customHeight="1">
      <c r="A51" s="81" t="str">
        <f>IF($Q51="","",44)</f>
        <v/>
      </c>
      <c r="B51" s="57" t="str">
        <f>IF($Q51="","",INDEX(TRANSACTIONS_MASTER!$B$5:$B$1204,$Q51))</f>
        <v/>
      </c>
      <c r="C51" s="55" t="str">
        <f>IF($Q51="","",INDEX(TRANSACTIONS_MASTER!$F$5:$F$1204,$Q51))</f>
        <v/>
      </c>
      <c r="D51" s="55" t="str">
        <f>IF($Q51="","",INDEX(TRANSACTIONS_MASTER!$E$5:$E$1204,$Q51))</f>
        <v/>
      </c>
      <c r="E51" s="55" t="str">
        <f>IF($Q51="","",INDEX(TRANSACTIONS_MASTER!$G$5:$G$1204,$Q51)&amp;"")</f>
        <v/>
      </c>
      <c r="F51" s="29" t="str">
        <f>IF($Q51="","",INDEX(TRANSACTIONS_MASTER!$I$5:$I$1204,$Q51))</f>
        <v/>
      </c>
      <c r="G51" s="55" t="str">
        <f>IF($Q51="","",INDEX(TRANSACTIONS_MASTER!$K$5:$K$1204,$Q51))</f>
        <v/>
      </c>
      <c r="H51" s="25" t="str">
        <f>IF($Q51="","",INDEX(TRANSACTIONS_MASTER!$L$5:$L$1204,$Q51))</f>
        <v/>
      </c>
      <c r="I51" s="56" t="str">
        <f>IF($Q51="","",INDEX(TRANSACTIONS_MASTER!$N$5:$N$1204,$Q51))</f>
        <v/>
      </c>
      <c r="J51" s="25" t="str">
        <f>IF($Q51="","",INDEX(TRANSACTIONS_MASTER!$O$5:$O$1204,$Q51))</f>
        <v/>
      </c>
      <c r="K51" s="26" t="str">
        <f>IF($Q51="","",INDEX(TRANSACTIONS_MASTER!$Q$5:$Q$1204,$Q51))</f>
        <v/>
      </c>
      <c r="L51" s="25" t="str">
        <f>IF($Q51="","",INDEX(TRANSACTIONS_MASTER!$P$5:$P$1204,$Q51))</f>
        <v/>
      </c>
      <c r="M51" s="25" t="str">
        <f>IF($Q51="","",INDEX(TRANSACTIONS_MASTER!$AA$5:$AA$1204,$Q51))</f>
        <v/>
      </c>
      <c r="N51" s="25" t="str">
        <f>IF($Q51="","",INDEX(TRANSACTIONS_MASTER!$R$5:$R$1204,$Q51))</f>
        <v/>
      </c>
      <c r="O51" s="28" t="str">
        <f>IF($Q51="","",INDEX(TRANSACTIONS_MASTER!$AB$5:$AB$1204,$Q51))</f>
        <v/>
      </c>
      <c r="P51" s="55" t="str">
        <f>IF($Q51="","",INDEX(TRANSACTIONS_MASTER!$Z$5:$Z$1204,$Q51)&amp;"")</f>
        <v/>
      </c>
      <c r="Q51" s="67" t="str">
        <f>IFERROR(MATCH($C$2&amp;"|"&amp;44,TRANSACTIONS_MASTER!$AE$5:$AE$1204,0),"")</f>
        <v/>
      </c>
      <c r="S51" s="67" t="str">
        <f>IFERROR(MATCH(44,CASHBACK_RULES!$S$5:$S$304,0),"")</f>
        <v/>
      </c>
      <c r="T51" s="55" t="str">
        <f>IF($S51="","",INDEX(CASHBACK_RULES!$B$5:$B$304,$S51))</f>
        <v/>
      </c>
      <c r="U51" s="55" t="str">
        <f>IF($S51="","",INDEX(CASHBACK_RULES!$C$5:$C$304,$S51)&amp;" "&amp;INDEX(CASHBACK_RULES!$D$5:$D$304,$S51))</f>
        <v/>
      </c>
      <c r="V51" s="55" t="str">
        <f>IF($S51="","",INDEX(CASHBACK_RULES!$E$5:$E$304,$S51)&amp;"")</f>
        <v/>
      </c>
      <c r="W51" s="55" t="str">
        <f>IF($S51="","",INDEX(CASHBACK_RULES!$F$5:$F$304,$S51)&amp;"")</f>
        <v/>
      </c>
      <c r="X51" s="26" t="str">
        <f>IF($S51="","",SUMIFS(TRANSACTIONS_MASTER!$Q$5:$Q$1204,TRANSACTIONS_MASTER!$D$5:$D$1204,$T51,TRANSACTIONS_MASTER!$Z$5:$Z$1204,$V51,TRANSACTIONS_MASTER!$C$5:$C$1204,$C$2))</f>
        <v/>
      </c>
      <c r="Y51" s="25" t="str">
        <f>IF($S51="","",IF(ISNUMBER(INDEX(CASHBACK_RULES!$J$5:$J$304,$S51)),INDEX(CASHBACK_RULES!$J$5:$J$304,$S51),"∞"))</f>
        <v/>
      </c>
      <c r="Z51" s="25" t="str">
        <f>IF($S51="","",IF(ISNUMBER($Y51),MAX(0,$Y51-$X51),"∞"))</f>
        <v/>
      </c>
      <c r="AA51" s="27" t="str">
        <f>IF($S51="","",IF(ISNUMBER($Y51),IF($Y51=0,0,$X51/$Y51),""))</f>
        <v/>
      </c>
    </row>
    <row r="52" ht="20" customHeight="1">
      <c r="A52" s="81" t="str">
        <f>IF($Q52="","",45)</f>
        <v/>
      </c>
      <c r="B52" s="57" t="str">
        <f>IF($Q52="","",INDEX(TRANSACTIONS_MASTER!$B$5:$B$1204,$Q52))</f>
        <v/>
      </c>
      <c r="C52" s="55" t="str">
        <f>IF($Q52="","",INDEX(TRANSACTIONS_MASTER!$F$5:$F$1204,$Q52))</f>
        <v/>
      </c>
      <c r="D52" s="55" t="str">
        <f>IF($Q52="","",INDEX(TRANSACTIONS_MASTER!$E$5:$E$1204,$Q52))</f>
        <v/>
      </c>
      <c r="E52" s="55" t="str">
        <f>IF($Q52="","",INDEX(TRANSACTIONS_MASTER!$G$5:$G$1204,$Q52)&amp;"")</f>
        <v/>
      </c>
      <c r="F52" s="29" t="str">
        <f>IF($Q52="","",INDEX(TRANSACTIONS_MASTER!$I$5:$I$1204,$Q52))</f>
        <v/>
      </c>
      <c r="G52" s="55" t="str">
        <f>IF($Q52="","",INDEX(TRANSACTIONS_MASTER!$K$5:$K$1204,$Q52))</f>
        <v/>
      </c>
      <c r="H52" s="25" t="str">
        <f>IF($Q52="","",INDEX(TRANSACTIONS_MASTER!$L$5:$L$1204,$Q52))</f>
        <v/>
      </c>
      <c r="I52" s="56" t="str">
        <f>IF($Q52="","",INDEX(TRANSACTIONS_MASTER!$N$5:$N$1204,$Q52))</f>
        <v/>
      </c>
      <c r="J52" s="25" t="str">
        <f>IF($Q52="","",INDEX(TRANSACTIONS_MASTER!$O$5:$O$1204,$Q52))</f>
        <v/>
      </c>
      <c r="K52" s="26" t="str">
        <f>IF($Q52="","",INDEX(TRANSACTIONS_MASTER!$Q$5:$Q$1204,$Q52))</f>
        <v/>
      </c>
      <c r="L52" s="25" t="str">
        <f>IF($Q52="","",INDEX(TRANSACTIONS_MASTER!$P$5:$P$1204,$Q52))</f>
        <v/>
      </c>
      <c r="M52" s="25" t="str">
        <f>IF($Q52="","",INDEX(TRANSACTIONS_MASTER!$AA$5:$AA$1204,$Q52))</f>
        <v/>
      </c>
      <c r="N52" s="25" t="str">
        <f>IF($Q52="","",INDEX(TRANSACTIONS_MASTER!$R$5:$R$1204,$Q52))</f>
        <v/>
      </c>
      <c r="O52" s="28" t="str">
        <f>IF($Q52="","",INDEX(TRANSACTIONS_MASTER!$AB$5:$AB$1204,$Q52))</f>
        <v/>
      </c>
      <c r="P52" s="55" t="str">
        <f>IF($Q52="","",INDEX(TRANSACTIONS_MASTER!$Z$5:$Z$1204,$Q52)&amp;"")</f>
        <v/>
      </c>
      <c r="Q52" s="67" t="str">
        <f>IFERROR(MATCH($C$2&amp;"|"&amp;45,TRANSACTIONS_MASTER!$AE$5:$AE$1204,0),"")</f>
        <v/>
      </c>
      <c r="S52" s="67" t="str">
        <f>IFERROR(MATCH(45,CASHBACK_RULES!$S$5:$S$304,0),"")</f>
        <v/>
      </c>
      <c r="T52" s="55" t="str">
        <f>IF($S52="","",INDEX(CASHBACK_RULES!$B$5:$B$304,$S52))</f>
        <v/>
      </c>
      <c r="U52" s="55" t="str">
        <f>IF($S52="","",INDEX(CASHBACK_RULES!$C$5:$C$304,$S52)&amp;" "&amp;INDEX(CASHBACK_RULES!$D$5:$D$304,$S52))</f>
        <v/>
      </c>
      <c r="V52" s="55" t="str">
        <f>IF($S52="","",INDEX(CASHBACK_RULES!$E$5:$E$304,$S52)&amp;"")</f>
        <v/>
      </c>
      <c r="W52" s="55" t="str">
        <f>IF($S52="","",INDEX(CASHBACK_RULES!$F$5:$F$304,$S52)&amp;"")</f>
        <v/>
      </c>
      <c r="X52" s="26" t="str">
        <f>IF($S52="","",SUMIFS(TRANSACTIONS_MASTER!$Q$5:$Q$1204,TRANSACTIONS_MASTER!$D$5:$D$1204,$T52,TRANSACTIONS_MASTER!$Z$5:$Z$1204,$V52,TRANSACTIONS_MASTER!$C$5:$C$1204,$C$2))</f>
        <v/>
      </c>
      <c r="Y52" s="25" t="str">
        <f>IF($S52="","",IF(ISNUMBER(INDEX(CASHBACK_RULES!$J$5:$J$304,$S52)),INDEX(CASHBACK_RULES!$J$5:$J$304,$S52),"∞"))</f>
        <v/>
      </c>
      <c r="Z52" s="25" t="str">
        <f>IF($S52="","",IF(ISNUMBER($Y52),MAX(0,$Y52-$X52),"∞"))</f>
        <v/>
      </c>
      <c r="AA52" s="27" t="str">
        <f>IF($S52="","",IF(ISNUMBER($Y52),IF($Y52=0,0,$X52/$Y52),""))</f>
        <v/>
      </c>
    </row>
    <row r="53" ht="20" customHeight="1">
      <c r="A53" s="81" t="str">
        <f>IF($Q53="","",46)</f>
        <v/>
      </c>
      <c r="B53" s="57" t="str">
        <f>IF($Q53="","",INDEX(TRANSACTIONS_MASTER!$B$5:$B$1204,$Q53))</f>
        <v/>
      </c>
      <c r="C53" s="55" t="str">
        <f>IF($Q53="","",INDEX(TRANSACTIONS_MASTER!$F$5:$F$1204,$Q53))</f>
        <v/>
      </c>
      <c r="D53" s="55" t="str">
        <f>IF($Q53="","",INDEX(TRANSACTIONS_MASTER!$E$5:$E$1204,$Q53))</f>
        <v/>
      </c>
      <c r="E53" s="55" t="str">
        <f>IF($Q53="","",INDEX(TRANSACTIONS_MASTER!$G$5:$G$1204,$Q53)&amp;"")</f>
        <v/>
      </c>
      <c r="F53" s="29" t="str">
        <f>IF($Q53="","",INDEX(TRANSACTIONS_MASTER!$I$5:$I$1204,$Q53))</f>
        <v/>
      </c>
      <c r="G53" s="55" t="str">
        <f>IF($Q53="","",INDEX(TRANSACTIONS_MASTER!$K$5:$K$1204,$Q53))</f>
        <v/>
      </c>
      <c r="H53" s="25" t="str">
        <f>IF($Q53="","",INDEX(TRANSACTIONS_MASTER!$L$5:$L$1204,$Q53))</f>
        <v/>
      </c>
      <c r="I53" s="56" t="str">
        <f>IF($Q53="","",INDEX(TRANSACTIONS_MASTER!$N$5:$N$1204,$Q53))</f>
        <v/>
      </c>
      <c r="J53" s="25" t="str">
        <f>IF($Q53="","",INDEX(TRANSACTIONS_MASTER!$O$5:$O$1204,$Q53))</f>
        <v/>
      </c>
      <c r="K53" s="26" t="str">
        <f>IF($Q53="","",INDEX(TRANSACTIONS_MASTER!$Q$5:$Q$1204,$Q53))</f>
        <v/>
      </c>
      <c r="L53" s="25" t="str">
        <f>IF($Q53="","",INDEX(TRANSACTIONS_MASTER!$P$5:$P$1204,$Q53))</f>
        <v/>
      </c>
      <c r="M53" s="25" t="str">
        <f>IF($Q53="","",INDEX(TRANSACTIONS_MASTER!$AA$5:$AA$1204,$Q53))</f>
        <v/>
      </c>
      <c r="N53" s="25" t="str">
        <f>IF($Q53="","",INDEX(TRANSACTIONS_MASTER!$R$5:$R$1204,$Q53))</f>
        <v/>
      </c>
      <c r="O53" s="28" t="str">
        <f>IF($Q53="","",INDEX(TRANSACTIONS_MASTER!$AB$5:$AB$1204,$Q53))</f>
        <v/>
      </c>
      <c r="P53" s="55" t="str">
        <f>IF($Q53="","",INDEX(TRANSACTIONS_MASTER!$Z$5:$Z$1204,$Q53)&amp;"")</f>
        <v/>
      </c>
      <c r="Q53" s="67" t="str">
        <f>IFERROR(MATCH($C$2&amp;"|"&amp;46,TRANSACTIONS_MASTER!$AE$5:$AE$1204,0),"")</f>
        <v/>
      </c>
      <c r="S53" s="67" t="str">
        <f>IFERROR(MATCH(46,CASHBACK_RULES!$S$5:$S$304,0),"")</f>
        <v/>
      </c>
      <c r="T53" s="55" t="str">
        <f>IF($S53="","",INDEX(CASHBACK_RULES!$B$5:$B$304,$S53))</f>
        <v/>
      </c>
      <c r="U53" s="55" t="str">
        <f>IF($S53="","",INDEX(CASHBACK_RULES!$C$5:$C$304,$S53)&amp;" "&amp;INDEX(CASHBACK_RULES!$D$5:$D$304,$S53))</f>
        <v/>
      </c>
      <c r="V53" s="55" t="str">
        <f>IF($S53="","",INDEX(CASHBACK_RULES!$E$5:$E$304,$S53)&amp;"")</f>
        <v/>
      </c>
      <c r="W53" s="55" t="str">
        <f>IF($S53="","",INDEX(CASHBACK_RULES!$F$5:$F$304,$S53)&amp;"")</f>
        <v/>
      </c>
      <c r="X53" s="26" t="str">
        <f>IF($S53="","",SUMIFS(TRANSACTIONS_MASTER!$Q$5:$Q$1204,TRANSACTIONS_MASTER!$D$5:$D$1204,$T53,TRANSACTIONS_MASTER!$Z$5:$Z$1204,$V53,TRANSACTIONS_MASTER!$C$5:$C$1204,$C$2))</f>
        <v/>
      </c>
      <c r="Y53" s="25" t="str">
        <f>IF($S53="","",IF(ISNUMBER(INDEX(CASHBACK_RULES!$J$5:$J$304,$S53)),INDEX(CASHBACK_RULES!$J$5:$J$304,$S53),"∞"))</f>
        <v/>
      </c>
      <c r="Z53" s="25" t="str">
        <f>IF($S53="","",IF(ISNUMBER($Y53),MAX(0,$Y53-$X53),"∞"))</f>
        <v/>
      </c>
      <c r="AA53" s="27" t="str">
        <f>IF($S53="","",IF(ISNUMBER($Y53),IF($Y53=0,0,$X53/$Y53),""))</f>
        <v/>
      </c>
    </row>
    <row r="54" ht="20" customHeight="1">
      <c r="A54" s="81" t="str">
        <f>IF($Q54="","",47)</f>
        <v/>
      </c>
      <c r="B54" s="57" t="str">
        <f>IF($Q54="","",INDEX(TRANSACTIONS_MASTER!$B$5:$B$1204,$Q54))</f>
        <v/>
      </c>
      <c r="C54" s="55" t="str">
        <f>IF($Q54="","",INDEX(TRANSACTIONS_MASTER!$F$5:$F$1204,$Q54))</f>
        <v/>
      </c>
      <c r="D54" s="55" t="str">
        <f>IF($Q54="","",INDEX(TRANSACTIONS_MASTER!$E$5:$E$1204,$Q54))</f>
        <v/>
      </c>
      <c r="E54" s="55" t="str">
        <f>IF($Q54="","",INDEX(TRANSACTIONS_MASTER!$G$5:$G$1204,$Q54)&amp;"")</f>
        <v/>
      </c>
      <c r="F54" s="29" t="str">
        <f>IF($Q54="","",INDEX(TRANSACTIONS_MASTER!$I$5:$I$1204,$Q54))</f>
        <v/>
      </c>
      <c r="G54" s="55" t="str">
        <f>IF($Q54="","",INDEX(TRANSACTIONS_MASTER!$K$5:$K$1204,$Q54))</f>
        <v/>
      </c>
      <c r="H54" s="25" t="str">
        <f>IF($Q54="","",INDEX(TRANSACTIONS_MASTER!$L$5:$L$1204,$Q54))</f>
        <v/>
      </c>
      <c r="I54" s="56" t="str">
        <f>IF($Q54="","",INDEX(TRANSACTIONS_MASTER!$N$5:$N$1204,$Q54))</f>
        <v/>
      </c>
      <c r="J54" s="25" t="str">
        <f>IF($Q54="","",INDEX(TRANSACTIONS_MASTER!$O$5:$O$1204,$Q54))</f>
        <v/>
      </c>
      <c r="K54" s="26" t="str">
        <f>IF($Q54="","",INDEX(TRANSACTIONS_MASTER!$Q$5:$Q$1204,$Q54))</f>
        <v/>
      </c>
      <c r="L54" s="25" t="str">
        <f>IF($Q54="","",INDEX(TRANSACTIONS_MASTER!$P$5:$P$1204,$Q54))</f>
        <v/>
      </c>
      <c r="M54" s="25" t="str">
        <f>IF($Q54="","",INDEX(TRANSACTIONS_MASTER!$AA$5:$AA$1204,$Q54))</f>
        <v/>
      </c>
      <c r="N54" s="25" t="str">
        <f>IF($Q54="","",INDEX(TRANSACTIONS_MASTER!$R$5:$R$1204,$Q54))</f>
        <v/>
      </c>
      <c r="O54" s="28" t="str">
        <f>IF($Q54="","",INDEX(TRANSACTIONS_MASTER!$AB$5:$AB$1204,$Q54))</f>
        <v/>
      </c>
      <c r="P54" s="55" t="str">
        <f>IF($Q54="","",INDEX(TRANSACTIONS_MASTER!$Z$5:$Z$1204,$Q54)&amp;"")</f>
        <v/>
      </c>
      <c r="Q54" s="67" t="str">
        <f>IFERROR(MATCH($C$2&amp;"|"&amp;47,TRANSACTIONS_MASTER!$AE$5:$AE$1204,0),"")</f>
        <v/>
      </c>
      <c r="S54" s="67" t="str">
        <f>IFERROR(MATCH(47,CASHBACK_RULES!$S$5:$S$304,0),"")</f>
        <v/>
      </c>
      <c r="T54" s="55" t="str">
        <f>IF($S54="","",INDEX(CASHBACK_RULES!$B$5:$B$304,$S54))</f>
        <v/>
      </c>
      <c r="U54" s="55" t="str">
        <f>IF($S54="","",INDEX(CASHBACK_RULES!$C$5:$C$304,$S54)&amp;" "&amp;INDEX(CASHBACK_RULES!$D$5:$D$304,$S54))</f>
        <v/>
      </c>
      <c r="V54" s="55" t="str">
        <f>IF($S54="","",INDEX(CASHBACK_RULES!$E$5:$E$304,$S54)&amp;"")</f>
        <v/>
      </c>
      <c r="W54" s="55" t="str">
        <f>IF($S54="","",INDEX(CASHBACK_RULES!$F$5:$F$304,$S54)&amp;"")</f>
        <v/>
      </c>
      <c r="X54" s="26" t="str">
        <f>IF($S54="","",SUMIFS(TRANSACTIONS_MASTER!$Q$5:$Q$1204,TRANSACTIONS_MASTER!$D$5:$D$1204,$T54,TRANSACTIONS_MASTER!$Z$5:$Z$1204,$V54,TRANSACTIONS_MASTER!$C$5:$C$1204,$C$2))</f>
        <v/>
      </c>
      <c r="Y54" s="25" t="str">
        <f>IF($S54="","",IF(ISNUMBER(INDEX(CASHBACK_RULES!$J$5:$J$304,$S54)),INDEX(CASHBACK_RULES!$J$5:$J$304,$S54),"∞"))</f>
        <v/>
      </c>
      <c r="Z54" s="25" t="str">
        <f>IF($S54="","",IF(ISNUMBER($Y54),MAX(0,$Y54-$X54),"∞"))</f>
        <v/>
      </c>
      <c r="AA54" s="27" t="str">
        <f>IF($S54="","",IF(ISNUMBER($Y54),IF($Y54=0,0,$X54/$Y54),""))</f>
        <v/>
      </c>
    </row>
    <row r="55" ht="20" customHeight="1">
      <c r="A55" s="81" t="str">
        <f>IF($Q55="","",48)</f>
        <v/>
      </c>
      <c r="B55" s="57" t="str">
        <f>IF($Q55="","",INDEX(TRANSACTIONS_MASTER!$B$5:$B$1204,$Q55))</f>
        <v/>
      </c>
      <c r="C55" s="55" t="str">
        <f>IF($Q55="","",INDEX(TRANSACTIONS_MASTER!$F$5:$F$1204,$Q55))</f>
        <v/>
      </c>
      <c r="D55" s="55" t="str">
        <f>IF($Q55="","",INDEX(TRANSACTIONS_MASTER!$E$5:$E$1204,$Q55))</f>
        <v/>
      </c>
      <c r="E55" s="55" t="str">
        <f>IF($Q55="","",INDEX(TRANSACTIONS_MASTER!$G$5:$G$1204,$Q55)&amp;"")</f>
        <v/>
      </c>
      <c r="F55" s="29" t="str">
        <f>IF($Q55="","",INDEX(TRANSACTIONS_MASTER!$I$5:$I$1204,$Q55))</f>
        <v/>
      </c>
      <c r="G55" s="55" t="str">
        <f>IF($Q55="","",INDEX(TRANSACTIONS_MASTER!$K$5:$K$1204,$Q55))</f>
        <v/>
      </c>
      <c r="H55" s="25" t="str">
        <f>IF($Q55="","",INDEX(TRANSACTIONS_MASTER!$L$5:$L$1204,$Q55))</f>
        <v/>
      </c>
      <c r="I55" s="56" t="str">
        <f>IF($Q55="","",INDEX(TRANSACTIONS_MASTER!$N$5:$N$1204,$Q55))</f>
        <v/>
      </c>
      <c r="J55" s="25" t="str">
        <f>IF($Q55="","",INDEX(TRANSACTIONS_MASTER!$O$5:$O$1204,$Q55))</f>
        <v/>
      </c>
      <c r="K55" s="26" t="str">
        <f>IF($Q55="","",INDEX(TRANSACTIONS_MASTER!$Q$5:$Q$1204,$Q55))</f>
        <v/>
      </c>
      <c r="L55" s="25" t="str">
        <f>IF($Q55="","",INDEX(TRANSACTIONS_MASTER!$P$5:$P$1204,$Q55))</f>
        <v/>
      </c>
      <c r="M55" s="25" t="str">
        <f>IF($Q55="","",INDEX(TRANSACTIONS_MASTER!$AA$5:$AA$1204,$Q55))</f>
        <v/>
      </c>
      <c r="N55" s="25" t="str">
        <f>IF($Q55="","",INDEX(TRANSACTIONS_MASTER!$R$5:$R$1204,$Q55))</f>
        <v/>
      </c>
      <c r="O55" s="28" t="str">
        <f>IF($Q55="","",INDEX(TRANSACTIONS_MASTER!$AB$5:$AB$1204,$Q55))</f>
        <v/>
      </c>
      <c r="P55" s="55" t="str">
        <f>IF($Q55="","",INDEX(TRANSACTIONS_MASTER!$Z$5:$Z$1204,$Q55)&amp;"")</f>
        <v/>
      </c>
      <c r="Q55" s="67" t="str">
        <f>IFERROR(MATCH($C$2&amp;"|"&amp;48,TRANSACTIONS_MASTER!$AE$5:$AE$1204,0),"")</f>
        <v/>
      </c>
      <c r="S55" s="67" t="str">
        <f>IFERROR(MATCH(48,CASHBACK_RULES!$S$5:$S$304,0),"")</f>
        <v/>
      </c>
      <c r="T55" s="55" t="str">
        <f>IF($S55="","",INDEX(CASHBACK_RULES!$B$5:$B$304,$S55))</f>
        <v/>
      </c>
      <c r="U55" s="55" t="str">
        <f>IF($S55="","",INDEX(CASHBACK_RULES!$C$5:$C$304,$S55)&amp;" "&amp;INDEX(CASHBACK_RULES!$D$5:$D$304,$S55))</f>
        <v/>
      </c>
      <c r="V55" s="55" t="str">
        <f>IF($S55="","",INDEX(CASHBACK_RULES!$E$5:$E$304,$S55)&amp;"")</f>
        <v/>
      </c>
      <c r="W55" s="55" t="str">
        <f>IF($S55="","",INDEX(CASHBACK_RULES!$F$5:$F$304,$S55)&amp;"")</f>
        <v/>
      </c>
      <c r="X55" s="26" t="str">
        <f>IF($S55="","",SUMIFS(TRANSACTIONS_MASTER!$Q$5:$Q$1204,TRANSACTIONS_MASTER!$D$5:$D$1204,$T55,TRANSACTIONS_MASTER!$Z$5:$Z$1204,$V55,TRANSACTIONS_MASTER!$C$5:$C$1204,$C$2))</f>
        <v/>
      </c>
      <c r="Y55" s="25" t="str">
        <f>IF($S55="","",IF(ISNUMBER(INDEX(CASHBACK_RULES!$J$5:$J$304,$S55)),INDEX(CASHBACK_RULES!$J$5:$J$304,$S55),"∞"))</f>
        <v/>
      </c>
      <c r="Z55" s="25" t="str">
        <f>IF($S55="","",IF(ISNUMBER($Y55),MAX(0,$Y55-$X55),"∞"))</f>
        <v/>
      </c>
      <c r="AA55" s="27" t="str">
        <f>IF($S55="","",IF(ISNUMBER($Y55),IF($Y55=0,0,$X55/$Y55),""))</f>
        <v/>
      </c>
    </row>
    <row r="56" ht="20" customHeight="1">
      <c r="A56" s="81" t="str">
        <f>IF($Q56="","",49)</f>
        <v/>
      </c>
      <c r="B56" s="57" t="str">
        <f>IF($Q56="","",INDEX(TRANSACTIONS_MASTER!$B$5:$B$1204,$Q56))</f>
        <v/>
      </c>
      <c r="C56" s="55" t="str">
        <f>IF($Q56="","",INDEX(TRANSACTIONS_MASTER!$F$5:$F$1204,$Q56))</f>
        <v/>
      </c>
      <c r="D56" s="55" t="str">
        <f>IF($Q56="","",INDEX(TRANSACTIONS_MASTER!$E$5:$E$1204,$Q56))</f>
        <v/>
      </c>
      <c r="E56" s="55" t="str">
        <f>IF($Q56="","",INDEX(TRANSACTIONS_MASTER!$G$5:$G$1204,$Q56)&amp;"")</f>
        <v/>
      </c>
      <c r="F56" s="29" t="str">
        <f>IF($Q56="","",INDEX(TRANSACTIONS_MASTER!$I$5:$I$1204,$Q56))</f>
        <v/>
      </c>
      <c r="G56" s="55" t="str">
        <f>IF($Q56="","",INDEX(TRANSACTIONS_MASTER!$K$5:$K$1204,$Q56))</f>
        <v/>
      </c>
      <c r="H56" s="25" t="str">
        <f>IF($Q56="","",INDEX(TRANSACTIONS_MASTER!$L$5:$L$1204,$Q56))</f>
        <v/>
      </c>
      <c r="I56" s="56" t="str">
        <f>IF($Q56="","",INDEX(TRANSACTIONS_MASTER!$N$5:$N$1204,$Q56))</f>
        <v/>
      </c>
      <c r="J56" s="25" t="str">
        <f>IF($Q56="","",INDEX(TRANSACTIONS_MASTER!$O$5:$O$1204,$Q56))</f>
        <v/>
      </c>
      <c r="K56" s="26" t="str">
        <f>IF($Q56="","",INDEX(TRANSACTIONS_MASTER!$Q$5:$Q$1204,$Q56))</f>
        <v/>
      </c>
      <c r="L56" s="25" t="str">
        <f>IF($Q56="","",INDEX(TRANSACTIONS_MASTER!$P$5:$P$1204,$Q56))</f>
        <v/>
      </c>
      <c r="M56" s="25" t="str">
        <f>IF($Q56="","",INDEX(TRANSACTIONS_MASTER!$AA$5:$AA$1204,$Q56))</f>
        <v/>
      </c>
      <c r="N56" s="25" t="str">
        <f>IF($Q56="","",INDEX(TRANSACTIONS_MASTER!$R$5:$R$1204,$Q56))</f>
        <v/>
      </c>
      <c r="O56" s="28" t="str">
        <f>IF($Q56="","",INDEX(TRANSACTIONS_MASTER!$AB$5:$AB$1204,$Q56))</f>
        <v/>
      </c>
      <c r="P56" s="55" t="str">
        <f>IF($Q56="","",INDEX(TRANSACTIONS_MASTER!$Z$5:$Z$1204,$Q56)&amp;"")</f>
        <v/>
      </c>
      <c r="Q56" s="67" t="str">
        <f>IFERROR(MATCH($C$2&amp;"|"&amp;49,TRANSACTIONS_MASTER!$AE$5:$AE$1204,0),"")</f>
        <v/>
      </c>
      <c r="S56" s="67" t="str">
        <f>IFERROR(MATCH(49,CASHBACK_RULES!$S$5:$S$304,0),"")</f>
        <v/>
      </c>
      <c r="T56" s="55" t="str">
        <f>IF($S56="","",INDEX(CASHBACK_RULES!$B$5:$B$304,$S56))</f>
        <v/>
      </c>
      <c r="U56" s="55" t="str">
        <f>IF($S56="","",INDEX(CASHBACK_RULES!$C$5:$C$304,$S56)&amp;" "&amp;INDEX(CASHBACK_RULES!$D$5:$D$304,$S56))</f>
        <v/>
      </c>
      <c r="V56" s="55" t="str">
        <f>IF($S56="","",INDEX(CASHBACK_RULES!$E$5:$E$304,$S56)&amp;"")</f>
        <v/>
      </c>
      <c r="W56" s="55" t="str">
        <f>IF($S56="","",INDEX(CASHBACK_RULES!$F$5:$F$304,$S56)&amp;"")</f>
        <v/>
      </c>
      <c r="X56" s="26" t="str">
        <f>IF($S56="","",SUMIFS(TRANSACTIONS_MASTER!$Q$5:$Q$1204,TRANSACTIONS_MASTER!$D$5:$D$1204,$T56,TRANSACTIONS_MASTER!$Z$5:$Z$1204,$V56,TRANSACTIONS_MASTER!$C$5:$C$1204,$C$2))</f>
        <v/>
      </c>
      <c r="Y56" s="25" t="str">
        <f>IF($S56="","",IF(ISNUMBER(INDEX(CASHBACK_RULES!$J$5:$J$304,$S56)),INDEX(CASHBACK_RULES!$J$5:$J$304,$S56),"∞"))</f>
        <v/>
      </c>
      <c r="Z56" s="25" t="str">
        <f>IF($S56="","",IF(ISNUMBER($Y56),MAX(0,$Y56-$X56),"∞"))</f>
        <v/>
      </c>
      <c r="AA56" s="27" t="str">
        <f>IF($S56="","",IF(ISNUMBER($Y56),IF($Y56=0,0,$X56/$Y56),""))</f>
        <v/>
      </c>
    </row>
    <row r="57" ht="20" customHeight="1">
      <c r="A57" s="81" t="str">
        <f>IF($Q57="","",50)</f>
        <v/>
      </c>
      <c r="B57" s="57" t="str">
        <f>IF($Q57="","",INDEX(TRANSACTIONS_MASTER!$B$5:$B$1204,$Q57))</f>
        <v/>
      </c>
      <c r="C57" s="55" t="str">
        <f>IF($Q57="","",INDEX(TRANSACTIONS_MASTER!$F$5:$F$1204,$Q57))</f>
        <v/>
      </c>
      <c r="D57" s="55" t="str">
        <f>IF($Q57="","",INDEX(TRANSACTIONS_MASTER!$E$5:$E$1204,$Q57))</f>
        <v/>
      </c>
      <c r="E57" s="55" t="str">
        <f>IF($Q57="","",INDEX(TRANSACTIONS_MASTER!$G$5:$G$1204,$Q57)&amp;"")</f>
        <v/>
      </c>
      <c r="F57" s="29" t="str">
        <f>IF($Q57="","",INDEX(TRANSACTIONS_MASTER!$I$5:$I$1204,$Q57))</f>
        <v/>
      </c>
      <c r="G57" s="55" t="str">
        <f>IF($Q57="","",INDEX(TRANSACTIONS_MASTER!$K$5:$K$1204,$Q57))</f>
        <v/>
      </c>
      <c r="H57" s="25" t="str">
        <f>IF($Q57="","",INDEX(TRANSACTIONS_MASTER!$L$5:$L$1204,$Q57))</f>
        <v/>
      </c>
      <c r="I57" s="56" t="str">
        <f>IF($Q57="","",INDEX(TRANSACTIONS_MASTER!$N$5:$N$1204,$Q57))</f>
        <v/>
      </c>
      <c r="J57" s="25" t="str">
        <f>IF($Q57="","",INDEX(TRANSACTIONS_MASTER!$O$5:$O$1204,$Q57))</f>
        <v/>
      </c>
      <c r="K57" s="26" t="str">
        <f>IF($Q57="","",INDEX(TRANSACTIONS_MASTER!$Q$5:$Q$1204,$Q57))</f>
        <v/>
      </c>
      <c r="L57" s="25" t="str">
        <f>IF($Q57="","",INDEX(TRANSACTIONS_MASTER!$P$5:$P$1204,$Q57))</f>
        <v/>
      </c>
      <c r="M57" s="25" t="str">
        <f>IF($Q57="","",INDEX(TRANSACTIONS_MASTER!$AA$5:$AA$1204,$Q57))</f>
        <v/>
      </c>
      <c r="N57" s="25" t="str">
        <f>IF($Q57="","",INDEX(TRANSACTIONS_MASTER!$R$5:$R$1204,$Q57))</f>
        <v/>
      </c>
      <c r="O57" s="28" t="str">
        <f>IF($Q57="","",INDEX(TRANSACTIONS_MASTER!$AB$5:$AB$1204,$Q57))</f>
        <v/>
      </c>
      <c r="P57" s="55" t="str">
        <f>IF($Q57="","",INDEX(TRANSACTIONS_MASTER!$Z$5:$Z$1204,$Q57)&amp;"")</f>
        <v/>
      </c>
      <c r="Q57" s="67" t="str">
        <f>IFERROR(MATCH($C$2&amp;"|"&amp;50,TRANSACTIONS_MASTER!$AE$5:$AE$1204,0),"")</f>
        <v/>
      </c>
      <c r="S57" s="67" t="str">
        <f>IFERROR(MATCH(50,CASHBACK_RULES!$S$5:$S$304,0),"")</f>
        <v/>
      </c>
      <c r="T57" s="55" t="str">
        <f>IF($S57="","",INDEX(CASHBACK_RULES!$B$5:$B$304,$S57))</f>
        <v/>
      </c>
      <c r="U57" s="55" t="str">
        <f>IF($S57="","",INDEX(CASHBACK_RULES!$C$5:$C$304,$S57)&amp;" "&amp;INDEX(CASHBACK_RULES!$D$5:$D$304,$S57))</f>
        <v/>
      </c>
      <c r="V57" s="55" t="str">
        <f>IF($S57="","",INDEX(CASHBACK_RULES!$E$5:$E$304,$S57)&amp;"")</f>
        <v/>
      </c>
      <c r="W57" s="55" t="str">
        <f>IF($S57="","",INDEX(CASHBACK_RULES!$F$5:$F$304,$S57)&amp;"")</f>
        <v/>
      </c>
      <c r="X57" s="26" t="str">
        <f>IF($S57="","",SUMIFS(TRANSACTIONS_MASTER!$Q$5:$Q$1204,TRANSACTIONS_MASTER!$D$5:$D$1204,$T57,TRANSACTIONS_MASTER!$Z$5:$Z$1204,$V57,TRANSACTIONS_MASTER!$C$5:$C$1204,$C$2))</f>
        <v/>
      </c>
      <c r="Y57" s="25" t="str">
        <f>IF($S57="","",IF(ISNUMBER(INDEX(CASHBACK_RULES!$J$5:$J$304,$S57)),INDEX(CASHBACK_RULES!$J$5:$J$304,$S57),"∞"))</f>
        <v/>
      </c>
      <c r="Z57" s="25" t="str">
        <f>IF($S57="","",IF(ISNUMBER($Y57),MAX(0,$Y57-$X57),"∞"))</f>
        <v/>
      </c>
      <c r="AA57" s="27" t="str">
        <f>IF($S57="","",IF(ISNUMBER($Y57),IF($Y57=0,0,$X57/$Y57),""))</f>
        <v/>
      </c>
    </row>
    <row r="58">
      <c r="A58" s="81" t="str">
        <f>IF($Q58="","",51)</f>
        <v/>
      </c>
      <c r="B58" s="57" t="str">
        <f>IF($Q58="","",INDEX(TRANSACTIONS_MASTER!$B$5:$B$1204,$Q58))</f>
        <v/>
      </c>
      <c r="C58" s="55" t="str">
        <f>IF($Q58="","",INDEX(TRANSACTIONS_MASTER!$F$5:$F$1204,$Q58))</f>
        <v/>
      </c>
      <c r="D58" s="55" t="str">
        <f>IF($Q58="","",INDEX(TRANSACTIONS_MASTER!$E$5:$E$1204,$Q58))</f>
        <v/>
      </c>
      <c r="E58" s="55" t="str">
        <f>IF($Q58="","",INDEX(TRANSACTIONS_MASTER!$G$5:$G$1204,$Q58)&amp;"")</f>
        <v/>
      </c>
      <c r="F58" s="29" t="str">
        <f>IF($Q58="","",INDEX(TRANSACTIONS_MASTER!$I$5:$I$1204,$Q58))</f>
        <v/>
      </c>
      <c r="G58" s="55" t="str">
        <f>IF($Q58="","",INDEX(TRANSACTIONS_MASTER!$K$5:$K$1204,$Q58))</f>
        <v/>
      </c>
      <c r="H58" s="25" t="str">
        <f>IF($Q58="","",INDEX(TRANSACTIONS_MASTER!$L$5:$L$1204,$Q58))</f>
        <v/>
      </c>
      <c r="I58" s="56" t="str">
        <f>IF($Q58="","",INDEX(TRANSACTIONS_MASTER!$N$5:$N$1204,$Q58))</f>
        <v/>
      </c>
      <c r="J58" s="25" t="str">
        <f>IF($Q58="","",INDEX(TRANSACTIONS_MASTER!$O$5:$O$1204,$Q58))</f>
        <v/>
      </c>
      <c r="K58" s="26" t="str">
        <f>IF($Q58="","",INDEX(TRANSACTIONS_MASTER!$Q$5:$Q$1204,$Q58))</f>
        <v/>
      </c>
      <c r="L58" s="25" t="str">
        <f>IF($Q58="","",INDEX(TRANSACTIONS_MASTER!$P$5:$P$1204,$Q58))</f>
        <v/>
      </c>
      <c r="M58" s="25" t="str">
        <f>IF($Q58="","",INDEX(TRANSACTIONS_MASTER!$AA$5:$AA$1204,$Q58))</f>
        <v/>
      </c>
      <c r="N58" s="25" t="str">
        <f>IF($Q58="","",INDEX(TRANSACTIONS_MASTER!$R$5:$R$1204,$Q58))</f>
        <v/>
      </c>
      <c r="O58" s="28" t="str">
        <f>IF($Q58="","",INDEX(TRANSACTIONS_MASTER!$AB$5:$AB$1204,$Q58))</f>
        <v/>
      </c>
      <c r="P58" s="55" t="str">
        <f>IF($Q58="","",INDEX(TRANSACTIONS_MASTER!$Z$5:$Z$1204,$Q58)&amp;"")</f>
        <v/>
      </c>
      <c r="Q58" s="67" t="str">
        <f>IFERROR(MATCH($C$2&amp;"|"&amp;51,TRANSACTIONS_MASTER!$AE$5:$AE$1204,0),"")</f>
        <v/>
      </c>
    </row>
    <row r="59">
      <c r="A59" s="81" t="str">
        <f>IF($Q59="","",52)</f>
        <v/>
      </c>
      <c r="B59" s="57" t="str">
        <f>IF($Q59="","",INDEX(TRANSACTIONS_MASTER!$B$5:$B$1204,$Q59))</f>
        <v/>
      </c>
      <c r="C59" s="55" t="str">
        <f>IF($Q59="","",INDEX(TRANSACTIONS_MASTER!$F$5:$F$1204,$Q59))</f>
        <v/>
      </c>
      <c r="D59" s="55" t="str">
        <f>IF($Q59="","",INDEX(TRANSACTIONS_MASTER!$E$5:$E$1204,$Q59))</f>
        <v/>
      </c>
      <c r="E59" s="55" t="str">
        <f>IF($Q59="","",INDEX(TRANSACTIONS_MASTER!$G$5:$G$1204,$Q59)&amp;"")</f>
        <v/>
      </c>
      <c r="F59" s="29" t="str">
        <f>IF($Q59="","",INDEX(TRANSACTIONS_MASTER!$I$5:$I$1204,$Q59))</f>
        <v/>
      </c>
      <c r="G59" s="55" t="str">
        <f>IF($Q59="","",INDEX(TRANSACTIONS_MASTER!$K$5:$K$1204,$Q59))</f>
        <v/>
      </c>
      <c r="H59" s="25" t="str">
        <f>IF($Q59="","",INDEX(TRANSACTIONS_MASTER!$L$5:$L$1204,$Q59))</f>
        <v/>
      </c>
      <c r="I59" s="56" t="str">
        <f>IF($Q59="","",INDEX(TRANSACTIONS_MASTER!$N$5:$N$1204,$Q59))</f>
        <v/>
      </c>
      <c r="J59" s="25" t="str">
        <f>IF($Q59="","",INDEX(TRANSACTIONS_MASTER!$O$5:$O$1204,$Q59))</f>
        <v/>
      </c>
      <c r="K59" s="26" t="str">
        <f>IF($Q59="","",INDEX(TRANSACTIONS_MASTER!$Q$5:$Q$1204,$Q59))</f>
        <v/>
      </c>
      <c r="L59" s="25" t="str">
        <f>IF($Q59="","",INDEX(TRANSACTIONS_MASTER!$P$5:$P$1204,$Q59))</f>
        <v/>
      </c>
      <c r="M59" s="25" t="str">
        <f>IF($Q59="","",INDEX(TRANSACTIONS_MASTER!$AA$5:$AA$1204,$Q59))</f>
        <v/>
      </c>
      <c r="N59" s="25" t="str">
        <f>IF($Q59="","",INDEX(TRANSACTIONS_MASTER!$R$5:$R$1204,$Q59))</f>
        <v/>
      </c>
      <c r="O59" s="28" t="str">
        <f>IF($Q59="","",INDEX(TRANSACTIONS_MASTER!$AB$5:$AB$1204,$Q59))</f>
        <v/>
      </c>
      <c r="P59" s="55" t="str">
        <f>IF($Q59="","",INDEX(TRANSACTIONS_MASTER!$Z$5:$Z$1204,$Q59)&amp;"")</f>
        <v/>
      </c>
      <c r="Q59" s="67" t="str">
        <f>IFERROR(MATCH($C$2&amp;"|"&amp;52,TRANSACTIONS_MASTER!$AE$5:$AE$1204,0),"")</f>
        <v/>
      </c>
    </row>
    <row r="60" ht="22" customHeight="1">
      <c r="A60" s="81" t="str">
        <f>IF($Q60="","",53)</f>
        <v/>
      </c>
      <c r="B60" s="57" t="str">
        <f>IF($Q60="","",INDEX(TRANSACTIONS_MASTER!$B$5:$B$1204,$Q60))</f>
        <v/>
      </c>
      <c r="C60" s="55" t="str">
        <f>IF($Q60="","",INDEX(TRANSACTIONS_MASTER!$F$5:$F$1204,$Q60))</f>
        <v/>
      </c>
      <c r="D60" s="55" t="str">
        <f>IF($Q60="","",INDEX(TRANSACTIONS_MASTER!$E$5:$E$1204,$Q60))</f>
        <v/>
      </c>
      <c r="E60" s="55" t="str">
        <f>IF($Q60="","",INDEX(TRANSACTIONS_MASTER!$G$5:$G$1204,$Q60)&amp;"")</f>
        <v/>
      </c>
      <c r="F60" s="29" t="str">
        <f>IF($Q60="","",INDEX(TRANSACTIONS_MASTER!$I$5:$I$1204,$Q60))</f>
        <v/>
      </c>
      <c r="G60" s="55" t="str">
        <f>IF($Q60="","",INDEX(TRANSACTIONS_MASTER!$K$5:$K$1204,$Q60))</f>
        <v/>
      </c>
      <c r="H60" s="25" t="str">
        <f>IF($Q60="","",INDEX(TRANSACTIONS_MASTER!$L$5:$L$1204,$Q60))</f>
        <v/>
      </c>
      <c r="I60" s="56" t="str">
        <f>IF($Q60="","",INDEX(TRANSACTIONS_MASTER!$N$5:$N$1204,$Q60))</f>
        <v/>
      </c>
      <c r="J60" s="25" t="str">
        <f>IF($Q60="","",INDEX(TRANSACTIONS_MASTER!$O$5:$O$1204,$Q60))</f>
        <v/>
      </c>
      <c r="K60" s="26" t="str">
        <f>IF($Q60="","",INDEX(TRANSACTIONS_MASTER!$Q$5:$Q$1204,$Q60))</f>
        <v/>
      </c>
      <c r="L60" s="25" t="str">
        <f>IF($Q60="","",INDEX(TRANSACTIONS_MASTER!$P$5:$P$1204,$Q60))</f>
        <v/>
      </c>
      <c r="M60" s="25" t="str">
        <f>IF($Q60="","",INDEX(TRANSACTIONS_MASTER!$AA$5:$AA$1204,$Q60))</f>
        <v/>
      </c>
      <c r="N60" s="25" t="str">
        <f>IF($Q60="","",INDEX(TRANSACTIONS_MASTER!$R$5:$R$1204,$Q60))</f>
        <v/>
      </c>
      <c r="O60" s="28" t="str">
        <f>IF($Q60="","",INDEX(TRANSACTIONS_MASTER!$AB$5:$AB$1204,$Q60))</f>
        <v/>
      </c>
      <c r="P60" s="55" t="str">
        <f>IF($Q60="","",INDEX(TRANSACTIONS_MASTER!$Z$5:$Z$1204,$Q60)&amp;"")</f>
        <v/>
      </c>
      <c r="Q60" s="67" t="str">
        <f>IFERROR(MATCH($C$2&amp;"|"&amp;53,TRANSACTIONS_MASTER!$AE$5:$AE$1204,0),"")</f>
        <v/>
      </c>
      <c r="T60" s="19" t="inlineStr">
        <is>
          <t>TỔNG THEO THẺ — chi tiêu · cashback · cap thẻ / tháng</t>
        </is>
      </c>
      <c r="U60" s="20" t="n"/>
      <c r="V60" s="20" t="n"/>
      <c r="W60" s="20" t="n"/>
      <c r="X60" s="20" t="n"/>
      <c r="Y60" s="20" t="n"/>
      <c r="Z60" s="20" t="n"/>
      <c r="AA60" s="20" t="n"/>
    </row>
    <row r="61" ht="30" customHeight="1">
      <c r="A61" s="81" t="str">
        <f>IF($Q61="","",54)</f>
        <v/>
      </c>
      <c r="B61" s="57" t="str">
        <f>IF($Q61="","",INDEX(TRANSACTIONS_MASTER!$B$5:$B$1204,$Q61))</f>
        <v/>
      </c>
      <c r="C61" s="55" t="str">
        <f>IF($Q61="","",INDEX(TRANSACTIONS_MASTER!$F$5:$F$1204,$Q61))</f>
        <v/>
      </c>
      <c r="D61" s="55" t="str">
        <f>IF($Q61="","",INDEX(TRANSACTIONS_MASTER!$E$5:$E$1204,$Q61))</f>
        <v/>
      </c>
      <c r="E61" s="55" t="str">
        <f>IF($Q61="","",INDEX(TRANSACTIONS_MASTER!$G$5:$G$1204,$Q61)&amp;"")</f>
        <v/>
      </c>
      <c r="F61" s="29" t="str">
        <f>IF($Q61="","",INDEX(TRANSACTIONS_MASTER!$I$5:$I$1204,$Q61))</f>
        <v/>
      </c>
      <c r="G61" s="55" t="str">
        <f>IF($Q61="","",INDEX(TRANSACTIONS_MASTER!$K$5:$K$1204,$Q61))</f>
        <v/>
      </c>
      <c r="H61" s="25" t="str">
        <f>IF($Q61="","",INDEX(TRANSACTIONS_MASTER!$L$5:$L$1204,$Q61))</f>
        <v/>
      </c>
      <c r="I61" s="56" t="str">
        <f>IF($Q61="","",INDEX(TRANSACTIONS_MASTER!$N$5:$N$1204,$Q61))</f>
        <v/>
      </c>
      <c r="J61" s="25" t="str">
        <f>IF($Q61="","",INDEX(TRANSACTIONS_MASTER!$O$5:$O$1204,$Q61))</f>
        <v/>
      </c>
      <c r="K61" s="26" t="str">
        <f>IF($Q61="","",INDEX(TRANSACTIONS_MASTER!$Q$5:$Q$1204,$Q61))</f>
        <v/>
      </c>
      <c r="L61" s="25" t="str">
        <f>IF($Q61="","",INDEX(TRANSACTIONS_MASTER!$P$5:$P$1204,$Q61))</f>
        <v/>
      </c>
      <c r="M61" s="25" t="str">
        <f>IF($Q61="","",INDEX(TRANSACTIONS_MASTER!$AA$5:$AA$1204,$Q61))</f>
        <v/>
      </c>
      <c r="N61" s="25" t="str">
        <f>IF($Q61="","",INDEX(TRANSACTIONS_MASTER!$R$5:$R$1204,$Q61))</f>
        <v/>
      </c>
      <c r="O61" s="28" t="str">
        <f>IF($Q61="","",INDEX(TRANSACTIONS_MASTER!$AB$5:$AB$1204,$Q61))</f>
        <v/>
      </c>
      <c r="P61" s="55" t="str">
        <f>IF($Q61="","",INDEX(TRANSACTIONS_MASTER!$Z$5:$Z$1204,$Q61)&amp;"")</f>
        <v/>
      </c>
      <c r="Q61" s="67" t="str">
        <f>IFERROR(MATCH($C$2&amp;"|"&amp;54,TRANSACTIONS_MASTER!$AE$5:$AE$1204,0),"")</f>
        <v/>
      </c>
      <c r="S61" s="21" t="inlineStr">
        <is>
          <t>#</t>
        </is>
      </c>
      <c r="T61" s="21" t="inlineStr">
        <is>
          <t>Card ID</t>
        </is>
      </c>
      <c r="U61" s="21" t="inlineStr">
        <is>
          <t>Thẻ</t>
        </is>
      </c>
      <c r="V61" s="21" t="inlineStr">
        <is>
          <t>Chi tiêu</t>
        </is>
      </c>
      <c r="W61" s="21" t="inlineStr">
        <is>
          <t>Cashback</t>
        </is>
      </c>
      <c r="X61" s="21" t="inlineStr">
        <is>
          <t>Cap thẻ / tháng</t>
        </is>
      </c>
      <c r="Y61" s="21" t="inlineStr">
        <is>
          <t>Còn lại (tối đa)</t>
        </is>
      </c>
      <c r="Z61" s="21" t="inlineStr">
        <is>
          <t>Progress</t>
        </is>
      </c>
      <c r="AA61" s="21" t="inlineStr">
        <is>
          <t>Số GD</t>
        </is>
      </c>
    </row>
    <row r="62">
      <c r="A62" s="81" t="str">
        <f>IF($Q62="","",55)</f>
        <v/>
      </c>
      <c r="B62" s="57" t="str">
        <f>IF($Q62="","",INDEX(TRANSACTIONS_MASTER!$B$5:$B$1204,$Q62))</f>
        <v/>
      </c>
      <c r="C62" s="55" t="str">
        <f>IF($Q62="","",INDEX(TRANSACTIONS_MASTER!$F$5:$F$1204,$Q62))</f>
        <v/>
      </c>
      <c r="D62" s="55" t="str">
        <f>IF($Q62="","",INDEX(TRANSACTIONS_MASTER!$E$5:$E$1204,$Q62))</f>
        <v/>
      </c>
      <c r="E62" s="55" t="str">
        <f>IF($Q62="","",INDEX(TRANSACTIONS_MASTER!$G$5:$G$1204,$Q62)&amp;"")</f>
        <v/>
      </c>
      <c r="F62" s="29" t="str">
        <f>IF($Q62="","",INDEX(TRANSACTIONS_MASTER!$I$5:$I$1204,$Q62))</f>
        <v/>
      </c>
      <c r="G62" s="55" t="str">
        <f>IF($Q62="","",INDEX(TRANSACTIONS_MASTER!$K$5:$K$1204,$Q62))</f>
        <v/>
      </c>
      <c r="H62" s="25" t="str">
        <f>IF($Q62="","",INDEX(TRANSACTIONS_MASTER!$L$5:$L$1204,$Q62))</f>
        <v/>
      </c>
      <c r="I62" s="56" t="str">
        <f>IF($Q62="","",INDEX(TRANSACTIONS_MASTER!$N$5:$N$1204,$Q62))</f>
        <v/>
      </c>
      <c r="J62" s="25" t="str">
        <f>IF($Q62="","",INDEX(TRANSACTIONS_MASTER!$O$5:$O$1204,$Q62))</f>
        <v/>
      </c>
      <c r="K62" s="26" t="str">
        <f>IF($Q62="","",INDEX(TRANSACTIONS_MASTER!$Q$5:$Q$1204,$Q62))</f>
        <v/>
      </c>
      <c r="L62" s="25" t="str">
        <f>IF($Q62="","",INDEX(TRANSACTIONS_MASTER!$P$5:$P$1204,$Q62))</f>
        <v/>
      </c>
      <c r="M62" s="25" t="str">
        <f>IF($Q62="","",INDEX(TRANSACTIONS_MASTER!$AA$5:$AA$1204,$Q62))</f>
        <v/>
      </c>
      <c r="N62" s="25" t="str">
        <f>IF($Q62="","",INDEX(TRANSACTIONS_MASTER!$R$5:$R$1204,$Q62))</f>
        <v/>
      </c>
      <c r="O62" s="28" t="str">
        <f>IF($Q62="","",INDEX(TRANSACTIONS_MASTER!$AB$5:$AB$1204,$Q62))</f>
        <v/>
      </c>
      <c r="P62" s="55" t="str">
        <f>IF($Q62="","",INDEX(TRANSACTIONS_MASTER!$Z$5:$Z$1204,$Q62)&amp;"")</f>
        <v/>
      </c>
      <c r="Q62" s="67" t="str">
        <f>IFERROR(MATCH($C$2&amp;"|"&amp;55,TRANSACTIONS_MASTER!$AE$5:$AE$1204,0),"")</f>
        <v/>
      </c>
      <c r="S62" s="67" t="n">
        <v>1</v>
      </c>
      <c r="T62" s="55" t="str">
        <f>IF(CARDS!$A5="","",CARDS!$A5)</f>
        <v>VPB-JCBZ</v>
      </c>
      <c r="U62" s="55" t="str">
        <f>IF($T62="","",CARDS!$B5&amp;" "&amp;CARDS!$C5)</f>
        <v>VPBank JCB Z Card</v>
      </c>
      <c r="V62" s="25">
        <f>IF($T62="","",SUMIFS(TRANSACTIONS_MASTER!$L$5:$L$1204,TRANSACTIONS_MASTER!$D$5:$D$1204,$T62,TRANSACTIONS_MASTER!$C$5:$C$1204,$C$2,TRANSACTIONS_MASTER!$U$5:$U$1204,"&lt;&gt;Cancelled"))</f>
        <v>0</v>
      </c>
      <c r="W62" s="26">
        <f>IF($T62="","",SUMIFS(TRANSACTIONS_MASTER!$Q$5:$Q$1204,TRANSACTIONS_MASTER!$D$5:$D$1204,$T62,TRANSACTIONS_MASTER!$C$5:$C$1204,$C$2))</f>
        <v>0</v>
      </c>
      <c r="X62" s="25">
        <f>IF($T62="","",IFERROR(IF(ISNUMBER(INDEX(CASHBACK_RULES!$K$5:$K$304,MATCH($T62,CASHBACK_RULES!$B$5:$B$304,0))),INDEX(CASHBACK_RULES!$K$5:$K$304,MATCH($T62,CASHBACK_RULES!$B$5:$B$304,0)),"∞"),"—"))</f>
        <v>1000000</v>
      </c>
      <c r="Y62" s="25">
        <f>IF($T62="","",IF($X62="—","—",IF(COUNTIFS($T$8:$T$57,$T62,$Z$8:$Z$57,"∞")&gt;0,IF(ISNUMBER($X62),MAX(0,$X62-$W62),"∞"),IF(ISNUMBER($X62),MAX(0,MIN($X62-$W62,SUMIFS($Z$8:$Z$57,$T$8:$T$57,$T62))),SUMIFS($Z$8:$Z$57,$T$8:$T$57,$T62)))))</f>
        <v>1000000</v>
      </c>
      <c r="Z62" s="27">
        <f>IF($T62="","",IF(ISNUMBER($X62),IF($X62=0,0,$W62/$X62),IF(ISNUMBER($Y62),IF($W62+$Y62=0,0,$W62/($W62+$Y62)),"")))</f>
        <v>0</v>
      </c>
      <c r="AA62" s="29">
        <f>IF($T62="","",COUNTIFS(TRANSACTIONS_MASTER!$D$5:$D$1204,$T62,TRANSACTIONS_MASTER!$C$5:$C$1204,$C$2,TRANSACTIONS_MASTER!$U$5:$U$1204,"&lt;&gt;Cancelled"))</f>
        <v>0</v>
      </c>
    </row>
    <row r="63">
      <c r="A63" s="81" t="str">
        <f>IF($Q63="","",56)</f>
        <v/>
      </c>
      <c r="B63" s="57" t="str">
        <f>IF($Q63="","",INDEX(TRANSACTIONS_MASTER!$B$5:$B$1204,$Q63))</f>
        <v/>
      </c>
      <c r="C63" s="55" t="str">
        <f>IF($Q63="","",INDEX(TRANSACTIONS_MASTER!$F$5:$F$1204,$Q63))</f>
        <v/>
      </c>
      <c r="D63" s="55" t="str">
        <f>IF($Q63="","",INDEX(TRANSACTIONS_MASTER!$E$5:$E$1204,$Q63))</f>
        <v/>
      </c>
      <c r="E63" s="55" t="str">
        <f>IF($Q63="","",INDEX(TRANSACTIONS_MASTER!$G$5:$G$1204,$Q63)&amp;"")</f>
        <v/>
      </c>
      <c r="F63" s="29" t="str">
        <f>IF($Q63="","",INDEX(TRANSACTIONS_MASTER!$I$5:$I$1204,$Q63))</f>
        <v/>
      </c>
      <c r="G63" s="55" t="str">
        <f>IF($Q63="","",INDEX(TRANSACTIONS_MASTER!$K$5:$K$1204,$Q63))</f>
        <v/>
      </c>
      <c r="H63" s="25" t="str">
        <f>IF($Q63="","",INDEX(TRANSACTIONS_MASTER!$L$5:$L$1204,$Q63))</f>
        <v/>
      </c>
      <c r="I63" s="56" t="str">
        <f>IF($Q63="","",INDEX(TRANSACTIONS_MASTER!$N$5:$N$1204,$Q63))</f>
        <v/>
      </c>
      <c r="J63" s="25" t="str">
        <f>IF($Q63="","",INDEX(TRANSACTIONS_MASTER!$O$5:$O$1204,$Q63))</f>
        <v/>
      </c>
      <c r="K63" s="26" t="str">
        <f>IF($Q63="","",INDEX(TRANSACTIONS_MASTER!$Q$5:$Q$1204,$Q63))</f>
        <v/>
      </c>
      <c r="L63" s="25" t="str">
        <f>IF($Q63="","",INDEX(TRANSACTIONS_MASTER!$P$5:$P$1204,$Q63))</f>
        <v/>
      </c>
      <c r="M63" s="25" t="str">
        <f>IF($Q63="","",INDEX(TRANSACTIONS_MASTER!$AA$5:$AA$1204,$Q63))</f>
        <v/>
      </c>
      <c r="N63" s="25" t="str">
        <f>IF($Q63="","",INDEX(TRANSACTIONS_MASTER!$R$5:$R$1204,$Q63))</f>
        <v/>
      </c>
      <c r="O63" s="28" t="str">
        <f>IF($Q63="","",INDEX(TRANSACTIONS_MASTER!$AB$5:$AB$1204,$Q63))</f>
        <v/>
      </c>
      <c r="P63" s="55" t="str">
        <f>IF($Q63="","",INDEX(TRANSACTIONS_MASTER!$Z$5:$Z$1204,$Q63)&amp;"")</f>
        <v/>
      </c>
      <c r="Q63" s="67" t="str">
        <f>IFERROR(MATCH($C$2&amp;"|"&amp;56,TRANSACTIONS_MASTER!$AE$5:$AE$1204,0),"")</f>
        <v/>
      </c>
      <c r="S63" s="67" t="n">
        <v>2</v>
      </c>
      <c r="T63" s="55" t="str">
        <f>IF(CARDS!$A6="","",CARDS!$A6)</f>
        <v>VIB-A</v>
      </c>
      <c r="U63" s="55" t="str">
        <f>IF($T63="","",CARDS!$B6&amp;" "&amp;CARDS!$C6)</f>
        <v>VIB Cashback Demo A</v>
      </c>
      <c r="V63" s="25">
        <f>IF($T63="","",SUMIFS(TRANSACTIONS_MASTER!$L$5:$L$1204,TRANSACTIONS_MASTER!$D$5:$D$1204,$T63,TRANSACTIONS_MASTER!$C$5:$C$1204,$C$2,TRANSACTIONS_MASTER!$U$5:$U$1204,"&lt;&gt;Cancelled"))</f>
        <v>0</v>
      </c>
      <c r="W63" s="26">
        <f>IF($T63="","",SUMIFS(TRANSACTIONS_MASTER!$Q$5:$Q$1204,TRANSACTIONS_MASTER!$D$5:$D$1204,$T63,TRANSACTIONS_MASTER!$C$5:$C$1204,$C$2))</f>
        <v>0</v>
      </c>
      <c r="X63" s="25">
        <f>IF($T63="","",IFERROR(IF(ISNUMBER(INDEX(CASHBACK_RULES!$K$5:$K$304,MATCH($T63,CASHBACK_RULES!$B$5:$B$304,0))),INDEX(CASHBACK_RULES!$K$5:$K$304,MATCH($T63,CASHBACK_RULES!$B$5:$B$304,0)),"∞"),"—"))</f>
        <v>1000000</v>
      </c>
      <c r="Y63" s="25">
        <f>IF($T63="","",IF($X63="—","—",IF(COUNTIFS($T$8:$T$57,$T63,$Z$8:$Z$57,"∞")&gt;0,IF(ISNUMBER($X63),MAX(0,$X63-$W63),"∞"),IF(ISNUMBER($X63),MAX(0,MIN($X63-$W63,SUMIFS($Z$8:$Z$57,$T$8:$T$57,$T63))),SUMIFS($Z$8:$Z$57,$T$8:$T$57,$T63)))))</f>
        <v>1000000</v>
      </c>
      <c r="Z63" s="27">
        <f>IF($T63="","",IF(ISNUMBER($X63),IF($X63=0,0,$W63/$X63),IF(ISNUMBER($Y63),IF($W63+$Y63=0,0,$W63/($W63+$Y63)),"")))</f>
        <v>0</v>
      </c>
      <c r="AA63" s="29">
        <f>IF($T63="","",COUNTIFS(TRANSACTIONS_MASTER!$D$5:$D$1204,$T63,TRANSACTIONS_MASTER!$C$5:$C$1204,$C$2,TRANSACTIONS_MASTER!$U$5:$U$1204,"&lt;&gt;Cancelled"))</f>
        <v>0</v>
      </c>
    </row>
    <row r="64">
      <c r="A64" s="81" t="str">
        <f>IF($Q64="","",57)</f>
        <v/>
      </c>
      <c r="B64" s="57" t="str">
        <f>IF($Q64="","",INDEX(TRANSACTIONS_MASTER!$B$5:$B$1204,$Q64))</f>
        <v/>
      </c>
      <c r="C64" s="55" t="str">
        <f>IF($Q64="","",INDEX(TRANSACTIONS_MASTER!$F$5:$F$1204,$Q64))</f>
        <v/>
      </c>
      <c r="D64" s="55" t="str">
        <f>IF($Q64="","",INDEX(TRANSACTIONS_MASTER!$E$5:$E$1204,$Q64))</f>
        <v/>
      </c>
      <c r="E64" s="55" t="str">
        <f>IF($Q64="","",INDEX(TRANSACTIONS_MASTER!$G$5:$G$1204,$Q64)&amp;"")</f>
        <v/>
      </c>
      <c r="F64" s="29" t="str">
        <f>IF($Q64="","",INDEX(TRANSACTIONS_MASTER!$I$5:$I$1204,$Q64))</f>
        <v/>
      </c>
      <c r="G64" s="55" t="str">
        <f>IF($Q64="","",INDEX(TRANSACTIONS_MASTER!$K$5:$K$1204,$Q64))</f>
        <v/>
      </c>
      <c r="H64" s="25" t="str">
        <f>IF($Q64="","",INDEX(TRANSACTIONS_MASTER!$L$5:$L$1204,$Q64))</f>
        <v/>
      </c>
      <c r="I64" s="56" t="str">
        <f>IF($Q64="","",INDEX(TRANSACTIONS_MASTER!$N$5:$N$1204,$Q64))</f>
        <v/>
      </c>
      <c r="J64" s="25" t="str">
        <f>IF($Q64="","",INDEX(TRANSACTIONS_MASTER!$O$5:$O$1204,$Q64))</f>
        <v/>
      </c>
      <c r="K64" s="26" t="str">
        <f>IF($Q64="","",INDEX(TRANSACTIONS_MASTER!$Q$5:$Q$1204,$Q64))</f>
        <v/>
      </c>
      <c r="L64" s="25" t="str">
        <f>IF($Q64="","",INDEX(TRANSACTIONS_MASTER!$P$5:$P$1204,$Q64))</f>
        <v/>
      </c>
      <c r="M64" s="25" t="str">
        <f>IF($Q64="","",INDEX(TRANSACTIONS_MASTER!$AA$5:$AA$1204,$Q64))</f>
        <v/>
      </c>
      <c r="N64" s="25" t="str">
        <f>IF($Q64="","",INDEX(TRANSACTIONS_MASTER!$R$5:$R$1204,$Q64))</f>
        <v/>
      </c>
      <c r="O64" s="28" t="str">
        <f>IF($Q64="","",INDEX(TRANSACTIONS_MASTER!$AB$5:$AB$1204,$Q64))</f>
        <v/>
      </c>
      <c r="P64" s="55" t="str">
        <f>IF($Q64="","",INDEX(TRANSACTIONS_MASTER!$Z$5:$Z$1204,$Q64)&amp;"")</f>
        <v/>
      </c>
      <c r="Q64" s="67" t="str">
        <f>IFERROR(MATCH($C$2&amp;"|"&amp;57,TRANSACTIONS_MASTER!$AE$5:$AE$1204,0),"")</f>
        <v/>
      </c>
      <c r="S64" s="67" t="n">
        <v>3</v>
      </c>
      <c r="T64" s="55" t="str">
        <f>IF(CARDS!$A7="","",CARDS!$A7)</f>
        <v>TCB-B</v>
      </c>
      <c r="U64" s="55" t="str">
        <f>IF($T64="","",CARDS!$B7&amp;" "&amp;CARDS!$C7)</f>
        <v>Techcombank Cashback Demo B</v>
      </c>
      <c r="V64" s="25">
        <f>IF($T64="","",SUMIFS(TRANSACTIONS_MASTER!$L$5:$L$1204,TRANSACTIONS_MASTER!$D$5:$D$1204,$T64,TRANSACTIONS_MASTER!$C$5:$C$1204,$C$2,TRANSACTIONS_MASTER!$U$5:$U$1204,"&lt;&gt;Cancelled"))</f>
        <v>0</v>
      </c>
      <c r="W64" s="26">
        <f>IF($T64="","",SUMIFS(TRANSACTIONS_MASTER!$Q$5:$Q$1204,TRANSACTIONS_MASTER!$D$5:$D$1204,$T64,TRANSACTIONS_MASTER!$C$5:$C$1204,$C$2))</f>
        <v>0</v>
      </c>
      <c r="X64" s="25">
        <f>IF($T64="","",IFERROR(IF(ISNUMBER(INDEX(CASHBACK_RULES!$K$5:$K$304,MATCH($T64,CASHBACK_RULES!$B$5:$B$304,0))),INDEX(CASHBACK_RULES!$K$5:$K$304,MATCH($T64,CASHBACK_RULES!$B$5:$B$304,0)),"∞"),"—"))</f>
        <v>2000000</v>
      </c>
      <c r="Y64" s="25">
        <f>IF($T64="","",IF($X64="—","—",IF(COUNTIFS($T$8:$T$57,$T64,$Z$8:$Z$57,"∞")&gt;0,IF(ISNUMBER($X64),MAX(0,$X64-$W64),"∞"),IF(ISNUMBER($X64),MAX(0,MIN($X64-$W64,SUMIFS($Z$8:$Z$57,$T$8:$T$57,$T64))),SUMIFS($Z$8:$Z$57,$T$8:$T$57,$T64)))))</f>
        <v>900000</v>
      </c>
      <c r="Z64" s="27">
        <f>IF($T64="","",IF(ISNUMBER($X64),IF($X64=0,0,$W64/$X64),IF(ISNUMBER($Y64),IF($W64+$Y64=0,0,$W64/($W64+$Y64)),"")))</f>
        <v>0</v>
      </c>
      <c r="AA64" s="29">
        <f>IF($T64="","",COUNTIFS(TRANSACTIONS_MASTER!$D$5:$D$1204,$T64,TRANSACTIONS_MASTER!$C$5:$C$1204,$C$2,TRANSACTIONS_MASTER!$U$5:$U$1204,"&lt;&gt;Cancelled"))</f>
        <v>0</v>
      </c>
    </row>
    <row r="65">
      <c r="A65" s="81" t="str">
        <f>IF($Q65="","",58)</f>
        <v/>
      </c>
      <c r="B65" s="57" t="str">
        <f>IF($Q65="","",INDEX(TRANSACTIONS_MASTER!$B$5:$B$1204,$Q65))</f>
        <v/>
      </c>
      <c r="C65" s="55" t="str">
        <f>IF($Q65="","",INDEX(TRANSACTIONS_MASTER!$F$5:$F$1204,$Q65))</f>
        <v/>
      </c>
      <c r="D65" s="55" t="str">
        <f>IF($Q65="","",INDEX(TRANSACTIONS_MASTER!$E$5:$E$1204,$Q65))</f>
        <v/>
      </c>
      <c r="E65" s="55" t="str">
        <f>IF($Q65="","",INDEX(TRANSACTIONS_MASTER!$G$5:$G$1204,$Q65)&amp;"")</f>
        <v/>
      </c>
      <c r="F65" s="29" t="str">
        <f>IF($Q65="","",INDEX(TRANSACTIONS_MASTER!$I$5:$I$1204,$Q65))</f>
        <v/>
      </c>
      <c r="G65" s="55" t="str">
        <f>IF($Q65="","",INDEX(TRANSACTIONS_MASTER!$K$5:$K$1204,$Q65))</f>
        <v/>
      </c>
      <c r="H65" s="25" t="str">
        <f>IF($Q65="","",INDEX(TRANSACTIONS_MASTER!$L$5:$L$1204,$Q65))</f>
        <v/>
      </c>
      <c r="I65" s="56" t="str">
        <f>IF($Q65="","",INDEX(TRANSACTIONS_MASTER!$N$5:$N$1204,$Q65))</f>
        <v/>
      </c>
      <c r="J65" s="25" t="str">
        <f>IF($Q65="","",INDEX(TRANSACTIONS_MASTER!$O$5:$O$1204,$Q65))</f>
        <v/>
      </c>
      <c r="K65" s="26" t="str">
        <f>IF($Q65="","",INDEX(TRANSACTIONS_MASTER!$Q$5:$Q$1204,$Q65))</f>
        <v/>
      </c>
      <c r="L65" s="25" t="str">
        <f>IF($Q65="","",INDEX(TRANSACTIONS_MASTER!$P$5:$P$1204,$Q65))</f>
        <v/>
      </c>
      <c r="M65" s="25" t="str">
        <f>IF($Q65="","",INDEX(TRANSACTIONS_MASTER!$AA$5:$AA$1204,$Q65))</f>
        <v/>
      </c>
      <c r="N65" s="25" t="str">
        <f>IF($Q65="","",INDEX(TRANSACTIONS_MASTER!$R$5:$R$1204,$Q65))</f>
        <v/>
      </c>
      <c r="O65" s="28" t="str">
        <f>IF($Q65="","",INDEX(TRANSACTIONS_MASTER!$AB$5:$AB$1204,$Q65))</f>
        <v/>
      </c>
      <c r="P65" s="55" t="str">
        <f>IF($Q65="","",INDEX(TRANSACTIONS_MASTER!$Z$5:$Z$1204,$Q65)&amp;"")</f>
        <v/>
      </c>
      <c r="Q65" s="67" t="str">
        <f>IFERROR(MATCH($C$2&amp;"|"&amp;58,TRANSACTIONS_MASTER!$AE$5:$AE$1204,0),"")</f>
        <v/>
      </c>
      <c r="S65" s="67" t="n">
        <v>4</v>
      </c>
      <c r="T65" s="55" t="str">
        <f>IF(CARDS!$A8="","",CARDS!$A8)</f>
        <v>UOB-C</v>
      </c>
      <c r="U65" s="55" t="str">
        <f>IF($T65="","",CARDS!$B8&amp;" "&amp;CARDS!$C8)</f>
        <v>UOB Cashback Demo C</v>
      </c>
      <c r="V65" s="25">
        <f>IF($T65="","",SUMIFS(TRANSACTIONS_MASTER!$L$5:$L$1204,TRANSACTIONS_MASTER!$D$5:$D$1204,$T65,TRANSACTIONS_MASTER!$C$5:$C$1204,$C$2,TRANSACTIONS_MASTER!$U$5:$U$1204,"&lt;&gt;Cancelled"))</f>
        <v>0</v>
      </c>
      <c r="W65" s="26">
        <f>IF($T65="","",SUMIFS(TRANSACTIONS_MASTER!$Q$5:$Q$1204,TRANSACTIONS_MASTER!$D$5:$D$1204,$T65,TRANSACTIONS_MASTER!$C$5:$C$1204,$C$2))</f>
        <v>0</v>
      </c>
      <c r="X65" s="25" t="str">
        <f>IF($T65="","",IFERROR(IF(ISNUMBER(INDEX(CASHBACK_RULES!$K$5:$K$304,MATCH($T65,CASHBACK_RULES!$B$5:$B$304,0))),INDEX(CASHBACK_RULES!$K$5:$K$304,MATCH($T65,CASHBACK_RULES!$B$5:$B$304,0)),"∞"),"—"))</f>
        <v>∞</v>
      </c>
      <c r="Y65" s="25">
        <f>IF($T65="","",IF($X65="—","—",IF(COUNTIFS($T$8:$T$57,$T65,$Z$8:$Z$57,"∞")&gt;0,IF(ISNUMBER($X65),MAX(0,$X65-$W65),"∞"),IF(ISNUMBER($X65),MAX(0,MIN($X65-$W65,SUMIFS($Z$8:$Z$57,$T$8:$T$57,$T65))),SUMIFS($Z$8:$Z$57,$T$8:$T$57,$T65)))))</f>
        <v>1000000</v>
      </c>
      <c r="Z65" s="27">
        <f>IF($T65="","",IF(ISNUMBER($X65),IF($X65=0,0,$W65/$X65),IF(ISNUMBER($Y65),IF($W65+$Y65=0,0,$W65/($W65+$Y65)),"")))</f>
        <v>0</v>
      </c>
      <c r="AA65" s="29">
        <f>IF($T65="","",COUNTIFS(TRANSACTIONS_MASTER!$D$5:$D$1204,$T65,TRANSACTIONS_MASTER!$C$5:$C$1204,$C$2,TRANSACTIONS_MASTER!$U$5:$U$1204,"&lt;&gt;Cancelled"))</f>
        <v>0</v>
      </c>
    </row>
    <row r="66">
      <c r="A66" s="81" t="str">
        <f>IF($Q66="","",59)</f>
        <v/>
      </c>
      <c r="B66" s="57" t="str">
        <f>IF($Q66="","",INDEX(TRANSACTIONS_MASTER!$B$5:$B$1204,$Q66))</f>
        <v/>
      </c>
      <c r="C66" s="55" t="str">
        <f>IF($Q66="","",INDEX(TRANSACTIONS_MASTER!$F$5:$F$1204,$Q66))</f>
        <v/>
      </c>
      <c r="D66" s="55" t="str">
        <f>IF($Q66="","",INDEX(TRANSACTIONS_MASTER!$E$5:$E$1204,$Q66))</f>
        <v/>
      </c>
      <c r="E66" s="55" t="str">
        <f>IF($Q66="","",INDEX(TRANSACTIONS_MASTER!$G$5:$G$1204,$Q66)&amp;"")</f>
        <v/>
      </c>
      <c r="F66" s="29" t="str">
        <f>IF($Q66="","",INDEX(TRANSACTIONS_MASTER!$I$5:$I$1204,$Q66))</f>
        <v/>
      </c>
      <c r="G66" s="55" t="str">
        <f>IF($Q66="","",INDEX(TRANSACTIONS_MASTER!$K$5:$K$1204,$Q66))</f>
        <v/>
      </c>
      <c r="H66" s="25" t="str">
        <f>IF($Q66="","",INDEX(TRANSACTIONS_MASTER!$L$5:$L$1204,$Q66))</f>
        <v/>
      </c>
      <c r="I66" s="56" t="str">
        <f>IF($Q66="","",INDEX(TRANSACTIONS_MASTER!$N$5:$N$1204,$Q66))</f>
        <v/>
      </c>
      <c r="J66" s="25" t="str">
        <f>IF($Q66="","",INDEX(TRANSACTIONS_MASTER!$O$5:$O$1204,$Q66))</f>
        <v/>
      </c>
      <c r="K66" s="26" t="str">
        <f>IF($Q66="","",INDEX(TRANSACTIONS_MASTER!$Q$5:$Q$1204,$Q66))</f>
        <v/>
      </c>
      <c r="L66" s="25" t="str">
        <f>IF($Q66="","",INDEX(TRANSACTIONS_MASTER!$P$5:$P$1204,$Q66))</f>
        <v/>
      </c>
      <c r="M66" s="25" t="str">
        <f>IF($Q66="","",INDEX(TRANSACTIONS_MASTER!$AA$5:$AA$1204,$Q66))</f>
        <v/>
      </c>
      <c r="N66" s="25" t="str">
        <f>IF($Q66="","",INDEX(TRANSACTIONS_MASTER!$R$5:$R$1204,$Q66))</f>
        <v/>
      </c>
      <c r="O66" s="28" t="str">
        <f>IF($Q66="","",INDEX(TRANSACTIONS_MASTER!$AB$5:$AB$1204,$Q66))</f>
        <v/>
      </c>
      <c r="P66" s="55" t="str">
        <f>IF($Q66="","",INDEX(TRANSACTIONS_MASTER!$Z$5:$Z$1204,$Q66)&amp;"")</f>
        <v/>
      </c>
      <c r="Q66" s="67" t="str">
        <f>IFERROR(MATCH($C$2&amp;"|"&amp;59,TRANSACTIONS_MASTER!$AE$5:$AE$1204,0),"")</f>
        <v/>
      </c>
      <c r="S66" s="67" t="n">
        <v>5</v>
      </c>
      <c r="T66" s="55" t="str">
        <f>IF(CARDS!$A9="","",CARDS!$A9)</f>
        <v>MB-D</v>
      </c>
      <c r="U66" s="55" t="str">
        <f>IF($T66="","",CARDS!$B9&amp;" "&amp;CARDS!$C9)</f>
        <v>MB Cashback Demo D</v>
      </c>
      <c r="V66" s="25">
        <f>IF($T66="","",SUMIFS(TRANSACTIONS_MASTER!$L$5:$L$1204,TRANSACTIONS_MASTER!$D$5:$D$1204,$T66,TRANSACTIONS_MASTER!$C$5:$C$1204,$C$2,TRANSACTIONS_MASTER!$U$5:$U$1204,"&lt;&gt;Cancelled"))</f>
        <v>0</v>
      </c>
      <c r="W66" s="26">
        <f>IF($T66="","",SUMIFS(TRANSACTIONS_MASTER!$Q$5:$Q$1204,TRANSACTIONS_MASTER!$D$5:$D$1204,$T66,TRANSACTIONS_MASTER!$C$5:$C$1204,$C$2))</f>
        <v>0</v>
      </c>
      <c r="X66" s="25">
        <f>IF($T66="","",IFERROR(IF(ISNUMBER(INDEX(CASHBACK_RULES!$K$5:$K$304,MATCH($T66,CASHBACK_RULES!$B$5:$B$304,0))),INDEX(CASHBACK_RULES!$K$5:$K$304,MATCH($T66,CASHBACK_RULES!$B$5:$B$304,0)),"∞"),"—"))</f>
        <v>600000</v>
      </c>
      <c r="Y66" s="25">
        <f>IF($T66="","",IF($X66="—","—",IF(COUNTIFS($T$8:$T$57,$T66,$Z$8:$Z$57,"∞")&gt;0,IF(ISNUMBER($X66),MAX(0,$X66-$W66),"∞"),IF(ISNUMBER($X66),MAX(0,MIN($X66-$W66,SUMIFS($Z$8:$Z$57,$T$8:$T$57,$T66))),SUMIFS($Z$8:$Z$57,$T$8:$T$57,$T66)))))</f>
        <v>600000</v>
      </c>
      <c r="Z66" s="27">
        <f>IF($T66="","",IF(ISNUMBER($X66),IF($X66=0,0,$W66/$X66),IF(ISNUMBER($Y66),IF($W66+$Y66=0,0,$W66/($W66+$Y66)),"")))</f>
        <v>0</v>
      </c>
      <c r="AA66" s="29">
        <f>IF($T66="","",COUNTIFS(TRANSACTIONS_MASTER!$D$5:$D$1204,$T66,TRANSACTIONS_MASTER!$C$5:$C$1204,$C$2,TRANSACTIONS_MASTER!$U$5:$U$1204,"&lt;&gt;Cancelled"))</f>
        <v>0</v>
      </c>
    </row>
    <row r="67">
      <c r="A67" s="81" t="str">
        <f>IF($Q67="","",60)</f>
        <v/>
      </c>
      <c r="B67" s="57" t="str">
        <f>IF($Q67="","",INDEX(TRANSACTIONS_MASTER!$B$5:$B$1204,$Q67))</f>
        <v/>
      </c>
      <c r="C67" s="55" t="str">
        <f>IF($Q67="","",INDEX(TRANSACTIONS_MASTER!$F$5:$F$1204,$Q67))</f>
        <v/>
      </c>
      <c r="D67" s="55" t="str">
        <f>IF($Q67="","",INDEX(TRANSACTIONS_MASTER!$E$5:$E$1204,$Q67))</f>
        <v/>
      </c>
      <c r="E67" s="55" t="str">
        <f>IF($Q67="","",INDEX(TRANSACTIONS_MASTER!$G$5:$G$1204,$Q67)&amp;"")</f>
        <v/>
      </c>
      <c r="F67" s="29" t="str">
        <f>IF($Q67="","",INDEX(TRANSACTIONS_MASTER!$I$5:$I$1204,$Q67))</f>
        <v/>
      </c>
      <c r="G67" s="55" t="str">
        <f>IF($Q67="","",INDEX(TRANSACTIONS_MASTER!$K$5:$K$1204,$Q67))</f>
        <v/>
      </c>
      <c r="H67" s="25" t="str">
        <f>IF($Q67="","",INDEX(TRANSACTIONS_MASTER!$L$5:$L$1204,$Q67))</f>
        <v/>
      </c>
      <c r="I67" s="56" t="str">
        <f>IF($Q67="","",INDEX(TRANSACTIONS_MASTER!$N$5:$N$1204,$Q67))</f>
        <v/>
      </c>
      <c r="J67" s="25" t="str">
        <f>IF($Q67="","",INDEX(TRANSACTIONS_MASTER!$O$5:$O$1204,$Q67))</f>
        <v/>
      </c>
      <c r="K67" s="26" t="str">
        <f>IF($Q67="","",INDEX(TRANSACTIONS_MASTER!$Q$5:$Q$1204,$Q67))</f>
        <v/>
      </c>
      <c r="L67" s="25" t="str">
        <f>IF($Q67="","",INDEX(TRANSACTIONS_MASTER!$P$5:$P$1204,$Q67))</f>
        <v/>
      </c>
      <c r="M67" s="25" t="str">
        <f>IF($Q67="","",INDEX(TRANSACTIONS_MASTER!$AA$5:$AA$1204,$Q67))</f>
        <v/>
      </c>
      <c r="N67" s="25" t="str">
        <f>IF($Q67="","",INDEX(TRANSACTIONS_MASTER!$R$5:$R$1204,$Q67))</f>
        <v/>
      </c>
      <c r="O67" s="28" t="str">
        <f>IF($Q67="","",INDEX(TRANSACTIONS_MASTER!$AB$5:$AB$1204,$Q67))</f>
        <v/>
      </c>
      <c r="P67" s="55" t="str">
        <f>IF($Q67="","",INDEX(TRANSACTIONS_MASTER!$Z$5:$Z$1204,$Q67)&amp;"")</f>
        <v/>
      </c>
      <c r="Q67" s="67" t="str">
        <f>IFERROR(MATCH($C$2&amp;"|"&amp;60,TRANSACTIONS_MASTER!$AE$5:$AE$1204,0),"")</f>
        <v/>
      </c>
      <c r="S67" s="67" t="n">
        <v>6</v>
      </c>
      <c r="T67" s="55" t="str">
        <f>IF(CARDS!$A10="","",CARDS!$A10)</f>
        <v>ACB-E</v>
      </c>
      <c r="U67" s="55" t="str">
        <f>IF($T67="","",CARDS!$B10&amp;" "&amp;CARDS!$C10)</f>
        <v>ACB Demo E (không cashback)</v>
      </c>
      <c r="V67" s="25">
        <f>IF($T67="","",SUMIFS(TRANSACTIONS_MASTER!$L$5:$L$1204,TRANSACTIONS_MASTER!$D$5:$D$1204,$T67,TRANSACTIONS_MASTER!$C$5:$C$1204,$C$2,TRANSACTIONS_MASTER!$U$5:$U$1204,"&lt;&gt;Cancelled"))</f>
        <v>0</v>
      </c>
      <c r="W67" s="26">
        <f>IF($T67="","",SUMIFS(TRANSACTIONS_MASTER!$Q$5:$Q$1204,TRANSACTIONS_MASTER!$D$5:$D$1204,$T67,TRANSACTIONS_MASTER!$C$5:$C$1204,$C$2))</f>
        <v>0</v>
      </c>
      <c r="X67" s="25" t="str">
        <f>IF($T67="","",IFERROR(IF(ISNUMBER(INDEX(CASHBACK_RULES!$K$5:$K$304,MATCH($T67,CASHBACK_RULES!$B$5:$B$304,0))),INDEX(CASHBACK_RULES!$K$5:$K$304,MATCH($T67,CASHBACK_RULES!$B$5:$B$304,0)),"∞"),"—"))</f>
        <v>∞</v>
      </c>
      <c r="Y67" s="25">
        <f>IF($T67="","",IF($X67="—","—",IF(COUNTIFS($T$8:$T$57,$T67,$Z$8:$Z$57,"∞")&gt;0,IF(ISNUMBER($X67),MAX(0,$X67-$W67),"∞"),IF(ISNUMBER($X67),MAX(0,MIN($X67-$W67,SUMIFS($Z$8:$Z$57,$T$8:$T$57,$T67))),SUMIFS($Z$8:$Z$57,$T$8:$T$57,$T67)))))</f>
        <v>0</v>
      </c>
      <c r="Z67" s="27">
        <f>IF($T67="","",IF(ISNUMBER($X67),IF($X67=0,0,$W67/$X67),IF(ISNUMBER($Y67),IF($W67+$Y67=0,0,$W67/($W67+$Y67)),"")))</f>
        <v>0</v>
      </c>
      <c r="AA67" s="29">
        <f>IF($T67="","",COUNTIFS(TRANSACTIONS_MASTER!$D$5:$D$1204,$T67,TRANSACTIONS_MASTER!$C$5:$C$1204,$C$2,TRANSACTIONS_MASTER!$U$5:$U$1204,"&lt;&gt;Cancelled"))</f>
        <v>0</v>
      </c>
    </row>
    <row r="68">
      <c r="A68" s="81" t="str">
        <f>IF($Q68="","",61)</f>
        <v/>
      </c>
      <c r="B68" s="57" t="str">
        <f>IF($Q68="","",INDEX(TRANSACTIONS_MASTER!$B$5:$B$1204,$Q68))</f>
        <v/>
      </c>
      <c r="C68" s="55" t="str">
        <f>IF($Q68="","",INDEX(TRANSACTIONS_MASTER!$F$5:$F$1204,$Q68))</f>
        <v/>
      </c>
      <c r="D68" s="55" t="str">
        <f>IF($Q68="","",INDEX(TRANSACTIONS_MASTER!$E$5:$E$1204,$Q68))</f>
        <v/>
      </c>
      <c r="E68" s="55" t="str">
        <f>IF($Q68="","",INDEX(TRANSACTIONS_MASTER!$G$5:$G$1204,$Q68)&amp;"")</f>
        <v/>
      </c>
      <c r="F68" s="29" t="str">
        <f>IF($Q68="","",INDEX(TRANSACTIONS_MASTER!$I$5:$I$1204,$Q68))</f>
        <v/>
      </c>
      <c r="G68" s="55" t="str">
        <f>IF($Q68="","",INDEX(TRANSACTIONS_MASTER!$K$5:$K$1204,$Q68))</f>
        <v/>
      </c>
      <c r="H68" s="25" t="str">
        <f>IF($Q68="","",INDEX(TRANSACTIONS_MASTER!$L$5:$L$1204,$Q68))</f>
        <v/>
      </c>
      <c r="I68" s="56" t="str">
        <f>IF($Q68="","",INDEX(TRANSACTIONS_MASTER!$N$5:$N$1204,$Q68))</f>
        <v/>
      </c>
      <c r="J68" s="25" t="str">
        <f>IF($Q68="","",INDEX(TRANSACTIONS_MASTER!$O$5:$O$1204,$Q68))</f>
        <v/>
      </c>
      <c r="K68" s="26" t="str">
        <f>IF($Q68="","",INDEX(TRANSACTIONS_MASTER!$Q$5:$Q$1204,$Q68))</f>
        <v/>
      </c>
      <c r="L68" s="25" t="str">
        <f>IF($Q68="","",INDEX(TRANSACTIONS_MASTER!$P$5:$P$1204,$Q68))</f>
        <v/>
      </c>
      <c r="M68" s="25" t="str">
        <f>IF($Q68="","",INDEX(TRANSACTIONS_MASTER!$AA$5:$AA$1204,$Q68))</f>
        <v/>
      </c>
      <c r="N68" s="25" t="str">
        <f>IF($Q68="","",INDEX(TRANSACTIONS_MASTER!$R$5:$R$1204,$Q68))</f>
        <v/>
      </c>
      <c r="O68" s="28" t="str">
        <f>IF($Q68="","",INDEX(TRANSACTIONS_MASTER!$AB$5:$AB$1204,$Q68))</f>
        <v/>
      </c>
      <c r="P68" s="55" t="str">
        <f>IF($Q68="","",INDEX(TRANSACTIONS_MASTER!$Z$5:$Z$1204,$Q68)&amp;"")</f>
        <v/>
      </c>
      <c r="Q68" s="67" t="str">
        <f>IFERROR(MATCH($C$2&amp;"|"&amp;61,TRANSACTIONS_MASTER!$AE$5:$AE$1204,0),"")</f>
        <v/>
      </c>
      <c r="S68" s="67" t="n">
        <v>7</v>
      </c>
      <c r="T68" s="55" t="str">
        <f>IF(CARDS!$A11="","",CARDS!$A11)</f>
        <v/>
      </c>
      <c r="U68" s="55" t="str">
        <f>IF($T68="","",CARDS!$B11&amp;" "&amp;CARDS!$C11)</f>
        <v/>
      </c>
      <c r="V68" s="25" t="str">
        <f>IF($T68="","",SUMIFS(TRANSACTIONS_MASTER!$L$5:$L$1204,TRANSACTIONS_MASTER!$D$5:$D$1204,$T68,TRANSACTIONS_MASTER!$C$5:$C$1204,$C$2,TRANSACTIONS_MASTER!$U$5:$U$1204,"&lt;&gt;Cancelled"))</f>
        <v/>
      </c>
      <c r="W68" s="26" t="str">
        <f>IF($T68="","",SUMIFS(TRANSACTIONS_MASTER!$Q$5:$Q$1204,TRANSACTIONS_MASTER!$D$5:$D$1204,$T68,TRANSACTIONS_MASTER!$C$5:$C$1204,$C$2))</f>
        <v/>
      </c>
      <c r="X68" s="25" t="str">
        <f>IF($T68="","",IFERROR(IF(ISNUMBER(INDEX(CASHBACK_RULES!$K$5:$K$304,MATCH($T68,CASHBACK_RULES!$B$5:$B$304,0))),INDEX(CASHBACK_RULES!$K$5:$K$304,MATCH($T68,CASHBACK_RULES!$B$5:$B$304,0)),"∞"),"—"))</f>
        <v/>
      </c>
      <c r="Y68" s="25" t="str">
        <f>IF($T68="","",IF($X68="—","—",IF(COUNTIFS($T$8:$T$57,$T68,$Z$8:$Z$57,"∞")&gt;0,IF(ISNUMBER($X68),MAX(0,$X68-$W68),"∞"),IF(ISNUMBER($X68),MAX(0,MIN($X68-$W68,SUMIFS($Z$8:$Z$57,$T$8:$T$57,$T68))),SUMIFS($Z$8:$Z$57,$T$8:$T$57,$T68)))))</f>
        <v/>
      </c>
      <c r="Z68" s="27" t="str">
        <f>IF($T68="","",IF(ISNUMBER($X68),IF($X68=0,0,$W68/$X68),IF(ISNUMBER($Y68),IF($W68+$Y68=0,0,$W68/($W68+$Y68)),"")))</f>
        <v/>
      </c>
      <c r="AA68" s="29" t="str">
        <f>IF($T68="","",COUNTIFS(TRANSACTIONS_MASTER!$D$5:$D$1204,$T68,TRANSACTIONS_MASTER!$C$5:$C$1204,$C$2,TRANSACTIONS_MASTER!$U$5:$U$1204,"&lt;&gt;Cancelled"))</f>
        <v/>
      </c>
    </row>
    <row r="69">
      <c r="A69" s="81" t="str">
        <f>IF($Q69="","",62)</f>
        <v/>
      </c>
      <c r="B69" s="57" t="str">
        <f>IF($Q69="","",INDEX(TRANSACTIONS_MASTER!$B$5:$B$1204,$Q69))</f>
        <v/>
      </c>
      <c r="C69" s="55" t="str">
        <f>IF($Q69="","",INDEX(TRANSACTIONS_MASTER!$F$5:$F$1204,$Q69))</f>
        <v/>
      </c>
      <c r="D69" s="55" t="str">
        <f>IF($Q69="","",INDEX(TRANSACTIONS_MASTER!$E$5:$E$1204,$Q69))</f>
        <v/>
      </c>
      <c r="E69" s="55" t="str">
        <f>IF($Q69="","",INDEX(TRANSACTIONS_MASTER!$G$5:$G$1204,$Q69)&amp;"")</f>
        <v/>
      </c>
      <c r="F69" s="29" t="str">
        <f>IF($Q69="","",INDEX(TRANSACTIONS_MASTER!$I$5:$I$1204,$Q69))</f>
        <v/>
      </c>
      <c r="G69" s="55" t="str">
        <f>IF($Q69="","",INDEX(TRANSACTIONS_MASTER!$K$5:$K$1204,$Q69))</f>
        <v/>
      </c>
      <c r="H69" s="25" t="str">
        <f>IF($Q69="","",INDEX(TRANSACTIONS_MASTER!$L$5:$L$1204,$Q69))</f>
        <v/>
      </c>
      <c r="I69" s="56" t="str">
        <f>IF($Q69="","",INDEX(TRANSACTIONS_MASTER!$N$5:$N$1204,$Q69))</f>
        <v/>
      </c>
      <c r="J69" s="25" t="str">
        <f>IF($Q69="","",INDEX(TRANSACTIONS_MASTER!$O$5:$O$1204,$Q69))</f>
        <v/>
      </c>
      <c r="K69" s="26" t="str">
        <f>IF($Q69="","",INDEX(TRANSACTIONS_MASTER!$Q$5:$Q$1204,$Q69))</f>
        <v/>
      </c>
      <c r="L69" s="25" t="str">
        <f>IF($Q69="","",INDEX(TRANSACTIONS_MASTER!$P$5:$P$1204,$Q69))</f>
        <v/>
      </c>
      <c r="M69" s="25" t="str">
        <f>IF($Q69="","",INDEX(TRANSACTIONS_MASTER!$AA$5:$AA$1204,$Q69))</f>
        <v/>
      </c>
      <c r="N69" s="25" t="str">
        <f>IF($Q69="","",INDEX(TRANSACTIONS_MASTER!$R$5:$R$1204,$Q69))</f>
        <v/>
      </c>
      <c r="O69" s="28" t="str">
        <f>IF($Q69="","",INDEX(TRANSACTIONS_MASTER!$AB$5:$AB$1204,$Q69))</f>
        <v/>
      </c>
      <c r="P69" s="55" t="str">
        <f>IF($Q69="","",INDEX(TRANSACTIONS_MASTER!$Z$5:$Z$1204,$Q69)&amp;"")</f>
        <v/>
      </c>
      <c r="Q69" s="67" t="str">
        <f>IFERROR(MATCH($C$2&amp;"|"&amp;62,TRANSACTIONS_MASTER!$AE$5:$AE$1204,0),"")</f>
        <v/>
      </c>
      <c r="S69" s="67" t="n">
        <v>8</v>
      </c>
      <c r="T69" s="55" t="str">
        <f>IF(CARDS!$A12="","",CARDS!$A12)</f>
        <v/>
      </c>
      <c r="U69" s="55" t="str">
        <f>IF($T69="","",CARDS!$B12&amp;" "&amp;CARDS!$C12)</f>
        <v/>
      </c>
      <c r="V69" s="25" t="str">
        <f>IF($T69="","",SUMIFS(TRANSACTIONS_MASTER!$L$5:$L$1204,TRANSACTIONS_MASTER!$D$5:$D$1204,$T69,TRANSACTIONS_MASTER!$C$5:$C$1204,$C$2,TRANSACTIONS_MASTER!$U$5:$U$1204,"&lt;&gt;Cancelled"))</f>
        <v/>
      </c>
      <c r="W69" s="26" t="str">
        <f>IF($T69="","",SUMIFS(TRANSACTIONS_MASTER!$Q$5:$Q$1204,TRANSACTIONS_MASTER!$D$5:$D$1204,$T69,TRANSACTIONS_MASTER!$C$5:$C$1204,$C$2))</f>
        <v/>
      </c>
      <c r="X69" s="25" t="str">
        <f>IF($T69="","",IFERROR(IF(ISNUMBER(INDEX(CASHBACK_RULES!$K$5:$K$304,MATCH($T69,CASHBACK_RULES!$B$5:$B$304,0))),INDEX(CASHBACK_RULES!$K$5:$K$304,MATCH($T69,CASHBACK_RULES!$B$5:$B$304,0)),"∞"),"—"))</f>
        <v/>
      </c>
      <c r="Y69" s="25" t="str">
        <f>IF($T69="","",IF($X69="—","—",IF(COUNTIFS($T$8:$T$57,$T69,$Z$8:$Z$57,"∞")&gt;0,IF(ISNUMBER($X69),MAX(0,$X69-$W69),"∞"),IF(ISNUMBER($X69),MAX(0,MIN($X69-$W69,SUMIFS($Z$8:$Z$57,$T$8:$T$57,$T69))),SUMIFS($Z$8:$Z$57,$T$8:$T$57,$T69)))))</f>
        <v/>
      </c>
      <c r="Z69" s="27" t="str">
        <f>IF($T69="","",IF(ISNUMBER($X69),IF($X69=0,0,$W69/$X69),IF(ISNUMBER($Y69),IF($W69+$Y69=0,0,$W69/($W69+$Y69)),"")))</f>
        <v/>
      </c>
      <c r="AA69" s="29" t="str">
        <f>IF($T69="","",COUNTIFS(TRANSACTIONS_MASTER!$D$5:$D$1204,$T69,TRANSACTIONS_MASTER!$C$5:$C$1204,$C$2,TRANSACTIONS_MASTER!$U$5:$U$1204,"&lt;&gt;Cancelled"))</f>
        <v/>
      </c>
    </row>
    <row r="70">
      <c r="A70" s="81" t="str">
        <f>IF($Q70="","",63)</f>
        <v/>
      </c>
      <c r="B70" s="57" t="str">
        <f>IF($Q70="","",INDEX(TRANSACTIONS_MASTER!$B$5:$B$1204,$Q70))</f>
        <v/>
      </c>
      <c r="C70" s="55" t="str">
        <f>IF($Q70="","",INDEX(TRANSACTIONS_MASTER!$F$5:$F$1204,$Q70))</f>
        <v/>
      </c>
      <c r="D70" s="55" t="str">
        <f>IF($Q70="","",INDEX(TRANSACTIONS_MASTER!$E$5:$E$1204,$Q70))</f>
        <v/>
      </c>
      <c r="E70" s="55" t="str">
        <f>IF($Q70="","",INDEX(TRANSACTIONS_MASTER!$G$5:$G$1204,$Q70)&amp;"")</f>
        <v/>
      </c>
      <c r="F70" s="29" t="str">
        <f>IF($Q70="","",INDEX(TRANSACTIONS_MASTER!$I$5:$I$1204,$Q70))</f>
        <v/>
      </c>
      <c r="G70" s="55" t="str">
        <f>IF($Q70="","",INDEX(TRANSACTIONS_MASTER!$K$5:$K$1204,$Q70))</f>
        <v/>
      </c>
      <c r="H70" s="25" t="str">
        <f>IF($Q70="","",INDEX(TRANSACTIONS_MASTER!$L$5:$L$1204,$Q70))</f>
        <v/>
      </c>
      <c r="I70" s="56" t="str">
        <f>IF($Q70="","",INDEX(TRANSACTIONS_MASTER!$N$5:$N$1204,$Q70))</f>
        <v/>
      </c>
      <c r="J70" s="25" t="str">
        <f>IF($Q70="","",INDEX(TRANSACTIONS_MASTER!$O$5:$O$1204,$Q70))</f>
        <v/>
      </c>
      <c r="K70" s="26" t="str">
        <f>IF($Q70="","",INDEX(TRANSACTIONS_MASTER!$Q$5:$Q$1204,$Q70))</f>
        <v/>
      </c>
      <c r="L70" s="25" t="str">
        <f>IF($Q70="","",INDEX(TRANSACTIONS_MASTER!$P$5:$P$1204,$Q70))</f>
        <v/>
      </c>
      <c r="M70" s="25" t="str">
        <f>IF($Q70="","",INDEX(TRANSACTIONS_MASTER!$AA$5:$AA$1204,$Q70))</f>
        <v/>
      </c>
      <c r="N70" s="25" t="str">
        <f>IF($Q70="","",INDEX(TRANSACTIONS_MASTER!$R$5:$R$1204,$Q70))</f>
        <v/>
      </c>
      <c r="O70" s="28" t="str">
        <f>IF($Q70="","",INDEX(TRANSACTIONS_MASTER!$AB$5:$AB$1204,$Q70))</f>
        <v/>
      </c>
      <c r="P70" s="55" t="str">
        <f>IF($Q70="","",INDEX(TRANSACTIONS_MASTER!$Z$5:$Z$1204,$Q70)&amp;"")</f>
        <v/>
      </c>
      <c r="Q70" s="67" t="str">
        <f>IFERROR(MATCH($C$2&amp;"|"&amp;63,TRANSACTIONS_MASTER!$AE$5:$AE$1204,0),"")</f>
        <v/>
      </c>
      <c r="S70" s="67" t="n">
        <v>9</v>
      </c>
      <c r="T70" s="55" t="str">
        <f>IF(CARDS!$A13="","",CARDS!$A13)</f>
        <v/>
      </c>
      <c r="U70" s="55" t="str">
        <f>IF($T70="","",CARDS!$B13&amp;" "&amp;CARDS!$C13)</f>
        <v/>
      </c>
      <c r="V70" s="25" t="str">
        <f>IF($T70="","",SUMIFS(TRANSACTIONS_MASTER!$L$5:$L$1204,TRANSACTIONS_MASTER!$D$5:$D$1204,$T70,TRANSACTIONS_MASTER!$C$5:$C$1204,$C$2,TRANSACTIONS_MASTER!$U$5:$U$1204,"&lt;&gt;Cancelled"))</f>
        <v/>
      </c>
      <c r="W70" s="26" t="str">
        <f>IF($T70="","",SUMIFS(TRANSACTIONS_MASTER!$Q$5:$Q$1204,TRANSACTIONS_MASTER!$D$5:$D$1204,$T70,TRANSACTIONS_MASTER!$C$5:$C$1204,$C$2))</f>
        <v/>
      </c>
      <c r="X70" s="25" t="str">
        <f>IF($T70="","",IFERROR(IF(ISNUMBER(INDEX(CASHBACK_RULES!$K$5:$K$304,MATCH($T70,CASHBACK_RULES!$B$5:$B$304,0))),INDEX(CASHBACK_RULES!$K$5:$K$304,MATCH($T70,CASHBACK_RULES!$B$5:$B$304,0)),"∞"),"—"))</f>
        <v/>
      </c>
      <c r="Y70" s="25" t="str">
        <f>IF($T70="","",IF($X70="—","—",IF(COUNTIFS($T$8:$T$57,$T70,$Z$8:$Z$57,"∞")&gt;0,IF(ISNUMBER($X70),MAX(0,$X70-$W70),"∞"),IF(ISNUMBER($X70),MAX(0,MIN($X70-$W70,SUMIFS($Z$8:$Z$57,$T$8:$T$57,$T70))),SUMIFS($Z$8:$Z$57,$T$8:$T$57,$T70)))))</f>
        <v/>
      </c>
      <c r="Z70" s="27" t="str">
        <f>IF($T70="","",IF(ISNUMBER($X70),IF($X70=0,0,$W70/$X70),IF(ISNUMBER($Y70),IF($W70+$Y70=0,0,$W70/($W70+$Y70)),"")))</f>
        <v/>
      </c>
      <c r="AA70" s="29" t="str">
        <f>IF($T70="","",COUNTIFS(TRANSACTIONS_MASTER!$D$5:$D$1204,$T70,TRANSACTIONS_MASTER!$C$5:$C$1204,$C$2,TRANSACTIONS_MASTER!$U$5:$U$1204,"&lt;&gt;Cancelled"))</f>
        <v/>
      </c>
    </row>
    <row r="71">
      <c r="A71" s="81" t="str">
        <f>IF($Q71="","",64)</f>
        <v/>
      </c>
      <c r="B71" s="57" t="str">
        <f>IF($Q71="","",INDEX(TRANSACTIONS_MASTER!$B$5:$B$1204,$Q71))</f>
        <v/>
      </c>
      <c r="C71" s="55" t="str">
        <f>IF($Q71="","",INDEX(TRANSACTIONS_MASTER!$F$5:$F$1204,$Q71))</f>
        <v/>
      </c>
      <c r="D71" s="55" t="str">
        <f>IF($Q71="","",INDEX(TRANSACTIONS_MASTER!$E$5:$E$1204,$Q71))</f>
        <v/>
      </c>
      <c r="E71" s="55" t="str">
        <f>IF($Q71="","",INDEX(TRANSACTIONS_MASTER!$G$5:$G$1204,$Q71)&amp;"")</f>
        <v/>
      </c>
      <c r="F71" s="29" t="str">
        <f>IF($Q71="","",INDEX(TRANSACTIONS_MASTER!$I$5:$I$1204,$Q71))</f>
        <v/>
      </c>
      <c r="G71" s="55" t="str">
        <f>IF($Q71="","",INDEX(TRANSACTIONS_MASTER!$K$5:$K$1204,$Q71))</f>
        <v/>
      </c>
      <c r="H71" s="25" t="str">
        <f>IF($Q71="","",INDEX(TRANSACTIONS_MASTER!$L$5:$L$1204,$Q71))</f>
        <v/>
      </c>
      <c r="I71" s="56" t="str">
        <f>IF($Q71="","",INDEX(TRANSACTIONS_MASTER!$N$5:$N$1204,$Q71))</f>
        <v/>
      </c>
      <c r="J71" s="25" t="str">
        <f>IF($Q71="","",INDEX(TRANSACTIONS_MASTER!$O$5:$O$1204,$Q71))</f>
        <v/>
      </c>
      <c r="K71" s="26" t="str">
        <f>IF($Q71="","",INDEX(TRANSACTIONS_MASTER!$Q$5:$Q$1204,$Q71))</f>
        <v/>
      </c>
      <c r="L71" s="25" t="str">
        <f>IF($Q71="","",INDEX(TRANSACTIONS_MASTER!$P$5:$P$1204,$Q71))</f>
        <v/>
      </c>
      <c r="M71" s="25" t="str">
        <f>IF($Q71="","",INDEX(TRANSACTIONS_MASTER!$AA$5:$AA$1204,$Q71))</f>
        <v/>
      </c>
      <c r="N71" s="25" t="str">
        <f>IF($Q71="","",INDEX(TRANSACTIONS_MASTER!$R$5:$R$1204,$Q71))</f>
        <v/>
      </c>
      <c r="O71" s="28" t="str">
        <f>IF($Q71="","",INDEX(TRANSACTIONS_MASTER!$AB$5:$AB$1204,$Q71))</f>
        <v/>
      </c>
      <c r="P71" s="55" t="str">
        <f>IF($Q71="","",INDEX(TRANSACTIONS_MASTER!$Z$5:$Z$1204,$Q71)&amp;"")</f>
        <v/>
      </c>
      <c r="Q71" s="67" t="str">
        <f>IFERROR(MATCH($C$2&amp;"|"&amp;64,TRANSACTIONS_MASTER!$AE$5:$AE$1204,0),"")</f>
        <v/>
      </c>
      <c r="S71" s="67" t="n">
        <v>10</v>
      </c>
      <c r="T71" s="55" t="str">
        <f>IF(CARDS!$A14="","",CARDS!$A14)</f>
        <v/>
      </c>
      <c r="U71" s="55" t="str">
        <f>IF($T71="","",CARDS!$B14&amp;" "&amp;CARDS!$C14)</f>
        <v/>
      </c>
      <c r="V71" s="25" t="str">
        <f>IF($T71="","",SUMIFS(TRANSACTIONS_MASTER!$L$5:$L$1204,TRANSACTIONS_MASTER!$D$5:$D$1204,$T71,TRANSACTIONS_MASTER!$C$5:$C$1204,$C$2,TRANSACTIONS_MASTER!$U$5:$U$1204,"&lt;&gt;Cancelled"))</f>
        <v/>
      </c>
      <c r="W71" s="26" t="str">
        <f>IF($T71="","",SUMIFS(TRANSACTIONS_MASTER!$Q$5:$Q$1204,TRANSACTIONS_MASTER!$D$5:$D$1204,$T71,TRANSACTIONS_MASTER!$C$5:$C$1204,$C$2))</f>
        <v/>
      </c>
      <c r="X71" s="25" t="str">
        <f>IF($T71="","",IFERROR(IF(ISNUMBER(INDEX(CASHBACK_RULES!$K$5:$K$304,MATCH($T71,CASHBACK_RULES!$B$5:$B$304,0))),INDEX(CASHBACK_RULES!$K$5:$K$304,MATCH($T71,CASHBACK_RULES!$B$5:$B$304,0)),"∞"),"—"))</f>
        <v/>
      </c>
      <c r="Y71" s="25" t="str">
        <f>IF($T71="","",IF($X71="—","—",IF(COUNTIFS($T$8:$T$57,$T71,$Z$8:$Z$57,"∞")&gt;0,IF(ISNUMBER($X71),MAX(0,$X71-$W71),"∞"),IF(ISNUMBER($X71),MAX(0,MIN($X71-$W71,SUMIFS($Z$8:$Z$57,$T$8:$T$57,$T71))),SUMIFS($Z$8:$Z$57,$T$8:$T$57,$T71)))))</f>
        <v/>
      </c>
      <c r="Z71" s="27" t="str">
        <f>IF($T71="","",IF(ISNUMBER($X71),IF($X71=0,0,$W71/$X71),IF(ISNUMBER($Y71),IF($W71+$Y71=0,0,$W71/($W71+$Y71)),"")))</f>
        <v/>
      </c>
      <c r="AA71" s="29" t="str">
        <f>IF($T71="","",COUNTIFS(TRANSACTIONS_MASTER!$D$5:$D$1204,$T71,TRANSACTIONS_MASTER!$C$5:$C$1204,$C$2,TRANSACTIONS_MASTER!$U$5:$U$1204,"&lt;&gt;Cancelled"))</f>
        <v/>
      </c>
    </row>
    <row r="72">
      <c r="A72" s="81" t="str">
        <f>IF($Q72="","",65)</f>
        <v/>
      </c>
      <c r="B72" s="57" t="str">
        <f>IF($Q72="","",INDEX(TRANSACTIONS_MASTER!$B$5:$B$1204,$Q72))</f>
        <v/>
      </c>
      <c r="C72" s="55" t="str">
        <f>IF($Q72="","",INDEX(TRANSACTIONS_MASTER!$F$5:$F$1204,$Q72))</f>
        <v/>
      </c>
      <c r="D72" s="55" t="str">
        <f>IF($Q72="","",INDEX(TRANSACTIONS_MASTER!$E$5:$E$1204,$Q72))</f>
        <v/>
      </c>
      <c r="E72" s="55" t="str">
        <f>IF($Q72="","",INDEX(TRANSACTIONS_MASTER!$G$5:$G$1204,$Q72)&amp;"")</f>
        <v/>
      </c>
      <c r="F72" s="29" t="str">
        <f>IF($Q72="","",INDEX(TRANSACTIONS_MASTER!$I$5:$I$1204,$Q72))</f>
        <v/>
      </c>
      <c r="G72" s="55" t="str">
        <f>IF($Q72="","",INDEX(TRANSACTIONS_MASTER!$K$5:$K$1204,$Q72))</f>
        <v/>
      </c>
      <c r="H72" s="25" t="str">
        <f>IF($Q72="","",INDEX(TRANSACTIONS_MASTER!$L$5:$L$1204,$Q72))</f>
        <v/>
      </c>
      <c r="I72" s="56" t="str">
        <f>IF($Q72="","",INDEX(TRANSACTIONS_MASTER!$N$5:$N$1204,$Q72))</f>
        <v/>
      </c>
      <c r="J72" s="25" t="str">
        <f>IF($Q72="","",INDEX(TRANSACTIONS_MASTER!$O$5:$O$1204,$Q72))</f>
        <v/>
      </c>
      <c r="K72" s="26" t="str">
        <f>IF($Q72="","",INDEX(TRANSACTIONS_MASTER!$Q$5:$Q$1204,$Q72))</f>
        <v/>
      </c>
      <c r="L72" s="25" t="str">
        <f>IF($Q72="","",INDEX(TRANSACTIONS_MASTER!$P$5:$P$1204,$Q72))</f>
        <v/>
      </c>
      <c r="M72" s="25" t="str">
        <f>IF($Q72="","",INDEX(TRANSACTIONS_MASTER!$AA$5:$AA$1204,$Q72))</f>
        <v/>
      </c>
      <c r="N72" s="25" t="str">
        <f>IF($Q72="","",INDEX(TRANSACTIONS_MASTER!$R$5:$R$1204,$Q72))</f>
        <v/>
      </c>
      <c r="O72" s="28" t="str">
        <f>IF($Q72="","",INDEX(TRANSACTIONS_MASTER!$AB$5:$AB$1204,$Q72))</f>
        <v/>
      </c>
      <c r="P72" s="55" t="str">
        <f>IF($Q72="","",INDEX(TRANSACTIONS_MASTER!$Z$5:$Z$1204,$Q72)&amp;"")</f>
        <v/>
      </c>
      <c r="Q72" s="67" t="str">
        <f>IFERROR(MATCH($C$2&amp;"|"&amp;65,TRANSACTIONS_MASTER!$AE$5:$AE$1204,0),"")</f>
        <v/>
      </c>
      <c r="S72" s="67" t="n">
        <v>11</v>
      </c>
      <c r="T72" s="55" t="str">
        <f>IF(CARDS!$A15="","",CARDS!$A15)</f>
        <v/>
      </c>
      <c r="U72" s="55" t="str">
        <f>IF($T72="","",CARDS!$B15&amp;" "&amp;CARDS!$C15)</f>
        <v/>
      </c>
      <c r="V72" s="25" t="str">
        <f>IF($T72="","",SUMIFS(TRANSACTIONS_MASTER!$L$5:$L$1204,TRANSACTIONS_MASTER!$D$5:$D$1204,$T72,TRANSACTIONS_MASTER!$C$5:$C$1204,$C$2,TRANSACTIONS_MASTER!$U$5:$U$1204,"&lt;&gt;Cancelled"))</f>
        <v/>
      </c>
      <c r="W72" s="26" t="str">
        <f>IF($T72="","",SUMIFS(TRANSACTIONS_MASTER!$Q$5:$Q$1204,TRANSACTIONS_MASTER!$D$5:$D$1204,$T72,TRANSACTIONS_MASTER!$C$5:$C$1204,$C$2))</f>
        <v/>
      </c>
      <c r="X72" s="25" t="str">
        <f>IF($T72="","",IFERROR(IF(ISNUMBER(INDEX(CASHBACK_RULES!$K$5:$K$304,MATCH($T72,CASHBACK_RULES!$B$5:$B$304,0))),INDEX(CASHBACK_RULES!$K$5:$K$304,MATCH($T72,CASHBACK_RULES!$B$5:$B$304,0)),"∞"),"—"))</f>
        <v/>
      </c>
      <c r="Y72" s="25" t="str">
        <f>IF($T72="","",IF($X72="—","—",IF(COUNTIFS($T$8:$T$57,$T72,$Z$8:$Z$57,"∞")&gt;0,IF(ISNUMBER($X72),MAX(0,$X72-$W72),"∞"),IF(ISNUMBER($X72),MAX(0,MIN($X72-$W72,SUMIFS($Z$8:$Z$57,$T$8:$T$57,$T72))),SUMIFS($Z$8:$Z$57,$T$8:$T$57,$T72)))))</f>
        <v/>
      </c>
      <c r="Z72" s="27" t="str">
        <f>IF($T72="","",IF(ISNUMBER($X72),IF($X72=0,0,$W72/$X72),IF(ISNUMBER($Y72),IF($W72+$Y72=0,0,$W72/($W72+$Y72)),"")))</f>
        <v/>
      </c>
      <c r="AA72" s="29" t="str">
        <f>IF($T72="","",COUNTIFS(TRANSACTIONS_MASTER!$D$5:$D$1204,$T72,TRANSACTIONS_MASTER!$C$5:$C$1204,$C$2,TRANSACTIONS_MASTER!$U$5:$U$1204,"&lt;&gt;Cancelled"))</f>
        <v/>
      </c>
    </row>
    <row r="73">
      <c r="A73" s="81" t="str">
        <f>IF($Q73="","",66)</f>
        <v/>
      </c>
      <c r="B73" s="57" t="str">
        <f>IF($Q73="","",INDEX(TRANSACTIONS_MASTER!$B$5:$B$1204,$Q73))</f>
        <v/>
      </c>
      <c r="C73" s="55" t="str">
        <f>IF($Q73="","",INDEX(TRANSACTIONS_MASTER!$F$5:$F$1204,$Q73))</f>
        <v/>
      </c>
      <c r="D73" s="55" t="str">
        <f>IF($Q73="","",INDEX(TRANSACTIONS_MASTER!$E$5:$E$1204,$Q73))</f>
        <v/>
      </c>
      <c r="E73" s="55" t="str">
        <f>IF($Q73="","",INDEX(TRANSACTIONS_MASTER!$G$5:$G$1204,$Q73)&amp;"")</f>
        <v/>
      </c>
      <c r="F73" s="29" t="str">
        <f>IF($Q73="","",INDEX(TRANSACTIONS_MASTER!$I$5:$I$1204,$Q73))</f>
        <v/>
      </c>
      <c r="G73" s="55" t="str">
        <f>IF($Q73="","",INDEX(TRANSACTIONS_MASTER!$K$5:$K$1204,$Q73))</f>
        <v/>
      </c>
      <c r="H73" s="25" t="str">
        <f>IF($Q73="","",INDEX(TRANSACTIONS_MASTER!$L$5:$L$1204,$Q73))</f>
        <v/>
      </c>
      <c r="I73" s="56" t="str">
        <f>IF($Q73="","",INDEX(TRANSACTIONS_MASTER!$N$5:$N$1204,$Q73))</f>
        <v/>
      </c>
      <c r="J73" s="25" t="str">
        <f>IF($Q73="","",INDEX(TRANSACTIONS_MASTER!$O$5:$O$1204,$Q73))</f>
        <v/>
      </c>
      <c r="K73" s="26" t="str">
        <f>IF($Q73="","",INDEX(TRANSACTIONS_MASTER!$Q$5:$Q$1204,$Q73))</f>
        <v/>
      </c>
      <c r="L73" s="25" t="str">
        <f>IF($Q73="","",INDEX(TRANSACTIONS_MASTER!$P$5:$P$1204,$Q73))</f>
        <v/>
      </c>
      <c r="M73" s="25" t="str">
        <f>IF($Q73="","",INDEX(TRANSACTIONS_MASTER!$AA$5:$AA$1204,$Q73))</f>
        <v/>
      </c>
      <c r="N73" s="25" t="str">
        <f>IF($Q73="","",INDEX(TRANSACTIONS_MASTER!$R$5:$R$1204,$Q73))</f>
        <v/>
      </c>
      <c r="O73" s="28" t="str">
        <f>IF($Q73="","",INDEX(TRANSACTIONS_MASTER!$AB$5:$AB$1204,$Q73))</f>
        <v/>
      </c>
      <c r="P73" s="55" t="str">
        <f>IF($Q73="","",INDEX(TRANSACTIONS_MASTER!$Z$5:$Z$1204,$Q73)&amp;"")</f>
        <v/>
      </c>
      <c r="Q73" s="67" t="str">
        <f>IFERROR(MATCH($C$2&amp;"|"&amp;66,TRANSACTIONS_MASTER!$AE$5:$AE$1204,0),"")</f>
        <v/>
      </c>
      <c r="S73" s="67" t="n">
        <v>12</v>
      </c>
      <c r="T73" s="55" t="str">
        <f>IF(CARDS!$A16="","",CARDS!$A16)</f>
        <v/>
      </c>
      <c r="U73" s="55" t="str">
        <f>IF($T73="","",CARDS!$B16&amp;" "&amp;CARDS!$C16)</f>
        <v/>
      </c>
      <c r="V73" s="25" t="str">
        <f>IF($T73="","",SUMIFS(TRANSACTIONS_MASTER!$L$5:$L$1204,TRANSACTIONS_MASTER!$D$5:$D$1204,$T73,TRANSACTIONS_MASTER!$C$5:$C$1204,$C$2,TRANSACTIONS_MASTER!$U$5:$U$1204,"&lt;&gt;Cancelled"))</f>
        <v/>
      </c>
      <c r="W73" s="26" t="str">
        <f>IF($T73="","",SUMIFS(TRANSACTIONS_MASTER!$Q$5:$Q$1204,TRANSACTIONS_MASTER!$D$5:$D$1204,$T73,TRANSACTIONS_MASTER!$C$5:$C$1204,$C$2))</f>
        <v/>
      </c>
      <c r="X73" s="25" t="str">
        <f>IF($T73="","",IFERROR(IF(ISNUMBER(INDEX(CASHBACK_RULES!$K$5:$K$304,MATCH($T73,CASHBACK_RULES!$B$5:$B$304,0))),INDEX(CASHBACK_RULES!$K$5:$K$304,MATCH($T73,CASHBACK_RULES!$B$5:$B$304,0)),"∞"),"—"))</f>
        <v/>
      </c>
      <c r="Y73" s="25" t="str">
        <f>IF($T73="","",IF($X73="—","—",IF(COUNTIFS($T$8:$T$57,$T73,$Z$8:$Z$57,"∞")&gt;0,IF(ISNUMBER($X73),MAX(0,$X73-$W73),"∞"),IF(ISNUMBER($X73),MAX(0,MIN($X73-$W73,SUMIFS($Z$8:$Z$57,$T$8:$T$57,$T73))),SUMIFS($Z$8:$Z$57,$T$8:$T$57,$T73)))))</f>
        <v/>
      </c>
      <c r="Z73" s="27" t="str">
        <f>IF($T73="","",IF(ISNUMBER($X73),IF($X73=0,0,$W73/$X73),IF(ISNUMBER($Y73),IF($W73+$Y73=0,0,$W73/($W73+$Y73)),"")))</f>
        <v/>
      </c>
      <c r="AA73" s="29" t="str">
        <f>IF($T73="","",COUNTIFS(TRANSACTIONS_MASTER!$D$5:$D$1204,$T73,TRANSACTIONS_MASTER!$C$5:$C$1204,$C$2,TRANSACTIONS_MASTER!$U$5:$U$1204,"&lt;&gt;Cancelled"))</f>
        <v/>
      </c>
    </row>
    <row r="74">
      <c r="A74" s="81" t="str">
        <f>IF($Q74="","",67)</f>
        <v/>
      </c>
      <c r="B74" s="57" t="str">
        <f>IF($Q74="","",INDEX(TRANSACTIONS_MASTER!$B$5:$B$1204,$Q74))</f>
        <v/>
      </c>
      <c r="C74" s="55" t="str">
        <f>IF($Q74="","",INDEX(TRANSACTIONS_MASTER!$F$5:$F$1204,$Q74))</f>
        <v/>
      </c>
      <c r="D74" s="55" t="str">
        <f>IF($Q74="","",INDEX(TRANSACTIONS_MASTER!$E$5:$E$1204,$Q74))</f>
        <v/>
      </c>
      <c r="E74" s="55" t="str">
        <f>IF($Q74="","",INDEX(TRANSACTIONS_MASTER!$G$5:$G$1204,$Q74)&amp;"")</f>
        <v/>
      </c>
      <c r="F74" s="29" t="str">
        <f>IF($Q74="","",INDEX(TRANSACTIONS_MASTER!$I$5:$I$1204,$Q74))</f>
        <v/>
      </c>
      <c r="G74" s="55" t="str">
        <f>IF($Q74="","",INDEX(TRANSACTIONS_MASTER!$K$5:$K$1204,$Q74))</f>
        <v/>
      </c>
      <c r="H74" s="25" t="str">
        <f>IF($Q74="","",INDEX(TRANSACTIONS_MASTER!$L$5:$L$1204,$Q74))</f>
        <v/>
      </c>
      <c r="I74" s="56" t="str">
        <f>IF($Q74="","",INDEX(TRANSACTIONS_MASTER!$N$5:$N$1204,$Q74))</f>
        <v/>
      </c>
      <c r="J74" s="25" t="str">
        <f>IF($Q74="","",INDEX(TRANSACTIONS_MASTER!$O$5:$O$1204,$Q74))</f>
        <v/>
      </c>
      <c r="K74" s="26" t="str">
        <f>IF($Q74="","",INDEX(TRANSACTIONS_MASTER!$Q$5:$Q$1204,$Q74))</f>
        <v/>
      </c>
      <c r="L74" s="25" t="str">
        <f>IF($Q74="","",INDEX(TRANSACTIONS_MASTER!$P$5:$P$1204,$Q74))</f>
        <v/>
      </c>
      <c r="M74" s="25" t="str">
        <f>IF($Q74="","",INDEX(TRANSACTIONS_MASTER!$AA$5:$AA$1204,$Q74))</f>
        <v/>
      </c>
      <c r="N74" s="25" t="str">
        <f>IF($Q74="","",INDEX(TRANSACTIONS_MASTER!$R$5:$R$1204,$Q74))</f>
        <v/>
      </c>
      <c r="O74" s="28" t="str">
        <f>IF($Q74="","",INDEX(TRANSACTIONS_MASTER!$AB$5:$AB$1204,$Q74))</f>
        <v/>
      </c>
      <c r="P74" s="55" t="str">
        <f>IF($Q74="","",INDEX(TRANSACTIONS_MASTER!$Z$5:$Z$1204,$Q74)&amp;"")</f>
        <v/>
      </c>
      <c r="Q74" s="67" t="str">
        <f>IFERROR(MATCH($C$2&amp;"|"&amp;67,TRANSACTIONS_MASTER!$AE$5:$AE$1204,0),"")</f>
        <v/>
      </c>
      <c r="S74" s="67" t="n">
        <v>13</v>
      </c>
      <c r="T74" s="55" t="str">
        <f>IF(CARDS!$A17="","",CARDS!$A17)</f>
        <v/>
      </c>
      <c r="U74" s="55" t="str">
        <f>IF($T74="","",CARDS!$B17&amp;" "&amp;CARDS!$C17)</f>
        <v/>
      </c>
      <c r="V74" s="25" t="str">
        <f>IF($T74="","",SUMIFS(TRANSACTIONS_MASTER!$L$5:$L$1204,TRANSACTIONS_MASTER!$D$5:$D$1204,$T74,TRANSACTIONS_MASTER!$C$5:$C$1204,$C$2,TRANSACTIONS_MASTER!$U$5:$U$1204,"&lt;&gt;Cancelled"))</f>
        <v/>
      </c>
      <c r="W74" s="26" t="str">
        <f>IF($T74="","",SUMIFS(TRANSACTIONS_MASTER!$Q$5:$Q$1204,TRANSACTIONS_MASTER!$D$5:$D$1204,$T74,TRANSACTIONS_MASTER!$C$5:$C$1204,$C$2))</f>
        <v/>
      </c>
      <c r="X74" s="25" t="str">
        <f>IF($T74="","",IFERROR(IF(ISNUMBER(INDEX(CASHBACK_RULES!$K$5:$K$304,MATCH($T74,CASHBACK_RULES!$B$5:$B$304,0))),INDEX(CASHBACK_RULES!$K$5:$K$304,MATCH($T74,CASHBACK_RULES!$B$5:$B$304,0)),"∞"),"—"))</f>
        <v/>
      </c>
      <c r="Y74" s="25" t="str">
        <f>IF($T74="","",IF($X74="—","—",IF(COUNTIFS($T$8:$T$57,$T74,$Z$8:$Z$57,"∞")&gt;0,IF(ISNUMBER($X74),MAX(0,$X74-$W74),"∞"),IF(ISNUMBER($X74),MAX(0,MIN($X74-$W74,SUMIFS($Z$8:$Z$57,$T$8:$T$57,$T74))),SUMIFS($Z$8:$Z$57,$T$8:$T$57,$T74)))))</f>
        <v/>
      </c>
      <c r="Z74" s="27" t="str">
        <f>IF($T74="","",IF(ISNUMBER($X74),IF($X74=0,0,$W74/$X74),IF(ISNUMBER($Y74),IF($W74+$Y74=0,0,$W74/($W74+$Y74)),"")))</f>
        <v/>
      </c>
      <c r="AA74" s="29" t="str">
        <f>IF($T74="","",COUNTIFS(TRANSACTIONS_MASTER!$D$5:$D$1204,$T74,TRANSACTIONS_MASTER!$C$5:$C$1204,$C$2,TRANSACTIONS_MASTER!$U$5:$U$1204,"&lt;&gt;Cancelled"))</f>
        <v/>
      </c>
    </row>
    <row r="75">
      <c r="A75" s="81" t="str">
        <f>IF($Q75="","",68)</f>
        <v/>
      </c>
      <c r="B75" s="57" t="str">
        <f>IF($Q75="","",INDEX(TRANSACTIONS_MASTER!$B$5:$B$1204,$Q75))</f>
        <v/>
      </c>
      <c r="C75" s="55" t="str">
        <f>IF($Q75="","",INDEX(TRANSACTIONS_MASTER!$F$5:$F$1204,$Q75))</f>
        <v/>
      </c>
      <c r="D75" s="55" t="str">
        <f>IF($Q75="","",INDEX(TRANSACTIONS_MASTER!$E$5:$E$1204,$Q75))</f>
        <v/>
      </c>
      <c r="E75" s="55" t="str">
        <f>IF($Q75="","",INDEX(TRANSACTIONS_MASTER!$G$5:$G$1204,$Q75)&amp;"")</f>
        <v/>
      </c>
      <c r="F75" s="29" t="str">
        <f>IF($Q75="","",INDEX(TRANSACTIONS_MASTER!$I$5:$I$1204,$Q75))</f>
        <v/>
      </c>
      <c r="G75" s="55" t="str">
        <f>IF($Q75="","",INDEX(TRANSACTIONS_MASTER!$K$5:$K$1204,$Q75))</f>
        <v/>
      </c>
      <c r="H75" s="25" t="str">
        <f>IF($Q75="","",INDEX(TRANSACTIONS_MASTER!$L$5:$L$1204,$Q75))</f>
        <v/>
      </c>
      <c r="I75" s="56" t="str">
        <f>IF($Q75="","",INDEX(TRANSACTIONS_MASTER!$N$5:$N$1204,$Q75))</f>
        <v/>
      </c>
      <c r="J75" s="25" t="str">
        <f>IF($Q75="","",INDEX(TRANSACTIONS_MASTER!$O$5:$O$1204,$Q75))</f>
        <v/>
      </c>
      <c r="K75" s="26" t="str">
        <f>IF($Q75="","",INDEX(TRANSACTIONS_MASTER!$Q$5:$Q$1204,$Q75))</f>
        <v/>
      </c>
      <c r="L75" s="25" t="str">
        <f>IF($Q75="","",INDEX(TRANSACTIONS_MASTER!$P$5:$P$1204,$Q75))</f>
        <v/>
      </c>
      <c r="M75" s="25" t="str">
        <f>IF($Q75="","",INDEX(TRANSACTIONS_MASTER!$AA$5:$AA$1204,$Q75))</f>
        <v/>
      </c>
      <c r="N75" s="25" t="str">
        <f>IF($Q75="","",INDEX(TRANSACTIONS_MASTER!$R$5:$R$1204,$Q75))</f>
        <v/>
      </c>
      <c r="O75" s="28" t="str">
        <f>IF($Q75="","",INDEX(TRANSACTIONS_MASTER!$AB$5:$AB$1204,$Q75))</f>
        <v/>
      </c>
      <c r="P75" s="55" t="str">
        <f>IF($Q75="","",INDEX(TRANSACTIONS_MASTER!$Z$5:$Z$1204,$Q75)&amp;"")</f>
        <v/>
      </c>
      <c r="Q75" s="67" t="str">
        <f>IFERROR(MATCH($C$2&amp;"|"&amp;68,TRANSACTIONS_MASTER!$AE$5:$AE$1204,0),"")</f>
        <v/>
      </c>
      <c r="S75" s="67" t="n">
        <v>14</v>
      </c>
      <c r="T75" s="55" t="str">
        <f>IF(CARDS!$A18="","",CARDS!$A18)</f>
        <v/>
      </c>
      <c r="U75" s="55" t="str">
        <f>IF($T75="","",CARDS!$B18&amp;" "&amp;CARDS!$C18)</f>
        <v/>
      </c>
      <c r="V75" s="25" t="str">
        <f>IF($T75="","",SUMIFS(TRANSACTIONS_MASTER!$L$5:$L$1204,TRANSACTIONS_MASTER!$D$5:$D$1204,$T75,TRANSACTIONS_MASTER!$C$5:$C$1204,$C$2,TRANSACTIONS_MASTER!$U$5:$U$1204,"&lt;&gt;Cancelled"))</f>
        <v/>
      </c>
      <c r="W75" s="26" t="str">
        <f>IF($T75="","",SUMIFS(TRANSACTIONS_MASTER!$Q$5:$Q$1204,TRANSACTIONS_MASTER!$D$5:$D$1204,$T75,TRANSACTIONS_MASTER!$C$5:$C$1204,$C$2))</f>
        <v/>
      </c>
      <c r="X75" s="25" t="str">
        <f>IF($T75="","",IFERROR(IF(ISNUMBER(INDEX(CASHBACK_RULES!$K$5:$K$304,MATCH($T75,CASHBACK_RULES!$B$5:$B$304,0))),INDEX(CASHBACK_RULES!$K$5:$K$304,MATCH($T75,CASHBACK_RULES!$B$5:$B$304,0)),"∞"),"—"))</f>
        <v/>
      </c>
      <c r="Y75" s="25" t="str">
        <f>IF($T75="","",IF($X75="—","—",IF(COUNTIFS($T$8:$T$57,$T75,$Z$8:$Z$57,"∞")&gt;0,IF(ISNUMBER($X75),MAX(0,$X75-$W75),"∞"),IF(ISNUMBER($X75),MAX(0,MIN($X75-$W75,SUMIFS($Z$8:$Z$57,$T$8:$T$57,$T75))),SUMIFS($Z$8:$Z$57,$T$8:$T$57,$T75)))))</f>
        <v/>
      </c>
      <c r="Z75" s="27" t="str">
        <f>IF($T75="","",IF(ISNUMBER($X75),IF($X75=0,0,$W75/$X75),IF(ISNUMBER($Y75),IF($W75+$Y75=0,0,$W75/($W75+$Y75)),"")))</f>
        <v/>
      </c>
      <c r="AA75" s="29" t="str">
        <f>IF($T75="","",COUNTIFS(TRANSACTIONS_MASTER!$D$5:$D$1204,$T75,TRANSACTIONS_MASTER!$C$5:$C$1204,$C$2,TRANSACTIONS_MASTER!$U$5:$U$1204,"&lt;&gt;Cancelled"))</f>
        <v/>
      </c>
    </row>
    <row r="76">
      <c r="A76" s="81" t="str">
        <f>IF($Q76="","",69)</f>
        <v/>
      </c>
      <c r="B76" s="57" t="str">
        <f>IF($Q76="","",INDEX(TRANSACTIONS_MASTER!$B$5:$B$1204,$Q76))</f>
        <v/>
      </c>
      <c r="C76" s="55" t="str">
        <f>IF($Q76="","",INDEX(TRANSACTIONS_MASTER!$F$5:$F$1204,$Q76))</f>
        <v/>
      </c>
      <c r="D76" s="55" t="str">
        <f>IF($Q76="","",INDEX(TRANSACTIONS_MASTER!$E$5:$E$1204,$Q76))</f>
        <v/>
      </c>
      <c r="E76" s="55" t="str">
        <f>IF($Q76="","",INDEX(TRANSACTIONS_MASTER!$G$5:$G$1204,$Q76)&amp;"")</f>
        <v/>
      </c>
      <c r="F76" s="29" t="str">
        <f>IF($Q76="","",INDEX(TRANSACTIONS_MASTER!$I$5:$I$1204,$Q76))</f>
        <v/>
      </c>
      <c r="G76" s="55" t="str">
        <f>IF($Q76="","",INDEX(TRANSACTIONS_MASTER!$K$5:$K$1204,$Q76))</f>
        <v/>
      </c>
      <c r="H76" s="25" t="str">
        <f>IF($Q76="","",INDEX(TRANSACTIONS_MASTER!$L$5:$L$1204,$Q76))</f>
        <v/>
      </c>
      <c r="I76" s="56" t="str">
        <f>IF($Q76="","",INDEX(TRANSACTIONS_MASTER!$N$5:$N$1204,$Q76))</f>
        <v/>
      </c>
      <c r="J76" s="25" t="str">
        <f>IF($Q76="","",INDEX(TRANSACTIONS_MASTER!$O$5:$O$1204,$Q76))</f>
        <v/>
      </c>
      <c r="K76" s="26" t="str">
        <f>IF($Q76="","",INDEX(TRANSACTIONS_MASTER!$Q$5:$Q$1204,$Q76))</f>
        <v/>
      </c>
      <c r="L76" s="25" t="str">
        <f>IF($Q76="","",INDEX(TRANSACTIONS_MASTER!$P$5:$P$1204,$Q76))</f>
        <v/>
      </c>
      <c r="M76" s="25" t="str">
        <f>IF($Q76="","",INDEX(TRANSACTIONS_MASTER!$AA$5:$AA$1204,$Q76))</f>
        <v/>
      </c>
      <c r="N76" s="25" t="str">
        <f>IF($Q76="","",INDEX(TRANSACTIONS_MASTER!$R$5:$R$1204,$Q76))</f>
        <v/>
      </c>
      <c r="O76" s="28" t="str">
        <f>IF($Q76="","",INDEX(TRANSACTIONS_MASTER!$AB$5:$AB$1204,$Q76))</f>
        <v/>
      </c>
      <c r="P76" s="55" t="str">
        <f>IF($Q76="","",INDEX(TRANSACTIONS_MASTER!$Z$5:$Z$1204,$Q76)&amp;"")</f>
        <v/>
      </c>
      <c r="Q76" s="67" t="str">
        <f>IFERROR(MATCH($C$2&amp;"|"&amp;69,TRANSACTIONS_MASTER!$AE$5:$AE$1204,0),"")</f>
        <v/>
      </c>
      <c r="S76" s="67" t="n">
        <v>15</v>
      </c>
      <c r="T76" s="55" t="str">
        <f>IF(CARDS!$A19="","",CARDS!$A19)</f>
        <v/>
      </c>
      <c r="U76" s="55" t="str">
        <f>IF($T76="","",CARDS!$B19&amp;" "&amp;CARDS!$C19)</f>
        <v/>
      </c>
      <c r="V76" s="25" t="str">
        <f>IF($T76="","",SUMIFS(TRANSACTIONS_MASTER!$L$5:$L$1204,TRANSACTIONS_MASTER!$D$5:$D$1204,$T76,TRANSACTIONS_MASTER!$C$5:$C$1204,$C$2,TRANSACTIONS_MASTER!$U$5:$U$1204,"&lt;&gt;Cancelled"))</f>
        <v/>
      </c>
      <c r="W76" s="26" t="str">
        <f>IF($T76="","",SUMIFS(TRANSACTIONS_MASTER!$Q$5:$Q$1204,TRANSACTIONS_MASTER!$D$5:$D$1204,$T76,TRANSACTIONS_MASTER!$C$5:$C$1204,$C$2))</f>
        <v/>
      </c>
      <c r="X76" s="25" t="str">
        <f>IF($T76="","",IFERROR(IF(ISNUMBER(INDEX(CASHBACK_RULES!$K$5:$K$304,MATCH($T76,CASHBACK_RULES!$B$5:$B$304,0))),INDEX(CASHBACK_RULES!$K$5:$K$304,MATCH($T76,CASHBACK_RULES!$B$5:$B$304,0)),"∞"),"—"))</f>
        <v/>
      </c>
      <c r="Y76" s="25" t="str">
        <f>IF($T76="","",IF($X76="—","—",IF(COUNTIFS($T$8:$T$57,$T76,$Z$8:$Z$57,"∞")&gt;0,IF(ISNUMBER($X76),MAX(0,$X76-$W76),"∞"),IF(ISNUMBER($X76),MAX(0,MIN($X76-$W76,SUMIFS($Z$8:$Z$57,$T$8:$T$57,$T76))),SUMIFS($Z$8:$Z$57,$T$8:$T$57,$T76)))))</f>
        <v/>
      </c>
      <c r="Z76" s="27" t="str">
        <f>IF($T76="","",IF(ISNUMBER($X76),IF($X76=0,0,$W76/$X76),IF(ISNUMBER($Y76),IF($W76+$Y76=0,0,$W76/($W76+$Y76)),"")))</f>
        <v/>
      </c>
      <c r="AA76" s="29" t="str">
        <f>IF($T76="","",COUNTIFS(TRANSACTIONS_MASTER!$D$5:$D$1204,$T76,TRANSACTIONS_MASTER!$C$5:$C$1204,$C$2,TRANSACTIONS_MASTER!$U$5:$U$1204,"&lt;&gt;Cancelled"))</f>
        <v/>
      </c>
    </row>
    <row r="77">
      <c r="A77" s="81" t="str">
        <f>IF($Q77="","",70)</f>
        <v/>
      </c>
      <c r="B77" s="57" t="str">
        <f>IF($Q77="","",INDEX(TRANSACTIONS_MASTER!$B$5:$B$1204,$Q77))</f>
        <v/>
      </c>
      <c r="C77" s="55" t="str">
        <f>IF($Q77="","",INDEX(TRANSACTIONS_MASTER!$F$5:$F$1204,$Q77))</f>
        <v/>
      </c>
      <c r="D77" s="55" t="str">
        <f>IF($Q77="","",INDEX(TRANSACTIONS_MASTER!$E$5:$E$1204,$Q77))</f>
        <v/>
      </c>
      <c r="E77" s="55" t="str">
        <f>IF($Q77="","",INDEX(TRANSACTIONS_MASTER!$G$5:$G$1204,$Q77)&amp;"")</f>
        <v/>
      </c>
      <c r="F77" s="29" t="str">
        <f>IF($Q77="","",INDEX(TRANSACTIONS_MASTER!$I$5:$I$1204,$Q77))</f>
        <v/>
      </c>
      <c r="G77" s="55" t="str">
        <f>IF($Q77="","",INDEX(TRANSACTIONS_MASTER!$K$5:$K$1204,$Q77))</f>
        <v/>
      </c>
      <c r="H77" s="25" t="str">
        <f>IF($Q77="","",INDEX(TRANSACTIONS_MASTER!$L$5:$L$1204,$Q77))</f>
        <v/>
      </c>
      <c r="I77" s="56" t="str">
        <f>IF($Q77="","",INDEX(TRANSACTIONS_MASTER!$N$5:$N$1204,$Q77))</f>
        <v/>
      </c>
      <c r="J77" s="25" t="str">
        <f>IF($Q77="","",INDEX(TRANSACTIONS_MASTER!$O$5:$O$1204,$Q77))</f>
        <v/>
      </c>
      <c r="K77" s="26" t="str">
        <f>IF($Q77="","",INDEX(TRANSACTIONS_MASTER!$Q$5:$Q$1204,$Q77))</f>
        <v/>
      </c>
      <c r="L77" s="25" t="str">
        <f>IF($Q77="","",INDEX(TRANSACTIONS_MASTER!$P$5:$P$1204,$Q77))</f>
        <v/>
      </c>
      <c r="M77" s="25" t="str">
        <f>IF($Q77="","",INDEX(TRANSACTIONS_MASTER!$AA$5:$AA$1204,$Q77))</f>
        <v/>
      </c>
      <c r="N77" s="25" t="str">
        <f>IF($Q77="","",INDEX(TRANSACTIONS_MASTER!$R$5:$R$1204,$Q77))</f>
        <v/>
      </c>
      <c r="O77" s="28" t="str">
        <f>IF($Q77="","",INDEX(TRANSACTIONS_MASTER!$AB$5:$AB$1204,$Q77))</f>
        <v/>
      </c>
      <c r="P77" s="55" t="str">
        <f>IF($Q77="","",INDEX(TRANSACTIONS_MASTER!$Z$5:$Z$1204,$Q77)&amp;"")</f>
        <v/>
      </c>
      <c r="Q77" s="67" t="str">
        <f>IFERROR(MATCH($C$2&amp;"|"&amp;70,TRANSACTIONS_MASTER!$AE$5:$AE$1204,0),"")</f>
        <v/>
      </c>
      <c r="S77" s="67" t="n">
        <v>16</v>
      </c>
      <c r="T77" s="55" t="str">
        <f>IF(CARDS!$A20="","",CARDS!$A20)</f>
        <v/>
      </c>
      <c r="U77" s="55" t="str">
        <f>IF($T77="","",CARDS!$B20&amp;" "&amp;CARDS!$C20)</f>
        <v/>
      </c>
      <c r="V77" s="25" t="str">
        <f>IF($T77="","",SUMIFS(TRANSACTIONS_MASTER!$L$5:$L$1204,TRANSACTIONS_MASTER!$D$5:$D$1204,$T77,TRANSACTIONS_MASTER!$C$5:$C$1204,$C$2,TRANSACTIONS_MASTER!$U$5:$U$1204,"&lt;&gt;Cancelled"))</f>
        <v/>
      </c>
      <c r="W77" s="26" t="str">
        <f>IF($T77="","",SUMIFS(TRANSACTIONS_MASTER!$Q$5:$Q$1204,TRANSACTIONS_MASTER!$D$5:$D$1204,$T77,TRANSACTIONS_MASTER!$C$5:$C$1204,$C$2))</f>
        <v/>
      </c>
      <c r="X77" s="25" t="str">
        <f>IF($T77="","",IFERROR(IF(ISNUMBER(INDEX(CASHBACK_RULES!$K$5:$K$304,MATCH($T77,CASHBACK_RULES!$B$5:$B$304,0))),INDEX(CASHBACK_RULES!$K$5:$K$304,MATCH($T77,CASHBACK_RULES!$B$5:$B$304,0)),"∞"),"—"))</f>
        <v/>
      </c>
      <c r="Y77" s="25" t="str">
        <f>IF($T77="","",IF($X77="—","—",IF(COUNTIFS($T$8:$T$57,$T77,$Z$8:$Z$57,"∞")&gt;0,IF(ISNUMBER($X77),MAX(0,$X77-$W77),"∞"),IF(ISNUMBER($X77),MAX(0,MIN($X77-$W77,SUMIFS($Z$8:$Z$57,$T$8:$T$57,$T77))),SUMIFS($Z$8:$Z$57,$T$8:$T$57,$T77)))))</f>
        <v/>
      </c>
      <c r="Z77" s="27" t="str">
        <f>IF($T77="","",IF(ISNUMBER($X77),IF($X77=0,0,$W77/$X77),IF(ISNUMBER($Y77),IF($W77+$Y77=0,0,$W77/($W77+$Y77)),"")))</f>
        <v/>
      </c>
      <c r="AA77" s="29" t="str">
        <f>IF($T77="","",COUNTIFS(TRANSACTIONS_MASTER!$D$5:$D$1204,$T77,TRANSACTIONS_MASTER!$C$5:$C$1204,$C$2,TRANSACTIONS_MASTER!$U$5:$U$1204,"&lt;&gt;Cancelled"))</f>
        <v/>
      </c>
    </row>
    <row r="78">
      <c r="A78" s="81" t="str">
        <f>IF($Q78="","",71)</f>
        <v/>
      </c>
      <c r="B78" s="57" t="str">
        <f>IF($Q78="","",INDEX(TRANSACTIONS_MASTER!$B$5:$B$1204,$Q78))</f>
        <v/>
      </c>
      <c r="C78" s="55" t="str">
        <f>IF($Q78="","",INDEX(TRANSACTIONS_MASTER!$F$5:$F$1204,$Q78))</f>
        <v/>
      </c>
      <c r="D78" s="55" t="str">
        <f>IF($Q78="","",INDEX(TRANSACTIONS_MASTER!$E$5:$E$1204,$Q78))</f>
        <v/>
      </c>
      <c r="E78" s="55" t="str">
        <f>IF($Q78="","",INDEX(TRANSACTIONS_MASTER!$G$5:$G$1204,$Q78)&amp;"")</f>
        <v/>
      </c>
      <c r="F78" s="29" t="str">
        <f>IF($Q78="","",INDEX(TRANSACTIONS_MASTER!$I$5:$I$1204,$Q78))</f>
        <v/>
      </c>
      <c r="G78" s="55" t="str">
        <f>IF($Q78="","",INDEX(TRANSACTIONS_MASTER!$K$5:$K$1204,$Q78))</f>
        <v/>
      </c>
      <c r="H78" s="25" t="str">
        <f>IF($Q78="","",INDEX(TRANSACTIONS_MASTER!$L$5:$L$1204,$Q78))</f>
        <v/>
      </c>
      <c r="I78" s="56" t="str">
        <f>IF($Q78="","",INDEX(TRANSACTIONS_MASTER!$N$5:$N$1204,$Q78))</f>
        <v/>
      </c>
      <c r="J78" s="25" t="str">
        <f>IF($Q78="","",INDEX(TRANSACTIONS_MASTER!$O$5:$O$1204,$Q78))</f>
        <v/>
      </c>
      <c r="K78" s="26" t="str">
        <f>IF($Q78="","",INDEX(TRANSACTIONS_MASTER!$Q$5:$Q$1204,$Q78))</f>
        <v/>
      </c>
      <c r="L78" s="25" t="str">
        <f>IF($Q78="","",INDEX(TRANSACTIONS_MASTER!$P$5:$P$1204,$Q78))</f>
        <v/>
      </c>
      <c r="M78" s="25" t="str">
        <f>IF($Q78="","",INDEX(TRANSACTIONS_MASTER!$AA$5:$AA$1204,$Q78))</f>
        <v/>
      </c>
      <c r="N78" s="25" t="str">
        <f>IF($Q78="","",INDEX(TRANSACTIONS_MASTER!$R$5:$R$1204,$Q78))</f>
        <v/>
      </c>
      <c r="O78" s="28" t="str">
        <f>IF($Q78="","",INDEX(TRANSACTIONS_MASTER!$AB$5:$AB$1204,$Q78))</f>
        <v/>
      </c>
      <c r="P78" s="55" t="str">
        <f>IF($Q78="","",INDEX(TRANSACTIONS_MASTER!$Z$5:$Z$1204,$Q78)&amp;"")</f>
        <v/>
      </c>
      <c r="Q78" s="67" t="str">
        <f>IFERROR(MATCH($C$2&amp;"|"&amp;71,TRANSACTIONS_MASTER!$AE$5:$AE$1204,0),"")</f>
        <v/>
      </c>
      <c r="S78" s="67" t="n">
        <v>17</v>
      </c>
      <c r="T78" s="55" t="str">
        <f>IF(CARDS!$A21="","",CARDS!$A21)</f>
        <v/>
      </c>
      <c r="U78" s="55" t="str">
        <f>IF($T78="","",CARDS!$B21&amp;" "&amp;CARDS!$C21)</f>
        <v/>
      </c>
      <c r="V78" s="25" t="str">
        <f>IF($T78="","",SUMIFS(TRANSACTIONS_MASTER!$L$5:$L$1204,TRANSACTIONS_MASTER!$D$5:$D$1204,$T78,TRANSACTIONS_MASTER!$C$5:$C$1204,$C$2,TRANSACTIONS_MASTER!$U$5:$U$1204,"&lt;&gt;Cancelled"))</f>
        <v/>
      </c>
      <c r="W78" s="26" t="str">
        <f>IF($T78="","",SUMIFS(TRANSACTIONS_MASTER!$Q$5:$Q$1204,TRANSACTIONS_MASTER!$D$5:$D$1204,$T78,TRANSACTIONS_MASTER!$C$5:$C$1204,$C$2))</f>
        <v/>
      </c>
      <c r="X78" s="25" t="str">
        <f>IF($T78="","",IFERROR(IF(ISNUMBER(INDEX(CASHBACK_RULES!$K$5:$K$304,MATCH($T78,CASHBACK_RULES!$B$5:$B$304,0))),INDEX(CASHBACK_RULES!$K$5:$K$304,MATCH($T78,CASHBACK_RULES!$B$5:$B$304,0)),"∞"),"—"))</f>
        <v/>
      </c>
      <c r="Y78" s="25" t="str">
        <f>IF($T78="","",IF($X78="—","—",IF(COUNTIFS($T$8:$T$57,$T78,$Z$8:$Z$57,"∞")&gt;0,IF(ISNUMBER($X78),MAX(0,$X78-$W78),"∞"),IF(ISNUMBER($X78),MAX(0,MIN($X78-$W78,SUMIFS($Z$8:$Z$57,$T$8:$T$57,$T78))),SUMIFS($Z$8:$Z$57,$T$8:$T$57,$T78)))))</f>
        <v/>
      </c>
      <c r="Z78" s="27" t="str">
        <f>IF($T78="","",IF(ISNUMBER($X78),IF($X78=0,0,$W78/$X78),IF(ISNUMBER($Y78),IF($W78+$Y78=0,0,$W78/($W78+$Y78)),"")))</f>
        <v/>
      </c>
      <c r="AA78" s="29" t="str">
        <f>IF($T78="","",COUNTIFS(TRANSACTIONS_MASTER!$D$5:$D$1204,$T78,TRANSACTIONS_MASTER!$C$5:$C$1204,$C$2,TRANSACTIONS_MASTER!$U$5:$U$1204,"&lt;&gt;Cancelled"))</f>
        <v/>
      </c>
    </row>
    <row r="79">
      <c r="A79" s="81" t="str">
        <f>IF($Q79="","",72)</f>
        <v/>
      </c>
      <c r="B79" s="57" t="str">
        <f>IF($Q79="","",INDEX(TRANSACTIONS_MASTER!$B$5:$B$1204,$Q79))</f>
        <v/>
      </c>
      <c r="C79" s="55" t="str">
        <f>IF($Q79="","",INDEX(TRANSACTIONS_MASTER!$F$5:$F$1204,$Q79))</f>
        <v/>
      </c>
      <c r="D79" s="55" t="str">
        <f>IF($Q79="","",INDEX(TRANSACTIONS_MASTER!$E$5:$E$1204,$Q79))</f>
        <v/>
      </c>
      <c r="E79" s="55" t="str">
        <f>IF($Q79="","",INDEX(TRANSACTIONS_MASTER!$G$5:$G$1204,$Q79)&amp;"")</f>
        <v/>
      </c>
      <c r="F79" s="29" t="str">
        <f>IF($Q79="","",INDEX(TRANSACTIONS_MASTER!$I$5:$I$1204,$Q79))</f>
        <v/>
      </c>
      <c r="G79" s="55" t="str">
        <f>IF($Q79="","",INDEX(TRANSACTIONS_MASTER!$K$5:$K$1204,$Q79))</f>
        <v/>
      </c>
      <c r="H79" s="25" t="str">
        <f>IF($Q79="","",INDEX(TRANSACTIONS_MASTER!$L$5:$L$1204,$Q79))</f>
        <v/>
      </c>
      <c r="I79" s="56" t="str">
        <f>IF($Q79="","",INDEX(TRANSACTIONS_MASTER!$N$5:$N$1204,$Q79))</f>
        <v/>
      </c>
      <c r="J79" s="25" t="str">
        <f>IF($Q79="","",INDEX(TRANSACTIONS_MASTER!$O$5:$O$1204,$Q79))</f>
        <v/>
      </c>
      <c r="K79" s="26" t="str">
        <f>IF($Q79="","",INDEX(TRANSACTIONS_MASTER!$Q$5:$Q$1204,$Q79))</f>
        <v/>
      </c>
      <c r="L79" s="25" t="str">
        <f>IF($Q79="","",INDEX(TRANSACTIONS_MASTER!$P$5:$P$1204,$Q79))</f>
        <v/>
      </c>
      <c r="M79" s="25" t="str">
        <f>IF($Q79="","",INDEX(TRANSACTIONS_MASTER!$AA$5:$AA$1204,$Q79))</f>
        <v/>
      </c>
      <c r="N79" s="25" t="str">
        <f>IF($Q79="","",INDEX(TRANSACTIONS_MASTER!$R$5:$R$1204,$Q79))</f>
        <v/>
      </c>
      <c r="O79" s="28" t="str">
        <f>IF($Q79="","",INDEX(TRANSACTIONS_MASTER!$AB$5:$AB$1204,$Q79))</f>
        <v/>
      </c>
      <c r="P79" s="55" t="str">
        <f>IF($Q79="","",INDEX(TRANSACTIONS_MASTER!$Z$5:$Z$1204,$Q79)&amp;"")</f>
        <v/>
      </c>
      <c r="Q79" s="67" t="str">
        <f>IFERROR(MATCH($C$2&amp;"|"&amp;72,TRANSACTIONS_MASTER!$AE$5:$AE$1204,0),"")</f>
        <v/>
      </c>
      <c r="S79" s="67" t="n">
        <v>18</v>
      </c>
      <c r="T79" s="55" t="str">
        <f>IF(CARDS!$A22="","",CARDS!$A22)</f>
        <v/>
      </c>
      <c r="U79" s="55" t="str">
        <f>IF($T79="","",CARDS!$B22&amp;" "&amp;CARDS!$C22)</f>
        <v/>
      </c>
      <c r="V79" s="25" t="str">
        <f>IF($T79="","",SUMIFS(TRANSACTIONS_MASTER!$L$5:$L$1204,TRANSACTIONS_MASTER!$D$5:$D$1204,$T79,TRANSACTIONS_MASTER!$C$5:$C$1204,$C$2,TRANSACTIONS_MASTER!$U$5:$U$1204,"&lt;&gt;Cancelled"))</f>
        <v/>
      </c>
      <c r="W79" s="26" t="str">
        <f>IF($T79="","",SUMIFS(TRANSACTIONS_MASTER!$Q$5:$Q$1204,TRANSACTIONS_MASTER!$D$5:$D$1204,$T79,TRANSACTIONS_MASTER!$C$5:$C$1204,$C$2))</f>
        <v/>
      </c>
      <c r="X79" s="25" t="str">
        <f>IF($T79="","",IFERROR(IF(ISNUMBER(INDEX(CASHBACK_RULES!$K$5:$K$304,MATCH($T79,CASHBACK_RULES!$B$5:$B$304,0))),INDEX(CASHBACK_RULES!$K$5:$K$304,MATCH($T79,CASHBACK_RULES!$B$5:$B$304,0)),"∞"),"—"))</f>
        <v/>
      </c>
      <c r="Y79" s="25" t="str">
        <f>IF($T79="","",IF($X79="—","—",IF(COUNTIFS($T$8:$T$57,$T79,$Z$8:$Z$57,"∞")&gt;0,IF(ISNUMBER($X79),MAX(0,$X79-$W79),"∞"),IF(ISNUMBER($X79),MAX(0,MIN($X79-$W79,SUMIFS($Z$8:$Z$57,$T$8:$T$57,$T79))),SUMIFS($Z$8:$Z$57,$T$8:$T$57,$T79)))))</f>
        <v/>
      </c>
      <c r="Z79" s="27" t="str">
        <f>IF($T79="","",IF(ISNUMBER($X79),IF($X79=0,0,$W79/$X79),IF(ISNUMBER($Y79),IF($W79+$Y79=0,0,$W79/($W79+$Y79)),"")))</f>
        <v/>
      </c>
      <c r="AA79" s="29" t="str">
        <f>IF($T79="","",COUNTIFS(TRANSACTIONS_MASTER!$D$5:$D$1204,$T79,TRANSACTIONS_MASTER!$C$5:$C$1204,$C$2,TRANSACTIONS_MASTER!$U$5:$U$1204,"&lt;&gt;Cancelled"))</f>
        <v/>
      </c>
    </row>
    <row r="80">
      <c r="A80" s="81" t="str">
        <f>IF($Q80="","",73)</f>
        <v/>
      </c>
      <c r="B80" s="57" t="str">
        <f>IF($Q80="","",INDEX(TRANSACTIONS_MASTER!$B$5:$B$1204,$Q80))</f>
        <v/>
      </c>
      <c r="C80" s="55" t="str">
        <f>IF($Q80="","",INDEX(TRANSACTIONS_MASTER!$F$5:$F$1204,$Q80))</f>
        <v/>
      </c>
      <c r="D80" s="55" t="str">
        <f>IF($Q80="","",INDEX(TRANSACTIONS_MASTER!$E$5:$E$1204,$Q80))</f>
        <v/>
      </c>
      <c r="E80" s="55" t="str">
        <f>IF($Q80="","",INDEX(TRANSACTIONS_MASTER!$G$5:$G$1204,$Q80)&amp;"")</f>
        <v/>
      </c>
      <c r="F80" s="29" t="str">
        <f>IF($Q80="","",INDEX(TRANSACTIONS_MASTER!$I$5:$I$1204,$Q80))</f>
        <v/>
      </c>
      <c r="G80" s="55" t="str">
        <f>IF($Q80="","",INDEX(TRANSACTIONS_MASTER!$K$5:$K$1204,$Q80))</f>
        <v/>
      </c>
      <c r="H80" s="25" t="str">
        <f>IF($Q80="","",INDEX(TRANSACTIONS_MASTER!$L$5:$L$1204,$Q80))</f>
        <v/>
      </c>
      <c r="I80" s="56" t="str">
        <f>IF($Q80="","",INDEX(TRANSACTIONS_MASTER!$N$5:$N$1204,$Q80))</f>
        <v/>
      </c>
      <c r="J80" s="25" t="str">
        <f>IF($Q80="","",INDEX(TRANSACTIONS_MASTER!$O$5:$O$1204,$Q80))</f>
        <v/>
      </c>
      <c r="K80" s="26" t="str">
        <f>IF($Q80="","",INDEX(TRANSACTIONS_MASTER!$Q$5:$Q$1204,$Q80))</f>
        <v/>
      </c>
      <c r="L80" s="25" t="str">
        <f>IF($Q80="","",INDEX(TRANSACTIONS_MASTER!$P$5:$P$1204,$Q80))</f>
        <v/>
      </c>
      <c r="M80" s="25" t="str">
        <f>IF($Q80="","",INDEX(TRANSACTIONS_MASTER!$AA$5:$AA$1204,$Q80))</f>
        <v/>
      </c>
      <c r="N80" s="25" t="str">
        <f>IF($Q80="","",INDEX(TRANSACTIONS_MASTER!$R$5:$R$1204,$Q80))</f>
        <v/>
      </c>
      <c r="O80" s="28" t="str">
        <f>IF($Q80="","",INDEX(TRANSACTIONS_MASTER!$AB$5:$AB$1204,$Q80))</f>
        <v/>
      </c>
      <c r="P80" s="55" t="str">
        <f>IF($Q80="","",INDEX(TRANSACTIONS_MASTER!$Z$5:$Z$1204,$Q80)&amp;"")</f>
        <v/>
      </c>
      <c r="Q80" s="67" t="str">
        <f>IFERROR(MATCH($C$2&amp;"|"&amp;73,TRANSACTIONS_MASTER!$AE$5:$AE$1204,0),"")</f>
        <v/>
      </c>
      <c r="S80" s="67" t="n">
        <v>19</v>
      </c>
      <c r="T80" s="55" t="str">
        <f>IF(CARDS!$A23="","",CARDS!$A23)</f>
        <v/>
      </c>
      <c r="U80" s="55" t="str">
        <f>IF($T80="","",CARDS!$B23&amp;" "&amp;CARDS!$C23)</f>
        <v/>
      </c>
      <c r="V80" s="25" t="str">
        <f>IF($T80="","",SUMIFS(TRANSACTIONS_MASTER!$L$5:$L$1204,TRANSACTIONS_MASTER!$D$5:$D$1204,$T80,TRANSACTIONS_MASTER!$C$5:$C$1204,$C$2,TRANSACTIONS_MASTER!$U$5:$U$1204,"&lt;&gt;Cancelled"))</f>
        <v/>
      </c>
      <c r="W80" s="26" t="str">
        <f>IF($T80="","",SUMIFS(TRANSACTIONS_MASTER!$Q$5:$Q$1204,TRANSACTIONS_MASTER!$D$5:$D$1204,$T80,TRANSACTIONS_MASTER!$C$5:$C$1204,$C$2))</f>
        <v/>
      </c>
      <c r="X80" s="25" t="str">
        <f>IF($T80="","",IFERROR(IF(ISNUMBER(INDEX(CASHBACK_RULES!$K$5:$K$304,MATCH($T80,CASHBACK_RULES!$B$5:$B$304,0))),INDEX(CASHBACK_RULES!$K$5:$K$304,MATCH($T80,CASHBACK_RULES!$B$5:$B$304,0)),"∞"),"—"))</f>
        <v/>
      </c>
      <c r="Y80" s="25" t="str">
        <f>IF($T80="","",IF($X80="—","—",IF(COUNTIFS($T$8:$T$57,$T80,$Z$8:$Z$57,"∞")&gt;0,IF(ISNUMBER($X80),MAX(0,$X80-$W80),"∞"),IF(ISNUMBER($X80),MAX(0,MIN($X80-$W80,SUMIFS($Z$8:$Z$57,$T$8:$T$57,$T80))),SUMIFS($Z$8:$Z$57,$T$8:$T$57,$T80)))))</f>
        <v/>
      </c>
      <c r="Z80" s="27" t="str">
        <f>IF($T80="","",IF(ISNUMBER($X80),IF($X80=0,0,$W80/$X80),IF(ISNUMBER($Y80),IF($W80+$Y80=0,0,$W80/($W80+$Y80)),"")))</f>
        <v/>
      </c>
      <c r="AA80" s="29" t="str">
        <f>IF($T80="","",COUNTIFS(TRANSACTIONS_MASTER!$D$5:$D$1204,$T80,TRANSACTIONS_MASTER!$C$5:$C$1204,$C$2,TRANSACTIONS_MASTER!$U$5:$U$1204,"&lt;&gt;Cancelled"))</f>
        <v/>
      </c>
    </row>
    <row r="81">
      <c r="A81" s="81" t="str">
        <f>IF($Q81="","",74)</f>
        <v/>
      </c>
      <c r="B81" s="57" t="str">
        <f>IF($Q81="","",INDEX(TRANSACTIONS_MASTER!$B$5:$B$1204,$Q81))</f>
        <v/>
      </c>
      <c r="C81" s="55" t="str">
        <f>IF($Q81="","",INDEX(TRANSACTIONS_MASTER!$F$5:$F$1204,$Q81))</f>
        <v/>
      </c>
      <c r="D81" s="55" t="str">
        <f>IF($Q81="","",INDEX(TRANSACTIONS_MASTER!$E$5:$E$1204,$Q81))</f>
        <v/>
      </c>
      <c r="E81" s="55" t="str">
        <f>IF($Q81="","",INDEX(TRANSACTIONS_MASTER!$G$5:$G$1204,$Q81)&amp;"")</f>
        <v/>
      </c>
      <c r="F81" s="29" t="str">
        <f>IF($Q81="","",INDEX(TRANSACTIONS_MASTER!$I$5:$I$1204,$Q81))</f>
        <v/>
      </c>
      <c r="G81" s="55" t="str">
        <f>IF($Q81="","",INDEX(TRANSACTIONS_MASTER!$K$5:$K$1204,$Q81))</f>
        <v/>
      </c>
      <c r="H81" s="25" t="str">
        <f>IF($Q81="","",INDEX(TRANSACTIONS_MASTER!$L$5:$L$1204,$Q81))</f>
        <v/>
      </c>
      <c r="I81" s="56" t="str">
        <f>IF($Q81="","",INDEX(TRANSACTIONS_MASTER!$N$5:$N$1204,$Q81))</f>
        <v/>
      </c>
      <c r="J81" s="25" t="str">
        <f>IF($Q81="","",INDEX(TRANSACTIONS_MASTER!$O$5:$O$1204,$Q81))</f>
        <v/>
      </c>
      <c r="K81" s="26" t="str">
        <f>IF($Q81="","",INDEX(TRANSACTIONS_MASTER!$Q$5:$Q$1204,$Q81))</f>
        <v/>
      </c>
      <c r="L81" s="25" t="str">
        <f>IF($Q81="","",INDEX(TRANSACTIONS_MASTER!$P$5:$P$1204,$Q81))</f>
        <v/>
      </c>
      <c r="M81" s="25" t="str">
        <f>IF($Q81="","",INDEX(TRANSACTIONS_MASTER!$AA$5:$AA$1204,$Q81))</f>
        <v/>
      </c>
      <c r="N81" s="25" t="str">
        <f>IF($Q81="","",INDEX(TRANSACTIONS_MASTER!$R$5:$R$1204,$Q81))</f>
        <v/>
      </c>
      <c r="O81" s="28" t="str">
        <f>IF($Q81="","",INDEX(TRANSACTIONS_MASTER!$AB$5:$AB$1204,$Q81))</f>
        <v/>
      </c>
      <c r="P81" s="55" t="str">
        <f>IF($Q81="","",INDEX(TRANSACTIONS_MASTER!$Z$5:$Z$1204,$Q81)&amp;"")</f>
        <v/>
      </c>
      <c r="Q81" s="67" t="str">
        <f>IFERROR(MATCH($C$2&amp;"|"&amp;74,TRANSACTIONS_MASTER!$AE$5:$AE$1204,0),"")</f>
        <v/>
      </c>
      <c r="S81" s="67" t="n">
        <v>20</v>
      </c>
      <c r="T81" s="55" t="str">
        <f>IF(CARDS!$A24="","",CARDS!$A24)</f>
        <v/>
      </c>
      <c r="U81" s="55" t="str">
        <f>IF($T81="","",CARDS!$B24&amp;" "&amp;CARDS!$C24)</f>
        <v/>
      </c>
      <c r="V81" s="25" t="str">
        <f>IF($T81="","",SUMIFS(TRANSACTIONS_MASTER!$L$5:$L$1204,TRANSACTIONS_MASTER!$D$5:$D$1204,$T81,TRANSACTIONS_MASTER!$C$5:$C$1204,$C$2,TRANSACTIONS_MASTER!$U$5:$U$1204,"&lt;&gt;Cancelled"))</f>
        <v/>
      </c>
      <c r="W81" s="26" t="str">
        <f>IF($T81="","",SUMIFS(TRANSACTIONS_MASTER!$Q$5:$Q$1204,TRANSACTIONS_MASTER!$D$5:$D$1204,$T81,TRANSACTIONS_MASTER!$C$5:$C$1204,$C$2))</f>
        <v/>
      </c>
      <c r="X81" s="25" t="str">
        <f>IF($T81="","",IFERROR(IF(ISNUMBER(INDEX(CASHBACK_RULES!$K$5:$K$304,MATCH($T81,CASHBACK_RULES!$B$5:$B$304,0))),INDEX(CASHBACK_RULES!$K$5:$K$304,MATCH($T81,CASHBACK_RULES!$B$5:$B$304,0)),"∞"),"—"))</f>
        <v/>
      </c>
      <c r="Y81" s="25" t="str">
        <f>IF($T81="","",IF($X81="—","—",IF(COUNTIFS($T$8:$T$57,$T81,$Z$8:$Z$57,"∞")&gt;0,IF(ISNUMBER($X81),MAX(0,$X81-$W81),"∞"),IF(ISNUMBER($X81),MAX(0,MIN($X81-$W81,SUMIFS($Z$8:$Z$57,$T$8:$T$57,$T81))),SUMIFS($Z$8:$Z$57,$T$8:$T$57,$T81)))))</f>
        <v/>
      </c>
      <c r="Z81" s="27" t="str">
        <f>IF($T81="","",IF(ISNUMBER($X81),IF($X81=0,0,$W81/$X81),IF(ISNUMBER($Y81),IF($W81+$Y81=0,0,$W81/($W81+$Y81)),"")))</f>
        <v/>
      </c>
      <c r="AA81" s="29" t="str">
        <f>IF($T81="","",COUNTIFS(TRANSACTIONS_MASTER!$D$5:$D$1204,$T81,TRANSACTIONS_MASTER!$C$5:$C$1204,$C$2,TRANSACTIONS_MASTER!$U$5:$U$1204,"&lt;&gt;Cancelled"))</f>
        <v/>
      </c>
    </row>
    <row r="82">
      <c r="A82" s="81" t="str">
        <f>IF($Q82="","",75)</f>
        <v/>
      </c>
      <c r="B82" s="57" t="str">
        <f>IF($Q82="","",INDEX(TRANSACTIONS_MASTER!$B$5:$B$1204,$Q82))</f>
        <v/>
      </c>
      <c r="C82" s="55" t="str">
        <f>IF($Q82="","",INDEX(TRANSACTIONS_MASTER!$F$5:$F$1204,$Q82))</f>
        <v/>
      </c>
      <c r="D82" s="55" t="str">
        <f>IF($Q82="","",INDEX(TRANSACTIONS_MASTER!$E$5:$E$1204,$Q82))</f>
        <v/>
      </c>
      <c r="E82" s="55" t="str">
        <f>IF($Q82="","",INDEX(TRANSACTIONS_MASTER!$G$5:$G$1204,$Q82)&amp;"")</f>
        <v/>
      </c>
      <c r="F82" s="29" t="str">
        <f>IF($Q82="","",INDEX(TRANSACTIONS_MASTER!$I$5:$I$1204,$Q82))</f>
        <v/>
      </c>
      <c r="G82" s="55" t="str">
        <f>IF($Q82="","",INDEX(TRANSACTIONS_MASTER!$K$5:$K$1204,$Q82))</f>
        <v/>
      </c>
      <c r="H82" s="25" t="str">
        <f>IF($Q82="","",INDEX(TRANSACTIONS_MASTER!$L$5:$L$1204,$Q82))</f>
        <v/>
      </c>
      <c r="I82" s="56" t="str">
        <f>IF($Q82="","",INDEX(TRANSACTIONS_MASTER!$N$5:$N$1204,$Q82))</f>
        <v/>
      </c>
      <c r="J82" s="25" t="str">
        <f>IF($Q82="","",INDEX(TRANSACTIONS_MASTER!$O$5:$O$1204,$Q82))</f>
        <v/>
      </c>
      <c r="K82" s="26" t="str">
        <f>IF($Q82="","",INDEX(TRANSACTIONS_MASTER!$Q$5:$Q$1204,$Q82))</f>
        <v/>
      </c>
      <c r="L82" s="25" t="str">
        <f>IF($Q82="","",INDEX(TRANSACTIONS_MASTER!$P$5:$P$1204,$Q82))</f>
        <v/>
      </c>
      <c r="M82" s="25" t="str">
        <f>IF($Q82="","",INDEX(TRANSACTIONS_MASTER!$AA$5:$AA$1204,$Q82))</f>
        <v/>
      </c>
      <c r="N82" s="25" t="str">
        <f>IF($Q82="","",INDEX(TRANSACTIONS_MASTER!$R$5:$R$1204,$Q82))</f>
        <v/>
      </c>
      <c r="O82" s="28" t="str">
        <f>IF($Q82="","",INDEX(TRANSACTIONS_MASTER!$AB$5:$AB$1204,$Q82))</f>
        <v/>
      </c>
      <c r="P82" s="55" t="str">
        <f>IF($Q82="","",INDEX(TRANSACTIONS_MASTER!$Z$5:$Z$1204,$Q82)&amp;"")</f>
        <v/>
      </c>
      <c r="Q82" s="67" t="str">
        <f>IFERROR(MATCH($C$2&amp;"|"&amp;75,TRANSACTIONS_MASTER!$AE$5:$AE$1204,0),"")</f>
        <v/>
      </c>
      <c r="S82" s="67" t="n">
        <v>21</v>
      </c>
      <c r="T82" s="55" t="str">
        <f>IF(CARDS!$A25="","",CARDS!$A25)</f>
        <v/>
      </c>
      <c r="U82" s="55" t="str">
        <f>IF($T82="","",CARDS!$B25&amp;" "&amp;CARDS!$C25)</f>
        <v/>
      </c>
      <c r="V82" s="25" t="str">
        <f>IF($T82="","",SUMIFS(TRANSACTIONS_MASTER!$L$5:$L$1204,TRANSACTIONS_MASTER!$D$5:$D$1204,$T82,TRANSACTIONS_MASTER!$C$5:$C$1204,$C$2,TRANSACTIONS_MASTER!$U$5:$U$1204,"&lt;&gt;Cancelled"))</f>
        <v/>
      </c>
      <c r="W82" s="26" t="str">
        <f>IF($T82="","",SUMIFS(TRANSACTIONS_MASTER!$Q$5:$Q$1204,TRANSACTIONS_MASTER!$D$5:$D$1204,$T82,TRANSACTIONS_MASTER!$C$5:$C$1204,$C$2))</f>
        <v/>
      </c>
      <c r="X82" s="25" t="str">
        <f>IF($T82="","",IFERROR(IF(ISNUMBER(INDEX(CASHBACK_RULES!$K$5:$K$304,MATCH($T82,CASHBACK_RULES!$B$5:$B$304,0))),INDEX(CASHBACK_RULES!$K$5:$K$304,MATCH($T82,CASHBACK_RULES!$B$5:$B$304,0)),"∞"),"—"))</f>
        <v/>
      </c>
      <c r="Y82" s="25" t="str">
        <f>IF($T82="","",IF($X82="—","—",IF(COUNTIFS($T$8:$T$57,$T82,$Z$8:$Z$57,"∞")&gt;0,IF(ISNUMBER($X82),MAX(0,$X82-$W82),"∞"),IF(ISNUMBER($X82),MAX(0,MIN($X82-$W82,SUMIFS($Z$8:$Z$57,$T$8:$T$57,$T82))),SUMIFS($Z$8:$Z$57,$T$8:$T$57,$T82)))))</f>
        <v/>
      </c>
      <c r="Z82" s="27" t="str">
        <f>IF($T82="","",IF(ISNUMBER($X82),IF($X82=0,0,$W82/$X82),IF(ISNUMBER($Y82),IF($W82+$Y82=0,0,$W82/($W82+$Y82)),"")))</f>
        <v/>
      </c>
      <c r="AA82" s="29" t="str">
        <f>IF($T82="","",COUNTIFS(TRANSACTIONS_MASTER!$D$5:$D$1204,$T82,TRANSACTIONS_MASTER!$C$5:$C$1204,$C$2,TRANSACTIONS_MASTER!$U$5:$U$1204,"&lt;&gt;Cancelled"))</f>
        <v/>
      </c>
    </row>
    <row r="83">
      <c r="A83" s="81" t="str">
        <f>IF($Q83="","",76)</f>
        <v/>
      </c>
      <c r="B83" s="57" t="str">
        <f>IF($Q83="","",INDEX(TRANSACTIONS_MASTER!$B$5:$B$1204,$Q83))</f>
        <v/>
      </c>
      <c r="C83" s="55" t="str">
        <f>IF($Q83="","",INDEX(TRANSACTIONS_MASTER!$F$5:$F$1204,$Q83))</f>
        <v/>
      </c>
      <c r="D83" s="55" t="str">
        <f>IF($Q83="","",INDEX(TRANSACTIONS_MASTER!$E$5:$E$1204,$Q83))</f>
        <v/>
      </c>
      <c r="E83" s="55" t="str">
        <f>IF($Q83="","",INDEX(TRANSACTIONS_MASTER!$G$5:$G$1204,$Q83)&amp;"")</f>
        <v/>
      </c>
      <c r="F83" s="29" t="str">
        <f>IF($Q83="","",INDEX(TRANSACTIONS_MASTER!$I$5:$I$1204,$Q83))</f>
        <v/>
      </c>
      <c r="G83" s="55" t="str">
        <f>IF($Q83="","",INDEX(TRANSACTIONS_MASTER!$K$5:$K$1204,$Q83))</f>
        <v/>
      </c>
      <c r="H83" s="25" t="str">
        <f>IF($Q83="","",INDEX(TRANSACTIONS_MASTER!$L$5:$L$1204,$Q83))</f>
        <v/>
      </c>
      <c r="I83" s="56" t="str">
        <f>IF($Q83="","",INDEX(TRANSACTIONS_MASTER!$N$5:$N$1204,$Q83))</f>
        <v/>
      </c>
      <c r="J83" s="25" t="str">
        <f>IF($Q83="","",INDEX(TRANSACTIONS_MASTER!$O$5:$O$1204,$Q83))</f>
        <v/>
      </c>
      <c r="K83" s="26" t="str">
        <f>IF($Q83="","",INDEX(TRANSACTIONS_MASTER!$Q$5:$Q$1204,$Q83))</f>
        <v/>
      </c>
      <c r="L83" s="25" t="str">
        <f>IF($Q83="","",INDEX(TRANSACTIONS_MASTER!$P$5:$P$1204,$Q83))</f>
        <v/>
      </c>
      <c r="M83" s="25" t="str">
        <f>IF($Q83="","",INDEX(TRANSACTIONS_MASTER!$AA$5:$AA$1204,$Q83))</f>
        <v/>
      </c>
      <c r="N83" s="25" t="str">
        <f>IF($Q83="","",INDEX(TRANSACTIONS_MASTER!$R$5:$R$1204,$Q83))</f>
        <v/>
      </c>
      <c r="O83" s="28" t="str">
        <f>IF($Q83="","",INDEX(TRANSACTIONS_MASTER!$AB$5:$AB$1204,$Q83))</f>
        <v/>
      </c>
      <c r="P83" s="55" t="str">
        <f>IF($Q83="","",INDEX(TRANSACTIONS_MASTER!$Z$5:$Z$1204,$Q83)&amp;"")</f>
        <v/>
      </c>
      <c r="Q83" s="67" t="str">
        <f>IFERROR(MATCH($C$2&amp;"|"&amp;76,TRANSACTIONS_MASTER!$AE$5:$AE$1204,0),"")</f>
        <v/>
      </c>
      <c r="S83" s="67" t="n">
        <v>22</v>
      </c>
      <c r="T83" s="55" t="str">
        <f>IF(CARDS!$A26="","",CARDS!$A26)</f>
        <v/>
      </c>
      <c r="U83" s="55" t="str">
        <f>IF($T83="","",CARDS!$B26&amp;" "&amp;CARDS!$C26)</f>
        <v/>
      </c>
      <c r="V83" s="25" t="str">
        <f>IF($T83="","",SUMIFS(TRANSACTIONS_MASTER!$L$5:$L$1204,TRANSACTIONS_MASTER!$D$5:$D$1204,$T83,TRANSACTIONS_MASTER!$C$5:$C$1204,$C$2,TRANSACTIONS_MASTER!$U$5:$U$1204,"&lt;&gt;Cancelled"))</f>
        <v/>
      </c>
      <c r="W83" s="26" t="str">
        <f>IF($T83="","",SUMIFS(TRANSACTIONS_MASTER!$Q$5:$Q$1204,TRANSACTIONS_MASTER!$D$5:$D$1204,$T83,TRANSACTIONS_MASTER!$C$5:$C$1204,$C$2))</f>
        <v/>
      </c>
      <c r="X83" s="25" t="str">
        <f>IF($T83="","",IFERROR(IF(ISNUMBER(INDEX(CASHBACK_RULES!$K$5:$K$304,MATCH($T83,CASHBACK_RULES!$B$5:$B$304,0))),INDEX(CASHBACK_RULES!$K$5:$K$304,MATCH($T83,CASHBACK_RULES!$B$5:$B$304,0)),"∞"),"—"))</f>
        <v/>
      </c>
      <c r="Y83" s="25" t="str">
        <f>IF($T83="","",IF($X83="—","—",IF(COUNTIFS($T$8:$T$57,$T83,$Z$8:$Z$57,"∞")&gt;0,IF(ISNUMBER($X83),MAX(0,$X83-$W83),"∞"),IF(ISNUMBER($X83),MAX(0,MIN($X83-$W83,SUMIFS($Z$8:$Z$57,$T$8:$T$57,$T83))),SUMIFS($Z$8:$Z$57,$T$8:$T$57,$T83)))))</f>
        <v/>
      </c>
      <c r="Z83" s="27" t="str">
        <f>IF($T83="","",IF(ISNUMBER($X83),IF($X83=0,0,$W83/$X83),IF(ISNUMBER($Y83),IF($W83+$Y83=0,0,$W83/($W83+$Y83)),"")))</f>
        <v/>
      </c>
      <c r="AA83" s="29" t="str">
        <f>IF($T83="","",COUNTIFS(TRANSACTIONS_MASTER!$D$5:$D$1204,$T83,TRANSACTIONS_MASTER!$C$5:$C$1204,$C$2,TRANSACTIONS_MASTER!$U$5:$U$1204,"&lt;&gt;Cancelled"))</f>
        <v/>
      </c>
    </row>
    <row r="84">
      <c r="A84" s="81" t="str">
        <f>IF($Q84="","",77)</f>
        <v/>
      </c>
      <c r="B84" s="57" t="str">
        <f>IF($Q84="","",INDEX(TRANSACTIONS_MASTER!$B$5:$B$1204,$Q84))</f>
        <v/>
      </c>
      <c r="C84" s="55" t="str">
        <f>IF($Q84="","",INDEX(TRANSACTIONS_MASTER!$F$5:$F$1204,$Q84))</f>
        <v/>
      </c>
      <c r="D84" s="55" t="str">
        <f>IF($Q84="","",INDEX(TRANSACTIONS_MASTER!$E$5:$E$1204,$Q84))</f>
        <v/>
      </c>
      <c r="E84" s="55" t="str">
        <f>IF($Q84="","",INDEX(TRANSACTIONS_MASTER!$G$5:$G$1204,$Q84)&amp;"")</f>
        <v/>
      </c>
      <c r="F84" s="29" t="str">
        <f>IF($Q84="","",INDEX(TRANSACTIONS_MASTER!$I$5:$I$1204,$Q84))</f>
        <v/>
      </c>
      <c r="G84" s="55" t="str">
        <f>IF($Q84="","",INDEX(TRANSACTIONS_MASTER!$K$5:$K$1204,$Q84))</f>
        <v/>
      </c>
      <c r="H84" s="25" t="str">
        <f>IF($Q84="","",INDEX(TRANSACTIONS_MASTER!$L$5:$L$1204,$Q84))</f>
        <v/>
      </c>
      <c r="I84" s="56" t="str">
        <f>IF($Q84="","",INDEX(TRANSACTIONS_MASTER!$N$5:$N$1204,$Q84))</f>
        <v/>
      </c>
      <c r="J84" s="25" t="str">
        <f>IF($Q84="","",INDEX(TRANSACTIONS_MASTER!$O$5:$O$1204,$Q84))</f>
        <v/>
      </c>
      <c r="K84" s="26" t="str">
        <f>IF($Q84="","",INDEX(TRANSACTIONS_MASTER!$Q$5:$Q$1204,$Q84))</f>
        <v/>
      </c>
      <c r="L84" s="25" t="str">
        <f>IF($Q84="","",INDEX(TRANSACTIONS_MASTER!$P$5:$P$1204,$Q84))</f>
        <v/>
      </c>
      <c r="M84" s="25" t="str">
        <f>IF($Q84="","",INDEX(TRANSACTIONS_MASTER!$AA$5:$AA$1204,$Q84))</f>
        <v/>
      </c>
      <c r="N84" s="25" t="str">
        <f>IF($Q84="","",INDEX(TRANSACTIONS_MASTER!$R$5:$R$1204,$Q84))</f>
        <v/>
      </c>
      <c r="O84" s="28" t="str">
        <f>IF($Q84="","",INDEX(TRANSACTIONS_MASTER!$AB$5:$AB$1204,$Q84))</f>
        <v/>
      </c>
      <c r="P84" s="55" t="str">
        <f>IF($Q84="","",INDEX(TRANSACTIONS_MASTER!$Z$5:$Z$1204,$Q84)&amp;"")</f>
        <v/>
      </c>
      <c r="Q84" s="67" t="str">
        <f>IFERROR(MATCH($C$2&amp;"|"&amp;77,TRANSACTIONS_MASTER!$AE$5:$AE$1204,0),"")</f>
        <v/>
      </c>
      <c r="S84" s="67" t="n">
        <v>23</v>
      </c>
      <c r="T84" s="55" t="str">
        <f>IF(CARDS!$A27="","",CARDS!$A27)</f>
        <v/>
      </c>
      <c r="U84" s="55" t="str">
        <f>IF($T84="","",CARDS!$B27&amp;" "&amp;CARDS!$C27)</f>
        <v/>
      </c>
      <c r="V84" s="25" t="str">
        <f>IF($T84="","",SUMIFS(TRANSACTIONS_MASTER!$L$5:$L$1204,TRANSACTIONS_MASTER!$D$5:$D$1204,$T84,TRANSACTIONS_MASTER!$C$5:$C$1204,$C$2,TRANSACTIONS_MASTER!$U$5:$U$1204,"&lt;&gt;Cancelled"))</f>
        <v/>
      </c>
      <c r="W84" s="26" t="str">
        <f>IF($T84="","",SUMIFS(TRANSACTIONS_MASTER!$Q$5:$Q$1204,TRANSACTIONS_MASTER!$D$5:$D$1204,$T84,TRANSACTIONS_MASTER!$C$5:$C$1204,$C$2))</f>
        <v/>
      </c>
      <c r="X84" s="25" t="str">
        <f>IF($T84="","",IFERROR(IF(ISNUMBER(INDEX(CASHBACK_RULES!$K$5:$K$304,MATCH($T84,CASHBACK_RULES!$B$5:$B$304,0))),INDEX(CASHBACK_RULES!$K$5:$K$304,MATCH($T84,CASHBACK_RULES!$B$5:$B$304,0)),"∞"),"—"))</f>
        <v/>
      </c>
      <c r="Y84" s="25" t="str">
        <f>IF($T84="","",IF($X84="—","—",IF(COUNTIFS($T$8:$T$57,$T84,$Z$8:$Z$57,"∞")&gt;0,IF(ISNUMBER($X84),MAX(0,$X84-$W84),"∞"),IF(ISNUMBER($X84),MAX(0,MIN($X84-$W84,SUMIFS($Z$8:$Z$57,$T$8:$T$57,$T84))),SUMIFS($Z$8:$Z$57,$T$8:$T$57,$T84)))))</f>
        <v/>
      </c>
      <c r="Z84" s="27" t="str">
        <f>IF($T84="","",IF(ISNUMBER($X84),IF($X84=0,0,$W84/$X84),IF(ISNUMBER($Y84),IF($W84+$Y84=0,0,$W84/($W84+$Y84)),"")))</f>
        <v/>
      </c>
      <c r="AA84" s="29" t="str">
        <f>IF($T84="","",COUNTIFS(TRANSACTIONS_MASTER!$D$5:$D$1204,$T84,TRANSACTIONS_MASTER!$C$5:$C$1204,$C$2,TRANSACTIONS_MASTER!$U$5:$U$1204,"&lt;&gt;Cancelled"))</f>
        <v/>
      </c>
    </row>
    <row r="85">
      <c r="A85" s="81" t="str">
        <f>IF($Q85="","",78)</f>
        <v/>
      </c>
      <c r="B85" s="57" t="str">
        <f>IF($Q85="","",INDEX(TRANSACTIONS_MASTER!$B$5:$B$1204,$Q85))</f>
        <v/>
      </c>
      <c r="C85" s="55" t="str">
        <f>IF($Q85="","",INDEX(TRANSACTIONS_MASTER!$F$5:$F$1204,$Q85))</f>
        <v/>
      </c>
      <c r="D85" s="55" t="str">
        <f>IF($Q85="","",INDEX(TRANSACTIONS_MASTER!$E$5:$E$1204,$Q85))</f>
        <v/>
      </c>
      <c r="E85" s="55" t="str">
        <f>IF($Q85="","",INDEX(TRANSACTIONS_MASTER!$G$5:$G$1204,$Q85)&amp;"")</f>
        <v/>
      </c>
      <c r="F85" s="29" t="str">
        <f>IF($Q85="","",INDEX(TRANSACTIONS_MASTER!$I$5:$I$1204,$Q85))</f>
        <v/>
      </c>
      <c r="G85" s="55" t="str">
        <f>IF($Q85="","",INDEX(TRANSACTIONS_MASTER!$K$5:$K$1204,$Q85))</f>
        <v/>
      </c>
      <c r="H85" s="25" t="str">
        <f>IF($Q85="","",INDEX(TRANSACTIONS_MASTER!$L$5:$L$1204,$Q85))</f>
        <v/>
      </c>
      <c r="I85" s="56" t="str">
        <f>IF($Q85="","",INDEX(TRANSACTIONS_MASTER!$N$5:$N$1204,$Q85))</f>
        <v/>
      </c>
      <c r="J85" s="25" t="str">
        <f>IF($Q85="","",INDEX(TRANSACTIONS_MASTER!$O$5:$O$1204,$Q85))</f>
        <v/>
      </c>
      <c r="K85" s="26" t="str">
        <f>IF($Q85="","",INDEX(TRANSACTIONS_MASTER!$Q$5:$Q$1204,$Q85))</f>
        <v/>
      </c>
      <c r="L85" s="25" t="str">
        <f>IF($Q85="","",INDEX(TRANSACTIONS_MASTER!$P$5:$P$1204,$Q85))</f>
        <v/>
      </c>
      <c r="M85" s="25" t="str">
        <f>IF($Q85="","",INDEX(TRANSACTIONS_MASTER!$AA$5:$AA$1204,$Q85))</f>
        <v/>
      </c>
      <c r="N85" s="25" t="str">
        <f>IF($Q85="","",INDEX(TRANSACTIONS_MASTER!$R$5:$R$1204,$Q85))</f>
        <v/>
      </c>
      <c r="O85" s="28" t="str">
        <f>IF($Q85="","",INDEX(TRANSACTIONS_MASTER!$AB$5:$AB$1204,$Q85))</f>
        <v/>
      </c>
      <c r="P85" s="55" t="str">
        <f>IF($Q85="","",INDEX(TRANSACTIONS_MASTER!$Z$5:$Z$1204,$Q85)&amp;"")</f>
        <v/>
      </c>
      <c r="Q85" s="67" t="str">
        <f>IFERROR(MATCH($C$2&amp;"|"&amp;78,TRANSACTIONS_MASTER!$AE$5:$AE$1204,0),"")</f>
        <v/>
      </c>
      <c r="S85" s="67" t="n">
        <v>24</v>
      </c>
      <c r="T85" s="55" t="str">
        <f>IF(CARDS!$A28="","",CARDS!$A28)</f>
        <v/>
      </c>
      <c r="U85" s="55" t="str">
        <f>IF($T85="","",CARDS!$B28&amp;" "&amp;CARDS!$C28)</f>
        <v/>
      </c>
      <c r="V85" s="25" t="str">
        <f>IF($T85="","",SUMIFS(TRANSACTIONS_MASTER!$L$5:$L$1204,TRANSACTIONS_MASTER!$D$5:$D$1204,$T85,TRANSACTIONS_MASTER!$C$5:$C$1204,$C$2,TRANSACTIONS_MASTER!$U$5:$U$1204,"&lt;&gt;Cancelled"))</f>
        <v/>
      </c>
      <c r="W85" s="26" t="str">
        <f>IF($T85="","",SUMIFS(TRANSACTIONS_MASTER!$Q$5:$Q$1204,TRANSACTIONS_MASTER!$D$5:$D$1204,$T85,TRANSACTIONS_MASTER!$C$5:$C$1204,$C$2))</f>
        <v/>
      </c>
      <c r="X85" s="25" t="str">
        <f>IF($T85="","",IFERROR(IF(ISNUMBER(INDEX(CASHBACK_RULES!$K$5:$K$304,MATCH($T85,CASHBACK_RULES!$B$5:$B$304,0))),INDEX(CASHBACK_RULES!$K$5:$K$304,MATCH($T85,CASHBACK_RULES!$B$5:$B$304,0)),"∞"),"—"))</f>
        <v/>
      </c>
      <c r="Y85" s="25" t="str">
        <f>IF($T85="","",IF($X85="—","—",IF(COUNTIFS($T$8:$T$57,$T85,$Z$8:$Z$57,"∞")&gt;0,IF(ISNUMBER($X85),MAX(0,$X85-$W85),"∞"),IF(ISNUMBER($X85),MAX(0,MIN($X85-$W85,SUMIFS($Z$8:$Z$57,$T$8:$T$57,$T85))),SUMIFS($Z$8:$Z$57,$T$8:$T$57,$T85)))))</f>
        <v/>
      </c>
      <c r="Z85" s="27" t="str">
        <f>IF($T85="","",IF(ISNUMBER($X85),IF($X85=0,0,$W85/$X85),IF(ISNUMBER($Y85),IF($W85+$Y85=0,0,$W85/($W85+$Y85)),"")))</f>
        <v/>
      </c>
      <c r="AA85" s="29" t="str">
        <f>IF($T85="","",COUNTIFS(TRANSACTIONS_MASTER!$D$5:$D$1204,$T85,TRANSACTIONS_MASTER!$C$5:$C$1204,$C$2,TRANSACTIONS_MASTER!$U$5:$U$1204,"&lt;&gt;Cancelled"))</f>
        <v/>
      </c>
    </row>
    <row r="86">
      <c r="A86" s="81" t="str">
        <f>IF($Q86="","",79)</f>
        <v/>
      </c>
      <c r="B86" s="57" t="str">
        <f>IF($Q86="","",INDEX(TRANSACTIONS_MASTER!$B$5:$B$1204,$Q86))</f>
        <v/>
      </c>
      <c r="C86" s="55" t="str">
        <f>IF($Q86="","",INDEX(TRANSACTIONS_MASTER!$F$5:$F$1204,$Q86))</f>
        <v/>
      </c>
      <c r="D86" s="55" t="str">
        <f>IF($Q86="","",INDEX(TRANSACTIONS_MASTER!$E$5:$E$1204,$Q86))</f>
        <v/>
      </c>
      <c r="E86" s="55" t="str">
        <f>IF($Q86="","",INDEX(TRANSACTIONS_MASTER!$G$5:$G$1204,$Q86)&amp;"")</f>
        <v/>
      </c>
      <c r="F86" s="29" t="str">
        <f>IF($Q86="","",INDEX(TRANSACTIONS_MASTER!$I$5:$I$1204,$Q86))</f>
        <v/>
      </c>
      <c r="G86" s="55" t="str">
        <f>IF($Q86="","",INDEX(TRANSACTIONS_MASTER!$K$5:$K$1204,$Q86))</f>
        <v/>
      </c>
      <c r="H86" s="25" t="str">
        <f>IF($Q86="","",INDEX(TRANSACTIONS_MASTER!$L$5:$L$1204,$Q86))</f>
        <v/>
      </c>
      <c r="I86" s="56" t="str">
        <f>IF($Q86="","",INDEX(TRANSACTIONS_MASTER!$N$5:$N$1204,$Q86))</f>
        <v/>
      </c>
      <c r="J86" s="25" t="str">
        <f>IF($Q86="","",INDEX(TRANSACTIONS_MASTER!$O$5:$O$1204,$Q86))</f>
        <v/>
      </c>
      <c r="K86" s="26" t="str">
        <f>IF($Q86="","",INDEX(TRANSACTIONS_MASTER!$Q$5:$Q$1204,$Q86))</f>
        <v/>
      </c>
      <c r="L86" s="25" t="str">
        <f>IF($Q86="","",INDEX(TRANSACTIONS_MASTER!$P$5:$P$1204,$Q86))</f>
        <v/>
      </c>
      <c r="M86" s="25" t="str">
        <f>IF($Q86="","",INDEX(TRANSACTIONS_MASTER!$AA$5:$AA$1204,$Q86))</f>
        <v/>
      </c>
      <c r="N86" s="25" t="str">
        <f>IF($Q86="","",INDEX(TRANSACTIONS_MASTER!$R$5:$R$1204,$Q86))</f>
        <v/>
      </c>
      <c r="O86" s="28" t="str">
        <f>IF($Q86="","",INDEX(TRANSACTIONS_MASTER!$AB$5:$AB$1204,$Q86))</f>
        <v/>
      </c>
      <c r="P86" s="55" t="str">
        <f>IF($Q86="","",INDEX(TRANSACTIONS_MASTER!$Z$5:$Z$1204,$Q86)&amp;"")</f>
        <v/>
      </c>
      <c r="Q86" s="67" t="str">
        <f>IFERROR(MATCH($C$2&amp;"|"&amp;79,TRANSACTIONS_MASTER!$AE$5:$AE$1204,0),"")</f>
        <v/>
      </c>
      <c r="S86" s="67" t="n">
        <v>25</v>
      </c>
      <c r="T86" s="55" t="str">
        <f>IF(CARDS!$A29="","",CARDS!$A29)</f>
        <v/>
      </c>
      <c r="U86" s="55" t="str">
        <f>IF($T86="","",CARDS!$B29&amp;" "&amp;CARDS!$C29)</f>
        <v/>
      </c>
      <c r="V86" s="25" t="str">
        <f>IF($T86="","",SUMIFS(TRANSACTIONS_MASTER!$L$5:$L$1204,TRANSACTIONS_MASTER!$D$5:$D$1204,$T86,TRANSACTIONS_MASTER!$C$5:$C$1204,$C$2,TRANSACTIONS_MASTER!$U$5:$U$1204,"&lt;&gt;Cancelled"))</f>
        <v/>
      </c>
      <c r="W86" s="26" t="str">
        <f>IF($T86="","",SUMIFS(TRANSACTIONS_MASTER!$Q$5:$Q$1204,TRANSACTIONS_MASTER!$D$5:$D$1204,$T86,TRANSACTIONS_MASTER!$C$5:$C$1204,$C$2))</f>
        <v/>
      </c>
      <c r="X86" s="25" t="str">
        <f>IF($T86="","",IFERROR(IF(ISNUMBER(INDEX(CASHBACK_RULES!$K$5:$K$304,MATCH($T86,CASHBACK_RULES!$B$5:$B$304,0))),INDEX(CASHBACK_RULES!$K$5:$K$304,MATCH($T86,CASHBACK_RULES!$B$5:$B$304,0)),"∞"),"—"))</f>
        <v/>
      </c>
      <c r="Y86" s="25" t="str">
        <f>IF($T86="","",IF($X86="—","—",IF(COUNTIFS($T$8:$T$57,$T86,$Z$8:$Z$57,"∞")&gt;0,IF(ISNUMBER($X86),MAX(0,$X86-$W86),"∞"),IF(ISNUMBER($X86),MAX(0,MIN($X86-$W86,SUMIFS($Z$8:$Z$57,$T$8:$T$57,$T86))),SUMIFS($Z$8:$Z$57,$T$8:$T$57,$T86)))))</f>
        <v/>
      </c>
      <c r="Z86" s="27" t="str">
        <f>IF($T86="","",IF(ISNUMBER($X86),IF($X86=0,0,$W86/$X86),IF(ISNUMBER($Y86),IF($W86+$Y86=0,0,$W86/($W86+$Y86)),"")))</f>
        <v/>
      </c>
      <c r="AA86" s="29" t="str">
        <f>IF($T86="","",COUNTIFS(TRANSACTIONS_MASTER!$D$5:$D$1204,$T86,TRANSACTIONS_MASTER!$C$5:$C$1204,$C$2,TRANSACTIONS_MASTER!$U$5:$U$1204,"&lt;&gt;Cancelled"))</f>
        <v/>
      </c>
    </row>
    <row r="87">
      <c r="A87" s="81" t="str">
        <f>IF($Q87="","",80)</f>
        <v/>
      </c>
      <c r="B87" s="57" t="str">
        <f>IF($Q87="","",INDEX(TRANSACTIONS_MASTER!$B$5:$B$1204,$Q87))</f>
        <v/>
      </c>
      <c r="C87" s="55" t="str">
        <f>IF($Q87="","",INDEX(TRANSACTIONS_MASTER!$F$5:$F$1204,$Q87))</f>
        <v/>
      </c>
      <c r="D87" s="55" t="str">
        <f>IF($Q87="","",INDEX(TRANSACTIONS_MASTER!$E$5:$E$1204,$Q87))</f>
        <v/>
      </c>
      <c r="E87" s="55" t="str">
        <f>IF($Q87="","",INDEX(TRANSACTIONS_MASTER!$G$5:$G$1204,$Q87)&amp;"")</f>
        <v/>
      </c>
      <c r="F87" s="29" t="str">
        <f>IF($Q87="","",INDEX(TRANSACTIONS_MASTER!$I$5:$I$1204,$Q87))</f>
        <v/>
      </c>
      <c r="G87" s="55" t="str">
        <f>IF($Q87="","",INDEX(TRANSACTIONS_MASTER!$K$5:$K$1204,$Q87))</f>
        <v/>
      </c>
      <c r="H87" s="25" t="str">
        <f>IF($Q87="","",INDEX(TRANSACTIONS_MASTER!$L$5:$L$1204,$Q87))</f>
        <v/>
      </c>
      <c r="I87" s="56" t="str">
        <f>IF($Q87="","",INDEX(TRANSACTIONS_MASTER!$N$5:$N$1204,$Q87))</f>
        <v/>
      </c>
      <c r="J87" s="25" t="str">
        <f>IF($Q87="","",INDEX(TRANSACTIONS_MASTER!$O$5:$O$1204,$Q87))</f>
        <v/>
      </c>
      <c r="K87" s="26" t="str">
        <f>IF($Q87="","",INDEX(TRANSACTIONS_MASTER!$Q$5:$Q$1204,$Q87))</f>
        <v/>
      </c>
      <c r="L87" s="25" t="str">
        <f>IF($Q87="","",INDEX(TRANSACTIONS_MASTER!$P$5:$P$1204,$Q87))</f>
        <v/>
      </c>
      <c r="M87" s="25" t="str">
        <f>IF($Q87="","",INDEX(TRANSACTIONS_MASTER!$AA$5:$AA$1204,$Q87))</f>
        <v/>
      </c>
      <c r="N87" s="25" t="str">
        <f>IF($Q87="","",INDEX(TRANSACTIONS_MASTER!$R$5:$R$1204,$Q87))</f>
        <v/>
      </c>
      <c r="O87" s="28" t="str">
        <f>IF($Q87="","",INDEX(TRANSACTIONS_MASTER!$AB$5:$AB$1204,$Q87))</f>
        <v/>
      </c>
      <c r="P87" s="55" t="str">
        <f>IF($Q87="","",INDEX(TRANSACTIONS_MASTER!$Z$5:$Z$1204,$Q87)&amp;"")</f>
        <v/>
      </c>
      <c r="Q87" s="67" t="str">
        <f>IFERROR(MATCH($C$2&amp;"|"&amp;80,TRANSACTIONS_MASTER!$AE$5:$AE$1204,0),"")</f>
        <v/>
      </c>
      <c r="S87" s="67" t="n">
        <v>26</v>
      </c>
      <c r="T87" s="55" t="str">
        <f>IF(CARDS!$A30="","",CARDS!$A30)</f>
        <v/>
      </c>
      <c r="U87" s="55" t="str">
        <f>IF($T87="","",CARDS!$B30&amp;" "&amp;CARDS!$C30)</f>
        <v/>
      </c>
      <c r="V87" s="25" t="str">
        <f>IF($T87="","",SUMIFS(TRANSACTIONS_MASTER!$L$5:$L$1204,TRANSACTIONS_MASTER!$D$5:$D$1204,$T87,TRANSACTIONS_MASTER!$C$5:$C$1204,$C$2,TRANSACTIONS_MASTER!$U$5:$U$1204,"&lt;&gt;Cancelled"))</f>
        <v/>
      </c>
      <c r="W87" s="26" t="str">
        <f>IF($T87="","",SUMIFS(TRANSACTIONS_MASTER!$Q$5:$Q$1204,TRANSACTIONS_MASTER!$D$5:$D$1204,$T87,TRANSACTIONS_MASTER!$C$5:$C$1204,$C$2))</f>
        <v/>
      </c>
      <c r="X87" s="25" t="str">
        <f>IF($T87="","",IFERROR(IF(ISNUMBER(INDEX(CASHBACK_RULES!$K$5:$K$304,MATCH($T87,CASHBACK_RULES!$B$5:$B$304,0))),INDEX(CASHBACK_RULES!$K$5:$K$304,MATCH($T87,CASHBACK_RULES!$B$5:$B$304,0)),"∞"),"—"))</f>
        <v/>
      </c>
      <c r="Y87" s="25" t="str">
        <f>IF($T87="","",IF($X87="—","—",IF(COUNTIFS($T$8:$T$57,$T87,$Z$8:$Z$57,"∞")&gt;0,IF(ISNUMBER($X87),MAX(0,$X87-$W87),"∞"),IF(ISNUMBER($X87),MAX(0,MIN($X87-$W87,SUMIFS($Z$8:$Z$57,$T$8:$T$57,$T87))),SUMIFS($Z$8:$Z$57,$T$8:$T$57,$T87)))))</f>
        <v/>
      </c>
      <c r="Z87" s="27" t="str">
        <f>IF($T87="","",IF(ISNUMBER($X87),IF($X87=0,0,$W87/$X87),IF(ISNUMBER($Y87),IF($W87+$Y87=0,0,$W87/($W87+$Y87)),"")))</f>
        <v/>
      </c>
      <c r="AA87" s="29" t="str">
        <f>IF($T87="","",COUNTIFS(TRANSACTIONS_MASTER!$D$5:$D$1204,$T87,TRANSACTIONS_MASTER!$C$5:$C$1204,$C$2,TRANSACTIONS_MASTER!$U$5:$U$1204,"&lt;&gt;Cancelled"))</f>
        <v/>
      </c>
    </row>
    <row r="88">
      <c r="A88" s="81" t="str">
        <f>IF($Q88="","",81)</f>
        <v/>
      </c>
      <c r="B88" s="57" t="str">
        <f>IF($Q88="","",INDEX(TRANSACTIONS_MASTER!$B$5:$B$1204,$Q88))</f>
        <v/>
      </c>
      <c r="C88" s="55" t="str">
        <f>IF($Q88="","",INDEX(TRANSACTIONS_MASTER!$F$5:$F$1204,$Q88))</f>
        <v/>
      </c>
      <c r="D88" s="55" t="str">
        <f>IF($Q88="","",INDEX(TRANSACTIONS_MASTER!$E$5:$E$1204,$Q88))</f>
        <v/>
      </c>
      <c r="E88" s="55" t="str">
        <f>IF($Q88="","",INDEX(TRANSACTIONS_MASTER!$G$5:$G$1204,$Q88)&amp;"")</f>
        <v/>
      </c>
      <c r="F88" s="29" t="str">
        <f>IF($Q88="","",INDEX(TRANSACTIONS_MASTER!$I$5:$I$1204,$Q88))</f>
        <v/>
      </c>
      <c r="G88" s="55" t="str">
        <f>IF($Q88="","",INDEX(TRANSACTIONS_MASTER!$K$5:$K$1204,$Q88))</f>
        <v/>
      </c>
      <c r="H88" s="25" t="str">
        <f>IF($Q88="","",INDEX(TRANSACTIONS_MASTER!$L$5:$L$1204,$Q88))</f>
        <v/>
      </c>
      <c r="I88" s="56" t="str">
        <f>IF($Q88="","",INDEX(TRANSACTIONS_MASTER!$N$5:$N$1204,$Q88))</f>
        <v/>
      </c>
      <c r="J88" s="25" t="str">
        <f>IF($Q88="","",INDEX(TRANSACTIONS_MASTER!$O$5:$O$1204,$Q88))</f>
        <v/>
      </c>
      <c r="K88" s="26" t="str">
        <f>IF($Q88="","",INDEX(TRANSACTIONS_MASTER!$Q$5:$Q$1204,$Q88))</f>
        <v/>
      </c>
      <c r="L88" s="25" t="str">
        <f>IF($Q88="","",INDEX(TRANSACTIONS_MASTER!$P$5:$P$1204,$Q88))</f>
        <v/>
      </c>
      <c r="M88" s="25" t="str">
        <f>IF($Q88="","",INDEX(TRANSACTIONS_MASTER!$AA$5:$AA$1204,$Q88))</f>
        <v/>
      </c>
      <c r="N88" s="25" t="str">
        <f>IF($Q88="","",INDEX(TRANSACTIONS_MASTER!$R$5:$R$1204,$Q88))</f>
        <v/>
      </c>
      <c r="O88" s="28" t="str">
        <f>IF($Q88="","",INDEX(TRANSACTIONS_MASTER!$AB$5:$AB$1204,$Q88))</f>
        <v/>
      </c>
      <c r="P88" s="55" t="str">
        <f>IF($Q88="","",INDEX(TRANSACTIONS_MASTER!$Z$5:$Z$1204,$Q88)&amp;"")</f>
        <v/>
      </c>
      <c r="Q88" s="67" t="str">
        <f>IFERROR(MATCH($C$2&amp;"|"&amp;81,TRANSACTIONS_MASTER!$AE$5:$AE$1204,0),"")</f>
        <v/>
      </c>
      <c r="S88" s="67" t="n">
        <v>27</v>
      </c>
      <c r="T88" s="55" t="str">
        <f>IF(CARDS!$A31="","",CARDS!$A31)</f>
        <v/>
      </c>
      <c r="U88" s="55" t="str">
        <f>IF($T88="","",CARDS!$B31&amp;" "&amp;CARDS!$C31)</f>
        <v/>
      </c>
      <c r="V88" s="25" t="str">
        <f>IF($T88="","",SUMIFS(TRANSACTIONS_MASTER!$L$5:$L$1204,TRANSACTIONS_MASTER!$D$5:$D$1204,$T88,TRANSACTIONS_MASTER!$C$5:$C$1204,$C$2,TRANSACTIONS_MASTER!$U$5:$U$1204,"&lt;&gt;Cancelled"))</f>
        <v/>
      </c>
      <c r="W88" s="26" t="str">
        <f>IF($T88="","",SUMIFS(TRANSACTIONS_MASTER!$Q$5:$Q$1204,TRANSACTIONS_MASTER!$D$5:$D$1204,$T88,TRANSACTIONS_MASTER!$C$5:$C$1204,$C$2))</f>
        <v/>
      </c>
      <c r="X88" s="25" t="str">
        <f>IF($T88="","",IFERROR(IF(ISNUMBER(INDEX(CASHBACK_RULES!$K$5:$K$304,MATCH($T88,CASHBACK_RULES!$B$5:$B$304,0))),INDEX(CASHBACK_RULES!$K$5:$K$304,MATCH($T88,CASHBACK_RULES!$B$5:$B$304,0)),"∞"),"—"))</f>
        <v/>
      </c>
      <c r="Y88" s="25" t="str">
        <f>IF($T88="","",IF($X88="—","—",IF(COUNTIFS($T$8:$T$57,$T88,$Z$8:$Z$57,"∞")&gt;0,IF(ISNUMBER($X88),MAX(0,$X88-$W88),"∞"),IF(ISNUMBER($X88),MAX(0,MIN($X88-$W88,SUMIFS($Z$8:$Z$57,$T$8:$T$57,$T88))),SUMIFS($Z$8:$Z$57,$T$8:$T$57,$T88)))))</f>
        <v/>
      </c>
      <c r="Z88" s="27" t="str">
        <f>IF($T88="","",IF(ISNUMBER($X88),IF($X88=0,0,$W88/$X88),IF(ISNUMBER($Y88),IF($W88+$Y88=0,0,$W88/($W88+$Y88)),"")))</f>
        <v/>
      </c>
      <c r="AA88" s="29" t="str">
        <f>IF($T88="","",COUNTIFS(TRANSACTIONS_MASTER!$D$5:$D$1204,$T88,TRANSACTIONS_MASTER!$C$5:$C$1204,$C$2,TRANSACTIONS_MASTER!$U$5:$U$1204,"&lt;&gt;Cancelled"))</f>
        <v/>
      </c>
    </row>
    <row r="89">
      <c r="A89" s="81" t="str">
        <f>IF($Q89="","",82)</f>
        <v/>
      </c>
      <c r="B89" s="57" t="str">
        <f>IF($Q89="","",INDEX(TRANSACTIONS_MASTER!$B$5:$B$1204,$Q89))</f>
        <v/>
      </c>
      <c r="C89" s="55" t="str">
        <f>IF($Q89="","",INDEX(TRANSACTIONS_MASTER!$F$5:$F$1204,$Q89))</f>
        <v/>
      </c>
      <c r="D89" s="55" t="str">
        <f>IF($Q89="","",INDEX(TRANSACTIONS_MASTER!$E$5:$E$1204,$Q89))</f>
        <v/>
      </c>
      <c r="E89" s="55" t="str">
        <f>IF($Q89="","",INDEX(TRANSACTIONS_MASTER!$G$5:$G$1204,$Q89)&amp;"")</f>
        <v/>
      </c>
      <c r="F89" s="29" t="str">
        <f>IF($Q89="","",INDEX(TRANSACTIONS_MASTER!$I$5:$I$1204,$Q89))</f>
        <v/>
      </c>
      <c r="G89" s="55" t="str">
        <f>IF($Q89="","",INDEX(TRANSACTIONS_MASTER!$K$5:$K$1204,$Q89))</f>
        <v/>
      </c>
      <c r="H89" s="25" t="str">
        <f>IF($Q89="","",INDEX(TRANSACTIONS_MASTER!$L$5:$L$1204,$Q89))</f>
        <v/>
      </c>
      <c r="I89" s="56" t="str">
        <f>IF($Q89="","",INDEX(TRANSACTIONS_MASTER!$N$5:$N$1204,$Q89))</f>
        <v/>
      </c>
      <c r="J89" s="25" t="str">
        <f>IF($Q89="","",INDEX(TRANSACTIONS_MASTER!$O$5:$O$1204,$Q89))</f>
        <v/>
      </c>
      <c r="K89" s="26" t="str">
        <f>IF($Q89="","",INDEX(TRANSACTIONS_MASTER!$Q$5:$Q$1204,$Q89))</f>
        <v/>
      </c>
      <c r="L89" s="25" t="str">
        <f>IF($Q89="","",INDEX(TRANSACTIONS_MASTER!$P$5:$P$1204,$Q89))</f>
        <v/>
      </c>
      <c r="M89" s="25" t="str">
        <f>IF($Q89="","",INDEX(TRANSACTIONS_MASTER!$AA$5:$AA$1204,$Q89))</f>
        <v/>
      </c>
      <c r="N89" s="25" t="str">
        <f>IF($Q89="","",INDEX(TRANSACTIONS_MASTER!$R$5:$R$1204,$Q89))</f>
        <v/>
      </c>
      <c r="O89" s="28" t="str">
        <f>IF($Q89="","",INDEX(TRANSACTIONS_MASTER!$AB$5:$AB$1204,$Q89))</f>
        <v/>
      </c>
      <c r="P89" s="55" t="str">
        <f>IF($Q89="","",INDEX(TRANSACTIONS_MASTER!$Z$5:$Z$1204,$Q89)&amp;"")</f>
        <v/>
      </c>
      <c r="Q89" s="67" t="str">
        <f>IFERROR(MATCH($C$2&amp;"|"&amp;82,TRANSACTIONS_MASTER!$AE$5:$AE$1204,0),"")</f>
        <v/>
      </c>
      <c r="S89" s="67" t="n">
        <v>28</v>
      </c>
      <c r="T89" s="55" t="str">
        <f>IF(CARDS!$A32="","",CARDS!$A32)</f>
        <v/>
      </c>
      <c r="U89" s="55" t="str">
        <f>IF($T89="","",CARDS!$B32&amp;" "&amp;CARDS!$C32)</f>
        <v/>
      </c>
      <c r="V89" s="25" t="str">
        <f>IF($T89="","",SUMIFS(TRANSACTIONS_MASTER!$L$5:$L$1204,TRANSACTIONS_MASTER!$D$5:$D$1204,$T89,TRANSACTIONS_MASTER!$C$5:$C$1204,$C$2,TRANSACTIONS_MASTER!$U$5:$U$1204,"&lt;&gt;Cancelled"))</f>
        <v/>
      </c>
      <c r="W89" s="26" t="str">
        <f>IF($T89="","",SUMIFS(TRANSACTIONS_MASTER!$Q$5:$Q$1204,TRANSACTIONS_MASTER!$D$5:$D$1204,$T89,TRANSACTIONS_MASTER!$C$5:$C$1204,$C$2))</f>
        <v/>
      </c>
      <c r="X89" s="25" t="str">
        <f>IF($T89="","",IFERROR(IF(ISNUMBER(INDEX(CASHBACK_RULES!$K$5:$K$304,MATCH($T89,CASHBACK_RULES!$B$5:$B$304,0))),INDEX(CASHBACK_RULES!$K$5:$K$304,MATCH($T89,CASHBACK_RULES!$B$5:$B$304,0)),"∞"),"—"))</f>
        <v/>
      </c>
      <c r="Y89" s="25" t="str">
        <f>IF($T89="","",IF($X89="—","—",IF(COUNTIFS($T$8:$T$57,$T89,$Z$8:$Z$57,"∞")&gt;0,IF(ISNUMBER($X89),MAX(0,$X89-$W89),"∞"),IF(ISNUMBER($X89),MAX(0,MIN($X89-$W89,SUMIFS($Z$8:$Z$57,$T$8:$T$57,$T89))),SUMIFS($Z$8:$Z$57,$T$8:$T$57,$T89)))))</f>
        <v/>
      </c>
      <c r="Z89" s="27" t="str">
        <f>IF($T89="","",IF(ISNUMBER($X89),IF($X89=0,0,$W89/$X89),IF(ISNUMBER($Y89),IF($W89+$Y89=0,0,$W89/($W89+$Y89)),"")))</f>
        <v/>
      </c>
      <c r="AA89" s="29" t="str">
        <f>IF($T89="","",COUNTIFS(TRANSACTIONS_MASTER!$D$5:$D$1204,$T89,TRANSACTIONS_MASTER!$C$5:$C$1204,$C$2,TRANSACTIONS_MASTER!$U$5:$U$1204,"&lt;&gt;Cancelled"))</f>
        <v/>
      </c>
    </row>
    <row r="90">
      <c r="A90" s="81" t="str">
        <f>IF($Q90="","",83)</f>
        <v/>
      </c>
      <c r="B90" s="57" t="str">
        <f>IF($Q90="","",INDEX(TRANSACTIONS_MASTER!$B$5:$B$1204,$Q90))</f>
        <v/>
      </c>
      <c r="C90" s="55" t="str">
        <f>IF($Q90="","",INDEX(TRANSACTIONS_MASTER!$F$5:$F$1204,$Q90))</f>
        <v/>
      </c>
      <c r="D90" s="55" t="str">
        <f>IF($Q90="","",INDEX(TRANSACTIONS_MASTER!$E$5:$E$1204,$Q90))</f>
        <v/>
      </c>
      <c r="E90" s="55" t="str">
        <f>IF($Q90="","",INDEX(TRANSACTIONS_MASTER!$G$5:$G$1204,$Q90)&amp;"")</f>
        <v/>
      </c>
      <c r="F90" s="29" t="str">
        <f>IF($Q90="","",INDEX(TRANSACTIONS_MASTER!$I$5:$I$1204,$Q90))</f>
        <v/>
      </c>
      <c r="G90" s="55" t="str">
        <f>IF($Q90="","",INDEX(TRANSACTIONS_MASTER!$K$5:$K$1204,$Q90))</f>
        <v/>
      </c>
      <c r="H90" s="25" t="str">
        <f>IF($Q90="","",INDEX(TRANSACTIONS_MASTER!$L$5:$L$1204,$Q90))</f>
        <v/>
      </c>
      <c r="I90" s="56" t="str">
        <f>IF($Q90="","",INDEX(TRANSACTIONS_MASTER!$N$5:$N$1204,$Q90))</f>
        <v/>
      </c>
      <c r="J90" s="25" t="str">
        <f>IF($Q90="","",INDEX(TRANSACTIONS_MASTER!$O$5:$O$1204,$Q90))</f>
        <v/>
      </c>
      <c r="K90" s="26" t="str">
        <f>IF($Q90="","",INDEX(TRANSACTIONS_MASTER!$Q$5:$Q$1204,$Q90))</f>
        <v/>
      </c>
      <c r="L90" s="25" t="str">
        <f>IF($Q90="","",INDEX(TRANSACTIONS_MASTER!$P$5:$P$1204,$Q90))</f>
        <v/>
      </c>
      <c r="M90" s="25" t="str">
        <f>IF($Q90="","",INDEX(TRANSACTIONS_MASTER!$AA$5:$AA$1204,$Q90))</f>
        <v/>
      </c>
      <c r="N90" s="25" t="str">
        <f>IF($Q90="","",INDEX(TRANSACTIONS_MASTER!$R$5:$R$1204,$Q90))</f>
        <v/>
      </c>
      <c r="O90" s="28" t="str">
        <f>IF($Q90="","",INDEX(TRANSACTIONS_MASTER!$AB$5:$AB$1204,$Q90))</f>
        <v/>
      </c>
      <c r="P90" s="55" t="str">
        <f>IF($Q90="","",INDEX(TRANSACTIONS_MASTER!$Z$5:$Z$1204,$Q90)&amp;"")</f>
        <v/>
      </c>
      <c r="Q90" s="67" t="str">
        <f>IFERROR(MATCH($C$2&amp;"|"&amp;83,TRANSACTIONS_MASTER!$AE$5:$AE$1204,0),"")</f>
        <v/>
      </c>
      <c r="S90" s="67" t="n">
        <v>29</v>
      </c>
      <c r="T90" s="55" t="str">
        <f>IF(CARDS!$A33="","",CARDS!$A33)</f>
        <v/>
      </c>
      <c r="U90" s="55" t="str">
        <f>IF($T90="","",CARDS!$B33&amp;" "&amp;CARDS!$C33)</f>
        <v/>
      </c>
      <c r="V90" s="25" t="str">
        <f>IF($T90="","",SUMIFS(TRANSACTIONS_MASTER!$L$5:$L$1204,TRANSACTIONS_MASTER!$D$5:$D$1204,$T90,TRANSACTIONS_MASTER!$C$5:$C$1204,$C$2,TRANSACTIONS_MASTER!$U$5:$U$1204,"&lt;&gt;Cancelled"))</f>
        <v/>
      </c>
      <c r="W90" s="26" t="str">
        <f>IF($T90="","",SUMIFS(TRANSACTIONS_MASTER!$Q$5:$Q$1204,TRANSACTIONS_MASTER!$D$5:$D$1204,$T90,TRANSACTIONS_MASTER!$C$5:$C$1204,$C$2))</f>
        <v/>
      </c>
      <c r="X90" s="25" t="str">
        <f>IF($T90="","",IFERROR(IF(ISNUMBER(INDEX(CASHBACK_RULES!$K$5:$K$304,MATCH($T90,CASHBACK_RULES!$B$5:$B$304,0))),INDEX(CASHBACK_RULES!$K$5:$K$304,MATCH($T90,CASHBACK_RULES!$B$5:$B$304,0)),"∞"),"—"))</f>
        <v/>
      </c>
      <c r="Y90" s="25" t="str">
        <f>IF($T90="","",IF($X90="—","—",IF(COUNTIFS($T$8:$T$57,$T90,$Z$8:$Z$57,"∞")&gt;0,IF(ISNUMBER($X90),MAX(0,$X90-$W90),"∞"),IF(ISNUMBER($X90),MAX(0,MIN($X90-$W90,SUMIFS($Z$8:$Z$57,$T$8:$T$57,$T90))),SUMIFS($Z$8:$Z$57,$T$8:$T$57,$T90)))))</f>
        <v/>
      </c>
      <c r="Z90" s="27" t="str">
        <f>IF($T90="","",IF(ISNUMBER($X90),IF($X90=0,0,$W90/$X90),IF(ISNUMBER($Y90),IF($W90+$Y90=0,0,$W90/($W90+$Y90)),"")))</f>
        <v/>
      </c>
      <c r="AA90" s="29" t="str">
        <f>IF($T90="","",COUNTIFS(TRANSACTIONS_MASTER!$D$5:$D$1204,$T90,TRANSACTIONS_MASTER!$C$5:$C$1204,$C$2,TRANSACTIONS_MASTER!$U$5:$U$1204,"&lt;&gt;Cancelled"))</f>
        <v/>
      </c>
    </row>
    <row r="91">
      <c r="A91" s="81" t="str">
        <f>IF($Q91="","",84)</f>
        <v/>
      </c>
      <c r="B91" s="57" t="str">
        <f>IF($Q91="","",INDEX(TRANSACTIONS_MASTER!$B$5:$B$1204,$Q91))</f>
        <v/>
      </c>
      <c r="C91" s="55" t="str">
        <f>IF($Q91="","",INDEX(TRANSACTIONS_MASTER!$F$5:$F$1204,$Q91))</f>
        <v/>
      </c>
      <c r="D91" s="55" t="str">
        <f>IF($Q91="","",INDEX(TRANSACTIONS_MASTER!$E$5:$E$1204,$Q91))</f>
        <v/>
      </c>
      <c r="E91" s="55" t="str">
        <f>IF($Q91="","",INDEX(TRANSACTIONS_MASTER!$G$5:$G$1204,$Q91)&amp;"")</f>
        <v/>
      </c>
      <c r="F91" s="29" t="str">
        <f>IF($Q91="","",INDEX(TRANSACTIONS_MASTER!$I$5:$I$1204,$Q91))</f>
        <v/>
      </c>
      <c r="G91" s="55" t="str">
        <f>IF($Q91="","",INDEX(TRANSACTIONS_MASTER!$K$5:$K$1204,$Q91))</f>
        <v/>
      </c>
      <c r="H91" s="25" t="str">
        <f>IF($Q91="","",INDEX(TRANSACTIONS_MASTER!$L$5:$L$1204,$Q91))</f>
        <v/>
      </c>
      <c r="I91" s="56" t="str">
        <f>IF($Q91="","",INDEX(TRANSACTIONS_MASTER!$N$5:$N$1204,$Q91))</f>
        <v/>
      </c>
      <c r="J91" s="25" t="str">
        <f>IF($Q91="","",INDEX(TRANSACTIONS_MASTER!$O$5:$O$1204,$Q91))</f>
        <v/>
      </c>
      <c r="K91" s="26" t="str">
        <f>IF($Q91="","",INDEX(TRANSACTIONS_MASTER!$Q$5:$Q$1204,$Q91))</f>
        <v/>
      </c>
      <c r="L91" s="25" t="str">
        <f>IF($Q91="","",INDEX(TRANSACTIONS_MASTER!$P$5:$P$1204,$Q91))</f>
        <v/>
      </c>
      <c r="M91" s="25" t="str">
        <f>IF($Q91="","",INDEX(TRANSACTIONS_MASTER!$AA$5:$AA$1204,$Q91))</f>
        <v/>
      </c>
      <c r="N91" s="25" t="str">
        <f>IF($Q91="","",INDEX(TRANSACTIONS_MASTER!$R$5:$R$1204,$Q91))</f>
        <v/>
      </c>
      <c r="O91" s="28" t="str">
        <f>IF($Q91="","",INDEX(TRANSACTIONS_MASTER!$AB$5:$AB$1204,$Q91))</f>
        <v/>
      </c>
      <c r="P91" s="55" t="str">
        <f>IF($Q91="","",INDEX(TRANSACTIONS_MASTER!$Z$5:$Z$1204,$Q91)&amp;"")</f>
        <v/>
      </c>
      <c r="Q91" s="67" t="str">
        <f>IFERROR(MATCH($C$2&amp;"|"&amp;84,TRANSACTIONS_MASTER!$AE$5:$AE$1204,0),"")</f>
        <v/>
      </c>
      <c r="S91" s="67" t="n">
        <v>30</v>
      </c>
      <c r="T91" s="55" t="str">
        <f>IF(CARDS!$A34="","",CARDS!$A34)</f>
        <v/>
      </c>
      <c r="U91" s="55" t="str">
        <f>IF($T91="","",CARDS!$B34&amp;" "&amp;CARDS!$C34)</f>
        <v/>
      </c>
      <c r="V91" s="25" t="str">
        <f>IF($T91="","",SUMIFS(TRANSACTIONS_MASTER!$L$5:$L$1204,TRANSACTIONS_MASTER!$D$5:$D$1204,$T91,TRANSACTIONS_MASTER!$C$5:$C$1204,$C$2,TRANSACTIONS_MASTER!$U$5:$U$1204,"&lt;&gt;Cancelled"))</f>
        <v/>
      </c>
      <c r="W91" s="26" t="str">
        <f>IF($T91="","",SUMIFS(TRANSACTIONS_MASTER!$Q$5:$Q$1204,TRANSACTIONS_MASTER!$D$5:$D$1204,$T91,TRANSACTIONS_MASTER!$C$5:$C$1204,$C$2))</f>
        <v/>
      </c>
      <c r="X91" s="25" t="str">
        <f>IF($T91="","",IFERROR(IF(ISNUMBER(INDEX(CASHBACK_RULES!$K$5:$K$304,MATCH($T91,CASHBACK_RULES!$B$5:$B$304,0))),INDEX(CASHBACK_RULES!$K$5:$K$304,MATCH($T91,CASHBACK_RULES!$B$5:$B$304,0)),"∞"),"—"))</f>
        <v/>
      </c>
      <c r="Y91" s="25" t="str">
        <f>IF($T91="","",IF($X91="—","—",IF(COUNTIFS($T$8:$T$57,$T91,$Z$8:$Z$57,"∞")&gt;0,IF(ISNUMBER($X91),MAX(0,$X91-$W91),"∞"),IF(ISNUMBER($X91),MAX(0,MIN($X91-$W91,SUMIFS($Z$8:$Z$57,$T$8:$T$57,$T91))),SUMIFS($Z$8:$Z$57,$T$8:$T$57,$T91)))))</f>
        <v/>
      </c>
      <c r="Z91" s="27" t="str">
        <f>IF($T91="","",IF(ISNUMBER($X91),IF($X91=0,0,$W91/$X91),IF(ISNUMBER($Y91),IF($W91+$Y91=0,0,$W91/($W91+$Y91)),"")))</f>
        <v/>
      </c>
      <c r="AA91" s="29" t="str">
        <f>IF($T91="","",COUNTIFS(TRANSACTIONS_MASTER!$D$5:$D$1204,$T91,TRANSACTIONS_MASTER!$C$5:$C$1204,$C$2,TRANSACTIONS_MASTER!$U$5:$U$1204,"&lt;&gt;Cancelled"))</f>
        <v/>
      </c>
    </row>
    <row r="92">
      <c r="A92" s="81" t="str">
        <f>IF($Q92="","",85)</f>
        <v/>
      </c>
      <c r="B92" s="57" t="str">
        <f>IF($Q92="","",INDEX(TRANSACTIONS_MASTER!$B$5:$B$1204,$Q92))</f>
        <v/>
      </c>
      <c r="C92" s="55" t="str">
        <f>IF($Q92="","",INDEX(TRANSACTIONS_MASTER!$F$5:$F$1204,$Q92))</f>
        <v/>
      </c>
      <c r="D92" s="55" t="str">
        <f>IF($Q92="","",INDEX(TRANSACTIONS_MASTER!$E$5:$E$1204,$Q92))</f>
        <v/>
      </c>
      <c r="E92" s="55" t="str">
        <f>IF($Q92="","",INDEX(TRANSACTIONS_MASTER!$G$5:$G$1204,$Q92)&amp;"")</f>
        <v/>
      </c>
      <c r="F92" s="29" t="str">
        <f>IF($Q92="","",INDEX(TRANSACTIONS_MASTER!$I$5:$I$1204,$Q92))</f>
        <v/>
      </c>
      <c r="G92" s="55" t="str">
        <f>IF($Q92="","",INDEX(TRANSACTIONS_MASTER!$K$5:$K$1204,$Q92))</f>
        <v/>
      </c>
      <c r="H92" s="25" t="str">
        <f>IF($Q92="","",INDEX(TRANSACTIONS_MASTER!$L$5:$L$1204,$Q92))</f>
        <v/>
      </c>
      <c r="I92" s="56" t="str">
        <f>IF($Q92="","",INDEX(TRANSACTIONS_MASTER!$N$5:$N$1204,$Q92))</f>
        <v/>
      </c>
      <c r="J92" s="25" t="str">
        <f>IF($Q92="","",INDEX(TRANSACTIONS_MASTER!$O$5:$O$1204,$Q92))</f>
        <v/>
      </c>
      <c r="K92" s="26" t="str">
        <f>IF($Q92="","",INDEX(TRANSACTIONS_MASTER!$Q$5:$Q$1204,$Q92))</f>
        <v/>
      </c>
      <c r="L92" s="25" t="str">
        <f>IF($Q92="","",INDEX(TRANSACTIONS_MASTER!$P$5:$P$1204,$Q92))</f>
        <v/>
      </c>
      <c r="M92" s="25" t="str">
        <f>IF($Q92="","",INDEX(TRANSACTIONS_MASTER!$AA$5:$AA$1204,$Q92))</f>
        <v/>
      </c>
      <c r="N92" s="25" t="str">
        <f>IF($Q92="","",INDEX(TRANSACTIONS_MASTER!$R$5:$R$1204,$Q92))</f>
        <v/>
      </c>
      <c r="O92" s="28" t="str">
        <f>IF($Q92="","",INDEX(TRANSACTIONS_MASTER!$AB$5:$AB$1204,$Q92))</f>
        <v/>
      </c>
      <c r="P92" s="55" t="str">
        <f>IF($Q92="","",INDEX(TRANSACTIONS_MASTER!$Z$5:$Z$1204,$Q92)&amp;"")</f>
        <v/>
      </c>
      <c r="Q92" s="67" t="str">
        <f>IFERROR(MATCH($C$2&amp;"|"&amp;85,TRANSACTIONS_MASTER!$AE$5:$AE$1204,0),"")</f>
        <v/>
      </c>
      <c r="T92" s="68" t="n"/>
      <c r="U92" s="69" t="inlineStr">
        <is>
          <t>TỔNG</t>
        </is>
      </c>
      <c r="V92" s="31">
        <f>SUM(V62:V91)</f>
        <v>0</v>
      </c>
      <c r="W92" s="31">
        <f>SUM(W62:W91)</f>
        <v>0</v>
      </c>
      <c r="X92" s="68" t="n"/>
      <c r="Y92" s="31">
        <f>SUM(Y62:Y91)</f>
        <v>4500000</v>
      </c>
      <c r="Z92" s="68" t="n"/>
      <c r="AA92" s="32">
        <f>SUM(AA62:AA91)</f>
        <v>0</v>
      </c>
    </row>
    <row r="93">
      <c r="A93" s="81" t="str">
        <f>IF($Q93="","",86)</f>
        <v/>
      </c>
      <c r="B93" s="57" t="str">
        <f>IF($Q93="","",INDEX(TRANSACTIONS_MASTER!$B$5:$B$1204,$Q93))</f>
        <v/>
      </c>
      <c r="C93" s="55" t="str">
        <f>IF($Q93="","",INDEX(TRANSACTIONS_MASTER!$F$5:$F$1204,$Q93))</f>
        <v/>
      </c>
      <c r="D93" s="55" t="str">
        <f>IF($Q93="","",INDEX(TRANSACTIONS_MASTER!$E$5:$E$1204,$Q93))</f>
        <v/>
      </c>
      <c r="E93" s="55" t="str">
        <f>IF($Q93="","",INDEX(TRANSACTIONS_MASTER!$G$5:$G$1204,$Q93)&amp;"")</f>
        <v/>
      </c>
      <c r="F93" s="29" t="str">
        <f>IF($Q93="","",INDEX(TRANSACTIONS_MASTER!$I$5:$I$1204,$Q93))</f>
        <v/>
      </c>
      <c r="G93" s="55" t="str">
        <f>IF($Q93="","",INDEX(TRANSACTIONS_MASTER!$K$5:$K$1204,$Q93))</f>
        <v/>
      </c>
      <c r="H93" s="25" t="str">
        <f>IF($Q93="","",INDEX(TRANSACTIONS_MASTER!$L$5:$L$1204,$Q93))</f>
        <v/>
      </c>
      <c r="I93" s="56" t="str">
        <f>IF($Q93="","",INDEX(TRANSACTIONS_MASTER!$N$5:$N$1204,$Q93))</f>
        <v/>
      </c>
      <c r="J93" s="25" t="str">
        <f>IF($Q93="","",INDEX(TRANSACTIONS_MASTER!$O$5:$O$1204,$Q93))</f>
        <v/>
      </c>
      <c r="K93" s="26" t="str">
        <f>IF($Q93="","",INDEX(TRANSACTIONS_MASTER!$Q$5:$Q$1204,$Q93))</f>
        <v/>
      </c>
      <c r="L93" s="25" t="str">
        <f>IF($Q93="","",INDEX(TRANSACTIONS_MASTER!$P$5:$P$1204,$Q93))</f>
        <v/>
      </c>
      <c r="M93" s="25" t="str">
        <f>IF($Q93="","",INDEX(TRANSACTIONS_MASTER!$AA$5:$AA$1204,$Q93))</f>
        <v/>
      </c>
      <c r="N93" s="25" t="str">
        <f>IF($Q93="","",INDEX(TRANSACTIONS_MASTER!$R$5:$R$1204,$Q93))</f>
        <v/>
      </c>
      <c r="O93" s="28" t="str">
        <f>IF($Q93="","",INDEX(TRANSACTIONS_MASTER!$AB$5:$AB$1204,$Q93))</f>
        <v/>
      </c>
      <c r="P93" s="55" t="str">
        <f>IF($Q93="","",INDEX(TRANSACTIONS_MASTER!$Z$5:$Z$1204,$Q93)&amp;"")</f>
        <v/>
      </c>
      <c r="Q93" s="67" t="str">
        <f>IFERROR(MATCH($C$2&amp;"|"&amp;86,TRANSACTIONS_MASTER!$AE$5:$AE$1204,0),"")</f>
        <v/>
      </c>
    </row>
    <row r="94">
      <c r="A94" s="81" t="str">
        <f>IF($Q94="","",87)</f>
        <v/>
      </c>
      <c r="B94" s="57" t="str">
        <f>IF($Q94="","",INDEX(TRANSACTIONS_MASTER!$B$5:$B$1204,$Q94))</f>
        <v/>
      </c>
      <c r="C94" s="55" t="str">
        <f>IF($Q94="","",INDEX(TRANSACTIONS_MASTER!$F$5:$F$1204,$Q94))</f>
        <v/>
      </c>
      <c r="D94" s="55" t="str">
        <f>IF($Q94="","",INDEX(TRANSACTIONS_MASTER!$E$5:$E$1204,$Q94))</f>
        <v/>
      </c>
      <c r="E94" s="55" t="str">
        <f>IF($Q94="","",INDEX(TRANSACTIONS_MASTER!$G$5:$G$1204,$Q94)&amp;"")</f>
        <v/>
      </c>
      <c r="F94" s="29" t="str">
        <f>IF($Q94="","",INDEX(TRANSACTIONS_MASTER!$I$5:$I$1204,$Q94))</f>
        <v/>
      </c>
      <c r="G94" s="55" t="str">
        <f>IF($Q94="","",INDEX(TRANSACTIONS_MASTER!$K$5:$K$1204,$Q94))</f>
        <v/>
      </c>
      <c r="H94" s="25" t="str">
        <f>IF($Q94="","",INDEX(TRANSACTIONS_MASTER!$L$5:$L$1204,$Q94))</f>
        <v/>
      </c>
      <c r="I94" s="56" t="str">
        <f>IF($Q94="","",INDEX(TRANSACTIONS_MASTER!$N$5:$N$1204,$Q94))</f>
        <v/>
      </c>
      <c r="J94" s="25" t="str">
        <f>IF($Q94="","",INDEX(TRANSACTIONS_MASTER!$O$5:$O$1204,$Q94))</f>
        <v/>
      </c>
      <c r="K94" s="26" t="str">
        <f>IF($Q94="","",INDEX(TRANSACTIONS_MASTER!$Q$5:$Q$1204,$Q94))</f>
        <v/>
      </c>
      <c r="L94" s="25" t="str">
        <f>IF($Q94="","",INDEX(TRANSACTIONS_MASTER!$P$5:$P$1204,$Q94))</f>
        <v/>
      </c>
      <c r="M94" s="25" t="str">
        <f>IF($Q94="","",INDEX(TRANSACTIONS_MASTER!$AA$5:$AA$1204,$Q94))</f>
        <v/>
      </c>
      <c r="N94" s="25" t="str">
        <f>IF($Q94="","",INDEX(TRANSACTIONS_MASTER!$R$5:$R$1204,$Q94))</f>
        <v/>
      </c>
      <c r="O94" s="28" t="str">
        <f>IF($Q94="","",INDEX(TRANSACTIONS_MASTER!$AB$5:$AB$1204,$Q94))</f>
        <v/>
      </c>
      <c r="P94" s="55" t="str">
        <f>IF($Q94="","",INDEX(TRANSACTIONS_MASTER!$Z$5:$Z$1204,$Q94)&amp;"")</f>
        <v/>
      </c>
      <c r="Q94" s="67" t="str">
        <f>IFERROR(MATCH($C$2&amp;"|"&amp;87,TRANSACTIONS_MASTER!$AE$5:$AE$1204,0),"")</f>
        <v/>
      </c>
    </row>
    <row r="95" ht="22" customHeight="1">
      <c r="A95" s="81" t="str">
        <f>IF($Q95="","",88)</f>
        <v/>
      </c>
      <c r="B95" s="57" t="str">
        <f>IF($Q95="","",INDEX(TRANSACTIONS_MASTER!$B$5:$B$1204,$Q95))</f>
        <v/>
      </c>
      <c r="C95" s="55" t="str">
        <f>IF($Q95="","",INDEX(TRANSACTIONS_MASTER!$F$5:$F$1204,$Q95))</f>
        <v/>
      </c>
      <c r="D95" s="55" t="str">
        <f>IF($Q95="","",INDEX(TRANSACTIONS_MASTER!$E$5:$E$1204,$Q95))</f>
        <v/>
      </c>
      <c r="E95" s="55" t="str">
        <f>IF($Q95="","",INDEX(TRANSACTIONS_MASTER!$G$5:$G$1204,$Q95)&amp;"")</f>
        <v/>
      </c>
      <c r="F95" s="29" t="str">
        <f>IF($Q95="","",INDEX(TRANSACTIONS_MASTER!$I$5:$I$1204,$Q95))</f>
        <v/>
      </c>
      <c r="G95" s="55" t="str">
        <f>IF($Q95="","",INDEX(TRANSACTIONS_MASTER!$K$5:$K$1204,$Q95))</f>
        <v/>
      </c>
      <c r="H95" s="25" t="str">
        <f>IF($Q95="","",INDEX(TRANSACTIONS_MASTER!$L$5:$L$1204,$Q95))</f>
        <v/>
      </c>
      <c r="I95" s="56" t="str">
        <f>IF($Q95="","",INDEX(TRANSACTIONS_MASTER!$N$5:$N$1204,$Q95))</f>
        <v/>
      </c>
      <c r="J95" s="25" t="str">
        <f>IF($Q95="","",INDEX(TRANSACTIONS_MASTER!$O$5:$O$1204,$Q95))</f>
        <v/>
      </c>
      <c r="K95" s="26" t="str">
        <f>IF($Q95="","",INDEX(TRANSACTIONS_MASTER!$Q$5:$Q$1204,$Q95))</f>
        <v/>
      </c>
      <c r="L95" s="25" t="str">
        <f>IF($Q95="","",INDEX(TRANSACTIONS_MASTER!$P$5:$P$1204,$Q95))</f>
        <v/>
      </c>
      <c r="M95" s="25" t="str">
        <f>IF($Q95="","",INDEX(TRANSACTIONS_MASTER!$AA$5:$AA$1204,$Q95))</f>
        <v/>
      </c>
      <c r="N95" s="25" t="str">
        <f>IF($Q95="","",INDEX(TRANSACTIONS_MASTER!$R$5:$R$1204,$Q95))</f>
        <v/>
      </c>
      <c r="O95" s="28" t="str">
        <f>IF($Q95="","",INDEX(TRANSACTIONS_MASTER!$AB$5:$AB$1204,$Q95))</f>
        <v/>
      </c>
      <c r="P95" s="55" t="str">
        <f>IF($Q95="","",INDEX(TRANSACTIONS_MASTER!$Z$5:$Z$1204,$Q95)&amp;"")</f>
        <v/>
      </c>
      <c r="Q95" s="67" t="str">
        <f>IFERROR(MATCH($C$2&amp;"|"&amp;88,TRANSACTIONS_MASTER!$AE$5:$AE$1204,0),"")</f>
        <v/>
      </c>
      <c r="T95" s="19" t="inlineStr">
        <is>
          <t>THEO NGÂN HÀNG</t>
        </is>
      </c>
      <c r="U95" s="20" t="n"/>
      <c r="V95" s="20" t="n"/>
      <c r="W95" s="20" t="n"/>
      <c r="X95" s="20" t="n"/>
      <c r="Y95" s="20" t="n"/>
      <c r="Z95" s="20" t="n"/>
      <c r="AA95" s="20" t="n"/>
    </row>
    <row r="96" ht="28" customHeight="1">
      <c r="A96" s="81" t="str">
        <f>IF($Q96="","",89)</f>
        <v/>
      </c>
      <c r="B96" s="57" t="str">
        <f>IF($Q96="","",INDEX(TRANSACTIONS_MASTER!$B$5:$B$1204,$Q96))</f>
        <v/>
      </c>
      <c r="C96" s="55" t="str">
        <f>IF($Q96="","",INDEX(TRANSACTIONS_MASTER!$F$5:$F$1204,$Q96))</f>
        <v/>
      </c>
      <c r="D96" s="55" t="str">
        <f>IF($Q96="","",INDEX(TRANSACTIONS_MASTER!$E$5:$E$1204,$Q96))</f>
        <v/>
      </c>
      <c r="E96" s="55" t="str">
        <f>IF($Q96="","",INDEX(TRANSACTIONS_MASTER!$G$5:$G$1204,$Q96)&amp;"")</f>
        <v/>
      </c>
      <c r="F96" s="29" t="str">
        <f>IF($Q96="","",INDEX(TRANSACTIONS_MASTER!$I$5:$I$1204,$Q96))</f>
        <v/>
      </c>
      <c r="G96" s="55" t="str">
        <f>IF($Q96="","",INDEX(TRANSACTIONS_MASTER!$K$5:$K$1204,$Q96))</f>
        <v/>
      </c>
      <c r="H96" s="25" t="str">
        <f>IF($Q96="","",INDEX(TRANSACTIONS_MASTER!$L$5:$L$1204,$Q96))</f>
        <v/>
      </c>
      <c r="I96" s="56" t="str">
        <f>IF($Q96="","",INDEX(TRANSACTIONS_MASTER!$N$5:$N$1204,$Q96))</f>
        <v/>
      </c>
      <c r="J96" s="25" t="str">
        <f>IF($Q96="","",INDEX(TRANSACTIONS_MASTER!$O$5:$O$1204,$Q96))</f>
        <v/>
      </c>
      <c r="K96" s="26" t="str">
        <f>IF($Q96="","",INDEX(TRANSACTIONS_MASTER!$Q$5:$Q$1204,$Q96))</f>
        <v/>
      </c>
      <c r="L96" s="25" t="str">
        <f>IF($Q96="","",INDEX(TRANSACTIONS_MASTER!$P$5:$P$1204,$Q96))</f>
        <v/>
      </c>
      <c r="M96" s="25" t="str">
        <f>IF($Q96="","",INDEX(TRANSACTIONS_MASTER!$AA$5:$AA$1204,$Q96))</f>
        <v/>
      </c>
      <c r="N96" s="25" t="str">
        <f>IF($Q96="","",INDEX(TRANSACTIONS_MASTER!$R$5:$R$1204,$Q96))</f>
        <v/>
      </c>
      <c r="O96" s="28" t="str">
        <f>IF($Q96="","",INDEX(TRANSACTIONS_MASTER!$AB$5:$AB$1204,$Q96))</f>
        <v/>
      </c>
      <c r="P96" s="55" t="str">
        <f>IF($Q96="","",INDEX(TRANSACTIONS_MASTER!$Z$5:$Z$1204,$Q96)&amp;"")</f>
        <v/>
      </c>
      <c r="Q96" s="67" t="str">
        <f>IFERROR(MATCH($C$2&amp;"|"&amp;89,TRANSACTIONS_MASTER!$AE$5:$AE$1204,0),"")</f>
        <v/>
      </c>
      <c r="S96" s="21" t="inlineStr">
        <is>
          <t>#</t>
        </is>
      </c>
      <c r="T96" s="21" t="inlineStr"/>
      <c r="U96" s="21" t="inlineStr">
        <is>
          <t>Ngân hàng</t>
        </is>
      </c>
      <c r="V96" s="21" t="inlineStr">
        <is>
          <t>Chi tiêu</t>
        </is>
      </c>
      <c r="W96" s="21" t="inlineStr">
        <is>
          <t>Cashback</t>
        </is>
      </c>
    </row>
    <row r="97">
      <c r="A97" s="81" t="str">
        <f>IF($Q97="","",90)</f>
        <v/>
      </c>
      <c r="B97" s="57" t="str">
        <f>IF($Q97="","",INDEX(TRANSACTIONS_MASTER!$B$5:$B$1204,$Q97))</f>
        <v/>
      </c>
      <c r="C97" s="55" t="str">
        <f>IF($Q97="","",INDEX(TRANSACTIONS_MASTER!$F$5:$F$1204,$Q97))</f>
        <v/>
      </c>
      <c r="D97" s="55" t="str">
        <f>IF($Q97="","",INDEX(TRANSACTIONS_MASTER!$E$5:$E$1204,$Q97))</f>
        <v/>
      </c>
      <c r="E97" s="55" t="str">
        <f>IF($Q97="","",INDEX(TRANSACTIONS_MASTER!$G$5:$G$1204,$Q97)&amp;"")</f>
        <v/>
      </c>
      <c r="F97" s="29" t="str">
        <f>IF($Q97="","",INDEX(TRANSACTIONS_MASTER!$I$5:$I$1204,$Q97))</f>
        <v/>
      </c>
      <c r="G97" s="55" t="str">
        <f>IF($Q97="","",INDEX(TRANSACTIONS_MASTER!$K$5:$K$1204,$Q97))</f>
        <v/>
      </c>
      <c r="H97" s="25" t="str">
        <f>IF($Q97="","",INDEX(TRANSACTIONS_MASTER!$L$5:$L$1204,$Q97))</f>
        <v/>
      </c>
      <c r="I97" s="56" t="str">
        <f>IF($Q97="","",INDEX(TRANSACTIONS_MASTER!$N$5:$N$1204,$Q97))</f>
        <v/>
      </c>
      <c r="J97" s="25" t="str">
        <f>IF($Q97="","",INDEX(TRANSACTIONS_MASTER!$O$5:$O$1204,$Q97))</f>
        <v/>
      </c>
      <c r="K97" s="26" t="str">
        <f>IF($Q97="","",INDEX(TRANSACTIONS_MASTER!$Q$5:$Q$1204,$Q97))</f>
        <v/>
      </c>
      <c r="L97" s="25" t="str">
        <f>IF($Q97="","",INDEX(TRANSACTIONS_MASTER!$P$5:$P$1204,$Q97))</f>
        <v/>
      </c>
      <c r="M97" s="25" t="str">
        <f>IF($Q97="","",INDEX(TRANSACTIONS_MASTER!$AA$5:$AA$1204,$Q97))</f>
        <v/>
      </c>
      <c r="N97" s="25" t="str">
        <f>IF($Q97="","",INDEX(TRANSACTIONS_MASTER!$R$5:$R$1204,$Q97))</f>
        <v/>
      </c>
      <c r="O97" s="28" t="str">
        <f>IF($Q97="","",INDEX(TRANSACTIONS_MASTER!$AB$5:$AB$1204,$Q97))</f>
        <v/>
      </c>
      <c r="P97" s="55" t="str">
        <f>IF($Q97="","",INDEX(TRANSACTIONS_MASTER!$Z$5:$Z$1204,$Q97)&amp;"")</f>
        <v/>
      </c>
      <c r="Q97" s="67" t="str">
        <f>IFERROR(MATCH($C$2&amp;"|"&amp;90,TRANSACTIONS_MASTER!$AE$5:$AE$1204,0),"")</f>
        <v/>
      </c>
      <c r="S97" s="67">
        <f>IFERROR(MATCH(1,CARDS!$O$5:$O$34,0),"")</f>
        <v>1</v>
      </c>
      <c r="T97" s="55" t="n"/>
      <c r="U97" s="55" t="str">
        <f>IF($S97="","",INDEX(CARDS!$B$5:$B$34,$S97))</f>
        <v>VPBank</v>
      </c>
      <c r="V97" s="25">
        <f>IF($S97="","",SUMIFS(TRANSACTIONS_MASTER!$L$5:$L$1204,TRANSACTIONS_MASTER!$E$5:$E$1204,$U97,TRANSACTIONS_MASTER!$C$5:$C$1204,$C$2,TRANSACTIONS_MASTER!$U$5:$U$1204,"&lt;&gt;Cancelled"))</f>
        <v>0</v>
      </c>
      <c r="W97" s="26">
        <f>IF($S97="","",SUMIFS(TRANSACTIONS_MASTER!$Q$5:$Q$1204,TRANSACTIONS_MASTER!$E$5:$E$1204,$U97,TRANSACTIONS_MASTER!$C$5:$C$1204,$C$2))</f>
        <v>0</v>
      </c>
    </row>
    <row r="98">
      <c r="A98" s="81" t="str">
        <f>IF($Q98="","",91)</f>
        <v/>
      </c>
      <c r="B98" s="57" t="str">
        <f>IF($Q98="","",INDEX(TRANSACTIONS_MASTER!$B$5:$B$1204,$Q98))</f>
        <v/>
      </c>
      <c r="C98" s="55" t="str">
        <f>IF($Q98="","",INDEX(TRANSACTIONS_MASTER!$F$5:$F$1204,$Q98))</f>
        <v/>
      </c>
      <c r="D98" s="55" t="str">
        <f>IF($Q98="","",INDEX(TRANSACTIONS_MASTER!$E$5:$E$1204,$Q98))</f>
        <v/>
      </c>
      <c r="E98" s="55" t="str">
        <f>IF($Q98="","",INDEX(TRANSACTIONS_MASTER!$G$5:$G$1204,$Q98)&amp;"")</f>
        <v/>
      </c>
      <c r="F98" s="29" t="str">
        <f>IF($Q98="","",INDEX(TRANSACTIONS_MASTER!$I$5:$I$1204,$Q98))</f>
        <v/>
      </c>
      <c r="G98" s="55" t="str">
        <f>IF($Q98="","",INDEX(TRANSACTIONS_MASTER!$K$5:$K$1204,$Q98))</f>
        <v/>
      </c>
      <c r="H98" s="25" t="str">
        <f>IF($Q98="","",INDEX(TRANSACTIONS_MASTER!$L$5:$L$1204,$Q98))</f>
        <v/>
      </c>
      <c r="I98" s="56" t="str">
        <f>IF($Q98="","",INDEX(TRANSACTIONS_MASTER!$N$5:$N$1204,$Q98))</f>
        <v/>
      </c>
      <c r="J98" s="25" t="str">
        <f>IF($Q98="","",INDEX(TRANSACTIONS_MASTER!$O$5:$O$1204,$Q98))</f>
        <v/>
      </c>
      <c r="K98" s="26" t="str">
        <f>IF($Q98="","",INDEX(TRANSACTIONS_MASTER!$Q$5:$Q$1204,$Q98))</f>
        <v/>
      </c>
      <c r="L98" s="25" t="str">
        <f>IF($Q98="","",INDEX(TRANSACTIONS_MASTER!$P$5:$P$1204,$Q98))</f>
        <v/>
      </c>
      <c r="M98" s="25" t="str">
        <f>IF($Q98="","",INDEX(TRANSACTIONS_MASTER!$AA$5:$AA$1204,$Q98))</f>
        <v/>
      </c>
      <c r="N98" s="25" t="str">
        <f>IF($Q98="","",INDEX(TRANSACTIONS_MASTER!$R$5:$R$1204,$Q98))</f>
        <v/>
      </c>
      <c r="O98" s="28" t="str">
        <f>IF($Q98="","",INDEX(TRANSACTIONS_MASTER!$AB$5:$AB$1204,$Q98))</f>
        <v/>
      </c>
      <c r="P98" s="55" t="str">
        <f>IF($Q98="","",INDEX(TRANSACTIONS_MASTER!$Z$5:$Z$1204,$Q98)&amp;"")</f>
        <v/>
      </c>
      <c r="Q98" s="67" t="str">
        <f>IFERROR(MATCH($C$2&amp;"|"&amp;91,TRANSACTIONS_MASTER!$AE$5:$AE$1204,0),"")</f>
        <v/>
      </c>
      <c r="S98" s="67">
        <f>IFERROR(MATCH(2,CARDS!$O$5:$O$34,0),"")</f>
        <v>2</v>
      </c>
      <c r="T98" s="55" t="n"/>
      <c r="U98" s="55" t="str">
        <f>IF($S98="","",INDEX(CARDS!$B$5:$B$34,$S98))</f>
        <v>VIB</v>
      </c>
      <c r="V98" s="25">
        <f>IF($S98="","",SUMIFS(TRANSACTIONS_MASTER!$L$5:$L$1204,TRANSACTIONS_MASTER!$E$5:$E$1204,$U98,TRANSACTIONS_MASTER!$C$5:$C$1204,$C$2,TRANSACTIONS_MASTER!$U$5:$U$1204,"&lt;&gt;Cancelled"))</f>
        <v>0</v>
      </c>
      <c r="W98" s="26">
        <f>IF($S98="","",SUMIFS(TRANSACTIONS_MASTER!$Q$5:$Q$1204,TRANSACTIONS_MASTER!$E$5:$E$1204,$U98,TRANSACTIONS_MASTER!$C$5:$C$1204,$C$2))</f>
        <v>0</v>
      </c>
    </row>
    <row r="99">
      <c r="A99" s="81" t="str">
        <f>IF($Q99="","",92)</f>
        <v/>
      </c>
      <c r="B99" s="57" t="str">
        <f>IF($Q99="","",INDEX(TRANSACTIONS_MASTER!$B$5:$B$1204,$Q99))</f>
        <v/>
      </c>
      <c r="C99" s="55" t="str">
        <f>IF($Q99="","",INDEX(TRANSACTIONS_MASTER!$F$5:$F$1204,$Q99))</f>
        <v/>
      </c>
      <c r="D99" s="55" t="str">
        <f>IF($Q99="","",INDEX(TRANSACTIONS_MASTER!$E$5:$E$1204,$Q99))</f>
        <v/>
      </c>
      <c r="E99" s="55" t="str">
        <f>IF($Q99="","",INDEX(TRANSACTIONS_MASTER!$G$5:$G$1204,$Q99)&amp;"")</f>
        <v/>
      </c>
      <c r="F99" s="29" t="str">
        <f>IF($Q99="","",INDEX(TRANSACTIONS_MASTER!$I$5:$I$1204,$Q99))</f>
        <v/>
      </c>
      <c r="G99" s="55" t="str">
        <f>IF($Q99="","",INDEX(TRANSACTIONS_MASTER!$K$5:$K$1204,$Q99))</f>
        <v/>
      </c>
      <c r="H99" s="25" t="str">
        <f>IF($Q99="","",INDEX(TRANSACTIONS_MASTER!$L$5:$L$1204,$Q99))</f>
        <v/>
      </c>
      <c r="I99" s="56" t="str">
        <f>IF($Q99="","",INDEX(TRANSACTIONS_MASTER!$N$5:$N$1204,$Q99))</f>
        <v/>
      </c>
      <c r="J99" s="25" t="str">
        <f>IF($Q99="","",INDEX(TRANSACTIONS_MASTER!$O$5:$O$1204,$Q99))</f>
        <v/>
      </c>
      <c r="K99" s="26" t="str">
        <f>IF($Q99="","",INDEX(TRANSACTIONS_MASTER!$Q$5:$Q$1204,$Q99))</f>
        <v/>
      </c>
      <c r="L99" s="25" t="str">
        <f>IF($Q99="","",INDEX(TRANSACTIONS_MASTER!$P$5:$P$1204,$Q99))</f>
        <v/>
      </c>
      <c r="M99" s="25" t="str">
        <f>IF($Q99="","",INDEX(TRANSACTIONS_MASTER!$AA$5:$AA$1204,$Q99))</f>
        <v/>
      </c>
      <c r="N99" s="25" t="str">
        <f>IF($Q99="","",INDEX(TRANSACTIONS_MASTER!$R$5:$R$1204,$Q99))</f>
        <v/>
      </c>
      <c r="O99" s="28" t="str">
        <f>IF($Q99="","",INDEX(TRANSACTIONS_MASTER!$AB$5:$AB$1204,$Q99))</f>
        <v/>
      </c>
      <c r="P99" s="55" t="str">
        <f>IF($Q99="","",INDEX(TRANSACTIONS_MASTER!$Z$5:$Z$1204,$Q99)&amp;"")</f>
        <v/>
      </c>
      <c r="Q99" s="67" t="str">
        <f>IFERROR(MATCH($C$2&amp;"|"&amp;92,TRANSACTIONS_MASTER!$AE$5:$AE$1204,0),"")</f>
        <v/>
      </c>
      <c r="S99" s="67">
        <f>IFERROR(MATCH(3,CARDS!$O$5:$O$34,0),"")</f>
        <v>3</v>
      </c>
      <c r="T99" s="55" t="n"/>
      <c r="U99" s="55" t="str">
        <f>IF($S99="","",INDEX(CARDS!$B$5:$B$34,$S99))</f>
        <v>Techcombank</v>
      </c>
      <c r="V99" s="25">
        <f>IF($S99="","",SUMIFS(TRANSACTIONS_MASTER!$L$5:$L$1204,TRANSACTIONS_MASTER!$E$5:$E$1204,$U99,TRANSACTIONS_MASTER!$C$5:$C$1204,$C$2,TRANSACTIONS_MASTER!$U$5:$U$1204,"&lt;&gt;Cancelled"))</f>
        <v>0</v>
      </c>
      <c r="W99" s="26">
        <f>IF($S99="","",SUMIFS(TRANSACTIONS_MASTER!$Q$5:$Q$1204,TRANSACTIONS_MASTER!$E$5:$E$1204,$U99,TRANSACTIONS_MASTER!$C$5:$C$1204,$C$2))</f>
        <v>0</v>
      </c>
    </row>
    <row r="100">
      <c r="A100" s="81" t="str">
        <f>IF($Q100="","",93)</f>
        <v/>
      </c>
      <c r="B100" s="57" t="str">
        <f>IF($Q100="","",INDEX(TRANSACTIONS_MASTER!$B$5:$B$1204,$Q100))</f>
        <v/>
      </c>
      <c r="C100" s="55" t="str">
        <f>IF($Q100="","",INDEX(TRANSACTIONS_MASTER!$F$5:$F$1204,$Q100))</f>
        <v/>
      </c>
      <c r="D100" s="55" t="str">
        <f>IF($Q100="","",INDEX(TRANSACTIONS_MASTER!$E$5:$E$1204,$Q100))</f>
        <v/>
      </c>
      <c r="E100" s="55" t="str">
        <f>IF($Q100="","",INDEX(TRANSACTIONS_MASTER!$G$5:$G$1204,$Q100)&amp;"")</f>
        <v/>
      </c>
      <c r="F100" s="29" t="str">
        <f>IF($Q100="","",INDEX(TRANSACTIONS_MASTER!$I$5:$I$1204,$Q100))</f>
        <v/>
      </c>
      <c r="G100" s="55" t="str">
        <f>IF($Q100="","",INDEX(TRANSACTIONS_MASTER!$K$5:$K$1204,$Q100))</f>
        <v/>
      </c>
      <c r="H100" s="25" t="str">
        <f>IF($Q100="","",INDEX(TRANSACTIONS_MASTER!$L$5:$L$1204,$Q100))</f>
        <v/>
      </c>
      <c r="I100" s="56" t="str">
        <f>IF($Q100="","",INDEX(TRANSACTIONS_MASTER!$N$5:$N$1204,$Q100))</f>
        <v/>
      </c>
      <c r="J100" s="25" t="str">
        <f>IF($Q100="","",INDEX(TRANSACTIONS_MASTER!$O$5:$O$1204,$Q100))</f>
        <v/>
      </c>
      <c r="K100" s="26" t="str">
        <f>IF($Q100="","",INDEX(TRANSACTIONS_MASTER!$Q$5:$Q$1204,$Q100))</f>
        <v/>
      </c>
      <c r="L100" s="25" t="str">
        <f>IF($Q100="","",INDEX(TRANSACTIONS_MASTER!$P$5:$P$1204,$Q100))</f>
        <v/>
      </c>
      <c r="M100" s="25" t="str">
        <f>IF($Q100="","",INDEX(TRANSACTIONS_MASTER!$AA$5:$AA$1204,$Q100))</f>
        <v/>
      </c>
      <c r="N100" s="25" t="str">
        <f>IF($Q100="","",INDEX(TRANSACTIONS_MASTER!$R$5:$R$1204,$Q100))</f>
        <v/>
      </c>
      <c r="O100" s="28" t="str">
        <f>IF($Q100="","",INDEX(TRANSACTIONS_MASTER!$AB$5:$AB$1204,$Q100))</f>
        <v/>
      </c>
      <c r="P100" s="55" t="str">
        <f>IF($Q100="","",INDEX(TRANSACTIONS_MASTER!$Z$5:$Z$1204,$Q100)&amp;"")</f>
        <v/>
      </c>
      <c r="Q100" s="67" t="str">
        <f>IFERROR(MATCH($C$2&amp;"|"&amp;93,TRANSACTIONS_MASTER!$AE$5:$AE$1204,0),"")</f>
        <v/>
      </c>
      <c r="S100" s="67">
        <f>IFERROR(MATCH(4,CARDS!$O$5:$O$34,0),"")</f>
        <v>4</v>
      </c>
      <c r="T100" s="55" t="n"/>
      <c r="U100" s="55" t="str">
        <f>IF($S100="","",INDEX(CARDS!$B$5:$B$34,$S100))</f>
        <v>UOB</v>
      </c>
      <c r="V100" s="25">
        <f>IF($S100="","",SUMIFS(TRANSACTIONS_MASTER!$L$5:$L$1204,TRANSACTIONS_MASTER!$E$5:$E$1204,$U100,TRANSACTIONS_MASTER!$C$5:$C$1204,$C$2,TRANSACTIONS_MASTER!$U$5:$U$1204,"&lt;&gt;Cancelled"))</f>
        <v>0</v>
      </c>
      <c r="W100" s="26">
        <f>IF($S100="","",SUMIFS(TRANSACTIONS_MASTER!$Q$5:$Q$1204,TRANSACTIONS_MASTER!$E$5:$E$1204,$U100,TRANSACTIONS_MASTER!$C$5:$C$1204,$C$2))</f>
        <v>0</v>
      </c>
    </row>
    <row r="101">
      <c r="A101" s="81" t="str">
        <f>IF($Q101="","",94)</f>
        <v/>
      </c>
      <c r="B101" s="57" t="str">
        <f>IF($Q101="","",INDEX(TRANSACTIONS_MASTER!$B$5:$B$1204,$Q101))</f>
        <v/>
      </c>
      <c r="C101" s="55" t="str">
        <f>IF($Q101="","",INDEX(TRANSACTIONS_MASTER!$F$5:$F$1204,$Q101))</f>
        <v/>
      </c>
      <c r="D101" s="55" t="str">
        <f>IF($Q101="","",INDEX(TRANSACTIONS_MASTER!$E$5:$E$1204,$Q101))</f>
        <v/>
      </c>
      <c r="E101" s="55" t="str">
        <f>IF($Q101="","",INDEX(TRANSACTIONS_MASTER!$G$5:$G$1204,$Q101)&amp;"")</f>
        <v/>
      </c>
      <c r="F101" s="29" t="str">
        <f>IF($Q101="","",INDEX(TRANSACTIONS_MASTER!$I$5:$I$1204,$Q101))</f>
        <v/>
      </c>
      <c r="G101" s="55" t="str">
        <f>IF($Q101="","",INDEX(TRANSACTIONS_MASTER!$K$5:$K$1204,$Q101))</f>
        <v/>
      </c>
      <c r="H101" s="25" t="str">
        <f>IF($Q101="","",INDEX(TRANSACTIONS_MASTER!$L$5:$L$1204,$Q101))</f>
        <v/>
      </c>
      <c r="I101" s="56" t="str">
        <f>IF($Q101="","",INDEX(TRANSACTIONS_MASTER!$N$5:$N$1204,$Q101))</f>
        <v/>
      </c>
      <c r="J101" s="25" t="str">
        <f>IF($Q101="","",INDEX(TRANSACTIONS_MASTER!$O$5:$O$1204,$Q101))</f>
        <v/>
      </c>
      <c r="K101" s="26" t="str">
        <f>IF($Q101="","",INDEX(TRANSACTIONS_MASTER!$Q$5:$Q$1204,$Q101))</f>
        <v/>
      </c>
      <c r="L101" s="25" t="str">
        <f>IF($Q101="","",INDEX(TRANSACTIONS_MASTER!$P$5:$P$1204,$Q101))</f>
        <v/>
      </c>
      <c r="M101" s="25" t="str">
        <f>IF($Q101="","",INDEX(TRANSACTIONS_MASTER!$AA$5:$AA$1204,$Q101))</f>
        <v/>
      </c>
      <c r="N101" s="25" t="str">
        <f>IF($Q101="","",INDEX(TRANSACTIONS_MASTER!$R$5:$R$1204,$Q101))</f>
        <v/>
      </c>
      <c r="O101" s="28" t="str">
        <f>IF($Q101="","",INDEX(TRANSACTIONS_MASTER!$AB$5:$AB$1204,$Q101))</f>
        <v/>
      </c>
      <c r="P101" s="55" t="str">
        <f>IF($Q101="","",INDEX(TRANSACTIONS_MASTER!$Z$5:$Z$1204,$Q101)&amp;"")</f>
        <v/>
      </c>
      <c r="Q101" s="67" t="str">
        <f>IFERROR(MATCH($C$2&amp;"|"&amp;94,TRANSACTIONS_MASTER!$AE$5:$AE$1204,0),"")</f>
        <v/>
      </c>
      <c r="S101" s="67">
        <f>IFERROR(MATCH(5,CARDS!$O$5:$O$34,0),"")</f>
        <v>5</v>
      </c>
      <c r="T101" s="55" t="n"/>
      <c r="U101" s="55" t="str">
        <f>IF($S101="","",INDEX(CARDS!$B$5:$B$34,$S101))</f>
        <v>MB</v>
      </c>
      <c r="V101" s="25">
        <f>IF($S101="","",SUMIFS(TRANSACTIONS_MASTER!$L$5:$L$1204,TRANSACTIONS_MASTER!$E$5:$E$1204,$U101,TRANSACTIONS_MASTER!$C$5:$C$1204,$C$2,TRANSACTIONS_MASTER!$U$5:$U$1204,"&lt;&gt;Cancelled"))</f>
        <v>0</v>
      </c>
      <c r="W101" s="26">
        <f>IF($S101="","",SUMIFS(TRANSACTIONS_MASTER!$Q$5:$Q$1204,TRANSACTIONS_MASTER!$E$5:$E$1204,$U101,TRANSACTIONS_MASTER!$C$5:$C$1204,$C$2))</f>
        <v>0</v>
      </c>
    </row>
    <row r="102">
      <c r="A102" s="81" t="str">
        <f>IF($Q102="","",95)</f>
        <v/>
      </c>
      <c r="B102" s="57" t="str">
        <f>IF($Q102="","",INDEX(TRANSACTIONS_MASTER!$B$5:$B$1204,$Q102))</f>
        <v/>
      </c>
      <c r="C102" s="55" t="str">
        <f>IF($Q102="","",INDEX(TRANSACTIONS_MASTER!$F$5:$F$1204,$Q102))</f>
        <v/>
      </c>
      <c r="D102" s="55" t="str">
        <f>IF($Q102="","",INDEX(TRANSACTIONS_MASTER!$E$5:$E$1204,$Q102))</f>
        <v/>
      </c>
      <c r="E102" s="55" t="str">
        <f>IF($Q102="","",INDEX(TRANSACTIONS_MASTER!$G$5:$G$1204,$Q102)&amp;"")</f>
        <v/>
      </c>
      <c r="F102" s="29" t="str">
        <f>IF($Q102="","",INDEX(TRANSACTIONS_MASTER!$I$5:$I$1204,$Q102))</f>
        <v/>
      </c>
      <c r="G102" s="55" t="str">
        <f>IF($Q102="","",INDEX(TRANSACTIONS_MASTER!$K$5:$K$1204,$Q102))</f>
        <v/>
      </c>
      <c r="H102" s="25" t="str">
        <f>IF($Q102="","",INDEX(TRANSACTIONS_MASTER!$L$5:$L$1204,$Q102))</f>
        <v/>
      </c>
      <c r="I102" s="56" t="str">
        <f>IF($Q102="","",INDEX(TRANSACTIONS_MASTER!$N$5:$N$1204,$Q102))</f>
        <v/>
      </c>
      <c r="J102" s="25" t="str">
        <f>IF($Q102="","",INDEX(TRANSACTIONS_MASTER!$O$5:$O$1204,$Q102))</f>
        <v/>
      </c>
      <c r="K102" s="26" t="str">
        <f>IF($Q102="","",INDEX(TRANSACTIONS_MASTER!$Q$5:$Q$1204,$Q102))</f>
        <v/>
      </c>
      <c r="L102" s="25" t="str">
        <f>IF($Q102="","",INDEX(TRANSACTIONS_MASTER!$P$5:$P$1204,$Q102))</f>
        <v/>
      </c>
      <c r="M102" s="25" t="str">
        <f>IF($Q102="","",INDEX(TRANSACTIONS_MASTER!$AA$5:$AA$1204,$Q102))</f>
        <v/>
      </c>
      <c r="N102" s="25" t="str">
        <f>IF($Q102="","",INDEX(TRANSACTIONS_MASTER!$R$5:$R$1204,$Q102))</f>
        <v/>
      </c>
      <c r="O102" s="28" t="str">
        <f>IF($Q102="","",INDEX(TRANSACTIONS_MASTER!$AB$5:$AB$1204,$Q102))</f>
        <v/>
      </c>
      <c r="P102" s="55" t="str">
        <f>IF($Q102="","",INDEX(TRANSACTIONS_MASTER!$Z$5:$Z$1204,$Q102)&amp;"")</f>
        <v/>
      </c>
      <c r="Q102" s="67" t="str">
        <f>IFERROR(MATCH($C$2&amp;"|"&amp;95,TRANSACTIONS_MASTER!$AE$5:$AE$1204,0),"")</f>
        <v/>
      </c>
      <c r="S102" s="67">
        <f>IFERROR(MATCH(6,CARDS!$O$5:$O$34,0),"")</f>
        <v>6</v>
      </c>
      <c r="T102" s="55" t="n"/>
      <c r="U102" s="55" t="str">
        <f>IF($S102="","",INDEX(CARDS!$B$5:$B$34,$S102))</f>
        <v>ACB</v>
      </c>
      <c r="V102" s="25">
        <f>IF($S102="","",SUMIFS(TRANSACTIONS_MASTER!$L$5:$L$1204,TRANSACTIONS_MASTER!$E$5:$E$1204,$U102,TRANSACTIONS_MASTER!$C$5:$C$1204,$C$2,TRANSACTIONS_MASTER!$U$5:$U$1204,"&lt;&gt;Cancelled"))</f>
        <v>0</v>
      </c>
      <c r="W102" s="26">
        <f>IF($S102="","",SUMIFS(TRANSACTIONS_MASTER!$Q$5:$Q$1204,TRANSACTIONS_MASTER!$E$5:$E$1204,$U102,TRANSACTIONS_MASTER!$C$5:$C$1204,$C$2))</f>
        <v>0</v>
      </c>
    </row>
    <row r="103">
      <c r="A103" s="81" t="str">
        <f>IF($Q103="","",96)</f>
        <v/>
      </c>
      <c r="B103" s="57" t="str">
        <f>IF($Q103="","",INDEX(TRANSACTIONS_MASTER!$B$5:$B$1204,$Q103))</f>
        <v/>
      </c>
      <c r="C103" s="55" t="str">
        <f>IF($Q103="","",INDEX(TRANSACTIONS_MASTER!$F$5:$F$1204,$Q103))</f>
        <v/>
      </c>
      <c r="D103" s="55" t="str">
        <f>IF($Q103="","",INDEX(TRANSACTIONS_MASTER!$E$5:$E$1204,$Q103))</f>
        <v/>
      </c>
      <c r="E103" s="55" t="str">
        <f>IF($Q103="","",INDEX(TRANSACTIONS_MASTER!$G$5:$G$1204,$Q103)&amp;"")</f>
        <v/>
      </c>
      <c r="F103" s="29" t="str">
        <f>IF($Q103="","",INDEX(TRANSACTIONS_MASTER!$I$5:$I$1204,$Q103))</f>
        <v/>
      </c>
      <c r="G103" s="55" t="str">
        <f>IF($Q103="","",INDEX(TRANSACTIONS_MASTER!$K$5:$K$1204,$Q103))</f>
        <v/>
      </c>
      <c r="H103" s="25" t="str">
        <f>IF($Q103="","",INDEX(TRANSACTIONS_MASTER!$L$5:$L$1204,$Q103))</f>
        <v/>
      </c>
      <c r="I103" s="56" t="str">
        <f>IF($Q103="","",INDEX(TRANSACTIONS_MASTER!$N$5:$N$1204,$Q103))</f>
        <v/>
      </c>
      <c r="J103" s="25" t="str">
        <f>IF($Q103="","",INDEX(TRANSACTIONS_MASTER!$O$5:$O$1204,$Q103))</f>
        <v/>
      </c>
      <c r="K103" s="26" t="str">
        <f>IF($Q103="","",INDEX(TRANSACTIONS_MASTER!$Q$5:$Q$1204,$Q103))</f>
        <v/>
      </c>
      <c r="L103" s="25" t="str">
        <f>IF($Q103="","",INDEX(TRANSACTIONS_MASTER!$P$5:$P$1204,$Q103))</f>
        <v/>
      </c>
      <c r="M103" s="25" t="str">
        <f>IF($Q103="","",INDEX(TRANSACTIONS_MASTER!$AA$5:$AA$1204,$Q103))</f>
        <v/>
      </c>
      <c r="N103" s="25" t="str">
        <f>IF($Q103="","",INDEX(TRANSACTIONS_MASTER!$R$5:$R$1204,$Q103))</f>
        <v/>
      </c>
      <c r="O103" s="28" t="str">
        <f>IF($Q103="","",INDEX(TRANSACTIONS_MASTER!$AB$5:$AB$1204,$Q103))</f>
        <v/>
      </c>
      <c r="P103" s="55" t="str">
        <f>IF($Q103="","",INDEX(TRANSACTIONS_MASTER!$Z$5:$Z$1204,$Q103)&amp;"")</f>
        <v/>
      </c>
      <c r="Q103" s="67" t="str">
        <f>IFERROR(MATCH($C$2&amp;"|"&amp;96,TRANSACTIONS_MASTER!$AE$5:$AE$1204,0),"")</f>
        <v/>
      </c>
      <c r="S103" s="67" t="str">
        <f>IFERROR(MATCH(7,CARDS!$O$5:$O$34,0),"")</f>
        <v/>
      </c>
      <c r="T103" s="55" t="n"/>
      <c r="U103" s="55" t="str">
        <f>IF($S103="","",INDEX(CARDS!$B$5:$B$34,$S103))</f>
        <v/>
      </c>
      <c r="V103" s="25" t="str">
        <f>IF($S103="","",SUMIFS(TRANSACTIONS_MASTER!$L$5:$L$1204,TRANSACTIONS_MASTER!$E$5:$E$1204,$U103,TRANSACTIONS_MASTER!$C$5:$C$1204,$C$2,TRANSACTIONS_MASTER!$U$5:$U$1204,"&lt;&gt;Cancelled"))</f>
        <v/>
      </c>
      <c r="W103" s="26" t="str">
        <f>IF($S103="","",SUMIFS(TRANSACTIONS_MASTER!$Q$5:$Q$1204,TRANSACTIONS_MASTER!$E$5:$E$1204,$U103,TRANSACTIONS_MASTER!$C$5:$C$1204,$C$2))</f>
        <v/>
      </c>
    </row>
    <row r="104">
      <c r="A104" s="81" t="str">
        <f>IF($Q104="","",97)</f>
        <v/>
      </c>
      <c r="B104" s="57" t="str">
        <f>IF($Q104="","",INDEX(TRANSACTIONS_MASTER!$B$5:$B$1204,$Q104))</f>
        <v/>
      </c>
      <c r="C104" s="55" t="str">
        <f>IF($Q104="","",INDEX(TRANSACTIONS_MASTER!$F$5:$F$1204,$Q104))</f>
        <v/>
      </c>
      <c r="D104" s="55" t="str">
        <f>IF($Q104="","",INDEX(TRANSACTIONS_MASTER!$E$5:$E$1204,$Q104))</f>
        <v/>
      </c>
      <c r="E104" s="55" t="str">
        <f>IF($Q104="","",INDEX(TRANSACTIONS_MASTER!$G$5:$G$1204,$Q104)&amp;"")</f>
        <v/>
      </c>
      <c r="F104" s="29" t="str">
        <f>IF($Q104="","",INDEX(TRANSACTIONS_MASTER!$I$5:$I$1204,$Q104))</f>
        <v/>
      </c>
      <c r="G104" s="55" t="str">
        <f>IF($Q104="","",INDEX(TRANSACTIONS_MASTER!$K$5:$K$1204,$Q104))</f>
        <v/>
      </c>
      <c r="H104" s="25" t="str">
        <f>IF($Q104="","",INDEX(TRANSACTIONS_MASTER!$L$5:$L$1204,$Q104))</f>
        <v/>
      </c>
      <c r="I104" s="56" t="str">
        <f>IF($Q104="","",INDEX(TRANSACTIONS_MASTER!$N$5:$N$1204,$Q104))</f>
        <v/>
      </c>
      <c r="J104" s="25" t="str">
        <f>IF($Q104="","",INDEX(TRANSACTIONS_MASTER!$O$5:$O$1204,$Q104))</f>
        <v/>
      </c>
      <c r="K104" s="26" t="str">
        <f>IF($Q104="","",INDEX(TRANSACTIONS_MASTER!$Q$5:$Q$1204,$Q104))</f>
        <v/>
      </c>
      <c r="L104" s="25" t="str">
        <f>IF($Q104="","",INDEX(TRANSACTIONS_MASTER!$P$5:$P$1204,$Q104))</f>
        <v/>
      </c>
      <c r="M104" s="25" t="str">
        <f>IF($Q104="","",INDEX(TRANSACTIONS_MASTER!$AA$5:$AA$1204,$Q104))</f>
        <v/>
      </c>
      <c r="N104" s="25" t="str">
        <f>IF($Q104="","",INDEX(TRANSACTIONS_MASTER!$R$5:$R$1204,$Q104))</f>
        <v/>
      </c>
      <c r="O104" s="28" t="str">
        <f>IF($Q104="","",INDEX(TRANSACTIONS_MASTER!$AB$5:$AB$1204,$Q104))</f>
        <v/>
      </c>
      <c r="P104" s="55" t="str">
        <f>IF($Q104="","",INDEX(TRANSACTIONS_MASTER!$Z$5:$Z$1204,$Q104)&amp;"")</f>
        <v/>
      </c>
      <c r="Q104" s="67" t="str">
        <f>IFERROR(MATCH($C$2&amp;"|"&amp;97,TRANSACTIONS_MASTER!$AE$5:$AE$1204,0),"")</f>
        <v/>
      </c>
      <c r="S104" s="67" t="str">
        <f>IFERROR(MATCH(8,CARDS!$O$5:$O$34,0),"")</f>
        <v/>
      </c>
      <c r="T104" s="55" t="n"/>
      <c r="U104" s="55" t="str">
        <f>IF($S104="","",INDEX(CARDS!$B$5:$B$34,$S104))</f>
        <v/>
      </c>
      <c r="V104" s="25" t="str">
        <f>IF($S104="","",SUMIFS(TRANSACTIONS_MASTER!$L$5:$L$1204,TRANSACTIONS_MASTER!$E$5:$E$1204,$U104,TRANSACTIONS_MASTER!$C$5:$C$1204,$C$2,TRANSACTIONS_MASTER!$U$5:$U$1204,"&lt;&gt;Cancelled"))</f>
        <v/>
      </c>
      <c r="W104" s="26" t="str">
        <f>IF($S104="","",SUMIFS(TRANSACTIONS_MASTER!$Q$5:$Q$1204,TRANSACTIONS_MASTER!$E$5:$E$1204,$U104,TRANSACTIONS_MASTER!$C$5:$C$1204,$C$2))</f>
        <v/>
      </c>
    </row>
    <row r="105">
      <c r="A105" s="81" t="str">
        <f>IF($Q105="","",98)</f>
        <v/>
      </c>
      <c r="B105" s="57" t="str">
        <f>IF($Q105="","",INDEX(TRANSACTIONS_MASTER!$B$5:$B$1204,$Q105))</f>
        <v/>
      </c>
      <c r="C105" s="55" t="str">
        <f>IF($Q105="","",INDEX(TRANSACTIONS_MASTER!$F$5:$F$1204,$Q105))</f>
        <v/>
      </c>
      <c r="D105" s="55" t="str">
        <f>IF($Q105="","",INDEX(TRANSACTIONS_MASTER!$E$5:$E$1204,$Q105))</f>
        <v/>
      </c>
      <c r="E105" s="55" t="str">
        <f>IF($Q105="","",INDEX(TRANSACTIONS_MASTER!$G$5:$G$1204,$Q105)&amp;"")</f>
        <v/>
      </c>
      <c r="F105" s="29" t="str">
        <f>IF($Q105="","",INDEX(TRANSACTIONS_MASTER!$I$5:$I$1204,$Q105))</f>
        <v/>
      </c>
      <c r="G105" s="55" t="str">
        <f>IF($Q105="","",INDEX(TRANSACTIONS_MASTER!$K$5:$K$1204,$Q105))</f>
        <v/>
      </c>
      <c r="H105" s="25" t="str">
        <f>IF($Q105="","",INDEX(TRANSACTIONS_MASTER!$L$5:$L$1204,$Q105))</f>
        <v/>
      </c>
      <c r="I105" s="56" t="str">
        <f>IF($Q105="","",INDEX(TRANSACTIONS_MASTER!$N$5:$N$1204,$Q105))</f>
        <v/>
      </c>
      <c r="J105" s="25" t="str">
        <f>IF($Q105="","",INDEX(TRANSACTIONS_MASTER!$O$5:$O$1204,$Q105))</f>
        <v/>
      </c>
      <c r="K105" s="26" t="str">
        <f>IF($Q105="","",INDEX(TRANSACTIONS_MASTER!$Q$5:$Q$1204,$Q105))</f>
        <v/>
      </c>
      <c r="L105" s="25" t="str">
        <f>IF($Q105="","",INDEX(TRANSACTIONS_MASTER!$P$5:$P$1204,$Q105))</f>
        <v/>
      </c>
      <c r="M105" s="25" t="str">
        <f>IF($Q105="","",INDEX(TRANSACTIONS_MASTER!$AA$5:$AA$1204,$Q105))</f>
        <v/>
      </c>
      <c r="N105" s="25" t="str">
        <f>IF($Q105="","",INDEX(TRANSACTIONS_MASTER!$R$5:$R$1204,$Q105))</f>
        <v/>
      </c>
      <c r="O105" s="28" t="str">
        <f>IF($Q105="","",INDEX(TRANSACTIONS_MASTER!$AB$5:$AB$1204,$Q105))</f>
        <v/>
      </c>
      <c r="P105" s="55" t="str">
        <f>IF($Q105="","",INDEX(TRANSACTIONS_MASTER!$Z$5:$Z$1204,$Q105)&amp;"")</f>
        <v/>
      </c>
      <c r="Q105" s="67" t="str">
        <f>IFERROR(MATCH($C$2&amp;"|"&amp;98,TRANSACTIONS_MASTER!$AE$5:$AE$1204,0),"")</f>
        <v/>
      </c>
      <c r="S105" s="67" t="str">
        <f>IFERROR(MATCH(9,CARDS!$O$5:$O$34,0),"")</f>
        <v/>
      </c>
      <c r="T105" s="55" t="n"/>
      <c r="U105" s="55" t="str">
        <f>IF($S105="","",INDEX(CARDS!$B$5:$B$34,$S105))</f>
        <v/>
      </c>
      <c r="V105" s="25" t="str">
        <f>IF($S105="","",SUMIFS(TRANSACTIONS_MASTER!$L$5:$L$1204,TRANSACTIONS_MASTER!$E$5:$E$1204,$U105,TRANSACTIONS_MASTER!$C$5:$C$1204,$C$2,TRANSACTIONS_MASTER!$U$5:$U$1204,"&lt;&gt;Cancelled"))</f>
        <v/>
      </c>
      <c r="W105" s="26" t="str">
        <f>IF($S105="","",SUMIFS(TRANSACTIONS_MASTER!$Q$5:$Q$1204,TRANSACTIONS_MASTER!$E$5:$E$1204,$U105,TRANSACTIONS_MASTER!$C$5:$C$1204,$C$2))</f>
        <v/>
      </c>
    </row>
    <row r="106">
      <c r="A106" s="81" t="str">
        <f>IF($Q106="","",99)</f>
        <v/>
      </c>
      <c r="B106" s="57" t="str">
        <f>IF($Q106="","",INDEX(TRANSACTIONS_MASTER!$B$5:$B$1204,$Q106))</f>
        <v/>
      </c>
      <c r="C106" s="55" t="str">
        <f>IF($Q106="","",INDEX(TRANSACTIONS_MASTER!$F$5:$F$1204,$Q106))</f>
        <v/>
      </c>
      <c r="D106" s="55" t="str">
        <f>IF($Q106="","",INDEX(TRANSACTIONS_MASTER!$E$5:$E$1204,$Q106))</f>
        <v/>
      </c>
      <c r="E106" s="55" t="str">
        <f>IF($Q106="","",INDEX(TRANSACTIONS_MASTER!$G$5:$G$1204,$Q106)&amp;"")</f>
        <v/>
      </c>
      <c r="F106" s="29" t="str">
        <f>IF($Q106="","",INDEX(TRANSACTIONS_MASTER!$I$5:$I$1204,$Q106))</f>
        <v/>
      </c>
      <c r="G106" s="55" t="str">
        <f>IF($Q106="","",INDEX(TRANSACTIONS_MASTER!$K$5:$K$1204,$Q106))</f>
        <v/>
      </c>
      <c r="H106" s="25" t="str">
        <f>IF($Q106="","",INDEX(TRANSACTIONS_MASTER!$L$5:$L$1204,$Q106))</f>
        <v/>
      </c>
      <c r="I106" s="56" t="str">
        <f>IF($Q106="","",INDEX(TRANSACTIONS_MASTER!$N$5:$N$1204,$Q106))</f>
        <v/>
      </c>
      <c r="J106" s="25" t="str">
        <f>IF($Q106="","",INDEX(TRANSACTIONS_MASTER!$O$5:$O$1204,$Q106))</f>
        <v/>
      </c>
      <c r="K106" s="26" t="str">
        <f>IF($Q106="","",INDEX(TRANSACTIONS_MASTER!$Q$5:$Q$1204,$Q106))</f>
        <v/>
      </c>
      <c r="L106" s="25" t="str">
        <f>IF($Q106="","",INDEX(TRANSACTIONS_MASTER!$P$5:$P$1204,$Q106))</f>
        <v/>
      </c>
      <c r="M106" s="25" t="str">
        <f>IF($Q106="","",INDEX(TRANSACTIONS_MASTER!$AA$5:$AA$1204,$Q106))</f>
        <v/>
      </c>
      <c r="N106" s="25" t="str">
        <f>IF($Q106="","",INDEX(TRANSACTIONS_MASTER!$R$5:$R$1204,$Q106))</f>
        <v/>
      </c>
      <c r="O106" s="28" t="str">
        <f>IF($Q106="","",INDEX(TRANSACTIONS_MASTER!$AB$5:$AB$1204,$Q106))</f>
        <v/>
      </c>
      <c r="P106" s="55" t="str">
        <f>IF($Q106="","",INDEX(TRANSACTIONS_MASTER!$Z$5:$Z$1204,$Q106)&amp;"")</f>
        <v/>
      </c>
      <c r="Q106" s="67" t="str">
        <f>IFERROR(MATCH($C$2&amp;"|"&amp;99,TRANSACTIONS_MASTER!$AE$5:$AE$1204,0),"")</f>
        <v/>
      </c>
      <c r="S106" s="67" t="str">
        <f>IFERROR(MATCH(10,CARDS!$O$5:$O$34,0),"")</f>
        <v/>
      </c>
      <c r="T106" s="55" t="n"/>
      <c r="U106" s="55" t="str">
        <f>IF($S106="","",INDEX(CARDS!$B$5:$B$34,$S106))</f>
        <v/>
      </c>
      <c r="V106" s="25" t="str">
        <f>IF($S106="","",SUMIFS(TRANSACTIONS_MASTER!$L$5:$L$1204,TRANSACTIONS_MASTER!$E$5:$E$1204,$U106,TRANSACTIONS_MASTER!$C$5:$C$1204,$C$2,TRANSACTIONS_MASTER!$U$5:$U$1204,"&lt;&gt;Cancelled"))</f>
        <v/>
      </c>
      <c r="W106" s="26" t="str">
        <f>IF($S106="","",SUMIFS(TRANSACTIONS_MASTER!$Q$5:$Q$1204,TRANSACTIONS_MASTER!$E$5:$E$1204,$U106,TRANSACTIONS_MASTER!$C$5:$C$1204,$C$2))</f>
        <v/>
      </c>
    </row>
    <row r="107">
      <c r="A107" s="81" t="str">
        <f>IF($Q107="","",100)</f>
        <v/>
      </c>
      <c r="B107" s="57" t="str">
        <f>IF($Q107="","",INDEX(TRANSACTIONS_MASTER!$B$5:$B$1204,$Q107))</f>
        <v/>
      </c>
      <c r="C107" s="55" t="str">
        <f>IF($Q107="","",INDEX(TRANSACTIONS_MASTER!$F$5:$F$1204,$Q107))</f>
        <v/>
      </c>
      <c r="D107" s="55" t="str">
        <f>IF($Q107="","",INDEX(TRANSACTIONS_MASTER!$E$5:$E$1204,$Q107))</f>
        <v/>
      </c>
      <c r="E107" s="55" t="str">
        <f>IF($Q107="","",INDEX(TRANSACTIONS_MASTER!$G$5:$G$1204,$Q107)&amp;"")</f>
        <v/>
      </c>
      <c r="F107" s="29" t="str">
        <f>IF($Q107="","",INDEX(TRANSACTIONS_MASTER!$I$5:$I$1204,$Q107))</f>
        <v/>
      </c>
      <c r="G107" s="55" t="str">
        <f>IF($Q107="","",INDEX(TRANSACTIONS_MASTER!$K$5:$K$1204,$Q107))</f>
        <v/>
      </c>
      <c r="H107" s="25" t="str">
        <f>IF($Q107="","",INDEX(TRANSACTIONS_MASTER!$L$5:$L$1204,$Q107))</f>
        <v/>
      </c>
      <c r="I107" s="56" t="str">
        <f>IF($Q107="","",INDEX(TRANSACTIONS_MASTER!$N$5:$N$1204,$Q107))</f>
        <v/>
      </c>
      <c r="J107" s="25" t="str">
        <f>IF($Q107="","",INDEX(TRANSACTIONS_MASTER!$O$5:$O$1204,$Q107))</f>
        <v/>
      </c>
      <c r="K107" s="26" t="str">
        <f>IF($Q107="","",INDEX(TRANSACTIONS_MASTER!$Q$5:$Q$1204,$Q107))</f>
        <v/>
      </c>
      <c r="L107" s="25" t="str">
        <f>IF($Q107="","",INDEX(TRANSACTIONS_MASTER!$P$5:$P$1204,$Q107))</f>
        <v/>
      </c>
      <c r="M107" s="25" t="str">
        <f>IF($Q107="","",INDEX(TRANSACTIONS_MASTER!$AA$5:$AA$1204,$Q107))</f>
        <v/>
      </c>
      <c r="N107" s="25" t="str">
        <f>IF($Q107="","",INDEX(TRANSACTIONS_MASTER!$R$5:$R$1204,$Q107))</f>
        <v/>
      </c>
      <c r="O107" s="28" t="str">
        <f>IF($Q107="","",INDEX(TRANSACTIONS_MASTER!$AB$5:$AB$1204,$Q107))</f>
        <v/>
      </c>
      <c r="P107" s="55" t="str">
        <f>IF($Q107="","",INDEX(TRANSACTIONS_MASTER!$Z$5:$Z$1204,$Q107)&amp;"")</f>
        <v/>
      </c>
      <c r="Q107" s="67" t="str">
        <f>IFERROR(MATCH($C$2&amp;"|"&amp;100,TRANSACTIONS_MASTER!$AE$5:$AE$1204,0),"")</f>
        <v/>
      </c>
      <c r="S107" s="67" t="str">
        <f>IFERROR(MATCH(11,CARDS!$O$5:$O$34,0),"")</f>
        <v/>
      </c>
      <c r="T107" s="55" t="n"/>
      <c r="U107" s="55" t="str">
        <f>IF($S107="","",INDEX(CARDS!$B$5:$B$34,$S107))</f>
        <v/>
      </c>
      <c r="V107" s="25" t="str">
        <f>IF($S107="","",SUMIFS(TRANSACTIONS_MASTER!$L$5:$L$1204,TRANSACTIONS_MASTER!$E$5:$E$1204,$U107,TRANSACTIONS_MASTER!$C$5:$C$1204,$C$2,TRANSACTIONS_MASTER!$U$5:$U$1204,"&lt;&gt;Cancelled"))</f>
        <v/>
      </c>
      <c r="W107" s="26" t="str">
        <f>IF($S107="","",SUMIFS(TRANSACTIONS_MASTER!$Q$5:$Q$1204,TRANSACTIONS_MASTER!$E$5:$E$1204,$U107,TRANSACTIONS_MASTER!$C$5:$C$1204,$C$2))</f>
        <v/>
      </c>
    </row>
    <row r="108">
      <c r="A108" s="81" t="str">
        <f>IF($Q108="","",101)</f>
        <v/>
      </c>
      <c r="B108" s="57" t="str">
        <f>IF($Q108="","",INDEX(TRANSACTIONS_MASTER!$B$5:$B$1204,$Q108))</f>
        <v/>
      </c>
      <c r="C108" s="55" t="str">
        <f>IF($Q108="","",INDEX(TRANSACTIONS_MASTER!$F$5:$F$1204,$Q108))</f>
        <v/>
      </c>
      <c r="D108" s="55" t="str">
        <f>IF($Q108="","",INDEX(TRANSACTIONS_MASTER!$E$5:$E$1204,$Q108))</f>
        <v/>
      </c>
      <c r="E108" s="55" t="str">
        <f>IF($Q108="","",INDEX(TRANSACTIONS_MASTER!$G$5:$G$1204,$Q108)&amp;"")</f>
        <v/>
      </c>
      <c r="F108" s="29" t="str">
        <f>IF($Q108="","",INDEX(TRANSACTIONS_MASTER!$I$5:$I$1204,$Q108))</f>
        <v/>
      </c>
      <c r="G108" s="55" t="str">
        <f>IF($Q108="","",INDEX(TRANSACTIONS_MASTER!$K$5:$K$1204,$Q108))</f>
        <v/>
      </c>
      <c r="H108" s="25" t="str">
        <f>IF($Q108="","",INDEX(TRANSACTIONS_MASTER!$L$5:$L$1204,$Q108))</f>
        <v/>
      </c>
      <c r="I108" s="56" t="str">
        <f>IF($Q108="","",INDEX(TRANSACTIONS_MASTER!$N$5:$N$1204,$Q108))</f>
        <v/>
      </c>
      <c r="J108" s="25" t="str">
        <f>IF($Q108="","",INDEX(TRANSACTIONS_MASTER!$O$5:$O$1204,$Q108))</f>
        <v/>
      </c>
      <c r="K108" s="26" t="str">
        <f>IF($Q108="","",INDEX(TRANSACTIONS_MASTER!$Q$5:$Q$1204,$Q108))</f>
        <v/>
      </c>
      <c r="L108" s="25" t="str">
        <f>IF($Q108="","",INDEX(TRANSACTIONS_MASTER!$P$5:$P$1204,$Q108))</f>
        <v/>
      </c>
      <c r="M108" s="25" t="str">
        <f>IF($Q108="","",INDEX(TRANSACTIONS_MASTER!$AA$5:$AA$1204,$Q108))</f>
        <v/>
      </c>
      <c r="N108" s="25" t="str">
        <f>IF($Q108="","",INDEX(TRANSACTIONS_MASTER!$R$5:$R$1204,$Q108))</f>
        <v/>
      </c>
      <c r="O108" s="28" t="str">
        <f>IF($Q108="","",INDEX(TRANSACTIONS_MASTER!$AB$5:$AB$1204,$Q108))</f>
        <v/>
      </c>
      <c r="P108" s="55" t="str">
        <f>IF($Q108="","",INDEX(TRANSACTIONS_MASTER!$Z$5:$Z$1204,$Q108)&amp;"")</f>
        <v/>
      </c>
      <c r="Q108" s="67" t="str">
        <f>IFERROR(MATCH($C$2&amp;"|"&amp;101,TRANSACTIONS_MASTER!$AE$5:$AE$1204,0),"")</f>
        <v/>
      </c>
      <c r="S108" s="67" t="str">
        <f>IFERROR(MATCH(12,CARDS!$O$5:$O$34,0),"")</f>
        <v/>
      </c>
      <c r="T108" s="55" t="n"/>
      <c r="U108" s="55" t="str">
        <f>IF($S108="","",INDEX(CARDS!$B$5:$B$34,$S108))</f>
        <v/>
      </c>
      <c r="V108" s="25" t="str">
        <f>IF($S108="","",SUMIFS(TRANSACTIONS_MASTER!$L$5:$L$1204,TRANSACTIONS_MASTER!$E$5:$E$1204,$U108,TRANSACTIONS_MASTER!$C$5:$C$1204,$C$2,TRANSACTIONS_MASTER!$U$5:$U$1204,"&lt;&gt;Cancelled"))</f>
        <v/>
      </c>
      <c r="W108" s="26" t="str">
        <f>IF($S108="","",SUMIFS(TRANSACTIONS_MASTER!$Q$5:$Q$1204,TRANSACTIONS_MASTER!$E$5:$E$1204,$U108,TRANSACTIONS_MASTER!$C$5:$C$1204,$C$2))</f>
        <v/>
      </c>
    </row>
    <row r="109">
      <c r="A109" s="81" t="str">
        <f>IF($Q109="","",102)</f>
        <v/>
      </c>
      <c r="B109" s="57" t="str">
        <f>IF($Q109="","",INDEX(TRANSACTIONS_MASTER!$B$5:$B$1204,$Q109))</f>
        <v/>
      </c>
      <c r="C109" s="55" t="str">
        <f>IF($Q109="","",INDEX(TRANSACTIONS_MASTER!$F$5:$F$1204,$Q109))</f>
        <v/>
      </c>
      <c r="D109" s="55" t="str">
        <f>IF($Q109="","",INDEX(TRANSACTIONS_MASTER!$E$5:$E$1204,$Q109))</f>
        <v/>
      </c>
      <c r="E109" s="55" t="str">
        <f>IF($Q109="","",INDEX(TRANSACTIONS_MASTER!$G$5:$G$1204,$Q109)&amp;"")</f>
        <v/>
      </c>
      <c r="F109" s="29" t="str">
        <f>IF($Q109="","",INDEX(TRANSACTIONS_MASTER!$I$5:$I$1204,$Q109))</f>
        <v/>
      </c>
      <c r="G109" s="55" t="str">
        <f>IF($Q109="","",INDEX(TRANSACTIONS_MASTER!$K$5:$K$1204,$Q109))</f>
        <v/>
      </c>
      <c r="H109" s="25" t="str">
        <f>IF($Q109="","",INDEX(TRANSACTIONS_MASTER!$L$5:$L$1204,$Q109))</f>
        <v/>
      </c>
      <c r="I109" s="56" t="str">
        <f>IF($Q109="","",INDEX(TRANSACTIONS_MASTER!$N$5:$N$1204,$Q109))</f>
        <v/>
      </c>
      <c r="J109" s="25" t="str">
        <f>IF($Q109="","",INDEX(TRANSACTIONS_MASTER!$O$5:$O$1204,$Q109))</f>
        <v/>
      </c>
      <c r="K109" s="26" t="str">
        <f>IF($Q109="","",INDEX(TRANSACTIONS_MASTER!$Q$5:$Q$1204,$Q109))</f>
        <v/>
      </c>
      <c r="L109" s="25" t="str">
        <f>IF($Q109="","",INDEX(TRANSACTIONS_MASTER!$P$5:$P$1204,$Q109))</f>
        <v/>
      </c>
      <c r="M109" s="25" t="str">
        <f>IF($Q109="","",INDEX(TRANSACTIONS_MASTER!$AA$5:$AA$1204,$Q109))</f>
        <v/>
      </c>
      <c r="N109" s="25" t="str">
        <f>IF($Q109="","",INDEX(TRANSACTIONS_MASTER!$R$5:$R$1204,$Q109))</f>
        <v/>
      </c>
      <c r="O109" s="28" t="str">
        <f>IF($Q109="","",INDEX(TRANSACTIONS_MASTER!$AB$5:$AB$1204,$Q109))</f>
        <v/>
      </c>
      <c r="P109" s="55" t="str">
        <f>IF($Q109="","",INDEX(TRANSACTIONS_MASTER!$Z$5:$Z$1204,$Q109)&amp;"")</f>
        <v/>
      </c>
      <c r="Q109" s="67" t="str">
        <f>IFERROR(MATCH($C$2&amp;"|"&amp;102,TRANSACTIONS_MASTER!$AE$5:$AE$1204,0),"")</f>
        <v/>
      </c>
      <c r="S109" s="67" t="str">
        <f>IFERROR(MATCH(13,CARDS!$O$5:$O$34,0),"")</f>
        <v/>
      </c>
      <c r="T109" s="55" t="n"/>
      <c r="U109" s="55" t="str">
        <f>IF($S109="","",INDEX(CARDS!$B$5:$B$34,$S109))</f>
        <v/>
      </c>
      <c r="V109" s="25" t="str">
        <f>IF($S109="","",SUMIFS(TRANSACTIONS_MASTER!$L$5:$L$1204,TRANSACTIONS_MASTER!$E$5:$E$1204,$U109,TRANSACTIONS_MASTER!$C$5:$C$1204,$C$2,TRANSACTIONS_MASTER!$U$5:$U$1204,"&lt;&gt;Cancelled"))</f>
        <v/>
      </c>
      <c r="W109" s="26" t="str">
        <f>IF($S109="","",SUMIFS(TRANSACTIONS_MASTER!$Q$5:$Q$1204,TRANSACTIONS_MASTER!$E$5:$E$1204,$U109,TRANSACTIONS_MASTER!$C$5:$C$1204,$C$2))</f>
        <v/>
      </c>
    </row>
    <row r="110">
      <c r="A110" s="81" t="str">
        <f>IF($Q110="","",103)</f>
        <v/>
      </c>
      <c r="B110" s="57" t="str">
        <f>IF($Q110="","",INDEX(TRANSACTIONS_MASTER!$B$5:$B$1204,$Q110))</f>
        <v/>
      </c>
      <c r="C110" s="55" t="str">
        <f>IF($Q110="","",INDEX(TRANSACTIONS_MASTER!$F$5:$F$1204,$Q110))</f>
        <v/>
      </c>
      <c r="D110" s="55" t="str">
        <f>IF($Q110="","",INDEX(TRANSACTIONS_MASTER!$E$5:$E$1204,$Q110))</f>
        <v/>
      </c>
      <c r="E110" s="55" t="str">
        <f>IF($Q110="","",INDEX(TRANSACTIONS_MASTER!$G$5:$G$1204,$Q110)&amp;"")</f>
        <v/>
      </c>
      <c r="F110" s="29" t="str">
        <f>IF($Q110="","",INDEX(TRANSACTIONS_MASTER!$I$5:$I$1204,$Q110))</f>
        <v/>
      </c>
      <c r="G110" s="55" t="str">
        <f>IF($Q110="","",INDEX(TRANSACTIONS_MASTER!$K$5:$K$1204,$Q110))</f>
        <v/>
      </c>
      <c r="H110" s="25" t="str">
        <f>IF($Q110="","",INDEX(TRANSACTIONS_MASTER!$L$5:$L$1204,$Q110))</f>
        <v/>
      </c>
      <c r="I110" s="56" t="str">
        <f>IF($Q110="","",INDEX(TRANSACTIONS_MASTER!$N$5:$N$1204,$Q110))</f>
        <v/>
      </c>
      <c r="J110" s="25" t="str">
        <f>IF($Q110="","",INDEX(TRANSACTIONS_MASTER!$O$5:$O$1204,$Q110))</f>
        <v/>
      </c>
      <c r="K110" s="26" t="str">
        <f>IF($Q110="","",INDEX(TRANSACTIONS_MASTER!$Q$5:$Q$1204,$Q110))</f>
        <v/>
      </c>
      <c r="L110" s="25" t="str">
        <f>IF($Q110="","",INDEX(TRANSACTIONS_MASTER!$P$5:$P$1204,$Q110))</f>
        <v/>
      </c>
      <c r="M110" s="25" t="str">
        <f>IF($Q110="","",INDEX(TRANSACTIONS_MASTER!$AA$5:$AA$1204,$Q110))</f>
        <v/>
      </c>
      <c r="N110" s="25" t="str">
        <f>IF($Q110="","",INDEX(TRANSACTIONS_MASTER!$R$5:$R$1204,$Q110))</f>
        <v/>
      </c>
      <c r="O110" s="28" t="str">
        <f>IF($Q110="","",INDEX(TRANSACTIONS_MASTER!$AB$5:$AB$1204,$Q110))</f>
        <v/>
      </c>
      <c r="P110" s="55" t="str">
        <f>IF($Q110="","",INDEX(TRANSACTIONS_MASTER!$Z$5:$Z$1204,$Q110)&amp;"")</f>
        <v/>
      </c>
      <c r="Q110" s="67" t="str">
        <f>IFERROR(MATCH($C$2&amp;"|"&amp;103,TRANSACTIONS_MASTER!$AE$5:$AE$1204,0),"")</f>
        <v/>
      </c>
      <c r="S110" s="67" t="str">
        <f>IFERROR(MATCH(14,CARDS!$O$5:$O$34,0),"")</f>
        <v/>
      </c>
      <c r="T110" s="55" t="n"/>
      <c r="U110" s="55" t="str">
        <f>IF($S110="","",INDEX(CARDS!$B$5:$B$34,$S110))</f>
        <v/>
      </c>
      <c r="V110" s="25" t="str">
        <f>IF($S110="","",SUMIFS(TRANSACTIONS_MASTER!$L$5:$L$1204,TRANSACTIONS_MASTER!$E$5:$E$1204,$U110,TRANSACTIONS_MASTER!$C$5:$C$1204,$C$2,TRANSACTIONS_MASTER!$U$5:$U$1204,"&lt;&gt;Cancelled"))</f>
        <v/>
      </c>
      <c r="W110" s="26" t="str">
        <f>IF($S110="","",SUMIFS(TRANSACTIONS_MASTER!$Q$5:$Q$1204,TRANSACTIONS_MASTER!$E$5:$E$1204,$U110,TRANSACTIONS_MASTER!$C$5:$C$1204,$C$2))</f>
        <v/>
      </c>
    </row>
    <row r="111">
      <c r="A111" s="81" t="str">
        <f>IF($Q111="","",104)</f>
        <v/>
      </c>
      <c r="B111" s="57" t="str">
        <f>IF($Q111="","",INDEX(TRANSACTIONS_MASTER!$B$5:$B$1204,$Q111))</f>
        <v/>
      </c>
      <c r="C111" s="55" t="str">
        <f>IF($Q111="","",INDEX(TRANSACTIONS_MASTER!$F$5:$F$1204,$Q111))</f>
        <v/>
      </c>
      <c r="D111" s="55" t="str">
        <f>IF($Q111="","",INDEX(TRANSACTIONS_MASTER!$E$5:$E$1204,$Q111))</f>
        <v/>
      </c>
      <c r="E111" s="55" t="str">
        <f>IF($Q111="","",INDEX(TRANSACTIONS_MASTER!$G$5:$G$1204,$Q111)&amp;"")</f>
        <v/>
      </c>
      <c r="F111" s="29" t="str">
        <f>IF($Q111="","",INDEX(TRANSACTIONS_MASTER!$I$5:$I$1204,$Q111))</f>
        <v/>
      </c>
      <c r="G111" s="55" t="str">
        <f>IF($Q111="","",INDEX(TRANSACTIONS_MASTER!$K$5:$K$1204,$Q111))</f>
        <v/>
      </c>
      <c r="H111" s="25" t="str">
        <f>IF($Q111="","",INDEX(TRANSACTIONS_MASTER!$L$5:$L$1204,$Q111))</f>
        <v/>
      </c>
      <c r="I111" s="56" t="str">
        <f>IF($Q111="","",INDEX(TRANSACTIONS_MASTER!$N$5:$N$1204,$Q111))</f>
        <v/>
      </c>
      <c r="J111" s="25" t="str">
        <f>IF($Q111="","",INDEX(TRANSACTIONS_MASTER!$O$5:$O$1204,$Q111))</f>
        <v/>
      </c>
      <c r="K111" s="26" t="str">
        <f>IF($Q111="","",INDEX(TRANSACTIONS_MASTER!$Q$5:$Q$1204,$Q111))</f>
        <v/>
      </c>
      <c r="L111" s="25" t="str">
        <f>IF($Q111="","",INDEX(TRANSACTIONS_MASTER!$P$5:$P$1204,$Q111))</f>
        <v/>
      </c>
      <c r="M111" s="25" t="str">
        <f>IF($Q111="","",INDEX(TRANSACTIONS_MASTER!$AA$5:$AA$1204,$Q111))</f>
        <v/>
      </c>
      <c r="N111" s="25" t="str">
        <f>IF($Q111="","",INDEX(TRANSACTIONS_MASTER!$R$5:$R$1204,$Q111))</f>
        <v/>
      </c>
      <c r="O111" s="28" t="str">
        <f>IF($Q111="","",INDEX(TRANSACTIONS_MASTER!$AB$5:$AB$1204,$Q111))</f>
        <v/>
      </c>
      <c r="P111" s="55" t="str">
        <f>IF($Q111="","",INDEX(TRANSACTIONS_MASTER!$Z$5:$Z$1204,$Q111)&amp;"")</f>
        <v/>
      </c>
      <c r="Q111" s="67" t="str">
        <f>IFERROR(MATCH($C$2&amp;"|"&amp;104,TRANSACTIONS_MASTER!$AE$5:$AE$1204,0),"")</f>
        <v/>
      </c>
      <c r="S111" s="67" t="str">
        <f>IFERROR(MATCH(15,CARDS!$O$5:$O$34,0),"")</f>
        <v/>
      </c>
      <c r="T111" s="55" t="n"/>
      <c r="U111" s="55" t="str">
        <f>IF($S111="","",INDEX(CARDS!$B$5:$B$34,$S111))</f>
        <v/>
      </c>
      <c r="V111" s="25" t="str">
        <f>IF($S111="","",SUMIFS(TRANSACTIONS_MASTER!$L$5:$L$1204,TRANSACTIONS_MASTER!$E$5:$E$1204,$U111,TRANSACTIONS_MASTER!$C$5:$C$1204,$C$2,TRANSACTIONS_MASTER!$U$5:$U$1204,"&lt;&gt;Cancelled"))</f>
        <v/>
      </c>
      <c r="W111" s="26" t="str">
        <f>IF($S111="","",SUMIFS(TRANSACTIONS_MASTER!$Q$5:$Q$1204,TRANSACTIONS_MASTER!$E$5:$E$1204,$U111,TRANSACTIONS_MASTER!$C$5:$C$1204,$C$2))</f>
        <v/>
      </c>
    </row>
    <row r="112">
      <c r="A112" s="81" t="str">
        <f>IF($Q112="","",105)</f>
        <v/>
      </c>
      <c r="B112" s="57" t="str">
        <f>IF($Q112="","",INDEX(TRANSACTIONS_MASTER!$B$5:$B$1204,$Q112))</f>
        <v/>
      </c>
      <c r="C112" s="55" t="str">
        <f>IF($Q112="","",INDEX(TRANSACTIONS_MASTER!$F$5:$F$1204,$Q112))</f>
        <v/>
      </c>
      <c r="D112" s="55" t="str">
        <f>IF($Q112="","",INDEX(TRANSACTIONS_MASTER!$E$5:$E$1204,$Q112))</f>
        <v/>
      </c>
      <c r="E112" s="55" t="str">
        <f>IF($Q112="","",INDEX(TRANSACTIONS_MASTER!$G$5:$G$1204,$Q112)&amp;"")</f>
        <v/>
      </c>
      <c r="F112" s="29" t="str">
        <f>IF($Q112="","",INDEX(TRANSACTIONS_MASTER!$I$5:$I$1204,$Q112))</f>
        <v/>
      </c>
      <c r="G112" s="55" t="str">
        <f>IF($Q112="","",INDEX(TRANSACTIONS_MASTER!$K$5:$K$1204,$Q112))</f>
        <v/>
      </c>
      <c r="H112" s="25" t="str">
        <f>IF($Q112="","",INDEX(TRANSACTIONS_MASTER!$L$5:$L$1204,$Q112))</f>
        <v/>
      </c>
      <c r="I112" s="56" t="str">
        <f>IF($Q112="","",INDEX(TRANSACTIONS_MASTER!$N$5:$N$1204,$Q112))</f>
        <v/>
      </c>
      <c r="J112" s="25" t="str">
        <f>IF($Q112="","",INDEX(TRANSACTIONS_MASTER!$O$5:$O$1204,$Q112))</f>
        <v/>
      </c>
      <c r="K112" s="26" t="str">
        <f>IF($Q112="","",INDEX(TRANSACTIONS_MASTER!$Q$5:$Q$1204,$Q112))</f>
        <v/>
      </c>
      <c r="L112" s="25" t="str">
        <f>IF($Q112="","",INDEX(TRANSACTIONS_MASTER!$P$5:$P$1204,$Q112))</f>
        <v/>
      </c>
      <c r="M112" s="25" t="str">
        <f>IF($Q112="","",INDEX(TRANSACTIONS_MASTER!$AA$5:$AA$1204,$Q112))</f>
        <v/>
      </c>
      <c r="N112" s="25" t="str">
        <f>IF($Q112="","",INDEX(TRANSACTIONS_MASTER!$R$5:$R$1204,$Q112))</f>
        <v/>
      </c>
      <c r="O112" s="28" t="str">
        <f>IF($Q112="","",INDEX(TRANSACTIONS_MASTER!$AB$5:$AB$1204,$Q112))</f>
        <v/>
      </c>
      <c r="P112" s="55" t="str">
        <f>IF($Q112="","",INDEX(TRANSACTIONS_MASTER!$Z$5:$Z$1204,$Q112)&amp;"")</f>
        <v/>
      </c>
      <c r="Q112" s="67" t="str">
        <f>IFERROR(MATCH($C$2&amp;"|"&amp;105,TRANSACTIONS_MASTER!$AE$5:$AE$1204,0),"")</f>
        <v/>
      </c>
      <c r="T112" s="68" t="n"/>
      <c r="U112" s="69" t="inlineStr">
        <is>
          <t>TỔNG</t>
        </is>
      </c>
      <c r="V112" s="31">
        <f>SUM(V97:V111)</f>
        <v>0</v>
      </c>
      <c r="W112" s="31">
        <f>SUM(W97:W111)</f>
        <v>0</v>
      </c>
    </row>
    <row r="113">
      <c r="A113" s="81" t="str">
        <f>IF($Q113="","",106)</f>
        <v/>
      </c>
      <c r="B113" s="57" t="str">
        <f>IF($Q113="","",INDEX(TRANSACTIONS_MASTER!$B$5:$B$1204,$Q113))</f>
        <v/>
      </c>
      <c r="C113" s="55" t="str">
        <f>IF($Q113="","",INDEX(TRANSACTIONS_MASTER!$F$5:$F$1204,$Q113))</f>
        <v/>
      </c>
      <c r="D113" s="55" t="str">
        <f>IF($Q113="","",INDEX(TRANSACTIONS_MASTER!$E$5:$E$1204,$Q113))</f>
        <v/>
      </c>
      <c r="E113" s="55" t="str">
        <f>IF($Q113="","",INDEX(TRANSACTIONS_MASTER!$G$5:$G$1204,$Q113)&amp;"")</f>
        <v/>
      </c>
      <c r="F113" s="29" t="str">
        <f>IF($Q113="","",INDEX(TRANSACTIONS_MASTER!$I$5:$I$1204,$Q113))</f>
        <v/>
      </c>
      <c r="G113" s="55" t="str">
        <f>IF($Q113="","",INDEX(TRANSACTIONS_MASTER!$K$5:$K$1204,$Q113))</f>
        <v/>
      </c>
      <c r="H113" s="25" t="str">
        <f>IF($Q113="","",INDEX(TRANSACTIONS_MASTER!$L$5:$L$1204,$Q113))</f>
        <v/>
      </c>
      <c r="I113" s="56" t="str">
        <f>IF($Q113="","",INDEX(TRANSACTIONS_MASTER!$N$5:$N$1204,$Q113))</f>
        <v/>
      </c>
      <c r="J113" s="25" t="str">
        <f>IF($Q113="","",INDEX(TRANSACTIONS_MASTER!$O$5:$O$1204,$Q113))</f>
        <v/>
      </c>
      <c r="K113" s="26" t="str">
        <f>IF($Q113="","",INDEX(TRANSACTIONS_MASTER!$Q$5:$Q$1204,$Q113))</f>
        <v/>
      </c>
      <c r="L113" s="25" t="str">
        <f>IF($Q113="","",INDEX(TRANSACTIONS_MASTER!$P$5:$P$1204,$Q113))</f>
        <v/>
      </c>
      <c r="M113" s="25" t="str">
        <f>IF($Q113="","",INDEX(TRANSACTIONS_MASTER!$AA$5:$AA$1204,$Q113))</f>
        <v/>
      </c>
      <c r="N113" s="25" t="str">
        <f>IF($Q113="","",INDEX(TRANSACTIONS_MASTER!$R$5:$R$1204,$Q113))</f>
        <v/>
      </c>
      <c r="O113" s="28" t="str">
        <f>IF($Q113="","",INDEX(TRANSACTIONS_MASTER!$AB$5:$AB$1204,$Q113))</f>
        <v/>
      </c>
      <c r="P113" s="55" t="str">
        <f>IF($Q113="","",INDEX(TRANSACTIONS_MASTER!$Z$5:$Z$1204,$Q113)&amp;"")</f>
        <v/>
      </c>
      <c r="Q113" s="67" t="str">
        <f>IFERROR(MATCH($C$2&amp;"|"&amp;106,TRANSACTIONS_MASTER!$AE$5:$AE$1204,0),"")</f>
        <v/>
      </c>
    </row>
    <row r="114">
      <c r="A114" s="81" t="str">
        <f>IF($Q114="","",107)</f>
        <v/>
      </c>
      <c r="B114" s="57" t="str">
        <f>IF($Q114="","",INDEX(TRANSACTIONS_MASTER!$B$5:$B$1204,$Q114))</f>
        <v/>
      </c>
      <c r="C114" s="55" t="str">
        <f>IF($Q114="","",INDEX(TRANSACTIONS_MASTER!$F$5:$F$1204,$Q114))</f>
        <v/>
      </c>
      <c r="D114" s="55" t="str">
        <f>IF($Q114="","",INDEX(TRANSACTIONS_MASTER!$E$5:$E$1204,$Q114))</f>
        <v/>
      </c>
      <c r="E114" s="55" t="str">
        <f>IF($Q114="","",INDEX(TRANSACTIONS_MASTER!$G$5:$G$1204,$Q114)&amp;"")</f>
        <v/>
      </c>
      <c r="F114" s="29" t="str">
        <f>IF($Q114="","",INDEX(TRANSACTIONS_MASTER!$I$5:$I$1204,$Q114))</f>
        <v/>
      </c>
      <c r="G114" s="55" t="str">
        <f>IF($Q114="","",INDEX(TRANSACTIONS_MASTER!$K$5:$K$1204,$Q114))</f>
        <v/>
      </c>
      <c r="H114" s="25" t="str">
        <f>IF($Q114="","",INDEX(TRANSACTIONS_MASTER!$L$5:$L$1204,$Q114))</f>
        <v/>
      </c>
      <c r="I114" s="56" t="str">
        <f>IF($Q114="","",INDEX(TRANSACTIONS_MASTER!$N$5:$N$1204,$Q114))</f>
        <v/>
      </c>
      <c r="J114" s="25" t="str">
        <f>IF($Q114="","",INDEX(TRANSACTIONS_MASTER!$O$5:$O$1204,$Q114))</f>
        <v/>
      </c>
      <c r="K114" s="26" t="str">
        <f>IF($Q114="","",INDEX(TRANSACTIONS_MASTER!$Q$5:$Q$1204,$Q114))</f>
        <v/>
      </c>
      <c r="L114" s="25" t="str">
        <f>IF($Q114="","",INDEX(TRANSACTIONS_MASTER!$P$5:$P$1204,$Q114))</f>
        <v/>
      </c>
      <c r="M114" s="25" t="str">
        <f>IF($Q114="","",INDEX(TRANSACTIONS_MASTER!$AA$5:$AA$1204,$Q114))</f>
        <v/>
      </c>
      <c r="N114" s="25" t="str">
        <f>IF($Q114="","",INDEX(TRANSACTIONS_MASTER!$R$5:$R$1204,$Q114))</f>
        <v/>
      </c>
      <c r="O114" s="28" t="str">
        <f>IF($Q114="","",INDEX(TRANSACTIONS_MASTER!$AB$5:$AB$1204,$Q114))</f>
        <v/>
      </c>
      <c r="P114" s="55" t="str">
        <f>IF($Q114="","",INDEX(TRANSACTIONS_MASTER!$Z$5:$Z$1204,$Q114)&amp;"")</f>
        <v/>
      </c>
      <c r="Q114" s="67" t="str">
        <f>IFERROR(MATCH($C$2&amp;"|"&amp;107,TRANSACTIONS_MASTER!$AE$5:$AE$1204,0),"")</f>
        <v/>
      </c>
    </row>
    <row r="115" ht="22" customHeight="1">
      <c r="A115" s="81" t="str">
        <f>IF($Q115="","",108)</f>
        <v/>
      </c>
      <c r="B115" s="57" t="str">
        <f>IF($Q115="","",INDEX(TRANSACTIONS_MASTER!$B$5:$B$1204,$Q115))</f>
        <v/>
      </c>
      <c r="C115" s="55" t="str">
        <f>IF($Q115="","",INDEX(TRANSACTIONS_MASTER!$F$5:$F$1204,$Q115))</f>
        <v/>
      </c>
      <c r="D115" s="55" t="str">
        <f>IF($Q115="","",INDEX(TRANSACTIONS_MASTER!$E$5:$E$1204,$Q115))</f>
        <v/>
      </c>
      <c r="E115" s="55" t="str">
        <f>IF($Q115="","",INDEX(TRANSACTIONS_MASTER!$G$5:$G$1204,$Q115)&amp;"")</f>
        <v/>
      </c>
      <c r="F115" s="29" t="str">
        <f>IF($Q115="","",INDEX(TRANSACTIONS_MASTER!$I$5:$I$1204,$Q115))</f>
        <v/>
      </c>
      <c r="G115" s="55" t="str">
        <f>IF($Q115="","",INDEX(TRANSACTIONS_MASTER!$K$5:$K$1204,$Q115))</f>
        <v/>
      </c>
      <c r="H115" s="25" t="str">
        <f>IF($Q115="","",INDEX(TRANSACTIONS_MASTER!$L$5:$L$1204,$Q115))</f>
        <v/>
      </c>
      <c r="I115" s="56" t="str">
        <f>IF($Q115="","",INDEX(TRANSACTIONS_MASTER!$N$5:$N$1204,$Q115))</f>
        <v/>
      </c>
      <c r="J115" s="25" t="str">
        <f>IF($Q115="","",INDEX(TRANSACTIONS_MASTER!$O$5:$O$1204,$Q115))</f>
        <v/>
      </c>
      <c r="K115" s="26" t="str">
        <f>IF($Q115="","",INDEX(TRANSACTIONS_MASTER!$Q$5:$Q$1204,$Q115))</f>
        <v/>
      </c>
      <c r="L115" s="25" t="str">
        <f>IF($Q115="","",INDEX(TRANSACTIONS_MASTER!$P$5:$P$1204,$Q115))</f>
        <v/>
      </c>
      <c r="M115" s="25" t="str">
        <f>IF($Q115="","",INDEX(TRANSACTIONS_MASTER!$AA$5:$AA$1204,$Q115))</f>
        <v/>
      </c>
      <c r="N115" s="25" t="str">
        <f>IF($Q115="","",INDEX(TRANSACTIONS_MASTER!$R$5:$R$1204,$Q115))</f>
        <v/>
      </c>
      <c r="O115" s="28" t="str">
        <f>IF($Q115="","",INDEX(TRANSACTIONS_MASTER!$AB$5:$AB$1204,$Q115))</f>
        <v/>
      </c>
      <c r="P115" s="55" t="str">
        <f>IF($Q115="","",INDEX(TRANSACTIONS_MASTER!$Z$5:$Z$1204,$Q115)&amp;"")</f>
        <v/>
      </c>
      <c r="Q115" s="67" t="str">
        <f>IFERROR(MATCH($C$2&amp;"|"&amp;108,TRANSACTIONS_MASTER!$AE$5:$AE$1204,0),"")</f>
        <v/>
      </c>
      <c r="T115" s="19" t="inlineStr">
        <is>
          <t>THEO DANH MỤC (Category)</t>
        </is>
      </c>
      <c r="U115" s="20" t="n"/>
      <c r="V115" s="20" t="n"/>
      <c r="W115" s="20" t="n"/>
      <c r="X115" s="20" t="n"/>
      <c r="Y115" s="20" t="n"/>
      <c r="Z115" s="20" t="n"/>
      <c r="AA115" s="20" t="n"/>
    </row>
    <row r="116" ht="28" customHeight="1">
      <c r="A116" s="81" t="str">
        <f>IF($Q116="","",109)</f>
        <v/>
      </c>
      <c r="B116" s="57" t="str">
        <f>IF($Q116="","",INDEX(TRANSACTIONS_MASTER!$B$5:$B$1204,$Q116))</f>
        <v/>
      </c>
      <c r="C116" s="55" t="str">
        <f>IF($Q116="","",INDEX(TRANSACTIONS_MASTER!$F$5:$F$1204,$Q116))</f>
        <v/>
      </c>
      <c r="D116" s="55" t="str">
        <f>IF($Q116="","",INDEX(TRANSACTIONS_MASTER!$E$5:$E$1204,$Q116))</f>
        <v/>
      </c>
      <c r="E116" s="55" t="str">
        <f>IF($Q116="","",INDEX(TRANSACTIONS_MASTER!$G$5:$G$1204,$Q116)&amp;"")</f>
        <v/>
      </c>
      <c r="F116" s="29" t="str">
        <f>IF($Q116="","",INDEX(TRANSACTIONS_MASTER!$I$5:$I$1204,$Q116))</f>
        <v/>
      </c>
      <c r="G116" s="55" t="str">
        <f>IF($Q116="","",INDEX(TRANSACTIONS_MASTER!$K$5:$K$1204,$Q116))</f>
        <v/>
      </c>
      <c r="H116" s="25" t="str">
        <f>IF($Q116="","",INDEX(TRANSACTIONS_MASTER!$L$5:$L$1204,$Q116))</f>
        <v/>
      </c>
      <c r="I116" s="56" t="str">
        <f>IF($Q116="","",INDEX(TRANSACTIONS_MASTER!$N$5:$N$1204,$Q116))</f>
        <v/>
      </c>
      <c r="J116" s="25" t="str">
        <f>IF($Q116="","",INDEX(TRANSACTIONS_MASTER!$O$5:$O$1204,$Q116))</f>
        <v/>
      </c>
      <c r="K116" s="26" t="str">
        <f>IF($Q116="","",INDEX(TRANSACTIONS_MASTER!$Q$5:$Q$1204,$Q116))</f>
        <v/>
      </c>
      <c r="L116" s="25" t="str">
        <f>IF($Q116="","",INDEX(TRANSACTIONS_MASTER!$P$5:$P$1204,$Q116))</f>
        <v/>
      </c>
      <c r="M116" s="25" t="str">
        <f>IF($Q116="","",INDEX(TRANSACTIONS_MASTER!$AA$5:$AA$1204,$Q116))</f>
        <v/>
      </c>
      <c r="N116" s="25" t="str">
        <f>IF($Q116="","",INDEX(TRANSACTIONS_MASTER!$R$5:$R$1204,$Q116))</f>
        <v/>
      </c>
      <c r="O116" s="28" t="str">
        <f>IF($Q116="","",INDEX(TRANSACTIONS_MASTER!$AB$5:$AB$1204,$Q116))</f>
        <v/>
      </c>
      <c r="P116" s="55" t="str">
        <f>IF($Q116="","",INDEX(TRANSACTIONS_MASTER!$Z$5:$Z$1204,$Q116)&amp;"")</f>
        <v/>
      </c>
      <c r="Q116" s="67" t="str">
        <f>IFERROR(MATCH($C$2&amp;"|"&amp;109,TRANSACTIONS_MASTER!$AE$5:$AE$1204,0),"")</f>
        <v/>
      </c>
      <c r="S116" s="21" t="inlineStr">
        <is>
          <t>#</t>
        </is>
      </c>
      <c r="T116" s="21" t="inlineStr"/>
      <c r="U116" s="21" t="inlineStr">
        <is>
          <t>Danh mục</t>
        </is>
      </c>
      <c r="V116" s="21" t="inlineStr">
        <is>
          <t>Chi tiêu</t>
        </is>
      </c>
      <c r="W116" s="21" t="inlineStr">
        <is>
          <t>Cashback</t>
        </is>
      </c>
    </row>
    <row r="117">
      <c r="A117" s="81" t="str">
        <f>IF($Q117="","",110)</f>
        <v/>
      </c>
      <c r="B117" s="57" t="str">
        <f>IF($Q117="","",INDEX(TRANSACTIONS_MASTER!$B$5:$B$1204,$Q117))</f>
        <v/>
      </c>
      <c r="C117" s="55" t="str">
        <f>IF($Q117="","",INDEX(TRANSACTIONS_MASTER!$F$5:$F$1204,$Q117))</f>
        <v/>
      </c>
      <c r="D117" s="55" t="str">
        <f>IF($Q117="","",INDEX(TRANSACTIONS_MASTER!$E$5:$E$1204,$Q117))</f>
        <v/>
      </c>
      <c r="E117" s="55" t="str">
        <f>IF($Q117="","",INDEX(TRANSACTIONS_MASTER!$G$5:$G$1204,$Q117)&amp;"")</f>
        <v/>
      </c>
      <c r="F117" s="29" t="str">
        <f>IF($Q117="","",INDEX(TRANSACTIONS_MASTER!$I$5:$I$1204,$Q117))</f>
        <v/>
      </c>
      <c r="G117" s="55" t="str">
        <f>IF($Q117="","",INDEX(TRANSACTIONS_MASTER!$K$5:$K$1204,$Q117))</f>
        <v/>
      </c>
      <c r="H117" s="25" t="str">
        <f>IF($Q117="","",INDEX(TRANSACTIONS_MASTER!$L$5:$L$1204,$Q117))</f>
        <v/>
      </c>
      <c r="I117" s="56" t="str">
        <f>IF($Q117="","",INDEX(TRANSACTIONS_MASTER!$N$5:$N$1204,$Q117))</f>
        <v/>
      </c>
      <c r="J117" s="25" t="str">
        <f>IF($Q117="","",INDEX(TRANSACTIONS_MASTER!$O$5:$O$1204,$Q117))</f>
        <v/>
      </c>
      <c r="K117" s="26" t="str">
        <f>IF($Q117="","",INDEX(TRANSACTIONS_MASTER!$Q$5:$Q$1204,$Q117))</f>
        <v/>
      </c>
      <c r="L117" s="25" t="str">
        <f>IF($Q117="","",INDEX(TRANSACTIONS_MASTER!$P$5:$P$1204,$Q117))</f>
        <v/>
      </c>
      <c r="M117" s="25" t="str">
        <f>IF($Q117="","",INDEX(TRANSACTIONS_MASTER!$AA$5:$AA$1204,$Q117))</f>
        <v/>
      </c>
      <c r="N117" s="25" t="str">
        <f>IF($Q117="","",INDEX(TRANSACTIONS_MASTER!$R$5:$R$1204,$Q117))</f>
        <v/>
      </c>
      <c r="O117" s="28" t="str">
        <f>IF($Q117="","",INDEX(TRANSACTIONS_MASTER!$AB$5:$AB$1204,$Q117))</f>
        <v/>
      </c>
      <c r="P117" s="55" t="str">
        <f>IF($Q117="","",INDEX(TRANSACTIONS_MASTER!$Z$5:$Z$1204,$Q117)&amp;"")</f>
        <v/>
      </c>
      <c r="Q117" s="67" t="str">
        <f>IFERROR(MATCH($C$2&amp;"|"&amp;110,TRANSACTIONS_MASTER!$AE$5:$AE$1204,0),"")</f>
        <v/>
      </c>
      <c r="S117" s="67" t="str">
        <f>IFERROR(MATCH(1,INDEX((TRANSACTIONS_MASTER!$C$5:$C$1204=$C$2)*(TRANSACTIONS_MASTER!$AL$5:$AL$1204=1),0),0),"")</f>
        <v/>
      </c>
      <c r="T117" s="55" t="n"/>
      <c r="U117" s="55" t="str">
        <f>IF($S117="","",INDEX(TRANSACTIONS_MASTER!$K$5:$K$1204,$S117))</f>
        <v/>
      </c>
      <c r="V117" s="25" t="str">
        <f>IF($S117="","",SUMIFS(TRANSACTIONS_MASTER!$L$5:$L$1204,TRANSACTIONS_MASTER!$K$5:$K$1204,$U117,TRANSACTIONS_MASTER!$C$5:$C$1204,$C$2,TRANSACTIONS_MASTER!$U$5:$U$1204,"&lt;&gt;Cancelled"))</f>
        <v/>
      </c>
      <c r="W117" s="26" t="str">
        <f>IF($S117="","",SUMIFS(TRANSACTIONS_MASTER!$Q$5:$Q$1204,TRANSACTIONS_MASTER!$K$5:$K$1204,$U117,TRANSACTIONS_MASTER!$C$5:$C$1204,$C$2))</f>
        <v/>
      </c>
    </row>
    <row r="118">
      <c r="A118" s="81" t="str">
        <f>IF($Q118="","",111)</f>
        <v/>
      </c>
      <c r="B118" s="57" t="str">
        <f>IF($Q118="","",INDEX(TRANSACTIONS_MASTER!$B$5:$B$1204,$Q118))</f>
        <v/>
      </c>
      <c r="C118" s="55" t="str">
        <f>IF($Q118="","",INDEX(TRANSACTIONS_MASTER!$F$5:$F$1204,$Q118))</f>
        <v/>
      </c>
      <c r="D118" s="55" t="str">
        <f>IF($Q118="","",INDEX(TRANSACTIONS_MASTER!$E$5:$E$1204,$Q118))</f>
        <v/>
      </c>
      <c r="E118" s="55" t="str">
        <f>IF($Q118="","",INDEX(TRANSACTIONS_MASTER!$G$5:$G$1204,$Q118)&amp;"")</f>
        <v/>
      </c>
      <c r="F118" s="29" t="str">
        <f>IF($Q118="","",INDEX(TRANSACTIONS_MASTER!$I$5:$I$1204,$Q118))</f>
        <v/>
      </c>
      <c r="G118" s="55" t="str">
        <f>IF($Q118="","",INDEX(TRANSACTIONS_MASTER!$K$5:$K$1204,$Q118))</f>
        <v/>
      </c>
      <c r="H118" s="25" t="str">
        <f>IF($Q118="","",INDEX(TRANSACTIONS_MASTER!$L$5:$L$1204,$Q118))</f>
        <v/>
      </c>
      <c r="I118" s="56" t="str">
        <f>IF($Q118="","",INDEX(TRANSACTIONS_MASTER!$N$5:$N$1204,$Q118))</f>
        <v/>
      </c>
      <c r="J118" s="25" t="str">
        <f>IF($Q118="","",INDEX(TRANSACTIONS_MASTER!$O$5:$O$1204,$Q118))</f>
        <v/>
      </c>
      <c r="K118" s="26" t="str">
        <f>IF($Q118="","",INDEX(TRANSACTIONS_MASTER!$Q$5:$Q$1204,$Q118))</f>
        <v/>
      </c>
      <c r="L118" s="25" t="str">
        <f>IF($Q118="","",INDEX(TRANSACTIONS_MASTER!$P$5:$P$1204,$Q118))</f>
        <v/>
      </c>
      <c r="M118" s="25" t="str">
        <f>IF($Q118="","",INDEX(TRANSACTIONS_MASTER!$AA$5:$AA$1204,$Q118))</f>
        <v/>
      </c>
      <c r="N118" s="25" t="str">
        <f>IF($Q118="","",INDEX(TRANSACTIONS_MASTER!$R$5:$R$1204,$Q118))</f>
        <v/>
      </c>
      <c r="O118" s="28" t="str">
        <f>IF($Q118="","",INDEX(TRANSACTIONS_MASTER!$AB$5:$AB$1204,$Q118))</f>
        <v/>
      </c>
      <c r="P118" s="55" t="str">
        <f>IF($Q118="","",INDEX(TRANSACTIONS_MASTER!$Z$5:$Z$1204,$Q118)&amp;"")</f>
        <v/>
      </c>
      <c r="Q118" s="67" t="str">
        <f>IFERROR(MATCH($C$2&amp;"|"&amp;111,TRANSACTIONS_MASTER!$AE$5:$AE$1204,0),"")</f>
        <v/>
      </c>
      <c r="S118" s="67" t="str">
        <f>IFERROR(MATCH(1,INDEX((TRANSACTIONS_MASTER!$C$5:$C$1204=$C$2)*(TRANSACTIONS_MASTER!$AL$5:$AL$1204=2),0),0),"")</f>
        <v/>
      </c>
      <c r="T118" s="55" t="n"/>
      <c r="U118" s="55" t="str">
        <f>IF($S118="","",INDEX(TRANSACTIONS_MASTER!$K$5:$K$1204,$S118))</f>
        <v/>
      </c>
      <c r="V118" s="25" t="str">
        <f>IF($S118="","",SUMIFS(TRANSACTIONS_MASTER!$L$5:$L$1204,TRANSACTIONS_MASTER!$K$5:$K$1204,$U118,TRANSACTIONS_MASTER!$C$5:$C$1204,$C$2,TRANSACTIONS_MASTER!$U$5:$U$1204,"&lt;&gt;Cancelled"))</f>
        <v/>
      </c>
      <c r="W118" s="26" t="str">
        <f>IF($S118="","",SUMIFS(TRANSACTIONS_MASTER!$Q$5:$Q$1204,TRANSACTIONS_MASTER!$K$5:$K$1204,$U118,TRANSACTIONS_MASTER!$C$5:$C$1204,$C$2))</f>
        <v/>
      </c>
    </row>
    <row r="119">
      <c r="A119" s="81" t="str">
        <f>IF($Q119="","",112)</f>
        <v/>
      </c>
      <c r="B119" s="57" t="str">
        <f>IF($Q119="","",INDEX(TRANSACTIONS_MASTER!$B$5:$B$1204,$Q119))</f>
        <v/>
      </c>
      <c r="C119" s="55" t="str">
        <f>IF($Q119="","",INDEX(TRANSACTIONS_MASTER!$F$5:$F$1204,$Q119))</f>
        <v/>
      </c>
      <c r="D119" s="55" t="str">
        <f>IF($Q119="","",INDEX(TRANSACTIONS_MASTER!$E$5:$E$1204,$Q119))</f>
        <v/>
      </c>
      <c r="E119" s="55" t="str">
        <f>IF($Q119="","",INDEX(TRANSACTIONS_MASTER!$G$5:$G$1204,$Q119)&amp;"")</f>
        <v/>
      </c>
      <c r="F119" s="29" t="str">
        <f>IF($Q119="","",INDEX(TRANSACTIONS_MASTER!$I$5:$I$1204,$Q119))</f>
        <v/>
      </c>
      <c r="G119" s="55" t="str">
        <f>IF($Q119="","",INDEX(TRANSACTIONS_MASTER!$K$5:$K$1204,$Q119))</f>
        <v/>
      </c>
      <c r="H119" s="25" t="str">
        <f>IF($Q119="","",INDEX(TRANSACTIONS_MASTER!$L$5:$L$1204,$Q119))</f>
        <v/>
      </c>
      <c r="I119" s="56" t="str">
        <f>IF($Q119="","",INDEX(TRANSACTIONS_MASTER!$N$5:$N$1204,$Q119))</f>
        <v/>
      </c>
      <c r="J119" s="25" t="str">
        <f>IF($Q119="","",INDEX(TRANSACTIONS_MASTER!$O$5:$O$1204,$Q119))</f>
        <v/>
      </c>
      <c r="K119" s="26" t="str">
        <f>IF($Q119="","",INDEX(TRANSACTIONS_MASTER!$Q$5:$Q$1204,$Q119))</f>
        <v/>
      </c>
      <c r="L119" s="25" t="str">
        <f>IF($Q119="","",INDEX(TRANSACTIONS_MASTER!$P$5:$P$1204,$Q119))</f>
        <v/>
      </c>
      <c r="M119" s="25" t="str">
        <f>IF($Q119="","",INDEX(TRANSACTIONS_MASTER!$AA$5:$AA$1204,$Q119))</f>
        <v/>
      </c>
      <c r="N119" s="25" t="str">
        <f>IF($Q119="","",INDEX(TRANSACTIONS_MASTER!$R$5:$R$1204,$Q119))</f>
        <v/>
      </c>
      <c r="O119" s="28" t="str">
        <f>IF($Q119="","",INDEX(TRANSACTIONS_MASTER!$AB$5:$AB$1204,$Q119))</f>
        <v/>
      </c>
      <c r="P119" s="55" t="str">
        <f>IF($Q119="","",INDEX(TRANSACTIONS_MASTER!$Z$5:$Z$1204,$Q119)&amp;"")</f>
        <v/>
      </c>
      <c r="Q119" s="67" t="str">
        <f>IFERROR(MATCH($C$2&amp;"|"&amp;112,TRANSACTIONS_MASTER!$AE$5:$AE$1204,0),"")</f>
        <v/>
      </c>
      <c r="S119" s="67" t="str">
        <f>IFERROR(MATCH(1,INDEX((TRANSACTIONS_MASTER!$C$5:$C$1204=$C$2)*(TRANSACTIONS_MASTER!$AL$5:$AL$1204=3),0),0),"")</f>
        <v/>
      </c>
      <c r="T119" s="55" t="n"/>
      <c r="U119" s="55" t="str">
        <f>IF($S119="","",INDEX(TRANSACTIONS_MASTER!$K$5:$K$1204,$S119))</f>
        <v/>
      </c>
      <c r="V119" s="25" t="str">
        <f>IF($S119="","",SUMIFS(TRANSACTIONS_MASTER!$L$5:$L$1204,TRANSACTIONS_MASTER!$K$5:$K$1204,$U119,TRANSACTIONS_MASTER!$C$5:$C$1204,$C$2,TRANSACTIONS_MASTER!$U$5:$U$1204,"&lt;&gt;Cancelled"))</f>
        <v/>
      </c>
      <c r="W119" s="26" t="str">
        <f>IF($S119="","",SUMIFS(TRANSACTIONS_MASTER!$Q$5:$Q$1204,TRANSACTIONS_MASTER!$K$5:$K$1204,$U119,TRANSACTIONS_MASTER!$C$5:$C$1204,$C$2))</f>
        <v/>
      </c>
    </row>
    <row r="120">
      <c r="A120" s="81" t="str">
        <f>IF($Q120="","",113)</f>
        <v/>
      </c>
      <c r="B120" s="57" t="str">
        <f>IF($Q120="","",INDEX(TRANSACTIONS_MASTER!$B$5:$B$1204,$Q120))</f>
        <v/>
      </c>
      <c r="C120" s="55" t="str">
        <f>IF($Q120="","",INDEX(TRANSACTIONS_MASTER!$F$5:$F$1204,$Q120))</f>
        <v/>
      </c>
      <c r="D120" s="55" t="str">
        <f>IF($Q120="","",INDEX(TRANSACTIONS_MASTER!$E$5:$E$1204,$Q120))</f>
        <v/>
      </c>
      <c r="E120" s="55" t="str">
        <f>IF($Q120="","",INDEX(TRANSACTIONS_MASTER!$G$5:$G$1204,$Q120)&amp;"")</f>
        <v/>
      </c>
      <c r="F120" s="29" t="str">
        <f>IF($Q120="","",INDEX(TRANSACTIONS_MASTER!$I$5:$I$1204,$Q120))</f>
        <v/>
      </c>
      <c r="G120" s="55" t="str">
        <f>IF($Q120="","",INDEX(TRANSACTIONS_MASTER!$K$5:$K$1204,$Q120))</f>
        <v/>
      </c>
      <c r="H120" s="25" t="str">
        <f>IF($Q120="","",INDEX(TRANSACTIONS_MASTER!$L$5:$L$1204,$Q120))</f>
        <v/>
      </c>
      <c r="I120" s="56" t="str">
        <f>IF($Q120="","",INDEX(TRANSACTIONS_MASTER!$N$5:$N$1204,$Q120))</f>
        <v/>
      </c>
      <c r="J120" s="25" t="str">
        <f>IF($Q120="","",INDEX(TRANSACTIONS_MASTER!$O$5:$O$1204,$Q120))</f>
        <v/>
      </c>
      <c r="K120" s="26" t="str">
        <f>IF($Q120="","",INDEX(TRANSACTIONS_MASTER!$Q$5:$Q$1204,$Q120))</f>
        <v/>
      </c>
      <c r="L120" s="25" t="str">
        <f>IF($Q120="","",INDEX(TRANSACTIONS_MASTER!$P$5:$P$1204,$Q120))</f>
        <v/>
      </c>
      <c r="M120" s="25" t="str">
        <f>IF($Q120="","",INDEX(TRANSACTIONS_MASTER!$AA$5:$AA$1204,$Q120))</f>
        <v/>
      </c>
      <c r="N120" s="25" t="str">
        <f>IF($Q120="","",INDEX(TRANSACTIONS_MASTER!$R$5:$R$1204,$Q120))</f>
        <v/>
      </c>
      <c r="O120" s="28" t="str">
        <f>IF($Q120="","",INDEX(TRANSACTIONS_MASTER!$AB$5:$AB$1204,$Q120))</f>
        <v/>
      </c>
      <c r="P120" s="55" t="str">
        <f>IF($Q120="","",INDEX(TRANSACTIONS_MASTER!$Z$5:$Z$1204,$Q120)&amp;"")</f>
        <v/>
      </c>
      <c r="Q120" s="67" t="str">
        <f>IFERROR(MATCH($C$2&amp;"|"&amp;113,TRANSACTIONS_MASTER!$AE$5:$AE$1204,0),"")</f>
        <v/>
      </c>
      <c r="S120" s="67" t="str">
        <f>IFERROR(MATCH(1,INDEX((TRANSACTIONS_MASTER!$C$5:$C$1204=$C$2)*(TRANSACTIONS_MASTER!$AL$5:$AL$1204=4),0),0),"")</f>
        <v/>
      </c>
      <c r="T120" s="55" t="n"/>
      <c r="U120" s="55" t="str">
        <f>IF($S120="","",INDEX(TRANSACTIONS_MASTER!$K$5:$K$1204,$S120))</f>
        <v/>
      </c>
      <c r="V120" s="25" t="str">
        <f>IF($S120="","",SUMIFS(TRANSACTIONS_MASTER!$L$5:$L$1204,TRANSACTIONS_MASTER!$K$5:$K$1204,$U120,TRANSACTIONS_MASTER!$C$5:$C$1204,$C$2,TRANSACTIONS_MASTER!$U$5:$U$1204,"&lt;&gt;Cancelled"))</f>
        <v/>
      </c>
      <c r="W120" s="26" t="str">
        <f>IF($S120="","",SUMIFS(TRANSACTIONS_MASTER!$Q$5:$Q$1204,TRANSACTIONS_MASTER!$K$5:$K$1204,$U120,TRANSACTIONS_MASTER!$C$5:$C$1204,$C$2))</f>
        <v/>
      </c>
    </row>
    <row r="121">
      <c r="A121" s="81" t="str">
        <f>IF($Q121="","",114)</f>
        <v/>
      </c>
      <c r="B121" s="57" t="str">
        <f>IF($Q121="","",INDEX(TRANSACTIONS_MASTER!$B$5:$B$1204,$Q121))</f>
        <v/>
      </c>
      <c r="C121" s="55" t="str">
        <f>IF($Q121="","",INDEX(TRANSACTIONS_MASTER!$F$5:$F$1204,$Q121))</f>
        <v/>
      </c>
      <c r="D121" s="55" t="str">
        <f>IF($Q121="","",INDEX(TRANSACTIONS_MASTER!$E$5:$E$1204,$Q121))</f>
        <v/>
      </c>
      <c r="E121" s="55" t="str">
        <f>IF($Q121="","",INDEX(TRANSACTIONS_MASTER!$G$5:$G$1204,$Q121)&amp;"")</f>
        <v/>
      </c>
      <c r="F121" s="29" t="str">
        <f>IF($Q121="","",INDEX(TRANSACTIONS_MASTER!$I$5:$I$1204,$Q121))</f>
        <v/>
      </c>
      <c r="G121" s="55" t="str">
        <f>IF($Q121="","",INDEX(TRANSACTIONS_MASTER!$K$5:$K$1204,$Q121))</f>
        <v/>
      </c>
      <c r="H121" s="25" t="str">
        <f>IF($Q121="","",INDEX(TRANSACTIONS_MASTER!$L$5:$L$1204,$Q121))</f>
        <v/>
      </c>
      <c r="I121" s="56" t="str">
        <f>IF($Q121="","",INDEX(TRANSACTIONS_MASTER!$N$5:$N$1204,$Q121))</f>
        <v/>
      </c>
      <c r="J121" s="25" t="str">
        <f>IF($Q121="","",INDEX(TRANSACTIONS_MASTER!$O$5:$O$1204,$Q121))</f>
        <v/>
      </c>
      <c r="K121" s="26" t="str">
        <f>IF($Q121="","",INDEX(TRANSACTIONS_MASTER!$Q$5:$Q$1204,$Q121))</f>
        <v/>
      </c>
      <c r="L121" s="25" t="str">
        <f>IF($Q121="","",INDEX(TRANSACTIONS_MASTER!$P$5:$P$1204,$Q121))</f>
        <v/>
      </c>
      <c r="M121" s="25" t="str">
        <f>IF($Q121="","",INDEX(TRANSACTIONS_MASTER!$AA$5:$AA$1204,$Q121))</f>
        <v/>
      </c>
      <c r="N121" s="25" t="str">
        <f>IF($Q121="","",INDEX(TRANSACTIONS_MASTER!$R$5:$R$1204,$Q121))</f>
        <v/>
      </c>
      <c r="O121" s="28" t="str">
        <f>IF($Q121="","",INDEX(TRANSACTIONS_MASTER!$AB$5:$AB$1204,$Q121))</f>
        <v/>
      </c>
      <c r="P121" s="55" t="str">
        <f>IF($Q121="","",INDEX(TRANSACTIONS_MASTER!$Z$5:$Z$1204,$Q121)&amp;"")</f>
        <v/>
      </c>
      <c r="Q121" s="67" t="str">
        <f>IFERROR(MATCH($C$2&amp;"|"&amp;114,TRANSACTIONS_MASTER!$AE$5:$AE$1204,0),"")</f>
        <v/>
      </c>
      <c r="S121" s="67" t="str">
        <f>IFERROR(MATCH(1,INDEX((TRANSACTIONS_MASTER!$C$5:$C$1204=$C$2)*(TRANSACTIONS_MASTER!$AL$5:$AL$1204=5),0),0),"")</f>
        <v/>
      </c>
      <c r="T121" s="55" t="n"/>
      <c r="U121" s="55" t="str">
        <f>IF($S121="","",INDEX(TRANSACTIONS_MASTER!$K$5:$K$1204,$S121))</f>
        <v/>
      </c>
      <c r="V121" s="25" t="str">
        <f>IF($S121="","",SUMIFS(TRANSACTIONS_MASTER!$L$5:$L$1204,TRANSACTIONS_MASTER!$K$5:$K$1204,$U121,TRANSACTIONS_MASTER!$C$5:$C$1204,$C$2,TRANSACTIONS_MASTER!$U$5:$U$1204,"&lt;&gt;Cancelled"))</f>
        <v/>
      </c>
      <c r="W121" s="26" t="str">
        <f>IF($S121="","",SUMIFS(TRANSACTIONS_MASTER!$Q$5:$Q$1204,TRANSACTIONS_MASTER!$K$5:$K$1204,$U121,TRANSACTIONS_MASTER!$C$5:$C$1204,$C$2))</f>
        <v/>
      </c>
    </row>
    <row r="122">
      <c r="A122" s="81" t="str">
        <f>IF($Q122="","",115)</f>
        <v/>
      </c>
      <c r="B122" s="57" t="str">
        <f>IF($Q122="","",INDEX(TRANSACTIONS_MASTER!$B$5:$B$1204,$Q122))</f>
        <v/>
      </c>
      <c r="C122" s="55" t="str">
        <f>IF($Q122="","",INDEX(TRANSACTIONS_MASTER!$F$5:$F$1204,$Q122))</f>
        <v/>
      </c>
      <c r="D122" s="55" t="str">
        <f>IF($Q122="","",INDEX(TRANSACTIONS_MASTER!$E$5:$E$1204,$Q122))</f>
        <v/>
      </c>
      <c r="E122" s="55" t="str">
        <f>IF($Q122="","",INDEX(TRANSACTIONS_MASTER!$G$5:$G$1204,$Q122)&amp;"")</f>
        <v/>
      </c>
      <c r="F122" s="29" t="str">
        <f>IF($Q122="","",INDEX(TRANSACTIONS_MASTER!$I$5:$I$1204,$Q122))</f>
        <v/>
      </c>
      <c r="G122" s="55" t="str">
        <f>IF($Q122="","",INDEX(TRANSACTIONS_MASTER!$K$5:$K$1204,$Q122))</f>
        <v/>
      </c>
      <c r="H122" s="25" t="str">
        <f>IF($Q122="","",INDEX(TRANSACTIONS_MASTER!$L$5:$L$1204,$Q122))</f>
        <v/>
      </c>
      <c r="I122" s="56" t="str">
        <f>IF($Q122="","",INDEX(TRANSACTIONS_MASTER!$N$5:$N$1204,$Q122))</f>
        <v/>
      </c>
      <c r="J122" s="25" t="str">
        <f>IF($Q122="","",INDEX(TRANSACTIONS_MASTER!$O$5:$O$1204,$Q122))</f>
        <v/>
      </c>
      <c r="K122" s="26" t="str">
        <f>IF($Q122="","",INDEX(TRANSACTIONS_MASTER!$Q$5:$Q$1204,$Q122))</f>
        <v/>
      </c>
      <c r="L122" s="25" t="str">
        <f>IF($Q122="","",INDEX(TRANSACTIONS_MASTER!$P$5:$P$1204,$Q122))</f>
        <v/>
      </c>
      <c r="M122" s="25" t="str">
        <f>IF($Q122="","",INDEX(TRANSACTIONS_MASTER!$AA$5:$AA$1204,$Q122))</f>
        <v/>
      </c>
      <c r="N122" s="25" t="str">
        <f>IF($Q122="","",INDEX(TRANSACTIONS_MASTER!$R$5:$R$1204,$Q122))</f>
        <v/>
      </c>
      <c r="O122" s="28" t="str">
        <f>IF($Q122="","",INDEX(TRANSACTIONS_MASTER!$AB$5:$AB$1204,$Q122))</f>
        <v/>
      </c>
      <c r="P122" s="55" t="str">
        <f>IF($Q122="","",INDEX(TRANSACTIONS_MASTER!$Z$5:$Z$1204,$Q122)&amp;"")</f>
        <v/>
      </c>
      <c r="Q122" s="67" t="str">
        <f>IFERROR(MATCH($C$2&amp;"|"&amp;115,TRANSACTIONS_MASTER!$AE$5:$AE$1204,0),"")</f>
        <v/>
      </c>
      <c r="S122" s="67" t="str">
        <f>IFERROR(MATCH(1,INDEX((TRANSACTIONS_MASTER!$C$5:$C$1204=$C$2)*(TRANSACTIONS_MASTER!$AL$5:$AL$1204=6),0),0),"")</f>
        <v/>
      </c>
      <c r="T122" s="55" t="n"/>
      <c r="U122" s="55" t="str">
        <f>IF($S122="","",INDEX(TRANSACTIONS_MASTER!$K$5:$K$1204,$S122))</f>
        <v/>
      </c>
      <c r="V122" s="25" t="str">
        <f>IF($S122="","",SUMIFS(TRANSACTIONS_MASTER!$L$5:$L$1204,TRANSACTIONS_MASTER!$K$5:$K$1204,$U122,TRANSACTIONS_MASTER!$C$5:$C$1204,$C$2,TRANSACTIONS_MASTER!$U$5:$U$1204,"&lt;&gt;Cancelled"))</f>
        <v/>
      </c>
      <c r="W122" s="26" t="str">
        <f>IF($S122="","",SUMIFS(TRANSACTIONS_MASTER!$Q$5:$Q$1204,TRANSACTIONS_MASTER!$K$5:$K$1204,$U122,TRANSACTIONS_MASTER!$C$5:$C$1204,$C$2))</f>
        <v/>
      </c>
    </row>
    <row r="123">
      <c r="A123" s="81" t="str">
        <f>IF($Q123="","",116)</f>
        <v/>
      </c>
      <c r="B123" s="57" t="str">
        <f>IF($Q123="","",INDEX(TRANSACTIONS_MASTER!$B$5:$B$1204,$Q123))</f>
        <v/>
      </c>
      <c r="C123" s="55" t="str">
        <f>IF($Q123="","",INDEX(TRANSACTIONS_MASTER!$F$5:$F$1204,$Q123))</f>
        <v/>
      </c>
      <c r="D123" s="55" t="str">
        <f>IF($Q123="","",INDEX(TRANSACTIONS_MASTER!$E$5:$E$1204,$Q123))</f>
        <v/>
      </c>
      <c r="E123" s="55" t="str">
        <f>IF($Q123="","",INDEX(TRANSACTIONS_MASTER!$G$5:$G$1204,$Q123)&amp;"")</f>
        <v/>
      </c>
      <c r="F123" s="29" t="str">
        <f>IF($Q123="","",INDEX(TRANSACTIONS_MASTER!$I$5:$I$1204,$Q123))</f>
        <v/>
      </c>
      <c r="G123" s="55" t="str">
        <f>IF($Q123="","",INDEX(TRANSACTIONS_MASTER!$K$5:$K$1204,$Q123))</f>
        <v/>
      </c>
      <c r="H123" s="25" t="str">
        <f>IF($Q123="","",INDEX(TRANSACTIONS_MASTER!$L$5:$L$1204,$Q123))</f>
        <v/>
      </c>
      <c r="I123" s="56" t="str">
        <f>IF($Q123="","",INDEX(TRANSACTIONS_MASTER!$N$5:$N$1204,$Q123))</f>
        <v/>
      </c>
      <c r="J123" s="25" t="str">
        <f>IF($Q123="","",INDEX(TRANSACTIONS_MASTER!$O$5:$O$1204,$Q123))</f>
        <v/>
      </c>
      <c r="K123" s="26" t="str">
        <f>IF($Q123="","",INDEX(TRANSACTIONS_MASTER!$Q$5:$Q$1204,$Q123))</f>
        <v/>
      </c>
      <c r="L123" s="25" t="str">
        <f>IF($Q123="","",INDEX(TRANSACTIONS_MASTER!$P$5:$P$1204,$Q123))</f>
        <v/>
      </c>
      <c r="M123" s="25" t="str">
        <f>IF($Q123="","",INDEX(TRANSACTIONS_MASTER!$AA$5:$AA$1204,$Q123))</f>
        <v/>
      </c>
      <c r="N123" s="25" t="str">
        <f>IF($Q123="","",INDEX(TRANSACTIONS_MASTER!$R$5:$R$1204,$Q123))</f>
        <v/>
      </c>
      <c r="O123" s="28" t="str">
        <f>IF($Q123="","",INDEX(TRANSACTIONS_MASTER!$AB$5:$AB$1204,$Q123))</f>
        <v/>
      </c>
      <c r="P123" s="55" t="str">
        <f>IF($Q123="","",INDEX(TRANSACTIONS_MASTER!$Z$5:$Z$1204,$Q123)&amp;"")</f>
        <v/>
      </c>
      <c r="Q123" s="67" t="str">
        <f>IFERROR(MATCH($C$2&amp;"|"&amp;116,TRANSACTIONS_MASTER!$AE$5:$AE$1204,0),"")</f>
        <v/>
      </c>
      <c r="S123" s="67" t="str">
        <f>IFERROR(MATCH(1,INDEX((TRANSACTIONS_MASTER!$C$5:$C$1204=$C$2)*(TRANSACTIONS_MASTER!$AL$5:$AL$1204=7),0),0),"")</f>
        <v/>
      </c>
      <c r="T123" s="55" t="n"/>
      <c r="U123" s="55" t="str">
        <f>IF($S123="","",INDEX(TRANSACTIONS_MASTER!$K$5:$K$1204,$S123))</f>
        <v/>
      </c>
      <c r="V123" s="25" t="str">
        <f>IF($S123="","",SUMIFS(TRANSACTIONS_MASTER!$L$5:$L$1204,TRANSACTIONS_MASTER!$K$5:$K$1204,$U123,TRANSACTIONS_MASTER!$C$5:$C$1204,$C$2,TRANSACTIONS_MASTER!$U$5:$U$1204,"&lt;&gt;Cancelled"))</f>
        <v/>
      </c>
      <c r="W123" s="26" t="str">
        <f>IF($S123="","",SUMIFS(TRANSACTIONS_MASTER!$Q$5:$Q$1204,TRANSACTIONS_MASTER!$K$5:$K$1204,$U123,TRANSACTIONS_MASTER!$C$5:$C$1204,$C$2))</f>
        <v/>
      </c>
    </row>
    <row r="124">
      <c r="A124" s="81" t="str">
        <f>IF($Q124="","",117)</f>
        <v/>
      </c>
      <c r="B124" s="57" t="str">
        <f>IF($Q124="","",INDEX(TRANSACTIONS_MASTER!$B$5:$B$1204,$Q124))</f>
        <v/>
      </c>
      <c r="C124" s="55" t="str">
        <f>IF($Q124="","",INDEX(TRANSACTIONS_MASTER!$F$5:$F$1204,$Q124))</f>
        <v/>
      </c>
      <c r="D124" s="55" t="str">
        <f>IF($Q124="","",INDEX(TRANSACTIONS_MASTER!$E$5:$E$1204,$Q124))</f>
        <v/>
      </c>
      <c r="E124" s="55" t="str">
        <f>IF($Q124="","",INDEX(TRANSACTIONS_MASTER!$G$5:$G$1204,$Q124)&amp;"")</f>
        <v/>
      </c>
      <c r="F124" s="29" t="str">
        <f>IF($Q124="","",INDEX(TRANSACTIONS_MASTER!$I$5:$I$1204,$Q124))</f>
        <v/>
      </c>
      <c r="G124" s="55" t="str">
        <f>IF($Q124="","",INDEX(TRANSACTIONS_MASTER!$K$5:$K$1204,$Q124))</f>
        <v/>
      </c>
      <c r="H124" s="25" t="str">
        <f>IF($Q124="","",INDEX(TRANSACTIONS_MASTER!$L$5:$L$1204,$Q124))</f>
        <v/>
      </c>
      <c r="I124" s="56" t="str">
        <f>IF($Q124="","",INDEX(TRANSACTIONS_MASTER!$N$5:$N$1204,$Q124))</f>
        <v/>
      </c>
      <c r="J124" s="25" t="str">
        <f>IF($Q124="","",INDEX(TRANSACTIONS_MASTER!$O$5:$O$1204,$Q124))</f>
        <v/>
      </c>
      <c r="K124" s="26" t="str">
        <f>IF($Q124="","",INDEX(TRANSACTIONS_MASTER!$Q$5:$Q$1204,$Q124))</f>
        <v/>
      </c>
      <c r="L124" s="25" t="str">
        <f>IF($Q124="","",INDEX(TRANSACTIONS_MASTER!$P$5:$P$1204,$Q124))</f>
        <v/>
      </c>
      <c r="M124" s="25" t="str">
        <f>IF($Q124="","",INDEX(TRANSACTIONS_MASTER!$AA$5:$AA$1204,$Q124))</f>
        <v/>
      </c>
      <c r="N124" s="25" t="str">
        <f>IF($Q124="","",INDEX(TRANSACTIONS_MASTER!$R$5:$R$1204,$Q124))</f>
        <v/>
      </c>
      <c r="O124" s="28" t="str">
        <f>IF($Q124="","",INDEX(TRANSACTIONS_MASTER!$AB$5:$AB$1204,$Q124))</f>
        <v/>
      </c>
      <c r="P124" s="55" t="str">
        <f>IF($Q124="","",INDEX(TRANSACTIONS_MASTER!$Z$5:$Z$1204,$Q124)&amp;"")</f>
        <v/>
      </c>
      <c r="Q124" s="67" t="str">
        <f>IFERROR(MATCH($C$2&amp;"|"&amp;117,TRANSACTIONS_MASTER!$AE$5:$AE$1204,0),"")</f>
        <v/>
      </c>
      <c r="S124" s="67" t="str">
        <f>IFERROR(MATCH(1,INDEX((TRANSACTIONS_MASTER!$C$5:$C$1204=$C$2)*(TRANSACTIONS_MASTER!$AL$5:$AL$1204=8),0),0),"")</f>
        <v/>
      </c>
      <c r="T124" s="55" t="n"/>
      <c r="U124" s="55" t="str">
        <f>IF($S124="","",INDEX(TRANSACTIONS_MASTER!$K$5:$K$1204,$S124))</f>
        <v/>
      </c>
      <c r="V124" s="25" t="str">
        <f>IF($S124="","",SUMIFS(TRANSACTIONS_MASTER!$L$5:$L$1204,TRANSACTIONS_MASTER!$K$5:$K$1204,$U124,TRANSACTIONS_MASTER!$C$5:$C$1204,$C$2,TRANSACTIONS_MASTER!$U$5:$U$1204,"&lt;&gt;Cancelled"))</f>
        <v/>
      </c>
      <c r="W124" s="26" t="str">
        <f>IF($S124="","",SUMIFS(TRANSACTIONS_MASTER!$Q$5:$Q$1204,TRANSACTIONS_MASTER!$K$5:$K$1204,$U124,TRANSACTIONS_MASTER!$C$5:$C$1204,$C$2))</f>
        <v/>
      </c>
    </row>
    <row r="125">
      <c r="A125" s="81" t="str">
        <f>IF($Q125="","",118)</f>
        <v/>
      </c>
      <c r="B125" s="57" t="str">
        <f>IF($Q125="","",INDEX(TRANSACTIONS_MASTER!$B$5:$B$1204,$Q125))</f>
        <v/>
      </c>
      <c r="C125" s="55" t="str">
        <f>IF($Q125="","",INDEX(TRANSACTIONS_MASTER!$F$5:$F$1204,$Q125))</f>
        <v/>
      </c>
      <c r="D125" s="55" t="str">
        <f>IF($Q125="","",INDEX(TRANSACTIONS_MASTER!$E$5:$E$1204,$Q125))</f>
        <v/>
      </c>
      <c r="E125" s="55" t="str">
        <f>IF($Q125="","",INDEX(TRANSACTIONS_MASTER!$G$5:$G$1204,$Q125)&amp;"")</f>
        <v/>
      </c>
      <c r="F125" s="29" t="str">
        <f>IF($Q125="","",INDEX(TRANSACTIONS_MASTER!$I$5:$I$1204,$Q125))</f>
        <v/>
      </c>
      <c r="G125" s="55" t="str">
        <f>IF($Q125="","",INDEX(TRANSACTIONS_MASTER!$K$5:$K$1204,$Q125))</f>
        <v/>
      </c>
      <c r="H125" s="25" t="str">
        <f>IF($Q125="","",INDEX(TRANSACTIONS_MASTER!$L$5:$L$1204,$Q125))</f>
        <v/>
      </c>
      <c r="I125" s="56" t="str">
        <f>IF($Q125="","",INDEX(TRANSACTIONS_MASTER!$N$5:$N$1204,$Q125))</f>
        <v/>
      </c>
      <c r="J125" s="25" t="str">
        <f>IF($Q125="","",INDEX(TRANSACTIONS_MASTER!$O$5:$O$1204,$Q125))</f>
        <v/>
      </c>
      <c r="K125" s="26" t="str">
        <f>IF($Q125="","",INDEX(TRANSACTIONS_MASTER!$Q$5:$Q$1204,$Q125))</f>
        <v/>
      </c>
      <c r="L125" s="25" t="str">
        <f>IF($Q125="","",INDEX(TRANSACTIONS_MASTER!$P$5:$P$1204,$Q125))</f>
        <v/>
      </c>
      <c r="M125" s="25" t="str">
        <f>IF($Q125="","",INDEX(TRANSACTIONS_MASTER!$AA$5:$AA$1204,$Q125))</f>
        <v/>
      </c>
      <c r="N125" s="25" t="str">
        <f>IF($Q125="","",INDEX(TRANSACTIONS_MASTER!$R$5:$R$1204,$Q125))</f>
        <v/>
      </c>
      <c r="O125" s="28" t="str">
        <f>IF($Q125="","",INDEX(TRANSACTIONS_MASTER!$AB$5:$AB$1204,$Q125))</f>
        <v/>
      </c>
      <c r="P125" s="55" t="str">
        <f>IF($Q125="","",INDEX(TRANSACTIONS_MASTER!$Z$5:$Z$1204,$Q125)&amp;"")</f>
        <v/>
      </c>
      <c r="Q125" s="67" t="str">
        <f>IFERROR(MATCH($C$2&amp;"|"&amp;118,TRANSACTIONS_MASTER!$AE$5:$AE$1204,0),"")</f>
        <v/>
      </c>
      <c r="S125" s="67" t="str">
        <f>IFERROR(MATCH(1,INDEX((TRANSACTIONS_MASTER!$C$5:$C$1204=$C$2)*(TRANSACTIONS_MASTER!$AL$5:$AL$1204=9),0),0),"")</f>
        <v/>
      </c>
      <c r="T125" s="55" t="n"/>
      <c r="U125" s="55" t="str">
        <f>IF($S125="","",INDEX(TRANSACTIONS_MASTER!$K$5:$K$1204,$S125))</f>
        <v/>
      </c>
      <c r="V125" s="25" t="str">
        <f>IF($S125="","",SUMIFS(TRANSACTIONS_MASTER!$L$5:$L$1204,TRANSACTIONS_MASTER!$K$5:$K$1204,$U125,TRANSACTIONS_MASTER!$C$5:$C$1204,$C$2,TRANSACTIONS_MASTER!$U$5:$U$1204,"&lt;&gt;Cancelled"))</f>
        <v/>
      </c>
      <c r="W125" s="26" t="str">
        <f>IF($S125="","",SUMIFS(TRANSACTIONS_MASTER!$Q$5:$Q$1204,TRANSACTIONS_MASTER!$K$5:$K$1204,$U125,TRANSACTIONS_MASTER!$C$5:$C$1204,$C$2))</f>
        <v/>
      </c>
    </row>
    <row r="126">
      <c r="A126" s="81" t="str">
        <f>IF($Q126="","",119)</f>
        <v/>
      </c>
      <c r="B126" s="57" t="str">
        <f>IF($Q126="","",INDEX(TRANSACTIONS_MASTER!$B$5:$B$1204,$Q126))</f>
        <v/>
      </c>
      <c r="C126" s="55" t="str">
        <f>IF($Q126="","",INDEX(TRANSACTIONS_MASTER!$F$5:$F$1204,$Q126))</f>
        <v/>
      </c>
      <c r="D126" s="55" t="str">
        <f>IF($Q126="","",INDEX(TRANSACTIONS_MASTER!$E$5:$E$1204,$Q126))</f>
        <v/>
      </c>
      <c r="E126" s="55" t="str">
        <f>IF($Q126="","",INDEX(TRANSACTIONS_MASTER!$G$5:$G$1204,$Q126)&amp;"")</f>
        <v/>
      </c>
      <c r="F126" s="29" t="str">
        <f>IF($Q126="","",INDEX(TRANSACTIONS_MASTER!$I$5:$I$1204,$Q126))</f>
        <v/>
      </c>
      <c r="G126" s="55" t="str">
        <f>IF($Q126="","",INDEX(TRANSACTIONS_MASTER!$K$5:$K$1204,$Q126))</f>
        <v/>
      </c>
      <c r="H126" s="25" t="str">
        <f>IF($Q126="","",INDEX(TRANSACTIONS_MASTER!$L$5:$L$1204,$Q126))</f>
        <v/>
      </c>
      <c r="I126" s="56" t="str">
        <f>IF($Q126="","",INDEX(TRANSACTIONS_MASTER!$N$5:$N$1204,$Q126))</f>
        <v/>
      </c>
      <c r="J126" s="25" t="str">
        <f>IF($Q126="","",INDEX(TRANSACTIONS_MASTER!$O$5:$O$1204,$Q126))</f>
        <v/>
      </c>
      <c r="K126" s="26" t="str">
        <f>IF($Q126="","",INDEX(TRANSACTIONS_MASTER!$Q$5:$Q$1204,$Q126))</f>
        <v/>
      </c>
      <c r="L126" s="25" t="str">
        <f>IF($Q126="","",INDEX(TRANSACTIONS_MASTER!$P$5:$P$1204,$Q126))</f>
        <v/>
      </c>
      <c r="M126" s="25" t="str">
        <f>IF($Q126="","",INDEX(TRANSACTIONS_MASTER!$AA$5:$AA$1204,$Q126))</f>
        <v/>
      </c>
      <c r="N126" s="25" t="str">
        <f>IF($Q126="","",INDEX(TRANSACTIONS_MASTER!$R$5:$R$1204,$Q126))</f>
        <v/>
      </c>
      <c r="O126" s="28" t="str">
        <f>IF($Q126="","",INDEX(TRANSACTIONS_MASTER!$AB$5:$AB$1204,$Q126))</f>
        <v/>
      </c>
      <c r="P126" s="55" t="str">
        <f>IF($Q126="","",INDEX(TRANSACTIONS_MASTER!$Z$5:$Z$1204,$Q126)&amp;"")</f>
        <v/>
      </c>
      <c r="Q126" s="67" t="str">
        <f>IFERROR(MATCH($C$2&amp;"|"&amp;119,TRANSACTIONS_MASTER!$AE$5:$AE$1204,0),"")</f>
        <v/>
      </c>
      <c r="S126" s="67" t="str">
        <f>IFERROR(MATCH(1,INDEX((TRANSACTIONS_MASTER!$C$5:$C$1204=$C$2)*(TRANSACTIONS_MASTER!$AL$5:$AL$1204=10),0),0),"")</f>
        <v/>
      </c>
      <c r="T126" s="55" t="n"/>
      <c r="U126" s="55" t="str">
        <f>IF($S126="","",INDEX(TRANSACTIONS_MASTER!$K$5:$K$1204,$S126))</f>
        <v/>
      </c>
      <c r="V126" s="25" t="str">
        <f>IF($S126="","",SUMIFS(TRANSACTIONS_MASTER!$L$5:$L$1204,TRANSACTIONS_MASTER!$K$5:$K$1204,$U126,TRANSACTIONS_MASTER!$C$5:$C$1204,$C$2,TRANSACTIONS_MASTER!$U$5:$U$1204,"&lt;&gt;Cancelled"))</f>
        <v/>
      </c>
      <c r="W126" s="26" t="str">
        <f>IF($S126="","",SUMIFS(TRANSACTIONS_MASTER!$Q$5:$Q$1204,TRANSACTIONS_MASTER!$K$5:$K$1204,$U126,TRANSACTIONS_MASTER!$C$5:$C$1204,$C$2))</f>
        <v/>
      </c>
    </row>
    <row r="127">
      <c r="A127" s="81" t="str">
        <f>IF($Q127="","",120)</f>
        <v/>
      </c>
      <c r="B127" s="57" t="str">
        <f>IF($Q127="","",INDEX(TRANSACTIONS_MASTER!$B$5:$B$1204,$Q127))</f>
        <v/>
      </c>
      <c r="C127" s="55" t="str">
        <f>IF($Q127="","",INDEX(TRANSACTIONS_MASTER!$F$5:$F$1204,$Q127))</f>
        <v/>
      </c>
      <c r="D127" s="55" t="str">
        <f>IF($Q127="","",INDEX(TRANSACTIONS_MASTER!$E$5:$E$1204,$Q127))</f>
        <v/>
      </c>
      <c r="E127" s="55" t="str">
        <f>IF($Q127="","",INDEX(TRANSACTIONS_MASTER!$G$5:$G$1204,$Q127)&amp;"")</f>
        <v/>
      </c>
      <c r="F127" s="29" t="str">
        <f>IF($Q127="","",INDEX(TRANSACTIONS_MASTER!$I$5:$I$1204,$Q127))</f>
        <v/>
      </c>
      <c r="G127" s="55" t="str">
        <f>IF($Q127="","",INDEX(TRANSACTIONS_MASTER!$K$5:$K$1204,$Q127))</f>
        <v/>
      </c>
      <c r="H127" s="25" t="str">
        <f>IF($Q127="","",INDEX(TRANSACTIONS_MASTER!$L$5:$L$1204,$Q127))</f>
        <v/>
      </c>
      <c r="I127" s="56" t="str">
        <f>IF($Q127="","",INDEX(TRANSACTIONS_MASTER!$N$5:$N$1204,$Q127))</f>
        <v/>
      </c>
      <c r="J127" s="25" t="str">
        <f>IF($Q127="","",INDEX(TRANSACTIONS_MASTER!$O$5:$O$1204,$Q127))</f>
        <v/>
      </c>
      <c r="K127" s="26" t="str">
        <f>IF($Q127="","",INDEX(TRANSACTIONS_MASTER!$Q$5:$Q$1204,$Q127))</f>
        <v/>
      </c>
      <c r="L127" s="25" t="str">
        <f>IF($Q127="","",INDEX(TRANSACTIONS_MASTER!$P$5:$P$1204,$Q127))</f>
        <v/>
      </c>
      <c r="M127" s="25" t="str">
        <f>IF($Q127="","",INDEX(TRANSACTIONS_MASTER!$AA$5:$AA$1204,$Q127))</f>
        <v/>
      </c>
      <c r="N127" s="25" t="str">
        <f>IF($Q127="","",INDEX(TRANSACTIONS_MASTER!$R$5:$R$1204,$Q127))</f>
        <v/>
      </c>
      <c r="O127" s="28" t="str">
        <f>IF($Q127="","",INDEX(TRANSACTIONS_MASTER!$AB$5:$AB$1204,$Q127))</f>
        <v/>
      </c>
      <c r="P127" s="55" t="str">
        <f>IF($Q127="","",INDEX(TRANSACTIONS_MASTER!$Z$5:$Z$1204,$Q127)&amp;"")</f>
        <v/>
      </c>
      <c r="Q127" s="67" t="str">
        <f>IFERROR(MATCH($C$2&amp;"|"&amp;120,TRANSACTIONS_MASTER!$AE$5:$AE$1204,0),"")</f>
        <v/>
      </c>
      <c r="S127" s="67" t="str">
        <f>IFERROR(MATCH(1,INDEX((TRANSACTIONS_MASTER!$C$5:$C$1204=$C$2)*(TRANSACTIONS_MASTER!$AL$5:$AL$1204=11),0),0),"")</f>
        <v/>
      </c>
      <c r="T127" s="55" t="n"/>
      <c r="U127" s="55" t="str">
        <f>IF($S127="","",INDEX(TRANSACTIONS_MASTER!$K$5:$K$1204,$S127))</f>
        <v/>
      </c>
      <c r="V127" s="25" t="str">
        <f>IF($S127="","",SUMIFS(TRANSACTIONS_MASTER!$L$5:$L$1204,TRANSACTIONS_MASTER!$K$5:$K$1204,$U127,TRANSACTIONS_MASTER!$C$5:$C$1204,$C$2,TRANSACTIONS_MASTER!$U$5:$U$1204,"&lt;&gt;Cancelled"))</f>
        <v/>
      </c>
      <c r="W127" s="26" t="str">
        <f>IF($S127="","",SUMIFS(TRANSACTIONS_MASTER!$Q$5:$Q$1204,TRANSACTIONS_MASTER!$K$5:$K$1204,$U127,TRANSACTIONS_MASTER!$C$5:$C$1204,$C$2))</f>
        <v/>
      </c>
    </row>
    <row r="128">
      <c r="A128" s="81" t="str">
        <f>IF($Q128="","",121)</f>
        <v/>
      </c>
      <c r="B128" s="57" t="str">
        <f>IF($Q128="","",INDEX(TRANSACTIONS_MASTER!$B$5:$B$1204,$Q128))</f>
        <v/>
      </c>
      <c r="C128" s="55" t="str">
        <f>IF($Q128="","",INDEX(TRANSACTIONS_MASTER!$F$5:$F$1204,$Q128))</f>
        <v/>
      </c>
      <c r="D128" s="55" t="str">
        <f>IF($Q128="","",INDEX(TRANSACTIONS_MASTER!$E$5:$E$1204,$Q128))</f>
        <v/>
      </c>
      <c r="E128" s="55" t="str">
        <f>IF($Q128="","",INDEX(TRANSACTIONS_MASTER!$G$5:$G$1204,$Q128)&amp;"")</f>
        <v/>
      </c>
      <c r="F128" s="29" t="str">
        <f>IF($Q128="","",INDEX(TRANSACTIONS_MASTER!$I$5:$I$1204,$Q128))</f>
        <v/>
      </c>
      <c r="G128" s="55" t="str">
        <f>IF($Q128="","",INDEX(TRANSACTIONS_MASTER!$K$5:$K$1204,$Q128))</f>
        <v/>
      </c>
      <c r="H128" s="25" t="str">
        <f>IF($Q128="","",INDEX(TRANSACTIONS_MASTER!$L$5:$L$1204,$Q128))</f>
        <v/>
      </c>
      <c r="I128" s="56" t="str">
        <f>IF($Q128="","",INDEX(TRANSACTIONS_MASTER!$N$5:$N$1204,$Q128))</f>
        <v/>
      </c>
      <c r="J128" s="25" t="str">
        <f>IF($Q128="","",INDEX(TRANSACTIONS_MASTER!$O$5:$O$1204,$Q128))</f>
        <v/>
      </c>
      <c r="K128" s="26" t="str">
        <f>IF($Q128="","",INDEX(TRANSACTIONS_MASTER!$Q$5:$Q$1204,$Q128))</f>
        <v/>
      </c>
      <c r="L128" s="25" t="str">
        <f>IF($Q128="","",INDEX(TRANSACTIONS_MASTER!$P$5:$P$1204,$Q128))</f>
        <v/>
      </c>
      <c r="M128" s="25" t="str">
        <f>IF($Q128="","",INDEX(TRANSACTIONS_MASTER!$AA$5:$AA$1204,$Q128))</f>
        <v/>
      </c>
      <c r="N128" s="25" t="str">
        <f>IF($Q128="","",INDEX(TRANSACTIONS_MASTER!$R$5:$R$1204,$Q128))</f>
        <v/>
      </c>
      <c r="O128" s="28" t="str">
        <f>IF($Q128="","",INDEX(TRANSACTIONS_MASTER!$AB$5:$AB$1204,$Q128))</f>
        <v/>
      </c>
      <c r="P128" s="55" t="str">
        <f>IF($Q128="","",INDEX(TRANSACTIONS_MASTER!$Z$5:$Z$1204,$Q128)&amp;"")</f>
        <v/>
      </c>
      <c r="Q128" s="67" t="str">
        <f>IFERROR(MATCH($C$2&amp;"|"&amp;121,TRANSACTIONS_MASTER!$AE$5:$AE$1204,0),"")</f>
        <v/>
      </c>
      <c r="S128" s="67" t="str">
        <f>IFERROR(MATCH(1,INDEX((TRANSACTIONS_MASTER!$C$5:$C$1204=$C$2)*(TRANSACTIONS_MASTER!$AL$5:$AL$1204=12),0),0),"")</f>
        <v/>
      </c>
      <c r="T128" s="55" t="n"/>
      <c r="U128" s="55" t="str">
        <f>IF($S128="","",INDEX(TRANSACTIONS_MASTER!$K$5:$K$1204,$S128))</f>
        <v/>
      </c>
      <c r="V128" s="25" t="str">
        <f>IF($S128="","",SUMIFS(TRANSACTIONS_MASTER!$L$5:$L$1204,TRANSACTIONS_MASTER!$K$5:$K$1204,$U128,TRANSACTIONS_MASTER!$C$5:$C$1204,$C$2,TRANSACTIONS_MASTER!$U$5:$U$1204,"&lt;&gt;Cancelled"))</f>
        <v/>
      </c>
      <c r="W128" s="26" t="str">
        <f>IF($S128="","",SUMIFS(TRANSACTIONS_MASTER!$Q$5:$Q$1204,TRANSACTIONS_MASTER!$K$5:$K$1204,$U128,TRANSACTIONS_MASTER!$C$5:$C$1204,$C$2))</f>
        <v/>
      </c>
    </row>
    <row r="129">
      <c r="A129" s="81" t="str">
        <f>IF($Q129="","",122)</f>
        <v/>
      </c>
      <c r="B129" s="57" t="str">
        <f>IF($Q129="","",INDEX(TRANSACTIONS_MASTER!$B$5:$B$1204,$Q129))</f>
        <v/>
      </c>
      <c r="C129" s="55" t="str">
        <f>IF($Q129="","",INDEX(TRANSACTIONS_MASTER!$F$5:$F$1204,$Q129))</f>
        <v/>
      </c>
      <c r="D129" s="55" t="str">
        <f>IF($Q129="","",INDEX(TRANSACTIONS_MASTER!$E$5:$E$1204,$Q129))</f>
        <v/>
      </c>
      <c r="E129" s="55" t="str">
        <f>IF($Q129="","",INDEX(TRANSACTIONS_MASTER!$G$5:$G$1204,$Q129)&amp;"")</f>
        <v/>
      </c>
      <c r="F129" s="29" t="str">
        <f>IF($Q129="","",INDEX(TRANSACTIONS_MASTER!$I$5:$I$1204,$Q129))</f>
        <v/>
      </c>
      <c r="G129" s="55" t="str">
        <f>IF($Q129="","",INDEX(TRANSACTIONS_MASTER!$K$5:$K$1204,$Q129))</f>
        <v/>
      </c>
      <c r="H129" s="25" t="str">
        <f>IF($Q129="","",INDEX(TRANSACTIONS_MASTER!$L$5:$L$1204,$Q129))</f>
        <v/>
      </c>
      <c r="I129" s="56" t="str">
        <f>IF($Q129="","",INDEX(TRANSACTIONS_MASTER!$N$5:$N$1204,$Q129))</f>
        <v/>
      </c>
      <c r="J129" s="25" t="str">
        <f>IF($Q129="","",INDEX(TRANSACTIONS_MASTER!$O$5:$O$1204,$Q129))</f>
        <v/>
      </c>
      <c r="K129" s="26" t="str">
        <f>IF($Q129="","",INDEX(TRANSACTIONS_MASTER!$Q$5:$Q$1204,$Q129))</f>
        <v/>
      </c>
      <c r="L129" s="25" t="str">
        <f>IF($Q129="","",INDEX(TRANSACTIONS_MASTER!$P$5:$P$1204,$Q129))</f>
        <v/>
      </c>
      <c r="M129" s="25" t="str">
        <f>IF($Q129="","",INDEX(TRANSACTIONS_MASTER!$AA$5:$AA$1204,$Q129))</f>
        <v/>
      </c>
      <c r="N129" s="25" t="str">
        <f>IF($Q129="","",INDEX(TRANSACTIONS_MASTER!$R$5:$R$1204,$Q129))</f>
        <v/>
      </c>
      <c r="O129" s="28" t="str">
        <f>IF($Q129="","",INDEX(TRANSACTIONS_MASTER!$AB$5:$AB$1204,$Q129))</f>
        <v/>
      </c>
      <c r="P129" s="55" t="str">
        <f>IF($Q129="","",INDEX(TRANSACTIONS_MASTER!$Z$5:$Z$1204,$Q129)&amp;"")</f>
        <v/>
      </c>
      <c r="Q129" s="67" t="str">
        <f>IFERROR(MATCH($C$2&amp;"|"&amp;122,TRANSACTIONS_MASTER!$AE$5:$AE$1204,0),"")</f>
        <v/>
      </c>
      <c r="S129" s="67" t="str">
        <f>IFERROR(MATCH(1,INDEX((TRANSACTIONS_MASTER!$C$5:$C$1204=$C$2)*(TRANSACTIONS_MASTER!$AL$5:$AL$1204=13),0),0),"")</f>
        <v/>
      </c>
      <c r="T129" s="55" t="n"/>
      <c r="U129" s="55" t="str">
        <f>IF($S129="","",INDEX(TRANSACTIONS_MASTER!$K$5:$K$1204,$S129))</f>
        <v/>
      </c>
      <c r="V129" s="25" t="str">
        <f>IF($S129="","",SUMIFS(TRANSACTIONS_MASTER!$L$5:$L$1204,TRANSACTIONS_MASTER!$K$5:$K$1204,$U129,TRANSACTIONS_MASTER!$C$5:$C$1204,$C$2,TRANSACTIONS_MASTER!$U$5:$U$1204,"&lt;&gt;Cancelled"))</f>
        <v/>
      </c>
      <c r="W129" s="26" t="str">
        <f>IF($S129="","",SUMIFS(TRANSACTIONS_MASTER!$Q$5:$Q$1204,TRANSACTIONS_MASTER!$K$5:$K$1204,$U129,TRANSACTIONS_MASTER!$C$5:$C$1204,$C$2))</f>
        <v/>
      </c>
    </row>
    <row r="130">
      <c r="A130" s="81" t="str">
        <f>IF($Q130="","",123)</f>
        <v/>
      </c>
      <c r="B130" s="57" t="str">
        <f>IF($Q130="","",INDEX(TRANSACTIONS_MASTER!$B$5:$B$1204,$Q130))</f>
        <v/>
      </c>
      <c r="C130" s="55" t="str">
        <f>IF($Q130="","",INDEX(TRANSACTIONS_MASTER!$F$5:$F$1204,$Q130))</f>
        <v/>
      </c>
      <c r="D130" s="55" t="str">
        <f>IF($Q130="","",INDEX(TRANSACTIONS_MASTER!$E$5:$E$1204,$Q130))</f>
        <v/>
      </c>
      <c r="E130" s="55" t="str">
        <f>IF($Q130="","",INDEX(TRANSACTIONS_MASTER!$G$5:$G$1204,$Q130)&amp;"")</f>
        <v/>
      </c>
      <c r="F130" s="29" t="str">
        <f>IF($Q130="","",INDEX(TRANSACTIONS_MASTER!$I$5:$I$1204,$Q130))</f>
        <v/>
      </c>
      <c r="G130" s="55" t="str">
        <f>IF($Q130="","",INDEX(TRANSACTIONS_MASTER!$K$5:$K$1204,$Q130))</f>
        <v/>
      </c>
      <c r="H130" s="25" t="str">
        <f>IF($Q130="","",INDEX(TRANSACTIONS_MASTER!$L$5:$L$1204,$Q130))</f>
        <v/>
      </c>
      <c r="I130" s="56" t="str">
        <f>IF($Q130="","",INDEX(TRANSACTIONS_MASTER!$N$5:$N$1204,$Q130))</f>
        <v/>
      </c>
      <c r="J130" s="25" t="str">
        <f>IF($Q130="","",INDEX(TRANSACTIONS_MASTER!$O$5:$O$1204,$Q130))</f>
        <v/>
      </c>
      <c r="K130" s="26" t="str">
        <f>IF($Q130="","",INDEX(TRANSACTIONS_MASTER!$Q$5:$Q$1204,$Q130))</f>
        <v/>
      </c>
      <c r="L130" s="25" t="str">
        <f>IF($Q130="","",INDEX(TRANSACTIONS_MASTER!$P$5:$P$1204,$Q130))</f>
        <v/>
      </c>
      <c r="M130" s="25" t="str">
        <f>IF($Q130="","",INDEX(TRANSACTIONS_MASTER!$AA$5:$AA$1204,$Q130))</f>
        <v/>
      </c>
      <c r="N130" s="25" t="str">
        <f>IF($Q130="","",INDEX(TRANSACTIONS_MASTER!$R$5:$R$1204,$Q130))</f>
        <v/>
      </c>
      <c r="O130" s="28" t="str">
        <f>IF($Q130="","",INDEX(TRANSACTIONS_MASTER!$AB$5:$AB$1204,$Q130))</f>
        <v/>
      </c>
      <c r="P130" s="55" t="str">
        <f>IF($Q130="","",INDEX(TRANSACTIONS_MASTER!$Z$5:$Z$1204,$Q130)&amp;"")</f>
        <v/>
      </c>
      <c r="Q130" s="67" t="str">
        <f>IFERROR(MATCH($C$2&amp;"|"&amp;123,TRANSACTIONS_MASTER!$AE$5:$AE$1204,0),"")</f>
        <v/>
      </c>
      <c r="S130" s="67" t="str">
        <f>IFERROR(MATCH(1,INDEX((TRANSACTIONS_MASTER!$C$5:$C$1204=$C$2)*(TRANSACTIONS_MASTER!$AL$5:$AL$1204=14),0),0),"")</f>
        <v/>
      </c>
      <c r="T130" s="55" t="n"/>
      <c r="U130" s="55" t="str">
        <f>IF($S130="","",INDEX(TRANSACTIONS_MASTER!$K$5:$K$1204,$S130))</f>
        <v/>
      </c>
      <c r="V130" s="25" t="str">
        <f>IF($S130="","",SUMIFS(TRANSACTIONS_MASTER!$L$5:$L$1204,TRANSACTIONS_MASTER!$K$5:$K$1204,$U130,TRANSACTIONS_MASTER!$C$5:$C$1204,$C$2,TRANSACTIONS_MASTER!$U$5:$U$1204,"&lt;&gt;Cancelled"))</f>
        <v/>
      </c>
      <c r="W130" s="26" t="str">
        <f>IF($S130="","",SUMIFS(TRANSACTIONS_MASTER!$Q$5:$Q$1204,TRANSACTIONS_MASTER!$K$5:$K$1204,$U130,TRANSACTIONS_MASTER!$C$5:$C$1204,$C$2))</f>
        <v/>
      </c>
    </row>
    <row r="131">
      <c r="A131" s="81" t="str">
        <f>IF($Q131="","",124)</f>
        <v/>
      </c>
      <c r="B131" s="57" t="str">
        <f>IF($Q131="","",INDEX(TRANSACTIONS_MASTER!$B$5:$B$1204,$Q131))</f>
        <v/>
      </c>
      <c r="C131" s="55" t="str">
        <f>IF($Q131="","",INDEX(TRANSACTIONS_MASTER!$F$5:$F$1204,$Q131))</f>
        <v/>
      </c>
      <c r="D131" s="55" t="str">
        <f>IF($Q131="","",INDEX(TRANSACTIONS_MASTER!$E$5:$E$1204,$Q131))</f>
        <v/>
      </c>
      <c r="E131" s="55" t="str">
        <f>IF($Q131="","",INDEX(TRANSACTIONS_MASTER!$G$5:$G$1204,$Q131)&amp;"")</f>
        <v/>
      </c>
      <c r="F131" s="29" t="str">
        <f>IF($Q131="","",INDEX(TRANSACTIONS_MASTER!$I$5:$I$1204,$Q131))</f>
        <v/>
      </c>
      <c r="G131" s="55" t="str">
        <f>IF($Q131="","",INDEX(TRANSACTIONS_MASTER!$K$5:$K$1204,$Q131))</f>
        <v/>
      </c>
      <c r="H131" s="25" t="str">
        <f>IF($Q131="","",INDEX(TRANSACTIONS_MASTER!$L$5:$L$1204,$Q131))</f>
        <v/>
      </c>
      <c r="I131" s="56" t="str">
        <f>IF($Q131="","",INDEX(TRANSACTIONS_MASTER!$N$5:$N$1204,$Q131))</f>
        <v/>
      </c>
      <c r="J131" s="25" t="str">
        <f>IF($Q131="","",INDEX(TRANSACTIONS_MASTER!$O$5:$O$1204,$Q131))</f>
        <v/>
      </c>
      <c r="K131" s="26" t="str">
        <f>IF($Q131="","",INDEX(TRANSACTIONS_MASTER!$Q$5:$Q$1204,$Q131))</f>
        <v/>
      </c>
      <c r="L131" s="25" t="str">
        <f>IF($Q131="","",INDEX(TRANSACTIONS_MASTER!$P$5:$P$1204,$Q131))</f>
        <v/>
      </c>
      <c r="M131" s="25" t="str">
        <f>IF($Q131="","",INDEX(TRANSACTIONS_MASTER!$AA$5:$AA$1204,$Q131))</f>
        <v/>
      </c>
      <c r="N131" s="25" t="str">
        <f>IF($Q131="","",INDEX(TRANSACTIONS_MASTER!$R$5:$R$1204,$Q131))</f>
        <v/>
      </c>
      <c r="O131" s="28" t="str">
        <f>IF($Q131="","",INDEX(TRANSACTIONS_MASTER!$AB$5:$AB$1204,$Q131))</f>
        <v/>
      </c>
      <c r="P131" s="55" t="str">
        <f>IF($Q131="","",INDEX(TRANSACTIONS_MASTER!$Z$5:$Z$1204,$Q131)&amp;"")</f>
        <v/>
      </c>
      <c r="Q131" s="67" t="str">
        <f>IFERROR(MATCH($C$2&amp;"|"&amp;124,TRANSACTIONS_MASTER!$AE$5:$AE$1204,0),"")</f>
        <v/>
      </c>
      <c r="S131" s="67" t="str">
        <f>IFERROR(MATCH(1,INDEX((TRANSACTIONS_MASTER!$C$5:$C$1204=$C$2)*(TRANSACTIONS_MASTER!$AL$5:$AL$1204=15),0),0),"")</f>
        <v/>
      </c>
      <c r="T131" s="55" t="n"/>
      <c r="U131" s="55" t="str">
        <f>IF($S131="","",INDEX(TRANSACTIONS_MASTER!$K$5:$K$1204,$S131))</f>
        <v/>
      </c>
      <c r="V131" s="25" t="str">
        <f>IF($S131="","",SUMIFS(TRANSACTIONS_MASTER!$L$5:$L$1204,TRANSACTIONS_MASTER!$K$5:$K$1204,$U131,TRANSACTIONS_MASTER!$C$5:$C$1204,$C$2,TRANSACTIONS_MASTER!$U$5:$U$1204,"&lt;&gt;Cancelled"))</f>
        <v/>
      </c>
      <c r="W131" s="26" t="str">
        <f>IF($S131="","",SUMIFS(TRANSACTIONS_MASTER!$Q$5:$Q$1204,TRANSACTIONS_MASTER!$K$5:$K$1204,$U131,TRANSACTIONS_MASTER!$C$5:$C$1204,$C$2))</f>
        <v/>
      </c>
    </row>
    <row r="132">
      <c r="A132" s="81" t="str">
        <f>IF($Q132="","",125)</f>
        <v/>
      </c>
      <c r="B132" s="57" t="str">
        <f>IF($Q132="","",INDEX(TRANSACTIONS_MASTER!$B$5:$B$1204,$Q132))</f>
        <v/>
      </c>
      <c r="C132" s="55" t="str">
        <f>IF($Q132="","",INDEX(TRANSACTIONS_MASTER!$F$5:$F$1204,$Q132))</f>
        <v/>
      </c>
      <c r="D132" s="55" t="str">
        <f>IF($Q132="","",INDEX(TRANSACTIONS_MASTER!$E$5:$E$1204,$Q132))</f>
        <v/>
      </c>
      <c r="E132" s="55" t="str">
        <f>IF($Q132="","",INDEX(TRANSACTIONS_MASTER!$G$5:$G$1204,$Q132)&amp;"")</f>
        <v/>
      </c>
      <c r="F132" s="29" t="str">
        <f>IF($Q132="","",INDEX(TRANSACTIONS_MASTER!$I$5:$I$1204,$Q132))</f>
        <v/>
      </c>
      <c r="G132" s="55" t="str">
        <f>IF($Q132="","",INDEX(TRANSACTIONS_MASTER!$K$5:$K$1204,$Q132))</f>
        <v/>
      </c>
      <c r="H132" s="25" t="str">
        <f>IF($Q132="","",INDEX(TRANSACTIONS_MASTER!$L$5:$L$1204,$Q132))</f>
        <v/>
      </c>
      <c r="I132" s="56" t="str">
        <f>IF($Q132="","",INDEX(TRANSACTIONS_MASTER!$N$5:$N$1204,$Q132))</f>
        <v/>
      </c>
      <c r="J132" s="25" t="str">
        <f>IF($Q132="","",INDEX(TRANSACTIONS_MASTER!$O$5:$O$1204,$Q132))</f>
        <v/>
      </c>
      <c r="K132" s="26" t="str">
        <f>IF($Q132="","",INDEX(TRANSACTIONS_MASTER!$Q$5:$Q$1204,$Q132))</f>
        <v/>
      </c>
      <c r="L132" s="25" t="str">
        <f>IF($Q132="","",INDEX(TRANSACTIONS_MASTER!$P$5:$P$1204,$Q132))</f>
        <v/>
      </c>
      <c r="M132" s="25" t="str">
        <f>IF($Q132="","",INDEX(TRANSACTIONS_MASTER!$AA$5:$AA$1204,$Q132))</f>
        <v/>
      </c>
      <c r="N132" s="25" t="str">
        <f>IF($Q132="","",INDEX(TRANSACTIONS_MASTER!$R$5:$R$1204,$Q132))</f>
        <v/>
      </c>
      <c r="O132" s="28" t="str">
        <f>IF($Q132="","",INDEX(TRANSACTIONS_MASTER!$AB$5:$AB$1204,$Q132))</f>
        <v/>
      </c>
      <c r="P132" s="55" t="str">
        <f>IF($Q132="","",INDEX(TRANSACTIONS_MASTER!$Z$5:$Z$1204,$Q132)&amp;"")</f>
        <v/>
      </c>
      <c r="Q132" s="67" t="str">
        <f>IFERROR(MATCH($C$2&amp;"|"&amp;125,TRANSACTIONS_MASTER!$AE$5:$AE$1204,0),"")</f>
        <v/>
      </c>
      <c r="T132" s="45" t="n"/>
      <c r="U132" s="82" t="inlineStr">
        <is>
          <t>Khác (ngoài danh sách)</t>
        </is>
      </c>
      <c r="V132" s="48">
        <f>MAX(0,SUMIFS(TRANSACTIONS_MASTER!$L$5:$L$1204,TRANSACTIONS_MASTER!$C$5:$C$1204,$C$2,TRANSACTIONS_MASTER!$U$5:$U$1204,"&lt;&gt;Cancelled")-SUM(V117:V131))</f>
        <v>0</v>
      </c>
      <c r="W132" s="48">
        <f>MAX(0,SUMIFS(TRANSACTIONS_MASTER!$Q$5:$Q$1204,TRANSACTIONS_MASTER!$C$5:$C$1204,$C$2)-SUM(W117:W131))</f>
        <v>0</v>
      </c>
    </row>
    <row r="133">
      <c r="A133" s="81" t="str">
        <f>IF($Q133="","",126)</f>
        <v/>
      </c>
      <c r="B133" s="57" t="str">
        <f>IF($Q133="","",INDEX(TRANSACTIONS_MASTER!$B$5:$B$1204,$Q133))</f>
        <v/>
      </c>
      <c r="C133" s="55" t="str">
        <f>IF($Q133="","",INDEX(TRANSACTIONS_MASTER!$F$5:$F$1204,$Q133))</f>
        <v/>
      </c>
      <c r="D133" s="55" t="str">
        <f>IF($Q133="","",INDEX(TRANSACTIONS_MASTER!$E$5:$E$1204,$Q133))</f>
        <v/>
      </c>
      <c r="E133" s="55" t="str">
        <f>IF($Q133="","",INDEX(TRANSACTIONS_MASTER!$G$5:$G$1204,$Q133)&amp;"")</f>
        <v/>
      </c>
      <c r="F133" s="29" t="str">
        <f>IF($Q133="","",INDEX(TRANSACTIONS_MASTER!$I$5:$I$1204,$Q133))</f>
        <v/>
      </c>
      <c r="G133" s="55" t="str">
        <f>IF($Q133="","",INDEX(TRANSACTIONS_MASTER!$K$5:$K$1204,$Q133))</f>
        <v/>
      </c>
      <c r="H133" s="25" t="str">
        <f>IF($Q133="","",INDEX(TRANSACTIONS_MASTER!$L$5:$L$1204,$Q133))</f>
        <v/>
      </c>
      <c r="I133" s="56" t="str">
        <f>IF($Q133="","",INDEX(TRANSACTIONS_MASTER!$N$5:$N$1204,$Q133))</f>
        <v/>
      </c>
      <c r="J133" s="25" t="str">
        <f>IF($Q133="","",INDEX(TRANSACTIONS_MASTER!$O$5:$O$1204,$Q133))</f>
        <v/>
      </c>
      <c r="K133" s="26" t="str">
        <f>IF($Q133="","",INDEX(TRANSACTIONS_MASTER!$Q$5:$Q$1204,$Q133))</f>
        <v/>
      </c>
      <c r="L133" s="25" t="str">
        <f>IF($Q133="","",INDEX(TRANSACTIONS_MASTER!$P$5:$P$1204,$Q133))</f>
        <v/>
      </c>
      <c r="M133" s="25" t="str">
        <f>IF($Q133="","",INDEX(TRANSACTIONS_MASTER!$AA$5:$AA$1204,$Q133))</f>
        <v/>
      </c>
      <c r="N133" s="25" t="str">
        <f>IF($Q133="","",INDEX(TRANSACTIONS_MASTER!$R$5:$R$1204,$Q133))</f>
        <v/>
      </c>
      <c r="O133" s="28" t="str">
        <f>IF($Q133="","",INDEX(TRANSACTIONS_MASTER!$AB$5:$AB$1204,$Q133))</f>
        <v/>
      </c>
      <c r="P133" s="55" t="str">
        <f>IF($Q133="","",INDEX(TRANSACTIONS_MASTER!$Z$5:$Z$1204,$Q133)&amp;"")</f>
        <v/>
      </c>
      <c r="Q133" s="67" t="str">
        <f>IFERROR(MATCH($C$2&amp;"|"&amp;126,TRANSACTIONS_MASTER!$AE$5:$AE$1204,0),"")</f>
        <v/>
      </c>
      <c r="T133" s="68" t="n"/>
      <c r="U133" s="69" t="inlineStr">
        <is>
          <t>TỔNG</t>
        </is>
      </c>
      <c r="V133" s="31">
        <f>SUM(V117:V132)</f>
        <v>0</v>
      </c>
      <c r="W133" s="31">
        <f>SUM(W117:W132)</f>
        <v>0</v>
      </c>
    </row>
    <row r="134">
      <c r="A134" s="81" t="str">
        <f>IF($Q134="","",127)</f>
        <v/>
      </c>
      <c r="B134" s="57" t="str">
        <f>IF($Q134="","",INDEX(TRANSACTIONS_MASTER!$B$5:$B$1204,$Q134))</f>
        <v/>
      </c>
      <c r="C134" s="55" t="str">
        <f>IF($Q134="","",INDEX(TRANSACTIONS_MASTER!$F$5:$F$1204,$Q134))</f>
        <v/>
      </c>
      <c r="D134" s="55" t="str">
        <f>IF($Q134="","",INDEX(TRANSACTIONS_MASTER!$E$5:$E$1204,$Q134))</f>
        <v/>
      </c>
      <c r="E134" s="55" t="str">
        <f>IF($Q134="","",INDEX(TRANSACTIONS_MASTER!$G$5:$G$1204,$Q134)&amp;"")</f>
        <v/>
      </c>
      <c r="F134" s="29" t="str">
        <f>IF($Q134="","",INDEX(TRANSACTIONS_MASTER!$I$5:$I$1204,$Q134))</f>
        <v/>
      </c>
      <c r="G134" s="55" t="str">
        <f>IF($Q134="","",INDEX(TRANSACTIONS_MASTER!$K$5:$K$1204,$Q134))</f>
        <v/>
      </c>
      <c r="H134" s="25" t="str">
        <f>IF($Q134="","",INDEX(TRANSACTIONS_MASTER!$L$5:$L$1204,$Q134))</f>
        <v/>
      </c>
      <c r="I134" s="56" t="str">
        <f>IF($Q134="","",INDEX(TRANSACTIONS_MASTER!$N$5:$N$1204,$Q134))</f>
        <v/>
      </c>
      <c r="J134" s="25" t="str">
        <f>IF($Q134="","",INDEX(TRANSACTIONS_MASTER!$O$5:$O$1204,$Q134))</f>
        <v/>
      </c>
      <c r="K134" s="26" t="str">
        <f>IF($Q134="","",INDEX(TRANSACTIONS_MASTER!$Q$5:$Q$1204,$Q134))</f>
        <v/>
      </c>
      <c r="L134" s="25" t="str">
        <f>IF($Q134="","",INDEX(TRANSACTIONS_MASTER!$P$5:$P$1204,$Q134))</f>
        <v/>
      </c>
      <c r="M134" s="25" t="str">
        <f>IF($Q134="","",INDEX(TRANSACTIONS_MASTER!$AA$5:$AA$1204,$Q134))</f>
        <v/>
      </c>
      <c r="N134" s="25" t="str">
        <f>IF($Q134="","",INDEX(TRANSACTIONS_MASTER!$R$5:$R$1204,$Q134))</f>
        <v/>
      </c>
      <c r="O134" s="28" t="str">
        <f>IF($Q134="","",INDEX(TRANSACTIONS_MASTER!$AB$5:$AB$1204,$Q134))</f>
        <v/>
      </c>
      <c r="P134" s="55" t="str">
        <f>IF($Q134="","",INDEX(TRANSACTIONS_MASTER!$Z$5:$Z$1204,$Q134)&amp;"")</f>
        <v/>
      </c>
      <c r="Q134" s="67" t="str">
        <f>IFERROR(MATCH($C$2&amp;"|"&amp;127,TRANSACTIONS_MASTER!$AE$5:$AE$1204,0),"")</f>
        <v/>
      </c>
    </row>
    <row r="135">
      <c r="A135" s="81" t="str">
        <f>IF($Q135="","",128)</f>
        <v/>
      </c>
      <c r="B135" s="57" t="str">
        <f>IF($Q135="","",INDEX(TRANSACTIONS_MASTER!$B$5:$B$1204,$Q135))</f>
        <v/>
      </c>
      <c r="C135" s="55" t="str">
        <f>IF($Q135="","",INDEX(TRANSACTIONS_MASTER!$F$5:$F$1204,$Q135))</f>
        <v/>
      </c>
      <c r="D135" s="55" t="str">
        <f>IF($Q135="","",INDEX(TRANSACTIONS_MASTER!$E$5:$E$1204,$Q135))</f>
        <v/>
      </c>
      <c r="E135" s="55" t="str">
        <f>IF($Q135="","",INDEX(TRANSACTIONS_MASTER!$G$5:$G$1204,$Q135)&amp;"")</f>
        <v/>
      </c>
      <c r="F135" s="29" t="str">
        <f>IF($Q135="","",INDEX(TRANSACTIONS_MASTER!$I$5:$I$1204,$Q135))</f>
        <v/>
      </c>
      <c r="G135" s="55" t="str">
        <f>IF($Q135="","",INDEX(TRANSACTIONS_MASTER!$K$5:$K$1204,$Q135))</f>
        <v/>
      </c>
      <c r="H135" s="25" t="str">
        <f>IF($Q135="","",INDEX(TRANSACTIONS_MASTER!$L$5:$L$1204,$Q135))</f>
        <v/>
      </c>
      <c r="I135" s="56" t="str">
        <f>IF($Q135="","",INDEX(TRANSACTIONS_MASTER!$N$5:$N$1204,$Q135))</f>
        <v/>
      </c>
      <c r="J135" s="25" t="str">
        <f>IF($Q135="","",INDEX(TRANSACTIONS_MASTER!$O$5:$O$1204,$Q135))</f>
        <v/>
      </c>
      <c r="K135" s="26" t="str">
        <f>IF($Q135="","",INDEX(TRANSACTIONS_MASTER!$Q$5:$Q$1204,$Q135))</f>
        <v/>
      </c>
      <c r="L135" s="25" t="str">
        <f>IF($Q135="","",INDEX(TRANSACTIONS_MASTER!$P$5:$P$1204,$Q135))</f>
        <v/>
      </c>
      <c r="M135" s="25" t="str">
        <f>IF($Q135="","",INDEX(TRANSACTIONS_MASTER!$AA$5:$AA$1204,$Q135))</f>
        <v/>
      </c>
      <c r="N135" s="25" t="str">
        <f>IF($Q135="","",INDEX(TRANSACTIONS_MASTER!$R$5:$R$1204,$Q135))</f>
        <v/>
      </c>
      <c r="O135" s="28" t="str">
        <f>IF($Q135="","",INDEX(TRANSACTIONS_MASTER!$AB$5:$AB$1204,$Q135))</f>
        <v/>
      </c>
      <c r="P135" s="55" t="str">
        <f>IF($Q135="","",INDEX(TRANSACTIONS_MASTER!$Z$5:$Z$1204,$Q135)&amp;"")</f>
        <v/>
      </c>
      <c r="Q135" s="67" t="str">
        <f>IFERROR(MATCH($C$2&amp;"|"&amp;128,TRANSACTIONS_MASTER!$AE$5:$AE$1204,0),"")</f>
        <v/>
      </c>
    </row>
    <row r="136" ht="22" customHeight="1">
      <c r="A136" s="81" t="str">
        <f>IF($Q136="","",129)</f>
        <v/>
      </c>
      <c r="B136" s="57" t="str">
        <f>IF($Q136="","",INDEX(TRANSACTIONS_MASTER!$B$5:$B$1204,$Q136))</f>
        <v/>
      </c>
      <c r="C136" s="55" t="str">
        <f>IF($Q136="","",INDEX(TRANSACTIONS_MASTER!$F$5:$F$1204,$Q136))</f>
        <v/>
      </c>
      <c r="D136" s="55" t="str">
        <f>IF($Q136="","",INDEX(TRANSACTIONS_MASTER!$E$5:$E$1204,$Q136))</f>
        <v/>
      </c>
      <c r="E136" s="55" t="str">
        <f>IF($Q136="","",INDEX(TRANSACTIONS_MASTER!$G$5:$G$1204,$Q136)&amp;"")</f>
        <v/>
      </c>
      <c r="F136" s="29" t="str">
        <f>IF($Q136="","",INDEX(TRANSACTIONS_MASTER!$I$5:$I$1204,$Q136))</f>
        <v/>
      </c>
      <c r="G136" s="55" t="str">
        <f>IF($Q136="","",INDEX(TRANSACTIONS_MASTER!$K$5:$K$1204,$Q136))</f>
        <v/>
      </c>
      <c r="H136" s="25" t="str">
        <f>IF($Q136="","",INDEX(TRANSACTIONS_MASTER!$L$5:$L$1204,$Q136))</f>
        <v/>
      </c>
      <c r="I136" s="56" t="str">
        <f>IF($Q136="","",INDEX(TRANSACTIONS_MASTER!$N$5:$N$1204,$Q136))</f>
        <v/>
      </c>
      <c r="J136" s="25" t="str">
        <f>IF($Q136="","",INDEX(TRANSACTIONS_MASTER!$O$5:$O$1204,$Q136))</f>
        <v/>
      </c>
      <c r="K136" s="26" t="str">
        <f>IF($Q136="","",INDEX(TRANSACTIONS_MASTER!$Q$5:$Q$1204,$Q136))</f>
        <v/>
      </c>
      <c r="L136" s="25" t="str">
        <f>IF($Q136="","",INDEX(TRANSACTIONS_MASTER!$P$5:$P$1204,$Q136))</f>
        <v/>
      </c>
      <c r="M136" s="25" t="str">
        <f>IF($Q136="","",INDEX(TRANSACTIONS_MASTER!$AA$5:$AA$1204,$Q136))</f>
        <v/>
      </c>
      <c r="N136" s="25" t="str">
        <f>IF($Q136="","",INDEX(TRANSACTIONS_MASTER!$R$5:$R$1204,$Q136))</f>
        <v/>
      </c>
      <c r="O136" s="28" t="str">
        <f>IF($Q136="","",INDEX(TRANSACTIONS_MASTER!$AB$5:$AB$1204,$Q136))</f>
        <v/>
      </c>
      <c r="P136" s="55" t="str">
        <f>IF($Q136="","",INDEX(TRANSACTIONS_MASTER!$Z$5:$Z$1204,$Q136)&amp;"")</f>
        <v/>
      </c>
      <c r="Q136" s="67" t="str">
        <f>IFERROR(MATCH($C$2&amp;"|"&amp;129,TRANSACTIONS_MASTER!$AE$5:$AE$1204,0),"")</f>
        <v/>
      </c>
      <c r="T136" s="19" t="inlineStr">
        <is>
          <t>THEO MCC</t>
        </is>
      </c>
      <c r="U136" s="20" t="n"/>
      <c r="V136" s="20" t="n"/>
      <c r="W136" s="20" t="n"/>
      <c r="X136" s="20" t="n"/>
      <c r="Y136" s="20" t="n"/>
      <c r="Z136" s="20" t="n"/>
      <c r="AA136" s="20" t="n"/>
    </row>
    <row r="137" ht="28" customHeight="1">
      <c r="A137" s="81" t="str">
        <f>IF($Q137="","",130)</f>
        <v/>
      </c>
      <c r="B137" s="57" t="str">
        <f>IF($Q137="","",INDEX(TRANSACTIONS_MASTER!$B$5:$B$1204,$Q137))</f>
        <v/>
      </c>
      <c r="C137" s="55" t="str">
        <f>IF($Q137="","",INDEX(TRANSACTIONS_MASTER!$F$5:$F$1204,$Q137))</f>
        <v/>
      </c>
      <c r="D137" s="55" t="str">
        <f>IF($Q137="","",INDEX(TRANSACTIONS_MASTER!$E$5:$E$1204,$Q137))</f>
        <v/>
      </c>
      <c r="E137" s="55" t="str">
        <f>IF($Q137="","",INDEX(TRANSACTIONS_MASTER!$G$5:$G$1204,$Q137)&amp;"")</f>
        <v/>
      </c>
      <c r="F137" s="29" t="str">
        <f>IF($Q137="","",INDEX(TRANSACTIONS_MASTER!$I$5:$I$1204,$Q137))</f>
        <v/>
      </c>
      <c r="G137" s="55" t="str">
        <f>IF($Q137="","",INDEX(TRANSACTIONS_MASTER!$K$5:$K$1204,$Q137))</f>
        <v/>
      </c>
      <c r="H137" s="25" t="str">
        <f>IF($Q137="","",INDEX(TRANSACTIONS_MASTER!$L$5:$L$1204,$Q137))</f>
        <v/>
      </c>
      <c r="I137" s="56" t="str">
        <f>IF($Q137="","",INDEX(TRANSACTIONS_MASTER!$N$5:$N$1204,$Q137))</f>
        <v/>
      </c>
      <c r="J137" s="25" t="str">
        <f>IF($Q137="","",INDEX(TRANSACTIONS_MASTER!$O$5:$O$1204,$Q137))</f>
        <v/>
      </c>
      <c r="K137" s="26" t="str">
        <f>IF($Q137="","",INDEX(TRANSACTIONS_MASTER!$Q$5:$Q$1204,$Q137))</f>
        <v/>
      </c>
      <c r="L137" s="25" t="str">
        <f>IF($Q137="","",INDEX(TRANSACTIONS_MASTER!$P$5:$P$1204,$Q137))</f>
        <v/>
      </c>
      <c r="M137" s="25" t="str">
        <f>IF($Q137="","",INDEX(TRANSACTIONS_MASTER!$AA$5:$AA$1204,$Q137))</f>
        <v/>
      </c>
      <c r="N137" s="25" t="str">
        <f>IF($Q137="","",INDEX(TRANSACTIONS_MASTER!$R$5:$R$1204,$Q137))</f>
        <v/>
      </c>
      <c r="O137" s="28" t="str">
        <f>IF($Q137="","",INDEX(TRANSACTIONS_MASTER!$AB$5:$AB$1204,$Q137))</f>
        <v/>
      </c>
      <c r="P137" s="55" t="str">
        <f>IF($Q137="","",INDEX(TRANSACTIONS_MASTER!$Z$5:$Z$1204,$Q137)&amp;"")</f>
        <v/>
      </c>
      <c r="Q137" s="67" t="str">
        <f>IFERROR(MATCH($C$2&amp;"|"&amp;130,TRANSACTIONS_MASTER!$AE$5:$AE$1204,0),"")</f>
        <v/>
      </c>
      <c r="S137" s="21" t="inlineStr">
        <is>
          <t>#</t>
        </is>
      </c>
      <c r="T137" s="21" t="inlineStr">
        <is>
          <t>MCC</t>
        </is>
      </c>
      <c r="U137" s="21" t="inlineStr">
        <is>
          <t>Tên MCC</t>
        </is>
      </c>
      <c r="V137" s="21" t="inlineStr">
        <is>
          <t>Chi tiêu</t>
        </is>
      </c>
      <c r="W137" s="21" t="inlineStr">
        <is>
          <t>Cashback</t>
        </is>
      </c>
    </row>
    <row r="138">
      <c r="A138" s="81" t="str">
        <f>IF($Q138="","",131)</f>
        <v/>
      </c>
      <c r="B138" s="57" t="str">
        <f>IF($Q138="","",INDEX(TRANSACTIONS_MASTER!$B$5:$B$1204,$Q138))</f>
        <v/>
      </c>
      <c r="C138" s="55" t="str">
        <f>IF($Q138="","",INDEX(TRANSACTIONS_MASTER!$F$5:$F$1204,$Q138))</f>
        <v/>
      </c>
      <c r="D138" s="55" t="str">
        <f>IF($Q138="","",INDEX(TRANSACTIONS_MASTER!$E$5:$E$1204,$Q138))</f>
        <v/>
      </c>
      <c r="E138" s="55" t="str">
        <f>IF($Q138="","",INDEX(TRANSACTIONS_MASTER!$G$5:$G$1204,$Q138)&amp;"")</f>
        <v/>
      </c>
      <c r="F138" s="29" t="str">
        <f>IF($Q138="","",INDEX(TRANSACTIONS_MASTER!$I$5:$I$1204,$Q138))</f>
        <v/>
      </c>
      <c r="G138" s="55" t="str">
        <f>IF($Q138="","",INDEX(TRANSACTIONS_MASTER!$K$5:$K$1204,$Q138))</f>
        <v/>
      </c>
      <c r="H138" s="25" t="str">
        <f>IF($Q138="","",INDEX(TRANSACTIONS_MASTER!$L$5:$L$1204,$Q138))</f>
        <v/>
      </c>
      <c r="I138" s="56" t="str">
        <f>IF($Q138="","",INDEX(TRANSACTIONS_MASTER!$N$5:$N$1204,$Q138))</f>
        <v/>
      </c>
      <c r="J138" s="25" t="str">
        <f>IF($Q138="","",INDEX(TRANSACTIONS_MASTER!$O$5:$O$1204,$Q138))</f>
        <v/>
      </c>
      <c r="K138" s="26" t="str">
        <f>IF($Q138="","",INDEX(TRANSACTIONS_MASTER!$Q$5:$Q$1204,$Q138))</f>
        <v/>
      </c>
      <c r="L138" s="25" t="str">
        <f>IF($Q138="","",INDEX(TRANSACTIONS_MASTER!$P$5:$P$1204,$Q138))</f>
        <v/>
      </c>
      <c r="M138" s="25" t="str">
        <f>IF($Q138="","",INDEX(TRANSACTIONS_MASTER!$AA$5:$AA$1204,$Q138))</f>
        <v/>
      </c>
      <c r="N138" s="25" t="str">
        <f>IF($Q138="","",INDEX(TRANSACTIONS_MASTER!$R$5:$R$1204,$Q138))</f>
        <v/>
      </c>
      <c r="O138" s="28" t="str">
        <f>IF($Q138="","",INDEX(TRANSACTIONS_MASTER!$AB$5:$AB$1204,$Q138))</f>
        <v/>
      </c>
      <c r="P138" s="55" t="str">
        <f>IF($Q138="","",INDEX(TRANSACTIONS_MASTER!$Z$5:$Z$1204,$Q138)&amp;"")</f>
        <v/>
      </c>
      <c r="Q138" s="67" t="str">
        <f>IFERROR(MATCH($C$2&amp;"|"&amp;131,TRANSACTIONS_MASTER!$AE$5:$AE$1204,0),"")</f>
        <v/>
      </c>
      <c r="S138" s="67" t="str">
        <f>IFERROR(MATCH(1,INDEX((TRANSACTIONS_MASTER!$C$5:$C$1204=$C$2)*(TRANSACTIONS_MASTER!$AJ$5:$AJ$1204=1),0),0),"")</f>
        <v/>
      </c>
      <c r="T138" s="29" t="str">
        <f>IF($S138="","",INDEX(TRANSACTIONS_MASTER!$I$5:$I$1204,$S138))</f>
        <v/>
      </c>
      <c r="U138" s="55" t="str">
        <f>IF($S138="","",INDEX(TRANSACTIONS_MASTER!$J$5:$J$1204,$S138))</f>
        <v/>
      </c>
      <c r="V138" s="25" t="str">
        <f>IF($S138="","",SUMIFS(TRANSACTIONS_MASTER!$L$5:$L$1204,TRANSACTIONS_MASTER!$I$5:$I$1204,$T138,TRANSACTIONS_MASTER!$C$5:$C$1204,$C$2,TRANSACTIONS_MASTER!$U$5:$U$1204,"&lt;&gt;Cancelled"))</f>
        <v/>
      </c>
      <c r="W138" s="26" t="str">
        <f>IF($S138="","",SUMIFS(TRANSACTIONS_MASTER!$Q$5:$Q$1204,TRANSACTIONS_MASTER!$I$5:$I$1204,$T138,TRANSACTIONS_MASTER!$C$5:$C$1204,$C$2))</f>
        <v/>
      </c>
    </row>
    <row r="139">
      <c r="A139" s="81" t="str">
        <f>IF($Q139="","",132)</f>
        <v/>
      </c>
      <c r="B139" s="57" t="str">
        <f>IF($Q139="","",INDEX(TRANSACTIONS_MASTER!$B$5:$B$1204,$Q139))</f>
        <v/>
      </c>
      <c r="C139" s="55" t="str">
        <f>IF($Q139="","",INDEX(TRANSACTIONS_MASTER!$F$5:$F$1204,$Q139))</f>
        <v/>
      </c>
      <c r="D139" s="55" t="str">
        <f>IF($Q139="","",INDEX(TRANSACTIONS_MASTER!$E$5:$E$1204,$Q139))</f>
        <v/>
      </c>
      <c r="E139" s="55" t="str">
        <f>IF($Q139="","",INDEX(TRANSACTIONS_MASTER!$G$5:$G$1204,$Q139)&amp;"")</f>
        <v/>
      </c>
      <c r="F139" s="29" t="str">
        <f>IF($Q139="","",INDEX(TRANSACTIONS_MASTER!$I$5:$I$1204,$Q139))</f>
        <v/>
      </c>
      <c r="G139" s="55" t="str">
        <f>IF($Q139="","",INDEX(TRANSACTIONS_MASTER!$K$5:$K$1204,$Q139))</f>
        <v/>
      </c>
      <c r="H139" s="25" t="str">
        <f>IF($Q139="","",INDEX(TRANSACTIONS_MASTER!$L$5:$L$1204,$Q139))</f>
        <v/>
      </c>
      <c r="I139" s="56" t="str">
        <f>IF($Q139="","",INDEX(TRANSACTIONS_MASTER!$N$5:$N$1204,$Q139))</f>
        <v/>
      </c>
      <c r="J139" s="25" t="str">
        <f>IF($Q139="","",INDEX(TRANSACTIONS_MASTER!$O$5:$O$1204,$Q139))</f>
        <v/>
      </c>
      <c r="K139" s="26" t="str">
        <f>IF($Q139="","",INDEX(TRANSACTIONS_MASTER!$Q$5:$Q$1204,$Q139))</f>
        <v/>
      </c>
      <c r="L139" s="25" t="str">
        <f>IF($Q139="","",INDEX(TRANSACTIONS_MASTER!$P$5:$P$1204,$Q139))</f>
        <v/>
      </c>
      <c r="M139" s="25" t="str">
        <f>IF($Q139="","",INDEX(TRANSACTIONS_MASTER!$AA$5:$AA$1204,$Q139))</f>
        <v/>
      </c>
      <c r="N139" s="25" t="str">
        <f>IF($Q139="","",INDEX(TRANSACTIONS_MASTER!$R$5:$R$1204,$Q139))</f>
        <v/>
      </c>
      <c r="O139" s="28" t="str">
        <f>IF($Q139="","",INDEX(TRANSACTIONS_MASTER!$AB$5:$AB$1204,$Q139))</f>
        <v/>
      </c>
      <c r="P139" s="55" t="str">
        <f>IF($Q139="","",INDEX(TRANSACTIONS_MASTER!$Z$5:$Z$1204,$Q139)&amp;"")</f>
        <v/>
      </c>
      <c r="Q139" s="67" t="str">
        <f>IFERROR(MATCH($C$2&amp;"|"&amp;132,TRANSACTIONS_MASTER!$AE$5:$AE$1204,0),"")</f>
        <v/>
      </c>
      <c r="S139" s="67" t="str">
        <f>IFERROR(MATCH(1,INDEX((TRANSACTIONS_MASTER!$C$5:$C$1204=$C$2)*(TRANSACTIONS_MASTER!$AJ$5:$AJ$1204=2),0),0),"")</f>
        <v/>
      </c>
      <c r="T139" s="29" t="str">
        <f>IF($S139="","",INDEX(TRANSACTIONS_MASTER!$I$5:$I$1204,$S139))</f>
        <v/>
      </c>
      <c r="U139" s="55" t="str">
        <f>IF($S139="","",INDEX(TRANSACTIONS_MASTER!$J$5:$J$1204,$S139))</f>
        <v/>
      </c>
      <c r="V139" s="25" t="str">
        <f>IF($S139="","",SUMIFS(TRANSACTIONS_MASTER!$L$5:$L$1204,TRANSACTIONS_MASTER!$I$5:$I$1204,$T139,TRANSACTIONS_MASTER!$C$5:$C$1204,$C$2,TRANSACTIONS_MASTER!$U$5:$U$1204,"&lt;&gt;Cancelled"))</f>
        <v/>
      </c>
      <c r="W139" s="26" t="str">
        <f>IF($S139="","",SUMIFS(TRANSACTIONS_MASTER!$Q$5:$Q$1204,TRANSACTIONS_MASTER!$I$5:$I$1204,$T139,TRANSACTIONS_MASTER!$C$5:$C$1204,$C$2))</f>
        <v/>
      </c>
    </row>
    <row r="140">
      <c r="A140" s="81" t="str">
        <f>IF($Q140="","",133)</f>
        <v/>
      </c>
      <c r="B140" s="57" t="str">
        <f>IF($Q140="","",INDEX(TRANSACTIONS_MASTER!$B$5:$B$1204,$Q140))</f>
        <v/>
      </c>
      <c r="C140" s="55" t="str">
        <f>IF($Q140="","",INDEX(TRANSACTIONS_MASTER!$F$5:$F$1204,$Q140))</f>
        <v/>
      </c>
      <c r="D140" s="55" t="str">
        <f>IF($Q140="","",INDEX(TRANSACTIONS_MASTER!$E$5:$E$1204,$Q140))</f>
        <v/>
      </c>
      <c r="E140" s="55" t="str">
        <f>IF($Q140="","",INDEX(TRANSACTIONS_MASTER!$G$5:$G$1204,$Q140)&amp;"")</f>
        <v/>
      </c>
      <c r="F140" s="29" t="str">
        <f>IF($Q140="","",INDEX(TRANSACTIONS_MASTER!$I$5:$I$1204,$Q140))</f>
        <v/>
      </c>
      <c r="G140" s="55" t="str">
        <f>IF($Q140="","",INDEX(TRANSACTIONS_MASTER!$K$5:$K$1204,$Q140))</f>
        <v/>
      </c>
      <c r="H140" s="25" t="str">
        <f>IF($Q140="","",INDEX(TRANSACTIONS_MASTER!$L$5:$L$1204,$Q140))</f>
        <v/>
      </c>
      <c r="I140" s="56" t="str">
        <f>IF($Q140="","",INDEX(TRANSACTIONS_MASTER!$N$5:$N$1204,$Q140))</f>
        <v/>
      </c>
      <c r="J140" s="25" t="str">
        <f>IF($Q140="","",INDEX(TRANSACTIONS_MASTER!$O$5:$O$1204,$Q140))</f>
        <v/>
      </c>
      <c r="K140" s="26" t="str">
        <f>IF($Q140="","",INDEX(TRANSACTIONS_MASTER!$Q$5:$Q$1204,$Q140))</f>
        <v/>
      </c>
      <c r="L140" s="25" t="str">
        <f>IF($Q140="","",INDEX(TRANSACTIONS_MASTER!$P$5:$P$1204,$Q140))</f>
        <v/>
      </c>
      <c r="M140" s="25" t="str">
        <f>IF($Q140="","",INDEX(TRANSACTIONS_MASTER!$AA$5:$AA$1204,$Q140))</f>
        <v/>
      </c>
      <c r="N140" s="25" t="str">
        <f>IF($Q140="","",INDEX(TRANSACTIONS_MASTER!$R$5:$R$1204,$Q140))</f>
        <v/>
      </c>
      <c r="O140" s="28" t="str">
        <f>IF($Q140="","",INDEX(TRANSACTIONS_MASTER!$AB$5:$AB$1204,$Q140))</f>
        <v/>
      </c>
      <c r="P140" s="55" t="str">
        <f>IF($Q140="","",INDEX(TRANSACTIONS_MASTER!$Z$5:$Z$1204,$Q140)&amp;"")</f>
        <v/>
      </c>
      <c r="Q140" s="67" t="str">
        <f>IFERROR(MATCH($C$2&amp;"|"&amp;133,TRANSACTIONS_MASTER!$AE$5:$AE$1204,0),"")</f>
        <v/>
      </c>
      <c r="S140" s="67" t="str">
        <f>IFERROR(MATCH(1,INDEX((TRANSACTIONS_MASTER!$C$5:$C$1204=$C$2)*(TRANSACTIONS_MASTER!$AJ$5:$AJ$1204=3),0),0),"")</f>
        <v/>
      </c>
      <c r="T140" s="29" t="str">
        <f>IF($S140="","",INDEX(TRANSACTIONS_MASTER!$I$5:$I$1204,$S140))</f>
        <v/>
      </c>
      <c r="U140" s="55" t="str">
        <f>IF($S140="","",INDEX(TRANSACTIONS_MASTER!$J$5:$J$1204,$S140))</f>
        <v/>
      </c>
      <c r="V140" s="25" t="str">
        <f>IF($S140="","",SUMIFS(TRANSACTIONS_MASTER!$L$5:$L$1204,TRANSACTIONS_MASTER!$I$5:$I$1204,$T140,TRANSACTIONS_MASTER!$C$5:$C$1204,$C$2,TRANSACTIONS_MASTER!$U$5:$U$1204,"&lt;&gt;Cancelled"))</f>
        <v/>
      </c>
      <c r="W140" s="26" t="str">
        <f>IF($S140="","",SUMIFS(TRANSACTIONS_MASTER!$Q$5:$Q$1204,TRANSACTIONS_MASTER!$I$5:$I$1204,$T140,TRANSACTIONS_MASTER!$C$5:$C$1204,$C$2))</f>
        <v/>
      </c>
    </row>
    <row r="141">
      <c r="A141" s="81" t="str">
        <f>IF($Q141="","",134)</f>
        <v/>
      </c>
      <c r="B141" s="57" t="str">
        <f>IF($Q141="","",INDEX(TRANSACTIONS_MASTER!$B$5:$B$1204,$Q141))</f>
        <v/>
      </c>
      <c r="C141" s="55" t="str">
        <f>IF($Q141="","",INDEX(TRANSACTIONS_MASTER!$F$5:$F$1204,$Q141))</f>
        <v/>
      </c>
      <c r="D141" s="55" t="str">
        <f>IF($Q141="","",INDEX(TRANSACTIONS_MASTER!$E$5:$E$1204,$Q141))</f>
        <v/>
      </c>
      <c r="E141" s="55" t="str">
        <f>IF($Q141="","",INDEX(TRANSACTIONS_MASTER!$G$5:$G$1204,$Q141)&amp;"")</f>
        <v/>
      </c>
      <c r="F141" s="29" t="str">
        <f>IF($Q141="","",INDEX(TRANSACTIONS_MASTER!$I$5:$I$1204,$Q141))</f>
        <v/>
      </c>
      <c r="G141" s="55" t="str">
        <f>IF($Q141="","",INDEX(TRANSACTIONS_MASTER!$K$5:$K$1204,$Q141))</f>
        <v/>
      </c>
      <c r="H141" s="25" t="str">
        <f>IF($Q141="","",INDEX(TRANSACTIONS_MASTER!$L$5:$L$1204,$Q141))</f>
        <v/>
      </c>
      <c r="I141" s="56" t="str">
        <f>IF($Q141="","",INDEX(TRANSACTIONS_MASTER!$N$5:$N$1204,$Q141))</f>
        <v/>
      </c>
      <c r="J141" s="25" t="str">
        <f>IF($Q141="","",INDEX(TRANSACTIONS_MASTER!$O$5:$O$1204,$Q141))</f>
        <v/>
      </c>
      <c r="K141" s="26" t="str">
        <f>IF($Q141="","",INDEX(TRANSACTIONS_MASTER!$Q$5:$Q$1204,$Q141))</f>
        <v/>
      </c>
      <c r="L141" s="25" t="str">
        <f>IF($Q141="","",INDEX(TRANSACTIONS_MASTER!$P$5:$P$1204,$Q141))</f>
        <v/>
      </c>
      <c r="M141" s="25" t="str">
        <f>IF($Q141="","",INDEX(TRANSACTIONS_MASTER!$AA$5:$AA$1204,$Q141))</f>
        <v/>
      </c>
      <c r="N141" s="25" t="str">
        <f>IF($Q141="","",INDEX(TRANSACTIONS_MASTER!$R$5:$R$1204,$Q141))</f>
        <v/>
      </c>
      <c r="O141" s="28" t="str">
        <f>IF($Q141="","",INDEX(TRANSACTIONS_MASTER!$AB$5:$AB$1204,$Q141))</f>
        <v/>
      </c>
      <c r="P141" s="55" t="str">
        <f>IF($Q141="","",INDEX(TRANSACTIONS_MASTER!$Z$5:$Z$1204,$Q141)&amp;"")</f>
        <v/>
      </c>
      <c r="Q141" s="67" t="str">
        <f>IFERROR(MATCH($C$2&amp;"|"&amp;134,TRANSACTIONS_MASTER!$AE$5:$AE$1204,0),"")</f>
        <v/>
      </c>
      <c r="S141" s="67" t="str">
        <f>IFERROR(MATCH(1,INDEX((TRANSACTIONS_MASTER!$C$5:$C$1204=$C$2)*(TRANSACTIONS_MASTER!$AJ$5:$AJ$1204=4),0),0),"")</f>
        <v/>
      </c>
      <c r="T141" s="29" t="str">
        <f>IF($S141="","",INDEX(TRANSACTIONS_MASTER!$I$5:$I$1204,$S141))</f>
        <v/>
      </c>
      <c r="U141" s="55" t="str">
        <f>IF($S141="","",INDEX(TRANSACTIONS_MASTER!$J$5:$J$1204,$S141))</f>
        <v/>
      </c>
      <c r="V141" s="25" t="str">
        <f>IF($S141="","",SUMIFS(TRANSACTIONS_MASTER!$L$5:$L$1204,TRANSACTIONS_MASTER!$I$5:$I$1204,$T141,TRANSACTIONS_MASTER!$C$5:$C$1204,$C$2,TRANSACTIONS_MASTER!$U$5:$U$1204,"&lt;&gt;Cancelled"))</f>
        <v/>
      </c>
      <c r="W141" s="26" t="str">
        <f>IF($S141="","",SUMIFS(TRANSACTIONS_MASTER!$Q$5:$Q$1204,TRANSACTIONS_MASTER!$I$5:$I$1204,$T141,TRANSACTIONS_MASTER!$C$5:$C$1204,$C$2))</f>
        <v/>
      </c>
    </row>
    <row r="142">
      <c r="A142" s="81" t="str">
        <f>IF($Q142="","",135)</f>
        <v/>
      </c>
      <c r="B142" s="57" t="str">
        <f>IF($Q142="","",INDEX(TRANSACTIONS_MASTER!$B$5:$B$1204,$Q142))</f>
        <v/>
      </c>
      <c r="C142" s="55" t="str">
        <f>IF($Q142="","",INDEX(TRANSACTIONS_MASTER!$F$5:$F$1204,$Q142))</f>
        <v/>
      </c>
      <c r="D142" s="55" t="str">
        <f>IF($Q142="","",INDEX(TRANSACTIONS_MASTER!$E$5:$E$1204,$Q142))</f>
        <v/>
      </c>
      <c r="E142" s="55" t="str">
        <f>IF($Q142="","",INDEX(TRANSACTIONS_MASTER!$G$5:$G$1204,$Q142)&amp;"")</f>
        <v/>
      </c>
      <c r="F142" s="29" t="str">
        <f>IF($Q142="","",INDEX(TRANSACTIONS_MASTER!$I$5:$I$1204,$Q142))</f>
        <v/>
      </c>
      <c r="G142" s="55" t="str">
        <f>IF($Q142="","",INDEX(TRANSACTIONS_MASTER!$K$5:$K$1204,$Q142))</f>
        <v/>
      </c>
      <c r="H142" s="25" t="str">
        <f>IF($Q142="","",INDEX(TRANSACTIONS_MASTER!$L$5:$L$1204,$Q142))</f>
        <v/>
      </c>
      <c r="I142" s="56" t="str">
        <f>IF($Q142="","",INDEX(TRANSACTIONS_MASTER!$N$5:$N$1204,$Q142))</f>
        <v/>
      </c>
      <c r="J142" s="25" t="str">
        <f>IF($Q142="","",INDEX(TRANSACTIONS_MASTER!$O$5:$O$1204,$Q142))</f>
        <v/>
      </c>
      <c r="K142" s="26" t="str">
        <f>IF($Q142="","",INDEX(TRANSACTIONS_MASTER!$Q$5:$Q$1204,$Q142))</f>
        <v/>
      </c>
      <c r="L142" s="25" t="str">
        <f>IF($Q142="","",INDEX(TRANSACTIONS_MASTER!$P$5:$P$1204,$Q142))</f>
        <v/>
      </c>
      <c r="M142" s="25" t="str">
        <f>IF($Q142="","",INDEX(TRANSACTIONS_MASTER!$AA$5:$AA$1204,$Q142))</f>
        <v/>
      </c>
      <c r="N142" s="25" t="str">
        <f>IF($Q142="","",INDEX(TRANSACTIONS_MASTER!$R$5:$R$1204,$Q142))</f>
        <v/>
      </c>
      <c r="O142" s="28" t="str">
        <f>IF($Q142="","",INDEX(TRANSACTIONS_MASTER!$AB$5:$AB$1204,$Q142))</f>
        <v/>
      </c>
      <c r="P142" s="55" t="str">
        <f>IF($Q142="","",INDEX(TRANSACTIONS_MASTER!$Z$5:$Z$1204,$Q142)&amp;"")</f>
        <v/>
      </c>
      <c r="Q142" s="67" t="str">
        <f>IFERROR(MATCH($C$2&amp;"|"&amp;135,TRANSACTIONS_MASTER!$AE$5:$AE$1204,0),"")</f>
        <v/>
      </c>
      <c r="S142" s="67" t="str">
        <f>IFERROR(MATCH(1,INDEX((TRANSACTIONS_MASTER!$C$5:$C$1204=$C$2)*(TRANSACTIONS_MASTER!$AJ$5:$AJ$1204=5),0),0),"")</f>
        <v/>
      </c>
      <c r="T142" s="29" t="str">
        <f>IF($S142="","",INDEX(TRANSACTIONS_MASTER!$I$5:$I$1204,$S142))</f>
        <v/>
      </c>
      <c r="U142" s="55" t="str">
        <f>IF($S142="","",INDEX(TRANSACTIONS_MASTER!$J$5:$J$1204,$S142))</f>
        <v/>
      </c>
      <c r="V142" s="25" t="str">
        <f>IF($S142="","",SUMIFS(TRANSACTIONS_MASTER!$L$5:$L$1204,TRANSACTIONS_MASTER!$I$5:$I$1204,$T142,TRANSACTIONS_MASTER!$C$5:$C$1204,$C$2,TRANSACTIONS_MASTER!$U$5:$U$1204,"&lt;&gt;Cancelled"))</f>
        <v/>
      </c>
      <c r="W142" s="26" t="str">
        <f>IF($S142="","",SUMIFS(TRANSACTIONS_MASTER!$Q$5:$Q$1204,TRANSACTIONS_MASTER!$I$5:$I$1204,$T142,TRANSACTIONS_MASTER!$C$5:$C$1204,$C$2))</f>
        <v/>
      </c>
    </row>
    <row r="143">
      <c r="A143" s="81" t="str">
        <f>IF($Q143="","",136)</f>
        <v/>
      </c>
      <c r="B143" s="57" t="str">
        <f>IF($Q143="","",INDEX(TRANSACTIONS_MASTER!$B$5:$B$1204,$Q143))</f>
        <v/>
      </c>
      <c r="C143" s="55" t="str">
        <f>IF($Q143="","",INDEX(TRANSACTIONS_MASTER!$F$5:$F$1204,$Q143))</f>
        <v/>
      </c>
      <c r="D143" s="55" t="str">
        <f>IF($Q143="","",INDEX(TRANSACTIONS_MASTER!$E$5:$E$1204,$Q143))</f>
        <v/>
      </c>
      <c r="E143" s="55" t="str">
        <f>IF($Q143="","",INDEX(TRANSACTIONS_MASTER!$G$5:$G$1204,$Q143)&amp;"")</f>
        <v/>
      </c>
      <c r="F143" s="29" t="str">
        <f>IF($Q143="","",INDEX(TRANSACTIONS_MASTER!$I$5:$I$1204,$Q143))</f>
        <v/>
      </c>
      <c r="G143" s="55" t="str">
        <f>IF($Q143="","",INDEX(TRANSACTIONS_MASTER!$K$5:$K$1204,$Q143))</f>
        <v/>
      </c>
      <c r="H143" s="25" t="str">
        <f>IF($Q143="","",INDEX(TRANSACTIONS_MASTER!$L$5:$L$1204,$Q143))</f>
        <v/>
      </c>
      <c r="I143" s="56" t="str">
        <f>IF($Q143="","",INDEX(TRANSACTIONS_MASTER!$N$5:$N$1204,$Q143))</f>
        <v/>
      </c>
      <c r="J143" s="25" t="str">
        <f>IF($Q143="","",INDEX(TRANSACTIONS_MASTER!$O$5:$O$1204,$Q143))</f>
        <v/>
      </c>
      <c r="K143" s="26" t="str">
        <f>IF($Q143="","",INDEX(TRANSACTIONS_MASTER!$Q$5:$Q$1204,$Q143))</f>
        <v/>
      </c>
      <c r="L143" s="25" t="str">
        <f>IF($Q143="","",INDEX(TRANSACTIONS_MASTER!$P$5:$P$1204,$Q143))</f>
        <v/>
      </c>
      <c r="M143" s="25" t="str">
        <f>IF($Q143="","",INDEX(TRANSACTIONS_MASTER!$AA$5:$AA$1204,$Q143))</f>
        <v/>
      </c>
      <c r="N143" s="25" t="str">
        <f>IF($Q143="","",INDEX(TRANSACTIONS_MASTER!$R$5:$R$1204,$Q143))</f>
        <v/>
      </c>
      <c r="O143" s="28" t="str">
        <f>IF($Q143="","",INDEX(TRANSACTIONS_MASTER!$AB$5:$AB$1204,$Q143))</f>
        <v/>
      </c>
      <c r="P143" s="55" t="str">
        <f>IF($Q143="","",INDEX(TRANSACTIONS_MASTER!$Z$5:$Z$1204,$Q143)&amp;"")</f>
        <v/>
      </c>
      <c r="Q143" s="67" t="str">
        <f>IFERROR(MATCH($C$2&amp;"|"&amp;136,TRANSACTIONS_MASTER!$AE$5:$AE$1204,0),"")</f>
        <v/>
      </c>
      <c r="S143" s="67" t="str">
        <f>IFERROR(MATCH(1,INDEX((TRANSACTIONS_MASTER!$C$5:$C$1204=$C$2)*(TRANSACTIONS_MASTER!$AJ$5:$AJ$1204=6),0),0),"")</f>
        <v/>
      </c>
      <c r="T143" s="29" t="str">
        <f>IF($S143="","",INDEX(TRANSACTIONS_MASTER!$I$5:$I$1204,$S143))</f>
        <v/>
      </c>
      <c r="U143" s="55" t="str">
        <f>IF($S143="","",INDEX(TRANSACTIONS_MASTER!$J$5:$J$1204,$S143))</f>
        <v/>
      </c>
      <c r="V143" s="25" t="str">
        <f>IF($S143="","",SUMIFS(TRANSACTIONS_MASTER!$L$5:$L$1204,TRANSACTIONS_MASTER!$I$5:$I$1204,$T143,TRANSACTIONS_MASTER!$C$5:$C$1204,$C$2,TRANSACTIONS_MASTER!$U$5:$U$1204,"&lt;&gt;Cancelled"))</f>
        <v/>
      </c>
      <c r="W143" s="26" t="str">
        <f>IF($S143="","",SUMIFS(TRANSACTIONS_MASTER!$Q$5:$Q$1204,TRANSACTIONS_MASTER!$I$5:$I$1204,$T143,TRANSACTIONS_MASTER!$C$5:$C$1204,$C$2))</f>
        <v/>
      </c>
    </row>
    <row r="144">
      <c r="A144" s="81" t="str">
        <f>IF($Q144="","",137)</f>
        <v/>
      </c>
      <c r="B144" s="57" t="str">
        <f>IF($Q144="","",INDEX(TRANSACTIONS_MASTER!$B$5:$B$1204,$Q144))</f>
        <v/>
      </c>
      <c r="C144" s="55" t="str">
        <f>IF($Q144="","",INDEX(TRANSACTIONS_MASTER!$F$5:$F$1204,$Q144))</f>
        <v/>
      </c>
      <c r="D144" s="55" t="str">
        <f>IF($Q144="","",INDEX(TRANSACTIONS_MASTER!$E$5:$E$1204,$Q144))</f>
        <v/>
      </c>
      <c r="E144" s="55" t="str">
        <f>IF($Q144="","",INDEX(TRANSACTIONS_MASTER!$G$5:$G$1204,$Q144)&amp;"")</f>
        <v/>
      </c>
      <c r="F144" s="29" t="str">
        <f>IF($Q144="","",INDEX(TRANSACTIONS_MASTER!$I$5:$I$1204,$Q144))</f>
        <v/>
      </c>
      <c r="G144" s="55" t="str">
        <f>IF($Q144="","",INDEX(TRANSACTIONS_MASTER!$K$5:$K$1204,$Q144))</f>
        <v/>
      </c>
      <c r="H144" s="25" t="str">
        <f>IF($Q144="","",INDEX(TRANSACTIONS_MASTER!$L$5:$L$1204,$Q144))</f>
        <v/>
      </c>
      <c r="I144" s="56" t="str">
        <f>IF($Q144="","",INDEX(TRANSACTIONS_MASTER!$N$5:$N$1204,$Q144))</f>
        <v/>
      </c>
      <c r="J144" s="25" t="str">
        <f>IF($Q144="","",INDEX(TRANSACTIONS_MASTER!$O$5:$O$1204,$Q144))</f>
        <v/>
      </c>
      <c r="K144" s="26" t="str">
        <f>IF($Q144="","",INDEX(TRANSACTIONS_MASTER!$Q$5:$Q$1204,$Q144))</f>
        <v/>
      </c>
      <c r="L144" s="25" t="str">
        <f>IF($Q144="","",INDEX(TRANSACTIONS_MASTER!$P$5:$P$1204,$Q144))</f>
        <v/>
      </c>
      <c r="M144" s="25" t="str">
        <f>IF($Q144="","",INDEX(TRANSACTIONS_MASTER!$AA$5:$AA$1204,$Q144))</f>
        <v/>
      </c>
      <c r="N144" s="25" t="str">
        <f>IF($Q144="","",INDEX(TRANSACTIONS_MASTER!$R$5:$R$1204,$Q144))</f>
        <v/>
      </c>
      <c r="O144" s="28" t="str">
        <f>IF($Q144="","",INDEX(TRANSACTIONS_MASTER!$AB$5:$AB$1204,$Q144))</f>
        <v/>
      </c>
      <c r="P144" s="55" t="str">
        <f>IF($Q144="","",INDEX(TRANSACTIONS_MASTER!$Z$5:$Z$1204,$Q144)&amp;"")</f>
        <v/>
      </c>
      <c r="Q144" s="67" t="str">
        <f>IFERROR(MATCH($C$2&amp;"|"&amp;137,TRANSACTIONS_MASTER!$AE$5:$AE$1204,0),"")</f>
        <v/>
      </c>
      <c r="S144" s="67" t="str">
        <f>IFERROR(MATCH(1,INDEX((TRANSACTIONS_MASTER!$C$5:$C$1204=$C$2)*(TRANSACTIONS_MASTER!$AJ$5:$AJ$1204=7),0),0),"")</f>
        <v/>
      </c>
      <c r="T144" s="29" t="str">
        <f>IF($S144="","",INDEX(TRANSACTIONS_MASTER!$I$5:$I$1204,$S144))</f>
        <v/>
      </c>
      <c r="U144" s="55" t="str">
        <f>IF($S144="","",INDEX(TRANSACTIONS_MASTER!$J$5:$J$1204,$S144))</f>
        <v/>
      </c>
      <c r="V144" s="25" t="str">
        <f>IF($S144="","",SUMIFS(TRANSACTIONS_MASTER!$L$5:$L$1204,TRANSACTIONS_MASTER!$I$5:$I$1204,$T144,TRANSACTIONS_MASTER!$C$5:$C$1204,$C$2,TRANSACTIONS_MASTER!$U$5:$U$1204,"&lt;&gt;Cancelled"))</f>
        <v/>
      </c>
      <c r="W144" s="26" t="str">
        <f>IF($S144="","",SUMIFS(TRANSACTIONS_MASTER!$Q$5:$Q$1204,TRANSACTIONS_MASTER!$I$5:$I$1204,$T144,TRANSACTIONS_MASTER!$C$5:$C$1204,$C$2))</f>
        <v/>
      </c>
    </row>
    <row r="145">
      <c r="A145" s="81" t="str">
        <f>IF($Q145="","",138)</f>
        <v/>
      </c>
      <c r="B145" s="57" t="str">
        <f>IF($Q145="","",INDEX(TRANSACTIONS_MASTER!$B$5:$B$1204,$Q145))</f>
        <v/>
      </c>
      <c r="C145" s="55" t="str">
        <f>IF($Q145="","",INDEX(TRANSACTIONS_MASTER!$F$5:$F$1204,$Q145))</f>
        <v/>
      </c>
      <c r="D145" s="55" t="str">
        <f>IF($Q145="","",INDEX(TRANSACTIONS_MASTER!$E$5:$E$1204,$Q145))</f>
        <v/>
      </c>
      <c r="E145" s="55" t="str">
        <f>IF($Q145="","",INDEX(TRANSACTIONS_MASTER!$G$5:$G$1204,$Q145)&amp;"")</f>
        <v/>
      </c>
      <c r="F145" s="29" t="str">
        <f>IF($Q145="","",INDEX(TRANSACTIONS_MASTER!$I$5:$I$1204,$Q145))</f>
        <v/>
      </c>
      <c r="G145" s="55" t="str">
        <f>IF($Q145="","",INDEX(TRANSACTIONS_MASTER!$K$5:$K$1204,$Q145))</f>
        <v/>
      </c>
      <c r="H145" s="25" t="str">
        <f>IF($Q145="","",INDEX(TRANSACTIONS_MASTER!$L$5:$L$1204,$Q145))</f>
        <v/>
      </c>
      <c r="I145" s="56" t="str">
        <f>IF($Q145="","",INDEX(TRANSACTIONS_MASTER!$N$5:$N$1204,$Q145))</f>
        <v/>
      </c>
      <c r="J145" s="25" t="str">
        <f>IF($Q145="","",INDEX(TRANSACTIONS_MASTER!$O$5:$O$1204,$Q145))</f>
        <v/>
      </c>
      <c r="K145" s="26" t="str">
        <f>IF($Q145="","",INDEX(TRANSACTIONS_MASTER!$Q$5:$Q$1204,$Q145))</f>
        <v/>
      </c>
      <c r="L145" s="25" t="str">
        <f>IF($Q145="","",INDEX(TRANSACTIONS_MASTER!$P$5:$P$1204,$Q145))</f>
        <v/>
      </c>
      <c r="M145" s="25" t="str">
        <f>IF($Q145="","",INDEX(TRANSACTIONS_MASTER!$AA$5:$AA$1204,$Q145))</f>
        <v/>
      </c>
      <c r="N145" s="25" t="str">
        <f>IF($Q145="","",INDEX(TRANSACTIONS_MASTER!$R$5:$R$1204,$Q145))</f>
        <v/>
      </c>
      <c r="O145" s="28" t="str">
        <f>IF($Q145="","",INDEX(TRANSACTIONS_MASTER!$AB$5:$AB$1204,$Q145))</f>
        <v/>
      </c>
      <c r="P145" s="55" t="str">
        <f>IF($Q145="","",INDEX(TRANSACTIONS_MASTER!$Z$5:$Z$1204,$Q145)&amp;"")</f>
        <v/>
      </c>
      <c r="Q145" s="67" t="str">
        <f>IFERROR(MATCH($C$2&amp;"|"&amp;138,TRANSACTIONS_MASTER!$AE$5:$AE$1204,0),"")</f>
        <v/>
      </c>
      <c r="S145" s="67" t="str">
        <f>IFERROR(MATCH(1,INDEX((TRANSACTIONS_MASTER!$C$5:$C$1204=$C$2)*(TRANSACTIONS_MASTER!$AJ$5:$AJ$1204=8),0),0),"")</f>
        <v/>
      </c>
      <c r="T145" s="29" t="str">
        <f>IF($S145="","",INDEX(TRANSACTIONS_MASTER!$I$5:$I$1204,$S145))</f>
        <v/>
      </c>
      <c r="U145" s="55" t="str">
        <f>IF($S145="","",INDEX(TRANSACTIONS_MASTER!$J$5:$J$1204,$S145))</f>
        <v/>
      </c>
      <c r="V145" s="25" t="str">
        <f>IF($S145="","",SUMIFS(TRANSACTIONS_MASTER!$L$5:$L$1204,TRANSACTIONS_MASTER!$I$5:$I$1204,$T145,TRANSACTIONS_MASTER!$C$5:$C$1204,$C$2,TRANSACTIONS_MASTER!$U$5:$U$1204,"&lt;&gt;Cancelled"))</f>
        <v/>
      </c>
      <c r="W145" s="26" t="str">
        <f>IF($S145="","",SUMIFS(TRANSACTIONS_MASTER!$Q$5:$Q$1204,TRANSACTIONS_MASTER!$I$5:$I$1204,$T145,TRANSACTIONS_MASTER!$C$5:$C$1204,$C$2))</f>
        <v/>
      </c>
    </row>
    <row r="146">
      <c r="A146" s="81" t="str">
        <f>IF($Q146="","",139)</f>
        <v/>
      </c>
      <c r="B146" s="57" t="str">
        <f>IF($Q146="","",INDEX(TRANSACTIONS_MASTER!$B$5:$B$1204,$Q146))</f>
        <v/>
      </c>
      <c r="C146" s="55" t="str">
        <f>IF($Q146="","",INDEX(TRANSACTIONS_MASTER!$F$5:$F$1204,$Q146))</f>
        <v/>
      </c>
      <c r="D146" s="55" t="str">
        <f>IF($Q146="","",INDEX(TRANSACTIONS_MASTER!$E$5:$E$1204,$Q146))</f>
        <v/>
      </c>
      <c r="E146" s="55" t="str">
        <f>IF($Q146="","",INDEX(TRANSACTIONS_MASTER!$G$5:$G$1204,$Q146)&amp;"")</f>
        <v/>
      </c>
      <c r="F146" s="29" t="str">
        <f>IF($Q146="","",INDEX(TRANSACTIONS_MASTER!$I$5:$I$1204,$Q146))</f>
        <v/>
      </c>
      <c r="G146" s="55" t="str">
        <f>IF($Q146="","",INDEX(TRANSACTIONS_MASTER!$K$5:$K$1204,$Q146))</f>
        <v/>
      </c>
      <c r="H146" s="25" t="str">
        <f>IF($Q146="","",INDEX(TRANSACTIONS_MASTER!$L$5:$L$1204,$Q146))</f>
        <v/>
      </c>
      <c r="I146" s="56" t="str">
        <f>IF($Q146="","",INDEX(TRANSACTIONS_MASTER!$N$5:$N$1204,$Q146))</f>
        <v/>
      </c>
      <c r="J146" s="25" t="str">
        <f>IF($Q146="","",INDEX(TRANSACTIONS_MASTER!$O$5:$O$1204,$Q146))</f>
        <v/>
      </c>
      <c r="K146" s="26" t="str">
        <f>IF($Q146="","",INDEX(TRANSACTIONS_MASTER!$Q$5:$Q$1204,$Q146))</f>
        <v/>
      </c>
      <c r="L146" s="25" t="str">
        <f>IF($Q146="","",INDEX(TRANSACTIONS_MASTER!$P$5:$P$1204,$Q146))</f>
        <v/>
      </c>
      <c r="M146" s="25" t="str">
        <f>IF($Q146="","",INDEX(TRANSACTIONS_MASTER!$AA$5:$AA$1204,$Q146))</f>
        <v/>
      </c>
      <c r="N146" s="25" t="str">
        <f>IF($Q146="","",INDEX(TRANSACTIONS_MASTER!$R$5:$R$1204,$Q146))</f>
        <v/>
      </c>
      <c r="O146" s="28" t="str">
        <f>IF($Q146="","",INDEX(TRANSACTIONS_MASTER!$AB$5:$AB$1204,$Q146))</f>
        <v/>
      </c>
      <c r="P146" s="55" t="str">
        <f>IF($Q146="","",INDEX(TRANSACTIONS_MASTER!$Z$5:$Z$1204,$Q146)&amp;"")</f>
        <v/>
      </c>
      <c r="Q146" s="67" t="str">
        <f>IFERROR(MATCH($C$2&amp;"|"&amp;139,TRANSACTIONS_MASTER!$AE$5:$AE$1204,0),"")</f>
        <v/>
      </c>
      <c r="S146" s="67" t="str">
        <f>IFERROR(MATCH(1,INDEX((TRANSACTIONS_MASTER!$C$5:$C$1204=$C$2)*(TRANSACTIONS_MASTER!$AJ$5:$AJ$1204=9),0),0),"")</f>
        <v/>
      </c>
      <c r="T146" s="29" t="str">
        <f>IF($S146="","",INDEX(TRANSACTIONS_MASTER!$I$5:$I$1204,$S146))</f>
        <v/>
      </c>
      <c r="U146" s="55" t="str">
        <f>IF($S146="","",INDEX(TRANSACTIONS_MASTER!$J$5:$J$1204,$S146))</f>
        <v/>
      </c>
      <c r="V146" s="25" t="str">
        <f>IF($S146="","",SUMIFS(TRANSACTIONS_MASTER!$L$5:$L$1204,TRANSACTIONS_MASTER!$I$5:$I$1204,$T146,TRANSACTIONS_MASTER!$C$5:$C$1204,$C$2,TRANSACTIONS_MASTER!$U$5:$U$1204,"&lt;&gt;Cancelled"))</f>
        <v/>
      </c>
      <c r="W146" s="26" t="str">
        <f>IF($S146="","",SUMIFS(TRANSACTIONS_MASTER!$Q$5:$Q$1204,TRANSACTIONS_MASTER!$I$5:$I$1204,$T146,TRANSACTIONS_MASTER!$C$5:$C$1204,$C$2))</f>
        <v/>
      </c>
    </row>
    <row r="147">
      <c r="A147" s="81" t="str">
        <f>IF($Q147="","",140)</f>
        <v/>
      </c>
      <c r="B147" s="57" t="str">
        <f>IF($Q147="","",INDEX(TRANSACTIONS_MASTER!$B$5:$B$1204,$Q147))</f>
        <v/>
      </c>
      <c r="C147" s="55" t="str">
        <f>IF($Q147="","",INDEX(TRANSACTIONS_MASTER!$F$5:$F$1204,$Q147))</f>
        <v/>
      </c>
      <c r="D147" s="55" t="str">
        <f>IF($Q147="","",INDEX(TRANSACTIONS_MASTER!$E$5:$E$1204,$Q147))</f>
        <v/>
      </c>
      <c r="E147" s="55" t="str">
        <f>IF($Q147="","",INDEX(TRANSACTIONS_MASTER!$G$5:$G$1204,$Q147)&amp;"")</f>
        <v/>
      </c>
      <c r="F147" s="29" t="str">
        <f>IF($Q147="","",INDEX(TRANSACTIONS_MASTER!$I$5:$I$1204,$Q147))</f>
        <v/>
      </c>
      <c r="G147" s="55" t="str">
        <f>IF($Q147="","",INDEX(TRANSACTIONS_MASTER!$K$5:$K$1204,$Q147))</f>
        <v/>
      </c>
      <c r="H147" s="25" t="str">
        <f>IF($Q147="","",INDEX(TRANSACTIONS_MASTER!$L$5:$L$1204,$Q147))</f>
        <v/>
      </c>
      <c r="I147" s="56" t="str">
        <f>IF($Q147="","",INDEX(TRANSACTIONS_MASTER!$N$5:$N$1204,$Q147))</f>
        <v/>
      </c>
      <c r="J147" s="25" t="str">
        <f>IF($Q147="","",INDEX(TRANSACTIONS_MASTER!$O$5:$O$1204,$Q147))</f>
        <v/>
      </c>
      <c r="K147" s="26" t="str">
        <f>IF($Q147="","",INDEX(TRANSACTIONS_MASTER!$Q$5:$Q$1204,$Q147))</f>
        <v/>
      </c>
      <c r="L147" s="25" t="str">
        <f>IF($Q147="","",INDEX(TRANSACTIONS_MASTER!$P$5:$P$1204,$Q147))</f>
        <v/>
      </c>
      <c r="M147" s="25" t="str">
        <f>IF($Q147="","",INDEX(TRANSACTIONS_MASTER!$AA$5:$AA$1204,$Q147))</f>
        <v/>
      </c>
      <c r="N147" s="25" t="str">
        <f>IF($Q147="","",INDEX(TRANSACTIONS_MASTER!$R$5:$R$1204,$Q147))</f>
        <v/>
      </c>
      <c r="O147" s="28" t="str">
        <f>IF($Q147="","",INDEX(TRANSACTIONS_MASTER!$AB$5:$AB$1204,$Q147))</f>
        <v/>
      </c>
      <c r="P147" s="55" t="str">
        <f>IF($Q147="","",INDEX(TRANSACTIONS_MASTER!$Z$5:$Z$1204,$Q147)&amp;"")</f>
        <v/>
      </c>
      <c r="Q147" s="67" t="str">
        <f>IFERROR(MATCH($C$2&amp;"|"&amp;140,TRANSACTIONS_MASTER!$AE$5:$AE$1204,0),"")</f>
        <v/>
      </c>
      <c r="S147" s="67" t="str">
        <f>IFERROR(MATCH(1,INDEX((TRANSACTIONS_MASTER!$C$5:$C$1204=$C$2)*(TRANSACTIONS_MASTER!$AJ$5:$AJ$1204=10),0),0),"")</f>
        <v/>
      </c>
      <c r="T147" s="29" t="str">
        <f>IF($S147="","",INDEX(TRANSACTIONS_MASTER!$I$5:$I$1204,$S147))</f>
        <v/>
      </c>
      <c r="U147" s="55" t="str">
        <f>IF($S147="","",INDEX(TRANSACTIONS_MASTER!$J$5:$J$1204,$S147))</f>
        <v/>
      </c>
      <c r="V147" s="25" t="str">
        <f>IF($S147="","",SUMIFS(TRANSACTIONS_MASTER!$L$5:$L$1204,TRANSACTIONS_MASTER!$I$5:$I$1204,$T147,TRANSACTIONS_MASTER!$C$5:$C$1204,$C$2,TRANSACTIONS_MASTER!$U$5:$U$1204,"&lt;&gt;Cancelled"))</f>
        <v/>
      </c>
      <c r="W147" s="26" t="str">
        <f>IF($S147="","",SUMIFS(TRANSACTIONS_MASTER!$Q$5:$Q$1204,TRANSACTIONS_MASTER!$I$5:$I$1204,$T147,TRANSACTIONS_MASTER!$C$5:$C$1204,$C$2))</f>
        <v/>
      </c>
    </row>
    <row r="148">
      <c r="A148" s="81" t="str">
        <f>IF($Q148="","",141)</f>
        <v/>
      </c>
      <c r="B148" s="57" t="str">
        <f>IF($Q148="","",INDEX(TRANSACTIONS_MASTER!$B$5:$B$1204,$Q148))</f>
        <v/>
      </c>
      <c r="C148" s="55" t="str">
        <f>IF($Q148="","",INDEX(TRANSACTIONS_MASTER!$F$5:$F$1204,$Q148))</f>
        <v/>
      </c>
      <c r="D148" s="55" t="str">
        <f>IF($Q148="","",INDEX(TRANSACTIONS_MASTER!$E$5:$E$1204,$Q148))</f>
        <v/>
      </c>
      <c r="E148" s="55" t="str">
        <f>IF($Q148="","",INDEX(TRANSACTIONS_MASTER!$G$5:$G$1204,$Q148)&amp;"")</f>
        <v/>
      </c>
      <c r="F148" s="29" t="str">
        <f>IF($Q148="","",INDEX(TRANSACTIONS_MASTER!$I$5:$I$1204,$Q148))</f>
        <v/>
      </c>
      <c r="G148" s="55" t="str">
        <f>IF($Q148="","",INDEX(TRANSACTIONS_MASTER!$K$5:$K$1204,$Q148))</f>
        <v/>
      </c>
      <c r="H148" s="25" t="str">
        <f>IF($Q148="","",INDEX(TRANSACTIONS_MASTER!$L$5:$L$1204,$Q148))</f>
        <v/>
      </c>
      <c r="I148" s="56" t="str">
        <f>IF($Q148="","",INDEX(TRANSACTIONS_MASTER!$N$5:$N$1204,$Q148))</f>
        <v/>
      </c>
      <c r="J148" s="25" t="str">
        <f>IF($Q148="","",INDEX(TRANSACTIONS_MASTER!$O$5:$O$1204,$Q148))</f>
        <v/>
      </c>
      <c r="K148" s="26" t="str">
        <f>IF($Q148="","",INDEX(TRANSACTIONS_MASTER!$Q$5:$Q$1204,$Q148))</f>
        <v/>
      </c>
      <c r="L148" s="25" t="str">
        <f>IF($Q148="","",INDEX(TRANSACTIONS_MASTER!$P$5:$P$1204,$Q148))</f>
        <v/>
      </c>
      <c r="M148" s="25" t="str">
        <f>IF($Q148="","",INDEX(TRANSACTIONS_MASTER!$AA$5:$AA$1204,$Q148))</f>
        <v/>
      </c>
      <c r="N148" s="25" t="str">
        <f>IF($Q148="","",INDEX(TRANSACTIONS_MASTER!$R$5:$R$1204,$Q148))</f>
        <v/>
      </c>
      <c r="O148" s="28" t="str">
        <f>IF($Q148="","",INDEX(TRANSACTIONS_MASTER!$AB$5:$AB$1204,$Q148))</f>
        <v/>
      </c>
      <c r="P148" s="55" t="str">
        <f>IF($Q148="","",INDEX(TRANSACTIONS_MASTER!$Z$5:$Z$1204,$Q148)&amp;"")</f>
        <v/>
      </c>
      <c r="Q148" s="67" t="str">
        <f>IFERROR(MATCH($C$2&amp;"|"&amp;141,TRANSACTIONS_MASTER!$AE$5:$AE$1204,0),"")</f>
        <v/>
      </c>
      <c r="S148" s="67" t="str">
        <f>IFERROR(MATCH(1,INDEX((TRANSACTIONS_MASTER!$C$5:$C$1204=$C$2)*(TRANSACTIONS_MASTER!$AJ$5:$AJ$1204=11),0),0),"")</f>
        <v/>
      </c>
      <c r="T148" s="29" t="str">
        <f>IF($S148="","",INDEX(TRANSACTIONS_MASTER!$I$5:$I$1204,$S148))</f>
        <v/>
      </c>
      <c r="U148" s="55" t="str">
        <f>IF($S148="","",INDEX(TRANSACTIONS_MASTER!$J$5:$J$1204,$S148))</f>
        <v/>
      </c>
      <c r="V148" s="25" t="str">
        <f>IF($S148="","",SUMIFS(TRANSACTIONS_MASTER!$L$5:$L$1204,TRANSACTIONS_MASTER!$I$5:$I$1204,$T148,TRANSACTIONS_MASTER!$C$5:$C$1204,$C$2,TRANSACTIONS_MASTER!$U$5:$U$1204,"&lt;&gt;Cancelled"))</f>
        <v/>
      </c>
      <c r="W148" s="26" t="str">
        <f>IF($S148="","",SUMIFS(TRANSACTIONS_MASTER!$Q$5:$Q$1204,TRANSACTIONS_MASTER!$I$5:$I$1204,$T148,TRANSACTIONS_MASTER!$C$5:$C$1204,$C$2))</f>
        <v/>
      </c>
    </row>
    <row r="149">
      <c r="A149" s="81" t="str">
        <f>IF($Q149="","",142)</f>
        <v/>
      </c>
      <c r="B149" s="57" t="str">
        <f>IF($Q149="","",INDEX(TRANSACTIONS_MASTER!$B$5:$B$1204,$Q149))</f>
        <v/>
      </c>
      <c r="C149" s="55" t="str">
        <f>IF($Q149="","",INDEX(TRANSACTIONS_MASTER!$F$5:$F$1204,$Q149))</f>
        <v/>
      </c>
      <c r="D149" s="55" t="str">
        <f>IF($Q149="","",INDEX(TRANSACTIONS_MASTER!$E$5:$E$1204,$Q149))</f>
        <v/>
      </c>
      <c r="E149" s="55" t="str">
        <f>IF($Q149="","",INDEX(TRANSACTIONS_MASTER!$G$5:$G$1204,$Q149)&amp;"")</f>
        <v/>
      </c>
      <c r="F149" s="29" t="str">
        <f>IF($Q149="","",INDEX(TRANSACTIONS_MASTER!$I$5:$I$1204,$Q149))</f>
        <v/>
      </c>
      <c r="G149" s="55" t="str">
        <f>IF($Q149="","",INDEX(TRANSACTIONS_MASTER!$K$5:$K$1204,$Q149))</f>
        <v/>
      </c>
      <c r="H149" s="25" t="str">
        <f>IF($Q149="","",INDEX(TRANSACTIONS_MASTER!$L$5:$L$1204,$Q149))</f>
        <v/>
      </c>
      <c r="I149" s="56" t="str">
        <f>IF($Q149="","",INDEX(TRANSACTIONS_MASTER!$N$5:$N$1204,$Q149))</f>
        <v/>
      </c>
      <c r="J149" s="25" t="str">
        <f>IF($Q149="","",INDEX(TRANSACTIONS_MASTER!$O$5:$O$1204,$Q149))</f>
        <v/>
      </c>
      <c r="K149" s="26" t="str">
        <f>IF($Q149="","",INDEX(TRANSACTIONS_MASTER!$Q$5:$Q$1204,$Q149))</f>
        <v/>
      </c>
      <c r="L149" s="25" t="str">
        <f>IF($Q149="","",INDEX(TRANSACTIONS_MASTER!$P$5:$P$1204,$Q149))</f>
        <v/>
      </c>
      <c r="M149" s="25" t="str">
        <f>IF($Q149="","",INDEX(TRANSACTIONS_MASTER!$AA$5:$AA$1204,$Q149))</f>
        <v/>
      </c>
      <c r="N149" s="25" t="str">
        <f>IF($Q149="","",INDEX(TRANSACTIONS_MASTER!$R$5:$R$1204,$Q149))</f>
        <v/>
      </c>
      <c r="O149" s="28" t="str">
        <f>IF($Q149="","",INDEX(TRANSACTIONS_MASTER!$AB$5:$AB$1204,$Q149))</f>
        <v/>
      </c>
      <c r="P149" s="55" t="str">
        <f>IF($Q149="","",INDEX(TRANSACTIONS_MASTER!$Z$5:$Z$1204,$Q149)&amp;"")</f>
        <v/>
      </c>
      <c r="Q149" s="67" t="str">
        <f>IFERROR(MATCH($C$2&amp;"|"&amp;142,TRANSACTIONS_MASTER!$AE$5:$AE$1204,0),"")</f>
        <v/>
      </c>
      <c r="S149" s="67" t="str">
        <f>IFERROR(MATCH(1,INDEX((TRANSACTIONS_MASTER!$C$5:$C$1204=$C$2)*(TRANSACTIONS_MASTER!$AJ$5:$AJ$1204=12),0),0),"")</f>
        <v/>
      </c>
      <c r="T149" s="29" t="str">
        <f>IF($S149="","",INDEX(TRANSACTIONS_MASTER!$I$5:$I$1204,$S149))</f>
        <v/>
      </c>
      <c r="U149" s="55" t="str">
        <f>IF($S149="","",INDEX(TRANSACTIONS_MASTER!$J$5:$J$1204,$S149))</f>
        <v/>
      </c>
      <c r="V149" s="25" t="str">
        <f>IF($S149="","",SUMIFS(TRANSACTIONS_MASTER!$L$5:$L$1204,TRANSACTIONS_MASTER!$I$5:$I$1204,$T149,TRANSACTIONS_MASTER!$C$5:$C$1204,$C$2,TRANSACTIONS_MASTER!$U$5:$U$1204,"&lt;&gt;Cancelled"))</f>
        <v/>
      </c>
      <c r="W149" s="26" t="str">
        <f>IF($S149="","",SUMIFS(TRANSACTIONS_MASTER!$Q$5:$Q$1204,TRANSACTIONS_MASTER!$I$5:$I$1204,$T149,TRANSACTIONS_MASTER!$C$5:$C$1204,$C$2))</f>
        <v/>
      </c>
    </row>
    <row r="150">
      <c r="A150" s="81" t="str">
        <f>IF($Q150="","",143)</f>
        <v/>
      </c>
      <c r="B150" s="57" t="str">
        <f>IF($Q150="","",INDEX(TRANSACTIONS_MASTER!$B$5:$B$1204,$Q150))</f>
        <v/>
      </c>
      <c r="C150" s="55" t="str">
        <f>IF($Q150="","",INDEX(TRANSACTIONS_MASTER!$F$5:$F$1204,$Q150))</f>
        <v/>
      </c>
      <c r="D150" s="55" t="str">
        <f>IF($Q150="","",INDEX(TRANSACTIONS_MASTER!$E$5:$E$1204,$Q150))</f>
        <v/>
      </c>
      <c r="E150" s="55" t="str">
        <f>IF($Q150="","",INDEX(TRANSACTIONS_MASTER!$G$5:$G$1204,$Q150)&amp;"")</f>
        <v/>
      </c>
      <c r="F150" s="29" t="str">
        <f>IF($Q150="","",INDEX(TRANSACTIONS_MASTER!$I$5:$I$1204,$Q150))</f>
        <v/>
      </c>
      <c r="G150" s="55" t="str">
        <f>IF($Q150="","",INDEX(TRANSACTIONS_MASTER!$K$5:$K$1204,$Q150))</f>
        <v/>
      </c>
      <c r="H150" s="25" t="str">
        <f>IF($Q150="","",INDEX(TRANSACTIONS_MASTER!$L$5:$L$1204,$Q150))</f>
        <v/>
      </c>
      <c r="I150" s="56" t="str">
        <f>IF($Q150="","",INDEX(TRANSACTIONS_MASTER!$N$5:$N$1204,$Q150))</f>
        <v/>
      </c>
      <c r="J150" s="25" t="str">
        <f>IF($Q150="","",INDEX(TRANSACTIONS_MASTER!$O$5:$O$1204,$Q150))</f>
        <v/>
      </c>
      <c r="K150" s="26" t="str">
        <f>IF($Q150="","",INDEX(TRANSACTIONS_MASTER!$Q$5:$Q$1204,$Q150))</f>
        <v/>
      </c>
      <c r="L150" s="25" t="str">
        <f>IF($Q150="","",INDEX(TRANSACTIONS_MASTER!$P$5:$P$1204,$Q150))</f>
        <v/>
      </c>
      <c r="M150" s="25" t="str">
        <f>IF($Q150="","",INDEX(TRANSACTIONS_MASTER!$AA$5:$AA$1204,$Q150))</f>
        <v/>
      </c>
      <c r="N150" s="25" t="str">
        <f>IF($Q150="","",INDEX(TRANSACTIONS_MASTER!$R$5:$R$1204,$Q150))</f>
        <v/>
      </c>
      <c r="O150" s="28" t="str">
        <f>IF($Q150="","",INDEX(TRANSACTIONS_MASTER!$AB$5:$AB$1204,$Q150))</f>
        <v/>
      </c>
      <c r="P150" s="55" t="str">
        <f>IF($Q150="","",INDEX(TRANSACTIONS_MASTER!$Z$5:$Z$1204,$Q150)&amp;"")</f>
        <v/>
      </c>
      <c r="Q150" s="67" t="str">
        <f>IFERROR(MATCH($C$2&amp;"|"&amp;143,TRANSACTIONS_MASTER!$AE$5:$AE$1204,0),"")</f>
        <v/>
      </c>
      <c r="S150" s="67" t="str">
        <f>IFERROR(MATCH(1,INDEX((TRANSACTIONS_MASTER!$C$5:$C$1204=$C$2)*(TRANSACTIONS_MASTER!$AJ$5:$AJ$1204=13),0),0),"")</f>
        <v/>
      </c>
      <c r="T150" s="29" t="str">
        <f>IF($S150="","",INDEX(TRANSACTIONS_MASTER!$I$5:$I$1204,$S150))</f>
        <v/>
      </c>
      <c r="U150" s="55" t="str">
        <f>IF($S150="","",INDEX(TRANSACTIONS_MASTER!$J$5:$J$1204,$S150))</f>
        <v/>
      </c>
      <c r="V150" s="25" t="str">
        <f>IF($S150="","",SUMIFS(TRANSACTIONS_MASTER!$L$5:$L$1204,TRANSACTIONS_MASTER!$I$5:$I$1204,$T150,TRANSACTIONS_MASTER!$C$5:$C$1204,$C$2,TRANSACTIONS_MASTER!$U$5:$U$1204,"&lt;&gt;Cancelled"))</f>
        <v/>
      </c>
      <c r="W150" s="26" t="str">
        <f>IF($S150="","",SUMIFS(TRANSACTIONS_MASTER!$Q$5:$Q$1204,TRANSACTIONS_MASTER!$I$5:$I$1204,$T150,TRANSACTIONS_MASTER!$C$5:$C$1204,$C$2))</f>
        <v/>
      </c>
    </row>
    <row r="151">
      <c r="A151" s="81" t="str">
        <f>IF($Q151="","",144)</f>
        <v/>
      </c>
      <c r="B151" s="57" t="str">
        <f>IF($Q151="","",INDEX(TRANSACTIONS_MASTER!$B$5:$B$1204,$Q151))</f>
        <v/>
      </c>
      <c r="C151" s="55" t="str">
        <f>IF($Q151="","",INDEX(TRANSACTIONS_MASTER!$F$5:$F$1204,$Q151))</f>
        <v/>
      </c>
      <c r="D151" s="55" t="str">
        <f>IF($Q151="","",INDEX(TRANSACTIONS_MASTER!$E$5:$E$1204,$Q151))</f>
        <v/>
      </c>
      <c r="E151" s="55" t="str">
        <f>IF($Q151="","",INDEX(TRANSACTIONS_MASTER!$G$5:$G$1204,$Q151)&amp;"")</f>
        <v/>
      </c>
      <c r="F151" s="29" t="str">
        <f>IF($Q151="","",INDEX(TRANSACTIONS_MASTER!$I$5:$I$1204,$Q151))</f>
        <v/>
      </c>
      <c r="G151" s="55" t="str">
        <f>IF($Q151="","",INDEX(TRANSACTIONS_MASTER!$K$5:$K$1204,$Q151))</f>
        <v/>
      </c>
      <c r="H151" s="25" t="str">
        <f>IF($Q151="","",INDEX(TRANSACTIONS_MASTER!$L$5:$L$1204,$Q151))</f>
        <v/>
      </c>
      <c r="I151" s="56" t="str">
        <f>IF($Q151="","",INDEX(TRANSACTIONS_MASTER!$N$5:$N$1204,$Q151))</f>
        <v/>
      </c>
      <c r="J151" s="25" t="str">
        <f>IF($Q151="","",INDEX(TRANSACTIONS_MASTER!$O$5:$O$1204,$Q151))</f>
        <v/>
      </c>
      <c r="K151" s="26" t="str">
        <f>IF($Q151="","",INDEX(TRANSACTIONS_MASTER!$Q$5:$Q$1204,$Q151))</f>
        <v/>
      </c>
      <c r="L151" s="25" t="str">
        <f>IF($Q151="","",INDEX(TRANSACTIONS_MASTER!$P$5:$P$1204,$Q151))</f>
        <v/>
      </c>
      <c r="M151" s="25" t="str">
        <f>IF($Q151="","",INDEX(TRANSACTIONS_MASTER!$AA$5:$AA$1204,$Q151))</f>
        <v/>
      </c>
      <c r="N151" s="25" t="str">
        <f>IF($Q151="","",INDEX(TRANSACTIONS_MASTER!$R$5:$R$1204,$Q151))</f>
        <v/>
      </c>
      <c r="O151" s="28" t="str">
        <f>IF($Q151="","",INDEX(TRANSACTIONS_MASTER!$AB$5:$AB$1204,$Q151))</f>
        <v/>
      </c>
      <c r="P151" s="55" t="str">
        <f>IF($Q151="","",INDEX(TRANSACTIONS_MASTER!$Z$5:$Z$1204,$Q151)&amp;"")</f>
        <v/>
      </c>
      <c r="Q151" s="67" t="str">
        <f>IFERROR(MATCH($C$2&amp;"|"&amp;144,TRANSACTIONS_MASTER!$AE$5:$AE$1204,0),"")</f>
        <v/>
      </c>
      <c r="S151" s="67" t="str">
        <f>IFERROR(MATCH(1,INDEX((TRANSACTIONS_MASTER!$C$5:$C$1204=$C$2)*(TRANSACTIONS_MASTER!$AJ$5:$AJ$1204=14),0),0),"")</f>
        <v/>
      </c>
      <c r="T151" s="29" t="str">
        <f>IF($S151="","",INDEX(TRANSACTIONS_MASTER!$I$5:$I$1204,$S151))</f>
        <v/>
      </c>
      <c r="U151" s="55" t="str">
        <f>IF($S151="","",INDEX(TRANSACTIONS_MASTER!$J$5:$J$1204,$S151))</f>
        <v/>
      </c>
      <c r="V151" s="25" t="str">
        <f>IF($S151="","",SUMIFS(TRANSACTIONS_MASTER!$L$5:$L$1204,TRANSACTIONS_MASTER!$I$5:$I$1204,$T151,TRANSACTIONS_MASTER!$C$5:$C$1204,$C$2,TRANSACTIONS_MASTER!$U$5:$U$1204,"&lt;&gt;Cancelled"))</f>
        <v/>
      </c>
      <c r="W151" s="26" t="str">
        <f>IF($S151="","",SUMIFS(TRANSACTIONS_MASTER!$Q$5:$Q$1204,TRANSACTIONS_MASTER!$I$5:$I$1204,$T151,TRANSACTIONS_MASTER!$C$5:$C$1204,$C$2))</f>
        <v/>
      </c>
    </row>
    <row r="152">
      <c r="A152" s="81" t="str">
        <f>IF($Q152="","",145)</f>
        <v/>
      </c>
      <c r="B152" s="57" t="str">
        <f>IF($Q152="","",INDEX(TRANSACTIONS_MASTER!$B$5:$B$1204,$Q152))</f>
        <v/>
      </c>
      <c r="C152" s="55" t="str">
        <f>IF($Q152="","",INDEX(TRANSACTIONS_MASTER!$F$5:$F$1204,$Q152))</f>
        <v/>
      </c>
      <c r="D152" s="55" t="str">
        <f>IF($Q152="","",INDEX(TRANSACTIONS_MASTER!$E$5:$E$1204,$Q152))</f>
        <v/>
      </c>
      <c r="E152" s="55" t="str">
        <f>IF($Q152="","",INDEX(TRANSACTIONS_MASTER!$G$5:$G$1204,$Q152)&amp;"")</f>
        <v/>
      </c>
      <c r="F152" s="29" t="str">
        <f>IF($Q152="","",INDEX(TRANSACTIONS_MASTER!$I$5:$I$1204,$Q152))</f>
        <v/>
      </c>
      <c r="G152" s="55" t="str">
        <f>IF($Q152="","",INDEX(TRANSACTIONS_MASTER!$K$5:$K$1204,$Q152))</f>
        <v/>
      </c>
      <c r="H152" s="25" t="str">
        <f>IF($Q152="","",INDEX(TRANSACTIONS_MASTER!$L$5:$L$1204,$Q152))</f>
        <v/>
      </c>
      <c r="I152" s="56" t="str">
        <f>IF($Q152="","",INDEX(TRANSACTIONS_MASTER!$N$5:$N$1204,$Q152))</f>
        <v/>
      </c>
      <c r="J152" s="25" t="str">
        <f>IF($Q152="","",INDEX(TRANSACTIONS_MASTER!$O$5:$O$1204,$Q152))</f>
        <v/>
      </c>
      <c r="K152" s="26" t="str">
        <f>IF($Q152="","",INDEX(TRANSACTIONS_MASTER!$Q$5:$Q$1204,$Q152))</f>
        <v/>
      </c>
      <c r="L152" s="25" t="str">
        <f>IF($Q152="","",INDEX(TRANSACTIONS_MASTER!$P$5:$P$1204,$Q152))</f>
        <v/>
      </c>
      <c r="M152" s="25" t="str">
        <f>IF($Q152="","",INDEX(TRANSACTIONS_MASTER!$AA$5:$AA$1204,$Q152))</f>
        <v/>
      </c>
      <c r="N152" s="25" t="str">
        <f>IF($Q152="","",INDEX(TRANSACTIONS_MASTER!$R$5:$R$1204,$Q152))</f>
        <v/>
      </c>
      <c r="O152" s="28" t="str">
        <f>IF($Q152="","",INDEX(TRANSACTIONS_MASTER!$AB$5:$AB$1204,$Q152))</f>
        <v/>
      </c>
      <c r="P152" s="55" t="str">
        <f>IF($Q152="","",INDEX(TRANSACTIONS_MASTER!$Z$5:$Z$1204,$Q152)&amp;"")</f>
        <v/>
      </c>
      <c r="Q152" s="67" t="str">
        <f>IFERROR(MATCH($C$2&amp;"|"&amp;145,TRANSACTIONS_MASTER!$AE$5:$AE$1204,0),"")</f>
        <v/>
      </c>
      <c r="S152" s="67" t="str">
        <f>IFERROR(MATCH(1,INDEX((TRANSACTIONS_MASTER!$C$5:$C$1204=$C$2)*(TRANSACTIONS_MASTER!$AJ$5:$AJ$1204=15),0),0),"")</f>
        <v/>
      </c>
      <c r="T152" s="29" t="str">
        <f>IF($S152="","",INDEX(TRANSACTIONS_MASTER!$I$5:$I$1204,$S152))</f>
        <v/>
      </c>
      <c r="U152" s="55" t="str">
        <f>IF($S152="","",INDEX(TRANSACTIONS_MASTER!$J$5:$J$1204,$S152))</f>
        <v/>
      </c>
      <c r="V152" s="25" t="str">
        <f>IF($S152="","",SUMIFS(TRANSACTIONS_MASTER!$L$5:$L$1204,TRANSACTIONS_MASTER!$I$5:$I$1204,$T152,TRANSACTIONS_MASTER!$C$5:$C$1204,$C$2,TRANSACTIONS_MASTER!$U$5:$U$1204,"&lt;&gt;Cancelled"))</f>
        <v/>
      </c>
      <c r="W152" s="26" t="str">
        <f>IF($S152="","",SUMIFS(TRANSACTIONS_MASTER!$Q$5:$Q$1204,TRANSACTIONS_MASTER!$I$5:$I$1204,$T152,TRANSACTIONS_MASTER!$C$5:$C$1204,$C$2))</f>
        <v/>
      </c>
    </row>
    <row r="153">
      <c r="A153" s="81" t="str">
        <f>IF($Q153="","",146)</f>
        <v/>
      </c>
      <c r="B153" s="57" t="str">
        <f>IF($Q153="","",INDEX(TRANSACTIONS_MASTER!$B$5:$B$1204,$Q153))</f>
        <v/>
      </c>
      <c r="C153" s="55" t="str">
        <f>IF($Q153="","",INDEX(TRANSACTIONS_MASTER!$F$5:$F$1204,$Q153))</f>
        <v/>
      </c>
      <c r="D153" s="55" t="str">
        <f>IF($Q153="","",INDEX(TRANSACTIONS_MASTER!$E$5:$E$1204,$Q153))</f>
        <v/>
      </c>
      <c r="E153" s="55" t="str">
        <f>IF($Q153="","",INDEX(TRANSACTIONS_MASTER!$G$5:$G$1204,$Q153)&amp;"")</f>
        <v/>
      </c>
      <c r="F153" s="29" t="str">
        <f>IF($Q153="","",INDEX(TRANSACTIONS_MASTER!$I$5:$I$1204,$Q153))</f>
        <v/>
      </c>
      <c r="G153" s="55" t="str">
        <f>IF($Q153="","",INDEX(TRANSACTIONS_MASTER!$K$5:$K$1204,$Q153))</f>
        <v/>
      </c>
      <c r="H153" s="25" t="str">
        <f>IF($Q153="","",INDEX(TRANSACTIONS_MASTER!$L$5:$L$1204,$Q153))</f>
        <v/>
      </c>
      <c r="I153" s="56" t="str">
        <f>IF($Q153="","",INDEX(TRANSACTIONS_MASTER!$N$5:$N$1204,$Q153))</f>
        <v/>
      </c>
      <c r="J153" s="25" t="str">
        <f>IF($Q153="","",INDEX(TRANSACTIONS_MASTER!$O$5:$O$1204,$Q153))</f>
        <v/>
      </c>
      <c r="K153" s="26" t="str">
        <f>IF($Q153="","",INDEX(TRANSACTIONS_MASTER!$Q$5:$Q$1204,$Q153))</f>
        <v/>
      </c>
      <c r="L153" s="25" t="str">
        <f>IF($Q153="","",INDEX(TRANSACTIONS_MASTER!$P$5:$P$1204,$Q153))</f>
        <v/>
      </c>
      <c r="M153" s="25" t="str">
        <f>IF($Q153="","",INDEX(TRANSACTIONS_MASTER!$AA$5:$AA$1204,$Q153))</f>
        <v/>
      </c>
      <c r="N153" s="25" t="str">
        <f>IF($Q153="","",INDEX(TRANSACTIONS_MASTER!$R$5:$R$1204,$Q153))</f>
        <v/>
      </c>
      <c r="O153" s="28" t="str">
        <f>IF($Q153="","",INDEX(TRANSACTIONS_MASTER!$AB$5:$AB$1204,$Q153))</f>
        <v/>
      </c>
      <c r="P153" s="55" t="str">
        <f>IF($Q153="","",INDEX(TRANSACTIONS_MASTER!$Z$5:$Z$1204,$Q153)&amp;"")</f>
        <v/>
      </c>
      <c r="Q153" s="67" t="str">
        <f>IFERROR(MATCH($C$2&amp;"|"&amp;146,TRANSACTIONS_MASTER!$AE$5:$AE$1204,0),"")</f>
        <v/>
      </c>
      <c r="T153" s="45" t="n"/>
      <c r="U153" s="82" t="inlineStr">
        <is>
          <t>Khác (ngoài danh sách)</t>
        </is>
      </c>
      <c r="V153" s="48">
        <f>MAX(0,SUMIFS(TRANSACTIONS_MASTER!$L$5:$L$1204,TRANSACTIONS_MASTER!$C$5:$C$1204,$C$2,TRANSACTIONS_MASTER!$U$5:$U$1204,"&lt;&gt;Cancelled")-SUM(V138:V152))</f>
        <v>0</v>
      </c>
      <c r="W153" s="48">
        <f>MAX(0,SUMIFS(TRANSACTIONS_MASTER!$Q$5:$Q$1204,TRANSACTIONS_MASTER!$C$5:$C$1204,$C$2)-SUM(W138:W152))</f>
        <v>0</v>
      </c>
    </row>
    <row r="154">
      <c r="A154" s="81" t="str">
        <f>IF($Q154="","",147)</f>
        <v/>
      </c>
      <c r="B154" s="57" t="str">
        <f>IF($Q154="","",INDEX(TRANSACTIONS_MASTER!$B$5:$B$1204,$Q154))</f>
        <v/>
      </c>
      <c r="C154" s="55" t="str">
        <f>IF($Q154="","",INDEX(TRANSACTIONS_MASTER!$F$5:$F$1204,$Q154))</f>
        <v/>
      </c>
      <c r="D154" s="55" t="str">
        <f>IF($Q154="","",INDEX(TRANSACTIONS_MASTER!$E$5:$E$1204,$Q154))</f>
        <v/>
      </c>
      <c r="E154" s="55" t="str">
        <f>IF($Q154="","",INDEX(TRANSACTIONS_MASTER!$G$5:$G$1204,$Q154)&amp;"")</f>
        <v/>
      </c>
      <c r="F154" s="29" t="str">
        <f>IF($Q154="","",INDEX(TRANSACTIONS_MASTER!$I$5:$I$1204,$Q154))</f>
        <v/>
      </c>
      <c r="G154" s="55" t="str">
        <f>IF($Q154="","",INDEX(TRANSACTIONS_MASTER!$K$5:$K$1204,$Q154))</f>
        <v/>
      </c>
      <c r="H154" s="25" t="str">
        <f>IF($Q154="","",INDEX(TRANSACTIONS_MASTER!$L$5:$L$1204,$Q154))</f>
        <v/>
      </c>
      <c r="I154" s="56" t="str">
        <f>IF($Q154="","",INDEX(TRANSACTIONS_MASTER!$N$5:$N$1204,$Q154))</f>
        <v/>
      </c>
      <c r="J154" s="25" t="str">
        <f>IF($Q154="","",INDEX(TRANSACTIONS_MASTER!$O$5:$O$1204,$Q154))</f>
        <v/>
      </c>
      <c r="K154" s="26" t="str">
        <f>IF($Q154="","",INDEX(TRANSACTIONS_MASTER!$Q$5:$Q$1204,$Q154))</f>
        <v/>
      </c>
      <c r="L154" s="25" t="str">
        <f>IF($Q154="","",INDEX(TRANSACTIONS_MASTER!$P$5:$P$1204,$Q154))</f>
        <v/>
      </c>
      <c r="M154" s="25" t="str">
        <f>IF($Q154="","",INDEX(TRANSACTIONS_MASTER!$AA$5:$AA$1204,$Q154))</f>
        <v/>
      </c>
      <c r="N154" s="25" t="str">
        <f>IF($Q154="","",INDEX(TRANSACTIONS_MASTER!$R$5:$R$1204,$Q154))</f>
        <v/>
      </c>
      <c r="O154" s="28" t="str">
        <f>IF($Q154="","",INDEX(TRANSACTIONS_MASTER!$AB$5:$AB$1204,$Q154))</f>
        <v/>
      </c>
      <c r="P154" s="55" t="str">
        <f>IF($Q154="","",INDEX(TRANSACTIONS_MASTER!$Z$5:$Z$1204,$Q154)&amp;"")</f>
        <v/>
      </c>
      <c r="Q154" s="67" t="str">
        <f>IFERROR(MATCH($C$2&amp;"|"&amp;147,TRANSACTIONS_MASTER!$AE$5:$AE$1204,0),"")</f>
        <v/>
      </c>
      <c r="T154" s="68" t="n"/>
      <c r="U154" s="69" t="inlineStr">
        <is>
          <t>TỔNG</t>
        </is>
      </c>
      <c r="V154" s="31">
        <f>SUM(V138:V153)</f>
        <v>0</v>
      </c>
      <c r="W154" s="31">
        <f>SUM(W138:W153)</f>
        <v>0</v>
      </c>
    </row>
    <row r="155">
      <c r="A155" s="81" t="str">
        <f>IF($Q155="","",148)</f>
        <v/>
      </c>
      <c r="B155" s="57" t="str">
        <f>IF($Q155="","",INDEX(TRANSACTIONS_MASTER!$B$5:$B$1204,$Q155))</f>
        <v/>
      </c>
      <c r="C155" s="55" t="str">
        <f>IF($Q155="","",INDEX(TRANSACTIONS_MASTER!$F$5:$F$1204,$Q155))</f>
        <v/>
      </c>
      <c r="D155" s="55" t="str">
        <f>IF($Q155="","",INDEX(TRANSACTIONS_MASTER!$E$5:$E$1204,$Q155))</f>
        <v/>
      </c>
      <c r="E155" s="55" t="str">
        <f>IF($Q155="","",INDEX(TRANSACTIONS_MASTER!$G$5:$G$1204,$Q155)&amp;"")</f>
        <v/>
      </c>
      <c r="F155" s="29" t="str">
        <f>IF($Q155="","",INDEX(TRANSACTIONS_MASTER!$I$5:$I$1204,$Q155))</f>
        <v/>
      </c>
      <c r="G155" s="55" t="str">
        <f>IF($Q155="","",INDEX(TRANSACTIONS_MASTER!$K$5:$K$1204,$Q155))</f>
        <v/>
      </c>
      <c r="H155" s="25" t="str">
        <f>IF($Q155="","",INDEX(TRANSACTIONS_MASTER!$L$5:$L$1204,$Q155))</f>
        <v/>
      </c>
      <c r="I155" s="56" t="str">
        <f>IF($Q155="","",INDEX(TRANSACTIONS_MASTER!$N$5:$N$1204,$Q155))</f>
        <v/>
      </c>
      <c r="J155" s="25" t="str">
        <f>IF($Q155="","",INDEX(TRANSACTIONS_MASTER!$O$5:$O$1204,$Q155))</f>
        <v/>
      </c>
      <c r="K155" s="26" t="str">
        <f>IF($Q155="","",INDEX(TRANSACTIONS_MASTER!$Q$5:$Q$1204,$Q155))</f>
        <v/>
      </c>
      <c r="L155" s="25" t="str">
        <f>IF($Q155="","",INDEX(TRANSACTIONS_MASTER!$P$5:$P$1204,$Q155))</f>
        <v/>
      </c>
      <c r="M155" s="25" t="str">
        <f>IF($Q155="","",INDEX(TRANSACTIONS_MASTER!$AA$5:$AA$1204,$Q155))</f>
        <v/>
      </c>
      <c r="N155" s="25" t="str">
        <f>IF($Q155="","",INDEX(TRANSACTIONS_MASTER!$R$5:$R$1204,$Q155))</f>
        <v/>
      </c>
      <c r="O155" s="28" t="str">
        <f>IF($Q155="","",INDEX(TRANSACTIONS_MASTER!$AB$5:$AB$1204,$Q155))</f>
        <v/>
      </c>
      <c r="P155" s="55" t="str">
        <f>IF($Q155="","",INDEX(TRANSACTIONS_MASTER!$Z$5:$Z$1204,$Q155)&amp;"")</f>
        <v/>
      </c>
      <c r="Q155" s="67" t="str">
        <f>IFERROR(MATCH($C$2&amp;"|"&amp;148,TRANSACTIONS_MASTER!$AE$5:$AE$1204,0),"")</f>
        <v/>
      </c>
    </row>
    <row r="156">
      <c r="A156" s="81" t="str">
        <f>IF($Q156="","",149)</f>
        <v/>
      </c>
      <c r="B156" s="57" t="str">
        <f>IF($Q156="","",INDEX(TRANSACTIONS_MASTER!$B$5:$B$1204,$Q156))</f>
        <v/>
      </c>
      <c r="C156" s="55" t="str">
        <f>IF($Q156="","",INDEX(TRANSACTIONS_MASTER!$F$5:$F$1204,$Q156))</f>
        <v/>
      </c>
      <c r="D156" s="55" t="str">
        <f>IF($Q156="","",INDEX(TRANSACTIONS_MASTER!$E$5:$E$1204,$Q156))</f>
        <v/>
      </c>
      <c r="E156" s="55" t="str">
        <f>IF($Q156="","",INDEX(TRANSACTIONS_MASTER!$G$5:$G$1204,$Q156)&amp;"")</f>
        <v/>
      </c>
      <c r="F156" s="29" t="str">
        <f>IF($Q156="","",INDEX(TRANSACTIONS_MASTER!$I$5:$I$1204,$Q156))</f>
        <v/>
      </c>
      <c r="G156" s="55" t="str">
        <f>IF($Q156="","",INDEX(TRANSACTIONS_MASTER!$K$5:$K$1204,$Q156))</f>
        <v/>
      </c>
      <c r="H156" s="25" t="str">
        <f>IF($Q156="","",INDEX(TRANSACTIONS_MASTER!$L$5:$L$1204,$Q156))</f>
        <v/>
      </c>
      <c r="I156" s="56" t="str">
        <f>IF($Q156="","",INDEX(TRANSACTIONS_MASTER!$N$5:$N$1204,$Q156))</f>
        <v/>
      </c>
      <c r="J156" s="25" t="str">
        <f>IF($Q156="","",INDEX(TRANSACTIONS_MASTER!$O$5:$O$1204,$Q156))</f>
        <v/>
      </c>
      <c r="K156" s="26" t="str">
        <f>IF($Q156="","",INDEX(TRANSACTIONS_MASTER!$Q$5:$Q$1204,$Q156))</f>
        <v/>
      </c>
      <c r="L156" s="25" t="str">
        <f>IF($Q156="","",INDEX(TRANSACTIONS_MASTER!$P$5:$P$1204,$Q156))</f>
        <v/>
      </c>
      <c r="M156" s="25" t="str">
        <f>IF($Q156="","",INDEX(TRANSACTIONS_MASTER!$AA$5:$AA$1204,$Q156))</f>
        <v/>
      </c>
      <c r="N156" s="25" t="str">
        <f>IF($Q156="","",INDEX(TRANSACTIONS_MASTER!$R$5:$R$1204,$Q156))</f>
        <v/>
      </c>
      <c r="O156" s="28" t="str">
        <f>IF($Q156="","",INDEX(TRANSACTIONS_MASTER!$AB$5:$AB$1204,$Q156))</f>
        <v/>
      </c>
      <c r="P156" s="55" t="str">
        <f>IF($Q156="","",INDEX(TRANSACTIONS_MASTER!$Z$5:$Z$1204,$Q156)&amp;"")</f>
        <v/>
      </c>
      <c r="Q156" s="67" t="str">
        <f>IFERROR(MATCH($C$2&amp;"|"&amp;149,TRANSACTIONS_MASTER!$AE$5:$AE$1204,0),"")</f>
        <v/>
      </c>
    </row>
    <row r="157" ht="22" customHeight="1">
      <c r="A157" s="81" t="str">
        <f>IF($Q157="","",150)</f>
        <v/>
      </c>
      <c r="B157" s="57" t="str">
        <f>IF($Q157="","",INDEX(TRANSACTIONS_MASTER!$B$5:$B$1204,$Q157))</f>
        <v/>
      </c>
      <c r="C157" s="55" t="str">
        <f>IF($Q157="","",INDEX(TRANSACTIONS_MASTER!$F$5:$F$1204,$Q157))</f>
        <v/>
      </c>
      <c r="D157" s="55" t="str">
        <f>IF($Q157="","",INDEX(TRANSACTIONS_MASTER!$E$5:$E$1204,$Q157))</f>
        <v/>
      </c>
      <c r="E157" s="55" t="str">
        <f>IF($Q157="","",INDEX(TRANSACTIONS_MASTER!$G$5:$G$1204,$Q157)&amp;"")</f>
        <v/>
      </c>
      <c r="F157" s="29" t="str">
        <f>IF($Q157="","",INDEX(TRANSACTIONS_MASTER!$I$5:$I$1204,$Q157))</f>
        <v/>
      </c>
      <c r="G157" s="55" t="str">
        <f>IF($Q157="","",INDEX(TRANSACTIONS_MASTER!$K$5:$K$1204,$Q157))</f>
        <v/>
      </c>
      <c r="H157" s="25" t="str">
        <f>IF($Q157="","",INDEX(TRANSACTIONS_MASTER!$L$5:$L$1204,$Q157))</f>
        <v/>
      </c>
      <c r="I157" s="56" t="str">
        <f>IF($Q157="","",INDEX(TRANSACTIONS_MASTER!$N$5:$N$1204,$Q157))</f>
        <v/>
      </c>
      <c r="J157" s="25" t="str">
        <f>IF($Q157="","",INDEX(TRANSACTIONS_MASTER!$O$5:$O$1204,$Q157))</f>
        <v/>
      </c>
      <c r="K157" s="26" t="str">
        <f>IF($Q157="","",INDEX(TRANSACTIONS_MASTER!$Q$5:$Q$1204,$Q157))</f>
        <v/>
      </c>
      <c r="L157" s="25" t="str">
        <f>IF($Q157="","",INDEX(TRANSACTIONS_MASTER!$P$5:$P$1204,$Q157))</f>
        <v/>
      </c>
      <c r="M157" s="25" t="str">
        <f>IF($Q157="","",INDEX(TRANSACTIONS_MASTER!$AA$5:$AA$1204,$Q157))</f>
        <v/>
      </c>
      <c r="N157" s="25" t="str">
        <f>IF($Q157="","",INDEX(TRANSACTIONS_MASTER!$R$5:$R$1204,$Q157))</f>
        <v/>
      </c>
      <c r="O157" s="28" t="str">
        <f>IF($Q157="","",INDEX(TRANSACTIONS_MASTER!$AB$5:$AB$1204,$Q157))</f>
        <v/>
      </c>
      <c r="P157" s="55" t="str">
        <f>IF($Q157="","",INDEX(TRANSACTIONS_MASTER!$Z$5:$Z$1204,$Q157)&amp;"")</f>
        <v/>
      </c>
      <c r="Q157" s="67" t="str">
        <f>IFERROR(MATCH($C$2&amp;"|"&amp;150,TRANSACTIONS_MASTER!$AE$5:$AE$1204,0),"")</f>
        <v/>
      </c>
      <c r="T157" s="19" t="inlineStr">
        <is>
          <t>THEO MERCHANT</t>
        </is>
      </c>
      <c r="U157" s="20" t="n"/>
      <c r="V157" s="20" t="n"/>
      <c r="W157" s="20" t="n"/>
      <c r="X157" s="20" t="n"/>
      <c r="Y157" s="20" t="n"/>
      <c r="Z157" s="20" t="n"/>
      <c r="AA157" s="20" t="n"/>
    </row>
    <row r="158" ht="28" customHeight="1">
      <c r="A158" s="81" t="str">
        <f>IF($Q158="","",151)</f>
        <v/>
      </c>
      <c r="B158" s="57" t="str">
        <f>IF($Q158="","",INDEX(TRANSACTIONS_MASTER!$B$5:$B$1204,$Q158))</f>
        <v/>
      </c>
      <c r="C158" s="55" t="str">
        <f>IF($Q158="","",INDEX(TRANSACTIONS_MASTER!$F$5:$F$1204,$Q158))</f>
        <v/>
      </c>
      <c r="D158" s="55" t="str">
        <f>IF($Q158="","",INDEX(TRANSACTIONS_MASTER!$E$5:$E$1204,$Q158))</f>
        <v/>
      </c>
      <c r="E158" s="55" t="str">
        <f>IF($Q158="","",INDEX(TRANSACTIONS_MASTER!$G$5:$G$1204,$Q158)&amp;"")</f>
        <v/>
      </c>
      <c r="F158" s="29" t="str">
        <f>IF($Q158="","",INDEX(TRANSACTIONS_MASTER!$I$5:$I$1204,$Q158))</f>
        <v/>
      </c>
      <c r="G158" s="55" t="str">
        <f>IF($Q158="","",INDEX(TRANSACTIONS_MASTER!$K$5:$K$1204,$Q158))</f>
        <v/>
      </c>
      <c r="H158" s="25" t="str">
        <f>IF($Q158="","",INDEX(TRANSACTIONS_MASTER!$L$5:$L$1204,$Q158))</f>
        <v/>
      </c>
      <c r="I158" s="56" t="str">
        <f>IF($Q158="","",INDEX(TRANSACTIONS_MASTER!$N$5:$N$1204,$Q158))</f>
        <v/>
      </c>
      <c r="J158" s="25" t="str">
        <f>IF($Q158="","",INDEX(TRANSACTIONS_MASTER!$O$5:$O$1204,$Q158))</f>
        <v/>
      </c>
      <c r="K158" s="26" t="str">
        <f>IF($Q158="","",INDEX(TRANSACTIONS_MASTER!$Q$5:$Q$1204,$Q158))</f>
        <v/>
      </c>
      <c r="L158" s="25" t="str">
        <f>IF($Q158="","",INDEX(TRANSACTIONS_MASTER!$P$5:$P$1204,$Q158))</f>
        <v/>
      </c>
      <c r="M158" s="25" t="str">
        <f>IF($Q158="","",INDEX(TRANSACTIONS_MASTER!$AA$5:$AA$1204,$Q158))</f>
        <v/>
      </c>
      <c r="N158" s="25" t="str">
        <f>IF($Q158="","",INDEX(TRANSACTIONS_MASTER!$R$5:$R$1204,$Q158))</f>
        <v/>
      </c>
      <c r="O158" s="28" t="str">
        <f>IF($Q158="","",INDEX(TRANSACTIONS_MASTER!$AB$5:$AB$1204,$Q158))</f>
        <v/>
      </c>
      <c r="P158" s="55" t="str">
        <f>IF($Q158="","",INDEX(TRANSACTIONS_MASTER!$Z$5:$Z$1204,$Q158)&amp;"")</f>
        <v/>
      </c>
      <c r="Q158" s="67" t="str">
        <f>IFERROR(MATCH($C$2&amp;"|"&amp;151,TRANSACTIONS_MASTER!$AE$5:$AE$1204,0),"")</f>
        <v/>
      </c>
      <c r="S158" s="21" t="inlineStr">
        <is>
          <t>#</t>
        </is>
      </c>
      <c r="T158" s="21" t="inlineStr"/>
      <c r="U158" s="21" t="inlineStr">
        <is>
          <t>Merchant</t>
        </is>
      </c>
      <c r="V158" s="21" t="inlineStr">
        <is>
          <t>Chi tiêu</t>
        </is>
      </c>
      <c r="W158" s="21" t="inlineStr">
        <is>
          <t>Cashback</t>
        </is>
      </c>
    </row>
    <row r="159">
      <c r="A159" s="81" t="str">
        <f>IF($Q159="","",152)</f>
        <v/>
      </c>
      <c r="B159" s="57" t="str">
        <f>IF($Q159="","",INDEX(TRANSACTIONS_MASTER!$B$5:$B$1204,$Q159))</f>
        <v/>
      </c>
      <c r="C159" s="55" t="str">
        <f>IF($Q159="","",INDEX(TRANSACTIONS_MASTER!$F$5:$F$1204,$Q159))</f>
        <v/>
      </c>
      <c r="D159" s="55" t="str">
        <f>IF($Q159="","",INDEX(TRANSACTIONS_MASTER!$E$5:$E$1204,$Q159))</f>
        <v/>
      </c>
      <c r="E159" s="55" t="str">
        <f>IF($Q159="","",INDEX(TRANSACTIONS_MASTER!$G$5:$G$1204,$Q159)&amp;"")</f>
        <v/>
      </c>
      <c r="F159" s="29" t="str">
        <f>IF($Q159="","",INDEX(TRANSACTIONS_MASTER!$I$5:$I$1204,$Q159))</f>
        <v/>
      </c>
      <c r="G159" s="55" t="str">
        <f>IF($Q159="","",INDEX(TRANSACTIONS_MASTER!$K$5:$K$1204,$Q159))</f>
        <v/>
      </c>
      <c r="H159" s="25" t="str">
        <f>IF($Q159="","",INDEX(TRANSACTIONS_MASTER!$L$5:$L$1204,$Q159))</f>
        <v/>
      </c>
      <c r="I159" s="56" t="str">
        <f>IF($Q159="","",INDEX(TRANSACTIONS_MASTER!$N$5:$N$1204,$Q159))</f>
        <v/>
      </c>
      <c r="J159" s="25" t="str">
        <f>IF($Q159="","",INDEX(TRANSACTIONS_MASTER!$O$5:$O$1204,$Q159))</f>
        <v/>
      </c>
      <c r="K159" s="26" t="str">
        <f>IF($Q159="","",INDEX(TRANSACTIONS_MASTER!$Q$5:$Q$1204,$Q159))</f>
        <v/>
      </c>
      <c r="L159" s="25" t="str">
        <f>IF($Q159="","",INDEX(TRANSACTIONS_MASTER!$P$5:$P$1204,$Q159))</f>
        <v/>
      </c>
      <c r="M159" s="25" t="str">
        <f>IF($Q159="","",INDEX(TRANSACTIONS_MASTER!$AA$5:$AA$1204,$Q159))</f>
        <v/>
      </c>
      <c r="N159" s="25" t="str">
        <f>IF($Q159="","",INDEX(TRANSACTIONS_MASTER!$R$5:$R$1204,$Q159))</f>
        <v/>
      </c>
      <c r="O159" s="28" t="str">
        <f>IF($Q159="","",INDEX(TRANSACTIONS_MASTER!$AB$5:$AB$1204,$Q159))</f>
        <v/>
      </c>
      <c r="P159" s="55" t="str">
        <f>IF($Q159="","",INDEX(TRANSACTIONS_MASTER!$Z$5:$Z$1204,$Q159)&amp;"")</f>
        <v/>
      </c>
      <c r="Q159" s="67" t="str">
        <f>IFERROR(MATCH($C$2&amp;"|"&amp;152,TRANSACTIONS_MASTER!$AE$5:$AE$1204,0),"")</f>
        <v/>
      </c>
      <c r="S159" s="67" t="str">
        <f>IFERROR(MATCH(1,INDEX((TRANSACTIONS_MASTER!$C$5:$C$1204=$C$2)*(TRANSACTIONS_MASTER!$AN$5:$AN$1204=1),0),0),"")</f>
        <v/>
      </c>
      <c r="T159" s="55" t="n"/>
      <c r="U159" s="55" t="str">
        <f>IF($S159="","",INDEX(TRANSACTIONS_MASTER!$G$5:$G$1204,$S159)&amp;"")</f>
        <v/>
      </c>
      <c r="V159" s="25" t="str">
        <f>IF($S159="","",SUMIFS(TRANSACTIONS_MASTER!$L$5:$L$1204,TRANSACTIONS_MASTER!$G$5:$G$1204,$U159,TRANSACTIONS_MASTER!$C$5:$C$1204,$C$2,TRANSACTIONS_MASTER!$U$5:$U$1204,"&lt;&gt;Cancelled"))</f>
        <v/>
      </c>
      <c r="W159" s="26" t="str">
        <f>IF($S159="","",SUMIFS(TRANSACTIONS_MASTER!$Q$5:$Q$1204,TRANSACTIONS_MASTER!$G$5:$G$1204,$U159,TRANSACTIONS_MASTER!$C$5:$C$1204,$C$2))</f>
        <v/>
      </c>
    </row>
    <row r="160">
      <c r="A160" s="81" t="str">
        <f>IF($Q160="","",153)</f>
        <v/>
      </c>
      <c r="B160" s="57" t="str">
        <f>IF($Q160="","",INDEX(TRANSACTIONS_MASTER!$B$5:$B$1204,$Q160))</f>
        <v/>
      </c>
      <c r="C160" s="55" t="str">
        <f>IF($Q160="","",INDEX(TRANSACTIONS_MASTER!$F$5:$F$1204,$Q160))</f>
        <v/>
      </c>
      <c r="D160" s="55" t="str">
        <f>IF($Q160="","",INDEX(TRANSACTIONS_MASTER!$E$5:$E$1204,$Q160))</f>
        <v/>
      </c>
      <c r="E160" s="55" t="str">
        <f>IF($Q160="","",INDEX(TRANSACTIONS_MASTER!$G$5:$G$1204,$Q160)&amp;"")</f>
        <v/>
      </c>
      <c r="F160" s="29" t="str">
        <f>IF($Q160="","",INDEX(TRANSACTIONS_MASTER!$I$5:$I$1204,$Q160))</f>
        <v/>
      </c>
      <c r="G160" s="55" t="str">
        <f>IF($Q160="","",INDEX(TRANSACTIONS_MASTER!$K$5:$K$1204,$Q160))</f>
        <v/>
      </c>
      <c r="H160" s="25" t="str">
        <f>IF($Q160="","",INDEX(TRANSACTIONS_MASTER!$L$5:$L$1204,$Q160))</f>
        <v/>
      </c>
      <c r="I160" s="56" t="str">
        <f>IF($Q160="","",INDEX(TRANSACTIONS_MASTER!$N$5:$N$1204,$Q160))</f>
        <v/>
      </c>
      <c r="J160" s="25" t="str">
        <f>IF($Q160="","",INDEX(TRANSACTIONS_MASTER!$O$5:$O$1204,$Q160))</f>
        <v/>
      </c>
      <c r="K160" s="26" t="str">
        <f>IF($Q160="","",INDEX(TRANSACTIONS_MASTER!$Q$5:$Q$1204,$Q160))</f>
        <v/>
      </c>
      <c r="L160" s="25" t="str">
        <f>IF($Q160="","",INDEX(TRANSACTIONS_MASTER!$P$5:$P$1204,$Q160))</f>
        <v/>
      </c>
      <c r="M160" s="25" t="str">
        <f>IF($Q160="","",INDEX(TRANSACTIONS_MASTER!$AA$5:$AA$1204,$Q160))</f>
        <v/>
      </c>
      <c r="N160" s="25" t="str">
        <f>IF($Q160="","",INDEX(TRANSACTIONS_MASTER!$R$5:$R$1204,$Q160))</f>
        <v/>
      </c>
      <c r="O160" s="28" t="str">
        <f>IF($Q160="","",INDEX(TRANSACTIONS_MASTER!$AB$5:$AB$1204,$Q160))</f>
        <v/>
      </c>
      <c r="P160" s="55" t="str">
        <f>IF($Q160="","",INDEX(TRANSACTIONS_MASTER!$Z$5:$Z$1204,$Q160)&amp;"")</f>
        <v/>
      </c>
      <c r="Q160" s="67" t="str">
        <f>IFERROR(MATCH($C$2&amp;"|"&amp;153,TRANSACTIONS_MASTER!$AE$5:$AE$1204,0),"")</f>
        <v/>
      </c>
      <c r="S160" s="67" t="str">
        <f>IFERROR(MATCH(1,INDEX((TRANSACTIONS_MASTER!$C$5:$C$1204=$C$2)*(TRANSACTIONS_MASTER!$AN$5:$AN$1204=2),0),0),"")</f>
        <v/>
      </c>
      <c r="T160" s="55" t="n"/>
      <c r="U160" s="55" t="str">
        <f>IF($S160="","",INDEX(TRANSACTIONS_MASTER!$G$5:$G$1204,$S160)&amp;"")</f>
        <v/>
      </c>
      <c r="V160" s="25" t="str">
        <f>IF($S160="","",SUMIFS(TRANSACTIONS_MASTER!$L$5:$L$1204,TRANSACTIONS_MASTER!$G$5:$G$1204,$U160,TRANSACTIONS_MASTER!$C$5:$C$1204,$C$2,TRANSACTIONS_MASTER!$U$5:$U$1204,"&lt;&gt;Cancelled"))</f>
        <v/>
      </c>
      <c r="W160" s="26" t="str">
        <f>IF($S160="","",SUMIFS(TRANSACTIONS_MASTER!$Q$5:$Q$1204,TRANSACTIONS_MASTER!$G$5:$G$1204,$U160,TRANSACTIONS_MASTER!$C$5:$C$1204,$C$2))</f>
        <v/>
      </c>
    </row>
    <row r="161">
      <c r="A161" s="81" t="str">
        <f>IF($Q161="","",154)</f>
        <v/>
      </c>
      <c r="B161" s="57" t="str">
        <f>IF($Q161="","",INDEX(TRANSACTIONS_MASTER!$B$5:$B$1204,$Q161))</f>
        <v/>
      </c>
      <c r="C161" s="55" t="str">
        <f>IF($Q161="","",INDEX(TRANSACTIONS_MASTER!$F$5:$F$1204,$Q161))</f>
        <v/>
      </c>
      <c r="D161" s="55" t="str">
        <f>IF($Q161="","",INDEX(TRANSACTIONS_MASTER!$E$5:$E$1204,$Q161))</f>
        <v/>
      </c>
      <c r="E161" s="55" t="str">
        <f>IF($Q161="","",INDEX(TRANSACTIONS_MASTER!$G$5:$G$1204,$Q161)&amp;"")</f>
        <v/>
      </c>
      <c r="F161" s="29" t="str">
        <f>IF($Q161="","",INDEX(TRANSACTIONS_MASTER!$I$5:$I$1204,$Q161))</f>
        <v/>
      </c>
      <c r="G161" s="55" t="str">
        <f>IF($Q161="","",INDEX(TRANSACTIONS_MASTER!$K$5:$K$1204,$Q161))</f>
        <v/>
      </c>
      <c r="H161" s="25" t="str">
        <f>IF($Q161="","",INDEX(TRANSACTIONS_MASTER!$L$5:$L$1204,$Q161))</f>
        <v/>
      </c>
      <c r="I161" s="56" t="str">
        <f>IF($Q161="","",INDEX(TRANSACTIONS_MASTER!$N$5:$N$1204,$Q161))</f>
        <v/>
      </c>
      <c r="J161" s="25" t="str">
        <f>IF($Q161="","",INDEX(TRANSACTIONS_MASTER!$O$5:$O$1204,$Q161))</f>
        <v/>
      </c>
      <c r="K161" s="26" t="str">
        <f>IF($Q161="","",INDEX(TRANSACTIONS_MASTER!$Q$5:$Q$1204,$Q161))</f>
        <v/>
      </c>
      <c r="L161" s="25" t="str">
        <f>IF($Q161="","",INDEX(TRANSACTIONS_MASTER!$P$5:$P$1204,$Q161))</f>
        <v/>
      </c>
      <c r="M161" s="25" t="str">
        <f>IF($Q161="","",INDEX(TRANSACTIONS_MASTER!$AA$5:$AA$1204,$Q161))</f>
        <v/>
      </c>
      <c r="N161" s="25" t="str">
        <f>IF($Q161="","",INDEX(TRANSACTIONS_MASTER!$R$5:$R$1204,$Q161))</f>
        <v/>
      </c>
      <c r="O161" s="28" t="str">
        <f>IF($Q161="","",INDEX(TRANSACTIONS_MASTER!$AB$5:$AB$1204,$Q161))</f>
        <v/>
      </c>
      <c r="P161" s="55" t="str">
        <f>IF($Q161="","",INDEX(TRANSACTIONS_MASTER!$Z$5:$Z$1204,$Q161)&amp;"")</f>
        <v/>
      </c>
      <c r="Q161" s="67" t="str">
        <f>IFERROR(MATCH($C$2&amp;"|"&amp;154,TRANSACTIONS_MASTER!$AE$5:$AE$1204,0),"")</f>
        <v/>
      </c>
      <c r="S161" s="67" t="str">
        <f>IFERROR(MATCH(1,INDEX((TRANSACTIONS_MASTER!$C$5:$C$1204=$C$2)*(TRANSACTIONS_MASTER!$AN$5:$AN$1204=3),0),0),"")</f>
        <v/>
      </c>
      <c r="T161" s="55" t="n"/>
      <c r="U161" s="55" t="str">
        <f>IF($S161="","",INDEX(TRANSACTIONS_MASTER!$G$5:$G$1204,$S161)&amp;"")</f>
        <v/>
      </c>
      <c r="V161" s="25" t="str">
        <f>IF($S161="","",SUMIFS(TRANSACTIONS_MASTER!$L$5:$L$1204,TRANSACTIONS_MASTER!$G$5:$G$1204,$U161,TRANSACTIONS_MASTER!$C$5:$C$1204,$C$2,TRANSACTIONS_MASTER!$U$5:$U$1204,"&lt;&gt;Cancelled"))</f>
        <v/>
      </c>
      <c r="W161" s="26" t="str">
        <f>IF($S161="","",SUMIFS(TRANSACTIONS_MASTER!$Q$5:$Q$1204,TRANSACTIONS_MASTER!$G$5:$G$1204,$U161,TRANSACTIONS_MASTER!$C$5:$C$1204,$C$2))</f>
        <v/>
      </c>
    </row>
    <row r="162">
      <c r="A162" s="81" t="str">
        <f>IF($Q162="","",155)</f>
        <v/>
      </c>
      <c r="B162" s="57" t="str">
        <f>IF($Q162="","",INDEX(TRANSACTIONS_MASTER!$B$5:$B$1204,$Q162))</f>
        <v/>
      </c>
      <c r="C162" s="55" t="str">
        <f>IF($Q162="","",INDEX(TRANSACTIONS_MASTER!$F$5:$F$1204,$Q162))</f>
        <v/>
      </c>
      <c r="D162" s="55" t="str">
        <f>IF($Q162="","",INDEX(TRANSACTIONS_MASTER!$E$5:$E$1204,$Q162))</f>
        <v/>
      </c>
      <c r="E162" s="55" t="str">
        <f>IF($Q162="","",INDEX(TRANSACTIONS_MASTER!$G$5:$G$1204,$Q162)&amp;"")</f>
        <v/>
      </c>
      <c r="F162" s="29" t="str">
        <f>IF($Q162="","",INDEX(TRANSACTIONS_MASTER!$I$5:$I$1204,$Q162))</f>
        <v/>
      </c>
      <c r="G162" s="55" t="str">
        <f>IF($Q162="","",INDEX(TRANSACTIONS_MASTER!$K$5:$K$1204,$Q162))</f>
        <v/>
      </c>
      <c r="H162" s="25" t="str">
        <f>IF($Q162="","",INDEX(TRANSACTIONS_MASTER!$L$5:$L$1204,$Q162))</f>
        <v/>
      </c>
      <c r="I162" s="56" t="str">
        <f>IF($Q162="","",INDEX(TRANSACTIONS_MASTER!$N$5:$N$1204,$Q162))</f>
        <v/>
      </c>
      <c r="J162" s="25" t="str">
        <f>IF($Q162="","",INDEX(TRANSACTIONS_MASTER!$O$5:$O$1204,$Q162))</f>
        <v/>
      </c>
      <c r="K162" s="26" t="str">
        <f>IF($Q162="","",INDEX(TRANSACTIONS_MASTER!$Q$5:$Q$1204,$Q162))</f>
        <v/>
      </c>
      <c r="L162" s="25" t="str">
        <f>IF($Q162="","",INDEX(TRANSACTIONS_MASTER!$P$5:$P$1204,$Q162))</f>
        <v/>
      </c>
      <c r="M162" s="25" t="str">
        <f>IF($Q162="","",INDEX(TRANSACTIONS_MASTER!$AA$5:$AA$1204,$Q162))</f>
        <v/>
      </c>
      <c r="N162" s="25" t="str">
        <f>IF($Q162="","",INDEX(TRANSACTIONS_MASTER!$R$5:$R$1204,$Q162))</f>
        <v/>
      </c>
      <c r="O162" s="28" t="str">
        <f>IF($Q162="","",INDEX(TRANSACTIONS_MASTER!$AB$5:$AB$1204,$Q162))</f>
        <v/>
      </c>
      <c r="P162" s="55" t="str">
        <f>IF($Q162="","",INDEX(TRANSACTIONS_MASTER!$Z$5:$Z$1204,$Q162)&amp;"")</f>
        <v/>
      </c>
      <c r="Q162" s="67" t="str">
        <f>IFERROR(MATCH($C$2&amp;"|"&amp;155,TRANSACTIONS_MASTER!$AE$5:$AE$1204,0),"")</f>
        <v/>
      </c>
      <c r="S162" s="67" t="str">
        <f>IFERROR(MATCH(1,INDEX((TRANSACTIONS_MASTER!$C$5:$C$1204=$C$2)*(TRANSACTIONS_MASTER!$AN$5:$AN$1204=4),0),0),"")</f>
        <v/>
      </c>
      <c r="T162" s="55" t="n"/>
      <c r="U162" s="55" t="str">
        <f>IF($S162="","",INDEX(TRANSACTIONS_MASTER!$G$5:$G$1204,$S162)&amp;"")</f>
        <v/>
      </c>
      <c r="V162" s="25" t="str">
        <f>IF($S162="","",SUMIFS(TRANSACTIONS_MASTER!$L$5:$L$1204,TRANSACTIONS_MASTER!$G$5:$G$1204,$U162,TRANSACTIONS_MASTER!$C$5:$C$1204,$C$2,TRANSACTIONS_MASTER!$U$5:$U$1204,"&lt;&gt;Cancelled"))</f>
        <v/>
      </c>
      <c r="W162" s="26" t="str">
        <f>IF($S162="","",SUMIFS(TRANSACTIONS_MASTER!$Q$5:$Q$1204,TRANSACTIONS_MASTER!$G$5:$G$1204,$U162,TRANSACTIONS_MASTER!$C$5:$C$1204,$C$2))</f>
        <v/>
      </c>
    </row>
    <row r="163">
      <c r="A163" s="81" t="str">
        <f>IF($Q163="","",156)</f>
        <v/>
      </c>
      <c r="B163" s="57" t="str">
        <f>IF($Q163="","",INDEX(TRANSACTIONS_MASTER!$B$5:$B$1204,$Q163))</f>
        <v/>
      </c>
      <c r="C163" s="55" t="str">
        <f>IF($Q163="","",INDEX(TRANSACTIONS_MASTER!$F$5:$F$1204,$Q163))</f>
        <v/>
      </c>
      <c r="D163" s="55" t="str">
        <f>IF($Q163="","",INDEX(TRANSACTIONS_MASTER!$E$5:$E$1204,$Q163))</f>
        <v/>
      </c>
      <c r="E163" s="55" t="str">
        <f>IF($Q163="","",INDEX(TRANSACTIONS_MASTER!$G$5:$G$1204,$Q163)&amp;"")</f>
        <v/>
      </c>
      <c r="F163" s="29" t="str">
        <f>IF($Q163="","",INDEX(TRANSACTIONS_MASTER!$I$5:$I$1204,$Q163))</f>
        <v/>
      </c>
      <c r="G163" s="55" t="str">
        <f>IF($Q163="","",INDEX(TRANSACTIONS_MASTER!$K$5:$K$1204,$Q163))</f>
        <v/>
      </c>
      <c r="H163" s="25" t="str">
        <f>IF($Q163="","",INDEX(TRANSACTIONS_MASTER!$L$5:$L$1204,$Q163))</f>
        <v/>
      </c>
      <c r="I163" s="56" t="str">
        <f>IF($Q163="","",INDEX(TRANSACTIONS_MASTER!$N$5:$N$1204,$Q163))</f>
        <v/>
      </c>
      <c r="J163" s="25" t="str">
        <f>IF($Q163="","",INDEX(TRANSACTIONS_MASTER!$O$5:$O$1204,$Q163))</f>
        <v/>
      </c>
      <c r="K163" s="26" t="str">
        <f>IF($Q163="","",INDEX(TRANSACTIONS_MASTER!$Q$5:$Q$1204,$Q163))</f>
        <v/>
      </c>
      <c r="L163" s="25" t="str">
        <f>IF($Q163="","",INDEX(TRANSACTIONS_MASTER!$P$5:$P$1204,$Q163))</f>
        <v/>
      </c>
      <c r="M163" s="25" t="str">
        <f>IF($Q163="","",INDEX(TRANSACTIONS_MASTER!$AA$5:$AA$1204,$Q163))</f>
        <v/>
      </c>
      <c r="N163" s="25" t="str">
        <f>IF($Q163="","",INDEX(TRANSACTIONS_MASTER!$R$5:$R$1204,$Q163))</f>
        <v/>
      </c>
      <c r="O163" s="28" t="str">
        <f>IF($Q163="","",INDEX(TRANSACTIONS_MASTER!$AB$5:$AB$1204,$Q163))</f>
        <v/>
      </c>
      <c r="P163" s="55" t="str">
        <f>IF($Q163="","",INDEX(TRANSACTIONS_MASTER!$Z$5:$Z$1204,$Q163)&amp;"")</f>
        <v/>
      </c>
      <c r="Q163" s="67" t="str">
        <f>IFERROR(MATCH($C$2&amp;"|"&amp;156,TRANSACTIONS_MASTER!$AE$5:$AE$1204,0),"")</f>
        <v/>
      </c>
      <c r="S163" s="67" t="str">
        <f>IFERROR(MATCH(1,INDEX((TRANSACTIONS_MASTER!$C$5:$C$1204=$C$2)*(TRANSACTIONS_MASTER!$AN$5:$AN$1204=5),0),0),"")</f>
        <v/>
      </c>
      <c r="T163" s="55" t="n"/>
      <c r="U163" s="55" t="str">
        <f>IF($S163="","",INDEX(TRANSACTIONS_MASTER!$G$5:$G$1204,$S163)&amp;"")</f>
        <v/>
      </c>
      <c r="V163" s="25" t="str">
        <f>IF($S163="","",SUMIFS(TRANSACTIONS_MASTER!$L$5:$L$1204,TRANSACTIONS_MASTER!$G$5:$G$1204,$U163,TRANSACTIONS_MASTER!$C$5:$C$1204,$C$2,TRANSACTIONS_MASTER!$U$5:$U$1204,"&lt;&gt;Cancelled"))</f>
        <v/>
      </c>
      <c r="W163" s="26" t="str">
        <f>IF($S163="","",SUMIFS(TRANSACTIONS_MASTER!$Q$5:$Q$1204,TRANSACTIONS_MASTER!$G$5:$G$1204,$U163,TRANSACTIONS_MASTER!$C$5:$C$1204,$C$2))</f>
        <v/>
      </c>
    </row>
    <row r="164">
      <c r="A164" s="81" t="str">
        <f>IF($Q164="","",157)</f>
        <v/>
      </c>
      <c r="B164" s="57" t="str">
        <f>IF($Q164="","",INDEX(TRANSACTIONS_MASTER!$B$5:$B$1204,$Q164))</f>
        <v/>
      </c>
      <c r="C164" s="55" t="str">
        <f>IF($Q164="","",INDEX(TRANSACTIONS_MASTER!$F$5:$F$1204,$Q164))</f>
        <v/>
      </c>
      <c r="D164" s="55" t="str">
        <f>IF($Q164="","",INDEX(TRANSACTIONS_MASTER!$E$5:$E$1204,$Q164))</f>
        <v/>
      </c>
      <c r="E164" s="55" t="str">
        <f>IF($Q164="","",INDEX(TRANSACTIONS_MASTER!$G$5:$G$1204,$Q164)&amp;"")</f>
        <v/>
      </c>
      <c r="F164" s="29" t="str">
        <f>IF($Q164="","",INDEX(TRANSACTIONS_MASTER!$I$5:$I$1204,$Q164))</f>
        <v/>
      </c>
      <c r="G164" s="55" t="str">
        <f>IF($Q164="","",INDEX(TRANSACTIONS_MASTER!$K$5:$K$1204,$Q164))</f>
        <v/>
      </c>
      <c r="H164" s="25" t="str">
        <f>IF($Q164="","",INDEX(TRANSACTIONS_MASTER!$L$5:$L$1204,$Q164))</f>
        <v/>
      </c>
      <c r="I164" s="56" t="str">
        <f>IF($Q164="","",INDEX(TRANSACTIONS_MASTER!$N$5:$N$1204,$Q164))</f>
        <v/>
      </c>
      <c r="J164" s="25" t="str">
        <f>IF($Q164="","",INDEX(TRANSACTIONS_MASTER!$O$5:$O$1204,$Q164))</f>
        <v/>
      </c>
      <c r="K164" s="26" t="str">
        <f>IF($Q164="","",INDEX(TRANSACTIONS_MASTER!$Q$5:$Q$1204,$Q164))</f>
        <v/>
      </c>
      <c r="L164" s="25" t="str">
        <f>IF($Q164="","",INDEX(TRANSACTIONS_MASTER!$P$5:$P$1204,$Q164))</f>
        <v/>
      </c>
      <c r="M164" s="25" t="str">
        <f>IF($Q164="","",INDEX(TRANSACTIONS_MASTER!$AA$5:$AA$1204,$Q164))</f>
        <v/>
      </c>
      <c r="N164" s="25" t="str">
        <f>IF($Q164="","",INDEX(TRANSACTIONS_MASTER!$R$5:$R$1204,$Q164))</f>
        <v/>
      </c>
      <c r="O164" s="28" t="str">
        <f>IF($Q164="","",INDEX(TRANSACTIONS_MASTER!$AB$5:$AB$1204,$Q164))</f>
        <v/>
      </c>
      <c r="P164" s="55" t="str">
        <f>IF($Q164="","",INDEX(TRANSACTIONS_MASTER!$Z$5:$Z$1204,$Q164)&amp;"")</f>
        <v/>
      </c>
      <c r="Q164" s="67" t="str">
        <f>IFERROR(MATCH($C$2&amp;"|"&amp;157,TRANSACTIONS_MASTER!$AE$5:$AE$1204,0),"")</f>
        <v/>
      </c>
      <c r="S164" s="67" t="str">
        <f>IFERROR(MATCH(1,INDEX((TRANSACTIONS_MASTER!$C$5:$C$1204=$C$2)*(TRANSACTIONS_MASTER!$AN$5:$AN$1204=6),0),0),"")</f>
        <v/>
      </c>
      <c r="T164" s="55" t="n"/>
      <c r="U164" s="55" t="str">
        <f>IF($S164="","",INDEX(TRANSACTIONS_MASTER!$G$5:$G$1204,$S164)&amp;"")</f>
        <v/>
      </c>
      <c r="V164" s="25" t="str">
        <f>IF($S164="","",SUMIFS(TRANSACTIONS_MASTER!$L$5:$L$1204,TRANSACTIONS_MASTER!$G$5:$G$1204,$U164,TRANSACTIONS_MASTER!$C$5:$C$1204,$C$2,TRANSACTIONS_MASTER!$U$5:$U$1204,"&lt;&gt;Cancelled"))</f>
        <v/>
      </c>
      <c r="W164" s="26" t="str">
        <f>IF($S164="","",SUMIFS(TRANSACTIONS_MASTER!$Q$5:$Q$1204,TRANSACTIONS_MASTER!$G$5:$G$1204,$U164,TRANSACTIONS_MASTER!$C$5:$C$1204,$C$2))</f>
        <v/>
      </c>
    </row>
    <row r="165">
      <c r="A165" s="81" t="str">
        <f>IF($Q165="","",158)</f>
        <v/>
      </c>
      <c r="B165" s="57" t="str">
        <f>IF($Q165="","",INDEX(TRANSACTIONS_MASTER!$B$5:$B$1204,$Q165))</f>
        <v/>
      </c>
      <c r="C165" s="55" t="str">
        <f>IF($Q165="","",INDEX(TRANSACTIONS_MASTER!$F$5:$F$1204,$Q165))</f>
        <v/>
      </c>
      <c r="D165" s="55" t="str">
        <f>IF($Q165="","",INDEX(TRANSACTIONS_MASTER!$E$5:$E$1204,$Q165))</f>
        <v/>
      </c>
      <c r="E165" s="55" t="str">
        <f>IF($Q165="","",INDEX(TRANSACTIONS_MASTER!$G$5:$G$1204,$Q165)&amp;"")</f>
        <v/>
      </c>
      <c r="F165" s="29" t="str">
        <f>IF($Q165="","",INDEX(TRANSACTIONS_MASTER!$I$5:$I$1204,$Q165))</f>
        <v/>
      </c>
      <c r="G165" s="55" t="str">
        <f>IF($Q165="","",INDEX(TRANSACTIONS_MASTER!$K$5:$K$1204,$Q165))</f>
        <v/>
      </c>
      <c r="H165" s="25" t="str">
        <f>IF($Q165="","",INDEX(TRANSACTIONS_MASTER!$L$5:$L$1204,$Q165))</f>
        <v/>
      </c>
      <c r="I165" s="56" t="str">
        <f>IF($Q165="","",INDEX(TRANSACTIONS_MASTER!$N$5:$N$1204,$Q165))</f>
        <v/>
      </c>
      <c r="J165" s="25" t="str">
        <f>IF($Q165="","",INDEX(TRANSACTIONS_MASTER!$O$5:$O$1204,$Q165))</f>
        <v/>
      </c>
      <c r="K165" s="26" t="str">
        <f>IF($Q165="","",INDEX(TRANSACTIONS_MASTER!$Q$5:$Q$1204,$Q165))</f>
        <v/>
      </c>
      <c r="L165" s="25" t="str">
        <f>IF($Q165="","",INDEX(TRANSACTIONS_MASTER!$P$5:$P$1204,$Q165))</f>
        <v/>
      </c>
      <c r="M165" s="25" t="str">
        <f>IF($Q165="","",INDEX(TRANSACTIONS_MASTER!$AA$5:$AA$1204,$Q165))</f>
        <v/>
      </c>
      <c r="N165" s="25" t="str">
        <f>IF($Q165="","",INDEX(TRANSACTIONS_MASTER!$R$5:$R$1204,$Q165))</f>
        <v/>
      </c>
      <c r="O165" s="28" t="str">
        <f>IF($Q165="","",INDEX(TRANSACTIONS_MASTER!$AB$5:$AB$1204,$Q165))</f>
        <v/>
      </c>
      <c r="P165" s="55" t="str">
        <f>IF($Q165="","",INDEX(TRANSACTIONS_MASTER!$Z$5:$Z$1204,$Q165)&amp;"")</f>
        <v/>
      </c>
      <c r="Q165" s="67" t="str">
        <f>IFERROR(MATCH($C$2&amp;"|"&amp;158,TRANSACTIONS_MASTER!$AE$5:$AE$1204,0),"")</f>
        <v/>
      </c>
      <c r="S165" s="67" t="str">
        <f>IFERROR(MATCH(1,INDEX((TRANSACTIONS_MASTER!$C$5:$C$1204=$C$2)*(TRANSACTIONS_MASTER!$AN$5:$AN$1204=7),0),0),"")</f>
        <v/>
      </c>
      <c r="T165" s="55" t="n"/>
      <c r="U165" s="55" t="str">
        <f>IF($S165="","",INDEX(TRANSACTIONS_MASTER!$G$5:$G$1204,$S165)&amp;"")</f>
        <v/>
      </c>
      <c r="V165" s="25" t="str">
        <f>IF($S165="","",SUMIFS(TRANSACTIONS_MASTER!$L$5:$L$1204,TRANSACTIONS_MASTER!$G$5:$G$1204,$U165,TRANSACTIONS_MASTER!$C$5:$C$1204,$C$2,TRANSACTIONS_MASTER!$U$5:$U$1204,"&lt;&gt;Cancelled"))</f>
        <v/>
      </c>
      <c r="W165" s="26" t="str">
        <f>IF($S165="","",SUMIFS(TRANSACTIONS_MASTER!$Q$5:$Q$1204,TRANSACTIONS_MASTER!$G$5:$G$1204,$U165,TRANSACTIONS_MASTER!$C$5:$C$1204,$C$2))</f>
        <v/>
      </c>
    </row>
    <row r="166">
      <c r="A166" s="81" t="str">
        <f>IF($Q166="","",159)</f>
        <v/>
      </c>
      <c r="B166" s="57" t="str">
        <f>IF($Q166="","",INDEX(TRANSACTIONS_MASTER!$B$5:$B$1204,$Q166))</f>
        <v/>
      </c>
      <c r="C166" s="55" t="str">
        <f>IF($Q166="","",INDEX(TRANSACTIONS_MASTER!$F$5:$F$1204,$Q166))</f>
        <v/>
      </c>
      <c r="D166" s="55" t="str">
        <f>IF($Q166="","",INDEX(TRANSACTIONS_MASTER!$E$5:$E$1204,$Q166))</f>
        <v/>
      </c>
      <c r="E166" s="55" t="str">
        <f>IF($Q166="","",INDEX(TRANSACTIONS_MASTER!$G$5:$G$1204,$Q166)&amp;"")</f>
        <v/>
      </c>
      <c r="F166" s="29" t="str">
        <f>IF($Q166="","",INDEX(TRANSACTIONS_MASTER!$I$5:$I$1204,$Q166))</f>
        <v/>
      </c>
      <c r="G166" s="55" t="str">
        <f>IF($Q166="","",INDEX(TRANSACTIONS_MASTER!$K$5:$K$1204,$Q166))</f>
        <v/>
      </c>
      <c r="H166" s="25" t="str">
        <f>IF($Q166="","",INDEX(TRANSACTIONS_MASTER!$L$5:$L$1204,$Q166))</f>
        <v/>
      </c>
      <c r="I166" s="56" t="str">
        <f>IF($Q166="","",INDEX(TRANSACTIONS_MASTER!$N$5:$N$1204,$Q166))</f>
        <v/>
      </c>
      <c r="J166" s="25" t="str">
        <f>IF($Q166="","",INDEX(TRANSACTIONS_MASTER!$O$5:$O$1204,$Q166))</f>
        <v/>
      </c>
      <c r="K166" s="26" t="str">
        <f>IF($Q166="","",INDEX(TRANSACTIONS_MASTER!$Q$5:$Q$1204,$Q166))</f>
        <v/>
      </c>
      <c r="L166" s="25" t="str">
        <f>IF($Q166="","",INDEX(TRANSACTIONS_MASTER!$P$5:$P$1204,$Q166))</f>
        <v/>
      </c>
      <c r="M166" s="25" t="str">
        <f>IF($Q166="","",INDEX(TRANSACTIONS_MASTER!$AA$5:$AA$1204,$Q166))</f>
        <v/>
      </c>
      <c r="N166" s="25" t="str">
        <f>IF($Q166="","",INDEX(TRANSACTIONS_MASTER!$R$5:$R$1204,$Q166))</f>
        <v/>
      </c>
      <c r="O166" s="28" t="str">
        <f>IF($Q166="","",INDEX(TRANSACTIONS_MASTER!$AB$5:$AB$1204,$Q166))</f>
        <v/>
      </c>
      <c r="P166" s="55" t="str">
        <f>IF($Q166="","",INDEX(TRANSACTIONS_MASTER!$Z$5:$Z$1204,$Q166)&amp;"")</f>
        <v/>
      </c>
      <c r="Q166" s="67" t="str">
        <f>IFERROR(MATCH($C$2&amp;"|"&amp;159,TRANSACTIONS_MASTER!$AE$5:$AE$1204,0),"")</f>
        <v/>
      </c>
      <c r="S166" s="67" t="str">
        <f>IFERROR(MATCH(1,INDEX((TRANSACTIONS_MASTER!$C$5:$C$1204=$C$2)*(TRANSACTIONS_MASTER!$AN$5:$AN$1204=8),0),0),"")</f>
        <v/>
      </c>
      <c r="T166" s="55" t="n"/>
      <c r="U166" s="55" t="str">
        <f>IF($S166="","",INDEX(TRANSACTIONS_MASTER!$G$5:$G$1204,$S166)&amp;"")</f>
        <v/>
      </c>
      <c r="V166" s="25" t="str">
        <f>IF($S166="","",SUMIFS(TRANSACTIONS_MASTER!$L$5:$L$1204,TRANSACTIONS_MASTER!$G$5:$G$1204,$U166,TRANSACTIONS_MASTER!$C$5:$C$1204,$C$2,TRANSACTIONS_MASTER!$U$5:$U$1204,"&lt;&gt;Cancelled"))</f>
        <v/>
      </c>
      <c r="W166" s="26" t="str">
        <f>IF($S166="","",SUMIFS(TRANSACTIONS_MASTER!$Q$5:$Q$1204,TRANSACTIONS_MASTER!$G$5:$G$1204,$U166,TRANSACTIONS_MASTER!$C$5:$C$1204,$C$2))</f>
        <v/>
      </c>
    </row>
    <row r="167">
      <c r="A167" s="81" t="str">
        <f>IF($Q167="","",160)</f>
        <v/>
      </c>
      <c r="B167" s="57" t="str">
        <f>IF($Q167="","",INDEX(TRANSACTIONS_MASTER!$B$5:$B$1204,$Q167))</f>
        <v/>
      </c>
      <c r="C167" s="55" t="str">
        <f>IF($Q167="","",INDEX(TRANSACTIONS_MASTER!$F$5:$F$1204,$Q167))</f>
        <v/>
      </c>
      <c r="D167" s="55" t="str">
        <f>IF($Q167="","",INDEX(TRANSACTIONS_MASTER!$E$5:$E$1204,$Q167))</f>
        <v/>
      </c>
      <c r="E167" s="55" t="str">
        <f>IF($Q167="","",INDEX(TRANSACTIONS_MASTER!$G$5:$G$1204,$Q167)&amp;"")</f>
        <v/>
      </c>
      <c r="F167" s="29" t="str">
        <f>IF($Q167="","",INDEX(TRANSACTIONS_MASTER!$I$5:$I$1204,$Q167))</f>
        <v/>
      </c>
      <c r="G167" s="55" t="str">
        <f>IF($Q167="","",INDEX(TRANSACTIONS_MASTER!$K$5:$K$1204,$Q167))</f>
        <v/>
      </c>
      <c r="H167" s="25" t="str">
        <f>IF($Q167="","",INDEX(TRANSACTIONS_MASTER!$L$5:$L$1204,$Q167))</f>
        <v/>
      </c>
      <c r="I167" s="56" t="str">
        <f>IF($Q167="","",INDEX(TRANSACTIONS_MASTER!$N$5:$N$1204,$Q167))</f>
        <v/>
      </c>
      <c r="J167" s="25" t="str">
        <f>IF($Q167="","",INDEX(TRANSACTIONS_MASTER!$O$5:$O$1204,$Q167))</f>
        <v/>
      </c>
      <c r="K167" s="26" t="str">
        <f>IF($Q167="","",INDEX(TRANSACTIONS_MASTER!$Q$5:$Q$1204,$Q167))</f>
        <v/>
      </c>
      <c r="L167" s="25" t="str">
        <f>IF($Q167="","",INDEX(TRANSACTIONS_MASTER!$P$5:$P$1204,$Q167))</f>
        <v/>
      </c>
      <c r="M167" s="25" t="str">
        <f>IF($Q167="","",INDEX(TRANSACTIONS_MASTER!$AA$5:$AA$1204,$Q167))</f>
        <v/>
      </c>
      <c r="N167" s="25" t="str">
        <f>IF($Q167="","",INDEX(TRANSACTIONS_MASTER!$R$5:$R$1204,$Q167))</f>
        <v/>
      </c>
      <c r="O167" s="28" t="str">
        <f>IF($Q167="","",INDEX(TRANSACTIONS_MASTER!$AB$5:$AB$1204,$Q167))</f>
        <v/>
      </c>
      <c r="P167" s="55" t="str">
        <f>IF($Q167="","",INDEX(TRANSACTIONS_MASTER!$Z$5:$Z$1204,$Q167)&amp;"")</f>
        <v/>
      </c>
      <c r="Q167" s="67" t="str">
        <f>IFERROR(MATCH($C$2&amp;"|"&amp;160,TRANSACTIONS_MASTER!$AE$5:$AE$1204,0),"")</f>
        <v/>
      </c>
      <c r="S167" s="67" t="str">
        <f>IFERROR(MATCH(1,INDEX((TRANSACTIONS_MASTER!$C$5:$C$1204=$C$2)*(TRANSACTIONS_MASTER!$AN$5:$AN$1204=9),0),0),"")</f>
        <v/>
      </c>
      <c r="T167" s="55" t="n"/>
      <c r="U167" s="55" t="str">
        <f>IF($S167="","",INDEX(TRANSACTIONS_MASTER!$G$5:$G$1204,$S167)&amp;"")</f>
        <v/>
      </c>
      <c r="V167" s="25" t="str">
        <f>IF($S167="","",SUMIFS(TRANSACTIONS_MASTER!$L$5:$L$1204,TRANSACTIONS_MASTER!$G$5:$G$1204,$U167,TRANSACTIONS_MASTER!$C$5:$C$1204,$C$2,TRANSACTIONS_MASTER!$U$5:$U$1204,"&lt;&gt;Cancelled"))</f>
        <v/>
      </c>
      <c r="W167" s="26" t="str">
        <f>IF($S167="","",SUMIFS(TRANSACTIONS_MASTER!$Q$5:$Q$1204,TRANSACTIONS_MASTER!$G$5:$G$1204,$U167,TRANSACTIONS_MASTER!$C$5:$C$1204,$C$2))</f>
        <v/>
      </c>
    </row>
    <row r="168">
      <c r="A168" s="81" t="str">
        <f>IF($Q168="","",161)</f>
        <v/>
      </c>
      <c r="B168" s="57" t="str">
        <f>IF($Q168="","",INDEX(TRANSACTIONS_MASTER!$B$5:$B$1204,$Q168))</f>
        <v/>
      </c>
      <c r="C168" s="55" t="str">
        <f>IF($Q168="","",INDEX(TRANSACTIONS_MASTER!$F$5:$F$1204,$Q168))</f>
        <v/>
      </c>
      <c r="D168" s="55" t="str">
        <f>IF($Q168="","",INDEX(TRANSACTIONS_MASTER!$E$5:$E$1204,$Q168))</f>
        <v/>
      </c>
      <c r="E168" s="55" t="str">
        <f>IF($Q168="","",INDEX(TRANSACTIONS_MASTER!$G$5:$G$1204,$Q168)&amp;"")</f>
        <v/>
      </c>
      <c r="F168" s="29" t="str">
        <f>IF($Q168="","",INDEX(TRANSACTIONS_MASTER!$I$5:$I$1204,$Q168))</f>
        <v/>
      </c>
      <c r="G168" s="55" t="str">
        <f>IF($Q168="","",INDEX(TRANSACTIONS_MASTER!$K$5:$K$1204,$Q168))</f>
        <v/>
      </c>
      <c r="H168" s="25" t="str">
        <f>IF($Q168="","",INDEX(TRANSACTIONS_MASTER!$L$5:$L$1204,$Q168))</f>
        <v/>
      </c>
      <c r="I168" s="56" t="str">
        <f>IF($Q168="","",INDEX(TRANSACTIONS_MASTER!$N$5:$N$1204,$Q168))</f>
        <v/>
      </c>
      <c r="J168" s="25" t="str">
        <f>IF($Q168="","",INDEX(TRANSACTIONS_MASTER!$O$5:$O$1204,$Q168))</f>
        <v/>
      </c>
      <c r="K168" s="26" t="str">
        <f>IF($Q168="","",INDEX(TRANSACTIONS_MASTER!$Q$5:$Q$1204,$Q168))</f>
        <v/>
      </c>
      <c r="L168" s="25" t="str">
        <f>IF($Q168="","",INDEX(TRANSACTIONS_MASTER!$P$5:$P$1204,$Q168))</f>
        <v/>
      </c>
      <c r="M168" s="25" t="str">
        <f>IF($Q168="","",INDEX(TRANSACTIONS_MASTER!$AA$5:$AA$1204,$Q168))</f>
        <v/>
      </c>
      <c r="N168" s="25" t="str">
        <f>IF($Q168="","",INDEX(TRANSACTIONS_MASTER!$R$5:$R$1204,$Q168))</f>
        <v/>
      </c>
      <c r="O168" s="28" t="str">
        <f>IF($Q168="","",INDEX(TRANSACTIONS_MASTER!$AB$5:$AB$1204,$Q168))</f>
        <v/>
      </c>
      <c r="P168" s="55" t="str">
        <f>IF($Q168="","",INDEX(TRANSACTIONS_MASTER!$Z$5:$Z$1204,$Q168)&amp;"")</f>
        <v/>
      </c>
      <c r="Q168" s="67" t="str">
        <f>IFERROR(MATCH($C$2&amp;"|"&amp;161,TRANSACTIONS_MASTER!$AE$5:$AE$1204,0),"")</f>
        <v/>
      </c>
      <c r="S168" s="67" t="str">
        <f>IFERROR(MATCH(1,INDEX((TRANSACTIONS_MASTER!$C$5:$C$1204=$C$2)*(TRANSACTIONS_MASTER!$AN$5:$AN$1204=10),0),0),"")</f>
        <v/>
      </c>
      <c r="T168" s="55" t="n"/>
      <c r="U168" s="55" t="str">
        <f>IF($S168="","",INDEX(TRANSACTIONS_MASTER!$G$5:$G$1204,$S168)&amp;"")</f>
        <v/>
      </c>
      <c r="V168" s="25" t="str">
        <f>IF($S168="","",SUMIFS(TRANSACTIONS_MASTER!$L$5:$L$1204,TRANSACTIONS_MASTER!$G$5:$G$1204,$U168,TRANSACTIONS_MASTER!$C$5:$C$1204,$C$2,TRANSACTIONS_MASTER!$U$5:$U$1204,"&lt;&gt;Cancelled"))</f>
        <v/>
      </c>
      <c r="W168" s="26" t="str">
        <f>IF($S168="","",SUMIFS(TRANSACTIONS_MASTER!$Q$5:$Q$1204,TRANSACTIONS_MASTER!$G$5:$G$1204,$U168,TRANSACTIONS_MASTER!$C$5:$C$1204,$C$2))</f>
        <v/>
      </c>
    </row>
    <row r="169">
      <c r="A169" s="81" t="str">
        <f>IF($Q169="","",162)</f>
        <v/>
      </c>
      <c r="B169" s="57" t="str">
        <f>IF($Q169="","",INDEX(TRANSACTIONS_MASTER!$B$5:$B$1204,$Q169))</f>
        <v/>
      </c>
      <c r="C169" s="55" t="str">
        <f>IF($Q169="","",INDEX(TRANSACTIONS_MASTER!$F$5:$F$1204,$Q169))</f>
        <v/>
      </c>
      <c r="D169" s="55" t="str">
        <f>IF($Q169="","",INDEX(TRANSACTIONS_MASTER!$E$5:$E$1204,$Q169))</f>
        <v/>
      </c>
      <c r="E169" s="55" t="str">
        <f>IF($Q169="","",INDEX(TRANSACTIONS_MASTER!$G$5:$G$1204,$Q169)&amp;"")</f>
        <v/>
      </c>
      <c r="F169" s="29" t="str">
        <f>IF($Q169="","",INDEX(TRANSACTIONS_MASTER!$I$5:$I$1204,$Q169))</f>
        <v/>
      </c>
      <c r="G169" s="55" t="str">
        <f>IF($Q169="","",INDEX(TRANSACTIONS_MASTER!$K$5:$K$1204,$Q169))</f>
        <v/>
      </c>
      <c r="H169" s="25" t="str">
        <f>IF($Q169="","",INDEX(TRANSACTIONS_MASTER!$L$5:$L$1204,$Q169))</f>
        <v/>
      </c>
      <c r="I169" s="56" t="str">
        <f>IF($Q169="","",INDEX(TRANSACTIONS_MASTER!$N$5:$N$1204,$Q169))</f>
        <v/>
      </c>
      <c r="J169" s="25" t="str">
        <f>IF($Q169="","",INDEX(TRANSACTIONS_MASTER!$O$5:$O$1204,$Q169))</f>
        <v/>
      </c>
      <c r="K169" s="26" t="str">
        <f>IF($Q169="","",INDEX(TRANSACTIONS_MASTER!$Q$5:$Q$1204,$Q169))</f>
        <v/>
      </c>
      <c r="L169" s="25" t="str">
        <f>IF($Q169="","",INDEX(TRANSACTIONS_MASTER!$P$5:$P$1204,$Q169))</f>
        <v/>
      </c>
      <c r="M169" s="25" t="str">
        <f>IF($Q169="","",INDEX(TRANSACTIONS_MASTER!$AA$5:$AA$1204,$Q169))</f>
        <v/>
      </c>
      <c r="N169" s="25" t="str">
        <f>IF($Q169="","",INDEX(TRANSACTIONS_MASTER!$R$5:$R$1204,$Q169))</f>
        <v/>
      </c>
      <c r="O169" s="28" t="str">
        <f>IF($Q169="","",INDEX(TRANSACTIONS_MASTER!$AB$5:$AB$1204,$Q169))</f>
        <v/>
      </c>
      <c r="P169" s="55" t="str">
        <f>IF($Q169="","",INDEX(TRANSACTIONS_MASTER!$Z$5:$Z$1204,$Q169)&amp;"")</f>
        <v/>
      </c>
      <c r="Q169" s="67" t="str">
        <f>IFERROR(MATCH($C$2&amp;"|"&amp;162,TRANSACTIONS_MASTER!$AE$5:$AE$1204,0),"")</f>
        <v/>
      </c>
      <c r="S169" s="67" t="str">
        <f>IFERROR(MATCH(1,INDEX((TRANSACTIONS_MASTER!$C$5:$C$1204=$C$2)*(TRANSACTIONS_MASTER!$AN$5:$AN$1204=11),0),0),"")</f>
        <v/>
      </c>
      <c r="T169" s="55" t="n"/>
      <c r="U169" s="55" t="str">
        <f>IF($S169="","",INDEX(TRANSACTIONS_MASTER!$G$5:$G$1204,$S169)&amp;"")</f>
        <v/>
      </c>
      <c r="V169" s="25" t="str">
        <f>IF($S169="","",SUMIFS(TRANSACTIONS_MASTER!$L$5:$L$1204,TRANSACTIONS_MASTER!$G$5:$G$1204,$U169,TRANSACTIONS_MASTER!$C$5:$C$1204,$C$2,TRANSACTIONS_MASTER!$U$5:$U$1204,"&lt;&gt;Cancelled"))</f>
        <v/>
      </c>
      <c r="W169" s="26" t="str">
        <f>IF($S169="","",SUMIFS(TRANSACTIONS_MASTER!$Q$5:$Q$1204,TRANSACTIONS_MASTER!$G$5:$G$1204,$U169,TRANSACTIONS_MASTER!$C$5:$C$1204,$C$2))</f>
        <v/>
      </c>
    </row>
    <row r="170">
      <c r="A170" s="81" t="str">
        <f>IF($Q170="","",163)</f>
        <v/>
      </c>
      <c r="B170" s="57" t="str">
        <f>IF($Q170="","",INDEX(TRANSACTIONS_MASTER!$B$5:$B$1204,$Q170))</f>
        <v/>
      </c>
      <c r="C170" s="55" t="str">
        <f>IF($Q170="","",INDEX(TRANSACTIONS_MASTER!$F$5:$F$1204,$Q170))</f>
        <v/>
      </c>
      <c r="D170" s="55" t="str">
        <f>IF($Q170="","",INDEX(TRANSACTIONS_MASTER!$E$5:$E$1204,$Q170))</f>
        <v/>
      </c>
      <c r="E170" s="55" t="str">
        <f>IF($Q170="","",INDEX(TRANSACTIONS_MASTER!$G$5:$G$1204,$Q170)&amp;"")</f>
        <v/>
      </c>
      <c r="F170" s="29" t="str">
        <f>IF($Q170="","",INDEX(TRANSACTIONS_MASTER!$I$5:$I$1204,$Q170))</f>
        <v/>
      </c>
      <c r="G170" s="55" t="str">
        <f>IF($Q170="","",INDEX(TRANSACTIONS_MASTER!$K$5:$K$1204,$Q170))</f>
        <v/>
      </c>
      <c r="H170" s="25" t="str">
        <f>IF($Q170="","",INDEX(TRANSACTIONS_MASTER!$L$5:$L$1204,$Q170))</f>
        <v/>
      </c>
      <c r="I170" s="56" t="str">
        <f>IF($Q170="","",INDEX(TRANSACTIONS_MASTER!$N$5:$N$1204,$Q170))</f>
        <v/>
      </c>
      <c r="J170" s="25" t="str">
        <f>IF($Q170="","",INDEX(TRANSACTIONS_MASTER!$O$5:$O$1204,$Q170))</f>
        <v/>
      </c>
      <c r="K170" s="26" t="str">
        <f>IF($Q170="","",INDEX(TRANSACTIONS_MASTER!$Q$5:$Q$1204,$Q170))</f>
        <v/>
      </c>
      <c r="L170" s="25" t="str">
        <f>IF($Q170="","",INDEX(TRANSACTIONS_MASTER!$P$5:$P$1204,$Q170))</f>
        <v/>
      </c>
      <c r="M170" s="25" t="str">
        <f>IF($Q170="","",INDEX(TRANSACTIONS_MASTER!$AA$5:$AA$1204,$Q170))</f>
        <v/>
      </c>
      <c r="N170" s="25" t="str">
        <f>IF($Q170="","",INDEX(TRANSACTIONS_MASTER!$R$5:$R$1204,$Q170))</f>
        <v/>
      </c>
      <c r="O170" s="28" t="str">
        <f>IF($Q170="","",INDEX(TRANSACTIONS_MASTER!$AB$5:$AB$1204,$Q170))</f>
        <v/>
      </c>
      <c r="P170" s="55" t="str">
        <f>IF($Q170="","",INDEX(TRANSACTIONS_MASTER!$Z$5:$Z$1204,$Q170)&amp;"")</f>
        <v/>
      </c>
      <c r="Q170" s="67" t="str">
        <f>IFERROR(MATCH($C$2&amp;"|"&amp;163,TRANSACTIONS_MASTER!$AE$5:$AE$1204,0),"")</f>
        <v/>
      </c>
      <c r="S170" s="67" t="str">
        <f>IFERROR(MATCH(1,INDEX((TRANSACTIONS_MASTER!$C$5:$C$1204=$C$2)*(TRANSACTIONS_MASTER!$AN$5:$AN$1204=12),0),0),"")</f>
        <v/>
      </c>
      <c r="T170" s="55" t="n"/>
      <c r="U170" s="55" t="str">
        <f>IF($S170="","",INDEX(TRANSACTIONS_MASTER!$G$5:$G$1204,$S170)&amp;"")</f>
        <v/>
      </c>
      <c r="V170" s="25" t="str">
        <f>IF($S170="","",SUMIFS(TRANSACTIONS_MASTER!$L$5:$L$1204,TRANSACTIONS_MASTER!$G$5:$G$1204,$U170,TRANSACTIONS_MASTER!$C$5:$C$1204,$C$2,TRANSACTIONS_MASTER!$U$5:$U$1204,"&lt;&gt;Cancelled"))</f>
        <v/>
      </c>
      <c r="W170" s="26" t="str">
        <f>IF($S170="","",SUMIFS(TRANSACTIONS_MASTER!$Q$5:$Q$1204,TRANSACTIONS_MASTER!$G$5:$G$1204,$U170,TRANSACTIONS_MASTER!$C$5:$C$1204,$C$2))</f>
        <v/>
      </c>
    </row>
    <row r="171">
      <c r="A171" s="81" t="str">
        <f>IF($Q171="","",164)</f>
        <v/>
      </c>
      <c r="B171" s="57" t="str">
        <f>IF($Q171="","",INDEX(TRANSACTIONS_MASTER!$B$5:$B$1204,$Q171))</f>
        <v/>
      </c>
      <c r="C171" s="55" t="str">
        <f>IF($Q171="","",INDEX(TRANSACTIONS_MASTER!$F$5:$F$1204,$Q171))</f>
        <v/>
      </c>
      <c r="D171" s="55" t="str">
        <f>IF($Q171="","",INDEX(TRANSACTIONS_MASTER!$E$5:$E$1204,$Q171))</f>
        <v/>
      </c>
      <c r="E171" s="55" t="str">
        <f>IF($Q171="","",INDEX(TRANSACTIONS_MASTER!$G$5:$G$1204,$Q171)&amp;"")</f>
        <v/>
      </c>
      <c r="F171" s="29" t="str">
        <f>IF($Q171="","",INDEX(TRANSACTIONS_MASTER!$I$5:$I$1204,$Q171))</f>
        <v/>
      </c>
      <c r="G171" s="55" t="str">
        <f>IF($Q171="","",INDEX(TRANSACTIONS_MASTER!$K$5:$K$1204,$Q171))</f>
        <v/>
      </c>
      <c r="H171" s="25" t="str">
        <f>IF($Q171="","",INDEX(TRANSACTIONS_MASTER!$L$5:$L$1204,$Q171))</f>
        <v/>
      </c>
      <c r="I171" s="56" t="str">
        <f>IF($Q171="","",INDEX(TRANSACTIONS_MASTER!$N$5:$N$1204,$Q171))</f>
        <v/>
      </c>
      <c r="J171" s="25" t="str">
        <f>IF($Q171="","",INDEX(TRANSACTIONS_MASTER!$O$5:$O$1204,$Q171))</f>
        <v/>
      </c>
      <c r="K171" s="26" t="str">
        <f>IF($Q171="","",INDEX(TRANSACTIONS_MASTER!$Q$5:$Q$1204,$Q171))</f>
        <v/>
      </c>
      <c r="L171" s="25" t="str">
        <f>IF($Q171="","",INDEX(TRANSACTIONS_MASTER!$P$5:$P$1204,$Q171))</f>
        <v/>
      </c>
      <c r="M171" s="25" t="str">
        <f>IF($Q171="","",INDEX(TRANSACTIONS_MASTER!$AA$5:$AA$1204,$Q171))</f>
        <v/>
      </c>
      <c r="N171" s="25" t="str">
        <f>IF($Q171="","",INDEX(TRANSACTIONS_MASTER!$R$5:$R$1204,$Q171))</f>
        <v/>
      </c>
      <c r="O171" s="28" t="str">
        <f>IF($Q171="","",INDEX(TRANSACTIONS_MASTER!$AB$5:$AB$1204,$Q171))</f>
        <v/>
      </c>
      <c r="P171" s="55" t="str">
        <f>IF($Q171="","",INDEX(TRANSACTIONS_MASTER!$Z$5:$Z$1204,$Q171)&amp;"")</f>
        <v/>
      </c>
      <c r="Q171" s="67" t="str">
        <f>IFERROR(MATCH($C$2&amp;"|"&amp;164,TRANSACTIONS_MASTER!$AE$5:$AE$1204,0),"")</f>
        <v/>
      </c>
      <c r="S171" s="67" t="str">
        <f>IFERROR(MATCH(1,INDEX((TRANSACTIONS_MASTER!$C$5:$C$1204=$C$2)*(TRANSACTIONS_MASTER!$AN$5:$AN$1204=13),0),0),"")</f>
        <v/>
      </c>
      <c r="T171" s="55" t="n"/>
      <c r="U171" s="55" t="str">
        <f>IF($S171="","",INDEX(TRANSACTIONS_MASTER!$G$5:$G$1204,$S171)&amp;"")</f>
        <v/>
      </c>
      <c r="V171" s="25" t="str">
        <f>IF($S171="","",SUMIFS(TRANSACTIONS_MASTER!$L$5:$L$1204,TRANSACTIONS_MASTER!$G$5:$G$1204,$U171,TRANSACTIONS_MASTER!$C$5:$C$1204,$C$2,TRANSACTIONS_MASTER!$U$5:$U$1204,"&lt;&gt;Cancelled"))</f>
        <v/>
      </c>
      <c r="W171" s="26" t="str">
        <f>IF($S171="","",SUMIFS(TRANSACTIONS_MASTER!$Q$5:$Q$1204,TRANSACTIONS_MASTER!$G$5:$G$1204,$U171,TRANSACTIONS_MASTER!$C$5:$C$1204,$C$2))</f>
        <v/>
      </c>
    </row>
    <row r="172">
      <c r="A172" s="81" t="str">
        <f>IF($Q172="","",165)</f>
        <v/>
      </c>
      <c r="B172" s="57" t="str">
        <f>IF($Q172="","",INDEX(TRANSACTIONS_MASTER!$B$5:$B$1204,$Q172))</f>
        <v/>
      </c>
      <c r="C172" s="55" t="str">
        <f>IF($Q172="","",INDEX(TRANSACTIONS_MASTER!$F$5:$F$1204,$Q172))</f>
        <v/>
      </c>
      <c r="D172" s="55" t="str">
        <f>IF($Q172="","",INDEX(TRANSACTIONS_MASTER!$E$5:$E$1204,$Q172))</f>
        <v/>
      </c>
      <c r="E172" s="55" t="str">
        <f>IF($Q172="","",INDEX(TRANSACTIONS_MASTER!$G$5:$G$1204,$Q172)&amp;"")</f>
        <v/>
      </c>
      <c r="F172" s="29" t="str">
        <f>IF($Q172="","",INDEX(TRANSACTIONS_MASTER!$I$5:$I$1204,$Q172))</f>
        <v/>
      </c>
      <c r="G172" s="55" t="str">
        <f>IF($Q172="","",INDEX(TRANSACTIONS_MASTER!$K$5:$K$1204,$Q172))</f>
        <v/>
      </c>
      <c r="H172" s="25" t="str">
        <f>IF($Q172="","",INDEX(TRANSACTIONS_MASTER!$L$5:$L$1204,$Q172))</f>
        <v/>
      </c>
      <c r="I172" s="56" t="str">
        <f>IF($Q172="","",INDEX(TRANSACTIONS_MASTER!$N$5:$N$1204,$Q172))</f>
        <v/>
      </c>
      <c r="J172" s="25" t="str">
        <f>IF($Q172="","",INDEX(TRANSACTIONS_MASTER!$O$5:$O$1204,$Q172))</f>
        <v/>
      </c>
      <c r="K172" s="26" t="str">
        <f>IF($Q172="","",INDEX(TRANSACTIONS_MASTER!$Q$5:$Q$1204,$Q172))</f>
        <v/>
      </c>
      <c r="L172" s="25" t="str">
        <f>IF($Q172="","",INDEX(TRANSACTIONS_MASTER!$P$5:$P$1204,$Q172))</f>
        <v/>
      </c>
      <c r="M172" s="25" t="str">
        <f>IF($Q172="","",INDEX(TRANSACTIONS_MASTER!$AA$5:$AA$1204,$Q172))</f>
        <v/>
      </c>
      <c r="N172" s="25" t="str">
        <f>IF($Q172="","",INDEX(TRANSACTIONS_MASTER!$R$5:$R$1204,$Q172))</f>
        <v/>
      </c>
      <c r="O172" s="28" t="str">
        <f>IF($Q172="","",INDEX(TRANSACTIONS_MASTER!$AB$5:$AB$1204,$Q172))</f>
        <v/>
      </c>
      <c r="P172" s="55" t="str">
        <f>IF($Q172="","",INDEX(TRANSACTIONS_MASTER!$Z$5:$Z$1204,$Q172)&amp;"")</f>
        <v/>
      </c>
      <c r="Q172" s="67" t="str">
        <f>IFERROR(MATCH($C$2&amp;"|"&amp;165,TRANSACTIONS_MASTER!$AE$5:$AE$1204,0),"")</f>
        <v/>
      </c>
      <c r="S172" s="67" t="str">
        <f>IFERROR(MATCH(1,INDEX((TRANSACTIONS_MASTER!$C$5:$C$1204=$C$2)*(TRANSACTIONS_MASTER!$AN$5:$AN$1204=14),0),0),"")</f>
        <v/>
      </c>
      <c r="T172" s="55" t="n"/>
      <c r="U172" s="55" t="str">
        <f>IF($S172="","",INDEX(TRANSACTIONS_MASTER!$G$5:$G$1204,$S172)&amp;"")</f>
        <v/>
      </c>
      <c r="V172" s="25" t="str">
        <f>IF($S172="","",SUMIFS(TRANSACTIONS_MASTER!$L$5:$L$1204,TRANSACTIONS_MASTER!$G$5:$G$1204,$U172,TRANSACTIONS_MASTER!$C$5:$C$1204,$C$2,TRANSACTIONS_MASTER!$U$5:$U$1204,"&lt;&gt;Cancelled"))</f>
        <v/>
      </c>
      <c r="W172" s="26" t="str">
        <f>IF($S172="","",SUMIFS(TRANSACTIONS_MASTER!$Q$5:$Q$1204,TRANSACTIONS_MASTER!$G$5:$G$1204,$U172,TRANSACTIONS_MASTER!$C$5:$C$1204,$C$2))</f>
        <v/>
      </c>
    </row>
    <row r="173">
      <c r="A173" s="81" t="str">
        <f>IF($Q173="","",166)</f>
        <v/>
      </c>
      <c r="B173" s="57" t="str">
        <f>IF($Q173="","",INDEX(TRANSACTIONS_MASTER!$B$5:$B$1204,$Q173))</f>
        <v/>
      </c>
      <c r="C173" s="55" t="str">
        <f>IF($Q173="","",INDEX(TRANSACTIONS_MASTER!$F$5:$F$1204,$Q173))</f>
        <v/>
      </c>
      <c r="D173" s="55" t="str">
        <f>IF($Q173="","",INDEX(TRANSACTIONS_MASTER!$E$5:$E$1204,$Q173))</f>
        <v/>
      </c>
      <c r="E173" s="55" t="str">
        <f>IF($Q173="","",INDEX(TRANSACTIONS_MASTER!$G$5:$G$1204,$Q173)&amp;"")</f>
        <v/>
      </c>
      <c r="F173" s="29" t="str">
        <f>IF($Q173="","",INDEX(TRANSACTIONS_MASTER!$I$5:$I$1204,$Q173))</f>
        <v/>
      </c>
      <c r="G173" s="55" t="str">
        <f>IF($Q173="","",INDEX(TRANSACTIONS_MASTER!$K$5:$K$1204,$Q173))</f>
        <v/>
      </c>
      <c r="H173" s="25" t="str">
        <f>IF($Q173="","",INDEX(TRANSACTIONS_MASTER!$L$5:$L$1204,$Q173))</f>
        <v/>
      </c>
      <c r="I173" s="56" t="str">
        <f>IF($Q173="","",INDEX(TRANSACTIONS_MASTER!$N$5:$N$1204,$Q173))</f>
        <v/>
      </c>
      <c r="J173" s="25" t="str">
        <f>IF($Q173="","",INDEX(TRANSACTIONS_MASTER!$O$5:$O$1204,$Q173))</f>
        <v/>
      </c>
      <c r="K173" s="26" t="str">
        <f>IF($Q173="","",INDEX(TRANSACTIONS_MASTER!$Q$5:$Q$1204,$Q173))</f>
        <v/>
      </c>
      <c r="L173" s="25" t="str">
        <f>IF($Q173="","",INDEX(TRANSACTIONS_MASTER!$P$5:$P$1204,$Q173))</f>
        <v/>
      </c>
      <c r="M173" s="25" t="str">
        <f>IF($Q173="","",INDEX(TRANSACTIONS_MASTER!$AA$5:$AA$1204,$Q173))</f>
        <v/>
      </c>
      <c r="N173" s="25" t="str">
        <f>IF($Q173="","",INDEX(TRANSACTIONS_MASTER!$R$5:$R$1204,$Q173))</f>
        <v/>
      </c>
      <c r="O173" s="28" t="str">
        <f>IF($Q173="","",INDEX(TRANSACTIONS_MASTER!$AB$5:$AB$1204,$Q173))</f>
        <v/>
      </c>
      <c r="P173" s="55" t="str">
        <f>IF($Q173="","",INDEX(TRANSACTIONS_MASTER!$Z$5:$Z$1204,$Q173)&amp;"")</f>
        <v/>
      </c>
      <c r="Q173" s="67" t="str">
        <f>IFERROR(MATCH($C$2&amp;"|"&amp;166,TRANSACTIONS_MASTER!$AE$5:$AE$1204,0),"")</f>
        <v/>
      </c>
      <c r="S173" s="67" t="str">
        <f>IFERROR(MATCH(1,INDEX((TRANSACTIONS_MASTER!$C$5:$C$1204=$C$2)*(TRANSACTIONS_MASTER!$AN$5:$AN$1204=15),0),0),"")</f>
        <v/>
      </c>
      <c r="T173" s="55" t="n"/>
      <c r="U173" s="55" t="str">
        <f>IF($S173="","",INDEX(TRANSACTIONS_MASTER!$G$5:$G$1204,$S173)&amp;"")</f>
        <v/>
      </c>
      <c r="V173" s="25" t="str">
        <f>IF($S173="","",SUMIFS(TRANSACTIONS_MASTER!$L$5:$L$1204,TRANSACTIONS_MASTER!$G$5:$G$1204,$U173,TRANSACTIONS_MASTER!$C$5:$C$1204,$C$2,TRANSACTIONS_MASTER!$U$5:$U$1204,"&lt;&gt;Cancelled"))</f>
        <v/>
      </c>
      <c r="W173" s="26" t="str">
        <f>IF($S173="","",SUMIFS(TRANSACTIONS_MASTER!$Q$5:$Q$1204,TRANSACTIONS_MASTER!$G$5:$G$1204,$U173,TRANSACTIONS_MASTER!$C$5:$C$1204,$C$2))</f>
        <v/>
      </c>
    </row>
    <row r="174">
      <c r="A174" s="81" t="str">
        <f>IF($Q174="","",167)</f>
        <v/>
      </c>
      <c r="B174" s="57" t="str">
        <f>IF($Q174="","",INDEX(TRANSACTIONS_MASTER!$B$5:$B$1204,$Q174))</f>
        <v/>
      </c>
      <c r="C174" s="55" t="str">
        <f>IF($Q174="","",INDEX(TRANSACTIONS_MASTER!$F$5:$F$1204,$Q174))</f>
        <v/>
      </c>
      <c r="D174" s="55" t="str">
        <f>IF($Q174="","",INDEX(TRANSACTIONS_MASTER!$E$5:$E$1204,$Q174))</f>
        <v/>
      </c>
      <c r="E174" s="55" t="str">
        <f>IF($Q174="","",INDEX(TRANSACTIONS_MASTER!$G$5:$G$1204,$Q174)&amp;"")</f>
        <v/>
      </c>
      <c r="F174" s="29" t="str">
        <f>IF($Q174="","",INDEX(TRANSACTIONS_MASTER!$I$5:$I$1204,$Q174))</f>
        <v/>
      </c>
      <c r="G174" s="55" t="str">
        <f>IF($Q174="","",INDEX(TRANSACTIONS_MASTER!$K$5:$K$1204,$Q174))</f>
        <v/>
      </c>
      <c r="H174" s="25" t="str">
        <f>IF($Q174="","",INDEX(TRANSACTIONS_MASTER!$L$5:$L$1204,$Q174))</f>
        <v/>
      </c>
      <c r="I174" s="56" t="str">
        <f>IF($Q174="","",INDEX(TRANSACTIONS_MASTER!$N$5:$N$1204,$Q174))</f>
        <v/>
      </c>
      <c r="J174" s="25" t="str">
        <f>IF($Q174="","",INDEX(TRANSACTIONS_MASTER!$O$5:$O$1204,$Q174))</f>
        <v/>
      </c>
      <c r="K174" s="26" t="str">
        <f>IF($Q174="","",INDEX(TRANSACTIONS_MASTER!$Q$5:$Q$1204,$Q174))</f>
        <v/>
      </c>
      <c r="L174" s="25" t="str">
        <f>IF($Q174="","",INDEX(TRANSACTIONS_MASTER!$P$5:$P$1204,$Q174))</f>
        <v/>
      </c>
      <c r="M174" s="25" t="str">
        <f>IF($Q174="","",INDEX(TRANSACTIONS_MASTER!$AA$5:$AA$1204,$Q174))</f>
        <v/>
      </c>
      <c r="N174" s="25" t="str">
        <f>IF($Q174="","",INDEX(TRANSACTIONS_MASTER!$R$5:$R$1204,$Q174))</f>
        <v/>
      </c>
      <c r="O174" s="28" t="str">
        <f>IF($Q174="","",INDEX(TRANSACTIONS_MASTER!$AB$5:$AB$1204,$Q174))</f>
        <v/>
      </c>
      <c r="P174" s="55" t="str">
        <f>IF($Q174="","",INDEX(TRANSACTIONS_MASTER!$Z$5:$Z$1204,$Q174)&amp;"")</f>
        <v/>
      </c>
      <c r="Q174" s="67" t="str">
        <f>IFERROR(MATCH($C$2&amp;"|"&amp;167,TRANSACTIONS_MASTER!$AE$5:$AE$1204,0),"")</f>
        <v/>
      </c>
      <c r="S174" s="67" t="str">
        <f>IFERROR(MATCH(1,INDEX((TRANSACTIONS_MASTER!$C$5:$C$1204=$C$2)*(TRANSACTIONS_MASTER!$AN$5:$AN$1204=16),0),0),"")</f>
        <v/>
      </c>
      <c r="T174" s="55" t="n"/>
      <c r="U174" s="55" t="str">
        <f>IF($S174="","",INDEX(TRANSACTIONS_MASTER!$G$5:$G$1204,$S174)&amp;"")</f>
        <v/>
      </c>
      <c r="V174" s="25" t="str">
        <f>IF($S174="","",SUMIFS(TRANSACTIONS_MASTER!$L$5:$L$1204,TRANSACTIONS_MASTER!$G$5:$G$1204,$U174,TRANSACTIONS_MASTER!$C$5:$C$1204,$C$2,TRANSACTIONS_MASTER!$U$5:$U$1204,"&lt;&gt;Cancelled"))</f>
        <v/>
      </c>
      <c r="W174" s="26" t="str">
        <f>IF($S174="","",SUMIFS(TRANSACTIONS_MASTER!$Q$5:$Q$1204,TRANSACTIONS_MASTER!$G$5:$G$1204,$U174,TRANSACTIONS_MASTER!$C$5:$C$1204,$C$2))</f>
        <v/>
      </c>
    </row>
    <row r="175">
      <c r="A175" s="81" t="str">
        <f>IF($Q175="","",168)</f>
        <v/>
      </c>
      <c r="B175" s="57" t="str">
        <f>IF($Q175="","",INDEX(TRANSACTIONS_MASTER!$B$5:$B$1204,$Q175))</f>
        <v/>
      </c>
      <c r="C175" s="55" t="str">
        <f>IF($Q175="","",INDEX(TRANSACTIONS_MASTER!$F$5:$F$1204,$Q175))</f>
        <v/>
      </c>
      <c r="D175" s="55" t="str">
        <f>IF($Q175="","",INDEX(TRANSACTIONS_MASTER!$E$5:$E$1204,$Q175))</f>
        <v/>
      </c>
      <c r="E175" s="55" t="str">
        <f>IF($Q175="","",INDEX(TRANSACTIONS_MASTER!$G$5:$G$1204,$Q175)&amp;"")</f>
        <v/>
      </c>
      <c r="F175" s="29" t="str">
        <f>IF($Q175="","",INDEX(TRANSACTIONS_MASTER!$I$5:$I$1204,$Q175))</f>
        <v/>
      </c>
      <c r="G175" s="55" t="str">
        <f>IF($Q175="","",INDEX(TRANSACTIONS_MASTER!$K$5:$K$1204,$Q175))</f>
        <v/>
      </c>
      <c r="H175" s="25" t="str">
        <f>IF($Q175="","",INDEX(TRANSACTIONS_MASTER!$L$5:$L$1204,$Q175))</f>
        <v/>
      </c>
      <c r="I175" s="56" t="str">
        <f>IF($Q175="","",INDEX(TRANSACTIONS_MASTER!$N$5:$N$1204,$Q175))</f>
        <v/>
      </c>
      <c r="J175" s="25" t="str">
        <f>IF($Q175="","",INDEX(TRANSACTIONS_MASTER!$O$5:$O$1204,$Q175))</f>
        <v/>
      </c>
      <c r="K175" s="26" t="str">
        <f>IF($Q175="","",INDEX(TRANSACTIONS_MASTER!$Q$5:$Q$1204,$Q175))</f>
        <v/>
      </c>
      <c r="L175" s="25" t="str">
        <f>IF($Q175="","",INDEX(TRANSACTIONS_MASTER!$P$5:$P$1204,$Q175))</f>
        <v/>
      </c>
      <c r="M175" s="25" t="str">
        <f>IF($Q175="","",INDEX(TRANSACTIONS_MASTER!$AA$5:$AA$1204,$Q175))</f>
        <v/>
      </c>
      <c r="N175" s="25" t="str">
        <f>IF($Q175="","",INDEX(TRANSACTIONS_MASTER!$R$5:$R$1204,$Q175))</f>
        <v/>
      </c>
      <c r="O175" s="28" t="str">
        <f>IF($Q175="","",INDEX(TRANSACTIONS_MASTER!$AB$5:$AB$1204,$Q175))</f>
        <v/>
      </c>
      <c r="P175" s="55" t="str">
        <f>IF($Q175="","",INDEX(TRANSACTIONS_MASTER!$Z$5:$Z$1204,$Q175)&amp;"")</f>
        <v/>
      </c>
      <c r="Q175" s="67" t="str">
        <f>IFERROR(MATCH($C$2&amp;"|"&amp;168,TRANSACTIONS_MASTER!$AE$5:$AE$1204,0),"")</f>
        <v/>
      </c>
      <c r="S175" s="67" t="str">
        <f>IFERROR(MATCH(1,INDEX((TRANSACTIONS_MASTER!$C$5:$C$1204=$C$2)*(TRANSACTIONS_MASTER!$AN$5:$AN$1204=17),0),0),"")</f>
        <v/>
      </c>
      <c r="T175" s="55" t="n"/>
      <c r="U175" s="55" t="str">
        <f>IF($S175="","",INDEX(TRANSACTIONS_MASTER!$G$5:$G$1204,$S175)&amp;"")</f>
        <v/>
      </c>
      <c r="V175" s="25" t="str">
        <f>IF($S175="","",SUMIFS(TRANSACTIONS_MASTER!$L$5:$L$1204,TRANSACTIONS_MASTER!$G$5:$G$1204,$U175,TRANSACTIONS_MASTER!$C$5:$C$1204,$C$2,TRANSACTIONS_MASTER!$U$5:$U$1204,"&lt;&gt;Cancelled"))</f>
        <v/>
      </c>
      <c r="W175" s="26" t="str">
        <f>IF($S175="","",SUMIFS(TRANSACTIONS_MASTER!$Q$5:$Q$1204,TRANSACTIONS_MASTER!$G$5:$G$1204,$U175,TRANSACTIONS_MASTER!$C$5:$C$1204,$C$2))</f>
        <v/>
      </c>
    </row>
    <row r="176">
      <c r="A176" s="81" t="str">
        <f>IF($Q176="","",169)</f>
        <v/>
      </c>
      <c r="B176" s="57" t="str">
        <f>IF($Q176="","",INDEX(TRANSACTIONS_MASTER!$B$5:$B$1204,$Q176))</f>
        <v/>
      </c>
      <c r="C176" s="55" t="str">
        <f>IF($Q176="","",INDEX(TRANSACTIONS_MASTER!$F$5:$F$1204,$Q176))</f>
        <v/>
      </c>
      <c r="D176" s="55" t="str">
        <f>IF($Q176="","",INDEX(TRANSACTIONS_MASTER!$E$5:$E$1204,$Q176))</f>
        <v/>
      </c>
      <c r="E176" s="55" t="str">
        <f>IF($Q176="","",INDEX(TRANSACTIONS_MASTER!$G$5:$G$1204,$Q176)&amp;"")</f>
        <v/>
      </c>
      <c r="F176" s="29" t="str">
        <f>IF($Q176="","",INDEX(TRANSACTIONS_MASTER!$I$5:$I$1204,$Q176))</f>
        <v/>
      </c>
      <c r="G176" s="55" t="str">
        <f>IF($Q176="","",INDEX(TRANSACTIONS_MASTER!$K$5:$K$1204,$Q176))</f>
        <v/>
      </c>
      <c r="H176" s="25" t="str">
        <f>IF($Q176="","",INDEX(TRANSACTIONS_MASTER!$L$5:$L$1204,$Q176))</f>
        <v/>
      </c>
      <c r="I176" s="56" t="str">
        <f>IF($Q176="","",INDEX(TRANSACTIONS_MASTER!$N$5:$N$1204,$Q176))</f>
        <v/>
      </c>
      <c r="J176" s="25" t="str">
        <f>IF($Q176="","",INDEX(TRANSACTIONS_MASTER!$O$5:$O$1204,$Q176))</f>
        <v/>
      </c>
      <c r="K176" s="26" t="str">
        <f>IF($Q176="","",INDEX(TRANSACTIONS_MASTER!$Q$5:$Q$1204,$Q176))</f>
        <v/>
      </c>
      <c r="L176" s="25" t="str">
        <f>IF($Q176="","",INDEX(TRANSACTIONS_MASTER!$P$5:$P$1204,$Q176))</f>
        <v/>
      </c>
      <c r="M176" s="25" t="str">
        <f>IF($Q176="","",INDEX(TRANSACTIONS_MASTER!$AA$5:$AA$1204,$Q176))</f>
        <v/>
      </c>
      <c r="N176" s="25" t="str">
        <f>IF($Q176="","",INDEX(TRANSACTIONS_MASTER!$R$5:$R$1204,$Q176))</f>
        <v/>
      </c>
      <c r="O176" s="28" t="str">
        <f>IF($Q176="","",INDEX(TRANSACTIONS_MASTER!$AB$5:$AB$1204,$Q176))</f>
        <v/>
      </c>
      <c r="P176" s="55" t="str">
        <f>IF($Q176="","",INDEX(TRANSACTIONS_MASTER!$Z$5:$Z$1204,$Q176)&amp;"")</f>
        <v/>
      </c>
      <c r="Q176" s="67" t="str">
        <f>IFERROR(MATCH($C$2&amp;"|"&amp;169,TRANSACTIONS_MASTER!$AE$5:$AE$1204,0),"")</f>
        <v/>
      </c>
      <c r="S176" s="67" t="str">
        <f>IFERROR(MATCH(1,INDEX((TRANSACTIONS_MASTER!$C$5:$C$1204=$C$2)*(TRANSACTIONS_MASTER!$AN$5:$AN$1204=18),0),0),"")</f>
        <v/>
      </c>
      <c r="T176" s="55" t="n"/>
      <c r="U176" s="55" t="str">
        <f>IF($S176="","",INDEX(TRANSACTIONS_MASTER!$G$5:$G$1204,$S176)&amp;"")</f>
        <v/>
      </c>
      <c r="V176" s="25" t="str">
        <f>IF($S176="","",SUMIFS(TRANSACTIONS_MASTER!$L$5:$L$1204,TRANSACTIONS_MASTER!$G$5:$G$1204,$U176,TRANSACTIONS_MASTER!$C$5:$C$1204,$C$2,TRANSACTIONS_MASTER!$U$5:$U$1204,"&lt;&gt;Cancelled"))</f>
        <v/>
      </c>
      <c r="W176" s="26" t="str">
        <f>IF($S176="","",SUMIFS(TRANSACTIONS_MASTER!$Q$5:$Q$1204,TRANSACTIONS_MASTER!$G$5:$G$1204,$U176,TRANSACTIONS_MASTER!$C$5:$C$1204,$C$2))</f>
        <v/>
      </c>
    </row>
    <row r="177">
      <c r="A177" s="81" t="str">
        <f>IF($Q177="","",170)</f>
        <v/>
      </c>
      <c r="B177" s="57" t="str">
        <f>IF($Q177="","",INDEX(TRANSACTIONS_MASTER!$B$5:$B$1204,$Q177))</f>
        <v/>
      </c>
      <c r="C177" s="55" t="str">
        <f>IF($Q177="","",INDEX(TRANSACTIONS_MASTER!$F$5:$F$1204,$Q177))</f>
        <v/>
      </c>
      <c r="D177" s="55" t="str">
        <f>IF($Q177="","",INDEX(TRANSACTIONS_MASTER!$E$5:$E$1204,$Q177))</f>
        <v/>
      </c>
      <c r="E177" s="55" t="str">
        <f>IF($Q177="","",INDEX(TRANSACTIONS_MASTER!$G$5:$G$1204,$Q177)&amp;"")</f>
        <v/>
      </c>
      <c r="F177" s="29" t="str">
        <f>IF($Q177="","",INDEX(TRANSACTIONS_MASTER!$I$5:$I$1204,$Q177))</f>
        <v/>
      </c>
      <c r="G177" s="55" t="str">
        <f>IF($Q177="","",INDEX(TRANSACTIONS_MASTER!$K$5:$K$1204,$Q177))</f>
        <v/>
      </c>
      <c r="H177" s="25" t="str">
        <f>IF($Q177="","",INDEX(TRANSACTIONS_MASTER!$L$5:$L$1204,$Q177))</f>
        <v/>
      </c>
      <c r="I177" s="56" t="str">
        <f>IF($Q177="","",INDEX(TRANSACTIONS_MASTER!$N$5:$N$1204,$Q177))</f>
        <v/>
      </c>
      <c r="J177" s="25" t="str">
        <f>IF($Q177="","",INDEX(TRANSACTIONS_MASTER!$O$5:$O$1204,$Q177))</f>
        <v/>
      </c>
      <c r="K177" s="26" t="str">
        <f>IF($Q177="","",INDEX(TRANSACTIONS_MASTER!$Q$5:$Q$1204,$Q177))</f>
        <v/>
      </c>
      <c r="L177" s="25" t="str">
        <f>IF($Q177="","",INDEX(TRANSACTIONS_MASTER!$P$5:$P$1204,$Q177))</f>
        <v/>
      </c>
      <c r="M177" s="25" t="str">
        <f>IF($Q177="","",INDEX(TRANSACTIONS_MASTER!$AA$5:$AA$1204,$Q177))</f>
        <v/>
      </c>
      <c r="N177" s="25" t="str">
        <f>IF($Q177="","",INDEX(TRANSACTIONS_MASTER!$R$5:$R$1204,$Q177))</f>
        <v/>
      </c>
      <c r="O177" s="28" t="str">
        <f>IF($Q177="","",INDEX(TRANSACTIONS_MASTER!$AB$5:$AB$1204,$Q177))</f>
        <v/>
      </c>
      <c r="P177" s="55" t="str">
        <f>IF($Q177="","",INDEX(TRANSACTIONS_MASTER!$Z$5:$Z$1204,$Q177)&amp;"")</f>
        <v/>
      </c>
      <c r="Q177" s="67" t="str">
        <f>IFERROR(MATCH($C$2&amp;"|"&amp;170,TRANSACTIONS_MASTER!$AE$5:$AE$1204,0),"")</f>
        <v/>
      </c>
      <c r="S177" s="67" t="str">
        <f>IFERROR(MATCH(1,INDEX((TRANSACTIONS_MASTER!$C$5:$C$1204=$C$2)*(TRANSACTIONS_MASTER!$AN$5:$AN$1204=19),0),0),"")</f>
        <v/>
      </c>
      <c r="T177" s="55" t="n"/>
      <c r="U177" s="55" t="str">
        <f>IF($S177="","",INDEX(TRANSACTIONS_MASTER!$G$5:$G$1204,$S177)&amp;"")</f>
        <v/>
      </c>
      <c r="V177" s="25" t="str">
        <f>IF($S177="","",SUMIFS(TRANSACTIONS_MASTER!$L$5:$L$1204,TRANSACTIONS_MASTER!$G$5:$G$1204,$U177,TRANSACTIONS_MASTER!$C$5:$C$1204,$C$2,TRANSACTIONS_MASTER!$U$5:$U$1204,"&lt;&gt;Cancelled"))</f>
        <v/>
      </c>
      <c r="W177" s="26" t="str">
        <f>IF($S177="","",SUMIFS(TRANSACTIONS_MASTER!$Q$5:$Q$1204,TRANSACTIONS_MASTER!$G$5:$G$1204,$U177,TRANSACTIONS_MASTER!$C$5:$C$1204,$C$2))</f>
        <v/>
      </c>
    </row>
    <row r="178">
      <c r="A178" s="81" t="str">
        <f>IF($Q178="","",171)</f>
        <v/>
      </c>
      <c r="B178" s="57" t="str">
        <f>IF($Q178="","",INDEX(TRANSACTIONS_MASTER!$B$5:$B$1204,$Q178))</f>
        <v/>
      </c>
      <c r="C178" s="55" t="str">
        <f>IF($Q178="","",INDEX(TRANSACTIONS_MASTER!$F$5:$F$1204,$Q178))</f>
        <v/>
      </c>
      <c r="D178" s="55" t="str">
        <f>IF($Q178="","",INDEX(TRANSACTIONS_MASTER!$E$5:$E$1204,$Q178))</f>
        <v/>
      </c>
      <c r="E178" s="55" t="str">
        <f>IF($Q178="","",INDEX(TRANSACTIONS_MASTER!$G$5:$G$1204,$Q178)&amp;"")</f>
        <v/>
      </c>
      <c r="F178" s="29" t="str">
        <f>IF($Q178="","",INDEX(TRANSACTIONS_MASTER!$I$5:$I$1204,$Q178))</f>
        <v/>
      </c>
      <c r="G178" s="55" t="str">
        <f>IF($Q178="","",INDEX(TRANSACTIONS_MASTER!$K$5:$K$1204,$Q178))</f>
        <v/>
      </c>
      <c r="H178" s="25" t="str">
        <f>IF($Q178="","",INDEX(TRANSACTIONS_MASTER!$L$5:$L$1204,$Q178))</f>
        <v/>
      </c>
      <c r="I178" s="56" t="str">
        <f>IF($Q178="","",INDEX(TRANSACTIONS_MASTER!$N$5:$N$1204,$Q178))</f>
        <v/>
      </c>
      <c r="J178" s="25" t="str">
        <f>IF($Q178="","",INDEX(TRANSACTIONS_MASTER!$O$5:$O$1204,$Q178))</f>
        <v/>
      </c>
      <c r="K178" s="26" t="str">
        <f>IF($Q178="","",INDEX(TRANSACTIONS_MASTER!$Q$5:$Q$1204,$Q178))</f>
        <v/>
      </c>
      <c r="L178" s="25" t="str">
        <f>IF($Q178="","",INDEX(TRANSACTIONS_MASTER!$P$5:$P$1204,$Q178))</f>
        <v/>
      </c>
      <c r="M178" s="25" t="str">
        <f>IF($Q178="","",INDEX(TRANSACTIONS_MASTER!$AA$5:$AA$1204,$Q178))</f>
        <v/>
      </c>
      <c r="N178" s="25" t="str">
        <f>IF($Q178="","",INDEX(TRANSACTIONS_MASTER!$R$5:$R$1204,$Q178))</f>
        <v/>
      </c>
      <c r="O178" s="28" t="str">
        <f>IF($Q178="","",INDEX(TRANSACTIONS_MASTER!$AB$5:$AB$1204,$Q178))</f>
        <v/>
      </c>
      <c r="P178" s="55" t="str">
        <f>IF($Q178="","",INDEX(TRANSACTIONS_MASTER!$Z$5:$Z$1204,$Q178)&amp;"")</f>
        <v/>
      </c>
      <c r="Q178" s="67" t="str">
        <f>IFERROR(MATCH($C$2&amp;"|"&amp;171,TRANSACTIONS_MASTER!$AE$5:$AE$1204,0),"")</f>
        <v/>
      </c>
      <c r="S178" s="67" t="str">
        <f>IFERROR(MATCH(1,INDEX((TRANSACTIONS_MASTER!$C$5:$C$1204=$C$2)*(TRANSACTIONS_MASTER!$AN$5:$AN$1204=20),0),0),"")</f>
        <v/>
      </c>
      <c r="T178" s="55" t="n"/>
      <c r="U178" s="55" t="str">
        <f>IF($S178="","",INDEX(TRANSACTIONS_MASTER!$G$5:$G$1204,$S178)&amp;"")</f>
        <v/>
      </c>
      <c r="V178" s="25" t="str">
        <f>IF($S178="","",SUMIFS(TRANSACTIONS_MASTER!$L$5:$L$1204,TRANSACTIONS_MASTER!$G$5:$G$1204,$U178,TRANSACTIONS_MASTER!$C$5:$C$1204,$C$2,TRANSACTIONS_MASTER!$U$5:$U$1204,"&lt;&gt;Cancelled"))</f>
        <v/>
      </c>
      <c r="W178" s="26" t="str">
        <f>IF($S178="","",SUMIFS(TRANSACTIONS_MASTER!$Q$5:$Q$1204,TRANSACTIONS_MASTER!$G$5:$G$1204,$U178,TRANSACTIONS_MASTER!$C$5:$C$1204,$C$2))</f>
        <v/>
      </c>
    </row>
    <row r="179">
      <c r="A179" s="81" t="str">
        <f>IF($Q179="","",172)</f>
        <v/>
      </c>
      <c r="B179" s="57" t="str">
        <f>IF($Q179="","",INDEX(TRANSACTIONS_MASTER!$B$5:$B$1204,$Q179))</f>
        <v/>
      </c>
      <c r="C179" s="55" t="str">
        <f>IF($Q179="","",INDEX(TRANSACTIONS_MASTER!$F$5:$F$1204,$Q179))</f>
        <v/>
      </c>
      <c r="D179" s="55" t="str">
        <f>IF($Q179="","",INDEX(TRANSACTIONS_MASTER!$E$5:$E$1204,$Q179))</f>
        <v/>
      </c>
      <c r="E179" s="55" t="str">
        <f>IF($Q179="","",INDEX(TRANSACTIONS_MASTER!$G$5:$G$1204,$Q179)&amp;"")</f>
        <v/>
      </c>
      <c r="F179" s="29" t="str">
        <f>IF($Q179="","",INDEX(TRANSACTIONS_MASTER!$I$5:$I$1204,$Q179))</f>
        <v/>
      </c>
      <c r="G179" s="55" t="str">
        <f>IF($Q179="","",INDEX(TRANSACTIONS_MASTER!$K$5:$K$1204,$Q179))</f>
        <v/>
      </c>
      <c r="H179" s="25" t="str">
        <f>IF($Q179="","",INDEX(TRANSACTIONS_MASTER!$L$5:$L$1204,$Q179))</f>
        <v/>
      </c>
      <c r="I179" s="56" t="str">
        <f>IF($Q179="","",INDEX(TRANSACTIONS_MASTER!$N$5:$N$1204,$Q179))</f>
        <v/>
      </c>
      <c r="J179" s="25" t="str">
        <f>IF($Q179="","",INDEX(TRANSACTIONS_MASTER!$O$5:$O$1204,$Q179))</f>
        <v/>
      </c>
      <c r="K179" s="26" t="str">
        <f>IF($Q179="","",INDEX(TRANSACTIONS_MASTER!$Q$5:$Q$1204,$Q179))</f>
        <v/>
      </c>
      <c r="L179" s="25" t="str">
        <f>IF($Q179="","",INDEX(TRANSACTIONS_MASTER!$P$5:$P$1204,$Q179))</f>
        <v/>
      </c>
      <c r="M179" s="25" t="str">
        <f>IF($Q179="","",INDEX(TRANSACTIONS_MASTER!$AA$5:$AA$1204,$Q179))</f>
        <v/>
      </c>
      <c r="N179" s="25" t="str">
        <f>IF($Q179="","",INDEX(TRANSACTIONS_MASTER!$R$5:$R$1204,$Q179))</f>
        <v/>
      </c>
      <c r="O179" s="28" t="str">
        <f>IF($Q179="","",INDEX(TRANSACTIONS_MASTER!$AB$5:$AB$1204,$Q179))</f>
        <v/>
      </c>
      <c r="P179" s="55" t="str">
        <f>IF($Q179="","",INDEX(TRANSACTIONS_MASTER!$Z$5:$Z$1204,$Q179)&amp;"")</f>
        <v/>
      </c>
      <c r="Q179" s="67" t="str">
        <f>IFERROR(MATCH($C$2&amp;"|"&amp;172,TRANSACTIONS_MASTER!$AE$5:$AE$1204,0),"")</f>
        <v/>
      </c>
      <c r="T179" s="45" t="n"/>
      <c r="U179" s="82" t="inlineStr">
        <is>
          <t>Khác (ngoài danh sách)</t>
        </is>
      </c>
      <c r="V179" s="48">
        <f>MAX(0,SUMIFS(TRANSACTIONS_MASTER!$L$5:$L$1204,TRANSACTIONS_MASTER!$C$5:$C$1204,$C$2,TRANSACTIONS_MASTER!$U$5:$U$1204,"&lt;&gt;Cancelled")-SUM(V159:V178))</f>
        <v>0</v>
      </c>
      <c r="W179" s="48">
        <f>MAX(0,SUMIFS(TRANSACTIONS_MASTER!$Q$5:$Q$1204,TRANSACTIONS_MASTER!$C$5:$C$1204,$C$2)-SUM(W159:W178))</f>
        <v>0</v>
      </c>
    </row>
    <row r="180">
      <c r="A180" s="81" t="str">
        <f>IF($Q180="","",173)</f>
        <v/>
      </c>
      <c r="B180" s="57" t="str">
        <f>IF($Q180="","",INDEX(TRANSACTIONS_MASTER!$B$5:$B$1204,$Q180))</f>
        <v/>
      </c>
      <c r="C180" s="55" t="str">
        <f>IF($Q180="","",INDEX(TRANSACTIONS_MASTER!$F$5:$F$1204,$Q180))</f>
        <v/>
      </c>
      <c r="D180" s="55" t="str">
        <f>IF($Q180="","",INDEX(TRANSACTIONS_MASTER!$E$5:$E$1204,$Q180))</f>
        <v/>
      </c>
      <c r="E180" s="55" t="str">
        <f>IF($Q180="","",INDEX(TRANSACTIONS_MASTER!$G$5:$G$1204,$Q180)&amp;"")</f>
        <v/>
      </c>
      <c r="F180" s="29" t="str">
        <f>IF($Q180="","",INDEX(TRANSACTIONS_MASTER!$I$5:$I$1204,$Q180))</f>
        <v/>
      </c>
      <c r="G180" s="55" t="str">
        <f>IF($Q180="","",INDEX(TRANSACTIONS_MASTER!$K$5:$K$1204,$Q180))</f>
        <v/>
      </c>
      <c r="H180" s="25" t="str">
        <f>IF($Q180="","",INDEX(TRANSACTIONS_MASTER!$L$5:$L$1204,$Q180))</f>
        <v/>
      </c>
      <c r="I180" s="56" t="str">
        <f>IF($Q180="","",INDEX(TRANSACTIONS_MASTER!$N$5:$N$1204,$Q180))</f>
        <v/>
      </c>
      <c r="J180" s="25" t="str">
        <f>IF($Q180="","",INDEX(TRANSACTIONS_MASTER!$O$5:$O$1204,$Q180))</f>
        <v/>
      </c>
      <c r="K180" s="26" t="str">
        <f>IF($Q180="","",INDEX(TRANSACTIONS_MASTER!$Q$5:$Q$1204,$Q180))</f>
        <v/>
      </c>
      <c r="L180" s="25" t="str">
        <f>IF($Q180="","",INDEX(TRANSACTIONS_MASTER!$P$5:$P$1204,$Q180))</f>
        <v/>
      </c>
      <c r="M180" s="25" t="str">
        <f>IF($Q180="","",INDEX(TRANSACTIONS_MASTER!$AA$5:$AA$1204,$Q180))</f>
        <v/>
      </c>
      <c r="N180" s="25" t="str">
        <f>IF($Q180="","",INDEX(TRANSACTIONS_MASTER!$R$5:$R$1204,$Q180))</f>
        <v/>
      </c>
      <c r="O180" s="28" t="str">
        <f>IF($Q180="","",INDEX(TRANSACTIONS_MASTER!$AB$5:$AB$1204,$Q180))</f>
        <v/>
      </c>
      <c r="P180" s="55" t="str">
        <f>IF($Q180="","",INDEX(TRANSACTIONS_MASTER!$Z$5:$Z$1204,$Q180)&amp;"")</f>
        <v/>
      </c>
      <c r="Q180" s="67" t="str">
        <f>IFERROR(MATCH($C$2&amp;"|"&amp;173,TRANSACTIONS_MASTER!$AE$5:$AE$1204,0),"")</f>
        <v/>
      </c>
      <c r="T180" s="68" t="n"/>
      <c r="U180" s="69" t="inlineStr">
        <is>
          <t>TỔNG</t>
        </is>
      </c>
      <c r="V180" s="31">
        <f>SUM(V159:V179)</f>
        <v>0</v>
      </c>
      <c r="W180" s="31">
        <f>SUM(W159:W179)</f>
        <v>0</v>
      </c>
    </row>
    <row r="181">
      <c r="A181" s="81" t="str">
        <f>IF($Q181="","",174)</f>
        <v/>
      </c>
      <c r="B181" s="57" t="str">
        <f>IF($Q181="","",INDEX(TRANSACTIONS_MASTER!$B$5:$B$1204,$Q181))</f>
        <v/>
      </c>
      <c r="C181" s="55" t="str">
        <f>IF($Q181="","",INDEX(TRANSACTIONS_MASTER!$F$5:$F$1204,$Q181))</f>
        <v/>
      </c>
      <c r="D181" s="55" t="str">
        <f>IF($Q181="","",INDEX(TRANSACTIONS_MASTER!$E$5:$E$1204,$Q181))</f>
        <v/>
      </c>
      <c r="E181" s="55" t="str">
        <f>IF($Q181="","",INDEX(TRANSACTIONS_MASTER!$G$5:$G$1204,$Q181)&amp;"")</f>
        <v/>
      </c>
      <c r="F181" s="29" t="str">
        <f>IF($Q181="","",INDEX(TRANSACTIONS_MASTER!$I$5:$I$1204,$Q181))</f>
        <v/>
      </c>
      <c r="G181" s="55" t="str">
        <f>IF($Q181="","",INDEX(TRANSACTIONS_MASTER!$K$5:$K$1204,$Q181))</f>
        <v/>
      </c>
      <c r="H181" s="25" t="str">
        <f>IF($Q181="","",INDEX(TRANSACTIONS_MASTER!$L$5:$L$1204,$Q181))</f>
        <v/>
      </c>
      <c r="I181" s="56" t="str">
        <f>IF($Q181="","",INDEX(TRANSACTIONS_MASTER!$N$5:$N$1204,$Q181))</f>
        <v/>
      </c>
      <c r="J181" s="25" t="str">
        <f>IF($Q181="","",INDEX(TRANSACTIONS_MASTER!$O$5:$O$1204,$Q181))</f>
        <v/>
      </c>
      <c r="K181" s="26" t="str">
        <f>IF($Q181="","",INDEX(TRANSACTIONS_MASTER!$Q$5:$Q$1204,$Q181))</f>
        <v/>
      </c>
      <c r="L181" s="25" t="str">
        <f>IF($Q181="","",INDEX(TRANSACTIONS_MASTER!$P$5:$P$1204,$Q181))</f>
        <v/>
      </c>
      <c r="M181" s="25" t="str">
        <f>IF($Q181="","",INDEX(TRANSACTIONS_MASTER!$AA$5:$AA$1204,$Q181))</f>
        <v/>
      </c>
      <c r="N181" s="25" t="str">
        <f>IF($Q181="","",INDEX(TRANSACTIONS_MASTER!$R$5:$R$1204,$Q181))</f>
        <v/>
      </c>
      <c r="O181" s="28" t="str">
        <f>IF($Q181="","",INDEX(TRANSACTIONS_MASTER!$AB$5:$AB$1204,$Q181))</f>
        <v/>
      </c>
      <c r="P181" s="55" t="str">
        <f>IF($Q181="","",INDEX(TRANSACTIONS_MASTER!$Z$5:$Z$1204,$Q181)&amp;"")</f>
        <v/>
      </c>
      <c r="Q181" s="67" t="str">
        <f>IFERROR(MATCH($C$2&amp;"|"&amp;174,TRANSACTIONS_MASTER!$AE$5:$AE$1204,0),"")</f>
        <v/>
      </c>
    </row>
    <row r="182">
      <c r="A182" s="81" t="str">
        <f>IF($Q182="","",175)</f>
        <v/>
      </c>
      <c r="B182" s="57" t="str">
        <f>IF($Q182="","",INDEX(TRANSACTIONS_MASTER!$B$5:$B$1204,$Q182))</f>
        <v/>
      </c>
      <c r="C182" s="55" t="str">
        <f>IF($Q182="","",INDEX(TRANSACTIONS_MASTER!$F$5:$F$1204,$Q182))</f>
        <v/>
      </c>
      <c r="D182" s="55" t="str">
        <f>IF($Q182="","",INDEX(TRANSACTIONS_MASTER!$E$5:$E$1204,$Q182))</f>
        <v/>
      </c>
      <c r="E182" s="55" t="str">
        <f>IF($Q182="","",INDEX(TRANSACTIONS_MASTER!$G$5:$G$1204,$Q182)&amp;"")</f>
        <v/>
      </c>
      <c r="F182" s="29" t="str">
        <f>IF($Q182="","",INDEX(TRANSACTIONS_MASTER!$I$5:$I$1204,$Q182))</f>
        <v/>
      </c>
      <c r="G182" s="55" t="str">
        <f>IF($Q182="","",INDEX(TRANSACTIONS_MASTER!$K$5:$K$1204,$Q182))</f>
        <v/>
      </c>
      <c r="H182" s="25" t="str">
        <f>IF($Q182="","",INDEX(TRANSACTIONS_MASTER!$L$5:$L$1204,$Q182))</f>
        <v/>
      </c>
      <c r="I182" s="56" t="str">
        <f>IF($Q182="","",INDEX(TRANSACTIONS_MASTER!$N$5:$N$1204,$Q182))</f>
        <v/>
      </c>
      <c r="J182" s="25" t="str">
        <f>IF($Q182="","",INDEX(TRANSACTIONS_MASTER!$O$5:$O$1204,$Q182))</f>
        <v/>
      </c>
      <c r="K182" s="26" t="str">
        <f>IF($Q182="","",INDEX(TRANSACTIONS_MASTER!$Q$5:$Q$1204,$Q182))</f>
        <v/>
      </c>
      <c r="L182" s="25" t="str">
        <f>IF($Q182="","",INDEX(TRANSACTIONS_MASTER!$P$5:$P$1204,$Q182))</f>
        <v/>
      </c>
      <c r="M182" s="25" t="str">
        <f>IF($Q182="","",INDEX(TRANSACTIONS_MASTER!$AA$5:$AA$1204,$Q182))</f>
        <v/>
      </c>
      <c r="N182" s="25" t="str">
        <f>IF($Q182="","",INDEX(TRANSACTIONS_MASTER!$R$5:$R$1204,$Q182))</f>
        <v/>
      </c>
      <c r="O182" s="28" t="str">
        <f>IF($Q182="","",INDEX(TRANSACTIONS_MASTER!$AB$5:$AB$1204,$Q182))</f>
        <v/>
      </c>
      <c r="P182" s="55" t="str">
        <f>IF($Q182="","",INDEX(TRANSACTIONS_MASTER!$Z$5:$Z$1204,$Q182)&amp;"")</f>
        <v/>
      </c>
      <c r="Q182" s="67" t="str">
        <f>IFERROR(MATCH($C$2&amp;"|"&amp;175,TRANSACTIONS_MASTER!$AE$5:$AE$1204,0),"")</f>
        <v/>
      </c>
    </row>
    <row r="183">
      <c r="A183" s="81" t="str">
        <f>IF($Q183="","",176)</f>
        <v/>
      </c>
      <c r="B183" s="57" t="str">
        <f>IF($Q183="","",INDEX(TRANSACTIONS_MASTER!$B$5:$B$1204,$Q183))</f>
        <v/>
      </c>
      <c r="C183" s="55" t="str">
        <f>IF($Q183="","",INDEX(TRANSACTIONS_MASTER!$F$5:$F$1204,$Q183))</f>
        <v/>
      </c>
      <c r="D183" s="55" t="str">
        <f>IF($Q183="","",INDEX(TRANSACTIONS_MASTER!$E$5:$E$1204,$Q183))</f>
        <v/>
      </c>
      <c r="E183" s="55" t="str">
        <f>IF($Q183="","",INDEX(TRANSACTIONS_MASTER!$G$5:$G$1204,$Q183)&amp;"")</f>
        <v/>
      </c>
      <c r="F183" s="29" t="str">
        <f>IF($Q183="","",INDEX(TRANSACTIONS_MASTER!$I$5:$I$1204,$Q183))</f>
        <v/>
      </c>
      <c r="G183" s="55" t="str">
        <f>IF($Q183="","",INDEX(TRANSACTIONS_MASTER!$K$5:$K$1204,$Q183))</f>
        <v/>
      </c>
      <c r="H183" s="25" t="str">
        <f>IF($Q183="","",INDEX(TRANSACTIONS_MASTER!$L$5:$L$1204,$Q183))</f>
        <v/>
      </c>
      <c r="I183" s="56" t="str">
        <f>IF($Q183="","",INDEX(TRANSACTIONS_MASTER!$N$5:$N$1204,$Q183))</f>
        <v/>
      </c>
      <c r="J183" s="25" t="str">
        <f>IF($Q183="","",INDEX(TRANSACTIONS_MASTER!$O$5:$O$1204,$Q183))</f>
        <v/>
      </c>
      <c r="K183" s="26" t="str">
        <f>IF($Q183="","",INDEX(TRANSACTIONS_MASTER!$Q$5:$Q$1204,$Q183))</f>
        <v/>
      </c>
      <c r="L183" s="25" t="str">
        <f>IF($Q183="","",INDEX(TRANSACTIONS_MASTER!$P$5:$P$1204,$Q183))</f>
        <v/>
      </c>
      <c r="M183" s="25" t="str">
        <f>IF($Q183="","",INDEX(TRANSACTIONS_MASTER!$AA$5:$AA$1204,$Q183))</f>
        <v/>
      </c>
      <c r="N183" s="25" t="str">
        <f>IF($Q183="","",INDEX(TRANSACTIONS_MASTER!$R$5:$R$1204,$Q183))</f>
        <v/>
      </c>
      <c r="O183" s="28" t="str">
        <f>IF($Q183="","",INDEX(TRANSACTIONS_MASTER!$AB$5:$AB$1204,$Q183))</f>
        <v/>
      </c>
      <c r="P183" s="55" t="str">
        <f>IF($Q183="","",INDEX(TRANSACTIONS_MASTER!$Z$5:$Z$1204,$Q183)&amp;"")</f>
        <v/>
      </c>
      <c r="Q183" s="67" t="str">
        <f>IFERROR(MATCH($C$2&amp;"|"&amp;176,TRANSACTIONS_MASTER!$AE$5:$AE$1204,0),"")</f>
        <v/>
      </c>
    </row>
    <row r="184">
      <c r="A184" s="81" t="str">
        <f>IF($Q184="","",177)</f>
        <v/>
      </c>
      <c r="B184" s="57" t="str">
        <f>IF($Q184="","",INDEX(TRANSACTIONS_MASTER!$B$5:$B$1204,$Q184))</f>
        <v/>
      </c>
      <c r="C184" s="55" t="str">
        <f>IF($Q184="","",INDEX(TRANSACTIONS_MASTER!$F$5:$F$1204,$Q184))</f>
        <v/>
      </c>
      <c r="D184" s="55" t="str">
        <f>IF($Q184="","",INDEX(TRANSACTIONS_MASTER!$E$5:$E$1204,$Q184))</f>
        <v/>
      </c>
      <c r="E184" s="55" t="str">
        <f>IF($Q184="","",INDEX(TRANSACTIONS_MASTER!$G$5:$G$1204,$Q184)&amp;"")</f>
        <v/>
      </c>
      <c r="F184" s="29" t="str">
        <f>IF($Q184="","",INDEX(TRANSACTIONS_MASTER!$I$5:$I$1204,$Q184))</f>
        <v/>
      </c>
      <c r="G184" s="55" t="str">
        <f>IF($Q184="","",INDEX(TRANSACTIONS_MASTER!$K$5:$K$1204,$Q184))</f>
        <v/>
      </c>
      <c r="H184" s="25" t="str">
        <f>IF($Q184="","",INDEX(TRANSACTIONS_MASTER!$L$5:$L$1204,$Q184))</f>
        <v/>
      </c>
      <c r="I184" s="56" t="str">
        <f>IF($Q184="","",INDEX(TRANSACTIONS_MASTER!$N$5:$N$1204,$Q184))</f>
        <v/>
      </c>
      <c r="J184" s="25" t="str">
        <f>IF($Q184="","",INDEX(TRANSACTIONS_MASTER!$O$5:$O$1204,$Q184))</f>
        <v/>
      </c>
      <c r="K184" s="26" t="str">
        <f>IF($Q184="","",INDEX(TRANSACTIONS_MASTER!$Q$5:$Q$1204,$Q184))</f>
        <v/>
      </c>
      <c r="L184" s="25" t="str">
        <f>IF($Q184="","",INDEX(TRANSACTIONS_MASTER!$P$5:$P$1204,$Q184))</f>
        <v/>
      </c>
      <c r="M184" s="25" t="str">
        <f>IF($Q184="","",INDEX(TRANSACTIONS_MASTER!$AA$5:$AA$1204,$Q184))</f>
        <v/>
      </c>
      <c r="N184" s="25" t="str">
        <f>IF($Q184="","",INDEX(TRANSACTIONS_MASTER!$R$5:$R$1204,$Q184))</f>
        <v/>
      </c>
      <c r="O184" s="28" t="str">
        <f>IF($Q184="","",INDEX(TRANSACTIONS_MASTER!$AB$5:$AB$1204,$Q184))</f>
        <v/>
      </c>
      <c r="P184" s="55" t="str">
        <f>IF($Q184="","",INDEX(TRANSACTIONS_MASTER!$Z$5:$Z$1204,$Q184)&amp;"")</f>
        <v/>
      </c>
      <c r="Q184" s="67" t="str">
        <f>IFERROR(MATCH($C$2&amp;"|"&amp;177,TRANSACTIONS_MASTER!$AE$5:$AE$1204,0),"")</f>
        <v/>
      </c>
    </row>
    <row r="185">
      <c r="A185" s="81" t="str">
        <f>IF($Q185="","",178)</f>
        <v/>
      </c>
      <c r="B185" s="57" t="str">
        <f>IF($Q185="","",INDEX(TRANSACTIONS_MASTER!$B$5:$B$1204,$Q185))</f>
        <v/>
      </c>
      <c r="C185" s="55" t="str">
        <f>IF($Q185="","",INDEX(TRANSACTIONS_MASTER!$F$5:$F$1204,$Q185))</f>
        <v/>
      </c>
      <c r="D185" s="55" t="str">
        <f>IF($Q185="","",INDEX(TRANSACTIONS_MASTER!$E$5:$E$1204,$Q185))</f>
        <v/>
      </c>
      <c r="E185" s="55" t="str">
        <f>IF($Q185="","",INDEX(TRANSACTIONS_MASTER!$G$5:$G$1204,$Q185)&amp;"")</f>
        <v/>
      </c>
      <c r="F185" s="29" t="str">
        <f>IF($Q185="","",INDEX(TRANSACTIONS_MASTER!$I$5:$I$1204,$Q185))</f>
        <v/>
      </c>
      <c r="G185" s="55" t="str">
        <f>IF($Q185="","",INDEX(TRANSACTIONS_MASTER!$K$5:$K$1204,$Q185))</f>
        <v/>
      </c>
      <c r="H185" s="25" t="str">
        <f>IF($Q185="","",INDEX(TRANSACTIONS_MASTER!$L$5:$L$1204,$Q185))</f>
        <v/>
      </c>
      <c r="I185" s="56" t="str">
        <f>IF($Q185="","",INDEX(TRANSACTIONS_MASTER!$N$5:$N$1204,$Q185))</f>
        <v/>
      </c>
      <c r="J185" s="25" t="str">
        <f>IF($Q185="","",INDEX(TRANSACTIONS_MASTER!$O$5:$O$1204,$Q185))</f>
        <v/>
      </c>
      <c r="K185" s="26" t="str">
        <f>IF($Q185="","",INDEX(TRANSACTIONS_MASTER!$Q$5:$Q$1204,$Q185))</f>
        <v/>
      </c>
      <c r="L185" s="25" t="str">
        <f>IF($Q185="","",INDEX(TRANSACTIONS_MASTER!$P$5:$P$1204,$Q185))</f>
        <v/>
      </c>
      <c r="M185" s="25" t="str">
        <f>IF($Q185="","",INDEX(TRANSACTIONS_MASTER!$AA$5:$AA$1204,$Q185))</f>
        <v/>
      </c>
      <c r="N185" s="25" t="str">
        <f>IF($Q185="","",INDEX(TRANSACTIONS_MASTER!$R$5:$R$1204,$Q185))</f>
        <v/>
      </c>
      <c r="O185" s="28" t="str">
        <f>IF($Q185="","",INDEX(TRANSACTIONS_MASTER!$AB$5:$AB$1204,$Q185))</f>
        <v/>
      </c>
      <c r="P185" s="55" t="str">
        <f>IF($Q185="","",INDEX(TRANSACTIONS_MASTER!$Z$5:$Z$1204,$Q185)&amp;"")</f>
        <v/>
      </c>
      <c r="Q185" s="67" t="str">
        <f>IFERROR(MATCH($C$2&amp;"|"&amp;178,TRANSACTIONS_MASTER!$AE$5:$AE$1204,0),"")</f>
        <v/>
      </c>
    </row>
    <row r="186">
      <c r="A186" s="81" t="str">
        <f>IF($Q186="","",179)</f>
        <v/>
      </c>
      <c r="B186" s="57" t="str">
        <f>IF($Q186="","",INDEX(TRANSACTIONS_MASTER!$B$5:$B$1204,$Q186))</f>
        <v/>
      </c>
      <c r="C186" s="55" t="str">
        <f>IF($Q186="","",INDEX(TRANSACTIONS_MASTER!$F$5:$F$1204,$Q186))</f>
        <v/>
      </c>
      <c r="D186" s="55" t="str">
        <f>IF($Q186="","",INDEX(TRANSACTIONS_MASTER!$E$5:$E$1204,$Q186))</f>
        <v/>
      </c>
      <c r="E186" s="55" t="str">
        <f>IF($Q186="","",INDEX(TRANSACTIONS_MASTER!$G$5:$G$1204,$Q186)&amp;"")</f>
        <v/>
      </c>
      <c r="F186" s="29" t="str">
        <f>IF($Q186="","",INDEX(TRANSACTIONS_MASTER!$I$5:$I$1204,$Q186))</f>
        <v/>
      </c>
      <c r="G186" s="55" t="str">
        <f>IF($Q186="","",INDEX(TRANSACTIONS_MASTER!$K$5:$K$1204,$Q186))</f>
        <v/>
      </c>
      <c r="H186" s="25" t="str">
        <f>IF($Q186="","",INDEX(TRANSACTIONS_MASTER!$L$5:$L$1204,$Q186))</f>
        <v/>
      </c>
      <c r="I186" s="56" t="str">
        <f>IF($Q186="","",INDEX(TRANSACTIONS_MASTER!$N$5:$N$1204,$Q186))</f>
        <v/>
      </c>
      <c r="J186" s="25" t="str">
        <f>IF($Q186="","",INDEX(TRANSACTIONS_MASTER!$O$5:$O$1204,$Q186))</f>
        <v/>
      </c>
      <c r="K186" s="26" t="str">
        <f>IF($Q186="","",INDEX(TRANSACTIONS_MASTER!$Q$5:$Q$1204,$Q186))</f>
        <v/>
      </c>
      <c r="L186" s="25" t="str">
        <f>IF($Q186="","",INDEX(TRANSACTIONS_MASTER!$P$5:$P$1204,$Q186))</f>
        <v/>
      </c>
      <c r="M186" s="25" t="str">
        <f>IF($Q186="","",INDEX(TRANSACTIONS_MASTER!$AA$5:$AA$1204,$Q186))</f>
        <v/>
      </c>
      <c r="N186" s="25" t="str">
        <f>IF($Q186="","",INDEX(TRANSACTIONS_MASTER!$R$5:$R$1204,$Q186))</f>
        <v/>
      </c>
      <c r="O186" s="28" t="str">
        <f>IF($Q186="","",INDEX(TRANSACTIONS_MASTER!$AB$5:$AB$1204,$Q186))</f>
        <v/>
      </c>
      <c r="P186" s="55" t="str">
        <f>IF($Q186="","",INDEX(TRANSACTIONS_MASTER!$Z$5:$Z$1204,$Q186)&amp;"")</f>
        <v/>
      </c>
      <c r="Q186" s="67" t="str">
        <f>IFERROR(MATCH($C$2&amp;"|"&amp;179,TRANSACTIONS_MASTER!$AE$5:$AE$1204,0),"")</f>
        <v/>
      </c>
    </row>
    <row r="187">
      <c r="A187" s="81" t="str">
        <f>IF($Q187="","",180)</f>
        <v/>
      </c>
      <c r="B187" s="57" t="str">
        <f>IF($Q187="","",INDEX(TRANSACTIONS_MASTER!$B$5:$B$1204,$Q187))</f>
        <v/>
      </c>
      <c r="C187" s="55" t="str">
        <f>IF($Q187="","",INDEX(TRANSACTIONS_MASTER!$F$5:$F$1204,$Q187))</f>
        <v/>
      </c>
      <c r="D187" s="55" t="str">
        <f>IF($Q187="","",INDEX(TRANSACTIONS_MASTER!$E$5:$E$1204,$Q187))</f>
        <v/>
      </c>
      <c r="E187" s="55" t="str">
        <f>IF($Q187="","",INDEX(TRANSACTIONS_MASTER!$G$5:$G$1204,$Q187)&amp;"")</f>
        <v/>
      </c>
      <c r="F187" s="29" t="str">
        <f>IF($Q187="","",INDEX(TRANSACTIONS_MASTER!$I$5:$I$1204,$Q187))</f>
        <v/>
      </c>
      <c r="G187" s="55" t="str">
        <f>IF($Q187="","",INDEX(TRANSACTIONS_MASTER!$K$5:$K$1204,$Q187))</f>
        <v/>
      </c>
      <c r="H187" s="25" t="str">
        <f>IF($Q187="","",INDEX(TRANSACTIONS_MASTER!$L$5:$L$1204,$Q187))</f>
        <v/>
      </c>
      <c r="I187" s="56" t="str">
        <f>IF($Q187="","",INDEX(TRANSACTIONS_MASTER!$N$5:$N$1204,$Q187))</f>
        <v/>
      </c>
      <c r="J187" s="25" t="str">
        <f>IF($Q187="","",INDEX(TRANSACTIONS_MASTER!$O$5:$O$1204,$Q187))</f>
        <v/>
      </c>
      <c r="K187" s="26" t="str">
        <f>IF($Q187="","",INDEX(TRANSACTIONS_MASTER!$Q$5:$Q$1204,$Q187))</f>
        <v/>
      </c>
      <c r="L187" s="25" t="str">
        <f>IF($Q187="","",INDEX(TRANSACTIONS_MASTER!$P$5:$P$1204,$Q187))</f>
        <v/>
      </c>
      <c r="M187" s="25" t="str">
        <f>IF($Q187="","",INDEX(TRANSACTIONS_MASTER!$AA$5:$AA$1204,$Q187))</f>
        <v/>
      </c>
      <c r="N187" s="25" t="str">
        <f>IF($Q187="","",INDEX(TRANSACTIONS_MASTER!$R$5:$R$1204,$Q187))</f>
        <v/>
      </c>
      <c r="O187" s="28" t="str">
        <f>IF($Q187="","",INDEX(TRANSACTIONS_MASTER!$AB$5:$AB$1204,$Q187))</f>
        <v/>
      </c>
      <c r="P187" s="55" t="str">
        <f>IF($Q187="","",INDEX(TRANSACTIONS_MASTER!$Z$5:$Z$1204,$Q187)&amp;"")</f>
        <v/>
      </c>
      <c r="Q187" s="67" t="str">
        <f>IFERROR(MATCH($C$2&amp;"|"&amp;180,TRANSACTIONS_MASTER!$AE$5:$AE$1204,0),"")</f>
        <v/>
      </c>
    </row>
    <row r="188">
      <c r="A188" s="81" t="str">
        <f>IF($Q188="","",181)</f>
        <v/>
      </c>
      <c r="B188" s="57" t="str">
        <f>IF($Q188="","",INDEX(TRANSACTIONS_MASTER!$B$5:$B$1204,$Q188))</f>
        <v/>
      </c>
      <c r="C188" s="55" t="str">
        <f>IF($Q188="","",INDEX(TRANSACTIONS_MASTER!$F$5:$F$1204,$Q188))</f>
        <v/>
      </c>
      <c r="D188" s="55" t="str">
        <f>IF($Q188="","",INDEX(TRANSACTIONS_MASTER!$E$5:$E$1204,$Q188))</f>
        <v/>
      </c>
      <c r="E188" s="55" t="str">
        <f>IF($Q188="","",INDEX(TRANSACTIONS_MASTER!$G$5:$G$1204,$Q188)&amp;"")</f>
        <v/>
      </c>
      <c r="F188" s="29" t="str">
        <f>IF($Q188="","",INDEX(TRANSACTIONS_MASTER!$I$5:$I$1204,$Q188))</f>
        <v/>
      </c>
      <c r="G188" s="55" t="str">
        <f>IF($Q188="","",INDEX(TRANSACTIONS_MASTER!$K$5:$K$1204,$Q188))</f>
        <v/>
      </c>
      <c r="H188" s="25" t="str">
        <f>IF($Q188="","",INDEX(TRANSACTIONS_MASTER!$L$5:$L$1204,$Q188))</f>
        <v/>
      </c>
      <c r="I188" s="56" t="str">
        <f>IF($Q188="","",INDEX(TRANSACTIONS_MASTER!$N$5:$N$1204,$Q188))</f>
        <v/>
      </c>
      <c r="J188" s="25" t="str">
        <f>IF($Q188="","",INDEX(TRANSACTIONS_MASTER!$O$5:$O$1204,$Q188))</f>
        <v/>
      </c>
      <c r="K188" s="26" t="str">
        <f>IF($Q188="","",INDEX(TRANSACTIONS_MASTER!$Q$5:$Q$1204,$Q188))</f>
        <v/>
      </c>
      <c r="L188" s="25" t="str">
        <f>IF($Q188="","",INDEX(TRANSACTIONS_MASTER!$P$5:$P$1204,$Q188))</f>
        <v/>
      </c>
      <c r="M188" s="25" t="str">
        <f>IF($Q188="","",INDEX(TRANSACTIONS_MASTER!$AA$5:$AA$1204,$Q188))</f>
        <v/>
      </c>
      <c r="N188" s="25" t="str">
        <f>IF($Q188="","",INDEX(TRANSACTIONS_MASTER!$R$5:$R$1204,$Q188))</f>
        <v/>
      </c>
      <c r="O188" s="28" t="str">
        <f>IF($Q188="","",INDEX(TRANSACTIONS_MASTER!$AB$5:$AB$1204,$Q188))</f>
        <v/>
      </c>
      <c r="P188" s="55" t="str">
        <f>IF($Q188="","",INDEX(TRANSACTIONS_MASTER!$Z$5:$Z$1204,$Q188)&amp;"")</f>
        <v/>
      </c>
      <c r="Q188" s="67" t="str">
        <f>IFERROR(MATCH($C$2&amp;"|"&amp;181,TRANSACTIONS_MASTER!$AE$5:$AE$1204,0),"")</f>
        <v/>
      </c>
    </row>
    <row r="189">
      <c r="A189" s="81" t="str">
        <f>IF($Q189="","",182)</f>
        <v/>
      </c>
      <c r="B189" s="57" t="str">
        <f>IF($Q189="","",INDEX(TRANSACTIONS_MASTER!$B$5:$B$1204,$Q189))</f>
        <v/>
      </c>
      <c r="C189" s="55" t="str">
        <f>IF($Q189="","",INDEX(TRANSACTIONS_MASTER!$F$5:$F$1204,$Q189))</f>
        <v/>
      </c>
      <c r="D189" s="55" t="str">
        <f>IF($Q189="","",INDEX(TRANSACTIONS_MASTER!$E$5:$E$1204,$Q189))</f>
        <v/>
      </c>
      <c r="E189" s="55" t="str">
        <f>IF($Q189="","",INDEX(TRANSACTIONS_MASTER!$G$5:$G$1204,$Q189)&amp;"")</f>
        <v/>
      </c>
      <c r="F189" s="29" t="str">
        <f>IF($Q189="","",INDEX(TRANSACTIONS_MASTER!$I$5:$I$1204,$Q189))</f>
        <v/>
      </c>
      <c r="G189" s="55" t="str">
        <f>IF($Q189="","",INDEX(TRANSACTIONS_MASTER!$K$5:$K$1204,$Q189))</f>
        <v/>
      </c>
      <c r="H189" s="25" t="str">
        <f>IF($Q189="","",INDEX(TRANSACTIONS_MASTER!$L$5:$L$1204,$Q189))</f>
        <v/>
      </c>
      <c r="I189" s="56" t="str">
        <f>IF($Q189="","",INDEX(TRANSACTIONS_MASTER!$N$5:$N$1204,$Q189))</f>
        <v/>
      </c>
      <c r="J189" s="25" t="str">
        <f>IF($Q189="","",INDEX(TRANSACTIONS_MASTER!$O$5:$O$1204,$Q189))</f>
        <v/>
      </c>
      <c r="K189" s="26" t="str">
        <f>IF($Q189="","",INDEX(TRANSACTIONS_MASTER!$Q$5:$Q$1204,$Q189))</f>
        <v/>
      </c>
      <c r="L189" s="25" t="str">
        <f>IF($Q189="","",INDEX(TRANSACTIONS_MASTER!$P$5:$P$1204,$Q189))</f>
        <v/>
      </c>
      <c r="M189" s="25" t="str">
        <f>IF($Q189="","",INDEX(TRANSACTIONS_MASTER!$AA$5:$AA$1204,$Q189))</f>
        <v/>
      </c>
      <c r="N189" s="25" t="str">
        <f>IF($Q189="","",INDEX(TRANSACTIONS_MASTER!$R$5:$R$1204,$Q189))</f>
        <v/>
      </c>
      <c r="O189" s="28" t="str">
        <f>IF($Q189="","",INDEX(TRANSACTIONS_MASTER!$AB$5:$AB$1204,$Q189))</f>
        <v/>
      </c>
      <c r="P189" s="55" t="str">
        <f>IF($Q189="","",INDEX(TRANSACTIONS_MASTER!$Z$5:$Z$1204,$Q189)&amp;"")</f>
        <v/>
      </c>
      <c r="Q189" s="67" t="str">
        <f>IFERROR(MATCH($C$2&amp;"|"&amp;182,TRANSACTIONS_MASTER!$AE$5:$AE$1204,0),"")</f>
        <v/>
      </c>
    </row>
    <row r="190">
      <c r="A190" s="81" t="str">
        <f>IF($Q190="","",183)</f>
        <v/>
      </c>
      <c r="B190" s="57" t="str">
        <f>IF($Q190="","",INDEX(TRANSACTIONS_MASTER!$B$5:$B$1204,$Q190))</f>
        <v/>
      </c>
      <c r="C190" s="55" t="str">
        <f>IF($Q190="","",INDEX(TRANSACTIONS_MASTER!$F$5:$F$1204,$Q190))</f>
        <v/>
      </c>
      <c r="D190" s="55" t="str">
        <f>IF($Q190="","",INDEX(TRANSACTIONS_MASTER!$E$5:$E$1204,$Q190))</f>
        <v/>
      </c>
      <c r="E190" s="55" t="str">
        <f>IF($Q190="","",INDEX(TRANSACTIONS_MASTER!$G$5:$G$1204,$Q190)&amp;"")</f>
        <v/>
      </c>
      <c r="F190" s="29" t="str">
        <f>IF($Q190="","",INDEX(TRANSACTIONS_MASTER!$I$5:$I$1204,$Q190))</f>
        <v/>
      </c>
      <c r="G190" s="55" t="str">
        <f>IF($Q190="","",INDEX(TRANSACTIONS_MASTER!$K$5:$K$1204,$Q190))</f>
        <v/>
      </c>
      <c r="H190" s="25" t="str">
        <f>IF($Q190="","",INDEX(TRANSACTIONS_MASTER!$L$5:$L$1204,$Q190))</f>
        <v/>
      </c>
      <c r="I190" s="56" t="str">
        <f>IF($Q190="","",INDEX(TRANSACTIONS_MASTER!$N$5:$N$1204,$Q190))</f>
        <v/>
      </c>
      <c r="J190" s="25" t="str">
        <f>IF($Q190="","",INDEX(TRANSACTIONS_MASTER!$O$5:$O$1204,$Q190))</f>
        <v/>
      </c>
      <c r="K190" s="26" t="str">
        <f>IF($Q190="","",INDEX(TRANSACTIONS_MASTER!$Q$5:$Q$1204,$Q190))</f>
        <v/>
      </c>
      <c r="L190" s="25" t="str">
        <f>IF($Q190="","",INDEX(TRANSACTIONS_MASTER!$P$5:$P$1204,$Q190))</f>
        <v/>
      </c>
      <c r="M190" s="25" t="str">
        <f>IF($Q190="","",INDEX(TRANSACTIONS_MASTER!$AA$5:$AA$1204,$Q190))</f>
        <v/>
      </c>
      <c r="N190" s="25" t="str">
        <f>IF($Q190="","",INDEX(TRANSACTIONS_MASTER!$R$5:$R$1204,$Q190))</f>
        <v/>
      </c>
      <c r="O190" s="28" t="str">
        <f>IF($Q190="","",INDEX(TRANSACTIONS_MASTER!$AB$5:$AB$1204,$Q190))</f>
        <v/>
      </c>
      <c r="P190" s="55" t="str">
        <f>IF($Q190="","",INDEX(TRANSACTIONS_MASTER!$Z$5:$Z$1204,$Q190)&amp;"")</f>
        <v/>
      </c>
      <c r="Q190" s="67" t="str">
        <f>IFERROR(MATCH($C$2&amp;"|"&amp;183,TRANSACTIONS_MASTER!$AE$5:$AE$1204,0),"")</f>
        <v/>
      </c>
    </row>
    <row r="191">
      <c r="A191" s="81" t="str">
        <f>IF($Q191="","",184)</f>
        <v/>
      </c>
      <c r="B191" s="57" t="str">
        <f>IF($Q191="","",INDEX(TRANSACTIONS_MASTER!$B$5:$B$1204,$Q191))</f>
        <v/>
      </c>
      <c r="C191" s="55" t="str">
        <f>IF($Q191="","",INDEX(TRANSACTIONS_MASTER!$F$5:$F$1204,$Q191))</f>
        <v/>
      </c>
      <c r="D191" s="55" t="str">
        <f>IF($Q191="","",INDEX(TRANSACTIONS_MASTER!$E$5:$E$1204,$Q191))</f>
        <v/>
      </c>
      <c r="E191" s="55" t="str">
        <f>IF($Q191="","",INDEX(TRANSACTIONS_MASTER!$G$5:$G$1204,$Q191)&amp;"")</f>
        <v/>
      </c>
      <c r="F191" s="29" t="str">
        <f>IF($Q191="","",INDEX(TRANSACTIONS_MASTER!$I$5:$I$1204,$Q191))</f>
        <v/>
      </c>
      <c r="G191" s="55" t="str">
        <f>IF($Q191="","",INDEX(TRANSACTIONS_MASTER!$K$5:$K$1204,$Q191))</f>
        <v/>
      </c>
      <c r="H191" s="25" t="str">
        <f>IF($Q191="","",INDEX(TRANSACTIONS_MASTER!$L$5:$L$1204,$Q191))</f>
        <v/>
      </c>
      <c r="I191" s="56" t="str">
        <f>IF($Q191="","",INDEX(TRANSACTIONS_MASTER!$N$5:$N$1204,$Q191))</f>
        <v/>
      </c>
      <c r="J191" s="25" t="str">
        <f>IF($Q191="","",INDEX(TRANSACTIONS_MASTER!$O$5:$O$1204,$Q191))</f>
        <v/>
      </c>
      <c r="K191" s="26" t="str">
        <f>IF($Q191="","",INDEX(TRANSACTIONS_MASTER!$Q$5:$Q$1204,$Q191))</f>
        <v/>
      </c>
      <c r="L191" s="25" t="str">
        <f>IF($Q191="","",INDEX(TRANSACTIONS_MASTER!$P$5:$P$1204,$Q191))</f>
        <v/>
      </c>
      <c r="M191" s="25" t="str">
        <f>IF($Q191="","",INDEX(TRANSACTIONS_MASTER!$AA$5:$AA$1204,$Q191))</f>
        <v/>
      </c>
      <c r="N191" s="25" t="str">
        <f>IF($Q191="","",INDEX(TRANSACTIONS_MASTER!$R$5:$R$1204,$Q191))</f>
        <v/>
      </c>
      <c r="O191" s="28" t="str">
        <f>IF($Q191="","",INDEX(TRANSACTIONS_MASTER!$AB$5:$AB$1204,$Q191))</f>
        <v/>
      </c>
      <c r="P191" s="55" t="str">
        <f>IF($Q191="","",INDEX(TRANSACTIONS_MASTER!$Z$5:$Z$1204,$Q191)&amp;"")</f>
        <v/>
      </c>
      <c r="Q191" s="67" t="str">
        <f>IFERROR(MATCH($C$2&amp;"|"&amp;184,TRANSACTIONS_MASTER!$AE$5:$AE$1204,0),"")</f>
        <v/>
      </c>
    </row>
    <row r="192">
      <c r="A192" s="81" t="str">
        <f>IF($Q192="","",185)</f>
        <v/>
      </c>
      <c r="B192" s="57" t="str">
        <f>IF($Q192="","",INDEX(TRANSACTIONS_MASTER!$B$5:$B$1204,$Q192))</f>
        <v/>
      </c>
      <c r="C192" s="55" t="str">
        <f>IF($Q192="","",INDEX(TRANSACTIONS_MASTER!$F$5:$F$1204,$Q192))</f>
        <v/>
      </c>
      <c r="D192" s="55" t="str">
        <f>IF($Q192="","",INDEX(TRANSACTIONS_MASTER!$E$5:$E$1204,$Q192))</f>
        <v/>
      </c>
      <c r="E192" s="55" t="str">
        <f>IF($Q192="","",INDEX(TRANSACTIONS_MASTER!$G$5:$G$1204,$Q192)&amp;"")</f>
        <v/>
      </c>
      <c r="F192" s="29" t="str">
        <f>IF($Q192="","",INDEX(TRANSACTIONS_MASTER!$I$5:$I$1204,$Q192))</f>
        <v/>
      </c>
      <c r="G192" s="55" t="str">
        <f>IF($Q192="","",INDEX(TRANSACTIONS_MASTER!$K$5:$K$1204,$Q192))</f>
        <v/>
      </c>
      <c r="H192" s="25" t="str">
        <f>IF($Q192="","",INDEX(TRANSACTIONS_MASTER!$L$5:$L$1204,$Q192))</f>
        <v/>
      </c>
      <c r="I192" s="56" t="str">
        <f>IF($Q192="","",INDEX(TRANSACTIONS_MASTER!$N$5:$N$1204,$Q192))</f>
        <v/>
      </c>
      <c r="J192" s="25" t="str">
        <f>IF($Q192="","",INDEX(TRANSACTIONS_MASTER!$O$5:$O$1204,$Q192))</f>
        <v/>
      </c>
      <c r="K192" s="26" t="str">
        <f>IF($Q192="","",INDEX(TRANSACTIONS_MASTER!$Q$5:$Q$1204,$Q192))</f>
        <v/>
      </c>
      <c r="L192" s="25" t="str">
        <f>IF($Q192="","",INDEX(TRANSACTIONS_MASTER!$P$5:$P$1204,$Q192))</f>
        <v/>
      </c>
      <c r="M192" s="25" t="str">
        <f>IF($Q192="","",INDEX(TRANSACTIONS_MASTER!$AA$5:$AA$1204,$Q192))</f>
        <v/>
      </c>
      <c r="N192" s="25" t="str">
        <f>IF($Q192="","",INDEX(TRANSACTIONS_MASTER!$R$5:$R$1204,$Q192))</f>
        <v/>
      </c>
      <c r="O192" s="28" t="str">
        <f>IF($Q192="","",INDEX(TRANSACTIONS_MASTER!$AB$5:$AB$1204,$Q192))</f>
        <v/>
      </c>
      <c r="P192" s="55" t="str">
        <f>IF($Q192="","",INDEX(TRANSACTIONS_MASTER!$Z$5:$Z$1204,$Q192)&amp;"")</f>
        <v/>
      </c>
      <c r="Q192" s="67" t="str">
        <f>IFERROR(MATCH($C$2&amp;"|"&amp;185,TRANSACTIONS_MASTER!$AE$5:$AE$1204,0),"")</f>
        <v/>
      </c>
    </row>
    <row r="193">
      <c r="A193" s="81" t="str">
        <f>IF($Q193="","",186)</f>
        <v/>
      </c>
      <c r="B193" s="57" t="str">
        <f>IF($Q193="","",INDEX(TRANSACTIONS_MASTER!$B$5:$B$1204,$Q193))</f>
        <v/>
      </c>
      <c r="C193" s="55" t="str">
        <f>IF($Q193="","",INDEX(TRANSACTIONS_MASTER!$F$5:$F$1204,$Q193))</f>
        <v/>
      </c>
      <c r="D193" s="55" t="str">
        <f>IF($Q193="","",INDEX(TRANSACTIONS_MASTER!$E$5:$E$1204,$Q193))</f>
        <v/>
      </c>
      <c r="E193" s="55" t="str">
        <f>IF($Q193="","",INDEX(TRANSACTIONS_MASTER!$G$5:$G$1204,$Q193)&amp;"")</f>
        <v/>
      </c>
      <c r="F193" s="29" t="str">
        <f>IF($Q193="","",INDEX(TRANSACTIONS_MASTER!$I$5:$I$1204,$Q193))</f>
        <v/>
      </c>
      <c r="G193" s="55" t="str">
        <f>IF($Q193="","",INDEX(TRANSACTIONS_MASTER!$K$5:$K$1204,$Q193))</f>
        <v/>
      </c>
      <c r="H193" s="25" t="str">
        <f>IF($Q193="","",INDEX(TRANSACTIONS_MASTER!$L$5:$L$1204,$Q193))</f>
        <v/>
      </c>
      <c r="I193" s="56" t="str">
        <f>IF($Q193="","",INDEX(TRANSACTIONS_MASTER!$N$5:$N$1204,$Q193))</f>
        <v/>
      </c>
      <c r="J193" s="25" t="str">
        <f>IF($Q193="","",INDEX(TRANSACTIONS_MASTER!$O$5:$O$1204,$Q193))</f>
        <v/>
      </c>
      <c r="K193" s="26" t="str">
        <f>IF($Q193="","",INDEX(TRANSACTIONS_MASTER!$Q$5:$Q$1204,$Q193))</f>
        <v/>
      </c>
      <c r="L193" s="25" t="str">
        <f>IF($Q193="","",INDEX(TRANSACTIONS_MASTER!$P$5:$P$1204,$Q193))</f>
        <v/>
      </c>
      <c r="M193" s="25" t="str">
        <f>IF($Q193="","",INDEX(TRANSACTIONS_MASTER!$AA$5:$AA$1204,$Q193))</f>
        <v/>
      </c>
      <c r="N193" s="25" t="str">
        <f>IF($Q193="","",INDEX(TRANSACTIONS_MASTER!$R$5:$R$1204,$Q193))</f>
        <v/>
      </c>
      <c r="O193" s="28" t="str">
        <f>IF($Q193="","",INDEX(TRANSACTIONS_MASTER!$AB$5:$AB$1204,$Q193))</f>
        <v/>
      </c>
      <c r="P193" s="55" t="str">
        <f>IF($Q193="","",INDEX(TRANSACTIONS_MASTER!$Z$5:$Z$1204,$Q193)&amp;"")</f>
        <v/>
      </c>
      <c r="Q193" s="67" t="str">
        <f>IFERROR(MATCH($C$2&amp;"|"&amp;186,TRANSACTIONS_MASTER!$AE$5:$AE$1204,0),"")</f>
        <v/>
      </c>
    </row>
    <row r="194">
      <c r="A194" s="81" t="str">
        <f>IF($Q194="","",187)</f>
        <v/>
      </c>
      <c r="B194" s="57" t="str">
        <f>IF($Q194="","",INDEX(TRANSACTIONS_MASTER!$B$5:$B$1204,$Q194))</f>
        <v/>
      </c>
      <c r="C194" s="55" t="str">
        <f>IF($Q194="","",INDEX(TRANSACTIONS_MASTER!$F$5:$F$1204,$Q194))</f>
        <v/>
      </c>
      <c r="D194" s="55" t="str">
        <f>IF($Q194="","",INDEX(TRANSACTIONS_MASTER!$E$5:$E$1204,$Q194))</f>
        <v/>
      </c>
      <c r="E194" s="55" t="str">
        <f>IF($Q194="","",INDEX(TRANSACTIONS_MASTER!$G$5:$G$1204,$Q194)&amp;"")</f>
        <v/>
      </c>
      <c r="F194" s="29" t="str">
        <f>IF($Q194="","",INDEX(TRANSACTIONS_MASTER!$I$5:$I$1204,$Q194))</f>
        <v/>
      </c>
      <c r="G194" s="55" t="str">
        <f>IF($Q194="","",INDEX(TRANSACTIONS_MASTER!$K$5:$K$1204,$Q194))</f>
        <v/>
      </c>
      <c r="H194" s="25" t="str">
        <f>IF($Q194="","",INDEX(TRANSACTIONS_MASTER!$L$5:$L$1204,$Q194))</f>
        <v/>
      </c>
      <c r="I194" s="56" t="str">
        <f>IF($Q194="","",INDEX(TRANSACTIONS_MASTER!$N$5:$N$1204,$Q194))</f>
        <v/>
      </c>
      <c r="J194" s="25" t="str">
        <f>IF($Q194="","",INDEX(TRANSACTIONS_MASTER!$O$5:$O$1204,$Q194))</f>
        <v/>
      </c>
      <c r="K194" s="26" t="str">
        <f>IF($Q194="","",INDEX(TRANSACTIONS_MASTER!$Q$5:$Q$1204,$Q194))</f>
        <v/>
      </c>
      <c r="L194" s="25" t="str">
        <f>IF($Q194="","",INDEX(TRANSACTIONS_MASTER!$P$5:$P$1204,$Q194))</f>
        <v/>
      </c>
      <c r="M194" s="25" t="str">
        <f>IF($Q194="","",INDEX(TRANSACTIONS_MASTER!$AA$5:$AA$1204,$Q194))</f>
        <v/>
      </c>
      <c r="N194" s="25" t="str">
        <f>IF($Q194="","",INDEX(TRANSACTIONS_MASTER!$R$5:$R$1204,$Q194))</f>
        <v/>
      </c>
      <c r="O194" s="28" t="str">
        <f>IF($Q194="","",INDEX(TRANSACTIONS_MASTER!$AB$5:$AB$1204,$Q194))</f>
        <v/>
      </c>
      <c r="P194" s="55" t="str">
        <f>IF($Q194="","",INDEX(TRANSACTIONS_MASTER!$Z$5:$Z$1204,$Q194)&amp;"")</f>
        <v/>
      </c>
      <c r="Q194" s="67" t="str">
        <f>IFERROR(MATCH($C$2&amp;"|"&amp;187,TRANSACTIONS_MASTER!$AE$5:$AE$1204,0),"")</f>
        <v/>
      </c>
    </row>
    <row r="195">
      <c r="A195" s="81" t="str">
        <f>IF($Q195="","",188)</f>
        <v/>
      </c>
      <c r="B195" s="57" t="str">
        <f>IF($Q195="","",INDEX(TRANSACTIONS_MASTER!$B$5:$B$1204,$Q195))</f>
        <v/>
      </c>
      <c r="C195" s="55" t="str">
        <f>IF($Q195="","",INDEX(TRANSACTIONS_MASTER!$F$5:$F$1204,$Q195))</f>
        <v/>
      </c>
      <c r="D195" s="55" t="str">
        <f>IF($Q195="","",INDEX(TRANSACTIONS_MASTER!$E$5:$E$1204,$Q195))</f>
        <v/>
      </c>
      <c r="E195" s="55" t="str">
        <f>IF($Q195="","",INDEX(TRANSACTIONS_MASTER!$G$5:$G$1204,$Q195)&amp;"")</f>
        <v/>
      </c>
      <c r="F195" s="29" t="str">
        <f>IF($Q195="","",INDEX(TRANSACTIONS_MASTER!$I$5:$I$1204,$Q195))</f>
        <v/>
      </c>
      <c r="G195" s="55" t="str">
        <f>IF($Q195="","",INDEX(TRANSACTIONS_MASTER!$K$5:$K$1204,$Q195))</f>
        <v/>
      </c>
      <c r="H195" s="25" t="str">
        <f>IF($Q195="","",INDEX(TRANSACTIONS_MASTER!$L$5:$L$1204,$Q195))</f>
        <v/>
      </c>
      <c r="I195" s="56" t="str">
        <f>IF($Q195="","",INDEX(TRANSACTIONS_MASTER!$N$5:$N$1204,$Q195))</f>
        <v/>
      </c>
      <c r="J195" s="25" t="str">
        <f>IF($Q195="","",INDEX(TRANSACTIONS_MASTER!$O$5:$O$1204,$Q195))</f>
        <v/>
      </c>
      <c r="K195" s="26" t="str">
        <f>IF($Q195="","",INDEX(TRANSACTIONS_MASTER!$Q$5:$Q$1204,$Q195))</f>
        <v/>
      </c>
      <c r="L195" s="25" t="str">
        <f>IF($Q195="","",INDEX(TRANSACTIONS_MASTER!$P$5:$P$1204,$Q195))</f>
        <v/>
      </c>
      <c r="M195" s="25" t="str">
        <f>IF($Q195="","",INDEX(TRANSACTIONS_MASTER!$AA$5:$AA$1204,$Q195))</f>
        <v/>
      </c>
      <c r="N195" s="25" t="str">
        <f>IF($Q195="","",INDEX(TRANSACTIONS_MASTER!$R$5:$R$1204,$Q195))</f>
        <v/>
      </c>
      <c r="O195" s="28" t="str">
        <f>IF($Q195="","",INDEX(TRANSACTIONS_MASTER!$AB$5:$AB$1204,$Q195))</f>
        <v/>
      </c>
      <c r="P195" s="55" t="str">
        <f>IF($Q195="","",INDEX(TRANSACTIONS_MASTER!$Z$5:$Z$1204,$Q195)&amp;"")</f>
        <v/>
      </c>
      <c r="Q195" s="67" t="str">
        <f>IFERROR(MATCH($C$2&amp;"|"&amp;188,TRANSACTIONS_MASTER!$AE$5:$AE$1204,0),"")</f>
        <v/>
      </c>
    </row>
    <row r="196">
      <c r="A196" s="81" t="str">
        <f>IF($Q196="","",189)</f>
        <v/>
      </c>
      <c r="B196" s="57" t="str">
        <f>IF($Q196="","",INDEX(TRANSACTIONS_MASTER!$B$5:$B$1204,$Q196))</f>
        <v/>
      </c>
      <c r="C196" s="55" t="str">
        <f>IF($Q196="","",INDEX(TRANSACTIONS_MASTER!$F$5:$F$1204,$Q196))</f>
        <v/>
      </c>
      <c r="D196" s="55" t="str">
        <f>IF($Q196="","",INDEX(TRANSACTIONS_MASTER!$E$5:$E$1204,$Q196))</f>
        <v/>
      </c>
      <c r="E196" s="55" t="str">
        <f>IF($Q196="","",INDEX(TRANSACTIONS_MASTER!$G$5:$G$1204,$Q196)&amp;"")</f>
        <v/>
      </c>
      <c r="F196" s="29" t="str">
        <f>IF($Q196="","",INDEX(TRANSACTIONS_MASTER!$I$5:$I$1204,$Q196))</f>
        <v/>
      </c>
      <c r="G196" s="55" t="str">
        <f>IF($Q196="","",INDEX(TRANSACTIONS_MASTER!$K$5:$K$1204,$Q196))</f>
        <v/>
      </c>
      <c r="H196" s="25" t="str">
        <f>IF($Q196="","",INDEX(TRANSACTIONS_MASTER!$L$5:$L$1204,$Q196))</f>
        <v/>
      </c>
      <c r="I196" s="56" t="str">
        <f>IF($Q196="","",INDEX(TRANSACTIONS_MASTER!$N$5:$N$1204,$Q196))</f>
        <v/>
      </c>
      <c r="J196" s="25" t="str">
        <f>IF($Q196="","",INDEX(TRANSACTIONS_MASTER!$O$5:$O$1204,$Q196))</f>
        <v/>
      </c>
      <c r="K196" s="26" t="str">
        <f>IF($Q196="","",INDEX(TRANSACTIONS_MASTER!$Q$5:$Q$1204,$Q196))</f>
        <v/>
      </c>
      <c r="L196" s="25" t="str">
        <f>IF($Q196="","",INDEX(TRANSACTIONS_MASTER!$P$5:$P$1204,$Q196))</f>
        <v/>
      </c>
      <c r="M196" s="25" t="str">
        <f>IF($Q196="","",INDEX(TRANSACTIONS_MASTER!$AA$5:$AA$1204,$Q196))</f>
        <v/>
      </c>
      <c r="N196" s="25" t="str">
        <f>IF($Q196="","",INDEX(TRANSACTIONS_MASTER!$R$5:$R$1204,$Q196))</f>
        <v/>
      </c>
      <c r="O196" s="28" t="str">
        <f>IF($Q196="","",INDEX(TRANSACTIONS_MASTER!$AB$5:$AB$1204,$Q196))</f>
        <v/>
      </c>
      <c r="P196" s="55" t="str">
        <f>IF($Q196="","",INDEX(TRANSACTIONS_MASTER!$Z$5:$Z$1204,$Q196)&amp;"")</f>
        <v/>
      </c>
      <c r="Q196" s="67" t="str">
        <f>IFERROR(MATCH($C$2&amp;"|"&amp;189,TRANSACTIONS_MASTER!$AE$5:$AE$1204,0),"")</f>
        <v/>
      </c>
    </row>
    <row r="197">
      <c r="A197" s="81" t="str">
        <f>IF($Q197="","",190)</f>
        <v/>
      </c>
      <c r="B197" s="57" t="str">
        <f>IF($Q197="","",INDEX(TRANSACTIONS_MASTER!$B$5:$B$1204,$Q197))</f>
        <v/>
      </c>
      <c r="C197" s="55" t="str">
        <f>IF($Q197="","",INDEX(TRANSACTIONS_MASTER!$F$5:$F$1204,$Q197))</f>
        <v/>
      </c>
      <c r="D197" s="55" t="str">
        <f>IF($Q197="","",INDEX(TRANSACTIONS_MASTER!$E$5:$E$1204,$Q197))</f>
        <v/>
      </c>
      <c r="E197" s="55" t="str">
        <f>IF($Q197="","",INDEX(TRANSACTIONS_MASTER!$G$5:$G$1204,$Q197)&amp;"")</f>
        <v/>
      </c>
      <c r="F197" s="29" t="str">
        <f>IF($Q197="","",INDEX(TRANSACTIONS_MASTER!$I$5:$I$1204,$Q197))</f>
        <v/>
      </c>
      <c r="G197" s="55" t="str">
        <f>IF($Q197="","",INDEX(TRANSACTIONS_MASTER!$K$5:$K$1204,$Q197))</f>
        <v/>
      </c>
      <c r="H197" s="25" t="str">
        <f>IF($Q197="","",INDEX(TRANSACTIONS_MASTER!$L$5:$L$1204,$Q197))</f>
        <v/>
      </c>
      <c r="I197" s="56" t="str">
        <f>IF($Q197="","",INDEX(TRANSACTIONS_MASTER!$N$5:$N$1204,$Q197))</f>
        <v/>
      </c>
      <c r="J197" s="25" t="str">
        <f>IF($Q197="","",INDEX(TRANSACTIONS_MASTER!$O$5:$O$1204,$Q197))</f>
        <v/>
      </c>
      <c r="K197" s="26" t="str">
        <f>IF($Q197="","",INDEX(TRANSACTIONS_MASTER!$Q$5:$Q$1204,$Q197))</f>
        <v/>
      </c>
      <c r="L197" s="25" t="str">
        <f>IF($Q197="","",INDEX(TRANSACTIONS_MASTER!$P$5:$P$1204,$Q197))</f>
        <v/>
      </c>
      <c r="M197" s="25" t="str">
        <f>IF($Q197="","",INDEX(TRANSACTIONS_MASTER!$AA$5:$AA$1204,$Q197))</f>
        <v/>
      </c>
      <c r="N197" s="25" t="str">
        <f>IF($Q197="","",INDEX(TRANSACTIONS_MASTER!$R$5:$R$1204,$Q197))</f>
        <v/>
      </c>
      <c r="O197" s="28" t="str">
        <f>IF($Q197="","",INDEX(TRANSACTIONS_MASTER!$AB$5:$AB$1204,$Q197))</f>
        <v/>
      </c>
      <c r="P197" s="55" t="str">
        <f>IF($Q197="","",INDEX(TRANSACTIONS_MASTER!$Z$5:$Z$1204,$Q197)&amp;"")</f>
        <v/>
      </c>
      <c r="Q197" s="67" t="str">
        <f>IFERROR(MATCH($C$2&amp;"|"&amp;190,TRANSACTIONS_MASTER!$AE$5:$AE$1204,0),"")</f>
        <v/>
      </c>
    </row>
    <row r="198">
      <c r="A198" s="81" t="str">
        <f>IF($Q198="","",191)</f>
        <v/>
      </c>
      <c r="B198" s="57" t="str">
        <f>IF($Q198="","",INDEX(TRANSACTIONS_MASTER!$B$5:$B$1204,$Q198))</f>
        <v/>
      </c>
      <c r="C198" s="55" t="str">
        <f>IF($Q198="","",INDEX(TRANSACTIONS_MASTER!$F$5:$F$1204,$Q198))</f>
        <v/>
      </c>
      <c r="D198" s="55" t="str">
        <f>IF($Q198="","",INDEX(TRANSACTIONS_MASTER!$E$5:$E$1204,$Q198))</f>
        <v/>
      </c>
      <c r="E198" s="55" t="str">
        <f>IF($Q198="","",INDEX(TRANSACTIONS_MASTER!$G$5:$G$1204,$Q198)&amp;"")</f>
        <v/>
      </c>
      <c r="F198" s="29" t="str">
        <f>IF($Q198="","",INDEX(TRANSACTIONS_MASTER!$I$5:$I$1204,$Q198))</f>
        <v/>
      </c>
      <c r="G198" s="55" t="str">
        <f>IF($Q198="","",INDEX(TRANSACTIONS_MASTER!$K$5:$K$1204,$Q198))</f>
        <v/>
      </c>
      <c r="H198" s="25" t="str">
        <f>IF($Q198="","",INDEX(TRANSACTIONS_MASTER!$L$5:$L$1204,$Q198))</f>
        <v/>
      </c>
      <c r="I198" s="56" t="str">
        <f>IF($Q198="","",INDEX(TRANSACTIONS_MASTER!$N$5:$N$1204,$Q198))</f>
        <v/>
      </c>
      <c r="J198" s="25" t="str">
        <f>IF($Q198="","",INDEX(TRANSACTIONS_MASTER!$O$5:$O$1204,$Q198))</f>
        <v/>
      </c>
      <c r="K198" s="26" t="str">
        <f>IF($Q198="","",INDEX(TRANSACTIONS_MASTER!$Q$5:$Q$1204,$Q198))</f>
        <v/>
      </c>
      <c r="L198" s="25" t="str">
        <f>IF($Q198="","",INDEX(TRANSACTIONS_MASTER!$P$5:$P$1204,$Q198))</f>
        <v/>
      </c>
      <c r="M198" s="25" t="str">
        <f>IF($Q198="","",INDEX(TRANSACTIONS_MASTER!$AA$5:$AA$1204,$Q198))</f>
        <v/>
      </c>
      <c r="N198" s="25" t="str">
        <f>IF($Q198="","",INDEX(TRANSACTIONS_MASTER!$R$5:$R$1204,$Q198))</f>
        <v/>
      </c>
      <c r="O198" s="28" t="str">
        <f>IF($Q198="","",INDEX(TRANSACTIONS_MASTER!$AB$5:$AB$1204,$Q198))</f>
        <v/>
      </c>
      <c r="P198" s="55" t="str">
        <f>IF($Q198="","",INDEX(TRANSACTIONS_MASTER!$Z$5:$Z$1204,$Q198)&amp;"")</f>
        <v/>
      </c>
      <c r="Q198" s="67" t="str">
        <f>IFERROR(MATCH($C$2&amp;"|"&amp;191,TRANSACTIONS_MASTER!$AE$5:$AE$1204,0),"")</f>
        <v/>
      </c>
    </row>
    <row r="199">
      <c r="A199" s="81" t="str">
        <f>IF($Q199="","",192)</f>
        <v/>
      </c>
      <c r="B199" s="57" t="str">
        <f>IF($Q199="","",INDEX(TRANSACTIONS_MASTER!$B$5:$B$1204,$Q199))</f>
        <v/>
      </c>
      <c r="C199" s="55" t="str">
        <f>IF($Q199="","",INDEX(TRANSACTIONS_MASTER!$F$5:$F$1204,$Q199))</f>
        <v/>
      </c>
      <c r="D199" s="55" t="str">
        <f>IF($Q199="","",INDEX(TRANSACTIONS_MASTER!$E$5:$E$1204,$Q199))</f>
        <v/>
      </c>
      <c r="E199" s="55" t="str">
        <f>IF($Q199="","",INDEX(TRANSACTIONS_MASTER!$G$5:$G$1204,$Q199)&amp;"")</f>
        <v/>
      </c>
      <c r="F199" s="29" t="str">
        <f>IF($Q199="","",INDEX(TRANSACTIONS_MASTER!$I$5:$I$1204,$Q199))</f>
        <v/>
      </c>
      <c r="G199" s="55" t="str">
        <f>IF($Q199="","",INDEX(TRANSACTIONS_MASTER!$K$5:$K$1204,$Q199))</f>
        <v/>
      </c>
      <c r="H199" s="25" t="str">
        <f>IF($Q199="","",INDEX(TRANSACTIONS_MASTER!$L$5:$L$1204,$Q199))</f>
        <v/>
      </c>
      <c r="I199" s="56" t="str">
        <f>IF($Q199="","",INDEX(TRANSACTIONS_MASTER!$N$5:$N$1204,$Q199))</f>
        <v/>
      </c>
      <c r="J199" s="25" t="str">
        <f>IF($Q199="","",INDEX(TRANSACTIONS_MASTER!$O$5:$O$1204,$Q199))</f>
        <v/>
      </c>
      <c r="K199" s="26" t="str">
        <f>IF($Q199="","",INDEX(TRANSACTIONS_MASTER!$Q$5:$Q$1204,$Q199))</f>
        <v/>
      </c>
      <c r="L199" s="25" t="str">
        <f>IF($Q199="","",INDEX(TRANSACTIONS_MASTER!$P$5:$P$1204,$Q199))</f>
        <v/>
      </c>
      <c r="M199" s="25" t="str">
        <f>IF($Q199="","",INDEX(TRANSACTIONS_MASTER!$AA$5:$AA$1204,$Q199))</f>
        <v/>
      </c>
      <c r="N199" s="25" t="str">
        <f>IF($Q199="","",INDEX(TRANSACTIONS_MASTER!$R$5:$R$1204,$Q199))</f>
        <v/>
      </c>
      <c r="O199" s="28" t="str">
        <f>IF($Q199="","",INDEX(TRANSACTIONS_MASTER!$AB$5:$AB$1204,$Q199))</f>
        <v/>
      </c>
      <c r="P199" s="55" t="str">
        <f>IF($Q199="","",INDEX(TRANSACTIONS_MASTER!$Z$5:$Z$1204,$Q199)&amp;"")</f>
        <v/>
      </c>
      <c r="Q199" s="67" t="str">
        <f>IFERROR(MATCH($C$2&amp;"|"&amp;192,TRANSACTIONS_MASTER!$AE$5:$AE$1204,0),"")</f>
        <v/>
      </c>
    </row>
    <row r="200">
      <c r="A200" s="81" t="str">
        <f>IF($Q200="","",193)</f>
        <v/>
      </c>
      <c r="B200" s="57" t="str">
        <f>IF($Q200="","",INDEX(TRANSACTIONS_MASTER!$B$5:$B$1204,$Q200))</f>
        <v/>
      </c>
      <c r="C200" s="55" t="str">
        <f>IF($Q200="","",INDEX(TRANSACTIONS_MASTER!$F$5:$F$1204,$Q200))</f>
        <v/>
      </c>
      <c r="D200" s="55" t="str">
        <f>IF($Q200="","",INDEX(TRANSACTIONS_MASTER!$E$5:$E$1204,$Q200))</f>
        <v/>
      </c>
      <c r="E200" s="55" t="str">
        <f>IF($Q200="","",INDEX(TRANSACTIONS_MASTER!$G$5:$G$1204,$Q200)&amp;"")</f>
        <v/>
      </c>
      <c r="F200" s="29" t="str">
        <f>IF($Q200="","",INDEX(TRANSACTIONS_MASTER!$I$5:$I$1204,$Q200))</f>
        <v/>
      </c>
      <c r="G200" s="55" t="str">
        <f>IF($Q200="","",INDEX(TRANSACTIONS_MASTER!$K$5:$K$1204,$Q200))</f>
        <v/>
      </c>
      <c r="H200" s="25" t="str">
        <f>IF($Q200="","",INDEX(TRANSACTIONS_MASTER!$L$5:$L$1204,$Q200))</f>
        <v/>
      </c>
      <c r="I200" s="56" t="str">
        <f>IF($Q200="","",INDEX(TRANSACTIONS_MASTER!$N$5:$N$1204,$Q200))</f>
        <v/>
      </c>
      <c r="J200" s="25" t="str">
        <f>IF($Q200="","",INDEX(TRANSACTIONS_MASTER!$O$5:$O$1204,$Q200))</f>
        <v/>
      </c>
      <c r="K200" s="26" t="str">
        <f>IF($Q200="","",INDEX(TRANSACTIONS_MASTER!$Q$5:$Q$1204,$Q200))</f>
        <v/>
      </c>
      <c r="L200" s="25" t="str">
        <f>IF($Q200="","",INDEX(TRANSACTIONS_MASTER!$P$5:$P$1204,$Q200))</f>
        <v/>
      </c>
      <c r="M200" s="25" t="str">
        <f>IF($Q200="","",INDEX(TRANSACTIONS_MASTER!$AA$5:$AA$1204,$Q200))</f>
        <v/>
      </c>
      <c r="N200" s="25" t="str">
        <f>IF($Q200="","",INDEX(TRANSACTIONS_MASTER!$R$5:$R$1204,$Q200))</f>
        <v/>
      </c>
      <c r="O200" s="28" t="str">
        <f>IF($Q200="","",INDEX(TRANSACTIONS_MASTER!$AB$5:$AB$1204,$Q200))</f>
        <v/>
      </c>
      <c r="P200" s="55" t="str">
        <f>IF($Q200="","",INDEX(TRANSACTIONS_MASTER!$Z$5:$Z$1204,$Q200)&amp;"")</f>
        <v/>
      </c>
      <c r="Q200" s="67" t="str">
        <f>IFERROR(MATCH($C$2&amp;"|"&amp;193,TRANSACTIONS_MASTER!$AE$5:$AE$1204,0),"")</f>
        <v/>
      </c>
    </row>
    <row r="201">
      <c r="A201" s="81" t="str">
        <f>IF($Q201="","",194)</f>
        <v/>
      </c>
      <c r="B201" s="57" t="str">
        <f>IF($Q201="","",INDEX(TRANSACTIONS_MASTER!$B$5:$B$1204,$Q201))</f>
        <v/>
      </c>
      <c r="C201" s="55" t="str">
        <f>IF($Q201="","",INDEX(TRANSACTIONS_MASTER!$F$5:$F$1204,$Q201))</f>
        <v/>
      </c>
      <c r="D201" s="55" t="str">
        <f>IF($Q201="","",INDEX(TRANSACTIONS_MASTER!$E$5:$E$1204,$Q201))</f>
        <v/>
      </c>
      <c r="E201" s="55" t="str">
        <f>IF($Q201="","",INDEX(TRANSACTIONS_MASTER!$G$5:$G$1204,$Q201)&amp;"")</f>
        <v/>
      </c>
      <c r="F201" s="29" t="str">
        <f>IF($Q201="","",INDEX(TRANSACTIONS_MASTER!$I$5:$I$1204,$Q201))</f>
        <v/>
      </c>
      <c r="G201" s="55" t="str">
        <f>IF($Q201="","",INDEX(TRANSACTIONS_MASTER!$K$5:$K$1204,$Q201))</f>
        <v/>
      </c>
      <c r="H201" s="25" t="str">
        <f>IF($Q201="","",INDEX(TRANSACTIONS_MASTER!$L$5:$L$1204,$Q201))</f>
        <v/>
      </c>
      <c r="I201" s="56" t="str">
        <f>IF($Q201="","",INDEX(TRANSACTIONS_MASTER!$N$5:$N$1204,$Q201))</f>
        <v/>
      </c>
      <c r="J201" s="25" t="str">
        <f>IF($Q201="","",INDEX(TRANSACTIONS_MASTER!$O$5:$O$1204,$Q201))</f>
        <v/>
      </c>
      <c r="K201" s="26" t="str">
        <f>IF($Q201="","",INDEX(TRANSACTIONS_MASTER!$Q$5:$Q$1204,$Q201))</f>
        <v/>
      </c>
      <c r="L201" s="25" t="str">
        <f>IF($Q201="","",INDEX(TRANSACTIONS_MASTER!$P$5:$P$1204,$Q201))</f>
        <v/>
      </c>
      <c r="M201" s="25" t="str">
        <f>IF($Q201="","",INDEX(TRANSACTIONS_MASTER!$AA$5:$AA$1204,$Q201))</f>
        <v/>
      </c>
      <c r="N201" s="25" t="str">
        <f>IF($Q201="","",INDEX(TRANSACTIONS_MASTER!$R$5:$R$1204,$Q201))</f>
        <v/>
      </c>
      <c r="O201" s="28" t="str">
        <f>IF($Q201="","",INDEX(TRANSACTIONS_MASTER!$AB$5:$AB$1204,$Q201))</f>
        <v/>
      </c>
      <c r="P201" s="55" t="str">
        <f>IF($Q201="","",INDEX(TRANSACTIONS_MASTER!$Z$5:$Z$1204,$Q201)&amp;"")</f>
        <v/>
      </c>
      <c r="Q201" s="67" t="str">
        <f>IFERROR(MATCH($C$2&amp;"|"&amp;194,TRANSACTIONS_MASTER!$AE$5:$AE$1204,0),"")</f>
        <v/>
      </c>
    </row>
    <row r="202">
      <c r="A202" s="81" t="str">
        <f>IF($Q202="","",195)</f>
        <v/>
      </c>
      <c r="B202" s="57" t="str">
        <f>IF($Q202="","",INDEX(TRANSACTIONS_MASTER!$B$5:$B$1204,$Q202))</f>
        <v/>
      </c>
      <c r="C202" s="55" t="str">
        <f>IF($Q202="","",INDEX(TRANSACTIONS_MASTER!$F$5:$F$1204,$Q202))</f>
        <v/>
      </c>
      <c r="D202" s="55" t="str">
        <f>IF($Q202="","",INDEX(TRANSACTIONS_MASTER!$E$5:$E$1204,$Q202))</f>
        <v/>
      </c>
      <c r="E202" s="55" t="str">
        <f>IF($Q202="","",INDEX(TRANSACTIONS_MASTER!$G$5:$G$1204,$Q202)&amp;"")</f>
        <v/>
      </c>
      <c r="F202" s="29" t="str">
        <f>IF($Q202="","",INDEX(TRANSACTIONS_MASTER!$I$5:$I$1204,$Q202))</f>
        <v/>
      </c>
      <c r="G202" s="55" t="str">
        <f>IF($Q202="","",INDEX(TRANSACTIONS_MASTER!$K$5:$K$1204,$Q202))</f>
        <v/>
      </c>
      <c r="H202" s="25" t="str">
        <f>IF($Q202="","",INDEX(TRANSACTIONS_MASTER!$L$5:$L$1204,$Q202))</f>
        <v/>
      </c>
      <c r="I202" s="56" t="str">
        <f>IF($Q202="","",INDEX(TRANSACTIONS_MASTER!$N$5:$N$1204,$Q202))</f>
        <v/>
      </c>
      <c r="J202" s="25" t="str">
        <f>IF($Q202="","",INDEX(TRANSACTIONS_MASTER!$O$5:$O$1204,$Q202))</f>
        <v/>
      </c>
      <c r="K202" s="26" t="str">
        <f>IF($Q202="","",INDEX(TRANSACTIONS_MASTER!$Q$5:$Q$1204,$Q202))</f>
        <v/>
      </c>
      <c r="L202" s="25" t="str">
        <f>IF($Q202="","",INDEX(TRANSACTIONS_MASTER!$P$5:$P$1204,$Q202))</f>
        <v/>
      </c>
      <c r="M202" s="25" t="str">
        <f>IF($Q202="","",INDEX(TRANSACTIONS_MASTER!$AA$5:$AA$1204,$Q202))</f>
        <v/>
      </c>
      <c r="N202" s="25" t="str">
        <f>IF($Q202="","",INDEX(TRANSACTIONS_MASTER!$R$5:$R$1204,$Q202))</f>
        <v/>
      </c>
      <c r="O202" s="28" t="str">
        <f>IF($Q202="","",INDEX(TRANSACTIONS_MASTER!$AB$5:$AB$1204,$Q202))</f>
        <v/>
      </c>
      <c r="P202" s="55" t="str">
        <f>IF($Q202="","",INDEX(TRANSACTIONS_MASTER!$Z$5:$Z$1204,$Q202)&amp;"")</f>
        <v/>
      </c>
      <c r="Q202" s="67" t="str">
        <f>IFERROR(MATCH($C$2&amp;"|"&amp;195,TRANSACTIONS_MASTER!$AE$5:$AE$1204,0),"")</f>
        <v/>
      </c>
    </row>
    <row r="203">
      <c r="A203" s="81" t="str">
        <f>IF($Q203="","",196)</f>
        <v/>
      </c>
      <c r="B203" s="57" t="str">
        <f>IF($Q203="","",INDEX(TRANSACTIONS_MASTER!$B$5:$B$1204,$Q203))</f>
        <v/>
      </c>
      <c r="C203" s="55" t="str">
        <f>IF($Q203="","",INDEX(TRANSACTIONS_MASTER!$F$5:$F$1204,$Q203))</f>
        <v/>
      </c>
      <c r="D203" s="55" t="str">
        <f>IF($Q203="","",INDEX(TRANSACTIONS_MASTER!$E$5:$E$1204,$Q203))</f>
        <v/>
      </c>
      <c r="E203" s="55" t="str">
        <f>IF($Q203="","",INDEX(TRANSACTIONS_MASTER!$G$5:$G$1204,$Q203)&amp;"")</f>
        <v/>
      </c>
      <c r="F203" s="29" t="str">
        <f>IF($Q203="","",INDEX(TRANSACTIONS_MASTER!$I$5:$I$1204,$Q203))</f>
        <v/>
      </c>
      <c r="G203" s="55" t="str">
        <f>IF($Q203="","",INDEX(TRANSACTIONS_MASTER!$K$5:$K$1204,$Q203))</f>
        <v/>
      </c>
      <c r="H203" s="25" t="str">
        <f>IF($Q203="","",INDEX(TRANSACTIONS_MASTER!$L$5:$L$1204,$Q203))</f>
        <v/>
      </c>
      <c r="I203" s="56" t="str">
        <f>IF($Q203="","",INDEX(TRANSACTIONS_MASTER!$N$5:$N$1204,$Q203))</f>
        <v/>
      </c>
      <c r="J203" s="25" t="str">
        <f>IF($Q203="","",INDEX(TRANSACTIONS_MASTER!$O$5:$O$1204,$Q203))</f>
        <v/>
      </c>
      <c r="K203" s="26" t="str">
        <f>IF($Q203="","",INDEX(TRANSACTIONS_MASTER!$Q$5:$Q$1204,$Q203))</f>
        <v/>
      </c>
      <c r="L203" s="25" t="str">
        <f>IF($Q203="","",INDEX(TRANSACTIONS_MASTER!$P$5:$P$1204,$Q203))</f>
        <v/>
      </c>
      <c r="M203" s="25" t="str">
        <f>IF($Q203="","",INDEX(TRANSACTIONS_MASTER!$AA$5:$AA$1204,$Q203))</f>
        <v/>
      </c>
      <c r="N203" s="25" t="str">
        <f>IF($Q203="","",INDEX(TRANSACTIONS_MASTER!$R$5:$R$1204,$Q203))</f>
        <v/>
      </c>
      <c r="O203" s="28" t="str">
        <f>IF($Q203="","",INDEX(TRANSACTIONS_MASTER!$AB$5:$AB$1204,$Q203))</f>
        <v/>
      </c>
      <c r="P203" s="55" t="str">
        <f>IF($Q203="","",INDEX(TRANSACTIONS_MASTER!$Z$5:$Z$1204,$Q203)&amp;"")</f>
        <v/>
      </c>
      <c r="Q203" s="67" t="str">
        <f>IFERROR(MATCH($C$2&amp;"|"&amp;196,TRANSACTIONS_MASTER!$AE$5:$AE$1204,0),"")</f>
        <v/>
      </c>
    </row>
    <row r="204">
      <c r="A204" s="81" t="str">
        <f>IF($Q204="","",197)</f>
        <v/>
      </c>
      <c r="B204" s="57" t="str">
        <f>IF($Q204="","",INDEX(TRANSACTIONS_MASTER!$B$5:$B$1204,$Q204))</f>
        <v/>
      </c>
      <c r="C204" s="55" t="str">
        <f>IF($Q204="","",INDEX(TRANSACTIONS_MASTER!$F$5:$F$1204,$Q204))</f>
        <v/>
      </c>
      <c r="D204" s="55" t="str">
        <f>IF($Q204="","",INDEX(TRANSACTIONS_MASTER!$E$5:$E$1204,$Q204))</f>
        <v/>
      </c>
      <c r="E204" s="55" t="str">
        <f>IF($Q204="","",INDEX(TRANSACTIONS_MASTER!$G$5:$G$1204,$Q204)&amp;"")</f>
        <v/>
      </c>
      <c r="F204" s="29" t="str">
        <f>IF($Q204="","",INDEX(TRANSACTIONS_MASTER!$I$5:$I$1204,$Q204))</f>
        <v/>
      </c>
      <c r="G204" s="55" t="str">
        <f>IF($Q204="","",INDEX(TRANSACTIONS_MASTER!$K$5:$K$1204,$Q204))</f>
        <v/>
      </c>
      <c r="H204" s="25" t="str">
        <f>IF($Q204="","",INDEX(TRANSACTIONS_MASTER!$L$5:$L$1204,$Q204))</f>
        <v/>
      </c>
      <c r="I204" s="56" t="str">
        <f>IF($Q204="","",INDEX(TRANSACTIONS_MASTER!$N$5:$N$1204,$Q204))</f>
        <v/>
      </c>
      <c r="J204" s="25" t="str">
        <f>IF($Q204="","",INDEX(TRANSACTIONS_MASTER!$O$5:$O$1204,$Q204))</f>
        <v/>
      </c>
      <c r="K204" s="26" t="str">
        <f>IF($Q204="","",INDEX(TRANSACTIONS_MASTER!$Q$5:$Q$1204,$Q204))</f>
        <v/>
      </c>
      <c r="L204" s="25" t="str">
        <f>IF($Q204="","",INDEX(TRANSACTIONS_MASTER!$P$5:$P$1204,$Q204))</f>
        <v/>
      </c>
      <c r="M204" s="25" t="str">
        <f>IF($Q204="","",INDEX(TRANSACTIONS_MASTER!$AA$5:$AA$1204,$Q204))</f>
        <v/>
      </c>
      <c r="N204" s="25" t="str">
        <f>IF($Q204="","",INDEX(TRANSACTIONS_MASTER!$R$5:$R$1204,$Q204))</f>
        <v/>
      </c>
      <c r="O204" s="28" t="str">
        <f>IF($Q204="","",INDEX(TRANSACTIONS_MASTER!$AB$5:$AB$1204,$Q204))</f>
        <v/>
      </c>
      <c r="P204" s="55" t="str">
        <f>IF($Q204="","",INDEX(TRANSACTIONS_MASTER!$Z$5:$Z$1204,$Q204)&amp;"")</f>
        <v/>
      </c>
      <c r="Q204" s="67" t="str">
        <f>IFERROR(MATCH($C$2&amp;"|"&amp;197,TRANSACTIONS_MASTER!$AE$5:$AE$1204,0),"")</f>
        <v/>
      </c>
    </row>
    <row r="205">
      <c r="A205" s="81" t="str">
        <f>IF($Q205="","",198)</f>
        <v/>
      </c>
      <c r="B205" s="57" t="str">
        <f>IF($Q205="","",INDEX(TRANSACTIONS_MASTER!$B$5:$B$1204,$Q205))</f>
        <v/>
      </c>
      <c r="C205" s="55" t="str">
        <f>IF($Q205="","",INDEX(TRANSACTIONS_MASTER!$F$5:$F$1204,$Q205))</f>
        <v/>
      </c>
      <c r="D205" s="55" t="str">
        <f>IF($Q205="","",INDEX(TRANSACTIONS_MASTER!$E$5:$E$1204,$Q205))</f>
        <v/>
      </c>
      <c r="E205" s="55" t="str">
        <f>IF($Q205="","",INDEX(TRANSACTIONS_MASTER!$G$5:$G$1204,$Q205)&amp;"")</f>
        <v/>
      </c>
      <c r="F205" s="29" t="str">
        <f>IF($Q205="","",INDEX(TRANSACTIONS_MASTER!$I$5:$I$1204,$Q205))</f>
        <v/>
      </c>
      <c r="G205" s="55" t="str">
        <f>IF($Q205="","",INDEX(TRANSACTIONS_MASTER!$K$5:$K$1204,$Q205))</f>
        <v/>
      </c>
      <c r="H205" s="25" t="str">
        <f>IF($Q205="","",INDEX(TRANSACTIONS_MASTER!$L$5:$L$1204,$Q205))</f>
        <v/>
      </c>
      <c r="I205" s="56" t="str">
        <f>IF($Q205="","",INDEX(TRANSACTIONS_MASTER!$N$5:$N$1204,$Q205))</f>
        <v/>
      </c>
      <c r="J205" s="25" t="str">
        <f>IF($Q205="","",INDEX(TRANSACTIONS_MASTER!$O$5:$O$1204,$Q205))</f>
        <v/>
      </c>
      <c r="K205" s="26" t="str">
        <f>IF($Q205="","",INDEX(TRANSACTIONS_MASTER!$Q$5:$Q$1204,$Q205))</f>
        <v/>
      </c>
      <c r="L205" s="25" t="str">
        <f>IF($Q205="","",INDEX(TRANSACTIONS_MASTER!$P$5:$P$1204,$Q205))</f>
        <v/>
      </c>
      <c r="M205" s="25" t="str">
        <f>IF($Q205="","",INDEX(TRANSACTIONS_MASTER!$AA$5:$AA$1204,$Q205))</f>
        <v/>
      </c>
      <c r="N205" s="25" t="str">
        <f>IF($Q205="","",INDEX(TRANSACTIONS_MASTER!$R$5:$R$1204,$Q205))</f>
        <v/>
      </c>
      <c r="O205" s="28" t="str">
        <f>IF($Q205="","",INDEX(TRANSACTIONS_MASTER!$AB$5:$AB$1204,$Q205))</f>
        <v/>
      </c>
      <c r="P205" s="55" t="str">
        <f>IF($Q205="","",INDEX(TRANSACTIONS_MASTER!$Z$5:$Z$1204,$Q205)&amp;"")</f>
        <v/>
      </c>
      <c r="Q205" s="67" t="str">
        <f>IFERROR(MATCH($C$2&amp;"|"&amp;198,TRANSACTIONS_MASTER!$AE$5:$AE$1204,0),"")</f>
        <v/>
      </c>
    </row>
    <row r="206">
      <c r="A206" s="81" t="str">
        <f>IF($Q206="","",199)</f>
        <v/>
      </c>
      <c r="B206" s="57" t="str">
        <f>IF($Q206="","",INDEX(TRANSACTIONS_MASTER!$B$5:$B$1204,$Q206))</f>
        <v/>
      </c>
      <c r="C206" s="55" t="str">
        <f>IF($Q206="","",INDEX(TRANSACTIONS_MASTER!$F$5:$F$1204,$Q206))</f>
        <v/>
      </c>
      <c r="D206" s="55" t="str">
        <f>IF($Q206="","",INDEX(TRANSACTIONS_MASTER!$E$5:$E$1204,$Q206))</f>
        <v/>
      </c>
      <c r="E206" s="55" t="str">
        <f>IF($Q206="","",INDEX(TRANSACTIONS_MASTER!$G$5:$G$1204,$Q206)&amp;"")</f>
        <v/>
      </c>
      <c r="F206" s="29" t="str">
        <f>IF($Q206="","",INDEX(TRANSACTIONS_MASTER!$I$5:$I$1204,$Q206))</f>
        <v/>
      </c>
      <c r="G206" s="55" t="str">
        <f>IF($Q206="","",INDEX(TRANSACTIONS_MASTER!$K$5:$K$1204,$Q206))</f>
        <v/>
      </c>
      <c r="H206" s="25" t="str">
        <f>IF($Q206="","",INDEX(TRANSACTIONS_MASTER!$L$5:$L$1204,$Q206))</f>
        <v/>
      </c>
      <c r="I206" s="56" t="str">
        <f>IF($Q206="","",INDEX(TRANSACTIONS_MASTER!$N$5:$N$1204,$Q206))</f>
        <v/>
      </c>
      <c r="J206" s="25" t="str">
        <f>IF($Q206="","",INDEX(TRANSACTIONS_MASTER!$O$5:$O$1204,$Q206))</f>
        <v/>
      </c>
      <c r="K206" s="26" t="str">
        <f>IF($Q206="","",INDEX(TRANSACTIONS_MASTER!$Q$5:$Q$1204,$Q206))</f>
        <v/>
      </c>
      <c r="L206" s="25" t="str">
        <f>IF($Q206="","",INDEX(TRANSACTIONS_MASTER!$P$5:$P$1204,$Q206))</f>
        <v/>
      </c>
      <c r="M206" s="25" t="str">
        <f>IF($Q206="","",INDEX(TRANSACTIONS_MASTER!$AA$5:$AA$1204,$Q206))</f>
        <v/>
      </c>
      <c r="N206" s="25" t="str">
        <f>IF($Q206="","",INDEX(TRANSACTIONS_MASTER!$R$5:$R$1204,$Q206))</f>
        <v/>
      </c>
      <c r="O206" s="28" t="str">
        <f>IF($Q206="","",INDEX(TRANSACTIONS_MASTER!$AB$5:$AB$1204,$Q206))</f>
        <v/>
      </c>
      <c r="P206" s="55" t="str">
        <f>IF($Q206="","",INDEX(TRANSACTIONS_MASTER!$Z$5:$Z$1204,$Q206)&amp;"")</f>
        <v/>
      </c>
      <c r="Q206" s="67" t="str">
        <f>IFERROR(MATCH($C$2&amp;"|"&amp;199,TRANSACTIONS_MASTER!$AE$5:$AE$1204,0),"")</f>
        <v/>
      </c>
    </row>
    <row r="207">
      <c r="A207" s="81" t="str">
        <f>IF($Q207="","",200)</f>
        <v/>
      </c>
      <c r="B207" s="57" t="str">
        <f>IF($Q207="","",INDEX(TRANSACTIONS_MASTER!$B$5:$B$1204,$Q207))</f>
        <v/>
      </c>
      <c r="C207" s="55" t="str">
        <f>IF($Q207="","",INDEX(TRANSACTIONS_MASTER!$F$5:$F$1204,$Q207))</f>
        <v/>
      </c>
      <c r="D207" s="55" t="str">
        <f>IF($Q207="","",INDEX(TRANSACTIONS_MASTER!$E$5:$E$1204,$Q207))</f>
        <v/>
      </c>
      <c r="E207" s="55" t="str">
        <f>IF($Q207="","",INDEX(TRANSACTIONS_MASTER!$G$5:$G$1204,$Q207)&amp;"")</f>
        <v/>
      </c>
      <c r="F207" s="29" t="str">
        <f>IF($Q207="","",INDEX(TRANSACTIONS_MASTER!$I$5:$I$1204,$Q207))</f>
        <v/>
      </c>
      <c r="G207" s="55" t="str">
        <f>IF($Q207="","",INDEX(TRANSACTIONS_MASTER!$K$5:$K$1204,$Q207))</f>
        <v/>
      </c>
      <c r="H207" s="25" t="str">
        <f>IF($Q207="","",INDEX(TRANSACTIONS_MASTER!$L$5:$L$1204,$Q207))</f>
        <v/>
      </c>
      <c r="I207" s="56" t="str">
        <f>IF($Q207="","",INDEX(TRANSACTIONS_MASTER!$N$5:$N$1204,$Q207))</f>
        <v/>
      </c>
      <c r="J207" s="25" t="str">
        <f>IF($Q207="","",INDEX(TRANSACTIONS_MASTER!$O$5:$O$1204,$Q207))</f>
        <v/>
      </c>
      <c r="K207" s="26" t="str">
        <f>IF($Q207="","",INDEX(TRANSACTIONS_MASTER!$Q$5:$Q$1204,$Q207))</f>
        <v/>
      </c>
      <c r="L207" s="25" t="str">
        <f>IF($Q207="","",INDEX(TRANSACTIONS_MASTER!$P$5:$P$1204,$Q207))</f>
        <v/>
      </c>
      <c r="M207" s="25" t="str">
        <f>IF($Q207="","",INDEX(TRANSACTIONS_MASTER!$AA$5:$AA$1204,$Q207))</f>
        <v/>
      </c>
      <c r="N207" s="25" t="str">
        <f>IF($Q207="","",INDEX(TRANSACTIONS_MASTER!$R$5:$R$1204,$Q207))</f>
        <v/>
      </c>
      <c r="O207" s="28" t="str">
        <f>IF($Q207="","",INDEX(TRANSACTIONS_MASTER!$AB$5:$AB$1204,$Q207))</f>
        <v/>
      </c>
      <c r="P207" s="55" t="str">
        <f>IF($Q207="","",INDEX(TRANSACTIONS_MASTER!$Z$5:$Z$1204,$Q207)&amp;"")</f>
        <v/>
      </c>
      <c r="Q207" s="67" t="str">
        <f>IFERROR(MATCH($C$2&amp;"|"&amp;200,TRANSACTIONS_MASTER!$AE$5:$AE$1204,0),"")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autoFilter ref="A7:P207"/>
  <mergeCells count="14">
    <mergeCell ref="I4:J4"/>
    <mergeCell ref="T3:W3"/>
    <mergeCell ref="B3:C3"/>
    <mergeCell ref="T4:W4"/>
    <mergeCell ref="M4:O4"/>
    <mergeCell ref="M3:O3"/>
    <mergeCell ref="F4:H4"/>
    <mergeCell ref="D4:E4"/>
    <mergeCell ref="K4:L4"/>
    <mergeCell ref="F3:H3"/>
    <mergeCell ref="D3:E3"/>
    <mergeCell ref="B4:C4"/>
    <mergeCell ref="K3:L3"/>
    <mergeCell ref="I3:J3"/>
  </mergeCells>
  <conditionalFormatting sqref="AA8:AA57">
    <cfRule type="dataBar" priority="1">
      <dataBar showValue="1">
        <cfvo type="num" val="0"/>
        <cfvo type="num" val="1"/>
        <color rgb="00F2A1BF"/>
      </dataBar>
    </cfRule>
    <cfRule type="expression" priority="2" dxfId="8">
      <formula>AND(ISNUMBER(AA8),AA8&gt;=1)</formula>
    </cfRule>
  </conditionalFormatting>
  <conditionalFormatting sqref="Z8:Z57">
    <cfRule type="cellIs" priority="3" operator="equal" dxfId="1">
      <formula>0</formula>
    </cfRule>
  </conditionalFormatting>
  <conditionalFormatting sqref="Z62:Z91">
    <cfRule type="dataBar" priority="4">
      <dataBar showValue="1">
        <cfvo type="num" val="0"/>
        <cfvo type="num" val="1"/>
        <color rgb="00F2A1BF"/>
      </dataBar>
    </cfRule>
    <cfRule type="expression" priority="5" dxfId="8">
      <formula>AND(ISNUMBER(Z62),Z62&gt;=1)</formula>
    </cfRule>
  </conditionalFormatting>
  <conditionalFormatting sqref="Y62:Y91">
    <cfRule type="cellIs" priority="6" operator="equal" dxfId="1">
      <formula>0</formula>
    </cfRule>
  </conditionalFormatting>
  <conditionalFormatting sqref="A8:P207">
    <cfRule type="expression" priority="7" dxfId="5" stopIfTrue="0">
      <formula>MOD(ROW(),2)=0</formula>
    </cfRule>
  </conditionalFormatting>
  <conditionalFormatting sqref="O8:O207">
    <cfRule type="cellIs" priority="8" operator="equal" dxfId="3">
      <formula>"Được hoàn"</formula>
    </cfRule>
    <cfRule type="cellIs" priority="9" operator="equal" dxfId="2">
      <formula>"Hoàn một phần"</formula>
    </cfRule>
    <cfRule type="cellIs" priority="10" operator="equal" dxfId="1">
      <formula>"Đã đạt cap"</formula>
    </cfRule>
    <cfRule type="cellIs" priority="11" operator="equal" dxfId="4">
      <formula>"Không được hoàn"</formula>
    </cfRule>
    <cfRule type="cellIs" priority="12" operator="equal" dxfId="0">
      <formula>"Đã hủy"</formula>
    </cfRule>
  </conditionalFormatting>
  <conditionalFormatting sqref="K8:K207">
    <cfRule type="expression" priority="13" dxfId="7">
      <formula>AND(ISNUMBER($K8),$K8&gt;0)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F8C8DC"/>
    <outlinePr summaryBelow="1" summaryRight="1"/>
    <pageSetUpPr/>
  </sheetPr>
  <dimension ref="A1:AA20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13" customWidth="1" min="4" max="4"/>
    <col width="22" customWidth="1" min="5" max="5"/>
    <col width="8" customWidth="1" min="6" max="6"/>
    <col width="17" customWidth="1" min="7" max="7"/>
    <col width="14" customWidth="1" min="8" max="8"/>
    <col width="10" customWidth="1" min="9" max="9"/>
    <col width="15" customWidth="1" min="10" max="10"/>
    <col width="15" customWidth="1" min="11" max="11"/>
    <col width="14" customWidth="1" min="12" max="12"/>
    <col width="14" customWidth="1" min="13" max="13"/>
    <col width="15" customWidth="1" min="14" max="14"/>
    <col width="16" customWidth="1" min="15" max="15"/>
    <col width="14" customWidth="1" min="16" max="16"/>
    <col width="3" customWidth="1" min="17" max="17"/>
    <col width="3" customWidth="1" min="18" max="18"/>
    <col width="4" customWidth="1" min="19" max="19"/>
    <col width="12" customWidth="1" min="20" max="20"/>
    <col width="30" customWidth="1" min="21" max="21"/>
    <col width="15" customWidth="1" min="22" max="22"/>
    <col width="17" customWidth="1" min="23" max="23"/>
    <col width="15" customWidth="1" min="24" max="24"/>
    <col width="15" customWidth="1" min="25" max="25"/>
    <col width="15" customWidth="1" min="26" max="26"/>
    <col width="12" customWidth="1" min="27" max="27"/>
  </cols>
  <sheetData>
    <row r="1" ht="28" customHeight="1">
      <c r="B1" s="70" t="str">
        <f>"THÁNG "&amp;MOD($C$2,100)&amp;"/"&amp;INT($C$2/100)&amp;"   ♥"</f>
        <v>THÁNG 2/2026   ♥</v>
      </c>
    </row>
    <row r="2" ht="20" customHeight="1">
      <c r="B2" s="71" t="inlineStr">
        <is>
          <t>Mã tháng</t>
        </is>
      </c>
      <c r="C2" s="72" t="n">
        <v>202602</v>
      </c>
      <c r="E2" s="66" t="str">
        <f>HYPERLINK("#Dashboard!A1","← Dashboard")</f>
        <v>← Dashboard</v>
      </c>
      <c r="G2" s="66" t="str">
        <f>HYPERLINK("#TRANSACTIONS_MASTER!A1","Giao dịch (nhập ở đây) →")</f>
        <v>Giao dịch (nhập ở đây) →</v>
      </c>
      <c r="J2" s="66" t="str">
        <f>HYPERLINK("#'2026-02'!S6","Cap &amp; thẻ →")</f>
        <v>Cap &amp; thẻ →</v>
      </c>
      <c r="L2" s="66" t="str">
        <f>HYPERLINK("#'2026-02'!S95","Phân tích →")</f>
        <v>Phân tích →</v>
      </c>
      <c r="N2" s="66" t="str">
        <f>HYPERLINK("#'2026-02'!A1","↑ Đầu trang")</f>
        <v>↑ Đầu trang</v>
      </c>
      <c r="O2" s="73" t="inlineStr">
        <is>
          <t>Sheet này là bản xem tự động — nhập giao dịch ở TRANSACTIONS_MASTER</t>
        </is>
      </c>
    </row>
    <row r="3" ht="17" customHeight="1">
      <c r="B3" s="74" t="inlineStr">
        <is>
          <t>💰 Tổng chi tiêu</t>
        </is>
      </c>
      <c r="C3" s="75" t="n"/>
      <c r="D3" s="74" t="inlineStr">
        <is>
          <t>★ Tổng cashback (thực nhận)</t>
        </is>
      </c>
      <c r="E3" s="75" t="n"/>
      <c r="F3" s="74" t="inlineStr">
        <is>
          <t>Cashback còn có thể nhận</t>
        </is>
      </c>
      <c r="G3" s="75" t="n"/>
      <c r="H3" s="75" t="n"/>
      <c r="I3" s="74" t="inlineStr">
        <is>
          <t>Số giao dịch</t>
        </is>
      </c>
      <c r="J3" s="75" t="n"/>
      <c r="K3" s="74" t="inlineStr">
        <is>
          <t>Số thẻ sử dụng</t>
        </is>
      </c>
      <c r="L3" s="75" t="n"/>
      <c r="M3" s="74" t="inlineStr">
        <is>
          <t>Thẻ có cashback cao nhất</t>
        </is>
      </c>
      <c r="N3" s="75" t="n"/>
      <c r="O3" s="75" t="n"/>
      <c r="T3" s="74" t="inlineStr">
        <is>
          <t>Danh mục chi tiêu nhiều nhất</t>
        </is>
      </c>
      <c r="U3" s="75" t="n"/>
      <c r="V3" s="75" t="n"/>
      <c r="W3" s="75" t="n"/>
    </row>
    <row r="4" ht="30" customHeight="1">
      <c r="B4" s="76">
        <f>SUMIFS(TRANSACTIONS_MASTER!$L$5:$L$1204,TRANSACTIONS_MASTER!$C$5:$C$1204,$C$2,TRANSACTIONS_MASTER!$U$5:$U$1204,"&lt;&gt;Cancelled")</f>
        <v>0</v>
      </c>
      <c r="C4" s="77" t="n"/>
      <c r="D4" s="76">
        <f>SUMIFS(TRANSACTIONS_MASTER!$Q$5:$Q$1204,TRANSACTIONS_MASTER!$C$5:$C$1204,$C$2)</f>
        <v>0</v>
      </c>
      <c r="E4" s="77" t="n"/>
      <c r="F4" s="76">
        <f>SUM($Y$62:$Y$91)</f>
        <v>4500000</v>
      </c>
      <c r="G4" s="77" t="n"/>
      <c r="H4" s="77" t="n"/>
      <c r="I4" s="78">
        <f>COUNTIFS(TRANSACTIONS_MASTER!$C$5:$C$1204,$C$2,TRANSACTIONS_MASTER!$U$5:$U$1204,"&lt;&gt;Cancelled")</f>
        <v>0</v>
      </c>
      <c r="J4" s="77" t="n"/>
      <c r="K4" s="78">
        <f>COUNTIF($AA$62:$AA$91,"&gt;0")</f>
        <v>0</v>
      </c>
      <c r="L4" s="77" t="n"/>
      <c r="M4" s="79" t="str">
        <f>IF(MAX($W$62:$W$91)&gt;0,INDEX($U$62:$U$91,MATCH(MAX($W$62:$W$91),$W$62:$W$91,0)),"—")</f>
        <v>—</v>
      </c>
      <c r="N4" s="77" t="n"/>
      <c r="O4" s="77" t="n"/>
      <c r="T4" s="79" t="str">
        <f>IF(MAX($V$117:$V$131)&gt;0,INDEX($U$117:$U$131,MATCH(MAX($V$117:$V$131),$V$117:$V$131,0)),"—")</f>
        <v>—</v>
      </c>
      <c r="U4" s="77" t="n"/>
      <c r="V4" s="77" t="n"/>
      <c r="W4" s="77" t="n"/>
    </row>
    <row r="5" ht="6" customHeight="1"/>
    <row r="6" ht="22" customHeight="1">
      <c r="A6" s="19" t="inlineStr">
        <is>
          <t>GIAO DỊCH TRONG THÁNG</t>
        </is>
      </c>
      <c r="B6" s="20" t="n"/>
      <c r="C6" s="20" t="n"/>
      <c r="D6" s="20" t="n"/>
      <c r="E6" s="20" t="n"/>
      <c r="F6" s="20" t="n"/>
      <c r="G6" s="20" t="n"/>
      <c r="H6" s="80" t="str">
        <f>IF(COUNTIFS(TRANSACTIONS_MASTER!$C$5:$C$1204,$C$2)&gt;200,"⚠ Còn "&amp;(COUNTIFS(TRANSACTIONS_MASTER!$C$5:$C$1204,$C$2)-200)&amp;" giao dịch chưa hiển thị — xem TRANSACTIONS_MASTER","")</f>
        <v/>
      </c>
      <c r="I6" s="20" t="n"/>
      <c r="J6" s="20" t="n"/>
      <c r="K6" s="20" t="n"/>
      <c r="L6" s="20" t="n"/>
      <c r="M6" s="20" t="n"/>
      <c r="N6" s="20" t="n"/>
      <c r="O6" s="20" t="n"/>
      <c r="P6" s="20" t="n"/>
      <c r="T6" s="19" t="inlineStr">
        <is>
          <t>THEO DÕI CAP — TỪNG NHÓM CASHBACK (progress bar)</t>
        </is>
      </c>
      <c r="U6" s="20" t="n"/>
      <c r="V6" s="20" t="n"/>
      <c r="W6" s="20" t="n"/>
      <c r="X6" s="20" t="n"/>
      <c r="Y6" s="20" t="n"/>
      <c r="Z6" s="20" t="n"/>
      <c r="AA6" s="20" t="n"/>
    </row>
    <row r="7" ht="30" customHeight="1">
      <c r="A7" s="21" t="inlineStr">
        <is>
          <t>#</t>
        </is>
      </c>
      <c r="B7" s="21" t="inlineStr">
        <is>
          <t>Ngày</t>
        </is>
      </c>
      <c r="C7" s="21" t="inlineStr">
        <is>
          <t>Thẻ</t>
        </is>
      </c>
      <c r="D7" s="21" t="inlineStr">
        <is>
          <t>Ngân hàng</t>
        </is>
      </c>
      <c r="E7" s="21" t="inlineStr">
        <is>
          <t>Merchant</t>
        </is>
      </c>
      <c r="F7" s="21" t="inlineStr">
        <is>
          <t>MCC</t>
        </is>
      </c>
      <c r="G7" s="21" t="inlineStr">
        <is>
          <t>Danh mục</t>
        </is>
      </c>
      <c r="H7" s="21" t="inlineStr">
        <is>
          <t>Số tiền</t>
        </is>
      </c>
      <c r="I7" s="21" t="inlineStr">
        <is>
          <t>Cashback %</t>
        </is>
      </c>
      <c r="J7" s="21" t="inlineStr">
        <is>
          <t>Cashback tính toán</t>
        </is>
      </c>
      <c r="K7" s="21" t="inlineStr">
        <is>
          <t>Cashback thực nhận</t>
        </is>
      </c>
      <c r="L7" s="21" t="inlineStr">
        <is>
          <t>Cap danh mục</t>
        </is>
      </c>
      <c r="M7" s="21" t="inlineStr">
        <is>
          <t>Cap thẻ</t>
        </is>
      </c>
      <c r="N7" s="21" t="inlineStr">
        <is>
          <t>Cashback còn lại</t>
        </is>
      </c>
      <c r="O7" s="21" t="inlineStr">
        <is>
          <t>Trạng thái hoàn</t>
        </is>
      </c>
      <c r="P7" s="21" t="inlineStr">
        <is>
          <t>Nhóm cashback</t>
        </is>
      </c>
      <c r="Q7" s="21" t="inlineStr">
        <is>
          <t>⚙</t>
        </is>
      </c>
      <c r="S7" s="21" t="inlineStr">
        <is>
          <t>#</t>
        </is>
      </c>
      <c r="T7" s="21" t="inlineStr">
        <is>
          <t>Card ID</t>
        </is>
      </c>
      <c r="U7" s="21" t="inlineStr">
        <is>
          <t>Thẻ</t>
        </is>
      </c>
      <c r="V7" s="21" t="inlineStr">
        <is>
          <t>Nhóm</t>
        </is>
      </c>
      <c r="W7" s="21" t="inlineStr">
        <is>
          <t>Danh mục</t>
        </is>
      </c>
      <c r="X7" s="21" t="inlineStr">
        <is>
          <t>Đã cashback</t>
        </is>
      </c>
      <c r="Y7" s="21" t="inlineStr">
        <is>
          <t>Cap nhóm</t>
        </is>
      </c>
      <c r="Z7" s="21" t="inlineStr">
        <is>
          <t>Còn lại</t>
        </is>
      </c>
      <c r="AA7" s="21" t="inlineStr">
        <is>
          <t>Progress</t>
        </is>
      </c>
    </row>
    <row r="8" ht="20" customHeight="1">
      <c r="A8" s="81" t="str">
        <f>IF($Q8="","",1)</f>
        <v/>
      </c>
      <c r="B8" s="57" t="str">
        <f>IF($Q8="","",INDEX(TRANSACTIONS_MASTER!$B$5:$B$1204,$Q8))</f>
        <v/>
      </c>
      <c r="C8" s="55" t="str">
        <f>IF($Q8="","",INDEX(TRANSACTIONS_MASTER!$F$5:$F$1204,$Q8))</f>
        <v/>
      </c>
      <c r="D8" s="55" t="str">
        <f>IF($Q8="","",INDEX(TRANSACTIONS_MASTER!$E$5:$E$1204,$Q8))</f>
        <v/>
      </c>
      <c r="E8" s="55" t="str">
        <f>IF($Q8="","",INDEX(TRANSACTIONS_MASTER!$G$5:$G$1204,$Q8)&amp;"")</f>
        <v/>
      </c>
      <c r="F8" s="29" t="str">
        <f>IF($Q8="","",INDEX(TRANSACTIONS_MASTER!$I$5:$I$1204,$Q8))</f>
        <v/>
      </c>
      <c r="G8" s="55" t="str">
        <f>IF($Q8="","",INDEX(TRANSACTIONS_MASTER!$K$5:$K$1204,$Q8))</f>
        <v/>
      </c>
      <c r="H8" s="25" t="str">
        <f>IF($Q8="","",INDEX(TRANSACTIONS_MASTER!$L$5:$L$1204,$Q8))</f>
        <v/>
      </c>
      <c r="I8" s="56" t="str">
        <f>IF($Q8="","",INDEX(TRANSACTIONS_MASTER!$N$5:$N$1204,$Q8))</f>
        <v/>
      </c>
      <c r="J8" s="25" t="str">
        <f>IF($Q8="","",INDEX(TRANSACTIONS_MASTER!$O$5:$O$1204,$Q8))</f>
        <v/>
      </c>
      <c r="K8" s="26" t="str">
        <f>IF($Q8="","",INDEX(TRANSACTIONS_MASTER!$Q$5:$Q$1204,$Q8))</f>
        <v/>
      </c>
      <c r="L8" s="25" t="str">
        <f>IF($Q8="","",INDEX(TRANSACTIONS_MASTER!$P$5:$P$1204,$Q8))</f>
        <v/>
      </c>
      <c r="M8" s="25" t="str">
        <f>IF($Q8="","",INDEX(TRANSACTIONS_MASTER!$AA$5:$AA$1204,$Q8))</f>
        <v/>
      </c>
      <c r="N8" s="25" t="str">
        <f>IF($Q8="","",INDEX(TRANSACTIONS_MASTER!$R$5:$R$1204,$Q8))</f>
        <v/>
      </c>
      <c r="O8" s="28" t="str">
        <f>IF($Q8="","",INDEX(TRANSACTIONS_MASTER!$AB$5:$AB$1204,$Q8))</f>
        <v/>
      </c>
      <c r="P8" s="55" t="str">
        <f>IF($Q8="","",INDEX(TRANSACTIONS_MASTER!$Z$5:$Z$1204,$Q8)&amp;"")</f>
        <v/>
      </c>
      <c r="Q8" s="67" t="str">
        <f>IFERROR(MATCH($C$2&amp;"|"&amp;1,TRANSACTIONS_MASTER!$AE$5:$AE$1204,0),"")</f>
        <v/>
      </c>
      <c r="S8" s="67">
        <f>IFERROR(MATCH(1,CASHBACK_RULES!$S$5:$S$304,0),"")</f>
        <v>1</v>
      </c>
      <c r="T8" s="55" t="str">
        <f>IF($S8="","",INDEX(CASHBACK_RULES!$B$5:$B$304,$S8))</f>
        <v>VPB-JCBZ</v>
      </c>
      <c r="U8" s="55" t="str">
        <f>IF($S8="","",INDEX(CASHBACK_RULES!$C$5:$C$304,$S8)&amp;" "&amp;INDEX(CASHBACK_RULES!$D$5:$D$304,$S8))</f>
        <v>VPBank JCB Z Card</v>
      </c>
      <c r="V8" s="55" t="str">
        <f>IF($S8="","",INDEX(CASHBACK_RULES!$E$5:$E$304,$S8)&amp;"")</f>
        <v>Group 1</v>
      </c>
      <c r="W8" s="55" t="str">
        <f>IF($S8="","",INDEX(CASHBACK_RULES!$F$5:$F$304,$S8)&amp;"")</f>
        <v>Dining</v>
      </c>
      <c r="X8" s="26">
        <f>IF($S8="","",SUMIFS(TRANSACTIONS_MASTER!$Q$5:$Q$1204,TRANSACTIONS_MASTER!$D$5:$D$1204,$T8,TRANSACTIONS_MASTER!$Z$5:$Z$1204,$V8,TRANSACTIONS_MASTER!$C$5:$C$1204,$C$2))</f>
        <v>0</v>
      </c>
      <c r="Y8" s="25">
        <f>IF($S8="","",IF(ISNUMBER(INDEX(CASHBACK_RULES!$J$5:$J$304,$S8)),INDEX(CASHBACK_RULES!$J$5:$J$304,$S8),"∞"))</f>
        <v>500000</v>
      </c>
      <c r="Z8" s="25">
        <f>IF($S8="","",IF(ISNUMBER($Y8),MAX(0,$Y8-$X8),"∞"))</f>
        <v>500000</v>
      </c>
      <c r="AA8" s="27">
        <f>IF($S8="","",IF(ISNUMBER($Y8),IF($Y8=0,0,$X8/$Y8),""))</f>
        <v>0</v>
      </c>
    </row>
    <row r="9" ht="20" customHeight="1">
      <c r="A9" s="81" t="str">
        <f>IF($Q9="","",2)</f>
        <v/>
      </c>
      <c r="B9" s="57" t="str">
        <f>IF($Q9="","",INDEX(TRANSACTIONS_MASTER!$B$5:$B$1204,$Q9))</f>
        <v/>
      </c>
      <c r="C9" s="55" t="str">
        <f>IF($Q9="","",INDEX(TRANSACTIONS_MASTER!$F$5:$F$1204,$Q9))</f>
        <v/>
      </c>
      <c r="D9" s="55" t="str">
        <f>IF($Q9="","",INDEX(TRANSACTIONS_MASTER!$E$5:$E$1204,$Q9))</f>
        <v/>
      </c>
      <c r="E9" s="55" t="str">
        <f>IF($Q9="","",INDEX(TRANSACTIONS_MASTER!$G$5:$G$1204,$Q9)&amp;"")</f>
        <v/>
      </c>
      <c r="F9" s="29" t="str">
        <f>IF($Q9="","",INDEX(TRANSACTIONS_MASTER!$I$5:$I$1204,$Q9))</f>
        <v/>
      </c>
      <c r="G9" s="55" t="str">
        <f>IF($Q9="","",INDEX(TRANSACTIONS_MASTER!$K$5:$K$1204,$Q9))</f>
        <v/>
      </c>
      <c r="H9" s="25" t="str">
        <f>IF($Q9="","",INDEX(TRANSACTIONS_MASTER!$L$5:$L$1204,$Q9))</f>
        <v/>
      </c>
      <c r="I9" s="56" t="str">
        <f>IF($Q9="","",INDEX(TRANSACTIONS_MASTER!$N$5:$N$1204,$Q9))</f>
        <v/>
      </c>
      <c r="J9" s="25" t="str">
        <f>IF($Q9="","",INDEX(TRANSACTIONS_MASTER!$O$5:$O$1204,$Q9))</f>
        <v/>
      </c>
      <c r="K9" s="26" t="str">
        <f>IF($Q9="","",INDEX(TRANSACTIONS_MASTER!$Q$5:$Q$1204,$Q9))</f>
        <v/>
      </c>
      <c r="L9" s="25" t="str">
        <f>IF($Q9="","",INDEX(TRANSACTIONS_MASTER!$P$5:$P$1204,$Q9))</f>
        <v/>
      </c>
      <c r="M9" s="25" t="str">
        <f>IF($Q9="","",INDEX(TRANSACTIONS_MASTER!$AA$5:$AA$1204,$Q9))</f>
        <v/>
      </c>
      <c r="N9" s="25" t="str">
        <f>IF($Q9="","",INDEX(TRANSACTIONS_MASTER!$R$5:$R$1204,$Q9))</f>
        <v/>
      </c>
      <c r="O9" s="28" t="str">
        <f>IF($Q9="","",INDEX(TRANSACTIONS_MASTER!$AB$5:$AB$1204,$Q9))</f>
        <v/>
      </c>
      <c r="P9" s="55" t="str">
        <f>IF($Q9="","",INDEX(TRANSACTIONS_MASTER!$Z$5:$Z$1204,$Q9)&amp;"")</f>
        <v/>
      </c>
      <c r="Q9" s="67" t="str">
        <f>IFERROR(MATCH($C$2&amp;"|"&amp;2,TRANSACTIONS_MASTER!$AE$5:$AE$1204,0),"")</f>
        <v/>
      </c>
      <c r="S9" s="67">
        <f>IFERROR(MATCH(2,CASHBACK_RULES!$S$5:$S$304,0),"")</f>
        <v>5</v>
      </c>
      <c r="T9" s="55" t="str">
        <f>IF($S9="","",INDEX(CASHBACK_RULES!$B$5:$B$304,$S9))</f>
        <v>VPB-JCBZ</v>
      </c>
      <c r="U9" s="55" t="str">
        <f>IF($S9="","",INDEX(CASHBACK_RULES!$C$5:$C$304,$S9)&amp;" "&amp;INDEX(CASHBACK_RULES!$D$5:$D$304,$S9))</f>
        <v>VPBank JCB Z Card</v>
      </c>
      <c r="V9" s="55" t="str">
        <f>IF($S9="","",INDEX(CASHBACK_RULES!$E$5:$E$304,$S9)&amp;"")</f>
        <v>Group 2</v>
      </c>
      <c r="W9" s="55" t="str">
        <f>IF($S9="","",INDEX(CASHBACK_RULES!$F$5:$F$304,$S9)&amp;"")</f>
        <v>Entertainment / Fitness</v>
      </c>
      <c r="X9" s="26">
        <f>IF($S9="","",SUMIFS(TRANSACTIONS_MASTER!$Q$5:$Q$1204,TRANSACTIONS_MASTER!$D$5:$D$1204,$T9,TRANSACTIONS_MASTER!$Z$5:$Z$1204,$V9,TRANSACTIONS_MASTER!$C$5:$C$1204,$C$2))</f>
        <v>0</v>
      </c>
      <c r="Y9" s="25">
        <f>IF($S9="","",IF(ISNUMBER(INDEX(CASHBACK_RULES!$J$5:$J$304,$S9)),INDEX(CASHBACK_RULES!$J$5:$J$304,$S9),"∞"))</f>
        <v>500000</v>
      </c>
      <c r="Z9" s="25">
        <f>IF($S9="","",IF(ISNUMBER($Y9),MAX(0,$Y9-$X9),"∞"))</f>
        <v>500000</v>
      </c>
      <c r="AA9" s="27">
        <f>IF($S9="","",IF(ISNUMBER($Y9),IF($Y9=0,0,$X9/$Y9),""))</f>
        <v>0</v>
      </c>
    </row>
    <row r="10" ht="20" customHeight="1">
      <c r="A10" s="81" t="str">
        <f>IF($Q10="","",3)</f>
        <v/>
      </c>
      <c r="B10" s="57" t="str">
        <f>IF($Q10="","",INDEX(TRANSACTIONS_MASTER!$B$5:$B$1204,$Q10))</f>
        <v/>
      </c>
      <c r="C10" s="55" t="str">
        <f>IF($Q10="","",INDEX(TRANSACTIONS_MASTER!$F$5:$F$1204,$Q10))</f>
        <v/>
      </c>
      <c r="D10" s="55" t="str">
        <f>IF($Q10="","",INDEX(TRANSACTIONS_MASTER!$E$5:$E$1204,$Q10))</f>
        <v/>
      </c>
      <c r="E10" s="55" t="str">
        <f>IF($Q10="","",INDEX(TRANSACTIONS_MASTER!$G$5:$G$1204,$Q10)&amp;"")</f>
        <v/>
      </c>
      <c r="F10" s="29" t="str">
        <f>IF($Q10="","",INDEX(TRANSACTIONS_MASTER!$I$5:$I$1204,$Q10))</f>
        <v/>
      </c>
      <c r="G10" s="55" t="str">
        <f>IF($Q10="","",INDEX(TRANSACTIONS_MASTER!$K$5:$K$1204,$Q10))</f>
        <v/>
      </c>
      <c r="H10" s="25" t="str">
        <f>IF($Q10="","",INDEX(TRANSACTIONS_MASTER!$L$5:$L$1204,$Q10))</f>
        <v/>
      </c>
      <c r="I10" s="56" t="str">
        <f>IF($Q10="","",INDEX(TRANSACTIONS_MASTER!$N$5:$N$1204,$Q10))</f>
        <v/>
      </c>
      <c r="J10" s="25" t="str">
        <f>IF($Q10="","",INDEX(TRANSACTIONS_MASTER!$O$5:$O$1204,$Q10))</f>
        <v/>
      </c>
      <c r="K10" s="26" t="str">
        <f>IF($Q10="","",INDEX(TRANSACTIONS_MASTER!$Q$5:$Q$1204,$Q10))</f>
        <v/>
      </c>
      <c r="L10" s="25" t="str">
        <f>IF($Q10="","",INDEX(TRANSACTIONS_MASTER!$P$5:$P$1204,$Q10))</f>
        <v/>
      </c>
      <c r="M10" s="25" t="str">
        <f>IF($Q10="","",INDEX(TRANSACTIONS_MASTER!$AA$5:$AA$1204,$Q10))</f>
        <v/>
      </c>
      <c r="N10" s="25" t="str">
        <f>IF($Q10="","",INDEX(TRANSACTIONS_MASTER!$R$5:$R$1204,$Q10))</f>
        <v/>
      </c>
      <c r="O10" s="28" t="str">
        <f>IF($Q10="","",INDEX(TRANSACTIONS_MASTER!$AB$5:$AB$1204,$Q10))</f>
        <v/>
      </c>
      <c r="P10" s="55" t="str">
        <f>IF($Q10="","",INDEX(TRANSACTIONS_MASTER!$Z$5:$Z$1204,$Q10)&amp;"")</f>
        <v/>
      </c>
      <c r="Q10" s="67" t="str">
        <f>IFERROR(MATCH($C$2&amp;"|"&amp;3,TRANSACTIONS_MASTER!$AE$5:$AE$1204,0),"")</f>
        <v/>
      </c>
      <c r="S10" s="67">
        <f>IFERROR(MATCH(3,CASHBACK_RULES!$S$5:$S$304,0),"")</f>
        <v>9</v>
      </c>
      <c r="T10" s="55" t="str">
        <f>IF($S10="","",INDEX(CASHBACK_RULES!$B$5:$B$304,$S10))</f>
        <v>VPB-JCBZ</v>
      </c>
      <c r="U10" s="55" t="str">
        <f>IF($S10="","",INDEX(CASHBACK_RULES!$C$5:$C$304,$S10)&amp;" "&amp;INDEX(CASHBACK_RULES!$D$5:$D$304,$S10))</f>
        <v>VPBank JCB Z Card</v>
      </c>
      <c r="V10" s="55" t="str">
        <f>IF($S10="","",INDEX(CASHBACK_RULES!$E$5:$E$304,$S10)&amp;"")</f>
        <v>Group 3</v>
      </c>
      <c r="W10" s="55" t="str">
        <f>IF($S10="","",INDEX(CASHBACK_RULES!$F$5:$F$304,$S10)&amp;"")</f>
        <v>Transport / Food Delivery</v>
      </c>
      <c r="X10" s="26">
        <f>IF($S10="","",SUMIFS(TRANSACTIONS_MASTER!$Q$5:$Q$1204,TRANSACTIONS_MASTER!$D$5:$D$1204,$T10,TRANSACTIONS_MASTER!$Z$5:$Z$1204,$V10,TRANSACTIONS_MASTER!$C$5:$C$1204,$C$2))</f>
        <v>0</v>
      </c>
      <c r="Y10" s="25">
        <f>IF($S10="","",IF(ISNUMBER(INDEX(CASHBACK_RULES!$J$5:$J$304,$S10)),INDEX(CASHBACK_RULES!$J$5:$J$304,$S10),"∞"))</f>
        <v>500000</v>
      </c>
      <c r="Z10" s="25">
        <f>IF($S10="","",IF(ISNUMBER($Y10),MAX(0,$Y10-$X10),"∞"))</f>
        <v>500000</v>
      </c>
      <c r="AA10" s="27">
        <f>IF($S10="","",IF(ISNUMBER($Y10),IF($Y10=0,0,$X10/$Y10),""))</f>
        <v>0</v>
      </c>
    </row>
    <row r="11" ht="20" customHeight="1">
      <c r="A11" s="81" t="str">
        <f>IF($Q11="","",4)</f>
        <v/>
      </c>
      <c r="B11" s="57" t="str">
        <f>IF($Q11="","",INDEX(TRANSACTIONS_MASTER!$B$5:$B$1204,$Q11))</f>
        <v/>
      </c>
      <c r="C11" s="55" t="str">
        <f>IF($Q11="","",INDEX(TRANSACTIONS_MASTER!$F$5:$F$1204,$Q11))</f>
        <v/>
      </c>
      <c r="D11" s="55" t="str">
        <f>IF($Q11="","",INDEX(TRANSACTIONS_MASTER!$E$5:$E$1204,$Q11))</f>
        <v/>
      </c>
      <c r="E11" s="55" t="str">
        <f>IF($Q11="","",INDEX(TRANSACTIONS_MASTER!$G$5:$G$1204,$Q11)&amp;"")</f>
        <v/>
      </c>
      <c r="F11" s="29" t="str">
        <f>IF($Q11="","",INDEX(TRANSACTIONS_MASTER!$I$5:$I$1204,$Q11))</f>
        <v/>
      </c>
      <c r="G11" s="55" t="str">
        <f>IF($Q11="","",INDEX(TRANSACTIONS_MASTER!$K$5:$K$1204,$Q11))</f>
        <v/>
      </c>
      <c r="H11" s="25" t="str">
        <f>IF($Q11="","",INDEX(TRANSACTIONS_MASTER!$L$5:$L$1204,$Q11))</f>
        <v/>
      </c>
      <c r="I11" s="56" t="str">
        <f>IF($Q11="","",INDEX(TRANSACTIONS_MASTER!$N$5:$N$1204,$Q11))</f>
        <v/>
      </c>
      <c r="J11" s="25" t="str">
        <f>IF($Q11="","",INDEX(TRANSACTIONS_MASTER!$O$5:$O$1204,$Q11))</f>
        <v/>
      </c>
      <c r="K11" s="26" t="str">
        <f>IF($Q11="","",INDEX(TRANSACTIONS_MASTER!$Q$5:$Q$1204,$Q11))</f>
        <v/>
      </c>
      <c r="L11" s="25" t="str">
        <f>IF($Q11="","",INDEX(TRANSACTIONS_MASTER!$P$5:$P$1204,$Q11))</f>
        <v/>
      </c>
      <c r="M11" s="25" t="str">
        <f>IF($Q11="","",INDEX(TRANSACTIONS_MASTER!$AA$5:$AA$1204,$Q11))</f>
        <v/>
      </c>
      <c r="N11" s="25" t="str">
        <f>IF($Q11="","",INDEX(TRANSACTIONS_MASTER!$R$5:$R$1204,$Q11))</f>
        <v/>
      </c>
      <c r="O11" s="28" t="str">
        <f>IF($Q11="","",INDEX(TRANSACTIONS_MASTER!$AB$5:$AB$1204,$Q11))</f>
        <v/>
      </c>
      <c r="P11" s="55" t="str">
        <f>IF($Q11="","",INDEX(TRANSACTIONS_MASTER!$Z$5:$Z$1204,$Q11)&amp;"")</f>
        <v/>
      </c>
      <c r="Q11" s="67" t="str">
        <f>IFERROR(MATCH($C$2&amp;"|"&amp;4,TRANSACTIONS_MASTER!$AE$5:$AE$1204,0),"")</f>
        <v/>
      </c>
      <c r="S11" s="67">
        <f>IFERROR(MATCH(4,CASHBACK_RULES!$S$5:$S$304,0),"")</f>
        <v>11</v>
      </c>
      <c r="T11" s="55" t="str">
        <f>IF($S11="","",INDEX(CASHBACK_RULES!$B$5:$B$304,$S11))</f>
        <v>VIB-A</v>
      </c>
      <c r="U11" s="55" t="str">
        <f>IF($S11="","",INDEX(CASHBACK_RULES!$C$5:$C$304,$S11)&amp;" "&amp;INDEX(CASHBACK_RULES!$D$5:$D$304,$S11))</f>
        <v>VIB Cashback Demo A</v>
      </c>
      <c r="V11" s="55" t="str">
        <f>IF($S11="","",INDEX(CASHBACK_RULES!$E$5:$E$304,$S11)&amp;"")</f>
        <v>Group 1</v>
      </c>
      <c r="W11" s="55" t="str">
        <f>IF($S11="","",INDEX(CASHBACK_RULES!$F$5:$F$304,$S11)&amp;"")</f>
        <v>Groceries</v>
      </c>
      <c r="X11" s="26">
        <f>IF($S11="","",SUMIFS(TRANSACTIONS_MASTER!$Q$5:$Q$1204,TRANSACTIONS_MASTER!$D$5:$D$1204,$T11,TRANSACTIONS_MASTER!$Z$5:$Z$1204,$V11,TRANSACTIONS_MASTER!$C$5:$C$1204,$C$2))</f>
        <v>0</v>
      </c>
      <c r="Y11" s="25">
        <f>IF($S11="","",IF(ISNUMBER(INDEX(CASHBACK_RULES!$J$5:$J$304,$S11)),INDEX(CASHBACK_RULES!$J$5:$J$304,$S11),"∞"))</f>
        <v>500000</v>
      </c>
      <c r="Z11" s="25">
        <f>IF($S11="","",IF(ISNUMBER($Y11),MAX(0,$Y11-$X11),"∞"))</f>
        <v>500000</v>
      </c>
      <c r="AA11" s="27">
        <f>IF($S11="","",IF(ISNUMBER($Y11),IF($Y11=0,0,$X11/$Y11),""))</f>
        <v>0</v>
      </c>
    </row>
    <row r="12" ht="20" customHeight="1">
      <c r="A12" s="81" t="str">
        <f>IF($Q12="","",5)</f>
        <v/>
      </c>
      <c r="B12" s="57" t="str">
        <f>IF($Q12="","",INDEX(TRANSACTIONS_MASTER!$B$5:$B$1204,$Q12))</f>
        <v/>
      </c>
      <c r="C12" s="55" t="str">
        <f>IF($Q12="","",INDEX(TRANSACTIONS_MASTER!$F$5:$F$1204,$Q12))</f>
        <v/>
      </c>
      <c r="D12" s="55" t="str">
        <f>IF($Q12="","",INDEX(TRANSACTIONS_MASTER!$E$5:$E$1204,$Q12))</f>
        <v/>
      </c>
      <c r="E12" s="55" t="str">
        <f>IF($Q12="","",INDEX(TRANSACTIONS_MASTER!$G$5:$G$1204,$Q12)&amp;"")</f>
        <v/>
      </c>
      <c r="F12" s="29" t="str">
        <f>IF($Q12="","",INDEX(TRANSACTIONS_MASTER!$I$5:$I$1204,$Q12))</f>
        <v/>
      </c>
      <c r="G12" s="55" t="str">
        <f>IF($Q12="","",INDEX(TRANSACTIONS_MASTER!$K$5:$K$1204,$Q12))</f>
        <v/>
      </c>
      <c r="H12" s="25" t="str">
        <f>IF($Q12="","",INDEX(TRANSACTIONS_MASTER!$L$5:$L$1204,$Q12))</f>
        <v/>
      </c>
      <c r="I12" s="56" t="str">
        <f>IF($Q12="","",INDEX(TRANSACTIONS_MASTER!$N$5:$N$1204,$Q12))</f>
        <v/>
      </c>
      <c r="J12" s="25" t="str">
        <f>IF($Q12="","",INDEX(TRANSACTIONS_MASTER!$O$5:$O$1204,$Q12))</f>
        <v/>
      </c>
      <c r="K12" s="26" t="str">
        <f>IF($Q12="","",INDEX(TRANSACTIONS_MASTER!$Q$5:$Q$1204,$Q12))</f>
        <v/>
      </c>
      <c r="L12" s="25" t="str">
        <f>IF($Q12="","",INDEX(TRANSACTIONS_MASTER!$P$5:$P$1204,$Q12))</f>
        <v/>
      </c>
      <c r="M12" s="25" t="str">
        <f>IF($Q12="","",INDEX(TRANSACTIONS_MASTER!$AA$5:$AA$1204,$Q12))</f>
        <v/>
      </c>
      <c r="N12" s="25" t="str">
        <f>IF($Q12="","",INDEX(TRANSACTIONS_MASTER!$R$5:$R$1204,$Q12))</f>
        <v/>
      </c>
      <c r="O12" s="28" t="str">
        <f>IF($Q12="","",INDEX(TRANSACTIONS_MASTER!$AB$5:$AB$1204,$Q12))</f>
        <v/>
      </c>
      <c r="P12" s="55" t="str">
        <f>IF($Q12="","",INDEX(TRANSACTIONS_MASTER!$Z$5:$Z$1204,$Q12)&amp;"")</f>
        <v/>
      </c>
      <c r="Q12" s="67" t="str">
        <f>IFERROR(MATCH($C$2&amp;"|"&amp;5,TRANSACTIONS_MASTER!$AE$5:$AE$1204,0),"")</f>
        <v/>
      </c>
      <c r="S12" s="67">
        <f>IFERROR(MATCH(5,CASHBACK_RULES!$S$5:$S$304,0),"")</f>
        <v>13</v>
      </c>
      <c r="T12" s="55" t="str">
        <f>IF($S12="","",INDEX(CASHBACK_RULES!$B$5:$B$304,$S12))</f>
        <v>VIB-A</v>
      </c>
      <c r="U12" s="55" t="str">
        <f>IF($S12="","",INDEX(CASHBACK_RULES!$C$5:$C$304,$S12)&amp;" "&amp;INDEX(CASHBACK_RULES!$D$5:$D$304,$S12))</f>
        <v>VIB Cashback Demo A</v>
      </c>
      <c r="V12" s="55" t="str">
        <f>IF($S12="","",INDEX(CASHBACK_RULES!$E$5:$E$304,$S12)&amp;"")</f>
        <v>Group 2</v>
      </c>
      <c r="W12" s="55" t="str">
        <f>IF($S12="","",INDEX(CASHBACK_RULES!$F$5:$F$304,$S12)&amp;"")</f>
        <v>Shopping</v>
      </c>
      <c r="X12" s="26">
        <f>IF($S12="","",SUMIFS(TRANSACTIONS_MASTER!$Q$5:$Q$1204,TRANSACTIONS_MASTER!$D$5:$D$1204,$T12,TRANSACTIONS_MASTER!$Z$5:$Z$1204,$V12,TRANSACTIONS_MASTER!$C$5:$C$1204,$C$2))</f>
        <v>0</v>
      </c>
      <c r="Y12" s="25">
        <f>IF($S12="","",IF(ISNUMBER(INDEX(CASHBACK_RULES!$J$5:$J$304,$S12)),INDEX(CASHBACK_RULES!$J$5:$J$304,$S12),"∞"))</f>
        <v>500000</v>
      </c>
      <c r="Z12" s="25">
        <f>IF($S12="","",IF(ISNUMBER($Y12),MAX(0,$Y12-$X12),"∞"))</f>
        <v>500000</v>
      </c>
      <c r="AA12" s="27">
        <f>IF($S12="","",IF(ISNUMBER($Y12),IF($Y12=0,0,$X12/$Y12),""))</f>
        <v>0</v>
      </c>
    </row>
    <row r="13" ht="20" customHeight="1">
      <c r="A13" s="81" t="str">
        <f>IF($Q13="","",6)</f>
        <v/>
      </c>
      <c r="B13" s="57" t="str">
        <f>IF($Q13="","",INDEX(TRANSACTIONS_MASTER!$B$5:$B$1204,$Q13))</f>
        <v/>
      </c>
      <c r="C13" s="55" t="str">
        <f>IF($Q13="","",INDEX(TRANSACTIONS_MASTER!$F$5:$F$1204,$Q13))</f>
        <v/>
      </c>
      <c r="D13" s="55" t="str">
        <f>IF($Q13="","",INDEX(TRANSACTIONS_MASTER!$E$5:$E$1204,$Q13))</f>
        <v/>
      </c>
      <c r="E13" s="55" t="str">
        <f>IF($Q13="","",INDEX(TRANSACTIONS_MASTER!$G$5:$G$1204,$Q13)&amp;"")</f>
        <v/>
      </c>
      <c r="F13" s="29" t="str">
        <f>IF($Q13="","",INDEX(TRANSACTIONS_MASTER!$I$5:$I$1204,$Q13))</f>
        <v/>
      </c>
      <c r="G13" s="55" t="str">
        <f>IF($Q13="","",INDEX(TRANSACTIONS_MASTER!$K$5:$K$1204,$Q13))</f>
        <v/>
      </c>
      <c r="H13" s="25" t="str">
        <f>IF($Q13="","",INDEX(TRANSACTIONS_MASTER!$L$5:$L$1204,$Q13))</f>
        <v/>
      </c>
      <c r="I13" s="56" t="str">
        <f>IF($Q13="","",INDEX(TRANSACTIONS_MASTER!$N$5:$N$1204,$Q13))</f>
        <v/>
      </c>
      <c r="J13" s="25" t="str">
        <f>IF($Q13="","",INDEX(TRANSACTIONS_MASTER!$O$5:$O$1204,$Q13))</f>
        <v/>
      </c>
      <c r="K13" s="26" t="str">
        <f>IF($Q13="","",INDEX(TRANSACTIONS_MASTER!$Q$5:$Q$1204,$Q13))</f>
        <v/>
      </c>
      <c r="L13" s="25" t="str">
        <f>IF($Q13="","",INDEX(TRANSACTIONS_MASTER!$P$5:$P$1204,$Q13))</f>
        <v/>
      </c>
      <c r="M13" s="25" t="str">
        <f>IF($Q13="","",INDEX(TRANSACTIONS_MASTER!$AA$5:$AA$1204,$Q13))</f>
        <v/>
      </c>
      <c r="N13" s="25" t="str">
        <f>IF($Q13="","",INDEX(TRANSACTIONS_MASTER!$R$5:$R$1204,$Q13))</f>
        <v/>
      </c>
      <c r="O13" s="28" t="str">
        <f>IF($Q13="","",INDEX(TRANSACTIONS_MASTER!$AB$5:$AB$1204,$Q13))</f>
        <v/>
      </c>
      <c r="P13" s="55" t="str">
        <f>IF($Q13="","",INDEX(TRANSACTIONS_MASTER!$Z$5:$Z$1204,$Q13)&amp;"")</f>
        <v/>
      </c>
      <c r="Q13" s="67" t="str">
        <f>IFERROR(MATCH($C$2&amp;"|"&amp;6,TRANSACTIONS_MASTER!$AE$5:$AE$1204,0),"")</f>
        <v/>
      </c>
      <c r="S13" s="67">
        <f>IFERROR(MATCH(6,CASHBACK_RULES!$S$5:$S$304,0),"")</f>
        <v>15</v>
      </c>
      <c r="T13" s="55" t="str">
        <f>IF($S13="","",INDEX(CASHBACK_RULES!$B$5:$B$304,$S13))</f>
        <v>TCB-B</v>
      </c>
      <c r="U13" s="55" t="str">
        <f>IF($S13="","",INDEX(CASHBACK_RULES!$C$5:$C$304,$S13)&amp;" "&amp;INDEX(CASHBACK_RULES!$D$5:$D$304,$S13))</f>
        <v>Techcombank Cashback Demo B</v>
      </c>
      <c r="V13" s="55" t="str">
        <f>IF($S13="","",INDEX(CASHBACK_RULES!$E$5:$E$304,$S13)&amp;"")</f>
        <v>Group 1</v>
      </c>
      <c r="W13" s="55" t="str">
        <f>IF($S13="","",INDEX(CASHBACK_RULES!$F$5:$F$304,$S13)&amp;"")</f>
        <v>Fuel &amp; Transport</v>
      </c>
      <c r="X13" s="26">
        <f>IF($S13="","",SUMIFS(TRANSACTIONS_MASTER!$Q$5:$Q$1204,TRANSACTIONS_MASTER!$D$5:$D$1204,$T13,TRANSACTIONS_MASTER!$Z$5:$Z$1204,$V13,TRANSACTIONS_MASTER!$C$5:$C$1204,$C$2))</f>
        <v>0</v>
      </c>
      <c r="Y13" s="25">
        <f>IF($S13="","",IF(ISNUMBER(INDEX(CASHBACK_RULES!$J$5:$J$304,$S13)),INDEX(CASHBACK_RULES!$J$5:$J$304,$S13),"∞"))</f>
        <v>300000</v>
      </c>
      <c r="Z13" s="25">
        <f>IF($S13="","",IF(ISNUMBER($Y13),MAX(0,$Y13-$X13),"∞"))</f>
        <v>300000</v>
      </c>
      <c r="AA13" s="27">
        <f>IF($S13="","",IF(ISNUMBER($Y13),IF($Y13=0,0,$X13/$Y13),""))</f>
        <v>0</v>
      </c>
    </row>
    <row r="14" ht="20" customHeight="1">
      <c r="A14" s="81" t="str">
        <f>IF($Q14="","",7)</f>
        <v/>
      </c>
      <c r="B14" s="57" t="str">
        <f>IF($Q14="","",INDEX(TRANSACTIONS_MASTER!$B$5:$B$1204,$Q14))</f>
        <v/>
      </c>
      <c r="C14" s="55" t="str">
        <f>IF($Q14="","",INDEX(TRANSACTIONS_MASTER!$F$5:$F$1204,$Q14))</f>
        <v/>
      </c>
      <c r="D14" s="55" t="str">
        <f>IF($Q14="","",INDEX(TRANSACTIONS_MASTER!$E$5:$E$1204,$Q14))</f>
        <v/>
      </c>
      <c r="E14" s="55" t="str">
        <f>IF($Q14="","",INDEX(TRANSACTIONS_MASTER!$G$5:$G$1204,$Q14)&amp;"")</f>
        <v/>
      </c>
      <c r="F14" s="29" t="str">
        <f>IF($Q14="","",INDEX(TRANSACTIONS_MASTER!$I$5:$I$1204,$Q14))</f>
        <v/>
      </c>
      <c r="G14" s="55" t="str">
        <f>IF($Q14="","",INDEX(TRANSACTIONS_MASTER!$K$5:$K$1204,$Q14))</f>
        <v/>
      </c>
      <c r="H14" s="25" t="str">
        <f>IF($Q14="","",INDEX(TRANSACTIONS_MASTER!$L$5:$L$1204,$Q14))</f>
        <v/>
      </c>
      <c r="I14" s="56" t="str">
        <f>IF($Q14="","",INDEX(TRANSACTIONS_MASTER!$N$5:$N$1204,$Q14))</f>
        <v/>
      </c>
      <c r="J14" s="25" t="str">
        <f>IF($Q14="","",INDEX(TRANSACTIONS_MASTER!$O$5:$O$1204,$Q14))</f>
        <v/>
      </c>
      <c r="K14" s="26" t="str">
        <f>IF($Q14="","",INDEX(TRANSACTIONS_MASTER!$Q$5:$Q$1204,$Q14))</f>
        <v/>
      </c>
      <c r="L14" s="25" t="str">
        <f>IF($Q14="","",INDEX(TRANSACTIONS_MASTER!$P$5:$P$1204,$Q14))</f>
        <v/>
      </c>
      <c r="M14" s="25" t="str">
        <f>IF($Q14="","",INDEX(TRANSACTIONS_MASTER!$AA$5:$AA$1204,$Q14))</f>
        <v/>
      </c>
      <c r="N14" s="25" t="str">
        <f>IF($Q14="","",INDEX(TRANSACTIONS_MASTER!$R$5:$R$1204,$Q14))</f>
        <v/>
      </c>
      <c r="O14" s="28" t="str">
        <f>IF($Q14="","",INDEX(TRANSACTIONS_MASTER!$AB$5:$AB$1204,$Q14))</f>
        <v/>
      </c>
      <c r="P14" s="55" t="str">
        <f>IF($Q14="","",INDEX(TRANSACTIONS_MASTER!$Z$5:$Z$1204,$Q14)&amp;"")</f>
        <v/>
      </c>
      <c r="Q14" s="67" t="str">
        <f>IFERROR(MATCH($C$2&amp;"|"&amp;7,TRANSACTIONS_MASTER!$AE$5:$AE$1204,0),"")</f>
        <v/>
      </c>
      <c r="S14" s="67">
        <f>IFERROR(MATCH(7,CASHBACK_RULES!$S$5:$S$304,0),"")</f>
        <v>18</v>
      </c>
      <c r="T14" s="55" t="str">
        <f>IF($S14="","",INDEX(CASHBACK_RULES!$B$5:$B$304,$S14))</f>
        <v>TCB-B</v>
      </c>
      <c r="U14" s="55" t="str">
        <f>IF($S14="","",INDEX(CASHBACK_RULES!$C$5:$C$304,$S14)&amp;" "&amp;INDEX(CASHBACK_RULES!$D$5:$D$304,$S14))</f>
        <v>Techcombank Cashback Demo B</v>
      </c>
      <c r="V14" s="55" t="str">
        <f>IF($S14="","",INDEX(CASHBACK_RULES!$E$5:$E$304,$S14)&amp;"")</f>
        <v>Group 2</v>
      </c>
      <c r="W14" s="55" t="str">
        <f>IF($S14="","",INDEX(CASHBACK_RULES!$F$5:$F$304,$S14)&amp;"")</f>
        <v>Healthcare</v>
      </c>
      <c r="X14" s="26">
        <f>IF($S14="","",SUMIFS(TRANSACTIONS_MASTER!$Q$5:$Q$1204,TRANSACTIONS_MASTER!$D$5:$D$1204,$T14,TRANSACTIONS_MASTER!$Z$5:$Z$1204,$V14,TRANSACTIONS_MASTER!$C$5:$C$1204,$C$2))</f>
        <v>0</v>
      </c>
      <c r="Y14" s="25">
        <f>IF($S14="","",IF(ISNUMBER(INDEX(CASHBACK_RULES!$J$5:$J$304,$S14)),INDEX(CASHBACK_RULES!$J$5:$J$304,$S14),"∞"))</f>
        <v>300000</v>
      </c>
      <c r="Z14" s="25">
        <f>IF($S14="","",IF(ISNUMBER($Y14),MAX(0,$Y14-$X14),"∞"))</f>
        <v>300000</v>
      </c>
      <c r="AA14" s="27">
        <f>IF($S14="","",IF(ISNUMBER($Y14),IF($Y14=0,0,$X14/$Y14),""))</f>
        <v>0</v>
      </c>
    </row>
    <row r="15" ht="20" customHeight="1">
      <c r="A15" s="81" t="str">
        <f>IF($Q15="","",8)</f>
        <v/>
      </c>
      <c r="B15" s="57" t="str">
        <f>IF($Q15="","",INDEX(TRANSACTIONS_MASTER!$B$5:$B$1204,$Q15))</f>
        <v/>
      </c>
      <c r="C15" s="55" t="str">
        <f>IF($Q15="","",INDEX(TRANSACTIONS_MASTER!$F$5:$F$1204,$Q15))</f>
        <v/>
      </c>
      <c r="D15" s="55" t="str">
        <f>IF($Q15="","",INDEX(TRANSACTIONS_MASTER!$E$5:$E$1204,$Q15))</f>
        <v/>
      </c>
      <c r="E15" s="55" t="str">
        <f>IF($Q15="","",INDEX(TRANSACTIONS_MASTER!$G$5:$G$1204,$Q15)&amp;"")</f>
        <v/>
      </c>
      <c r="F15" s="29" t="str">
        <f>IF($Q15="","",INDEX(TRANSACTIONS_MASTER!$I$5:$I$1204,$Q15))</f>
        <v/>
      </c>
      <c r="G15" s="55" t="str">
        <f>IF($Q15="","",INDEX(TRANSACTIONS_MASTER!$K$5:$K$1204,$Q15))</f>
        <v/>
      </c>
      <c r="H15" s="25" t="str">
        <f>IF($Q15="","",INDEX(TRANSACTIONS_MASTER!$L$5:$L$1204,$Q15))</f>
        <v/>
      </c>
      <c r="I15" s="56" t="str">
        <f>IF($Q15="","",INDEX(TRANSACTIONS_MASTER!$N$5:$N$1204,$Q15))</f>
        <v/>
      </c>
      <c r="J15" s="25" t="str">
        <f>IF($Q15="","",INDEX(TRANSACTIONS_MASTER!$O$5:$O$1204,$Q15))</f>
        <v/>
      </c>
      <c r="K15" s="26" t="str">
        <f>IF($Q15="","",INDEX(TRANSACTIONS_MASTER!$Q$5:$Q$1204,$Q15))</f>
        <v/>
      </c>
      <c r="L15" s="25" t="str">
        <f>IF($Q15="","",INDEX(TRANSACTIONS_MASTER!$P$5:$P$1204,$Q15))</f>
        <v/>
      </c>
      <c r="M15" s="25" t="str">
        <f>IF($Q15="","",INDEX(TRANSACTIONS_MASTER!$AA$5:$AA$1204,$Q15))</f>
        <v/>
      </c>
      <c r="N15" s="25" t="str">
        <f>IF($Q15="","",INDEX(TRANSACTIONS_MASTER!$R$5:$R$1204,$Q15))</f>
        <v/>
      </c>
      <c r="O15" s="28" t="str">
        <f>IF($Q15="","",INDEX(TRANSACTIONS_MASTER!$AB$5:$AB$1204,$Q15))</f>
        <v/>
      </c>
      <c r="P15" s="55" t="str">
        <f>IF($Q15="","",INDEX(TRANSACTIONS_MASTER!$Z$5:$Z$1204,$Q15)&amp;"")</f>
        <v/>
      </c>
      <c r="Q15" s="67" t="str">
        <f>IFERROR(MATCH($C$2&amp;"|"&amp;8,TRANSACTIONS_MASTER!$AE$5:$AE$1204,0),"")</f>
        <v/>
      </c>
      <c r="S15" s="67">
        <f>IFERROR(MATCH(8,CASHBACK_RULES!$S$5:$S$304,0),"")</f>
        <v>20</v>
      </c>
      <c r="T15" s="55" t="str">
        <f>IF($S15="","",INDEX(CASHBACK_RULES!$B$5:$B$304,$S15))</f>
        <v>TCB-B</v>
      </c>
      <c r="U15" s="55" t="str">
        <f>IF($S15="","",INDEX(CASHBACK_RULES!$C$5:$C$304,$S15)&amp;" "&amp;INDEX(CASHBACK_RULES!$D$5:$D$304,$S15))</f>
        <v>Techcombank Cashback Demo B</v>
      </c>
      <c r="V15" s="55" t="str">
        <f>IF($S15="","",INDEX(CASHBACK_RULES!$E$5:$E$304,$S15)&amp;"")</f>
        <v>Group 3</v>
      </c>
      <c r="W15" s="55" t="str">
        <f>IF($S15="","",INDEX(CASHBACK_RULES!$F$5:$F$304,$S15)&amp;"")</f>
        <v>Utilities &amp; Telecom</v>
      </c>
      <c r="X15" s="26">
        <f>IF($S15="","",SUMIFS(TRANSACTIONS_MASTER!$Q$5:$Q$1204,TRANSACTIONS_MASTER!$D$5:$D$1204,$T15,TRANSACTIONS_MASTER!$Z$5:$Z$1204,$V15,TRANSACTIONS_MASTER!$C$5:$C$1204,$C$2))</f>
        <v>0</v>
      </c>
      <c r="Y15" s="25">
        <f>IF($S15="","",IF(ISNUMBER(INDEX(CASHBACK_RULES!$J$5:$J$304,$S15)),INDEX(CASHBACK_RULES!$J$5:$J$304,$S15),"∞"))</f>
        <v>300000</v>
      </c>
      <c r="Z15" s="25">
        <f>IF($S15="","",IF(ISNUMBER($Y15),MAX(0,$Y15-$X15),"∞"))</f>
        <v>300000</v>
      </c>
      <c r="AA15" s="27">
        <f>IF($S15="","",IF(ISNUMBER($Y15),IF($Y15=0,0,$X15/$Y15),""))</f>
        <v>0</v>
      </c>
    </row>
    <row r="16" ht="20" customHeight="1">
      <c r="A16" s="81" t="str">
        <f>IF($Q16="","",9)</f>
        <v/>
      </c>
      <c r="B16" s="57" t="str">
        <f>IF($Q16="","",INDEX(TRANSACTIONS_MASTER!$B$5:$B$1204,$Q16))</f>
        <v/>
      </c>
      <c r="C16" s="55" t="str">
        <f>IF($Q16="","",INDEX(TRANSACTIONS_MASTER!$F$5:$F$1204,$Q16))</f>
        <v/>
      </c>
      <c r="D16" s="55" t="str">
        <f>IF($Q16="","",INDEX(TRANSACTIONS_MASTER!$E$5:$E$1204,$Q16))</f>
        <v/>
      </c>
      <c r="E16" s="55" t="str">
        <f>IF($Q16="","",INDEX(TRANSACTIONS_MASTER!$G$5:$G$1204,$Q16)&amp;"")</f>
        <v/>
      </c>
      <c r="F16" s="29" t="str">
        <f>IF($Q16="","",INDEX(TRANSACTIONS_MASTER!$I$5:$I$1204,$Q16))</f>
        <v/>
      </c>
      <c r="G16" s="55" t="str">
        <f>IF($Q16="","",INDEX(TRANSACTIONS_MASTER!$K$5:$K$1204,$Q16))</f>
        <v/>
      </c>
      <c r="H16" s="25" t="str">
        <f>IF($Q16="","",INDEX(TRANSACTIONS_MASTER!$L$5:$L$1204,$Q16))</f>
        <v/>
      </c>
      <c r="I16" s="56" t="str">
        <f>IF($Q16="","",INDEX(TRANSACTIONS_MASTER!$N$5:$N$1204,$Q16))</f>
        <v/>
      </c>
      <c r="J16" s="25" t="str">
        <f>IF($Q16="","",INDEX(TRANSACTIONS_MASTER!$O$5:$O$1204,$Q16))</f>
        <v/>
      </c>
      <c r="K16" s="26" t="str">
        <f>IF($Q16="","",INDEX(TRANSACTIONS_MASTER!$Q$5:$Q$1204,$Q16))</f>
        <v/>
      </c>
      <c r="L16" s="25" t="str">
        <f>IF($Q16="","",INDEX(TRANSACTIONS_MASTER!$P$5:$P$1204,$Q16))</f>
        <v/>
      </c>
      <c r="M16" s="25" t="str">
        <f>IF($Q16="","",INDEX(TRANSACTIONS_MASTER!$AA$5:$AA$1204,$Q16))</f>
        <v/>
      </c>
      <c r="N16" s="25" t="str">
        <f>IF($Q16="","",INDEX(TRANSACTIONS_MASTER!$R$5:$R$1204,$Q16))</f>
        <v/>
      </c>
      <c r="O16" s="28" t="str">
        <f>IF($Q16="","",INDEX(TRANSACTIONS_MASTER!$AB$5:$AB$1204,$Q16))</f>
        <v/>
      </c>
      <c r="P16" s="55" t="str">
        <f>IF($Q16="","",INDEX(TRANSACTIONS_MASTER!$Z$5:$Z$1204,$Q16)&amp;"")</f>
        <v/>
      </c>
      <c r="Q16" s="67" t="str">
        <f>IFERROR(MATCH($C$2&amp;"|"&amp;9,TRANSACTIONS_MASTER!$AE$5:$AE$1204,0),"")</f>
        <v/>
      </c>
      <c r="S16" s="67">
        <f>IFERROR(MATCH(9,CASHBACK_RULES!$S$5:$S$304,0),"")</f>
        <v>22</v>
      </c>
      <c r="T16" s="55" t="str">
        <f>IF($S16="","",INDEX(CASHBACK_RULES!$B$5:$B$304,$S16))</f>
        <v>UOB-C</v>
      </c>
      <c r="U16" s="55" t="str">
        <f>IF($S16="","",INDEX(CASHBACK_RULES!$C$5:$C$304,$S16)&amp;" "&amp;INDEX(CASHBACK_RULES!$D$5:$D$304,$S16))</f>
        <v>UOB Cashback Demo C</v>
      </c>
      <c r="V16" s="55" t="str">
        <f>IF($S16="","",INDEX(CASHBACK_RULES!$E$5:$E$304,$S16)&amp;"")</f>
        <v>Group 1</v>
      </c>
      <c r="W16" s="55" t="str">
        <f>IF($S16="","",INDEX(CASHBACK_RULES!$F$5:$F$304,$S16)&amp;"")</f>
        <v>Dining</v>
      </c>
      <c r="X16" s="26">
        <f>IF($S16="","",SUMIFS(TRANSACTIONS_MASTER!$Q$5:$Q$1204,TRANSACTIONS_MASTER!$D$5:$D$1204,$T16,TRANSACTIONS_MASTER!$Z$5:$Z$1204,$V16,TRANSACTIONS_MASTER!$C$5:$C$1204,$C$2))</f>
        <v>0</v>
      </c>
      <c r="Y16" s="25">
        <f>IF($S16="","",IF(ISNUMBER(INDEX(CASHBACK_RULES!$J$5:$J$304,$S16)),INDEX(CASHBACK_RULES!$J$5:$J$304,$S16),"∞"))</f>
        <v>1000000</v>
      </c>
      <c r="Z16" s="25">
        <f>IF($S16="","",IF(ISNUMBER($Y16),MAX(0,$Y16-$X16),"∞"))</f>
        <v>1000000</v>
      </c>
      <c r="AA16" s="27">
        <f>IF($S16="","",IF(ISNUMBER($Y16),IF($Y16=0,0,$X16/$Y16),""))</f>
        <v>0</v>
      </c>
    </row>
    <row r="17" ht="20" customHeight="1">
      <c r="A17" s="81" t="str">
        <f>IF($Q17="","",10)</f>
        <v/>
      </c>
      <c r="B17" s="57" t="str">
        <f>IF($Q17="","",INDEX(TRANSACTIONS_MASTER!$B$5:$B$1204,$Q17))</f>
        <v/>
      </c>
      <c r="C17" s="55" t="str">
        <f>IF($Q17="","",INDEX(TRANSACTIONS_MASTER!$F$5:$F$1204,$Q17))</f>
        <v/>
      </c>
      <c r="D17" s="55" t="str">
        <f>IF($Q17="","",INDEX(TRANSACTIONS_MASTER!$E$5:$E$1204,$Q17))</f>
        <v/>
      </c>
      <c r="E17" s="55" t="str">
        <f>IF($Q17="","",INDEX(TRANSACTIONS_MASTER!$G$5:$G$1204,$Q17)&amp;"")</f>
        <v/>
      </c>
      <c r="F17" s="29" t="str">
        <f>IF($Q17="","",INDEX(TRANSACTIONS_MASTER!$I$5:$I$1204,$Q17))</f>
        <v/>
      </c>
      <c r="G17" s="55" t="str">
        <f>IF($Q17="","",INDEX(TRANSACTIONS_MASTER!$K$5:$K$1204,$Q17))</f>
        <v/>
      </c>
      <c r="H17" s="25" t="str">
        <f>IF($Q17="","",INDEX(TRANSACTIONS_MASTER!$L$5:$L$1204,$Q17))</f>
        <v/>
      </c>
      <c r="I17" s="56" t="str">
        <f>IF($Q17="","",INDEX(TRANSACTIONS_MASTER!$N$5:$N$1204,$Q17))</f>
        <v/>
      </c>
      <c r="J17" s="25" t="str">
        <f>IF($Q17="","",INDEX(TRANSACTIONS_MASTER!$O$5:$O$1204,$Q17))</f>
        <v/>
      </c>
      <c r="K17" s="26" t="str">
        <f>IF($Q17="","",INDEX(TRANSACTIONS_MASTER!$Q$5:$Q$1204,$Q17))</f>
        <v/>
      </c>
      <c r="L17" s="25" t="str">
        <f>IF($Q17="","",INDEX(TRANSACTIONS_MASTER!$P$5:$P$1204,$Q17))</f>
        <v/>
      </c>
      <c r="M17" s="25" t="str">
        <f>IF($Q17="","",INDEX(TRANSACTIONS_MASTER!$AA$5:$AA$1204,$Q17))</f>
        <v/>
      </c>
      <c r="N17" s="25" t="str">
        <f>IF($Q17="","",INDEX(TRANSACTIONS_MASTER!$R$5:$R$1204,$Q17))</f>
        <v/>
      </c>
      <c r="O17" s="28" t="str">
        <f>IF($Q17="","",INDEX(TRANSACTIONS_MASTER!$AB$5:$AB$1204,$Q17))</f>
        <v/>
      </c>
      <c r="P17" s="55" t="str">
        <f>IF($Q17="","",INDEX(TRANSACTIONS_MASTER!$Z$5:$Z$1204,$Q17)&amp;"")</f>
        <v/>
      </c>
      <c r="Q17" s="67" t="str">
        <f>IFERROR(MATCH($C$2&amp;"|"&amp;10,TRANSACTIONS_MASTER!$AE$5:$AE$1204,0),"")</f>
        <v/>
      </c>
      <c r="S17" s="67">
        <f>IFERROR(MATCH(10,CASHBACK_RULES!$S$5:$S$304,0),"")</f>
        <v>24</v>
      </c>
      <c r="T17" s="55" t="str">
        <f>IF($S17="","",INDEX(CASHBACK_RULES!$B$5:$B$304,$S17))</f>
        <v>MB-D</v>
      </c>
      <c r="U17" s="55" t="str">
        <f>IF($S17="","",INDEX(CASHBACK_RULES!$C$5:$C$304,$S17)&amp;" "&amp;INDEX(CASHBACK_RULES!$D$5:$D$304,$S17))</f>
        <v>MB Cashback Demo D</v>
      </c>
      <c r="V17" s="55" t="str">
        <f>IF($S17="","",INDEX(CASHBACK_RULES!$E$5:$E$304,$S17)&amp;"")</f>
        <v>Dining</v>
      </c>
      <c r="W17" s="55" t="str">
        <f>IF($S17="","",INDEX(CASHBACK_RULES!$F$5:$F$304,$S17)&amp;"")</f>
        <v>Dining</v>
      </c>
      <c r="X17" s="26">
        <f>IF($S17="","",SUMIFS(TRANSACTIONS_MASTER!$Q$5:$Q$1204,TRANSACTIONS_MASTER!$D$5:$D$1204,$T17,TRANSACTIONS_MASTER!$Z$5:$Z$1204,$V17,TRANSACTIONS_MASTER!$C$5:$C$1204,$C$2))</f>
        <v>0</v>
      </c>
      <c r="Y17" s="25">
        <f>IF($S17="","",IF(ISNUMBER(INDEX(CASHBACK_RULES!$J$5:$J$304,$S17)),INDEX(CASHBACK_RULES!$J$5:$J$304,$S17),"∞"))</f>
        <v>500000</v>
      </c>
      <c r="Z17" s="25">
        <f>IF($S17="","",IF(ISNUMBER($Y17),MAX(0,$Y17-$X17),"∞"))</f>
        <v>500000</v>
      </c>
      <c r="AA17" s="27">
        <f>IF($S17="","",IF(ISNUMBER($Y17),IF($Y17=0,0,$X17/$Y17),""))</f>
        <v>0</v>
      </c>
    </row>
    <row r="18" ht="20" customHeight="1">
      <c r="A18" s="81" t="str">
        <f>IF($Q18="","",11)</f>
        <v/>
      </c>
      <c r="B18" s="57" t="str">
        <f>IF($Q18="","",INDEX(TRANSACTIONS_MASTER!$B$5:$B$1204,$Q18))</f>
        <v/>
      </c>
      <c r="C18" s="55" t="str">
        <f>IF($Q18="","",INDEX(TRANSACTIONS_MASTER!$F$5:$F$1204,$Q18))</f>
        <v/>
      </c>
      <c r="D18" s="55" t="str">
        <f>IF($Q18="","",INDEX(TRANSACTIONS_MASTER!$E$5:$E$1204,$Q18))</f>
        <v/>
      </c>
      <c r="E18" s="55" t="str">
        <f>IF($Q18="","",INDEX(TRANSACTIONS_MASTER!$G$5:$G$1204,$Q18)&amp;"")</f>
        <v/>
      </c>
      <c r="F18" s="29" t="str">
        <f>IF($Q18="","",INDEX(TRANSACTIONS_MASTER!$I$5:$I$1204,$Q18))</f>
        <v/>
      </c>
      <c r="G18" s="55" t="str">
        <f>IF($Q18="","",INDEX(TRANSACTIONS_MASTER!$K$5:$K$1204,$Q18))</f>
        <v/>
      </c>
      <c r="H18" s="25" t="str">
        <f>IF($Q18="","",INDEX(TRANSACTIONS_MASTER!$L$5:$L$1204,$Q18))</f>
        <v/>
      </c>
      <c r="I18" s="56" t="str">
        <f>IF($Q18="","",INDEX(TRANSACTIONS_MASTER!$N$5:$N$1204,$Q18))</f>
        <v/>
      </c>
      <c r="J18" s="25" t="str">
        <f>IF($Q18="","",INDEX(TRANSACTIONS_MASTER!$O$5:$O$1204,$Q18))</f>
        <v/>
      </c>
      <c r="K18" s="26" t="str">
        <f>IF($Q18="","",INDEX(TRANSACTIONS_MASTER!$Q$5:$Q$1204,$Q18))</f>
        <v/>
      </c>
      <c r="L18" s="25" t="str">
        <f>IF($Q18="","",INDEX(TRANSACTIONS_MASTER!$P$5:$P$1204,$Q18))</f>
        <v/>
      </c>
      <c r="M18" s="25" t="str">
        <f>IF($Q18="","",INDEX(TRANSACTIONS_MASTER!$AA$5:$AA$1204,$Q18))</f>
        <v/>
      </c>
      <c r="N18" s="25" t="str">
        <f>IF($Q18="","",INDEX(TRANSACTIONS_MASTER!$R$5:$R$1204,$Q18))</f>
        <v/>
      </c>
      <c r="O18" s="28" t="str">
        <f>IF($Q18="","",INDEX(TRANSACTIONS_MASTER!$AB$5:$AB$1204,$Q18))</f>
        <v/>
      </c>
      <c r="P18" s="55" t="str">
        <f>IF($Q18="","",INDEX(TRANSACTIONS_MASTER!$Z$5:$Z$1204,$Q18)&amp;"")</f>
        <v/>
      </c>
      <c r="Q18" s="67" t="str">
        <f>IFERROR(MATCH($C$2&amp;"|"&amp;11,TRANSACTIONS_MASTER!$AE$5:$AE$1204,0),"")</f>
        <v/>
      </c>
      <c r="S18" s="67">
        <f>IFERROR(MATCH(11,CASHBACK_RULES!$S$5:$S$304,0),"")</f>
        <v>25</v>
      </c>
      <c r="T18" s="55" t="str">
        <f>IF($S18="","",INDEX(CASHBACK_RULES!$B$5:$B$304,$S18))</f>
        <v>MB-D</v>
      </c>
      <c r="U18" s="55" t="str">
        <f>IF($S18="","",INDEX(CASHBACK_RULES!$C$5:$C$304,$S18)&amp;" "&amp;INDEX(CASHBACK_RULES!$D$5:$D$304,$S18))</f>
        <v>MB Cashback Demo D</v>
      </c>
      <c r="V18" s="55" t="str">
        <f>IF($S18="","",INDEX(CASHBACK_RULES!$E$5:$E$304,$S18)&amp;"")</f>
        <v>Fuel</v>
      </c>
      <c r="W18" s="55" t="str">
        <f>IF($S18="","",INDEX(CASHBACK_RULES!$F$5:$F$304,$S18)&amp;"")</f>
        <v>Fuel</v>
      </c>
      <c r="X18" s="26">
        <f>IF($S18="","",SUMIFS(TRANSACTIONS_MASTER!$Q$5:$Q$1204,TRANSACTIONS_MASTER!$D$5:$D$1204,$T18,TRANSACTIONS_MASTER!$Z$5:$Z$1204,$V18,TRANSACTIONS_MASTER!$C$5:$C$1204,$C$2))</f>
        <v>0</v>
      </c>
      <c r="Y18" s="25">
        <f>IF($S18="","",IF(ISNUMBER(INDEX(CASHBACK_RULES!$J$5:$J$304,$S18)),INDEX(CASHBACK_RULES!$J$5:$J$304,$S18),"∞"))</f>
        <v>200000</v>
      </c>
      <c r="Z18" s="25">
        <f>IF($S18="","",IF(ISNUMBER($Y18),MAX(0,$Y18-$X18),"∞"))</f>
        <v>200000</v>
      </c>
      <c r="AA18" s="27">
        <f>IF($S18="","",IF(ISNUMBER($Y18),IF($Y18=0,0,$X18/$Y18),""))</f>
        <v>0</v>
      </c>
    </row>
    <row r="19" ht="20" customHeight="1">
      <c r="A19" s="81" t="str">
        <f>IF($Q19="","",12)</f>
        <v/>
      </c>
      <c r="B19" s="57" t="str">
        <f>IF($Q19="","",INDEX(TRANSACTIONS_MASTER!$B$5:$B$1204,$Q19))</f>
        <v/>
      </c>
      <c r="C19" s="55" t="str">
        <f>IF($Q19="","",INDEX(TRANSACTIONS_MASTER!$F$5:$F$1204,$Q19))</f>
        <v/>
      </c>
      <c r="D19" s="55" t="str">
        <f>IF($Q19="","",INDEX(TRANSACTIONS_MASTER!$E$5:$E$1204,$Q19))</f>
        <v/>
      </c>
      <c r="E19" s="55" t="str">
        <f>IF($Q19="","",INDEX(TRANSACTIONS_MASTER!$G$5:$G$1204,$Q19)&amp;"")</f>
        <v/>
      </c>
      <c r="F19" s="29" t="str">
        <f>IF($Q19="","",INDEX(TRANSACTIONS_MASTER!$I$5:$I$1204,$Q19))</f>
        <v/>
      </c>
      <c r="G19" s="55" t="str">
        <f>IF($Q19="","",INDEX(TRANSACTIONS_MASTER!$K$5:$K$1204,$Q19))</f>
        <v/>
      </c>
      <c r="H19" s="25" t="str">
        <f>IF($Q19="","",INDEX(TRANSACTIONS_MASTER!$L$5:$L$1204,$Q19))</f>
        <v/>
      </c>
      <c r="I19" s="56" t="str">
        <f>IF($Q19="","",INDEX(TRANSACTIONS_MASTER!$N$5:$N$1204,$Q19))</f>
        <v/>
      </c>
      <c r="J19" s="25" t="str">
        <f>IF($Q19="","",INDEX(TRANSACTIONS_MASTER!$O$5:$O$1204,$Q19))</f>
        <v/>
      </c>
      <c r="K19" s="26" t="str">
        <f>IF($Q19="","",INDEX(TRANSACTIONS_MASTER!$Q$5:$Q$1204,$Q19))</f>
        <v/>
      </c>
      <c r="L19" s="25" t="str">
        <f>IF($Q19="","",INDEX(TRANSACTIONS_MASTER!$P$5:$P$1204,$Q19))</f>
        <v/>
      </c>
      <c r="M19" s="25" t="str">
        <f>IF($Q19="","",INDEX(TRANSACTIONS_MASTER!$AA$5:$AA$1204,$Q19))</f>
        <v/>
      </c>
      <c r="N19" s="25" t="str">
        <f>IF($Q19="","",INDEX(TRANSACTIONS_MASTER!$R$5:$R$1204,$Q19))</f>
        <v/>
      </c>
      <c r="O19" s="28" t="str">
        <f>IF($Q19="","",INDEX(TRANSACTIONS_MASTER!$AB$5:$AB$1204,$Q19))</f>
        <v/>
      </c>
      <c r="P19" s="55" t="str">
        <f>IF($Q19="","",INDEX(TRANSACTIONS_MASTER!$Z$5:$Z$1204,$Q19)&amp;"")</f>
        <v/>
      </c>
      <c r="Q19" s="67" t="str">
        <f>IFERROR(MATCH($C$2&amp;"|"&amp;12,TRANSACTIONS_MASTER!$AE$5:$AE$1204,0),"")</f>
        <v/>
      </c>
      <c r="S19" s="67">
        <f>IFERROR(MATCH(12,CASHBACK_RULES!$S$5:$S$304,0),"")</f>
        <v>26</v>
      </c>
      <c r="T19" s="55" t="str">
        <f>IF($S19="","",INDEX(CASHBACK_RULES!$B$5:$B$304,$S19))</f>
        <v>MB-D</v>
      </c>
      <c r="U19" s="55" t="str">
        <f>IF($S19="","",INDEX(CASHBACK_RULES!$C$5:$C$304,$S19)&amp;" "&amp;INDEX(CASHBACK_RULES!$D$5:$D$304,$S19))</f>
        <v>MB Cashback Demo D</v>
      </c>
      <c r="V19" s="55" t="str">
        <f>IF($S19="","",INDEX(CASHBACK_RULES!$E$5:$E$304,$S19)&amp;"")</f>
        <v>Groceries</v>
      </c>
      <c r="W19" s="55" t="str">
        <f>IF($S19="","",INDEX(CASHBACK_RULES!$F$5:$F$304,$S19)&amp;"")</f>
        <v>Groceries</v>
      </c>
      <c r="X19" s="26">
        <f>IF($S19="","",SUMIFS(TRANSACTIONS_MASTER!$Q$5:$Q$1204,TRANSACTIONS_MASTER!$D$5:$D$1204,$T19,TRANSACTIONS_MASTER!$Z$5:$Z$1204,$V19,TRANSACTIONS_MASTER!$C$5:$C$1204,$C$2))</f>
        <v>0</v>
      </c>
      <c r="Y19" s="25">
        <f>IF($S19="","",IF(ISNUMBER(INDEX(CASHBACK_RULES!$J$5:$J$304,$S19)),INDEX(CASHBACK_RULES!$J$5:$J$304,$S19),"∞"))</f>
        <v>100000</v>
      </c>
      <c r="Z19" s="25">
        <f>IF($S19="","",IF(ISNUMBER($Y19),MAX(0,$Y19-$X19),"∞"))</f>
        <v>100000</v>
      </c>
      <c r="AA19" s="27">
        <f>IF($S19="","",IF(ISNUMBER($Y19),IF($Y19=0,0,$X19/$Y19),""))</f>
        <v>0</v>
      </c>
    </row>
    <row r="20" ht="20" customHeight="1">
      <c r="A20" s="81" t="str">
        <f>IF($Q20="","",13)</f>
        <v/>
      </c>
      <c r="B20" s="57" t="str">
        <f>IF($Q20="","",INDEX(TRANSACTIONS_MASTER!$B$5:$B$1204,$Q20))</f>
        <v/>
      </c>
      <c r="C20" s="55" t="str">
        <f>IF($Q20="","",INDEX(TRANSACTIONS_MASTER!$F$5:$F$1204,$Q20))</f>
        <v/>
      </c>
      <c r="D20" s="55" t="str">
        <f>IF($Q20="","",INDEX(TRANSACTIONS_MASTER!$E$5:$E$1204,$Q20))</f>
        <v/>
      </c>
      <c r="E20" s="55" t="str">
        <f>IF($Q20="","",INDEX(TRANSACTIONS_MASTER!$G$5:$G$1204,$Q20)&amp;"")</f>
        <v/>
      </c>
      <c r="F20" s="29" t="str">
        <f>IF($Q20="","",INDEX(TRANSACTIONS_MASTER!$I$5:$I$1204,$Q20))</f>
        <v/>
      </c>
      <c r="G20" s="55" t="str">
        <f>IF($Q20="","",INDEX(TRANSACTIONS_MASTER!$K$5:$K$1204,$Q20))</f>
        <v/>
      </c>
      <c r="H20" s="25" t="str">
        <f>IF($Q20="","",INDEX(TRANSACTIONS_MASTER!$L$5:$L$1204,$Q20))</f>
        <v/>
      </c>
      <c r="I20" s="56" t="str">
        <f>IF($Q20="","",INDEX(TRANSACTIONS_MASTER!$N$5:$N$1204,$Q20))</f>
        <v/>
      </c>
      <c r="J20" s="25" t="str">
        <f>IF($Q20="","",INDEX(TRANSACTIONS_MASTER!$O$5:$O$1204,$Q20))</f>
        <v/>
      </c>
      <c r="K20" s="26" t="str">
        <f>IF($Q20="","",INDEX(TRANSACTIONS_MASTER!$Q$5:$Q$1204,$Q20))</f>
        <v/>
      </c>
      <c r="L20" s="25" t="str">
        <f>IF($Q20="","",INDEX(TRANSACTIONS_MASTER!$P$5:$P$1204,$Q20))</f>
        <v/>
      </c>
      <c r="M20" s="25" t="str">
        <f>IF($Q20="","",INDEX(TRANSACTIONS_MASTER!$AA$5:$AA$1204,$Q20))</f>
        <v/>
      </c>
      <c r="N20" s="25" t="str">
        <f>IF($Q20="","",INDEX(TRANSACTIONS_MASTER!$R$5:$R$1204,$Q20))</f>
        <v/>
      </c>
      <c r="O20" s="28" t="str">
        <f>IF($Q20="","",INDEX(TRANSACTIONS_MASTER!$AB$5:$AB$1204,$Q20))</f>
        <v/>
      </c>
      <c r="P20" s="55" t="str">
        <f>IF($Q20="","",INDEX(TRANSACTIONS_MASTER!$Z$5:$Z$1204,$Q20)&amp;"")</f>
        <v/>
      </c>
      <c r="Q20" s="67" t="str">
        <f>IFERROR(MATCH($C$2&amp;"|"&amp;13,TRANSACTIONS_MASTER!$AE$5:$AE$1204,0),"")</f>
        <v/>
      </c>
      <c r="S20" s="67">
        <f>IFERROR(MATCH(13,CASHBACK_RULES!$S$5:$S$304,0),"")</f>
        <v>27</v>
      </c>
      <c r="T20" s="55" t="str">
        <f>IF($S20="","",INDEX(CASHBACK_RULES!$B$5:$B$304,$S20))</f>
        <v>MB-D</v>
      </c>
      <c r="U20" s="55" t="str">
        <f>IF($S20="","",INDEX(CASHBACK_RULES!$C$5:$C$304,$S20)&amp;" "&amp;INDEX(CASHBACK_RULES!$D$5:$D$304,$S20))</f>
        <v>MB Cashback Demo D</v>
      </c>
      <c r="V20" s="55" t="str">
        <f>IF($S20="","",INDEX(CASHBACK_RULES!$E$5:$E$304,$S20)&amp;"")</f>
        <v>Shopping</v>
      </c>
      <c r="W20" s="55" t="str">
        <f>IF($S20="","",INDEX(CASHBACK_RULES!$F$5:$F$304,$S20)&amp;"")</f>
        <v>Shopping</v>
      </c>
      <c r="X20" s="26">
        <f>IF($S20="","",SUMIFS(TRANSACTIONS_MASTER!$Q$5:$Q$1204,TRANSACTIONS_MASTER!$D$5:$D$1204,$T20,TRANSACTIONS_MASTER!$Z$5:$Z$1204,$V20,TRANSACTIONS_MASTER!$C$5:$C$1204,$C$2))</f>
        <v>0</v>
      </c>
      <c r="Y20" s="25">
        <f>IF($S20="","",IF(ISNUMBER(INDEX(CASHBACK_RULES!$J$5:$J$304,$S20)),INDEX(CASHBACK_RULES!$J$5:$J$304,$S20),"∞"))</f>
        <v>100000</v>
      </c>
      <c r="Z20" s="25">
        <f>IF($S20="","",IF(ISNUMBER($Y20),MAX(0,$Y20-$X20),"∞"))</f>
        <v>100000</v>
      </c>
      <c r="AA20" s="27">
        <f>IF($S20="","",IF(ISNUMBER($Y20),IF($Y20=0,0,$X20/$Y20),""))</f>
        <v>0</v>
      </c>
    </row>
    <row r="21" ht="20" customHeight="1">
      <c r="A21" s="81" t="str">
        <f>IF($Q21="","",14)</f>
        <v/>
      </c>
      <c r="B21" s="57" t="str">
        <f>IF($Q21="","",INDEX(TRANSACTIONS_MASTER!$B$5:$B$1204,$Q21))</f>
        <v/>
      </c>
      <c r="C21" s="55" t="str">
        <f>IF($Q21="","",INDEX(TRANSACTIONS_MASTER!$F$5:$F$1204,$Q21))</f>
        <v/>
      </c>
      <c r="D21" s="55" t="str">
        <f>IF($Q21="","",INDEX(TRANSACTIONS_MASTER!$E$5:$E$1204,$Q21))</f>
        <v/>
      </c>
      <c r="E21" s="55" t="str">
        <f>IF($Q21="","",INDEX(TRANSACTIONS_MASTER!$G$5:$G$1204,$Q21)&amp;"")</f>
        <v/>
      </c>
      <c r="F21" s="29" t="str">
        <f>IF($Q21="","",INDEX(TRANSACTIONS_MASTER!$I$5:$I$1204,$Q21))</f>
        <v/>
      </c>
      <c r="G21" s="55" t="str">
        <f>IF($Q21="","",INDEX(TRANSACTIONS_MASTER!$K$5:$K$1204,$Q21))</f>
        <v/>
      </c>
      <c r="H21" s="25" t="str">
        <f>IF($Q21="","",INDEX(TRANSACTIONS_MASTER!$L$5:$L$1204,$Q21))</f>
        <v/>
      </c>
      <c r="I21" s="56" t="str">
        <f>IF($Q21="","",INDEX(TRANSACTIONS_MASTER!$N$5:$N$1204,$Q21))</f>
        <v/>
      </c>
      <c r="J21" s="25" t="str">
        <f>IF($Q21="","",INDEX(TRANSACTIONS_MASTER!$O$5:$O$1204,$Q21))</f>
        <v/>
      </c>
      <c r="K21" s="26" t="str">
        <f>IF($Q21="","",INDEX(TRANSACTIONS_MASTER!$Q$5:$Q$1204,$Q21))</f>
        <v/>
      </c>
      <c r="L21" s="25" t="str">
        <f>IF($Q21="","",INDEX(TRANSACTIONS_MASTER!$P$5:$P$1204,$Q21))</f>
        <v/>
      </c>
      <c r="M21" s="25" t="str">
        <f>IF($Q21="","",INDEX(TRANSACTIONS_MASTER!$AA$5:$AA$1204,$Q21))</f>
        <v/>
      </c>
      <c r="N21" s="25" t="str">
        <f>IF($Q21="","",INDEX(TRANSACTIONS_MASTER!$R$5:$R$1204,$Q21))</f>
        <v/>
      </c>
      <c r="O21" s="28" t="str">
        <f>IF($Q21="","",INDEX(TRANSACTIONS_MASTER!$AB$5:$AB$1204,$Q21))</f>
        <v/>
      </c>
      <c r="P21" s="55" t="str">
        <f>IF($Q21="","",INDEX(TRANSACTIONS_MASTER!$Z$5:$Z$1204,$Q21)&amp;"")</f>
        <v/>
      </c>
      <c r="Q21" s="67" t="str">
        <f>IFERROR(MATCH($C$2&amp;"|"&amp;14,TRANSACTIONS_MASTER!$AE$5:$AE$1204,0),"")</f>
        <v/>
      </c>
      <c r="S21" s="67" t="str">
        <f>IFERROR(MATCH(14,CASHBACK_RULES!$S$5:$S$304,0),"")</f>
        <v/>
      </c>
      <c r="T21" s="55" t="str">
        <f>IF($S21="","",INDEX(CASHBACK_RULES!$B$5:$B$304,$S21))</f>
        <v/>
      </c>
      <c r="U21" s="55" t="str">
        <f>IF($S21="","",INDEX(CASHBACK_RULES!$C$5:$C$304,$S21)&amp;" "&amp;INDEX(CASHBACK_RULES!$D$5:$D$304,$S21))</f>
        <v/>
      </c>
      <c r="V21" s="55" t="str">
        <f>IF($S21="","",INDEX(CASHBACK_RULES!$E$5:$E$304,$S21)&amp;"")</f>
        <v/>
      </c>
      <c r="W21" s="55" t="str">
        <f>IF($S21="","",INDEX(CASHBACK_RULES!$F$5:$F$304,$S21)&amp;"")</f>
        <v/>
      </c>
      <c r="X21" s="26" t="str">
        <f>IF($S21="","",SUMIFS(TRANSACTIONS_MASTER!$Q$5:$Q$1204,TRANSACTIONS_MASTER!$D$5:$D$1204,$T21,TRANSACTIONS_MASTER!$Z$5:$Z$1204,$V21,TRANSACTIONS_MASTER!$C$5:$C$1204,$C$2))</f>
        <v/>
      </c>
      <c r="Y21" s="25" t="str">
        <f>IF($S21="","",IF(ISNUMBER(INDEX(CASHBACK_RULES!$J$5:$J$304,$S21)),INDEX(CASHBACK_RULES!$J$5:$J$304,$S21),"∞"))</f>
        <v/>
      </c>
      <c r="Z21" s="25" t="str">
        <f>IF($S21="","",IF(ISNUMBER($Y21),MAX(0,$Y21-$X21),"∞"))</f>
        <v/>
      </c>
      <c r="AA21" s="27" t="str">
        <f>IF($S21="","",IF(ISNUMBER($Y21),IF($Y21=0,0,$X21/$Y21),""))</f>
        <v/>
      </c>
    </row>
    <row r="22" ht="20" customHeight="1">
      <c r="A22" s="81" t="str">
        <f>IF($Q22="","",15)</f>
        <v/>
      </c>
      <c r="B22" s="57" t="str">
        <f>IF($Q22="","",INDEX(TRANSACTIONS_MASTER!$B$5:$B$1204,$Q22))</f>
        <v/>
      </c>
      <c r="C22" s="55" t="str">
        <f>IF($Q22="","",INDEX(TRANSACTIONS_MASTER!$F$5:$F$1204,$Q22))</f>
        <v/>
      </c>
      <c r="D22" s="55" t="str">
        <f>IF($Q22="","",INDEX(TRANSACTIONS_MASTER!$E$5:$E$1204,$Q22))</f>
        <v/>
      </c>
      <c r="E22" s="55" t="str">
        <f>IF($Q22="","",INDEX(TRANSACTIONS_MASTER!$G$5:$G$1204,$Q22)&amp;"")</f>
        <v/>
      </c>
      <c r="F22" s="29" t="str">
        <f>IF($Q22="","",INDEX(TRANSACTIONS_MASTER!$I$5:$I$1204,$Q22))</f>
        <v/>
      </c>
      <c r="G22" s="55" t="str">
        <f>IF($Q22="","",INDEX(TRANSACTIONS_MASTER!$K$5:$K$1204,$Q22))</f>
        <v/>
      </c>
      <c r="H22" s="25" t="str">
        <f>IF($Q22="","",INDEX(TRANSACTIONS_MASTER!$L$5:$L$1204,$Q22))</f>
        <v/>
      </c>
      <c r="I22" s="56" t="str">
        <f>IF($Q22="","",INDEX(TRANSACTIONS_MASTER!$N$5:$N$1204,$Q22))</f>
        <v/>
      </c>
      <c r="J22" s="25" t="str">
        <f>IF($Q22="","",INDEX(TRANSACTIONS_MASTER!$O$5:$O$1204,$Q22))</f>
        <v/>
      </c>
      <c r="K22" s="26" t="str">
        <f>IF($Q22="","",INDEX(TRANSACTIONS_MASTER!$Q$5:$Q$1204,$Q22))</f>
        <v/>
      </c>
      <c r="L22" s="25" t="str">
        <f>IF($Q22="","",INDEX(TRANSACTIONS_MASTER!$P$5:$P$1204,$Q22))</f>
        <v/>
      </c>
      <c r="M22" s="25" t="str">
        <f>IF($Q22="","",INDEX(TRANSACTIONS_MASTER!$AA$5:$AA$1204,$Q22))</f>
        <v/>
      </c>
      <c r="N22" s="25" t="str">
        <f>IF($Q22="","",INDEX(TRANSACTIONS_MASTER!$R$5:$R$1204,$Q22))</f>
        <v/>
      </c>
      <c r="O22" s="28" t="str">
        <f>IF($Q22="","",INDEX(TRANSACTIONS_MASTER!$AB$5:$AB$1204,$Q22))</f>
        <v/>
      </c>
      <c r="P22" s="55" t="str">
        <f>IF($Q22="","",INDEX(TRANSACTIONS_MASTER!$Z$5:$Z$1204,$Q22)&amp;"")</f>
        <v/>
      </c>
      <c r="Q22" s="67" t="str">
        <f>IFERROR(MATCH($C$2&amp;"|"&amp;15,TRANSACTIONS_MASTER!$AE$5:$AE$1204,0),"")</f>
        <v/>
      </c>
      <c r="S22" s="67" t="str">
        <f>IFERROR(MATCH(15,CASHBACK_RULES!$S$5:$S$304,0),"")</f>
        <v/>
      </c>
      <c r="T22" s="55" t="str">
        <f>IF($S22="","",INDEX(CASHBACK_RULES!$B$5:$B$304,$S22))</f>
        <v/>
      </c>
      <c r="U22" s="55" t="str">
        <f>IF($S22="","",INDEX(CASHBACK_RULES!$C$5:$C$304,$S22)&amp;" "&amp;INDEX(CASHBACK_RULES!$D$5:$D$304,$S22))</f>
        <v/>
      </c>
      <c r="V22" s="55" t="str">
        <f>IF($S22="","",INDEX(CASHBACK_RULES!$E$5:$E$304,$S22)&amp;"")</f>
        <v/>
      </c>
      <c r="W22" s="55" t="str">
        <f>IF($S22="","",INDEX(CASHBACK_RULES!$F$5:$F$304,$S22)&amp;"")</f>
        <v/>
      </c>
      <c r="X22" s="26" t="str">
        <f>IF($S22="","",SUMIFS(TRANSACTIONS_MASTER!$Q$5:$Q$1204,TRANSACTIONS_MASTER!$D$5:$D$1204,$T22,TRANSACTIONS_MASTER!$Z$5:$Z$1204,$V22,TRANSACTIONS_MASTER!$C$5:$C$1204,$C$2))</f>
        <v/>
      </c>
      <c r="Y22" s="25" t="str">
        <f>IF($S22="","",IF(ISNUMBER(INDEX(CASHBACK_RULES!$J$5:$J$304,$S22)),INDEX(CASHBACK_RULES!$J$5:$J$304,$S22),"∞"))</f>
        <v/>
      </c>
      <c r="Z22" s="25" t="str">
        <f>IF($S22="","",IF(ISNUMBER($Y22),MAX(0,$Y22-$X22),"∞"))</f>
        <v/>
      </c>
      <c r="AA22" s="27" t="str">
        <f>IF($S22="","",IF(ISNUMBER($Y22),IF($Y22=0,0,$X22/$Y22),""))</f>
        <v/>
      </c>
    </row>
    <row r="23" ht="20" customHeight="1">
      <c r="A23" s="81" t="str">
        <f>IF($Q23="","",16)</f>
        <v/>
      </c>
      <c r="B23" s="57" t="str">
        <f>IF($Q23="","",INDEX(TRANSACTIONS_MASTER!$B$5:$B$1204,$Q23))</f>
        <v/>
      </c>
      <c r="C23" s="55" t="str">
        <f>IF($Q23="","",INDEX(TRANSACTIONS_MASTER!$F$5:$F$1204,$Q23))</f>
        <v/>
      </c>
      <c r="D23" s="55" t="str">
        <f>IF($Q23="","",INDEX(TRANSACTIONS_MASTER!$E$5:$E$1204,$Q23))</f>
        <v/>
      </c>
      <c r="E23" s="55" t="str">
        <f>IF($Q23="","",INDEX(TRANSACTIONS_MASTER!$G$5:$G$1204,$Q23)&amp;"")</f>
        <v/>
      </c>
      <c r="F23" s="29" t="str">
        <f>IF($Q23="","",INDEX(TRANSACTIONS_MASTER!$I$5:$I$1204,$Q23))</f>
        <v/>
      </c>
      <c r="G23" s="55" t="str">
        <f>IF($Q23="","",INDEX(TRANSACTIONS_MASTER!$K$5:$K$1204,$Q23))</f>
        <v/>
      </c>
      <c r="H23" s="25" t="str">
        <f>IF($Q23="","",INDEX(TRANSACTIONS_MASTER!$L$5:$L$1204,$Q23))</f>
        <v/>
      </c>
      <c r="I23" s="56" t="str">
        <f>IF($Q23="","",INDEX(TRANSACTIONS_MASTER!$N$5:$N$1204,$Q23))</f>
        <v/>
      </c>
      <c r="J23" s="25" t="str">
        <f>IF($Q23="","",INDEX(TRANSACTIONS_MASTER!$O$5:$O$1204,$Q23))</f>
        <v/>
      </c>
      <c r="K23" s="26" t="str">
        <f>IF($Q23="","",INDEX(TRANSACTIONS_MASTER!$Q$5:$Q$1204,$Q23))</f>
        <v/>
      </c>
      <c r="L23" s="25" t="str">
        <f>IF($Q23="","",INDEX(TRANSACTIONS_MASTER!$P$5:$P$1204,$Q23))</f>
        <v/>
      </c>
      <c r="M23" s="25" t="str">
        <f>IF($Q23="","",INDEX(TRANSACTIONS_MASTER!$AA$5:$AA$1204,$Q23))</f>
        <v/>
      </c>
      <c r="N23" s="25" t="str">
        <f>IF($Q23="","",INDEX(TRANSACTIONS_MASTER!$R$5:$R$1204,$Q23))</f>
        <v/>
      </c>
      <c r="O23" s="28" t="str">
        <f>IF($Q23="","",INDEX(TRANSACTIONS_MASTER!$AB$5:$AB$1204,$Q23))</f>
        <v/>
      </c>
      <c r="P23" s="55" t="str">
        <f>IF($Q23="","",INDEX(TRANSACTIONS_MASTER!$Z$5:$Z$1204,$Q23)&amp;"")</f>
        <v/>
      </c>
      <c r="Q23" s="67" t="str">
        <f>IFERROR(MATCH($C$2&amp;"|"&amp;16,TRANSACTIONS_MASTER!$AE$5:$AE$1204,0),"")</f>
        <v/>
      </c>
      <c r="S23" s="67" t="str">
        <f>IFERROR(MATCH(16,CASHBACK_RULES!$S$5:$S$304,0),"")</f>
        <v/>
      </c>
      <c r="T23" s="55" t="str">
        <f>IF($S23="","",INDEX(CASHBACK_RULES!$B$5:$B$304,$S23))</f>
        <v/>
      </c>
      <c r="U23" s="55" t="str">
        <f>IF($S23="","",INDEX(CASHBACK_RULES!$C$5:$C$304,$S23)&amp;" "&amp;INDEX(CASHBACK_RULES!$D$5:$D$304,$S23))</f>
        <v/>
      </c>
      <c r="V23" s="55" t="str">
        <f>IF($S23="","",INDEX(CASHBACK_RULES!$E$5:$E$304,$S23)&amp;"")</f>
        <v/>
      </c>
      <c r="W23" s="55" t="str">
        <f>IF($S23="","",INDEX(CASHBACK_RULES!$F$5:$F$304,$S23)&amp;"")</f>
        <v/>
      </c>
      <c r="X23" s="26" t="str">
        <f>IF($S23="","",SUMIFS(TRANSACTIONS_MASTER!$Q$5:$Q$1204,TRANSACTIONS_MASTER!$D$5:$D$1204,$T23,TRANSACTIONS_MASTER!$Z$5:$Z$1204,$V23,TRANSACTIONS_MASTER!$C$5:$C$1204,$C$2))</f>
        <v/>
      </c>
      <c r="Y23" s="25" t="str">
        <f>IF($S23="","",IF(ISNUMBER(INDEX(CASHBACK_RULES!$J$5:$J$304,$S23)),INDEX(CASHBACK_RULES!$J$5:$J$304,$S23),"∞"))</f>
        <v/>
      </c>
      <c r="Z23" s="25" t="str">
        <f>IF($S23="","",IF(ISNUMBER($Y23),MAX(0,$Y23-$X23),"∞"))</f>
        <v/>
      </c>
      <c r="AA23" s="27" t="str">
        <f>IF($S23="","",IF(ISNUMBER($Y23),IF($Y23=0,0,$X23/$Y23),""))</f>
        <v/>
      </c>
    </row>
    <row r="24" ht="20" customHeight="1">
      <c r="A24" s="81" t="str">
        <f>IF($Q24="","",17)</f>
        <v/>
      </c>
      <c r="B24" s="57" t="str">
        <f>IF($Q24="","",INDEX(TRANSACTIONS_MASTER!$B$5:$B$1204,$Q24))</f>
        <v/>
      </c>
      <c r="C24" s="55" t="str">
        <f>IF($Q24="","",INDEX(TRANSACTIONS_MASTER!$F$5:$F$1204,$Q24))</f>
        <v/>
      </c>
      <c r="D24" s="55" t="str">
        <f>IF($Q24="","",INDEX(TRANSACTIONS_MASTER!$E$5:$E$1204,$Q24))</f>
        <v/>
      </c>
      <c r="E24" s="55" t="str">
        <f>IF($Q24="","",INDEX(TRANSACTIONS_MASTER!$G$5:$G$1204,$Q24)&amp;"")</f>
        <v/>
      </c>
      <c r="F24" s="29" t="str">
        <f>IF($Q24="","",INDEX(TRANSACTIONS_MASTER!$I$5:$I$1204,$Q24))</f>
        <v/>
      </c>
      <c r="G24" s="55" t="str">
        <f>IF($Q24="","",INDEX(TRANSACTIONS_MASTER!$K$5:$K$1204,$Q24))</f>
        <v/>
      </c>
      <c r="H24" s="25" t="str">
        <f>IF($Q24="","",INDEX(TRANSACTIONS_MASTER!$L$5:$L$1204,$Q24))</f>
        <v/>
      </c>
      <c r="I24" s="56" t="str">
        <f>IF($Q24="","",INDEX(TRANSACTIONS_MASTER!$N$5:$N$1204,$Q24))</f>
        <v/>
      </c>
      <c r="J24" s="25" t="str">
        <f>IF($Q24="","",INDEX(TRANSACTIONS_MASTER!$O$5:$O$1204,$Q24))</f>
        <v/>
      </c>
      <c r="K24" s="26" t="str">
        <f>IF($Q24="","",INDEX(TRANSACTIONS_MASTER!$Q$5:$Q$1204,$Q24))</f>
        <v/>
      </c>
      <c r="L24" s="25" t="str">
        <f>IF($Q24="","",INDEX(TRANSACTIONS_MASTER!$P$5:$P$1204,$Q24))</f>
        <v/>
      </c>
      <c r="M24" s="25" t="str">
        <f>IF($Q24="","",INDEX(TRANSACTIONS_MASTER!$AA$5:$AA$1204,$Q24))</f>
        <v/>
      </c>
      <c r="N24" s="25" t="str">
        <f>IF($Q24="","",INDEX(TRANSACTIONS_MASTER!$R$5:$R$1204,$Q24))</f>
        <v/>
      </c>
      <c r="O24" s="28" t="str">
        <f>IF($Q24="","",INDEX(TRANSACTIONS_MASTER!$AB$5:$AB$1204,$Q24))</f>
        <v/>
      </c>
      <c r="P24" s="55" t="str">
        <f>IF($Q24="","",INDEX(TRANSACTIONS_MASTER!$Z$5:$Z$1204,$Q24)&amp;"")</f>
        <v/>
      </c>
      <c r="Q24" s="67" t="str">
        <f>IFERROR(MATCH($C$2&amp;"|"&amp;17,TRANSACTIONS_MASTER!$AE$5:$AE$1204,0),"")</f>
        <v/>
      </c>
      <c r="S24" s="67" t="str">
        <f>IFERROR(MATCH(17,CASHBACK_RULES!$S$5:$S$304,0),"")</f>
        <v/>
      </c>
      <c r="T24" s="55" t="str">
        <f>IF($S24="","",INDEX(CASHBACK_RULES!$B$5:$B$304,$S24))</f>
        <v/>
      </c>
      <c r="U24" s="55" t="str">
        <f>IF($S24="","",INDEX(CASHBACK_RULES!$C$5:$C$304,$S24)&amp;" "&amp;INDEX(CASHBACK_RULES!$D$5:$D$304,$S24))</f>
        <v/>
      </c>
      <c r="V24" s="55" t="str">
        <f>IF($S24="","",INDEX(CASHBACK_RULES!$E$5:$E$304,$S24)&amp;"")</f>
        <v/>
      </c>
      <c r="W24" s="55" t="str">
        <f>IF($S24="","",INDEX(CASHBACK_RULES!$F$5:$F$304,$S24)&amp;"")</f>
        <v/>
      </c>
      <c r="X24" s="26" t="str">
        <f>IF($S24="","",SUMIFS(TRANSACTIONS_MASTER!$Q$5:$Q$1204,TRANSACTIONS_MASTER!$D$5:$D$1204,$T24,TRANSACTIONS_MASTER!$Z$5:$Z$1204,$V24,TRANSACTIONS_MASTER!$C$5:$C$1204,$C$2))</f>
        <v/>
      </c>
      <c r="Y24" s="25" t="str">
        <f>IF($S24="","",IF(ISNUMBER(INDEX(CASHBACK_RULES!$J$5:$J$304,$S24)),INDEX(CASHBACK_RULES!$J$5:$J$304,$S24),"∞"))</f>
        <v/>
      </c>
      <c r="Z24" s="25" t="str">
        <f>IF($S24="","",IF(ISNUMBER($Y24),MAX(0,$Y24-$X24),"∞"))</f>
        <v/>
      </c>
      <c r="AA24" s="27" t="str">
        <f>IF($S24="","",IF(ISNUMBER($Y24),IF($Y24=0,0,$X24/$Y24),""))</f>
        <v/>
      </c>
    </row>
    <row r="25" ht="20" customHeight="1">
      <c r="A25" s="81" t="str">
        <f>IF($Q25="","",18)</f>
        <v/>
      </c>
      <c r="B25" s="57" t="str">
        <f>IF($Q25="","",INDEX(TRANSACTIONS_MASTER!$B$5:$B$1204,$Q25))</f>
        <v/>
      </c>
      <c r="C25" s="55" t="str">
        <f>IF($Q25="","",INDEX(TRANSACTIONS_MASTER!$F$5:$F$1204,$Q25))</f>
        <v/>
      </c>
      <c r="D25" s="55" t="str">
        <f>IF($Q25="","",INDEX(TRANSACTIONS_MASTER!$E$5:$E$1204,$Q25))</f>
        <v/>
      </c>
      <c r="E25" s="55" t="str">
        <f>IF($Q25="","",INDEX(TRANSACTIONS_MASTER!$G$5:$G$1204,$Q25)&amp;"")</f>
        <v/>
      </c>
      <c r="F25" s="29" t="str">
        <f>IF($Q25="","",INDEX(TRANSACTIONS_MASTER!$I$5:$I$1204,$Q25))</f>
        <v/>
      </c>
      <c r="G25" s="55" t="str">
        <f>IF($Q25="","",INDEX(TRANSACTIONS_MASTER!$K$5:$K$1204,$Q25))</f>
        <v/>
      </c>
      <c r="H25" s="25" t="str">
        <f>IF($Q25="","",INDEX(TRANSACTIONS_MASTER!$L$5:$L$1204,$Q25))</f>
        <v/>
      </c>
      <c r="I25" s="56" t="str">
        <f>IF($Q25="","",INDEX(TRANSACTIONS_MASTER!$N$5:$N$1204,$Q25))</f>
        <v/>
      </c>
      <c r="J25" s="25" t="str">
        <f>IF($Q25="","",INDEX(TRANSACTIONS_MASTER!$O$5:$O$1204,$Q25))</f>
        <v/>
      </c>
      <c r="K25" s="26" t="str">
        <f>IF($Q25="","",INDEX(TRANSACTIONS_MASTER!$Q$5:$Q$1204,$Q25))</f>
        <v/>
      </c>
      <c r="L25" s="25" t="str">
        <f>IF($Q25="","",INDEX(TRANSACTIONS_MASTER!$P$5:$P$1204,$Q25))</f>
        <v/>
      </c>
      <c r="M25" s="25" t="str">
        <f>IF($Q25="","",INDEX(TRANSACTIONS_MASTER!$AA$5:$AA$1204,$Q25))</f>
        <v/>
      </c>
      <c r="N25" s="25" t="str">
        <f>IF($Q25="","",INDEX(TRANSACTIONS_MASTER!$R$5:$R$1204,$Q25))</f>
        <v/>
      </c>
      <c r="O25" s="28" t="str">
        <f>IF($Q25="","",INDEX(TRANSACTIONS_MASTER!$AB$5:$AB$1204,$Q25))</f>
        <v/>
      </c>
      <c r="P25" s="55" t="str">
        <f>IF($Q25="","",INDEX(TRANSACTIONS_MASTER!$Z$5:$Z$1204,$Q25)&amp;"")</f>
        <v/>
      </c>
      <c r="Q25" s="67" t="str">
        <f>IFERROR(MATCH($C$2&amp;"|"&amp;18,TRANSACTIONS_MASTER!$AE$5:$AE$1204,0),"")</f>
        <v/>
      </c>
      <c r="S25" s="67" t="str">
        <f>IFERROR(MATCH(18,CASHBACK_RULES!$S$5:$S$304,0),"")</f>
        <v/>
      </c>
      <c r="T25" s="55" t="str">
        <f>IF($S25="","",INDEX(CASHBACK_RULES!$B$5:$B$304,$S25))</f>
        <v/>
      </c>
      <c r="U25" s="55" t="str">
        <f>IF($S25="","",INDEX(CASHBACK_RULES!$C$5:$C$304,$S25)&amp;" "&amp;INDEX(CASHBACK_RULES!$D$5:$D$304,$S25))</f>
        <v/>
      </c>
      <c r="V25" s="55" t="str">
        <f>IF($S25="","",INDEX(CASHBACK_RULES!$E$5:$E$304,$S25)&amp;"")</f>
        <v/>
      </c>
      <c r="W25" s="55" t="str">
        <f>IF($S25="","",INDEX(CASHBACK_RULES!$F$5:$F$304,$S25)&amp;"")</f>
        <v/>
      </c>
      <c r="X25" s="26" t="str">
        <f>IF($S25="","",SUMIFS(TRANSACTIONS_MASTER!$Q$5:$Q$1204,TRANSACTIONS_MASTER!$D$5:$D$1204,$T25,TRANSACTIONS_MASTER!$Z$5:$Z$1204,$V25,TRANSACTIONS_MASTER!$C$5:$C$1204,$C$2))</f>
        <v/>
      </c>
      <c r="Y25" s="25" t="str">
        <f>IF($S25="","",IF(ISNUMBER(INDEX(CASHBACK_RULES!$J$5:$J$304,$S25)),INDEX(CASHBACK_RULES!$J$5:$J$304,$S25),"∞"))</f>
        <v/>
      </c>
      <c r="Z25" s="25" t="str">
        <f>IF($S25="","",IF(ISNUMBER($Y25),MAX(0,$Y25-$X25),"∞"))</f>
        <v/>
      </c>
      <c r="AA25" s="27" t="str">
        <f>IF($S25="","",IF(ISNUMBER($Y25),IF($Y25=0,0,$X25/$Y25),""))</f>
        <v/>
      </c>
    </row>
    <row r="26" ht="20" customHeight="1">
      <c r="A26" s="81" t="str">
        <f>IF($Q26="","",19)</f>
        <v/>
      </c>
      <c r="B26" s="57" t="str">
        <f>IF($Q26="","",INDEX(TRANSACTIONS_MASTER!$B$5:$B$1204,$Q26))</f>
        <v/>
      </c>
      <c r="C26" s="55" t="str">
        <f>IF($Q26="","",INDEX(TRANSACTIONS_MASTER!$F$5:$F$1204,$Q26))</f>
        <v/>
      </c>
      <c r="D26" s="55" t="str">
        <f>IF($Q26="","",INDEX(TRANSACTIONS_MASTER!$E$5:$E$1204,$Q26))</f>
        <v/>
      </c>
      <c r="E26" s="55" t="str">
        <f>IF($Q26="","",INDEX(TRANSACTIONS_MASTER!$G$5:$G$1204,$Q26)&amp;"")</f>
        <v/>
      </c>
      <c r="F26" s="29" t="str">
        <f>IF($Q26="","",INDEX(TRANSACTIONS_MASTER!$I$5:$I$1204,$Q26))</f>
        <v/>
      </c>
      <c r="G26" s="55" t="str">
        <f>IF($Q26="","",INDEX(TRANSACTIONS_MASTER!$K$5:$K$1204,$Q26))</f>
        <v/>
      </c>
      <c r="H26" s="25" t="str">
        <f>IF($Q26="","",INDEX(TRANSACTIONS_MASTER!$L$5:$L$1204,$Q26))</f>
        <v/>
      </c>
      <c r="I26" s="56" t="str">
        <f>IF($Q26="","",INDEX(TRANSACTIONS_MASTER!$N$5:$N$1204,$Q26))</f>
        <v/>
      </c>
      <c r="J26" s="25" t="str">
        <f>IF($Q26="","",INDEX(TRANSACTIONS_MASTER!$O$5:$O$1204,$Q26))</f>
        <v/>
      </c>
      <c r="K26" s="26" t="str">
        <f>IF($Q26="","",INDEX(TRANSACTIONS_MASTER!$Q$5:$Q$1204,$Q26))</f>
        <v/>
      </c>
      <c r="L26" s="25" t="str">
        <f>IF($Q26="","",INDEX(TRANSACTIONS_MASTER!$P$5:$P$1204,$Q26))</f>
        <v/>
      </c>
      <c r="M26" s="25" t="str">
        <f>IF($Q26="","",INDEX(TRANSACTIONS_MASTER!$AA$5:$AA$1204,$Q26))</f>
        <v/>
      </c>
      <c r="N26" s="25" t="str">
        <f>IF($Q26="","",INDEX(TRANSACTIONS_MASTER!$R$5:$R$1204,$Q26))</f>
        <v/>
      </c>
      <c r="O26" s="28" t="str">
        <f>IF($Q26="","",INDEX(TRANSACTIONS_MASTER!$AB$5:$AB$1204,$Q26))</f>
        <v/>
      </c>
      <c r="P26" s="55" t="str">
        <f>IF($Q26="","",INDEX(TRANSACTIONS_MASTER!$Z$5:$Z$1204,$Q26)&amp;"")</f>
        <v/>
      </c>
      <c r="Q26" s="67" t="str">
        <f>IFERROR(MATCH($C$2&amp;"|"&amp;19,TRANSACTIONS_MASTER!$AE$5:$AE$1204,0),"")</f>
        <v/>
      </c>
      <c r="S26" s="67" t="str">
        <f>IFERROR(MATCH(19,CASHBACK_RULES!$S$5:$S$304,0),"")</f>
        <v/>
      </c>
      <c r="T26" s="55" t="str">
        <f>IF($S26="","",INDEX(CASHBACK_RULES!$B$5:$B$304,$S26))</f>
        <v/>
      </c>
      <c r="U26" s="55" t="str">
        <f>IF($S26="","",INDEX(CASHBACK_RULES!$C$5:$C$304,$S26)&amp;" "&amp;INDEX(CASHBACK_RULES!$D$5:$D$304,$S26))</f>
        <v/>
      </c>
      <c r="V26" s="55" t="str">
        <f>IF($S26="","",INDEX(CASHBACK_RULES!$E$5:$E$304,$S26)&amp;"")</f>
        <v/>
      </c>
      <c r="W26" s="55" t="str">
        <f>IF($S26="","",INDEX(CASHBACK_RULES!$F$5:$F$304,$S26)&amp;"")</f>
        <v/>
      </c>
      <c r="X26" s="26" t="str">
        <f>IF($S26="","",SUMIFS(TRANSACTIONS_MASTER!$Q$5:$Q$1204,TRANSACTIONS_MASTER!$D$5:$D$1204,$T26,TRANSACTIONS_MASTER!$Z$5:$Z$1204,$V26,TRANSACTIONS_MASTER!$C$5:$C$1204,$C$2))</f>
        <v/>
      </c>
      <c r="Y26" s="25" t="str">
        <f>IF($S26="","",IF(ISNUMBER(INDEX(CASHBACK_RULES!$J$5:$J$304,$S26)),INDEX(CASHBACK_RULES!$J$5:$J$304,$S26),"∞"))</f>
        <v/>
      </c>
      <c r="Z26" s="25" t="str">
        <f>IF($S26="","",IF(ISNUMBER($Y26),MAX(0,$Y26-$X26),"∞"))</f>
        <v/>
      </c>
      <c r="AA26" s="27" t="str">
        <f>IF($S26="","",IF(ISNUMBER($Y26),IF($Y26=0,0,$X26/$Y26),""))</f>
        <v/>
      </c>
    </row>
    <row r="27" ht="20" customHeight="1">
      <c r="A27" s="81" t="str">
        <f>IF($Q27="","",20)</f>
        <v/>
      </c>
      <c r="B27" s="57" t="str">
        <f>IF($Q27="","",INDEX(TRANSACTIONS_MASTER!$B$5:$B$1204,$Q27))</f>
        <v/>
      </c>
      <c r="C27" s="55" t="str">
        <f>IF($Q27="","",INDEX(TRANSACTIONS_MASTER!$F$5:$F$1204,$Q27))</f>
        <v/>
      </c>
      <c r="D27" s="55" t="str">
        <f>IF($Q27="","",INDEX(TRANSACTIONS_MASTER!$E$5:$E$1204,$Q27))</f>
        <v/>
      </c>
      <c r="E27" s="55" t="str">
        <f>IF($Q27="","",INDEX(TRANSACTIONS_MASTER!$G$5:$G$1204,$Q27)&amp;"")</f>
        <v/>
      </c>
      <c r="F27" s="29" t="str">
        <f>IF($Q27="","",INDEX(TRANSACTIONS_MASTER!$I$5:$I$1204,$Q27))</f>
        <v/>
      </c>
      <c r="G27" s="55" t="str">
        <f>IF($Q27="","",INDEX(TRANSACTIONS_MASTER!$K$5:$K$1204,$Q27))</f>
        <v/>
      </c>
      <c r="H27" s="25" t="str">
        <f>IF($Q27="","",INDEX(TRANSACTIONS_MASTER!$L$5:$L$1204,$Q27))</f>
        <v/>
      </c>
      <c r="I27" s="56" t="str">
        <f>IF($Q27="","",INDEX(TRANSACTIONS_MASTER!$N$5:$N$1204,$Q27))</f>
        <v/>
      </c>
      <c r="J27" s="25" t="str">
        <f>IF($Q27="","",INDEX(TRANSACTIONS_MASTER!$O$5:$O$1204,$Q27))</f>
        <v/>
      </c>
      <c r="K27" s="26" t="str">
        <f>IF($Q27="","",INDEX(TRANSACTIONS_MASTER!$Q$5:$Q$1204,$Q27))</f>
        <v/>
      </c>
      <c r="L27" s="25" t="str">
        <f>IF($Q27="","",INDEX(TRANSACTIONS_MASTER!$P$5:$P$1204,$Q27))</f>
        <v/>
      </c>
      <c r="M27" s="25" t="str">
        <f>IF($Q27="","",INDEX(TRANSACTIONS_MASTER!$AA$5:$AA$1204,$Q27))</f>
        <v/>
      </c>
      <c r="N27" s="25" t="str">
        <f>IF($Q27="","",INDEX(TRANSACTIONS_MASTER!$R$5:$R$1204,$Q27))</f>
        <v/>
      </c>
      <c r="O27" s="28" t="str">
        <f>IF($Q27="","",INDEX(TRANSACTIONS_MASTER!$AB$5:$AB$1204,$Q27))</f>
        <v/>
      </c>
      <c r="P27" s="55" t="str">
        <f>IF($Q27="","",INDEX(TRANSACTIONS_MASTER!$Z$5:$Z$1204,$Q27)&amp;"")</f>
        <v/>
      </c>
      <c r="Q27" s="67" t="str">
        <f>IFERROR(MATCH($C$2&amp;"|"&amp;20,TRANSACTIONS_MASTER!$AE$5:$AE$1204,0),"")</f>
        <v/>
      </c>
      <c r="S27" s="67" t="str">
        <f>IFERROR(MATCH(20,CASHBACK_RULES!$S$5:$S$304,0),"")</f>
        <v/>
      </c>
      <c r="T27" s="55" t="str">
        <f>IF($S27="","",INDEX(CASHBACK_RULES!$B$5:$B$304,$S27))</f>
        <v/>
      </c>
      <c r="U27" s="55" t="str">
        <f>IF($S27="","",INDEX(CASHBACK_RULES!$C$5:$C$304,$S27)&amp;" "&amp;INDEX(CASHBACK_RULES!$D$5:$D$304,$S27))</f>
        <v/>
      </c>
      <c r="V27" s="55" t="str">
        <f>IF($S27="","",INDEX(CASHBACK_RULES!$E$5:$E$304,$S27)&amp;"")</f>
        <v/>
      </c>
      <c r="W27" s="55" t="str">
        <f>IF($S27="","",INDEX(CASHBACK_RULES!$F$5:$F$304,$S27)&amp;"")</f>
        <v/>
      </c>
      <c r="X27" s="26" t="str">
        <f>IF($S27="","",SUMIFS(TRANSACTIONS_MASTER!$Q$5:$Q$1204,TRANSACTIONS_MASTER!$D$5:$D$1204,$T27,TRANSACTIONS_MASTER!$Z$5:$Z$1204,$V27,TRANSACTIONS_MASTER!$C$5:$C$1204,$C$2))</f>
        <v/>
      </c>
      <c r="Y27" s="25" t="str">
        <f>IF($S27="","",IF(ISNUMBER(INDEX(CASHBACK_RULES!$J$5:$J$304,$S27)),INDEX(CASHBACK_RULES!$J$5:$J$304,$S27),"∞"))</f>
        <v/>
      </c>
      <c r="Z27" s="25" t="str">
        <f>IF($S27="","",IF(ISNUMBER($Y27),MAX(0,$Y27-$X27),"∞"))</f>
        <v/>
      </c>
      <c r="AA27" s="27" t="str">
        <f>IF($S27="","",IF(ISNUMBER($Y27),IF($Y27=0,0,$X27/$Y27),""))</f>
        <v/>
      </c>
    </row>
    <row r="28" ht="20" customHeight="1">
      <c r="A28" s="81" t="str">
        <f>IF($Q28="","",21)</f>
        <v/>
      </c>
      <c r="B28" s="57" t="str">
        <f>IF($Q28="","",INDEX(TRANSACTIONS_MASTER!$B$5:$B$1204,$Q28))</f>
        <v/>
      </c>
      <c r="C28" s="55" t="str">
        <f>IF($Q28="","",INDEX(TRANSACTIONS_MASTER!$F$5:$F$1204,$Q28))</f>
        <v/>
      </c>
      <c r="D28" s="55" t="str">
        <f>IF($Q28="","",INDEX(TRANSACTIONS_MASTER!$E$5:$E$1204,$Q28))</f>
        <v/>
      </c>
      <c r="E28" s="55" t="str">
        <f>IF($Q28="","",INDEX(TRANSACTIONS_MASTER!$G$5:$G$1204,$Q28)&amp;"")</f>
        <v/>
      </c>
      <c r="F28" s="29" t="str">
        <f>IF($Q28="","",INDEX(TRANSACTIONS_MASTER!$I$5:$I$1204,$Q28))</f>
        <v/>
      </c>
      <c r="G28" s="55" t="str">
        <f>IF($Q28="","",INDEX(TRANSACTIONS_MASTER!$K$5:$K$1204,$Q28))</f>
        <v/>
      </c>
      <c r="H28" s="25" t="str">
        <f>IF($Q28="","",INDEX(TRANSACTIONS_MASTER!$L$5:$L$1204,$Q28))</f>
        <v/>
      </c>
      <c r="I28" s="56" t="str">
        <f>IF($Q28="","",INDEX(TRANSACTIONS_MASTER!$N$5:$N$1204,$Q28))</f>
        <v/>
      </c>
      <c r="J28" s="25" t="str">
        <f>IF($Q28="","",INDEX(TRANSACTIONS_MASTER!$O$5:$O$1204,$Q28))</f>
        <v/>
      </c>
      <c r="K28" s="26" t="str">
        <f>IF($Q28="","",INDEX(TRANSACTIONS_MASTER!$Q$5:$Q$1204,$Q28))</f>
        <v/>
      </c>
      <c r="L28" s="25" t="str">
        <f>IF($Q28="","",INDEX(TRANSACTIONS_MASTER!$P$5:$P$1204,$Q28))</f>
        <v/>
      </c>
      <c r="M28" s="25" t="str">
        <f>IF($Q28="","",INDEX(TRANSACTIONS_MASTER!$AA$5:$AA$1204,$Q28))</f>
        <v/>
      </c>
      <c r="N28" s="25" t="str">
        <f>IF($Q28="","",INDEX(TRANSACTIONS_MASTER!$R$5:$R$1204,$Q28))</f>
        <v/>
      </c>
      <c r="O28" s="28" t="str">
        <f>IF($Q28="","",INDEX(TRANSACTIONS_MASTER!$AB$5:$AB$1204,$Q28))</f>
        <v/>
      </c>
      <c r="P28" s="55" t="str">
        <f>IF($Q28="","",INDEX(TRANSACTIONS_MASTER!$Z$5:$Z$1204,$Q28)&amp;"")</f>
        <v/>
      </c>
      <c r="Q28" s="67" t="str">
        <f>IFERROR(MATCH($C$2&amp;"|"&amp;21,TRANSACTIONS_MASTER!$AE$5:$AE$1204,0),"")</f>
        <v/>
      </c>
      <c r="S28" s="67" t="str">
        <f>IFERROR(MATCH(21,CASHBACK_RULES!$S$5:$S$304,0),"")</f>
        <v/>
      </c>
      <c r="T28" s="55" t="str">
        <f>IF($S28="","",INDEX(CASHBACK_RULES!$B$5:$B$304,$S28))</f>
        <v/>
      </c>
      <c r="U28" s="55" t="str">
        <f>IF($S28="","",INDEX(CASHBACK_RULES!$C$5:$C$304,$S28)&amp;" "&amp;INDEX(CASHBACK_RULES!$D$5:$D$304,$S28))</f>
        <v/>
      </c>
      <c r="V28" s="55" t="str">
        <f>IF($S28="","",INDEX(CASHBACK_RULES!$E$5:$E$304,$S28)&amp;"")</f>
        <v/>
      </c>
      <c r="W28" s="55" t="str">
        <f>IF($S28="","",INDEX(CASHBACK_RULES!$F$5:$F$304,$S28)&amp;"")</f>
        <v/>
      </c>
      <c r="X28" s="26" t="str">
        <f>IF($S28="","",SUMIFS(TRANSACTIONS_MASTER!$Q$5:$Q$1204,TRANSACTIONS_MASTER!$D$5:$D$1204,$T28,TRANSACTIONS_MASTER!$Z$5:$Z$1204,$V28,TRANSACTIONS_MASTER!$C$5:$C$1204,$C$2))</f>
        <v/>
      </c>
      <c r="Y28" s="25" t="str">
        <f>IF($S28="","",IF(ISNUMBER(INDEX(CASHBACK_RULES!$J$5:$J$304,$S28)),INDEX(CASHBACK_RULES!$J$5:$J$304,$S28),"∞"))</f>
        <v/>
      </c>
      <c r="Z28" s="25" t="str">
        <f>IF($S28="","",IF(ISNUMBER($Y28),MAX(0,$Y28-$X28),"∞"))</f>
        <v/>
      </c>
      <c r="AA28" s="27" t="str">
        <f>IF($S28="","",IF(ISNUMBER($Y28),IF($Y28=0,0,$X28/$Y28),""))</f>
        <v/>
      </c>
    </row>
    <row r="29" ht="20" customHeight="1">
      <c r="A29" s="81" t="str">
        <f>IF($Q29="","",22)</f>
        <v/>
      </c>
      <c r="B29" s="57" t="str">
        <f>IF($Q29="","",INDEX(TRANSACTIONS_MASTER!$B$5:$B$1204,$Q29))</f>
        <v/>
      </c>
      <c r="C29" s="55" t="str">
        <f>IF($Q29="","",INDEX(TRANSACTIONS_MASTER!$F$5:$F$1204,$Q29))</f>
        <v/>
      </c>
      <c r="D29" s="55" t="str">
        <f>IF($Q29="","",INDEX(TRANSACTIONS_MASTER!$E$5:$E$1204,$Q29))</f>
        <v/>
      </c>
      <c r="E29" s="55" t="str">
        <f>IF($Q29="","",INDEX(TRANSACTIONS_MASTER!$G$5:$G$1204,$Q29)&amp;"")</f>
        <v/>
      </c>
      <c r="F29" s="29" t="str">
        <f>IF($Q29="","",INDEX(TRANSACTIONS_MASTER!$I$5:$I$1204,$Q29))</f>
        <v/>
      </c>
      <c r="G29" s="55" t="str">
        <f>IF($Q29="","",INDEX(TRANSACTIONS_MASTER!$K$5:$K$1204,$Q29))</f>
        <v/>
      </c>
      <c r="H29" s="25" t="str">
        <f>IF($Q29="","",INDEX(TRANSACTIONS_MASTER!$L$5:$L$1204,$Q29))</f>
        <v/>
      </c>
      <c r="I29" s="56" t="str">
        <f>IF($Q29="","",INDEX(TRANSACTIONS_MASTER!$N$5:$N$1204,$Q29))</f>
        <v/>
      </c>
      <c r="J29" s="25" t="str">
        <f>IF($Q29="","",INDEX(TRANSACTIONS_MASTER!$O$5:$O$1204,$Q29))</f>
        <v/>
      </c>
      <c r="K29" s="26" t="str">
        <f>IF($Q29="","",INDEX(TRANSACTIONS_MASTER!$Q$5:$Q$1204,$Q29))</f>
        <v/>
      </c>
      <c r="L29" s="25" t="str">
        <f>IF($Q29="","",INDEX(TRANSACTIONS_MASTER!$P$5:$P$1204,$Q29))</f>
        <v/>
      </c>
      <c r="M29" s="25" t="str">
        <f>IF($Q29="","",INDEX(TRANSACTIONS_MASTER!$AA$5:$AA$1204,$Q29))</f>
        <v/>
      </c>
      <c r="N29" s="25" t="str">
        <f>IF($Q29="","",INDEX(TRANSACTIONS_MASTER!$R$5:$R$1204,$Q29))</f>
        <v/>
      </c>
      <c r="O29" s="28" t="str">
        <f>IF($Q29="","",INDEX(TRANSACTIONS_MASTER!$AB$5:$AB$1204,$Q29))</f>
        <v/>
      </c>
      <c r="P29" s="55" t="str">
        <f>IF($Q29="","",INDEX(TRANSACTIONS_MASTER!$Z$5:$Z$1204,$Q29)&amp;"")</f>
        <v/>
      </c>
      <c r="Q29" s="67" t="str">
        <f>IFERROR(MATCH($C$2&amp;"|"&amp;22,TRANSACTIONS_MASTER!$AE$5:$AE$1204,0),"")</f>
        <v/>
      </c>
      <c r="S29" s="67" t="str">
        <f>IFERROR(MATCH(22,CASHBACK_RULES!$S$5:$S$304,0),"")</f>
        <v/>
      </c>
      <c r="T29" s="55" t="str">
        <f>IF($S29="","",INDEX(CASHBACK_RULES!$B$5:$B$304,$S29))</f>
        <v/>
      </c>
      <c r="U29" s="55" t="str">
        <f>IF($S29="","",INDEX(CASHBACK_RULES!$C$5:$C$304,$S29)&amp;" "&amp;INDEX(CASHBACK_RULES!$D$5:$D$304,$S29))</f>
        <v/>
      </c>
      <c r="V29" s="55" t="str">
        <f>IF($S29="","",INDEX(CASHBACK_RULES!$E$5:$E$304,$S29)&amp;"")</f>
        <v/>
      </c>
      <c r="W29" s="55" t="str">
        <f>IF($S29="","",INDEX(CASHBACK_RULES!$F$5:$F$304,$S29)&amp;"")</f>
        <v/>
      </c>
      <c r="X29" s="26" t="str">
        <f>IF($S29="","",SUMIFS(TRANSACTIONS_MASTER!$Q$5:$Q$1204,TRANSACTIONS_MASTER!$D$5:$D$1204,$T29,TRANSACTIONS_MASTER!$Z$5:$Z$1204,$V29,TRANSACTIONS_MASTER!$C$5:$C$1204,$C$2))</f>
        <v/>
      </c>
      <c r="Y29" s="25" t="str">
        <f>IF($S29="","",IF(ISNUMBER(INDEX(CASHBACK_RULES!$J$5:$J$304,$S29)),INDEX(CASHBACK_RULES!$J$5:$J$304,$S29),"∞"))</f>
        <v/>
      </c>
      <c r="Z29" s="25" t="str">
        <f>IF($S29="","",IF(ISNUMBER($Y29),MAX(0,$Y29-$X29),"∞"))</f>
        <v/>
      </c>
      <c r="AA29" s="27" t="str">
        <f>IF($S29="","",IF(ISNUMBER($Y29),IF($Y29=0,0,$X29/$Y29),""))</f>
        <v/>
      </c>
    </row>
    <row r="30" ht="20" customHeight="1">
      <c r="A30" s="81" t="str">
        <f>IF($Q30="","",23)</f>
        <v/>
      </c>
      <c r="B30" s="57" t="str">
        <f>IF($Q30="","",INDEX(TRANSACTIONS_MASTER!$B$5:$B$1204,$Q30))</f>
        <v/>
      </c>
      <c r="C30" s="55" t="str">
        <f>IF($Q30="","",INDEX(TRANSACTIONS_MASTER!$F$5:$F$1204,$Q30))</f>
        <v/>
      </c>
      <c r="D30" s="55" t="str">
        <f>IF($Q30="","",INDEX(TRANSACTIONS_MASTER!$E$5:$E$1204,$Q30))</f>
        <v/>
      </c>
      <c r="E30" s="55" t="str">
        <f>IF($Q30="","",INDEX(TRANSACTIONS_MASTER!$G$5:$G$1204,$Q30)&amp;"")</f>
        <v/>
      </c>
      <c r="F30" s="29" t="str">
        <f>IF($Q30="","",INDEX(TRANSACTIONS_MASTER!$I$5:$I$1204,$Q30))</f>
        <v/>
      </c>
      <c r="G30" s="55" t="str">
        <f>IF($Q30="","",INDEX(TRANSACTIONS_MASTER!$K$5:$K$1204,$Q30))</f>
        <v/>
      </c>
      <c r="H30" s="25" t="str">
        <f>IF($Q30="","",INDEX(TRANSACTIONS_MASTER!$L$5:$L$1204,$Q30))</f>
        <v/>
      </c>
      <c r="I30" s="56" t="str">
        <f>IF($Q30="","",INDEX(TRANSACTIONS_MASTER!$N$5:$N$1204,$Q30))</f>
        <v/>
      </c>
      <c r="J30" s="25" t="str">
        <f>IF($Q30="","",INDEX(TRANSACTIONS_MASTER!$O$5:$O$1204,$Q30))</f>
        <v/>
      </c>
      <c r="K30" s="26" t="str">
        <f>IF($Q30="","",INDEX(TRANSACTIONS_MASTER!$Q$5:$Q$1204,$Q30))</f>
        <v/>
      </c>
      <c r="L30" s="25" t="str">
        <f>IF($Q30="","",INDEX(TRANSACTIONS_MASTER!$P$5:$P$1204,$Q30))</f>
        <v/>
      </c>
      <c r="M30" s="25" t="str">
        <f>IF($Q30="","",INDEX(TRANSACTIONS_MASTER!$AA$5:$AA$1204,$Q30))</f>
        <v/>
      </c>
      <c r="N30" s="25" t="str">
        <f>IF($Q30="","",INDEX(TRANSACTIONS_MASTER!$R$5:$R$1204,$Q30))</f>
        <v/>
      </c>
      <c r="O30" s="28" t="str">
        <f>IF($Q30="","",INDEX(TRANSACTIONS_MASTER!$AB$5:$AB$1204,$Q30))</f>
        <v/>
      </c>
      <c r="P30" s="55" t="str">
        <f>IF($Q30="","",INDEX(TRANSACTIONS_MASTER!$Z$5:$Z$1204,$Q30)&amp;"")</f>
        <v/>
      </c>
      <c r="Q30" s="67" t="str">
        <f>IFERROR(MATCH($C$2&amp;"|"&amp;23,TRANSACTIONS_MASTER!$AE$5:$AE$1204,0),"")</f>
        <v/>
      </c>
      <c r="S30" s="67" t="str">
        <f>IFERROR(MATCH(23,CASHBACK_RULES!$S$5:$S$304,0),"")</f>
        <v/>
      </c>
      <c r="T30" s="55" t="str">
        <f>IF($S30="","",INDEX(CASHBACK_RULES!$B$5:$B$304,$S30))</f>
        <v/>
      </c>
      <c r="U30" s="55" t="str">
        <f>IF($S30="","",INDEX(CASHBACK_RULES!$C$5:$C$304,$S30)&amp;" "&amp;INDEX(CASHBACK_RULES!$D$5:$D$304,$S30))</f>
        <v/>
      </c>
      <c r="V30" s="55" t="str">
        <f>IF($S30="","",INDEX(CASHBACK_RULES!$E$5:$E$304,$S30)&amp;"")</f>
        <v/>
      </c>
      <c r="W30" s="55" t="str">
        <f>IF($S30="","",INDEX(CASHBACK_RULES!$F$5:$F$304,$S30)&amp;"")</f>
        <v/>
      </c>
      <c r="X30" s="26" t="str">
        <f>IF($S30="","",SUMIFS(TRANSACTIONS_MASTER!$Q$5:$Q$1204,TRANSACTIONS_MASTER!$D$5:$D$1204,$T30,TRANSACTIONS_MASTER!$Z$5:$Z$1204,$V30,TRANSACTIONS_MASTER!$C$5:$C$1204,$C$2))</f>
        <v/>
      </c>
      <c r="Y30" s="25" t="str">
        <f>IF($S30="","",IF(ISNUMBER(INDEX(CASHBACK_RULES!$J$5:$J$304,$S30)),INDEX(CASHBACK_RULES!$J$5:$J$304,$S30),"∞"))</f>
        <v/>
      </c>
      <c r="Z30" s="25" t="str">
        <f>IF($S30="","",IF(ISNUMBER($Y30),MAX(0,$Y30-$X30),"∞"))</f>
        <v/>
      </c>
      <c r="AA30" s="27" t="str">
        <f>IF($S30="","",IF(ISNUMBER($Y30),IF($Y30=0,0,$X30/$Y30),""))</f>
        <v/>
      </c>
    </row>
    <row r="31" ht="20" customHeight="1">
      <c r="A31" s="81" t="str">
        <f>IF($Q31="","",24)</f>
        <v/>
      </c>
      <c r="B31" s="57" t="str">
        <f>IF($Q31="","",INDEX(TRANSACTIONS_MASTER!$B$5:$B$1204,$Q31))</f>
        <v/>
      </c>
      <c r="C31" s="55" t="str">
        <f>IF($Q31="","",INDEX(TRANSACTIONS_MASTER!$F$5:$F$1204,$Q31))</f>
        <v/>
      </c>
      <c r="D31" s="55" t="str">
        <f>IF($Q31="","",INDEX(TRANSACTIONS_MASTER!$E$5:$E$1204,$Q31))</f>
        <v/>
      </c>
      <c r="E31" s="55" t="str">
        <f>IF($Q31="","",INDEX(TRANSACTIONS_MASTER!$G$5:$G$1204,$Q31)&amp;"")</f>
        <v/>
      </c>
      <c r="F31" s="29" t="str">
        <f>IF($Q31="","",INDEX(TRANSACTIONS_MASTER!$I$5:$I$1204,$Q31))</f>
        <v/>
      </c>
      <c r="G31" s="55" t="str">
        <f>IF($Q31="","",INDEX(TRANSACTIONS_MASTER!$K$5:$K$1204,$Q31))</f>
        <v/>
      </c>
      <c r="H31" s="25" t="str">
        <f>IF($Q31="","",INDEX(TRANSACTIONS_MASTER!$L$5:$L$1204,$Q31))</f>
        <v/>
      </c>
      <c r="I31" s="56" t="str">
        <f>IF($Q31="","",INDEX(TRANSACTIONS_MASTER!$N$5:$N$1204,$Q31))</f>
        <v/>
      </c>
      <c r="J31" s="25" t="str">
        <f>IF($Q31="","",INDEX(TRANSACTIONS_MASTER!$O$5:$O$1204,$Q31))</f>
        <v/>
      </c>
      <c r="K31" s="26" t="str">
        <f>IF($Q31="","",INDEX(TRANSACTIONS_MASTER!$Q$5:$Q$1204,$Q31))</f>
        <v/>
      </c>
      <c r="L31" s="25" t="str">
        <f>IF($Q31="","",INDEX(TRANSACTIONS_MASTER!$P$5:$P$1204,$Q31))</f>
        <v/>
      </c>
      <c r="M31" s="25" t="str">
        <f>IF($Q31="","",INDEX(TRANSACTIONS_MASTER!$AA$5:$AA$1204,$Q31))</f>
        <v/>
      </c>
      <c r="N31" s="25" t="str">
        <f>IF($Q31="","",INDEX(TRANSACTIONS_MASTER!$R$5:$R$1204,$Q31))</f>
        <v/>
      </c>
      <c r="O31" s="28" t="str">
        <f>IF($Q31="","",INDEX(TRANSACTIONS_MASTER!$AB$5:$AB$1204,$Q31))</f>
        <v/>
      </c>
      <c r="P31" s="55" t="str">
        <f>IF($Q31="","",INDEX(TRANSACTIONS_MASTER!$Z$5:$Z$1204,$Q31)&amp;"")</f>
        <v/>
      </c>
      <c r="Q31" s="67" t="str">
        <f>IFERROR(MATCH($C$2&amp;"|"&amp;24,TRANSACTIONS_MASTER!$AE$5:$AE$1204,0),"")</f>
        <v/>
      </c>
      <c r="S31" s="67" t="str">
        <f>IFERROR(MATCH(24,CASHBACK_RULES!$S$5:$S$304,0),"")</f>
        <v/>
      </c>
      <c r="T31" s="55" t="str">
        <f>IF($S31="","",INDEX(CASHBACK_RULES!$B$5:$B$304,$S31))</f>
        <v/>
      </c>
      <c r="U31" s="55" t="str">
        <f>IF($S31="","",INDEX(CASHBACK_RULES!$C$5:$C$304,$S31)&amp;" "&amp;INDEX(CASHBACK_RULES!$D$5:$D$304,$S31))</f>
        <v/>
      </c>
      <c r="V31" s="55" t="str">
        <f>IF($S31="","",INDEX(CASHBACK_RULES!$E$5:$E$304,$S31)&amp;"")</f>
        <v/>
      </c>
      <c r="W31" s="55" t="str">
        <f>IF($S31="","",INDEX(CASHBACK_RULES!$F$5:$F$304,$S31)&amp;"")</f>
        <v/>
      </c>
      <c r="X31" s="26" t="str">
        <f>IF($S31="","",SUMIFS(TRANSACTIONS_MASTER!$Q$5:$Q$1204,TRANSACTIONS_MASTER!$D$5:$D$1204,$T31,TRANSACTIONS_MASTER!$Z$5:$Z$1204,$V31,TRANSACTIONS_MASTER!$C$5:$C$1204,$C$2))</f>
        <v/>
      </c>
      <c r="Y31" s="25" t="str">
        <f>IF($S31="","",IF(ISNUMBER(INDEX(CASHBACK_RULES!$J$5:$J$304,$S31)),INDEX(CASHBACK_RULES!$J$5:$J$304,$S31),"∞"))</f>
        <v/>
      </c>
      <c r="Z31" s="25" t="str">
        <f>IF($S31="","",IF(ISNUMBER($Y31),MAX(0,$Y31-$X31),"∞"))</f>
        <v/>
      </c>
      <c r="AA31" s="27" t="str">
        <f>IF($S31="","",IF(ISNUMBER($Y31),IF($Y31=0,0,$X31/$Y31),""))</f>
        <v/>
      </c>
    </row>
    <row r="32" ht="20" customHeight="1">
      <c r="A32" s="81" t="str">
        <f>IF($Q32="","",25)</f>
        <v/>
      </c>
      <c r="B32" s="57" t="str">
        <f>IF($Q32="","",INDEX(TRANSACTIONS_MASTER!$B$5:$B$1204,$Q32))</f>
        <v/>
      </c>
      <c r="C32" s="55" t="str">
        <f>IF($Q32="","",INDEX(TRANSACTIONS_MASTER!$F$5:$F$1204,$Q32))</f>
        <v/>
      </c>
      <c r="D32" s="55" t="str">
        <f>IF($Q32="","",INDEX(TRANSACTIONS_MASTER!$E$5:$E$1204,$Q32))</f>
        <v/>
      </c>
      <c r="E32" s="55" t="str">
        <f>IF($Q32="","",INDEX(TRANSACTIONS_MASTER!$G$5:$G$1204,$Q32)&amp;"")</f>
        <v/>
      </c>
      <c r="F32" s="29" t="str">
        <f>IF($Q32="","",INDEX(TRANSACTIONS_MASTER!$I$5:$I$1204,$Q32))</f>
        <v/>
      </c>
      <c r="G32" s="55" t="str">
        <f>IF($Q32="","",INDEX(TRANSACTIONS_MASTER!$K$5:$K$1204,$Q32))</f>
        <v/>
      </c>
      <c r="H32" s="25" t="str">
        <f>IF($Q32="","",INDEX(TRANSACTIONS_MASTER!$L$5:$L$1204,$Q32))</f>
        <v/>
      </c>
      <c r="I32" s="56" t="str">
        <f>IF($Q32="","",INDEX(TRANSACTIONS_MASTER!$N$5:$N$1204,$Q32))</f>
        <v/>
      </c>
      <c r="J32" s="25" t="str">
        <f>IF($Q32="","",INDEX(TRANSACTIONS_MASTER!$O$5:$O$1204,$Q32))</f>
        <v/>
      </c>
      <c r="K32" s="26" t="str">
        <f>IF($Q32="","",INDEX(TRANSACTIONS_MASTER!$Q$5:$Q$1204,$Q32))</f>
        <v/>
      </c>
      <c r="L32" s="25" t="str">
        <f>IF($Q32="","",INDEX(TRANSACTIONS_MASTER!$P$5:$P$1204,$Q32))</f>
        <v/>
      </c>
      <c r="M32" s="25" t="str">
        <f>IF($Q32="","",INDEX(TRANSACTIONS_MASTER!$AA$5:$AA$1204,$Q32))</f>
        <v/>
      </c>
      <c r="N32" s="25" t="str">
        <f>IF($Q32="","",INDEX(TRANSACTIONS_MASTER!$R$5:$R$1204,$Q32))</f>
        <v/>
      </c>
      <c r="O32" s="28" t="str">
        <f>IF($Q32="","",INDEX(TRANSACTIONS_MASTER!$AB$5:$AB$1204,$Q32))</f>
        <v/>
      </c>
      <c r="P32" s="55" t="str">
        <f>IF($Q32="","",INDEX(TRANSACTIONS_MASTER!$Z$5:$Z$1204,$Q32)&amp;"")</f>
        <v/>
      </c>
      <c r="Q32" s="67" t="str">
        <f>IFERROR(MATCH($C$2&amp;"|"&amp;25,TRANSACTIONS_MASTER!$AE$5:$AE$1204,0),"")</f>
        <v/>
      </c>
      <c r="S32" s="67" t="str">
        <f>IFERROR(MATCH(25,CASHBACK_RULES!$S$5:$S$304,0),"")</f>
        <v/>
      </c>
      <c r="T32" s="55" t="str">
        <f>IF($S32="","",INDEX(CASHBACK_RULES!$B$5:$B$304,$S32))</f>
        <v/>
      </c>
      <c r="U32" s="55" t="str">
        <f>IF($S32="","",INDEX(CASHBACK_RULES!$C$5:$C$304,$S32)&amp;" "&amp;INDEX(CASHBACK_RULES!$D$5:$D$304,$S32))</f>
        <v/>
      </c>
      <c r="V32" s="55" t="str">
        <f>IF($S32="","",INDEX(CASHBACK_RULES!$E$5:$E$304,$S32)&amp;"")</f>
        <v/>
      </c>
      <c r="W32" s="55" t="str">
        <f>IF($S32="","",INDEX(CASHBACK_RULES!$F$5:$F$304,$S32)&amp;"")</f>
        <v/>
      </c>
      <c r="X32" s="26" t="str">
        <f>IF($S32="","",SUMIFS(TRANSACTIONS_MASTER!$Q$5:$Q$1204,TRANSACTIONS_MASTER!$D$5:$D$1204,$T32,TRANSACTIONS_MASTER!$Z$5:$Z$1204,$V32,TRANSACTIONS_MASTER!$C$5:$C$1204,$C$2))</f>
        <v/>
      </c>
      <c r="Y32" s="25" t="str">
        <f>IF($S32="","",IF(ISNUMBER(INDEX(CASHBACK_RULES!$J$5:$J$304,$S32)),INDEX(CASHBACK_RULES!$J$5:$J$304,$S32),"∞"))</f>
        <v/>
      </c>
      <c r="Z32" s="25" t="str">
        <f>IF($S32="","",IF(ISNUMBER($Y32),MAX(0,$Y32-$X32),"∞"))</f>
        <v/>
      </c>
      <c r="AA32" s="27" t="str">
        <f>IF($S32="","",IF(ISNUMBER($Y32),IF($Y32=0,0,$X32/$Y32),""))</f>
        <v/>
      </c>
    </row>
    <row r="33" ht="20" customHeight="1">
      <c r="A33" s="81" t="str">
        <f>IF($Q33="","",26)</f>
        <v/>
      </c>
      <c r="B33" s="57" t="str">
        <f>IF($Q33="","",INDEX(TRANSACTIONS_MASTER!$B$5:$B$1204,$Q33))</f>
        <v/>
      </c>
      <c r="C33" s="55" t="str">
        <f>IF($Q33="","",INDEX(TRANSACTIONS_MASTER!$F$5:$F$1204,$Q33))</f>
        <v/>
      </c>
      <c r="D33" s="55" t="str">
        <f>IF($Q33="","",INDEX(TRANSACTIONS_MASTER!$E$5:$E$1204,$Q33))</f>
        <v/>
      </c>
      <c r="E33" s="55" t="str">
        <f>IF($Q33="","",INDEX(TRANSACTIONS_MASTER!$G$5:$G$1204,$Q33)&amp;"")</f>
        <v/>
      </c>
      <c r="F33" s="29" t="str">
        <f>IF($Q33="","",INDEX(TRANSACTIONS_MASTER!$I$5:$I$1204,$Q33))</f>
        <v/>
      </c>
      <c r="G33" s="55" t="str">
        <f>IF($Q33="","",INDEX(TRANSACTIONS_MASTER!$K$5:$K$1204,$Q33))</f>
        <v/>
      </c>
      <c r="H33" s="25" t="str">
        <f>IF($Q33="","",INDEX(TRANSACTIONS_MASTER!$L$5:$L$1204,$Q33))</f>
        <v/>
      </c>
      <c r="I33" s="56" t="str">
        <f>IF($Q33="","",INDEX(TRANSACTIONS_MASTER!$N$5:$N$1204,$Q33))</f>
        <v/>
      </c>
      <c r="J33" s="25" t="str">
        <f>IF($Q33="","",INDEX(TRANSACTIONS_MASTER!$O$5:$O$1204,$Q33))</f>
        <v/>
      </c>
      <c r="K33" s="26" t="str">
        <f>IF($Q33="","",INDEX(TRANSACTIONS_MASTER!$Q$5:$Q$1204,$Q33))</f>
        <v/>
      </c>
      <c r="L33" s="25" t="str">
        <f>IF($Q33="","",INDEX(TRANSACTIONS_MASTER!$P$5:$P$1204,$Q33))</f>
        <v/>
      </c>
      <c r="M33" s="25" t="str">
        <f>IF($Q33="","",INDEX(TRANSACTIONS_MASTER!$AA$5:$AA$1204,$Q33))</f>
        <v/>
      </c>
      <c r="N33" s="25" t="str">
        <f>IF($Q33="","",INDEX(TRANSACTIONS_MASTER!$R$5:$R$1204,$Q33))</f>
        <v/>
      </c>
      <c r="O33" s="28" t="str">
        <f>IF($Q33="","",INDEX(TRANSACTIONS_MASTER!$AB$5:$AB$1204,$Q33))</f>
        <v/>
      </c>
      <c r="P33" s="55" t="str">
        <f>IF($Q33="","",INDEX(TRANSACTIONS_MASTER!$Z$5:$Z$1204,$Q33)&amp;"")</f>
        <v/>
      </c>
      <c r="Q33" s="67" t="str">
        <f>IFERROR(MATCH($C$2&amp;"|"&amp;26,TRANSACTIONS_MASTER!$AE$5:$AE$1204,0),"")</f>
        <v/>
      </c>
      <c r="S33" s="67" t="str">
        <f>IFERROR(MATCH(26,CASHBACK_RULES!$S$5:$S$304,0),"")</f>
        <v/>
      </c>
      <c r="T33" s="55" t="str">
        <f>IF($S33="","",INDEX(CASHBACK_RULES!$B$5:$B$304,$S33))</f>
        <v/>
      </c>
      <c r="U33" s="55" t="str">
        <f>IF($S33="","",INDEX(CASHBACK_RULES!$C$5:$C$304,$S33)&amp;" "&amp;INDEX(CASHBACK_RULES!$D$5:$D$304,$S33))</f>
        <v/>
      </c>
      <c r="V33" s="55" t="str">
        <f>IF($S33="","",INDEX(CASHBACK_RULES!$E$5:$E$304,$S33)&amp;"")</f>
        <v/>
      </c>
      <c r="W33" s="55" t="str">
        <f>IF($S33="","",INDEX(CASHBACK_RULES!$F$5:$F$304,$S33)&amp;"")</f>
        <v/>
      </c>
      <c r="X33" s="26" t="str">
        <f>IF($S33="","",SUMIFS(TRANSACTIONS_MASTER!$Q$5:$Q$1204,TRANSACTIONS_MASTER!$D$5:$D$1204,$T33,TRANSACTIONS_MASTER!$Z$5:$Z$1204,$V33,TRANSACTIONS_MASTER!$C$5:$C$1204,$C$2))</f>
        <v/>
      </c>
      <c r="Y33" s="25" t="str">
        <f>IF($S33="","",IF(ISNUMBER(INDEX(CASHBACK_RULES!$J$5:$J$304,$S33)),INDEX(CASHBACK_RULES!$J$5:$J$304,$S33),"∞"))</f>
        <v/>
      </c>
      <c r="Z33" s="25" t="str">
        <f>IF($S33="","",IF(ISNUMBER($Y33),MAX(0,$Y33-$X33),"∞"))</f>
        <v/>
      </c>
      <c r="AA33" s="27" t="str">
        <f>IF($S33="","",IF(ISNUMBER($Y33),IF($Y33=0,0,$X33/$Y33),""))</f>
        <v/>
      </c>
    </row>
    <row r="34" ht="20" customHeight="1">
      <c r="A34" s="81" t="str">
        <f>IF($Q34="","",27)</f>
        <v/>
      </c>
      <c r="B34" s="57" t="str">
        <f>IF($Q34="","",INDEX(TRANSACTIONS_MASTER!$B$5:$B$1204,$Q34))</f>
        <v/>
      </c>
      <c r="C34" s="55" t="str">
        <f>IF($Q34="","",INDEX(TRANSACTIONS_MASTER!$F$5:$F$1204,$Q34))</f>
        <v/>
      </c>
      <c r="D34" s="55" t="str">
        <f>IF($Q34="","",INDEX(TRANSACTIONS_MASTER!$E$5:$E$1204,$Q34))</f>
        <v/>
      </c>
      <c r="E34" s="55" t="str">
        <f>IF($Q34="","",INDEX(TRANSACTIONS_MASTER!$G$5:$G$1204,$Q34)&amp;"")</f>
        <v/>
      </c>
      <c r="F34" s="29" t="str">
        <f>IF($Q34="","",INDEX(TRANSACTIONS_MASTER!$I$5:$I$1204,$Q34))</f>
        <v/>
      </c>
      <c r="G34" s="55" t="str">
        <f>IF($Q34="","",INDEX(TRANSACTIONS_MASTER!$K$5:$K$1204,$Q34))</f>
        <v/>
      </c>
      <c r="H34" s="25" t="str">
        <f>IF($Q34="","",INDEX(TRANSACTIONS_MASTER!$L$5:$L$1204,$Q34))</f>
        <v/>
      </c>
      <c r="I34" s="56" t="str">
        <f>IF($Q34="","",INDEX(TRANSACTIONS_MASTER!$N$5:$N$1204,$Q34))</f>
        <v/>
      </c>
      <c r="J34" s="25" t="str">
        <f>IF($Q34="","",INDEX(TRANSACTIONS_MASTER!$O$5:$O$1204,$Q34))</f>
        <v/>
      </c>
      <c r="K34" s="26" t="str">
        <f>IF($Q34="","",INDEX(TRANSACTIONS_MASTER!$Q$5:$Q$1204,$Q34))</f>
        <v/>
      </c>
      <c r="L34" s="25" t="str">
        <f>IF($Q34="","",INDEX(TRANSACTIONS_MASTER!$P$5:$P$1204,$Q34))</f>
        <v/>
      </c>
      <c r="M34" s="25" t="str">
        <f>IF($Q34="","",INDEX(TRANSACTIONS_MASTER!$AA$5:$AA$1204,$Q34))</f>
        <v/>
      </c>
      <c r="N34" s="25" t="str">
        <f>IF($Q34="","",INDEX(TRANSACTIONS_MASTER!$R$5:$R$1204,$Q34))</f>
        <v/>
      </c>
      <c r="O34" s="28" t="str">
        <f>IF($Q34="","",INDEX(TRANSACTIONS_MASTER!$AB$5:$AB$1204,$Q34))</f>
        <v/>
      </c>
      <c r="P34" s="55" t="str">
        <f>IF($Q34="","",INDEX(TRANSACTIONS_MASTER!$Z$5:$Z$1204,$Q34)&amp;"")</f>
        <v/>
      </c>
      <c r="Q34" s="67" t="str">
        <f>IFERROR(MATCH($C$2&amp;"|"&amp;27,TRANSACTIONS_MASTER!$AE$5:$AE$1204,0),"")</f>
        <v/>
      </c>
      <c r="S34" s="67" t="str">
        <f>IFERROR(MATCH(27,CASHBACK_RULES!$S$5:$S$304,0),"")</f>
        <v/>
      </c>
      <c r="T34" s="55" t="str">
        <f>IF($S34="","",INDEX(CASHBACK_RULES!$B$5:$B$304,$S34))</f>
        <v/>
      </c>
      <c r="U34" s="55" t="str">
        <f>IF($S34="","",INDEX(CASHBACK_RULES!$C$5:$C$304,$S34)&amp;" "&amp;INDEX(CASHBACK_RULES!$D$5:$D$304,$S34))</f>
        <v/>
      </c>
      <c r="V34" s="55" t="str">
        <f>IF($S34="","",INDEX(CASHBACK_RULES!$E$5:$E$304,$S34)&amp;"")</f>
        <v/>
      </c>
      <c r="W34" s="55" t="str">
        <f>IF($S34="","",INDEX(CASHBACK_RULES!$F$5:$F$304,$S34)&amp;"")</f>
        <v/>
      </c>
      <c r="X34" s="26" t="str">
        <f>IF($S34="","",SUMIFS(TRANSACTIONS_MASTER!$Q$5:$Q$1204,TRANSACTIONS_MASTER!$D$5:$D$1204,$T34,TRANSACTIONS_MASTER!$Z$5:$Z$1204,$V34,TRANSACTIONS_MASTER!$C$5:$C$1204,$C$2))</f>
        <v/>
      </c>
      <c r="Y34" s="25" t="str">
        <f>IF($S34="","",IF(ISNUMBER(INDEX(CASHBACK_RULES!$J$5:$J$304,$S34)),INDEX(CASHBACK_RULES!$J$5:$J$304,$S34),"∞"))</f>
        <v/>
      </c>
      <c r="Z34" s="25" t="str">
        <f>IF($S34="","",IF(ISNUMBER($Y34),MAX(0,$Y34-$X34),"∞"))</f>
        <v/>
      </c>
      <c r="AA34" s="27" t="str">
        <f>IF($S34="","",IF(ISNUMBER($Y34),IF($Y34=0,0,$X34/$Y34),""))</f>
        <v/>
      </c>
    </row>
    <row r="35" ht="20" customHeight="1">
      <c r="A35" s="81" t="str">
        <f>IF($Q35="","",28)</f>
        <v/>
      </c>
      <c r="B35" s="57" t="str">
        <f>IF($Q35="","",INDEX(TRANSACTIONS_MASTER!$B$5:$B$1204,$Q35))</f>
        <v/>
      </c>
      <c r="C35" s="55" t="str">
        <f>IF($Q35="","",INDEX(TRANSACTIONS_MASTER!$F$5:$F$1204,$Q35))</f>
        <v/>
      </c>
      <c r="D35" s="55" t="str">
        <f>IF($Q35="","",INDEX(TRANSACTIONS_MASTER!$E$5:$E$1204,$Q35))</f>
        <v/>
      </c>
      <c r="E35" s="55" t="str">
        <f>IF($Q35="","",INDEX(TRANSACTIONS_MASTER!$G$5:$G$1204,$Q35)&amp;"")</f>
        <v/>
      </c>
      <c r="F35" s="29" t="str">
        <f>IF($Q35="","",INDEX(TRANSACTIONS_MASTER!$I$5:$I$1204,$Q35))</f>
        <v/>
      </c>
      <c r="G35" s="55" t="str">
        <f>IF($Q35="","",INDEX(TRANSACTIONS_MASTER!$K$5:$K$1204,$Q35))</f>
        <v/>
      </c>
      <c r="H35" s="25" t="str">
        <f>IF($Q35="","",INDEX(TRANSACTIONS_MASTER!$L$5:$L$1204,$Q35))</f>
        <v/>
      </c>
      <c r="I35" s="56" t="str">
        <f>IF($Q35="","",INDEX(TRANSACTIONS_MASTER!$N$5:$N$1204,$Q35))</f>
        <v/>
      </c>
      <c r="J35" s="25" t="str">
        <f>IF($Q35="","",INDEX(TRANSACTIONS_MASTER!$O$5:$O$1204,$Q35))</f>
        <v/>
      </c>
      <c r="K35" s="26" t="str">
        <f>IF($Q35="","",INDEX(TRANSACTIONS_MASTER!$Q$5:$Q$1204,$Q35))</f>
        <v/>
      </c>
      <c r="L35" s="25" t="str">
        <f>IF($Q35="","",INDEX(TRANSACTIONS_MASTER!$P$5:$P$1204,$Q35))</f>
        <v/>
      </c>
      <c r="M35" s="25" t="str">
        <f>IF($Q35="","",INDEX(TRANSACTIONS_MASTER!$AA$5:$AA$1204,$Q35))</f>
        <v/>
      </c>
      <c r="N35" s="25" t="str">
        <f>IF($Q35="","",INDEX(TRANSACTIONS_MASTER!$R$5:$R$1204,$Q35))</f>
        <v/>
      </c>
      <c r="O35" s="28" t="str">
        <f>IF($Q35="","",INDEX(TRANSACTIONS_MASTER!$AB$5:$AB$1204,$Q35))</f>
        <v/>
      </c>
      <c r="P35" s="55" t="str">
        <f>IF($Q35="","",INDEX(TRANSACTIONS_MASTER!$Z$5:$Z$1204,$Q35)&amp;"")</f>
        <v/>
      </c>
      <c r="Q35" s="67" t="str">
        <f>IFERROR(MATCH($C$2&amp;"|"&amp;28,TRANSACTIONS_MASTER!$AE$5:$AE$1204,0),"")</f>
        <v/>
      </c>
      <c r="S35" s="67" t="str">
        <f>IFERROR(MATCH(28,CASHBACK_RULES!$S$5:$S$304,0),"")</f>
        <v/>
      </c>
      <c r="T35" s="55" t="str">
        <f>IF($S35="","",INDEX(CASHBACK_RULES!$B$5:$B$304,$S35))</f>
        <v/>
      </c>
      <c r="U35" s="55" t="str">
        <f>IF($S35="","",INDEX(CASHBACK_RULES!$C$5:$C$304,$S35)&amp;" "&amp;INDEX(CASHBACK_RULES!$D$5:$D$304,$S35))</f>
        <v/>
      </c>
      <c r="V35" s="55" t="str">
        <f>IF($S35="","",INDEX(CASHBACK_RULES!$E$5:$E$304,$S35)&amp;"")</f>
        <v/>
      </c>
      <c r="W35" s="55" t="str">
        <f>IF($S35="","",INDEX(CASHBACK_RULES!$F$5:$F$304,$S35)&amp;"")</f>
        <v/>
      </c>
      <c r="X35" s="26" t="str">
        <f>IF($S35="","",SUMIFS(TRANSACTIONS_MASTER!$Q$5:$Q$1204,TRANSACTIONS_MASTER!$D$5:$D$1204,$T35,TRANSACTIONS_MASTER!$Z$5:$Z$1204,$V35,TRANSACTIONS_MASTER!$C$5:$C$1204,$C$2))</f>
        <v/>
      </c>
      <c r="Y35" s="25" t="str">
        <f>IF($S35="","",IF(ISNUMBER(INDEX(CASHBACK_RULES!$J$5:$J$304,$S35)),INDEX(CASHBACK_RULES!$J$5:$J$304,$S35),"∞"))</f>
        <v/>
      </c>
      <c r="Z35" s="25" t="str">
        <f>IF($S35="","",IF(ISNUMBER($Y35),MAX(0,$Y35-$X35),"∞"))</f>
        <v/>
      </c>
      <c r="AA35" s="27" t="str">
        <f>IF($S35="","",IF(ISNUMBER($Y35),IF($Y35=0,0,$X35/$Y35),""))</f>
        <v/>
      </c>
    </row>
    <row r="36" ht="20" customHeight="1">
      <c r="A36" s="81" t="str">
        <f>IF($Q36="","",29)</f>
        <v/>
      </c>
      <c r="B36" s="57" t="str">
        <f>IF($Q36="","",INDEX(TRANSACTIONS_MASTER!$B$5:$B$1204,$Q36))</f>
        <v/>
      </c>
      <c r="C36" s="55" t="str">
        <f>IF($Q36="","",INDEX(TRANSACTIONS_MASTER!$F$5:$F$1204,$Q36))</f>
        <v/>
      </c>
      <c r="D36" s="55" t="str">
        <f>IF($Q36="","",INDEX(TRANSACTIONS_MASTER!$E$5:$E$1204,$Q36))</f>
        <v/>
      </c>
      <c r="E36" s="55" t="str">
        <f>IF($Q36="","",INDEX(TRANSACTIONS_MASTER!$G$5:$G$1204,$Q36)&amp;"")</f>
        <v/>
      </c>
      <c r="F36" s="29" t="str">
        <f>IF($Q36="","",INDEX(TRANSACTIONS_MASTER!$I$5:$I$1204,$Q36))</f>
        <v/>
      </c>
      <c r="G36" s="55" t="str">
        <f>IF($Q36="","",INDEX(TRANSACTIONS_MASTER!$K$5:$K$1204,$Q36))</f>
        <v/>
      </c>
      <c r="H36" s="25" t="str">
        <f>IF($Q36="","",INDEX(TRANSACTIONS_MASTER!$L$5:$L$1204,$Q36))</f>
        <v/>
      </c>
      <c r="I36" s="56" t="str">
        <f>IF($Q36="","",INDEX(TRANSACTIONS_MASTER!$N$5:$N$1204,$Q36))</f>
        <v/>
      </c>
      <c r="J36" s="25" t="str">
        <f>IF($Q36="","",INDEX(TRANSACTIONS_MASTER!$O$5:$O$1204,$Q36))</f>
        <v/>
      </c>
      <c r="K36" s="26" t="str">
        <f>IF($Q36="","",INDEX(TRANSACTIONS_MASTER!$Q$5:$Q$1204,$Q36))</f>
        <v/>
      </c>
      <c r="L36" s="25" t="str">
        <f>IF($Q36="","",INDEX(TRANSACTIONS_MASTER!$P$5:$P$1204,$Q36))</f>
        <v/>
      </c>
      <c r="M36" s="25" t="str">
        <f>IF($Q36="","",INDEX(TRANSACTIONS_MASTER!$AA$5:$AA$1204,$Q36))</f>
        <v/>
      </c>
      <c r="N36" s="25" t="str">
        <f>IF($Q36="","",INDEX(TRANSACTIONS_MASTER!$R$5:$R$1204,$Q36))</f>
        <v/>
      </c>
      <c r="O36" s="28" t="str">
        <f>IF($Q36="","",INDEX(TRANSACTIONS_MASTER!$AB$5:$AB$1204,$Q36))</f>
        <v/>
      </c>
      <c r="P36" s="55" t="str">
        <f>IF($Q36="","",INDEX(TRANSACTIONS_MASTER!$Z$5:$Z$1204,$Q36)&amp;"")</f>
        <v/>
      </c>
      <c r="Q36" s="67" t="str">
        <f>IFERROR(MATCH($C$2&amp;"|"&amp;29,TRANSACTIONS_MASTER!$AE$5:$AE$1204,0),"")</f>
        <v/>
      </c>
      <c r="S36" s="67" t="str">
        <f>IFERROR(MATCH(29,CASHBACK_RULES!$S$5:$S$304,0),"")</f>
        <v/>
      </c>
      <c r="T36" s="55" t="str">
        <f>IF($S36="","",INDEX(CASHBACK_RULES!$B$5:$B$304,$S36))</f>
        <v/>
      </c>
      <c r="U36" s="55" t="str">
        <f>IF($S36="","",INDEX(CASHBACK_RULES!$C$5:$C$304,$S36)&amp;" "&amp;INDEX(CASHBACK_RULES!$D$5:$D$304,$S36))</f>
        <v/>
      </c>
      <c r="V36" s="55" t="str">
        <f>IF($S36="","",INDEX(CASHBACK_RULES!$E$5:$E$304,$S36)&amp;"")</f>
        <v/>
      </c>
      <c r="W36" s="55" t="str">
        <f>IF($S36="","",INDEX(CASHBACK_RULES!$F$5:$F$304,$S36)&amp;"")</f>
        <v/>
      </c>
      <c r="X36" s="26" t="str">
        <f>IF($S36="","",SUMIFS(TRANSACTIONS_MASTER!$Q$5:$Q$1204,TRANSACTIONS_MASTER!$D$5:$D$1204,$T36,TRANSACTIONS_MASTER!$Z$5:$Z$1204,$V36,TRANSACTIONS_MASTER!$C$5:$C$1204,$C$2))</f>
        <v/>
      </c>
      <c r="Y36" s="25" t="str">
        <f>IF($S36="","",IF(ISNUMBER(INDEX(CASHBACK_RULES!$J$5:$J$304,$S36)),INDEX(CASHBACK_RULES!$J$5:$J$304,$S36),"∞"))</f>
        <v/>
      </c>
      <c r="Z36" s="25" t="str">
        <f>IF($S36="","",IF(ISNUMBER($Y36),MAX(0,$Y36-$X36),"∞"))</f>
        <v/>
      </c>
      <c r="AA36" s="27" t="str">
        <f>IF($S36="","",IF(ISNUMBER($Y36),IF($Y36=0,0,$X36/$Y36),""))</f>
        <v/>
      </c>
    </row>
    <row r="37" ht="20" customHeight="1">
      <c r="A37" s="81" t="str">
        <f>IF($Q37="","",30)</f>
        <v/>
      </c>
      <c r="B37" s="57" t="str">
        <f>IF($Q37="","",INDEX(TRANSACTIONS_MASTER!$B$5:$B$1204,$Q37))</f>
        <v/>
      </c>
      <c r="C37" s="55" t="str">
        <f>IF($Q37="","",INDEX(TRANSACTIONS_MASTER!$F$5:$F$1204,$Q37))</f>
        <v/>
      </c>
      <c r="D37" s="55" t="str">
        <f>IF($Q37="","",INDEX(TRANSACTIONS_MASTER!$E$5:$E$1204,$Q37))</f>
        <v/>
      </c>
      <c r="E37" s="55" t="str">
        <f>IF($Q37="","",INDEX(TRANSACTIONS_MASTER!$G$5:$G$1204,$Q37)&amp;"")</f>
        <v/>
      </c>
      <c r="F37" s="29" t="str">
        <f>IF($Q37="","",INDEX(TRANSACTIONS_MASTER!$I$5:$I$1204,$Q37))</f>
        <v/>
      </c>
      <c r="G37" s="55" t="str">
        <f>IF($Q37="","",INDEX(TRANSACTIONS_MASTER!$K$5:$K$1204,$Q37))</f>
        <v/>
      </c>
      <c r="H37" s="25" t="str">
        <f>IF($Q37="","",INDEX(TRANSACTIONS_MASTER!$L$5:$L$1204,$Q37))</f>
        <v/>
      </c>
      <c r="I37" s="56" t="str">
        <f>IF($Q37="","",INDEX(TRANSACTIONS_MASTER!$N$5:$N$1204,$Q37))</f>
        <v/>
      </c>
      <c r="J37" s="25" t="str">
        <f>IF($Q37="","",INDEX(TRANSACTIONS_MASTER!$O$5:$O$1204,$Q37))</f>
        <v/>
      </c>
      <c r="K37" s="26" t="str">
        <f>IF($Q37="","",INDEX(TRANSACTIONS_MASTER!$Q$5:$Q$1204,$Q37))</f>
        <v/>
      </c>
      <c r="L37" s="25" t="str">
        <f>IF($Q37="","",INDEX(TRANSACTIONS_MASTER!$P$5:$P$1204,$Q37))</f>
        <v/>
      </c>
      <c r="M37" s="25" t="str">
        <f>IF($Q37="","",INDEX(TRANSACTIONS_MASTER!$AA$5:$AA$1204,$Q37))</f>
        <v/>
      </c>
      <c r="N37" s="25" t="str">
        <f>IF($Q37="","",INDEX(TRANSACTIONS_MASTER!$R$5:$R$1204,$Q37))</f>
        <v/>
      </c>
      <c r="O37" s="28" t="str">
        <f>IF($Q37="","",INDEX(TRANSACTIONS_MASTER!$AB$5:$AB$1204,$Q37))</f>
        <v/>
      </c>
      <c r="P37" s="55" t="str">
        <f>IF($Q37="","",INDEX(TRANSACTIONS_MASTER!$Z$5:$Z$1204,$Q37)&amp;"")</f>
        <v/>
      </c>
      <c r="Q37" s="67" t="str">
        <f>IFERROR(MATCH($C$2&amp;"|"&amp;30,TRANSACTIONS_MASTER!$AE$5:$AE$1204,0),"")</f>
        <v/>
      </c>
      <c r="S37" s="67" t="str">
        <f>IFERROR(MATCH(30,CASHBACK_RULES!$S$5:$S$304,0),"")</f>
        <v/>
      </c>
      <c r="T37" s="55" t="str">
        <f>IF($S37="","",INDEX(CASHBACK_RULES!$B$5:$B$304,$S37))</f>
        <v/>
      </c>
      <c r="U37" s="55" t="str">
        <f>IF($S37="","",INDEX(CASHBACK_RULES!$C$5:$C$304,$S37)&amp;" "&amp;INDEX(CASHBACK_RULES!$D$5:$D$304,$S37))</f>
        <v/>
      </c>
      <c r="V37" s="55" t="str">
        <f>IF($S37="","",INDEX(CASHBACK_RULES!$E$5:$E$304,$S37)&amp;"")</f>
        <v/>
      </c>
      <c r="W37" s="55" t="str">
        <f>IF($S37="","",INDEX(CASHBACK_RULES!$F$5:$F$304,$S37)&amp;"")</f>
        <v/>
      </c>
      <c r="X37" s="26" t="str">
        <f>IF($S37="","",SUMIFS(TRANSACTIONS_MASTER!$Q$5:$Q$1204,TRANSACTIONS_MASTER!$D$5:$D$1204,$T37,TRANSACTIONS_MASTER!$Z$5:$Z$1204,$V37,TRANSACTIONS_MASTER!$C$5:$C$1204,$C$2))</f>
        <v/>
      </c>
      <c r="Y37" s="25" t="str">
        <f>IF($S37="","",IF(ISNUMBER(INDEX(CASHBACK_RULES!$J$5:$J$304,$S37)),INDEX(CASHBACK_RULES!$J$5:$J$304,$S37),"∞"))</f>
        <v/>
      </c>
      <c r="Z37" s="25" t="str">
        <f>IF($S37="","",IF(ISNUMBER($Y37),MAX(0,$Y37-$X37),"∞"))</f>
        <v/>
      </c>
      <c r="AA37" s="27" t="str">
        <f>IF($S37="","",IF(ISNUMBER($Y37),IF($Y37=0,0,$X37/$Y37),""))</f>
        <v/>
      </c>
    </row>
    <row r="38" ht="20" customHeight="1">
      <c r="A38" s="81" t="str">
        <f>IF($Q38="","",31)</f>
        <v/>
      </c>
      <c r="B38" s="57" t="str">
        <f>IF($Q38="","",INDEX(TRANSACTIONS_MASTER!$B$5:$B$1204,$Q38))</f>
        <v/>
      </c>
      <c r="C38" s="55" t="str">
        <f>IF($Q38="","",INDEX(TRANSACTIONS_MASTER!$F$5:$F$1204,$Q38))</f>
        <v/>
      </c>
      <c r="D38" s="55" t="str">
        <f>IF($Q38="","",INDEX(TRANSACTIONS_MASTER!$E$5:$E$1204,$Q38))</f>
        <v/>
      </c>
      <c r="E38" s="55" t="str">
        <f>IF($Q38="","",INDEX(TRANSACTIONS_MASTER!$G$5:$G$1204,$Q38)&amp;"")</f>
        <v/>
      </c>
      <c r="F38" s="29" t="str">
        <f>IF($Q38="","",INDEX(TRANSACTIONS_MASTER!$I$5:$I$1204,$Q38))</f>
        <v/>
      </c>
      <c r="G38" s="55" t="str">
        <f>IF($Q38="","",INDEX(TRANSACTIONS_MASTER!$K$5:$K$1204,$Q38))</f>
        <v/>
      </c>
      <c r="H38" s="25" t="str">
        <f>IF($Q38="","",INDEX(TRANSACTIONS_MASTER!$L$5:$L$1204,$Q38))</f>
        <v/>
      </c>
      <c r="I38" s="56" t="str">
        <f>IF($Q38="","",INDEX(TRANSACTIONS_MASTER!$N$5:$N$1204,$Q38))</f>
        <v/>
      </c>
      <c r="J38" s="25" t="str">
        <f>IF($Q38="","",INDEX(TRANSACTIONS_MASTER!$O$5:$O$1204,$Q38))</f>
        <v/>
      </c>
      <c r="K38" s="26" t="str">
        <f>IF($Q38="","",INDEX(TRANSACTIONS_MASTER!$Q$5:$Q$1204,$Q38))</f>
        <v/>
      </c>
      <c r="L38" s="25" t="str">
        <f>IF($Q38="","",INDEX(TRANSACTIONS_MASTER!$P$5:$P$1204,$Q38))</f>
        <v/>
      </c>
      <c r="M38" s="25" t="str">
        <f>IF($Q38="","",INDEX(TRANSACTIONS_MASTER!$AA$5:$AA$1204,$Q38))</f>
        <v/>
      </c>
      <c r="N38" s="25" t="str">
        <f>IF($Q38="","",INDEX(TRANSACTIONS_MASTER!$R$5:$R$1204,$Q38))</f>
        <v/>
      </c>
      <c r="O38" s="28" t="str">
        <f>IF($Q38="","",INDEX(TRANSACTIONS_MASTER!$AB$5:$AB$1204,$Q38))</f>
        <v/>
      </c>
      <c r="P38" s="55" t="str">
        <f>IF($Q38="","",INDEX(TRANSACTIONS_MASTER!$Z$5:$Z$1204,$Q38)&amp;"")</f>
        <v/>
      </c>
      <c r="Q38" s="67" t="str">
        <f>IFERROR(MATCH($C$2&amp;"|"&amp;31,TRANSACTIONS_MASTER!$AE$5:$AE$1204,0),"")</f>
        <v/>
      </c>
      <c r="S38" s="67" t="str">
        <f>IFERROR(MATCH(31,CASHBACK_RULES!$S$5:$S$304,0),"")</f>
        <v/>
      </c>
      <c r="T38" s="55" t="str">
        <f>IF($S38="","",INDEX(CASHBACK_RULES!$B$5:$B$304,$S38))</f>
        <v/>
      </c>
      <c r="U38" s="55" t="str">
        <f>IF($S38="","",INDEX(CASHBACK_RULES!$C$5:$C$304,$S38)&amp;" "&amp;INDEX(CASHBACK_RULES!$D$5:$D$304,$S38))</f>
        <v/>
      </c>
      <c r="V38" s="55" t="str">
        <f>IF($S38="","",INDEX(CASHBACK_RULES!$E$5:$E$304,$S38)&amp;"")</f>
        <v/>
      </c>
      <c r="W38" s="55" t="str">
        <f>IF($S38="","",INDEX(CASHBACK_RULES!$F$5:$F$304,$S38)&amp;"")</f>
        <v/>
      </c>
      <c r="X38" s="26" t="str">
        <f>IF($S38="","",SUMIFS(TRANSACTIONS_MASTER!$Q$5:$Q$1204,TRANSACTIONS_MASTER!$D$5:$D$1204,$T38,TRANSACTIONS_MASTER!$Z$5:$Z$1204,$V38,TRANSACTIONS_MASTER!$C$5:$C$1204,$C$2))</f>
        <v/>
      </c>
      <c r="Y38" s="25" t="str">
        <f>IF($S38="","",IF(ISNUMBER(INDEX(CASHBACK_RULES!$J$5:$J$304,$S38)),INDEX(CASHBACK_RULES!$J$5:$J$304,$S38),"∞"))</f>
        <v/>
      </c>
      <c r="Z38" s="25" t="str">
        <f>IF($S38="","",IF(ISNUMBER($Y38),MAX(0,$Y38-$X38),"∞"))</f>
        <v/>
      </c>
      <c r="AA38" s="27" t="str">
        <f>IF($S38="","",IF(ISNUMBER($Y38),IF($Y38=0,0,$X38/$Y38),""))</f>
        <v/>
      </c>
    </row>
    <row r="39" ht="20" customHeight="1">
      <c r="A39" s="81" t="str">
        <f>IF($Q39="","",32)</f>
        <v/>
      </c>
      <c r="B39" s="57" t="str">
        <f>IF($Q39="","",INDEX(TRANSACTIONS_MASTER!$B$5:$B$1204,$Q39))</f>
        <v/>
      </c>
      <c r="C39" s="55" t="str">
        <f>IF($Q39="","",INDEX(TRANSACTIONS_MASTER!$F$5:$F$1204,$Q39))</f>
        <v/>
      </c>
      <c r="D39" s="55" t="str">
        <f>IF($Q39="","",INDEX(TRANSACTIONS_MASTER!$E$5:$E$1204,$Q39))</f>
        <v/>
      </c>
      <c r="E39" s="55" t="str">
        <f>IF($Q39="","",INDEX(TRANSACTIONS_MASTER!$G$5:$G$1204,$Q39)&amp;"")</f>
        <v/>
      </c>
      <c r="F39" s="29" t="str">
        <f>IF($Q39="","",INDEX(TRANSACTIONS_MASTER!$I$5:$I$1204,$Q39))</f>
        <v/>
      </c>
      <c r="G39" s="55" t="str">
        <f>IF($Q39="","",INDEX(TRANSACTIONS_MASTER!$K$5:$K$1204,$Q39))</f>
        <v/>
      </c>
      <c r="H39" s="25" t="str">
        <f>IF($Q39="","",INDEX(TRANSACTIONS_MASTER!$L$5:$L$1204,$Q39))</f>
        <v/>
      </c>
      <c r="I39" s="56" t="str">
        <f>IF($Q39="","",INDEX(TRANSACTIONS_MASTER!$N$5:$N$1204,$Q39))</f>
        <v/>
      </c>
      <c r="J39" s="25" t="str">
        <f>IF($Q39="","",INDEX(TRANSACTIONS_MASTER!$O$5:$O$1204,$Q39))</f>
        <v/>
      </c>
      <c r="K39" s="26" t="str">
        <f>IF($Q39="","",INDEX(TRANSACTIONS_MASTER!$Q$5:$Q$1204,$Q39))</f>
        <v/>
      </c>
      <c r="L39" s="25" t="str">
        <f>IF($Q39="","",INDEX(TRANSACTIONS_MASTER!$P$5:$P$1204,$Q39))</f>
        <v/>
      </c>
      <c r="M39" s="25" t="str">
        <f>IF($Q39="","",INDEX(TRANSACTIONS_MASTER!$AA$5:$AA$1204,$Q39))</f>
        <v/>
      </c>
      <c r="N39" s="25" t="str">
        <f>IF($Q39="","",INDEX(TRANSACTIONS_MASTER!$R$5:$R$1204,$Q39))</f>
        <v/>
      </c>
      <c r="O39" s="28" t="str">
        <f>IF($Q39="","",INDEX(TRANSACTIONS_MASTER!$AB$5:$AB$1204,$Q39))</f>
        <v/>
      </c>
      <c r="P39" s="55" t="str">
        <f>IF($Q39="","",INDEX(TRANSACTIONS_MASTER!$Z$5:$Z$1204,$Q39)&amp;"")</f>
        <v/>
      </c>
      <c r="Q39" s="67" t="str">
        <f>IFERROR(MATCH($C$2&amp;"|"&amp;32,TRANSACTIONS_MASTER!$AE$5:$AE$1204,0),"")</f>
        <v/>
      </c>
      <c r="S39" s="67" t="str">
        <f>IFERROR(MATCH(32,CASHBACK_RULES!$S$5:$S$304,0),"")</f>
        <v/>
      </c>
      <c r="T39" s="55" t="str">
        <f>IF($S39="","",INDEX(CASHBACK_RULES!$B$5:$B$304,$S39))</f>
        <v/>
      </c>
      <c r="U39" s="55" t="str">
        <f>IF($S39="","",INDEX(CASHBACK_RULES!$C$5:$C$304,$S39)&amp;" "&amp;INDEX(CASHBACK_RULES!$D$5:$D$304,$S39))</f>
        <v/>
      </c>
      <c r="V39" s="55" t="str">
        <f>IF($S39="","",INDEX(CASHBACK_RULES!$E$5:$E$304,$S39)&amp;"")</f>
        <v/>
      </c>
      <c r="W39" s="55" t="str">
        <f>IF($S39="","",INDEX(CASHBACK_RULES!$F$5:$F$304,$S39)&amp;"")</f>
        <v/>
      </c>
      <c r="X39" s="26" t="str">
        <f>IF($S39="","",SUMIFS(TRANSACTIONS_MASTER!$Q$5:$Q$1204,TRANSACTIONS_MASTER!$D$5:$D$1204,$T39,TRANSACTIONS_MASTER!$Z$5:$Z$1204,$V39,TRANSACTIONS_MASTER!$C$5:$C$1204,$C$2))</f>
        <v/>
      </c>
      <c r="Y39" s="25" t="str">
        <f>IF($S39="","",IF(ISNUMBER(INDEX(CASHBACK_RULES!$J$5:$J$304,$S39)),INDEX(CASHBACK_RULES!$J$5:$J$304,$S39),"∞"))</f>
        <v/>
      </c>
      <c r="Z39" s="25" t="str">
        <f>IF($S39="","",IF(ISNUMBER($Y39),MAX(0,$Y39-$X39),"∞"))</f>
        <v/>
      </c>
      <c r="AA39" s="27" t="str">
        <f>IF($S39="","",IF(ISNUMBER($Y39),IF($Y39=0,0,$X39/$Y39),""))</f>
        <v/>
      </c>
    </row>
    <row r="40" ht="20" customHeight="1">
      <c r="A40" s="81" t="str">
        <f>IF($Q40="","",33)</f>
        <v/>
      </c>
      <c r="B40" s="57" t="str">
        <f>IF($Q40="","",INDEX(TRANSACTIONS_MASTER!$B$5:$B$1204,$Q40))</f>
        <v/>
      </c>
      <c r="C40" s="55" t="str">
        <f>IF($Q40="","",INDEX(TRANSACTIONS_MASTER!$F$5:$F$1204,$Q40))</f>
        <v/>
      </c>
      <c r="D40" s="55" t="str">
        <f>IF($Q40="","",INDEX(TRANSACTIONS_MASTER!$E$5:$E$1204,$Q40))</f>
        <v/>
      </c>
      <c r="E40" s="55" t="str">
        <f>IF($Q40="","",INDEX(TRANSACTIONS_MASTER!$G$5:$G$1204,$Q40)&amp;"")</f>
        <v/>
      </c>
      <c r="F40" s="29" t="str">
        <f>IF($Q40="","",INDEX(TRANSACTIONS_MASTER!$I$5:$I$1204,$Q40))</f>
        <v/>
      </c>
      <c r="G40" s="55" t="str">
        <f>IF($Q40="","",INDEX(TRANSACTIONS_MASTER!$K$5:$K$1204,$Q40))</f>
        <v/>
      </c>
      <c r="H40" s="25" t="str">
        <f>IF($Q40="","",INDEX(TRANSACTIONS_MASTER!$L$5:$L$1204,$Q40))</f>
        <v/>
      </c>
      <c r="I40" s="56" t="str">
        <f>IF($Q40="","",INDEX(TRANSACTIONS_MASTER!$N$5:$N$1204,$Q40))</f>
        <v/>
      </c>
      <c r="J40" s="25" t="str">
        <f>IF($Q40="","",INDEX(TRANSACTIONS_MASTER!$O$5:$O$1204,$Q40))</f>
        <v/>
      </c>
      <c r="K40" s="26" t="str">
        <f>IF($Q40="","",INDEX(TRANSACTIONS_MASTER!$Q$5:$Q$1204,$Q40))</f>
        <v/>
      </c>
      <c r="L40" s="25" t="str">
        <f>IF($Q40="","",INDEX(TRANSACTIONS_MASTER!$P$5:$P$1204,$Q40))</f>
        <v/>
      </c>
      <c r="M40" s="25" t="str">
        <f>IF($Q40="","",INDEX(TRANSACTIONS_MASTER!$AA$5:$AA$1204,$Q40))</f>
        <v/>
      </c>
      <c r="N40" s="25" t="str">
        <f>IF($Q40="","",INDEX(TRANSACTIONS_MASTER!$R$5:$R$1204,$Q40))</f>
        <v/>
      </c>
      <c r="O40" s="28" t="str">
        <f>IF($Q40="","",INDEX(TRANSACTIONS_MASTER!$AB$5:$AB$1204,$Q40))</f>
        <v/>
      </c>
      <c r="P40" s="55" t="str">
        <f>IF($Q40="","",INDEX(TRANSACTIONS_MASTER!$Z$5:$Z$1204,$Q40)&amp;"")</f>
        <v/>
      </c>
      <c r="Q40" s="67" t="str">
        <f>IFERROR(MATCH($C$2&amp;"|"&amp;33,TRANSACTIONS_MASTER!$AE$5:$AE$1204,0),"")</f>
        <v/>
      </c>
      <c r="S40" s="67" t="str">
        <f>IFERROR(MATCH(33,CASHBACK_RULES!$S$5:$S$304,0),"")</f>
        <v/>
      </c>
      <c r="T40" s="55" t="str">
        <f>IF($S40="","",INDEX(CASHBACK_RULES!$B$5:$B$304,$S40))</f>
        <v/>
      </c>
      <c r="U40" s="55" t="str">
        <f>IF($S40="","",INDEX(CASHBACK_RULES!$C$5:$C$304,$S40)&amp;" "&amp;INDEX(CASHBACK_RULES!$D$5:$D$304,$S40))</f>
        <v/>
      </c>
      <c r="V40" s="55" t="str">
        <f>IF($S40="","",INDEX(CASHBACK_RULES!$E$5:$E$304,$S40)&amp;"")</f>
        <v/>
      </c>
      <c r="W40" s="55" t="str">
        <f>IF($S40="","",INDEX(CASHBACK_RULES!$F$5:$F$304,$S40)&amp;"")</f>
        <v/>
      </c>
      <c r="X40" s="26" t="str">
        <f>IF($S40="","",SUMIFS(TRANSACTIONS_MASTER!$Q$5:$Q$1204,TRANSACTIONS_MASTER!$D$5:$D$1204,$T40,TRANSACTIONS_MASTER!$Z$5:$Z$1204,$V40,TRANSACTIONS_MASTER!$C$5:$C$1204,$C$2))</f>
        <v/>
      </c>
      <c r="Y40" s="25" t="str">
        <f>IF($S40="","",IF(ISNUMBER(INDEX(CASHBACK_RULES!$J$5:$J$304,$S40)),INDEX(CASHBACK_RULES!$J$5:$J$304,$S40),"∞"))</f>
        <v/>
      </c>
      <c r="Z40" s="25" t="str">
        <f>IF($S40="","",IF(ISNUMBER($Y40),MAX(0,$Y40-$X40),"∞"))</f>
        <v/>
      </c>
      <c r="AA40" s="27" t="str">
        <f>IF($S40="","",IF(ISNUMBER($Y40),IF($Y40=0,0,$X40/$Y40),""))</f>
        <v/>
      </c>
    </row>
    <row r="41" ht="20" customHeight="1">
      <c r="A41" s="81" t="str">
        <f>IF($Q41="","",34)</f>
        <v/>
      </c>
      <c r="B41" s="57" t="str">
        <f>IF($Q41="","",INDEX(TRANSACTIONS_MASTER!$B$5:$B$1204,$Q41))</f>
        <v/>
      </c>
      <c r="C41" s="55" t="str">
        <f>IF($Q41="","",INDEX(TRANSACTIONS_MASTER!$F$5:$F$1204,$Q41))</f>
        <v/>
      </c>
      <c r="D41" s="55" t="str">
        <f>IF($Q41="","",INDEX(TRANSACTIONS_MASTER!$E$5:$E$1204,$Q41))</f>
        <v/>
      </c>
      <c r="E41" s="55" t="str">
        <f>IF($Q41="","",INDEX(TRANSACTIONS_MASTER!$G$5:$G$1204,$Q41)&amp;"")</f>
        <v/>
      </c>
      <c r="F41" s="29" t="str">
        <f>IF($Q41="","",INDEX(TRANSACTIONS_MASTER!$I$5:$I$1204,$Q41))</f>
        <v/>
      </c>
      <c r="G41" s="55" t="str">
        <f>IF($Q41="","",INDEX(TRANSACTIONS_MASTER!$K$5:$K$1204,$Q41))</f>
        <v/>
      </c>
      <c r="H41" s="25" t="str">
        <f>IF($Q41="","",INDEX(TRANSACTIONS_MASTER!$L$5:$L$1204,$Q41))</f>
        <v/>
      </c>
      <c r="I41" s="56" t="str">
        <f>IF($Q41="","",INDEX(TRANSACTIONS_MASTER!$N$5:$N$1204,$Q41))</f>
        <v/>
      </c>
      <c r="J41" s="25" t="str">
        <f>IF($Q41="","",INDEX(TRANSACTIONS_MASTER!$O$5:$O$1204,$Q41))</f>
        <v/>
      </c>
      <c r="K41" s="26" t="str">
        <f>IF($Q41="","",INDEX(TRANSACTIONS_MASTER!$Q$5:$Q$1204,$Q41))</f>
        <v/>
      </c>
      <c r="L41" s="25" t="str">
        <f>IF($Q41="","",INDEX(TRANSACTIONS_MASTER!$P$5:$P$1204,$Q41))</f>
        <v/>
      </c>
      <c r="M41" s="25" t="str">
        <f>IF($Q41="","",INDEX(TRANSACTIONS_MASTER!$AA$5:$AA$1204,$Q41))</f>
        <v/>
      </c>
      <c r="N41" s="25" t="str">
        <f>IF($Q41="","",INDEX(TRANSACTIONS_MASTER!$R$5:$R$1204,$Q41))</f>
        <v/>
      </c>
      <c r="O41" s="28" t="str">
        <f>IF($Q41="","",INDEX(TRANSACTIONS_MASTER!$AB$5:$AB$1204,$Q41))</f>
        <v/>
      </c>
      <c r="P41" s="55" t="str">
        <f>IF($Q41="","",INDEX(TRANSACTIONS_MASTER!$Z$5:$Z$1204,$Q41)&amp;"")</f>
        <v/>
      </c>
      <c r="Q41" s="67" t="str">
        <f>IFERROR(MATCH($C$2&amp;"|"&amp;34,TRANSACTIONS_MASTER!$AE$5:$AE$1204,0),"")</f>
        <v/>
      </c>
      <c r="S41" s="67" t="str">
        <f>IFERROR(MATCH(34,CASHBACK_RULES!$S$5:$S$304,0),"")</f>
        <v/>
      </c>
      <c r="T41" s="55" t="str">
        <f>IF($S41="","",INDEX(CASHBACK_RULES!$B$5:$B$304,$S41))</f>
        <v/>
      </c>
      <c r="U41" s="55" t="str">
        <f>IF($S41="","",INDEX(CASHBACK_RULES!$C$5:$C$304,$S41)&amp;" "&amp;INDEX(CASHBACK_RULES!$D$5:$D$304,$S41))</f>
        <v/>
      </c>
      <c r="V41" s="55" t="str">
        <f>IF($S41="","",INDEX(CASHBACK_RULES!$E$5:$E$304,$S41)&amp;"")</f>
        <v/>
      </c>
      <c r="W41" s="55" t="str">
        <f>IF($S41="","",INDEX(CASHBACK_RULES!$F$5:$F$304,$S41)&amp;"")</f>
        <v/>
      </c>
      <c r="X41" s="26" t="str">
        <f>IF($S41="","",SUMIFS(TRANSACTIONS_MASTER!$Q$5:$Q$1204,TRANSACTIONS_MASTER!$D$5:$D$1204,$T41,TRANSACTIONS_MASTER!$Z$5:$Z$1204,$V41,TRANSACTIONS_MASTER!$C$5:$C$1204,$C$2))</f>
        <v/>
      </c>
      <c r="Y41" s="25" t="str">
        <f>IF($S41="","",IF(ISNUMBER(INDEX(CASHBACK_RULES!$J$5:$J$304,$S41)),INDEX(CASHBACK_RULES!$J$5:$J$304,$S41),"∞"))</f>
        <v/>
      </c>
      <c r="Z41" s="25" t="str">
        <f>IF($S41="","",IF(ISNUMBER($Y41),MAX(0,$Y41-$X41),"∞"))</f>
        <v/>
      </c>
      <c r="AA41" s="27" t="str">
        <f>IF($S41="","",IF(ISNUMBER($Y41),IF($Y41=0,0,$X41/$Y41),""))</f>
        <v/>
      </c>
    </row>
    <row r="42" ht="20" customHeight="1">
      <c r="A42" s="81" t="str">
        <f>IF($Q42="","",35)</f>
        <v/>
      </c>
      <c r="B42" s="57" t="str">
        <f>IF($Q42="","",INDEX(TRANSACTIONS_MASTER!$B$5:$B$1204,$Q42))</f>
        <v/>
      </c>
      <c r="C42" s="55" t="str">
        <f>IF($Q42="","",INDEX(TRANSACTIONS_MASTER!$F$5:$F$1204,$Q42))</f>
        <v/>
      </c>
      <c r="D42" s="55" t="str">
        <f>IF($Q42="","",INDEX(TRANSACTIONS_MASTER!$E$5:$E$1204,$Q42))</f>
        <v/>
      </c>
      <c r="E42" s="55" t="str">
        <f>IF($Q42="","",INDEX(TRANSACTIONS_MASTER!$G$5:$G$1204,$Q42)&amp;"")</f>
        <v/>
      </c>
      <c r="F42" s="29" t="str">
        <f>IF($Q42="","",INDEX(TRANSACTIONS_MASTER!$I$5:$I$1204,$Q42))</f>
        <v/>
      </c>
      <c r="G42" s="55" t="str">
        <f>IF($Q42="","",INDEX(TRANSACTIONS_MASTER!$K$5:$K$1204,$Q42))</f>
        <v/>
      </c>
      <c r="H42" s="25" t="str">
        <f>IF($Q42="","",INDEX(TRANSACTIONS_MASTER!$L$5:$L$1204,$Q42))</f>
        <v/>
      </c>
      <c r="I42" s="56" t="str">
        <f>IF($Q42="","",INDEX(TRANSACTIONS_MASTER!$N$5:$N$1204,$Q42))</f>
        <v/>
      </c>
      <c r="J42" s="25" t="str">
        <f>IF($Q42="","",INDEX(TRANSACTIONS_MASTER!$O$5:$O$1204,$Q42))</f>
        <v/>
      </c>
      <c r="K42" s="26" t="str">
        <f>IF($Q42="","",INDEX(TRANSACTIONS_MASTER!$Q$5:$Q$1204,$Q42))</f>
        <v/>
      </c>
      <c r="L42" s="25" t="str">
        <f>IF($Q42="","",INDEX(TRANSACTIONS_MASTER!$P$5:$P$1204,$Q42))</f>
        <v/>
      </c>
      <c r="M42" s="25" t="str">
        <f>IF($Q42="","",INDEX(TRANSACTIONS_MASTER!$AA$5:$AA$1204,$Q42))</f>
        <v/>
      </c>
      <c r="N42" s="25" t="str">
        <f>IF($Q42="","",INDEX(TRANSACTIONS_MASTER!$R$5:$R$1204,$Q42))</f>
        <v/>
      </c>
      <c r="O42" s="28" t="str">
        <f>IF($Q42="","",INDEX(TRANSACTIONS_MASTER!$AB$5:$AB$1204,$Q42))</f>
        <v/>
      </c>
      <c r="P42" s="55" t="str">
        <f>IF($Q42="","",INDEX(TRANSACTIONS_MASTER!$Z$5:$Z$1204,$Q42)&amp;"")</f>
        <v/>
      </c>
      <c r="Q42" s="67" t="str">
        <f>IFERROR(MATCH($C$2&amp;"|"&amp;35,TRANSACTIONS_MASTER!$AE$5:$AE$1204,0),"")</f>
        <v/>
      </c>
      <c r="S42" s="67" t="str">
        <f>IFERROR(MATCH(35,CASHBACK_RULES!$S$5:$S$304,0),"")</f>
        <v/>
      </c>
      <c r="T42" s="55" t="str">
        <f>IF($S42="","",INDEX(CASHBACK_RULES!$B$5:$B$304,$S42))</f>
        <v/>
      </c>
      <c r="U42" s="55" t="str">
        <f>IF($S42="","",INDEX(CASHBACK_RULES!$C$5:$C$304,$S42)&amp;" "&amp;INDEX(CASHBACK_RULES!$D$5:$D$304,$S42))</f>
        <v/>
      </c>
      <c r="V42" s="55" t="str">
        <f>IF($S42="","",INDEX(CASHBACK_RULES!$E$5:$E$304,$S42)&amp;"")</f>
        <v/>
      </c>
      <c r="W42" s="55" t="str">
        <f>IF($S42="","",INDEX(CASHBACK_RULES!$F$5:$F$304,$S42)&amp;"")</f>
        <v/>
      </c>
      <c r="X42" s="26" t="str">
        <f>IF($S42="","",SUMIFS(TRANSACTIONS_MASTER!$Q$5:$Q$1204,TRANSACTIONS_MASTER!$D$5:$D$1204,$T42,TRANSACTIONS_MASTER!$Z$5:$Z$1204,$V42,TRANSACTIONS_MASTER!$C$5:$C$1204,$C$2))</f>
        <v/>
      </c>
      <c r="Y42" s="25" t="str">
        <f>IF($S42="","",IF(ISNUMBER(INDEX(CASHBACK_RULES!$J$5:$J$304,$S42)),INDEX(CASHBACK_RULES!$J$5:$J$304,$S42),"∞"))</f>
        <v/>
      </c>
      <c r="Z42" s="25" t="str">
        <f>IF($S42="","",IF(ISNUMBER($Y42),MAX(0,$Y42-$X42),"∞"))</f>
        <v/>
      </c>
      <c r="AA42" s="27" t="str">
        <f>IF($S42="","",IF(ISNUMBER($Y42),IF($Y42=0,0,$X42/$Y42),""))</f>
        <v/>
      </c>
    </row>
    <row r="43" ht="20" customHeight="1">
      <c r="A43" s="81" t="str">
        <f>IF($Q43="","",36)</f>
        <v/>
      </c>
      <c r="B43" s="57" t="str">
        <f>IF($Q43="","",INDEX(TRANSACTIONS_MASTER!$B$5:$B$1204,$Q43))</f>
        <v/>
      </c>
      <c r="C43" s="55" t="str">
        <f>IF($Q43="","",INDEX(TRANSACTIONS_MASTER!$F$5:$F$1204,$Q43))</f>
        <v/>
      </c>
      <c r="D43" s="55" t="str">
        <f>IF($Q43="","",INDEX(TRANSACTIONS_MASTER!$E$5:$E$1204,$Q43))</f>
        <v/>
      </c>
      <c r="E43" s="55" t="str">
        <f>IF($Q43="","",INDEX(TRANSACTIONS_MASTER!$G$5:$G$1204,$Q43)&amp;"")</f>
        <v/>
      </c>
      <c r="F43" s="29" t="str">
        <f>IF($Q43="","",INDEX(TRANSACTIONS_MASTER!$I$5:$I$1204,$Q43))</f>
        <v/>
      </c>
      <c r="G43" s="55" t="str">
        <f>IF($Q43="","",INDEX(TRANSACTIONS_MASTER!$K$5:$K$1204,$Q43))</f>
        <v/>
      </c>
      <c r="H43" s="25" t="str">
        <f>IF($Q43="","",INDEX(TRANSACTIONS_MASTER!$L$5:$L$1204,$Q43))</f>
        <v/>
      </c>
      <c r="I43" s="56" t="str">
        <f>IF($Q43="","",INDEX(TRANSACTIONS_MASTER!$N$5:$N$1204,$Q43))</f>
        <v/>
      </c>
      <c r="J43" s="25" t="str">
        <f>IF($Q43="","",INDEX(TRANSACTIONS_MASTER!$O$5:$O$1204,$Q43))</f>
        <v/>
      </c>
      <c r="K43" s="26" t="str">
        <f>IF($Q43="","",INDEX(TRANSACTIONS_MASTER!$Q$5:$Q$1204,$Q43))</f>
        <v/>
      </c>
      <c r="L43" s="25" t="str">
        <f>IF($Q43="","",INDEX(TRANSACTIONS_MASTER!$P$5:$P$1204,$Q43))</f>
        <v/>
      </c>
      <c r="M43" s="25" t="str">
        <f>IF($Q43="","",INDEX(TRANSACTIONS_MASTER!$AA$5:$AA$1204,$Q43))</f>
        <v/>
      </c>
      <c r="N43" s="25" t="str">
        <f>IF($Q43="","",INDEX(TRANSACTIONS_MASTER!$R$5:$R$1204,$Q43))</f>
        <v/>
      </c>
      <c r="O43" s="28" t="str">
        <f>IF($Q43="","",INDEX(TRANSACTIONS_MASTER!$AB$5:$AB$1204,$Q43))</f>
        <v/>
      </c>
      <c r="P43" s="55" t="str">
        <f>IF($Q43="","",INDEX(TRANSACTIONS_MASTER!$Z$5:$Z$1204,$Q43)&amp;"")</f>
        <v/>
      </c>
      <c r="Q43" s="67" t="str">
        <f>IFERROR(MATCH($C$2&amp;"|"&amp;36,TRANSACTIONS_MASTER!$AE$5:$AE$1204,0),"")</f>
        <v/>
      </c>
      <c r="S43" s="67" t="str">
        <f>IFERROR(MATCH(36,CASHBACK_RULES!$S$5:$S$304,0),"")</f>
        <v/>
      </c>
      <c r="T43" s="55" t="str">
        <f>IF($S43="","",INDEX(CASHBACK_RULES!$B$5:$B$304,$S43))</f>
        <v/>
      </c>
      <c r="U43" s="55" t="str">
        <f>IF($S43="","",INDEX(CASHBACK_RULES!$C$5:$C$304,$S43)&amp;" "&amp;INDEX(CASHBACK_RULES!$D$5:$D$304,$S43))</f>
        <v/>
      </c>
      <c r="V43" s="55" t="str">
        <f>IF($S43="","",INDEX(CASHBACK_RULES!$E$5:$E$304,$S43)&amp;"")</f>
        <v/>
      </c>
      <c r="W43" s="55" t="str">
        <f>IF($S43="","",INDEX(CASHBACK_RULES!$F$5:$F$304,$S43)&amp;"")</f>
        <v/>
      </c>
      <c r="X43" s="26" t="str">
        <f>IF($S43="","",SUMIFS(TRANSACTIONS_MASTER!$Q$5:$Q$1204,TRANSACTIONS_MASTER!$D$5:$D$1204,$T43,TRANSACTIONS_MASTER!$Z$5:$Z$1204,$V43,TRANSACTIONS_MASTER!$C$5:$C$1204,$C$2))</f>
        <v/>
      </c>
      <c r="Y43" s="25" t="str">
        <f>IF($S43="","",IF(ISNUMBER(INDEX(CASHBACK_RULES!$J$5:$J$304,$S43)),INDEX(CASHBACK_RULES!$J$5:$J$304,$S43),"∞"))</f>
        <v/>
      </c>
      <c r="Z43" s="25" t="str">
        <f>IF($S43="","",IF(ISNUMBER($Y43),MAX(0,$Y43-$X43),"∞"))</f>
        <v/>
      </c>
      <c r="AA43" s="27" t="str">
        <f>IF($S43="","",IF(ISNUMBER($Y43),IF($Y43=0,0,$X43/$Y43),""))</f>
        <v/>
      </c>
    </row>
    <row r="44" ht="20" customHeight="1">
      <c r="A44" s="81" t="str">
        <f>IF($Q44="","",37)</f>
        <v/>
      </c>
      <c r="B44" s="57" t="str">
        <f>IF($Q44="","",INDEX(TRANSACTIONS_MASTER!$B$5:$B$1204,$Q44))</f>
        <v/>
      </c>
      <c r="C44" s="55" t="str">
        <f>IF($Q44="","",INDEX(TRANSACTIONS_MASTER!$F$5:$F$1204,$Q44))</f>
        <v/>
      </c>
      <c r="D44" s="55" t="str">
        <f>IF($Q44="","",INDEX(TRANSACTIONS_MASTER!$E$5:$E$1204,$Q44))</f>
        <v/>
      </c>
      <c r="E44" s="55" t="str">
        <f>IF($Q44="","",INDEX(TRANSACTIONS_MASTER!$G$5:$G$1204,$Q44)&amp;"")</f>
        <v/>
      </c>
      <c r="F44" s="29" t="str">
        <f>IF($Q44="","",INDEX(TRANSACTIONS_MASTER!$I$5:$I$1204,$Q44))</f>
        <v/>
      </c>
      <c r="G44" s="55" t="str">
        <f>IF($Q44="","",INDEX(TRANSACTIONS_MASTER!$K$5:$K$1204,$Q44))</f>
        <v/>
      </c>
      <c r="H44" s="25" t="str">
        <f>IF($Q44="","",INDEX(TRANSACTIONS_MASTER!$L$5:$L$1204,$Q44))</f>
        <v/>
      </c>
      <c r="I44" s="56" t="str">
        <f>IF($Q44="","",INDEX(TRANSACTIONS_MASTER!$N$5:$N$1204,$Q44))</f>
        <v/>
      </c>
      <c r="J44" s="25" t="str">
        <f>IF($Q44="","",INDEX(TRANSACTIONS_MASTER!$O$5:$O$1204,$Q44))</f>
        <v/>
      </c>
      <c r="K44" s="26" t="str">
        <f>IF($Q44="","",INDEX(TRANSACTIONS_MASTER!$Q$5:$Q$1204,$Q44))</f>
        <v/>
      </c>
      <c r="L44" s="25" t="str">
        <f>IF($Q44="","",INDEX(TRANSACTIONS_MASTER!$P$5:$P$1204,$Q44))</f>
        <v/>
      </c>
      <c r="M44" s="25" t="str">
        <f>IF($Q44="","",INDEX(TRANSACTIONS_MASTER!$AA$5:$AA$1204,$Q44))</f>
        <v/>
      </c>
      <c r="N44" s="25" t="str">
        <f>IF($Q44="","",INDEX(TRANSACTIONS_MASTER!$R$5:$R$1204,$Q44))</f>
        <v/>
      </c>
      <c r="O44" s="28" t="str">
        <f>IF($Q44="","",INDEX(TRANSACTIONS_MASTER!$AB$5:$AB$1204,$Q44))</f>
        <v/>
      </c>
      <c r="P44" s="55" t="str">
        <f>IF($Q44="","",INDEX(TRANSACTIONS_MASTER!$Z$5:$Z$1204,$Q44)&amp;"")</f>
        <v/>
      </c>
      <c r="Q44" s="67" t="str">
        <f>IFERROR(MATCH($C$2&amp;"|"&amp;37,TRANSACTIONS_MASTER!$AE$5:$AE$1204,0),"")</f>
        <v/>
      </c>
      <c r="S44" s="67" t="str">
        <f>IFERROR(MATCH(37,CASHBACK_RULES!$S$5:$S$304,0),"")</f>
        <v/>
      </c>
      <c r="T44" s="55" t="str">
        <f>IF($S44="","",INDEX(CASHBACK_RULES!$B$5:$B$304,$S44))</f>
        <v/>
      </c>
      <c r="U44" s="55" t="str">
        <f>IF($S44="","",INDEX(CASHBACK_RULES!$C$5:$C$304,$S44)&amp;" "&amp;INDEX(CASHBACK_RULES!$D$5:$D$304,$S44))</f>
        <v/>
      </c>
      <c r="V44" s="55" t="str">
        <f>IF($S44="","",INDEX(CASHBACK_RULES!$E$5:$E$304,$S44)&amp;"")</f>
        <v/>
      </c>
      <c r="W44" s="55" t="str">
        <f>IF($S44="","",INDEX(CASHBACK_RULES!$F$5:$F$304,$S44)&amp;"")</f>
        <v/>
      </c>
      <c r="X44" s="26" t="str">
        <f>IF($S44="","",SUMIFS(TRANSACTIONS_MASTER!$Q$5:$Q$1204,TRANSACTIONS_MASTER!$D$5:$D$1204,$T44,TRANSACTIONS_MASTER!$Z$5:$Z$1204,$V44,TRANSACTIONS_MASTER!$C$5:$C$1204,$C$2))</f>
        <v/>
      </c>
      <c r="Y44" s="25" t="str">
        <f>IF($S44="","",IF(ISNUMBER(INDEX(CASHBACK_RULES!$J$5:$J$304,$S44)),INDEX(CASHBACK_RULES!$J$5:$J$304,$S44),"∞"))</f>
        <v/>
      </c>
      <c r="Z44" s="25" t="str">
        <f>IF($S44="","",IF(ISNUMBER($Y44),MAX(0,$Y44-$X44),"∞"))</f>
        <v/>
      </c>
      <c r="AA44" s="27" t="str">
        <f>IF($S44="","",IF(ISNUMBER($Y44),IF($Y44=0,0,$X44/$Y44),""))</f>
        <v/>
      </c>
    </row>
    <row r="45" ht="20" customHeight="1">
      <c r="A45" s="81" t="str">
        <f>IF($Q45="","",38)</f>
        <v/>
      </c>
      <c r="B45" s="57" t="str">
        <f>IF($Q45="","",INDEX(TRANSACTIONS_MASTER!$B$5:$B$1204,$Q45))</f>
        <v/>
      </c>
      <c r="C45" s="55" t="str">
        <f>IF($Q45="","",INDEX(TRANSACTIONS_MASTER!$F$5:$F$1204,$Q45))</f>
        <v/>
      </c>
      <c r="D45" s="55" t="str">
        <f>IF($Q45="","",INDEX(TRANSACTIONS_MASTER!$E$5:$E$1204,$Q45))</f>
        <v/>
      </c>
      <c r="E45" s="55" t="str">
        <f>IF($Q45="","",INDEX(TRANSACTIONS_MASTER!$G$5:$G$1204,$Q45)&amp;"")</f>
        <v/>
      </c>
      <c r="F45" s="29" t="str">
        <f>IF($Q45="","",INDEX(TRANSACTIONS_MASTER!$I$5:$I$1204,$Q45))</f>
        <v/>
      </c>
      <c r="G45" s="55" t="str">
        <f>IF($Q45="","",INDEX(TRANSACTIONS_MASTER!$K$5:$K$1204,$Q45))</f>
        <v/>
      </c>
      <c r="H45" s="25" t="str">
        <f>IF($Q45="","",INDEX(TRANSACTIONS_MASTER!$L$5:$L$1204,$Q45))</f>
        <v/>
      </c>
      <c r="I45" s="56" t="str">
        <f>IF($Q45="","",INDEX(TRANSACTIONS_MASTER!$N$5:$N$1204,$Q45))</f>
        <v/>
      </c>
      <c r="J45" s="25" t="str">
        <f>IF($Q45="","",INDEX(TRANSACTIONS_MASTER!$O$5:$O$1204,$Q45))</f>
        <v/>
      </c>
      <c r="K45" s="26" t="str">
        <f>IF($Q45="","",INDEX(TRANSACTIONS_MASTER!$Q$5:$Q$1204,$Q45))</f>
        <v/>
      </c>
      <c r="L45" s="25" t="str">
        <f>IF($Q45="","",INDEX(TRANSACTIONS_MASTER!$P$5:$P$1204,$Q45))</f>
        <v/>
      </c>
      <c r="M45" s="25" t="str">
        <f>IF($Q45="","",INDEX(TRANSACTIONS_MASTER!$AA$5:$AA$1204,$Q45))</f>
        <v/>
      </c>
      <c r="N45" s="25" t="str">
        <f>IF($Q45="","",INDEX(TRANSACTIONS_MASTER!$R$5:$R$1204,$Q45))</f>
        <v/>
      </c>
      <c r="O45" s="28" t="str">
        <f>IF($Q45="","",INDEX(TRANSACTIONS_MASTER!$AB$5:$AB$1204,$Q45))</f>
        <v/>
      </c>
      <c r="P45" s="55" t="str">
        <f>IF($Q45="","",INDEX(TRANSACTIONS_MASTER!$Z$5:$Z$1204,$Q45)&amp;"")</f>
        <v/>
      </c>
      <c r="Q45" s="67" t="str">
        <f>IFERROR(MATCH($C$2&amp;"|"&amp;38,TRANSACTIONS_MASTER!$AE$5:$AE$1204,0),"")</f>
        <v/>
      </c>
      <c r="S45" s="67" t="str">
        <f>IFERROR(MATCH(38,CASHBACK_RULES!$S$5:$S$304,0),"")</f>
        <v/>
      </c>
      <c r="T45" s="55" t="str">
        <f>IF($S45="","",INDEX(CASHBACK_RULES!$B$5:$B$304,$S45))</f>
        <v/>
      </c>
      <c r="U45" s="55" t="str">
        <f>IF($S45="","",INDEX(CASHBACK_RULES!$C$5:$C$304,$S45)&amp;" "&amp;INDEX(CASHBACK_RULES!$D$5:$D$304,$S45))</f>
        <v/>
      </c>
      <c r="V45" s="55" t="str">
        <f>IF($S45="","",INDEX(CASHBACK_RULES!$E$5:$E$304,$S45)&amp;"")</f>
        <v/>
      </c>
      <c r="W45" s="55" t="str">
        <f>IF($S45="","",INDEX(CASHBACK_RULES!$F$5:$F$304,$S45)&amp;"")</f>
        <v/>
      </c>
      <c r="X45" s="26" t="str">
        <f>IF($S45="","",SUMIFS(TRANSACTIONS_MASTER!$Q$5:$Q$1204,TRANSACTIONS_MASTER!$D$5:$D$1204,$T45,TRANSACTIONS_MASTER!$Z$5:$Z$1204,$V45,TRANSACTIONS_MASTER!$C$5:$C$1204,$C$2))</f>
        <v/>
      </c>
      <c r="Y45" s="25" t="str">
        <f>IF($S45="","",IF(ISNUMBER(INDEX(CASHBACK_RULES!$J$5:$J$304,$S45)),INDEX(CASHBACK_RULES!$J$5:$J$304,$S45),"∞"))</f>
        <v/>
      </c>
      <c r="Z45" s="25" t="str">
        <f>IF($S45="","",IF(ISNUMBER($Y45),MAX(0,$Y45-$X45),"∞"))</f>
        <v/>
      </c>
      <c r="AA45" s="27" t="str">
        <f>IF($S45="","",IF(ISNUMBER($Y45),IF($Y45=0,0,$X45/$Y45),""))</f>
        <v/>
      </c>
    </row>
    <row r="46" ht="20" customHeight="1">
      <c r="A46" s="81" t="str">
        <f>IF($Q46="","",39)</f>
        <v/>
      </c>
      <c r="B46" s="57" t="str">
        <f>IF($Q46="","",INDEX(TRANSACTIONS_MASTER!$B$5:$B$1204,$Q46))</f>
        <v/>
      </c>
      <c r="C46" s="55" t="str">
        <f>IF($Q46="","",INDEX(TRANSACTIONS_MASTER!$F$5:$F$1204,$Q46))</f>
        <v/>
      </c>
      <c r="D46" s="55" t="str">
        <f>IF($Q46="","",INDEX(TRANSACTIONS_MASTER!$E$5:$E$1204,$Q46))</f>
        <v/>
      </c>
      <c r="E46" s="55" t="str">
        <f>IF($Q46="","",INDEX(TRANSACTIONS_MASTER!$G$5:$G$1204,$Q46)&amp;"")</f>
        <v/>
      </c>
      <c r="F46" s="29" t="str">
        <f>IF($Q46="","",INDEX(TRANSACTIONS_MASTER!$I$5:$I$1204,$Q46))</f>
        <v/>
      </c>
      <c r="G46" s="55" t="str">
        <f>IF($Q46="","",INDEX(TRANSACTIONS_MASTER!$K$5:$K$1204,$Q46))</f>
        <v/>
      </c>
      <c r="H46" s="25" t="str">
        <f>IF($Q46="","",INDEX(TRANSACTIONS_MASTER!$L$5:$L$1204,$Q46))</f>
        <v/>
      </c>
      <c r="I46" s="56" t="str">
        <f>IF($Q46="","",INDEX(TRANSACTIONS_MASTER!$N$5:$N$1204,$Q46))</f>
        <v/>
      </c>
      <c r="J46" s="25" t="str">
        <f>IF($Q46="","",INDEX(TRANSACTIONS_MASTER!$O$5:$O$1204,$Q46))</f>
        <v/>
      </c>
      <c r="K46" s="26" t="str">
        <f>IF($Q46="","",INDEX(TRANSACTIONS_MASTER!$Q$5:$Q$1204,$Q46))</f>
        <v/>
      </c>
      <c r="L46" s="25" t="str">
        <f>IF($Q46="","",INDEX(TRANSACTIONS_MASTER!$P$5:$P$1204,$Q46))</f>
        <v/>
      </c>
      <c r="M46" s="25" t="str">
        <f>IF($Q46="","",INDEX(TRANSACTIONS_MASTER!$AA$5:$AA$1204,$Q46))</f>
        <v/>
      </c>
      <c r="N46" s="25" t="str">
        <f>IF($Q46="","",INDEX(TRANSACTIONS_MASTER!$R$5:$R$1204,$Q46))</f>
        <v/>
      </c>
      <c r="O46" s="28" t="str">
        <f>IF($Q46="","",INDEX(TRANSACTIONS_MASTER!$AB$5:$AB$1204,$Q46))</f>
        <v/>
      </c>
      <c r="P46" s="55" t="str">
        <f>IF($Q46="","",INDEX(TRANSACTIONS_MASTER!$Z$5:$Z$1204,$Q46)&amp;"")</f>
        <v/>
      </c>
      <c r="Q46" s="67" t="str">
        <f>IFERROR(MATCH($C$2&amp;"|"&amp;39,TRANSACTIONS_MASTER!$AE$5:$AE$1204,0),"")</f>
        <v/>
      </c>
      <c r="S46" s="67" t="str">
        <f>IFERROR(MATCH(39,CASHBACK_RULES!$S$5:$S$304,0),"")</f>
        <v/>
      </c>
      <c r="T46" s="55" t="str">
        <f>IF($S46="","",INDEX(CASHBACK_RULES!$B$5:$B$304,$S46))</f>
        <v/>
      </c>
      <c r="U46" s="55" t="str">
        <f>IF($S46="","",INDEX(CASHBACK_RULES!$C$5:$C$304,$S46)&amp;" "&amp;INDEX(CASHBACK_RULES!$D$5:$D$304,$S46))</f>
        <v/>
      </c>
      <c r="V46" s="55" t="str">
        <f>IF($S46="","",INDEX(CASHBACK_RULES!$E$5:$E$304,$S46)&amp;"")</f>
        <v/>
      </c>
      <c r="W46" s="55" t="str">
        <f>IF($S46="","",INDEX(CASHBACK_RULES!$F$5:$F$304,$S46)&amp;"")</f>
        <v/>
      </c>
      <c r="X46" s="26" t="str">
        <f>IF($S46="","",SUMIFS(TRANSACTIONS_MASTER!$Q$5:$Q$1204,TRANSACTIONS_MASTER!$D$5:$D$1204,$T46,TRANSACTIONS_MASTER!$Z$5:$Z$1204,$V46,TRANSACTIONS_MASTER!$C$5:$C$1204,$C$2))</f>
        <v/>
      </c>
      <c r="Y46" s="25" t="str">
        <f>IF($S46="","",IF(ISNUMBER(INDEX(CASHBACK_RULES!$J$5:$J$304,$S46)),INDEX(CASHBACK_RULES!$J$5:$J$304,$S46),"∞"))</f>
        <v/>
      </c>
      <c r="Z46" s="25" t="str">
        <f>IF($S46="","",IF(ISNUMBER($Y46),MAX(0,$Y46-$X46),"∞"))</f>
        <v/>
      </c>
      <c r="AA46" s="27" t="str">
        <f>IF($S46="","",IF(ISNUMBER($Y46),IF($Y46=0,0,$X46/$Y46),""))</f>
        <v/>
      </c>
    </row>
    <row r="47" ht="20" customHeight="1">
      <c r="A47" s="81" t="str">
        <f>IF($Q47="","",40)</f>
        <v/>
      </c>
      <c r="B47" s="57" t="str">
        <f>IF($Q47="","",INDEX(TRANSACTIONS_MASTER!$B$5:$B$1204,$Q47))</f>
        <v/>
      </c>
      <c r="C47" s="55" t="str">
        <f>IF($Q47="","",INDEX(TRANSACTIONS_MASTER!$F$5:$F$1204,$Q47))</f>
        <v/>
      </c>
      <c r="D47" s="55" t="str">
        <f>IF($Q47="","",INDEX(TRANSACTIONS_MASTER!$E$5:$E$1204,$Q47))</f>
        <v/>
      </c>
      <c r="E47" s="55" t="str">
        <f>IF($Q47="","",INDEX(TRANSACTIONS_MASTER!$G$5:$G$1204,$Q47)&amp;"")</f>
        <v/>
      </c>
      <c r="F47" s="29" t="str">
        <f>IF($Q47="","",INDEX(TRANSACTIONS_MASTER!$I$5:$I$1204,$Q47))</f>
        <v/>
      </c>
      <c r="G47" s="55" t="str">
        <f>IF($Q47="","",INDEX(TRANSACTIONS_MASTER!$K$5:$K$1204,$Q47))</f>
        <v/>
      </c>
      <c r="H47" s="25" t="str">
        <f>IF($Q47="","",INDEX(TRANSACTIONS_MASTER!$L$5:$L$1204,$Q47))</f>
        <v/>
      </c>
      <c r="I47" s="56" t="str">
        <f>IF($Q47="","",INDEX(TRANSACTIONS_MASTER!$N$5:$N$1204,$Q47))</f>
        <v/>
      </c>
      <c r="J47" s="25" t="str">
        <f>IF($Q47="","",INDEX(TRANSACTIONS_MASTER!$O$5:$O$1204,$Q47))</f>
        <v/>
      </c>
      <c r="K47" s="26" t="str">
        <f>IF($Q47="","",INDEX(TRANSACTIONS_MASTER!$Q$5:$Q$1204,$Q47))</f>
        <v/>
      </c>
      <c r="L47" s="25" t="str">
        <f>IF($Q47="","",INDEX(TRANSACTIONS_MASTER!$P$5:$P$1204,$Q47))</f>
        <v/>
      </c>
      <c r="M47" s="25" t="str">
        <f>IF($Q47="","",INDEX(TRANSACTIONS_MASTER!$AA$5:$AA$1204,$Q47))</f>
        <v/>
      </c>
      <c r="N47" s="25" t="str">
        <f>IF($Q47="","",INDEX(TRANSACTIONS_MASTER!$R$5:$R$1204,$Q47))</f>
        <v/>
      </c>
      <c r="O47" s="28" t="str">
        <f>IF($Q47="","",INDEX(TRANSACTIONS_MASTER!$AB$5:$AB$1204,$Q47))</f>
        <v/>
      </c>
      <c r="P47" s="55" t="str">
        <f>IF($Q47="","",INDEX(TRANSACTIONS_MASTER!$Z$5:$Z$1204,$Q47)&amp;"")</f>
        <v/>
      </c>
      <c r="Q47" s="67" t="str">
        <f>IFERROR(MATCH($C$2&amp;"|"&amp;40,TRANSACTIONS_MASTER!$AE$5:$AE$1204,0),"")</f>
        <v/>
      </c>
      <c r="S47" s="67" t="str">
        <f>IFERROR(MATCH(40,CASHBACK_RULES!$S$5:$S$304,0),"")</f>
        <v/>
      </c>
      <c r="T47" s="55" t="str">
        <f>IF($S47="","",INDEX(CASHBACK_RULES!$B$5:$B$304,$S47))</f>
        <v/>
      </c>
      <c r="U47" s="55" t="str">
        <f>IF($S47="","",INDEX(CASHBACK_RULES!$C$5:$C$304,$S47)&amp;" "&amp;INDEX(CASHBACK_RULES!$D$5:$D$304,$S47))</f>
        <v/>
      </c>
      <c r="V47" s="55" t="str">
        <f>IF($S47="","",INDEX(CASHBACK_RULES!$E$5:$E$304,$S47)&amp;"")</f>
        <v/>
      </c>
      <c r="W47" s="55" t="str">
        <f>IF($S47="","",INDEX(CASHBACK_RULES!$F$5:$F$304,$S47)&amp;"")</f>
        <v/>
      </c>
      <c r="X47" s="26" t="str">
        <f>IF($S47="","",SUMIFS(TRANSACTIONS_MASTER!$Q$5:$Q$1204,TRANSACTIONS_MASTER!$D$5:$D$1204,$T47,TRANSACTIONS_MASTER!$Z$5:$Z$1204,$V47,TRANSACTIONS_MASTER!$C$5:$C$1204,$C$2))</f>
        <v/>
      </c>
      <c r="Y47" s="25" t="str">
        <f>IF($S47="","",IF(ISNUMBER(INDEX(CASHBACK_RULES!$J$5:$J$304,$S47)),INDEX(CASHBACK_RULES!$J$5:$J$304,$S47),"∞"))</f>
        <v/>
      </c>
      <c r="Z47" s="25" t="str">
        <f>IF($S47="","",IF(ISNUMBER($Y47),MAX(0,$Y47-$X47),"∞"))</f>
        <v/>
      </c>
      <c r="AA47" s="27" t="str">
        <f>IF($S47="","",IF(ISNUMBER($Y47),IF($Y47=0,0,$X47/$Y47),""))</f>
        <v/>
      </c>
    </row>
    <row r="48" ht="20" customHeight="1">
      <c r="A48" s="81" t="str">
        <f>IF($Q48="","",41)</f>
        <v/>
      </c>
      <c r="B48" s="57" t="str">
        <f>IF($Q48="","",INDEX(TRANSACTIONS_MASTER!$B$5:$B$1204,$Q48))</f>
        <v/>
      </c>
      <c r="C48" s="55" t="str">
        <f>IF($Q48="","",INDEX(TRANSACTIONS_MASTER!$F$5:$F$1204,$Q48))</f>
        <v/>
      </c>
      <c r="D48" s="55" t="str">
        <f>IF($Q48="","",INDEX(TRANSACTIONS_MASTER!$E$5:$E$1204,$Q48))</f>
        <v/>
      </c>
      <c r="E48" s="55" t="str">
        <f>IF($Q48="","",INDEX(TRANSACTIONS_MASTER!$G$5:$G$1204,$Q48)&amp;"")</f>
        <v/>
      </c>
      <c r="F48" s="29" t="str">
        <f>IF($Q48="","",INDEX(TRANSACTIONS_MASTER!$I$5:$I$1204,$Q48))</f>
        <v/>
      </c>
      <c r="G48" s="55" t="str">
        <f>IF($Q48="","",INDEX(TRANSACTIONS_MASTER!$K$5:$K$1204,$Q48))</f>
        <v/>
      </c>
      <c r="H48" s="25" t="str">
        <f>IF($Q48="","",INDEX(TRANSACTIONS_MASTER!$L$5:$L$1204,$Q48))</f>
        <v/>
      </c>
      <c r="I48" s="56" t="str">
        <f>IF($Q48="","",INDEX(TRANSACTIONS_MASTER!$N$5:$N$1204,$Q48))</f>
        <v/>
      </c>
      <c r="J48" s="25" t="str">
        <f>IF($Q48="","",INDEX(TRANSACTIONS_MASTER!$O$5:$O$1204,$Q48))</f>
        <v/>
      </c>
      <c r="K48" s="26" t="str">
        <f>IF($Q48="","",INDEX(TRANSACTIONS_MASTER!$Q$5:$Q$1204,$Q48))</f>
        <v/>
      </c>
      <c r="L48" s="25" t="str">
        <f>IF($Q48="","",INDEX(TRANSACTIONS_MASTER!$P$5:$P$1204,$Q48))</f>
        <v/>
      </c>
      <c r="M48" s="25" t="str">
        <f>IF($Q48="","",INDEX(TRANSACTIONS_MASTER!$AA$5:$AA$1204,$Q48))</f>
        <v/>
      </c>
      <c r="N48" s="25" t="str">
        <f>IF($Q48="","",INDEX(TRANSACTIONS_MASTER!$R$5:$R$1204,$Q48))</f>
        <v/>
      </c>
      <c r="O48" s="28" t="str">
        <f>IF($Q48="","",INDEX(TRANSACTIONS_MASTER!$AB$5:$AB$1204,$Q48))</f>
        <v/>
      </c>
      <c r="P48" s="55" t="str">
        <f>IF($Q48="","",INDEX(TRANSACTIONS_MASTER!$Z$5:$Z$1204,$Q48)&amp;"")</f>
        <v/>
      </c>
      <c r="Q48" s="67" t="str">
        <f>IFERROR(MATCH($C$2&amp;"|"&amp;41,TRANSACTIONS_MASTER!$AE$5:$AE$1204,0),"")</f>
        <v/>
      </c>
      <c r="S48" s="67" t="str">
        <f>IFERROR(MATCH(41,CASHBACK_RULES!$S$5:$S$304,0),"")</f>
        <v/>
      </c>
      <c r="T48" s="55" t="str">
        <f>IF($S48="","",INDEX(CASHBACK_RULES!$B$5:$B$304,$S48))</f>
        <v/>
      </c>
      <c r="U48" s="55" t="str">
        <f>IF($S48="","",INDEX(CASHBACK_RULES!$C$5:$C$304,$S48)&amp;" "&amp;INDEX(CASHBACK_RULES!$D$5:$D$304,$S48))</f>
        <v/>
      </c>
      <c r="V48" s="55" t="str">
        <f>IF($S48="","",INDEX(CASHBACK_RULES!$E$5:$E$304,$S48)&amp;"")</f>
        <v/>
      </c>
      <c r="W48" s="55" t="str">
        <f>IF($S48="","",INDEX(CASHBACK_RULES!$F$5:$F$304,$S48)&amp;"")</f>
        <v/>
      </c>
      <c r="X48" s="26" t="str">
        <f>IF($S48="","",SUMIFS(TRANSACTIONS_MASTER!$Q$5:$Q$1204,TRANSACTIONS_MASTER!$D$5:$D$1204,$T48,TRANSACTIONS_MASTER!$Z$5:$Z$1204,$V48,TRANSACTIONS_MASTER!$C$5:$C$1204,$C$2))</f>
        <v/>
      </c>
      <c r="Y48" s="25" t="str">
        <f>IF($S48="","",IF(ISNUMBER(INDEX(CASHBACK_RULES!$J$5:$J$304,$S48)),INDEX(CASHBACK_RULES!$J$5:$J$304,$S48),"∞"))</f>
        <v/>
      </c>
      <c r="Z48" s="25" t="str">
        <f>IF($S48="","",IF(ISNUMBER($Y48),MAX(0,$Y48-$X48),"∞"))</f>
        <v/>
      </c>
      <c r="AA48" s="27" t="str">
        <f>IF($S48="","",IF(ISNUMBER($Y48),IF($Y48=0,0,$X48/$Y48),""))</f>
        <v/>
      </c>
    </row>
    <row r="49" ht="20" customHeight="1">
      <c r="A49" s="81" t="str">
        <f>IF($Q49="","",42)</f>
        <v/>
      </c>
      <c r="B49" s="57" t="str">
        <f>IF($Q49="","",INDEX(TRANSACTIONS_MASTER!$B$5:$B$1204,$Q49))</f>
        <v/>
      </c>
      <c r="C49" s="55" t="str">
        <f>IF($Q49="","",INDEX(TRANSACTIONS_MASTER!$F$5:$F$1204,$Q49))</f>
        <v/>
      </c>
      <c r="D49" s="55" t="str">
        <f>IF($Q49="","",INDEX(TRANSACTIONS_MASTER!$E$5:$E$1204,$Q49))</f>
        <v/>
      </c>
      <c r="E49" s="55" t="str">
        <f>IF($Q49="","",INDEX(TRANSACTIONS_MASTER!$G$5:$G$1204,$Q49)&amp;"")</f>
        <v/>
      </c>
      <c r="F49" s="29" t="str">
        <f>IF($Q49="","",INDEX(TRANSACTIONS_MASTER!$I$5:$I$1204,$Q49))</f>
        <v/>
      </c>
      <c r="G49" s="55" t="str">
        <f>IF($Q49="","",INDEX(TRANSACTIONS_MASTER!$K$5:$K$1204,$Q49))</f>
        <v/>
      </c>
      <c r="H49" s="25" t="str">
        <f>IF($Q49="","",INDEX(TRANSACTIONS_MASTER!$L$5:$L$1204,$Q49))</f>
        <v/>
      </c>
      <c r="I49" s="56" t="str">
        <f>IF($Q49="","",INDEX(TRANSACTIONS_MASTER!$N$5:$N$1204,$Q49))</f>
        <v/>
      </c>
      <c r="J49" s="25" t="str">
        <f>IF($Q49="","",INDEX(TRANSACTIONS_MASTER!$O$5:$O$1204,$Q49))</f>
        <v/>
      </c>
      <c r="K49" s="26" t="str">
        <f>IF($Q49="","",INDEX(TRANSACTIONS_MASTER!$Q$5:$Q$1204,$Q49))</f>
        <v/>
      </c>
      <c r="L49" s="25" t="str">
        <f>IF($Q49="","",INDEX(TRANSACTIONS_MASTER!$P$5:$P$1204,$Q49))</f>
        <v/>
      </c>
      <c r="M49" s="25" t="str">
        <f>IF($Q49="","",INDEX(TRANSACTIONS_MASTER!$AA$5:$AA$1204,$Q49))</f>
        <v/>
      </c>
      <c r="N49" s="25" t="str">
        <f>IF($Q49="","",INDEX(TRANSACTIONS_MASTER!$R$5:$R$1204,$Q49))</f>
        <v/>
      </c>
      <c r="O49" s="28" t="str">
        <f>IF($Q49="","",INDEX(TRANSACTIONS_MASTER!$AB$5:$AB$1204,$Q49))</f>
        <v/>
      </c>
      <c r="P49" s="55" t="str">
        <f>IF($Q49="","",INDEX(TRANSACTIONS_MASTER!$Z$5:$Z$1204,$Q49)&amp;"")</f>
        <v/>
      </c>
      <c r="Q49" s="67" t="str">
        <f>IFERROR(MATCH($C$2&amp;"|"&amp;42,TRANSACTIONS_MASTER!$AE$5:$AE$1204,0),"")</f>
        <v/>
      </c>
      <c r="S49" s="67" t="str">
        <f>IFERROR(MATCH(42,CASHBACK_RULES!$S$5:$S$304,0),"")</f>
        <v/>
      </c>
      <c r="T49" s="55" t="str">
        <f>IF($S49="","",INDEX(CASHBACK_RULES!$B$5:$B$304,$S49))</f>
        <v/>
      </c>
      <c r="U49" s="55" t="str">
        <f>IF($S49="","",INDEX(CASHBACK_RULES!$C$5:$C$304,$S49)&amp;" "&amp;INDEX(CASHBACK_RULES!$D$5:$D$304,$S49))</f>
        <v/>
      </c>
      <c r="V49" s="55" t="str">
        <f>IF($S49="","",INDEX(CASHBACK_RULES!$E$5:$E$304,$S49)&amp;"")</f>
        <v/>
      </c>
      <c r="W49" s="55" t="str">
        <f>IF($S49="","",INDEX(CASHBACK_RULES!$F$5:$F$304,$S49)&amp;"")</f>
        <v/>
      </c>
      <c r="X49" s="26" t="str">
        <f>IF($S49="","",SUMIFS(TRANSACTIONS_MASTER!$Q$5:$Q$1204,TRANSACTIONS_MASTER!$D$5:$D$1204,$T49,TRANSACTIONS_MASTER!$Z$5:$Z$1204,$V49,TRANSACTIONS_MASTER!$C$5:$C$1204,$C$2))</f>
        <v/>
      </c>
      <c r="Y49" s="25" t="str">
        <f>IF($S49="","",IF(ISNUMBER(INDEX(CASHBACK_RULES!$J$5:$J$304,$S49)),INDEX(CASHBACK_RULES!$J$5:$J$304,$S49),"∞"))</f>
        <v/>
      </c>
      <c r="Z49" s="25" t="str">
        <f>IF($S49="","",IF(ISNUMBER($Y49),MAX(0,$Y49-$X49),"∞"))</f>
        <v/>
      </c>
      <c r="AA49" s="27" t="str">
        <f>IF($S49="","",IF(ISNUMBER($Y49),IF($Y49=0,0,$X49/$Y49),""))</f>
        <v/>
      </c>
    </row>
    <row r="50" ht="20" customHeight="1">
      <c r="A50" s="81" t="str">
        <f>IF($Q50="","",43)</f>
        <v/>
      </c>
      <c r="B50" s="57" t="str">
        <f>IF($Q50="","",INDEX(TRANSACTIONS_MASTER!$B$5:$B$1204,$Q50))</f>
        <v/>
      </c>
      <c r="C50" s="55" t="str">
        <f>IF($Q50="","",INDEX(TRANSACTIONS_MASTER!$F$5:$F$1204,$Q50))</f>
        <v/>
      </c>
      <c r="D50" s="55" t="str">
        <f>IF($Q50="","",INDEX(TRANSACTIONS_MASTER!$E$5:$E$1204,$Q50))</f>
        <v/>
      </c>
      <c r="E50" s="55" t="str">
        <f>IF($Q50="","",INDEX(TRANSACTIONS_MASTER!$G$5:$G$1204,$Q50)&amp;"")</f>
        <v/>
      </c>
      <c r="F50" s="29" t="str">
        <f>IF($Q50="","",INDEX(TRANSACTIONS_MASTER!$I$5:$I$1204,$Q50))</f>
        <v/>
      </c>
      <c r="G50" s="55" t="str">
        <f>IF($Q50="","",INDEX(TRANSACTIONS_MASTER!$K$5:$K$1204,$Q50))</f>
        <v/>
      </c>
      <c r="H50" s="25" t="str">
        <f>IF($Q50="","",INDEX(TRANSACTIONS_MASTER!$L$5:$L$1204,$Q50))</f>
        <v/>
      </c>
      <c r="I50" s="56" t="str">
        <f>IF($Q50="","",INDEX(TRANSACTIONS_MASTER!$N$5:$N$1204,$Q50))</f>
        <v/>
      </c>
      <c r="J50" s="25" t="str">
        <f>IF($Q50="","",INDEX(TRANSACTIONS_MASTER!$O$5:$O$1204,$Q50))</f>
        <v/>
      </c>
      <c r="K50" s="26" t="str">
        <f>IF($Q50="","",INDEX(TRANSACTIONS_MASTER!$Q$5:$Q$1204,$Q50))</f>
        <v/>
      </c>
      <c r="L50" s="25" t="str">
        <f>IF($Q50="","",INDEX(TRANSACTIONS_MASTER!$P$5:$P$1204,$Q50))</f>
        <v/>
      </c>
      <c r="M50" s="25" t="str">
        <f>IF($Q50="","",INDEX(TRANSACTIONS_MASTER!$AA$5:$AA$1204,$Q50))</f>
        <v/>
      </c>
      <c r="N50" s="25" t="str">
        <f>IF($Q50="","",INDEX(TRANSACTIONS_MASTER!$R$5:$R$1204,$Q50))</f>
        <v/>
      </c>
      <c r="O50" s="28" t="str">
        <f>IF($Q50="","",INDEX(TRANSACTIONS_MASTER!$AB$5:$AB$1204,$Q50))</f>
        <v/>
      </c>
      <c r="P50" s="55" t="str">
        <f>IF($Q50="","",INDEX(TRANSACTIONS_MASTER!$Z$5:$Z$1204,$Q50)&amp;"")</f>
        <v/>
      </c>
      <c r="Q50" s="67" t="str">
        <f>IFERROR(MATCH($C$2&amp;"|"&amp;43,TRANSACTIONS_MASTER!$AE$5:$AE$1204,0),"")</f>
        <v/>
      </c>
      <c r="S50" s="67" t="str">
        <f>IFERROR(MATCH(43,CASHBACK_RULES!$S$5:$S$304,0),"")</f>
        <v/>
      </c>
      <c r="T50" s="55" t="str">
        <f>IF($S50="","",INDEX(CASHBACK_RULES!$B$5:$B$304,$S50))</f>
        <v/>
      </c>
      <c r="U50" s="55" t="str">
        <f>IF($S50="","",INDEX(CASHBACK_RULES!$C$5:$C$304,$S50)&amp;" "&amp;INDEX(CASHBACK_RULES!$D$5:$D$304,$S50))</f>
        <v/>
      </c>
      <c r="V50" s="55" t="str">
        <f>IF($S50="","",INDEX(CASHBACK_RULES!$E$5:$E$304,$S50)&amp;"")</f>
        <v/>
      </c>
      <c r="W50" s="55" t="str">
        <f>IF($S50="","",INDEX(CASHBACK_RULES!$F$5:$F$304,$S50)&amp;"")</f>
        <v/>
      </c>
      <c r="X50" s="26" t="str">
        <f>IF($S50="","",SUMIFS(TRANSACTIONS_MASTER!$Q$5:$Q$1204,TRANSACTIONS_MASTER!$D$5:$D$1204,$T50,TRANSACTIONS_MASTER!$Z$5:$Z$1204,$V50,TRANSACTIONS_MASTER!$C$5:$C$1204,$C$2))</f>
        <v/>
      </c>
      <c r="Y50" s="25" t="str">
        <f>IF($S50="","",IF(ISNUMBER(INDEX(CASHBACK_RULES!$J$5:$J$304,$S50)),INDEX(CASHBACK_RULES!$J$5:$J$304,$S50),"∞"))</f>
        <v/>
      </c>
      <c r="Z50" s="25" t="str">
        <f>IF($S50="","",IF(ISNUMBER($Y50),MAX(0,$Y50-$X50),"∞"))</f>
        <v/>
      </c>
      <c r="AA50" s="27" t="str">
        <f>IF($S50="","",IF(ISNUMBER($Y50),IF($Y50=0,0,$X50/$Y50),""))</f>
        <v/>
      </c>
    </row>
    <row r="51" ht="20" customHeight="1">
      <c r="A51" s="81" t="str">
        <f>IF($Q51="","",44)</f>
        <v/>
      </c>
      <c r="B51" s="57" t="str">
        <f>IF($Q51="","",INDEX(TRANSACTIONS_MASTER!$B$5:$B$1204,$Q51))</f>
        <v/>
      </c>
      <c r="C51" s="55" t="str">
        <f>IF($Q51="","",INDEX(TRANSACTIONS_MASTER!$F$5:$F$1204,$Q51))</f>
        <v/>
      </c>
      <c r="D51" s="55" t="str">
        <f>IF($Q51="","",INDEX(TRANSACTIONS_MASTER!$E$5:$E$1204,$Q51))</f>
        <v/>
      </c>
      <c r="E51" s="55" t="str">
        <f>IF($Q51="","",INDEX(TRANSACTIONS_MASTER!$G$5:$G$1204,$Q51)&amp;"")</f>
        <v/>
      </c>
      <c r="F51" s="29" t="str">
        <f>IF($Q51="","",INDEX(TRANSACTIONS_MASTER!$I$5:$I$1204,$Q51))</f>
        <v/>
      </c>
      <c r="G51" s="55" t="str">
        <f>IF($Q51="","",INDEX(TRANSACTIONS_MASTER!$K$5:$K$1204,$Q51))</f>
        <v/>
      </c>
      <c r="H51" s="25" t="str">
        <f>IF($Q51="","",INDEX(TRANSACTIONS_MASTER!$L$5:$L$1204,$Q51))</f>
        <v/>
      </c>
      <c r="I51" s="56" t="str">
        <f>IF($Q51="","",INDEX(TRANSACTIONS_MASTER!$N$5:$N$1204,$Q51))</f>
        <v/>
      </c>
      <c r="J51" s="25" t="str">
        <f>IF($Q51="","",INDEX(TRANSACTIONS_MASTER!$O$5:$O$1204,$Q51))</f>
        <v/>
      </c>
      <c r="K51" s="26" t="str">
        <f>IF($Q51="","",INDEX(TRANSACTIONS_MASTER!$Q$5:$Q$1204,$Q51))</f>
        <v/>
      </c>
      <c r="L51" s="25" t="str">
        <f>IF($Q51="","",INDEX(TRANSACTIONS_MASTER!$P$5:$P$1204,$Q51))</f>
        <v/>
      </c>
      <c r="M51" s="25" t="str">
        <f>IF($Q51="","",INDEX(TRANSACTIONS_MASTER!$AA$5:$AA$1204,$Q51))</f>
        <v/>
      </c>
      <c r="N51" s="25" t="str">
        <f>IF($Q51="","",INDEX(TRANSACTIONS_MASTER!$R$5:$R$1204,$Q51))</f>
        <v/>
      </c>
      <c r="O51" s="28" t="str">
        <f>IF($Q51="","",INDEX(TRANSACTIONS_MASTER!$AB$5:$AB$1204,$Q51))</f>
        <v/>
      </c>
      <c r="P51" s="55" t="str">
        <f>IF($Q51="","",INDEX(TRANSACTIONS_MASTER!$Z$5:$Z$1204,$Q51)&amp;"")</f>
        <v/>
      </c>
      <c r="Q51" s="67" t="str">
        <f>IFERROR(MATCH($C$2&amp;"|"&amp;44,TRANSACTIONS_MASTER!$AE$5:$AE$1204,0),"")</f>
        <v/>
      </c>
      <c r="S51" s="67" t="str">
        <f>IFERROR(MATCH(44,CASHBACK_RULES!$S$5:$S$304,0),"")</f>
        <v/>
      </c>
      <c r="T51" s="55" t="str">
        <f>IF($S51="","",INDEX(CASHBACK_RULES!$B$5:$B$304,$S51))</f>
        <v/>
      </c>
      <c r="U51" s="55" t="str">
        <f>IF($S51="","",INDEX(CASHBACK_RULES!$C$5:$C$304,$S51)&amp;" "&amp;INDEX(CASHBACK_RULES!$D$5:$D$304,$S51))</f>
        <v/>
      </c>
      <c r="V51" s="55" t="str">
        <f>IF($S51="","",INDEX(CASHBACK_RULES!$E$5:$E$304,$S51)&amp;"")</f>
        <v/>
      </c>
      <c r="W51" s="55" t="str">
        <f>IF($S51="","",INDEX(CASHBACK_RULES!$F$5:$F$304,$S51)&amp;"")</f>
        <v/>
      </c>
      <c r="X51" s="26" t="str">
        <f>IF($S51="","",SUMIFS(TRANSACTIONS_MASTER!$Q$5:$Q$1204,TRANSACTIONS_MASTER!$D$5:$D$1204,$T51,TRANSACTIONS_MASTER!$Z$5:$Z$1204,$V51,TRANSACTIONS_MASTER!$C$5:$C$1204,$C$2))</f>
        <v/>
      </c>
      <c r="Y51" s="25" t="str">
        <f>IF($S51="","",IF(ISNUMBER(INDEX(CASHBACK_RULES!$J$5:$J$304,$S51)),INDEX(CASHBACK_RULES!$J$5:$J$304,$S51),"∞"))</f>
        <v/>
      </c>
      <c r="Z51" s="25" t="str">
        <f>IF($S51="","",IF(ISNUMBER($Y51),MAX(0,$Y51-$X51),"∞"))</f>
        <v/>
      </c>
      <c r="AA51" s="27" t="str">
        <f>IF($S51="","",IF(ISNUMBER($Y51),IF($Y51=0,0,$X51/$Y51),""))</f>
        <v/>
      </c>
    </row>
    <row r="52" ht="20" customHeight="1">
      <c r="A52" s="81" t="str">
        <f>IF($Q52="","",45)</f>
        <v/>
      </c>
      <c r="B52" s="57" t="str">
        <f>IF($Q52="","",INDEX(TRANSACTIONS_MASTER!$B$5:$B$1204,$Q52))</f>
        <v/>
      </c>
      <c r="C52" s="55" t="str">
        <f>IF($Q52="","",INDEX(TRANSACTIONS_MASTER!$F$5:$F$1204,$Q52))</f>
        <v/>
      </c>
      <c r="D52" s="55" t="str">
        <f>IF($Q52="","",INDEX(TRANSACTIONS_MASTER!$E$5:$E$1204,$Q52))</f>
        <v/>
      </c>
      <c r="E52" s="55" t="str">
        <f>IF($Q52="","",INDEX(TRANSACTIONS_MASTER!$G$5:$G$1204,$Q52)&amp;"")</f>
        <v/>
      </c>
      <c r="F52" s="29" t="str">
        <f>IF($Q52="","",INDEX(TRANSACTIONS_MASTER!$I$5:$I$1204,$Q52))</f>
        <v/>
      </c>
      <c r="G52" s="55" t="str">
        <f>IF($Q52="","",INDEX(TRANSACTIONS_MASTER!$K$5:$K$1204,$Q52))</f>
        <v/>
      </c>
      <c r="H52" s="25" t="str">
        <f>IF($Q52="","",INDEX(TRANSACTIONS_MASTER!$L$5:$L$1204,$Q52))</f>
        <v/>
      </c>
      <c r="I52" s="56" t="str">
        <f>IF($Q52="","",INDEX(TRANSACTIONS_MASTER!$N$5:$N$1204,$Q52))</f>
        <v/>
      </c>
      <c r="J52" s="25" t="str">
        <f>IF($Q52="","",INDEX(TRANSACTIONS_MASTER!$O$5:$O$1204,$Q52))</f>
        <v/>
      </c>
      <c r="K52" s="26" t="str">
        <f>IF($Q52="","",INDEX(TRANSACTIONS_MASTER!$Q$5:$Q$1204,$Q52))</f>
        <v/>
      </c>
      <c r="L52" s="25" t="str">
        <f>IF($Q52="","",INDEX(TRANSACTIONS_MASTER!$P$5:$P$1204,$Q52))</f>
        <v/>
      </c>
      <c r="M52" s="25" t="str">
        <f>IF($Q52="","",INDEX(TRANSACTIONS_MASTER!$AA$5:$AA$1204,$Q52))</f>
        <v/>
      </c>
      <c r="N52" s="25" t="str">
        <f>IF($Q52="","",INDEX(TRANSACTIONS_MASTER!$R$5:$R$1204,$Q52))</f>
        <v/>
      </c>
      <c r="O52" s="28" t="str">
        <f>IF($Q52="","",INDEX(TRANSACTIONS_MASTER!$AB$5:$AB$1204,$Q52))</f>
        <v/>
      </c>
      <c r="P52" s="55" t="str">
        <f>IF($Q52="","",INDEX(TRANSACTIONS_MASTER!$Z$5:$Z$1204,$Q52)&amp;"")</f>
        <v/>
      </c>
      <c r="Q52" s="67" t="str">
        <f>IFERROR(MATCH($C$2&amp;"|"&amp;45,TRANSACTIONS_MASTER!$AE$5:$AE$1204,0),"")</f>
        <v/>
      </c>
      <c r="S52" s="67" t="str">
        <f>IFERROR(MATCH(45,CASHBACK_RULES!$S$5:$S$304,0),"")</f>
        <v/>
      </c>
      <c r="T52" s="55" t="str">
        <f>IF($S52="","",INDEX(CASHBACK_RULES!$B$5:$B$304,$S52))</f>
        <v/>
      </c>
      <c r="U52" s="55" t="str">
        <f>IF($S52="","",INDEX(CASHBACK_RULES!$C$5:$C$304,$S52)&amp;" "&amp;INDEX(CASHBACK_RULES!$D$5:$D$304,$S52))</f>
        <v/>
      </c>
      <c r="V52" s="55" t="str">
        <f>IF($S52="","",INDEX(CASHBACK_RULES!$E$5:$E$304,$S52)&amp;"")</f>
        <v/>
      </c>
      <c r="W52" s="55" t="str">
        <f>IF($S52="","",INDEX(CASHBACK_RULES!$F$5:$F$304,$S52)&amp;"")</f>
        <v/>
      </c>
      <c r="X52" s="26" t="str">
        <f>IF($S52="","",SUMIFS(TRANSACTIONS_MASTER!$Q$5:$Q$1204,TRANSACTIONS_MASTER!$D$5:$D$1204,$T52,TRANSACTIONS_MASTER!$Z$5:$Z$1204,$V52,TRANSACTIONS_MASTER!$C$5:$C$1204,$C$2))</f>
        <v/>
      </c>
      <c r="Y52" s="25" t="str">
        <f>IF($S52="","",IF(ISNUMBER(INDEX(CASHBACK_RULES!$J$5:$J$304,$S52)),INDEX(CASHBACK_RULES!$J$5:$J$304,$S52),"∞"))</f>
        <v/>
      </c>
      <c r="Z52" s="25" t="str">
        <f>IF($S52="","",IF(ISNUMBER($Y52),MAX(0,$Y52-$X52),"∞"))</f>
        <v/>
      </c>
      <c r="AA52" s="27" t="str">
        <f>IF($S52="","",IF(ISNUMBER($Y52),IF($Y52=0,0,$X52/$Y52),""))</f>
        <v/>
      </c>
    </row>
    <row r="53" ht="20" customHeight="1">
      <c r="A53" s="81" t="str">
        <f>IF($Q53="","",46)</f>
        <v/>
      </c>
      <c r="B53" s="57" t="str">
        <f>IF($Q53="","",INDEX(TRANSACTIONS_MASTER!$B$5:$B$1204,$Q53))</f>
        <v/>
      </c>
      <c r="C53" s="55" t="str">
        <f>IF($Q53="","",INDEX(TRANSACTIONS_MASTER!$F$5:$F$1204,$Q53))</f>
        <v/>
      </c>
      <c r="D53" s="55" t="str">
        <f>IF($Q53="","",INDEX(TRANSACTIONS_MASTER!$E$5:$E$1204,$Q53))</f>
        <v/>
      </c>
      <c r="E53" s="55" t="str">
        <f>IF($Q53="","",INDEX(TRANSACTIONS_MASTER!$G$5:$G$1204,$Q53)&amp;"")</f>
        <v/>
      </c>
      <c r="F53" s="29" t="str">
        <f>IF($Q53="","",INDEX(TRANSACTIONS_MASTER!$I$5:$I$1204,$Q53))</f>
        <v/>
      </c>
      <c r="G53" s="55" t="str">
        <f>IF($Q53="","",INDEX(TRANSACTIONS_MASTER!$K$5:$K$1204,$Q53))</f>
        <v/>
      </c>
      <c r="H53" s="25" t="str">
        <f>IF($Q53="","",INDEX(TRANSACTIONS_MASTER!$L$5:$L$1204,$Q53))</f>
        <v/>
      </c>
      <c r="I53" s="56" t="str">
        <f>IF($Q53="","",INDEX(TRANSACTIONS_MASTER!$N$5:$N$1204,$Q53))</f>
        <v/>
      </c>
      <c r="J53" s="25" t="str">
        <f>IF($Q53="","",INDEX(TRANSACTIONS_MASTER!$O$5:$O$1204,$Q53))</f>
        <v/>
      </c>
      <c r="K53" s="26" t="str">
        <f>IF($Q53="","",INDEX(TRANSACTIONS_MASTER!$Q$5:$Q$1204,$Q53))</f>
        <v/>
      </c>
      <c r="L53" s="25" t="str">
        <f>IF($Q53="","",INDEX(TRANSACTIONS_MASTER!$P$5:$P$1204,$Q53))</f>
        <v/>
      </c>
      <c r="M53" s="25" t="str">
        <f>IF($Q53="","",INDEX(TRANSACTIONS_MASTER!$AA$5:$AA$1204,$Q53))</f>
        <v/>
      </c>
      <c r="N53" s="25" t="str">
        <f>IF($Q53="","",INDEX(TRANSACTIONS_MASTER!$R$5:$R$1204,$Q53))</f>
        <v/>
      </c>
      <c r="O53" s="28" t="str">
        <f>IF($Q53="","",INDEX(TRANSACTIONS_MASTER!$AB$5:$AB$1204,$Q53))</f>
        <v/>
      </c>
      <c r="P53" s="55" t="str">
        <f>IF($Q53="","",INDEX(TRANSACTIONS_MASTER!$Z$5:$Z$1204,$Q53)&amp;"")</f>
        <v/>
      </c>
      <c r="Q53" s="67" t="str">
        <f>IFERROR(MATCH($C$2&amp;"|"&amp;46,TRANSACTIONS_MASTER!$AE$5:$AE$1204,0),"")</f>
        <v/>
      </c>
      <c r="S53" s="67" t="str">
        <f>IFERROR(MATCH(46,CASHBACK_RULES!$S$5:$S$304,0),"")</f>
        <v/>
      </c>
      <c r="T53" s="55" t="str">
        <f>IF($S53="","",INDEX(CASHBACK_RULES!$B$5:$B$304,$S53))</f>
        <v/>
      </c>
      <c r="U53" s="55" t="str">
        <f>IF($S53="","",INDEX(CASHBACK_RULES!$C$5:$C$304,$S53)&amp;" "&amp;INDEX(CASHBACK_RULES!$D$5:$D$304,$S53))</f>
        <v/>
      </c>
      <c r="V53" s="55" t="str">
        <f>IF($S53="","",INDEX(CASHBACK_RULES!$E$5:$E$304,$S53)&amp;"")</f>
        <v/>
      </c>
      <c r="W53" s="55" t="str">
        <f>IF($S53="","",INDEX(CASHBACK_RULES!$F$5:$F$304,$S53)&amp;"")</f>
        <v/>
      </c>
      <c r="X53" s="26" t="str">
        <f>IF($S53="","",SUMIFS(TRANSACTIONS_MASTER!$Q$5:$Q$1204,TRANSACTIONS_MASTER!$D$5:$D$1204,$T53,TRANSACTIONS_MASTER!$Z$5:$Z$1204,$V53,TRANSACTIONS_MASTER!$C$5:$C$1204,$C$2))</f>
        <v/>
      </c>
      <c r="Y53" s="25" t="str">
        <f>IF($S53="","",IF(ISNUMBER(INDEX(CASHBACK_RULES!$J$5:$J$304,$S53)),INDEX(CASHBACK_RULES!$J$5:$J$304,$S53),"∞"))</f>
        <v/>
      </c>
      <c r="Z53" s="25" t="str">
        <f>IF($S53="","",IF(ISNUMBER($Y53),MAX(0,$Y53-$X53),"∞"))</f>
        <v/>
      </c>
      <c r="AA53" s="27" t="str">
        <f>IF($S53="","",IF(ISNUMBER($Y53),IF($Y53=0,0,$X53/$Y53),""))</f>
        <v/>
      </c>
    </row>
    <row r="54" ht="20" customHeight="1">
      <c r="A54" s="81" t="str">
        <f>IF($Q54="","",47)</f>
        <v/>
      </c>
      <c r="B54" s="57" t="str">
        <f>IF($Q54="","",INDEX(TRANSACTIONS_MASTER!$B$5:$B$1204,$Q54))</f>
        <v/>
      </c>
      <c r="C54" s="55" t="str">
        <f>IF($Q54="","",INDEX(TRANSACTIONS_MASTER!$F$5:$F$1204,$Q54))</f>
        <v/>
      </c>
      <c r="D54" s="55" t="str">
        <f>IF($Q54="","",INDEX(TRANSACTIONS_MASTER!$E$5:$E$1204,$Q54))</f>
        <v/>
      </c>
      <c r="E54" s="55" t="str">
        <f>IF($Q54="","",INDEX(TRANSACTIONS_MASTER!$G$5:$G$1204,$Q54)&amp;"")</f>
        <v/>
      </c>
      <c r="F54" s="29" t="str">
        <f>IF($Q54="","",INDEX(TRANSACTIONS_MASTER!$I$5:$I$1204,$Q54))</f>
        <v/>
      </c>
      <c r="G54" s="55" t="str">
        <f>IF($Q54="","",INDEX(TRANSACTIONS_MASTER!$K$5:$K$1204,$Q54))</f>
        <v/>
      </c>
      <c r="H54" s="25" t="str">
        <f>IF($Q54="","",INDEX(TRANSACTIONS_MASTER!$L$5:$L$1204,$Q54))</f>
        <v/>
      </c>
      <c r="I54" s="56" t="str">
        <f>IF($Q54="","",INDEX(TRANSACTIONS_MASTER!$N$5:$N$1204,$Q54))</f>
        <v/>
      </c>
      <c r="J54" s="25" t="str">
        <f>IF($Q54="","",INDEX(TRANSACTIONS_MASTER!$O$5:$O$1204,$Q54))</f>
        <v/>
      </c>
      <c r="K54" s="26" t="str">
        <f>IF($Q54="","",INDEX(TRANSACTIONS_MASTER!$Q$5:$Q$1204,$Q54))</f>
        <v/>
      </c>
      <c r="L54" s="25" t="str">
        <f>IF($Q54="","",INDEX(TRANSACTIONS_MASTER!$P$5:$P$1204,$Q54))</f>
        <v/>
      </c>
      <c r="M54" s="25" t="str">
        <f>IF($Q54="","",INDEX(TRANSACTIONS_MASTER!$AA$5:$AA$1204,$Q54))</f>
        <v/>
      </c>
      <c r="N54" s="25" t="str">
        <f>IF($Q54="","",INDEX(TRANSACTIONS_MASTER!$R$5:$R$1204,$Q54))</f>
        <v/>
      </c>
      <c r="O54" s="28" t="str">
        <f>IF($Q54="","",INDEX(TRANSACTIONS_MASTER!$AB$5:$AB$1204,$Q54))</f>
        <v/>
      </c>
      <c r="P54" s="55" t="str">
        <f>IF($Q54="","",INDEX(TRANSACTIONS_MASTER!$Z$5:$Z$1204,$Q54)&amp;"")</f>
        <v/>
      </c>
      <c r="Q54" s="67" t="str">
        <f>IFERROR(MATCH($C$2&amp;"|"&amp;47,TRANSACTIONS_MASTER!$AE$5:$AE$1204,0),"")</f>
        <v/>
      </c>
      <c r="S54" s="67" t="str">
        <f>IFERROR(MATCH(47,CASHBACK_RULES!$S$5:$S$304,0),"")</f>
        <v/>
      </c>
      <c r="T54" s="55" t="str">
        <f>IF($S54="","",INDEX(CASHBACK_RULES!$B$5:$B$304,$S54))</f>
        <v/>
      </c>
      <c r="U54" s="55" t="str">
        <f>IF($S54="","",INDEX(CASHBACK_RULES!$C$5:$C$304,$S54)&amp;" "&amp;INDEX(CASHBACK_RULES!$D$5:$D$304,$S54))</f>
        <v/>
      </c>
      <c r="V54" s="55" t="str">
        <f>IF($S54="","",INDEX(CASHBACK_RULES!$E$5:$E$304,$S54)&amp;"")</f>
        <v/>
      </c>
      <c r="W54" s="55" t="str">
        <f>IF($S54="","",INDEX(CASHBACK_RULES!$F$5:$F$304,$S54)&amp;"")</f>
        <v/>
      </c>
      <c r="X54" s="26" t="str">
        <f>IF($S54="","",SUMIFS(TRANSACTIONS_MASTER!$Q$5:$Q$1204,TRANSACTIONS_MASTER!$D$5:$D$1204,$T54,TRANSACTIONS_MASTER!$Z$5:$Z$1204,$V54,TRANSACTIONS_MASTER!$C$5:$C$1204,$C$2))</f>
        <v/>
      </c>
      <c r="Y54" s="25" t="str">
        <f>IF($S54="","",IF(ISNUMBER(INDEX(CASHBACK_RULES!$J$5:$J$304,$S54)),INDEX(CASHBACK_RULES!$J$5:$J$304,$S54),"∞"))</f>
        <v/>
      </c>
      <c r="Z54" s="25" t="str">
        <f>IF($S54="","",IF(ISNUMBER($Y54),MAX(0,$Y54-$X54),"∞"))</f>
        <v/>
      </c>
      <c r="AA54" s="27" t="str">
        <f>IF($S54="","",IF(ISNUMBER($Y54),IF($Y54=0,0,$X54/$Y54),""))</f>
        <v/>
      </c>
    </row>
    <row r="55" ht="20" customHeight="1">
      <c r="A55" s="81" t="str">
        <f>IF($Q55="","",48)</f>
        <v/>
      </c>
      <c r="B55" s="57" t="str">
        <f>IF($Q55="","",INDEX(TRANSACTIONS_MASTER!$B$5:$B$1204,$Q55))</f>
        <v/>
      </c>
      <c r="C55" s="55" t="str">
        <f>IF($Q55="","",INDEX(TRANSACTIONS_MASTER!$F$5:$F$1204,$Q55))</f>
        <v/>
      </c>
      <c r="D55" s="55" t="str">
        <f>IF($Q55="","",INDEX(TRANSACTIONS_MASTER!$E$5:$E$1204,$Q55))</f>
        <v/>
      </c>
      <c r="E55" s="55" t="str">
        <f>IF($Q55="","",INDEX(TRANSACTIONS_MASTER!$G$5:$G$1204,$Q55)&amp;"")</f>
        <v/>
      </c>
      <c r="F55" s="29" t="str">
        <f>IF($Q55="","",INDEX(TRANSACTIONS_MASTER!$I$5:$I$1204,$Q55))</f>
        <v/>
      </c>
      <c r="G55" s="55" t="str">
        <f>IF($Q55="","",INDEX(TRANSACTIONS_MASTER!$K$5:$K$1204,$Q55))</f>
        <v/>
      </c>
      <c r="H55" s="25" t="str">
        <f>IF($Q55="","",INDEX(TRANSACTIONS_MASTER!$L$5:$L$1204,$Q55))</f>
        <v/>
      </c>
      <c r="I55" s="56" t="str">
        <f>IF($Q55="","",INDEX(TRANSACTIONS_MASTER!$N$5:$N$1204,$Q55))</f>
        <v/>
      </c>
      <c r="J55" s="25" t="str">
        <f>IF($Q55="","",INDEX(TRANSACTIONS_MASTER!$O$5:$O$1204,$Q55))</f>
        <v/>
      </c>
      <c r="K55" s="26" t="str">
        <f>IF($Q55="","",INDEX(TRANSACTIONS_MASTER!$Q$5:$Q$1204,$Q55))</f>
        <v/>
      </c>
      <c r="L55" s="25" t="str">
        <f>IF($Q55="","",INDEX(TRANSACTIONS_MASTER!$P$5:$P$1204,$Q55))</f>
        <v/>
      </c>
      <c r="M55" s="25" t="str">
        <f>IF($Q55="","",INDEX(TRANSACTIONS_MASTER!$AA$5:$AA$1204,$Q55))</f>
        <v/>
      </c>
      <c r="N55" s="25" t="str">
        <f>IF($Q55="","",INDEX(TRANSACTIONS_MASTER!$R$5:$R$1204,$Q55))</f>
        <v/>
      </c>
      <c r="O55" s="28" t="str">
        <f>IF($Q55="","",INDEX(TRANSACTIONS_MASTER!$AB$5:$AB$1204,$Q55))</f>
        <v/>
      </c>
      <c r="P55" s="55" t="str">
        <f>IF($Q55="","",INDEX(TRANSACTIONS_MASTER!$Z$5:$Z$1204,$Q55)&amp;"")</f>
        <v/>
      </c>
      <c r="Q55" s="67" t="str">
        <f>IFERROR(MATCH($C$2&amp;"|"&amp;48,TRANSACTIONS_MASTER!$AE$5:$AE$1204,0),"")</f>
        <v/>
      </c>
      <c r="S55" s="67" t="str">
        <f>IFERROR(MATCH(48,CASHBACK_RULES!$S$5:$S$304,0),"")</f>
        <v/>
      </c>
      <c r="T55" s="55" t="str">
        <f>IF($S55="","",INDEX(CASHBACK_RULES!$B$5:$B$304,$S55))</f>
        <v/>
      </c>
      <c r="U55" s="55" t="str">
        <f>IF($S55="","",INDEX(CASHBACK_RULES!$C$5:$C$304,$S55)&amp;" "&amp;INDEX(CASHBACK_RULES!$D$5:$D$304,$S55))</f>
        <v/>
      </c>
      <c r="V55" s="55" t="str">
        <f>IF($S55="","",INDEX(CASHBACK_RULES!$E$5:$E$304,$S55)&amp;"")</f>
        <v/>
      </c>
      <c r="W55" s="55" t="str">
        <f>IF($S55="","",INDEX(CASHBACK_RULES!$F$5:$F$304,$S55)&amp;"")</f>
        <v/>
      </c>
      <c r="X55" s="26" t="str">
        <f>IF($S55="","",SUMIFS(TRANSACTIONS_MASTER!$Q$5:$Q$1204,TRANSACTIONS_MASTER!$D$5:$D$1204,$T55,TRANSACTIONS_MASTER!$Z$5:$Z$1204,$V55,TRANSACTIONS_MASTER!$C$5:$C$1204,$C$2))</f>
        <v/>
      </c>
      <c r="Y55" s="25" t="str">
        <f>IF($S55="","",IF(ISNUMBER(INDEX(CASHBACK_RULES!$J$5:$J$304,$S55)),INDEX(CASHBACK_RULES!$J$5:$J$304,$S55),"∞"))</f>
        <v/>
      </c>
      <c r="Z55" s="25" t="str">
        <f>IF($S55="","",IF(ISNUMBER($Y55),MAX(0,$Y55-$X55),"∞"))</f>
        <v/>
      </c>
      <c r="AA55" s="27" t="str">
        <f>IF($S55="","",IF(ISNUMBER($Y55),IF($Y55=0,0,$X55/$Y55),""))</f>
        <v/>
      </c>
    </row>
    <row r="56" ht="20" customHeight="1">
      <c r="A56" s="81" t="str">
        <f>IF($Q56="","",49)</f>
        <v/>
      </c>
      <c r="B56" s="57" t="str">
        <f>IF($Q56="","",INDEX(TRANSACTIONS_MASTER!$B$5:$B$1204,$Q56))</f>
        <v/>
      </c>
      <c r="C56" s="55" t="str">
        <f>IF($Q56="","",INDEX(TRANSACTIONS_MASTER!$F$5:$F$1204,$Q56))</f>
        <v/>
      </c>
      <c r="D56" s="55" t="str">
        <f>IF($Q56="","",INDEX(TRANSACTIONS_MASTER!$E$5:$E$1204,$Q56))</f>
        <v/>
      </c>
      <c r="E56" s="55" t="str">
        <f>IF($Q56="","",INDEX(TRANSACTIONS_MASTER!$G$5:$G$1204,$Q56)&amp;"")</f>
        <v/>
      </c>
      <c r="F56" s="29" t="str">
        <f>IF($Q56="","",INDEX(TRANSACTIONS_MASTER!$I$5:$I$1204,$Q56))</f>
        <v/>
      </c>
      <c r="G56" s="55" t="str">
        <f>IF($Q56="","",INDEX(TRANSACTIONS_MASTER!$K$5:$K$1204,$Q56))</f>
        <v/>
      </c>
      <c r="H56" s="25" t="str">
        <f>IF($Q56="","",INDEX(TRANSACTIONS_MASTER!$L$5:$L$1204,$Q56))</f>
        <v/>
      </c>
      <c r="I56" s="56" t="str">
        <f>IF($Q56="","",INDEX(TRANSACTIONS_MASTER!$N$5:$N$1204,$Q56))</f>
        <v/>
      </c>
      <c r="J56" s="25" t="str">
        <f>IF($Q56="","",INDEX(TRANSACTIONS_MASTER!$O$5:$O$1204,$Q56))</f>
        <v/>
      </c>
      <c r="K56" s="26" t="str">
        <f>IF($Q56="","",INDEX(TRANSACTIONS_MASTER!$Q$5:$Q$1204,$Q56))</f>
        <v/>
      </c>
      <c r="L56" s="25" t="str">
        <f>IF($Q56="","",INDEX(TRANSACTIONS_MASTER!$P$5:$P$1204,$Q56))</f>
        <v/>
      </c>
      <c r="M56" s="25" t="str">
        <f>IF($Q56="","",INDEX(TRANSACTIONS_MASTER!$AA$5:$AA$1204,$Q56))</f>
        <v/>
      </c>
      <c r="N56" s="25" t="str">
        <f>IF($Q56="","",INDEX(TRANSACTIONS_MASTER!$R$5:$R$1204,$Q56))</f>
        <v/>
      </c>
      <c r="O56" s="28" t="str">
        <f>IF($Q56="","",INDEX(TRANSACTIONS_MASTER!$AB$5:$AB$1204,$Q56))</f>
        <v/>
      </c>
      <c r="P56" s="55" t="str">
        <f>IF($Q56="","",INDEX(TRANSACTIONS_MASTER!$Z$5:$Z$1204,$Q56)&amp;"")</f>
        <v/>
      </c>
      <c r="Q56" s="67" t="str">
        <f>IFERROR(MATCH($C$2&amp;"|"&amp;49,TRANSACTIONS_MASTER!$AE$5:$AE$1204,0),"")</f>
        <v/>
      </c>
      <c r="S56" s="67" t="str">
        <f>IFERROR(MATCH(49,CASHBACK_RULES!$S$5:$S$304,0),"")</f>
        <v/>
      </c>
      <c r="T56" s="55" t="str">
        <f>IF($S56="","",INDEX(CASHBACK_RULES!$B$5:$B$304,$S56))</f>
        <v/>
      </c>
      <c r="U56" s="55" t="str">
        <f>IF($S56="","",INDEX(CASHBACK_RULES!$C$5:$C$304,$S56)&amp;" "&amp;INDEX(CASHBACK_RULES!$D$5:$D$304,$S56))</f>
        <v/>
      </c>
      <c r="V56" s="55" t="str">
        <f>IF($S56="","",INDEX(CASHBACK_RULES!$E$5:$E$304,$S56)&amp;"")</f>
        <v/>
      </c>
      <c r="W56" s="55" t="str">
        <f>IF($S56="","",INDEX(CASHBACK_RULES!$F$5:$F$304,$S56)&amp;"")</f>
        <v/>
      </c>
      <c r="X56" s="26" t="str">
        <f>IF($S56="","",SUMIFS(TRANSACTIONS_MASTER!$Q$5:$Q$1204,TRANSACTIONS_MASTER!$D$5:$D$1204,$T56,TRANSACTIONS_MASTER!$Z$5:$Z$1204,$V56,TRANSACTIONS_MASTER!$C$5:$C$1204,$C$2))</f>
        <v/>
      </c>
      <c r="Y56" s="25" t="str">
        <f>IF($S56="","",IF(ISNUMBER(INDEX(CASHBACK_RULES!$J$5:$J$304,$S56)),INDEX(CASHBACK_RULES!$J$5:$J$304,$S56),"∞"))</f>
        <v/>
      </c>
      <c r="Z56" s="25" t="str">
        <f>IF($S56="","",IF(ISNUMBER($Y56),MAX(0,$Y56-$X56),"∞"))</f>
        <v/>
      </c>
      <c r="AA56" s="27" t="str">
        <f>IF($S56="","",IF(ISNUMBER($Y56),IF($Y56=0,0,$X56/$Y56),""))</f>
        <v/>
      </c>
    </row>
    <row r="57" ht="20" customHeight="1">
      <c r="A57" s="81" t="str">
        <f>IF($Q57="","",50)</f>
        <v/>
      </c>
      <c r="B57" s="57" t="str">
        <f>IF($Q57="","",INDEX(TRANSACTIONS_MASTER!$B$5:$B$1204,$Q57))</f>
        <v/>
      </c>
      <c r="C57" s="55" t="str">
        <f>IF($Q57="","",INDEX(TRANSACTIONS_MASTER!$F$5:$F$1204,$Q57))</f>
        <v/>
      </c>
      <c r="D57" s="55" t="str">
        <f>IF($Q57="","",INDEX(TRANSACTIONS_MASTER!$E$5:$E$1204,$Q57))</f>
        <v/>
      </c>
      <c r="E57" s="55" t="str">
        <f>IF($Q57="","",INDEX(TRANSACTIONS_MASTER!$G$5:$G$1204,$Q57)&amp;"")</f>
        <v/>
      </c>
      <c r="F57" s="29" t="str">
        <f>IF($Q57="","",INDEX(TRANSACTIONS_MASTER!$I$5:$I$1204,$Q57))</f>
        <v/>
      </c>
      <c r="G57" s="55" t="str">
        <f>IF($Q57="","",INDEX(TRANSACTIONS_MASTER!$K$5:$K$1204,$Q57))</f>
        <v/>
      </c>
      <c r="H57" s="25" t="str">
        <f>IF($Q57="","",INDEX(TRANSACTIONS_MASTER!$L$5:$L$1204,$Q57))</f>
        <v/>
      </c>
      <c r="I57" s="56" t="str">
        <f>IF($Q57="","",INDEX(TRANSACTIONS_MASTER!$N$5:$N$1204,$Q57))</f>
        <v/>
      </c>
      <c r="J57" s="25" t="str">
        <f>IF($Q57="","",INDEX(TRANSACTIONS_MASTER!$O$5:$O$1204,$Q57))</f>
        <v/>
      </c>
      <c r="K57" s="26" t="str">
        <f>IF($Q57="","",INDEX(TRANSACTIONS_MASTER!$Q$5:$Q$1204,$Q57))</f>
        <v/>
      </c>
      <c r="L57" s="25" t="str">
        <f>IF($Q57="","",INDEX(TRANSACTIONS_MASTER!$P$5:$P$1204,$Q57))</f>
        <v/>
      </c>
      <c r="M57" s="25" t="str">
        <f>IF($Q57="","",INDEX(TRANSACTIONS_MASTER!$AA$5:$AA$1204,$Q57))</f>
        <v/>
      </c>
      <c r="N57" s="25" t="str">
        <f>IF($Q57="","",INDEX(TRANSACTIONS_MASTER!$R$5:$R$1204,$Q57))</f>
        <v/>
      </c>
      <c r="O57" s="28" t="str">
        <f>IF($Q57="","",INDEX(TRANSACTIONS_MASTER!$AB$5:$AB$1204,$Q57))</f>
        <v/>
      </c>
      <c r="P57" s="55" t="str">
        <f>IF($Q57="","",INDEX(TRANSACTIONS_MASTER!$Z$5:$Z$1204,$Q57)&amp;"")</f>
        <v/>
      </c>
      <c r="Q57" s="67" t="str">
        <f>IFERROR(MATCH($C$2&amp;"|"&amp;50,TRANSACTIONS_MASTER!$AE$5:$AE$1204,0),"")</f>
        <v/>
      </c>
      <c r="S57" s="67" t="str">
        <f>IFERROR(MATCH(50,CASHBACK_RULES!$S$5:$S$304,0),"")</f>
        <v/>
      </c>
      <c r="T57" s="55" t="str">
        <f>IF($S57="","",INDEX(CASHBACK_RULES!$B$5:$B$304,$S57))</f>
        <v/>
      </c>
      <c r="U57" s="55" t="str">
        <f>IF($S57="","",INDEX(CASHBACK_RULES!$C$5:$C$304,$S57)&amp;" "&amp;INDEX(CASHBACK_RULES!$D$5:$D$304,$S57))</f>
        <v/>
      </c>
      <c r="V57" s="55" t="str">
        <f>IF($S57="","",INDEX(CASHBACK_RULES!$E$5:$E$304,$S57)&amp;"")</f>
        <v/>
      </c>
      <c r="W57" s="55" t="str">
        <f>IF($S57="","",INDEX(CASHBACK_RULES!$F$5:$F$304,$S57)&amp;"")</f>
        <v/>
      </c>
      <c r="X57" s="26" t="str">
        <f>IF($S57="","",SUMIFS(TRANSACTIONS_MASTER!$Q$5:$Q$1204,TRANSACTIONS_MASTER!$D$5:$D$1204,$T57,TRANSACTIONS_MASTER!$Z$5:$Z$1204,$V57,TRANSACTIONS_MASTER!$C$5:$C$1204,$C$2))</f>
        <v/>
      </c>
      <c r="Y57" s="25" t="str">
        <f>IF($S57="","",IF(ISNUMBER(INDEX(CASHBACK_RULES!$J$5:$J$304,$S57)),INDEX(CASHBACK_RULES!$J$5:$J$304,$S57),"∞"))</f>
        <v/>
      </c>
      <c r="Z57" s="25" t="str">
        <f>IF($S57="","",IF(ISNUMBER($Y57),MAX(0,$Y57-$X57),"∞"))</f>
        <v/>
      </c>
      <c r="AA57" s="27" t="str">
        <f>IF($S57="","",IF(ISNUMBER($Y57),IF($Y57=0,0,$X57/$Y57),""))</f>
        <v/>
      </c>
    </row>
    <row r="58">
      <c r="A58" s="81" t="str">
        <f>IF($Q58="","",51)</f>
        <v/>
      </c>
      <c r="B58" s="57" t="str">
        <f>IF($Q58="","",INDEX(TRANSACTIONS_MASTER!$B$5:$B$1204,$Q58))</f>
        <v/>
      </c>
      <c r="C58" s="55" t="str">
        <f>IF($Q58="","",INDEX(TRANSACTIONS_MASTER!$F$5:$F$1204,$Q58))</f>
        <v/>
      </c>
      <c r="D58" s="55" t="str">
        <f>IF($Q58="","",INDEX(TRANSACTIONS_MASTER!$E$5:$E$1204,$Q58))</f>
        <v/>
      </c>
      <c r="E58" s="55" t="str">
        <f>IF($Q58="","",INDEX(TRANSACTIONS_MASTER!$G$5:$G$1204,$Q58)&amp;"")</f>
        <v/>
      </c>
      <c r="F58" s="29" t="str">
        <f>IF($Q58="","",INDEX(TRANSACTIONS_MASTER!$I$5:$I$1204,$Q58))</f>
        <v/>
      </c>
      <c r="G58" s="55" t="str">
        <f>IF($Q58="","",INDEX(TRANSACTIONS_MASTER!$K$5:$K$1204,$Q58))</f>
        <v/>
      </c>
      <c r="H58" s="25" t="str">
        <f>IF($Q58="","",INDEX(TRANSACTIONS_MASTER!$L$5:$L$1204,$Q58))</f>
        <v/>
      </c>
      <c r="I58" s="56" t="str">
        <f>IF($Q58="","",INDEX(TRANSACTIONS_MASTER!$N$5:$N$1204,$Q58))</f>
        <v/>
      </c>
      <c r="J58" s="25" t="str">
        <f>IF($Q58="","",INDEX(TRANSACTIONS_MASTER!$O$5:$O$1204,$Q58))</f>
        <v/>
      </c>
      <c r="K58" s="26" t="str">
        <f>IF($Q58="","",INDEX(TRANSACTIONS_MASTER!$Q$5:$Q$1204,$Q58))</f>
        <v/>
      </c>
      <c r="L58" s="25" t="str">
        <f>IF($Q58="","",INDEX(TRANSACTIONS_MASTER!$P$5:$P$1204,$Q58))</f>
        <v/>
      </c>
      <c r="M58" s="25" t="str">
        <f>IF($Q58="","",INDEX(TRANSACTIONS_MASTER!$AA$5:$AA$1204,$Q58))</f>
        <v/>
      </c>
      <c r="N58" s="25" t="str">
        <f>IF($Q58="","",INDEX(TRANSACTIONS_MASTER!$R$5:$R$1204,$Q58))</f>
        <v/>
      </c>
      <c r="O58" s="28" t="str">
        <f>IF($Q58="","",INDEX(TRANSACTIONS_MASTER!$AB$5:$AB$1204,$Q58))</f>
        <v/>
      </c>
      <c r="P58" s="55" t="str">
        <f>IF($Q58="","",INDEX(TRANSACTIONS_MASTER!$Z$5:$Z$1204,$Q58)&amp;"")</f>
        <v/>
      </c>
      <c r="Q58" s="67" t="str">
        <f>IFERROR(MATCH($C$2&amp;"|"&amp;51,TRANSACTIONS_MASTER!$AE$5:$AE$1204,0),"")</f>
        <v/>
      </c>
    </row>
    <row r="59">
      <c r="A59" s="81" t="str">
        <f>IF($Q59="","",52)</f>
        <v/>
      </c>
      <c r="B59" s="57" t="str">
        <f>IF($Q59="","",INDEX(TRANSACTIONS_MASTER!$B$5:$B$1204,$Q59))</f>
        <v/>
      </c>
      <c r="C59" s="55" t="str">
        <f>IF($Q59="","",INDEX(TRANSACTIONS_MASTER!$F$5:$F$1204,$Q59))</f>
        <v/>
      </c>
      <c r="D59" s="55" t="str">
        <f>IF($Q59="","",INDEX(TRANSACTIONS_MASTER!$E$5:$E$1204,$Q59))</f>
        <v/>
      </c>
      <c r="E59" s="55" t="str">
        <f>IF($Q59="","",INDEX(TRANSACTIONS_MASTER!$G$5:$G$1204,$Q59)&amp;"")</f>
        <v/>
      </c>
      <c r="F59" s="29" t="str">
        <f>IF($Q59="","",INDEX(TRANSACTIONS_MASTER!$I$5:$I$1204,$Q59))</f>
        <v/>
      </c>
      <c r="G59" s="55" t="str">
        <f>IF($Q59="","",INDEX(TRANSACTIONS_MASTER!$K$5:$K$1204,$Q59))</f>
        <v/>
      </c>
      <c r="H59" s="25" t="str">
        <f>IF($Q59="","",INDEX(TRANSACTIONS_MASTER!$L$5:$L$1204,$Q59))</f>
        <v/>
      </c>
      <c r="I59" s="56" t="str">
        <f>IF($Q59="","",INDEX(TRANSACTIONS_MASTER!$N$5:$N$1204,$Q59))</f>
        <v/>
      </c>
      <c r="J59" s="25" t="str">
        <f>IF($Q59="","",INDEX(TRANSACTIONS_MASTER!$O$5:$O$1204,$Q59))</f>
        <v/>
      </c>
      <c r="K59" s="26" t="str">
        <f>IF($Q59="","",INDEX(TRANSACTIONS_MASTER!$Q$5:$Q$1204,$Q59))</f>
        <v/>
      </c>
      <c r="L59" s="25" t="str">
        <f>IF($Q59="","",INDEX(TRANSACTIONS_MASTER!$P$5:$P$1204,$Q59))</f>
        <v/>
      </c>
      <c r="M59" s="25" t="str">
        <f>IF($Q59="","",INDEX(TRANSACTIONS_MASTER!$AA$5:$AA$1204,$Q59))</f>
        <v/>
      </c>
      <c r="N59" s="25" t="str">
        <f>IF($Q59="","",INDEX(TRANSACTIONS_MASTER!$R$5:$R$1204,$Q59))</f>
        <v/>
      </c>
      <c r="O59" s="28" t="str">
        <f>IF($Q59="","",INDEX(TRANSACTIONS_MASTER!$AB$5:$AB$1204,$Q59))</f>
        <v/>
      </c>
      <c r="P59" s="55" t="str">
        <f>IF($Q59="","",INDEX(TRANSACTIONS_MASTER!$Z$5:$Z$1204,$Q59)&amp;"")</f>
        <v/>
      </c>
      <c r="Q59" s="67" t="str">
        <f>IFERROR(MATCH($C$2&amp;"|"&amp;52,TRANSACTIONS_MASTER!$AE$5:$AE$1204,0),"")</f>
        <v/>
      </c>
    </row>
    <row r="60" ht="22" customHeight="1">
      <c r="A60" s="81" t="str">
        <f>IF($Q60="","",53)</f>
        <v/>
      </c>
      <c r="B60" s="57" t="str">
        <f>IF($Q60="","",INDEX(TRANSACTIONS_MASTER!$B$5:$B$1204,$Q60))</f>
        <v/>
      </c>
      <c r="C60" s="55" t="str">
        <f>IF($Q60="","",INDEX(TRANSACTIONS_MASTER!$F$5:$F$1204,$Q60))</f>
        <v/>
      </c>
      <c r="D60" s="55" t="str">
        <f>IF($Q60="","",INDEX(TRANSACTIONS_MASTER!$E$5:$E$1204,$Q60))</f>
        <v/>
      </c>
      <c r="E60" s="55" t="str">
        <f>IF($Q60="","",INDEX(TRANSACTIONS_MASTER!$G$5:$G$1204,$Q60)&amp;"")</f>
        <v/>
      </c>
      <c r="F60" s="29" t="str">
        <f>IF($Q60="","",INDEX(TRANSACTIONS_MASTER!$I$5:$I$1204,$Q60))</f>
        <v/>
      </c>
      <c r="G60" s="55" t="str">
        <f>IF($Q60="","",INDEX(TRANSACTIONS_MASTER!$K$5:$K$1204,$Q60))</f>
        <v/>
      </c>
      <c r="H60" s="25" t="str">
        <f>IF($Q60="","",INDEX(TRANSACTIONS_MASTER!$L$5:$L$1204,$Q60))</f>
        <v/>
      </c>
      <c r="I60" s="56" t="str">
        <f>IF($Q60="","",INDEX(TRANSACTIONS_MASTER!$N$5:$N$1204,$Q60))</f>
        <v/>
      </c>
      <c r="J60" s="25" t="str">
        <f>IF($Q60="","",INDEX(TRANSACTIONS_MASTER!$O$5:$O$1204,$Q60))</f>
        <v/>
      </c>
      <c r="K60" s="26" t="str">
        <f>IF($Q60="","",INDEX(TRANSACTIONS_MASTER!$Q$5:$Q$1204,$Q60))</f>
        <v/>
      </c>
      <c r="L60" s="25" t="str">
        <f>IF($Q60="","",INDEX(TRANSACTIONS_MASTER!$P$5:$P$1204,$Q60))</f>
        <v/>
      </c>
      <c r="M60" s="25" t="str">
        <f>IF($Q60="","",INDEX(TRANSACTIONS_MASTER!$AA$5:$AA$1204,$Q60))</f>
        <v/>
      </c>
      <c r="N60" s="25" t="str">
        <f>IF($Q60="","",INDEX(TRANSACTIONS_MASTER!$R$5:$R$1204,$Q60))</f>
        <v/>
      </c>
      <c r="O60" s="28" t="str">
        <f>IF($Q60="","",INDEX(TRANSACTIONS_MASTER!$AB$5:$AB$1204,$Q60))</f>
        <v/>
      </c>
      <c r="P60" s="55" t="str">
        <f>IF($Q60="","",INDEX(TRANSACTIONS_MASTER!$Z$5:$Z$1204,$Q60)&amp;"")</f>
        <v/>
      </c>
      <c r="Q60" s="67" t="str">
        <f>IFERROR(MATCH($C$2&amp;"|"&amp;53,TRANSACTIONS_MASTER!$AE$5:$AE$1204,0),"")</f>
        <v/>
      </c>
      <c r="T60" s="19" t="inlineStr">
        <is>
          <t>TỔNG THEO THẺ — chi tiêu · cashback · cap thẻ / tháng</t>
        </is>
      </c>
      <c r="U60" s="20" t="n"/>
      <c r="V60" s="20" t="n"/>
      <c r="W60" s="20" t="n"/>
      <c r="X60" s="20" t="n"/>
      <c r="Y60" s="20" t="n"/>
      <c r="Z60" s="20" t="n"/>
      <c r="AA60" s="20" t="n"/>
    </row>
    <row r="61" ht="30" customHeight="1">
      <c r="A61" s="81" t="str">
        <f>IF($Q61="","",54)</f>
        <v/>
      </c>
      <c r="B61" s="57" t="str">
        <f>IF($Q61="","",INDEX(TRANSACTIONS_MASTER!$B$5:$B$1204,$Q61))</f>
        <v/>
      </c>
      <c r="C61" s="55" t="str">
        <f>IF($Q61="","",INDEX(TRANSACTIONS_MASTER!$F$5:$F$1204,$Q61))</f>
        <v/>
      </c>
      <c r="D61" s="55" t="str">
        <f>IF($Q61="","",INDEX(TRANSACTIONS_MASTER!$E$5:$E$1204,$Q61))</f>
        <v/>
      </c>
      <c r="E61" s="55" t="str">
        <f>IF($Q61="","",INDEX(TRANSACTIONS_MASTER!$G$5:$G$1204,$Q61)&amp;"")</f>
        <v/>
      </c>
      <c r="F61" s="29" t="str">
        <f>IF($Q61="","",INDEX(TRANSACTIONS_MASTER!$I$5:$I$1204,$Q61))</f>
        <v/>
      </c>
      <c r="G61" s="55" t="str">
        <f>IF($Q61="","",INDEX(TRANSACTIONS_MASTER!$K$5:$K$1204,$Q61))</f>
        <v/>
      </c>
      <c r="H61" s="25" t="str">
        <f>IF($Q61="","",INDEX(TRANSACTIONS_MASTER!$L$5:$L$1204,$Q61))</f>
        <v/>
      </c>
      <c r="I61" s="56" t="str">
        <f>IF($Q61="","",INDEX(TRANSACTIONS_MASTER!$N$5:$N$1204,$Q61))</f>
        <v/>
      </c>
      <c r="J61" s="25" t="str">
        <f>IF($Q61="","",INDEX(TRANSACTIONS_MASTER!$O$5:$O$1204,$Q61))</f>
        <v/>
      </c>
      <c r="K61" s="26" t="str">
        <f>IF($Q61="","",INDEX(TRANSACTIONS_MASTER!$Q$5:$Q$1204,$Q61))</f>
        <v/>
      </c>
      <c r="L61" s="25" t="str">
        <f>IF($Q61="","",INDEX(TRANSACTIONS_MASTER!$P$5:$P$1204,$Q61))</f>
        <v/>
      </c>
      <c r="M61" s="25" t="str">
        <f>IF($Q61="","",INDEX(TRANSACTIONS_MASTER!$AA$5:$AA$1204,$Q61))</f>
        <v/>
      </c>
      <c r="N61" s="25" t="str">
        <f>IF($Q61="","",INDEX(TRANSACTIONS_MASTER!$R$5:$R$1204,$Q61))</f>
        <v/>
      </c>
      <c r="O61" s="28" t="str">
        <f>IF($Q61="","",INDEX(TRANSACTIONS_MASTER!$AB$5:$AB$1204,$Q61))</f>
        <v/>
      </c>
      <c r="P61" s="55" t="str">
        <f>IF($Q61="","",INDEX(TRANSACTIONS_MASTER!$Z$5:$Z$1204,$Q61)&amp;"")</f>
        <v/>
      </c>
      <c r="Q61" s="67" t="str">
        <f>IFERROR(MATCH($C$2&amp;"|"&amp;54,TRANSACTIONS_MASTER!$AE$5:$AE$1204,0),"")</f>
        <v/>
      </c>
      <c r="S61" s="21" t="inlineStr">
        <is>
          <t>#</t>
        </is>
      </c>
      <c r="T61" s="21" t="inlineStr">
        <is>
          <t>Card ID</t>
        </is>
      </c>
      <c r="U61" s="21" t="inlineStr">
        <is>
          <t>Thẻ</t>
        </is>
      </c>
      <c r="V61" s="21" t="inlineStr">
        <is>
          <t>Chi tiêu</t>
        </is>
      </c>
      <c r="W61" s="21" t="inlineStr">
        <is>
          <t>Cashback</t>
        </is>
      </c>
      <c r="X61" s="21" t="inlineStr">
        <is>
          <t>Cap thẻ / tháng</t>
        </is>
      </c>
      <c r="Y61" s="21" t="inlineStr">
        <is>
          <t>Còn lại (tối đa)</t>
        </is>
      </c>
      <c r="Z61" s="21" t="inlineStr">
        <is>
          <t>Progress</t>
        </is>
      </c>
      <c r="AA61" s="21" t="inlineStr">
        <is>
          <t>Số GD</t>
        </is>
      </c>
    </row>
    <row r="62">
      <c r="A62" s="81" t="str">
        <f>IF($Q62="","",55)</f>
        <v/>
      </c>
      <c r="B62" s="57" t="str">
        <f>IF($Q62="","",INDEX(TRANSACTIONS_MASTER!$B$5:$B$1204,$Q62))</f>
        <v/>
      </c>
      <c r="C62" s="55" t="str">
        <f>IF($Q62="","",INDEX(TRANSACTIONS_MASTER!$F$5:$F$1204,$Q62))</f>
        <v/>
      </c>
      <c r="D62" s="55" t="str">
        <f>IF($Q62="","",INDEX(TRANSACTIONS_MASTER!$E$5:$E$1204,$Q62))</f>
        <v/>
      </c>
      <c r="E62" s="55" t="str">
        <f>IF($Q62="","",INDEX(TRANSACTIONS_MASTER!$G$5:$G$1204,$Q62)&amp;"")</f>
        <v/>
      </c>
      <c r="F62" s="29" t="str">
        <f>IF($Q62="","",INDEX(TRANSACTIONS_MASTER!$I$5:$I$1204,$Q62))</f>
        <v/>
      </c>
      <c r="G62" s="55" t="str">
        <f>IF($Q62="","",INDEX(TRANSACTIONS_MASTER!$K$5:$K$1204,$Q62))</f>
        <v/>
      </c>
      <c r="H62" s="25" t="str">
        <f>IF($Q62="","",INDEX(TRANSACTIONS_MASTER!$L$5:$L$1204,$Q62))</f>
        <v/>
      </c>
      <c r="I62" s="56" t="str">
        <f>IF($Q62="","",INDEX(TRANSACTIONS_MASTER!$N$5:$N$1204,$Q62))</f>
        <v/>
      </c>
      <c r="J62" s="25" t="str">
        <f>IF($Q62="","",INDEX(TRANSACTIONS_MASTER!$O$5:$O$1204,$Q62))</f>
        <v/>
      </c>
      <c r="K62" s="26" t="str">
        <f>IF($Q62="","",INDEX(TRANSACTIONS_MASTER!$Q$5:$Q$1204,$Q62))</f>
        <v/>
      </c>
      <c r="L62" s="25" t="str">
        <f>IF($Q62="","",INDEX(TRANSACTIONS_MASTER!$P$5:$P$1204,$Q62))</f>
        <v/>
      </c>
      <c r="M62" s="25" t="str">
        <f>IF($Q62="","",INDEX(TRANSACTIONS_MASTER!$AA$5:$AA$1204,$Q62))</f>
        <v/>
      </c>
      <c r="N62" s="25" t="str">
        <f>IF($Q62="","",INDEX(TRANSACTIONS_MASTER!$R$5:$R$1204,$Q62))</f>
        <v/>
      </c>
      <c r="O62" s="28" t="str">
        <f>IF($Q62="","",INDEX(TRANSACTIONS_MASTER!$AB$5:$AB$1204,$Q62))</f>
        <v/>
      </c>
      <c r="P62" s="55" t="str">
        <f>IF($Q62="","",INDEX(TRANSACTIONS_MASTER!$Z$5:$Z$1204,$Q62)&amp;"")</f>
        <v/>
      </c>
      <c r="Q62" s="67" t="str">
        <f>IFERROR(MATCH($C$2&amp;"|"&amp;55,TRANSACTIONS_MASTER!$AE$5:$AE$1204,0),"")</f>
        <v/>
      </c>
      <c r="S62" s="67" t="n">
        <v>1</v>
      </c>
      <c r="T62" s="55" t="str">
        <f>IF(CARDS!$A5="","",CARDS!$A5)</f>
        <v>VPB-JCBZ</v>
      </c>
      <c r="U62" s="55" t="str">
        <f>IF($T62="","",CARDS!$B5&amp;" "&amp;CARDS!$C5)</f>
        <v>VPBank JCB Z Card</v>
      </c>
      <c r="V62" s="25">
        <f>IF($T62="","",SUMIFS(TRANSACTIONS_MASTER!$L$5:$L$1204,TRANSACTIONS_MASTER!$D$5:$D$1204,$T62,TRANSACTIONS_MASTER!$C$5:$C$1204,$C$2,TRANSACTIONS_MASTER!$U$5:$U$1204,"&lt;&gt;Cancelled"))</f>
        <v>0</v>
      </c>
      <c r="W62" s="26">
        <f>IF($T62="","",SUMIFS(TRANSACTIONS_MASTER!$Q$5:$Q$1204,TRANSACTIONS_MASTER!$D$5:$D$1204,$T62,TRANSACTIONS_MASTER!$C$5:$C$1204,$C$2))</f>
        <v>0</v>
      </c>
      <c r="X62" s="25">
        <f>IF($T62="","",IFERROR(IF(ISNUMBER(INDEX(CASHBACK_RULES!$K$5:$K$304,MATCH($T62,CASHBACK_RULES!$B$5:$B$304,0))),INDEX(CASHBACK_RULES!$K$5:$K$304,MATCH($T62,CASHBACK_RULES!$B$5:$B$304,0)),"∞"),"—"))</f>
        <v>1000000</v>
      </c>
      <c r="Y62" s="25">
        <f>IF($T62="","",IF($X62="—","—",IF(COUNTIFS($T$8:$T$57,$T62,$Z$8:$Z$57,"∞")&gt;0,IF(ISNUMBER($X62),MAX(0,$X62-$W62),"∞"),IF(ISNUMBER($X62),MAX(0,MIN($X62-$W62,SUMIFS($Z$8:$Z$57,$T$8:$T$57,$T62))),SUMIFS($Z$8:$Z$57,$T$8:$T$57,$T62)))))</f>
        <v>1000000</v>
      </c>
      <c r="Z62" s="27">
        <f>IF($T62="","",IF(ISNUMBER($X62),IF($X62=0,0,$W62/$X62),IF(ISNUMBER($Y62),IF($W62+$Y62=0,0,$W62/($W62+$Y62)),"")))</f>
        <v>0</v>
      </c>
      <c r="AA62" s="29">
        <f>IF($T62="","",COUNTIFS(TRANSACTIONS_MASTER!$D$5:$D$1204,$T62,TRANSACTIONS_MASTER!$C$5:$C$1204,$C$2,TRANSACTIONS_MASTER!$U$5:$U$1204,"&lt;&gt;Cancelled"))</f>
        <v>0</v>
      </c>
    </row>
    <row r="63">
      <c r="A63" s="81" t="str">
        <f>IF($Q63="","",56)</f>
        <v/>
      </c>
      <c r="B63" s="57" t="str">
        <f>IF($Q63="","",INDEX(TRANSACTIONS_MASTER!$B$5:$B$1204,$Q63))</f>
        <v/>
      </c>
      <c r="C63" s="55" t="str">
        <f>IF($Q63="","",INDEX(TRANSACTIONS_MASTER!$F$5:$F$1204,$Q63))</f>
        <v/>
      </c>
      <c r="D63" s="55" t="str">
        <f>IF($Q63="","",INDEX(TRANSACTIONS_MASTER!$E$5:$E$1204,$Q63))</f>
        <v/>
      </c>
      <c r="E63" s="55" t="str">
        <f>IF($Q63="","",INDEX(TRANSACTIONS_MASTER!$G$5:$G$1204,$Q63)&amp;"")</f>
        <v/>
      </c>
      <c r="F63" s="29" t="str">
        <f>IF($Q63="","",INDEX(TRANSACTIONS_MASTER!$I$5:$I$1204,$Q63))</f>
        <v/>
      </c>
      <c r="G63" s="55" t="str">
        <f>IF($Q63="","",INDEX(TRANSACTIONS_MASTER!$K$5:$K$1204,$Q63))</f>
        <v/>
      </c>
      <c r="H63" s="25" t="str">
        <f>IF($Q63="","",INDEX(TRANSACTIONS_MASTER!$L$5:$L$1204,$Q63))</f>
        <v/>
      </c>
      <c r="I63" s="56" t="str">
        <f>IF($Q63="","",INDEX(TRANSACTIONS_MASTER!$N$5:$N$1204,$Q63))</f>
        <v/>
      </c>
      <c r="J63" s="25" t="str">
        <f>IF($Q63="","",INDEX(TRANSACTIONS_MASTER!$O$5:$O$1204,$Q63))</f>
        <v/>
      </c>
      <c r="K63" s="26" t="str">
        <f>IF($Q63="","",INDEX(TRANSACTIONS_MASTER!$Q$5:$Q$1204,$Q63))</f>
        <v/>
      </c>
      <c r="L63" s="25" t="str">
        <f>IF($Q63="","",INDEX(TRANSACTIONS_MASTER!$P$5:$P$1204,$Q63))</f>
        <v/>
      </c>
      <c r="M63" s="25" t="str">
        <f>IF($Q63="","",INDEX(TRANSACTIONS_MASTER!$AA$5:$AA$1204,$Q63))</f>
        <v/>
      </c>
      <c r="N63" s="25" t="str">
        <f>IF($Q63="","",INDEX(TRANSACTIONS_MASTER!$R$5:$R$1204,$Q63))</f>
        <v/>
      </c>
      <c r="O63" s="28" t="str">
        <f>IF($Q63="","",INDEX(TRANSACTIONS_MASTER!$AB$5:$AB$1204,$Q63))</f>
        <v/>
      </c>
      <c r="P63" s="55" t="str">
        <f>IF($Q63="","",INDEX(TRANSACTIONS_MASTER!$Z$5:$Z$1204,$Q63)&amp;"")</f>
        <v/>
      </c>
      <c r="Q63" s="67" t="str">
        <f>IFERROR(MATCH($C$2&amp;"|"&amp;56,TRANSACTIONS_MASTER!$AE$5:$AE$1204,0),"")</f>
        <v/>
      </c>
      <c r="S63" s="67" t="n">
        <v>2</v>
      </c>
      <c r="T63" s="55" t="str">
        <f>IF(CARDS!$A6="","",CARDS!$A6)</f>
        <v>VIB-A</v>
      </c>
      <c r="U63" s="55" t="str">
        <f>IF($T63="","",CARDS!$B6&amp;" "&amp;CARDS!$C6)</f>
        <v>VIB Cashback Demo A</v>
      </c>
      <c r="V63" s="25">
        <f>IF($T63="","",SUMIFS(TRANSACTIONS_MASTER!$L$5:$L$1204,TRANSACTIONS_MASTER!$D$5:$D$1204,$T63,TRANSACTIONS_MASTER!$C$5:$C$1204,$C$2,TRANSACTIONS_MASTER!$U$5:$U$1204,"&lt;&gt;Cancelled"))</f>
        <v>0</v>
      </c>
      <c r="W63" s="26">
        <f>IF($T63="","",SUMIFS(TRANSACTIONS_MASTER!$Q$5:$Q$1204,TRANSACTIONS_MASTER!$D$5:$D$1204,$T63,TRANSACTIONS_MASTER!$C$5:$C$1204,$C$2))</f>
        <v>0</v>
      </c>
      <c r="X63" s="25">
        <f>IF($T63="","",IFERROR(IF(ISNUMBER(INDEX(CASHBACK_RULES!$K$5:$K$304,MATCH($T63,CASHBACK_RULES!$B$5:$B$304,0))),INDEX(CASHBACK_RULES!$K$5:$K$304,MATCH($T63,CASHBACK_RULES!$B$5:$B$304,0)),"∞"),"—"))</f>
        <v>1000000</v>
      </c>
      <c r="Y63" s="25">
        <f>IF($T63="","",IF($X63="—","—",IF(COUNTIFS($T$8:$T$57,$T63,$Z$8:$Z$57,"∞")&gt;0,IF(ISNUMBER($X63),MAX(0,$X63-$W63),"∞"),IF(ISNUMBER($X63),MAX(0,MIN($X63-$W63,SUMIFS($Z$8:$Z$57,$T$8:$T$57,$T63))),SUMIFS($Z$8:$Z$57,$T$8:$T$57,$T63)))))</f>
        <v>1000000</v>
      </c>
      <c r="Z63" s="27">
        <f>IF($T63="","",IF(ISNUMBER($X63),IF($X63=0,0,$W63/$X63),IF(ISNUMBER($Y63),IF($W63+$Y63=0,0,$W63/($W63+$Y63)),"")))</f>
        <v>0</v>
      </c>
      <c r="AA63" s="29">
        <f>IF($T63="","",COUNTIFS(TRANSACTIONS_MASTER!$D$5:$D$1204,$T63,TRANSACTIONS_MASTER!$C$5:$C$1204,$C$2,TRANSACTIONS_MASTER!$U$5:$U$1204,"&lt;&gt;Cancelled"))</f>
        <v>0</v>
      </c>
    </row>
    <row r="64">
      <c r="A64" s="81" t="str">
        <f>IF($Q64="","",57)</f>
        <v/>
      </c>
      <c r="B64" s="57" t="str">
        <f>IF($Q64="","",INDEX(TRANSACTIONS_MASTER!$B$5:$B$1204,$Q64))</f>
        <v/>
      </c>
      <c r="C64" s="55" t="str">
        <f>IF($Q64="","",INDEX(TRANSACTIONS_MASTER!$F$5:$F$1204,$Q64))</f>
        <v/>
      </c>
      <c r="D64" s="55" t="str">
        <f>IF($Q64="","",INDEX(TRANSACTIONS_MASTER!$E$5:$E$1204,$Q64))</f>
        <v/>
      </c>
      <c r="E64" s="55" t="str">
        <f>IF($Q64="","",INDEX(TRANSACTIONS_MASTER!$G$5:$G$1204,$Q64)&amp;"")</f>
        <v/>
      </c>
      <c r="F64" s="29" t="str">
        <f>IF($Q64="","",INDEX(TRANSACTIONS_MASTER!$I$5:$I$1204,$Q64))</f>
        <v/>
      </c>
      <c r="G64" s="55" t="str">
        <f>IF($Q64="","",INDEX(TRANSACTIONS_MASTER!$K$5:$K$1204,$Q64))</f>
        <v/>
      </c>
      <c r="H64" s="25" t="str">
        <f>IF($Q64="","",INDEX(TRANSACTIONS_MASTER!$L$5:$L$1204,$Q64))</f>
        <v/>
      </c>
      <c r="I64" s="56" t="str">
        <f>IF($Q64="","",INDEX(TRANSACTIONS_MASTER!$N$5:$N$1204,$Q64))</f>
        <v/>
      </c>
      <c r="J64" s="25" t="str">
        <f>IF($Q64="","",INDEX(TRANSACTIONS_MASTER!$O$5:$O$1204,$Q64))</f>
        <v/>
      </c>
      <c r="K64" s="26" t="str">
        <f>IF($Q64="","",INDEX(TRANSACTIONS_MASTER!$Q$5:$Q$1204,$Q64))</f>
        <v/>
      </c>
      <c r="L64" s="25" t="str">
        <f>IF($Q64="","",INDEX(TRANSACTIONS_MASTER!$P$5:$P$1204,$Q64))</f>
        <v/>
      </c>
      <c r="M64" s="25" t="str">
        <f>IF($Q64="","",INDEX(TRANSACTIONS_MASTER!$AA$5:$AA$1204,$Q64))</f>
        <v/>
      </c>
      <c r="N64" s="25" t="str">
        <f>IF($Q64="","",INDEX(TRANSACTIONS_MASTER!$R$5:$R$1204,$Q64))</f>
        <v/>
      </c>
      <c r="O64" s="28" t="str">
        <f>IF($Q64="","",INDEX(TRANSACTIONS_MASTER!$AB$5:$AB$1204,$Q64))</f>
        <v/>
      </c>
      <c r="P64" s="55" t="str">
        <f>IF($Q64="","",INDEX(TRANSACTIONS_MASTER!$Z$5:$Z$1204,$Q64)&amp;"")</f>
        <v/>
      </c>
      <c r="Q64" s="67" t="str">
        <f>IFERROR(MATCH($C$2&amp;"|"&amp;57,TRANSACTIONS_MASTER!$AE$5:$AE$1204,0),"")</f>
        <v/>
      </c>
      <c r="S64" s="67" t="n">
        <v>3</v>
      </c>
      <c r="T64" s="55" t="str">
        <f>IF(CARDS!$A7="","",CARDS!$A7)</f>
        <v>TCB-B</v>
      </c>
      <c r="U64" s="55" t="str">
        <f>IF($T64="","",CARDS!$B7&amp;" "&amp;CARDS!$C7)</f>
        <v>Techcombank Cashback Demo B</v>
      </c>
      <c r="V64" s="25">
        <f>IF($T64="","",SUMIFS(TRANSACTIONS_MASTER!$L$5:$L$1204,TRANSACTIONS_MASTER!$D$5:$D$1204,$T64,TRANSACTIONS_MASTER!$C$5:$C$1204,$C$2,TRANSACTIONS_MASTER!$U$5:$U$1204,"&lt;&gt;Cancelled"))</f>
        <v>0</v>
      </c>
      <c r="W64" s="26">
        <f>IF($T64="","",SUMIFS(TRANSACTIONS_MASTER!$Q$5:$Q$1204,TRANSACTIONS_MASTER!$D$5:$D$1204,$T64,TRANSACTIONS_MASTER!$C$5:$C$1204,$C$2))</f>
        <v>0</v>
      </c>
      <c r="X64" s="25">
        <f>IF($T64="","",IFERROR(IF(ISNUMBER(INDEX(CASHBACK_RULES!$K$5:$K$304,MATCH($T64,CASHBACK_RULES!$B$5:$B$304,0))),INDEX(CASHBACK_RULES!$K$5:$K$304,MATCH($T64,CASHBACK_RULES!$B$5:$B$304,0)),"∞"),"—"))</f>
        <v>2000000</v>
      </c>
      <c r="Y64" s="25">
        <f>IF($T64="","",IF($X64="—","—",IF(COUNTIFS($T$8:$T$57,$T64,$Z$8:$Z$57,"∞")&gt;0,IF(ISNUMBER($X64),MAX(0,$X64-$W64),"∞"),IF(ISNUMBER($X64),MAX(0,MIN($X64-$W64,SUMIFS($Z$8:$Z$57,$T$8:$T$57,$T64))),SUMIFS($Z$8:$Z$57,$T$8:$T$57,$T64)))))</f>
        <v>900000</v>
      </c>
      <c r="Z64" s="27">
        <f>IF($T64="","",IF(ISNUMBER($X64),IF($X64=0,0,$W64/$X64),IF(ISNUMBER($Y64),IF($W64+$Y64=0,0,$W64/($W64+$Y64)),"")))</f>
        <v>0</v>
      </c>
      <c r="AA64" s="29">
        <f>IF($T64="","",COUNTIFS(TRANSACTIONS_MASTER!$D$5:$D$1204,$T64,TRANSACTIONS_MASTER!$C$5:$C$1204,$C$2,TRANSACTIONS_MASTER!$U$5:$U$1204,"&lt;&gt;Cancelled"))</f>
        <v>0</v>
      </c>
    </row>
    <row r="65">
      <c r="A65" s="81" t="str">
        <f>IF($Q65="","",58)</f>
        <v/>
      </c>
      <c r="B65" s="57" t="str">
        <f>IF($Q65="","",INDEX(TRANSACTIONS_MASTER!$B$5:$B$1204,$Q65))</f>
        <v/>
      </c>
      <c r="C65" s="55" t="str">
        <f>IF($Q65="","",INDEX(TRANSACTIONS_MASTER!$F$5:$F$1204,$Q65))</f>
        <v/>
      </c>
      <c r="D65" s="55" t="str">
        <f>IF($Q65="","",INDEX(TRANSACTIONS_MASTER!$E$5:$E$1204,$Q65))</f>
        <v/>
      </c>
      <c r="E65" s="55" t="str">
        <f>IF($Q65="","",INDEX(TRANSACTIONS_MASTER!$G$5:$G$1204,$Q65)&amp;"")</f>
        <v/>
      </c>
      <c r="F65" s="29" t="str">
        <f>IF($Q65="","",INDEX(TRANSACTIONS_MASTER!$I$5:$I$1204,$Q65))</f>
        <v/>
      </c>
      <c r="G65" s="55" t="str">
        <f>IF($Q65="","",INDEX(TRANSACTIONS_MASTER!$K$5:$K$1204,$Q65))</f>
        <v/>
      </c>
      <c r="H65" s="25" t="str">
        <f>IF($Q65="","",INDEX(TRANSACTIONS_MASTER!$L$5:$L$1204,$Q65))</f>
        <v/>
      </c>
      <c r="I65" s="56" t="str">
        <f>IF($Q65="","",INDEX(TRANSACTIONS_MASTER!$N$5:$N$1204,$Q65))</f>
        <v/>
      </c>
      <c r="J65" s="25" t="str">
        <f>IF($Q65="","",INDEX(TRANSACTIONS_MASTER!$O$5:$O$1204,$Q65))</f>
        <v/>
      </c>
      <c r="K65" s="26" t="str">
        <f>IF($Q65="","",INDEX(TRANSACTIONS_MASTER!$Q$5:$Q$1204,$Q65))</f>
        <v/>
      </c>
      <c r="L65" s="25" t="str">
        <f>IF($Q65="","",INDEX(TRANSACTIONS_MASTER!$P$5:$P$1204,$Q65))</f>
        <v/>
      </c>
      <c r="M65" s="25" t="str">
        <f>IF($Q65="","",INDEX(TRANSACTIONS_MASTER!$AA$5:$AA$1204,$Q65))</f>
        <v/>
      </c>
      <c r="N65" s="25" t="str">
        <f>IF($Q65="","",INDEX(TRANSACTIONS_MASTER!$R$5:$R$1204,$Q65))</f>
        <v/>
      </c>
      <c r="O65" s="28" t="str">
        <f>IF($Q65="","",INDEX(TRANSACTIONS_MASTER!$AB$5:$AB$1204,$Q65))</f>
        <v/>
      </c>
      <c r="P65" s="55" t="str">
        <f>IF($Q65="","",INDEX(TRANSACTIONS_MASTER!$Z$5:$Z$1204,$Q65)&amp;"")</f>
        <v/>
      </c>
      <c r="Q65" s="67" t="str">
        <f>IFERROR(MATCH($C$2&amp;"|"&amp;58,TRANSACTIONS_MASTER!$AE$5:$AE$1204,0),"")</f>
        <v/>
      </c>
      <c r="S65" s="67" t="n">
        <v>4</v>
      </c>
      <c r="T65" s="55" t="str">
        <f>IF(CARDS!$A8="","",CARDS!$A8)</f>
        <v>UOB-C</v>
      </c>
      <c r="U65" s="55" t="str">
        <f>IF($T65="","",CARDS!$B8&amp;" "&amp;CARDS!$C8)</f>
        <v>UOB Cashback Demo C</v>
      </c>
      <c r="V65" s="25">
        <f>IF($T65="","",SUMIFS(TRANSACTIONS_MASTER!$L$5:$L$1204,TRANSACTIONS_MASTER!$D$5:$D$1204,$T65,TRANSACTIONS_MASTER!$C$5:$C$1204,$C$2,TRANSACTIONS_MASTER!$U$5:$U$1204,"&lt;&gt;Cancelled"))</f>
        <v>0</v>
      </c>
      <c r="W65" s="26">
        <f>IF($T65="","",SUMIFS(TRANSACTIONS_MASTER!$Q$5:$Q$1204,TRANSACTIONS_MASTER!$D$5:$D$1204,$T65,TRANSACTIONS_MASTER!$C$5:$C$1204,$C$2))</f>
        <v>0</v>
      </c>
      <c r="X65" s="25" t="str">
        <f>IF($T65="","",IFERROR(IF(ISNUMBER(INDEX(CASHBACK_RULES!$K$5:$K$304,MATCH($T65,CASHBACK_RULES!$B$5:$B$304,0))),INDEX(CASHBACK_RULES!$K$5:$K$304,MATCH($T65,CASHBACK_RULES!$B$5:$B$304,0)),"∞"),"—"))</f>
        <v>∞</v>
      </c>
      <c r="Y65" s="25">
        <f>IF($T65="","",IF($X65="—","—",IF(COUNTIFS($T$8:$T$57,$T65,$Z$8:$Z$57,"∞")&gt;0,IF(ISNUMBER($X65),MAX(0,$X65-$W65),"∞"),IF(ISNUMBER($X65),MAX(0,MIN($X65-$W65,SUMIFS($Z$8:$Z$57,$T$8:$T$57,$T65))),SUMIFS($Z$8:$Z$57,$T$8:$T$57,$T65)))))</f>
        <v>1000000</v>
      </c>
      <c r="Z65" s="27">
        <f>IF($T65="","",IF(ISNUMBER($X65),IF($X65=0,0,$W65/$X65),IF(ISNUMBER($Y65),IF($W65+$Y65=0,0,$W65/($W65+$Y65)),"")))</f>
        <v>0</v>
      </c>
      <c r="AA65" s="29">
        <f>IF($T65="","",COUNTIFS(TRANSACTIONS_MASTER!$D$5:$D$1204,$T65,TRANSACTIONS_MASTER!$C$5:$C$1204,$C$2,TRANSACTIONS_MASTER!$U$5:$U$1204,"&lt;&gt;Cancelled"))</f>
        <v>0</v>
      </c>
    </row>
    <row r="66">
      <c r="A66" s="81" t="str">
        <f>IF($Q66="","",59)</f>
        <v/>
      </c>
      <c r="B66" s="57" t="str">
        <f>IF($Q66="","",INDEX(TRANSACTIONS_MASTER!$B$5:$B$1204,$Q66))</f>
        <v/>
      </c>
      <c r="C66" s="55" t="str">
        <f>IF($Q66="","",INDEX(TRANSACTIONS_MASTER!$F$5:$F$1204,$Q66))</f>
        <v/>
      </c>
      <c r="D66" s="55" t="str">
        <f>IF($Q66="","",INDEX(TRANSACTIONS_MASTER!$E$5:$E$1204,$Q66))</f>
        <v/>
      </c>
      <c r="E66" s="55" t="str">
        <f>IF($Q66="","",INDEX(TRANSACTIONS_MASTER!$G$5:$G$1204,$Q66)&amp;"")</f>
        <v/>
      </c>
      <c r="F66" s="29" t="str">
        <f>IF($Q66="","",INDEX(TRANSACTIONS_MASTER!$I$5:$I$1204,$Q66))</f>
        <v/>
      </c>
      <c r="G66" s="55" t="str">
        <f>IF($Q66="","",INDEX(TRANSACTIONS_MASTER!$K$5:$K$1204,$Q66))</f>
        <v/>
      </c>
      <c r="H66" s="25" t="str">
        <f>IF($Q66="","",INDEX(TRANSACTIONS_MASTER!$L$5:$L$1204,$Q66))</f>
        <v/>
      </c>
      <c r="I66" s="56" t="str">
        <f>IF($Q66="","",INDEX(TRANSACTIONS_MASTER!$N$5:$N$1204,$Q66))</f>
        <v/>
      </c>
      <c r="J66" s="25" t="str">
        <f>IF($Q66="","",INDEX(TRANSACTIONS_MASTER!$O$5:$O$1204,$Q66))</f>
        <v/>
      </c>
      <c r="K66" s="26" t="str">
        <f>IF($Q66="","",INDEX(TRANSACTIONS_MASTER!$Q$5:$Q$1204,$Q66))</f>
        <v/>
      </c>
      <c r="L66" s="25" t="str">
        <f>IF($Q66="","",INDEX(TRANSACTIONS_MASTER!$P$5:$P$1204,$Q66))</f>
        <v/>
      </c>
      <c r="M66" s="25" t="str">
        <f>IF($Q66="","",INDEX(TRANSACTIONS_MASTER!$AA$5:$AA$1204,$Q66))</f>
        <v/>
      </c>
      <c r="N66" s="25" t="str">
        <f>IF($Q66="","",INDEX(TRANSACTIONS_MASTER!$R$5:$R$1204,$Q66))</f>
        <v/>
      </c>
      <c r="O66" s="28" t="str">
        <f>IF($Q66="","",INDEX(TRANSACTIONS_MASTER!$AB$5:$AB$1204,$Q66))</f>
        <v/>
      </c>
      <c r="P66" s="55" t="str">
        <f>IF($Q66="","",INDEX(TRANSACTIONS_MASTER!$Z$5:$Z$1204,$Q66)&amp;"")</f>
        <v/>
      </c>
      <c r="Q66" s="67" t="str">
        <f>IFERROR(MATCH($C$2&amp;"|"&amp;59,TRANSACTIONS_MASTER!$AE$5:$AE$1204,0),"")</f>
        <v/>
      </c>
      <c r="S66" s="67" t="n">
        <v>5</v>
      </c>
      <c r="T66" s="55" t="str">
        <f>IF(CARDS!$A9="","",CARDS!$A9)</f>
        <v>MB-D</v>
      </c>
      <c r="U66" s="55" t="str">
        <f>IF($T66="","",CARDS!$B9&amp;" "&amp;CARDS!$C9)</f>
        <v>MB Cashback Demo D</v>
      </c>
      <c r="V66" s="25">
        <f>IF($T66="","",SUMIFS(TRANSACTIONS_MASTER!$L$5:$L$1204,TRANSACTIONS_MASTER!$D$5:$D$1204,$T66,TRANSACTIONS_MASTER!$C$5:$C$1204,$C$2,TRANSACTIONS_MASTER!$U$5:$U$1204,"&lt;&gt;Cancelled"))</f>
        <v>0</v>
      </c>
      <c r="W66" s="26">
        <f>IF($T66="","",SUMIFS(TRANSACTIONS_MASTER!$Q$5:$Q$1204,TRANSACTIONS_MASTER!$D$5:$D$1204,$T66,TRANSACTIONS_MASTER!$C$5:$C$1204,$C$2))</f>
        <v>0</v>
      </c>
      <c r="X66" s="25">
        <f>IF($T66="","",IFERROR(IF(ISNUMBER(INDEX(CASHBACK_RULES!$K$5:$K$304,MATCH($T66,CASHBACK_RULES!$B$5:$B$304,0))),INDEX(CASHBACK_RULES!$K$5:$K$304,MATCH($T66,CASHBACK_RULES!$B$5:$B$304,0)),"∞"),"—"))</f>
        <v>600000</v>
      </c>
      <c r="Y66" s="25">
        <f>IF($T66="","",IF($X66="—","—",IF(COUNTIFS($T$8:$T$57,$T66,$Z$8:$Z$57,"∞")&gt;0,IF(ISNUMBER($X66),MAX(0,$X66-$W66),"∞"),IF(ISNUMBER($X66),MAX(0,MIN($X66-$W66,SUMIFS($Z$8:$Z$57,$T$8:$T$57,$T66))),SUMIFS($Z$8:$Z$57,$T$8:$T$57,$T66)))))</f>
        <v>600000</v>
      </c>
      <c r="Z66" s="27">
        <f>IF($T66="","",IF(ISNUMBER($X66),IF($X66=0,0,$W66/$X66),IF(ISNUMBER($Y66),IF($W66+$Y66=0,0,$W66/($W66+$Y66)),"")))</f>
        <v>0</v>
      </c>
      <c r="AA66" s="29">
        <f>IF($T66="","",COUNTIFS(TRANSACTIONS_MASTER!$D$5:$D$1204,$T66,TRANSACTIONS_MASTER!$C$5:$C$1204,$C$2,TRANSACTIONS_MASTER!$U$5:$U$1204,"&lt;&gt;Cancelled"))</f>
        <v>0</v>
      </c>
    </row>
    <row r="67">
      <c r="A67" s="81" t="str">
        <f>IF($Q67="","",60)</f>
        <v/>
      </c>
      <c r="B67" s="57" t="str">
        <f>IF($Q67="","",INDEX(TRANSACTIONS_MASTER!$B$5:$B$1204,$Q67))</f>
        <v/>
      </c>
      <c r="C67" s="55" t="str">
        <f>IF($Q67="","",INDEX(TRANSACTIONS_MASTER!$F$5:$F$1204,$Q67))</f>
        <v/>
      </c>
      <c r="D67" s="55" t="str">
        <f>IF($Q67="","",INDEX(TRANSACTIONS_MASTER!$E$5:$E$1204,$Q67))</f>
        <v/>
      </c>
      <c r="E67" s="55" t="str">
        <f>IF($Q67="","",INDEX(TRANSACTIONS_MASTER!$G$5:$G$1204,$Q67)&amp;"")</f>
        <v/>
      </c>
      <c r="F67" s="29" t="str">
        <f>IF($Q67="","",INDEX(TRANSACTIONS_MASTER!$I$5:$I$1204,$Q67))</f>
        <v/>
      </c>
      <c r="G67" s="55" t="str">
        <f>IF($Q67="","",INDEX(TRANSACTIONS_MASTER!$K$5:$K$1204,$Q67))</f>
        <v/>
      </c>
      <c r="H67" s="25" t="str">
        <f>IF($Q67="","",INDEX(TRANSACTIONS_MASTER!$L$5:$L$1204,$Q67))</f>
        <v/>
      </c>
      <c r="I67" s="56" t="str">
        <f>IF($Q67="","",INDEX(TRANSACTIONS_MASTER!$N$5:$N$1204,$Q67))</f>
        <v/>
      </c>
      <c r="J67" s="25" t="str">
        <f>IF($Q67="","",INDEX(TRANSACTIONS_MASTER!$O$5:$O$1204,$Q67))</f>
        <v/>
      </c>
      <c r="K67" s="26" t="str">
        <f>IF($Q67="","",INDEX(TRANSACTIONS_MASTER!$Q$5:$Q$1204,$Q67))</f>
        <v/>
      </c>
      <c r="L67" s="25" t="str">
        <f>IF($Q67="","",INDEX(TRANSACTIONS_MASTER!$P$5:$P$1204,$Q67))</f>
        <v/>
      </c>
      <c r="M67" s="25" t="str">
        <f>IF($Q67="","",INDEX(TRANSACTIONS_MASTER!$AA$5:$AA$1204,$Q67))</f>
        <v/>
      </c>
      <c r="N67" s="25" t="str">
        <f>IF($Q67="","",INDEX(TRANSACTIONS_MASTER!$R$5:$R$1204,$Q67))</f>
        <v/>
      </c>
      <c r="O67" s="28" t="str">
        <f>IF($Q67="","",INDEX(TRANSACTIONS_MASTER!$AB$5:$AB$1204,$Q67))</f>
        <v/>
      </c>
      <c r="P67" s="55" t="str">
        <f>IF($Q67="","",INDEX(TRANSACTIONS_MASTER!$Z$5:$Z$1204,$Q67)&amp;"")</f>
        <v/>
      </c>
      <c r="Q67" s="67" t="str">
        <f>IFERROR(MATCH($C$2&amp;"|"&amp;60,TRANSACTIONS_MASTER!$AE$5:$AE$1204,0),"")</f>
        <v/>
      </c>
      <c r="S67" s="67" t="n">
        <v>6</v>
      </c>
      <c r="T67" s="55" t="str">
        <f>IF(CARDS!$A10="","",CARDS!$A10)</f>
        <v>ACB-E</v>
      </c>
      <c r="U67" s="55" t="str">
        <f>IF($T67="","",CARDS!$B10&amp;" "&amp;CARDS!$C10)</f>
        <v>ACB Demo E (không cashback)</v>
      </c>
      <c r="V67" s="25">
        <f>IF($T67="","",SUMIFS(TRANSACTIONS_MASTER!$L$5:$L$1204,TRANSACTIONS_MASTER!$D$5:$D$1204,$T67,TRANSACTIONS_MASTER!$C$5:$C$1204,$C$2,TRANSACTIONS_MASTER!$U$5:$U$1204,"&lt;&gt;Cancelled"))</f>
        <v>0</v>
      </c>
      <c r="W67" s="26">
        <f>IF($T67="","",SUMIFS(TRANSACTIONS_MASTER!$Q$5:$Q$1204,TRANSACTIONS_MASTER!$D$5:$D$1204,$T67,TRANSACTIONS_MASTER!$C$5:$C$1204,$C$2))</f>
        <v>0</v>
      </c>
      <c r="X67" s="25" t="str">
        <f>IF($T67="","",IFERROR(IF(ISNUMBER(INDEX(CASHBACK_RULES!$K$5:$K$304,MATCH($T67,CASHBACK_RULES!$B$5:$B$304,0))),INDEX(CASHBACK_RULES!$K$5:$K$304,MATCH($T67,CASHBACK_RULES!$B$5:$B$304,0)),"∞"),"—"))</f>
        <v>∞</v>
      </c>
      <c r="Y67" s="25">
        <f>IF($T67="","",IF($X67="—","—",IF(COUNTIFS($T$8:$T$57,$T67,$Z$8:$Z$57,"∞")&gt;0,IF(ISNUMBER($X67),MAX(0,$X67-$W67),"∞"),IF(ISNUMBER($X67),MAX(0,MIN($X67-$W67,SUMIFS($Z$8:$Z$57,$T$8:$T$57,$T67))),SUMIFS($Z$8:$Z$57,$T$8:$T$57,$T67)))))</f>
        <v>0</v>
      </c>
      <c r="Z67" s="27">
        <f>IF($T67="","",IF(ISNUMBER($X67),IF($X67=0,0,$W67/$X67),IF(ISNUMBER($Y67),IF($W67+$Y67=0,0,$W67/($W67+$Y67)),"")))</f>
        <v>0</v>
      </c>
      <c r="AA67" s="29">
        <f>IF($T67="","",COUNTIFS(TRANSACTIONS_MASTER!$D$5:$D$1204,$T67,TRANSACTIONS_MASTER!$C$5:$C$1204,$C$2,TRANSACTIONS_MASTER!$U$5:$U$1204,"&lt;&gt;Cancelled"))</f>
        <v>0</v>
      </c>
    </row>
    <row r="68">
      <c r="A68" s="81" t="str">
        <f>IF($Q68="","",61)</f>
        <v/>
      </c>
      <c r="B68" s="57" t="str">
        <f>IF($Q68="","",INDEX(TRANSACTIONS_MASTER!$B$5:$B$1204,$Q68))</f>
        <v/>
      </c>
      <c r="C68" s="55" t="str">
        <f>IF($Q68="","",INDEX(TRANSACTIONS_MASTER!$F$5:$F$1204,$Q68))</f>
        <v/>
      </c>
      <c r="D68" s="55" t="str">
        <f>IF($Q68="","",INDEX(TRANSACTIONS_MASTER!$E$5:$E$1204,$Q68))</f>
        <v/>
      </c>
      <c r="E68" s="55" t="str">
        <f>IF($Q68="","",INDEX(TRANSACTIONS_MASTER!$G$5:$G$1204,$Q68)&amp;"")</f>
        <v/>
      </c>
      <c r="F68" s="29" t="str">
        <f>IF($Q68="","",INDEX(TRANSACTIONS_MASTER!$I$5:$I$1204,$Q68))</f>
        <v/>
      </c>
      <c r="G68" s="55" t="str">
        <f>IF($Q68="","",INDEX(TRANSACTIONS_MASTER!$K$5:$K$1204,$Q68))</f>
        <v/>
      </c>
      <c r="H68" s="25" t="str">
        <f>IF($Q68="","",INDEX(TRANSACTIONS_MASTER!$L$5:$L$1204,$Q68))</f>
        <v/>
      </c>
      <c r="I68" s="56" t="str">
        <f>IF($Q68="","",INDEX(TRANSACTIONS_MASTER!$N$5:$N$1204,$Q68))</f>
        <v/>
      </c>
      <c r="J68" s="25" t="str">
        <f>IF($Q68="","",INDEX(TRANSACTIONS_MASTER!$O$5:$O$1204,$Q68))</f>
        <v/>
      </c>
      <c r="K68" s="26" t="str">
        <f>IF($Q68="","",INDEX(TRANSACTIONS_MASTER!$Q$5:$Q$1204,$Q68))</f>
        <v/>
      </c>
      <c r="L68" s="25" t="str">
        <f>IF($Q68="","",INDEX(TRANSACTIONS_MASTER!$P$5:$P$1204,$Q68))</f>
        <v/>
      </c>
      <c r="M68" s="25" t="str">
        <f>IF($Q68="","",INDEX(TRANSACTIONS_MASTER!$AA$5:$AA$1204,$Q68))</f>
        <v/>
      </c>
      <c r="N68" s="25" t="str">
        <f>IF($Q68="","",INDEX(TRANSACTIONS_MASTER!$R$5:$R$1204,$Q68))</f>
        <v/>
      </c>
      <c r="O68" s="28" t="str">
        <f>IF($Q68="","",INDEX(TRANSACTIONS_MASTER!$AB$5:$AB$1204,$Q68))</f>
        <v/>
      </c>
      <c r="P68" s="55" t="str">
        <f>IF($Q68="","",INDEX(TRANSACTIONS_MASTER!$Z$5:$Z$1204,$Q68)&amp;"")</f>
        <v/>
      </c>
      <c r="Q68" s="67" t="str">
        <f>IFERROR(MATCH($C$2&amp;"|"&amp;61,TRANSACTIONS_MASTER!$AE$5:$AE$1204,0),"")</f>
        <v/>
      </c>
      <c r="S68" s="67" t="n">
        <v>7</v>
      </c>
      <c r="T68" s="55" t="str">
        <f>IF(CARDS!$A11="","",CARDS!$A11)</f>
        <v/>
      </c>
      <c r="U68" s="55" t="str">
        <f>IF($T68="","",CARDS!$B11&amp;" "&amp;CARDS!$C11)</f>
        <v/>
      </c>
      <c r="V68" s="25" t="str">
        <f>IF($T68="","",SUMIFS(TRANSACTIONS_MASTER!$L$5:$L$1204,TRANSACTIONS_MASTER!$D$5:$D$1204,$T68,TRANSACTIONS_MASTER!$C$5:$C$1204,$C$2,TRANSACTIONS_MASTER!$U$5:$U$1204,"&lt;&gt;Cancelled"))</f>
        <v/>
      </c>
      <c r="W68" s="26" t="str">
        <f>IF($T68="","",SUMIFS(TRANSACTIONS_MASTER!$Q$5:$Q$1204,TRANSACTIONS_MASTER!$D$5:$D$1204,$T68,TRANSACTIONS_MASTER!$C$5:$C$1204,$C$2))</f>
        <v/>
      </c>
      <c r="X68" s="25" t="str">
        <f>IF($T68="","",IFERROR(IF(ISNUMBER(INDEX(CASHBACK_RULES!$K$5:$K$304,MATCH($T68,CASHBACK_RULES!$B$5:$B$304,0))),INDEX(CASHBACK_RULES!$K$5:$K$304,MATCH($T68,CASHBACK_RULES!$B$5:$B$304,0)),"∞"),"—"))</f>
        <v/>
      </c>
      <c r="Y68" s="25" t="str">
        <f>IF($T68="","",IF($X68="—","—",IF(COUNTIFS($T$8:$T$57,$T68,$Z$8:$Z$57,"∞")&gt;0,IF(ISNUMBER($X68),MAX(0,$X68-$W68),"∞"),IF(ISNUMBER($X68),MAX(0,MIN($X68-$W68,SUMIFS($Z$8:$Z$57,$T$8:$T$57,$T68))),SUMIFS($Z$8:$Z$57,$T$8:$T$57,$T68)))))</f>
        <v/>
      </c>
      <c r="Z68" s="27" t="str">
        <f>IF($T68="","",IF(ISNUMBER($X68),IF($X68=0,0,$W68/$X68),IF(ISNUMBER($Y68),IF($W68+$Y68=0,0,$W68/($W68+$Y68)),"")))</f>
        <v/>
      </c>
      <c r="AA68" s="29" t="str">
        <f>IF($T68="","",COUNTIFS(TRANSACTIONS_MASTER!$D$5:$D$1204,$T68,TRANSACTIONS_MASTER!$C$5:$C$1204,$C$2,TRANSACTIONS_MASTER!$U$5:$U$1204,"&lt;&gt;Cancelled"))</f>
        <v/>
      </c>
    </row>
    <row r="69">
      <c r="A69" s="81" t="str">
        <f>IF($Q69="","",62)</f>
        <v/>
      </c>
      <c r="B69" s="57" t="str">
        <f>IF($Q69="","",INDEX(TRANSACTIONS_MASTER!$B$5:$B$1204,$Q69))</f>
        <v/>
      </c>
      <c r="C69" s="55" t="str">
        <f>IF($Q69="","",INDEX(TRANSACTIONS_MASTER!$F$5:$F$1204,$Q69))</f>
        <v/>
      </c>
      <c r="D69" s="55" t="str">
        <f>IF($Q69="","",INDEX(TRANSACTIONS_MASTER!$E$5:$E$1204,$Q69))</f>
        <v/>
      </c>
      <c r="E69" s="55" t="str">
        <f>IF($Q69="","",INDEX(TRANSACTIONS_MASTER!$G$5:$G$1204,$Q69)&amp;"")</f>
        <v/>
      </c>
      <c r="F69" s="29" t="str">
        <f>IF($Q69="","",INDEX(TRANSACTIONS_MASTER!$I$5:$I$1204,$Q69))</f>
        <v/>
      </c>
      <c r="G69" s="55" t="str">
        <f>IF($Q69="","",INDEX(TRANSACTIONS_MASTER!$K$5:$K$1204,$Q69))</f>
        <v/>
      </c>
      <c r="H69" s="25" t="str">
        <f>IF($Q69="","",INDEX(TRANSACTIONS_MASTER!$L$5:$L$1204,$Q69))</f>
        <v/>
      </c>
      <c r="I69" s="56" t="str">
        <f>IF($Q69="","",INDEX(TRANSACTIONS_MASTER!$N$5:$N$1204,$Q69))</f>
        <v/>
      </c>
      <c r="J69" s="25" t="str">
        <f>IF($Q69="","",INDEX(TRANSACTIONS_MASTER!$O$5:$O$1204,$Q69))</f>
        <v/>
      </c>
      <c r="K69" s="26" t="str">
        <f>IF($Q69="","",INDEX(TRANSACTIONS_MASTER!$Q$5:$Q$1204,$Q69))</f>
        <v/>
      </c>
      <c r="L69" s="25" t="str">
        <f>IF($Q69="","",INDEX(TRANSACTIONS_MASTER!$P$5:$P$1204,$Q69))</f>
        <v/>
      </c>
      <c r="M69" s="25" t="str">
        <f>IF($Q69="","",INDEX(TRANSACTIONS_MASTER!$AA$5:$AA$1204,$Q69))</f>
        <v/>
      </c>
      <c r="N69" s="25" t="str">
        <f>IF($Q69="","",INDEX(TRANSACTIONS_MASTER!$R$5:$R$1204,$Q69))</f>
        <v/>
      </c>
      <c r="O69" s="28" t="str">
        <f>IF($Q69="","",INDEX(TRANSACTIONS_MASTER!$AB$5:$AB$1204,$Q69))</f>
        <v/>
      </c>
      <c r="P69" s="55" t="str">
        <f>IF($Q69="","",INDEX(TRANSACTIONS_MASTER!$Z$5:$Z$1204,$Q69)&amp;"")</f>
        <v/>
      </c>
      <c r="Q69" s="67" t="str">
        <f>IFERROR(MATCH($C$2&amp;"|"&amp;62,TRANSACTIONS_MASTER!$AE$5:$AE$1204,0),"")</f>
        <v/>
      </c>
      <c r="S69" s="67" t="n">
        <v>8</v>
      </c>
      <c r="T69" s="55" t="str">
        <f>IF(CARDS!$A12="","",CARDS!$A12)</f>
        <v/>
      </c>
      <c r="U69" s="55" t="str">
        <f>IF($T69="","",CARDS!$B12&amp;" "&amp;CARDS!$C12)</f>
        <v/>
      </c>
      <c r="V69" s="25" t="str">
        <f>IF($T69="","",SUMIFS(TRANSACTIONS_MASTER!$L$5:$L$1204,TRANSACTIONS_MASTER!$D$5:$D$1204,$T69,TRANSACTIONS_MASTER!$C$5:$C$1204,$C$2,TRANSACTIONS_MASTER!$U$5:$U$1204,"&lt;&gt;Cancelled"))</f>
        <v/>
      </c>
      <c r="W69" s="26" t="str">
        <f>IF($T69="","",SUMIFS(TRANSACTIONS_MASTER!$Q$5:$Q$1204,TRANSACTIONS_MASTER!$D$5:$D$1204,$T69,TRANSACTIONS_MASTER!$C$5:$C$1204,$C$2))</f>
        <v/>
      </c>
      <c r="X69" s="25" t="str">
        <f>IF($T69="","",IFERROR(IF(ISNUMBER(INDEX(CASHBACK_RULES!$K$5:$K$304,MATCH($T69,CASHBACK_RULES!$B$5:$B$304,0))),INDEX(CASHBACK_RULES!$K$5:$K$304,MATCH($T69,CASHBACK_RULES!$B$5:$B$304,0)),"∞"),"—"))</f>
        <v/>
      </c>
      <c r="Y69" s="25" t="str">
        <f>IF($T69="","",IF($X69="—","—",IF(COUNTIFS($T$8:$T$57,$T69,$Z$8:$Z$57,"∞")&gt;0,IF(ISNUMBER($X69),MAX(0,$X69-$W69),"∞"),IF(ISNUMBER($X69),MAX(0,MIN($X69-$W69,SUMIFS($Z$8:$Z$57,$T$8:$T$57,$T69))),SUMIFS($Z$8:$Z$57,$T$8:$T$57,$T69)))))</f>
        <v/>
      </c>
      <c r="Z69" s="27" t="str">
        <f>IF($T69="","",IF(ISNUMBER($X69),IF($X69=0,0,$W69/$X69),IF(ISNUMBER($Y69),IF($W69+$Y69=0,0,$W69/($W69+$Y69)),"")))</f>
        <v/>
      </c>
      <c r="AA69" s="29" t="str">
        <f>IF($T69="","",COUNTIFS(TRANSACTIONS_MASTER!$D$5:$D$1204,$T69,TRANSACTIONS_MASTER!$C$5:$C$1204,$C$2,TRANSACTIONS_MASTER!$U$5:$U$1204,"&lt;&gt;Cancelled"))</f>
        <v/>
      </c>
    </row>
    <row r="70">
      <c r="A70" s="81" t="str">
        <f>IF($Q70="","",63)</f>
        <v/>
      </c>
      <c r="B70" s="57" t="str">
        <f>IF($Q70="","",INDEX(TRANSACTIONS_MASTER!$B$5:$B$1204,$Q70))</f>
        <v/>
      </c>
      <c r="C70" s="55" t="str">
        <f>IF($Q70="","",INDEX(TRANSACTIONS_MASTER!$F$5:$F$1204,$Q70))</f>
        <v/>
      </c>
      <c r="D70" s="55" t="str">
        <f>IF($Q70="","",INDEX(TRANSACTIONS_MASTER!$E$5:$E$1204,$Q70))</f>
        <v/>
      </c>
      <c r="E70" s="55" t="str">
        <f>IF($Q70="","",INDEX(TRANSACTIONS_MASTER!$G$5:$G$1204,$Q70)&amp;"")</f>
        <v/>
      </c>
      <c r="F70" s="29" t="str">
        <f>IF($Q70="","",INDEX(TRANSACTIONS_MASTER!$I$5:$I$1204,$Q70))</f>
        <v/>
      </c>
      <c r="G70" s="55" t="str">
        <f>IF($Q70="","",INDEX(TRANSACTIONS_MASTER!$K$5:$K$1204,$Q70))</f>
        <v/>
      </c>
      <c r="H70" s="25" t="str">
        <f>IF($Q70="","",INDEX(TRANSACTIONS_MASTER!$L$5:$L$1204,$Q70))</f>
        <v/>
      </c>
      <c r="I70" s="56" t="str">
        <f>IF($Q70="","",INDEX(TRANSACTIONS_MASTER!$N$5:$N$1204,$Q70))</f>
        <v/>
      </c>
      <c r="J70" s="25" t="str">
        <f>IF($Q70="","",INDEX(TRANSACTIONS_MASTER!$O$5:$O$1204,$Q70))</f>
        <v/>
      </c>
      <c r="K70" s="26" t="str">
        <f>IF($Q70="","",INDEX(TRANSACTIONS_MASTER!$Q$5:$Q$1204,$Q70))</f>
        <v/>
      </c>
      <c r="L70" s="25" t="str">
        <f>IF($Q70="","",INDEX(TRANSACTIONS_MASTER!$P$5:$P$1204,$Q70))</f>
        <v/>
      </c>
      <c r="M70" s="25" t="str">
        <f>IF($Q70="","",INDEX(TRANSACTIONS_MASTER!$AA$5:$AA$1204,$Q70))</f>
        <v/>
      </c>
      <c r="N70" s="25" t="str">
        <f>IF($Q70="","",INDEX(TRANSACTIONS_MASTER!$R$5:$R$1204,$Q70))</f>
        <v/>
      </c>
      <c r="O70" s="28" t="str">
        <f>IF($Q70="","",INDEX(TRANSACTIONS_MASTER!$AB$5:$AB$1204,$Q70))</f>
        <v/>
      </c>
      <c r="P70" s="55" t="str">
        <f>IF($Q70="","",INDEX(TRANSACTIONS_MASTER!$Z$5:$Z$1204,$Q70)&amp;"")</f>
        <v/>
      </c>
      <c r="Q70" s="67" t="str">
        <f>IFERROR(MATCH($C$2&amp;"|"&amp;63,TRANSACTIONS_MASTER!$AE$5:$AE$1204,0),"")</f>
        <v/>
      </c>
      <c r="S70" s="67" t="n">
        <v>9</v>
      </c>
      <c r="T70" s="55" t="str">
        <f>IF(CARDS!$A13="","",CARDS!$A13)</f>
        <v/>
      </c>
      <c r="U70" s="55" t="str">
        <f>IF($T70="","",CARDS!$B13&amp;" "&amp;CARDS!$C13)</f>
        <v/>
      </c>
      <c r="V70" s="25" t="str">
        <f>IF($T70="","",SUMIFS(TRANSACTIONS_MASTER!$L$5:$L$1204,TRANSACTIONS_MASTER!$D$5:$D$1204,$T70,TRANSACTIONS_MASTER!$C$5:$C$1204,$C$2,TRANSACTIONS_MASTER!$U$5:$U$1204,"&lt;&gt;Cancelled"))</f>
        <v/>
      </c>
      <c r="W70" s="26" t="str">
        <f>IF($T70="","",SUMIFS(TRANSACTIONS_MASTER!$Q$5:$Q$1204,TRANSACTIONS_MASTER!$D$5:$D$1204,$T70,TRANSACTIONS_MASTER!$C$5:$C$1204,$C$2))</f>
        <v/>
      </c>
      <c r="X70" s="25" t="str">
        <f>IF($T70="","",IFERROR(IF(ISNUMBER(INDEX(CASHBACK_RULES!$K$5:$K$304,MATCH($T70,CASHBACK_RULES!$B$5:$B$304,0))),INDEX(CASHBACK_RULES!$K$5:$K$304,MATCH($T70,CASHBACK_RULES!$B$5:$B$304,0)),"∞"),"—"))</f>
        <v/>
      </c>
      <c r="Y70" s="25" t="str">
        <f>IF($T70="","",IF($X70="—","—",IF(COUNTIFS($T$8:$T$57,$T70,$Z$8:$Z$57,"∞")&gt;0,IF(ISNUMBER($X70),MAX(0,$X70-$W70),"∞"),IF(ISNUMBER($X70),MAX(0,MIN($X70-$W70,SUMIFS($Z$8:$Z$57,$T$8:$T$57,$T70))),SUMIFS($Z$8:$Z$57,$T$8:$T$57,$T70)))))</f>
        <v/>
      </c>
      <c r="Z70" s="27" t="str">
        <f>IF($T70="","",IF(ISNUMBER($X70),IF($X70=0,0,$W70/$X70),IF(ISNUMBER($Y70),IF($W70+$Y70=0,0,$W70/($W70+$Y70)),"")))</f>
        <v/>
      </c>
      <c r="AA70" s="29" t="str">
        <f>IF($T70="","",COUNTIFS(TRANSACTIONS_MASTER!$D$5:$D$1204,$T70,TRANSACTIONS_MASTER!$C$5:$C$1204,$C$2,TRANSACTIONS_MASTER!$U$5:$U$1204,"&lt;&gt;Cancelled"))</f>
        <v/>
      </c>
    </row>
    <row r="71">
      <c r="A71" s="81" t="str">
        <f>IF($Q71="","",64)</f>
        <v/>
      </c>
      <c r="B71" s="57" t="str">
        <f>IF($Q71="","",INDEX(TRANSACTIONS_MASTER!$B$5:$B$1204,$Q71))</f>
        <v/>
      </c>
      <c r="C71" s="55" t="str">
        <f>IF($Q71="","",INDEX(TRANSACTIONS_MASTER!$F$5:$F$1204,$Q71))</f>
        <v/>
      </c>
      <c r="D71" s="55" t="str">
        <f>IF($Q71="","",INDEX(TRANSACTIONS_MASTER!$E$5:$E$1204,$Q71))</f>
        <v/>
      </c>
      <c r="E71" s="55" t="str">
        <f>IF($Q71="","",INDEX(TRANSACTIONS_MASTER!$G$5:$G$1204,$Q71)&amp;"")</f>
        <v/>
      </c>
      <c r="F71" s="29" t="str">
        <f>IF($Q71="","",INDEX(TRANSACTIONS_MASTER!$I$5:$I$1204,$Q71))</f>
        <v/>
      </c>
      <c r="G71" s="55" t="str">
        <f>IF($Q71="","",INDEX(TRANSACTIONS_MASTER!$K$5:$K$1204,$Q71))</f>
        <v/>
      </c>
      <c r="H71" s="25" t="str">
        <f>IF($Q71="","",INDEX(TRANSACTIONS_MASTER!$L$5:$L$1204,$Q71))</f>
        <v/>
      </c>
      <c r="I71" s="56" t="str">
        <f>IF($Q71="","",INDEX(TRANSACTIONS_MASTER!$N$5:$N$1204,$Q71))</f>
        <v/>
      </c>
      <c r="J71" s="25" t="str">
        <f>IF($Q71="","",INDEX(TRANSACTIONS_MASTER!$O$5:$O$1204,$Q71))</f>
        <v/>
      </c>
      <c r="K71" s="26" t="str">
        <f>IF($Q71="","",INDEX(TRANSACTIONS_MASTER!$Q$5:$Q$1204,$Q71))</f>
        <v/>
      </c>
      <c r="L71" s="25" t="str">
        <f>IF($Q71="","",INDEX(TRANSACTIONS_MASTER!$P$5:$P$1204,$Q71))</f>
        <v/>
      </c>
      <c r="M71" s="25" t="str">
        <f>IF($Q71="","",INDEX(TRANSACTIONS_MASTER!$AA$5:$AA$1204,$Q71))</f>
        <v/>
      </c>
      <c r="N71" s="25" t="str">
        <f>IF($Q71="","",INDEX(TRANSACTIONS_MASTER!$R$5:$R$1204,$Q71))</f>
        <v/>
      </c>
      <c r="O71" s="28" t="str">
        <f>IF($Q71="","",INDEX(TRANSACTIONS_MASTER!$AB$5:$AB$1204,$Q71))</f>
        <v/>
      </c>
      <c r="P71" s="55" t="str">
        <f>IF($Q71="","",INDEX(TRANSACTIONS_MASTER!$Z$5:$Z$1204,$Q71)&amp;"")</f>
        <v/>
      </c>
      <c r="Q71" s="67" t="str">
        <f>IFERROR(MATCH($C$2&amp;"|"&amp;64,TRANSACTIONS_MASTER!$AE$5:$AE$1204,0),"")</f>
        <v/>
      </c>
      <c r="S71" s="67" t="n">
        <v>10</v>
      </c>
      <c r="T71" s="55" t="str">
        <f>IF(CARDS!$A14="","",CARDS!$A14)</f>
        <v/>
      </c>
      <c r="U71" s="55" t="str">
        <f>IF($T71="","",CARDS!$B14&amp;" "&amp;CARDS!$C14)</f>
        <v/>
      </c>
      <c r="V71" s="25" t="str">
        <f>IF($T71="","",SUMIFS(TRANSACTIONS_MASTER!$L$5:$L$1204,TRANSACTIONS_MASTER!$D$5:$D$1204,$T71,TRANSACTIONS_MASTER!$C$5:$C$1204,$C$2,TRANSACTIONS_MASTER!$U$5:$U$1204,"&lt;&gt;Cancelled"))</f>
        <v/>
      </c>
      <c r="W71" s="26" t="str">
        <f>IF($T71="","",SUMIFS(TRANSACTIONS_MASTER!$Q$5:$Q$1204,TRANSACTIONS_MASTER!$D$5:$D$1204,$T71,TRANSACTIONS_MASTER!$C$5:$C$1204,$C$2))</f>
        <v/>
      </c>
      <c r="X71" s="25" t="str">
        <f>IF($T71="","",IFERROR(IF(ISNUMBER(INDEX(CASHBACK_RULES!$K$5:$K$304,MATCH($T71,CASHBACK_RULES!$B$5:$B$304,0))),INDEX(CASHBACK_RULES!$K$5:$K$304,MATCH($T71,CASHBACK_RULES!$B$5:$B$304,0)),"∞"),"—"))</f>
        <v/>
      </c>
      <c r="Y71" s="25" t="str">
        <f>IF($T71="","",IF($X71="—","—",IF(COUNTIFS($T$8:$T$57,$T71,$Z$8:$Z$57,"∞")&gt;0,IF(ISNUMBER($X71),MAX(0,$X71-$W71),"∞"),IF(ISNUMBER($X71),MAX(0,MIN($X71-$W71,SUMIFS($Z$8:$Z$57,$T$8:$T$57,$T71))),SUMIFS($Z$8:$Z$57,$T$8:$T$57,$T71)))))</f>
        <v/>
      </c>
      <c r="Z71" s="27" t="str">
        <f>IF($T71="","",IF(ISNUMBER($X71),IF($X71=0,0,$W71/$X71),IF(ISNUMBER($Y71),IF($W71+$Y71=0,0,$W71/($W71+$Y71)),"")))</f>
        <v/>
      </c>
      <c r="AA71" s="29" t="str">
        <f>IF($T71="","",COUNTIFS(TRANSACTIONS_MASTER!$D$5:$D$1204,$T71,TRANSACTIONS_MASTER!$C$5:$C$1204,$C$2,TRANSACTIONS_MASTER!$U$5:$U$1204,"&lt;&gt;Cancelled"))</f>
        <v/>
      </c>
    </row>
    <row r="72">
      <c r="A72" s="81" t="str">
        <f>IF($Q72="","",65)</f>
        <v/>
      </c>
      <c r="B72" s="57" t="str">
        <f>IF($Q72="","",INDEX(TRANSACTIONS_MASTER!$B$5:$B$1204,$Q72))</f>
        <v/>
      </c>
      <c r="C72" s="55" t="str">
        <f>IF($Q72="","",INDEX(TRANSACTIONS_MASTER!$F$5:$F$1204,$Q72))</f>
        <v/>
      </c>
      <c r="D72" s="55" t="str">
        <f>IF($Q72="","",INDEX(TRANSACTIONS_MASTER!$E$5:$E$1204,$Q72))</f>
        <v/>
      </c>
      <c r="E72" s="55" t="str">
        <f>IF($Q72="","",INDEX(TRANSACTIONS_MASTER!$G$5:$G$1204,$Q72)&amp;"")</f>
        <v/>
      </c>
      <c r="F72" s="29" t="str">
        <f>IF($Q72="","",INDEX(TRANSACTIONS_MASTER!$I$5:$I$1204,$Q72))</f>
        <v/>
      </c>
      <c r="G72" s="55" t="str">
        <f>IF($Q72="","",INDEX(TRANSACTIONS_MASTER!$K$5:$K$1204,$Q72))</f>
        <v/>
      </c>
      <c r="H72" s="25" t="str">
        <f>IF($Q72="","",INDEX(TRANSACTIONS_MASTER!$L$5:$L$1204,$Q72))</f>
        <v/>
      </c>
      <c r="I72" s="56" t="str">
        <f>IF($Q72="","",INDEX(TRANSACTIONS_MASTER!$N$5:$N$1204,$Q72))</f>
        <v/>
      </c>
      <c r="J72" s="25" t="str">
        <f>IF($Q72="","",INDEX(TRANSACTIONS_MASTER!$O$5:$O$1204,$Q72))</f>
        <v/>
      </c>
      <c r="K72" s="26" t="str">
        <f>IF($Q72="","",INDEX(TRANSACTIONS_MASTER!$Q$5:$Q$1204,$Q72))</f>
        <v/>
      </c>
      <c r="L72" s="25" t="str">
        <f>IF($Q72="","",INDEX(TRANSACTIONS_MASTER!$P$5:$P$1204,$Q72))</f>
        <v/>
      </c>
      <c r="M72" s="25" t="str">
        <f>IF($Q72="","",INDEX(TRANSACTIONS_MASTER!$AA$5:$AA$1204,$Q72))</f>
        <v/>
      </c>
      <c r="N72" s="25" t="str">
        <f>IF($Q72="","",INDEX(TRANSACTIONS_MASTER!$R$5:$R$1204,$Q72))</f>
        <v/>
      </c>
      <c r="O72" s="28" t="str">
        <f>IF($Q72="","",INDEX(TRANSACTIONS_MASTER!$AB$5:$AB$1204,$Q72))</f>
        <v/>
      </c>
      <c r="P72" s="55" t="str">
        <f>IF($Q72="","",INDEX(TRANSACTIONS_MASTER!$Z$5:$Z$1204,$Q72)&amp;"")</f>
        <v/>
      </c>
      <c r="Q72" s="67" t="str">
        <f>IFERROR(MATCH($C$2&amp;"|"&amp;65,TRANSACTIONS_MASTER!$AE$5:$AE$1204,0),"")</f>
        <v/>
      </c>
      <c r="S72" s="67" t="n">
        <v>11</v>
      </c>
      <c r="T72" s="55" t="str">
        <f>IF(CARDS!$A15="","",CARDS!$A15)</f>
        <v/>
      </c>
      <c r="U72" s="55" t="str">
        <f>IF($T72="","",CARDS!$B15&amp;" "&amp;CARDS!$C15)</f>
        <v/>
      </c>
      <c r="V72" s="25" t="str">
        <f>IF($T72="","",SUMIFS(TRANSACTIONS_MASTER!$L$5:$L$1204,TRANSACTIONS_MASTER!$D$5:$D$1204,$T72,TRANSACTIONS_MASTER!$C$5:$C$1204,$C$2,TRANSACTIONS_MASTER!$U$5:$U$1204,"&lt;&gt;Cancelled"))</f>
        <v/>
      </c>
      <c r="W72" s="26" t="str">
        <f>IF($T72="","",SUMIFS(TRANSACTIONS_MASTER!$Q$5:$Q$1204,TRANSACTIONS_MASTER!$D$5:$D$1204,$T72,TRANSACTIONS_MASTER!$C$5:$C$1204,$C$2))</f>
        <v/>
      </c>
      <c r="X72" s="25" t="str">
        <f>IF($T72="","",IFERROR(IF(ISNUMBER(INDEX(CASHBACK_RULES!$K$5:$K$304,MATCH($T72,CASHBACK_RULES!$B$5:$B$304,0))),INDEX(CASHBACK_RULES!$K$5:$K$304,MATCH($T72,CASHBACK_RULES!$B$5:$B$304,0)),"∞"),"—"))</f>
        <v/>
      </c>
      <c r="Y72" s="25" t="str">
        <f>IF($T72="","",IF($X72="—","—",IF(COUNTIFS($T$8:$T$57,$T72,$Z$8:$Z$57,"∞")&gt;0,IF(ISNUMBER($X72),MAX(0,$X72-$W72),"∞"),IF(ISNUMBER($X72),MAX(0,MIN($X72-$W72,SUMIFS($Z$8:$Z$57,$T$8:$T$57,$T72))),SUMIFS($Z$8:$Z$57,$T$8:$T$57,$T72)))))</f>
        <v/>
      </c>
      <c r="Z72" s="27" t="str">
        <f>IF($T72="","",IF(ISNUMBER($X72),IF($X72=0,0,$W72/$X72),IF(ISNUMBER($Y72),IF($W72+$Y72=0,0,$W72/($W72+$Y72)),"")))</f>
        <v/>
      </c>
      <c r="AA72" s="29" t="str">
        <f>IF($T72="","",COUNTIFS(TRANSACTIONS_MASTER!$D$5:$D$1204,$T72,TRANSACTIONS_MASTER!$C$5:$C$1204,$C$2,TRANSACTIONS_MASTER!$U$5:$U$1204,"&lt;&gt;Cancelled"))</f>
        <v/>
      </c>
    </row>
    <row r="73">
      <c r="A73" s="81" t="str">
        <f>IF($Q73="","",66)</f>
        <v/>
      </c>
      <c r="B73" s="57" t="str">
        <f>IF($Q73="","",INDEX(TRANSACTIONS_MASTER!$B$5:$B$1204,$Q73))</f>
        <v/>
      </c>
      <c r="C73" s="55" t="str">
        <f>IF($Q73="","",INDEX(TRANSACTIONS_MASTER!$F$5:$F$1204,$Q73))</f>
        <v/>
      </c>
      <c r="D73" s="55" t="str">
        <f>IF($Q73="","",INDEX(TRANSACTIONS_MASTER!$E$5:$E$1204,$Q73))</f>
        <v/>
      </c>
      <c r="E73" s="55" t="str">
        <f>IF($Q73="","",INDEX(TRANSACTIONS_MASTER!$G$5:$G$1204,$Q73)&amp;"")</f>
        <v/>
      </c>
      <c r="F73" s="29" t="str">
        <f>IF($Q73="","",INDEX(TRANSACTIONS_MASTER!$I$5:$I$1204,$Q73))</f>
        <v/>
      </c>
      <c r="G73" s="55" t="str">
        <f>IF($Q73="","",INDEX(TRANSACTIONS_MASTER!$K$5:$K$1204,$Q73))</f>
        <v/>
      </c>
      <c r="H73" s="25" t="str">
        <f>IF($Q73="","",INDEX(TRANSACTIONS_MASTER!$L$5:$L$1204,$Q73))</f>
        <v/>
      </c>
      <c r="I73" s="56" t="str">
        <f>IF($Q73="","",INDEX(TRANSACTIONS_MASTER!$N$5:$N$1204,$Q73))</f>
        <v/>
      </c>
      <c r="J73" s="25" t="str">
        <f>IF($Q73="","",INDEX(TRANSACTIONS_MASTER!$O$5:$O$1204,$Q73))</f>
        <v/>
      </c>
      <c r="K73" s="26" t="str">
        <f>IF($Q73="","",INDEX(TRANSACTIONS_MASTER!$Q$5:$Q$1204,$Q73))</f>
        <v/>
      </c>
      <c r="L73" s="25" t="str">
        <f>IF($Q73="","",INDEX(TRANSACTIONS_MASTER!$P$5:$P$1204,$Q73))</f>
        <v/>
      </c>
      <c r="M73" s="25" t="str">
        <f>IF($Q73="","",INDEX(TRANSACTIONS_MASTER!$AA$5:$AA$1204,$Q73))</f>
        <v/>
      </c>
      <c r="N73" s="25" t="str">
        <f>IF($Q73="","",INDEX(TRANSACTIONS_MASTER!$R$5:$R$1204,$Q73))</f>
        <v/>
      </c>
      <c r="O73" s="28" t="str">
        <f>IF($Q73="","",INDEX(TRANSACTIONS_MASTER!$AB$5:$AB$1204,$Q73))</f>
        <v/>
      </c>
      <c r="P73" s="55" t="str">
        <f>IF($Q73="","",INDEX(TRANSACTIONS_MASTER!$Z$5:$Z$1204,$Q73)&amp;"")</f>
        <v/>
      </c>
      <c r="Q73" s="67" t="str">
        <f>IFERROR(MATCH($C$2&amp;"|"&amp;66,TRANSACTIONS_MASTER!$AE$5:$AE$1204,0),"")</f>
        <v/>
      </c>
      <c r="S73" s="67" t="n">
        <v>12</v>
      </c>
      <c r="T73" s="55" t="str">
        <f>IF(CARDS!$A16="","",CARDS!$A16)</f>
        <v/>
      </c>
      <c r="U73" s="55" t="str">
        <f>IF($T73="","",CARDS!$B16&amp;" "&amp;CARDS!$C16)</f>
        <v/>
      </c>
      <c r="V73" s="25" t="str">
        <f>IF($T73="","",SUMIFS(TRANSACTIONS_MASTER!$L$5:$L$1204,TRANSACTIONS_MASTER!$D$5:$D$1204,$T73,TRANSACTIONS_MASTER!$C$5:$C$1204,$C$2,TRANSACTIONS_MASTER!$U$5:$U$1204,"&lt;&gt;Cancelled"))</f>
        <v/>
      </c>
      <c r="W73" s="26" t="str">
        <f>IF($T73="","",SUMIFS(TRANSACTIONS_MASTER!$Q$5:$Q$1204,TRANSACTIONS_MASTER!$D$5:$D$1204,$T73,TRANSACTIONS_MASTER!$C$5:$C$1204,$C$2))</f>
        <v/>
      </c>
      <c r="X73" s="25" t="str">
        <f>IF($T73="","",IFERROR(IF(ISNUMBER(INDEX(CASHBACK_RULES!$K$5:$K$304,MATCH($T73,CASHBACK_RULES!$B$5:$B$304,0))),INDEX(CASHBACK_RULES!$K$5:$K$304,MATCH($T73,CASHBACK_RULES!$B$5:$B$304,0)),"∞"),"—"))</f>
        <v/>
      </c>
      <c r="Y73" s="25" t="str">
        <f>IF($T73="","",IF($X73="—","—",IF(COUNTIFS($T$8:$T$57,$T73,$Z$8:$Z$57,"∞")&gt;0,IF(ISNUMBER($X73),MAX(0,$X73-$W73),"∞"),IF(ISNUMBER($X73),MAX(0,MIN($X73-$W73,SUMIFS($Z$8:$Z$57,$T$8:$T$57,$T73))),SUMIFS($Z$8:$Z$57,$T$8:$T$57,$T73)))))</f>
        <v/>
      </c>
      <c r="Z73" s="27" t="str">
        <f>IF($T73="","",IF(ISNUMBER($X73),IF($X73=0,0,$W73/$X73),IF(ISNUMBER($Y73),IF($W73+$Y73=0,0,$W73/($W73+$Y73)),"")))</f>
        <v/>
      </c>
      <c r="AA73" s="29" t="str">
        <f>IF($T73="","",COUNTIFS(TRANSACTIONS_MASTER!$D$5:$D$1204,$T73,TRANSACTIONS_MASTER!$C$5:$C$1204,$C$2,TRANSACTIONS_MASTER!$U$5:$U$1204,"&lt;&gt;Cancelled"))</f>
        <v/>
      </c>
    </row>
    <row r="74">
      <c r="A74" s="81" t="str">
        <f>IF($Q74="","",67)</f>
        <v/>
      </c>
      <c r="B74" s="57" t="str">
        <f>IF($Q74="","",INDEX(TRANSACTIONS_MASTER!$B$5:$B$1204,$Q74))</f>
        <v/>
      </c>
      <c r="C74" s="55" t="str">
        <f>IF($Q74="","",INDEX(TRANSACTIONS_MASTER!$F$5:$F$1204,$Q74))</f>
        <v/>
      </c>
      <c r="D74" s="55" t="str">
        <f>IF($Q74="","",INDEX(TRANSACTIONS_MASTER!$E$5:$E$1204,$Q74))</f>
        <v/>
      </c>
      <c r="E74" s="55" t="str">
        <f>IF($Q74="","",INDEX(TRANSACTIONS_MASTER!$G$5:$G$1204,$Q74)&amp;"")</f>
        <v/>
      </c>
      <c r="F74" s="29" t="str">
        <f>IF($Q74="","",INDEX(TRANSACTIONS_MASTER!$I$5:$I$1204,$Q74))</f>
        <v/>
      </c>
      <c r="G74" s="55" t="str">
        <f>IF($Q74="","",INDEX(TRANSACTIONS_MASTER!$K$5:$K$1204,$Q74))</f>
        <v/>
      </c>
      <c r="H74" s="25" t="str">
        <f>IF($Q74="","",INDEX(TRANSACTIONS_MASTER!$L$5:$L$1204,$Q74))</f>
        <v/>
      </c>
      <c r="I74" s="56" t="str">
        <f>IF($Q74="","",INDEX(TRANSACTIONS_MASTER!$N$5:$N$1204,$Q74))</f>
        <v/>
      </c>
      <c r="J74" s="25" t="str">
        <f>IF($Q74="","",INDEX(TRANSACTIONS_MASTER!$O$5:$O$1204,$Q74))</f>
        <v/>
      </c>
      <c r="K74" s="26" t="str">
        <f>IF($Q74="","",INDEX(TRANSACTIONS_MASTER!$Q$5:$Q$1204,$Q74))</f>
        <v/>
      </c>
      <c r="L74" s="25" t="str">
        <f>IF($Q74="","",INDEX(TRANSACTIONS_MASTER!$P$5:$P$1204,$Q74))</f>
        <v/>
      </c>
      <c r="M74" s="25" t="str">
        <f>IF($Q74="","",INDEX(TRANSACTIONS_MASTER!$AA$5:$AA$1204,$Q74))</f>
        <v/>
      </c>
      <c r="N74" s="25" t="str">
        <f>IF($Q74="","",INDEX(TRANSACTIONS_MASTER!$R$5:$R$1204,$Q74))</f>
        <v/>
      </c>
      <c r="O74" s="28" t="str">
        <f>IF($Q74="","",INDEX(TRANSACTIONS_MASTER!$AB$5:$AB$1204,$Q74))</f>
        <v/>
      </c>
      <c r="P74" s="55" t="str">
        <f>IF($Q74="","",INDEX(TRANSACTIONS_MASTER!$Z$5:$Z$1204,$Q74)&amp;"")</f>
        <v/>
      </c>
      <c r="Q74" s="67" t="str">
        <f>IFERROR(MATCH($C$2&amp;"|"&amp;67,TRANSACTIONS_MASTER!$AE$5:$AE$1204,0),"")</f>
        <v/>
      </c>
      <c r="S74" s="67" t="n">
        <v>13</v>
      </c>
      <c r="T74" s="55" t="str">
        <f>IF(CARDS!$A17="","",CARDS!$A17)</f>
        <v/>
      </c>
      <c r="U74" s="55" t="str">
        <f>IF($T74="","",CARDS!$B17&amp;" "&amp;CARDS!$C17)</f>
        <v/>
      </c>
      <c r="V74" s="25" t="str">
        <f>IF($T74="","",SUMIFS(TRANSACTIONS_MASTER!$L$5:$L$1204,TRANSACTIONS_MASTER!$D$5:$D$1204,$T74,TRANSACTIONS_MASTER!$C$5:$C$1204,$C$2,TRANSACTIONS_MASTER!$U$5:$U$1204,"&lt;&gt;Cancelled"))</f>
        <v/>
      </c>
      <c r="W74" s="26" t="str">
        <f>IF($T74="","",SUMIFS(TRANSACTIONS_MASTER!$Q$5:$Q$1204,TRANSACTIONS_MASTER!$D$5:$D$1204,$T74,TRANSACTIONS_MASTER!$C$5:$C$1204,$C$2))</f>
        <v/>
      </c>
      <c r="X74" s="25" t="str">
        <f>IF($T74="","",IFERROR(IF(ISNUMBER(INDEX(CASHBACK_RULES!$K$5:$K$304,MATCH($T74,CASHBACK_RULES!$B$5:$B$304,0))),INDEX(CASHBACK_RULES!$K$5:$K$304,MATCH($T74,CASHBACK_RULES!$B$5:$B$304,0)),"∞"),"—"))</f>
        <v/>
      </c>
      <c r="Y74" s="25" t="str">
        <f>IF($T74="","",IF($X74="—","—",IF(COUNTIFS($T$8:$T$57,$T74,$Z$8:$Z$57,"∞")&gt;0,IF(ISNUMBER($X74),MAX(0,$X74-$W74),"∞"),IF(ISNUMBER($X74),MAX(0,MIN($X74-$W74,SUMIFS($Z$8:$Z$57,$T$8:$T$57,$T74))),SUMIFS($Z$8:$Z$57,$T$8:$T$57,$T74)))))</f>
        <v/>
      </c>
      <c r="Z74" s="27" t="str">
        <f>IF($T74="","",IF(ISNUMBER($X74),IF($X74=0,0,$W74/$X74),IF(ISNUMBER($Y74),IF($W74+$Y74=0,0,$W74/($W74+$Y74)),"")))</f>
        <v/>
      </c>
      <c r="AA74" s="29" t="str">
        <f>IF($T74="","",COUNTIFS(TRANSACTIONS_MASTER!$D$5:$D$1204,$T74,TRANSACTIONS_MASTER!$C$5:$C$1204,$C$2,TRANSACTIONS_MASTER!$U$5:$U$1204,"&lt;&gt;Cancelled"))</f>
        <v/>
      </c>
    </row>
    <row r="75">
      <c r="A75" s="81" t="str">
        <f>IF($Q75="","",68)</f>
        <v/>
      </c>
      <c r="B75" s="57" t="str">
        <f>IF($Q75="","",INDEX(TRANSACTIONS_MASTER!$B$5:$B$1204,$Q75))</f>
        <v/>
      </c>
      <c r="C75" s="55" t="str">
        <f>IF($Q75="","",INDEX(TRANSACTIONS_MASTER!$F$5:$F$1204,$Q75))</f>
        <v/>
      </c>
      <c r="D75" s="55" t="str">
        <f>IF($Q75="","",INDEX(TRANSACTIONS_MASTER!$E$5:$E$1204,$Q75))</f>
        <v/>
      </c>
      <c r="E75" s="55" t="str">
        <f>IF($Q75="","",INDEX(TRANSACTIONS_MASTER!$G$5:$G$1204,$Q75)&amp;"")</f>
        <v/>
      </c>
      <c r="F75" s="29" t="str">
        <f>IF($Q75="","",INDEX(TRANSACTIONS_MASTER!$I$5:$I$1204,$Q75))</f>
        <v/>
      </c>
      <c r="G75" s="55" t="str">
        <f>IF($Q75="","",INDEX(TRANSACTIONS_MASTER!$K$5:$K$1204,$Q75))</f>
        <v/>
      </c>
      <c r="H75" s="25" t="str">
        <f>IF($Q75="","",INDEX(TRANSACTIONS_MASTER!$L$5:$L$1204,$Q75))</f>
        <v/>
      </c>
      <c r="I75" s="56" t="str">
        <f>IF($Q75="","",INDEX(TRANSACTIONS_MASTER!$N$5:$N$1204,$Q75))</f>
        <v/>
      </c>
      <c r="J75" s="25" t="str">
        <f>IF($Q75="","",INDEX(TRANSACTIONS_MASTER!$O$5:$O$1204,$Q75))</f>
        <v/>
      </c>
      <c r="K75" s="26" t="str">
        <f>IF($Q75="","",INDEX(TRANSACTIONS_MASTER!$Q$5:$Q$1204,$Q75))</f>
        <v/>
      </c>
      <c r="L75" s="25" t="str">
        <f>IF($Q75="","",INDEX(TRANSACTIONS_MASTER!$P$5:$P$1204,$Q75))</f>
        <v/>
      </c>
      <c r="M75" s="25" t="str">
        <f>IF($Q75="","",INDEX(TRANSACTIONS_MASTER!$AA$5:$AA$1204,$Q75))</f>
        <v/>
      </c>
      <c r="N75" s="25" t="str">
        <f>IF($Q75="","",INDEX(TRANSACTIONS_MASTER!$R$5:$R$1204,$Q75))</f>
        <v/>
      </c>
      <c r="O75" s="28" t="str">
        <f>IF($Q75="","",INDEX(TRANSACTIONS_MASTER!$AB$5:$AB$1204,$Q75))</f>
        <v/>
      </c>
      <c r="P75" s="55" t="str">
        <f>IF($Q75="","",INDEX(TRANSACTIONS_MASTER!$Z$5:$Z$1204,$Q75)&amp;"")</f>
        <v/>
      </c>
      <c r="Q75" s="67" t="str">
        <f>IFERROR(MATCH($C$2&amp;"|"&amp;68,TRANSACTIONS_MASTER!$AE$5:$AE$1204,0),"")</f>
        <v/>
      </c>
      <c r="S75" s="67" t="n">
        <v>14</v>
      </c>
      <c r="T75" s="55" t="str">
        <f>IF(CARDS!$A18="","",CARDS!$A18)</f>
        <v/>
      </c>
      <c r="U75" s="55" t="str">
        <f>IF($T75="","",CARDS!$B18&amp;" "&amp;CARDS!$C18)</f>
        <v/>
      </c>
      <c r="V75" s="25" t="str">
        <f>IF($T75="","",SUMIFS(TRANSACTIONS_MASTER!$L$5:$L$1204,TRANSACTIONS_MASTER!$D$5:$D$1204,$T75,TRANSACTIONS_MASTER!$C$5:$C$1204,$C$2,TRANSACTIONS_MASTER!$U$5:$U$1204,"&lt;&gt;Cancelled"))</f>
        <v/>
      </c>
      <c r="W75" s="26" t="str">
        <f>IF($T75="","",SUMIFS(TRANSACTIONS_MASTER!$Q$5:$Q$1204,TRANSACTIONS_MASTER!$D$5:$D$1204,$T75,TRANSACTIONS_MASTER!$C$5:$C$1204,$C$2))</f>
        <v/>
      </c>
      <c r="X75" s="25" t="str">
        <f>IF($T75="","",IFERROR(IF(ISNUMBER(INDEX(CASHBACK_RULES!$K$5:$K$304,MATCH($T75,CASHBACK_RULES!$B$5:$B$304,0))),INDEX(CASHBACK_RULES!$K$5:$K$304,MATCH($T75,CASHBACK_RULES!$B$5:$B$304,0)),"∞"),"—"))</f>
        <v/>
      </c>
      <c r="Y75" s="25" t="str">
        <f>IF($T75="","",IF($X75="—","—",IF(COUNTIFS($T$8:$T$57,$T75,$Z$8:$Z$57,"∞")&gt;0,IF(ISNUMBER($X75),MAX(0,$X75-$W75),"∞"),IF(ISNUMBER($X75),MAX(0,MIN($X75-$W75,SUMIFS($Z$8:$Z$57,$T$8:$T$57,$T75))),SUMIFS($Z$8:$Z$57,$T$8:$T$57,$T75)))))</f>
        <v/>
      </c>
      <c r="Z75" s="27" t="str">
        <f>IF($T75="","",IF(ISNUMBER($X75),IF($X75=0,0,$W75/$X75),IF(ISNUMBER($Y75),IF($W75+$Y75=0,0,$W75/($W75+$Y75)),"")))</f>
        <v/>
      </c>
      <c r="AA75" s="29" t="str">
        <f>IF($T75="","",COUNTIFS(TRANSACTIONS_MASTER!$D$5:$D$1204,$T75,TRANSACTIONS_MASTER!$C$5:$C$1204,$C$2,TRANSACTIONS_MASTER!$U$5:$U$1204,"&lt;&gt;Cancelled"))</f>
        <v/>
      </c>
    </row>
    <row r="76">
      <c r="A76" s="81" t="str">
        <f>IF($Q76="","",69)</f>
        <v/>
      </c>
      <c r="B76" s="57" t="str">
        <f>IF($Q76="","",INDEX(TRANSACTIONS_MASTER!$B$5:$B$1204,$Q76))</f>
        <v/>
      </c>
      <c r="C76" s="55" t="str">
        <f>IF($Q76="","",INDEX(TRANSACTIONS_MASTER!$F$5:$F$1204,$Q76))</f>
        <v/>
      </c>
      <c r="D76" s="55" t="str">
        <f>IF($Q76="","",INDEX(TRANSACTIONS_MASTER!$E$5:$E$1204,$Q76))</f>
        <v/>
      </c>
      <c r="E76" s="55" t="str">
        <f>IF($Q76="","",INDEX(TRANSACTIONS_MASTER!$G$5:$G$1204,$Q76)&amp;"")</f>
        <v/>
      </c>
      <c r="F76" s="29" t="str">
        <f>IF($Q76="","",INDEX(TRANSACTIONS_MASTER!$I$5:$I$1204,$Q76))</f>
        <v/>
      </c>
      <c r="G76" s="55" t="str">
        <f>IF($Q76="","",INDEX(TRANSACTIONS_MASTER!$K$5:$K$1204,$Q76))</f>
        <v/>
      </c>
      <c r="H76" s="25" t="str">
        <f>IF($Q76="","",INDEX(TRANSACTIONS_MASTER!$L$5:$L$1204,$Q76))</f>
        <v/>
      </c>
      <c r="I76" s="56" t="str">
        <f>IF($Q76="","",INDEX(TRANSACTIONS_MASTER!$N$5:$N$1204,$Q76))</f>
        <v/>
      </c>
      <c r="J76" s="25" t="str">
        <f>IF($Q76="","",INDEX(TRANSACTIONS_MASTER!$O$5:$O$1204,$Q76))</f>
        <v/>
      </c>
      <c r="K76" s="26" t="str">
        <f>IF($Q76="","",INDEX(TRANSACTIONS_MASTER!$Q$5:$Q$1204,$Q76))</f>
        <v/>
      </c>
      <c r="L76" s="25" t="str">
        <f>IF($Q76="","",INDEX(TRANSACTIONS_MASTER!$P$5:$P$1204,$Q76))</f>
        <v/>
      </c>
      <c r="M76" s="25" t="str">
        <f>IF($Q76="","",INDEX(TRANSACTIONS_MASTER!$AA$5:$AA$1204,$Q76))</f>
        <v/>
      </c>
      <c r="N76" s="25" t="str">
        <f>IF($Q76="","",INDEX(TRANSACTIONS_MASTER!$R$5:$R$1204,$Q76))</f>
        <v/>
      </c>
      <c r="O76" s="28" t="str">
        <f>IF($Q76="","",INDEX(TRANSACTIONS_MASTER!$AB$5:$AB$1204,$Q76))</f>
        <v/>
      </c>
      <c r="P76" s="55" t="str">
        <f>IF($Q76="","",INDEX(TRANSACTIONS_MASTER!$Z$5:$Z$1204,$Q76)&amp;"")</f>
        <v/>
      </c>
      <c r="Q76" s="67" t="str">
        <f>IFERROR(MATCH($C$2&amp;"|"&amp;69,TRANSACTIONS_MASTER!$AE$5:$AE$1204,0),"")</f>
        <v/>
      </c>
      <c r="S76" s="67" t="n">
        <v>15</v>
      </c>
      <c r="T76" s="55" t="str">
        <f>IF(CARDS!$A19="","",CARDS!$A19)</f>
        <v/>
      </c>
      <c r="U76" s="55" t="str">
        <f>IF($T76="","",CARDS!$B19&amp;" "&amp;CARDS!$C19)</f>
        <v/>
      </c>
      <c r="V76" s="25" t="str">
        <f>IF($T76="","",SUMIFS(TRANSACTIONS_MASTER!$L$5:$L$1204,TRANSACTIONS_MASTER!$D$5:$D$1204,$T76,TRANSACTIONS_MASTER!$C$5:$C$1204,$C$2,TRANSACTIONS_MASTER!$U$5:$U$1204,"&lt;&gt;Cancelled"))</f>
        <v/>
      </c>
      <c r="W76" s="26" t="str">
        <f>IF($T76="","",SUMIFS(TRANSACTIONS_MASTER!$Q$5:$Q$1204,TRANSACTIONS_MASTER!$D$5:$D$1204,$T76,TRANSACTIONS_MASTER!$C$5:$C$1204,$C$2))</f>
        <v/>
      </c>
      <c r="X76" s="25" t="str">
        <f>IF($T76="","",IFERROR(IF(ISNUMBER(INDEX(CASHBACK_RULES!$K$5:$K$304,MATCH($T76,CASHBACK_RULES!$B$5:$B$304,0))),INDEX(CASHBACK_RULES!$K$5:$K$304,MATCH($T76,CASHBACK_RULES!$B$5:$B$304,0)),"∞"),"—"))</f>
        <v/>
      </c>
      <c r="Y76" s="25" t="str">
        <f>IF($T76="","",IF($X76="—","—",IF(COUNTIFS($T$8:$T$57,$T76,$Z$8:$Z$57,"∞")&gt;0,IF(ISNUMBER($X76),MAX(0,$X76-$W76),"∞"),IF(ISNUMBER($X76),MAX(0,MIN($X76-$W76,SUMIFS($Z$8:$Z$57,$T$8:$T$57,$T76))),SUMIFS($Z$8:$Z$57,$T$8:$T$57,$T76)))))</f>
        <v/>
      </c>
      <c r="Z76" s="27" t="str">
        <f>IF($T76="","",IF(ISNUMBER($X76),IF($X76=0,0,$W76/$X76),IF(ISNUMBER($Y76),IF($W76+$Y76=0,0,$W76/($W76+$Y76)),"")))</f>
        <v/>
      </c>
      <c r="AA76" s="29" t="str">
        <f>IF($T76="","",COUNTIFS(TRANSACTIONS_MASTER!$D$5:$D$1204,$T76,TRANSACTIONS_MASTER!$C$5:$C$1204,$C$2,TRANSACTIONS_MASTER!$U$5:$U$1204,"&lt;&gt;Cancelled"))</f>
        <v/>
      </c>
    </row>
    <row r="77">
      <c r="A77" s="81" t="str">
        <f>IF($Q77="","",70)</f>
        <v/>
      </c>
      <c r="B77" s="57" t="str">
        <f>IF($Q77="","",INDEX(TRANSACTIONS_MASTER!$B$5:$B$1204,$Q77))</f>
        <v/>
      </c>
      <c r="C77" s="55" t="str">
        <f>IF($Q77="","",INDEX(TRANSACTIONS_MASTER!$F$5:$F$1204,$Q77))</f>
        <v/>
      </c>
      <c r="D77" s="55" t="str">
        <f>IF($Q77="","",INDEX(TRANSACTIONS_MASTER!$E$5:$E$1204,$Q77))</f>
        <v/>
      </c>
      <c r="E77" s="55" t="str">
        <f>IF($Q77="","",INDEX(TRANSACTIONS_MASTER!$G$5:$G$1204,$Q77)&amp;"")</f>
        <v/>
      </c>
      <c r="F77" s="29" t="str">
        <f>IF($Q77="","",INDEX(TRANSACTIONS_MASTER!$I$5:$I$1204,$Q77))</f>
        <v/>
      </c>
      <c r="G77" s="55" t="str">
        <f>IF($Q77="","",INDEX(TRANSACTIONS_MASTER!$K$5:$K$1204,$Q77))</f>
        <v/>
      </c>
      <c r="H77" s="25" t="str">
        <f>IF($Q77="","",INDEX(TRANSACTIONS_MASTER!$L$5:$L$1204,$Q77))</f>
        <v/>
      </c>
      <c r="I77" s="56" t="str">
        <f>IF($Q77="","",INDEX(TRANSACTIONS_MASTER!$N$5:$N$1204,$Q77))</f>
        <v/>
      </c>
      <c r="J77" s="25" t="str">
        <f>IF($Q77="","",INDEX(TRANSACTIONS_MASTER!$O$5:$O$1204,$Q77))</f>
        <v/>
      </c>
      <c r="K77" s="26" t="str">
        <f>IF($Q77="","",INDEX(TRANSACTIONS_MASTER!$Q$5:$Q$1204,$Q77))</f>
        <v/>
      </c>
      <c r="L77" s="25" t="str">
        <f>IF($Q77="","",INDEX(TRANSACTIONS_MASTER!$P$5:$P$1204,$Q77))</f>
        <v/>
      </c>
      <c r="M77" s="25" t="str">
        <f>IF($Q77="","",INDEX(TRANSACTIONS_MASTER!$AA$5:$AA$1204,$Q77))</f>
        <v/>
      </c>
      <c r="N77" s="25" t="str">
        <f>IF($Q77="","",INDEX(TRANSACTIONS_MASTER!$R$5:$R$1204,$Q77))</f>
        <v/>
      </c>
      <c r="O77" s="28" t="str">
        <f>IF($Q77="","",INDEX(TRANSACTIONS_MASTER!$AB$5:$AB$1204,$Q77))</f>
        <v/>
      </c>
      <c r="P77" s="55" t="str">
        <f>IF($Q77="","",INDEX(TRANSACTIONS_MASTER!$Z$5:$Z$1204,$Q77)&amp;"")</f>
        <v/>
      </c>
      <c r="Q77" s="67" t="str">
        <f>IFERROR(MATCH($C$2&amp;"|"&amp;70,TRANSACTIONS_MASTER!$AE$5:$AE$1204,0),"")</f>
        <v/>
      </c>
      <c r="S77" s="67" t="n">
        <v>16</v>
      </c>
      <c r="T77" s="55" t="str">
        <f>IF(CARDS!$A20="","",CARDS!$A20)</f>
        <v/>
      </c>
      <c r="U77" s="55" t="str">
        <f>IF($T77="","",CARDS!$B20&amp;" "&amp;CARDS!$C20)</f>
        <v/>
      </c>
      <c r="V77" s="25" t="str">
        <f>IF($T77="","",SUMIFS(TRANSACTIONS_MASTER!$L$5:$L$1204,TRANSACTIONS_MASTER!$D$5:$D$1204,$T77,TRANSACTIONS_MASTER!$C$5:$C$1204,$C$2,TRANSACTIONS_MASTER!$U$5:$U$1204,"&lt;&gt;Cancelled"))</f>
        <v/>
      </c>
      <c r="W77" s="26" t="str">
        <f>IF($T77="","",SUMIFS(TRANSACTIONS_MASTER!$Q$5:$Q$1204,TRANSACTIONS_MASTER!$D$5:$D$1204,$T77,TRANSACTIONS_MASTER!$C$5:$C$1204,$C$2))</f>
        <v/>
      </c>
      <c r="X77" s="25" t="str">
        <f>IF($T77="","",IFERROR(IF(ISNUMBER(INDEX(CASHBACK_RULES!$K$5:$K$304,MATCH($T77,CASHBACK_RULES!$B$5:$B$304,0))),INDEX(CASHBACK_RULES!$K$5:$K$304,MATCH($T77,CASHBACK_RULES!$B$5:$B$304,0)),"∞"),"—"))</f>
        <v/>
      </c>
      <c r="Y77" s="25" t="str">
        <f>IF($T77="","",IF($X77="—","—",IF(COUNTIFS($T$8:$T$57,$T77,$Z$8:$Z$57,"∞")&gt;0,IF(ISNUMBER($X77),MAX(0,$X77-$W77),"∞"),IF(ISNUMBER($X77),MAX(0,MIN($X77-$W77,SUMIFS($Z$8:$Z$57,$T$8:$T$57,$T77))),SUMIFS($Z$8:$Z$57,$T$8:$T$57,$T77)))))</f>
        <v/>
      </c>
      <c r="Z77" s="27" t="str">
        <f>IF($T77="","",IF(ISNUMBER($X77),IF($X77=0,0,$W77/$X77),IF(ISNUMBER($Y77),IF($W77+$Y77=0,0,$W77/($W77+$Y77)),"")))</f>
        <v/>
      </c>
      <c r="AA77" s="29" t="str">
        <f>IF($T77="","",COUNTIFS(TRANSACTIONS_MASTER!$D$5:$D$1204,$T77,TRANSACTIONS_MASTER!$C$5:$C$1204,$C$2,TRANSACTIONS_MASTER!$U$5:$U$1204,"&lt;&gt;Cancelled"))</f>
        <v/>
      </c>
    </row>
    <row r="78">
      <c r="A78" s="81" t="str">
        <f>IF($Q78="","",71)</f>
        <v/>
      </c>
      <c r="B78" s="57" t="str">
        <f>IF($Q78="","",INDEX(TRANSACTIONS_MASTER!$B$5:$B$1204,$Q78))</f>
        <v/>
      </c>
      <c r="C78" s="55" t="str">
        <f>IF($Q78="","",INDEX(TRANSACTIONS_MASTER!$F$5:$F$1204,$Q78))</f>
        <v/>
      </c>
      <c r="D78" s="55" t="str">
        <f>IF($Q78="","",INDEX(TRANSACTIONS_MASTER!$E$5:$E$1204,$Q78))</f>
        <v/>
      </c>
      <c r="E78" s="55" t="str">
        <f>IF($Q78="","",INDEX(TRANSACTIONS_MASTER!$G$5:$G$1204,$Q78)&amp;"")</f>
        <v/>
      </c>
      <c r="F78" s="29" t="str">
        <f>IF($Q78="","",INDEX(TRANSACTIONS_MASTER!$I$5:$I$1204,$Q78))</f>
        <v/>
      </c>
      <c r="G78" s="55" t="str">
        <f>IF($Q78="","",INDEX(TRANSACTIONS_MASTER!$K$5:$K$1204,$Q78))</f>
        <v/>
      </c>
      <c r="H78" s="25" t="str">
        <f>IF($Q78="","",INDEX(TRANSACTIONS_MASTER!$L$5:$L$1204,$Q78))</f>
        <v/>
      </c>
      <c r="I78" s="56" t="str">
        <f>IF($Q78="","",INDEX(TRANSACTIONS_MASTER!$N$5:$N$1204,$Q78))</f>
        <v/>
      </c>
      <c r="J78" s="25" t="str">
        <f>IF($Q78="","",INDEX(TRANSACTIONS_MASTER!$O$5:$O$1204,$Q78))</f>
        <v/>
      </c>
      <c r="K78" s="26" t="str">
        <f>IF($Q78="","",INDEX(TRANSACTIONS_MASTER!$Q$5:$Q$1204,$Q78))</f>
        <v/>
      </c>
      <c r="L78" s="25" t="str">
        <f>IF($Q78="","",INDEX(TRANSACTIONS_MASTER!$P$5:$P$1204,$Q78))</f>
        <v/>
      </c>
      <c r="M78" s="25" t="str">
        <f>IF($Q78="","",INDEX(TRANSACTIONS_MASTER!$AA$5:$AA$1204,$Q78))</f>
        <v/>
      </c>
      <c r="N78" s="25" t="str">
        <f>IF($Q78="","",INDEX(TRANSACTIONS_MASTER!$R$5:$R$1204,$Q78))</f>
        <v/>
      </c>
      <c r="O78" s="28" t="str">
        <f>IF($Q78="","",INDEX(TRANSACTIONS_MASTER!$AB$5:$AB$1204,$Q78))</f>
        <v/>
      </c>
      <c r="P78" s="55" t="str">
        <f>IF($Q78="","",INDEX(TRANSACTIONS_MASTER!$Z$5:$Z$1204,$Q78)&amp;"")</f>
        <v/>
      </c>
      <c r="Q78" s="67" t="str">
        <f>IFERROR(MATCH($C$2&amp;"|"&amp;71,TRANSACTIONS_MASTER!$AE$5:$AE$1204,0),"")</f>
        <v/>
      </c>
      <c r="S78" s="67" t="n">
        <v>17</v>
      </c>
      <c r="T78" s="55" t="str">
        <f>IF(CARDS!$A21="","",CARDS!$A21)</f>
        <v/>
      </c>
      <c r="U78" s="55" t="str">
        <f>IF($T78="","",CARDS!$B21&amp;" "&amp;CARDS!$C21)</f>
        <v/>
      </c>
      <c r="V78" s="25" t="str">
        <f>IF($T78="","",SUMIFS(TRANSACTIONS_MASTER!$L$5:$L$1204,TRANSACTIONS_MASTER!$D$5:$D$1204,$T78,TRANSACTIONS_MASTER!$C$5:$C$1204,$C$2,TRANSACTIONS_MASTER!$U$5:$U$1204,"&lt;&gt;Cancelled"))</f>
        <v/>
      </c>
      <c r="W78" s="26" t="str">
        <f>IF($T78="","",SUMIFS(TRANSACTIONS_MASTER!$Q$5:$Q$1204,TRANSACTIONS_MASTER!$D$5:$D$1204,$T78,TRANSACTIONS_MASTER!$C$5:$C$1204,$C$2))</f>
        <v/>
      </c>
      <c r="X78" s="25" t="str">
        <f>IF($T78="","",IFERROR(IF(ISNUMBER(INDEX(CASHBACK_RULES!$K$5:$K$304,MATCH($T78,CASHBACK_RULES!$B$5:$B$304,0))),INDEX(CASHBACK_RULES!$K$5:$K$304,MATCH($T78,CASHBACK_RULES!$B$5:$B$304,0)),"∞"),"—"))</f>
        <v/>
      </c>
      <c r="Y78" s="25" t="str">
        <f>IF($T78="","",IF($X78="—","—",IF(COUNTIFS($T$8:$T$57,$T78,$Z$8:$Z$57,"∞")&gt;0,IF(ISNUMBER($X78),MAX(0,$X78-$W78),"∞"),IF(ISNUMBER($X78),MAX(0,MIN($X78-$W78,SUMIFS($Z$8:$Z$57,$T$8:$T$57,$T78))),SUMIFS($Z$8:$Z$57,$T$8:$T$57,$T78)))))</f>
        <v/>
      </c>
      <c r="Z78" s="27" t="str">
        <f>IF($T78="","",IF(ISNUMBER($X78),IF($X78=0,0,$W78/$X78),IF(ISNUMBER($Y78),IF($W78+$Y78=0,0,$W78/($W78+$Y78)),"")))</f>
        <v/>
      </c>
      <c r="AA78" s="29" t="str">
        <f>IF($T78="","",COUNTIFS(TRANSACTIONS_MASTER!$D$5:$D$1204,$T78,TRANSACTIONS_MASTER!$C$5:$C$1204,$C$2,TRANSACTIONS_MASTER!$U$5:$U$1204,"&lt;&gt;Cancelled"))</f>
        <v/>
      </c>
    </row>
    <row r="79">
      <c r="A79" s="81" t="str">
        <f>IF($Q79="","",72)</f>
        <v/>
      </c>
      <c r="B79" s="57" t="str">
        <f>IF($Q79="","",INDEX(TRANSACTIONS_MASTER!$B$5:$B$1204,$Q79))</f>
        <v/>
      </c>
      <c r="C79" s="55" t="str">
        <f>IF($Q79="","",INDEX(TRANSACTIONS_MASTER!$F$5:$F$1204,$Q79))</f>
        <v/>
      </c>
      <c r="D79" s="55" t="str">
        <f>IF($Q79="","",INDEX(TRANSACTIONS_MASTER!$E$5:$E$1204,$Q79))</f>
        <v/>
      </c>
      <c r="E79" s="55" t="str">
        <f>IF($Q79="","",INDEX(TRANSACTIONS_MASTER!$G$5:$G$1204,$Q79)&amp;"")</f>
        <v/>
      </c>
      <c r="F79" s="29" t="str">
        <f>IF($Q79="","",INDEX(TRANSACTIONS_MASTER!$I$5:$I$1204,$Q79))</f>
        <v/>
      </c>
      <c r="G79" s="55" t="str">
        <f>IF($Q79="","",INDEX(TRANSACTIONS_MASTER!$K$5:$K$1204,$Q79))</f>
        <v/>
      </c>
      <c r="H79" s="25" t="str">
        <f>IF($Q79="","",INDEX(TRANSACTIONS_MASTER!$L$5:$L$1204,$Q79))</f>
        <v/>
      </c>
      <c r="I79" s="56" t="str">
        <f>IF($Q79="","",INDEX(TRANSACTIONS_MASTER!$N$5:$N$1204,$Q79))</f>
        <v/>
      </c>
      <c r="J79" s="25" t="str">
        <f>IF($Q79="","",INDEX(TRANSACTIONS_MASTER!$O$5:$O$1204,$Q79))</f>
        <v/>
      </c>
      <c r="K79" s="26" t="str">
        <f>IF($Q79="","",INDEX(TRANSACTIONS_MASTER!$Q$5:$Q$1204,$Q79))</f>
        <v/>
      </c>
      <c r="L79" s="25" t="str">
        <f>IF($Q79="","",INDEX(TRANSACTIONS_MASTER!$P$5:$P$1204,$Q79))</f>
        <v/>
      </c>
      <c r="M79" s="25" t="str">
        <f>IF($Q79="","",INDEX(TRANSACTIONS_MASTER!$AA$5:$AA$1204,$Q79))</f>
        <v/>
      </c>
      <c r="N79" s="25" t="str">
        <f>IF($Q79="","",INDEX(TRANSACTIONS_MASTER!$R$5:$R$1204,$Q79))</f>
        <v/>
      </c>
      <c r="O79" s="28" t="str">
        <f>IF($Q79="","",INDEX(TRANSACTIONS_MASTER!$AB$5:$AB$1204,$Q79))</f>
        <v/>
      </c>
      <c r="P79" s="55" t="str">
        <f>IF($Q79="","",INDEX(TRANSACTIONS_MASTER!$Z$5:$Z$1204,$Q79)&amp;"")</f>
        <v/>
      </c>
      <c r="Q79" s="67" t="str">
        <f>IFERROR(MATCH($C$2&amp;"|"&amp;72,TRANSACTIONS_MASTER!$AE$5:$AE$1204,0),"")</f>
        <v/>
      </c>
      <c r="S79" s="67" t="n">
        <v>18</v>
      </c>
      <c r="T79" s="55" t="str">
        <f>IF(CARDS!$A22="","",CARDS!$A22)</f>
        <v/>
      </c>
      <c r="U79" s="55" t="str">
        <f>IF($T79="","",CARDS!$B22&amp;" "&amp;CARDS!$C22)</f>
        <v/>
      </c>
      <c r="V79" s="25" t="str">
        <f>IF($T79="","",SUMIFS(TRANSACTIONS_MASTER!$L$5:$L$1204,TRANSACTIONS_MASTER!$D$5:$D$1204,$T79,TRANSACTIONS_MASTER!$C$5:$C$1204,$C$2,TRANSACTIONS_MASTER!$U$5:$U$1204,"&lt;&gt;Cancelled"))</f>
        <v/>
      </c>
      <c r="W79" s="26" t="str">
        <f>IF($T79="","",SUMIFS(TRANSACTIONS_MASTER!$Q$5:$Q$1204,TRANSACTIONS_MASTER!$D$5:$D$1204,$T79,TRANSACTIONS_MASTER!$C$5:$C$1204,$C$2))</f>
        <v/>
      </c>
      <c r="X79" s="25" t="str">
        <f>IF($T79="","",IFERROR(IF(ISNUMBER(INDEX(CASHBACK_RULES!$K$5:$K$304,MATCH($T79,CASHBACK_RULES!$B$5:$B$304,0))),INDEX(CASHBACK_RULES!$K$5:$K$304,MATCH($T79,CASHBACK_RULES!$B$5:$B$304,0)),"∞"),"—"))</f>
        <v/>
      </c>
      <c r="Y79" s="25" t="str">
        <f>IF($T79="","",IF($X79="—","—",IF(COUNTIFS($T$8:$T$57,$T79,$Z$8:$Z$57,"∞")&gt;0,IF(ISNUMBER($X79),MAX(0,$X79-$W79),"∞"),IF(ISNUMBER($X79),MAX(0,MIN($X79-$W79,SUMIFS($Z$8:$Z$57,$T$8:$T$57,$T79))),SUMIFS($Z$8:$Z$57,$T$8:$T$57,$T79)))))</f>
        <v/>
      </c>
      <c r="Z79" s="27" t="str">
        <f>IF($T79="","",IF(ISNUMBER($X79),IF($X79=0,0,$W79/$X79),IF(ISNUMBER($Y79),IF($W79+$Y79=0,0,$W79/($W79+$Y79)),"")))</f>
        <v/>
      </c>
      <c r="AA79" s="29" t="str">
        <f>IF($T79="","",COUNTIFS(TRANSACTIONS_MASTER!$D$5:$D$1204,$T79,TRANSACTIONS_MASTER!$C$5:$C$1204,$C$2,TRANSACTIONS_MASTER!$U$5:$U$1204,"&lt;&gt;Cancelled"))</f>
        <v/>
      </c>
    </row>
    <row r="80">
      <c r="A80" s="81" t="str">
        <f>IF($Q80="","",73)</f>
        <v/>
      </c>
      <c r="B80" s="57" t="str">
        <f>IF($Q80="","",INDEX(TRANSACTIONS_MASTER!$B$5:$B$1204,$Q80))</f>
        <v/>
      </c>
      <c r="C80" s="55" t="str">
        <f>IF($Q80="","",INDEX(TRANSACTIONS_MASTER!$F$5:$F$1204,$Q80))</f>
        <v/>
      </c>
      <c r="D80" s="55" t="str">
        <f>IF($Q80="","",INDEX(TRANSACTIONS_MASTER!$E$5:$E$1204,$Q80))</f>
        <v/>
      </c>
      <c r="E80" s="55" t="str">
        <f>IF($Q80="","",INDEX(TRANSACTIONS_MASTER!$G$5:$G$1204,$Q80)&amp;"")</f>
        <v/>
      </c>
      <c r="F80" s="29" t="str">
        <f>IF($Q80="","",INDEX(TRANSACTIONS_MASTER!$I$5:$I$1204,$Q80))</f>
        <v/>
      </c>
      <c r="G80" s="55" t="str">
        <f>IF($Q80="","",INDEX(TRANSACTIONS_MASTER!$K$5:$K$1204,$Q80))</f>
        <v/>
      </c>
      <c r="H80" s="25" t="str">
        <f>IF($Q80="","",INDEX(TRANSACTIONS_MASTER!$L$5:$L$1204,$Q80))</f>
        <v/>
      </c>
      <c r="I80" s="56" t="str">
        <f>IF($Q80="","",INDEX(TRANSACTIONS_MASTER!$N$5:$N$1204,$Q80))</f>
        <v/>
      </c>
      <c r="J80" s="25" t="str">
        <f>IF($Q80="","",INDEX(TRANSACTIONS_MASTER!$O$5:$O$1204,$Q80))</f>
        <v/>
      </c>
      <c r="K80" s="26" t="str">
        <f>IF($Q80="","",INDEX(TRANSACTIONS_MASTER!$Q$5:$Q$1204,$Q80))</f>
        <v/>
      </c>
      <c r="L80" s="25" t="str">
        <f>IF($Q80="","",INDEX(TRANSACTIONS_MASTER!$P$5:$P$1204,$Q80))</f>
        <v/>
      </c>
      <c r="M80" s="25" t="str">
        <f>IF($Q80="","",INDEX(TRANSACTIONS_MASTER!$AA$5:$AA$1204,$Q80))</f>
        <v/>
      </c>
      <c r="N80" s="25" t="str">
        <f>IF($Q80="","",INDEX(TRANSACTIONS_MASTER!$R$5:$R$1204,$Q80))</f>
        <v/>
      </c>
      <c r="O80" s="28" t="str">
        <f>IF($Q80="","",INDEX(TRANSACTIONS_MASTER!$AB$5:$AB$1204,$Q80))</f>
        <v/>
      </c>
      <c r="P80" s="55" t="str">
        <f>IF($Q80="","",INDEX(TRANSACTIONS_MASTER!$Z$5:$Z$1204,$Q80)&amp;"")</f>
        <v/>
      </c>
      <c r="Q80" s="67" t="str">
        <f>IFERROR(MATCH($C$2&amp;"|"&amp;73,TRANSACTIONS_MASTER!$AE$5:$AE$1204,0),"")</f>
        <v/>
      </c>
      <c r="S80" s="67" t="n">
        <v>19</v>
      </c>
      <c r="T80" s="55" t="str">
        <f>IF(CARDS!$A23="","",CARDS!$A23)</f>
        <v/>
      </c>
      <c r="U80" s="55" t="str">
        <f>IF($T80="","",CARDS!$B23&amp;" "&amp;CARDS!$C23)</f>
        <v/>
      </c>
      <c r="V80" s="25" t="str">
        <f>IF($T80="","",SUMIFS(TRANSACTIONS_MASTER!$L$5:$L$1204,TRANSACTIONS_MASTER!$D$5:$D$1204,$T80,TRANSACTIONS_MASTER!$C$5:$C$1204,$C$2,TRANSACTIONS_MASTER!$U$5:$U$1204,"&lt;&gt;Cancelled"))</f>
        <v/>
      </c>
      <c r="W80" s="26" t="str">
        <f>IF($T80="","",SUMIFS(TRANSACTIONS_MASTER!$Q$5:$Q$1204,TRANSACTIONS_MASTER!$D$5:$D$1204,$T80,TRANSACTIONS_MASTER!$C$5:$C$1204,$C$2))</f>
        <v/>
      </c>
      <c r="X80" s="25" t="str">
        <f>IF($T80="","",IFERROR(IF(ISNUMBER(INDEX(CASHBACK_RULES!$K$5:$K$304,MATCH($T80,CASHBACK_RULES!$B$5:$B$304,0))),INDEX(CASHBACK_RULES!$K$5:$K$304,MATCH($T80,CASHBACK_RULES!$B$5:$B$304,0)),"∞"),"—"))</f>
        <v/>
      </c>
      <c r="Y80" s="25" t="str">
        <f>IF($T80="","",IF($X80="—","—",IF(COUNTIFS($T$8:$T$57,$T80,$Z$8:$Z$57,"∞")&gt;0,IF(ISNUMBER($X80),MAX(0,$X80-$W80),"∞"),IF(ISNUMBER($X80),MAX(0,MIN($X80-$W80,SUMIFS($Z$8:$Z$57,$T$8:$T$57,$T80))),SUMIFS($Z$8:$Z$57,$T$8:$T$57,$T80)))))</f>
        <v/>
      </c>
      <c r="Z80" s="27" t="str">
        <f>IF($T80="","",IF(ISNUMBER($X80),IF($X80=0,0,$W80/$X80),IF(ISNUMBER($Y80),IF($W80+$Y80=0,0,$W80/($W80+$Y80)),"")))</f>
        <v/>
      </c>
      <c r="AA80" s="29" t="str">
        <f>IF($T80="","",COUNTIFS(TRANSACTIONS_MASTER!$D$5:$D$1204,$T80,TRANSACTIONS_MASTER!$C$5:$C$1204,$C$2,TRANSACTIONS_MASTER!$U$5:$U$1204,"&lt;&gt;Cancelled"))</f>
        <v/>
      </c>
    </row>
    <row r="81">
      <c r="A81" s="81" t="str">
        <f>IF($Q81="","",74)</f>
        <v/>
      </c>
      <c r="B81" s="57" t="str">
        <f>IF($Q81="","",INDEX(TRANSACTIONS_MASTER!$B$5:$B$1204,$Q81))</f>
        <v/>
      </c>
      <c r="C81" s="55" t="str">
        <f>IF($Q81="","",INDEX(TRANSACTIONS_MASTER!$F$5:$F$1204,$Q81))</f>
        <v/>
      </c>
      <c r="D81" s="55" t="str">
        <f>IF($Q81="","",INDEX(TRANSACTIONS_MASTER!$E$5:$E$1204,$Q81))</f>
        <v/>
      </c>
      <c r="E81" s="55" t="str">
        <f>IF($Q81="","",INDEX(TRANSACTIONS_MASTER!$G$5:$G$1204,$Q81)&amp;"")</f>
        <v/>
      </c>
      <c r="F81" s="29" t="str">
        <f>IF($Q81="","",INDEX(TRANSACTIONS_MASTER!$I$5:$I$1204,$Q81))</f>
        <v/>
      </c>
      <c r="G81" s="55" t="str">
        <f>IF($Q81="","",INDEX(TRANSACTIONS_MASTER!$K$5:$K$1204,$Q81))</f>
        <v/>
      </c>
      <c r="H81" s="25" t="str">
        <f>IF($Q81="","",INDEX(TRANSACTIONS_MASTER!$L$5:$L$1204,$Q81))</f>
        <v/>
      </c>
      <c r="I81" s="56" t="str">
        <f>IF($Q81="","",INDEX(TRANSACTIONS_MASTER!$N$5:$N$1204,$Q81))</f>
        <v/>
      </c>
      <c r="J81" s="25" t="str">
        <f>IF($Q81="","",INDEX(TRANSACTIONS_MASTER!$O$5:$O$1204,$Q81))</f>
        <v/>
      </c>
      <c r="K81" s="26" t="str">
        <f>IF($Q81="","",INDEX(TRANSACTIONS_MASTER!$Q$5:$Q$1204,$Q81))</f>
        <v/>
      </c>
      <c r="L81" s="25" t="str">
        <f>IF($Q81="","",INDEX(TRANSACTIONS_MASTER!$P$5:$P$1204,$Q81))</f>
        <v/>
      </c>
      <c r="M81" s="25" t="str">
        <f>IF($Q81="","",INDEX(TRANSACTIONS_MASTER!$AA$5:$AA$1204,$Q81))</f>
        <v/>
      </c>
      <c r="N81" s="25" t="str">
        <f>IF($Q81="","",INDEX(TRANSACTIONS_MASTER!$R$5:$R$1204,$Q81))</f>
        <v/>
      </c>
      <c r="O81" s="28" t="str">
        <f>IF($Q81="","",INDEX(TRANSACTIONS_MASTER!$AB$5:$AB$1204,$Q81))</f>
        <v/>
      </c>
      <c r="P81" s="55" t="str">
        <f>IF($Q81="","",INDEX(TRANSACTIONS_MASTER!$Z$5:$Z$1204,$Q81)&amp;"")</f>
        <v/>
      </c>
      <c r="Q81" s="67" t="str">
        <f>IFERROR(MATCH($C$2&amp;"|"&amp;74,TRANSACTIONS_MASTER!$AE$5:$AE$1204,0),"")</f>
        <v/>
      </c>
      <c r="S81" s="67" t="n">
        <v>20</v>
      </c>
      <c r="T81" s="55" t="str">
        <f>IF(CARDS!$A24="","",CARDS!$A24)</f>
        <v/>
      </c>
      <c r="U81" s="55" t="str">
        <f>IF($T81="","",CARDS!$B24&amp;" "&amp;CARDS!$C24)</f>
        <v/>
      </c>
      <c r="V81" s="25" t="str">
        <f>IF($T81="","",SUMIFS(TRANSACTIONS_MASTER!$L$5:$L$1204,TRANSACTIONS_MASTER!$D$5:$D$1204,$T81,TRANSACTIONS_MASTER!$C$5:$C$1204,$C$2,TRANSACTIONS_MASTER!$U$5:$U$1204,"&lt;&gt;Cancelled"))</f>
        <v/>
      </c>
      <c r="W81" s="26" t="str">
        <f>IF($T81="","",SUMIFS(TRANSACTIONS_MASTER!$Q$5:$Q$1204,TRANSACTIONS_MASTER!$D$5:$D$1204,$T81,TRANSACTIONS_MASTER!$C$5:$C$1204,$C$2))</f>
        <v/>
      </c>
      <c r="X81" s="25" t="str">
        <f>IF($T81="","",IFERROR(IF(ISNUMBER(INDEX(CASHBACK_RULES!$K$5:$K$304,MATCH($T81,CASHBACK_RULES!$B$5:$B$304,0))),INDEX(CASHBACK_RULES!$K$5:$K$304,MATCH($T81,CASHBACK_RULES!$B$5:$B$304,0)),"∞"),"—"))</f>
        <v/>
      </c>
      <c r="Y81" s="25" t="str">
        <f>IF($T81="","",IF($X81="—","—",IF(COUNTIFS($T$8:$T$57,$T81,$Z$8:$Z$57,"∞")&gt;0,IF(ISNUMBER($X81),MAX(0,$X81-$W81),"∞"),IF(ISNUMBER($X81),MAX(0,MIN($X81-$W81,SUMIFS($Z$8:$Z$57,$T$8:$T$57,$T81))),SUMIFS($Z$8:$Z$57,$T$8:$T$57,$T81)))))</f>
        <v/>
      </c>
      <c r="Z81" s="27" t="str">
        <f>IF($T81="","",IF(ISNUMBER($X81),IF($X81=0,0,$W81/$X81),IF(ISNUMBER($Y81),IF($W81+$Y81=0,0,$W81/($W81+$Y81)),"")))</f>
        <v/>
      </c>
      <c r="AA81" s="29" t="str">
        <f>IF($T81="","",COUNTIFS(TRANSACTIONS_MASTER!$D$5:$D$1204,$T81,TRANSACTIONS_MASTER!$C$5:$C$1204,$C$2,TRANSACTIONS_MASTER!$U$5:$U$1204,"&lt;&gt;Cancelled"))</f>
        <v/>
      </c>
    </row>
    <row r="82">
      <c r="A82" s="81" t="str">
        <f>IF($Q82="","",75)</f>
        <v/>
      </c>
      <c r="B82" s="57" t="str">
        <f>IF($Q82="","",INDEX(TRANSACTIONS_MASTER!$B$5:$B$1204,$Q82))</f>
        <v/>
      </c>
      <c r="C82" s="55" t="str">
        <f>IF($Q82="","",INDEX(TRANSACTIONS_MASTER!$F$5:$F$1204,$Q82))</f>
        <v/>
      </c>
      <c r="D82" s="55" t="str">
        <f>IF($Q82="","",INDEX(TRANSACTIONS_MASTER!$E$5:$E$1204,$Q82))</f>
        <v/>
      </c>
      <c r="E82" s="55" t="str">
        <f>IF($Q82="","",INDEX(TRANSACTIONS_MASTER!$G$5:$G$1204,$Q82)&amp;"")</f>
        <v/>
      </c>
      <c r="F82" s="29" t="str">
        <f>IF($Q82="","",INDEX(TRANSACTIONS_MASTER!$I$5:$I$1204,$Q82))</f>
        <v/>
      </c>
      <c r="G82" s="55" t="str">
        <f>IF($Q82="","",INDEX(TRANSACTIONS_MASTER!$K$5:$K$1204,$Q82))</f>
        <v/>
      </c>
      <c r="H82" s="25" t="str">
        <f>IF($Q82="","",INDEX(TRANSACTIONS_MASTER!$L$5:$L$1204,$Q82))</f>
        <v/>
      </c>
      <c r="I82" s="56" t="str">
        <f>IF($Q82="","",INDEX(TRANSACTIONS_MASTER!$N$5:$N$1204,$Q82))</f>
        <v/>
      </c>
      <c r="J82" s="25" t="str">
        <f>IF($Q82="","",INDEX(TRANSACTIONS_MASTER!$O$5:$O$1204,$Q82))</f>
        <v/>
      </c>
      <c r="K82" s="26" t="str">
        <f>IF($Q82="","",INDEX(TRANSACTIONS_MASTER!$Q$5:$Q$1204,$Q82))</f>
        <v/>
      </c>
      <c r="L82" s="25" t="str">
        <f>IF($Q82="","",INDEX(TRANSACTIONS_MASTER!$P$5:$P$1204,$Q82))</f>
        <v/>
      </c>
      <c r="M82" s="25" t="str">
        <f>IF($Q82="","",INDEX(TRANSACTIONS_MASTER!$AA$5:$AA$1204,$Q82))</f>
        <v/>
      </c>
      <c r="N82" s="25" t="str">
        <f>IF($Q82="","",INDEX(TRANSACTIONS_MASTER!$R$5:$R$1204,$Q82))</f>
        <v/>
      </c>
      <c r="O82" s="28" t="str">
        <f>IF($Q82="","",INDEX(TRANSACTIONS_MASTER!$AB$5:$AB$1204,$Q82))</f>
        <v/>
      </c>
      <c r="P82" s="55" t="str">
        <f>IF($Q82="","",INDEX(TRANSACTIONS_MASTER!$Z$5:$Z$1204,$Q82)&amp;"")</f>
        <v/>
      </c>
      <c r="Q82" s="67" t="str">
        <f>IFERROR(MATCH($C$2&amp;"|"&amp;75,TRANSACTIONS_MASTER!$AE$5:$AE$1204,0),"")</f>
        <v/>
      </c>
      <c r="S82" s="67" t="n">
        <v>21</v>
      </c>
      <c r="T82" s="55" t="str">
        <f>IF(CARDS!$A25="","",CARDS!$A25)</f>
        <v/>
      </c>
      <c r="U82" s="55" t="str">
        <f>IF($T82="","",CARDS!$B25&amp;" "&amp;CARDS!$C25)</f>
        <v/>
      </c>
      <c r="V82" s="25" t="str">
        <f>IF($T82="","",SUMIFS(TRANSACTIONS_MASTER!$L$5:$L$1204,TRANSACTIONS_MASTER!$D$5:$D$1204,$T82,TRANSACTIONS_MASTER!$C$5:$C$1204,$C$2,TRANSACTIONS_MASTER!$U$5:$U$1204,"&lt;&gt;Cancelled"))</f>
        <v/>
      </c>
      <c r="W82" s="26" t="str">
        <f>IF($T82="","",SUMIFS(TRANSACTIONS_MASTER!$Q$5:$Q$1204,TRANSACTIONS_MASTER!$D$5:$D$1204,$T82,TRANSACTIONS_MASTER!$C$5:$C$1204,$C$2))</f>
        <v/>
      </c>
      <c r="X82" s="25" t="str">
        <f>IF($T82="","",IFERROR(IF(ISNUMBER(INDEX(CASHBACK_RULES!$K$5:$K$304,MATCH($T82,CASHBACK_RULES!$B$5:$B$304,0))),INDEX(CASHBACK_RULES!$K$5:$K$304,MATCH($T82,CASHBACK_RULES!$B$5:$B$304,0)),"∞"),"—"))</f>
        <v/>
      </c>
      <c r="Y82" s="25" t="str">
        <f>IF($T82="","",IF($X82="—","—",IF(COUNTIFS($T$8:$T$57,$T82,$Z$8:$Z$57,"∞")&gt;0,IF(ISNUMBER($X82),MAX(0,$X82-$W82),"∞"),IF(ISNUMBER($X82),MAX(0,MIN($X82-$W82,SUMIFS($Z$8:$Z$57,$T$8:$T$57,$T82))),SUMIFS($Z$8:$Z$57,$T$8:$T$57,$T82)))))</f>
        <v/>
      </c>
      <c r="Z82" s="27" t="str">
        <f>IF($T82="","",IF(ISNUMBER($X82),IF($X82=0,0,$W82/$X82),IF(ISNUMBER($Y82),IF($W82+$Y82=0,0,$W82/($W82+$Y82)),"")))</f>
        <v/>
      </c>
      <c r="AA82" s="29" t="str">
        <f>IF($T82="","",COUNTIFS(TRANSACTIONS_MASTER!$D$5:$D$1204,$T82,TRANSACTIONS_MASTER!$C$5:$C$1204,$C$2,TRANSACTIONS_MASTER!$U$5:$U$1204,"&lt;&gt;Cancelled"))</f>
        <v/>
      </c>
    </row>
    <row r="83">
      <c r="A83" s="81" t="str">
        <f>IF($Q83="","",76)</f>
        <v/>
      </c>
      <c r="B83" s="57" t="str">
        <f>IF($Q83="","",INDEX(TRANSACTIONS_MASTER!$B$5:$B$1204,$Q83))</f>
        <v/>
      </c>
      <c r="C83" s="55" t="str">
        <f>IF($Q83="","",INDEX(TRANSACTIONS_MASTER!$F$5:$F$1204,$Q83))</f>
        <v/>
      </c>
      <c r="D83" s="55" t="str">
        <f>IF($Q83="","",INDEX(TRANSACTIONS_MASTER!$E$5:$E$1204,$Q83))</f>
        <v/>
      </c>
      <c r="E83" s="55" t="str">
        <f>IF($Q83="","",INDEX(TRANSACTIONS_MASTER!$G$5:$G$1204,$Q83)&amp;"")</f>
        <v/>
      </c>
      <c r="F83" s="29" t="str">
        <f>IF($Q83="","",INDEX(TRANSACTIONS_MASTER!$I$5:$I$1204,$Q83))</f>
        <v/>
      </c>
      <c r="G83" s="55" t="str">
        <f>IF($Q83="","",INDEX(TRANSACTIONS_MASTER!$K$5:$K$1204,$Q83))</f>
        <v/>
      </c>
      <c r="H83" s="25" t="str">
        <f>IF($Q83="","",INDEX(TRANSACTIONS_MASTER!$L$5:$L$1204,$Q83))</f>
        <v/>
      </c>
      <c r="I83" s="56" t="str">
        <f>IF($Q83="","",INDEX(TRANSACTIONS_MASTER!$N$5:$N$1204,$Q83))</f>
        <v/>
      </c>
      <c r="J83" s="25" t="str">
        <f>IF($Q83="","",INDEX(TRANSACTIONS_MASTER!$O$5:$O$1204,$Q83))</f>
        <v/>
      </c>
      <c r="K83" s="26" t="str">
        <f>IF($Q83="","",INDEX(TRANSACTIONS_MASTER!$Q$5:$Q$1204,$Q83))</f>
        <v/>
      </c>
      <c r="L83" s="25" t="str">
        <f>IF($Q83="","",INDEX(TRANSACTIONS_MASTER!$P$5:$P$1204,$Q83))</f>
        <v/>
      </c>
      <c r="M83" s="25" t="str">
        <f>IF($Q83="","",INDEX(TRANSACTIONS_MASTER!$AA$5:$AA$1204,$Q83))</f>
        <v/>
      </c>
      <c r="N83" s="25" t="str">
        <f>IF($Q83="","",INDEX(TRANSACTIONS_MASTER!$R$5:$R$1204,$Q83))</f>
        <v/>
      </c>
      <c r="O83" s="28" t="str">
        <f>IF($Q83="","",INDEX(TRANSACTIONS_MASTER!$AB$5:$AB$1204,$Q83))</f>
        <v/>
      </c>
      <c r="P83" s="55" t="str">
        <f>IF($Q83="","",INDEX(TRANSACTIONS_MASTER!$Z$5:$Z$1204,$Q83)&amp;"")</f>
        <v/>
      </c>
      <c r="Q83" s="67" t="str">
        <f>IFERROR(MATCH($C$2&amp;"|"&amp;76,TRANSACTIONS_MASTER!$AE$5:$AE$1204,0),"")</f>
        <v/>
      </c>
      <c r="S83" s="67" t="n">
        <v>22</v>
      </c>
      <c r="T83" s="55" t="str">
        <f>IF(CARDS!$A26="","",CARDS!$A26)</f>
        <v/>
      </c>
      <c r="U83" s="55" t="str">
        <f>IF($T83="","",CARDS!$B26&amp;" "&amp;CARDS!$C26)</f>
        <v/>
      </c>
      <c r="V83" s="25" t="str">
        <f>IF($T83="","",SUMIFS(TRANSACTIONS_MASTER!$L$5:$L$1204,TRANSACTIONS_MASTER!$D$5:$D$1204,$T83,TRANSACTIONS_MASTER!$C$5:$C$1204,$C$2,TRANSACTIONS_MASTER!$U$5:$U$1204,"&lt;&gt;Cancelled"))</f>
        <v/>
      </c>
      <c r="W83" s="26" t="str">
        <f>IF($T83="","",SUMIFS(TRANSACTIONS_MASTER!$Q$5:$Q$1204,TRANSACTIONS_MASTER!$D$5:$D$1204,$T83,TRANSACTIONS_MASTER!$C$5:$C$1204,$C$2))</f>
        <v/>
      </c>
      <c r="X83" s="25" t="str">
        <f>IF($T83="","",IFERROR(IF(ISNUMBER(INDEX(CASHBACK_RULES!$K$5:$K$304,MATCH($T83,CASHBACK_RULES!$B$5:$B$304,0))),INDEX(CASHBACK_RULES!$K$5:$K$304,MATCH($T83,CASHBACK_RULES!$B$5:$B$304,0)),"∞"),"—"))</f>
        <v/>
      </c>
      <c r="Y83" s="25" t="str">
        <f>IF($T83="","",IF($X83="—","—",IF(COUNTIFS($T$8:$T$57,$T83,$Z$8:$Z$57,"∞")&gt;0,IF(ISNUMBER($X83),MAX(0,$X83-$W83),"∞"),IF(ISNUMBER($X83),MAX(0,MIN($X83-$W83,SUMIFS($Z$8:$Z$57,$T$8:$T$57,$T83))),SUMIFS($Z$8:$Z$57,$T$8:$T$57,$T83)))))</f>
        <v/>
      </c>
      <c r="Z83" s="27" t="str">
        <f>IF($T83="","",IF(ISNUMBER($X83),IF($X83=0,0,$W83/$X83),IF(ISNUMBER($Y83),IF($W83+$Y83=0,0,$W83/($W83+$Y83)),"")))</f>
        <v/>
      </c>
      <c r="AA83" s="29" t="str">
        <f>IF($T83="","",COUNTIFS(TRANSACTIONS_MASTER!$D$5:$D$1204,$T83,TRANSACTIONS_MASTER!$C$5:$C$1204,$C$2,TRANSACTIONS_MASTER!$U$5:$U$1204,"&lt;&gt;Cancelled"))</f>
        <v/>
      </c>
    </row>
    <row r="84">
      <c r="A84" s="81" t="str">
        <f>IF($Q84="","",77)</f>
        <v/>
      </c>
      <c r="B84" s="57" t="str">
        <f>IF($Q84="","",INDEX(TRANSACTIONS_MASTER!$B$5:$B$1204,$Q84))</f>
        <v/>
      </c>
      <c r="C84" s="55" t="str">
        <f>IF($Q84="","",INDEX(TRANSACTIONS_MASTER!$F$5:$F$1204,$Q84))</f>
        <v/>
      </c>
      <c r="D84" s="55" t="str">
        <f>IF($Q84="","",INDEX(TRANSACTIONS_MASTER!$E$5:$E$1204,$Q84))</f>
        <v/>
      </c>
      <c r="E84" s="55" t="str">
        <f>IF($Q84="","",INDEX(TRANSACTIONS_MASTER!$G$5:$G$1204,$Q84)&amp;"")</f>
        <v/>
      </c>
      <c r="F84" s="29" t="str">
        <f>IF($Q84="","",INDEX(TRANSACTIONS_MASTER!$I$5:$I$1204,$Q84))</f>
        <v/>
      </c>
      <c r="G84" s="55" t="str">
        <f>IF($Q84="","",INDEX(TRANSACTIONS_MASTER!$K$5:$K$1204,$Q84))</f>
        <v/>
      </c>
      <c r="H84" s="25" t="str">
        <f>IF($Q84="","",INDEX(TRANSACTIONS_MASTER!$L$5:$L$1204,$Q84))</f>
        <v/>
      </c>
      <c r="I84" s="56" t="str">
        <f>IF($Q84="","",INDEX(TRANSACTIONS_MASTER!$N$5:$N$1204,$Q84))</f>
        <v/>
      </c>
      <c r="J84" s="25" t="str">
        <f>IF($Q84="","",INDEX(TRANSACTIONS_MASTER!$O$5:$O$1204,$Q84))</f>
        <v/>
      </c>
      <c r="K84" s="26" t="str">
        <f>IF($Q84="","",INDEX(TRANSACTIONS_MASTER!$Q$5:$Q$1204,$Q84))</f>
        <v/>
      </c>
      <c r="L84" s="25" t="str">
        <f>IF($Q84="","",INDEX(TRANSACTIONS_MASTER!$P$5:$P$1204,$Q84))</f>
        <v/>
      </c>
      <c r="M84" s="25" t="str">
        <f>IF($Q84="","",INDEX(TRANSACTIONS_MASTER!$AA$5:$AA$1204,$Q84))</f>
        <v/>
      </c>
      <c r="N84" s="25" t="str">
        <f>IF($Q84="","",INDEX(TRANSACTIONS_MASTER!$R$5:$R$1204,$Q84))</f>
        <v/>
      </c>
      <c r="O84" s="28" t="str">
        <f>IF($Q84="","",INDEX(TRANSACTIONS_MASTER!$AB$5:$AB$1204,$Q84))</f>
        <v/>
      </c>
      <c r="P84" s="55" t="str">
        <f>IF($Q84="","",INDEX(TRANSACTIONS_MASTER!$Z$5:$Z$1204,$Q84)&amp;"")</f>
        <v/>
      </c>
      <c r="Q84" s="67" t="str">
        <f>IFERROR(MATCH($C$2&amp;"|"&amp;77,TRANSACTIONS_MASTER!$AE$5:$AE$1204,0),"")</f>
        <v/>
      </c>
      <c r="S84" s="67" t="n">
        <v>23</v>
      </c>
      <c r="T84" s="55" t="str">
        <f>IF(CARDS!$A27="","",CARDS!$A27)</f>
        <v/>
      </c>
      <c r="U84" s="55" t="str">
        <f>IF($T84="","",CARDS!$B27&amp;" "&amp;CARDS!$C27)</f>
        <v/>
      </c>
      <c r="V84" s="25" t="str">
        <f>IF($T84="","",SUMIFS(TRANSACTIONS_MASTER!$L$5:$L$1204,TRANSACTIONS_MASTER!$D$5:$D$1204,$T84,TRANSACTIONS_MASTER!$C$5:$C$1204,$C$2,TRANSACTIONS_MASTER!$U$5:$U$1204,"&lt;&gt;Cancelled"))</f>
        <v/>
      </c>
      <c r="W84" s="26" t="str">
        <f>IF($T84="","",SUMIFS(TRANSACTIONS_MASTER!$Q$5:$Q$1204,TRANSACTIONS_MASTER!$D$5:$D$1204,$T84,TRANSACTIONS_MASTER!$C$5:$C$1204,$C$2))</f>
        <v/>
      </c>
      <c r="X84" s="25" t="str">
        <f>IF($T84="","",IFERROR(IF(ISNUMBER(INDEX(CASHBACK_RULES!$K$5:$K$304,MATCH($T84,CASHBACK_RULES!$B$5:$B$304,0))),INDEX(CASHBACK_RULES!$K$5:$K$304,MATCH($T84,CASHBACK_RULES!$B$5:$B$304,0)),"∞"),"—"))</f>
        <v/>
      </c>
      <c r="Y84" s="25" t="str">
        <f>IF($T84="","",IF($X84="—","—",IF(COUNTIFS($T$8:$T$57,$T84,$Z$8:$Z$57,"∞")&gt;0,IF(ISNUMBER($X84),MAX(0,$X84-$W84),"∞"),IF(ISNUMBER($X84),MAX(0,MIN($X84-$W84,SUMIFS($Z$8:$Z$57,$T$8:$T$57,$T84))),SUMIFS($Z$8:$Z$57,$T$8:$T$57,$T84)))))</f>
        <v/>
      </c>
      <c r="Z84" s="27" t="str">
        <f>IF($T84="","",IF(ISNUMBER($X84),IF($X84=0,0,$W84/$X84),IF(ISNUMBER($Y84),IF($W84+$Y84=0,0,$W84/($W84+$Y84)),"")))</f>
        <v/>
      </c>
      <c r="AA84" s="29" t="str">
        <f>IF($T84="","",COUNTIFS(TRANSACTIONS_MASTER!$D$5:$D$1204,$T84,TRANSACTIONS_MASTER!$C$5:$C$1204,$C$2,TRANSACTIONS_MASTER!$U$5:$U$1204,"&lt;&gt;Cancelled"))</f>
        <v/>
      </c>
    </row>
    <row r="85">
      <c r="A85" s="81" t="str">
        <f>IF($Q85="","",78)</f>
        <v/>
      </c>
      <c r="B85" s="57" t="str">
        <f>IF($Q85="","",INDEX(TRANSACTIONS_MASTER!$B$5:$B$1204,$Q85))</f>
        <v/>
      </c>
      <c r="C85" s="55" t="str">
        <f>IF($Q85="","",INDEX(TRANSACTIONS_MASTER!$F$5:$F$1204,$Q85))</f>
        <v/>
      </c>
      <c r="D85" s="55" t="str">
        <f>IF($Q85="","",INDEX(TRANSACTIONS_MASTER!$E$5:$E$1204,$Q85))</f>
        <v/>
      </c>
      <c r="E85" s="55" t="str">
        <f>IF($Q85="","",INDEX(TRANSACTIONS_MASTER!$G$5:$G$1204,$Q85)&amp;"")</f>
        <v/>
      </c>
      <c r="F85" s="29" t="str">
        <f>IF($Q85="","",INDEX(TRANSACTIONS_MASTER!$I$5:$I$1204,$Q85))</f>
        <v/>
      </c>
      <c r="G85" s="55" t="str">
        <f>IF($Q85="","",INDEX(TRANSACTIONS_MASTER!$K$5:$K$1204,$Q85))</f>
        <v/>
      </c>
      <c r="H85" s="25" t="str">
        <f>IF($Q85="","",INDEX(TRANSACTIONS_MASTER!$L$5:$L$1204,$Q85))</f>
        <v/>
      </c>
      <c r="I85" s="56" t="str">
        <f>IF($Q85="","",INDEX(TRANSACTIONS_MASTER!$N$5:$N$1204,$Q85))</f>
        <v/>
      </c>
      <c r="J85" s="25" t="str">
        <f>IF($Q85="","",INDEX(TRANSACTIONS_MASTER!$O$5:$O$1204,$Q85))</f>
        <v/>
      </c>
      <c r="K85" s="26" t="str">
        <f>IF($Q85="","",INDEX(TRANSACTIONS_MASTER!$Q$5:$Q$1204,$Q85))</f>
        <v/>
      </c>
      <c r="L85" s="25" t="str">
        <f>IF($Q85="","",INDEX(TRANSACTIONS_MASTER!$P$5:$P$1204,$Q85))</f>
        <v/>
      </c>
      <c r="M85" s="25" t="str">
        <f>IF($Q85="","",INDEX(TRANSACTIONS_MASTER!$AA$5:$AA$1204,$Q85))</f>
        <v/>
      </c>
      <c r="N85" s="25" t="str">
        <f>IF($Q85="","",INDEX(TRANSACTIONS_MASTER!$R$5:$R$1204,$Q85))</f>
        <v/>
      </c>
      <c r="O85" s="28" t="str">
        <f>IF($Q85="","",INDEX(TRANSACTIONS_MASTER!$AB$5:$AB$1204,$Q85))</f>
        <v/>
      </c>
      <c r="P85" s="55" t="str">
        <f>IF($Q85="","",INDEX(TRANSACTIONS_MASTER!$Z$5:$Z$1204,$Q85)&amp;"")</f>
        <v/>
      </c>
      <c r="Q85" s="67" t="str">
        <f>IFERROR(MATCH($C$2&amp;"|"&amp;78,TRANSACTIONS_MASTER!$AE$5:$AE$1204,0),"")</f>
        <v/>
      </c>
      <c r="S85" s="67" t="n">
        <v>24</v>
      </c>
      <c r="T85" s="55" t="str">
        <f>IF(CARDS!$A28="","",CARDS!$A28)</f>
        <v/>
      </c>
      <c r="U85" s="55" t="str">
        <f>IF($T85="","",CARDS!$B28&amp;" "&amp;CARDS!$C28)</f>
        <v/>
      </c>
      <c r="V85" s="25" t="str">
        <f>IF($T85="","",SUMIFS(TRANSACTIONS_MASTER!$L$5:$L$1204,TRANSACTIONS_MASTER!$D$5:$D$1204,$T85,TRANSACTIONS_MASTER!$C$5:$C$1204,$C$2,TRANSACTIONS_MASTER!$U$5:$U$1204,"&lt;&gt;Cancelled"))</f>
        <v/>
      </c>
      <c r="W85" s="26" t="str">
        <f>IF($T85="","",SUMIFS(TRANSACTIONS_MASTER!$Q$5:$Q$1204,TRANSACTIONS_MASTER!$D$5:$D$1204,$T85,TRANSACTIONS_MASTER!$C$5:$C$1204,$C$2))</f>
        <v/>
      </c>
      <c r="X85" s="25" t="str">
        <f>IF($T85="","",IFERROR(IF(ISNUMBER(INDEX(CASHBACK_RULES!$K$5:$K$304,MATCH($T85,CASHBACK_RULES!$B$5:$B$304,0))),INDEX(CASHBACK_RULES!$K$5:$K$304,MATCH($T85,CASHBACK_RULES!$B$5:$B$304,0)),"∞"),"—"))</f>
        <v/>
      </c>
      <c r="Y85" s="25" t="str">
        <f>IF($T85="","",IF($X85="—","—",IF(COUNTIFS($T$8:$T$57,$T85,$Z$8:$Z$57,"∞")&gt;0,IF(ISNUMBER($X85),MAX(0,$X85-$W85),"∞"),IF(ISNUMBER($X85),MAX(0,MIN($X85-$W85,SUMIFS($Z$8:$Z$57,$T$8:$T$57,$T85))),SUMIFS($Z$8:$Z$57,$T$8:$T$57,$T85)))))</f>
        <v/>
      </c>
      <c r="Z85" s="27" t="str">
        <f>IF($T85="","",IF(ISNUMBER($X85),IF($X85=0,0,$W85/$X85),IF(ISNUMBER($Y85),IF($W85+$Y85=0,0,$W85/($W85+$Y85)),"")))</f>
        <v/>
      </c>
      <c r="AA85" s="29" t="str">
        <f>IF($T85="","",COUNTIFS(TRANSACTIONS_MASTER!$D$5:$D$1204,$T85,TRANSACTIONS_MASTER!$C$5:$C$1204,$C$2,TRANSACTIONS_MASTER!$U$5:$U$1204,"&lt;&gt;Cancelled"))</f>
        <v/>
      </c>
    </row>
    <row r="86">
      <c r="A86" s="81" t="str">
        <f>IF($Q86="","",79)</f>
        <v/>
      </c>
      <c r="B86" s="57" t="str">
        <f>IF($Q86="","",INDEX(TRANSACTIONS_MASTER!$B$5:$B$1204,$Q86))</f>
        <v/>
      </c>
      <c r="C86" s="55" t="str">
        <f>IF($Q86="","",INDEX(TRANSACTIONS_MASTER!$F$5:$F$1204,$Q86))</f>
        <v/>
      </c>
      <c r="D86" s="55" t="str">
        <f>IF($Q86="","",INDEX(TRANSACTIONS_MASTER!$E$5:$E$1204,$Q86))</f>
        <v/>
      </c>
      <c r="E86" s="55" t="str">
        <f>IF($Q86="","",INDEX(TRANSACTIONS_MASTER!$G$5:$G$1204,$Q86)&amp;"")</f>
        <v/>
      </c>
      <c r="F86" s="29" t="str">
        <f>IF($Q86="","",INDEX(TRANSACTIONS_MASTER!$I$5:$I$1204,$Q86))</f>
        <v/>
      </c>
      <c r="G86" s="55" t="str">
        <f>IF($Q86="","",INDEX(TRANSACTIONS_MASTER!$K$5:$K$1204,$Q86))</f>
        <v/>
      </c>
      <c r="H86" s="25" t="str">
        <f>IF($Q86="","",INDEX(TRANSACTIONS_MASTER!$L$5:$L$1204,$Q86))</f>
        <v/>
      </c>
      <c r="I86" s="56" t="str">
        <f>IF($Q86="","",INDEX(TRANSACTIONS_MASTER!$N$5:$N$1204,$Q86))</f>
        <v/>
      </c>
      <c r="J86" s="25" t="str">
        <f>IF($Q86="","",INDEX(TRANSACTIONS_MASTER!$O$5:$O$1204,$Q86))</f>
        <v/>
      </c>
      <c r="K86" s="26" t="str">
        <f>IF($Q86="","",INDEX(TRANSACTIONS_MASTER!$Q$5:$Q$1204,$Q86))</f>
        <v/>
      </c>
      <c r="L86" s="25" t="str">
        <f>IF($Q86="","",INDEX(TRANSACTIONS_MASTER!$P$5:$P$1204,$Q86))</f>
        <v/>
      </c>
      <c r="M86" s="25" t="str">
        <f>IF($Q86="","",INDEX(TRANSACTIONS_MASTER!$AA$5:$AA$1204,$Q86))</f>
        <v/>
      </c>
      <c r="N86" s="25" t="str">
        <f>IF($Q86="","",INDEX(TRANSACTIONS_MASTER!$R$5:$R$1204,$Q86))</f>
        <v/>
      </c>
      <c r="O86" s="28" t="str">
        <f>IF($Q86="","",INDEX(TRANSACTIONS_MASTER!$AB$5:$AB$1204,$Q86))</f>
        <v/>
      </c>
      <c r="P86" s="55" t="str">
        <f>IF($Q86="","",INDEX(TRANSACTIONS_MASTER!$Z$5:$Z$1204,$Q86)&amp;"")</f>
        <v/>
      </c>
      <c r="Q86" s="67" t="str">
        <f>IFERROR(MATCH($C$2&amp;"|"&amp;79,TRANSACTIONS_MASTER!$AE$5:$AE$1204,0),"")</f>
        <v/>
      </c>
      <c r="S86" s="67" t="n">
        <v>25</v>
      </c>
      <c r="T86" s="55" t="str">
        <f>IF(CARDS!$A29="","",CARDS!$A29)</f>
        <v/>
      </c>
      <c r="U86" s="55" t="str">
        <f>IF($T86="","",CARDS!$B29&amp;" "&amp;CARDS!$C29)</f>
        <v/>
      </c>
      <c r="V86" s="25" t="str">
        <f>IF($T86="","",SUMIFS(TRANSACTIONS_MASTER!$L$5:$L$1204,TRANSACTIONS_MASTER!$D$5:$D$1204,$T86,TRANSACTIONS_MASTER!$C$5:$C$1204,$C$2,TRANSACTIONS_MASTER!$U$5:$U$1204,"&lt;&gt;Cancelled"))</f>
        <v/>
      </c>
      <c r="W86" s="26" t="str">
        <f>IF($T86="","",SUMIFS(TRANSACTIONS_MASTER!$Q$5:$Q$1204,TRANSACTIONS_MASTER!$D$5:$D$1204,$T86,TRANSACTIONS_MASTER!$C$5:$C$1204,$C$2))</f>
        <v/>
      </c>
      <c r="X86" s="25" t="str">
        <f>IF($T86="","",IFERROR(IF(ISNUMBER(INDEX(CASHBACK_RULES!$K$5:$K$304,MATCH($T86,CASHBACK_RULES!$B$5:$B$304,0))),INDEX(CASHBACK_RULES!$K$5:$K$304,MATCH($T86,CASHBACK_RULES!$B$5:$B$304,0)),"∞"),"—"))</f>
        <v/>
      </c>
      <c r="Y86" s="25" t="str">
        <f>IF($T86="","",IF($X86="—","—",IF(COUNTIFS($T$8:$T$57,$T86,$Z$8:$Z$57,"∞")&gt;0,IF(ISNUMBER($X86),MAX(0,$X86-$W86),"∞"),IF(ISNUMBER($X86),MAX(0,MIN($X86-$W86,SUMIFS($Z$8:$Z$57,$T$8:$T$57,$T86))),SUMIFS($Z$8:$Z$57,$T$8:$T$57,$T86)))))</f>
        <v/>
      </c>
      <c r="Z86" s="27" t="str">
        <f>IF($T86="","",IF(ISNUMBER($X86),IF($X86=0,0,$W86/$X86),IF(ISNUMBER($Y86),IF($W86+$Y86=0,0,$W86/($W86+$Y86)),"")))</f>
        <v/>
      </c>
      <c r="AA86" s="29" t="str">
        <f>IF($T86="","",COUNTIFS(TRANSACTIONS_MASTER!$D$5:$D$1204,$T86,TRANSACTIONS_MASTER!$C$5:$C$1204,$C$2,TRANSACTIONS_MASTER!$U$5:$U$1204,"&lt;&gt;Cancelled"))</f>
        <v/>
      </c>
    </row>
    <row r="87">
      <c r="A87" s="81" t="str">
        <f>IF($Q87="","",80)</f>
        <v/>
      </c>
      <c r="B87" s="57" t="str">
        <f>IF($Q87="","",INDEX(TRANSACTIONS_MASTER!$B$5:$B$1204,$Q87))</f>
        <v/>
      </c>
      <c r="C87" s="55" t="str">
        <f>IF($Q87="","",INDEX(TRANSACTIONS_MASTER!$F$5:$F$1204,$Q87))</f>
        <v/>
      </c>
      <c r="D87" s="55" t="str">
        <f>IF($Q87="","",INDEX(TRANSACTIONS_MASTER!$E$5:$E$1204,$Q87))</f>
        <v/>
      </c>
      <c r="E87" s="55" t="str">
        <f>IF($Q87="","",INDEX(TRANSACTIONS_MASTER!$G$5:$G$1204,$Q87)&amp;"")</f>
        <v/>
      </c>
      <c r="F87" s="29" t="str">
        <f>IF($Q87="","",INDEX(TRANSACTIONS_MASTER!$I$5:$I$1204,$Q87))</f>
        <v/>
      </c>
      <c r="G87" s="55" t="str">
        <f>IF($Q87="","",INDEX(TRANSACTIONS_MASTER!$K$5:$K$1204,$Q87))</f>
        <v/>
      </c>
      <c r="H87" s="25" t="str">
        <f>IF($Q87="","",INDEX(TRANSACTIONS_MASTER!$L$5:$L$1204,$Q87))</f>
        <v/>
      </c>
      <c r="I87" s="56" t="str">
        <f>IF($Q87="","",INDEX(TRANSACTIONS_MASTER!$N$5:$N$1204,$Q87))</f>
        <v/>
      </c>
      <c r="J87" s="25" t="str">
        <f>IF($Q87="","",INDEX(TRANSACTIONS_MASTER!$O$5:$O$1204,$Q87))</f>
        <v/>
      </c>
      <c r="K87" s="26" t="str">
        <f>IF($Q87="","",INDEX(TRANSACTIONS_MASTER!$Q$5:$Q$1204,$Q87))</f>
        <v/>
      </c>
      <c r="L87" s="25" t="str">
        <f>IF($Q87="","",INDEX(TRANSACTIONS_MASTER!$P$5:$P$1204,$Q87))</f>
        <v/>
      </c>
      <c r="M87" s="25" t="str">
        <f>IF($Q87="","",INDEX(TRANSACTIONS_MASTER!$AA$5:$AA$1204,$Q87))</f>
        <v/>
      </c>
      <c r="N87" s="25" t="str">
        <f>IF($Q87="","",INDEX(TRANSACTIONS_MASTER!$R$5:$R$1204,$Q87))</f>
        <v/>
      </c>
      <c r="O87" s="28" t="str">
        <f>IF($Q87="","",INDEX(TRANSACTIONS_MASTER!$AB$5:$AB$1204,$Q87))</f>
        <v/>
      </c>
      <c r="P87" s="55" t="str">
        <f>IF($Q87="","",INDEX(TRANSACTIONS_MASTER!$Z$5:$Z$1204,$Q87)&amp;"")</f>
        <v/>
      </c>
      <c r="Q87" s="67" t="str">
        <f>IFERROR(MATCH($C$2&amp;"|"&amp;80,TRANSACTIONS_MASTER!$AE$5:$AE$1204,0),"")</f>
        <v/>
      </c>
      <c r="S87" s="67" t="n">
        <v>26</v>
      </c>
      <c r="T87" s="55" t="str">
        <f>IF(CARDS!$A30="","",CARDS!$A30)</f>
        <v/>
      </c>
      <c r="U87" s="55" t="str">
        <f>IF($T87="","",CARDS!$B30&amp;" "&amp;CARDS!$C30)</f>
        <v/>
      </c>
      <c r="V87" s="25" t="str">
        <f>IF($T87="","",SUMIFS(TRANSACTIONS_MASTER!$L$5:$L$1204,TRANSACTIONS_MASTER!$D$5:$D$1204,$T87,TRANSACTIONS_MASTER!$C$5:$C$1204,$C$2,TRANSACTIONS_MASTER!$U$5:$U$1204,"&lt;&gt;Cancelled"))</f>
        <v/>
      </c>
      <c r="W87" s="26" t="str">
        <f>IF($T87="","",SUMIFS(TRANSACTIONS_MASTER!$Q$5:$Q$1204,TRANSACTIONS_MASTER!$D$5:$D$1204,$T87,TRANSACTIONS_MASTER!$C$5:$C$1204,$C$2))</f>
        <v/>
      </c>
      <c r="X87" s="25" t="str">
        <f>IF($T87="","",IFERROR(IF(ISNUMBER(INDEX(CASHBACK_RULES!$K$5:$K$304,MATCH($T87,CASHBACK_RULES!$B$5:$B$304,0))),INDEX(CASHBACK_RULES!$K$5:$K$304,MATCH($T87,CASHBACK_RULES!$B$5:$B$304,0)),"∞"),"—"))</f>
        <v/>
      </c>
      <c r="Y87" s="25" t="str">
        <f>IF($T87="","",IF($X87="—","—",IF(COUNTIFS($T$8:$T$57,$T87,$Z$8:$Z$57,"∞")&gt;0,IF(ISNUMBER($X87),MAX(0,$X87-$W87),"∞"),IF(ISNUMBER($X87),MAX(0,MIN($X87-$W87,SUMIFS($Z$8:$Z$57,$T$8:$T$57,$T87))),SUMIFS($Z$8:$Z$57,$T$8:$T$57,$T87)))))</f>
        <v/>
      </c>
      <c r="Z87" s="27" t="str">
        <f>IF($T87="","",IF(ISNUMBER($X87),IF($X87=0,0,$W87/$X87),IF(ISNUMBER($Y87),IF($W87+$Y87=0,0,$W87/($W87+$Y87)),"")))</f>
        <v/>
      </c>
      <c r="AA87" s="29" t="str">
        <f>IF($T87="","",COUNTIFS(TRANSACTIONS_MASTER!$D$5:$D$1204,$T87,TRANSACTIONS_MASTER!$C$5:$C$1204,$C$2,TRANSACTIONS_MASTER!$U$5:$U$1204,"&lt;&gt;Cancelled"))</f>
        <v/>
      </c>
    </row>
    <row r="88">
      <c r="A88" s="81" t="str">
        <f>IF($Q88="","",81)</f>
        <v/>
      </c>
      <c r="B88" s="57" t="str">
        <f>IF($Q88="","",INDEX(TRANSACTIONS_MASTER!$B$5:$B$1204,$Q88))</f>
        <v/>
      </c>
      <c r="C88" s="55" t="str">
        <f>IF($Q88="","",INDEX(TRANSACTIONS_MASTER!$F$5:$F$1204,$Q88))</f>
        <v/>
      </c>
      <c r="D88" s="55" t="str">
        <f>IF($Q88="","",INDEX(TRANSACTIONS_MASTER!$E$5:$E$1204,$Q88))</f>
        <v/>
      </c>
      <c r="E88" s="55" t="str">
        <f>IF($Q88="","",INDEX(TRANSACTIONS_MASTER!$G$5:$G$1204,$Q88)&amp;"")</f>
        <v/>
      </c>
      <c r="F88" s="29" t="str">
        <f>IF($Q88="","",INDEX(TRANSACTIONS_MASTER!$I$5:$I$1204,$Q88))</f>
        <v/>
      </c>
      <c r="G88" s="55" t="str">
        <f>IF($Q88="","",INDEX(TRANSACTIONS_MASTER!$K$5:$K$1204,$Q88))</f>
        <v/>
      </c>
      <c r="H88" s="25" t="str">
        <f>IF($Q88="","",INDEX(TRANSACTIONS_MASTER!$L$5:$L$1204,$Q88))</f>
        <v/>
      </c>
      <c r="I88" s="56" t="str">
        <f>IF($Q88="","",INDEX(TRANSACTIONS_MASTER!$N$5:$N$1204,$Q88))</f>
        <v/>
      </c>
      <c r="J88" s="25" t="str">
        <f>IF($Q88="","",INDEX(TRANSACTIONS_MASTER!$O$5:$O$1204,$Q88))</f>
        <v/>
      </c>
      <c r="K88" s="26" t="str">
        <f>IF($Q88="","",INDEX(TRANSACTIONS_MASTER!$Q$5:$Q$1204,$Q88))</f>
        <v/>
      </c>
      <c r="L88" s="25" t="str">
        <f>IF($Q88="","",INDEX(TRANSACTIONS_MASTER!$P$5:$P$1204,$Q88))</f>
        <v/>
      </c>
      <c r="M88" s="25" t="str">
        <f>IF($Q88="","",INDEX(TRANSACTIONS_MASTER!$AA$5:$AA$1204,$Q88))</f>
        <v/>
      </c>
      <c r="N88" s="25" t="str">
        <f>IF($Q88="","",INDEX(TRANSACTIONS_MASTER!$R$5:$R$1204,$Q88))</f>
        <v/>
      </c>
      <c r="O88" s="28" t="str">
        <f>IF($Q88="","",INDEX(TRANSACTIONS_MASTER!$AB$5:$AB$1204,$Q88))</f>
        <v/>
      </c>
      <c r="P88" s="55" t="str">
        <f>IF($Q88="","",INDEX(TRANSACTIONS_MASTER!$Z$5:$Z$1204,$Q88)&amp;"")</f>
        <v/>
      </c>
      <c r="Q88" s="67" t="str">
        <f>IFERROR(MATCH($C$2&amp;"|"&amp;81,TRANSACTIONS_MASTER!$AE$5:$AE$1204,0),"")</f>
        <v/>
      </c>
      <c r="S88" s="67" t="n">
        <v>27</v>
      </c>
      <c r="T88" s="55" t="str">
        <f>IF(CARDS!$A31="","",CARDS!$A31)</f>
        <v/>
      </c>
      <c r="U88" s="55" t="str">
        <f>IF($T88="","",CARDS!$B31&amp;" "&amp;CARDS!$C31)</f>
        <v/>
      </c>
      <c r="V88" s="25" t="str">
        <f>IF($T88="","",SUMIFS(TRANSACTIONS_MASTER!$L$5:$L$1204,TRANSACTIONS_MASTER!$D$5:$D$1204,$T88,TRANSACTIONS_MASTER!$C$5:$C$1204,$C$2,TRANSACTIONS_MASTER!$U$5:$U$1204,"&lt;&gt;Cancelled"))</f>
        <v/>
      </c>
      <c r="W88" s="26" t="str">
        <f>IF($T88="","",SUMIFS(TRANSACTIONS_MASTER!$Q$5:$Q$1204,TRANSACTIONS_MASTER!$D$5:$D$1204,$T88,TRANSACTIONS_MASTER!$C$5:$C$1204,$C$2))</f>
        <v/>
      </c>
      <c r="X88" s="25" t="str">
        <f>IF($T88="","",IFERROR(IF(ISNUMBER(INDEX(CASHBACK_RULES!$K$5:$K$304,MATCH($T88,CASHBACK_RULES!$B$5:$B$304,0))),INDEX(CASHBACK_RULES!$K$5:$K$304,MATCH($T88,CASHBACK_RULES!$B$5:$B$304,0)),"∞"),"—"))</f>
        <v/>
      </c>
      <c r="Y88" s="25" t="str">
        <f>IF($T88="","",IF($X88="—","—",IF(COUNTIFS($T$8:$T$57,$T88,$Z$8:$Z$57,"∞")&gt;0,IF(ISNUMBER($X88),MAX(0,$X88-$W88),"∞"),IF(ISNUMBER($X88),MAX(0,MIN($X88-$W88,SUMIFS($Z$8:$Z$57,$T$8:$T$57,$T88))),SUMIFS($Z$8:$Z$57,$T$8:$T$57,$T88)))))</f>
        <v/>
      </c>
      <c r="Z88" s="27" t="str">
        <f>IF($T88="","",IF(ISNUMBER($X88),IF($X88=0,0,$W88/$X88),IF(ISNUMBER($Y88),IF($W88+$Y88=0,0,$W88/($W88+$Y88)),"")))</f>
        <v/>
      </c>
      <c r="AA88" s="29" t="str">
        <f>IF($T88="","",COUNTIFS(TRANSACTIONS_MASTER!$D$5:$D$1204,$T88,TRANSACTIONS_MASTER!$C$5:$C$1204,$C$2,TRANSACTIONS_MASTER!$U$5:$U$1204,"&lt;&gt;Cancelled"))</f>
        <v/>
      </c>
    </row>
    <row r="89">
      <c r="A89" s="81" t="str">
        <f>IF($Q89="","",82)</f>
        <v/>
      </c>
      <c r="B89" s="57" t="str">
        <f>IF($Q89="","",INDEX(TRANSACTIONS_MASTER!$B$5:$B$1204,$Q89))</f>
        <v/>
      </c>
      <c r="C89" s="55" t="str">
        <f>IF($Q89="","",INDEX(TRANSACTIONS_MASTER!$F$5:$F$1204,$Q89))</f>
        <v/>
      </c>
      <c r="D89" s="55" t="str">
        <f>IF($Q89="","",INDEX(TRANSACTIONS_MASTER!$E$5:$E$1204,$Q89))</f>
        <v/>
      </c>
      <c r="E89" s="55" t="str">
        <f>IF($Q89="","",INDEX(TRANSACTIONS_MASTER!$G$5:$G$1204,$Q89)&amp;"")</f>
        <v/>
      </c>
      <c r="F89" s="29" t="str">
        <f>IF($Q89="","",INDEX(TRANSACTIONS_MASTER!$I$5:$I$1204,$Q89))</f>
        <v/>
      </c>
      <c r="G89" s="55" t="str">
        <f>IF($Q89="","",INDEX(TRANSACTIONS_MASTER!$K$5:$K$1204,$Q89))</f>
        <v/>
      </c>
      <c r="H89" s="25" t="str">
        <f>IF($Q89="","",INDEX(TRANSACTIONS_MASTER!$L$5:$L$1204,$Q89))</f>
        <v/>
      </c>
      <c r="I89" s="56" t="str">
        <f>IF($Q89="","",INDEX(TRANSACTIONS_MASTER!$N$5:$N$1204,$Q89))</f>
        <v/>
      </c>
      <c r="J89" s="25" t="str">
        <f>IF($Q89="","",INDEX(TRANSACTIONS_MASTER!$O$5:$O$1204,$Q89))</f>
        <v/>
      </c>
      <c r="K89" s="26" t="str">
        <f>IF($Q89="","",INDEX(TRANSACTIONS_MASTER!$Q$5:$Q$1204,$Q89))</f>
        <v/>
      </c>
      <c r="L89" s="25" t="str">
        <f>IF($Q89="","",INDEX(TRANSACTIONS_MASTER!$P$5:$P$1204,$Q89))</f>
        <v/>
      </c>
      <c r="M89" s="25" t="str">
        <f>IF($Q89="","",INDEX(TRANSACTIONS_MASTER!$AA$5:$AA$1204,$Q89))</f>
        <v/>
      </c>
      <c r="N89" s="25" t="str">
        <f>IF($Q89="","",INDEX(TRANSACTIONS_MASTER!$R$5:$R$1204,$Q89))</f>
        <v/>
      </c>
      <c r="O89" s="28" t="str">
        <f>IF($Q89="","",INDEX(TRANSACTIONS_MASTER!$AB$5:$AB$1204,$Q89))</f>
        <v/>
      </c>
      <c r="P89" s="55" t="str">
        <f>IF($Q89="","",INDEX(TRANSACTIONS_MASTER!$Z$5:$Z$1204,$Q89)&amp;"")</f>
        <v/>
      </c>
      <c r="Q89" s="67" t="str">
        <f>IFERROR(MATCH($C$2&amp;"|"&amp;82,TRANSACTIONS_MASTER!$AE$5:$AE$1204,0),"")</f>
        <v/>
      </c>
      <c r="S89" s="67" t="n">
        <v>28</v>
      </c>
      <c r="T89" s="55" t="str">
        <f>IF(CARDS!$A32="","",CARDS!$A32)</f>
        <v/>
      </c>
      <c r="U89" s="55" t="str">
        <f>IF($T89="","",CARDS!$B32&amp;" "&amp;CARDS!$C32)</f>
        <v/>
      </c>
      <c r="V89" s="25" t="str">
        <f>IF($T89="","",SUMIFS(TRANSACTIONS_MASTER!$L$5:$L$1204,TRANSACTIONS_MASTER!$D$5:$D$1204,$T89,TRANSACTIONS_MASTER!$C$5:$C$1204,$C$2,TRANSACTIONS_MASTER!$U$5:$U$1204,"&lt;&gt;Cancelled"))</f>
        <v/>
      </c>
      <c r="W89" s="26" t="str">
        <f>IF($T89="","",SUMIFS(TRANSACTIONS_MASTER!$Q$5:$Q$1204,TRANSACTIONS_MASTER!$D$5:$D$1204,$T89,TRANSACTIONS_MASTER!$C$5:$C$1204,$C$2))</f>
        <v/>
      </c>
      <c r="X89" s="25" t="str">
        <f>IF($T89="","",IFERROR(IF(ISNUMBER(INDEX(CASHBACK_RULES!$K$5:$K$304,MATCH($T89,CASHBACK_RULES!$B$5:$B$304,0))),INDEX(CASHBACK_RULES!$K$5:$K$304,MATCH($T89,CASHBACK_RULES!$B$5:$B$304,0)),"∞"),"—"))</f>
        <v/>
      </c>
      <c r="Y89" s="25" t="str">
        <f>IF($T89="","",IF($X89="—","—",IF(COUNTIFS($T$8:$T$57,$T89,$Z$8:$Z$57,"∞")&gt;0,IF(ISNUMBER($X89),MAX(0,$X89-$W89),"∞"),IF(ISNUMBER($X89),MAX(0,MIN($X89-$W89,SUMIFS($Z$8:$Z$57,$T$8:$T$57,$T89))),SUMIFS($Z$8:$Z$57,$T$8:$T$57,$T89)))))</f>
        <v/>
      </c>
      <c r="Z89" s="27" t="str">
        <f>IF($T89="","",IF(ISNUMBER($X89),IF($X89=0,0,$W89/$X89),IF(ISNUMBER($Y89),IF($W89+$Y89=0,0,$W89/($W89+$Y89)),"")))</f>
        <v/>
      </c>
      <c r="AA89" s="29" t="str">
        <f>IF($T89="","",COUNTIFS(TRANSACTIONS_MASTER!$D$5:$D$1204,$T89,TRANSACTIONS_MASTER!$C$5:$C$1204,$C$2,TRANSACTIONS_MASTER!$U$5:$U$1204,"&lt;&gt;Cancelled"))</f>
        <v/>
      </c>
    </row>
    <row r="90">
      <c r="A90" s="81" t="str">
        <f>IF($Q90="","",83)</f>
        <v/>
      </c>
      <c r="B90" s="57" t="str">
        <f>IF($Q90="","",INDEX(TRANSACTIONS_MASTER!$B$5:$B$1204,$Q90))</f>
        <v/>
      </c>
      <c r="C90" s="55" t="str">
        <f>IF($Q90="","",INDEX(TRANSACTIONS_MASTER!$F$5:$F$1204,$Q90))</f>
        <v/>
      </c>
      <c r="D90" s="55" t="str">
        <f>IF($Q90="","",INDEX(TRANSACTIONS_MASTER!$E$5:$E$1204,$Q90))</f>
        <v/>
      </c>
      <c r="E90" s="55" t="str">
        <f>IF($Q90="","",INDEX(TRANSACTIONS_MASTER!$G$5:$G$1204,$Q90)&amp;"")</f>
        <v/>
      </c>
      <c r="F90" s="29" t="str">
        <f>IF($Q90="","",INDEX(TRANSACTIONS_MASTER!$I$5:$I$1204,$Q90))</f>
        <v/>
      </c>
      <c r="G90" s="55" t="str">
        <f>IF($Q90="","",INDEX(TRANSACTIONS_MASTER!$K$5:$K$1204,$Q90))</f>
        <v/>
      </c>
      <c r="H90" s="25" t="str">
        <f>IF($Q90="","",INDEX(TRANSACTIONS_MASTER!$L$5:$L$1204,$Q90))</f>
        <v/>
      </c>
      <c r="I90" s="56" t="str">
        <f>IF($Q90="","",INDEX(TRANSACTIONS_MASTER!$N$5:$N$1204,$Q90))</f>
        <v/>
      </c>
      <c r="J90" s="25" t="str">
        <f>IF($Q90="","",INDEX(TRANSACTIONS_MASTER!$O$5:$O$1204,$Q90))</f>
        <v/>
      </c>
      <c r="K90" s="26" t="str">
        <f>IF($Q90="","",INDEX(TRANSACTIONS_MASTER!$Q$5:$Q$1204,$Q90))</f>
        <v/>
      </c>
      <c r="L90" s="25" t="str">
        <f>IF($Q90="","",INDEX(TRANSACTIONS_MASTER!$P$5:$P$1204,$Q90))</f>
        <v/>
      </c>
      <c r="M90" s="25" t="str">
        <f>IF($Q90="","",INDEX(TRANSACTIONS_MASTER!$AA$5:$AA$1204,$Q90))</f>
        <v/>
      </c>
      <c r="N90" s="25" t="str">
        <f>IF($Q90="","",INDEX(TRANSACTIONS_MASTER!$R$5:$R$1204,$Q90))</f>
        <v/>
      </c>
      <c r="O90" s="28" t="str">
        <f>IF($Q90="","",INDEX(TRANSACTIONS_MASTER!$AB$5:$AB$1204,$Q90))</f>
        <v/>
      </c>
      <c r="P90" s="55" t="str">
        <f>IF($Q90="","",INDEX(TRANSACTIONS_MASTER!$Z$5:$Z$1204,$Q90)&amp;"")</f>
        <v/>
      </c>
      <c r="Q90" s="67" t="str">
        <f>IFERROR(MATCH($C$2&amp;"|"&amp;83,TRANSACTIONS_MASTER!$AE$5:$AE$1204,0),"")</f>
        <v/>
      </c>
      <c r="S90" s="67" t="n">
        <v>29</v>
      </c>
      <c r="T90" s="55" t="str">
        <f>IF(CARDS!$A33="","",CARDS!$A33)</f>
        <v/>
      </c>
      <c r="U90" s="55" t="str">
        <f>IF($T90="","",CARDS!$B33&amp;" "&amp;CARDS!$C33)</f>
        <v/>
      </c>
      <c r="V90" s="25" t="str">
        <f>IF($T90="","",SUMIFS(TRANSACTIONS_MASTER!$L$5:$L$1204,TRANSACTIONS_MASTER!$D$5:$D$1204,$T90,TRANSACTIONS_MASTER!$C$5:$C$1204,$C$2,TRANSACTIONS_MASTER!$U$5:$U$1204,"&lt;&gt;Cancelled"))</f>
        <v/>
      </c>
      <c r="W90" s="26" t="str">
        <f>IF($T90="","",SUMIFS(TRANSACTIONS_MASTER!$Q$5:$Q$1204,TRANSACTIONS_MASTER!$D$5:$D$1204,$T90,TRANSACTIONS_MASTER!$C$5:$C$1204,$C$2))</f>
        <v/>
      </c>
      <c r="X90" s="25" t="str">
        <f>IF($T90="","",IFERROR(IF(ISNUMBER(INDEX(CASHBACK_RULES!$K$5:$K$304,MATCH($T90,CASHBACK_RULES!$B$5:$B$304,0))),INDEX(CASHBACK_RULES!$K$5:$K$304,MATCH($T90,CASHBACK_RULES!$B$5:$B$304,0)),"∞"),"—"))</f>
        <v/>
      </c>
      <c r="Y90" s="25" t="str">
        <f>IF($T90="","",IF($X90="—","—",IF(COUNTIFS($T$8:$T$57,$T90,$Z$8:$Z$57,"∞")&gt;0,IF(ISNUMBER($X90),MAX(0,$X90-$W90),"∞"),IF(ISNUMBER($X90),MAX(0,MIN($X90-$W90,SUMIFS($Z$8:$Z$57,$T$8:$T$57,$T90))),SUMIFS($Z$8:$Z$57,$T$8:$T$57,$T90)))))</f>
        <v/>
      </c>
      <c r="Z90" s="27" t="str">
        <f>IF($T90="","",IF(ISNUMBER($X90),IF($X90=0,0,$W90/$X90),IF(ISNUMBER($Y90),IF($W90+$Y90=0,0,$W90/($W90+$Y90)),"")))</f>
        <v/>
      </c>
      <c r="AA90" s="29" t="str">
        <f>IF($T90="","",COUNTIFS(TRANSACTIONS_MASTER!$D$5:$D$1204,$T90,TRANSACTIONS_MASTER!$C$5:$C$1204,$C$2,TRANSACTIONS_MASTER!$U$5:$U$1204,"&lt;&gt;Cancelled"))</f>
        <v/>
      </c>
    </row>
    <row r="91">
      <c r="A91" s="81" t="str">
        <f>IF($Q91="","",84)</f>
        <v/>
      </c>
      <c r="B91" s="57" t="str">
        <f>IF($Q91="","",INDEX(TRANSACTIONS_MASTER!$B$5:$B$1204,$Q91))</f>
        <v/>
      </c>
      <c r="C91" s="55" t="str">
        <f>IF($Q91="","",INDEX(TRANSACTIONS_MASTER!$F$5:$F$1204,$Q91))</f>
        <v/>
      </c>
      <c r="D91" s="55" t="str">
        <f>IF($Q91="","",INDEX(TRANSACTIONS_MASTER!$E$5:$E$1204,$Q91))</f>
        <v/>
      </c>
      <c r="E91" s="55" t="str">
        <f>IF($Q91="","",INDEX(TRANSACTIONS_MASTER!$G$5:$G$1204,$Q91)&amp;"")</f>
        <v/>
      </c>
      <c r="F91" s="29" t="str">
        <f>IF($Q91="","",INDEX(TRANSACTIONS_MASTER!$I$5:$I$1204,$Q91))</f>
        <v/>
      </c>
      <c r="G91" s="55" t="str">
        <f>IF($Q91="","",INDEX(TRANSACTIONS_MASTER!$K$5:$K$1204,$Q91))</f>
        <v/>
      </c>
      <c r="H91" s="25" t="str">
        <f>IF($Q91="","",INDEX(TRANSACTIONS_MASTER!$L$5:$L$1204,$Q91))</f>
        <v/>
      </c>
      <c r="I91" s="56" t="str">
        <f>IF($Q91="","",INDEX(TRANSACTIONS_MASTER!$N$5:$N$1204,$Q91))</f>
        <v/>
      </c>
      <c r="J91" s="25" t="str">
        <f>IF($Q91="","",INDEX(TRANSACTIONS_MASTER!$O$5:$O$1204,$Q91))</f>
        <v/>
      </c>
      <c r="K91" s="26" t="str">
        <f>IF($Q91="","",INDEX(TRANSACTIONS_MASTER!$Q$5:$Q$1204,$Q91))</f>
        <v/>
      </c>
      <c r="L91" s="25" t="str">
        <f>IF($Q91="","",INDEX(TRANSACTIONS_MASTER!$P$5:$P$1204,$Q91))</f>
        <v/>
      </c>
      <c r="M91" s="25" t="str">
        <f>IF($Q91="","",INDEX(TRANSACTIONS_MASTER!$AA$5:$AA$1204,$Q91))</f>
        <v/>
      </c>
      <c r="N91" s="25" t="str">
        <f>IF($Q91="","",INDEX(TRANSACTIONS_MASTER!$R$5:$R$1204,$Q91))</f>
        <v/>
      </c>
      <c r="O91" s="28" t="str">
        <f>IF($Q91="","",INDEX(TRANSACTIONS_MASTER!$AB$5:$AB$1204,$Q91))</f>
        <v/>
      </c>
      <c r="P91" s="55" t="str">
        <f>IF($Q91="","",INDEX(TRANSACTIONS_MASTER!$Z$5:$Z$1204,$Q91)&amp;"")</f>
        <v/>
      </c>
      <c r="Q91" s="67" t="str">
        <f>IFERROR(MATCH($C$2&amp;"|"&amp;84,TRANSACTIONS_MASTER!$AE$5:$AE$1204,0),"")</f>
        <v/>
      </c>
      <c r="S91" s="67" t="n">
        <v>30</v>
      </c>
      <c r="T91" s="55" t="str">
        <f>IF(CARDS!$A34="","",CARDS!$A34)</f>
        <v/>
      </c>
      <c r="U91" s="55" t="str">
        <f>IF($T91="","",CARDS!$B34&amp;" "&amp;CARDS!$C34)</f>
        <v/>
      </c>
      <c r="V91" s="25" t="str">
        <f>IF($T91="","",SUMIFS(TRANSACTIONS_MASTER!$L$5:$L$1204,TRANSACTIONS_MASTER!$D$5:$D$1204,$T91,TRANSACTIONS_MASTER!$C$5:$C$1204,$C$2,TRANSACTIONS_MASTER!$U$5:$U$1204,"&lt;&gt;Cancelled"))</f>
        <v/>
      </c>
      <c r="W91" s="26" t="str">
        <f>IF($T91="","",SUMIFS(TRANSACTIONS_MASTER!$Q$5:$Q$1204,TRANSACTIONS_MASTER!$D$5:$D$1204,$T91,TRANSACTIONS_MASTER!$C$5:$C$1204,$C$2))</f>
        <v/>
      </c>
      <c r="X91" s="25" t="str">
        <f>IF($T91="","",IFERROR(IF(ISNUMBER(INDEX(CASHBACK_RULES!$K$5:$K$304,MATCH($T91,CASHBACK_RULES!$B$5:$B$304,0))),INDEX(CASHBACK_RULES!$K$5:$K$304,MATCH($T91,CASHBACK_RULES!$B$5:$B$304,0)),"∞"),"—"))</f>
        <v/>
      </c>
      <c r="Y91" s="25" t="str">
        <f>IF($T91="","",IF($X91="—","—",IF(COUNTIFS($T$8:$T$57,$T91,$Z$8:$Z$57,"∞")&gt;0,IF(ISNUMBER($X91),MAX(0,$X91-$W91),"∞"),IF(ISNUMBER($X91),MAX(0,MIN($X91-$W91,SUMIFS($Z$8:$Z$57,$T$8:$T$57,$T91))),SUMIFS($Z$8:$Z$57,$T$8:$T$57,$T91)))))</f>
        <v/>
      </c>
      <c r="Z91" s="27" t="str">
        <f>IF($T91="","",IF(ISNUMBER($X91),IF($X91=0,0,$W91/$X91),IF(ISNUMBER($Y91),IF($W91+$Y91=0,0,$W91/($W91+$Y91)),"")))</f>
        <v/>
      </c>
      <c r="AA91" s="29" t="str">
        <f>IF($T91="","",COUNTIFS(TRANSACTIONS_MASTER!$D$5:$D$1204,$T91,TRANSACTIONS_MASTER!$C$5:$C$1204,$C$2,TRANSACTIONS_MASTER!$U$5:$U$1204,"&lt;&gt;Cancelled"))</f>
        <v/>
      </c>
    </row>
    <row r="92">
      <c r="A92" s="81" t="str">
        <f>IF($Q92="","",85)</f>
        <v/>
      </c>
      <c r="B92" s="57" t="str">
        <f>IF($Q92="","",INDEX(TRANSACTIONS_MASTER!$B$5:$B$1204,$Q92))</f>
        <v/>
      </c>
      <c r="C92" s="55" t="str">
        <f>IF($Q92="","",INDEX(TRANSACTIONS_MASTER!$F$5:$F$1204,$Q92))</f>
        <v/>
      </c>
      <c r="D92" s="55" t="str">
        <f>IF($Q92="","",INDEX(TRANSACTIONS_MASTER!$E$5:$E$1204,$Q92))</f>
        <v/>
      </c>
      <c r="E92" s="55" t="str">
        <f>IF($Q92="","",INDEX(TRANSACTIONS_MASTER!$G$5:$G$1204,$Q92)&amp;"")</f>
        <v/>
      </c>
      <c r="F92" s="29" t="str">
        <f>IF($Q92="","",INDEX(TRANSACTIONS_MASTER!$I$5:$I$1204,$Q92))</f>
        <v/>
      </c>
      <c r="G92" s="55" t="str">
        <f>IF($Q92="","",INDEX(TRANSACTIONS_MASTER!$K$5:$K$1204,$Q92))</f>
        <v/>
      </c>
      <c r="H92" s="25" t="str">
        <f>IF($Q92="","",INDEX(TRANSACTIONS_MASTER!$L$5:$L$1204,$Q92))</f>
        <v/>
      </c>
      <c r="I92" s="56" t="str">
        <f>IF($Q92="","",INDEX(TRANSACTIONS_MASTER!$N$5:$N$1204,$Q92))</f>
        <v/>
      </c>
      <c r="J92" s="25" t="str">
        <f>IF($Q92="","",INDEX(TRANSACTIONS_MASTER!$O$5:$O$1204,$Q92))</f>
        <v/>
      </c>
      <c r="K92" s="26" t="str">
        <f>IF($Q92="","",INDEX(TRANSACTIONS_MASTER!$Q$5:$Q$1204,$Q92))</f>
        <v/>
      </c>
      <c r="L92" s="25" t="str">
        <f>IF($Q92="","",INDEX(TRANSACTIONS_MASTER!$P$5:$P$1204,$Q92))</f>
        <v/>
      </c>
      <c r="M92" s="25" t="str">
        <f>IF($Q92="","",INDEX(TRANSACTIONS_MASTER!$AA$5:$AA$1204,$Q92))</f>
        <v/>
      </c>
      <c r="N92" s="25" t="str">
        <f>IF($Q92="","",INDEX(TRANSACTIONS_MASTER!$R$5:$R$1204,$Q92))</f>
        <v/>
      </c>
      <c r="O92" s="28" t="str">
        <f>IF($Q92="","",INDEX(TRANSACTIONS_MASTER!$AB$5:$AB$1204,$Q92))</f>
        <v/>
      </c>
      <c r="P92" s="55" t="str">
        <f>IF($Q92="","",INDEX(TRANSACTIONS_MASTER!$Z$5:$Z$1204,$Q92)&amp;"")</f>
        <v/>
      </c>
      <c r="Q92" s="67" t="str">
        <f>IFERROR(MATCH($C$2&amp;"|"&amp;85,TRANSACTIONS_MASTER!$AE$5:$AE$1204,0),"")</f>
        <v/>
      </c>
      <c r="T92" s="68" t="n"/>
      <c r="U92" s="69" t="inlineStr">
        <is>
          <t>TỔNG</t>
        </is>
      </c>
      <c r="V92" s="31">
        <f>SUM(V62:V91)</f>
        <v>0</v>
      </c>
      <c r="W92" s="31">
        <f>SUM(W62:W91)</f>
        <v>0</v>
      </c>
      <c r="X92" s="68" t="n"/>
      <c r="Y92" s="31">
        <f>SUM(Y62:Y91)</f>
        <v>4500000</v>
      </c>
      <c r="Z92" s="68" t="n"/>
      <c r="AA92" s="32">
        <f>SUM(AA62:AA91)</f>
        <v>0</v>
      </c>
    </row>
    <row r="93">
      <c r="A93" s="81" t="str">
        <f>IF($Q93="","",86)</f>
        <v/>
      </c>
      <c r="B93" s="57" t="str">
        <f>IF($Q93="","",INDEX(TRANSACTIONS_MASTER!$B$5:$B$1204,$Q93))</f>
        <v/>
      </c>
      <c r="C93" s="55" t="str">
        <f>IF($Q93="","",INDEX(TRANSACTIONS_MASTER!$F$5:$F$1204,$Q93))</f>
        <v/>
      </c>
      <c r="D93" s="55" t="str">
        <f>IF($Q93="","",INDEX(TRANSACTIONS_MASTER!$E$5:$E$1204,$Q93))</f>
        <v/>
      </c>
      <c r="E93" s="55" t="str">
        <f>IF($Q93="","",INDEX(TRANSACTIONS_MASTER!$G$5:$G$1204,$Q93)&amp;"")</f>
        <v/>
      </c>
      <c r="F93" s="29" t="str">
        <f>IF($Q93="","",INDEX(TRANSACTIONS_MASTER!$I$5:$I$1204,$Q93))</f>
        <v/>
      </c>
      <c r="G93" s="55" t="str">
        <f>IF($Q93="","",INDEX(TRANSACTIONS_MASTER!$K$5:$K$1204,$Q93))</f>
        <v/>
      </c>
      <c r="H93" s="25" t="str">
        <f>IF($Q93="","",INDEX(TRANSACTIONS_MASTER!$L$5:$L$1204,$Q93))</f>
        <v/>
      </c>
      <c r="I93" s="56" t="str">
        <f>IF($Q93="","",INDEX(TRANSACTIONS_MASTER!$N$5:$N$1204,$Q93))</f>
        <v/>
      </c>
      <c r="J93" s="25" t="str">
        <f>IF($Q93="","",INDEX(TRANSACTIONS_MASTER!$O$5:$O$1204,$Q93))</f>
        <v/>
      </c>
      <c r="K93" s="26" t="str">
        <f>IF($Q93="","",INDEX(TRANSACTIONS_MASTER!$Q$5:$Q$1204,$Q93))</f>
        <v/>
      </c>
      <c r="L93" s="25" t="str">
        <f>IF($Q93="","",INDEX(TRANSACTIONS_MASTER!$P$5:$P$1204,$Q93))</f>
        <v/>
      </c>
      <c r="M93" s="25" t="str">
        <f>IF($Q93="","",INDEX(TRANSACTIONS_MASTER!$AA$5:$AA$1204,$Q93))</f>
        <v/>
      </c>
      <c r="N93" s="25" t="str">
        <f>IF($Q93="","",INDEX(TRANSACTIONS_MASTER!$R$5:$R$1204,$Q93))</f>
        <v/>
      </c>
      <c r="O93" s="28" t="str">
        <f>IF($Q93="","",INDEX(TRANSACTIONS_MASTER!$AB$5:$AB$1204,$Q93))</f>
        <v/>
      </c>
      <c r="P93" s="55" t="str">
        <f>IF($Q93="","",INDEX(TRANSACTIONS_MASTER!$Z$5:$Z$1204,$Q93)&amp;"")</f>
        <v/>
      </c>
      <c r="Q93" s="67" t="str">
        <f>IFERROR(MATCH($C$2&amp;"|"&amp;86,TRANSACTIONS_MASTER!$AE$5:$AE$1204,0),"")</f>
        <v/>
      </c>
    </row>
    <row r="94">
      <c r="A94" s="81" t="str">
        <f>IF($Q94="","",87)</f>
        <v/>
      </c>
      <c r="B94" s="57" t="str">
        <f>IF($Q94="","",INDEX(TRANSACTIONS_MASTER!$B$5:$B$1204,$Q94))</f>
        <v/>
      </c>
      <c r="C94" s="55" t="str">
        <f>IF($Q94="","",INDEX(TRANSACTIONS_MASTER!$F$5:$F$1204,$Q94))</f>
        <v/>
      </c>
      <c r="D94" s="55" t="str">
        <f>IF($Q94="","",INDEX(TRANSACTIONS_MASTER!$E$5:$E$1204,$Q94))</f>
        <v/>
      </c>
      <c r="E94" s="55" t="str">
        <f>IF($Q94="","",INDEX(TRANSACTIONS_MASTER!$G$5:$G$1204,$Q94)&amp;"")</f>
        <v/>
      </c>
      <c r="F94" s="29" t="str">
        <f>IF($Q94="","",INDEX(TRANSACTIONS_MASTER!$I$5:$I$1204,$Q94))</f>
        <v/>
      </c>
      <c r="G94" s="55" t="str">
        <f>IF($Q94="","",INDEX(TRANSACTIONS_MASTER!$K$5:$K$1204,$Q94))</f>
        <v/>
      </c>
      <c r="H94" s="25" t="str">
        <f>IF($Q94="","",INDEX(TRANSACTIONS_MASTER!$L$5:$L$1204,$Q94))</f>
        <v/>
      </c>
      <c r="I94" s="56" t="str">
        <f>IF($Q94="","",INDEX(TRANSACTIONS_MASTER!$N$5:$N$1204,$Q94))</f>
        <v/>
      </c>
      <c r="J94" s="25" t="str">
        <f>IF($Q94="","",INDEX(TRANSACTIONS_MASTER!$O$5:$O$1204,$Q94))</f>
        <v/>
      </c>
      <c r="K94" s="26" t="str">
        <f>IF($Q94="","",INDEX(TRANSACTIONS_MASTER!$Q$5:$Q$1204,$Q94))</f>
        <v/>
      </c>
      <c r="L94" s="25" t="str">
        <f>IF($Q94="","",INDEX(TRANSACTIONS_MASTER!$P$5:$P$1204,$Q94))</f>
        <v/>
      </c>
      <c r="M94" s="25" t="str">
        <f>IF($Q94="","",INDEX(TRANSACTIONS_MASTER!$AA$5:$AA$1204,$Q94))</f>
        <v/>
      </c>
      <c r="N94" s="25" t="str">
        <f>IF($Q94="","",INDEX(TRANSACTIONS_MASTER!$R$5:$R$1204,$Q94))</f>
        <v/>
      </c>
      <c r="O94" s="28" t="str">
        <f>IF($Q94="","",INDEX(TRANSACTIONS_MASTER!$AB$5:$AB$1204,$Q94))</f>
        <v/>
      </c>
      <c r="P94" s="55" t="str">
        <f>IF($Q94="","",INDEX(TRANSACTIONS_MASTER!$Z$5:$Z$1204,$Q94)&amp;"")</f>
        <v/>
      </c>
      <c r="Q94" s="67" t="str">
        <f>IFERROR(MATCH($C$2&amp;"|"&amp;87,TRANSACTIONS_MASTER!$AE$5:$AE$1204,0),"")</f>
        <v/>
      </c>
    </row>
    <row r="95" ht="22" customHeight="1">
      <c r="A95" s="81" t="str">
        <f>IF($Q95="","",88)</f>
        <v/>
      </c>
      <c r="B95" s="57" t="str">
        <f>IF($Q95="","",INDEX(TRANSACTIONS_MASTER!$B$5:$B$1204,$Q95))</f>
        <v/>
      </c>
      <c r="C95" s="55" t="str">
        <f>IF($Q95="","",INDEX(TRANSACTIONS_MASTER!$F$5:$F$1204,$Q95))</f>
        <v/>
      </c>
      <c r="D95" s="55" t="str">
        <f>IF($Q95="","",INDEX(TRANSACTIONS_MASTER!$E$5:$E$1204,$Q95))</f>
        <v/>
      </c>
      <c r="E95" s="55" t="str">
        <f>IF($Q95="","",INDEX(TRANSACTIONS_MASTER!$G$5:$G$1204,$Q95)&amp;"")</f>
        <v/>
      </c>
      <c r="F95" s="29" t="str">
        <f>IF($Q95="","",INDEX(TRANSACTIONS_MASTER!$I$5:$I$1204,$Q95))</f>
        <v/>
      </c>
      <c r="G95" s="55" t="str">
        <f>IF($Q95="","",INDEX(TRANSACTIONS_MASTER!$K$5:$K$1204,$Q95))</f>
        <v/>
      </c>
      <c r="H95" s="25" t="str">
        <f>IF($Q95="","",INDEX(TRANSACTIONS_MASTER!$L$5:$L$1204,$Q95))</f>
        <v/>
      </c>
      <c r="I95" s="56" t="str">
        <f>IF($Q95="","",INDEX(TRANSACTIONS_MASTER!$N$5:$N$1204,$Q95))</f>
        <v/>
      </c>
      <c r="J95" s="25" t="str">
        <f>IF($Q95="","",INDEX(TRANSACTIONS_MASTER!$O$5:$O$1204,$Q95))</f>
        <v/>
      </c>
      <c r="K95" s="26" t="str">
        <f>IF($Q95="","",INDEX(TRANSACTIONS_MASTER!$Q$5:$Q$1204,$Q95))</f>
        <v/>
      </c>
      <c r="L95" s="25" t="str">
        <f>IF($Q95="","",INDEX(TRANSACTIONS_MASTER!$P$5:$P$1204,$Q95))</f>
        <v/>
      </c>
      <c r="M95" s="25" t="str">
        <f>IF($Q95="","",INDEX(TRANSACTIONS_MASTER!$AA$5:$AA$1204,$Q95))</f>
        <v/>
      </c>
      <c r="N95" s="25" t="str">
        <f>IF($Q95="","",INDEX(TRANSACTIONS_MASTER!$R$5:$R$1204,$Q95))</f>
        <v/>
      </c>
      <c r="O95" s="28" t="str">
        <f>IF($Q95="","",INDEX(TRANSACTIONS_MASTER!$AB$5:$AB$1204,$Q95))</f>
        <v/>
      </c>
      <c r="P95" s="55" t="str">
        <f>IF($Q95="","",INDEX(TRANSACTIONS_MASTER!$Z$5:$Z$1204,$Q95)&amp;"")</f>
        <v/>
      </c>
      <c r="Q95" s="67" t="str">
        <f>IFERROR(MATCH($C$2&amp;"|"&amp;88,TRANSACTIONS_MASTER!$AE$5:$AE$1204,0),"")</f>
        <v/>
      </c>
      <c r="T95" s="19" t="inlineStr">
        <is>
          <t>THEO NGÂN HÀNG</t>
        </is>
      </c>
      <c r="U95" s="20" t="n"/>
      <c r="V95" s="20" t="n"/>
      <c r="W95" s="20" t="n"/>
      <c r="X95" s="20" t="n"/>
      <c r="Y95" s="20" t="n"/>
      <c r="Z95" s="20" t="n"/>
      <c r="AA95" s="20" t="n"/>
    </row>
    <row r="96" ht="28" customHeight="1">
      <c r="A96" s="81" t="str">
        <f>IF($Q96="","",89)</f>
        <v/>
      </c>
      <c r="B96" s="57" t="str">
        <f>IF($Q96="","",INDEX(TRANSACTIONS_MASTER!$B$5:$B$1204,$Q96))</f>
        <v/>
      </c>
      <c r="C96" s="55" t="str">
        <f>IF($Q96="","",INDEX(TRANSACTIONS_MASTER!$F$5:$F$1204,$Q96))</f>
        <v/>
      </c>
      <c r="D96" s="55" t="str">
        <f>IF($Q96="","",INDEX(TRANSACTIONS_MASTER!$E$5:$E$1204,$Q96))</f>
        <v/>
      </c>
      <c r="E96" s="55" t="str">
        <f>IF($Q96="","",INDEX(TRANSACTIONS_MASTER!$G$5:$G$1204,$Q96)&amp;"")</f>
        <v/>
      </c>
      <c r="F96" s="29" t="str">
        <f>IF($Q96="","",INDEX(TRANSACTIONS_MASTER!$I$5:$I$1204,$Q96))</f>
        <v/>
      </c>
      <c r="G96" s="55" t="str">
        <f>IF($Q96="","",INDEX(TRANSACTIONS_MASTER!$K$5:$K$1204,$Q96))</f>
        <v/>
      </c>
      <c r="H96" s="25" t="str">
        <f>IF($Q96="","",INDEX(TRANSACTIONS_MASTER!$L$5:$L$1204,$Q96))</f>
        <v/>
      </c>
      <c r="I96" s="56" t="str">
        <f>IF($Q96="","",INDEX(TRANSACTIONS_MASTER!$N$5:$N$1204,$Q96))</f>
        <v/>
      </c>
      <c r="J96" s="25" t="str">
        <f>IF($Q96="","",INDEX(TRANSACTIONS_MASTER!$O$5:$O$1204,$Q96))</f>
        <v/>
      </c>
      <c r="K96" s="26" t="str">
        <f>IF($Q96="","",INDEX(TRANSACTIONS_MASTER!$Q$5:$Q$1204,$Q96))</f>
        <v/>
      </c>
      <c r="L96" s="25" t="str">
        <f>IF($Q96="","",INDEX(TRANSACTIONS_MASTER!$P$5:$P$1204,$Q96))</f>
        <v/>
      </c>
      <c r="M96" s="25" t="str">
        <f>IF($Q96="","",INDEX(TRANSACTIONS_MASTER!$AA$5:$AA$1204,$Q96))</f>
        <v/>
      </c>
      <c r="N96" s="25" t="str">
        <f>IF($Q96="","",INDEX(TRANSACTIONS_MASTER!$R$5:$R$1204,$Q96))</f>
        <v/>
      </c>
      <c r="O96" s="28" t="str">
        <f>IF($Q96="","",INDEX(TRANSACTIONS_MASTER!$AB$5:$AB$1204,$Q96))</f>
        <v/>
      </c>
      <c r="P96" s="55" t="str">
        <f>IF($Q96="","",INDEX(TRANSACTIONS_MASTER!$Z$5:$Z$1204,$Q96)&amp;"")</f>
        <v/>
      </c>
      <c r="Q96" s="67" t="str">
        <f>IFERROR(MATCH($C$2&amp;"|"&amp;89,TRANSACTIONS_MASTER!$AE$5:$AE$1204,0),"")</f>
        <v/>
      </c>
      <c r="S96" s="21" t="inlineStr">
        <is>
          <t>#</t>
        </is>
      </c>
      <c r="T96" s="21" t="inlineStr"/>
      <c r="U96" s="21" t="inlineStr">
        <is>
          <t>Ngân hàng</t>
        </is>
      </c>
      <c r="V96" s="21" t="inlineStr">
        <is>
          <t>Chi tiêu</t>
        </is>
      </c>
      <c r="W96" s="21" t="inlineStr">
        <is>
          <t>Cashback</t>
        </is>
      </c>
    </row>
    <row r="97">
      <c r="A97" s="81" t="str">
        <f>IF($Q97="","",90)</f>
        <v/>
      </c>
      <c r="B97" s="57" t="str">
        <f>IF($Q97="","",INDEX(TRANSACTIONS_MASTER!$B$5:$B$1204,$Q97))</f>
        <v/>
      </c>
      <c r="C97" s="55" t="str">
        <f>IF($Q97="","",INDEX(TRANSACTIONS_MASTER!$F$5:$F$1204,$Q97))</f>
        <v/>
      </c>
      <c r="D97" s="55" t="str">
        <f>IF($Q97="","",INDEX(TRANSACTIONS_MASTER!$E$5:$E$1204,$Q97))</f>
        <v/>
      </c>
      <c r="E97" s="55" t="str">
        <f>IF($Q97="","",INDEX(TRANSACTIONS_MASTER!$G$5:$G$1204,$Q97)&amp;"")</f>
        <v/>
      </c>
      <c r="F97" s="29" t="str">
        <f>IF($Q97="","",INDEX(TRANSACTIONS_MASTER!$I$5:$I$1204,$Q97))</f>
        <v/>
      </c>
      <c r="G97" s="55" t="str">
        <f>IF($Q97="","",INDEX(TRANSACTIONS_MASTER!$K$5:$K$1204,$Q97))</f>
        <v/>
      </c>
      <c r="H97" s="25" t="str">
        <f>IF($Q97="","",INDEX(TRANSACTIONS_MASTER!$L$5:$L$1204,$Q97))</f>
        <v/>
      </c>
      <c r="I97" s="56" t="str">
        <f>IF($Q97="","",INDEX(TRANSACTIONS_MASTER!$N$5:$N$1204,$Q97))</f>
        <v/>
      </c>
      <c r="J97" s="25" t="str">
        <f>IF($Q97="","",INDEX(TRANSACTIONS_MASTER!$O$5:$O$1204,$Q97))</f>
        <v/>
      </c>
      <c r="K97" s="26" t="str">
        <f>IF($Q97="","",INDEX(TRANSACTIONS_MASTER!$Q$5:$Q$1204,$Q97))</f>
        <v/>
      </c>
      <c r="L97" s="25" t="str">
        <f>IF($Q97="","",INDEX(TRANSACTIONS_MASTER!$P$5:$P$1204,$Q97))</f>
        <v/>
      </c>
      <c r="M97" s="25" t="str">
        <f>IF($Q97="","",INDEX(TRANSACTIONS_MASTER!$AA$5:$AA$1204,$Q97))</f>
        <v/>
      </c>
      <c r="N97" s="25" t="str">
        <f>IF($Q97="","",INDEX(TRANSACTIONS_MASTER!$R$5:$R$1204,$Q97))</f>
        <v/>
      </c>
      <c r="O97" s="28" t="str">
        <f>IF($Q97="","",INDEX(TRANSACTIONS_MASTER!$AB$5:$AB$1204,$Q97))</f>
        <v/>
      </c>
      <c r="P97" s="55" t="str">
        <f>IF($Q97="","",INDEX(TRANSACTIONS_MASTER!$Z$5:$Z$1204,$Q97)&amp;"")</f>
        <v/>
      </c>
      <c r="Q97" s="67" t="str">
        <f>IFERROR(MATCH($C$2&amp;"|"&amp;90,TRANSACTIONS_MASTER!$AE$5:$AE$1204,0),"")</f>
        <v/>
      </c>
      <c r="S97" s="67">
        <f>IFERROR(MATCH(1,CARDS!$O$5:$O$34,0),"")</f>
        <v>1</v>
      </c>
      <c r="T97" s="55" t="n"/>
      <c r="U97" s="55" t="str">
        <f>IF($S97="","",INDEX(CARDS!$B$5:$B$34,$S97))</f>
        <v>VPBank</v>
      </c>
      <c r="V97" s="25">
        <f>IF($S97="","",SUMIFS(TRANSACTIONS_MASTER!$L$5:$L$1204,TRANSACTIONS_MASTER!$E$5:$E$1204,$U97,TRANSACTIONS_MASTER!$C$5:$C$1204,$C$2,TRANSACTIONS_MASTER!$U$5:$U$1204,"&lt;&gt;Cancelled"))</f>
        <v>0</v>
      </c>
      <c r="W97" s="26">
        <f>IF($S97="","",SUMIFS(TRANSACTIONS_MASTER!$Q$5:$Q$1204,TRANSACTIONS_MASTER!$E$5:$E$1204,$U97,TRANSACTIONS_MASTER!$C$5:$C$1204,$C$2))</f>
        <v>0</v>
      </c>
    </row>
    <row r="98">
      <c r="A98" s="81" t="str">
        <f>IF($Q98="","",91)</f>
        <v/>
      </c>
      <c r="B98" s="57" t="str">
        <f>IF($Q98="","",INDEX(TRANSACTIONS_MASTER!$B$5:$B$1204,$Q98))</f>
        <v/>
      </c>
      <c r="C98" s="55" t="str">
        <f>IF($Q98="","",INDEX(TRANSACTIONS_MASTER!$F$5:$F$1204,$Q98))</f>
        <v/>
      </c>
      <c r="D98" s="55" t="str">
        <f>IF($Q98="","",INDEX(TRANSACTIONS_MASTER!$E$5:$E$1204,$Q98))</f>
        <v/>
      </c>
      <c r="E98" s="55" t="str">
        <f>IF($Q98="","",INDEX(TRANSACTIONS_MASTER!$G$5:$G$1204,$Q98)&amp;"")</f>
        <v/>
      </c>
      <c r="F98" s="29" t="str">
        <f>IF($Q98="","",INDEX(TRANSACTIONS_MASTER!$I$5:$I$1204,$Q98))</f>
        <v/>
      </c>
      <c r="G98" s="55" t="str">
        <f>IF($Q98="","",INDEX(TRANSACTIONS_MASTER!$K$5:$K$1204,$Q98))</f>
        <v/>
      </c>
      <c r="H98" s="25" t="str">
        <f>IF($Q98="","",INDEX(TRANSACTIONS_MASTER!$L$5:$L$1204,$Q98))</f>
        <v/>
      </c>
      <c r="I98" s="56" t="str">
        <f>IF($Q98="","",INDEX(TRANSACTIONS_MASTER!$N$5:$N$1204,$Q98))</f>
        <v/>
      </c>
      <c r="J98" s="25" t="str">
        <f>IF($Q98="","",INDEX(TRANSACTIONS_MASTER!$O$5:$O$1204,$Q98))</f>
        <v/>
      </c>
      <c r="K98" s="26" t="str">
        <f>IF($Q98="","",INDEX(TRANSACTIONS_MASTER!$Q$5:$Q$1204,$Q98))</f>
        <v/>
      </c>
      <c r="L98" s="25" t="str">
        <f>IF($Q98="","",INDEX(TRANSACTIONS_MASTER!$P$5:$P$1204,$Q98))</f>
        <v/>
      </c>
      <c r="M98" s="25" t="str">
        <f>IF($Q98="","",INDEX(TRANSACTIONS_MASTER!$AA$5:$AA$1204,$Q98))</f>
        <v/>
      </c>
      <c r="N98" s="25" t="str">
        <f>IF($Q98="","",INDEX(TRANSACTIONS_MASTER!$R$5:$R$1204,$Q98))</f>
        <v/>
      </c>
      <c r="O98" s="28" t="str">
        <f>IF($Q98="","",INDEX(TRANSACTIONS_MASTER!$AB$5:$AB$1204,$Q98))</f>
        <v/>
      </c>
      <c r="P98" s="55" t="str">
        <f>IF($Q98="","",INDEX(TRANSACTIONS_MASTER!$Z$5:$Z$1204,$Q98)&amp;"")</f>
        <v/>
      </c>
      <c r="Q98" s="67" t="str">
        <f>IFERROR(MATCH($C$2&amp;"|"&amp;91,TRANSACTIONS_MASTER!$AE$5:$AE$1204,0),"")</f>
        <v/>
      </c>
      <c r="S98" s="67">
        <f>IFERROR(MATCH(2,CARDS!$O$5:$O$34,0),"")</f>
        <v>2</v>
      </c>
      <c r="T98" s="55" t="n"/>
      <c r="U98" s="55" t="str">
        <f>IF($S98="","",INDEX(CARDS!$B$5:$B$34,$S98))</f>
        <v>VIB</v>
      </c>
      <c r="V98" s="25">
        <f>IF($S98="","",SUMIFS(TRANSACTIONS_MASTER!$L$5:$L$1204,TRANSACTIONS_MASTER!$E$5:$E$1204,$U98,TRANSACTIONS_MASTER!$C$5:$C$1204,$C$2,TRANSACTIONS_MASTER!$U$5:$U$1204,"&lt;&gt;Cancelled"))</f>
        <v>0</v>
      </c>
      <c r="W98" s="26">
        <f>IF($S98="","",SUMIFS(TRANSACTIONS_MASTER!$Q$5:$Q$1204,TRANSACTIONS_MASTER!$E$5:$E$1204,$U98,TRANSACTIONS_MASTER!$C$5:$C$1204,$C$2))</f>
        <v>0</v>
      </c>
    </row>
    <row r="99">
      <c r="A99" s="81" t="str">
        <f>IF($Q99="","",92)</f>
        <v/>
      </c>
      <c r="B99" s="57" t="str">
        <f>IF($Q99="","",INDEX(TRANSACTIONS_MASTER!$B$5:$B$1204,$Q99))</f>
        <v/>
      </c>
      <c r="C99" s="55" t="str">
        <f>IF($Q99="","",INDEX(TRANSACTIONS_MASTER!$F$5:$F$1204,$Q99))</f>
        <v/>
      </c>
      <c r="D99" s="55" t="str">
        <f>IF($Q99="","",INDEX(TRANSACTIONS_MASTER!$E$5:$E$1204,$Q99))</f>
        <v/>
      </c>
      <c r="E99" s="55" t="str">
        <f>IF($Q99="","",INDEX(TRANSACTIONS_MASTER!$G$5:$G$1204,$Q99)&amp;"")</f>
        <v/>
      </c>
      <c r="F99" s="29" t="str">
        <f>IF($Q99="","",INDEX(TRANSACTIONS_MASTER!$I$5:$I$1204,$Q99))</f>
        <v/>
      </c>
      <c r="G99" s="55" t="str">
        <f>IF($Q99="","",INDEX(TRANSACTIONS_MASTER!$K$5:$K$1204,$Q99))</f>
        <v/>
      </c>
      <c r="H99" s="25" t="str">
        <f>IF($Q99="","",INDEX(TRANSACTIONS_MASTER!$L$5:$L$1204,$Q99))</f>
        <v/>
      </c>
      <c r="I99" s="56" t="str">
        <f>IF($Q99="","",INDEX(TRANSACTIONS_MASTER!$N$5:$N$1204,$Q99))</f>
        <v/>
      </c>
      <c r="J99" s="25" t="str">
        <f>IF($Q99="","",INDEX(TRANSACTIONS_MASTER!$O$5:$O$1204,$Q99))</f>
        <v/>
      </c>
      <c r="K99" s="26" t="str">
        <f>IF($Q99="","",INDEX(TRANSACTIONS_MASTER!$Q$5:$Q$1204,$Q99))</f>
        <v/>
      </c>
      <c r="L99" s="25" t="str">
        <f>IF($Q99="","",INDEX(TRANSACTIONS_MASTER!$P$5:$P$1204,$Q99))</f>
        <v/>
      </c>
      <c r="M99" s="25" t="str">
        <f>IF($Q99="","",INDEX(TRANSACTIONS_MASTER!$AA$5:$AA$1204,$Q99))</f>
        <v/>
      </c>
      <c r="N99" s="25" t="str">
        <f>IF($Q99="","",INDEX(TRANSACTIONS_MASTER!$R$5:$R$1204,$Q99))</f>
        <v/>
      </c>
      <c r="O99" s="28" t="str">
        <f>IF($Q99="","",INDEX(TRANSACTIONS_MASTER!$AB$5:$AB$1204,$Q99))</f>
        <v/>
      </c>
      <c r="P99" s="55" t="str">
        <f>IF($Q99="","",INDEX(TRANSACTIONS_MASTER!$Z$5:$Z$1204,$Q99)&amp;"")</f>
        <v/>
      </c>
      <c r="Q99" s="67" t="str">
        <f>IFERROR(MATCH($C$2&amp;"|"&amp;92,TRANSACTIONS_MASTER!$AE$5:$AE$1204,0),"")</f>
        <v/>
      </c>
      <c r="S99" s="67">
        <f>IFERROR(MATCH(3,CARDS!$O$5:$O$34,0),"")</f>
        <v>3</v>
      </c>
      <c r="T99" s="55" t="n"/>
      <c r="U99" s="55" t="str">
        <f>IF($S99="","",INDEX(CARDS!$B$5:$B$34,$S99))</f>
        <v>Techcombank</v>
      </c>
      <c r="V99" s="25">
        <f>IF($S99="","",SUMIFS(TRANSACTIONS_MASTER!$L$5:$L$1204,TRANSACTIONS_MASTER!$E$5:$E$1204,$U99,TRANSACTIONS_MASTER!$C$5:$C$1204,$C$2,TRANSACTIONS_MASTER!$U$5:$U$1204,"&lt;&gt;Cancelled"))</f>
        <v>0</v>
      </c>
      <c r="W99" s="26">
        <f>IF($S99="","",SUMIFS(TRANSACTIONS_MASTER!$Q$5:$Q$1204,TRANSACTIONS_MASTER!$E$5:$E$1204,$U99,TRANSACTIONS_MASTER!$C$5:$C$1204,$C$2))</f>
        <v>0</v>
      </c>
    </row>
    <row r="100">
      <c r="A100" s="81" t="str">
        <f>IF($Q100="","",93)</f>
        <v/>
      </c>
      <c r="B100" s="57" t="str">
        <f>IF($Q100="","",INDEX(TRANSACTIONS_MASTER!$B$5:$B$1204,$Q100))</f>
        <v/>
      </c>
      <c r="C100" s="55" t="str">
        <f>IF($Q100="","",INDEX(TRANSACTIONS_MASTER!$F$5:$F$1204,$Q100))</f>
        <v/>
      </c>
      <c r="D100" s="55" t="str">
        <f>IF($Q100="","",INDEX(TRANSACTIONS_MASTER!$E$5:$E$1204,$Q100))</f>
        <v/>
      </c>
      <c r="E100" s="55" t="str">
        <f>IF($Q100="","",INDEX(TRANSACTIONS_MASTER!$G$5:$G$1204,$Q100)&amp;"")</f>
        <v/>
      </c>
      <c r="F100" s="29" t="str">
        <f>IF($Q100="","",INDEX(TRANSACTIONS_MASTER!$I$5:$I$1204,$Q100))</f>
        <v/>
      </c>
      <c r="G100" s="55" t="str">
        <f>IF($Q100="","",INDEX(TRANSACTIONS_MASTER!$K$5:$K$1204,$Q100))</f>
        <v/>
      </c>
      <c r="H100" s="25" t="str">
        <f>IF($Q100="","",INDEX(TRANSACTIONS_MASTER!$L$5:$L$1204,$Q100))</f>
        <v/>
      </c>
      <c r="I100" s="56" t="str">
        <f>IF($Q100="","",INDEX(TRANSACTIONS_MASTER!$N$5:$N$1204,$Q100))</f>
        <v/>
      </c>
      <c r="J100" s="25" t="str">
        <f>IF($Q100="","",INDEX(TRANSACTIONS_MASTER!$O$5:$O$1204,$Q100))</f>
        <v/>
      </c>
      <c r="K100" s="26" t="str">
        <f>IF($Q100="","",INDEX(TRANSACTIONS_MASTER!$Q$5:$Q$1204,$Q100))</f>
        <v/>
      </c>
      <c r="L100" s="25" t="str">
        <f>IF($Q100="","",INDEX(TRANSACTIONS_MASTER!$P$5:$P$1204,$Q100))</f>
        <v/>
      </c>
      <c r="M100" s="25" t="str">
        <f>IF($Q100="","",INDEX(TRANSACTIONS_MASTER!$AA$5:$AA$1204,$Q100))</f>
        <v/>
      </c>
      <c r="N100" s="25" t="str">
        <f>IF($Q100="","",INDEX(TRANSACTIONS_MASTER!$R$5:$R$1204,$Q100))</f>
        <v/>
      </c>
      <c r="O100" s="28" t="str">
        <f>IF($Q100="","",INDEX(TRANSACTIONS_MASTER!$AB$5:$AB$1204,$Q100))</f>
        <v/>
      </c>
      <c r="P100" s="55" t="str">
        <f>IF($Q100="","",INDEX(TRANSACTIONS_MASTER!$Z$5:$Z$1204,$Q100)&amp;"")</f>
        <v/>
      </c>
      <c r="Q100" s="67" t="str">
        <f>IFERROR(MATCH($C$2&amp;"|"&amp;93,TRANSACTIONS_MASTER!$AE$5:$AE$1204,0),"")</f>
        <v/>
      </c>
      <c r="S100" s="67">
        <f>IFERROR(MATCH(4,CARDS!$O$5:$O$34,0),"")</f>
        <v>4</v>
      </c>
      <c r="T100" s="55" t="n"/>
      <c r="U100" s="55" t="str">
        <f>IF($S100="","",INDEX(CARDS!$B$5:$B$34,$S100))</f>
        <v>UOB</v>
      </c>
      <c r="V100" s="25">
        <f>IF($S100="","",SUMIFS(TRANSACTIONS_MASTER!$L$5:$L$1204,TRANSACTIONS_MASTER!$E$5:$E$1204,$U100,TRANSACTIONS_MASTER!$C$5:$C$1204,$C$2,TRANSACTIONS_MASTER!$U$5:$U$1204,"&lt;&gt;Cancelled"))</f>
        <v>0</v>
      </c>
      <c r="W100" s="26">
        <f>IF($S100="","",SUMIFS(TRANSACTIONS_MASTER!$Q$5:$Q$1204,TRANSACTIONS_MASTER!$E$5:$E$1204,$U100,TRANSACTIONS_MASTER!$C$5:$C$1204,$C$2))</f>
        <v>0</v>
      </c>
    </row>
    <row r="101">
      <c r="A101" s="81" t="str">
        <f>IF($Q101="","",94)</f>
        <v/>
      </c>
      <c r="B101" s="57" t="str">
        <f>IF($Q101="","",INDEX(TRANSACTIONS_MASTER!$B$5:$B$1204,$Q101))</f>
        <v/>
      </c>
      <c r="C101" s="55" t="str">
        <f>IF($Q101="","",INDEX(TRANSACTIONS_MASTER!$F$5:$F$1204,$Q101))</f>
        <v/>
      </c>
      <c r="D101" s="55" t="str">
        <f>IF($Q101="","",INDEX(TRANSACTIONS_MASTER!$E$5:$E$1204,$Q101))</f>
        <v/>
      </c>
      <c r="E101" s="55" t="str">
        <f>IF($Q101="","",INDEX(TRANSACTIONS_MASTER!$G$5:$G$1204,$Q101)&amp;"")</f>
        <v/>
      </c>
      <c r="F101" s="29" t="str">
        <f>IF($Q101="","",INDEX(TRANSACTIONS_MASTER!$I$5:$I$1204,$Q101))</f>
        <v/>
      </c>
      <c r="G101" s="55" t="str">
        <f>IF($Q101="","",INDEX(TRANSACTIONS_MASTER!$K$5:$K$1204,$Q101))</f>
        <v/>
      </c>
      <c r="H101" s="25" t="str">
        <f>IF($Q101="","",INDEX(TRANSACTIONS_MASTER!$L$5:$L$1204,$Q101))</f>
        <v/>
      </c>
      <c r="I101" s="56" t="str">
        <f>IF($Q101="","",INDEX(TRANSACTIONS_MASTER!$N$5:$N$1204,$Q101))</f>
        <v/>
      </c>
      <c r="J101" s="25" t="str">
        <f>IF($Q101="","",INDEX(TRANSACTIONS_MASTER!$O$5:$O$1204,$Q101))</f>
        <v/>
      </c>
      <c r="K101" s="26" t="str">
        <f>IF($Q101="","",INDEX(TRANSACTIONS_MASTER!$Q$5:$Q$1204,$Q101))</f>
        <v/>
      </c>
      <c r="L101" s="25" t="str">
        <f>IF($Q101="","",INDEX(TRANSACTIONS_MASTER!$P$5:$P$1204,$Q101))</f>
        <v/>
      </c>
      <c r="M101" s="25" t="str">
        <f>IF($Q101="","",INDEX(TRANSACTIONS_MASTER!$AA$5:$AA$1204,$Q101))</f>
        <v/>
      </c>
      <c r="N101" s="25" t="str">
        <f>IF($Q101="","",INDEX(TRANSACTIONS_MASTER!$R$5:$R$1204,$Q101))</f>
        <v/>
      </c>
      <c r="O101" s="28" t="str">
        <f>IF($Q101="","",INDEX(TRANSACTIONS_MASTER!$AB$5:$AB$1204,$Q101))</f>
        <v/>
      </c>
      <c r="P101" s="55" t="str">
        <f>IF($Q101="","",INDEX(TRANSACTIONS_MASTER!$Z$5:$Z$1204,$Q101)&amp;"")</f>
        <v/>
      </c>
      <c r="Q101" s="67" t="str">
        <f>IFERROR(MATCH($C$2&amp;"|"&amp;94,TRANSACTIONS_MASTER!$AE$5:$AE$1204,0),"")</f>
        <v/>
      </c>
      <c r="S101" s="67">
        <f>IFERROR(MATCH(5,CARDS!$O$5:$O$34,0),"")</f>
        <v>5</v>
      </c>
      <c r="T101" s="55" t="n"/>
      <c r="U101" s="55" t="str">
        <f>IF($S101="","",INDEX(CARDS!$B$5:$B$34,$S101))</f>
        <v>MB</v>
      </c>
      <c r="V101" s="25">
        <f>IF($S101="","",SUMIFS(TRANSACTIONS_MASTER!$L$5:$L$1204,TRANSACTIONS_MASTER!$E$5:$E$1204,$U101,TRANSACTIONS_MASTER!$C$5:$C$1204,$C$2,TRANSACTIONS_MASTER!$U$5:$U$1204,"&lt;&gt;Cancelled"))</f>
        <v>0</v>
      </c>
      <c r="W101" s="26">
        <f>IF($S101="","",SUMIFS(TRANSACTIONS_MASTER!$Q$5:$Q$1204,TRANSACTIONS_MASTER!$E$5:$E$1204,$U101,TRANSACTIONS_MASTER!$C$5:$C$1204,$C$2))</f>
        <v>0</v>
      </c>
    </row>
    <row r="102">
      <c r="A102" s="81" t="str">
        <f>IF($Q102="","",95)</f>
        <v/>
      </c>
      <c r="B102" s="57" t="str">
        <f>IF($Q102="","",INDEX(TRANSACTIONS_MASTER!$B$5:$B$1204,$Q102))</f>
        <v/>
      </c>
      <c r="C102" s="55" t="str">
        <f>IF($Q102="","",INDEX(TRANSACTIONS_MASTER!$F$5:$F$1204,$Q102))</f>
        <v/>
      </c>
      <c r="D102" s="55" t="str">
        <f>IF($Q102="","",INDEX(TRANSACTIONS_MASTER!$E$5:$E$1204,$Q102))</f>
        <v/>
      </c>
      <c r="E102" s="55" t="str">
        <f>IF($Q102="","",INDEX(TRANSACTIONS_MASTER!$G$5:$G$1204,$Q102)&amp;"")</f>
        <v/>
      </c>
      <c r="F102" s="29" t="str">
        <f>IF($Q102="","",INDEX(TRANSACTIONS_MASTER!$I$5:$I$1204,$Q102))</f>
        <v/>
      </c>
      <c r="G102" s="55" t="str">
        <f>IF($Q102="","",INDEX(TRANSACTIONS_MASTER!$K$5:$K$1204,$Q102))</f>
        <v/>
      </c>
      <c r="H102" s="25" t="str">
        <f>IF($Q102="","",INDEX(TRANSACTIONS_MASTER!$L$5:$L$1204,$Q102))</f>
        <v/>
      </c>
      <c r="I102" s="56" t="str">
        <f>IF($Q102="","",INDEX(TRANSACTIONS_MASTER!$N$5:$N$1204,$Q102))</f>
        <v/>
      </c>
      <c r="J102" s="25" t="str">
        <f>IF($Q102="","",INDEX(TRANSACTIONS_MASTER!$O$5:$O$1204,$Q102))</f>
        <v/>
      </c>
      <c r="K102" s="26" t="str">
        <f>IF($Q102="","",INDEX(TRANSACTIONS_MASTER!$Q$5:$Q$1204,$Q102))</f>
        <v/>
      </c>
      <c r="L102" s="25" t="str">
        <f>IF($Q102="","",INDEX(TRANSACTIONS_MASTER!$P$5:$P$1204,$Q102))</f>
        <v/>
      </c>
      <c r="M102" s="25" t="str">
        <f>IF($Q102="","",INDEX(TRANSACTIONS_MASTER!$AA$5:$AA$1204,$Q102))</f>
        <v/>
      </c>
      <c r="N102" s="25" t="str">
        <f>IF($Q102="","",INDEX(TRANSACTIONS_MASTER!$R$5:$R$1204,$Q102))</f>
        <v/>
      </c>
      <c r="O102" s="28" t="str">
        <f>IF($Q102="","",INDEX(TRANSACTIONS_MASTER!$AB$5:$AB$1204,$Q102))</f>
        <v/>
      </c>
      <c r="P102" s="55" t="str">
        <f>IF($Q102="","",INDEX(TRANSACTIONS_MASTER!$Z$5:$Z$1204,$Q102)&amp;"")</f>
        <v/>
      </c>
      <c r="Q102" s="67" t="str">
        <f>IFERROR(MATCH($C$2&amp;"|"&amp;95,TRANSACTIONS_MASTER!$AE$5:$AE$1204,0),"")</f>
        <v/>
      </c>
      <c r="S102" s="67">
        <f>IFERROR(MATCH(6,CARDS!$O$5:$O$34,0),"")</f>
        <v>6</v>
      </c>
      <c r="T102" s="55" t="n"/>
      <c r="U102" s="55" t="str">
        <f>IF($S102="","",INDEX(CARDS!$B$5:$B$34,$S102))</f>
        <v>ACB</v>
      </c>
      <c r="V102" s="25">
        <f>IF($S102="","",SUMIFS(TRANSACTIONS_MASTER!$L$5:$L$1204,TRANSACTIONS_MASTER!$E$5:$E$1204,$U102,TRANSACTIONS_MASTER!$C$5:$C$1204,$C$2,TRANSACTIONS_MASTER!$U$5:$U$1204,"&lt;&gt;Cancelled"))</f>
        <v>0</v>
      </c>
      <c r="W102" s="26">
        <f>IF($S102="","",SUMIFS(TRANSACTIONS_MASTER!$Q$5:$Q$1204,TRANSACTIONS_MASTER!$E$5:$E$1204,$U102,TRANSACTIONS_MASTER!$C$5:$C$1204,$C$2))</f>
        <v>0</v>
      </c>
    </row>
    <row r="103">
      <c r="A103" s="81" t="str">
        <f>IF($Q103="","",96)</f>
        <v/>
      </c>
      <c r="B103" s="57" t="str">
        <f>IF($Q103="","",INDEX(TRANSACTIONS_MASTER!$B$5:$B$1204,$Q103))</f>
        <v/>
      </c>
      <c r="C103" s="55" t="str">
        <f>IF($Q103="","",INDEX(TRANSACTIONS_MASTER!$F$5:$F$1204,$Q103))</f>
        <v/>
      </c>
      <c r="D103" s="55" t="str">
        <f>IF($Q103="","",INDEX(TRANSACTIONS_MASTER!$E$5:$E$1204,$Q103))</f>
        <v/>
      </c>
      <c r="E103" s="55" t="str">
        <f>IF($Q103="","",INDEX(TRANSACTIONS_MASTER!$G$5:$G$1204,$Q103)&amp;"")</f>
        <v/>
      </c>
      <c r="F103" s="29" t="str">
        <f>IF($Q103="","",INDEX(TRANSACTIONS_MASTER!$I$5:$I$1204,$Q103))</f>
        <v/>
      </c>
      <c r="G103" s="55" t="str">
        <f>IF($Q103="","",INDEX(TRANSACTIONS_MASTER!$K$5:$K$1204,$Q103))</f>
        <v/>
      </c>
      <c r="H103" s="25" t="str">
        <f>IF($Q103="","",INDEX(TRANSACTIONS_MASTER!$L$5:$L$1204,$Q103))</f>
        <v/>
      </c>
      <c r="I103" s="56" t="str">
        <f>IF($Q103="","",INDEX(TRANSACTIONS_MASTER!$N$5:$N$1204,$Q103))</f>
        <v/>
      </c>
      <c r="J103" s="25" t="str">
        <f>IF($Q103="","",INDEX(TRANSACTIONS_MASTER!$O$5:$O$1204,$Q103))</f>
        <v/>
      </c>
      <c r="K103" s="26" t="str">
        <f>IF($Q103="","",INDEX(TRANSACTIONS_MASTER!$Q$5:$Q$1204,$Q103))</f>
        <v/>
      </c>
      <c r="L103" s="25" t="str">
        <f>IF($Q103="","",INDEX(TRANSACTIONS_MASTER!$P$5:$P$1204,$Q103))</f>
        <v/>
      </c>
      <c r="M103" s="25" t="str">
        <f>IF($Q103="","",INDEX(TRANSACTIONS_MASTER!$AA$5:$AA$1204,$Q103))</f>
        <v/>
      </c>
      <c r="N103" s="25" t="str">
        <f>IF($Q103="","",INDEX(TRANSACTIONS_MASTER!$R$5:$R$1204,$Q103))</f>
        <v/>
      </c>
      <c r="O103" s="28" t="str">
        <f>IF($Q103="","",INDEX(TRANSACTIONS_MASTER!$AB$5:$AB$1204,$Q103))</f>
        <v/>
      </c>
      <c r="P103" s="55" t="str">
        <f>IF($Q103="","",INDEX(TRANSACTIONS_MASTER!$Z$5:$Z$1204,$Q103)&amp;"")</f>
        <v/>
      </c>
      <c r="Q103" s="67" t="str">
        <f>IFERROR(MATCH($C$2&amp;"|"&amp;96,TRANSACTIONS_MASTER!$AE$5:$AE$1204,0),"")</f>
        <v/>
      </c>
      <c r="S103" s="67" t="str">
        <f>IFERROR(MATCH(7,CARDS!$O$5:$O$34,0),"")</f>
        <v/>
      </c>
      <c r="T103" s="55" t="n"/>
      <c r="U103" s="55" t="str">
        <f>IF($S103="","",INDEX(CARDS!$B$5:$B$34,$S103))</f>
        <v/>
      </c>
      <c r="V103" s="25" t="str">
        <f>IF($S103="","",SUMIFS(TRANSACTIONS_MASTER!$L$5:$L$1204,TRANSACTIONS_MASTER!$E$5:$E$1204,$U103,TRANSACTIONS_MASTER!$C$5:$C$1204,$C$2,TRANSACTIONS_MASTER!$U$5:$U$1204,"&lt;&gt;Cancelled"))</f>
        <v/>
      </c>
      <c r="W103" s="26" t="str">
        <f>IF($S103="","",SUMIFS(TRANSACTIONS_MASTER!$Q$5:$Q$1204,TRANSACTIONS_MASTER!$E$5:$E$1204,$U103,TRANSACTIONS_MASTER!$C$5:$C$1204,$C$2))</f>
        <v/>
      </c>
    </row>
    <row r="104">
      <c r="A104" s="81" t="str">
        <f>IF($Q104="","",97)</f>
        <v/>
      </c>
      <c r="B104" s="57" t="str">
        <f>IF($Q104="","",INDEX(TRANSACTIONS_MASTER!$B$5:$B$1204,$Q104))</f>
        <v/>
      </c>
      <c r="C104" s="55" t="str">
        <f>IF($Q104="","",INDEX(TRANSACTIONS_MASTER!$F$5:$F$1204,$Q104))</f>
        <v/>
      </c>
      <c r="D104" s="55" t="str">
        <f>IF($Q104="","",INDEX(TRANSACTIONS_MASTER!$E$5:$E$1204,$Q104))</f>
        <v/>
      </c>
      <c r="E104" s="55" t="str">
        <f>IF($Q104="","",INDEX(TRANSACTIONS_MASTER!$G$5:$G$1204,$Q104)&amp;"")</f>
        <v/>
      </c>
      <c r="F104" s="29" t="str">
        <f>IF($Q104="","",INDEX(TRANSACTIONS_MASTER!$I$5:$I$1204,$Q104))</f>
        <v/>
      </c>
      <c r="G104" s="55" t="str">
        <f>IF($Q104="","",INDEX(TRANSACTIONS_MASTER!$K$5:$K$1204,$Q104))</f>
        <v/>
      </c>
      <c r="H104" s="25" t="str">
        <f>IF($Q104="","",INDEX(TRANSACTIONS_MASTER!$L$5:$L$1204,$Q104))</f>
        <v/>
      </c>
      <c r="I104" s="56" t="str">
        <f>IF($Q104="","",INDEX(TRANSACTIONS_MASTER!$N$5:$N$1204,$Q104))</f>
        <v/>
      </c>
      <c r="J104" s="25" t="str">
        <f>IF($Q104="","",INDEX(TRANSACTIONS_MASTER!$O$5:$O$1204,$Q104))</f>
        <v/>
      </c>
      <c r="K104" s="26" t="str">
        <f>IF($Q104="","",INDEX(TRANSACTIONS_MASTER!$Q$5:$Q$1204,$Q104))</f>
        <v/>
      </c>
      <c r="L104" s="25" t="str">
        <f>IF($Q104="","",INDEX(TRANSACTIONS_MASTER!$P$5:$P$1204,$Q104))</f>
        <v/>
      </c>
      <c r="M104" s="25" t="str">
        <f>IF($Q104="","",INDEX(TRANSACTIONS_MASTER!$AA$5:$AA$1204,$Q104))</f>
        <v/>
      </c>
      <c r="N104" s="25" t="str">
        <f>IF($Q104="","",INDEX(TRANSACTIONS_MASTER!$R$5:$R$1204,$Q104))</f>
        <v/>
      </c>
      <c r="O104" s="28" t="str">
        <f>IF($Q104="","",INDEX(TRANSACTIONS_MASTER!$AB$5:$AB$1204,$Q104))</f>
        <v/>
      </c>
      <c r="P104" s="55" t="str">
        <f>IF($Q104="","",INDEX(TRANSACTIONS_MASTER!$Z$5:$Z$1204,$Q104)&amp;"")</f>
        <v/>
      </c>
      <c r="Q104" s="67" t="str">
        <f>IFERROR(MATCH($C$2&amp;"|"&amp;97,TRANSACTIONS_MASTER!$AE$5:$AE$1204,0),"")</f>
        <v/>
      </c>
      <c r="S104" s="67" t="str">
        <f>IFERROR(MATCH(8,CARDS!$O$5:$O$34,0),"")</f>
        <v/>
      </c>
      <c r="T104" s="55" t="n"/>
      <c r="U104" s="55" t="str">
        <f>IF($S104="","",INDEX(CARDS!$B$5:$B$34,$S104))</f>
        <v/>
      </c>
      <c r="V104" s="25" t="str">
        <f>IF($S104="","",SUMIFS(TRANSACTIONS_MASTER!$L$5:$L$1204,TRANSACTIONS_MASTER!$E$5:$E$1204,$U104,TRANSACTIONS_MASTER!$C$5:$C$1204,$C$2,TRANSACTIONS_MASTER!$U$5:$U$1204,"&lt;&gt;Cancelled"))</f>
        <v/>
      </c>
      <c r="W104" s="26" t="str">
        <f>IF($S104="","",SUMIFS(TRANSACTIONS_MASTER!$Q$5:$Q$1204,TRANSACTIONS_MASTER!$E$5:$E$1204,$U104,TRANSACTIONS_MASTER!$C$5:$C$1204,$C$2))</f>
        <v/>
      </c>
    </row>
    <row r="105">
      <c r="A105" s="81" t="str">
        <f>IF($Q105="","",98)</f>
        <v/>
      </c>
      <c r="B105" s="57" t="str">
        <f>IF($Q105="","",INDEX(TRANSACTIONS_MASTER!$B$5:$B$1204,$Q105))</f>
        <v/>
      </c>
      <c r="C105" s="55" t="str">
        <f>IF($Q105="","",INDEX(TRANSACTIONS_MASTER!$F$5:$F$1204,$Q105))</f>
        <v/>
      </c>
      <c r="D105" s="55" t="str">
        <f>IF($Q105="","",INDEX(TRANSACTIONS_MASTER!$E$5:$E$1204,$Q105))</f>
        <v/>
      </c>
      <c r="E105" s="55" t="str">
        <f>IF($Q105="","",INDEX(TRANSACTIONS_MASTER!$G$5:$G$1204,$Q105)&amp;"")</f>
        <v/>
      </c>
      <c r="F105" s="29" t="str">
        <f>IF($Q105="","",INDEX(TRANSACTIONS_MASTER!$I$5:$I$1204,$Q105))</f>
        <v/>
      </c>
      <c r="G105" s="55" t="str">
        <f>IF($Q105="","",INDEX(TRANSACTIONS_MASTER!$K$5:$K$1204,$Q105))</f>
        <v/>
      </c>
      <c r="H105" s="25" t="str">
        <f>IF($Q105="","",INDEX(TRANSACTIONS_MASTER!$L$5:$L$1204,$Q105))</f>
        <v/>
      </c>
      <c r="I105" s="56" t="str">
        <f>IF($Q105="","",INDEX(TRANSACTIONS_MASTER!$N$5:$N$1204,$Q105))</f>
        <v/>
      </c>
      <c r="J105" s="25" t="str">
        <f>IF($Q105="","",INDEX(TRANSACTIONS_MASTER!$O$5:$O$1204,$Q105))</f>
        <v/>
      </c>
      <c r="K105" s="26" t="str">
        <f>IF($Q105="","",INDEX(TRANSACTIONS_MASTER!$Q$5:$Q$1204,$Q105))</f>
        <v/>
      </c>
      <c r="L105" s="25" t="str">
        <f>IF($Q105="","",INDEX(TRANSACTIONS_MASTER!$P$5:$P$1204,$Q105))</f>
        <v/>
      </c>
      <c r="M105" s="25" t="str">
        <f>IF($Q105="","",INDEX(TRANSACTIONS_MASTER!$AA$5:$AA$1204,$Q105))</f>
        <v/>
      </c>
      <c r="N105" s="25" t="str">
        <f>IF($Q105="","",INDEX(TRANSACTIONS_MASTER!$R$5:$R$1204,$Q105))</f>
        <v/>
      </c>
      <c r="O105" s="28" t="str">
        <f>IF($Q105="","",INDEX(TRANSACTIONS_MASTER!$AB$5:$AB$1204,$Q105))</f>
        <v/>
      </c>
      <c r="P105" s="55" t="str">
        <f>IF($Q105="","",INDEX(TRANSACTIONS_MASTER!$Z$5:$Z$1204,$Q105)&amp;"")</f>
        <v/>
      </c>
      <c r="Q105" s="67" t="str">
        <f>IFERROR(MATCH($C$2&amp;"|"&amp;98,TRANSACTIONS_MASTER!$AE$5:$AE$1204,0),"")</f>
        <v/>
      </c>
      <c r="S105" s="67" t="str">
        <f>IFERROR(MATCH(9,CARDS!$O$5:$O$34,0),"")</f>
        <v/>
      </c>
      <c r="T105" s="55" t="n"/>
      <c r="U105" s="55" t="str">
        <f>IF($S105="","",INDEX(CARDS!$B$5:$B$34,$S105))</f>
        <v/>
      </c>
      <c r="V105" s="25" t="str">
        <f>IF($S105="","",SUMIFS(TRANSACTIONS_MASTER!$L$5:$L$1204,TRANSACTIONS_MASTER!$E$5:$E$1204,$U105,TRANSACTIONS_MASTER!$C$5:$C$1204,$C$2,TRANSACTIONS_MASTER!$U$5:$U$1204,"&lt;&gt;Cancelled"))</f>
        <v/>
      </c>
      <c r="W105" s="26" t="str">
        <f>IF($S105="","",SUMIFS(TRANSACTIONS_MASTER!$Q$5:$Q$1204,TRANSACTIONS_MASTER!$E$5:$E$1204,$U105,TRANSACTIONS_MASTER!$C$5:$C$1204,$C$2))</f>
        <v/>
      </c>
    </row>
    <row r="106">
      <c r="A106" s="81" t="str">
        <f>IF($Q106="","",99)</f>
        <v/>
      </c>
      <c r="B106" s="57" t="str">
        <f>IF($Q106="","",INDEX(TRANSACTIONS_MASTER!$B$5:$B$1204,$Q106))</f>
        <v/>
      </c>
      <c r="C106" s="55" t="str">
        <f>IF($Q106="","",INDEX(TRANSACTIONS_MASTER!$F$5:$F$1204,$Q106))</f>
        <v/>
      </c>
      <c r="D106" s="55" t="str">
        <f>IF($Q106="","",INDEX(TRANSACTIONS_MASTER!$E$5:$E$1204,$Q106))</f>
        <v/>
      </c>
      <c r="E106" s="55" t="str">
        <f>IF($Q106="","",INDEX(TRANSACTIONS_MASTER!$G$5:$G$1204,$Q106)&amp;"")</f>
        <v/>
      </c>
      <c r="F106" s="29" t="str">
        <f>IF($Q106="","",INDEX(TRANSACTIONS_MASTER!$I$5:$I$1204,$Q106))</f>
        <v/>
      </c>
      <c r="G106" s="55" t="str">
        <f>IF($Q106="","",INDEX(TRANSACTIONS_MASTER!$K$5:$K$1204,$Q106))</f>
        <v/>
      </c>
      <c r="H106" s="25" t="str">
        <f>IF($Q106="","",INDEX(TRANSACTIONS_MASTER!$L$5:$L$1204,$Q106))</f>
        <v/>
      </c>
      <c r="I106" s="56" t="str">
        <f>IF($Q106="","",INDEX(TRANSACTIONS_MASTER!$N$5:$N$1204,$Q106))</f>
        <v/>
      </c>
      <c r="J106" s="25" t="str">
        <f>IF($Q106="","",INDEX(TRANSACTIONS_MASTER!$O$5:$O$1204,$Q106))</f>
        <v/>
      </c>
      <c r="K106" s="26" t="str">
        <f>IF($Q106="","",INDEX(TRANSACTIONS_MASTER!$Q$5:$Q$1204,$Q106))</f>
        <v/>
      </c>
      <c r="L106" s="25" t="str">
        <f>IF($Q106="","",INDEX(TRANSACTIONS_MASTER!$P$5:$P$1204,$Q106))</f>
        <v/>
      </c>
      <c r="M106" s="25" t="str">
        <f>IF($Q106="","",INDEX(TRANSACTIONS_MASTER!$AA$5:$AA$1204,$Q106))</f>
        <v/>
      </c>
      <c r="N106" s="25" t="str">
        <f>IF($Q106="","",INDEX(TRANSACTIONS_MASTER!$R$5:$R$1204,$Q106))</f>
        <v/>
      </c>
      <c r="O106" s="28" t="str">
        <f>IF($Q106="","",INDEX(TRANSACTIONS_MASTER!$AB$5:$AB$1204,$Q106))</f>
        <v/>
      </c>
      <c r="P106" s="55" t="str">
        <f>IF($Q106="","",INDEX(TRANSACTIONS_MASTER!$Z$5:$Z$1204,$Q106)&amp;"")</f>
        <v/>
      </c>
      <c r="Q106" s="67" t="str">
        <f>IFERROR(MATCH($C$2&amp;"|"&amp;99,TRANSACTIONS_MASTER!$AE$5:$AE$1204,0),"")</f>
        <v/>
      </c>
      <c r="S106" s="67" t="str">
        <f>IFERROR(MATCH(10,CARDS!$O$5:$O$34,0),"")</f>
        <v/>
      </c>
      <c r="T106" s="55" t="n"/>
      <c r="U106" s="55" t="str">
        <f>IF($S106="","",INDEX(CARDS!$B$5:$B$34,$S106))</f>
        <v/>
      </c>
      <c r="V106" s="25" t="str">
        <f>IF($S106="","",SUMIFS(TRANSACTIONS_MASTER!$L$5:$L$1204,TRANSACTIONS_MASTER!$E$5:$E$1204,$U106,TRANSACTIONS_MASTER!$C$5:$C$1204,$C$2,TRANSACTIONS_MASTER!$U$5:$U$1204,"&lt;&gt;Cancelled"))</f>
        <v/>
      </c>
      <c r="W106" s="26" t="str">
        <f>IF($S106="","",SUMIFS(TRANSACTIONS_MASTER!$Q$5:$Q$1204,TRANSACTIONS_MASTER!$E$5:$E$1204,$U106,TRANSACTIONS_MASTER!$C$5:$C$1204,$C$2))</f>
        <v/>
      </c>
    </row>
    <row r="107">
      <c r="A107" s="81" t="str">
        <f>IF($Q107="","",100)</f>
        <v/>
      </c>
      <c r="B107" s="57" t="str">
        <f>IF($Q107="","",INDEX(TRANSACTIONS_MASTER!$B$5:$B$1204,$Q107))</f>
        <v/>
      </c>
      <c r="C107" s="55" t="str">
        <f>IF($Q107="","",INDEX(TRANSACTIONS_MASTER!$F$5:$F$1204,$Q107))</f>
        <v/>
      </c>
      <c r="D107" s="55" t="str">
        <f>IF($Q107="","",INDEX(TRANSACTIONS_MASTER!$E$5:$E$1204,$Q107))</f>
        <v/>
      </c>
      <c r="E107" s="55" t="str">
        <f>IF($Q107="","",INDEX(TRANSACTIONS_MASTER!$G$5:$G$1204,$Q107)&amp;"")</f>
        <v/>
      </c>
      <c r="F107" s="29" t="str">
        <f>IF($Q107="","",INDEX(TRANSACTIONS_MASTER!$I$5:$I$1204,$Q107))</f>
        <v/>
      </c>
      <c r="G107" s="55" t="str">
        <f>IF($Q107="","",INDEX(TRANSACTIONS_MASTER!$K$5:$K$1204,$Q107))</f>
        <v/>
      </c>
      <c r="H107" s="25" t="str">
        <f>IF($Q107="","",INDEX(TRANSACTIONS_MASTER!$L$5:$L$1204,$Q107))</f>
        <v/>
      </c>
      <c r="I107" s="56" t="str">
        <f>IF($Q107="","",INDEX(TRANSACTIONS_MASTER!$N$5:$N$1204,$Q107))</f>
        <v/>
      </c>
      <c r="J107" s="25" t="str">
        <f>IF($Q107="","",INDEX(TRANSACTIONS_MASTER!$O$5:$O$1204,$Q107))</f>
        <v/>
      </c>
      <c r="K107" s="26" t="str">
        <f>IF($Q107="","",INDEX(TRANSACTIONS_MASTER!$Q$5:$Q$1204,$Q107))</f>
        <v/>
      </c>
      <c r="L107" s="25" t="str">
        <f>IF($Q107="","",INDEX(TRANSACTIONS_MASTER!$P$5:$P$1204,$Q107))</f>
        <v/>
      </c>
      <c r="M107" s="25" t="str">
        <f>IF($Q107="","",INDEX(TRANSACTIONS_MASTER!$AA$5:$AA$1204,$Q107))</f>
        <v/>
      </c>
      <c r="N107" s="25" t="str">
        <f>IF($Q107="","",INDEX(TRANSACTIONS_MASTER!$R$5:$R$1204,$Q107))</f>
        <v/>
      </c>
      <c r="O107" s="28" t="str">
        <f>IF($Q107="","",INDEX(TRANSACTIONS_MASTER!$AB$5:$AB$1204,$Q107))</f>
        <v/>
      </c>
      <c r="P107" s="55" t="str">
        <f>IF($Q107="","",INDEX(TRANSACTIONS_MASTER!$Z$5:$Z$1204,$Q107)&amp;"")</f>
        <v/>
      </c>
      <c r="Q107" s="67" t="str">
        <f>IFERROR(MATCH($C$2&amp;"|"&amp;100,TRANSACTIONS_MASTER!$AE$5:$AE$1204,0),"")</f>
        <v/>
      </c>
      <c r="S107" s="67" t="str">
        <f>IFERROR(MATCH(11,CARDS!$O$5:$O$34,0),"")</f>
        <v/>
      </c>
      <c r="T107" s="55" t="n"/>
      <c r="U107" s="55" t="str">
        <f>IF($S107="","",INDEX(CARDS!$B$5:$B$34,$S107))</f>
        <v/>
      </c>
      <c r="V107" s="25" t="str">
        <f>IF($S107="","",SUMIFS(TRANSACTIONS_MASTER!$L$5:$L$1204,TRANSACTIONS_MASTER!$E$5:$E$1204,$U107,TRANSACTIONS_MASTER!$C$5:$C$1204,$C$2,TRANSACTIONS_MASTER!$U$5:$U$1204,"&lt;&gt;Cancelled"))</f>
        <v/>
      </c>
      <c r="W107" s="26" t="str">
        <f>IF($S107="","",SUMIFS(TRANSACTIONS_MASTER!$Q$5:$Q$1204,TRANSACTIONS_MASTER!$E$5:$E$1204,$U107,TRANSACTIONS_MASTER!$C$5:$C$1204,$C$2))</f>
        <v/>
      </c>
    </row>
    <row r="108">
      <c r="A108" s="81" t="str">
        <f>IF($Q108="","",101)</f>
        <v/>
      </c>
      <c r="B108" s="57" t="str">
        <f>IF($Q108="","",INDEX(TRANSACTIONS_MASTER!$B$5:$B$1204,$Q108))</f>
        <v/>
      </c>
      <c r="C108" s="55" t="str">
        <f>IF($Q108="","",INDEX(TRANSACTIONS_MASTER!$F$5:$F$1204,$Q108))</f>
        <v/>
      </c>
      <c r="D108" s="55" t="str">
        <f>IF($Q108="","",INDEX(TRANSACTIONS_MASTER!$E$5:$E$1204,$Q108))</f>
        <v/>
      </c>
      <c r="E108" s="55" t="str">
        <f>IF($Q108="","",INDEX(TRANSACTIONS_MASTER!$G$5:$G$1204,$Q108)&amp;"")</f>
        <v/>
      </c>
      <c r="F108" s="29" t="str">
        <f>IF($Q108="","",INDEX(TRANSACTIONS_MASTER!$I$5:$I$1204,$Q108))</f>
        <v/>
      </c>
      <c r="G108" s="55" t="str">
        <f>IF($Q108="","",INDEX(TRANSACTIONS_MASTER!$K$5:$K$1204,$Q108))</f>
        <v/>
      </c>
      <c r="H108" s="25" t="str">
        <f>IF($Q108="","",INDEX(TRANSACTIONS_MASTER!$L$5:$L$1204,$Q108))</f>
        <v/>
      </c>
      <c r="I108" s="56" t="str">
        <f>IF($Q108="","",INDEX(TRANSACTIONS_MASTER!$N$5:$N$1204,$Q108))</f>
        <v/>
      </c>
      <c r="J108" s="25" t="str">
        <f>IF($Q108="","",INDEX(TRANSACTIONS_MASTER!$O$5:$O$1204,$Q108))</f>
        <v/>
      </c>
      <c r="K108" s="26" t="str">
        <f>IF($Q108="","",INDEX(TRANSACTIONS_MASTER!$Q$5:$Q$1204,$Q108))</f>
        <v/>
      </c>
      <c r="L108" s="25" t="str">
        <f>IF($Q108="","",INDEX(TRANSACTIONS_MASTER!$P$5:$P$1204,$Q108))</f>
        <v/>
      </c>
      <c r="M108" s="25" t="str">
        <f>IF($Q108="","",INDEX(TRANSACTIONS_MASTER!$AA$5:$AA$1204,$Q108))</f>
        <v/>
      </c>
      <c r="N108" s="25" t="str">
        <f>IF($Q108="","",INDEX(TRANSACTIONS_MASTER!$R$5:$R$1204,$Q108))</f>
        <v/>
      </c>
      <c r="O108" s="28" t="str">
        <f>IF($Q108="","",INDEX(TRANSACTIONS_MASTER!$AB$5:$AB$1204,$Q108))</f>
        <v/>
      </c>
      <c r="P108" s="55" t="str">
        <f>IF($Q108="","",INDEX(TRANSACTIONS_MASTER!$Z$5:$Z$1204,$Q108)&amp;"")</f>
        <v/>
      </c>
      <c r="Q108" s="67" t="str">
        <f>IFERROR(MATCH($C$2&amp;"|"&amp;101,TRANSACTIONS_MASTER!$AE$5:$AE$1204,0),"")</f>
        <v/>
      </c>
      <c r="S108" s="67" t="str">
        <f>IFERROR(MATCH(12,CARDS!$O$5:$O$34,0),"")</f>
        <v/>
      </c>
      <c r="T108" s="55" t="n"/>
      <c r="U108" s="55" t="str">
        <f>IF($S108="","",INDEX(CARDS!$B$5:$B$34,$S108))</f>
        <v/>
      </c>
      <c r="V108" s="25" t="str">
        <f>IF($S108="","",SUMIFS(TRANSACTIONS_MASTER!$L$5:$L$1204,TRANSACTIONS_MASTER!$E$5:$E$1204,$U108,TRANSACTIONS_MASTER!$C$5:$C$1204,$C$2,TRANSACTIONS_MASTER!$U$5:$U$1204,"&lt;&gt;Cancelled"))</f>
        <v/>
      </c>
      <c r="W108" s="26" t="str">
        <f>IF($S108="","",SUMIFS(TRANSACTIONS_MASTER!$Q$5:$Q$1204,TRANSACTIONS_MASTER!$E$5:$E$1204,$U108,TRANSACTIONS_MASTER!$C$5:$C$1204,$C$2))</f>
        <v/>
      </c>
    </row>
    <row r="109">
      <c r="A109" s="81" t="str">
        <f>IF($Q109="","",102)</f>
        <v/>
      </c>
      <c r="B109" s="57" t="str">
        <f>IF($Q109="","",INDEX(TRANSACTIONS_MASTER!$B$5:$B$1204,$Q109))</f>
        <v/>
      </c>
      <c r="C109" s="55" t="str">
        <f>IF($Q109="","",INDEX(TRANSACTIONS_MASTER!$F$5:$F$1204,$Q109))</f>
        <v/>
      </c>
      <c r="D109" s="55" t="str">
        <f>IF($Q109="","",INDEX(TRANSACTIONS_MASTER!$E$5:$E$1204,$Q109))</f>
        <v/>
      </c>
      <c r="E109" s="55" t="str">
        <f>IF($Q109="","",INDEX(TRANSACTIONS_MASTER!$G$5:$G$1204,$Q109)&amp;"")</f>
        <v/>
      </c>
      <c r="F109" s="29" t="str">
        <f>IF($Q109="","",INDEX(TRANSACTIONS_MASTER!$I$5:$I$1204,$Q109))</f>
        <v/>
      </c>
      <c r="G109" s="55" t="str">
        <f>IF($Q109="","",INDEX(TRANSACTIONS_MASTER!$K$5:$K$1204,$Q109))</f>
        <v/>
      </c>
      <c r="H109" s="25" t="str">
        <f>IF($Q109="","",INDEX(TRANSACTIONS_MASTER!$L$5:$L$1204,$Q109))</f>
        <v/>
      </c>
      <c r="I109" s="56" t="str">
        <f>IF($Q109="","",INDEX(TRANSACTIONS_MASTER!$N$5:$N$1204,$Q109))</f>
        <v/>
      </c>
      <c r="J109" s="25" t="str">
        <f>IF($Q109="","",INDEX(TRANSACTIONS_MASTER!$O$5:$O$1204,$Q109))</f>
        <v/>
      </c>
      <c r="K109" s="26" t="str">
        <f>IF($Q109="","",INDEX(TRANSACTIONS_MASTER!$Q$5:$Q$1204,$Q109))</f>
        <v/>
      </c>
      <c r="L109" s="25" t="str">
        <f>IF($Q109="","",INDEX(TRANSACTIONS_MASTER!$P$5:$P$1204,$Q109))</f>
        <v/>
      </c>
      <c r="M109" s="25" t="str">
        <f>IF($Q109="","",INDEX(TRANSACTIONS_MASTER!$AA$5:$AA$1204,$Q109))</f>
        <v/>
      </c>
      <c r="N109" s="25" t="str">
        <f>IF($Q109="","",INDEX(TRANSACTIONS_MASTER!$R$5:$R$1204,$Q109))</f>
        <v/>
      </c>
      <c r="O109" s="28" t="str">
        <f>IF($Q109="","",INDEX(TRANSACTIONS_MASTER!$AB$5:$AB$1204,$Q109))</f>
        <v/>
      </c>
      <c r="P109" s="55" t="str">
        <f>IF($Q109="","",INDEX(TRANSACTIONS_MASTER!$Z$5:$Z$1204,$Q109)&amp;"")</f>
        <v/>
      </c>
      <c r="Q109" s="67" t="str">
        <f>IFERROR(MATCH($C$2&amp;"|"&amp;102,TRANSACTIONS_MASTER!$AE$5:$AE$1204,0),"")</f>
        <v/>
      </c>
      <c r="S109" s="67" t="str">
        <f>IFERROR(MATCH(13,CARDS!$O$5:$O$34,0),"")</f>
        <v/>
      </c>
      <c r="T109" s="55" t="n"/>
      <c r="U109" s="55" t="str">
        <f>IF($S109="","",INDEX(CARDS!$B$5:$B$34,$S109))</f>
        <v/>
      </c>
      <c r="V109" s="25" t="str">
        <f>IF($S109="","",SUMIFS(TRANSACTIONS_MASTER!$L$5:$L$1204,TRANSACTIONS_MASTER!$E$5:$E$1204,$U109,TRANSACTIONS_MASTER!$C$5:$C$1204,$C$2,TRANSACTIONS_MASTER!$U$5:$U$1204,"&lt;&gt;Cancelled"))</f>
        <v/>
      </c>
      <c r="W109" s="26" t="str">
        <f>IF($S109="","",SUMIFS(TRANSACTIONS_MASTER!$Q$5:$Q$1204,TRANSACTIONS_MASTER!$E$5:$E$1204,$U109,TRANSACTIONS_MASTER!$C$5:$C$1204,$C$2))</f>
        <v/>
      </c>
    </row>
    <row r="110">
      <c r="A110" s="81" t="str">
        <f>IF($Q110="","",103)</f>
        <v/>
      </c>
      <c r="B110" s="57" t="str">
        <f>IF($Q110="","",INDEX(TRANSACTIONS_MASTER!$B$5:$B$1204,$Q110))</f>
        <v/>
      </c>
      <c r="C110" s="55" t="str">
        <f>IF($Q110="","",INDEX(TRANSACTIONS_MASTER!$F$5:$F$1204,$Q110))</f>
        <v/>
      </c>
      <c r="D110" s="55" t="str">
        <f>IF($Q110="","",INDEX(TRANSACTIONS_MASTER!$E$5:$E$1204,$Q110))</f>
        <v/>
      </c>
      <c r="E110" s="55" t="str">
        <f>IF($Q110="","",INDEX(TRANSACTIONS_MASTER!$G$5:$G$1204,$Q110)&amp;"")</f>
        <v/>
      </c>
      <c r="F110" s="29" t="str">
        <f>IF($Q110="","",INDEX(TRANSACTIONS_MASTER!$I$5:$I$1204,$Q110))</f>
        <v/>
      </c>
      <c r="G110" s="55" t="str">
        <f>IF($Q110="","",INDEX(TRANSACTIONS_MASTER!$K$5:$K$1204,$Q110))</f>
        <v/>
      </c>
      <c r="H110" s="25" t="str">
        <f>IF($Q110="","",INDEX(TRANSACTIONS_MASTER!$L$5:$L$1204,$Q110))</f>
        <v/>
      </c>
      <c r="I110" s="56" t="str">
        <f>IF($Q110="","",INDEX(TRANSACTIONS_MASTER!$N$5:$N$1204,$Q110))</f>
        <v/>
      </c>
      <c r="J110" s="25" t="str">
        <f>IF($Q110="","",INDEX(TRANSACTIONS_MASTER!$O$5:$O$1204,$Q110))</f>
        <v/>
      </c>
      <c r="K110" s="26" t="str">
        <f>IF($Q110="","",INDEX(TRANSACTIONS_MASTER!$Q$5:$Q$1204,$Q110))</f>
        <v/>
      </c>
      <c r="L110" s="25" t="str">
        <f>IF($Q110="","",INDEX(TRANSACTIONS_MASTER!$P$5:$P$1204,$Q110))</f>
        <v/>
      </c>
      <c r="M110" s="25" t="str">
        <f>IF($Q110="","",INDEX(TRANSACTIONS_MASTER!$AA$5:$AA$1204,$Q110))</f>
        <v/>
      </c>
      <c r="N110" s="25" t="str">
        <f>IF($Q110="","",INDEX(TRANSACTIONS_MASTER!$R$5:$R$1204,$Q110))</f>
        <v/>
      </c>
      <c r="O110" s="28" t="str">
        <f>IF($Q110="","",INDEX(TRANSACTIONS_MASTER!$AB$5:$AB$1204,$Q110))</f>
        <v/>
      </c>
      <c r="P110" s="55" t="str">
        <f>IF($Q110="","",INDEX(TRANSACTIONS_MASTER!$Z$5:$Z$1204,$Q110)&amp;"")</f>
        <v/>
      </c>
      <c r="Q110" s="67" t="str">
        <f>IFERROR(MATCH($C$2&amp;"|"&amp;103,TRANSACTIONS_MASTER!$AE$5:$AE$1204,0),"")</f>
        <v/>
      </c>
      <c r="S110" s="67" t="str">
        <f>IFERROR(MATCH(14,CARDS!$O$5:$O$34,0),"")</f>
        <v/>
      </c>
      <c r="T110" s="55" t="n"/>
      <c r="U110" s="55" t="str">
        <f>IF($S110="","",INDEX(CARDS!$B$5:$B$34,$S110))</f>
        <v/>
      </c>
      <c r="V110" s="25" t="str">
        <f>IF($S110="","",SUMIFS(TRANSACTIONS_MASTER!$L$5:$L$1204,TRANSACTIONS_MASTER!$E$5:$E$1204,$U110,TRANSACTIONS_MASTER!$C$5:$C$1204,$C$2,TRANSACTIONS_MASTER!$U$5:$U$1204,"&lt;&gt;Cancelled"))</f>
        <v/>
      </c>
      <c r="W110" s="26" t="str">
        <f>IF($S110="","",SUMIFS(TRANSACTIONS_MASTER!$Q$5:$Q$1204,TRANSACTIONS_MASTER!$E$5:$E$1204,$U110,TRANSACTIONS_MASTER!$C$5:$C$1204,$C$2))</f>
        <v/>
      </c>
    </row>
    <row r="111">
      <c r="A111" s="81" t="str">
        <f>IF($Q111="","",104)</f>
        <v/>
      </c>
      <c r="B111" s="57" t="str">
        <f>IF($Q111="","",INDEX(TRANSACTIONS_MASTER!$B$5:$B$1204,$Q111))</f>
        <v/>
      </c>
      <c r="C111" s="55" t="str">
        <f>IF($Q111="","",INDEX(TRANSACTIONS_MASTER!$F$5:$F$1204,$Q111))</f>
        <v/>
      </c>
      <c r="D111" s="55" t="str">
        <f>IF($Q111="","",INDEX(TRANSACTIONS_MASTER!$E$5:$E$1204,$Q111))</f>
        <v/>
      </c>
      <c r="E111" s="55" t="str">
        <f>IF($Q111="","",INDEX(TRANSACTIONS_MASTER!$G$5:$G$1204,$Q111)&amp;"")</f>
        <v/>
      </c>
      <c r="F111" s="29" t="str">
        <f>IF($Q111="","",INDEX(TRANSACTIONS_MASTER!$I$5:$I$1204,$Q111))</f>
        <v/>
      </c>
      <c r="G111" s="55" t="str">
        <f>IF($Q111="","",INDEX(TRANSACTIONS_MASTER!$K$5:$K$1204,$Q111))</f>
        <v/>
      </c>
      <c r="H111" s="25" t="str">
        <f>IF($Q111="","",INDEX(TRANSACTIONS_MASTER!$L$5:$L$1204,$Q111))</f>
        <v/>
      </c>
      <c r="I111" s="56" t="str">
        <f>IF($Q111="","",INDEX(TRANSACTIONS_MASTER!$N$5:$N$1204,$Q111))</f>
        <v/>
      </c>
      <c r="J111" s="25" t="str">
        <f>IF($Q111="","",INDEX(TRANSACTIONS_MASTER!$O$5:$O$1204,$Q111))</f>
        <v/>
      </c>
      <c r="K111" s="26" t="str">
        <f>IF($Q111="","",INDEX(TRANSACTIONS_MASTER!$Q$5:$Q$1204,$Q111))</f>
        <v/>
      </c>
      <c r="L111" s="25" t="str">
        <f>IF($Q111="","",INDEX(TRANSACTIONS_MASTER!$P$5:$P$1204,$Q111))</f>
        <v/>
      </c>
      <c r="M111" s="25" t="str">
        <f>IF($Q111="","",INDEX(TRANSACTIONS_MASTER!$AA$5:$AA$1204,$Q111))</f>
        <v/>
      </c>
      <c r="N111" s="25" t="str">
        <f>IF($Q111="","",INDEX(TRANSACTIONS_MASTER!$R$5:$R$1204,$Q111))</f>
        <v/>
      </c>
      <c r="O111" s="28" t="str">
        <f>IF($Q111="","",INDEX(TRANSACTIONS_MASTER!$AB$5:$AB$1204,$Q111))</f>
        <v/>
      </c>
      <c r="P111" s="55" t="str">
        <f>IF($Q111="","",INDEX(TRANSACTIONS_MASTER!$Z$5:$Z$1204,$Q111)&amp;"")</f>
        <v/>
      </c>
      <c r="Q111" s="67" t="str">
        <f>IFERROR(MATCH($C$2&amp;"|"&amp;104,TRANSACTIONS_MASTER!$AE$5:$AE$1204,0),"")</f>
        <v/>
      </c>
      <c r="S111" s="67" t="str">
        <f>IFERROR(MATCH(15,CARDS!$O$5:$O$34,0),"")</f>
        <v/>
      </c>
      <c r="T111" s="55" t="n"/>
      <c r="U111" s="55" t="str">
        <f>IF($S111="","",INDEX(CARDS!$B$5:$B$34,$S111))</f>
        <v/>
      </c>
      <c r="V111" s="25" t="str">
        <f>IF($S111="","",SUMIFS(TRANSACTIONS_MASTER!$L$5:$L$1204,TRANSACTIONS_MASTER!$E$5:$E$1204,$U111,TRANSACTIONS_MASTER!$C$5:$C$1204,$C$2,TRANSACTIONS_MASTER!$U$5:$U$1204,"&lt;&gt;Cancelled"))</f>
        <v/>
      </c>
      <c r="W111" s="26" t="str">
        <f>IF($S111="","",SUMIFS(TRANSACTIONS_MASTER!$Q$5:$Q$1204,TRANSACTIONS_MASTER!$E$5:$E$1204,$U111,TRANSACTIONS_MASTER!$C$5:$C$1204,$C$2))</f>
        <v/>
      </c>
    </row>
    <row r="112">
      <c r="A112" s="81" t="str">
        <f>IF($Q112="","",105)</f>
        <v/>
      </c>
      <c r="B112" s="57" t="str">
        <f>IF($Q112="","",INDEX(TRANSACTIONS_MASTER!$B$5:$B$1204,$Q112))</f>
        <v/>
      </c>
      <c r="C112" s="55" t="str">
        <f>IF($Q112="","",INDEX(TRANSACTIONS_MASTER!$F$5:$F$1204,$Q112))</f>
        <v/>
      </c>
      <c r="D112" s="55" t="str">
        <f>IF($Q112="","",INDEX(TRANSACTIONS_MASTER!$E$5:$E$1204,$Q112))</f>
        <v/>
      </c>
      <c r="E112" s="55" t="str">
        <f>IF($Q112="","",INDEX(TRANSACTIONS_MASTER!$G$5:$G$1204,$Q112)&amp;"")</f>
        <v/>
      </c>
      <c r="F112" s="29" t="str">
        <f>IF($Q112="","",INDEX(TRANSACTIONS_MASTER!$I$5:$I$1204,$Q112))</f>
        <v/>
      </c>
      <c r="G112" s="55" t="str">
        <f>IF($Q112="","",INDEX(TRANSACTIONS_MASTER!$K$5:$K$1204,$Q112))</f>
        <v/>
      </c>
      <c r="H112" s="25" t="str">
        <f>IF($Q112="","",INDEX(TRANSACTIONS_MASTER!$L$5:$L$1204,$Q112))</f>
        <v/>
      </c>
      <c r="I112" s="56" t="str">
        <f>IF($Q112="","",INDEX(TRANSACTIONS_MASTER!$N$5:$N$1204,$Q112))</f>
        <v/>
      </c>
      <c r="J112" s="25" t="str">
        <f>IF($Q112="","",INDEX(TRANSACTIONS_MASTER!$O$5:$O$1204,$Q112))</f>
        <v/>
      </c>
      <c r="K112" s="26" t="str">
        <f>IF($Q112="","",INDEX(TRANSACTIONS_MASTER!$Q$5:$Q$1204,$Q112))</f>
        <v/>
      </c>
      <c r="L112" s="25" t="str">
        <f>IF($Q112="","",INDEX(TRANSACTIONS_MASTER!$P$5:$P$1204,$Q112))</f>
        <v/>
      </c>
      <c r="M112" s="25" t="str">
        <f>IF($Q112="","",INDEX(TRANSACTIONS_MASTER!$AA$5:$AA$1204,$Q112))</f>
        <v/>
      </c>
      <c r="N112" s="25" t="str">
        <f>IF($Q112="","",INDEX(TRANSACTIONS_MASTER!$R$5:$R$1204,$Q112))</f>
        <v/>
      </c>
      <c r="O112" s="28" t="str">
        <f>IF($Q112="","",INDEX(TRANSACTIONS_MASTER!$AB$5:$AB$1204,$Q112))</f>
        <v/>
      </c>
      <c r="P112" s="55" t="str">
        <f>IF($Q112="","",INDEX(TRANSACTIONS_MASTER!$Z$5:$Z$1204,$Q112)&amp;"")</f>
        <v/>
      </c>
      <c r="Q112" s="67" t="str">
        <f>IFERROR(MATCH($C$2&amp;"|"&amp;105,TRANSACTIONS_MASTER!$AE$5:$AE$1204,0),"")</f>
        <v/>
      </c>
      <c r="T112" s="68" t="n"/>
      <c r="U112" s="69" t="inlineStr">
        <is>
          <t>TỔNG</t>
        </is>
      </c>
      <c r="V112" s="31">
        <f>SUM(V97:V111)</f>
        <v>0</v>
      </c>
      <c r="W112" s="31">
        <f>SUM(W97:W111)</f>
        <v>0</v>
      </c>
    </row>
    <row r="113">
      <c r="A113" s="81" t="str">
        <f>IF($Q113="","",106)</f>
        <v/>
      </c>
      <c r="B113" s="57" t="str">
        <f>IF($Q113="","",INDEX(TRANSACTIONS_MASTER!$B$5:$B$1204,$Q113))</f>
        <v/>
      </c>
      <c r="C113" s="55" t="str">
        <f>IF($Q113="","",INDEX(TRANSACTIONS_MASTER!$F$5:$F$1204,$Q113))</f>
        <v/>
      </c>
      <c r="D113" s="55" t="str">
        <f>IF($Q113="","",INDEX(TRANSACTIONS_MASTER!$E$5:$E$1204,$Q113))</f>
        <v/>
      </c>
      <c r="E113" s="55" t="str">
        <f>IF($Q113="","",INDEX(TRANSACTIONS_MASTER!$G$5:$G$1204,$Q113)&amp;"")</f>
        <v/>
      </c>
      <c r="F113" s="29" t="str">
        <f>IF($Q113="","",INDEX(TRANSACTIONS_MASTER!$I$5:$I$1204,$Q113))</f>
        <v/>
      </c>
      <c r="G113" s="55" t="str">
        <f>IF($Q113="","",INDEX(TRANSACTIONS_MASTER!$K$5:$K$1204,$Q113))</f>
        <v/>
      </c>
      <c r="H113" s="25" t="str">
        <f>IF($Q113="","",INDEX(TRANSACTIONS_MASTER!$L$5:$L$1204,$Q113))</f>
        <v/>
      </c>
      <c r="I113" s="56" t="str">
        <f>IF($Q113="","",INDEX(TRANSACTIONS_MASTER!$N$5:$N$1204,$Q113))</f>
        <v/>
      </c>
      <c r="J113" s="25" t="str">
        <f>IF($Q113="","",INDEX(TRANSACTIONS_MASTER!$O$5:$O$1204,$Q113))</f>
        <v/>
      </c>
      <c r="K113" s="26" t="str">
        <f>IF($Q113="","",INDEX(TRANSACTIONS_MASTER!$Q$5:$Q$1204,$Q113))</f>
        <v/>
      </c>
      <c r="L113" s="25" t="str">
        <f>IF($Q113="","",INDEX(TRANSACTIONS_MASTER!$P$5:$P$1204,$Q113))</f>
        <v/>
      </c>
      <c r="M113" s="25" t="str">
        <f>IF($Q113="","",INDEX(TRANSACTIONS_MASTER!$AA$5:$AA$1204,$Q113))</f>
        <v/>
      </c>
      <c r="N113" s="25" t="str">
        <f>IF($Q113="","",INDEX(TRANSACTIONS_MASTER!$R$5:$R$1204,$Q113))</f>
        <v/>
      </c>
      <c r="O113" s="28" t="str">
        <f>IF($Q113="","",INDEX(TRANSACTIONS_MASTER!$AB$5:$AB$1204,$Q113))</f>
        <v/>
      </c>
      <c r="P113" s="55" t="str">
        <f>IF($Q113="","",INDEX(TRANSACTIONS_MASTER!$Z$5:$Z$1204,$Q113)&amp;"")</f>
        <v/>
      </c>
      <c r="Q113" s="67" t="str">
        <f>IFERROR(MATCH($C$2&amp;"|"&amp;106,TRANSACTIONS_MASTER!$AE$5:$AE$1204,0),"")</f>
        <v/>
      </c>
    </row>
    <row r="114">
      <c r="A114" s="81" t="str">
        <f>IF($Q114="","",107)</f>
        <v/>
      </c>
      <c r="B114" s="57" t="str">
        <f>IF($Q114="","",INDEX(TRANSACTIONS_MASTER!$B$5:$B$1204,$Q114))</f>
        <v/>
      </c>
      <c r="C114" s="55" t="str">
        <f>IF($Q114="","",INDEX(TRANSACTIONS_MASTER!$F$5:$F$1204,$Q114))</f>
        <v/>
      </c>
      <c r="D114" s="55" t="str">
        <f>IF($Q114="","",INDEX(TRANSACTIONS_MASTER!$E$5:$E$1204,$Q114))</f>
        <v/>
      </c>
      <c r="E114" s="55" t="str">
        <f>IF($Q114="","",INDEX(TRANSACTIONS_MASTER!$G$5:$G$1204,$Q114)&amp;"")</f>
        <v/>
      </c>
      <c r="F114" s="29" t="str">
        <f>IF($Q114="","",INDEX(TRANSACTIONS_MASTER!$I$5:$I$1204,$Q114))</f>
        <v/>
      </c>
      <c r="G114" s="55" t="str">
        <f>IF($Q114="","",INDEX(TRANSACTIONS_MASTER!$K$5:$K$1204,$Q114))</f>
        <v/>
      </c>
      <c r="H114" s="25" t="str">
        <f>IF($Q114="","",INDEX(TRANSACTIONS_MASTER!$L$5:$L$1204,$Q114))</f>
        <v/>
      </c>
      <c r="I114" s="56" t="str">
        <f>IF($Q114="","",INDEX(TRANSACTIONS_MASTER!$N$5:$N$1204,$Q114))</f>
        <v/>
      </c>
      <c r="J114" s="25" t="str">
        <f>IF($Q114="","",INDEX(TRANSACTIONS_MASTER!$O$5:$O$1204,$Q114))</f>
        <v/>
      </c>
      <c r="K114" s="26" t="str">
        <f>IF($Q114="","",INDEX(TRANSACTIONS_MASTER!$Q$5:$Q$1204,$Q114))</f>
        <v/>
      </c>
      <c r="L114" s="25" t="str">
        <f>IF($Q114="","",INDEX(TRANSACTIONS_MASTER!$P$5:$P$1204,$Q114))</f>
        <v/>
      </c>
      <c r="M114" s="25" t="str">
        <f>IF($Q114="","",INDEX(TRANSACTIONS_MASTER!$AA$5:$AA$1204,$Q114))</f>
        <v/>
      </c>
      <c r="N114" s="25" t="str">
        <f>IF($Q114="","",INDEX(TRANSACTIONS_MASTER!$R$5:$R$1204,$Q114))</f>
        <v/>
      </c>
      <c r="O114" s="28" t="str">
        <f>IF($Q114="","",INDEX(TRANSACTIONS_MASTER!$AB$5:$AB$1204,$Q114))</f>
        <v/>
      </c>
      <c r="P114" s="55" t="str">
        <f>IF($Q114="","",INDEX(TRANSACTIONS_MASTER!$Z$5:$Z$1204,$Q114)&amp;"")</f>
        <v/>
      </c>
      <c r="Q114" s="67" t="str">
        <f>IFERROR(MATCH($C$2&amp;"|"&amp;107,TRANSACTIONS_MASTER!$AE$5:$AE$1204,0),"")</f>
        <v/>
      </c>
    </row>
    <row r="115" ht="22" customHeight="1">
      <c r="A115" s="81" t="str">
        <f>IF($Q115="","",108)</f>
        <v/>
      </c>
      <c r="B115" s="57" t="str">
        <f>IF($Q115="","",INDEX(TRANSACTIONS_MASTER!$B$5:$B$1204,$Q115))</f>
        <v/>
      </c>
      <c r="C115" s="55" t="str">
        <f>IF($Q115="","",INDEX(TRANSACTIONS_MASTER!$F$5:$F$1204,$Q115))</f>
        <v/>
      </c>
      <c r="D115" s="55" t="str">
        <f>IF($Q115="","",INDEX(TRANSACTIONS_MASTER!$E$5:$E$1204,$Q115))</f>
        <v/>
      </c>
      <c r="E115" s="55" t="str">
        <f>IF($Q115="","",INDEX(TRANSACTIONS_MASTER!$G$5:$G$1204,$Q115)&amp;"")</f>
        <v/>
      </c>
      <c r="F115" s="29" t="str">
        <f>IF($Q115="","",INDEX(TRANSACTIONS_MASTER!$I$5:$I$1204,$Q115))</f>
        <v/>
      </c>
      <c r="G115" s="55" t="str">
        <f>IF($Q115="","",INDEX(TRANSACTIONS_MASTER!$K$5:$K$1204,$Q115))</f>
        <v/>
      </c>
      <c r="H115" s="25" t="str">
        <f>IF($Q115="","",INDEX(TRANSACTIONS_MASTER!$L$5:$L$1204,$Q115))</f>
        <v/>
      </c>
      <c r="I115" s="56" t="str">
        <f>IF($Q115="","",INDEX(TRANSACTIONS_MASTER!$N$5:$N$1204,$Q115))</f>
        <v/>
      </c>
      <c r="J115" s="25" t="str">
        <f>IF($Q115="","",INDEX(TRANSACTIONS_MASTER!$O$5:$O$1204,$Q115))</f>
        <v/>
      </c>
      <c r="K115" s="26" t="str">
        <f>IF($Q115="","",INDEX(TRANSACTIONS_MASTER!$Q$5:$Q$1204,$Q115))</f>
        <v/>
      </c>
      <c r="L115" s="25" t="str">
        <f>IF($Q115="","",INDEX(TRANSACTIONS_MASTER!$P$5:$P$1204,$Q115))</f>
        <v/>
      </c>
      <c r="M115" s="25" t="str">
        <f>IF($Q115="","",INDEX(TRANSACTIONS_MASTER!$AA$5:$AA$1204,$Q115))</f>
        <v/>
      </c>
      <c r="N115" s="25" t="str">
        <f>IF($Q115="","",INDEX(TRANSACTIONS_MASTER!$R$5:$R$1204,$Q115))</f>
        <v/>
      </c>
      <c r="O115" s="28" t="str">
        <f>IF($Q115="","",INDEX(TRANSACTIONS_MASTER!$AB$5:$AB$1204,$Q115))</f>
        <v/>
      </c>
      <c r="P115" s="55" t="str">
        <f>IF($Q115="","",INDEX(TRANSACTIONS_MASTER!$Z$5:$Z$1204,$Q115)&amp;"")</f>
        <v/>
      </c>
      <c r="Q115" s="67" t="str">
        <f>IFERROR(MATCH($C$2&amp;"|"&amp;108,TRANSACTIONS_MASTER!$AE$5:$AE$1204,0),"")</f>
        <v/>
      </c>
      <c r="T115" s="19" t="inlineStr">
        <is>
          <t>THEO DANH MỤC (Category)</t>
        </is>
      </c>
      <c r="U115" s="20" t="n"/>
      <c r="V115" s="20" t="n"/>
      <c r="W115" s="20" t="n"/>
      <c r="X115" s="20" t="n"/>
      <c r="Y115" s="20" t="n"/>
      <c r="Z115" s="20" t="n"/>
      <c r="AA115" s="20" t="n"/>
    </row>
    <row r="116" ht="28" customHeight="1">
      <c r="A116" s="81" t="str">
        <f>IF($Q116="","",109)</f>
        <v/>
      </c>
      <c r="B116" s="57" t="str">
        <f>IF($Q116="","",INDEX(TRANSACTIONS_MASTER!$B$5:$B$1204,$Q116))</f>
        <v/>
      </c>
      <c r="C116" s="55" t="str">
        <f>IF($Q116="","",INDEX(TRANSACTIONS_MASTER!$F$5:$F$1204,$Q116))</f>
        <v/>
      </c>
      <c r="D116" s="55" t="str">
        <f>IF($Q116="","",INDEX(TRANSACTIONS_MASTER!$E$5:$E$1204,$Q116))</f>
        <v/>
      </c>
      <c r="E116" s="55" t="str">
        <f>IF($Q116="","",INDEX(TRANSACTIONS_MASTER!$G$5:$G$1204,$Q116)&amp;"")</f>
        <v/>
      </c>
      <c r="F116" s="29" t="str">
        <f>IF($Q116="","",INDEX(TRANSACTIONS_MASTER!$I$5:$I$1204,$Q116))</f>
        <v/>
      </c>
      <c r="G116" s="55" t="str">
        <f>IF($Q116="","",INDEX(TRANSACTIONS_MASTER!$K$5:$K$1204,$Q116))</f>
        <v/>
      </c>
      <c r="H116" s="25" t="str">
        <f>IF($Q116="","",INDEX(TRANSACTIONS_MASTER!$L$5:$L$1204,$Q116))</f>
        <v/>
      </c>
      <c r="I116" s="56" t="str">
        <f>IF($Q116="","",INDEX(TRANSACTIONS_MASTER!$N$5:$N$1204,$Q116))</f>
        <v/>
      </c>
      <c r="J116" s="25" t="str">
        <f>IF($Q116="","",INDEX(TRANSACTIONS_MASTER!$O$5:$O$1204,$Q116))</f>
        <v/>
      </c>
      <c r="K116" s="26" t="str">
        <f>IF($Q116="","",INDEX(TRANSACTIONS_MASTER!$Q$5:$Q$1204,$Q116))</f>
        <v/>
      </c>
      <c r="L116" s="25" t="str">
        <f>IF($Q116="","",INDEX(TRANSACTIONS_MASTER!$P$5:$P$1204,$Q116))</f>
        <v/>
      </c>
      <c r="M116" s="25" t="str">
        <f>IF($Q116="","",INDEX(TRANSACTIONS_MASTER!$AA$5:$AA$1204,$Q116))</f>
        <v/>
      </c>
      <c r="N116" s="25" t="str">
        <f>IF($Q116="","",INDEX(TRANSACTIONS_MASTER!$R$5:$R$1204,$Q116))</f>
        <v/>
      </c>
      <c r="O116" s="28" t="str">
        <f>IF($Q116="","",INDEX(TRANSACTIONS_MASTER!$AB$5:$AB$1204,$Q116))</f>
        <v/>
      </c>
      <c r="P116" s="55" t="str">
        <f>IF($Q116="","",INDEX(TRANSACTIONS_MASTER!$Z$5:$Z$1204,$Q116)&amp;"")</f>
        <v/>
      </c>
      <c r="Q116" s="67" t="str">
        <f>IFERROR(MATCH($C$2&amp;"|"&amp;109,TRANSACTIONS_MASTER!$AE$5:$AE$1204,0),"")</f>
        <v/>
      </c>
      <c r="S116" s="21" t="inlineStr">
        <is>
          <t>#</t>
        </is>
      </c>
      <c r="T116" s="21" t="inlineStr"/>
      <c r="U116" s="21" t="inlineStr">
        <is>
          <t>Danh mục</t>
        </is>
      </c>
      <c r="V116" s="21" t="inlineStr">
        <is>
          <t>Chi tiêu</t>
        </is>
      </c>
      <c r="W116" s="21" t="inlineStr">
        <is>
          <t>Cashback</t>
        </is>
      </c>
    </row>
    <row r="117">
      <c r="A117" s="81" t="str">
        <f>IF($Q117="","",110)</f>
        <v/>
      </c>
      <c r="B117" s="57" t="str">
        <f>IF($Q117="","",INDEX(TRANSACTIONS_MASTER!$B$5:$B$1204,$Q117))</f>
        <v/>
      </c>
      <c r="C117" s="55" t="str">
        <f>IF($Q117="","",INDEX(TRANSACTIONS_MASTER!$F$5:$F$1204,$Q117))</f>
        <v/>
      </c>
      <c r="D117" s="55" t="str">
        <f>IF($Q117="","",INDEX(TRANSACTIONS_MASTER!$E$5:$E$1204,$Q117))</f>
        <v/>
      </c>
      <c r="E117" s="55" t="str">
        <f>IF($Q117="","",INDEX(TRANSACTIONS_MASTER!$G$5:$G$1204,$Q117)&amp;"")</f>
        <v/>
      </c>
      <c r="F117" s="29" t="str">
        <f>IF($Q117="","",INDEX(TRANSACTIONS_MASTER!$I$5:$I$1204,$Q117))</f>
        <v/>
      </c>
      <c r="G117" s="55" t="str">
        <f>IF($Q117="","",INDEX(TRANSACTIONS_MASTER!$K$5:$K$1204,$Q117))</f>
        <v/>
      </c>
      <c r="H117" s="25" t="str">
        <f>IF($Q117="","",INDEX(TRANSACTIONS_MASTER!$L$5:$L$1204,$Q117))</f>
        <v/>
      </c>
      <c r="I117" s="56" t="str">
        <f>IF($Q117="","",INDEX(TRANSACTIONS_MASTER!$N$5:$N$1204,$Q117))</f>
        <v/>
      </c>
      <c r="J117" s="25" t="str">
        <f>IF($Q117="","",INDEX(TRANSACTIONS_MASTER!$O$5:$O$1204,$Q117))</f>
        <v/>
      </c>
      <c r="K117" s="26" t="str">
        <f>IF($Q117="","",INDEX(TRANSACTIONS_MASTER!$Q$5:$Q$1204,$Q117))</f>
        <v/>
      </c>
      <c r="L117" s="25" t="str">
        <f>IF($Q117="","",INDEX(TRANSACTIONS_MASTER!$P$5:$P$1204,$Q117))</f>
        <v/>
      </c>
      <c r="M117" s="25" t="str">
        <f>IF($Q117="","",INDEX(TRANSACTIONS_MASTER!$AA$5:$AA$1204,$Q117))</f>
        <v/>
      </c>
      <c r="N117" s="25" t="str">
        <f>IF($Q117="","",INDEX(TRANSACTIONS_MASTER!$R$5:$R$1204,$Q117))</f>
        <v/>
      </c>
      <c r="O117" s="28" t="str">
        <f>IF($Q117="","",INDEX(TRANSACTIONS_MASTER!$AB$5:$AB$1204,$Q117))</f>
        <v/>
      </c>
      <c r="P117" s="55" t="str">
        <f>IF($Q117="","",INDEX(TRANSACTIONS_MASTER!$Z$5:$Z$1204,$Q117)&amp;"")</f>
        <v/>
      </c>
      <c r="Q117" s="67" t="str">
        <f>IFERROR(MATCH($C$2&amp;"|"&amp;110,TRANSACTIONS_MASTER!$AE$5:$AE$1204,0),"")</f>
        <v/>
      </c>
      <c r="S117" s="67" t="str">
        <f>IFERROR(MATCH(1,INDEX((TRANSACTIONS_MASTER!$C$5:$C$1204=$C$2)*(TRANSACTIONS_MASTER!$AL$5:$AL$1204=1),0),0),"")</f>
        <v/>
      </c>
      <c r="T117" s="55" t="n"/>
      <c r="U117" s="55" t="str">
        <f>IF($S117="","",INDEX(TRANSACTIONS_MASTER!$K$5:$K$1204,$S117))</f>
        <v/>
      </c>
      <c r="V117" s="25" t="str">
        <f>IF($S117="","",SUMIFS(TRANSACTIONS_MASTER!$L$5:$L$1204,TRANSACTIONS_MASTER!$K$5:$K$1204,$U117,TRANSACTIONS_MASTER!$C$5:$C$1204,$C$2,TRANSACTIONS_MASTER!$U$5:$U$1204,"&lt;&gt;Cancelled"))</f>
        <v/>
      </c>
      <c r="W117" s="26" t="str">
        <f>IF($S117="","",SUMIFS(TRANSACTIONS_MASTER!$Q$5:$Q$1204,TRANSACTIONS_MASTER!$K$5:$K$1204,$U117,TRANSACTIONS_MASTER!$C$5:$C$1204,$C$2))</f>
        <v/>
      </c>
    </row>
    <row r="118">
      <c r="A118" s="81" t="str">
        <f>IF($Q118="","",111)</f>
        <v/>
      </c>
      <c r="B118" s="57" t="str">
        <f>IF($Q118="","",INDEX(TRANSACTIONS_MASTER!$B$5:$B$1204,$Q118))</f>
        <v/>
      </c>
      <c r="C118" s="55" t="str">
        <f>IF($Q118="","",INDEX(TRANSACTIONS_MASTER!$F$5:$F$1204,$Q118))</f>
        <v/>
      </c>
      <c r="D118" s="55" t="str">
        <f>IF($Q118="","",INDEX(TRANSACTIONS_MASTER!$E$5:$E$1204,$Q118))</f>
        <v/>
      </c>
      <c r="E118" s="55" t="str">
        <f>IF($Q118="","",INDEX(TRANSACTIONS_MASTER!$G$5:$G$1204,$Q118)&amp;"")</f>
        <v/>
      </c>
      <c r="F118" s="29" t="str">
        <f>IF($Q118="","",INDEX(TRANSACTIONS_MASTER!$I$5:$I$1204,$Q118))</f>
        <v/>
      </c>
      <c r="G118" s="55" t="str">
        <f>IF($Q118="","",INDEX(TRANSACTIONS_MASTER!$K$5:$K$1204,$Q118))</f>
        <v/>
      </c>
      <c r="H118" s="25" t="str">
        <f>IF($Q118="","",INDEX(TRANSACTIONS_MASTER!$L$5:$L$1204,$Q118))</f>
        <v/>
      </c>
      <c r="I118" s="56" t="str">
        <f>IF($Q118="","",INDEX(TRANSACTIONS_MASTER!$N$5:$N$1204,$Q118))</f>
        <v/>
      </c>
      <c r="J118" s="25" t="str">
        <f>IF($Q118="","",INDEX(TRANSACTIONS_MASTER!$O$5:$O$1204,$Q118))</f>
        <v/>
      </c>
      <c r="K118" s="26" t="str">
        <f>IF($Q118="","",INDEX(TRANSACTIONS_MASTER!$Q$5:$Q$1204,$Q118))</f>
        <v/>
      </c>
      <c r="L118" s="25" t="str">
        <f>IF($Q118="","",INDEX(TRANSACTIONS_MASTER!$P$5:$P$1204,$Q118))</f>
        <v/>
      </c>
      <c r="M118" s="25" t="str">
        <f>IF($Q118="","",INDEX(TRANSACTIONS_MASTER!$AA$5:$AA$1204,$Q118))</f>
        <v/>
      </c>
      <c r="N118" s="25" t="str">
        <f>IF($Q118="","",INDEX(TRANSACTIONS_MASTER!$R$5:$R$1204,$Q118))</f>
        <v/>
      </c>
      <c r="O118" s="28" t="str">
        <f>IF($Q118="","",INDEX(TRANSACTIONS_MASTER!$AB$5:$AB$1204,$Q118))</f>
        <v/>
      </c>
      <c r="P118" s="55" t="str">
        <f>IF($Q118="","",INDEX(TRANSACTIONS_MASTER!$Z$5:$Z$1204,$Q118)&amp;"")</f>
        <v/>
      </c>
      <c r="Q118" s="67" t="str">
        <f>IFERROR(MATCH($C$2&amp;"|"&amp;111,TRANSACTIONS_MASTER!$AE$5:$AE$1204,0),"")</f>
        <v/>
      </c>
      <c r="S118" s="67" t="str">
        <f>IFERROR(MATCH(1,INDEX((TRANSACTIONS_MASTER!$C$5:$C$1204=$C$2)*(TRANSACTIONS_MASTER!$AL$5:$AL$1204=2),0),0),"")</f>
        <v/>
      </c>
      <c r="T118" s="55" t="n"/>
      <c r="U118" s="55" t="str">
        <f>IF($S118="","",INDEX(TRANSACTIONS_MASTER!$K$5:$K$1204,$S118))</f>
        <v/>
      </c>
      <c r="V118" s="25" t="str">
        <f>IF($S118="","",SUMIFS(TRANSACTIONS_MASTER!$L$5:$L$1204,TRANSACTIONS_MASTER!$K$5:$K$1204,$U118,TRANSACTIONS_MASTER!$C$5:$C$1204,$C$2,TRANSACTIONS_MASTER!$U$5:$U$1204,"&lt;&gt;Cancelled"))</f>
        <v/>
      </c>
      <c r="W118" s="26" t="str">
        <f>IF($S118="","",SUMIFS(TRANSACTIONS_MASTER!$Q$5:$Q$1204,TRANSACTIONS_MASTER!$K$5:$K$1204,$U118,TRANSACTIONS_MASTER!$C$5:$C$1204,$C$2))</f>
        <v/>
      </c>
    </row>
    <row r="119">
      <c r="A119" s="81" t="str">
        <f>IF($Q119="","",112)</f>
        <v/>
      </c>
      <c r="B119" s="57" t="str">
        <f>IF($Q119="","",INDEX(TRANSACTIONS_MASTER!$B$5:$B$1204,$Q119))</f>
        <v/>
      </c>
      <c r="C119" s="55" t="str">
        <f>IF($Q119="","",INDEX(TRANSACTIONS_MASTER!$F$5:$F$1204,$Q119))</f>
        <v/>
      </c>
      <c r="D119" s="55" t="str">
        <f>IF($Q119="","",INDEX(TRANSACTIONS_MASTER!$E$5:$E$1204,$Q119))</f>
        <v/>
      </c>
      <c r="E119" s="55" t="str">
        <f>IF($Q119="","",INDEX(TRANSACTIONS_MASTER!$G$5:$G$1204,$Q119)&amp;"")</f>
        <v/>
      </c>
      <c r="F119" s="29" t="str">
        <f>IF($Q119="","",INDEX(TRANSACTIONS_MASTER!$I$5:$I$1204,$Q119))</f>
        <v/>
      </c>
      <c r="G119" s="55" t="str">
        <f>IF($Q119="","",INDEX(TRANSACTIONS_MASTER!$K$5:$K$1204,$Q119))</f>
        <v/>
      </c>
      <c r="H119" s="25" t="str">
        <f>IF($Q119="","",INDEX(TRANSACTIONS_MASTER!$L$5:$L$1204,$Q119))</f>
        <v/>
      </c>
      <c r="I119" s="56" t="str">
        <f>IF($Q119="","",INDEX(TRANSACTIONS_MASTER!$N$5:$N$1204,$Q119))</f>
        <v/>
      </c>
      <c r="J119" s="25" t="str">
        <f>IF($Q119="","",INDEX(TRANSACTIONS_MASTER!$O$5:$O$1204,$Q119))</f>
        <v/>
      </c>
      <c r="K119" s="26" t="str">
        <f>IF($Q119="","",INDEX(TRANSACTIONS_MASTER!$Q$5:$Q$1204,$Q119))</f>
        <v/>
      </c>
      <c r="L119" s="25" t="str">
        <f>IF($Q119="","",INDEX(TRANSACTIONS_MASTER!$P$5:$P$1204,$Q119))</f>
        <v/>
      </c>
      <c r="M119" s="25" t="str">
        <f>IF($Q119="","",INDEX(TRANSACTIONS_MASTER!$AA$5:$AA$1204,$Q119))</f>
        <v/>
      </c>
      <c r="N119" s="25" t="str">
        <f>IF($Q119="","",INDEX(TRANSACTIONS_MASTER!$R$5:$R$1204,$Q119))</f>
        <v/>
      </c>
      <c r="O119" s="28" t="str">
        <f>IF($Q119="","",INDEX(TRANSACTIONS_MASTER!$AB$5:$AB$1204,$Q119))</f>
        <v/>
      </c>
      <c r="P119" s="55" t="str">
        <f>IF($Q119="","",INDEX(TRANSACTIONS_MASTER!$Z$5:$Z$1204,$Q119)&amp;"")</f>
        <v/>
      </c>
      <c r="Q119" s="67" t="str">
        <f>IFERROR(MATCH($C$2&amp;"|"&amp;112,TRANSACTIONS_MASTER!$AE$5:$AE$1204,0),"")</f>
        <v/>
      </c>
      <c r="S119" s="67" t="str">
        <f>IFERROR(MATCH(1,INDEX((TRANSACTIONS_MASTER!$C$5:$C$1204=$C$2)*(TRANSACTIONS_MASTER!$AL$5:$AL$1204=3),0),0),"")</f>
        <v/>
      </c>
      <c r="T119" s="55" t="n"/>
      <c r="U119" s="55" t="str">
        <f>IF($S119="","",INDEX(TRANSACTIONS_MASTER!$K$5:$K$1204,$S119))</f>
        <v/>
      </c>
      <c r="V119" s="25" t="str">
        <f>IF($S119="","",SUMIFS(TRANSACTIONS_MASTER!$L$5:$L$1204,TRANSACTIONS_MASTER!$K$5:$K$1204,$U119,TRANSACTIONS_MASTER!$C$5:$C$1204,$C$2,TRANSACTIONS_MASTER!$U$5:$U$1204,"&lt;&gt;Cancelled"))</f>
        <v/>
      </c>
      <c r="W119" s="26" t="str">
        <f>IF($S119="","",SUMIFS(TRANSACTIONS_MASTER!$Q$5:$Q$1204,TRANSACTIONS_MASTER!$K$5:$K$1204,$U119,TRANSACTIONS_MASTER!$C$5:$C$1204,$C$2))</f>
        <v/>
      </c>
    </row>
    <row r="120">
      <c r="A120" s="81" t="str">
        <f>IF($Q120="","",113)</f>
        <v/>
      </c>
      <c r="B120" s="57" t="str">
        <f>IF($Q120="","",INDEX(TRANSACTIONS_MASTER!$B$5:$B$1204,$Q120))</f>
        <v/>
      </c>
      <c r="C120" s="55" t="str">
        <f>IF($Q120="","",INDEX(TRANSACTIONS_MASTER!$F$5:$F$1204,$Q120))</f>
        <v/>
      </c>
      <c r="D120" s="55" t="str">
        <f>IF($Q120="","",INDEX(TRANSACTIONS_MASTER!$E$5:$E$1204,$Q120))</f>
        <v/>
      </c>
      <c r="E120" s="55" t="str">
        <f>IF($Q120="","",INDEX(TRANSACTIONS_MASTER!$G$5:$G$1204,$Q120)&amp;"")</f>
        <v/>
      </c>
      <c r="F120" s="29" t="str">
        <f>IF($Q120="","",INDEX(TRANSACTIONS_MASTER!$I$5:$I$1204,$Q120))</f>
        <v/>
      </c>
      <c r="G120" s="55" t="str">
        <f>IF($Q120="","",INDEX(TRANSACTIONS_MASTER!$K$5:$K$1204,$Q120))</f>
        <v/>
      </c>
      <c r="H120" s="25" t="str">
        <f>IF($Q120="","",INDEX(TRANSACTIONS_MASTER!$L$5:$L$1204,$Q120))</f>
        <v/>
      </c>
      <c r="I120" s="56" t="str">
        <f>IF($Q120="","",INDEX(TRANSACTIONS_MASTER!$N$5:$N$1204,$Q120))</f>
        <v/>
      </c>
      <c r="J120" s="25" t="str">
        <f>IF($Q120="","",INDEX(TRANSACTIONS_MASTER!$O$5:$O$1204,$Q120))</f>
        <v/>
      </c>
      <c r="K120" s="26" t="str">
        <f>IF($Q120="","",INDEX(TRANSACTIONS_MASTER!$Q$5:$Q$1204,$Q120))</f>
        <v/>
      </c>
      <c r="L120" s="25" t="str">
        <f>IF($Q120="","",INDEX(TRANSACTIONS_MASTER!$P$5:$P$1204,$Q120))</f>
        <v/>
      </c>
      <c r="M120" s="25" t="str">
        <f>IF($Q120="","",INDEX(TRANSACTIONS_MASTER!$AA$5:$AA$1204,$Q120))</f>
        <v/>
      </c>
      <c r="N120" s="25" t="str">
        <f>IF($Q120="","",INDEX(TRANSACTIONS_MASTER!$R$5:$R$1204,$Q120))</f>
        <v/>
      </c>
      <c r="O120" s="28" t="str">
        <f>IF($Q120="","",INDEX(TRANSACTIONS_MASTER!$AB$5:$AB$1204,$Q120))</f>
        <v/>
      </c>
      <c r="P120" s="55" t="str">
        <f>IF($Q120="","",INDEX(TRANSACTIONS_MASTER!$Z$5:$Z$1204,$Q120)&amp;"")</f>
        <v/>
      </c>
      <c r="Q120" s="67" t="str">
        <f>IFERROR(MATCH($C$2&amp;"|"&amp;113,TRANSACTIONS_MASTER!$AE$5:$AE$1204,0),"")</f>
        <v/>
      </c>
      <c r="S120" s="67" t="str">
        <f>IFERROR(MATCH(1,INDEX((TRANSACTIONS_MASTER!$C$5:$C$1204=$C$2)*(TRANSACTIONS_MASTER!$AL$5:$AL$1204=4),0),0),"")</f>
        <v/>
      </c>
      <c r="T120" s="55" t="n"/>
      <c r="U120" s="55" t="str">
        <f>IF($S120="","",INDEX(TRANSACTIONS_MASTER!$K$5:$K$1204,$S120))</f>
        <v/>
      </c>
      <c r="V120" s="25" t="str">
        <f>IF($S120="","",SUMIFS(TRANSACTIONS_MASTER!$L$5:$L$1204,TRANSACTIONS_MASTER!$K$5:$K$1204,$U120,TRANSACTIONS_MASTER!$C$5:$C$1204,$C$2,TRANSACTIONS_MASTER!$U$5:$U$1204,"&lt;&gt;Cancelled"))</f>
        <v/>
      </c>
      <c r="W120" s="26" t="str">
        <f>IF($S120="","",SUMIFS(TRANSACTIONS_MASTER!$Q$5:$Q$1204,TRANSACTIONS_MASTER!$K$5:$K$1204,$U120,TRANSACTIONS_MASTER!$C$5:$C$1204,$C$2))</f>
        <v/>
      </c>
    </row>
    <row r="121">
      <c r="A121" s="81" t="str">
        <f>IF($Q121="","",114)</f>
        <v/>
      </c>
      <c r="B121" s="57" t="str">
        <f>IF($Q121="","",INDEX(TRANSACTIONS_MASTER!$B$5:$B$1204,$Q121))</f>
        <v/>
      </c>
      <c r="C121" s="55" t="str">
        <f>IF($Q121="","",INDEX(TRANSACTIONS_MASTER!$F$5:$F$1204,$Q121))</f>
        <v/>
      </c>
      <c r="D121" s="55" t="str">
        <f>IF($Q121="","",INDEX(TRANSACTIONS_MASTER!$E$5:$E$1204,$Q121))</f>
        <v/>
      </c>
      <c r="E121" s="55" t="str">
        <f>IF($Q121="","",INDEX(TRANSACTIONS_MASTER!$G$5:$G$1204,$Q121)&amp;"")</f>
        <v/>
      </c>
      <c r="F121" s="29" t="str">
        <f>IF($Q121="","",INDEX(TRANSACTIONS_MASTER!$I$5:$I$1204,$Q121))</f>
        <v/>
      </c>
      <c r="G121" s="55" t="str">
        <f>IF($Q121="","",INDEX(TRANSACTIONS_MASTER!$K$5:$K$1204,$Q121))</f>
        <v/>
      </c>
      <c r="H121" s="25" t="str">
        <f>IF($Q121="","",INDEX(TRANSACTIONS_MASTER!$L$5:$L$1204,$Q121))</f>
        <v/>
      </c>
      <c r="I121" s="56" t="str">
        <f>IF($Q121="","",INDEX(TRANSACTIONS_MASTER!$N$5:$N$1204,$Q121))</f>
        <v/>
      </c>
      <c r="J121" s="25" t="str">
        <f>IF($Q121="","",INDEX(TRANSACTIONS_MASTER!$O$5:$O$1204,$Q121))</f>
        <v/>
      </c>
      <c r="K121" s="26" t="str">
        <f>IF($Q121="","",INDEX(TRANSACTIONS_MASTER!$Q$5:$Q$1204,$Q121))</f>
        <v/>
      </c>
      <c r="L121" s="25" t="str">
        <f>IF($Q121="","",INDEX(TRANSACTIONS_MASTER!$P$5:$P$1204,$Q121))</f>
        <v/>
      </c>
      <c r="M121" s="25" t="str">
        <f>IF($Q121="","",INDEX(TRANSACTIONS_MASTER!$AA$5:$AA$1204,$Q121))</f>
        <v/>
      </c>
      <c r="N121" s="25" t="str">
        <f>IF($Q121="","",INDEX(TRANSACTIONS_MASTER!$R$5:$R$1204,$Q121))</f>
        <v/>
      </c>
      <c r="O121" s="28" t="str">
        <f>IF($Q121="","",INDEX(TRANSACTIONS_MASTER!$AB$5:$AB$1204,$Q121))</f>
        <v/>
      </c>
      <c r="P121" s="55" t="str">
        <f>IF($Q121="","",INDEX(TRANSACTIONS_MASTER!$Z$5:$Z$1204,$Q121)&amp;"")</f>
        <v/>
      </c>
      <c r="Q121" s="67" t="str">
        <f>IFERROR(MATCH($C$2&amp;"|"&amp;114,TRANSACTIONS_MASTER!$AE$5:$AE$1204,0),"")</f>
        <v/>
      </c>
      <c r="S121" s="67" t="str">
        <f>IFERROR(MATCH(1,INDEX((TRANSACTIONS_MASTER!$C$5:$C$1204=$C$2)*(TRANSACTIONS_MASTER!$AL$5:$AL$1204=5),0),0),"")</f>
        <v/>
      </c>
      <c r="T121" s="55" t="n"/>
      <c r="U121" s="55" t="str">
        <f>IF($S121="","",INDEX(TRANSACTIONS_MASTER!$K$5:$K$1204,$S121))</f>
        <v/>
      </c>
      <c r="V121" s="25" t="str">
        <f>IF($S121="","",SUMIFS(TRANSACTIONS_MASTER!$L$5:$L$1204,TRANSACTIONS_MASTER!$K$5:$K$1204,$U121,TRANSACTIONS_MASTER!$C$5:$C$1204,$C$2,TRANSACTIONS_MASTER!$U$5:$U$1204,"&lt;&gt;Cancelled"))</f>
        <v/>
      </c>
      <c r="W121" s="26" t="str">
        <f>IF($S121="","",SUMIFS(TRANSACTIONS_MASTER!$Q$5:$Q$1204,TRANSACTIONS_MASTER!$K$5:$K$1204,$U121,TRANSACTIONS_MASTER!$C$5:$C$1204,$C$2))</f>
        <v/>
      </c>
    </row>
    <row r="122">
      <c r="A122" s="81" t="str">
        <f>IF($Q122="","",115)</f>
        <v/>
      </c>
      <c r="B122" s="57" t="str">
        <f>IF($Q122="","",INDEX(TRANSACTIONS_MASTER!$B$5:$B$1204,$Q122))</f>
        <v/>
      </c>
      <c r="C122" s="55" t="str">
        <f>IF($Q122="","",INDEX(TRANSACTIONS_MASTER!$F$5:$F$1204,$Q122))</f>
        <v/>
      </c>
      <c r="D122" s="55" t="str">
        <f>IF($Q122="","",INDEX(TRANSACTIONS_MASTER!$E$5:$E$1204,$Q122))</f>
        <v/>
      </c>
      <c r="E122" s="55" t="str">
        <f>IF($Q122="","",INDEX(TRANSACTIONS_MASTER!$G$5:$G$1204,$Q122)&amp;"")</f>
        <v/>
      </c>
      <c r="F122" s="29" t="str">
        <f>IF($Q122="","",INDEX(TRANSACTIONS_MASTER!$I$5:$I$1204,$Q122))</f>
        <v/>
      </c>
      <c r="G122" s="55" t="str">
        <f>IF($Q122="","",INDEX(TRANSACTIONS_MASTER!$K$5:$K$1204,$Q122))</f>
        <v/>
      </c>
      <c r="H122" s="25" t="str">
        <f>IF($Q122="","",INDEX(TRANSACTIONS_MASTER!$L$5:$L$1204,$Q122))</f>
        <v/>
      </c>
      <c r="I122" s="56" t="str">
        <f>IF($Q122="","",INDEX(TRANSACTIONS_MASTER!$N$5:$N$1204,$Q122))</f>
        <v/>
      </c>
      <c r="J122" s="25" t="str">
        <f>IF($Q122="","",INDEX(TRANSACTIONS_MASTER!$O$5:$O$1204,$Q122))</f>
        <v/>
      </c>
      <c r="K122" s="26" t="str">
        <f>IF($Q122="","",INDEX(TRANSACTIONS_MASTER!$Q$5:$Q$1204,$Q122))</f>
        <v/>
      </c>
      <c r="L122" s="25" t="str">
        <f>IF($Q122="","",INDEX(TRANSACTIONS_MASTER!$P$5:$P$1204,$Q122))</f>
        <v/>
      </c>
      <c r="M122" s="25" t="str">
        <f>IF($Q122="","",INDEX(TRANSACTIONS_MASTER!$AA$5:$AA$1204,$Q122))</f>
        <v/>
      </c>
      <c r="N122" s="25" t="str">
        <f>IF($Q122="","",INDEX(TRANSACTIONS_MASTER!$R$5:$R$1204,$Q122))</f>
        <v/>
      </c>
      <c r="O122" s="28" t="str">
        <f>IF($Q122="","",INDEX(TRANSACTIONS_MASTER!$AB$5:$AB$1204,$Q122))</f>
        <v/>
      </c>
      <c r="P122" s="55" t="str">
        <f>IF($Q122="","",INDEX(TRANSACTIONS_MASTER!$Z$5:$Z$1204,$Q122)&amp;"")</f>
        <v/>
      </c>
      <c r="Q122" s="67" t="str">
        <f>IFERROR(MATCH($C$2&amp;"|"&amp;115,TRANSACTIONS_MASTER!$AE$5:$AE$1204,0),"")</f>
        <v/>
      </c>
      <c r="S122" s="67" t="str">
        <f>IFERROR(MATCH(1,INDEX((TRANSACTIONS_MASTER!$C$5:$C$1204=$C$2)*(TRANSACTIONS_MASTER!$AL$5:$AL$1204=6),0),0),"")</f>
        <v/>
      </c>
      <c r="T122" s="55" t="n"/>
      <c r="U122" s="55" t="str">
        <f>IF($S122="","",INDEX(TRANSACTIONS_MASTER!$K$5:$K$1204,$S122))</f>
        <v/>
      </c>
      <c r="V122" s="25" t="str">
        <f>IF($S122="","",SUMIFS(TRANSACTIONS_MASTER!$L$5:$L$1204,TRANSACTIONS_MASTER!$K$5:$K$1204,$U122,TRANSACTIONS_MASTER!$C$5:$C$1204,$C$2,TRANSACTIONS_MASTER!$U$5:$U$1204,"&lt;&gt;Cancelled"))</f>
        <v/>
      </c>
      <c r="W122" s="26" t="str">
        <f>IF($S122="","",SUMIFS(TRANSACTIONS_MASTER!$Q$5:$Q$1204,TRANSACTIONS_MASTER!$K$5:$K$1204,$U122,TRANSACTIONS_MASTER!$C$5:$C$1204,$C$2))</f>
        <v/>
      </c>
    </row>
    <row r="123">
      <c r="A123" s="81" t="str">
        <f>IF($Q123="","",116)</f>
        <v/>
      </c>
      <c r="B123" s="57" t="str">
        <f>IF($Q123="","",INDEX(TRANSACTIONS_MASTER!$B$5:$B$1204,$Q123))</f>
        <v/>
      </c>
      <c r="C123" s="55" t="str">
        <f>IF($Q123="","",INDEX(TRANSACTIONS_MASTER!$F$5:$F$1204,$Q123))</f>
        <v/>
      </c>
      <c r="D123" s="55" t="str">
        <f>IF($Q123="","",INDEX(TRANSACTIONS_MASTER!$E$5:$E$1204,$Q123))</f>
        <v/>
      </c>
      <c r="E123" s="55" t="str">
        <f>IF($Q123="","",INDEX(TRANSACTIONS_MASTER!$G$5:$G$1204,$Q123)&amp;"")</f>
        <v/>
      </c>
      <c r="F123" s="29" t="str">
        <f>IF($Q123="","",INDEX(TRANSACTIONS_MASTER!$I$5:$I$1204,$Q123))</f>
        <v/>
      </c>
      <c r="G123" s="55" t="str">
        <f>IF($Q123="","",INDEX(TRANSACTIONS_MASTER!$K$5:$K$1204,$Q123))</f>
        <v/>
      </c>
      <c r="H123" s="25" t="str">
        <f>IF($Q123="","",INDEX(TRANSACTIONS_MASTER!$L$5:$L$1204,$Q123))</f>
        <v/>
      </c>
      <c r="I123" s="56" t="str">
        <f>IF($Q123="","",INDEX(TRANSACTIONS_MASTER!$N$5:$N$1204,$Q123))</f>
        <v/>
      </c>
      <c r="J123" s="25" t="str">
        <f>IF($Q123="","",INDEX(TRANSACTIONS_MASTER!$O$5:$O$1204,$Q123))</f>
        <v/>
      </c>
      <c r="K123" s="26" t="str">
        <f>IF($Q123="","",INDEX(TRANSACTIONS_MASTER!$Q$5:$Q$1204,$Q123))</f>
        <v/>
      </c>
      <c r="L123" s="25" t="str">
        <f>IF($Q123="","",INDEX(TRANSACTIONS_MASTER!$P$5:$P$1204,$Q123))</f>
        <v/>
      </c>
      <c r="M123" s="25" t="str">
        <f>IF($Q123="","",INDEX(TRANSACTIONS_MASTER!$AA$5:$AA$1204,$Q123))</f>
        <v/>
      </c>
      <c r="N123" s="25" t="str">
        <f>IF($Q123="","",INDEX(TRANSACTIONS_MASTER!$R$5:$R$1204,$Q123))</f>
        <v/>
      </c>
      <c r="O123" s="28" t="str">
        <f>IF($Q123="","",INDEX(TRANSACTIONS_MASTER!$AB$5:$AB$1204,$Q123))</f>
        <v/>
      </c>
      <c r="P123" s="55" t="str">
        <f>IF($Q123="","",INDEX(TRANSACTIONS_MASTER!$Z$5:$Z$1204,$Q123)&amp;"")</f>
        <v/>
      </c>
      <c r="Q123" s="67" t="str">
        <f>IFERROR(MATCH($C$2&amp;"|"&amp;116,TRANSACTIONS_MASTER!$AE$5:$AE$1204,0),"")</f>
        <v/>
      </c>
      <c r="S123" s="67" t="str">
        <f>IFERROR(MATCH(1,INDEX((TRANSACTIONS_MASTER!$C$5:$C$1204=$C$2)*(TRANSACTIONS_MASTER!$AL$5:$AL$1204=7),0),0),"")</f>
        <v/>
      </c>
      <c r="T123" s="55" t="n"/>
      <c r="U123" s="55" t="str">
        <f>IF($S123="","",INDEX(TRANSACTIONS_MASTER!$K$5:$K$1204,$S123))</f>
        <v/>
      </c>
      <c r="V123" s="25" t="str">
        <f>IF($S123="","",SUMIFS(TRANSACTIONS_MASTER!$L$5:$L$1204,TRANSACTIONS_MASTER!$K$5:$K$1204,$U123,TRANSACTIONS_MASTER!$C$5:$C$1204,$C$2,TRANSACTIONS_MASTER!$U$5:$U$1204,"&lt;&gt;Cancelled"))</f>
        <v/>
      </c>
      <c r="W123" s="26" t="str">
        <f>IF($S123="","",SUMIFS(TRANSACTIONS_MASTER!$Q$5:$Q$1204,TRANSACTIONS_MASTER!$K$5:$K$1204,$U123,TRANSACTIONS_MASTER!$C$5:$C$1204,$C$2))</f>
        <v/>
      </c>
    </row>
    <row r="124">
      <c r="A124" s="81" t="str">
        <f>IF($Q124="","",117)</f>
        <v/>
      </c>
      <c r="B124" s="57" t="str">
        <f>IF($Q124="","",INDEX(TRANSACTIONS_MASTER!$B$5:$B$1204,$Q124))</f>
        <v/>
      </c>
      <c r="C124" s="55" t="str">
        <f>IF($Q124="","",INDEX(TRANSACTIONS_MASTER!$F$5:$F$1204,$Q124))</f>
        <v/>
      </c>
      <c r="D124" s="55" t="str">
        <f>IF($Q124="","",INDEX(TRANSACTIONS_MASTER!$E$5:$E$1204,$Q124))</f>
        <v/>
      </c>
      <c r="E124" s="55" t="str">
        <f>IF($Q124="","",INDEX(TRANSACTIONS_MASTER!$G$5:$G$1204,$Q124)&amp;"")</f>
        <v/>
      </c>
      <c r="F124" s="29" t="str">
        <f>IF($Q124="","",INDEX(TRANSACTIONS_MASTER!$I$5:$I$1204,$Q124))</f>
        <v/>
      </c>
      <c r="G124" s="55" t="str">
        <f>IF($Q124="","",INDEX(TRANSACTIONS_MASTER!$K$5:$K$1204,$Q124))</f>
        <v/>
      </c>
      <c r="H124" s="25" t="str">
        <f>IF($Q124="","",INDEX(TRANSACTIONS_MASTER!$L$5:$L$1204,$Q124))</f>
        <v/>
      </c>
      <c r="I124" s="56" t="str">
        <f>IF($Q124="","",INDEX(TRANSACTIONS_MASTER!$N$5:$N$1204,$Q124))</f>
        <v/>
      </c>
      <c r="J124" s="25" t="str">
        <f>IF($Q124="","",INDEX(TRANSACTIONS_MASTER!$O$5:$O$1204,$Q124))</f>
        <v/>
      </c>
      <c r="K124" s="26" t="str">
        <f>IF($Q124="","",INDEX(TRANSACTIONS_MASTER!$Q$5:$Q$1204,$Q124))</f>
        <v/>
      </c>
      <c r="L124" s="25" t="str">
        <f>IF($Q124="","",INDEX(TRANSACTIONS_MASTER!$P$5:$P$1204,$Q124))</f>
        <v/>
      </c>
      <c r="M124" s="25" t="str">
        <f>IF($Q124="","",INDEX(TRANSACTIONS_MASTER!$AA$5:$AA$1204,$Q124))</f>
        <v/>
      </c>
      <c r="N124" s="25" t="str">
        <f>IF($Q124="","",INDEX(TRANSACTIONS_MASTER!$R$5:$R$1204,$Q124))</f>
        <v/>
      </c>
      <c r="O124" s="28" t="str">
        <f>IF($Q124="","",INDEX(TRANSACTIONS_MASTER!$AB$5:$AB$1204,$Q124))</f>
        <v/>
      </c>
      <c r="P124" s="55" t="str">
        <f>IF($Q124="","",INDEX(TRANSACTIONS_MASTER!$Z$5:$Z$1204,$Q124)&amp;"")</f>
        <v/>
      </c>
      <c r="Q124" s="67" t="str">
        <f>IFERROR(MATCH($C$2&amp;"|"&amp;117,TRANSACTIONS_MASTER!$AE$5:$AE$1204,0),"")</f>
        <v/>
      </c>
      <c r="S124" s="67" t="str">
        <f>IFERROR(MATCH(1,INDEX((TRANSACTIONS_MASTER!$C$5:$C$1204=$C$2)*(TRANSACTIONS_MASTER!$AL$5:$AL$1204=8),0),0),"")</f>
        <v/>
      </c>
      <c r="T124" s="55" t="n"/>
      <c r="U124" s="55" t="str">
        <f>IF($S124="","",INDEX(TRANSACTIONS_MASTER!$K$5:$K$1204,$S124))</f>
        <v/>
      </c>
      <c r="V124" s="25" t="str">
        <f>IF($S124="","",SUMIFS(TRANSACTIONS_MASTER!$L$5:$L$1204,TRANSACTIONS_MASTER!$K$5:$K$1204,$U124,TRANSACTIONS_MASTER!$C$5:$C$1204,$C$2,TRANSACTIONS_MASTER!$U$5:$U$1204,"&lt;&gt;Cancelled"))</f>
        <v/>
      </c>
      <c r="W124" s="26" t="str">
        <f>IF($S124="","",SUMIFS(TRANSACTIONS_MASTER!$Q$5:$Q$1204,TRANSACTIONS_MASTER!$K$5:$K$1204,$U124,TRANSACTIONS_MASTER!$C$5:$C$1204,$C$2))</f>
        <v/>
      </c>
    </row>
    <row r="125">
      <c r="A125" s="81" t="str">
        <f>IF($Q125="","",118)</f>
        <v/>
      </c>
      <c r="B125" s="57" t="str">
        <f>IF($Q125="","",INDEX(TRANSACTIONS_MASTER!$B$5:$B$1204,$Q125))</f>
        <v/>
      </c>
      <c r="C125" s="55" t="str">
        <f>IF($Q125="","",INDEX(TRANSACTIONS_MASTER!$F$5:$F$1204,$Q125))</f>
        <v/>
      </c>
      <c r="D125" s="55" t="str">
        <f>IF($Q125="","",INDEX(TRANSACTIONS_MASTER!$E$5:$E$1204,$Q125))</f>
        <v/>
      </c>
      <c r="E125" s="55" t="str">
        <f>IF($Q125="","",INDEX(TRANSACTIONS_MASTER!$G$5:$G$1204,$Q125)&amp;"")</f>
        <v/>
      </c>
      <c r="F125" s="29" t="str">
        <f>IF($Q125="","",INDEX(TRANSACTIONS_MASTER!$I$5:$I$1204,$Q125))</f>
        <v/>
      </c>
      <c r="G125" s="55" t="str">
        <f>IF($Q125="","",INDEX(TRANSACTIONS_MASTER!$K$5:$K$1204,$Q125))</f>
        <v/>
      </c>
      <c r="H125" s="25" t="str">
        <f>IF($Q125="","",INDEX(TRANSACTIONS_MASTER!$L$5:$L$1204,$Q125))</f>
        <v/>
      </c>
      <c r="I125" s="56" t="str">
        <f>IF($Q125="","",INDEX(TRANSACTIONS_MASTER!$N$5:$N$1204,$Q125))</f>
        <v/>
      </c>
      <c r="J125" s="25" t="str">
        <f>IF($Q125="","",INDEX(TRANSACTIONS_MASTER!$O$5:$O$1204,$Q125))</f>
        <v/>
      </c>
      <c r="K125" s="26" t="str">
        <f>IF($Q125="","",INDEX(TRANSACTIONS_MASTER!$Q$5:$Q$1204,$Q125))</f>
        <v/>
      </c>
      <c r="L125" s="25" t="str">
        <f>IF($Q125="","",INDEX(TRANSACTIONS_MASTER!$P$5:$P$1204,$Q125))</f>
        <v/>
      </c>
      <c r="M125" s="25" t="str">
        <f>IF($Q125="","",INDEX(TRANSACTIONS_MASTER!$AA$5:$AA$1204,$Q125))</f>
        <v/>
      </c>
      <c r="N125" s="25" t="str">
        <f>IF($Q125="","",INDEX(TRANSACTIONS_MASTER!$R$5:$R$1204,$Q125))</f>
        <v/>
      </c>
      <c r="O125" s="28" t="str">
        <f>IF($Q125="","",INDEX(TRANSACTIONS_MASTER!$AB$5:$AB$1204,$Q125))</f>
        <v/>
      </c>
      <c r="P125" s="55" t="str">
        <f>IF($Q125="","",INDEX(TRANSACTIONS_MASTER!$Z$5:$Z$1204,$Q125)&amp;"")</f>
        <v/>
      </c>
      <c r="Q125" s="67" t="str">
        <f>IFERROR(MATCH($C$2&amp;"|"&amp;118,TRANSACTIONS_MASTER!$AE$5:$AE$1204,0),"")</f>
        <v/>
      </c>
      <c r="S125" s="67" t="str">
        <f>IFERROR(MATCH(1,INDEX((TRANSACTIONS_MASTER!$C$5:$C$1204=$C$2)*(TRANSACTIONS_MASTER!$AL$5:$AL$1204=9),0),0),"")</f>
        <v/>
      </c>
      <c r="T125" s="55" t="n"/>
      <c r="U125" s="55" t="str">
        <f>IF($S125="","",INDEX(TRANSACTIONS_MASTER!$K$5:$K$1204,$S125))</f>
        <v/>
      </c>
      <c r="V125" s="25" t="str">
        <f>IF($S125="","",SUMIFS(TRANSACTIONS_MASTER!$L$5:$L$1204,TRANSACTIONS_MASTER!$K$5:$K$1204,$U125,TRANSACTIONS_MASTER!$C$5:$C$1204,$C$2,TRANSACTIONS_MASTER!$U$5:$U$1204,"&lt;&gt;Cancelled"))</f>
        <v/>
      </c>
      <c r="W125" s="26" t="str">
        <f>IF($S125="","",SUMIFS(TRANSACTIONS_MASTER!$Q$5:$Q$1204,TRANSACTIONS_MASTER!$K$5:$K$1204,$U125,TRANSACTIONS_MASTER!$C$5:$C$1204,$C$2))</f>
        <v/>
      </c>
    </row>
    <row r="126">
      <c r="A126" s="81" t="str">
        <f>IF($Q126="","",119)</f>
        <v/>
      </c>
      <c r="B126" s="57" t="str">
        <f>IF($Q126="","",INDEX(TRANSACTIONS_MASTER!$B$5:$B$1204,$Q126))</f>
        <v/>
      </c>
      <c r="C126" s="55" t="str">
        <f>IF($Q126="","",INDEX(TRANSACTIONS_MASTER!$F$5:$F$1204,$Q126))</f>
        <v/>
      </c>
      <c r="D126" s="55" t="str">
        <f>IF($Q126="","",INDEX(TRANSACTIONS_MASTER!$E$5:$E$1204,$Q126))</f>
        <v/>
      </c>
      <c r="E126" s="55" t="str">
        <f>IF($Q126="","",INDEX(TRANSACTIONS_MASTER!$G$5:$G$1204,$Q126)&amp;"")</f>
        <v/>
      </c>
      <c r="F126" s="29" t="str">
        <f>IF($Q126="","",INDEX(TRANSACTIONS_MASTER!$I$5:$I$1204,$Q126))</f>
        <v/>
      </c>
      <c r="G126" s="55" t="str">
        <f>IF($Q126="","",INDEX(TRANSACTIONS_MASTER!$K$5:$K$1204,$Q126))</f>
        <v/>
      </c>
      <c r="H126" s="25" t="str">
        <f>IF($Q126="","",INDEX(TRANSACTIONS_MASTER!$L$5:$L$1204,$Q126))</f>
        <v/>
      </c>
      <c r="I126" s="56" t="str">
        <f>IF($Q126="","",INDEX(TRANSACTIONS_MASTER!$N$5:$N$1204,$Q126))</f>
        <v/>
      </c>
      <c r="J126" s="25" t="str">
        <f>IF($Q126="","",INDEX(TRANSACTIONS_MASTER!$O$5:$O$1204,$Q126))</f>
        <v/>
      </c>
      <c r="K126" s="26" t="str">
        <f>IF($Q126="","",INDEX(TRANSACTIONS_MASTER!$Q$5:$Q$1204,$Q126))</f>
        <v/>
      </c>
      <c r="L126" s="25" t="str">
        <f>IF($Q126="","",INDEX(TRANSACTIONS_MASTER!$P$5:$P$1204,$Q126))</f>
        <v/>
      </c>
      <c r="M126" s="25" t="str">
        <f>IF($Q126="","",INDEX(TRANSACTIONS_MASTER!$AA$5:$AA$1204,$Q126))</f>
        <v/>
      </c>
      <c r="N126" s="25" t="str">
        <f>IF($Q126="","",INDEX(TRANSACTIONS_MASTER!$R$5:$R$1204,$Q126))</f>
        <v/>
      </c>
      <c r="O126" s="28" t="str">
        <f>IF($Q126="","",INDEX(TRANSACTIONS_MASTER!$AB$5:$AB$1204,$Q126))</f>
        <v/>
      </c>
      <c r="P126" s="55" t="str">
        <f>IF($Q126="","",INDEX(TRANSACTIONS_MASTER!$Z$5:$Z$1204,$Q126)&amp;"")</f>
        <v/>
      </c>
      <c r="Q126" s="67" t="str">
        <f>IFERROR(MATCH($C$2&amp;"|"&amp;119,TRANSACTIONS_MASTER!$AE$5:$AE$1204,0),"")</f>
        <v/>
      </c>
      <c r="S126" s="67" t="str">
        <f>IFERROR(MATCH(1,INDEX((TRANSACTIONS_MASTER!$C$5:$C$1204=$C$2)*(TRANSACTIONS_MASTER!$AL$5:$AL$1204=10),0),0),"")</f>
        <v/>
      </c>
      <c r="T126" s="55" t="n"/>
      <c r="U126" s="55" t="str">
        <f>IF($S126="","",INDEX(TRANSACTIONS_MASTER!$K$5:$K$1204,$S126))</f>
        <v/>
      </c>
      <c r="V126" s="25" t="str">
        <f>IF($S126="","",SUMIFS(TRANSACTIONS_MASTER!$L$5:$L$1204,TRANSACTIONS_MASTER!$K$5:$K$1204,$U126,TRANSACTIONS_MASTER!$C$5:$C$1204,$C$2,TRANSACTIONS_MASTER!$U$5:$U$1204,"&lt;&gt;Cancelled"))</f>
        <v/>
      </c>
      <c r="W126" s="26" t="str">
        <f>IF($S126="","",SUMIFS(TRANSACTIONS_MASTER!$Q$5:$Q$1204,TRANSACTIONS_MASTER!$K$5:$K$1204,$U126,TRANSACTIONS_MASTER!$C$5:$C$1204,$C$2))</f>
        <v/>
      </c>
    </row>
    <row r="127">
      <c r="A127" s="81" t="str">
        <f>IF($Q127="","",120)</f>
        <v/>
      </c>
      <c r="B127" s="57" t="str">
        <f>IF($Q127="","",INDEX(TRANSACTIONS_MASTER!$B$5:$B$1204,$Q127))</f>
        <v/>
      </c>
      <c r="C127" s="55" t="str">
        <f>IF($Q127="","",INDEX(TRANSACTIONS_MASTER!$F$5:$F$1204,$Q127))</f>
        <v/>
      </c>
      <c r="D127" s="55" t="str">
        <f>IF($Q127="","",INDEX(TRANSACTIONS_MASTER!$E$5:$E$1204,$Q127))</f>
        <v/>
      </c>
      <c r="E127" s="55" t="str">
        <f>IF($Q127="","",INDEX(TRANSACTIONS_MASTER!$G$5:$G$1204,$Q127)&amp;"")</f>
        <v/>
      </c>
      <c r="F127" s="29" t="str">
        <f>IF($Q127="","",INDEX(TRANSACTIONS_MASTER!$I$5:$I$1204,$Q127))</f>
        <v/>
      </c>
      <c r="G127" s="55" t="str">
        <f>IF($Q127="","",INDEX(TRANSACTIONS_MASTER!$K$5:$K$1204,$Q127))</f>
        <v/>
      </c>
      <c r="H127" s="25" t="str">
        <f>IF($Q127="","",INDEX(TRANSACTIONS_MASTER!$L$5:$L$1204,$Q127))</f>
        <v/>
      </c>
      <c r="I127" s="56" t="str">
        <f>IF($Q127="","",INDEX(TRANSACTIONS_MASTER!$N$5:$N$1204,$Q127))</f>
        <v/>
      </c>
      <c r="J127" s="25" t="str">
        <f>IF($Q127="","",INDEX(TRANSACTIONS_MASTER!$O$5:$O$1204,$Q127))</f>
        <v/>
      </c>
      <c r="K127" s="26" t="str">
        <f>IF($Q127="","",INDEX(TRANSACTIONS_MASTER!$Q$5:$Q$1204,$Q127))</f>
        <v/>
      </c>
      <c r="L127" s="25" t="str">
        <f>IF($Q127="","",INDEX(TRANSACTIONS_MASTER!$P$5:$P$1204,$Q127))</f>
        <v/>
      </c>
      <c r="M127" s="25" t="str">
        <f>IF($Q127="","",INDEX(TRANSACTIONS_MASTER!$AA$5:$AA$1204,$Q127))</f>
        <v/>
      </c>
      <c r="N127" s="25" t="str">
        <f>IF($Q127="","",INDEX(TRANSACTIONS_MASTER!$R$5:$R$1204,$Q127))</f>
        <v/>
      </c>
      <c r="O127" s="28" t="str">
        <f>IF($Q127="","",INDEX(TRANSACTIONS_MASTER!$AB$5:$AB$1204,$Q127))</f>
        <v/>
      </c>
      <c r="P127" s="55" t="str">
        <f>IF($Q127="","",INDEX(TRANSACTIONS_MASTER!$Z$5:$Z$1204,$Q127)&amp;"")</f>
        <v/>
      </c>
      <c r="Q127" s="67" t="str">
        <f>IFERROR(MATCH($C$2&amp;"|"&amp;120,TRANSACTIONS_MASTER!$AE$5:$AE$1204,0),"")</f>
        <v/>
      </c>
      <c r="S127" s="67" t="str">
        <f>IFERROR(MATCH(1,INDEX((TRANSACTIONS_MASTER!$C$5:$C$1204=$C$2)*(TRANSACTIONS_MASTER!$AL$5:$AL$1204=11),0),0),"")</f>
        <v/>
      </c>
      <c r="T127" s="55" t="n"/>
      <c r="U127" s="55" t="str">
        <f>IF($S127="","",INDEX(TRANSACTIONS_MASTER!$K$5:$K$1204,$S127))</f>
        <v/>
      </c>
      <c r="V127" s="25" t="str">
        <f>IF($S127="","",SUMIFS(TRANSACTIONS_MASTER!$L$5:$L$1204,TRANSACTIONS_MASTER!$K$5:$K$1204,$U127,TRANSACTIONS_MASTER!$C$5:$C$1204,$C$2,TRANSACTIONS_MASTER!$U$5:$U$1204,"&lt;&gt;Cancelled"))</f>
        <v/>
      </c>
      <c r="W127" s="26" t="str">
        <f>IF($S127="","",SUMIFS(TRANSACTIONS_MASTER!$Q$5:$Q$1204,TRANSACTIONS_MASTER!$K$5:$K$1204,$U127,TRANSACTIONS_MASTER!$C$5:$C$1204,$C$2))</f>
        <v/>
      </c>
    </row>
    <row r="128">
      <c r="A128" s="81" t="str">
        <f>IF($Q128="","",121)</f>
        <v/>
      </c>
      <c r="B128" s="57" t="str">
        <f>IF($Q128="","",INDEX(TRANSACTIONS_MASTER!$B$5:$B$1204,$Q128))</f>
        <v/>
      </c>
      <c r="C128" s="55" t="str">
        <f>IF($Q128="","",INDEX(TRANSACTIONS_MASTER!$F$5:$F$1204,$Q128))</f>
        <v/>
      </c>
      <c r="D128" s="55" t="str">
        <f>IF($Q128="","",INDEX(TRANSACTIONS_MASTER!$E$5:$E$1204,$Q128))</f>
        <v/>
      </c>
      <c r="E128" s="55" t="str">
        <f>IF($Q128="","",INDEX(TRANSACTIONS_MASTER!$G$5:$G$1204,$Q128)&amp;"")</f>
        <v/>
      </c>
      <c r="F128" s="29" t="str">
        <f>IF($Q128="","",INDEX(TRANSACTIONS_MASTER!$I$5:$I$1204,$Q128))</f>
        <v/>
      </c>
      <c r="G128" s="55" t="str">
        <f>IF($Q128="","",INDEX(TRANSACTIONS_MASTER!$K$5:$K$1204,$Q128))</f>
        <v/>
      </c>
      <c r="H128" s="25" t="str">
        <f>IF($Q128="","",INDEX(TRANSACTIONS_MASTER!$L$5:$L$1204,$Q128))</f>
        <v/>
      </c>
      <c r="I128" s="56" t="str">
        <f>IF($Q128="","",INDEX(TRANSACTIONS_MASTER!$N$5:$N$1204,$Q128))</f>
        <v/>
      </c>
      <c r="J128" s="25" t="str">
        <f>IF($Q128="","",INDEX(TRANSACTIONS_MASTER!$O$5:$O$1204,$Q128))</f>
        <v/>
      </c>
      <c r="K128" s="26" t="str">
        <f>IF($Q128="","",INDEX(TRANSACTIONS_MASTER!$Q$5:$Q$1204,$Q128))</f>
        <v/>
      </c>
      <c r="L128" s="25" t="str">
        <f>IF($Q128="","",INDEX(TRANSACTIONS_MASTER!$P$5:$P$1204,$Q128))</f>
        <v/>
      </c>
      <c r="M128" s="25" t="str">
        <f>IF($Q128="","",INDEX(TRANSACTIONS_MASTER!$AA$5:$AA$1204,$Q128))</f>
        <v/>
      </c>
      <c r="N128" s="25" t="str">
        <f>IF($Q128="","",INDEX(TRANSACTIONS_MASTER!$R$5:$R$1204,$Q128))</f>
        <v/>
      </c>
      <c r="O128" s="28" t="str">
        <f>IF($Q128="","",INDEX(TRANSACTIONS_MASTER!$AB$5:$AB$1204,$Q128))</f>
        <v/>
      </c>
      <c r="P128" s="55" t="str">
        <f>IF($Q128="","",INDEX(TRANSACTIONS_MASTER!$Z$5:$Z$1204,$Q128)&amp;"")</f>
        <v/>
      </c>
      <c r="Q128" s="67" t="str">
        <f>IFERROR(MATCH($C$2&amp;"|"&amp;121,TRANSACTIONS_MASTER!$AE$5:$AE$1204,0),"")</f>
        <v/>
      </c>
      <c r="S128" s="67" t="str">
        <f>IFERROR(MATCH(1,INDEX((TRANSACTIONS_MASTER!$C$5:$C$1204=$C$2)*(TRANSACTIONS_MASTER!$AL$5:$AL$1204=12),0),0),"")</f>
        <v/>
      </c>
      <c r="T128" s="55" t="n"/>
      <c r="U128" s="55" t="str">
        <f>IF($S128="","",INDEX(TRANSACTIONS_MASTER!$K$5:$K$1204,$S128))</f>
        <v/>
      </c>
      <c r="V128" s="25" t="str">
        <f>IF($S128="","",SUMIFS(TRANSACTIONS_MASTER!$L$5:$L$1204,TRANSACTIONS_MASTER!$K$5:$K$1204,$U128,TRANSACTIONS_MASTER!$C$5:$C$1204,$C$2,TRANSACTIONS_MASTER!$U$5:$U$1204,"&lt;&gt;Cancelled"))</f>
        <v/>
      </c>
      <c r="W128" s="26" t="str">
        <f>IF($S128="","",SUMIFS(TRANSACTIONS_MASTER!$Q$5:$Q$1204,TRANSACTIONS_MASTER!$K$5:$K$1204,$U128,TRANSACTIONS_MASTER!$C$5:$C$1204,$C$2))</f>
        <v/>
      </c>
    </row>
    <row r="129">
      <c r="A129" s="81" t="str">
        <f>IF($Q129="","",122)</f>
        <v/>
      </c>
      <c r="B129" s="57" t="str">
        <f>IF($Q129="","",INDEX(TRANSACTIONS_MASTER!$B$5:$B$1204,$Q129))</f>
        <v/>
      </c>
      <c r="C129" s="55" t="str">
        <f>IF($Q129="","",INDEX(TRANSACTIONS_MASTER!$F$5:$F$1204,$Q129))</f>
        <v/>
      </c>
      <c r="D129" s="55" t="str">
        <f>IF($Q129="","",INDEX(TRANSACTIONS_MASTER!$E$5:$E$1204,$Q129))</f>
        <v/>
      </c>
      <c r="E129" s="55" t="str">
        <f>IF($Q129="","",INDEX(TRANSACTIONS_MASTER!$G$5:$G$1204,$Q129)&amp;"")</f>
        <v/>
      </c>
      <c r="F129" s="29" t="str">
        <f>IF($Q129="","",INDEX(TRANSACTIONS_MASTER!$I$5:$I$1204,$Q129))</f>
        <v/>
      </c>
      <c r="G129" s="55" t="str">
        <f>IF($Q129="","",INDEX(TRANSACTIONS_MASTER!$K$5:$K$1204,$Q129))</f>
        <v/>
      </c>
      <c r="H129" s="25" t="str">
        <f>IF($Q129="","",INDEX(TRANSACTIONS_MASTER!$L$5:$L$1204,$Q129))</f>
        <v/>
      </c>
      <c r="I129" s="56" t="str">
        <f>IF($Q129="","",INDEX(TRANSACTIONS_MASTER!$N$5:$N$1204,$Q129))</f>
        <v/>
      </c>
      <c r="J129" s="25" t="str">
        <f>IF($Q129="","",INDEX(TRANSACTIONS_MASTER!$O$5:$O$1204,$Q129))</f>
        <v/>
      </c>
      <c r="K129" s="26" t="str">
        <f>IF($Q129="","",INDEX(TRANSACTIONS_MASTER!$Q$5:$Q$1204,$Q129))</f>
        <v/>
      </c>
      <c r="L129" s="25" t="str">
        <f>IF($Q129="","",INDEX(TRANSACTIONS_MASTER!$P$5:$P$1204,$Q129))</f>
        <v/>
      </c>
      <c r="M129" s="25" t="str">
        <f>IF($Q129="","",INDEX(TRANSACTIONS_MASTER!$AA$5:$AA$1204,$Q129))</f>
        <v/>
      </c>
      <c r="N129" s="25" t="str">
        <f>IF($Q129="","",INDEX(TRANSACTIONS_MASTER!$R$5:$R$1204,$Q129))</f>
        <v/>
      </c>
      <c r="O129" s="28" t="str">
        <f>IF($Q129="","",INDEX(TRANSACTIONS_MASTER!$AB$5:$AB$1204,$Q129))</f>
        <v/>
      </c>
      <c r="P129" s="55" t="str">
        <f>IF($Q129="","",INDEX(TRANSACTIONS_MASTER!$Z$5:$Z$1204,$Q129)&amp;"")</f>
        <v/>
      </c>
      <c r="Q129" s="67" t="str">
        <f>IFERROR(MATCH($C$2&amp;"|"&amp;122,TRANSACTIONS_MASTER!$AE$5:$AE$1204,0),"")</f>
        <v/>
      </c>
      <c r="S129" s="67" t="str">
        <f>IFERROR(MATCH(1,INDEX((TRANSACTIONS_MASTER!$C$5:$C$1204=$C$2)*(TRANSACTIONS_MASTER!$AL$5:$AL$1204=13),0),0),"")</f>
        <v/>
      </c>
      <c r="T129" s="55" t="n"/>
      <c r="U129" s="55" t="str">
        <f>IF($S129="","",INDEX(TRANSACTIONS_MASTER!$K$5:$K$1204,$S129))</f>
        <v/>
      </c>
      <c r="V129" s="25" t="str">
        <f>IF($S129="","",SUMIFS(TRANSACTIONS_MASTER!$L$5:$L$1204,TRANSACTIONS_MASTER!$K$5:$K$1204,$U129,TRANSACTIONS_MASTER!$C$5:$C$1204,$C$2,TRANSACTIONS_MASTER!$U$5:$U$1204,"&lt;&gt;Cancelled"))</f>
        <v/>
      </c>
      <c r="W129" s="26" t="str">
        <f>IF($S129="","",SUMIFS(TRANSACTIONS_MASTER!$Q$5:$Q$1204,TRANSACTIONS_MASTER!$K$5:$K$1204,$U129,TRANSACTIONS_MASTER!$C$5:$C$1204,$C$2))</f>
        <v/>
      </c>
    </row>
    <row r="130">
      <c r="A130" s="81" t="str">
        <f>IF($Q130="","",123)</f>
        <v/>
      </c>
      <c r="B130" s="57" t="str">
        <f>IF($Q130="","",INDEX(TRANSACTIONS_MASTER!$B$5:$B$1204,$Q130))</f>
        <v/>
      </c>
      <c r="C130" s="55" t="str">
        <f>IF($Q130="","",INDEX(TRANSACTIONS_MASTER!$F$5:$F$1204,$Q130))</f>
        <v/>
      </c>
      <c r="D130" s="55" t="str">
        <f>IF($Q130="","",INDEX(TRANSACTIONS_MASTER!$E$5:$E$1204,$Q130))</f>
        <v/>
      </c>
      <c r="E130" s="55" t="str">
        <f>IF($Q130="","",INDEX(TRANSACTIONS_MASTER!$G$5:$G$1204,$Q130)&amp;"")</f>
        <v/>
      </c>
      <c r="F130" s="29" t="str">
        <f>IF($Q130="","",INDEX(TRANSACTIONS_MASTER!$I$5:$I$1204,$Q130))</f>
        <v/>
      </c>
      <c r="G130" s="55" t="str">
        <f>IF($Q130="","",INDEX(TRANSACTIONS_MASTER!$K$5:$K$1204,$Q130))</f>
        <v/>
      </c>
      <c r="H130" s="25" t="str">
        <f>IF($Q130="","",INDEX(TRANSACTIONS_MASTER!$L$5:$L$1204,$Q130))</f>
        <v/>
      </c>
      <c r="I130" s="56" t="str">
        <f>IF($Q130="","",INDEX(TRANSACTIONS_MASTER!$N$5:$N$1204,$Q130))</f>
        <v/>
      </c>
      <c r="J130" s="25" t="str">
        <f>IF($Q130="","",INDEX(TRANSACTIONS_MASTER!$O$5:$O$1204,$Q130))</f>
        <v/>
      </c>
      <c r="K130" s="26" t="str">
        <f>IF($Q130="","",INDEX(TRANSACTIONS_MASTER!$Q$5:$Q$1204,$Q130))</f>
        <v/>
      </c>
      <c r="L130" s="25" t="str">
        <f>IF($Q130="","",INDEX(TRANSACTIONS_MASTER!$P$5:$P$1204,$Q130))</f>
        <v/>
      </c>
      <c r="M130" s="25" t="str">
        <f>IF($Q130="","",INDEX(TRANSACTIONS_MASTER!$AA$5:$AA$1204,$Q130))</f>
        <v/>
      </c>
      <c r="N130" s="25" t="str">
        <f>IF($Q130="","",INDEX(TRANSACTIONS_MASTER!$R$5:$R$1204,$Q130))</f>
        <v/>
      </c>
      <c r="O130" s="28" t="str">
        <f>IF($Q130="","",INDEX(TRANSACTIONS_MASTER!$AB$5:$AB$1204,$Q130))</f>
        <v/>
      </c>
      <c r="P130" s="55" t="str">
        <f>IF($Q130="","",INDEX(TRANSACTIONS_MASTER!$Z$5:$Z$1204,$Q130)&amp;"")</f>
        <v/>
      </c>
      <c r="Q130" s="67" t="str">
        <f>IFERROR(MATCH($C$2&amp;"|"&amp;123,TRANSACTIONS_MASTER!$AE$5:$AE$1204,0),"")</f>
        <v/>
      </c>
      <c r="S130" s="67" t="str">
        <f>IFERROR(MATCH(1,INDEX((TRANSACTIONS_MASTER!$C$5:$C$1204=$C$2)*(TRANSACTIONS_MASTER!$AL$5:$AL$1204=14),0),0),"")</f>
        <v/>
      </c>
      <c r="T130" s="55" t="n"/>
      <c r="U130" s="55" t="str">
        <f>IF($S130="","",INDEX(TRANSACTIONS_MASTER!$K$5:$K$1204,$S130))</f>
        <v/>
      </c>
      <c r="V130" s="25" t="str">
        <f>IF($S130="","",SUMIFS(TRANSACTIONS_MASTER!$L$5:$L$1204,TRANSACTIONS_MASTER!$K$5:$K$1204,$U130,TRANSACTIONS_MASTER!$C$5:$C$1204,$C$2,TRANSACTIONS_MASTER!$U$5:$U$1204,"&lt;&gt;Cancelled"))</f>
        <v/>
      </c>
      <c r="W130" s="26" t="str">
        <f>IF($S130="","",SUMIFS(TRANSACTIONS_MASTER!$Q$5:$Q$1204,TRANSACTIONS_MASTER!$K$5:$K$1204,$U130,TRANSACTIONS_MASTER!$C$5:$C$1204,$C$2))</f>
        <v/>
      </c>
    </row>
    <row r="131">
      <c r="A131" s="81" t="str">
        <f>IF($Q131="","",124)</f>
        <v/>
      </c>
      <c r="B131" s="57" t="str">
        <f>IF($Q131="","",INDEX(TRANSACTIONS_MASTER!$B$5:$B$1204,$Q131))</f>
        <v/>
      </c>
      <c r="C131" s="55" t="str">
        <f>IF($Q131="","",INDEX(TRANSACTIONS_MASTER!$F$5:$F$1204,$Q131))</f>
        <v/>
      </c>
      <c r="D131" s="55" t="str">
        <f>IF($Q131="","",INDEX(TRANSACTIONS_MASTER!$E$5:$E$1204,$Q131))</f>
        <v/>
      </c>
      <c r="E131" s="55" t="str">
        <f>IF($Q131="","",INDEX(TRANSACTIONS_MASTER!$G$5:$G$1204,$Q131)&amp;"")</f>
        <v/>
      </c>
      <c r="F131" s="29" t="str">
        <f>IF($Q131="","",INDEX(TRANSACTIONS_MASTER!$I$5:$I$1204,$Q131))</f>
        <v/>
      </c>
      <c r="G131" s="55" t="str">
        <f>IF($Q131="","",INDEX(TRANSACTIONS_MASTER!$K$5:$K$1204,$Q131))</f>
        <v/>
      </c>
      <c r="H131" s="25" t="str">
        <f>IF($Q131="","",INDEX(TRANSACTIONS_MASTER!$L$5:$L$1204,$Q131))</f>
        <v/>
      </c>
      <c r="I131" s="56" t="str">
        <f>IF($Q131="","",INDEX(TRANSACTIONS_MASTER!$N$5:$N$1204,$Q131))</f>
        <v/>
      </c>
      <c r="J131" s="25" t="str">
        <f>IF($Q131="","",INDEX(TRANSACTIONS_MASTER!$O$5:$O$1204,$Q131))</f>
        <v/>
      </c>
      <c r="K131" s="26" t="str">
        <f>IF($Q131="","",INDEX(TRANSACTIONS_MASTER!$Q$5:$Q$1204,$Q131))</f>
        <v/>
      </c>
      <c r="L131" s="25" t="str">
        <f>IF($Q131="","",INDEX(TRANSACTIONS_MASTER!$P$5:$P$1204,$Q131))</f>
        <v/>
      </c>
      <c r="M131" s="25" t="str">
        <f>IF($Q131="","",INDEX(TRANSACTIONS_MASTER!$AA$5:$AA$1204,$Q131))</f>
        <v/>
      </c>
      <c r="N131" s="25" t="str">
        <f>IF($Q131="","",INDEX(TRANSACTIONS_MASTER!$R$5:$R$1204,$Q131))</f>
        <v/>
      </c>
      <c r="O131" s="28" t="str">
        <f>IF($Q131="","",INDEX(TRANSACTIONS_MASTER!$AB$5:$AB$1204,$Q131))</f>
        <v/>
      </c>
      <c r="P131" s="55" t="str">
        <f>IF($Q131="","",INDEX(TRANSACTIONS_MASTER!$Z$5:$Z$1204,$Q131)&amp;"")</f>
        <v/>
      </c>
      <c r="Q131" s="67" t="str">
        <f>IFERROR(MATCH($C$2&amp;"|"&amp;124,TRANSACTIONS_MASTER!$AE$5:$AE$1204,0),"")</f>
        <v/>
      </c>
      <c r="S131" s="67" t="str">
        <f>IFERROR(MATCH(1,INDEX((TRANSACTIONS_MASTER!$C$5:$C$1204=$C$2)*(TRANSACTIONS_MASTER!$AL$5:$AL$1204=15),0),0),"")</f>
        <v/>
      </c>
      <c r="T131" s="55" t="n"/>
      <c r="U131" s="55" t="str">
        <f>IF($S131="","",INDEX(TRANSACTIONS_MASTER!$K$5:$K$1204,$S131))</f>
        <v/>
      </c>
      <c r="V131" s="25" t="str">
        <f>IF($S131="","",SUMIFS(TRANSACTIONS_MASTER!$L$5:$L$1204,TRANSACTIONS_MASTER!$K$5:$K$1204,$U131,TRANSACTIONS_MASTER!$C$5:$C$1204,$C$2,TRANSACTIONS_MASTER!$U$5:$U$1204,"&lt;&gt;Cancelled"))</f>
        <v/>
      </c>
      <c r="W131" s="26" t="str">
        <f>IF($S131="","",SUMIFS(TRANSACTIONS_MASTER!$Q$5:$Q$1204,TRANSACTIONS_MASTER!$K$5:$K$1204,$U131,TRANSACTIONS_MASTER!$C$5:$C$1204,$C$2))</f>
        <v/>
      </c>
    </row>
    <row r="132">
      <c r="A132" s="81" t="str">
        <f>IF($Q132="","",125)</f>
        <v/>
      </c>
      <c r="B132" s="57" t="str">
        <f>IF($Q132="","",INDEX(TRANSACTIONS_MASTER!$B$5:$B$1204,$Q132))</f>
        <v/>
      </c>
      <c r="C132" s="55" t="str">
        <f>IF($Q132="","",INDEX(TRANSACTIONS_MASTER!$F$5:$F$1204,$Q132))</f>
        <v/>
      </c>
      <c r="D132" s="55" t="str">
        <f>IF($Q132="","",INDEX(TRANSACTIONS_MASTER!$E$5:$E$1204,$Q132))</f>
        <v/>
      </c>
      <c r="E132" s="55" t="str">
        <f>IF($Q132="","",INDEX(TRANSACTIONS_MASTER!$G$5:$G$1204,$Q132)&amp;"")</f>
        <v/>
      </c>
      <c r="F132" s="29" t="str">
        <f>IF($Q132="","",INDEX(TRANSACTIONS_MASTER!$I$5:$I$1204,$Q132))</f>
        <v/>
      </c>
      <c r="G132" s="55" t="str">
        <f>IF($Q132="","",INDEX(TRANSACTIONS_MASTER!$K$5:$K$1204,$Q132))</f>
        <v/>
      </c>
      <c r="H132" s="25" t="str">
        <f>IF($Q132="","",INDEX(TRANSACTIONS_MASTER!$L$5:$L$1204,$Q132))</f>
        <v/>
      </c>
      <c r="I132" s="56" t="str">
        <f>IF($Q132="","",INDEX(TRANSACTIONS_MASTER!$N$5:$N$1204,$Q132))</f>
        <v/>
      </c>
      <c r="J132" s="25" t="str">
        <f>IF($Q132="","",INDEX(TRANSACTIONS_MASTER!$O$5:$O$1204,$Q132))</f>
        <v/>
      </c>
      <c r="K132" s="26" t="str">
        <f>IF($Q132="","",INDEX(TRANSACTIONS_MASTER!$Q$5:$Q$1204,$Q132))</f>
        <v/>
      </c>
      <c r="L132" s="25" t="str">
        <f>IF($Q132="","",INDEX(TRANSACTIONS_MASTER!$P$5:$P$1204,$Q132))</f>
        <v/>
      </c>
      <c r="M132" s="25" t="str">
        <f>IF($Q132="","",INDEX(TRANSACTIONS_MASTER!$AA$5:$AA$1204,$Q132))</f>
        <v/>
      </c>
      <c r="N132" s="25" t="str">
        <f>IF($Q132="","",INDEX(TRANSACTIONS_MASTER!$R$5:$R$1204,$Q132))</f>
        <v/>
      </c>
      <c r="O132" s="28" t="str">
        <f>IF($Q132="","",INDEX(TRANSACTIONS_MASTER!$AB$5:$AB$1204,$Q132))</f>
        <v/>
      </c>
      <c r="P132" s="55" t="str">
        <f>IF($Q132="","",INDEX(TRANSACTIONS_MASTER!$Z$5:$Z$1204,$Q132)&amp;"")</f>
        <v/>
      </c>
      <c r="Q132" s="67" t="str">
        <f>IFERROR(MATCH($C$2&amp;"|"&amp;125,TRANSACTIONS_MASTER!$AE$5:$AE$1204,0),"")</f>
        <v/>
      </c>
      <c r="T132" s="45" t="n"/>
      <c r="U132" s="82" t="inlineStr">
        <is>
          <t>Khác (ngoài danh sách)</t>
        </is>
      </c>
      <c r="V132" s="48">
        <f>MAX(0,SUMIFS(TRANSACTIONS_MASTER!$L$5:$L$1204,TRANSACTIONS_MASTER!$C$5:$C$1204,$C$2,TRANSACTIONS_MASTER!$U$5:$U$1204,"&lt;&gt;Cancelled")-SUM(V117:V131))</f>
        <v>0</v>
      </c>
      <c r="W132" s="48">
        <f>MAX(0,SUMIFS(TRANSACTIONS_MASTER!$Q$5:$Q$1204,TRANSACTIONS_MASTER!$C$5:$C$1204,$C$2)-SUM(W117:W131))</f>
        <v>0</v>
      </c>
    </row>
    <row r="133">
      <c r="A133" s="81" t="str">
        <f>IF($Q133="","",126)</f>
        <v/>
      </c>
      <c r="B133" s="57" t="str">
        <f>IF($Q133="","",INDEX(TRANSACTIONS_MASTER!$B$5:$B$1204,$Q133))</f>
        <v/>
      </c>
      <c r="C133" s="55" t="str">
        <f>IF($Q133="","",INDEX(TRANSACTIONS_MASTER!$F$5:$F$1204,$Q133))</f>
        <v/>
      </c>
      <c r="D133" s="55" t="str">
        <f>IF($Q133="","",INDEX(TRANSACTIONS_MASTER!$E$5:$E$1204,$Q133))</f>
        <v/>
      </c>
      <c r="E133" s="55" t="str">
        <f>IF($Q133="","",INDEX(TRANSACTIONS_MASTER!$G$5:$G$1204,$Q133)&amp;"")</f>
        <v/>
      </c>
      <c r="F133" s="29" t="str">
        <f>IF($Q133="","",INDEX(TRANSACTIONS_MASTER!$I$5:$I$1204,$Q133))</f>
        <v/>
      </c>
      <c r="G133" s="55" t="str">
        <f>IF($Q133="","",INDEX(TRANSACTIONS_MASTER!$K$5:$K$1204,$Q133))</f>
        <v/>
      </c>
      <c r="H133" s="25" t="str">
        <f>IF($Q133="","",INDEX(TRANSACTIONS_MASTER!$L$5:$L$1204,$Q133))</f>
        <v/>
      </c>
      <c r="I133" s="56" t="str">
        <f>IF($Q133="","",INDEX(TRANSACTIONS_MASTER!$N$5:$N$1204,$Q133))</f>
        <v/>
      </c>
      <c r="J133" s="25" t="str">
        <f>IF($Q133="","",INDEX(TRANSACTIONS_MASTER!$O$5:$O$1204,$Q133))</f>
        <v/>
      </c>
      <c r="K133" s="26" t="str">
        <f>IF($Q133="","",INDEX(TRANSACTIONS_MASTER!$Q$5:$Q$1204,$Q133))</f>
        <v/>
      </c>
      <c r="L133" s="25" t="str">
        <f>IF($Q133="","",INDEX(TRANSACTIONS_MASTER!$P$5:$P$1204,$Q133))</f>
        <v/>
      </c>
      <c r="M133" s="25" t="str">
        <f>IF($Q133="","",INDEX(TRANSACTIONS_MASTER!$AA$5:$AA$1204,$Q133))</f>
        <v/>
      </c>
      <c r="N133" s="25" t="str">
        <f>IF($Q133="","",INDEX(TRANSACTIONS_MASTER!$R$5:$R$1204,$Q133))</f>
        <v/>
      </c>
      <c r="O133" s="28" t="str">
        <f>IF($Q133="","",INDEX(TRANSACTIONS_MASTER!$AB$5:$AB$1204,$Q133))</f>
        <v/>
      </c>
      <c r="P133" s="55" t="str">
        <f>IF($Q133="","",INDEX(TRANSACTIONS_MASTER!$Z$5:$Z$1204,$Q133)&amp;"")</f>
        <v/>
      </c>
      <c r="Q133" s="67" t="str">
        <f>IFERROR(MATCH($C$2&amp;"|"&amp;126,TRANSACTIONS_MASTER!$AE$5:$AE$1204,0),"")</f>
        <v/>
      </c>
      <c r="T133" s="68" t="n"/>
      <c r="U133" s="69" t="inlineStr">
        <is>
          <t>TỔNG</t>
        </is>
      </c>
      <c r="V133" s="31">
        <f>SUM(V117:V132)</f>
        <v>0</v>
      </c>
      <c r="W133" s="31">
        <f>SUM(W117:W132)</f>
        <v>0</v>
      </c>
    </row>
    <row r="134">
      <c r="A134" s="81" t="str">
        <f>IF($Q134="","",127)</f>
        <v/>
      </c>
      <c r="B134" s="57" t="str">
        <f>IF($Q134="","",INDEX(TRANSACTIONS_MASTER!$B$5:$B$1204,$Q134))</f>
        <v/>
      </c>
      <c r="C134" s="55" t="str">
        <f>IF($Q134="","",INDEX(TRANSACTIONS_MASTER!$F$5:$F$1204,$Q134))</f>
        <v/>
      </c>
      <c r="D134" s="55" t="str">
        <f>IF($Q134="","",INDEX(TRANSACTIONS_MASTER!$E$5:$E$1204,$Q134))</f>
        <v/>
      </c>
      <c r="E134" s="55" t="str">
        <f>IF($Q134="","",INDEX(TRANSACTIONS_MASTER!$G$5:$G$1204,$Q134)&amp;"")</f>
        <v/>
      </c>
      <c r="F134" s="29" t="str">
        <f>IF($Q134="","",INDEX(TRANSACTIONS_MASTER!$I$5:$I$1204,$Q134))</f>
        <v/>
      </c>
      <c r="G134" s="55" t="str">
        <f>IF($Q134="","",INDEX(TRANSACTIONS_MASTER!$K$5:$K$1204,$Q134))</f>
        <v/>
      </c>
      <c r="H134" s="25" t="str">
        <f>IF($Q134="","",INDEX(TRANSACTIONS_MASTER!$L$5:$L$1204,$Q134))</f>
        <v/>
      </c>
      <c r="I134" s="56" t="str">
        <f>IF($Q134="","",INDEX(TRANSACTIONS_MASTER!$N$5:$N$1204,$Q134))</f>
        <v/>
      </c>
      <c r="J134" s="25" t="str">
        <f>IF($Q134="","",INDEX(TRANSACTIONS_MASTER!$O$5:$O$1204,$Q134))</f>
        <v/>
      </c>
      <c r="K134" s="26" t="str">
        <f>IF($Q134="","",INDEX(TRANSACTIONS_MASTER!$Q$5:$Q$1204,$Q134))</f>
        <v/>
      </c>
      <c r="L134" s="25" t="str">
        <f>IF($Q134="","",INDEX(TRANSACTIONS_MASTER!$P$5:$P$1204,$Q134))</f>
        <v/>
      </c>
      <c r="M134" s="25" t="str">
        <f>IF($Q134="","",INDEX(TRANSACTIONS_MASTER!$AA$5:$AA$1204,$Q134))</f>
        <v/>
      </c>
      <c r="N134" s="25" t="str">
        <f>IF($Q134="","",INDEX(TRANSACTIONS_MASTER!$R$5:$R$1204,$Q134))</f>
        <v/>
      </c>
      <c r="O134" s="28" t="str">
        <f>IF($Q134="","",INDEX(TRANSACTIONS_MASTER!$AB$5:$AB$1204,$Q134))</f>
        <v/>
      </c>
      <c r="P134" s="55" t="str">
        <f>IF($Q134="","",INDEX(TRANSACTIONS_MASTER!$Z$5:$Z$1204,$Q134)&amp;"")</f>
        <v/>
      </c>
      <c r="Q134" s="67" t="str">
        <f>IFERROR(MATCH($C$2&amp;"|"&amp;127,TRANSACTIONS_MASTER!$AE$5:$AE$1204,0),"")</f>
        <v/>
      </c>
    </row>
    <row r="135">
      <c r="A135" s="81" t="str">
        <f>IF($Q135="","",128)</f>
        <v/>
      </c>
      <c r="B135" s="57" t="str">
        <f>IF($Q135="","",INDEX(TRANSACTIONS_MASTER!$B$5:$B$1204,$Q135))</f>
        <v/>
      </c>
      <c r="C135" s="55" t="str">
        <f>IF($Q135="","",INDEX(TRANSACTIONS_MASTER!$F$5:$F$1204,$Q135))</f>
        <v/>
      </c>
      <c r="D135" s="55" t="str">
        <f>IF($Q135="","",INDEX(TRANSACTIONS_MASTER!$E$5:$E$1204,$Q135))</f>
        <v/>
      </c>
      <c r="E135" s="55" t="str">
        <f>IF($Q135="","",INDEX(TRANSACTIONS_MASTER!$G$5:$G$1204,$Q135)&amp;"")</f>
        <v/>
      </c>
      <c r="F135" s="29" t="str">
        <f>IF($Q135="","",INDEX(TRANSACTIONS_MASTER!$I$5:$I$1204,$Q135))</f>
        <v/>
      </c>
      <c r="G135" s="55" t="str">
        <f>IF($Q135="","",INDEX(TRANSACTIONS_MASTER!$K$5:$K$1204,$Q135))</f>
        <v/>
      </c>
      <c r="H135" s="25" t="str">
        <f>IF($Q135="","",INDEX(TRANSACTIONS_MASTER!$L$5:$L$1204,$Q135))</f>
        <v/>
      </c>
      <c r="I135" s="56" t="str">
        <f>IF($Q135="","",INDEX(TRANSACTIONS_MASTER!$N$5:$N$1204,$Q135))</f>
        <v/>
      </c>
      <c r="J135" s="25" t="str">
        <f>IF($Q135="","",INDEX(TRANSACTIONS_MASTER!$O$5:$O$1204,$Q135))</f>
        <v/>
      </c>
      <c r="K135" s="26" t="str">
        <f>IF($Q135="","",INDEX(TRANSACTIONS_MASTER!$Q$5:$Q$1204,$Q135))</f>
        <v/>
      </c>
      <c r="L135" s="25" t="str">
        <f>IF($Q135="","",INDEX(TRANSACTIONS_MASTER!$P$5:$P$1204,$Q135))</f>
        <v/>
      </c>
      <c r="M135" s="25" t="str">
        <f>IF($Q135="","",INDEX(TRANSACTIONS_MASTER!$AA$5:$AA$1204,$Q135))</f>
        <v/>
      </c>
      <c r="N135" s="25" t="str">
        <f>IF($Q135="","",INDEX(TRANSACTIONS_MASTER!$R$5:$R$1204,$Q135))</f>
        <v/>
      </c>
      <c r="O135" s="28" t="str">
        <f>IF($Q135="","",INDEX(TRANSACTIONS_MASTER!$AB$5:$AB$1204,$Q135))</f>
        <v/>
      </c>
      <c r="P135" s="55" t="str">
        <f>IF($Q135="","",INDEX(TRANSACTIONS_MASTER!$Z$5:$Z$1204,$Q135)&amp;"")</f>
        <v/>
      </c>
      <c r="Q135" s="67" t="str">
        <f>IFERROR(MATCH($C$2&amp;"|"&amp;128,TRANSACTIONS_MASTER!$AE$5:$AE$1204,0),"")</f>
        <v/>
      </c>
    </row>
    <row r="136" ht="22" customHeight="1">
      <c r="A136" s="81" t="str">
        <f>IF($Q136="","",129)</f>
        <v/>
      </c>
      <c r="B136" s="57" t="str">
        <f>IF($Q136="","",INDEX(TRANSACTIONS_MASTER!$B$5:$B$1204,$Q136))</f>
        <v/>
      </c>
      <c r="C136" s="55" t="str">
        <f>IF($Q136="","",INDEX(TRANSACTIONS_MASTER!$F$5:$F$1204,$Q136))</f>
        <v/>
      </c>
      <c r="D136" s="55" t="str">
        <f>IF($Q136="","",INDEX(TRANSACTIONS_MASTER!$E$5:$E$1204,$Q136))</f>
        <v/>
      </c>
      <c r="E136" s="55" t="str">
        <f>IF($Q136="","",INDEX(TRANSACTIONS_MASTER!$G$5:$G$1204,$Q136)&amp;"")</f>
        <v/>
      </c>
      <c r="F136" s="29" t="str">
        <f>IF($Q136="","",INDEX(TRANSACTIONS_MASTER!$I$5:$I$1204,$Q136))</f>
        <v/>
      </c>
      <c r="G136" s="55" t="str">
        <f>IF($Q136="","",INDEX(TRANSACTIONS_MASTER!$K$5:$K$1204,$Q136))</f>
        <v/>
      </c>
      <c r="H136" s="25" t="str">
        <f>IF($Q136="","",INDEX(TRANSACTIONS_MASTER!$L$5:$L$1204,$Q136))</f>
        <v/>
      </c>
      <c r="I136" s="56" t="str">
        <f>IF($Q136="","",INDEX(TRANSACTIONS_MASTER!$N$5:$N$1204,$Q136))</f>
        <v/>
      </c>
      <c r="J136" s="25" t="str">
        <f>IF($Q136="","",INDEX(TRANSACTIONS_MASTER!$O$5:$O$1204,$Q136))</f>
        <v/>
      </c>
      <c r="K136" s="26" t="str">
        <f>IF($Q136="","",INDEX(TRANSACTIONS_MASTER!$Q$5:$Q$1204,$Q136))</f>
        <v/>
      </c>
      <c r="L136" s="25" t="str">
        <f>IF($Q136="","",INDEX(TRANSACTIONS_MASTER!$P$5:$P$1204,$Q136))</f>
        <v/>
      </c>
      <c r="M136" s="25" t="str">
        <f>IF($Q136="","",INDEX(TRANSACTIONS_MASTER!$AA$5:$AA$1204,$Q136))</f>
        <v/>
      </c>
      <c r="N136" s="25" t="str">
        <f>IF($Q136="","",INDEX(TRANSACTIONS_MASTER!$R$5:$R$1204,$Q136))</f>
        <v/>
      </c>
      <c r="O136" s="28" t="str">
        <f>IF($Q136="","",INDEX(TRANSACTIONS_MASTER!$AB$5:$AB$1204,$Q136))</f>
        <v/>
      </c>
      <c r="P136" s="55" t="str">
        <f>IF($Q136="","",INDEX(TRANSACTIONS_MASTER!$Z$5:$Z$1204,$Q136)&amp;"")</f>
        <v/>
      </c>
      <c r="Q136" s="67" t="str">
        <f>IFERROR(MATCH($C$2&amp;"|"&amp;129,TRANSACTIONS_MASTER!$AE$5:$AE$1204,0),"")</f>
        <v/>
      </c>
      <c r="T136" s="19" t="inlineStr">
        <is>
          <t>THEO MCC</t>
        </is>
      </c>
      <c r="U136" s="20" t="n"/>
      <c r="V136" s="20" t="n"/>
      <c r="W136" s="20" t="n"/>
      <c r="X136" s="20" t="n"/>
      <c r="Y136" s="20" t="n"/>
      <c r="Z136" s="20" t="n"/>
      <c r="AA136" s="20" t="n"/>
    </row>
    <row r="137" ht="28" customHeight="1">
      <c r="A137" s="81" t="str">
        <f>IF($Q137="","",130)</f>
        <v/>
      </c>
      <c r="B137" s="57" t="str">
        <f>IF($Q137="","",INDEX(TRANSACTIONS_MASTER!$B$5:$B$1204,$Q137))</f>
        <v/>
      </c>
      <c r="C137" s="55" t="str">
        <f>IF($Q137="","",INDEX(TRANSACTIONS_MASTER!$F$5:$F$1204,$Q137))</f>
        <v/>
      </c>
      <c r="D137" s="55" t="str">
        <f>IF($Q137="","",INDEX(TRANSACTIONS_MASTER!$E$5:$E$1204,$Q137))</f>
        <v/>
      </c>
      <c r="E137" s="55" t="str">
        <f>IF($Q137="","",INDEX(TRANSACTIONS_MASTER!$G$5:$G$1204,$Q137)&amp;"")</f>
        <v/>
      </c>
      <c r="F137" s="29" t="str">
        <f>IF($Q137="","",INDEX(TRANSACTIONS_MASTER!$I$5:$I$1204,$Q137))</f>
        <v/>
      </c>
      <c r="G137" s="55" t="str">
        <f>IF($Q137="","",INDEX(TRANSACTIONS_MASTER!$K$5:$K$1204,$Q137))</f>
        <v/>
      </c>
      <c r="H137" s="25" t="str">
        <f>IF($Q137="","",INDEX(TRANSACTIONS_MASTER!$L$5:$L$1204,$Q137))</f>
        <v/>
      </c>
      <c r="I137" s="56" t="str">
        <f>IF($Q137="","",INDEX(TRANSACTIONS_MASTER!$N$5:$N$1204,$Q137))</f>
        <v/>
      </c>
      <c r="J137" s="25" t="str">
        <f>IF($Q137="","",INDEX(TRANSACTIONS_MASTER!$O$5:$O$1204,$Q137))</f>
        <v/>
      </c>
      <c r="K137" s="26" t="str">
        <f>IF($Q137="","",INDEX(TRANSACTIONS_MASTER!$Q$5:$Q$1204,$Q137))</f>
        <v/>
      </c>
      <c r="L137" s="25" t="str">
        <f>IF($Q137="","",INDEX(TRANSACTIONS_MASTER!$P$5:$P$1204,$Q137))</f>
        <v/>
      </c>
      <c r="M137" s="25" t="str">
        <f>IF($Q137="","",INDEX(TRANSACTIONS_MASTER!$AA$5:$AA$1204,$Q137))</f>
        <v/>
      </c>
      <c r="N137" s="25" t="str">
        <f>IF($Q137="","",INDEX(TRANSACTIONS_MASTER!$R$5:$R$1204,$Q137))</f>
        <v/>
      </c>
      <c r="O137" s="28" t="str">
        <f>IF($Q137="","",INDEX(TRANSACTIONS_MASTER!$AB$5:$AB$1204,$Q137))</f>
        <v/>
      </c>
      <c r="P137" s="55" t="str">
        <f>IF($Q137="","",INDEX(TRANSACTIONS_MASTER!$Z$5:$Z$1204,$Q137)&amp;"")</f>
        <v/>
      </c>
      <c r="Q137" s="67" t="str">
        <f>IFERROR(MATCH($C$2&amp;"|"&amp;130,TRANSACTIONS_MASTER!$AE$5:$AE$1204,0),"")</f>
        <v/>
      </c>
      <c r="S137" s="21" t="inlineStr">
        <is>
          <t>#</t>
        </is>
      </c>
      <c r="T137" s="21" t="inlineStr">
        <is>
          <t>MCC</t>
        </is>
      </c>
      <c r="U137" s="21" t="inlineStr">
        <is>
          <t>Tên MCC</t>
        </is>
      </c>
      <c r="V137" s="21" t="inlineStr">
        <is>
          <t>Chi tiêu</t>
        </is>
      </c>
      <c r="W137" s="21" t="inlineStr">
        <is>
          <t>Cashback</t>
        </is>
      </c>
    </row>
    <row r="138">
      <c r="A138" s="81" t="str">
        <f>IF($Q138="","",131)</f>
        <v/>
      </c>
      <c r="B138" s="57" t="str">
        <f>IF($Q138="","",INDEX(TRANSACTIONS_MASTER!$B$5:$B$1204,$Q138))</f>
        <v/>
      </c>
      <c r="C138" s="55" t="str">
        <f>IF($Q138="","",INDEX(TRANSACTIONS_MASTER!$F$5:$F$1204,$Q138))</f>
        <v/>
      </c>
      <c r="D138" s="55" t="str">
        <f>IF($Q138="","",INDEX(TRANSACTIONS_MASTER!$E$5:$E$1204,$Q138))</f>
        <v/>
      </c>
      <c r="E138" s="55" t="str">
        <f>IF($Q138="","",INDEX(TRANSACTIONS_MASTER!$G$5:$G$1204,$Q138)&amp;"")</f>
        <v/>
      </c>
      <c r="F138" s="29" t="str">
        <f>IF($Q138="","",INDEX(TRANSACTIONS_MASTER!$I$5:$I$1204,$Q138))</f>
        <v/>
      </c>
      <c r="G138" s="55" t="str">
        <f>IF($Q138="","",INDEX(TRANSACTIONS_MASTER!$K$5:$K$1204,$Q138))</f>
        <v/>
      </c>
      <c r="H138" s="25" t="str">
        <f>IF($Q138="","",INDEX(TRANSACTIONS_MASTER!$L$5:$L$1204,$Q138))</f>
        <v/>
      </c>
      <c r="I138" s="56" t="str">
        <f>IF($Q138="","",INDEX(TRANSACTIONS_MASTER!$N$5:$N$1204,$Q138))</f>
        <v/>
      </c>
      <c r="J138" s="25" t="str">
        <f>IF($Q138="","",INDEX(TRANSACTIONS_MASTER!$O$5:$O$1204,$Q138))</f>
        <v/>
      </c>
      <c r="K138" s="26" t="str">
        <f>IF($Q138="","",INDEX(TRANSACTIONS_MASTER!$Q$5:$Q$1204,$Q138))</f>
        <v/>
      </c>
      <c r="L138" s="25" t="str">
        <f>IF($Q138="","",INDEX(TRANSACTIONS_MASTER!$P$5:$P$1204,$Q138))</f>
        <v/>
      </c>
      <c r="M138" s="25" t="str">
        <f>IF($Q138="","",INDEX(TRANSACTIONS_MASTER!$AA$5:$AA$1204,$Q138))</f>
        <v/>
      </c>
      <c r="N138" s="25" t="str">
        <f>IF($Q138="","",INDEX(TRANSACTIONS_MASTER!$R$5:$R$1204,$Q138))</f>
        <v/>
      </c>
      <c r="O138" s="28" t="str">
        <f>IF($Q138="","",INDEX(TRANSACTIONS_MASTER!$AB$5:$AB$1204,$Q138))</f>
        <v/>
      </c>
      <c r="P138" s="55" t="str">
        <f>IF($Q138="","",INDEX(TRANSACTIONS_MASTER!$Z$5:$Z$1204,$Q138)&amp;"")</f>
        <v/>
      </c>
      <c r="Q138" s="67" t="str">
        <f>IFERROR(MATCH($C$2&amp;"|"&amp;131,TRANSACTIONS_MASTER!$AE$5:$AE$1204,0),"")</f>
        <v/>
      </c>
      <c r="S138" s="67" t="str">
        <f>IFERROR(MATCH(1,INDEX((TRANSACTIONS_MASTER!$C$5:$C$1204=$C$2)*(TRANSACTIONS_MASTER!$AJ$5:$AJ$1204=1),0),0),"")</f>
        <v/>
      </c>
      <c r="T138" s="29" t="str">
        <f>IF($S138="","",INDEX(TRANSACTIONS_MASTER!$I$5:$I$1204,$S138))</f>
        <v/>
      </c>
      <c r="U138" s="55" t="str">
        <f>IF($S138="","",INDEX(TRANSACTIONS_MASTER!$J$5:$J$1204,$S138))</f>
        <v/>
      </c>
      <c r="V138" s="25" t="str">
        <f>IF($S138="","",SUMIFS(TRANSACTIONS_MASTER!$L$5:$L$1204,TRANSACTIONS_MASTER!$I$5:$I$1204,$T138,TRANSACTIONS_MASTER!$C$5:$C$1204,$C$2,TRANSACTIONS_MASTER!$U$5:$U$1204,"&lt;&gt;Cancelled"))</f>
        <v/>
      </c>
      <c r="W138" s="26" t="str">
        <f>IF($S138="","",SUMIFS(TRANSACTIONS_MASTER!$Q$5:$Q$1204,TRANSACTIONS_MASTER!$I$5:$I$1204,$T138,TRANSACTIONS_MASTER!$C$5:$C$1204,$C$2))</f>
        <v/>
      </c>
    </row>
    <row r="139">
      <c r="A139" s="81" t="str">
        <f>IF($Q139="","",132)</f>
        <v/>
      </c>
      <c r="B139" s="57" t="str">
        <f>IF($Q139="","",INDEX(TRANSACTIONS_MASTER!$B$5:$B$1204,$Q139))</f>
        <v/>
      </c>
      <c r="C139" s="55" t="str">
        <f>IF($Q139="","",INDEX(TRANSACTIONS_MASTER!$F$5:$F$1204,$Q139))</f>
        <v/>
      </c>
      <c r="D139" s="55" t="str">
        <f>IF($Q139="","",INDEX(TRANSACTIONS_MASTER!$E$5:$E$1204,$Q139))</f>
        <v/>
      </c>
      <c r="E139" s="55" t="str">
        <f>IF($Q139="","",INDEX(TRANSACTIONS_MASTER!$G$5:$G$1204,$Q139)&amp;"")</f>
        <v/>
      </c>
      <c r="F139" s="29" t="str">
        <f>IF($Q139="","",INDEX(TRANSACTIONS_MASTER!$I$5:$I$1204,$Q139))</f>
        <v/>
      </c>
      <c r="G139" s="55" t="str">
        <f>IF($Q139="","",INDEX(TRANSACTIONS_MASTER!$K$5:$K$1204,$Q139))</f>
        <v/>
      </c>
      <c r="H139" s="25" t="str">
        <f>IF($Q139="","",INDEX(TRANSACTIONS_MASTER!$L$5:$L$1204,$Q139))</f>
        <v/>
      </c>
      <c r="I139" s="56" t="str">
        <f>IF($Q139="","",INDEX(TRANSACTIONS_MASTER!$N$5:$N$1204,$Q139))</f>
        <v/>
      </c>
      <c r="J139" s="25" t="str">
        <f>IF($Q139="","",INDEX(TRANSACTIONS_MASTER!$O$5:$O$1204,$Q139))</f>
        <v/>
      </c>
      <c r="K139" s="26" t="str">
        <f>IF($Q139="","",INDEX(TRANSACTIONS_MASTER!$Q$5:$Q$1204,$Q139))</f>
        <v/>
      </c>
      <c r="L139" s="25" t="str">
        <f>IF($Q139="","",INDEX(TRANSACTIONS_MASTER!$P$5:$P$1204,$Q139))</f>
        <v/>
      </c>
      <c r="M139" s="25" t="str">
        <f>IF($Q139="","",INDEX(TRANSACTIONS_MASTER!$AA$5:$AA$1204,$Q139))</f>
        <v/>
      </c>
      <c r="N139" s="25" t="str">
        <f>IF($Q139="","",INDEX(TRANSACTIONS_MASTER!$R$5:$R$1204,$Q139))</f>
        <v/>
      </c>
      <c r="O139" s="28" t="str">
        <f>IF($Q139="","",INDEX(TRANSACTIONS_MASTER!$AB$5:$AB$1204,$Q139))</f>
        <v/>
      </c>
      <c r="P139" s="55" t="str">
        <f>IF($Q139="","",INDEX(TRANSACTIONS_MASTER!$Z$5:$Z$1204,$Q139)&amp;"")</f>
        <v/>
      </c>
      <c r="Q139" s="67" t="str">
        <f>IFERROR(MATCH($C$2&amp;"|"&amp;132,TRANSACTIONS_MASTER!$AE$5:$AE$1204,0),"")</f>
        <v/>
      </c>
      <c r="S139" s="67" t="str">
        <f>IFERROR(MATCH(1,INDEX((TRANSACTIONS_MASTER!$C$5:$C$1204=$C$2)*(TRANSACTIONS_MASTER!$AJ$5:$AJ$1204=2),0),0),"")</f>
        <v/>
      </c>
      <c r="T139" s="29" t="str">
        <f>IF($S139="","",INDEX(TRANSACTIONS_MASTER!$I$5:$I$1204,$S139))</f>
        <v/>
      </c>
      <c r="U139" s="55" t="str">
        <f>IF($S139="","",INDEX(TRANSACTIONS_MASTER!$J$5:$J$1204,$S139))</f>
        <v/>
      </c>
      <c r="V139" s="25" t="str">
        <f>IF($S139="","",SUMIFS(TRANSACTIONS_MASTER!$L$5:$L$1204,TRANSACTIONS_MASTER!$I$5:$I$1204,$T139,TRANSACTIONS_MASTER!$C$5:$C$1204,$C$2,TRANSACTIONS_MASTER!$U$5:$U$1204,"&lt;&gt;Cancelled"))</f>
        <v/>
      </c>
      <c r="W139" s="26" t="str">
        <f>IF($S139="","",SUMIFS(TRANSACTIONS_MASTER!$Q$5:$Q$1204,TRANSACTIONS_MASTER!$I$5:$I$1204,$T139,TRANSACTIONS_MASTER!$C$5:$C$1204,$C$2))</f>
        <v/>
      </c>
    </row>
    <row r="140">
      <c r="A140" s="81" t="str">
        <f>IF($Q140="","",133)</f>
        <v/>
      </c>
      <c r="B140" s="57" t="str">
        <f>IF($Q140="","",INDEX(TRANSACTIONS_MASTER!$B$5:$B$1204,$Q140))</f>
        <v/>
      </c>
      <c r="C140" s="55" t="str">
        <f>IF($Q140="","",INDEX(TRANSACTIONS_MASTER!$F$5:$F$1204,$Q140))</f>
        <v/>
      </c>
      <c r="D140" s="55" t="str">
        <f>IF($Q140="","",INDEX(TRANSACTIONS_MASTER!$E$5:$E$1204,$Q140))</f>
        <v/>
      </c>
      <c r="E140" s="55" t="str">
        <f>IF($Q140="","",INDEX(TRANSACTIONS_MASTER!$G$5:$G$1204,$Q140)&amp;"")</f>
        <v/>
      </c>
      <c r="F140" s="29" t="str">
        <f>IF($Q140="","",INDEX(TRANSACTIONS_MASTER!$I$5:$I$1204,$Q140))</f>
        <v/>
      </c>
      <c r="G140" s="55" t="str">
        <f>IF($Q140="","",INDEX(TRANSACTIONS_MASTER!$K$5:$K$1204,$Q140))</f>
        <v/>
      </c>
      <c r="H140" s="25" t="str">
        <f>IF($Q140="","",INDEX(TRANSACTIONS_MASTER!$L$5:$L$1204,$Q140))</f>
        <v/>
      </c>
      <c r="I140" s="56" t="str">
        <f>IF($Q140="","",INDEX(TRANSACTIONS_MASTER!$N$5:$N$1204,$Q140))</f>
        <v/>
      </c>
      <c r="J140" s="25" t="str">
        <f>IF($Q140="","",INDEX(TRANSACTIONS_MASTER!$O$5:$O$1204,$Q140))</f>
        <v/>
      </c>
      <c r="K140" s="26" t="str">
        <f>IF($Q140="","",INDEX(TRANSACTIONS_MASTER!$Q$5:$Q$1204,$Q140))</f>
        <v/>
      </c>
      <c r="L140" s="25" t="str">
        <f>IF($Q140="","",INDEX(TRANSACTIONS_MASTER!$P$5:$P$1204,$Q140))</f>
        <v/>
      </c>
      <c r="M140" s="25" t="str">
        <f>IF($Q140="","",INDEX(TRANSACTIONS_MASTER!$AA$5:$AA$1204,$Q140))</f>
        <v/>
      </c>
      <c r="N140" s="25" t="str">
        <f>IF($Q140="","",INDEX(TRANSACTIONS_MASTER!$R$5:$R$1204,$Q140))</f>
        <v/>
      </c>
      <c r="O140" s="28" t="str">
        <f>IF($Q140="","",INDEX(TRANSACTIONS_MASTER!$AB$5:$AB$1204,$Q140))</f>
        <v/>
      </c>
      <c r="P140" s="55" t="str">
        <f>IF($Q140="","",INDEX(TRANSACTIONS_MASTER!$Z$5:$Z$1204,$Q140)&amp;"")</f>
        <v/>
      </c>
      <c r="Q140" s="67" t="str">
        <f>IFERROR(MATCH($C$2&amp;"|"&amp;133,TRANSACTIONS_MASTER!$AE$5:$AE$1204,0),"")</f>
        <v/>
      </c>
      <c r="S140" s="67" t="str">
        <f>IFERROR(MATCH(1,INDEX((TRANSACTIONS_MASTER!$C$5:$C$1204=$C$2)*(TRANSACTIONS_MASTER!$AJ$5:$AJ$1204=3),0),0),"")</f>
        <v/>
      </c>
      <c r="T140" s="29" t="str">
        <f>IF($S140="","",INDEX(TRANSACTIONS_MASTER!$I$5:$I$1204,$S140))</f>
        <v/>
      </c>
      <c r="U140" s="55" t="str">
        <f>IF($S140="","",INDEX(TRANSACTIONS_MASTER!$J$5:$J$1204,$S140))</f>
        <v/>
      </c>
      <c r="V140" s="25" t="str">
        <f>IF($S140="","",SUMIFS(TRANSACTIONS_MASTER!$L$5:$L$1204,TRANSACTIONS_MASTER!$I$5:$I$1204,$T140,TRANSACTIONS_MASTER!$C$5:$C$1204,$C$2,TRANSACTIONS_MASTER!$U$5:$U$1204,"&lt;&gt;Cancelled"))</f>
        <v/>
      </c>
      <c r="W140" s="26" t="str">
        <f>IF($S140="","",SUMIFS(TRANSACTIONS_MASTER!$Q$5:$Q$1204,TRANSACTIONS_MASTER!$I$5:$I$1204,$T140,TRANSACTIONS_MASTER!$C$5:$C$1204,$C$2))</f>
        <v/>
      </c>
    </row>
    <row r="141">
      <c r="A141" s="81" t="str">
        <f>IF($Q141="","",134)</f>
        <v/>
      </c>
      <c r="B141" s="57" t="str">
        <f>IF($Q141="","",INDEX(TRANSACTIONS_MASTER!$B$5:$B$1204,$Q141))</f>
        <v/>
      </c>
      <c r="C141" s="55" t="str">
        <f>IF($Q141="","",INDEX(TRANSACTIONS_MASTER!$F$5:$F$1204,$Q141))</f>
        <v/>
      </c>
      <c r="D141" s="55" t="str">
        <f>IF($Q141="","",INDEX(TRANSACTIONS_MASTER!$E$5:$E$1204,$Q141))</f>
        <v/>
      </c>
      <c r="E141" s="55" t="str">
        <f>IF($Q141="","",INDEX(TRANSACTIONS_MASTER!$G$5:$G$1204,$Q141)&amp;"")</f>
        <v/>
      </c>
      <c r="F141" s="29" t="str">
        <f>IF($Q141="","",INDEX(TRANSACTIONS_MASTER!$I$5:$I$1204,$Q141))</f>
        <v/>
      </c>
      <c r="G141" s="55" t="str">
        <f>IF($Q141="","",INDEX(TRANSACTIONS_MASTER!$K$5:$K$1204,$Q141))</f>
        <v/>
      </c>
      <c r="H141" s="25" t="str">
        <f>IF($Q141="","",INDEX(TRANSACTIONS_MASTER!$L$5:$L$1204,$Q141))</f>
        <v/>
      </c>
      <c r="I141" s="56" t="str">
        <f>IF($Q141="","",INDEX(TRANSACTIONS_MASTER!$N$5:$N$1204,$Q141))</f>
        <v/>
      </c>
      <c r="J141" s="25" t="str">
        <f>IF($Q141="","",INDEX(TRANSACTIONS_MASTER!$O$5:$O$1204,$Q141))</f>
        <v/>
      </c>
      <c r="K141" s="26" t="str">
        <f>IF($Q141="","",INDEX(TRANSACTIONS_MASTER!$Q$5:$Q$1204,$Q141))</f>
        <v/>
      </c>
      <c r="L141" s="25" t="str">
        <f>IF($Q141="","",INDEX(TRANSACTIONS_MASTER!$P$5:$P$1204,$Q141))</f>
        <v/>
      </c>
      <c r="M141" s="25" t="str">
        <f>IF($Q141="","",INDEX(TRANSACTIONS_MASTER!$AA$5:$AA$1204,$Q141))</f>
        <v/>
      </c>
      <c r="N141" s="25" t="str">
        <f>IF($Q141="","",INDEX(TRANSACTIONS_MASTER!$R$5:$R$1204,$Q141))</f>
        <v/>
      </c>
      <c r="O141" s="28" t="str">
        <f>IF($Q141="","",INDEX(TRANSACTIONS_MASTER!$AB$5:$AB$1204,$Q141))</f>
        <v/>
      </c>
      <c r="P141" s="55" t="str">
        <f>IF($Q141="","",INDEX(TRANSACTIONS_MASTER!$Z$5:$Z$1204,$Q141)&amp;"")</f>
        <v/>
      </c>
      <c r="Q141" s="67" t="str">
        <f>IFERROR(MATCH($C$2&amp;"|"&amp;134,TRANSACTIONS_MASTER!$AE$5:$AE$1204,0),"")</f>
        <v/>
      </c>
      <c r="S141" s="67" t="str">
        <f>IFERROR(MATCH(1,INDEX((TRANSACTIONS_MASTER!$C$5:$C$1204=$C$2)*(TRANSACTIONS_MASTER!$AJ$5:$AJ$1204=4),0),0),"")</f>
        <v/>
      </c>
      <c r="T141" s="29" t="str">
        <f>IF($S141="","",INDEX(TRANSACTIONS_MASTER!$I$5:$I$1204,$S141))</f>
        <v/>
      </c>
      <c r="U141" s="55" t="str">
        <f>IF($S141="","",INDEX(TRANSACTIONS_MASTER!$J$5:$J$1204,$S141))</f>
        <v/>
      </c>
      <c r="V141" s="25" t="str">
        <f>IF($S141="","",SUMIFS(TRANSACTIONS_MASTER!$L$5:$L$1204,TRANSACTIONS_MASTER!$I$5:$I$1204,$T141,TRANSACTIONS_MASTER!$C$5:$C$1204,$C$2,TRANSACTIONS_MASTER!$U$5:$U$1204,"&lt;&gt;Cancelled"))</f>
        <v/>
      </c>
      <c r="W141" s="26" t="str">
        <f>IF($S141="","",SUMIFS(TRANSACTIONS_MASTER!$Q$5:$Q$1204,TRANSACTIONS_MASTER!$I$5:$I$1204,$T141,TRANSACTIONS_MASTER!$C$5:$C$1204,$C$2))</f>
        <v/>
      </c>
    </row>
    <row r="142">
      <c r="A142" s="81" t="str">
        <f>IF($Q142="","",135)</f>
        <v/>
      </c>
      <c r="B142" s="57" t="str">
        <f>IF($Q142="","",INDEX(TRANSACTIONS_MASTER!$B$5:$B$1204,$Q142))</f>
        <v/>
      </c>
      <c r="C142" s="55" t="str">
        <f>IF($Q142="","",INDEX(TRANSACTIONS_MASTER!$F$5:$F$1204,$Q142))</f>
        <v/>
      </c>
      <c r="D142" s="55" t="str">
        <f>IF($Q142="","",INDEX(TRANSACTIONS_MASTER!$E$5:$E$1204,$Q142))</f>
        <v/>
      </c>
      <c r="E142" s="55" t="str">
        <f>IF($Q142="","",INDEX(TRANSACTIONS_MASTER!$G$5:$G$1204,$Q142)&amp;"")</f>
        <v/>
      </c>
      <c r="F142" s="29" t="str">
        <f>IF($Q142="","",INDEX(TRANSACTIONS_MASTER!$I$5:$I$1204,$Q142))</f>
        <v/>
      </c>
      <c r="G142" s="55" t="str">
        <f>IF($Q142="","",INDEX(TRANSACTIONS_MASTER!$K$5:$K$1204,$Q142))</f>
        <v/>
      </c>
      <c r="H142" s="25" t="str">
        <f>IF($Q142="","",INDEX(TRANSACTIONS_MASTER!$L$5:$L$1204,$Q142))</f>
        <v/>
      </c>
      <c r="I142" s="56" t="str">
        <f>IF($Q142="","",INDEX(TRANSACTIONS_MASTER!$N$5:$N$1204,$Q142))</f>
        <v/>
      </c>
      <c r="J142" s="25" t="str">
        <f>IF($Q142="","",INDEX(TRANSACTIONS_MASTER!$O$5:$O$1204,$Q142))</f>
        <v/>
      </c>
      <c r="K142" s="26" t="str">
        <f>IF($Q142="","",INDEX(TRANSACTIONS_MASTER!$Q$5:$Q$1204,$Q142))</f>
        <v/>
      </c>
      <c r="L142" s="25" t="str">
        <f>IF($Q142="","",INDEX(TRANSACTIONS_MASTER!$P$5:$P$1204,$Q142))</f>
        <v/>
      </c>
      <c r="M142" s="25" t="str">
        <f>IF($Q142="","",INDEX(TRANSACTIONS_MASTER!$AA$5:$AA$1204,$Q142))</f>
        <v/>
      </c>
      <c r="N142" s="25" t="str">
        <f>IF($Q142="","",INDEX(TRANSACTIONS_MASTER!$R$5:$R$1204,$Q142))</f>
        <v/>
      </c>
      <c r="O142" s="28" t="str">
        <f>IF($Q142="","",INDEX(TRANSACTIONS_MASTER!$AB$5:$AB$1204,$Q142))</f>
        <v/>
      </c>
      <c r="P142" s="55" t="str">
        <f>IF($Q142="","",INDEX(TRANSACTIONS_MASTER!$Z$5:$Z$1204,$Q142)&amp;"")</f>
        <v/>
      </c>
      <c r="Q142" s="67" t="str">
        <f>IFERROR(MATCH($C$2&amp;"|"&amp;135,TRANSACTIONS_MASTER!$AE$5:$AE$1204,0),"")</f>
        <v/>
      </c>
      <c r="S142" s="67" t="str">
        <f>IFERROR(MATCH(1,INDEX((TRANSACTIONS_MASTER!$C$5:$C$1204=$C$2)*(TRANSACTIONS_MASTER!$AJ$5:$AJ$1204=5),0),0),"")</f>
        <v/>
      </c>
      <c r="T142" s="29" t="str">
        <f>IF($S142="","",INDEX(TRANSACTIONS_MASTER!$I$5:$I$1204,$S142))</f>
        <v/>
      </c>
      <c r="U142" s="55" t="str">
        <f>IF($S142="","",INDEX(TRANSACTIONS_MASTER!$J$5:$J$1204,$S142))</f>
        <v/>
      </c>
      <c r="V142" s="25" t="str">
        <f>IF($S142="","",SUMIFS(TRANSACTIONS_MASTER!$L$5:$L$1204,TRANSACTIONS_MASTER!$I$5:$I$1204,$T142,TRANSACTIONS_MASTER!$C$5:$C$1204,$C$2,TRANSACTIONS_MASTER!$U$5:$U$1204,"&lt;&gt;Cancelled"))</f>
        <v/>
      </c>
      <c r="W142" s="26" t="str">
        <f>IF($S142="","",SUMIFS(TRANSACTIONS_MASTER!$Q$5:$Q$1204,TRANSACTIONS_MASTER!$I$5:$I$1204,$T142,TRANSACTIONS_MASTER!$C$5:$C$1204,$C$2))</f>
        <v/>
      </c>
    </row>
    <row r="143">
      <c r="A143" s="81" t="str">
        <f>IF($Q143="","",136)</f>
        <v/>
      </c>
      <c r="B143" s="57" t="str">
        <f>IF($Q143="","",INDEX(TRANSACTIONS_MASTER!$B$5:$B$1204,$Q143))</f>
        <v/>
      </c>
      <c r="C143" s="55" t="str">
        <f>IF($Q143="","",INDEX(TRANSACTIONS_MASTER!$F$5:$F$1204,$Q143))</f>
        <v/>
      </c>
      <c r="D143" s="55" t="str">
        <f>IF($Q143="","",INDEX(TRANSACTIONS_MASTER!$E$5:$E$1204,$Q143))</f>
        <v/>
      </c>
      <c r="E143" s="55" t="str">
        <f>IF($Q143="","",INDEX(TRANSACTIONS_MASTER!$G$5:$G$1204,$Q143)&amp;"")</f>
        <v/>
      </c>
      <c r="F143" s="29" t="str">
        <f>IF($Q143="","",INDEX(TRANSACTIONS_MASTER!$I$5:$I$1204,$Q143))</f>
        <v/>
      </c>
      <c r="G143" s="55" t="str">
        <f>IF($Q143="","",INDEX(TRANSACTIONS_MASTER!$K$5:$K$1204,$Q143))</f>
        <v/>
      </c>
      <c r="H143" s="25" t="str">
        <f>IF($Q143="","",INDEX(TRANSACTIONS_MASTER!$L$5:$L$1204,$Q143))</f>
        <v/>
      </c>
      <c r="I143" s="56" t="str">
        <f>IF($Q143="","",INDEX(TRANSACTIONS_MASTER!$N$5:$N$1204,$Q143))</f>
        <v/>
      </c>
      <c r="J143" s="25" t="str">
        <f>IF($Q143="","",INDEX(TRANSACTIONS_MASTER!$O$5:$O$1204,$Q143))</f>
        <v/>
      </c>
      <c r="K143" s="26" t="str">
        <f>IF($Q143="","",INDEX(TRANSACTIONS_MASTER!$Q$5:$Q$1204,$Q143))</f>
        <v/>
      </c>
      <c r="L143" s="25" t="str">
        <f>IF($Q143="","",INDEX(TRANSACTIONS_MASTER!$P$5:$P$1204,$Q143))</f>
        <v/>
      </c>
      <c r="M143" s="25" t="str">
        <f>IF($Q143="","",INDEX(TRANSACTIONS_MASTER!$AA$5:$AA$1204,$Q143))</f>
        <v/>
      </c>
      <c r="N143" s="25" t="str">
        <f>IF($Q143="","",INDEX(TRANSACTIONS_MASTER!$R$5:$R$1204,$Q143))</f>
        <v/>
      </c>
      <c r="O143" s="28" t="str">
        <f>IF($Q143="","",INDEX(TRANSACTIONS_MASTER!$AB$5:$AB$1204,$Q143))</f>
        <v/>
      </c>
      <c r="P143" s="55" t="str">
        <f>IF($Q143="","",INDEX(TRANSACTIONS_MASTER!$Z$5:$Z$1204,$Q143)&amp;"")</f>
        <v/>
      </c>
      <c r="Q143" s="67" t="str">
        <f>IFERROR(MATCH($C$2&amp;"|"&amp;136,TRANSACTIONS_MASTER!$AE$5:$AE$1204,0),"")</f>
        <v/>
      </c>
      <c r="S143" s="67" t="str">
        <f>IFERROR(MATCH(1,INDEX((TRANSACTIONS_MASTER!$C$5:$C$1204=$C$2)*(TRANSACTIONS_MASTER!$AJ$5:$AJ$1204=6),0),0),"")</f>
        <v/>
      </c>
      <c r="T143" s="29" t="str">
        <f>IF($S143="","",INDEX(TRANSACTIONS_MASTER!$I$5:$I$1204,$S143))</f>
        <v/>
      </c>
      <c r="U143" s="55" t="str">
        <f>IF($S143="","",INDEX(TRANSACTIONS_MASTER!$J$5:$J$1204,$S143))</f>
        <v/>
      </c>
      <c r="V143" s="25" t="str">
        <f>IF($S143="","",SUMIFS(TRANSACTIONS_MASTER!$L$5:$L$1204,TRANSACTIONS_MASTER!$I$5:$I$1204,$T143,TRANSACTIONS_MASTER!$C$5:$C$1204,$C$2,TRANSACTIONS_MASTER!$U$5:$U$1204,"&lt;&gt;Cancelled"))</f>
        <v/>
      </c>
      <c r="W143" s="26" t="str">
        <f>IF($S143="","",SUMIFS(TRANSACTIONS_MASTER!$Q$5:$Q$1204,TRANSACTIONS_MASTER!$I$5:$I$1204,$T143,TRANSACTIONS_MASTER!$C$5:$C$1204,$C$2))</f>
        <v/>
      </c>
    </row>
    <row r="144">
      <c r="A144" s="81" t="str">
        <f>IF($Q144="","",137)</f>
        <v/>
      </c>
      <c r="B144" s="57" t="str">
        <f>IF($Q144="","",INDEX(TRANSACTIONS_MASTER!$B$5:$B$1204,$Q144))</f>
        <v/>
      </c>
      <c r="C144" s="55" t="str">
        <f>IF($Q144="","",INDEX(TRANSACTIONS_MASTER!$F$5:$F$1204,$Q144))</f>
        <v/>
      </c>
      <c r="D144" s="55" t="str">
        <f>IF($Q144="","",INDEX(TRANSACTIONS_MASTER!$E$5:$E$1204,$Q144))</f>
        <v/>
      </c>
      <c r="E144" s="55" t="str">
        <f>IF($Q144="","",INDEX(TRANSACTIONS_MASTER!$G$5:$G$1204,$Q144)&amp;"")</f>
        <v/>
      </c>
      <c r="F144" s="29" t="str">
        <f>IF($Q144="","",INDEX(TRANSACTIONS_MASTER!$I$5:$I$1204,$Q144))</f>
        <v/>
      </c>
      <c r="G144" s="55" t="str">
        <f>IF($Q144="","",INDEX(TRANSACTIONS_MASTER!$K$5:$K$1204,$Q144))</f>
        <v/>
      </c>
      <c r="H144" s="25" t="str">
        <f>IF($Q144="","",INDEX(TRANSACTIONS_MASTER!$L$5:$L$1204,$Q144))</f>
        <v/>
      </c>
      <c r="I144" s="56" t="str">
        <f>IF($Q144="","",INDEX(TRANSACTIONS_MASTER!$N$5:$N$1204,$Q144))</f>
        <v/>
      </c>
      <c r="J144" s="25" t="str">
        <f>IF($Q144="","",INDEX(TRANSACTIONS_MASTER!$O$5:$O$1204,$Q144))</f>
        <v/>
      </c>
      <c r="K144" s="26" t="str">
        <f>IF($Q144="","",INDEX(TRANSACTIONS_MASTER!$Q$5:$Q$1204,$Q144))</f>
        <v/>
      </c>
      <c r="L144" s="25" t="str">
        <f>IF($Q144="","",INDEX(TRANSACTIONS_MASTER!$P$5:$P$1204,$Q144))</f>
        <v/>
      </c>
      <c r="M144" s="25" t="str">
        <f>IF($Q144="","",INDEX(TRANSACTIONS_MASTER!$AA$5:$AA$1204,$Q144))</f>
        <v/>
      </c>
      <c r="N144" s="25" t="str">
        <f>IF($Q144="","",INDEX(TRANSACTIONS_MASTER!$R$5:$R$1204,$Q144))</f>
        <v/>
      </c>
      <c r="O144" s="28" t="str">
        <f>IF($Q144="","",INDEX(TRANSACTIONS_MASTER!$AB$5:$AB$1204,$Q144))</f>
        <v/>
      </c>
      <c r="P144" s="55" t="str">
        <f>IF($Q144="","",INDEX(TRANSACTIONS_MASTER!$Z$5:$Z$1204,$Q144)&amp;"")</f>
        <v/>
      </c>
      <c r="Q144" s="67" t="str">
        <f>IFERROR(MATCH($C$2&amp;"|"&amp;137,TRANSACTIONS_MASTER!$AE$5:$AE$1204,0),"")</f>
        <v/>
      </c>
      <c r="S144" s="67" t="str">
        <f>IFERROR(MATCH(1,INDEX((TRANSACTIONS_MASTER!$C$5:$C$1204=$C$2)*(TRANSACTIONS_MASTER!$AJ$5:$AJ$1204=7),0),0),"")</f>
        <v/>
      </c>
      <c r="T144" s="29" t="str">
        <f>IF($S144="","",INDEX(TRANSACTIONS_MASTER!$I$5:$I$1204,$S144))</f>
        <v/>
      </c>
      <c r="U144" s="55" t="str">
        <f>IF($S144="","",INDEX(TRANSACTIONS_MASTER!$J$5:$J$1204,$S144))</f>
        <v/>
      </c>
      <c r="V144" s="25" t="str">
        <f>IF($S144="","",SUMIFS(TRANSACTIONS_MASTER!$L$5:$L$1204,TRANSACTIONS_MASTER!$I$5:$I$1204,$T144,TRANSACTIONS_MASTER!$C$5:$C$1204,$C$2,TRANSACTIONS_MASTER!$U$5:$U$1204,"&lt;&gt;Cancelled"))</f>
        <v/>
      </c>
      <c r="W144" s="26" t="str">
        <f>IF($S144="","",SUMIFS(TRANSACTIONS_MASTER!$Q$5:$Q$1204,TRANSACTIONS_MASTER!$I$5:$I$1204,$T144,TRANSACTIONS_MASTER!$C$5:$C$1204,$C$2))</f>
        <v/>
      </c>
    </row>
    <row r="145">
      <c r="A145" s="81" t="str">
        <f>IF($Q145="","",138)</f>
        <v/>
      </c>
      <c r="B145" s="57" t="str">
        <f>IF($Q145="","",INDEX(TRANSACTIONS_MASTER!$B$5:$B$1204,$Q145))</f>
        <v/>
      </c>
      <c r="C145" s="55" t="str">
        <f>IF($Q145="","",INDEX(TRANSACTIONS_MASTER!$F$5:$F$1204,$Q145))</f>
        <v/>
      </c>
      <c r="D145" s="55" t="str">
        <f>IF($Q145="","",INDEX(TRANSACTIONS_MASTER!$E$5:$E$1204,$Q145))</f>
        <v/>
      </c>
      <c r="E145" s="55" t="str">
        <f>IF($Q145="","",INDEX(TRANSACTIONS_MASTER!$G$5:$G$1204,$Q145)&amp;"")</f>
        <v/>
      </c>
      <c r="F145" s="29" t="str">
        <f>IF($Q145="","",INDEX(TRANSACTIONS_MASTER!$I$5:$I$1204,$Q145))</f>
        <v/>
      </c>
      <c r="G145" s="55" t="str">
        <f>IF($Q145="","",INDEX(TRANSACTIONS_MASTER!$K$5:$K$1204,$Q145))</f>
        <v/>
      </c>
      <c r="H145" s="25" t="str">
        <f>IF($Q145="","",INDEX(TRANSACTIONS_MASTER!$L$5:$L$1204,$Q145))</f>
        <v/>
      </c>
      <c r="I145" s="56" t="str">
        <f>IF($Q145="","",INDEX(TRANSACTIONS_MASTER!$N$5:$N$1204,$Q145))</f>
        <v/>
      </c>
      <c r="J145" s="25" t="str">
        <f>IF($Q145="","",INDEX(TRANSACTIONS_MASTER!$O$5:$O$1204,$Q145))</f>
        <v/>
      </c>
      <c r="K145" s="26" t="str">
        <f>IF($Q145="","",INDEX(TRANSACTIONS_MASTER!$Q$5:$Q$1204,$Q145))</f>
        <v/>
      </c>
      <c r="L145" s="25" t="str">
        <f>IF($Q145="","",INDEX(TRANSACTIONS_MASTER!$P$5:$P$1204,$Q145))</f>
        <v/>
      </c>
      <c r="M145" s="25" t="str">
        <f>IF($Q145="","",INDEX(TRANSACTIONS_MASTER!$AA$5:$AA$1204,$Q145))</f>
        <v/>
      </c>
      <c r="N145" s="25" t="str">
        <f>IF($Q145="","",INDEX(TRANSACTIONS_MASTER!$R$5:$R$1204,$Q145))</f>
        <v/>
      </c>
      <c r="O145" s="28" t="str">
        <f>IF($Q145="","",INDEX(TRANSACTIONS_MASTER!$AB$5:$AB$1204,$Q145))</f>
        <v/>
      </c>
      <c r="P145" s="55" t="str">
        <f>IF($Q145="","",INDEX(TRANSACTIONS_MASTER!$Z$5:$Z$1204,$Q145)&amp;"")</f>
        <v/>
      </c>
      <c r="Q145" s="67" t="str">
        <f>IFERROR(MATCH($C$2&amp;"|"&amp;138,TRANSACTIONS_MASTER!$AE$5:$AE$1204,0),"")</f>
        <v/>
      </c>
      <c r="S145" s="67" t="str">
        <f>IFERROR(MATCH(1,INDEX((TRANSACTIONS_MASTER!$C$5:$C$1204=$C$2)*(TRANSACTIONS_MASTER!$AJ$5:$AJ$1204=8),0),0),"")</f>
        <v/>
      </c>
      <c r="T145" s="29" t="str">
        <f>IF($S145="","",INDEX(TRANSACTIONS_MASTER!$I$5:$I$1204,$S145))</f>
        <v/>
      </c>
      <c r="U145" s="55" t="str">
        <f>IF($S145="","",INDEX(TRANSACTIONS_MASTER!$J$5:$J$1204,$S145))</f>
        <v/>
      </c>
      <c r="V145" s="25" t="str">
        <f>IF($S145="","",SUMIFS(TRANSACTIONS_MASTER!$L$5:$L$1204,TRANSACTIONS_MASTER!$I$5:$I$1204,$T145,TRANSACTIONS_MASTER!$C$5:$C$1204,$C$2,TRANSACTIONS_MASTER!$U$5:$U$1204,"&lt;&gt;Cancelled"))</f>
        <v/>
      </c>
      <c r="W145" s="26" t="str">
        <f>IF($S145="","",SUMIFS(TRANSACTIONS_MASTER!$Q$5:$Q$1204,TRANSACTIONS_MASTER!$I$5:$I$1204,$T145,TRANSACTIONS_MASTER!$C$5:$C$1204,$C$2))</f>
        <v/>
      </c>
    </row>
    <row r="146">
      <c r="A146" s="81" t="str">
        <f>IF($Q146="","",139)</f>
        <v/>
      </c>
      <c r="B146" s="57" t="str">
        <f>IF($Q146="","",INDEX(TRANSACTIONS_MASTER!$B$5:$B$1204,$Q146))</f>
        <v/>
      </c>
      <c r="C146" s="55" t="str">
        <f>IF($Q146="","",INDEX(TRANSACTIONS_MASTER!$F$5:$F$1204,$Q146))</f>
        <v/>
      </c>
      <c r="D146" s="55" t="str">
        <f>IF($Q146="","",INDEX(TRANSACTIONS_MASTER!$E$5:$E$1204,$Q146))</f>
        <v/>
      </c>
      <c r="E146" s="55" t="str">
        <f>IF($Q146="","",INDEX(TRANSACTIONS_MASTER!$G$5:$G$1204,$Q146)&amp;"")</f>
        <v/>
      </c>
      <c r="F146" s="29" t="str">
        <f>IF($Q146="","",INDEX(TRANSACTIONS_MASTER!$I$5:$I$1204,$Q146))</f>
        <v/>
      </c>
      <c r="G146" s="55" t="str">
        <f>IF($Q146="","",INDEX(TRANSACTIONS_MASTER!$K$5:$K$1204,$Q146))</f>
        <v/>
      </c>
      <c r="H146" s="25" t="str">
        <f>IF($Q146="","",INDEX(TRANSACTIONS_MASTER!$L$5:$L$1204,$Q146))</f>
        <v/>
      </c>
      <c r="I146" s="56" t="str">
        <f>IF($Q146="","",INDEX(TRANSACTIONS_MASTER!$N$5:$N$1204,$Q146))</f>
        <v/>
      </c>
      <c r="J146" s="25" t="str">
        <f>IF($Q146="","",INDEX(TRANSACTIONS_MASTER!$O$5:$O$1204,$Q146))</f>
        <v/>
      </c>
      <c r="K146" s="26" t="str">
        <f>IF($Q146="","",INDEX(TRANSACTIONS_MASTER!$Q$5:$Q$1204,$Q146))</f>
        <v/>
      </c>
      <c r="L146" s="25" t="str">
        <f>IF($Q146="","",INDEX(TRANSACTIONS_MASTER!$P$5:$P$1204,$Q146))</f>
        <v/>
      </c>
      <c r="M146" s="25" t="str">
        <f>IF($Q146="","",INDEX(TRANSACTIONS_MASTER!$AA$5:$AA$1204,$Q146))</f>
        <v/>
      </c>
      <c r="N146" s="25" t="str">
        <f>IF($Q146="","",INDEX(TRANSACTIONS_MASTER!$R$5:$R$1204,$Q146))</f>
        <v/>
      </c>
      <c r="O146" s="28" t="str">
        <f>IF($Q146="","",INDEX(TRANSACTIONS_MASTER!$AB$5:$AB$1204,$Q146))</f>
        <v/>
      </c>
      <c r="P146" s="55" t="str">
        <f>IF($Q146="","",INDEX(TRANSACTIONS_MASTER!$Z$5:$Z$1204,$Q146)&amp;"")</f>
        <v/>
      </c>
      <c r="Q146" s="67" t="str">
        <f>IFERROR(MATCH($C$2&amp;"|"&amp;139,TRANSACTIONS_MASTER!$AE$5:$AE$1204,0),"")</f>
        <v/>
      </c>
      <c r="S146" s="67" t="str">
        <f>IFERROR(MATCH(1,INDEX((TRANSACTIONS_MASTER!$C$5:$C$1204=$C$2)*(TRANSACTIONS_MASTER!$AJ$5:$AJ$1204=9),0),0),"")</f>
        <v/>
      </c>
      <c r="T146" s="29" t="str">
        <f>IF($S146="","",INDEX(TRANSACTIONS_MASTER!$I$5:$I$1204,$S146))</f>
        <v/>
      </c>
      <c r="U146" s="55" t="str">
        <f>IF($S146="","",INDEX(TRANSACTIONS_MASTER!$J$5:$J$1204,$S146))</f>
        <v/>
      </c>
      <c r="V146" s="25" t="str">
        <f>IF($S146="","",SUMIFS(TRANSACTIONS_MASTER!$L$5:$L$1204,TRANSACTIONS_MASTER!$I$5:$I$1204,$T146,TRANSACTIONS_MASTER!$C$5:$C$1204,$C$2,TRANSACTIONS_MASTER!$U$5:$U$1204,"&lt;&gt;Cancelled"))</f>
        <v/>
      </c>
      <c r="W146" s="26" t="str">
        <f>IF($S146="","",SUMIFS(TRANSACTIONS_MASTER!$Q$5:$Q$1204,TRANSACTIONS_MASTER!$I$5:$I$1204,$T146,TRANSACTIONS_MASTER!$C$5:$C$1204,$C$2))</f>
        <v/>
      </c>
    </row>
    <row r="147">
      <c r="A147" s="81" t="str">
        <f>IF($Q147="","",140)</f>
        <v/>
      </c>
      <c r="B147" s="57" t="str">
        <f>IF($Q147="","",INDEX(TRANSACTIONS_MASTER!$B$5:$B$1204,$Q147))</f>
        <v/>
      </c>
      <c r="C147" s="55" t="str">
        <f>IF($Q147="","",INDEX(TRANSACTIONS_MASTER!$F$5:$F$1204,$Q147))</f>
        <v/>
      </c>
      <c r="D147" s="55" t="str">
        <f>IF($Q147="","",INDEX(TRANSACTIONS_MASTER!$E$5:$E$1204,$Q147))</f>
        <v/>
      </c>
      <c r="E147" s="55" t="str">
        <f>IF($Q147="","",INDEX(TRANSACTIONS_MASTER!$G$5:$G$1204,$Q147)&amp;"")</f>
        <v/>
      </c>
      <c r="F147" s="29" t="str">
        <f>IF($Q147="","",INDEX(TRANSACTIONS_MASTER!$I$5:$I$1204,$Q147))</f>
        <v/>
      </c>
      <c r="G147" s="55" t="str">
        <f>IF($Q147="","",INDEX(TRANSACTIONS_MASTER!$K$5:$K$1204,$Q147))</f>
        <v/>
      </c>
      <c r="H147" s="25" t="str">
        <f>IF($Q147="","",INDEX(TRANSACTIONS_MASTER!$L$5:$L$1204,$Q147))</f>
        <v/>
      </c>
      <c r="I147" s="56" t="str">
        <f>IF($Q147="","",INDEX(TRANSACTIONS_MASTER!$N$5:$N$1204,$Q147))</f>
        <v/>
      </c>
      <c r="J147" s="25" t="str">
        <f>IF($Q147="","",INDEX(TRANSACTIONS_MASTER!$O$5:$O$1204,$Q147))</f>
        <v/>
      </c>
      <c r="K147" s="26" t="str">
        <f>IF($Q147="","",INDEX(TRANSACTIONS_MASTER!$Q$5:$Q$1204,$Q147))</f>
        <v/>
      </c>
      <c r="L147" s="25" t="str">
        <f>IF($Q147="","",INDEX(TRANSACTIONS_MASTER!$P$5:$P$1204,$Q147))</f>
        <v/>
      </c>
      <c r="M147" s="25" t="str">
        <f>IF($Q147="","",INDEX(TRANSACTIONS_MASTER!$AA$5:$AA$1204,$Q147))</f>
        <v/>
      </c>
      <c r="N147" s="25" t="str">
        <f>IF($Q147="","",INDEX(TRANSACTIONS_MASTER!$R$5:$R$1204,$Q147))</f>
        <v/>
      </c>
      <c r="O147" s="28" t="str">
        <f>IF($Q147="","",INDEX(TRANSACTIONS_MASTER!$AB$5:$AB$1204,$Q147))</f>
        <v/>
      </c>
      <c r="P147" s="55" t="str">
        <f>IF($Q147="","",INDEX(TRANSACTIONS_MASTER!$Z$5:$Z$1204,$Q147)&amp;"")</f>
        <v/>
      </c>
      <c r="Q147" s="67" t="str">
        <f>IFERROR(MATCH($C$2&amp;"|"&amp;140,TRANSACTIONS_MASTER!$AE$5:$AE$1204,0),"")</f>
        <v/>
      </c>
      <c r="S147" s="67" t="str">
        <f>IFERROR(MATCH(1,INDEX((TRANSACTIONS_MASTER!$C$5:$C$1204=$C$2)*(TRANSACTIONS_MASTER!$AJ$5:$AJ$1204=10),0),0),"")</f>
        <v/>
      </c>
      <c r="T147" s="29" t="str">
        <f>IF($S147="","",INDEX(TRANSACTIONS_MASTER!$I$5:$I$1204,$S147))</f>
        <v/>
      </c>
      <c r="U147" s="55" t="str">
        <f>IF($S147="","",INDEX(TRANSACTIONS_MASTER!$J$5:$J$1204,$S147))</f>
        <v/>
      </c>
      <c r="V147" s="25" t="str">
        <f>IF($S147="","",SUMIFS(TRANSACTIONS_MASTER!$L$5:$L$1204,TRANSACTIONS_MASTER!$I$5:$I$1204,$T147,TRANSACTIONS_MASTER!$C$5:$C$1204,$C$2,TRANSACTIONS_MASTER!$U$5:$U$1204,"&lt;&gt;Cancelled"))</f>
        <v/>
      </c>
      <c r="W147" s="26" t="str">
        <f>IF($S147="","",SUMIFS(TRANSACTIONS_MASTER!$Q$5:$Q$1204,TRANSACTIONS_MASTER!$I$5:$I$1204,$T147,TRANSACTIONS_MASTER!$C$5:$C$1204,$C$2))</f>
        <v/>
      </c>
    </row>
    <row r="148">
      <c r="A148" s="81" t="str">
        <f>IF($Q148="","",141)</f>
        <v/>
      </c>
      <c r="B148" s="57" t="str">
        <f>IF($Q148="","",INDEX(TRANSACTIONS_MASTER!$B$5:$B$1204,$Q148))</f>
        <v/>
      </c>
      <c r="C148" s="55" t="str">
        <f>IF($Q148="","",INDEX(TRANSACTIONS_MASTER!$F$5:$F$1204,$Q148))</f>
        <v/>
      </c>
      <c r="D148" s="55" t="str">
        <f>IF($Q148="","",INDEX(TRANSACTIONS_MASTER!$E$5:$E$1204,$Q148))</f>
        <v/>
      </c>
      <c r="E148" s="55" t="str">
        <f>IF($Q148="","",INDEX(TRANSACTIONS_MASTER!$G$5:$G$1204,$Q148)&amp;"")</f>
        <v/>
      </c>
      <c r="F148" s="29" t="str">
        <f>IF($Q148="","",INDEX(TRANSACTIONS_MASTER!$I$5:$I$1204,$Q148))</f>
        <v/>
      </c>
      <c r="G148" s="55" t="str">
        <f>IF($Q148="","",INDEX(TRANSACTIONS_MASTER!$K$5:$K$1204,$Q148))</f>
        <v/>
      </c>
      <c r="H148" s="25" t="str">
        <f>IF($Q148="","",INDEX(TRANSACTIONS_MASTER!$L$5:$L$1204,$Q148))</f>
        <v/>
      </c>
      <c r="I148" s="56" t="str">
        <f>IF($Q148="","",INDEX(TRANSACTIONS_MASTER!$N$5:$N$1204,$Q148))</f>
        <v/>
      </c>
      <c r="J148" s="25" t="str">
        <f>IF($Q148="","",INDEX(TRANSACTIONS_MASTER!$O$5:$O$1204,$Q148))</f>
        <v/>
      </c>
      <c r="K148" s="26" t="str">
        <f>IF($Q148="","",INDEX(TRANSACTIONS_MASTER!$Q$5:$Q$1204,$Q148))</f>
        <v/>
      </c>
      <c r="L148" s="25" t="str">
        <f>IF($Q148="","",INDEX(TRANSACTIONS_MASTER!$P$5:$P$1204,$Q148))</f>
        <v/>
      </c>
      <c r="M148" s="25" t="str">
        <f>IF($Q148="","",INDEX(TRANSACTIONS_MASTER!$AA$5:$AA$1204,$Q148))</f>
        <v/>
      </c>
      <c r="N148" s="25" t="str">
        <f>IF($Q148="","",INDEX(TRANSACTIONS_MASTER!$R$5:$R$1204,$Q148))</f>
        <v/>
      </c>
      <c r="O148" s="28" t="str">
        <f>IF($Q148="","",INDEX(TRANSACTIONS_MASTER!$AB$5:$AB$1204,$Q148))</f>
        <v/>
      </c>
      <c r="P148" s="55" t="str">
        <f>IF($Q148="","",INDEX(TRANSACTIONS_MASTER!$Z$5:$Z$1204,$Q148)&amp;"")</f>
        <v/>
      </c>
      <c r="Q148" s="67" t="str">
        <f>IFERROR(MATCH($C$2&amp;"|"&amp;141,TRANSACTIONS_MASTER!$AE$5:$AE$1204,0),"")</f>
        <v/>
      </c>
      <c r="S148" s="67" t="str">
        <f>IFERROR(MATCH(1,INDEX((TRANSACTIONS_MASTER!$C$5:$C$1204=$C$2)*(TRANSACTIONS_MASTER!$AJ$5:$AJ$1204=11),0),0),"")</f>
        <v/>
      </c>
      <c r="T148" s="29" t="str">
        <f>IF($S148="","",INDEX(TRANSACTIONS_MASTER!$I$5:$I$1204,$S148))</f>
        <v/>
      </c>
      <c r="U148" s="55" t="str">
        <f>IF($S148="","",INDEX(TRANSACTIONS_MASTER!$J$5:$J$1204,$S148))</f>
        <v/>
      </c>
      <c r="V148" s="25" t="str">
        <f>IF($S148="","",SUMIFS(TRANSACTIONS_MASTER!$L$5:$L$1204,TRANSACTIONS_MASTER!$I$5:$I$1204,$T148,TRANSACTIONS_MASTER!$C$5:$C$1204,$C$2,TRANSACTIONS_MASTER!$U$5:$U$1204,"&lt;&gt;Cancelled"))</f>
        <v/>
      </c>
      <c r="W148" s="26" t="str">
        <f>IF($S148="","",SUMIFS(TRANSACTIONS_MASTER!$Q$5:$Q$1204,TRANSACTIONS_MASTER!$I$5:$I$1204,$T148,TRANSACTIONS_MASTER!$C$5:$C$1204,$C$2))</f>
        <v/>
      </c>
    </row>
    <row r="149">
      <c r="A149" s="81" t="str">
        <f>IF($Q149="","",142)</f>
        <v/>
      </c>
      <c r="B149" s="57" t="str">
        <f>IF($Q149="","",INDEX(TRANSACTIONS_MASTER!$B$5:$B$1204,$Q149))</f>
        <v/>
      </c>
      <c r="C149" s="55" t="str">
        <f>IF($Q149="","",INDEX(TRANSACTIONS_MASTER!$F$5:$F$1204,$Q149))</f>
        <v/>
      </c>
      <c r="D149" s="55" t="str">
        <f>IF($Q149="","",INDEX(TRANSACTIONS_MASTER!$E$5:$E$1204,$Q149))</f>
        <v/>
      </c>
      <c r="E149" s="55" t="str">
        <f>IF($Q149="","",INDEX(TRANSACTIONS_MASTER!$G$5:$G$1204,$Q149)&amp;"")</f>
        <v/>
      </c>
      <c r="F149" s="29" t="str">
        <f>IF($Q149="","",INDEX(TRANSACTIONS_MASTER!$I$5:$I$1204,$Q149))</f>
        <v/>
      </c>
      <c r="G149" s="55" t="str">
        <f>IF($Q149="","",INDEX(TRANSACTIONS_MASTER!$K$5:$K$1204,$Q149))</f>
        <v/>
      </c>
      <c r="H149" s="25" t="str">
        <f>IF($Q149="","",INDEX(TRANSACTIONS_MASTER!$L$5:$L$1204,$Q149))</f>
        <v/>
      </c>
      <c r="I149" s="56" t="str">
        <f>IF($Q149="","",INDEX(TRANSACTIONS_MASTER!$N$5:$N$1204,$Q149))</f>
        <v/>
      </c>
      <c r="J149" s="25" t="str">
        <f>IF($Q149="","",INDEX(TRANSACTIONS_MASTER!$O$5:$O$1204,$Q149))</f>
        <v/>
      </c>
      <c r="K149" s="26" t="str">
        <f>IF($Q149="","",INDEX(TRANSACTIONS_MASTER!$Q$5:$Q$1204,$Q149))</f>
        <v/>
      </c>
      <c r="L149" s="25" t="str">
        <f>IF($Q149="","",INDEX(TRANSACTIONS_MASTER!$P$5:$P$1204,$Q149))</f>
        <v/>
      </c>
      <c r="M149" s="25" t="str">
        <f>IF($Q149="","",INDEX(TRANSACTIONS_MASTER!$AA$5:$AA$1204,$Q149))</f>
        <v/>
      </c>
      <c r="N149" s="25" t="str">
        <f>IF($Q149="","",INDEX(TRANSACTIONS_MASTER!$R$5:$R$1204,$Q149))</f>
        <v/>
      </c>
      <c r="O149" s="28" t="str">
        <f>IF($Q149="","",INDEX(TRANSACTIONS_MASTER!$AB$5:$AB$1204,$Q149))</f>
        <v/>
      </c>
      <c r="P149" s="55" t="str">
        <f>IF($Q149="","",INDEX(TRANSACTIONS_MASTER!$Z$5:$Z$1204,$Q149)&amp;"")</f>
        <v/>
      </c>
      <c r="Q149" s="67" t="str">
        <f>IFERROR(MATCH($C$2&amp;"|"&amp;142,TRANSACTIONS_MASTER!$AE$5:$AE$1204,0),"")</f>
        <v/>
      </c>
      <c r="S149" s="67" t="str">
        <f>IFERROR(MATCH(1,INDEX((TRANSACTIONS_MASTER!$C$5:$C$1204=$C$2)*(TRANSACTIONS_MASTER!$AJ$5:$AJ$1204=12),0),0),"")</f>
        <v/>
      </c>
      <c r="T149" s="29" t="str">
        <f>IF($S149="","",INDEX(TRANSACTIONS_MASTER!$I$5:$I$1204,$S149))</f>
        <v/>
      </c>
      <c r="U149" s="55" t="str">
        <f>IF($S149="","",INDEX(TRANSACTIONS_MASTER!$J$5:$J$1204,$S149))</f>
        <v/>
      </c>
      <c r="V149" s="25" t="str">
        <f>IF($S149="","",SUMIFS(TRANSACTIONS_MASTER!$L$5:$L$1204,TRANSACTIONS_MASTER!$I$5:$I$1204,$T149,TRANSACTIONS_MASTER!$C$5:$C$1204,$C$2,TRANSACTIONS_MASTER!$U$5:$U$1204,"&lt;&gt;Cancelled"))</f>
        <v/>
      </c>
      <c r="W149" s="26" t="str">
        <f>IF($S149="","",SUMIFS(TRANSACTIONS_MASTER!$Q$5:$Q$1204,TRANSACTIONS_MASTER!$I$5:$I$1204,$T149,TRANSACTIONS_MASTER!$C$5:$C$1204,$C$2))</f>
        <v/>
      </c>
    </row>
    <row r="150">
      <c r="A150" s="81" t="str">
        <f>IF($Q150="","",143)</f>
        <v/>
      </c>
      <c r="B150" s="57" t="str">
        <f>IF($Q150="","",INDEX(TRANSACTIONS_MASTER!$B$5:$B$1204,$Q150))</f>
        <v/>
      </c>
      <c r="C150" s="55" t="str">
        <f>IF($Q150="","",INDEX(TRANSACTIONS_MASTER!$F$5:$F$1204,$Q150))</f>
        <v/>
      </c>
      <c r="D150" s="55" t="str">
        <f>IF($Q150="","",INDEX(TRANSACTIONS_MASTER!$E$5:$E$1204,$Q150))</f>
        <v/>
      </c>
      <c r="E150" s="55" t="str">
        <f>IF($Q150="","",INDEX(TRANSACTIONS_MASTER!$G$5:$G$1204,$Q150)&amp;"")</f>
        <v/>
      </c>
      <c r="F150" s="29" t="str">
        <f>IF($Q150="","",INDEX(TRANSACTIONS_MASTER!$I$5:$I$1204,$Q150))</f>
        <v/>
      </c>
      <c r="G150" s="55" t="str">
        <f>IF($Q150="","",INDEX(TRANSACTIONS_MASTER!$K$5:$K$1204,$Q150))</f>
        <v/>
      </c>
      <c r="H150" s="25" t="str">
        <f>IF($Q150="","",INDEX(TRANSACTIONS_MASTER!$L$5:$L$1204,$Q150))</f>
        <v/>
      </c>
      <c r="I150" s="56" t="str">
        <f>IF($Q150="","",INDEX(TRANSACTIONS_MASTER!$N$5:$N$1204,$Q150))</f>
        <v/>
      </c>
      <c r="J150" s="25" t="str">
        <f>IF($Q150="","",INDEX(TRANSACTIONS_MASTER!$O$5:$O$1204,$Q150))</f>
        <v/>
      </c>
      <c r="K150" s="26" t="str">
        <f>IF($Q150="","",INDEX(TRANSACTIONS_MASTER!$Q$5:$Q$1204,$Q150))</f>
        <v/>
      </c>
      <c r="L150" s="25" t="str">
        <f>IF($Q150="","",INDEX(TRANSACTIONS_MASTER!$P$5:$P$1204,$Q150))</f>
        <v/>
      </c>
      <c r="M150" s="25" t="str">
        <f>IF($Q150="","",INDEX(TRANSACTIONS_MASTER!$AA$5:$AA$1204,$Q150))</f>
        <v/>
      </c>
      <c r="N150" s="25" t="str">
        <f>IF($Q150="","",INDEX(TRANSACTIONS_MASTER!$R$5:$R$1204,$Q150))</f>
        <v/>
      </c>
      <c r="O150" s="28" t="str">
        <f>IF($Q150="","",INDEX(TRANSACTIONS_MASTER!$AB$5:$AB$1204,$Q150))</f>
        <v/>
      </c>
      <c r="P150" s="55" t="str">
        <f>IF($Q150="","",INDEX(TRANSACTIONS_MASTER!$Z$5:$Z$1204,$Q150)&amp;"")</f>
        <v/>
      </c>
      <c r="Q150" s="67" t="str">
        <f>IFERROR(MATCH($C$2&amp;"|"&amp;143,TRANSACTIONS_MASTER!$AE$5:$AE$1204,0),"")</f>
        <v/>
      </c>
      <c r="S150" s="67" t="str">
        <f>IFERROR(MATCH(1,INDEX((TRANSACTIONS_MASTER!$C$5:$C$1204=$C$2)*(TRANSACTIONS_MASTER!$AJ$5:$AJ$1204=13),0),0),"")</f>
        <v/>
      </c>
      <c r="T150" s="29" t="str">
        <f>IF($S150="","",INDEX(TRANSACTIONS_MASTER!$I$5:$I$1204,$S150))</f>
        <v/>
      </c>
      <c r="U150" s="55" t="str">
        <f>IF($S150="","",INDEX(TRANSACTIONS_MASTER!$J$5:$J$1204,$S150))</f>
        <v/>
      </c>
      <c r="V150" s="25" t="str">
        <f>IF($S150="","",SUMIFS(TRANSACTIONS_MASTER!$L$5:$L$1204,TRANSACTIONS_MASTER!$I$5:$I$1204,$T150,TRANSACTIONS_MASTER!$C$5:$C$1204,$C$2,TRANSACTIONS_MASTER!$U$5:$U$1204,"&lt;&gt;Cancelled"))</f>
        <v/>
      </c>
      <c r="W150" s="26" t="str">
        <f>IF($S150="","",SUMIFS(TRANSACTIONS_MASTER!$Q$5:$Q$1204,TRANSACTIONS_MASTER!$I$5:$I$1204,$T150,TRANSACTIONS_MASTER!$C$5:$C$1204,$C$2))</f>
        <v/>
      </c>
    </row>
    <row r="151">
      <c r="A151" s="81" t="str">
        <f>IF($Q151="","",144)</f>
        <v/>
      </c>
      <c r="B151" s="57" t="str">
        <f>IF($Q151="","",INDEX(TRANSACTIONS_MASTER!$B$5:$B$1204,$Q151))</f>
        <v/>
      </c>
      <c r="C151" s="55" t="str">
        <f>IF($Q151="","",INDEX(TRANSACTIONS_MASTER!$F$5:$F$1204,$Q151))</f>
        <v/>
      </c>
      <c r="D151" s="55" t="str">
        <f>IF($Q151="","",INDEX(TRANSACTIONS_MASTER!$E$5:$E$1204,$Q151))</f>
        <v/>
      </c>
      <c r="E151" s="55" t="str">
        <f>IF($Q151="","",INDEX(TRANSACTIONS_MASTER!$G$5:$G$1204,$Q151)&amp;"")</f>
        <v/>
      </c>
      <c r="F151" s="29" t="str">
        <f>IF($Q151="","",INDEX(TRANSACTIONS_MASTER!$I$5:$I$1204,$Q151))</f>
        <v/>
      </c>
      <c r="G151" s="55" t="str">
        <f>IF($Q151="","",INDEX(TRANSACTIONS_MASTER!$K$5:$K$1204,$Q151))</f>
        <v/>
      </c>
      <c r="H151" s="25" t="str">
        <f>IF($Q151="","",INDEX(TRANSACTIONS_MASTER!$L$5:$L$1204,$Q151))</f>
        <v/>
      </c>
      <c r="I151" s="56" t="str">
        <f>IF($Q151="","",INDEX(TRANSACTIONS_MASTER!$N$5:$N$1204,$Q151))</f>
        <v/>
      </c>
      <c r="J151" s="25" t="str">
        <f>IF($Q151="","",INDEX(TRANSACTIONS_MASTER!$O$5:$O$1204,$Q151))</f>
        <v/>
      </c>
      <c r="K151" s="26" t="str">
        <f>IF($Q151="","",INDEX(TRANSACTIONS_MASTER!$Q$5:$Q$1204,$Q151))</f>
        <v/>
      </c>
      <c r="L151" s="25" t="str">
        <f>IF($Q151="","",INDEX(TRANSACTIONS_MASTER!$P$5:$P$1204,$Q151))</f>
        <v/>
      </c>
      <c r="M151" s="25" t="str">
        <f>IF($Q151="","",INDEX(TRANSACTIONS_MASTER!$AA$5:$AA$1204,$Q151))</f>
        <v/>
      </c>
      <c r="N151" s="25" t="str">
        <f>IF($Q151="","",INDEX(TRANSACTIONS_MASTER!$R$5:$R$1204,$Q151))</f>
        <v/>
      </c>
      <c r="O151" s="28" t="str">
        <f>IF($Q151="","",INDEX(TRANSACTIONS_MASTER!$AB$5:$AB$1204,$Q151))</f>
        <v/>
      </c>
      <c r="P151" s="55" t="str">
        <f>IF($Q151="","",INDEX(TRANSACTIONS_MASTER!$Z$5:$Z$1204,$Q151)&amp;"")</f>
        <v/>
      </c>
      <c r="Q151" s="67" t="str">
        <f>IFERROR(MATCH($C$2&amp;"|"&amp;144,TRANSACTIONS_MASTER!$AE$5:$AE$1204,0),"")</f>
        <v/>
      </c>
      <c r="S151" s="67" t="str">
        <f>IFERROR(MATCH(1,INDEX((TRANSACTIONS_MASTER!$C$5:$C$1204=$C$2)*(TRANSACTIONS_MASTER!$AJ$5:$AJ$1204=14),0),0),"")</f>
        <v/>
      </c>
      <c r="T151" s="29" t="str">
        <f>IF($S151="","",INDEX(TRANSACTIONS_MASTER!$I$5:$I$1204,$S151))</f>
        <v/>
      </c>
      <c r="U151" s="55" t="str">
        <f>IF($S151="","",INDEX(TRANSACTIONS_MASTER!$J$5:$J$1204,$S151))</f>
        <v/>
      </c>
      <c r="V151" s="25" t="str">
        <f>IF($S151="","",SUMIFS(TRANSACTIONS_MASTER!$L$5:$L$1204,TRANSACTIONS_MASTER!$I$5:$I$1204,$T151,TRANSACTIONS_MASTER!$C$5:$C$1204,$C$2,TRANSACTIONS_MASTER!$U$5:$U$1204,"&lt;&gt;Cancelled"))</f>
        <v/>
      </c>
      <c r="W151" s="26" t="str">
        <f>IF($S151="","",SUMIFS(TRANSACTIONS_MASTER!$Q$5:$Q$1204,TRANSACTIONS_MASTER!$I$5:$I$1204,$T151,TRANSACTIONS_MASTER!$C$5:$C$1204,$C$2))</f>
        <v/>
      </c>
    </row>
    <row r="152">
      <c r="A152" s="81" t="str">
        <f>IF($Q152="","",145)</f>
        <v/>
      </c>
      <c r="B152" s="57" t="str">
        <f>IF($Q152="","",INDEX(TRANSACTIONS_MASTER!$B$5:$B$1204,$Q152))</f>
        <v/>
      </c>
      <c r="C152" s="55" t="str">
        <f>IF($Q152="","",INDEX(TRANSACTIONS_MASTER!$F$5:$F$1204,$Q152))</f>
        <v/>
      </c>
      <c r="D152" s="55" t="str">
        <f>IF($Q152="","",INDEX(TRANSACTIONS_MASTER!$E$5:$E$1204,$Q152))</f>
        <v/>
      </c>
      <c r="E152" s="55" t="str">
        <f>IF($Q152="","",INDEX(TRANSACTIONS_MASTER!$G$5:$G$1204,$Q152)&amp;"")</f>
        <v/>
      </c>
      <c r="F152" s="29" t="str">
        <f>IF($Q152="","",INDEX(TRANSACTIONS_MASTER!$I$5:$I$1204,$Q152))</f>
        <v/>
      </c>
      <c r="G152" s="55" t="str">
        <f>IF($Q152="","",INDEX(TRANSACTIONS_MASTER!$K$5:$K$1204,$Q152))</f>
        <v/>
      </c>
      <c r="H152" s="25" t="str">
        <f>IF($Q152="","",INDEX(TRANSACTIONS_MASTER!$L$5:$L$1204,$Q152))</f>
        <v/>
      </c>
      <c r="I152" s="56" t="str">
        <f>IF($Q152="","",INDEX(TRANSACTIONS_MASTER!$N$5:$N$1204,$Q152))</f>
        <v/>
      </c>
      <c r="J152" s="25" t="str">
        <f>IF($Q152="","",INDEX(TRANSACTIONS_MASTER!$O$5:$O$1204,$Q152))</f>
        <v/>
      </c>
      <c r="K152" s="26" t="str">
        <f>IF($Q152="","",INDEX(TRANSACTIONS_MASTER!$Q$5:$Q$1204,$Q152))</f>
        <v/>
      </c>
      <c r="L152" s="25" t="str">
        <f>IF($Q152="","",INDEX(TRANSACTIONS_MASTER!$P$5:$P$1204,$Q152))</f>
        <v/>
      </c>
      <c r="M152" s="25" t="str">
        <f>IF($Q152="","",INDEX(TRANSACTIONS_MASTER!$AA$5:$AA$1204,$Q152))</f>
        <v/>
      </c>
      <c r="N152" s="25" t="str">
        <f>IF($Q152="","",INDEX(TRANSACTIONS_MASTER!$R$5:$R$1204,$Q152))</f>
        <v/>
      </c>
      <c r="O152" s="28" t="str">
        <f>IF($Q152="","",INDEX(TRANSACTIONS_MASTER!$AB$5:$AB$1204,$Q152))</f>
        <v/>
      </c>
      <c r="P152" s="55" t="str">
        <f>IF($Q152="","",INDEX(TRANSACTIONS_MASTER!$Z$5:$Z$1204,$Q152)&amp;"")</f>
        <v/>
      </c>
      <c r="Q152" s="67" t="str">
        <f>IFERROR(MATCH($C$2&amp;"|"&amp;145,TRANSACTIONS_MASTER!$AE$5:$AE$1204,0),"")</f>
        <v/>
      </c>
      <c r="S152" s="67" t="str">
        <f>IFERROR(MATCH(1,INDEX((TRANSACTIONS_MASTER!$C$5:$C$1204=$C$2)*(TRANSACTIONS_MASTER!$AJ$5:$AJ$1204=15),0),0),"")</f>
        <v/>
      </c>
      <c r="T152" s="29" t="str">
        <f>IF($S152="","",INDEX(TRANSACTIONS_MASTER!$I$5:$I$1204,$S152))</f>
        <v/>
      </c>
      <c r="U152" s="55" t="str">
        <f>IF($S152="","",INDEX(TRANSACTIONS_MASTER!$J$5:$J$1204,$S152))</f>
        <v/>
      </c>
      <c r="V152" s="25" t="str">
        <f>IF($S152="","",SUMIFS(TRANSACTIONS_MASTER!$L$5:$L$1204,TRANSACTIONS_MASTER!$I$5:$I$1204,$T152,TRANSACTIONS_MASTER!$C$5:$C$1204,$C$2,TRANSACTIONS_MASTER!$U$5:$U$1204,"&lt;&gt;Cancelled"))</f>
        <v/>
      </c>
      <c r="W152" s="26" t="str">
        <f>IF($S152="","",SUMIFS(TRANSACTIONS_MASTER!$Q$5:$Q$1204,TRANSACTIONS_MASTER!$I$5:$I$1204,$T152,TRANSACTIONS_MASTER!$C$5:$C$1204,$C$2))</f>
        <v/>
      </c>
    </row>
    <row r="153">
      <c r="A153" s="81" t="str">
        <f>IF($Q153="","",146)</f>
        <v/>
      </c>
      <c r="B153" s="57" t="str">
        <f>IF($Q153="","",INDEX(TRANSACTIONS_MASTER!$B$5:$B$1204,$Q153))</f>
        <v/>
      </c>
      <c r="C153" s="55" t="str">
        <f>IF($Q153="","",INDEX(TRANSACTIONS_MASTER!$F$5:$F$1204,$Q153))</f>
        <v/>
      </c>
      <c r="D153" s="55" t="str">
        <f>IF($Q153="","",INDEX(TRANSACTIONS_MASTER!$E$5:$E$1204,$Q153))</f>
        <v/>
      </c>
      <c r="E153" s="55" t="str">
        <f>IF($Q153="","",INDEX(TRANSACTIONS_MASTER!$G$5:$G$1204,$Q153)&amp;"")</f>
        <v/>
      </c>
      <c r="F153" s="29" t="str">
        <f>IF($Q153="","",INDEX(TRANSACTIONS_MASTER!$I$5:$I$1204,$Q153))</f>
        <v/>
      </c>
      <c r="G153" s="55" t="str">
        <f>IF($Q153="","",INDEX(TRANSACTIONS_MASTER!$K$5:$K$1204,$Q153))</f>
        <v/>
      </c>
      <c r="H153" s="25" t="str">
        <f>IF($Q153="","",INDEX(TRANSACTIONS_MASTER!$L$5:$L$1204,$Q153))</f>
        <v/>
      </c>
      <c r="I153" s="56" t="str">
        <f>IF($Q153="","",INDEX(TRANSACTIONS_MASTER!$N$5:$N$1204,$Q153))</f>
        <v/>
      </c>
      <c r="J153" s="25" t="str">
        <f>IF($Q153="","",INDEX(TRANSACTIONS_MASTER!$O$5:$O$1204,$Q153))</f>
        <v/>
      </c>
      <c r="K153" s="26" t="str">
        <f>IF($Q153="","",INDEX(TRANSACTIONS_MASTER!$Q$5:$Q$1204,$Q153))</f>
        <v/>
      </c>
      <c r="L153" s="25" t="str">
        <f>IF($Q153="","",INDEX(TRANSACTIONS_MASTER!$P$5:$P$1204,$Q153))</f>
        <v/>
      </c>
      <c r="M153" s="25" t="str">
        <f>IF($Q153="","",INDEX(TRANSACTIONS_MASTER!$AA$5:$AA$1204,$Q153))</f>
        <v/>
      </c>
      <c r="N153" s="25" t="str">
        <f>IF($Q153="","",INDEX(TRANSACTIONS_MASTER!$R$5:$R$1204,$Q153))</f>
        <v/>
      </c>
      <c r="O153" s="28" t="str">
        <f>IF($Q153="","",INDEX(TRANSACTIONS_MASTER!$AB$5:$AB$1204,$Q153))</f>
        <v/>
      </c>
      <c r="P153" s="55" t="str">
        <f>IF($Q153="","",INDEX(TRANSACTIONS_MASTER!$Z$5:$Z$1204,$Q153)&amp;"")</f>
        <v/>
      </c>
      <c r="Q153" s="67" t="str">
        <f>IFERROR(MATCH($C$2&amp;"|"&amp;146,TRANSACTIONS_MASTER!$AE$5:$AE$1204,0),"")</f>
        <v/>
      </c>
      <c r="T153" s="45" t="n"/>
      <c r="U153" s="82" t="inlineStr">
        <is>
          <t>Khác (ngoài danh sách)</t>
        </is>
      </c>
      <c r="V153" s="48">
        <f>MAX(0,SUMIFS(TRANSACTIONS_MASTER!$L$5:$L$1204,TRANSACTIONS_MASTER!$C$5:$C$1204,$C$2,TRANSACTIONS_MASTER!$U$5:$U$1204,"&lt;&gt;Cancelled")-SUM(V138:V152))</f>
        <v>0</v>
      </c>
      <c r="W153" s="48">
        <f>MAX(0,SUMIFS(TRANSACTIONS_MASTER!$Q$5:$Q$1204,TRANSACTIONS_MASTER!$C$5:$C$1204,$C$2)-SUM(W138:W152))</f>
        <v>0</v>
      </c>
    </row>
    <row r="154">
      <c r="A154" s="81" t="str">
        <f>IF($Q154="","",147)</f>
        <v/>
      </c>
      <c r="B154" s="57" t="str">
        <f>IF($Q154="","",INDEX(TRANSACTIONS_MASTER!$B$5:$B$1204,$Q154))</f>
        <v/>
      </c>
      <c r="C154" s="55" t="str">
        <f>IF($Q154="","",INDEX(TRANSACTIONS_MASTER!$F$5:$F$1204,$Q154))</f>
        <v/>
      </c>
      <c r="D154" s="55" t="str">
        <f>IF($Q154="","",INDEX(TRANSACTIONS_MASTER!$E$5:$E$1204,$Q154))</f>
        <v/>
      </c>
      <c r="E154" s="55" t="str">
        <f>IF($Q154="","",INDEX(TRANSACTIONS_MASTER!$G$5:$G$1204,$Q154)&amp;"")</f>
        <v/>
      </c>
      <c r="F154" s="29" t="str">
        <f>IF($Q154="","",INDEX(TRANSACTIONS_MASTER!$I$5:$I$1204,$Q154))</f>
        <v/>
      </c>
      <c r="G154" s="55" t="str">
        <f>IF($Q154="","",INDEX(TRANSACTIONS_MASTER!$K$5:$K$1204,$Q154))</f>
        <v/>
      </c>
      <c r="H154" s="25" t="str">
        <f>IF($Q154="","",INDEX(TRANSACTIONS_MASTER!$L$5:$L$1204,$Q154))</f>
        <v/>
      </c>
      <c r="I154" s="56" t="str">
        <f>IF($Q154="","",INDEX(TRANSACTIONS_MASTER!$N$5:$N$1204,$Q154))</f>
        <v/>
      </c>
      <c r="J154" s="25" t="str">
        <f>IF($Q154="","",INDEX(TRANSACTIONS_MASTER!$O$5:$O$1204,$Q154))</f>
        <v/>
      </c>
      <c r="K154" s="26" t="str">
        <f>IF($Q154="","",INDEX(TRANSACTIONS_MASTER!$Q$5:$Q$1204,$Q154))</f>
        <v/>
      </c>
      <c r="L154" s="25" t="str">
        <f>IF($Q154="","",INDEX(TRANSACTIONS_MASTER!$P$5:$P$1204,$Q154))</f>
        <v/>
      </c>
      <c r="M154" s="25" t="str">
        <f>IF($Q154="","",INDEX(TRANSACTIONS_MASTER!$AA$5:$AA$1204,$Q154))</f>
        <v/>
      </c>
      <c r="N154" s="25" t="str">
        <f>IF($Q154="","",INDEX(TRANSACTIONS_MASTER!$R$5:$R$1204,$Q154))</f>
        <v/>
      </c>
      <c r="O154" s="28" t="str">
        <f>IF($Q154="","",INDEX(TRANSACTIONS_MASTER!$AB$5:$AB$1204,$Q154))</f>
        <v/>
      </c>
      <c r="P154" s="55" t="str">
        <f>IF($Q154="","",INDEX(TRANSACTIONS_MASTER!$Z$5:$Z$1204,$Q154)&amp;"")</f>
        <v/>
      </c>
      <c r="Q154" s="67" t="str">
        <f>IFERROR(MATCH($C$2&amp;"|"&amp;147,TRANSACTIONS_MASTER!$AE$5:$AE$1204,0),"")</f>
        <v/>
      </c>
      <c r="T154" s="68" t="n"/>
      <c r="U154" s="69" t="inlineStr">
        <is>
          <t>TỔNG</t>
        </is>
      </c>
      <c r="V154" s="31">
        <f>SUM(V138:V153)</f>
        <v>0</v>
      </c>
      <c r="W154" s="31">
        <f>SUM(W138:W153)</f>
        <v>0</v>
      </c>
    </row>
    <row r="155">
      <c r="A155" s="81" t="str">
        <f>IF($Q155="","",148)</f>
        <v/>
      </c>
      <c r="B155" s="57" t="str">
        <f>IF($Q155="","",INDEX(TRANSACTIONS_MASTER!$B$5:$B$1204,$Q155))</f>
        <v/>
      </c>
      <c r="C155" s="55" t="str">
        <f>IF($Q155="","",INDEX(TRANSACTIONS_MASTER!$F$5:$F$1204,$Q155))</f>
        <v/>
      </c>
      <c r="D155" s="55" t="str">
        <f>IF($Q155="","",INDEX(TRANSACTIONS_MASTER!$E$5:$E$1204,$Q155))</f>
        <v/>
      </c>
      <c r="E155" s="55" t="str">
        <f>IF($Q155="","",INDEX(TRANSACTIONS_MASTER!$G$5:$G$1204,$Q155)&amp;"")</f>
        <v/>
      </c>
      <c r="F155" s="29" t="str">
        <f>IF($Q155="","",INDEX(TRANSACTIONS_MASTER!$I$5:$I$1204,$Q155))</f>
        <v/>
      </c>
      <c r="G155" s="55" t="str">
        <f>IF($Q155="","",INDEX(TRANSACTIONS_MASTER!$K$5:$K$1204,$Q155))</f>
        <v/>
      </c>
      <c r="H155" s="25" t="str">
        <f>IF($Q155="","",INDEX(TRANSACTIONS_MASTER!$L$5:$L$1204,$Q155))</f>
        <v/>
      </c>
      <c r="I155" s="56" t="str">
        <f>IF($Q155="","",INDEX(TRANSACTIONS_MASTER!$N$5:$N$1204,$Q155))</f>
        <v/>
      </c>
      <c r="J155" s="25" t="str">
        <f>IF($Q155="","",INDEX(TRANSACTIONS_MASTER!$O$5:$O$1204,$Q155))</f>
        <v/>
      </c>
      <c r="K155" s="26" t="str">
        <f>IF($Q155="","",INDEX(TRANSACTIONS_MASTER!$Q$5:$Q$1204,$Q155))</f>
        <v/>
      </c>
      <c r="L155" s="25" t="str">
        <f>IF($Q155="","",INDEX(TRANSACTIONS_MASTER!$P$5:$P$1204,$Q155))</f>
        <v/>
      </c>
      <c r="M155" s="25" t="str">
        <f>IF($Q155="","",INDEX(TRANSACTIONS_MASTER!$AA$5:$AA$1204,$Q155))</f>
        <v/>
      </c>
      <c r="N155" s="25" t="str">
        <f>IF($Q155="","",INDEX(TRANSACTIONS_MASTER!$R$5:$R$1204,$Q155))</f>
        <v/>
      </c>
      <c r="O155" s="28" t="str">
        <f>IF($Q155="","",INDEX(TRANSACTIONS_MASTER!$AB$5:$AB$1204,$Q155))</f>
        <v/>
      </c>
      <c r="P155" s="55" t="str">
        <f>IF($Q155="","",INDEX(TRANSACTIONS_MASTER!$Z$5:$Z$1204,$Q155)&amp;"")</f>
        <v/>
      </c>
      <c r="Q155" s="67" t="str">
        <f>IFERROR(MATCH($C$2&amp;"|"&amp;148,TRANSACTIONS_MASTER!$AE$5:$AE$1204,0),"")</f>
        <v/>
      </c>
    </row>
    <row r="156">
      <c r="A156" s="81" t="str">
        <f>IF($Q156="","",149)</f>
        <v/>
      </c>
      <c r="B156" s="57" t="str">
        <f>IF($Q156="","",INDEX(TRANSACTIONS_MASTER!$B$5:$B$1204,$Q156))</f>
        <v/>
      </c>
      <c r="C156" s="55" t="str">
        <f>IF($Q156="","",INDEX(TRANSACTIONS_MASTER!$F$5:$F$1204,$Q156))</f>
        <v/>
      </c>
      <c r="D156" s="55" t="str">
        <f>IF($Q156="","",INDEX(TRANSACTIONS_MASTER!$E$5:$E$1204,$Q156))</f>
        <v/>
      </c>
      <c r="E156" s="55" t="str">
        <f>IF($Q156="","",INDEX(TRANSACTIONS_MASTER!$G$5:$G$1204,$Q156)&amp;"")</f>
        <v/>
      </c>
      <c r="F156" s="29" t="str">
        <f>IF($Q156="","",INDEX(TRANSACTIONS_MASTER!$I$5:$I$1204,$Q156))</f>
        <v/>
      </c>
      <c r="G156" s="55" t="str">
        <f>IF($Q156="","",INDEX(TRANSACTIONS_MASTER!$K$5:$K$1204,$Q156))</f>
        <v/>
      </c>
      <c r="H156" s="25" t="str">
        <f>IF($Q156="","",INDEX(TRANSACTIONS_MASTER!$L$5:$L$1204,$Q156))</f>
        <v/>
      </c>
      <c r="I156" s="56" t="str">
        <f>IF($Q156="","",INDEX(TRANSACTIONS_MASTER!$N$5:$N$1204,$Q156))</f>
        <v/>
      </c>
      <c r="J156" s="25" t="str">
        <f>IF($Q156="","",INDEX(TRANSACTIONS_MASTER!$O$5:$O$1204,$Q156))</f>
        <v/>
      </c>
      <c r="K156" s="26" t="str">
        <f>IF($Q156="","",INDEX(TRANSACTIONS_MASTER!$Q$5:$Q$1204,$Q156))</f>
        <v/>
      </c>
      <c r="L156" s="25" t="str">
        <f>IF($Q156="","",INDEX(TRANSACTIONS_MASTER!$P$5:$P$1204,$Q156))</f>
        <v/>
      </c>
      <c r="M156" s="25" t="str">
        <f>IF($Q156="","",INDEX(TRANSACTIONS_MASTER!$AA$5:$AA$1204,$Q156))</f>
        <v/>
      </c>
      <c r="N156" s="25" t="str">
        <f>IF($Q156="","",INDEX(TRANSACTIONS_MASTER!$R$5:$R$1204,$Q156))</f>
        <v/>
      </c>
      <c r="O156" s="28" t="str">
        <f>IF($Q156="","",INDEX(TRANSACTIONS_MASTER!$AB$5:$AB$1204,$Q156))</f>
        <v/>
      </c>
      <c r="P156" s="55" t="str">
        <f>IF($Q156="","",INDEX(TRANSACTIONS_MASTER!$Z$5:$Z$1204,$Q156)&amp;"")</f>
        <v/>
      </c>
      <c r="Q156" s="67" t="str">
        <f>IFERROR(MATCH($C$2&amp;"|"&amp;149,TRANSACTIONS_MASTER!$AE$5:$AE$1204,0),"")</f>
        <v/>
      </c>
    </row>
    <row r="157" ht="22" customHeight="1">
      <c r="A157" s="81" t="str">
        <f>IF($Q157="","",150)</f>
        <v/>
      </c>
      <c r="B157" s="57" t="str">
        <f>IF($Q157="","",INDEX(TRANSACTIONS_MASTER!$B$5:$B$1204,$Q157))</f>
        <v/>
      </c>
      <c r="C157" s="55" t="str">
        <f>IF($Q157="","",INDEX(TRANSACTIONS_MASTER!$F$5:$F$1204,$Q157))</f>
        <v/>
      </c>
      <c r="D157" s="55" t="str">
        <f>IF($Q157="","",INDEX(TRANSACTIONS_MASTER!$E$5:$E$1204,$Q157))</f>
        <v/>
      </c>
      <c r="E157" s="55" t="str">
        <f>IF($Q157="","",INDEX(TRANSACTIONS_MASTER!$G$5:$G$1204,$Q157)&amp;"")</f>
        <v/>
      </c>
      <c r="F157" s="29" t="str">
        <f>IF($Q157="","",INDEX(TRANSACTIONS_MASTER!$I$5:$I$1204,$Q157))</f>
        <v/>
      </c>
      <c r="G157" s="55" t="str">
        <f>IF($Q157="","",INDEX(TRANSACTIONS_MASTER!$K$5:$K$1204,$Q157))</f>
        <v/>
      </c>
      <c r="H157" s="25" t="str">
        <f>IF($Q157="","",INDEX(TRANSACTIONS_MASTER!$L$5:$L$1204,$Q157))</f>
        <v/>
      </c>
      <c r="I157" s="56" t="str">
        <f>IF($Q157="","",INDEX(TRANSACTIONS_MASTER!$N$5:$N$1204,$Q157))</f>
        <v/>
      </c>
      <c r="J157" s="25" t="str">
        <f>IF($Q157="","",INDEX(TRANSACTIONS_MASTER!$O$5:$O$1204,$Q157))</f>
        <v/>
      </c>
      <c r="K157" s="26" t="str">
        <f>IF($Q157="","",INDEX(TRANSACTIONS_MASTER!$Q$5:$Q$1204,$Q157))</f>
        <v/>
      </c>
      <c r="L157" s="25" t="str">
        <f>IF($Q157="","",INDEX(TRANSACTIONS_MASTER!$P$5:$P$1204,$Q157))</f>
        <v/>
      </c>
      <c r="M157" s="25" t="str">
        <f>IF($Q157="","",INDEX(TRANSACTIONS_MASTER!$AA$5:$AA$1204,$Q157))</f>
        <v/>
      </c>
      <c r="N157" s="25" t="str">
        <f>IF($Q157="","",INDEX(TRANSACTIONS_MASTER!$R$5:$R$1204,$Q157))</f>
        <v/>
      </c>
      <c r="O157" s="28" t="str">
        <f>IF($Q157="","",INDEX(TRANSACTIONS_MASTER!$AB$5:$AB$1204,$Q157))</f>
        <v/>
      </c>
      <c r="P157" s="55" t="str">
        <f>IF($Q157="","",INDEX(TRANSACTIONS_MASTER!$Z$5:$Z$1204,$Q157)&amp;"")</f>
        <v/>
      </c>
      <c r="Q157" s="67" t="str">
        <f>IFERROR(MATCH($C$2&amp;"|"&amp;150,TRANSACTIONS_MASTER!$AE$5:$AE$1204,0),"")</f>
        <v/>
      </c>
      <c r="T157" s="19" t="inlineStr">
        <is>
          <t>THEO MERCHANT</t>
        </is>
      </c>
      <c r="U157" s="20" t="n"/>
      <c r="V157" s="20" t="n"/>
      <c r="W157" s="20" t="n"/>
      <c r="X157" s="20" t="n"/>
      <c r="Y157" s="20" t="n"/>
      <c r="Z157" s="20" t="n"/>
      <c r="AA157" s="20" t="n"/>
    </row>
    <row r="158" ht="28" customHeight="1">
      <c r="A158" s="81" t="str">
        <f>IF($Q158="","",151)</f>
        <v/>
      </c>
      <c r="B158" s="57" t="str">
        <f>IF($Q158="","",INDEX(TRANSACTIONS_MASTER!$B$5:$B$1204,$Q158))</f>
        <v/>
      </c>
      <c r="C158" s="55" t="str">
        <f>IF($Q158="","",INDEX(TRANSACTIONS_MASTER!$F$5:$F$1204,$Q158))</f>
        <v/>
      </c>
      <c r="D158" s="55" t="str">
        <f>IF($Q158="","",INDEX(TRANSACTIONS_MASTER!$E$5:$E$1204,$Q158))</f>
        <v/>
      </c>
      <c r="E158" s="55" t="str">
        <f>IF($Q158="","",INDEX(TRANSACTIONS_MASTER!$G$5:$G$1204,$Q158)&amp;"")</f>
        <v/>
      </c>
      <c r="F158" s="29" t="str">
        <f>IF($Q158="","",INDEX(TRANSACTIONS_MASTER!$I$5:$I$1204,$Q158))</f>
        <v/>
      </c>
      <c r="G158" s="55" t="str">
        <f>IF($Q158="","",INDEX(TRANSACTIONS_MASTER!$K$5:$K$1204,$Q158))</f>
        <v/>
      </c>
      <c r="H158" s="25" t="str">
        <f>IF($Q158="","",INDEX(TRANSACTIONS_MASTER!$L$5:$L$1204,$Q158))</f>
        <v/>
      </c>
      <c r="I158" s="56" t="str">
        <f>IF($Q158="","",INDEX(TRANSACTIONS_MASTER!$N$5:$N$1204,$Q158))</f>
        <v/>
      </c>
      <c r="J158" s="25" t="str">
        <f>IF($Q158="","",INDEX(TRANSACTIONS_MASTER!$O$5:$O$1204,$Q158))</f>
        <v/>
      </c>
      <c r="K158" s="26" t="str">
        <f>IF($Q158="","",INDEX(TRANSACTIONS_MASTER!$Q$5:$Q$1204,$Q158))</f>
        <v/>
      </c>
      <c r="L158" s="25" t="str">
        <f>IF($Q158="","",INDEX(TRANSACTIONS_MASTER!$P$5:$P$1204,$Q158))</f>
        <v/>
      </c>
      <c r="M158" s="25" t="str">
        <f>IF($Q158="","",INDEX(TRANSACTIONS_MASTER!$AA$5:$AA$1204,$Q158))</f>
        <v/>
      </c>
      <c r="N158" s="25" t="str">
        <f>IF($Q158="","",INDEX(TRANSACTIONS_MASTER!$R$5:$R$1204,$Q158))</f>
        <v/>
      </c>
      <c r="O158" s="28" t="str">
        <f>IF($Q158="","",INDEX(TRANSACTIONS_MASTER!$AB$5:$AB$1204,$Q158))</f>
        <v/>
      </c>
      <c r="P158" s="55" t="str">
        <f>IF($Q158="","",INDEX(TRANSACTIONS_MASTER!$Z$5:$Z$1204,$Q158)&amp;"")</f>
        <v/>
      </c>
      <c r="Q158" s="67" t="str">
        <f>IFERROR(MATCH($C$2&amp;"|"&amp;151,TRANSACTIONS_MASTER!$AE$5:$AE$1204,0),"")</f>
        <v/>
      </c>
      <c r="S158" s="21" t="inlineStr">
        <is>
          <t>#</t>
        </is>
      </c>
      <c r="T158" s="21" t="inlineStr"/>
      <c r="U158" s="21" t="inlineStr">
        <is>
          <t>Merchant</t>
        </is>
      </c>
      <c r="V158" s="21" t="inlineStr">
        <is>
          <t>Chi tiêu</t>
        </is>
      </c>
      <c r="W158" s="21" t="inlineStr">
        <is>
          <t>Cashback</t>
        </is>
      </c>
    </row>
    <row r="159">
      <c r="A159" s="81" t="str">
        <f>IF($Q159="","",152)</f>
        <v/>
      </c>
      <c r="B159" s="57" t="str">
        <f>IF($Q159="","",INDEX(TRANSACTIONS_MASTER!$B$5:$B$1204,$Q159))</f>
        <v/>
      </c>
      <c r="C159" s="55" t="str">
        <f>IF($Q159="","",INDEX(TRANSACTIONS_MASTER!$F$5:$F$1204,$Q159))</f>
        <v/>
      </c>
      <c r="D159" s="55" t="str">
        <f>IF($Q159="","",INDEX(TRANSACTIONS_MASTER!$E$5:$E$1204,$Q159))</f>
        <v/>
      </c>
      <c r="E159" s="55" t="str">
        <f>IF($Q159="","",INDEX(TRANSACTIONS_MASTER!$G$5:$G$1204,$Q159)&amp;"")</f>
        <v/>
      </c>
      <c r="F159" s="29" t="str">
        <f>IF($Q159="","",INDEX(TRANSACTIONS_MASTER!$I$5:$I$1204,$Q159))</f>
        <v/>
      </c>
      <c r="G159" s="55" t="str">
        <f>IF($Q159="","",INDEX(TRANSACTIONS_MASTER!$K$5:$K$1204,$Q159))</f>
        <v/>
      </c>
      <c r="H159" s="25" t="str">
        <f>IF($Q159="","",INDEX(TRANSACTIONS_MASTER!$L$5:$L$1204,$Q159))</f>
        <v/>
      </c>
      <c r="I159" s="56" t="str">
        <f>IF($Q159="","",INDEX(TRANSACTIONS_MASTER!$N$5:$N$1204,$Q159))</f>
        <v/>
      </c>
      <c r="J159" s="25" t="str">
        <f>IF($Q159="","",INDEX(TRANSACTIONS_MASTER!$O$5:$O$1204,$Q159))</f>
        <v/>
      </c>
      <c r="K159" s="26" t="str">
        <f>IF($Q159="","",INDEX(TRANSACTIONS_MASTER!$Q$5:$Q$1204,$Q159))</f>
        <v/>
      </c>
      <c r="L159" s="25" t="str">
        <f>IF($Q159="","",INDEX(TRANSACTIONS_MASTER!$P$5:$P$1204,$Q159))</f>
        <v/>
      </c>
      <c r="M159" s="25" t="str">
        <f>IF($Q159="","",INDEX(TRANSACTIONS_MASTER!$AA$5:$AA$1204,$Q159))</f>
        <v/>
      </c>
      <c r="N159" s="25" t="str">
        <f>IF($Q159="","",INDEX(TRANSACTIONS_MASTER!$R$5:$R$1204,$Q159))</f>
        <v/>
      </c>
      <c r="O159" s="28" t="str">
        <f>IF($Q159="","",INDEX(TRANSACTIONS_MASTER!$AB$5:$AB$1204,$Q159))</f>
        <v/>
      </c>
      <c r="P159" s="55" t="str">
        <f>IF($Q159="","",INDEX(TRANSACTIONS_MASTER!$Z$5:$Z$1204,$Q159)&amp;"")</f>
        <v/>
      </c>
      <c r="Q159" s="67" t="str">
        <f>IFERROR(MATCH($C$2&amp;"|"&amp;152,TRANSACTIONS_MASTER!$AE$5:$AE$1204,0),"")</f>
        <v/>
      </c>
      <c r="S159" s="67" t="str">
        <f>IFERROR(MATCH(1,INDEX((TRANSACTIONS_MASTER!$C$5:$C$1204=$C$2)*(TRANSACTIONS_MASTER!$AN$5:$AN$1204=1),0),0),"")</f>
        <v/>
      </c>
      <c r="T159" s="55" t="n"/>
      <c r="U159" s="55" t="str">
        <f>IF($S159="","",INDEX(TRANSACTIONS_MASTER!$G$5:$G$1204,$S159)&amp;"")</f>
        <v/>
      </c>
      <c r="V159" s="25" t="str">
        <f>IF($S159="","",SUMIFS(TRANSACTIONS_MASTER!$L$5:$L$1204,TRANSACTIONS_MASTER!$G$5:$G$1204,$U159,TRANSACTIONS_MASTER!$C$5:$C$1204,$C$2,TRANSACTIONS_MASTER!$U$5:$U$1204,"&lt;&gt;Cancelled"))</f>
        <v/>
      </c>
      <c r="W159" s="26" t="str">
        <f>IF($S159="","",SUMIFS(TRANSACTIONS_MASTER!$Q$5:$Q$1204,TRANSACTIONS_MASTER!$G$5:$G$1204,$U159,TRANSACTIONS_MASTER!$C$5:$C$1204,$C$2))</f>
        <v/>
      </c>
    </row>
    <row r="160">
      <c r="A160" s="81" t="str">
        <f>IF($Q160="","",153)</f>
        <v/>
      </c>
      <c r="B160" s="57" t="str">
        <f>IF($Q160="","",INDEX(TRANSACTIONS_MASTER!$B$5:$B$1204,$Q160))</f>
        <v/>
      </c>
      <c r="C160" s="55" t="str">
        <f>IF($Q160="","",INDEX(TRANSACTIONS_MASTER!$F$5:$F$1204,$Q160))</f>
        <v/>
      </c>
      <c r="D160" s="55" t="str">
        <f>IF($Q160="","",INDEX(TRANSACTIONS_MASTER!$E$5:$E$1204,$Q160))</f>
        <v/>
      </c>
      <c r="E160" s="55" t="str">
        <f>IF($Q160="","",INDEX(TRANSACTIONS_MASTER!$G$5:$G$1204,$Q160)&amp;"")</f>
        <v/>
      </c>
      <c r="F160" s="29" t="str">
        <f>IF($Q160="","",INDEX(TRANSACTIONS_MASTER!$I$5:$I$1204,$Q160))</f>
        <v/>
      </c>
      <c r="G160" s="55" t="str">
        <f>IF($Q160="","",INDEX(TRANSACTIONS_MASTER!$K$5:$K$1204,$Q160))</f>
        <v/>
      </c>
      <c r="H160" s="25" t="str">
        <f>IF($Q160="","",INDEX(TRANSACTIONS_MASTER!$L$5:$L$1204,$Q160))</f>
        <v/>
      </c>
      <c r="I160" s="56" t="str">
        <f>IF($Q160="","",INDEX(TRANSACTIONS_MASTER!$N$5:$N$1204,$Q160))</f>
        <v/>
      </c>
      <c r="J160" s="25" t="str">
        <f>IF($Q160="","",INDEX(TRANSACTIONS_MASTER!$O$5:$O$1204,$Q160))</f>
        <v/>
      </c>
      <c r="K160" s="26" t="str">
        <f>IF($Q160="","",INDEX(TRANSACTIONS_MASTER!$Q$5:$Q$1204,$Q160))</f>
        <v/>
      </c>
      <c r="L160" s="25" t="str">
        <f>IF($Q160="","",INDEX(TRANSACTIONS_MASTER!$P$5:$P$1204,$Q160))</f>
        <v/>
      </c>
      <c r="M160" s="25" t="str">
        <f>IF($Q160="","",INDEX(TRANSACTIONS_MASTER!$AA$5:$AA$1204,$Q160))</f>
        <v/>
      </c>
      <c r="N160" s="25" t="str">
        <f>IF($Q160="","",INDEX(TRANSACTIONS_MASTER!$R$5:$R$1204,$Q160))</f>
        <v/>
      </c>
      <c r="O160" s="28" t="str">
        <f>IF($Q160="","",INDEX(TRANSACTIONS_MASTER!$AB$5:$AB$1204,$Q160))</f>
        <v/>
      </c>
      <c r="P160" s="55" t="str">
        <f>IF($Q160="","",INDEX(TRANSACTIONS_MASTER!$Z$5:$Z$1204,$Q160)&amp;"")</f>
        <v/>
      </c>
      <c r="Q160" s="67" t="str">
        <f>IFERROR(MATCH($C$2&amp;"|"&amp;153,TRANSACTIONS_MASTER!$AE$5:$AE$1204,0),"")</f>
        <v/>
      </c>
      <c r="S160" s="67" t="str">
        <f>IFERROR(MATCH(1,INDEX((TRANSACTIONS_MASTER!$C$5:$C$1204=$C$2)*(TRANSACTIONS_MASTER!$AN$5:$AN$1204=2),0),0),"")</f>
        <v/>
      </c>
      <c r="T160" s="55" t="n"/>
      <c r="U160" s="55" t="str">
        <f>IF($S160="","",INDEX(TRANSACTIONS_MASTER!$G$5:$G$1204,$S160)&amp;"")</f>
        <v/>
      </c>
      <c r="V160" s="25" t="str">
        <f>IF($S160="","",SUMIFS(TRANSACTIONS_MASTER!$L$5:$L$1204,TRANSACTIONS_MASTER!$G$5:$G$1204,$U160,TRANSACTIONS_MASTER!$C$5:$C$1204,$C$2,TRANSACTIONS_MASTER!$U$5:$U$1204,"&lt;&gt;Cancelled"))</f>
        <v/>
      </c>
      <c r="W160" s="26" t="str">
        <f>IF($S160="","",SUMIFS(TRANSACTIONS_MASTER!$Q$5:$Q$1204,TRANSACTIONS_MASTER!$G$5:$G$1204,$U160,TRANSACTIONS_MASTER!$C$5:$C$1204,$C$2))</f>
        <v/>
      </c>
    </row>
    <row r="161">
      <c r="A161" s="81" t="str">
        <f>IF($Q161="","",154)</f>
        <v/>
      </c>
      <c r="B161" s="57" t="str">
        <f>IF($Q161="","",INDEX(TRANSACTIONS_MASTER!$B$5:$B$1204,$Q161))</f>
        <v/>
      </c>
      <c r="C161" s="55" t="str">
        <f>IF($Q161="","",INDEX(TRANSACTIONS_MASTER!$F$5:$F$1204,$Q161))</f>
        <v/>
      </c>
      <c r="D161" s="55" t="str">
        <f>IF($Q161="","",INDEX(TRANSACTIONS_MASTER!$E$5:$E$1204,$Q161))</f>
        <v/>
      </c>
      <c r="E161" s="55" t="str">
        <f>IF($Q161="","",INDEX(TRANSACTIONS_MASTER!$G$5:$G$1204,$Q161)&amp;"")</f>
        <v/>
      </c>
      <c r="F161" s="29" t="str">
        <f>IF($Q161="","",INDEX(TRANSACTIONS_MASTER!$I$5:$I$1204,$Q161))</f>
        <v/>
      </c>
      <c r="G161" s="55" t="str">
        <f>IF($Q161="","",INDEX(TRANSACTIONS_MASTER!$K$5:$K$1204,$Q161))</f>
        <v/>
      </c>
      <c r="H161" s="25" t="str">
        <f>IF($Q161="","",INDEX(TRANSACTIONS_MASTER!$L$5:$L$1204,$Q161))</f>
        <v/>
      </c>
      <c r="I161" s="56" t="str">
        <f>IF($Q161="","",INDEX(TRANSACTIONS_MASTER!$N$5:$N$1204,$Q161))</f>
        <v/>
      </c>
      <c r="J161" s="25" t="str">
        <f>IF($Q161="","",INDEX(TRANSACTIONS_MASTER!$O$5:$O$1204,$Q161))</f>
        <v/>
      </c>
      <c r="K161" s="26" t="str">
        <f>IF($Q161="","",INDEX(TRANSACTIONS_MASTER!$Q$5:$Q$1204,$Q161))</f>
        <v/>
      </c>
      <c r="L161" s="25" t="str">
        <f>IF($Q161="","",INDEX(TRANSACTIONS_MASTER!$P$5:$P$1204,$Q161))</f>
        <v/>
      </c>
      <c r="M161" s="25" t="str">
        <f>IF($Q161="","",INDEX(TRANSACTIONS_MASTER!$AA$5:$AA$1204,$Q161))</f>
        <v/>
      </c>
      <c r="N161" s="25" t="str">
        <f>IF($Q161="","",INDEX(TRANSACTIONS_MASTER!$R$5:$R$1204,$Q161))</f>
        <v/>
      </c>
      <c r="O161" s="28" t="str">
        <f>IF($Q161="","",INDEX(TRANSACTIONS_MASTER!$AB$5:$AB$1204,$Q161))</f>
        <v/>
      </c>
      <c r="P161" s="55" t="str">
        <f>IF($Q161="","",INDEX(TRANSACTIONS_MASTER!$Z$5:$Z$1204,$Q161)&amp;"")</f>
        <v/>
      </c>
      <c r="Q161" s="67" t="str">
        <f>IFERROR(MATCH($C$2&amp;"|"&amp;154,TRANSACTIONS_MASTER!$AE$5:$AE$1204,0),"")</f>
        <v/>
      </c>
      <c r="S161" s="67" t="str">
        <f>IFERROR(MATCH(1,INDEX((TRANSACTIONS_MASTER!$C$5:$C$1204=$C$2)*(TRANSACTIONS_MASTER!$AN$5:$AN$1204=3),0),0),"")</f>
        <v/>
      </c>
      <c r="T161" s="55" t="n"/>
      <c r="U161" s="55" t="str">
        <f>IF($S161="","",INDEX(TRANSACTIONS_MASTER!$G$5:$G$1204,$S161)&amp;"")</f>
        <v/>
      </c>
      <c r="V161" s="25" t="str">
        <f>IF($S161="","",SUMIFS(TRANSACTIONS_MASTER!$L$5:$L$1204,TRANSACTIONS_MASTER!$G$5:$G$1204,$U161,TRANSACTIONS_MASTER!$C$5:$C$1204,$C$2,TRANSACTIONS_MASTER!$U$5:$U$1204,"&lt;&gt;Cancelled"))</f>
        <v/>
      </c>
      <c r="W161" s="26" t="str">
        <f>IF($S161="","",SUMIFS(TRANSACTIONS_MASTER!$Q$5:$Q$1204,TRANSACTIONS_MASTER!$G$5:$G$1204,$U161,TRANSACTIONS_MASTER!$C$5:$C$1204,$C$2))</f>
        <v/>
      </c>
    </row>
    <row r="162">
      <c r="A162" s="81" t="str">
        <f>IF($Q162="","",155)</f>
        <v/>
      </c>
      <c r="B162" s="57" t="str">
        <f>IF($Q162="","",INDEX(TRANSACTIONS_MASTER!$B$5:$B$1204,$Q162))</f>
        <v/>
      </c>
      <c r="C162" s="55" t="str">
        <f>IF($Q162="","",INDEX(TRANSACTIONS_MASTER!$F$5:$F$1204,$Q162))</f>
        <v/>
      </c>
      <c r="D162" s="55" t="str">
        <f>IF($Q162="","",INDEX(TRANSACTIONS_MASTER!$E$5:$E$1204,$Q162))</f>
        <v/>
      </c>
      <c r="E162" s="55" t="str">
        <f>IF($Q162="","",INDEX(TRANSACTIONS_MASTER!$G$5:$G$1204,$Q162)&amp;"")</f>
        <v/>
      </c>
      <c r="F162" s="29" t="str">
        <f>IF($Q162="","",INDEX(TRANSACTIONS_MASTER!$I$5:$I$1204,$Q162))</f>
        <v/>
      </c>
      <c r="G162" s="55" t="str">
        <f>IF($Q162="","",INDEX(TRANSACTIONS_MASTER!$K$5:$K$1204,$Q162))</f>
        <v/>
      </c>
      <c r="H162" s="25" t="str">
        <f>IF($Q162="","",INDEX(TRANSACTIONS_MASTER!$L$5:$L$1204,$Q162))</f>
        <v/>
      </c>
      <c r="I162" s="56" t="str">
        <f>IF($Q162="","",INDEX(TRANSACTIONS_MASTER!$N$5:$N$1204,$Q162))</f>
        <v/>
      </c>
      <c r="J162" s="25" t="str">
        <f>IF($Q162="","",INDEX(TRANSACTIONS_MASTER!$O$5:$O$1204,$Q162))</f>
        <v/>
      </c>
      <c r="K162" s="26" t="str">
        <f>IF($Q162="","",INDEX(TRANSACTIONS_MASTER!$Q$5:$Q$1204,$Q162))</f>
        <v/>
      </c>
      <c r="L162" s="25" t="str">
        <f>IF($Q162="","",INDEX(TRANSACTIONS_MASTER!$P$5:$P$1204,$Q162))</f>
        <v/>
      </c>
      <c r="M162" s="25" t="str">
        <f>IF($Q162="","",INDEX(TRANSACTIONS_MASTER!$AA$5:$AA$1204,$Q162))</f>
        <v/>
      </c>
      <c r="N162" s="25" t="str">
        <f>IF($Q162="","",INDEX(TRANSACTIONS_MASTER!$R$5:$R$1204,$Q162))</f>
        <v/>
      </c>
      <c r="O162" s="28" t="str">
        <f>IF($Q162="","",INDEX(TRANSACTIONS_MASTER!$AB$5:$AB$1204,$Q162))</f>
        <v/>
      </c>
      <c r="P162" s="55" t="str">
        <f>IF($Q162="","",INDEX(TRANSACTIONS_MASTER!$Z$5:$Z$1204,$Q162)&amp;"")</f>
        <v/>
      </c>
      <c r="Q162" s="67" t="str">
        <f>IFERROR(MATCH($C$2&amp;"|"&amp;155,TRANSACTIONS_MASTER!$AE$5:$AE$1204,0),"")</f>
        <v/>
      </c>
      <c r="S162" s="67" t="str">
        <f>IFERROR(MATCH(1,INDEX((TRANSACTIONS_MASTER!$C$5:$C$1204=$C$2)*(TRANSACTIONS_MASTER!$AN$5:$AN$1204=4),0),0),"")</f>
        <v/>
      </c>
      <c r="T162" s="55" t="n"/>
      <c r="U162" s="55" t="str">
        <f>IF($S162="","",INDEX(TRANSACTIONS_MASTER!$G$5:$G$1204,$S162)&amp;"")</f>
        <v/>
      </c>
      <c r="V162" s="25" t="str">
        <f>IF($S162="","",SUMIFS(TRANSACTIONS_MASTER!$L$5:$L$1204,TRANSACTIONS_MASTER!$G$5:$G$1204,$U162,TRANSACTIONS_MASTER!$C$5:$C$1204,$C$2,TRANSACTIONS_MASTER!$U$5:$U$1204,"&lt;&gt;Cancelled"))</f>
        <v/>
      </c>
      <c r="W162" s="26" t="str">
        <f>IF($S162="","",SUMIFS(TRANSACTIONS_MASTER!$Q$5:$Q$1204,TRANSACTIONS_MASTER!$G$5:$G$1204,$U162,TRANSACTIONS_MASTER!$C$5:$C$1204,$C$2))</f>
        <v/>
      </c>
    </row>
    <row r="163">
      <c r="A163" s="81" t="str">
        <f>IF($Q163="","",156)</f>
        <v/>
      </c>
      <c r="B163" s="57" t="str">
        <f>IF($Q163="","",INDEX(TRANSACTIONS_MASTER!$B$5:$B$1204,$Q163))</f>
        <v/>
      </c>
      <c r="C163" s="55" t="str">
        <f>IF($Q163="","",INDEX(TRANSACTIONS_MASTER!$F$5:$F$1204,$Q163))</f>
        <v/>
      </c>
      <c r="D163" s="55" t="str">
        <f>IF($Q163="","",INDEX(TRANSACTIONS_MASTER!$E$5:$E$1204,$Q163))</f>
        <v/>
      </c>
      <c r="E163" s="55" t="str">
        <f>IF($Q163="","",INDEX(TRANSACTIONS_MASTER!$G$5:$G$1204,$Q163)&amp;"")</f>
        <v/>
      </c>
      <c r="F163" s="29" t="str">
        <f>IF($Q163="","",INDEX(TRANSACTIONS_MASTER!$I$5:$I$1204,$Q163))</f>
        <v/>
      </c>
      <c r="G163" s="55" t="str">
        <f>IF($Q163="","",INDEX(TRANSACTIONS_MASTER!$K$5:$K$1204,$Q163))</f>
        <v/>
      </c>
      <c r="H163" s="25" t="str">
        <f>IF($Q163="","",INDEX(TRANSACTIONS_MASTER!$L$5:$L$1204,$Q163))</f>
        <v/>
      </c>
      <c r="I163" s="56" t="str">
        <f>IF($Q163="","",INDEX(TRANSACTIONS_MASTER!$N$5:$N$1204,$Q163))</f>
        <v/>
      </c>
      <c r="J163" s="25" t="str">
        <f>IF($Q163="","",INDEX(TRANSACTIONS_MASTER!$O$5:$O$1204,$Q163))</f>
        <v/>
      </c>
      <c r="K163" s="26" t="str">
        <f>IF($Q163="","",INDEX(TRANSACTIONS_MASTER!$Q$5:$Q$1204,$Q163))</f>
        <v/>
      </c>
      <c r="L163" s="25" t="str">
        <f>IF($Q163="","",INDEX(TRANSACTIONS_MASTER!$P$5:$P$1204,$Q163))</f>
        <v/>
      </c>
      <c r="M163" s="25" t="str">
        <f>IF($Q163="","",INDEX(TRANSACTIONS_MASTER!$AA$5:$AA$1204,$Q163))</f>
        <v/>
      </c>
      <c r="N163" s="25" t="str">
        <f>IF($Q163="","",INDEX(TRANSACTIONS_MASTER!$R$5:$R$1204,$Q163))</f>
        <v/>
      </c>
      <c r="O163" s="28" t="str">
        <f>IF($Q163="","",INDEX(TRANSACTIONS_MASTER!$AB$5:$AB$1204,$Q163))</f>
        <v/>
      </c>
      <c r="P163" s="55" t="str">
        <f>IF($Q163="","",INDEX(TRANSACTIONS_MASTER!$Z$5:$Z$1204,$Q163)&amp;"")</f>
        <v/>
      </c>
      <c r="Q163" s="67" t="str">
        <f>IFERROR(MATCH($C$2&amp;"|"&amp;156,TRANSACTIONS_MASTER!$AE$5:$AE$1204,0),"")</f>
        <v/>
      </c>
      <c r="S163" s="67" t="str">
        <f>IFERROR(MATCH(1,INDEX((TRANSACTIONS_MASTER!$C$5:$C$1204=$C$2)*(TRANSACTIONS_MASTER!$AN$5:$AN$1204=5),0),0),"")</f>
        <v/>
      </c>
      <c r="T163" s="55" t="n"/>
      <c r="U163" s="55" t="str">
        <f>IF($S163="","",INDEX(TRANSACTIONS_MASTER!$G$5:$G$1204,$S163)&amp;"")</f>
        <v/>
      </c>
      <c r="V163" s="25" t="str">
        <f>IF($S163="","",SUMIFS(TRANSACTIONS_MASTER!$L$5:$L$1204,TRANSACTIONS_MASTER!$G$5:$G$1204,$U163,TRANSACTIONS_MASTER!$C$5:$C$1204,$C$2,TRANSACTIONS_MASTER!$U$5:$U$1204,"&lt;&gt;Cancelled"))</f>
        <v/>
      </c>
      <c r="W163" s="26" t="str">
        <f>IF($S163="","",SUMIFS(TRANSACTIONS_MASTER!$Q$5:$Q$1204,TRANSACTIONS_MASTER!$G$5:$G$1204,$U163,TRANSACTIONS_MASTER!$C$5:$C$1204,$C$2))</f>
        <v/>
      </c>
    </row>
    <row r="164">
      <c r="A164" s="81" t="str">
        <f>IF($Q164="","",157)</f>
        <v/>
      </c>
      <c r="B164" s="57" t="str">
        <f>IF($Q164="","",INDEX(TRANSACTIONS_MASTER!$B$5:$B$1204,$Q164))</f>
        <v/>
      </c>
      <c r="C164" s="55" t="str">
        <f>IF($Q164="","",INDEX(TRANSACTIONS_MASTER!$F$5:$F$1204,$Q164))</f>
        <v/>
      </c>
      <c r="D164" s="55" t="str">
        <f>IF($Q164="","",INDEX(TRANSACTIONS_MASTER!$E$5:$E$1204,$Q164))</f>
        <v/>
      </c>
      <c r="E164" s="55" t="str">
        <f>IF($Q164="","",INDEX(TRANSACTIONS_MASTER!$G$5:$G$1204,$Q164)&amp;"")</f>
        <v/>
      </c>
      <c r="F164" s="29" t="str">
        <f>IF($Q164="","",INDEX(TRANSACTIONS_MASTER!$I$5:$I$1204,$Q164))</f>
        <v/>
      </c>
      <c r="G164" s="55" t="str">
        <f>IF($Q164="","",INDEX(TRANSACTIONS_MASTER!$K$5:$K$1204,$Q164))</f>
        <v/>
      </c>
      <c r="H164" s="25" t="str">
        <f>IF($Q164="","",INDEX(TRANSACTIONS_MASTER!$L$5:$L$1204,$Q164))</f>
        <v/>
      </c>
      <c r="I164" s="56" t="str">
        <f>IF($Q164="","",INDEX(TRANSACTIONS_MASTER!$N$5:$N$1204,$Q164))</f>
        <v/>
      </c>
      <c r="J164" s="25" t="str">
        <f>IF($Q164="","",INDEX(TRANSACTIONS_MASTER!$O$5:$O$1204,$Q164))</f>
        <v/>
      </c>
      <c r="K164" s="26" t="str">
        <f>IF($Q164="","",INDEX(TRANSACTIONS_MASTER!$Q$5:$Q$1204,$Q164))</f>
        <v/>
      </c>
      <c r="L164" s="25" t="str">
        <f>IF($Q164="","",INDEX(TRANSACTIONS_MASTER!$P$5:$P$1204,$Q164))</f>
        <v/>
      </c>
      <c r="M164" s="25" t="str">
        <f>IF($Q164="","",INDEX(TRANSACTIONS_MASTER!$AA$5:$AA$1204,$Q164))</f>
        <v/>
      </c>
      <c r="N164" s="25" t="str">
        <f>IF($Q164="","",INDEX(TRANSACTIONS_MASTER!$R$5:$R$1204,$Q164))</f>
        <v/>
      </c>
      <c r="O164" s="28" t="str">
        <f>IF($Q164="","",INDEX(TRANSACTIONS_MASTER!$AB$5:$AB$1204,$Q164))</f>
        <v/>
      </c>
      <c r="P164" s="55" t="str">
        <f>IF($Q164="","",INDEX(TRANSACTIONS_MASTER!$Z$5:$Z$1204,$Q164)&amp;"")</f>
        <v/>
      </c>
      <c r="Q164" s="67" t="str">
        <f>IFERROR(MATCH($C$2&amp;"|"&amp;157,TRANSACTIONS_MASTER!$AE$5:$AE$1204,0),"")</f>
        <v/>
      </c>
      <c r="S164" s="67" t="str">
        <f>IFERROR(MATCH(1,INDEX((TRANSACTIONS_MASTER!$C$5:$C$1204=$C$2)*(TRANSACTIONS_MASTER!$AN$5:$AN$1204=6),0),0),"")</f>
        <v/>
      </c>
      <c r="T164" s="55" t="n"/>
      <c r="U164" s="55" t="str">
        <f>IF($S164="","",INDEX(TRANSACTIONS_MASTER!$G$5:$G$1204,$S164)&amp;"")</f>
        <v/>
      </c>
      <c r="V164" s="25" t="str">
        <f>IF($S164="","",SUMIFS(TRANSACTIONS_MASTER!$L$5:$L$1204,TRANSACTIONS_MASTER!$G$5:$G$1204,$U164,TRANSACTIONS_MASTER!$C$5:$C$1204,$C$2,TRANSACTIONS_MASTER!$U$5:$U$1204,"&lt;&gt;Cancelled"))</f>
        <v/>
      </c>
      <c r="W164" s="26" t="str">
        <f>IF($S164="","",SUMIFS(TRANSACTIONS_MASTER!$Q$5:$Q$1204,TRANSACTIONS_MASTER!$G$5:$G$1204,$U164,TRANSACTIONS_MASTER!$C$5:$C$1204,$C$2))</f>
        <v/>
      </c>
    </row>
    <row r="165">
      <c r="A165" s="81" t="str">
        <f>IF($Q165="","",158)</f>
        <v/>
      </c>
      <c r="B165" s="57" t="str">
        <f>IF($Q165="","",INDEX(TRANSACTIONS_MASTER!$B$5:$B$1204,$Q165))</f>
        <v/>
      </c>
      <c r="C165" s="55" t="str">
        <f>IF($Q165="","",INDEX(TRANSACTIONS_MASTER!$F$5:$F$1204,$Q165))</f>
        <v/>
      </c>
      <c r="D165" s="55" t="str">
        <f>IF($Q165="","",INDEX(TRANSACTIONS_MASTER!$E$5:$E$1204,$Q165))</f>
        <v/>
      </c>
      <c r="E165" s="55" t="str">
        <f>IF($Q165="","",INDEX(TRANSACTIONS_MASTER!$G$5:$G$1204,$Q165)&amp;"")</f>
        <v/>
      </c>
      <c r="F165" s="29" t="str">
        <f>IF($Q165="","",INDEX(TRANSACTIONS_MASTER!$I$5:$I$1204,$Q165))</f>
        <v/>
      </c>
      <c r="G165" s="55" t="str">
        <f>IF($Q165="","",INDEX(TRANSACTIONS_MASTER!$K$5:$K$1204,$Q165))</f>
        <v/>
      </c>
      <c r="H165" s="25" t="str">
        <f>IF($Q165="","",INDEX(TRANSACTIONS_MASTER!$L$5:$L$1204,$Q165))</f>
        <v/>
      </c>
      <c r="I165" s="56" t="str">
        <f>IF($Q165="","",INDEX(TRANSACTIONS_MASTER!$N$5:$N$1204,$Q165))</f>
        <v/>
      </c>
      <c r="J165" s="25" t="str">
        <f>IF($Q165="","",INDEX(TRANSACTIONS_MASTER!$O$5:$O$1204,$Q165))</f>
        <v/>
      </c>
      <c r="K165" s="26" t="str">
        <f>IF($Q165="","",INDEX(TRANSACTIONS_MASTER!$Q$5:$Q$1204,$Q165))</f>
        <v/>
      </c>
      <c r="L165" s="25" t="str">
        <f>IF($Q165="","",INDEX(TRANSACTIONS_MASTER!$P$5:$P$1204,$Q165))</f>
        <v/>
      </c>
      <c r="M165" s="25" t="str">
        <f>IF($Q165="","",INDEX(TRANSACTIONS_MASTER!$AA$5:$AA$1204,$Q165))</f>
        <v/>
      </c>
      <c r="N165" s="25" t="str">
        <f>IF($Q165="","",INDEX(TRANSACTIONS_MASTER!$R$5:$R$1204,$Q165))</f>
        <v/>
      </c>
      <c r="O165" s="28" t="str">
        <f>IF($Q165="","",INDEX(TRANSACTIONS_MASTER!$AB$5:$AB$1204,$Q165))</f>
        <v/>
      </c>
      <c r="P165" s="55" t="str">
        <f>IF($Q165="","",INDEX(TRANSACTIONS_MASTER!$Z$5:$Z$1204,$Q165)&amp;"")</f>
        <v/>
      </c>
      <c r="Q165" s="67" t="str">
        <f>IFERROR(MATCH($C$2&amp;"|"&amp;158,TRANSACTIONS_MASTER!$AE$5:$AE$1204,0),"")</f>
        <v/>
      </c>
      <c r="S165" s="67" t="str">
        <f>IFERROR(MATCH(1,INDEX((TRANSACTIONS_MASTER!$C$5:$C$1204=$C$2)*(TRANSACTIONS_MASTER!$AN$5:$AN$1204=7),0),0),"")</f>
        <v/>
      </c>
      <c r="T165" s="55" t="n"/>
      <c r="U165" s="55" t="str">
        <f>IF($S165="","",INDEX(TRANSACTIONS_MASTER!$G$5:$G$1204,$S165)&amp;"")</f>
        <v/>
      </c>
      <c r="V165" s="25" t="str">
        <f>IF($S165="","",SUMIFS(TRANSACTIONS_MASTER!$L$5:$L$1204,TRANSACTIONS_MASTER!$G$5:$G$1204,$U165,TRANSACTIONS_MASTER!$C$5:$C$1204,$C$2,TRANSACTIONS_MASTER!$U$5:$U$1204,"&lt;&gt;Cancelled"))</f>
        <v/>
      </c>
      <c r="W165" s="26" t="str">
        <f>IF($S165="","",SUMIFS(TRANSACTIONS_MASTER!$Q$5:$Q$1204,TRANSACTIONS_MASTER!$G$5:$G$1204,$U165,TRANSACTIONS_MASTER!$C$5:$C$1204,$C$2))</f>
        <v/>
      </c>
    </row>
    <row r="166">
      <c r="A166" s="81" t="str">
        <f>IF($Q166="","",159)</f>
        <v/>
      </c>
      <c r="B166" s="57" t="str">
        <f>IF($Q166="","",INDEX(TRANSACTIONS_MASTER!$B$5:$B$1204,$Q166))</f>
        <v/>
      </c>
      <c r="C166" s="55" t="str">
        <f>IF($Q166="","",INDEX(TRANSACTIONS_MASTER!$F$5:$F$1204,$Q166))</f>
        <v/>
      </c>
      <c r="D166" s="55" t="str">
        <f>IF($Q166="","",INDEX(TRANSACTIONS_MASTER!$E$5:$E$1204,$Q166))</f>
        <v/>
      </c>
      <c r="E166" s="55" t="str">
        <f>IF($Q166="","",INDEX(TRANSACTIONS_MASTER!$G$5:$G$1204,$Q166)&amp;"")</f>
        <v/>
      </c>
      <c r="F166" s="29" t="str">
        <f>IF($Q166="","",INDEX(TRANSACTIONS_MASTER!$I$5:$I$1204,$Q166))</f>
        <v/>
      </c>
      <c r="G166" s="55" t="str">
        <f>IF($Q166="","",INDEX(TRANSACTIONS_MASTER!$K$5:$K$1204,$Q166))</f>
        <v/>
      </c>
      <c r="H166" s="25" t="str">
        <f>IF($Q166="","",INDEX(TRANSACTIONS_MASTER!$L$5:$L$1204,$Q166))</f>
        <v/>
      </c>
      <c r="I166" s="56" t="str">
        <f>IF($Q166="","",INDEX(TRANSACTIONS_MASTER!$N$5:$N$1204,$Q166))</f>
        <v/>
      </c>
      <c r="J166" s="25" t="str">
        <f>IF($Q166="","",INDEX(TRANSACTIONS_MASTER!$O$5:$O$1204,$Q166))</f>
        <v/>
      </c>
      <c r="K166" s="26" t="str">
        <f>IF($Q166="","",INDEX(TRANSACTIONS_MASTER!$Q$5:$Q$1204,$Q166))</f>
        <v/>
      </c>
      <c r="L166" s="25" t="str">
        <f>IF($Q166="","",INDEX(TRANSACTIONS_MASTER!$P$5:$P$1204,$Q166))</f>
        <v/>
      </c>
      <c r="M166" s="25" t="str">
        <f>IF($Q166="","",INDEX(TRANSACTIONS_MASTER!$AA$5:$AA$1204,$Q166))</f>
        <v/>
      </c>
      <c r="N166" s="25" t="str">
        <f>IF($Q166="","",INDEX(TRANSACTIONS_MASTER!$R$5:$R$1204,$Q166))</f>
        <v/>
      </c>
      <c r="O166" s="28" t="str">
        <f>IF($Q166="","",INDEX(TRANSACTIONS_MASTER!$AB$5:$AB$1204,$Q166))</f>
        <v/>
      </c>
      <c r="P166" s="55" t="str">
        <f>IF($Q166="","",INDEX(TRANSACTIONS_MASTER!$Z$5:$Z$1204,$Q166)&amp;"")</f>
        <v/>
      </c>
      <c r="Q166" s="67" t="str">
        <f>IFERROR(MATCH($C$2&amp;"|"&amp;159,TRANSACTIONS_MASTER!$AE$5:$AE$1204,0),"")</f>
        <v/>
      </c>
      <c r="S166" s="67" t="str">
        <f>IFERROR(MATCH(1,INDEX((TRANSACTIONS_MASTER!$C$5:$C$1204=$C$2)*(TRANSACTIONS_MASTER!$AN$5:$AN$1204=8),0),0),"")</f>
        <v/>
      </c>
      <c r="T166" s="55" t="n"/>
      <c r="U166" s="55" t="str">
        <f>IF($S166="","",INDEX(TRANSACTIONS_MASTER!$G$5:$G$1204,$S166)&amp;"")</f>
        <v/>
      </c>
      <c r="V166" s="25" t="str">
        <f>IF($S166="","",SUMIFS(TRANSACTIONS_MASTER!$L$5:$L$1204,TRANSACTIONS_MASTER!$G$5:$G$1204,$U166,TRANSACTIONS_MASTER!$C$5:$C$1204,$C$2,TRANSACTIONS_MASTER!$U$5:$U$1204,"&lt;&gt;Cancelled"))</f>
        <v/>
      </c>
      <c r="W166" s="26" t="str">
        <f>IF($S166="","",SUMIFS(TRANSACTIONS_MASTER!$Q$5:$Q$1204,TRANSACTIONS_MASTER!$G$5:$G$1204,$U166,TRANSACTIONS_MASTER!$C$5:$C$1204,$C$2))</f>
        <v/>
      </c>
    </row>
    <row r="167">
      <c r="A167" s="81" t="str">
        <f>IF($Q167="","",160)</f>
        <v/>
      </c>
      <c r="B167" s="57" t="str">
        <f>IF($Q167="","",INDEX(TRANSACTIONS_MASTER!$B$5:$B$1204,$Q167))</f>
        <v/>
      </c>
      <c r="C167" s="55" t="str">
        <f>IF($Q167="","",INDEX(TRANSACTIONS_MASTER!$F$5:$F$1204,$Q167))</f>
        <v/>
      </c>
      <c r="D167" s="55" t="str">
        <f>IF($Q167="","",INDEX(TRANSACTIONS_MASTER!$E$5:$E$1204,$Q167))</f>
        <v/>
      </c>
      <c r="E167" s="55" t="str">
        <f>IF($Q167="","",INDEX(TRANSACTIONS_MASTER!$G$5:$G$1204,$Q167)&amp;"")</f>
        <v/>
      </c>
      <c r="F167" s="29" t="str">
        <f>IF($Q167="","",INDEX(TRANSACTIONS_MASTER!$I$5:$I$1204,$Q167))</f>
        <v/>
      </c>
      <c r="G167" s="55" t="str">
        <f>IF($Q167="","",INDEX(TRANSACTIONS_MASTER!$K$5:$K$1204,$Q167))</f>
        <v/>
      </c>
      <c r="H167" s="25" t="str">
        <f>IF($Q167="","",INDEX(TRANSACTIONS_MASTER!$L$5:$L$1204,$Q167))</f>
        <v/>
      </c>
      <c r="I167" s="56" t="str">
        <f>IF($Q167="","",INDEX(TRANSACTIONS_MASTER!$N$5:$N$1204,$Q167))</f>
        <v/>
      </c>
      <c r="J167" s="25" t="str">
        <f>IF($Q167="","",INDEX(TRANSACTIONS_MASTER!$O$5:$O$1204,$Q167))</f>
        <v/>
      </c>
      <c r="K167" s="26" t="str">
        <f>IF($Q167="","",INDEX(TRANSACTIONS_MASTER!$Q$5:$Q$1204,$Q167))</f>
        <v/>
      </c>
      <c r="L167" s="25" t="str">
        <f>IF($Q167="","",INDEX(TRANSACTIONS_MASTER!$P$5:$P$1204,$Q167))</f>
        <v/>
      </c>
      <c r="M167" s="25" t="str">
        <f>IF($Q167="","",INDEX(TRANSACTIONS_MASTER!$AA$5:$AA$1204,$Q167))</f>
        <v/>
      </c>
      <c r="N167" s="25" t="str">
        <f>IF($Q167="","",INDEX(TRANSACTIONS_MASTER!$R$5:$R$1204,$Q167))</f>
        <v/>
      </c>
      <c r="O167" s="28" t="str">
        <f>IF($Q167="","",INDEX(TRANSACTIONS_MASTER!$AB$5:$AB$1204,$Q167))</f>
        <v/>
      </c>
      <c r="P167" s="55" t="str">
        <f>IF($Q167="","",INDEX(TRANSACTIONS_MASTER!$Z$5:$Z$1204,$Q167)&amp;"")</f>
        <v/>
      </c>
      <c r="Q167" s="67" t="str">
        <f>IFERROR(MATCH($C$2&amp;"|"&amp;160,TRANSACTIONS_MASTER!$AE$5:$AE$1204,0),"")</f>
        <v/>
      </c>
      <c r="S167" s="67" t="str">
        <f>IFERROR(MATCH(1,INDEX((TRANSACTIONS_MASTER!$C$5:$C$1204=$C$2)*(TRANSACTIONS_MASTER!$AN$5:$AN$1204=9),0),0),"")</f>
        <v/>
      </c>
      <c r="T167" s="55" t="n"/>
      <c r="U167" s="55" t="str">
        <f>IF($S167="","",INDEX(TRANSACTIONS_MASTER!$G$5:$G$1204,$S167)&amp;"")</f>
        <v/>
      </c>
      <c r="V167" s="25" t="str">
        <f>IF($S167="","",SUMIFS(TRANSACTIONS_MASTER!$L$5:$L$1204,TRANSACTIONS_MASTER!$G$5:$G$1204,$U167,TRANSACTIONS_MASTER!$C$5:$C$1204,$C$2,TRANSACTIONS_MASTER!$U$5:$U$1204,"&lt;&gt;Cancelled"))</f>
        <v/>
      </c>
      <c r="W167" s="26" t="str">
        <f>IF($S167="","",SUMIFS(TRANSACTIONS_MASTER!$Q$5:$Q$1204,TRANSACTIONS_MASTER!$G$5:$G$1204,$U167,TRANSACTIONS_MASTER!$C$5:$C$1204,$C$2))</f>
        <v/>
      </c>
    </row>
    <row r="168">
      <c r="A168" s="81" t="str">
        <f>IF($Q168="","",161)</f>
        <v/>
      </c>
      <c r="B168" s="57" t="str">
        <f>IF($Q168="","",INDEX(TRANSACTIONS_MASTER!$B$5:$B$1204,$Q168))</f>
        <v/>
      </c>
      <c r="C168" s="55" t="str">
        <f>IF($Q168="","",INDEX(TRANSACTIONS_MASTER!$F$5:$F$1204,$Q168))</f>
        <v/>
      </c>
      <c r="D168" s="55" t="str">
        <f>IF($Q168="","",INDEX(TRANSACTIONS_MASTER!$E$5:$E$1204,$Q168))</f>
        <v/>
      </c>
      <c r="E168" s="55" t="str">
        <f>IF($Q168="","",INDEX(TRANSACTIONS_MASTER!$G$5:$G$1204,$Q168)&amp;"")</f>
        <v/>
      </c>
      <c r="F168" s="29" t="str">
        <f>IF($Q168="","",INDEX(TRANSACTIONS_MASTER!$I$5:$I$1204,$Q168))</f>
        <v/>
      </c>
      <c r="G168" s="55" t="str">
        <f>IF($Q168="","",INDEX(TRANSACTIONS_MASTER!$K$5:$K$1204,$Q168))</f>
        <v/>
      </c>
      <c r="H168" s="25" t="str">
        <f>IF($Q168="","",INDEX(TRANSACTIONS_MASTER!$L$5:$L$1204,$Q168))</f>
        <v/>
      </c>
      <c r="I168" s="56" t="str">
        <f>IF($Q168="","",INDEX(TRANSACTIONS_MASTER!$N$5:$N$1204,$Q168))</f>
        <v/>
      </c>
      <c r="J168" s="25" t="str">
        <f>IF($Q168="","",INDEX(TRANSACTIONS_MASTER!$O$5:$O$1204,$Q168))</f>
        <v/>
      </c>
      <c r="K168" s="26" t="str">
        <f>IF($Q168="","",INDEX(TRANSACTIONS_MASTER!$Q$5:$Q$1204,$Q168))</f>
        <v/>
      </c>
      <c r="L168" s="25" t="str">
        <f>IF($Q168="","",INDEX(TRANSACTIONS_MASTER!$P$5:$P$1204,$Q168))</f>
        <v/>
      </c>
      <c r="M168" s="25" t="str">
        <f>IF($Q168="","",INDEX(TRANSACTIONS_MASTER!$AA$5:$AA$1204,$Q168))</f>
        <v/>
      </c>
      <c r="N168" s="25" t="str">
        <f>IF($Q168="","",INDEX(TRANSACTIONS_MASTER!$R$5:$R$1204,$Q168))</f>
        <v/>
      </c>
      <c r="O168" s="28" t="str">
        <f>IF($Q168="","",INDEX(TRANSACTIONS_MASTER!$AB$5:$AB$1204,$Q168))</f>
        <v/>
      </c>
      <c r="P168" s="55" t="str">
        <f>IF($Q168="","",INDEX(TRANSACTIONS_MASTER!$Z$5:$Z$1204,$Q168)&amp;"")</f>
        <v/>
      </c>
      <c r="Q168" s="67" t="str">
        <f>IFERROR(MATCH($C$2&amp;"|"&amp;161,TRANSACTIONS_MASTER!$AE$5:$AE$1204,0),"")</f>
        <v/>
      </c>
      <c r="S168" s="67" t="str">
        <f>IFERROR(MATCH(1,INDEX((TRANSACTIONS_MASTER!$C$5:$C$1204=$C$2)*(TRANSACTIONS_MASTER!$AN$5:$AN$1204=10),0),0),"")</f>
        <v/>
      </c>
      <c r="T168" s="55" t="n"/>
      <c r="U168" s="55" t="str">
        <f>IF($S168="","",INDEX(TRANSACTIONS_MASTER!$G$5:$G$1204,$S168)&amp;"")</f>
        <v/>
      </c>
      <c r="V168" s="25" t="str">
        <f>IF($S168="","",SUMIFS(TRANSACTIONS_MASTER!$L$5:$L$1204,TRANSACTIONS_MASTER!$G$5:$G$1204,$U168,TRANSACTIONS_MASTER!$C$5:$C$1204,$C$2,TRANSACTIONS_MASTER!$U$5:$U$1204,"&lt;&gt;Cancelled"))</f>
        <v/>
      </c>
      <c r="W168" s="26" t="str">
        <f>IF($S168="","",SUMIFS(TRANSACTIONS_MASTER!$Q$5:$Q$1204,TRANSACTIONS_MASTER!$G$5:$G$1204,$U168,TRANSACTIONS_MASTER!$C$5:$C$1204,$C$2))</f>
        <v/>
      </c>
    </row>
    <row r="169">
      <c r="A169" s="81" t="str">
        <f>IF($Q169="","",162)</f>
        <v/>
      </c>
      <c r="B169" s="57" t="str">
        <f>IF($Q169="","",INDEX(TRANSACTIONS_MASTER!$B$5:$B$1204,$Q169))</f>
        <v/>
      </c>
      <c r="C169" s="55" t="str">
        <f>IF($Q169="","",INDEX(TRANSACTIONS_MASTER!$F$5:$F$1204,$Q169))</f>
        <v/>
      </c>
      <c r="D169" s="55" t="str">
        <f>IF($Q169="","",INDEX(TRANSACTIONS_MASTER!$E$5:$E$1204,$Q169))</f>
        <v/>
      </c>
      <c r="E169" s="55" t="str">
        <f>IF($Q169="","",INDEX(TRANSACTIONS_MASTER!$G$5:$G$1204,$Q169)&amp;"")</f>
        <v/>
      </c>
      <c r="F169" s="29" t="str">
        <f>IF($Q169="","",INDEX(TRANSACTIONS_MASTER!$I$5:$I$1204,$Q169))</f>
        <v/>
      </c>
      <c r="G169" s="55" t="str">
        <f>IF($Q169="","",INDEX(TRANSACTIONS_MASTER!$K$5:$K$1204,$Q169))</f>
        <v/>
      </c>
      <c r="H169" s="25" t="str">
        <f>IF($Q169="","",INDEX(TRANSACTIONS_MASTER!$L$5:$L$1204,$Q169))</f>
        <v/>
      </c>
      <c r="I169" s="56" t="str">
        <f>IF($Q169="","",INDEX(TRANSACTIONS_MASTER!$N$5:$N$1204,$Q169))</f>
        <v/>
      </c>
      <c r="J169" s="25" t="str">
        <f>IF($Q169="","",INDEX(TRANSACTIONS_MASTER!$O$5:$O$1204,$Q169))</f>
        <v/>
      </c>
      <c r="K169" s="26" t="str">
        <f>IF($Q169="","",INDEX(TRANSACTIONS_MASTER!$Q$5:$Q$1204,$Q169))</f>
        <v/>
      </c>
      <c r="L169" s="25" t="str">
        <f>IF($Q169="","",INDEX(TRANSACTIONS_MASTER!$P$5:$P$1204,$Q169))</f>
        <v/>
      </c>
      <c r="M169" s="25" t="str">
        <f>IF($Q169="","",INDEX(TRANSACTIONS_MASTER!$AA$5:$AA$1204,$Q169))</f>
        <v/>
      </c>
      <c r="N169" s="25" t="str">
        <f>IF($Q169="","",INDEX(TRANSACTIONS_MASTER!$R$5:$R$1204,$Q169))</f>
        <v/>
      </c>
      <c r="O169" s="28" t="str">
        <f>IF($Q169="","",INDEX(TRANSACTIONS_MASTER!$AB$5:$AB$1204,$Q169))</f>
        <v/>
      </c>
      <c r="P169" s="55" t="str">
        <f>IF($Q169="","",INDEX(TRANSACTIONS_MASTER!$Z$5:$Z$1204,$Q169)&amp;"")</f>
        <v/>
      </c>
      <c r="Q169" s="67" t="str">
        <f>IFERROR(MATCH($C$2&amp;"|"&amp;162,TRANSACTIONS_MASTER!$AE$5:$AE$1204,0),"")</f>
        <v/>
      </c>
      <c r="S169" s="67" t="str">
        <f>IFERROR(MATCH(1,INDEX((TRANSACTIONS_MASTER!$C$5:$C$1204=$C$2)*(TRANSACTIONS_MASTER!$AN$5:$AN$1204=11),0),0),"")</f>
        <v/>
      </c>
      <c r="T169" s="55" t="n"/>
      <c r="U169" s="55" t="str">
        <f>IF($S169="","",INDEX(TRANSACTIONS_MASTER!$G$5:$G$1204,$S169)&amp;"")</f>
        <v/>
      </c>
      <c r="V169" s="25" t="str">
        <f>IF($S169="","",SUMIFS(TRANSACTIONS_MASTER!$L$5:$L$1204,TRANSACTIONS_MASTER!$G$5:$G$1204,$U169,TRANSACTIONS_MASTER!$C$5:$C$1204,$C$2,TRANSACTIONS_MASTER!$U$5:$U$1204,"&lt;&gt;Cancelled"))</f>
        <v/>
      </c>
      <c r="W169" s="26" t="str">
        <f>IF($S169="","",SUMIFS(TRANSACTIONS_MASTER!$Q$5:$Q$1204,TRANSACTIONS_MASTER!$G$5:$G$1204,$U169,TRANSACTIONS_MASTER!$C$5:$C$1204,$C$2))</f>
        <v/>
      </c>
    </row>
    <row r="170">
      <c r="A170" s="81" t="str">
        <f>IF($Q170="","",163)</f>
        <v/>
      </c>
      <c r="B170" s="57" t="str">
        <f>IF($Q170="","",INDEX(TRANSACTIONS_MASTER!$B$5:$B$1204,$Q170))</f>
        <v/>
      </c>
      <c r="C170" s="55" t="str">
        <f>IF($Q170="","",INDEX(TRANSACTIONS_MASTER!$F$5:$F$1204,$Q170))</f>
        <v/>
      </c>
      <c r="D170" s="55" t="str">
        <f>IF($Q170="","",INDEX(TRANSACTIONS_MASTER!$E$5:$E$1204,$Q170))</f>
        <v/>
      </c>
      <c r="E170" s="55" t="str">
        <f>IF($Q170="","",INDEX(TRANSACTIONS_MASTER!$G$5:$G$1204,$Q170)&amp;"")</f>
        <v/>
      </c>
      <c r="F170" s="29" t="str">
        <f>IF($Q170="","",INDEX(TRANSACTIONS_MASTER!$I$5:$I$1204,$Q170))</f>
        <v/>
      </c>
      <c r="G170" s="55" t="str">
        <f>IF($Q170="","",INDEX(TRANSACTIONS_MASTER!$K$5:$K$1204,$Q170))</f>
        <v/>
      </c>
      <c r="H170" s="25" t="str">
        <f>IF($Q170="","",INDEX(TRANSACTIONS_MASTER!$L$5:$L$1204,$Q170))</f>
        <v/>
      </c>
      <c r="I170" s="56" t="str">
        <f>IF($Q170="","",INDEX(TRANSACTIONS_MASTER!$N$5:$N$1204,$Q170))</f>
        <v/>
      </c>
      <c r="J170" s="25" t="str">
        <f>IF($Q170="","",INDEX(TRANSACTIONS_MASTER!$O$5:$O$1204,$Q170))</f>
        <v/>
      </c>
      <c r="K170" s="26" t="str">
        <f>IF($Q170="","",INDEX(TRANSACTIONS_MASTER!$Q$5:$Q$1204,$Q170))</f>
        <v/>
      </c>
      <c r="L170" s="25" t="str">
        <f>IF($Q170="","",INDEX(TRANSACTIONS_MASTER!$P$5:$P$1204,$Q170))</f>
        <v/>
      </c>
      <c r="M170" s="25" t="str">
        <f>IF($Q170="","",INDEX(TRANSACTIONS_MASTER!$AA$5:$AA$1204,$Q170))</f>
        <v/>
      </c>
      <c r="N170" s="25" t="str">
        <f>IF($Q170="","",INDEX(TRANSACTIONS_MASTER!$R$5:$R$1204,$Q170))</f>
        <v/>
      </c>
      <c r="O170" s="28" t="str">
        <f>IF($Q170="","",INDEX(TRANSACTIONS_MASTER!$AB$5:$AB$1204,$Q170))</f>
        <v/>
      </c>
      <c r="P170" s="55" t="str">
        <f>IF($Q170="","",INDEX(TRANSACTIONS_MASTER!$Z$5:$Z$1204,$Q170)&amp;"")</f>
        <v/>
      </c>
      <c r="Q170" s="67" t="str">
        <f>IFERROR(MATCH($C$2&amp;"|"&amp;163,TRANSACTIONS_MASTER!$AE$5:$AE$1204,0),"")</f>
        <v/>
      </c>
      <c r="S170" s="67" t="str">
        <f>IFERROR(MATCH(1,INDEX((TRANSACTIONS_MASTER!$C$5:$C$1204=$C$2)*(TRANSACTIONS_MASTER!$AN$5:$AN$1204=12),0),0),"")</f>
        <v/>
      </c>
      <c r="T170" s="55" t="n"/>
      <c r="U170" s="55" t="str">
        <f>IF($S170="","",INDEX(TRANSACTIONS_MASTER!$G$5:$G$1204,$S170)&amp;"")</f>
        <v/>
      </c>
      <c r="V170" s="25" t="str">
        <f>IF($S170="","",SUMIFS(TRANSACTIONS_MASTER!$L$5:$L$1204,TRANSACTIONS_MASTER!$G$5:$G$1204,$U170,TRANSACTIONS_MASTER!$C$5:$C$1204,$C$2,TRANSACTIONS_MASTER!$U$5:$U$1204,"&lt;&gt;Cancelled"))</f>
        <v/>
      </c>
      <c r="W170" s="26" t="str">
        <f>IF($S170="","",SUMIFS(TRANSACTIONS_MASTER!$Q$5:$Q$1204,TRANSACTIONS_MASTER!$G$5:$G$1204,$U170,TRANSACTIONS_MASTER!$C$5:$C$1204,$C$2))</f>
        <v/>
      </c>
    </row>
    <row r="171">
      <c r="A171" s="81" t="str">
        <f>IF($Q171="","",164)</f>
        <v/>
      </c>
      <c r="B171" s="57" t="str">
        <f>IF($Q171="","",INDEX(TRANSACTIONS_MASTER!$B$5:$B$1204,$Q171))</f>
        <v/>
      </c>
      <c r="C171" s="55" t="str">
        <f>IF($Q171="","",INDEX(TRANSACTIONS_MASTER!$F$5:$F$1204,$Q171))</f>
        <v/>
      </c>
      <c r="D171" s="55" t="str">
        <f>IF($Q171="","",INDEX(TRANSACTIONS_MASTER!$E$5:$E$1204,$Q171))</f>
        <v/>
      </c>
      <c r="E171" s="55" t="str">
        <f>IF($Q171="","",INDEX(TRANSACTIONS_MASTER!$G$5:$G$1204,$Q171)&amp;"")</f>
        <v/>
      </c>
      <c r="F171" s="29" t="str">
        <f>IF($Q171="","",INDEX(TRANSACTIONS_MASTER!$I$5:$I$1204,$Q171))</f>
        <v/>
      </c>
      <c r="G171" s="55" t="str">
        <f>IF($Q171="","",INDEX(TRANSACTIONS_MASTER!$K$5:$K$1204,$Q171))</f>
        <v/>
      </c>
      <c r="H171" s="25" t="str">
        <f>IF($Q171="","",INDEX(TRANSACTIONS_MASTER!$L$5:$L$1204,$Q171))</f>
        <v/>
      </c>
      <c r="I171" s="56" t="str">
        <f>IF($Q171="","",INDEX(TRANSACTIONS_MASTER!$N$5:$N$1204,$Q171))</f>
        <v/>
      </c>
      <c r="J171" s="25" t="str">
        <f>IF($Q171="","",INDEX(TRANSACTIONS_MASTER!$O$5:$O$1204,$Q171))</f>
        <v/>
      </c>
      <c r="K171" s="26" t="str">
        <f>IF($Q171="","",INDEX(TRANSACTIONS_MASTER!$Q$5:$Q$1204,$Q171))</f>
        <v/>
      </c>
      <c r="L171" s="25" t="str">
        <f>IF($Q171="","",INDEX(TRANSACTIONS_MASTER!$P$5:$P$1204,$Q171))</f>
        <v/>
      </c>
      <c r="M171" s="25" t="str">
        <f>IF($Q171="","",INDEX(TRANSACTIONS_MASTER!$AA$5:$AA$1204,$Q171))</f>
        <v/>
      </c>
      <c r="N171" s="25" t="str">
        <f>IF($Q171="","",INDEX(TRANSACTIONS_MASTER!$R$5:$R$1204,$Q171))</f>
        <v/>
      </c>
      <c r="O171" s="28" t="str">
        <f>IF($Q171="","",INDEX(TRANSACTIONS_MASTER!$AB$5:$AB$1204,$Q171))</f>
        <v/>
      </c>
      <c r="P171" s="55" t="str">
        <f>IF($Q171="","",INDEX(TRANSACTIONS_MASTER!$Z$5:$Z$1204,$Q171)&amp;"")</f>
        <v/>
      </c>
      <c r="Q171" s="67" t="str">
        <f>IFERROR(MATCH($C$2&amp;"|"&amp;164,TRANSACTIONS_MASTER!$AE$5:$AE$1204,0),"")</f>
        <v/>
      </c>
      <c r="S171" s="67" t="str">
        <f>IFERROR(MATCH(1,INDEX((TRANSACTIONS_MASTER!$C$5:$C$1204=$C$2)*(TRANSACTIONS_MASTER!$AN$5:$AN$1204=13),0),0),"")</f>
        <v/>
      </c>
      <c r="T171" s="55" t="n"/>
      <c r="U171" s="55" t="str">
        <f>IF($S171="","",INDEX(TRANSACTIONS_MASTER!$G$5:$G$1204,$S171)&amp;"")</f>
        <v/>
      </c>
      <c r="V171" s="25" t="str">
        <f>IF($S171="","",SUMIFS(TRANSACTIONS_MASTER!$L$5:$L$1204,TRANSACTIONS_MASTER!$G$5:$G$1204,$U171,TRANSACTIONS_MASTER!$C$5:$C$1204,$C$2,TRANSACTIONS_MASTER!$U$5:$U$1204,"&lt;&gt;Cancelled"))</f>
        <v/>
      </c>
      <c r="W171" s="26" t="str">
        <f>IF($S171="","",SUMIFS(TRANSACTIONS_MASTER!$Q$5:$Q$1204,TRANSACTIONS_MASTER!$G$5:$G$1204,$U171,TRANSACTIONS_MASTER!$C$5:$C$1204,$C$2))</f>
        <v/>
      </c>
    </row>
    <row r="172">
      <c r="A172" s="81" t="str">
        <f>IF($Q172="","",165)</f>
        <v/>
      </c>
      <c r="B172" s="57" t="str">
        <f>IF($Q172="","",INDEX(TRANSACTIONS_MASTER!$B$5:$B$1204,$Q172))</f>
        <v/>
      </c>
      <c r="C172" s="55" t="str">
        <f>IF($Q172="","",INDEX(TRANSACTIONS_MASTER!$F$5:$F$1204,$Q172))</f>
        <v/>
      </c>
      <c r="D172" s="55" t="str">
        <f>IF($Q172="","",INDEX(TRANSACTIONS_MASTER!$E$5:$E$1204,$Q172))</f>
        <v/>
      </c>
      <c r="E172" s="55" t="str">
        <f>IF($Q172="","",INDEX(TRANSACTIONS_MASTER!$G$5:$G$1204,$Q172)&amp;"")</f>
        <v/>
      </c>
      <c r="F172" s="29" t="str">
        <f>IF($Q172="","",INDEX(TRANSACTIONS_MASTER!$I$5:$I$1204,$Q172))</f>
        <v/>
      </c>
      <c r="G172" s="55" t="str">
        <f>IF($Q172="","",INDEX(TRANSACTIONS_MASTER!$K$5:$K$1204,$Q172))</f>
        <v/>
      </c>
      <c r="H172" s="25" t="str">
        <f>IF($Q172="","",INDEX(TRANSACTIONS_MASTER!$L$5:$L$1204,$Q172))</f>
        <v/>
      </c>
      <c r="I172" s="56" t="str">
        <f>IF($Q172="","",INDEX(TRANSACTIONS_MASTER!$N$5:$N$1204,$Q172))</f>
        <v/>
      </c>
      <c r="J172" s="25" t="str">
        <f>IF($Q172="","",INDEX(TRANSACTIONS_MASTER!$O$5:$O$1204,$Q172))</f>
        <v/>
      </c>
      <c r="K172" s="26" t="str">
        <f>IF($Q172="","",INDEX(TRANSACTIONS_MASTER!$Q$5:$Q$1204,$Q172))</f>
        <v/>
      </c>
      <c r="L172" s="25" t="str">
        <f>IF($Q172="","",INDEX(TRANSACTIONS_MASTER!$P$5:$P$1204,$Q172))</f>
        <v/>
      </c>
      <c r="M172" s="25" t="str">
        <f>IF($Q172="","",INDEX(TRANSACTIONS_MASTER!$AA$5:$AA$1204,$Q172))</f>
        <v/>
      </c>
      <c r="N172" s="25" t="str">
        <f>IF($Q172="","",INDEX(TRANSACTIONS_MASTER!$R$5:$R$1204,$Q172))</f>
        <v/>
      </c>
      <c r="O172" s="28" t="str">
        <f>IF($Q172="","",INDEX(TRANSACTIONS_MASTER!$AB$5:$AB$1204,$Q172))</f>
        <v/>
      </c>
      <c r="P172" s="55" t="str">
        <f>IF($Q172="","",INDEX(TRANSACTIONS_MASTER!$Z$5:$Z$1204,$Q172)&amp;"")</f>
        <v/>
      </c>
      <c r="Q172" s="67" t="str">
        <f>IFERROR(MATCH($C$2&amp;"|"&amp;165,TRANSACTIONS_MASTER!$AE$5:$AE$1204,0),"")</f>
        <v/>
      </c>
      <c r="S172" s="67" t="str">
        <f>IFERROR(MATCH(1,INDEX((TRANSACTIONS_MASTER!$C$5:$C$1204=$C$2)*(TRANSACTIONS_MASTER!$AN$5:$AN$1204=14),0),0),"")</f>
        <v/>
      </c>
      <c r="T172" s="55" t="n"/>
      <c r="U172" s="55" t="str">
        <f>IF($S172="","",INDEX(TRANSACTIONS_MASTER!$G$5:$G$1204,$S172)&amp;"")</f>
        <v/>
      </c>
      <c r="V172" s="25" t="str">
        <f>IF($S172="","",SUMIFS(TRANSACTIONS_MASTER!$L$5:$L$1204,TRANSACTIONS_MASTER!$G$5:$G$1204,$U172,TRANSACTIONS_MASTER!$C$5:$C$1204,$C$2,TRANSACTIONS_MASTER!$U$5:$U$1204,"&lt;&gt;Cancelled"))</f>
        <v/>
      </c>
      <c r="W172" s="26" t="str">
        <f>IF($S172="","",SUMIFS(TRANSACTIONS_MASTER!$Q$5:$Q$1204,TRANSACTIONS_MASTER!$G$5:$G$1204,$U172,TRANSACTIONS_MASTER!$C$5:$C$1204,$C$2))</f>
        <v/>
      </c>
    </row>
    <row r="173">
      <c r="A173" s="81" t="str">
        <f>IF($Q173="","",166)</f>
        <v/>
      </c>
      <c r="B173" s="57" t="str">
        <f>IF($Q173="","",INDEX(TRANSACTIONS_MASTER!$B$5:$B$1204,$Q173))</f>
        <v/>
      </c>
      <c r="C173" s="55" t="str">
        <f>IF($Q173="","",INDEX(TRANSACTIONS_MASTER!$F$5:$F$1204,$Q173))</f>
        <v/>
      </c>
      <c r="D173" s="55" t="str">
        <f>IF($Q173="","",INDEX(TRANSACTIONS_MASTER!$E$5:$E$1204,$Q173))</f>
        <v/>
      </c>
      <c r="E173" s="55" t="str">
        <f>IF($Q173="","",INDEX(TRANSACTIONS_MASTER!$G$5:$G$1204,$Q173)&amp;"")</f>
        <v/>
      </c>
      <c r="F173" s="29" t="str">
        <f>IF($Q173="","",INDEX(TRANSACTIONS_MASTER!$I$5:$I$1204,$Q173))</f>
        <v/>
      </c>
      <c r="G173" s="55" t="str">
        <f>IF($Q173="","",INDEX(TRANSACTIONS_MASTER!$K$5:$K$1204,$Q173))</f>
        <v/>
      </c>
      <c r="H173" s="25" t="str">
        <f>IF($Q173="","",INDEX(TRANSACTIONS_MASTER!$L$5:$L$1204,$Q173))</f>
        <v/>
      </c>
      <c r="I173" s="56" t="str">
        <f>IF($Q173="","",INDEX(TRANSACTIONS_MASTER!$N$5:$N$1204,$Q173))</f>
        <v/>
      </c>
      <c r="J173" s="25" t="str">
        <f>IF($Q173="","",INDEX(TRANSACTIONS_MASTER!$O$5:$O$1204,$Q173))</f>
        <v/>
      </c>
      <c r="K173" s="26" t="str">
        <f>IF($Q173="","",INDEX(TRANSACTIONS_MASTER!$Q$5:$Q$1204,$Q173))</f>
        <v/>
      </c>
      <c r="L173" s="25" t="str">
        <f>IF($Q173="","",INDEX(TRANSACTIONS_MASTER!$P$5:$P$1204,$Q173))</f>
        <v/>
      </c>
      <c r="M173" s="25" t="str">
        <f>IF($Q173="","",INDEX(TRANSACTIONS_MASTER!$AA$5:$AA$1204,$Q173))</f>
        <v/>
      </c>
      <c r="N173" s="25" t="str">
        <f>IF($Q173="","",INDEX(TRANSACTIONS_MASTER!$R$5:$R$1204,$Q173))</f>
        <v/>
      </c>
      <c r="O173" s="28" t="str">
        <f>IF($Q173="","",INDEX(TRANSACTIONS_MASTER!$AB$5:$AB$1204,$Q173))</f>
        <v/>
      </c>
      <c r="P173" s="55" t="str">
        <f>IF($Q173="","",INDEX(TRANSACTIONS_MASTER!$Z$5:$Z$1204,$Q173)&amp;"")</f>
        <v/>
      </c>
      <c r="Q173" s="67" t="str">
        <f>IFERROR(MATCH($C$2&amp;"|"&amp;166,TRANSACTIONS_MASTER!$AE$5:$AE$1204,0),"")</f>
        <v/>
      </c>
      <c r="S173" s="67" t="str">
        <f>IFERROR(MATCH(1,INDEX((TRANSACTIONS_MASTER!$C$5:$C$1204=$C$2)*(TRANSACTIONS_MASTER!$AN$5:$AN$1204=15),0),0),"")</f>
        <v/>
      </c>
      <c r="T173" s="55" t="n"/>
      <c r="U173" s="55" t="str">
        <f>IF($S173="","",INDEX(TRANSACTIONS_MASTER!$G$5:$G$1204,$S173)&amp;"")</f>
        <v/>
      </c>
      <c r="V173" s="25" t="str">
        <f>IF($S173="","",SUMIFS(TRANSACTIONS_MASTER!$L$5:$L$1204,TRANSACTIONS_MASTER!$G$5:$G$1204,$U173,TRANSACTIONS_MASTER!$C$5:$C$1204,$C$2,TRANSACTIONS_MASTER!$U$5:$U$1204,"&lt;&gt;Cancelled"))</f>
        <v/>
      </c>
      <c r="W173" s="26" t="str">
        <f>IF($S173="","",SUMIFS(TRANSACTIONS_MASTER!$Q$5:$Q$1204,TRANSACTIONS_MASTER!$G$5:$G$1204,$U173,TRANSACTIONS_MASTER!$C$5:$C$1204,$C$2))</f>
        <v/>
      </c>
    </row>
    <row r="174">
      <c r="A174" s="81" t="str">
        <f>IF($Q174="","",167)</f>
        <v/>
      </c>
      <c r="B174" s="57" t="str">
        <f>IF($Q174="","",INDEX(TRANSACTIONS_MASTER!$B$5:$B$1204,$Q174))</f>
        <v/>
      </c>
      <c r="C174" s="55" t="str">
        <f>IF($Q174="","",INDEX(TRANSACTIONS_MASTER!$F$5:$F$1204,$Q174))</f>
        <v/>
      </c>
      <c r="D174" s="55" t="str">
        <f>IF($Q174="","",INDEX(TRANSACTIONS_MASTER!$E$5:$E$1204,$Q174))</f>
        <v/>
      </c>
      <c r="E174" s="55" t="str">
        <f>IF($Q174="","",INDEX(TRANSACTIONS_MASTER!$G$5:$G$1204,$Q174)&amp;"")</f>
        <v/>
      </c>
      <c r="F174" s="29" t="str">
        <f>IF($Q174="","",INDEX(TRANSACTIONS_MASTER!$I$5:$I$1204,$Q174))</f>
        <v/>
      </c>
      <c r="G174" s="55" t="str">
        <f>IF($Q174="","",INDEX(TRANSACTIONS_MASTER!$K$5:$K$1204,$Q174))</f>
        <v/>
      </c>
      <c r="H174" s="25" t="str">
        <f>IF($Q174="","",INDEX(TRANSACTIONS_MASTER!$L$5:$L$1204,$Q174))</f>
        <v/>
      </c>
      <c r="I174" s="56" t="str">
        <f>IF($Q174="","",INDEX(TRANSACTIONS_MASTER!$N$5:$N$1204,$Q174))</f>
        <v/>
      </c>
      <c r="J174" s="25" t="str">
        <f>IF($Q174="","",INDEX(TRANSACTIONS_MASTER!$O$5:$O$1204,$Q174))</f>
        <v/>
      </c>
      <c r="K174" s="26" t="str">
        <f>IF($Q174="","",INDEX(TRANSACTIONS_MASTER!$Q$5:$Q$1204,$Q174))</f>
        <v/>
      </c>
      <c r="L174" s="25" t="str">
        <f>IF($Q174="","",INDEX(TRANSACTIONS_MASTER!$P$5:$P$1204,$Q174))</f>
        <v/>
      </c>
      <c r="M174" s="25" t="str">
        <f>IF($Q174="","",INDEX(TRANSACTIONS_MASTER!$AA$5:$AA$1204,$Q174))</f>
        <v/>
      </c>
      <c r="N174" s="25" t="str">
        <f>IF($Q174="","",INDEX(TRANSACTIONS_MASTER!$R$5:$R$1204,$Q174))</f>
        <v/>
      </c>
      <c r="O174" s="28" t="str">
        <f>IF($Q174="","",INDEX(TRANSACTIONS_MASTER!$AB$5:$AB$1204,$Q174))</f>
        <v/>
      </c>
      <c r="P174" s="55" t="str">
        <f>IF($Q174="","",INDEX(TRANSACTIONS_MASTER!$Z$5:$Z$1204,$Q174)&amp;"")</f>
        <v/>
      </c>
      <c r="Q174" s="67" t="str">
        <f>IFERROR(MATCH($C$2&amp;"|"&amp;167,TRANSACTIONS_MASTER!$AE$5:$AE$1204,0),"")</f>
        <v/>
      </c>
      <c r="S174" s="67" t="str">
        <f>IFERROR(MATCH(1,INDEX((TRANSACTIONS_MASTER!$C$5:$C$1204=$C$2)*(TRANSACTIONS_MASTER!$AN$5:$AN$1204=16),0),0),"")</f>
        <v/>
      </c>
      <c r="T174" s="55" t="n"/>
      <c r="U174" s="55" t="str">
        <f>IF($S174="","",INDEX(TRANSACTIONS_MASTER!$G$5:$G$1204,$S174)&amp;"")</f>
        <v/>
      </c>
      <c r="V174" s="25" t="str">
        <f>IF($S174="","",SUMIFS(TRANSACTIONS_MASTER!$L$5:$L$1204,TRANSACTIONS_MASTER!$G$5:$G$1204,$U174,TRANSACTIONS_MASTER!$C$5:$C$1204,$C$2,TRANSACTIONS_MASTER!$U$5:$U$1204,"&lt;&gt;Cancelled"))</f>
        <v/>
      </c>
      <c r="W174" s="26" t="str">
        <f>IF($S174="","",SUMIFS(TRANSACTIONS_MASTER!$Q$5:$Q$1204,TRANSACTIONS_MASTER!$G$5:$G$1204,$U174,TRANSACTIONS_MASTER!$C$5:$C$1204,$C$2))</f>
        <v/>
      </c>
    </row>
    <row r="175">
      <c r="A175" s="81" t="str">
        <f>IF($Q175="","",168)</f>
        <v/>
      </c>
      <c r="B175" s="57" t="str">
        <f>IF($Q175="","",INDEX(TRANSACTIONS_MASTER!$B$5:$B$1204,$Q175))</f>
        <v/>
      </c>
      <c r="C175" s="55" t="str">
        <f>IF($Q175="","",INDEX(TRANSACTIONS_MASTER!$F$5:$F$1204,$Q175))</f>
        <v/>
      </c>
      <c r="D175" s="55" t="str">
        <f>IF($Q175="","",INDEX(TRANSACTIONS_MASTER!$E$5:$E$1204,$Q175))</f>
        <v/>
      </c>
      <c r="E175" s="55" t="str">
        <f>IF($Q175="","",INDEX(TRANSACTIONS_MASTER!$G$5:$G$1204,$Q175)&amp;"")</f>
        <v/>
      </c>
      <c r="F175" s="29" t="str">
        <f>IF($Q175="","",INDEX(TRANSACTIONS_MASTER!$I$5:$I$1204,$Q175))</f>
        <v/>
      </c>
      <c r="G175" s="55" t="str">
        <f>IF($Q175="","",INDEX(TRANSACTIONS_MASTER!$K$5:$K$1204,$Q175))</f>
        <v/>
      </c>
      <c r="H175" s="25" t="str">
        <f>IF($Q175="","",INDEX(TRANSACTIONS_MASTER!$L$5:$L$1204,$Q175))</f>
        <v/>
      </c>
      <c r="I175" s="56" t="str">
        <f>IF($Q175="","",INDEX(TRANSACTIONS_MASTER!$N$5:$N$1204,$Q175))</f>
        <v/>
      </c>
      <c r="J175" s="25" t="str">
        <f>IF($Q175="","",INDEX(TRANSACTIONS_MASTER!$O$5:$O$1204,$Q175))</f>
        <v/>
      </c>
      <c r="K175" s="26" t="str">
        <f>IF($Q175="","",INDEX(TRANSACTIONS_MASTER!$Q$5:$Q$1204,$Q175))</f>
        <v/>
      </c>
      <c r="L175" s="25" t="str">
        <f>IF($Q175="","",INDEX(TRANSACTIONS_MASTER!$P$5:$P$1204,$Q175))</f>
        <v/>
      </c>
      <c r="M175" s="25" t="str">
        <f>IF($Q175="","",INDEX(TRANSACTIONS_MASTER!$AA$5:$AA$1204,$Q175))</f>
        <v/>
      </c>
      <c r="N175" s="25" t="str">
        <f>IF($Q175="","",INDEX(TRANSACTIONS_MASTER!$R$5:$R$1204,$Q175))</f>
        <v/>
      </c>
      <c r="O175" s="28" t="str">
        <f>IF($Q175="","",INDEX(TRANSACTIONS_MASTER!$AB$5:$AB$1204,$Q175))</f>
        <v/>
      </c>
      <c r="P175" s="55" t="str">
        <f>IF($Q175="","",INDEX(TRANSACTIONS_MASTER!$Z$5:$Z$1204,$Q175)&amp;"")</f>
        <v/>
      </c>
      <c r="Q175" s="67" t="str">
        <f>IFERROR(MATCH($C$2&amp;"|"&amp;168,TRANSACTIONS_MASTER!$AE$5:$AE$1204,0),"")</f>
        <v/>
      </c>
      <c r="S175" s="67" t="str">
        <f>IFERROR(MATCH(1,INDEX((TRANSACTIONS_MASTER!$C$5:$C$1204=$C$2)*(TRANSACTIONS_MASTER!$AN$5:$AN$1204=17),0),0),"")</f>
        <v/>
      </c>
      <c r="T175" s="55" t="n"/>
      <c r="U175" s="55" t="str">
        <f>IF($S175="","",INDEX(TRANSACTIONS_MASTER!$G$5:$G$1204,$S175)&amp;"")</f>
        <v/>
      </c>
      <c r="V175" s="25" t="str">
        <f>IF($S175="","",SUMIFS(TRANSACTIONS_MASTER!$L$5:$L$1204,TRANSACTIONS_MASTER!$G$5:$G$1204,$U175,TRANSACTIONS_MASTER!$C$5:$C$1204,$C$2,TRANSACTIONS_MASTER!$U$5:$U$1204,"&lt;&gt;Cancelled"))</f>
        <v/>
      </c>
      <c r="W175" s="26" t="str">
        <f>IF($S175="","",SUMIFS(TRANSACTIONS_MASTER!$Q$5:$Q$1204,TRANSACTIONS_MASTER!$G$5:$G$1204,$U175,TRANSACTIONS_MASTER!$C$5:$C$1204,$C$2))</f>
        <v/>
      </c>
    </row>
    <row r="176">
      <c r="A176" s="81" t="str">
        <f>IF($Q176="","",169)</f>
        <v/>
      </c>
      <c r="B176" s="57" t="str">
        <f>IF($Q176="","",INDEX(TRANSACTIONS_MASTER!$B$5:$B$1204,$Q176))</f>
        <v/>
      </c>
      <c r="C176" s="55" t="str">
        <f>IF($Q176="","",INDEX(TRANSACTIONS_MASTER!$F$5:$F$1204,$Q176))</f>
        <v/>
      </c>
      <c r="D176" s="55" t="str">
        <f>IF($Q176="","",INDEX(TRANSACTIONS_MASTER!$E$5:$E$1204,$Q176))</f>
        <v/>
      </c>
      <c r="E176" s="55" t="str">
        <f>IF($Q176="","",INDEX(TRANSACTIONS_MASTER!$G$5:$G$1204,$Q176)&amp;"")</f>
        <v/>
      </c>
      <c r="F176" s="29" t="str">
        <f>IF($Q176="","",INDEX(TRANSACTIONS_MASTER!$I$5:$I$1204,$Q176))</f>
        <v/>
      </c>
      <c r="G176" s="55" t="str">
        <f>IF($Q176="","",INDEX(TRANSACTIONS_MASTER!$K$5:$K$1204,$Q176))</f>
        <v/>
      </c>
      <c r="H176" s="25" t="str">
        <f>IF($Q176="","",INDEX(TRANSACTIONS_MASTER!$L$5:$L$1204,$Q176))</f>
        <v/>
      </c>
      <c r="I176" s="56" t="str">
        <f>IF($Q176="","",INDEX(TRANSACTIONS_MASTER!$N$5:$N$1204,$Q176))</f>
        <v/>
      </c>
      <c r="J176" s="25" t="str">
        <f>IF($Q176="","",INDEX(TRANSACTIONS_MASTER!$O$5:$O$1204,$Q176))</f>
        <v/>
      </c>
      <c r="K176" s="26" t="str">
        <f>IF($Q176="","",INDEX(TRANSACTIONS_MASTER!$Q$5:$Q$1204,$Q176))</f>
        <v/>
      </c>
      <c r="L176" s="25" t="str">
        <f>IF($Q176="","",INDEX(TRANSACTIONS_MASTER!$P$5:$P$1204,$Q176))</f>
        <v/>
      </c>
      <c r="M176" s="25" t="str">
        <f>IF($Q176="","",INDEX(TRANSACTIONS_MASTER!$AA$5:$AA$1204,$Q176))</f>
        <v/>
      </c>
      <c r="N176" s="25" t="str">
        <f>IF($Q176="","",INDEX(TRANSACTIONS_MASTER!$R$5:$R$1204,$Q176))</f>
        <v/>
      </c>
      <c r="O176" s="28" t="str">
        <f>IF($Q176="","",INDEX(TRANSACTIONS_MASTER!$AB$5:$AB$1204,$Q176))</f>
        <v/>
      </c>
      <c r="P176" s="55" t="str">
        <f>IF($Q176="","",INDEX(TRANSACTIONS_MASTER!$Z$5:$Z$1204,$Q176)&amp;"")</f>
        <v/>
      </c>
      <c r="Q176" s="67" t="str">
        <f>IFERROR(MATCH($C$2&amp;"|"&amp;169,TRANSACTIONS_MASTER!$AE$5:$AE$1204,0),"")</f>
        <v/>
      </c>
      <c r="S176" s="67" t="str">
        <f>IFERROR(MATCH(1,INDEX((TRANSACTIONS_MASTER!$C$5:$C$1204=$C$2)*(TRANSACTIONS_MASTER!$AN$5:$AN$1204=18),0),0),"")</f>
        <v/>
      </c>
      <c r="T176" s="55" t="n"/>
      <c r="U176" s="55" t="str">
        <f>IF($S176="","",INDEX(TRANSACTIONS_MASTER!$G$5:$G$1204,$S176)&amp;"")</f>
        <v/>
      </c>
      <c r="V176" s="25" t="str">
        <f>IF($S176="","",SUMIFS(TRANSACTIONS_MASTER!$L$5:$L$1204,TRANSACTIONS_MASTER!$G$5:$G$1204,$U176,TRANSACTIONS_MASTER!$C$5:$C$1204,$C$2,TRANSACTIONS_MASTER!$U$5:$U$1204,"&lt;&gt;Cancelled"))</f>
        <v/>
      </c>
      <c r="W176" s="26" t="str">
        <f>IF($S176="","",SUMIFS(TRANSACTIONS_MASTER!$Q$5:$Q$1204,TRANSACTIONS_MASTER!$G$5:$G$1204,$U176,TRANSACTIONS_MASTER!$C$5:$C$1204,$C$2))</f>
        <v/>
      </c>
    </row>
    <row r="177">
      <c r="A177" s="81" t="str">
        <f>IF($Q177="","",170)</f>
        <v/>
      </c>
      <c r="B177" s="57" t="str">
        <f>IF($Q177="","",INDEX(TRANSACTIONS_MASTER!$B$5:$B$1204,$Q177))</f>
        <v/>
      </c>
      <c r="C177" s="55" t="str">
        <f>IF($Q177="","",INDEX(TRANSACTIONS_MASTER!$F$5:$F$1204,$Q177))</f>
        <v/>
      </c>
      <c r="D177" s="55" t="str">
        <f>IF($Q177="","",INDEX(TRANSACTIONS_MASTER!$E$5:$E$1204,$Q177))</f>
        <v/>
      </c>
      <c r="E177" s="55" t="str">
        <f>IF($Q177="","",INDEX(TRANSACTIONS_MASTER!$G$5:$G$1204,$Q177)&amp;"")</f>
        <v/>
      </c>
      <c r="F177" s="29" t="str">
        <f>IF($Q177="","",INDEX(TRANSACTIONS_MASTER!$I$5:$I$1204,$Q177))</f>
        <v/>
      </c>
      <c r="G177" s="55" t="str">
        <f>IF($Q177="","",INDEX(TRANSACTIONS_MASTER!$K$5:$K$1204,$Q177))</f>
        <v/>
      </c>
      <c r="H177" s="25" t="str">
        <f>IF($Q177="","",INDEX(TRANSACTIONS_MASTER!$L$5:$L$1204,$Q177))</f>
        <v/>
      </c>
      <c r="I177" s="56" t="str">
        <f>IF($Q177="","",INDEX(TRANSACTIONS_MASTER!$N$5:$N$1204,$Q177))</f>
        <v/>
      </c>
      <c r="J177" s="25" t="str">
        <f>IF($Q177="","",INDEX(TRANSACTIONS_MASTER!$O$5:$O$1204,$Q177))</f>
        <v/>
      </c>
      <c r="K177" s="26" t="str">
        <f>IF($Q177="","",INDEX(TRANSACTIONS_MASTER!$Q$5:$Q$1204,$Q177))</f>
        <v/>
      </c>
      <c r="L177" s="25" t="str">
        <f>IF($Q177="","",INDEX(TRANSACTIONS_MASTER!$P$5:$P$1204,$Q177))</f>
        <v/>
      </c>
      <c r="M177" s="25" t="str">
        <f>IF($Q177="","",INDEX(TRANSACTIONS_MASTER!$AA$5:$AA$1204,$Q177))</f>
        <v/>
      </c>
      <c r="N177" s="25" t="str">
        <f>IF($Q177="","",INDEX(TRANSACTIONS_MASTER!$R$5:$R$1204,$Q177))</f>
        <v/>
      </c>
      <c r="O177" s="28" t="str">
        <f>IF($Q177="","",INDEX(TRANSACTIONS_MASTER!$AB$5:$AB$1204,$Q177))</f>
        <v/>
      </c>
      <c r="P177" s="55" t="str">
        <f>IF($Q177="","",INDEX(TRANSACTIONS_MASTER!$Z$5:$Z$1204,$Q177)&amp;"")</f>
        <v/>
      </c>
      <c r="Q177" s="67" t="str">
        <f>IFERROR(MATCH($C$2&amp;"|"&amp;170,TRANSACTIONS_MASTER!$AE$5:$AE$1204,0),"")</f>
        <v/>
      </c>
      <c r="S177" s="67" t="str">
        <f>IFERROR(MATCH(1,INDEX((TRANSACTIONS_MASTER!$C$5:$C$1204=$C$2)*(TRANSACTIONS_MASTER!$AN$5:$AN$1204=19),0),0),"")</f>
        <v/>
      </c>
      <c r="T177" s="55" t="n"/>
      <c r="U177" s="55" t="str">
        <f>IF($S177="","",INDEX(TRANSACTIONS_MASTER!$G$5:$G$1204,$S177)&amp;"")</f>
        <v/>
      </c>
      <c r="V177" s="25" t="str">
        <f>IF($S177="","",SUMIFS(TRANSACTIONS_MASTER!$L$5:$L$1204,TRANSACTIONS_MASTER!$G$5:$G$1204,$U177,TRANSACTIONS_MASTER!$C$5:$C$1204,$C$2,TRANSACTIONS_MASTER!$U$5:$U$1204,"&lt;&gt;Cancelled"))</f>
        <v/>
      </c>
      <c r="W177" s="26" t="str">
        <f>IF($S177="","",SUMIFS(TRANSACTIONS_MASTER!$Q$5:$Q$1204,TRANSACTIONS_MASTER!$G$5:$G$1204,$U177,TRANSACTIONS_MASTER!$C$5:$C$1204,$C$2))</f>
        <v/>
      </c>
    </row>
    <row r="178">
      <c r="A178" s="81" t="str">
        <f>IF($Q178="","",171)</f>
        <v/>
      </c>
      <c r="B178" s="57" t="str">
        <f>IF($Q178="","",INDEX(TRANSACTIONS_MASTER!$B$5:$B$1204,$Q178))</f>
        <v/>
      </c>
      <c r="C178" s="55" t="str">
        <f>IF($Q178="","",INDEX(TRANSACTIONS_MASTER!$F$5:$F$1204,$Q178))</f>
        <v/>
      </c>
      <c r="D178" s="55" t="str">
        <f>IF($Q178="","",INDEX(TRANSACTIONS_MASTER!$E$5:$E$1204,$Q178))</f>
        <v/>
      </c>
      <c r="E178" s="55" t="str">
        <f>IF($Q178="","",INDEX(TRANSACTIONS_MASTER!$G$5:$G$1204,$Q178)&amp;"")</f>
        <v/>
      </c>
      <c r="F178" s="29" t="str">
        <f>IF($Q178="","",INDEX(TRANSACTIONS_MASTER!$I$5:$I$1204,$Q178))</f>
        <v/>
      </c>
      <c r="G178" s="55" t="str">
        <f>IF($Q178="","",INDEX(TRANSACTIONS_MASTER!$K$5:$K$1204,$Q178))</f>
        <v/>
      </c>
      <c r="H178" s="25" t="str">
        <f>IF($Q178="","",INDEX(TRANSACTIONS_MASTER!$L$5:$L$1204,$Q178))</f>
        <v/>
      </c>
      <c r="I178" s="56" t="str">
        <f>IF($Q178="","",INDEX(TRANSACTIONS_MASTER!$N$5:$N$1204,$Q178))</f>
        <v/>
      </c>
      <c r="J178" s="25" t="str">
        <f>IF($Q178="","",INDEX(TRANSACTIONS_MASTER!$O$5:$O$1204,$Q178))</f>
        <v/>
      </c>
      <c r="K178" s="26" t="str">
        <f>IF($Q178="","",INDEX(TRANSACTIONS_MASTER!$Q$5:$Q$1204,$Q178))</f>
        <v/>
      </c>
      <c r="L178" s="25" t="str">
        <f>IF($Q178="","",INDEX(TRANSACTIONS_MASTER!$P$5:$P$1204,$Q178))</f>
        <v/>
      </c>
      <c r="M178" s="25" t="str">
        <f>IF($Q178="","",INDEX(TRANSACTIONS_MASTER!$AA$5:$AA$1204,$Q178))</f>
        <v/>
      </c>
      <c r="N178" s="25" t="str">
        <f>IF($Q178="","",INDEX(TRANSACTIONS_MASTER!$R$5:$R$1204,$Q178))</f>
        <v/>
      </c>
      <c r="O178" s="28" t="str">
        <f>IF($Q178="","",INDEX(TRANSACTIONS_MASTER!$AB$5:$AB$1204,$Q178))</f>
        <v/>
      </c>
      <c r="P178" s="55" t="str">
        <f>IF($Q178="","",INDEX(TRANSACTIONS_MASTER!$Z$5:$Z$1204,$Q178)&amp;"")</f>
        <v/>
      </c>
      <c r="Q178" s="67" t="str">
        <f>IFERROR(MATCH($C$2&amp;"|"&amp;171,TRANSACTIONS_MASTER!$AE$5:$AE$1204,0),"")</f>
        <v/>
      </c>
      <c r="S178" s="67" t="str">
        <f>IFERROR(MATCH(1,INDEX((TRANSACTIONS_MASTER!$C$5:$C$1204=$C$2)*(TRANSACTIONS_MASTER!$AN$5:$AN$1204=20),0),0),"")</f>
        <v/>
      </c>
      <c r="T178" s="55" t="n"/>
      <c r="U178" s="55" t="str">
        <f>IF($S178="","",INDEX(TRANSACTIONS_MASTER!$G$5:$G$1204,$S178)&amp;"")</f>
        <v/>
      </c>
      <c r="V178" s="25" t="str">
        <f>IF($S178="","",SUMIFS(TRANSACTIONS_MASTER!$L$5:$L$1204,TRANSACTIONS_MASTER!$G$5:$G$1204,$U178,TRANSACTIONS_MASTER!$C$5:$C$1204,$C$2,TRANSACTIONS_MASTER!$U$5:$U$1204,"&lt;&gt;Cancelled"))</f>
        <v/>
      </c>
      <c r="W178" s="26" t="str">
        <f>IF($S178="","",SUMIFS(TRANSACTIONS_MASTER!$Q$5:$Q$1204,TRANSACTIONS_MASTER!$G$5:$G$1204,$U178,TRANSACTIONS_MASTER!$C$5:$C$1204,$C$2))</f>
        <v/>
      </c>
    </row>
    <row r="179">
      <c r="A179" s="81" t="str">
        <f>IF($Q179="","",172)</f>
        <v/>
      </c>
      <c r="B179" s="57" t="str">
        <f>IF($Q179="","",INDEX(TRANSACTIONS_MASTER!$B$5:$B$1204,$Q179))</f>
        <v/>
      </c>
      <c r="C179" s="55" t="str">
        <f>IF($Q179="","",INDEX(TRANSACTIONS_MASTER!$F$5:$F$1204,$Q179))</f>
        <v/>
      </c>
      <c r="D179" s="55" t="str">
        <f>IF($Q179="","",INDEX(TRANSACTIONS_MASTER!$E$5:$E$1204,$Q179))</f>
        <v/>
      </c>
      <c r="E179" s="55" t="str">
        <f>IF($Q179="","",INDEX(TRANSACTIONS_MASTER!$G$5:$G$1204,$Q179)&amp;"")</f>
        <v/>
      </c>
      <c r="F179" s="29" t="str">
        <f>IF($Q179="","",INDEX(TRANSACTIONS_MASTER!$I$5:$I$1204,$Q179))</f>
        <v/>
      </c>
      <c r="G179" s="55" t="str">
        <f>IF($Q179="","",INDEX(TRANSACTIONS_MASTER!$K$5:$K$1204,$Q179))</f>
        <v/>
      </c>
      <c r="H179" s="25" t="str">
        <f>IF($Q179="","",INDEX(TRANSACTIONS_MASTER!$L$5:$L$1204,$Q179))</f>
        <v/>
      </c>
      <c r="I179" s="56" t="str">
        <f>IF($Q179="","",INDEX(TRANSACTIONS_MASTER!$N$5:$N$1204,$Q179))</f>
        <v/>
      </c>
      <c r="J179" s="25" t="str">
        <f>IF($Q179="","",INDEX(TRANSACTIONS_MASTER!$O$5:$O$1204,$Q179))</f>
        <v/>
      </c>
      <c r="K179" s="26" t="str">
        <f>IF($Q179="","",INDEX(TRANSACTIONS_MASTER!$Q$5:$Q$1204,$Q179))</f>
        <v/>
      </c>
      <c r="L179" s="25" t="str">
        <f>IF($Q179="","",INDEX(TRANSACTIONS_MASTER!$P$5:$P$1204,$Q179))</f>
        <v/>
      </c>
      <c r="M179" s="25" t="str">
        <f>IF($Q179="","",INDEX(TRANSACTIONS_MASTER!$AA$5:$AA$1204,$Q179))</f>
        <v/>
      </c>
      <c r="N179" s="25" t="str">
        <f>IF($Q179="","",INDEX(TRANSACTIONS_MASTER!$R$5:$R$1204,$Q179))</f>
        <v/>
      </c>
      <c r="O179" s="28" t="str">
        <f>IF($Q179="","",INDEX(TRANSACTIONS_MASTER!$AB$5:$AB$1204,$Q179))</f>
        <v/>
      </c>
      <c r="P179" s="55" t="str">
        <f>IF($Q179="","",INDEX(TRANSACTIONS_MASTER!$Z$5:$Z$1204,$Q179)&amp;"")</f>
        <v/>
      </c>
      <c r="Q179" s="67" t="str">
        <f>IFERROR(MATCH($C$2&amp;"|"&amp;172,TRANSACTIONS_MASTER!$AE$5:$AE$1204,0),"")</f>
        <v/>
      </c>
      <c r="T179" s="45" t="n"/>
      <c r="U179" s="82" t="inlineStr">
        <is>
          <t>Khác (ngoài danh sách)</t>
        </is>
      </c>
      <c r="V179" s="48">
        <f>MAX(0,SUMIFS(TRANSACTIONS_MASTER!$L$5:$L$1204,TRANSACTIONS_MASTER!$C$5:$C$1204,$C$2,TRANSACTIONS_MASTER!$U$5:$U$1204,"&lt;&gt;Cancelled")-SUM(V159:V178))</f>
        <v>0</v>
      </c>
      <c r="W179" s="48">
        <f>MAX(0,SUMIFS(TRANSACTIONS_MASTER!$Q$5:$Q$1204,TRANSACTIONS_MASTER!$C$5:$C$1204,$C$2)-SUM(W159:W178))</f>
        <v>0</v>
      </c>
    </row>
    <row r="180">
      <c r="A180" s="81" t="str">
        <f>IF($Q180="","",173)</f>
        <v/>
      </c>
      <c r="B180" s="57" t="str">
        <f>IF($Q180="","",INDEX(TRANSACTIONS_MASTER!$B$5:$B$1204,$Q180))</f>
        <v/>
      </c>
      <c r="C180" s="55" t="str">
        <f>IF($Q180="","",INDEX(TRANSACTIONS_MASTER!$F$5:$F$1204,$Q180))</f>
        <v/>
      </c>
      <c r="D180" s="55" t="str">
        <f>IF($Q180="","",INDEX(TRANSACTIONS_MASTER!$E$5:$E$1204,$Q180))</f>
        <v/>
      </c>
      <c r="E180" s="55" t="str">
        <f>IF($Q180="","",INDEX(TRANSACTIONS_MASTER!$G$5:$G$1204,$Q180)&amp;"")</f>
        <v/>
      </c>
      <c r="F180" s="29" t="str">
        <f>IF($Q180="","",INDEX(TRANSACTIONS_MASTER!$I$5:$I$1204,$Q180))</f>
        <v/>
      </c>
      <c r="G180" s="55" t="str">
        <f>IF($Q180="","",INDEX(TRANSACTIONS_MASTER!$K$5:$K$1204,$Q180))</f>
        <v/>
      </c>
      <c r="H180" s="25" t="str">
        <f>IF($Q180="","",INDEX(TRANSACTIONS_MASTER!$L$5:$L$1204,$Q180))</f>
        <v/>
      </c>
      <c r="I180" s="56" t="str">
        <f>IF($Q180="","",INDEX(TRANSACTIONS_MASTER!$N$5:$N$1204,$Q180))</f>
        <v/>
      </c>
      <c r="J180" s="25" t="str">
        <f>IF($Q180="","",INDEX(TRANSACTIONS_MASTER!$O$5:$O$1204,$Q180))</f>
        <v/>
      </c>
      <c r="K180" s="26" t="str">
        <f>IF($Q180="","",INDEX(TRANSACTIONS_MASTER!$Q$5:$Q$1204,$Q180))</f>
        <v/>
      </c>
      <c r="L180" s="25" t="str">
        <f>IF($Q180="","",INDEX(TRANSACTIONS_MASTER!$P$5:$P$1204,$Q180))</f>
        <v/>
      </c>
      <c r="M180" s="25" t="str">
        <f>IF($Q180="","",INDEX(TRANSACTIONS_MASTER!$AA$5:$AA$1204,$Q180))</f>
        <v/>
      </c>
      <c r="N180" s="25" t="str">
        <f>IF($Q180="","",INDEX(TRANSACTIONS_MASTER!$R$5:$R$1204,$Q180))</f>
        <v/>
      </c>
      <c r="O180" s="28" t="str">
        <f>IF($Q180="","",INDEX(TRANSACTIONS_MASTER!$AB$5:$AB$1204,$Q180))</f>
        <v/>
      </c>
      <c r="P180" s="55" t="str">
        <f>IF($Q180="","",INDEX(TRANSACTIONS_MASTER!$Z$5:$Z$1204,$Q180)&amp;"")</f>
        <v/>
      </c>
      <c r="Q180" s="67" t="str">
        <f>IFERROR(MATCH($C$2&amp;"|"&amp;173,TRANSACTIONS_MASTER!$AE$5:$AE$1204,0),"")</f>
        <v/>
      </c>
      <c r="T180" s="68" t="n"/>
      <c r="U180" s="69" t="inlineStr">
        <is>
          <t>TỔNG</t>
        </is>
      </c>
      <c r="V180" s="31">
        <f>SUM(V159:V179)</f>
        <v>0</v>
      </c>
      <c r="W180" s="31">
        <f>SUM(W159:W179)</f>
        <v>0</v>
      </c>
    </row>
    <row r="181">
      <c r="A181" s="81" t="str">
        <f>IF($Q181="","",174)</f>
        <v/>
      </c>
      <c r="B181" s="57" t="str">
        <f>IF($Q181="","",INDEX(TRANSACTIONS_MASTER!$B$5:$B$1204,$Q181))</f>
        <v/>
      </c>
      <c r="C181" s="55" t="str">
        <f>IF($Q181="","",INDEX(TRANSACTIONS_MASTER!$F$5:$F$1204,$Q181))</f>
        <v/>
      </c>
      <c r="D181" s="55" t="str">
        <f>IF($Q181="","",INDEX(TRANSACTIONS_MASTER!$E$5:$E$1204,$Q181))</f>
        <v/>
      </c>
      <c r="E181" s="55" t="str">
        <f>IF($Q181="","",INDEX(TRANSACTIONS_MASTER!$G$5:$G$1204,$Q181)&amp;"")</f>
        <v/>
      </c>
      <c r="F181" s="29" t="str">
        <f>IF($Q181="","",INDEX(TRANSACTIONS_MASTER!$I$5:$I$1204,$Q181))</f>
        <v/>
      </c>
      <c r="G181" s="55" t="str">
        <f>IF($Q181="","",INDEX(TRANSACTIONS_MASTER!$K$5:$K$1204,$Q181))</f>
        <v/>
      </c>
      <c r="H181" s="25" t="str">
        <f>IF($Q181="","",INDEX(TRANSACTIONS_MASTER!$L$5:$L$1204,$Q181))</f>
        <v/>
      </c>
      <c r="I181" s="56" t="str">
        <f>IF($Q181="","",INDEX(TRANSACTIONS_MASTER!$N$5:$N$1204,$Q181))</f>
        <v/>
      </c>
      <c r="J181" s="25" t="str">
        <f>IF($Q181="","",INDEX(TRANSACTIONS_MASTER!$O$5:$O$1204,$Q181))</f>
        <v/>
      </c>
      <c r="K181" s="26" t="str">
        <f>IF($Q181="","",INDEX(TRANSACTIONS_MASTER!$Q$5:$Q$1204,$Q181))</f>
        <v/>
      </c>
      <c r="L181" s="25" t="str">
        <f>IF($Q181="","",INDEX(TRANSACTIONS_MASTER!$P$5:$P$1204,$Q181))</f>
        <v/>
      </c>
      <c r="M181" s="25" t="str">
        <f>IF($Q181="","",INDEX(TRANSACTIONS_MASTER!$AA$5:$AA$1204,$Q181))</f>
        <v/>
      </c>
      <c r="N181" s="25" t="str">
        <f>IF($Q181="","",INDEX(TRANSACTIONS_MASTER!$R$5:$R$1204,$Q181))</f>
        <v/>
      </c>
      <c r="O181" s="28" t="str">
        <f>IF($Q181="","",INDEX(TRANSACTIONS_MASTER!$AB$5:$AB$1204,$Q181))</f>
        <v/>
      </c>
      <c r="P181" s="55" t="str">
        <f>IF($Q181="","",INDEX(TRANSACTIONS_MASTER!$Z$5:$Z$1204,$Q181)&amp;"")</f>
        <v/>
      </c>
      <c r="Q181" s="67" t="str">
        <f>IFERROR(MATCH($C$2&amp;"|"&amp;174,TRANSACTIONS_MASTER!$AE$5:$AE$1204,0),"")</f>
        <v/>
      </c>
    </row>
    <row r="182">
      <c r="A182" s="81" t="str">
        <f>IF($Q182="","",175)</f>
        <v/>
      </c>
      <c r="B182" s="57" t="str">
        <f>IF($Q182="","",INDEX(TRANSACTIONS_MASTER!$B$5:$B$1204,$Q182))</f>
        <v/>
      </c>
      <c r="C182" s="55" t="str">
        <f>IF($Q182="","",INDEX(TRANSACTIONS_MASTER!$F$5:$F$1204,$Q182))</f>
        <v/>
      </c>
      <c r="D182" s="55" t="str">
        <f>IF($Q182="","",INDEX(TRANSACTIONS_MASTER!$E$5:$E$1204,$Q182))</f>
        <v/>
      </c>
      <c r="E182" s="55" t="str">
        <f>IF($Q182="","",INDEX(TRANSACTIONS_MASTER!$G$5:$G$1204,$Q182)&amp;"")</f>
        <v/>
      </c>
      <c r="F182" s="29" t="str">
        <f>IF($Q182="","",INDEX(TRANSACTIONS_MASTER!$I$5:$I$1204,$Q182))</f>
        <v/>
      </c>
      <c r="G182" s="55" t="str">
        <f>IF($Q182="","",INDEX(TRANSACTIONS_MASTER!$K$5:$K$1204,$Q182))</f>
        <v/>
      </c>
      <c r="H182" s="25" t="str">
        <f>IF($Q182="","",INDEX(TRANSACTIONS_MASTER!$L$5:$L$1204,$Q182))</f>
        <v/>
      </c>
      <c r="I182" s="56" t="str">
        <f>IF($Q182="","",INDEX(TRANSACTIONS_MASTER!$N$5:$N$1204,$Q182))</f>
        <v/>
      </c>
      <c r="J182" s="25" t="str">
        <f>IF($Q182="","",INDEX(TRANSACTIONS_MASTER!$O$5:$O$1204,$Q182))</f>
        <v/>
      </c>
      <c r="K182" s="26" t="str">
        <f>IF($Q182="","",INDEX(TRANSACTIONS_MASTER!$Q$5:$Q$1204,$Q182))</f>
        <v/>
      </c>
      <c r="L182" s="25" t="str">
        <f>IF($Q182="","",INDEX(TRANSACTIONS_MASTER!$P$5:$P$1204,$Q182))</f>
        <v/>
      </c>
      <c r="M182" s="25" t="str">
        <f>IF($Q182="","",INDEX(TRANSACTIONS_MASTER!$AA$5:$AA$1204,$Q182))</f>
        <v/>
      </c>
      <c r="N182" s="25" t="str">
        <f>IF($Q182="","",INDEX(TRANSACTIONS_MASTER!$R$5:$R$1204,$Q182))</f>
        <v/>
      </c>
      <c r="O182" s="28" t="str">
        <f>IF($Q182="","",INDEX(TRANSACTIONS_MASTER!$AB$5:$AB$1204,$Q182))</f>
        <v/>
      </c>
      <c r="P182" s="55" t="str">
        <f>IF($Q182="","",INDEX(TRANSACTIONS_MASTER!$Z$5:$Z$1204,$Q182)&amp;"")</f>
        <v/>
      </c>
      <c r="Q182" s="67" t="str">
        <f>IFERROR(MATCH($C$2&amp;"|"&amp;175,TRANSACTIONS_MASTER!$AE$5:$AE$1204,0),"")</f>
        <v/>
      </c>
    </row>
    <row r="183">
      <c r="A183" s="81" t="str">
        <f>IF($Q183="","",176)</f>
        <v/>
      </c>
      <c r="B183" s="57" t="str">
        <f>IF($Q183="","",INDEX(TRANSACTIONS_MASTER!$B$5:$B$1204,$Q183))</f>
        <v/>
      </c>
      <c r="C183" s="55" t="str">
        <f>IF($Q183="","",INDEX(TRANSACTIONS_MASTER!$F$5:$F$1204,$Q183))</f>
        <v/>
      </c>
      <c r="D183" s="55" t="str">
        <f>IF($Q183="","",INDEX(TRANSACTIONS_MASTER!$E$5:$E$1204,$Q183))</f>
        <v/>
      </c>
      <c r="E183" s="55" t="str">
        <f>IF($Q183="","",INDEX(TRANSACTIONS_MASTER!$G$5:$G$1204,$Q183)&amp;"")</f>
        <v/>
      </c>
      <c r="F183" s="29" t="str">
        <f>IF($Q183="","",INDEX(TRANSACTIONS_MASTER!$I$5:$I$1204,$Q183))</f>
        <v/>
      </c>
      <c r="G183" s="55" t="str">
        <f>IF($Q183="","",INDEX(TRANSACTIONS_MASTER!$K$5:$K$1204,$Q183))</f>
        <v/>
      </c>
      <c r="H183" s="25" t="str">
        <f>IF($Q183="","",INDEX(TRANSACTIONS_MASTER!$L$5:$L$1204,$Q183))</f>
        <v/>
      </c>
      <c r="I183" s="56" t="str">
        <f>IF($Q183="","",INDEX(TRANSACTIONS_MASTER!$N$5:$N$1204,$Q183))</f>
        <v/>
      </c>
      <c r="J183" s="25" t="str">
        <f>IF($Q183="","",INDEX(TRANSACTIONS_MASTER!$O$5:$O$1204,$Q183))</f>
        <v/>
      </c>
      <c r="K183" s="26" t="str">
        <f>IF($Q183="","",INDEX(TRANSACTIONS_MASTER!$Q$5:$Q$1204,$Q183))</f>
        <v/>
      </c>
      <c r="L183" s="25" t="str">
        <f>IF($Q183="","",INDEX(TRANSACTIONS_MASTER!$P$5:$P$1204,$Q183))</f>
        <v/>
      </c>
      <c r="M183" s="25" t="str">
        <f>IF($Q183="","",INDEX(TRANSACTIONS_MASTER!$AA$5:$AA$1204,$Q183))</f>
        <v/>
      </c>
      <c r="N183" s="25" t="str">
        <f>IF($Q183="","",INDEX(TRANSACTIONS_MASTER!$R$5:$R$1204,$Q183))</f>
        <v/>
      </c>
      <c r="O183" s="28" t="str">
        <f>IF($Q183="","",INDEX(TRANSACTIONS_MASTER!$AB$5:$AB$1204,$Q183))</f>
        <v/>
      </c>
      <c r="P183" s="55" t="str">
        <f>IF($Q183="","",INDEX(TRANSACTIONS_MASTER!$Z$5:$Z$1204,$Q183)&amp;"")</f>
        <v/>
      </c>
      <c r="Q183" s="67" t="str">
        <f>IFERROR(MATCH($C$2&amp;"|"&amp;176,TRANSACTIONS_MASTER!$AE$5:$AE$1204,0),"")</f>
        <v/>
      </c>
    </row>
    <row r="184">
      <c r="A184" s="81" t="str">
        <f>IF($Q184="","",177)</f>
        <v/>
      </c>
      <c r="B184" s="57" t="str">
        <f>IF($Q184="","",INDEX(TRANSACTIONS_MASTER!$B$5:$B$1204,$Q184))</f>
        <v/>
      </c>
      <c r="C184" s="55" t="str">
        <f>IF($Q184="","",INDEX(TRANSACTIONS_MASTER!$F$5:$F$1204,$Q184))</f>
        <v/>
      </c>
      <c r="D184" s="55" t="str">
        <f>IF($Q184="","",INDEX(TRANSACTIONS_MASTER!$E$5:$E$1204,$Q184))</f>
        <v/>
      </c>
      <c r="E184" s="55" t="str">
        <f>IF($Q184="","",INDEX(TRANSACTIONS_MASTER!$G$5:$G$1204,$Q184)&amp;"")</f>
        <v/>
      </c>
      <c r="F184" s="29" t="str">
        <f>IF($Q184="","",INDEX(TRANSACTIONS_MASTER!$I$5:$I$1204,$Q184))</f>
        <v/>
      </c>
      <c r="G184" s="55" t="str">
        <f>IF($Q184="","",INDEX(TRANSACTIONS_MASTER!$K$5:$K$1204,$Q184))</f>
        <v/>
      </c>
      <c r="H184" s="25" t="str">
        <f>IF($Q184="","",INDEX(TRANSACTIONS_MASTER!$L$5:$L$1204,$Q184))</f>
        <v/>
      </c>
      <c r="I184" s="56" t="str">
        <f>IF($Q184="","",INDEX(TRANSACTIONS_MASTER!$N$5:$N$1204,$Q184))</f>
        <v/>
      </c>
      <c r="J184" s="25" t="str">
        <f>IF($Q184="","",INDEX(TRANSACTIONS_MASTER!$O$5:$O$1204,$Q184))</f>
        <v/>
      </c>
      <c r="K184" s="26" t="str">
        <f>IF($Q184="","",INDEX(TRANSACTIONS_MASTER!$Q$5:$Q$1204,$Q184))</f>
        <v/>
      </c>
      <c r="L184" s="25" t="str">
        <f>IF($Q184="","",INDEX(TRANSACTIONS_MASTER!$P$5:$P$1204,$Q184))</f>
        <v/>
      </c>
      <c r="M184" s="25" t="str">
        <f>IF($Q184="","",INDEX(TRANSACTIONS_MASTER!$AA$5:$AA$1204,$Q184))</f>
        <v/>
      </c>
      <c r="N184" s="25" t="str">
        <f>IF($Q184="","",INDEX(TRANSACTIONS_MASTER!$R$5:$R$1204,$Q184))</f>
        <v/>
      </c>
      <c r="O184" s="28" t="str">
        <f>IF($Q184="","",INDEX(TRANSACTIONS_MASTER!$AB$5:$AB$1204,$Q184))</f>
        <v/>
      </c>
      <c r="P184" s="55" t="str">
        <f>IF($Q184="","",INDEX(TRANSACTIONS_MASTER!$Z$5:$Z$1204,$Q184)&amp;"")</f>
        <v/>
      </c>
      <c r="Q184" s="67" t="str">
        <f>IFERROR(MATCH($C$2&amp;"|"&amp;177,TRANSACTIONS_MASTER!$AE$5:$AE$1204,0),"")</f>
        <v/>
      </c>
    </row>
    <row r="185">
      <c r="A185" s="81" t="str">
        <f>IF($Q185="","",178)</f>
        <v/>
      </c>
      <c r="B185" s="57" t="str">
        <f>IF($Q185="","",INDEX(TRANSACTIONS_MASTER!$B$5:$B$1204,$Q185))</f>
        <v/>
      </c>
      <c r="C185" s="55" t="str">
        <f>IF($Q185="","",INDEX(TRANSACTIONS_MASTER!$F$5:$F$1204,$Q185))</f>
        <v/>
      </c>
      <c r="D185" s="55" t="str">
        <f>IF($Q185="","",INDEX(TRANSACTIONS_MASTER!$E$5:$E$1204,$Q185))</f>
        <v/>
      </c>
      <c r="E185" s="55" t="str">
        <f>IF($Q185="","",INDEX(TRANSACTIONS_MASTER!$G$5:$G$1204,$Q185)&amp;"")</f>
        <v/>
      </c>
      <c r="F185" s="29" t="str">
        <f>IF($Q185="","",INDEX(TRANSACTIONS_MASTER!$I$5:$I$1204,$Q185))</f>
        <v/>
      </c>
      <c r="G185" s="55" t="str">
        <f>IF($Q185="","",INDEX(TRANSACTIONS_MASTER!$K$5:$K$1204,$Q185))</f>
        <v/>
      </c>
      <c r="H185" s="25" t="str">
        <f>IF($Q185="","",INDEX(TRANSACTIONS_MASTER!$L$5:$L$1204,$Q185))</f>
        <v/>
      </c>
      <c r="I185" s="56" t="str">
        <f>IF($Q185="","",INDEX(TRANSACTIONS_MASTER!$N$5:$N$1204,$Q185))</f>
        <v/>
      </c>
      <c r="J185" s="25" t="str">
        <f>IF($Q185="","",INDEX(TRANSACTIONS_MASTER!$O$5:$O$1204,$Q185))</f>
        <v/>
      </c>
      <c r="K185" s="26" t="str">
        <f>IF($Q185="","",INDEX(TRANSACTIONS_MASTER!$Q$5:$Q$1204,$Q185))</f>
        <v/>
      </c>
      <c r="L185" s="25" t="str">
        <f>IF($Q185="","",INDEX(TRANSACTIONS_MASTER!$P$5:$P$1204,$Q185))</f>
        <v/>
      </c>
      <c r="M185" s="25" t="str">
        <f>IF($Q185="","",INDEX(TRANSACTIONS_MASTER!$AA$5:$AA$1204,$Q185))</f>
        <v/>
      </c>
      <c r="N185" s="25" t="str">
        <f>IF($Q185="","",INDEX(TRANSACTIONS_MASTER!$R$5:$R$1204,$Q185))</f>
        <v/>
      </c>
      <c r="O185" s="28" t="str">
        <f>IF($Q185="","",INDEX(TRANSACTIONS_MASTER!$AB$5:$AB$1204,$Q185))</f>
        <v/>
      </c>
      <c r="P185" s="55" t="str">
        <f>IF($Q185="","",INDEX(TRANSACTIONS_MASTER!$Z$5:$Z$1204,$Q185)&amp;"")</f>
        <v/>
      </c>
      <c r="Q185" s="67" t="str">
        <f>IFERROR(MATCH($C$2&amp;"|"&amp;178,TRANSACTIONS_MASTER!$AE$5:$AE$1204,0),"")</f>
        <v/>
      </c>
    </row>
    <row r="186">
      <c r="A186" s="81" t="str">
        <f>IF($Q186="","",179)</f>
        <v/>
      </c>
      <c r="B186" s="57" t="str">
        <f>IF($Q186="","",INDEX(TRANSACTIONS_MASTER!$B$5:$B$1204,$Q186))</f>
        <v/>
      </c>
      <c r="C186" s="55" t="str">
        <f>IF($Q186="","",INDEX(TRANSACTIONS_MASTER!$F$5:$F$1204,$Q186))</f>
        <v/>
      </c>
      <c r="D186" s="55" t="str">
        <f>IF($Q186="","",INDEX(TRANSACTIONS_MASTER!$E$5:$E$1204,$Q186))</f>
        <v/>
      </c>
      <c r="E186" s="55" t="str">
        <f>IF($Q186="","",INDEX(TRANSACTIONS_MASTER!$G$5:$G$1204,$Q186)&amp;"")</f>
        <v/>
      </c>
      <c r="F186" s="29" t="str">
        <f>IF($Q186="","",INDEX(TRANSACTIONS_MASTER!$I$5:$I$1204,$Q186))</f>
        <v/>
      </c>
      <c r="G186" s="55" t="str">
        <f>IF($Q186="","",INDEX(TRANSACTIONS_MASTER!$K$5:$K$1204,$Q186))</f>
        <v/>
      </c>
      <c r="H186" s="25" t="str">
        <f>IF($Q186="","",INDEX(TRANSACTIONS_MASTER!$L$5:$L$1204,$Q186))</f>
        <v/>
      </c>
      <c r="I186" s="56" t="str">
        <f>IF($Q186="","",INDEX(TRANSACTIONS_MASTER!$N$5:$N$1204,$Q186))</f>
        <v/>
      </c>
      <c r="J186" s="25" t="str">
        <f>IF($Q186="","",INDEX(TRANSACTIONS_MASTER!$O$5:$O$1204,$Q186))</f>
        <v/>
      </c>
      <c r="K186" s="26" t="str">
        <f>IF($Q186="","",INDEX(TRANSACTIONS_MASTER!$Q$5:$Q$1204,$Q186))</f>
        <v/>
      </c>
      <c r="L186" s="25" t="str">
        <f>IF($Q186="","",INDEX(TRANSACTIONS_MASTER!$P$5:$P$1204,$Q186))</f>
        <v/>
      </c>
      <c r="M186" s="25" t="str">
        <f>IF($Q186="","",INDEX(TRANSACTIONS_MASTER!$AA$5:$AA$1204,$Q186))</f>
        <v/>
      </c>
      <c r="N186" s="25" t="str">
        <f>IF($Q186="","",INDEX(TRANSACTIONS_MASTER!$R$5:$R$1204,$Q186))</f>
        <v/>
      </c>
      <c r="O186" s="28" t="str">
        <f>IF($Q186="","",INDEX(TRANSACTIONS_MASTER!$AB$5:$AB$1204,$Q186))</f>
        <v/>
      </c>
      <c r="P186" s="55" t="str">
        <f>IF($Q186="","",INDEX(TRANSACTIONS_MASTER!$Z$5:$Z$1204,$Q186)&amp;"")</f>
        <v/>
      </c>
      <c r="Q186" s="67" t="str">
        <f>IFERROR(MATCH($C$2&amp;"|"&amp;179,TRANSACTIONS_MASTER!$AE$5:$AE$1204,0),"")</f>
        <v/>
      </c>
    </row>
    <row r="187">
      <c r="A187" s="81" t="str">
        <f>IF($Q187="","",180)</f>
        <v/>
      </c>
      <c r="B187" s="57" t="str">
        <f>IF($Q187="","",INDEX(TRANSACTIONS_MASTER!$B$5:$B$1204,$Q187))</f>
        <v/>
      </c>
      <c r="C187" s="55" t="str">
        <f>IF($Q187="","",INDEX(TRANSACTIONS_MASTER!$F$5:$F$1204,$Q187))</f>
        <v/>
      </c>
      <c r="D187" s="55" t="str">
        <f>IF($Q187="","",INDEX(TRANSACTIONS_MASTER!$E$5:$E$1204,$Q187))</f>
        <v/>
      </c>
      <c r="E187" s="55" t="str">
        <f>IF($Q187="","",INDEX(TRANSACTIONS_MASTER!$G$5:$G$1204,$Q187)&amp;"")</f>
        <v/>
      </c>
      <c r="F187" s="29" t="str">
        <f>IF($Q187="","",INDEX(TRANSACTIONS_MASTER!$I$5:$I$1204,$Q187))</f>
        <v/>
      </c>
      <c r="G187" s="55" t="str">
        <f>IF($Q187="","",INDEX(TRANSACTIONS_MASTER!$K$5:$K$1204,$Q187))</f>
        <v/>
      </c>
      <c r="H187" s="25" t="str">
        <f>IF($Q187="","",INDEX(TRANSACTIONS_MASTER!$L$5:$L$1204,$Q187))</f>
        <v/>
      </c>
      <c r="I187" s="56" t="str">
        <f>IF($Q187="","",INDEX(TRANSACTIONS_MASTER!$N$5:$N$1204,$Q187))</f>
        <v/>
      </c>
      <c r="J187" s="25" t="str">
        <f>IF($Q187="","",INDEX(TRANSACTIONS_MASTER!$O$5:$O$1204,$Q187))</f>
        <v/>
      </c>
      <c r="K187" s="26" t="str">
        <f>IF($Q187="","",INDEX(TRANSACTIONS_MASTER!$Q$5:$Q$1204,$Q187))</f>
        <v/>
      </c>
      <c r="L187" s="25" t="str">
        <f>IF($Q187="","",INDEX(TRANSACTIONS_MASTER!$P$5:$P$1204,$Q187))</f>
        <v/>
      </c>
      <c r="M187" s="25" t="str">
        <f>IF($Q187="","",INDEX(TRANSACTIONS_MASTER!$AA$5:$AA$1204,$Q187))</f>
        <v/>
      </c>
      <c r="N187" s="25" t="str">
        <f>IF($Q187="","",INDEX(TRANSACTIONS_MASTER!$R$5:$R$1204,$Q187))</f>
        <v/>
      </c>
      <c r="O187" s="28" t="str">
        <f>IF($Q187="","",INDEX(TRANSACTIONS_MASTER!$AB$5:$AB$1204,$Q187))</f>
        <v/>
      </c>
      <c r="P187" s="55" t="str">
        <f>IF($Q187="","",INDEX(TRANSACTIONS_MASTER!$Z$5:$Z$1204,$Q187)&amp;"")</f>
        <v/>
      </c>
      <c r="Q187" s="67" t="str">
        <f>IFERROR(MATCH($C$2&amp;"|"&amp;180,TRANSACTIONS_MASTER!$AE$5:$AE$1204,0),"")</f>
        <v/>
      </c>
    </row>
    <row r="188">
      <c r="A188" s="81" t="str">
        <f>IF($Q188="","",181)</f>
        <v/>
      </c>
      <c r="B188" s="57" t="str">
        <f>IF($Q188="","",INDEX(TRANSACTIONS_MASTER!$B$5:$B$1204,$Q188))</f>
        <v/>
      </c>
      <c r="C188" s="55" t="str">
        <f>IF($Q188="","",INDEX(TRANSACTIONS_MASTER!$F$5:$F$1204,$Q188))</f>
        <v/>
      </c>
      <c r="D188" s="55" t="str">
        <f>IF($Q188="","",INDEX(TRANSACTIONS_MASTER!$E$5:$E$1204,$Q188))</f>
        <v/>
      </c>
      <c r="E188" s="55" t="str">
        <f>IF($Q188="","",INDEX(TRANSACTIONS_MASTER!$G$5:$G$1204,$Q188)&amp;"")</f>
        <v/>
      </c>
      <c r="F188" s="29" t="str">
        <f>IF($Q188="","",INDEX(TRANSACTIONS_MASTER!$I$5:$I$1204,$Q188))</f>
        <v/>
      </c>
      <c r="G188" s="55" t="str">
        <f>IF($Q188="","",INDEX(TRANSACTIONS_MASTER!$K$5:$K$1204,$Q188))</f>
        <v/>
      </c>
      <c r="H188" s="25" t="str">
        <f>IF($Q188="","",INDEX(TRANSACTIONS_MASTER!$L$5:$L$1204,$Q188))</f>
        <v/>
      </c>
      <c r="I188" s="56" t="str">
        <f>IF($Q188="","",INDEX(TRANSACTIONS_MASTER!$N$5:$N$1204,$Q188))</f>
        <v/>
      </c>
      <c r="J188" s="25" t="str">
        <f>IF($Q188="","",INDEX(TRANSACTIONS_MASTER!$O$5:$O$1204,$Q188))</f>
        <v/>
      </c>
      <c r="K188" s="26" t="str">
        <f>IF($Q188="","",INDEX(TRANSACTIONS_MASTER!$Q$5:$Q$1204,$Q188))</f>
        <v/>
      </c>
      <c r="L188" s="25" t="str">
        <f>IF($Q188="","",INDEX(TRANSACTIONS_MASTER!$P$5:$P$1204,$Q188))</f>
        <v/>
      </c>
      <c r="M188" s="25" t="str">
        <f>IF($Q188="","",INDEX(TRANSACTIONS_MASTER!$AA$5:$AA$1204,$Q188))</f>
        <v/>
      </c>
      <c r="N188" s="25" t="str">
        <f>IF($Q188="","",INDEX(TRANSACTIONS_MASTER!$R$5:$R$1204,$Q188))</f>
        <v/>
      </c>
      <c r="O188" s="28" t="str">
        <f>IF($Q188="","",INDEX(TRANSACTIONS_MASTER!$AB$5:$AB$1204,$Q188))</f>
        <v/>
      </c>
      <c r="P188" s="55" t="str">
        <f>IF($Q188="","",INDEX(TRANSACTIONS_MASTER!$Z$5:$Z$1204,$Q188)&amp;"")</f>
        <v/>
      </c>
      <c r="Q188" s="67" t="str">
        <f>IFERROR(MATCH($C$2&amp;"|"&amp;181,TRANSACTIONS_MASTER!$AE$5:$AE$1204,0),"")</f>
        <v/>
      </c>
    </row>
    <row r="189">
      <c r="A189" s="81" t="str">
        <f>IF($Q189="","",182)</f>
        <v/>
      </c>
      <c r="B189" s="57" t="str">
        <f>IF($Q189="","",INDEX(TRANSACTIONS_MASTER!$B$5:$B$1204,$Q189))</f>
        <v/>
      </c>
      <c r="C189" s="55" t="str">
        <f>IF($Q189="","",INDEX(TRANSACTIONS_MASTER!$F$5:$F$1204,$Q189))</f>
        <v/>
      </c>
      <c r="D189" s="55" t="str">
        <f>IF($Q189="","",INDEX(TRANSACTIONS_MASTER!$E$5:$E$1204,$Q189))</f>
        <v/>
      </c>
      <c r="E189" s="55" t="str">
        <f>IF($Q189="","",INDEX(TRANSACTIONS_MASTER!$G$5:$G$1204,$Q189)&amp;"")</f>
        <v/>
      </c>
      <c r="F189" s="29" t="str">
        <f>IF($Q189="","",INDEX(TRANSACTIONS_MASTER!$I$5:$I$1204,$Q189))</f>
        <v/>
      </c>
      <c r="G189" s="55" t="str">
        <f>IF($Q189="","",INDEX(TRANSACTIONS_MASTER!$K$5:$K$1204,$Q189))</f>
        <v/>
      </c>
      <c r="H189" s="25" t="str">
        <f>IF($Q189="","",INDEX(TRANSACTIONS_MASTER!$L$5:$L$1204,$Q189))</f>
        <v/>
      </c>
      <c r="I189" s="56" t="str">
        <f>IF($Q189="","",INDEX(TRANSACTIONS_MASTER!$N$5:$N$1204,$Q189))</f>
        <v/>
      </c>
      <c r="J189" s="25" t="str">
        <f>IF($Q189="","",INDEX(TRANSACTIONS_MASTER!$O$5:$O$1204,$Q189))</f>
        <v/>
      </c>
      <c r="K189" s="26" t="str">
        <f>IF($Q189="","",INDEX(TRANSACTIONS_MASTER!$Q$5:$Q$1204,$Q189))</f>
        <v/>
      </c>
      <c r="L189" s="25" t="str">
        <f>IF($Q189="","",INDEX(TRANSACTIONS_MASTER!$P$5:$P$1204,$Q189))</f>
        <v/>
      </c>
      <c r="M189" s="25" t="str">
        <f>IF($Q189="","",INDEX(TRANSACTIONS_MASTER!$AA$5:$AA$1204,$Q189))</f>
        <v/>
      </c>
      <c r="N189" s="25" t="str">
        <f>IF($Q189="","",INDEX(TRANSACTIONS_MASTER!$R$5:$R$1204,$Q189))</f>
        <v/>
      </c>
      <c r="O189" s="28" t="str">
        <f>IF($Q189="","",INDEX(TRANSACTIONS_MASTER!$AB$5:$AB$1204,$Q189))</f>
        <v/>
      </c>
      <c r="P189" s="55" t="str">
        <f>IF($Q189="","",INDEX(TRANSACTIONS_MASTER!$Z$5:$Z$1204,$Q189)&amp;"")</f>
        <v/>
      </c>
      <c r="Q189" s="67" t="str">
        <f>IFERROR(MATCH($C$2&amp;"|"&amp;182,TRANSACTIONS_MASTER!$AE$5:$AE$1204,0),"")</f>
        <v/>
      </c>
    </row>
    <row r="190">
      <c r="A190" s="81" t="str">
        <f>IF($Q190="","",183)</f>
        <v/>
      </c>
      <c r="B190" s="57" t="str">
        <f>IF($Q190="","",INDEX(TRANSACTIONS_MASTER!$B$5:$B$1204,$Q190))</f>
        <v/>
      </c>
      <c r="C190" s="55" t="str">
        <f>IF($Q190="","",INDEX(TRANSACTIONS_MASTER!$F$5:$F$1204,$Q190))</f>
        <v/>
      </c>
      <c r="D190" s="55" t="str">
        <f>IF($Q190="","",INDEX(TRANSACTIONS_MASTER!$E$5:$E$1204,$Q190))</f>
        <v/>
      </c>
      <c r="E190" s="55" t="str">
        <f>IF($Q190="","",INDEX(TRANSACTIONS_MASTER!$G$5:$G$1204,$Q190)&amp;"")</f>
        <v/>
      </c>
      <c r="F190" s="29" t="str">
        <f>IF($Q190="","",INDEX(TRANSACTIONS_MASTER!$I$5:$I$1204,$Q190))</f>
        <v/>
      </c>
      <c r="G190" s="55" t="str">
        <f>IF($Q190="","",INDEX(TRANSACTIONS_MASTER!$K$5:$K$1204,$Q190))</f>
        <v/>
      </c>
      <c r="H190" s="25" t="str">
        <f>IF($Q190="","",INDEX(TRANSACTIONS_MASTER!$L$5:$L$1204,$Q190))</f>
        <v/>
      </c>
      <c r="I190" s="56" t="str">
        <f>IF($Q190="","",INDEX(TRANSACTIONS_MASTER!$N$5:$N$1204,$Q190))</f>
        <v/>
      </c>
      <c r="J190" s="25" t="str">
        <f>IF($Q190="","",INDEX(TRANSACTIONS_MASTER!$O$5:$O$1204,$Q190))</f>
        <v/>
      </c>
      <c r="K190" s="26" t="str">
        <f>IF($Q190="","",INDEX(TRANSACTIONS_MASTER!$Q$5:$Q$1204,$Q190))</f>
        <v/>
      </c>
      <c r="L190" s="25" t="str">
        <f>IF($Q190="","",INDEX(TRANSACTIONS_MASTER!$P$5:$P$1204,$Q190))</f>
        <v/>
      </c>
      <c r="M190" s="25" t="str">
        <f>IF($Q190="","",INDEX(TRANSACTIONS_MASTER!$AA$5:$AA$1204,$Q190))</f>
        <v/>
      </c>
      <c r="N190" s="25" t="str">
        <f>IF($Q190="","",INDEX(TRANSACTIONS_MASTER!$R$5:$R$1204,$Q190))</f>
        <v/>
      </c>
      <c r="O190" s="28" t="str">
        <f>IF($Q190="","",INDEX(TRANSACTIONS_MASTER!$AB$5:$AB$1204,$Q190))</f>
        <v/>
      </c>
      <c r="P190" s="55" t="str">
        <f>IF($Q190="","",INDEX(TRANSACTIONS_MASTER!$Z$5:$Z$1204,$Q190)&amp;"")</f>
        <v/>
      </c>
      <c r="Q190" s="67" t="str">
        <f>IFERROR(MATCH($C$2&amp;"|"&amp;183,TRANSACTIONS_MASTER!$AE$5:$AE$1204,0),"")</f>
        <v/>
      </c>
    </row>
    <row r="191">
      <c r="A191" s="81" t="str">
        <f>IF($Q191="","",184)</f>
        <v/>
      </c>
      <c r="B191" s="57" t="str">
        <f>IF($Q191="","",INDEX(TRANSACTIONS_MASTER!$B$5:$B$1204,$Q191))</f>
        <v/>
      </c>
      <c r="C191" s="55" t="str">
        <f>IF($Q191="","",INDEX(TRANSACTIONS_MASTER!$F$5:$F$1204,$Q191))</f>
        <v/>
      </c>
      <c r="D191" s="55" t="str">
        <f>IF($Q191="","",INDEX(TRANSACTIONS_MASTER!$E$5:$E$1204,$Q191))</f>
        <v/>
      </c>
      <c r="E191" s="55" t="str">
        <f>IF($Q191="","",INDEX(TRANSACTIONS_MASTER!$G$5:$G$1204,$Q191)&amp;"")</f>
        <v/>
      </c>
      <c r="F191" s="29" t="str">
        <f>IF($Q191="","",INDEX(TRANSACTIONS_MASTER!$I$5:$I$1204,$Q191))</f>
        <v/>
      </c>
      <c r="G191" s="55" t="str">
        <f>IF($Q191="","",INDEX(TRANSACTIONS_MASTER!$K$5:$K$1204,$Q191))</f>
        <v/>
      </c>
      <c r="H191" s="25" t="str">
        <f>IF($Q191="","",INDEX(TRANSACTIONS_MASTER!$L$5:$L$1204,$Q191))</f>
        <v/>
      </c>
      <c r="I191" s="56" t="str">
        <f>IF($Q191="","",INDEX(TRANSACTIONS_MASTER!$N$5:$N$1204,$Q191))</f>
        <v/>
      </c>
      <c r="J191" s="25" t="str">
        <f>IF($Q191="","",INDEX(TRANSACTIONS_MASTER!$O$5:$O$1204,$Q191))</f>
        <v/>
      </c>
      <c r="K191" s="26" t="str">
        <f>IF($Q191="","",INDEX(TRANSACTIONS_MASTER!$Q$5:$Q$1204,$Q191))</f>
        <v/>
      </c>
      <c r="L191" s="25" t="str">
        <f>IF($Q191="","",INDEX(TRANSACTIONS_MASTER!$P$5:$P$1204,$Q191))</f>
        <v/>
      </c>
      <c r="M191" s="25" t="str">
        <f>IF($Q191="","",INDEX(TRANSACTIONS_MASTER!$AA$5:$AA$1204,$Q191))</f>
        <v/>
      </c>
      <c r="N191" s="25" t="str">
        <f>IF($Q191="","",INDEX(TRANSACTIONS_MASTER!$R$5:$R$1204,$Q191))</f>
        <v/>
      </c>
      <c r="O191" s="28" t="str">
        <f>IF($Q191="","",INDEX(TRANSACTIONS_MASTER!$AB$5:$AB$1204,$Q191))</f>
        <v/>
      </c>
      <c r="P191" s="55" t="str">
        <f>IF($Q191="","",INDEX(TRANSACTIONS_MASTER!$Z$5:$Z$1204,$Q191)&amp;"")</f>
        <v/>
      </c>
      <c r="Q191" s="67" t="str">
        <f>IFERROR(MATCH($C$2&amp;"|"&amp;184,TRANSACTIONS_MASTER!$AE$5:$AE$1204,0),"")</f>
        <v/>
      </c>
    </row>
    <row r="192">
      <c r="A192" s="81" t="str">
        <f>IF($Q192="","",185)</f>
        <v/>
      </c>
      <c r="B192" s="57" t="str">
        <f>IF($Q192="","",INDEX(TRANSACTIONS_MASTER!$B$5:$B$1204,$Q192))</f>
        <v/>
      </c>
      <c r="C192" s="55" t="str">
        <f>IF($Q192="","",INDEX(TRANSACTIONS_MASTER!$F$5:$F$1204,$Q192))</f>
        <v/>
      </c>
      <c r="D192" s="55" t="str">
        <f>IF($Q192="","",INDEX(TRANSACTIONS_MASTER!$E$5:$E$1204,$Q192))</f>
        <v/>
      </c>
      <c r="E192" s="55" t="str">
        <f>IF($Q192="","",INDEX(TRANSACTIONS_MASTER!$G$5:$G$1204,$Q192)&amp;"")</f>
        <v/>
      </c>
      <c r="F192" s="29" t="str">
        <f>IF($Q192="","",INDEX(TRANSACTIONS_MASTER!$I$5:$I$1204,$Q192))</f>
        <v/>
      </c>
      <c r="G192" s="55" t="str">
        <f>IF($Q192="","",INDEX(TRANSACTIONS_MASTER!$K$5:$K$1204,$Q192))</f>
        <v/>
      </c>
      <c r="H192" s="25" t="str">
        <f>IF($Q192="","",INDEX(TRANSACTIONS_MASTER!$L$5:$L$1204,$Q192))</f>
        <v/>
      </c>
      <c r="I192" s="56" t="str">
        <f>IF($Q192="","",INDEX(TRANSACTIONS_MASTER!$N$5:$N$1204,$Q192))</f>
        <v/>
      </c>
      <c r="J192" s="25" t="str">
        <f>IF($Q192="","",INDEX(TRANSACTIONS_MASTER!$O$5:$O$1204,$Q192))</f>
        <v/>
      </c>
      <c r="K192" s="26" t="str">
        <f>IF($Q192="","",INDEX(TRANSACTIONS_MASTER!$Q$5:$Q$1204,$Q192))</f>
        <v/>
      </c>
      <c r="L192" s="25" t="str">
        <f>IF($Q192="","",INDEX(TRANSACTIONS_MASTER!$P$5:$P$1204,$Q192))</f>
        <v/>
      </c>
      <c r="M192" s="25" t="str">
        <f>IF($Q192="","",INDEX(TRANSACTIONS_MASTER!$AA$5:$AA$1204,$Q192))</f>
        <v/>
      </c>
      <c r="N192" s="25" t="str">
        <f>IF($Q192="","",INDEX(TRANSACTIONS_MASTER!$R$5:$R$1204,$Q192))</f>
        <v/>
      </c>
      <c r="O192" s="28" t="str">
        <f>IF($Q192="","",INDEX(TRANSACTIONS_MASTER!$AB$5:$AB$1204,$Q192))</f>
        <v/>
      </c>
      <c r="P192" s="55" t="str">
        <f>IF($Q192="","",INDEX(TRANSACTIONS_MASTER!$Z$5:$Z$1204,$Q192)&amp;"")</f>
        <v/>
      </c>
      <c r="Q192" s="67" t="str">
        <f>IFERROR(MATCH($C$2&amp;"|"&amp;185,TRANSACTIONS_MASTER!$AE$5:$AE$1204,0),"")</f>
        <v/>
      </c>
    </row>
    <row r="193">
      <c r="A193" s="81" t="str">
        <f>IF($Q193="","",186)</f>
        <v/>
      </c>
      <c r="B193" s="57" t="str">
        <f>IF($Q193="","",INDEX(TRANSACTIONS_MASTER!$B$5:$B$1204,$Q193))</f>
        <v/>
      </c>
      <c r="C193" s="55" t="str">
        <f>IF($Q193="","",INDEX(TRANSACTIONS_MASTER!$F$5:$F$1204,$Q193))</f>
        <v/>
      </c>
      <c r="D193" s="55" t="str">
        <f>IF($Q193="","",INDEX(TRANSACTIONS_MASTER!$E$5:$E$1204,$Q193))</f>
        <v/>
      </c>
      <c r="E193" s="55" t="str">
        <f>IF($Q193="","",INDEX(TRANSACTIONS_MASTER!$G$5:$G$1204,$Q193)&amp;"")</f>
        <v/>
      </c>
      <c r="F193" s="29" t="str">
        <f>IF($Q193="","",INDEX(TRANSACTIONS_MASTER!$I$5:$I$1204,$Q193))</f>
        <v/>
      </c>
      <c r="G193" s="55" t="str">
        <f>IF($Q193="","",INDEX(TRANSACTIONS_MASTER!$K$5:$K$1204,$Q193))</f>
        <v/>
      </c>
      <c r="H193" s="25" t="str">
        <f>IF($Q193="","",INDEX(TRANSACTIONS_MASTER!$L$5:$L$1204,$Q193))</f>
        <v/>
      </c>
      <c r="I193" s="56" t="str">
        <f>IF($Q193="","",INDEX(TRANSACTIONS_MASTER!$N$5:$N$1204,$Q193))</f>
        <v/>
      </c>
      <c r="J193" s="25" t="str">
        <f>IF($Q193="","",INDEX(TRANSACTIONS_MASTER!$O$5:$O$1204,$Q193))</f>
        <v/>
      </c>
      <c r="K193" s="26" t="str">
        <f>IF($Q193="","",INDEX(TRANSACTIONS_MASTER!$Q$5:$Q$1204,$Q193))</f>
        <v/>
      </c>
      <c r="L193" s="25" t="str">
        <f>IF($Q193="","",INDEX(TRANSACTIONS_MASTER!$P$5:$P$1204,$Q193))</f>
        <v/>
      </c>
      <c r="M193" s="25" t="str">
        <f>IF($Q193="","",INDEX(TRANSACTIONS_MASTER!$AA$5:$AA$1204,$Q193))</f>
        <v/>
      </c>
      <c r="N193" s="25" t="str">
        <f>IF($Q193="","",INDEX(TRANSACTIONS_MASTER!$R$5:$R$1204,$Q193))</f>
        <v/>
      </c>
      <c r="O193" s="28" t="str">
        <f>IF($Q193="","",INDEX(TRANSACTIONS_MASTER!$AB$5:$AB$1204,$Q193))</f>
        <v/>
      </c>
      <c r="P193" s="55" t="str">
        <f>IF($Q193="","",INDEX(TRANSACTIONS_MASTER!$Z$5:$Z$1204,$Q193)&amp;"")</f>
        <v/>
      </c>
      <c r="Q193" s="67" t="str">
        <f>IFERROR(MATCH($C$2&amp;"|"&amp;186,TRANSACTIONS_MASTER!$AE$5:$AE$1204,0),"")</f>
        <v/>
      </c>
    </row>
    <row r="194">
      <c r="A194" s="81" t="str">
        <f>IF($Q194="","",187)</f>
        <v/>
      </c>
      <c r="B194" s="57" t="str">
        <f>IF($Q194="","",INDEX(TRANSACTIONS_MASTER!$B$5:$B$1204,$Q194))</f>
        <v/>
      </c>
      <c r="C194" s="55" t="str">
        <f>IF($Q194="","",INDEX(TRANSACTIONS_MASTER!$F$5:$F$1204,$Q194))</f>
        <v/>
      </c>
      <c r="D194" s="55" t="str">
        <f>IF($Q194="","",INDEX(TRANSACTIONS_MASTER!$E$5:$E$1204,$Q194))</f>
        <v/>
      </c>
      <c r="E194" s="55" t="str">
        <f>IF($Q194="","",INDEX(TRANSACTIONS_MASTER!$G$5:$G$1204,$Q194)&amp;"")</f>
        <v/>
      </c>
      <c r="F194" s="29" t="str">
        <f>IF($Q194="","",INDEX(TRANSACTIONS_MASTER!$I$5:$I$1204,$Q194))</f>
        <v/>
      </c>
      <c r="G194" s="55" t="str">
        <f>IF($Q194="","",INDEX(TRANSACTIONS_MASTER!$K$5:$K$1204,$Q194))</f>
        <v/>
      </c>
      <c r="H194" s="25" t="str">
        <f>IF($Q194="","",INDEX(TRANSACTIONS_MASTER!$L$5:$L$1204,$Q194))</f>
        <v/>
      </c>
      <c r="I194" s="56" t="str">
        <f>IF($Q194="","",INDEX(TRANSACTIONS_MASTER!$N$5:$N$1204,$Q194))</f>
        <v/>
      </c>
      <c r="J194" s="25" t="str">
        <f>IF($Q194="","",INDEX(TRANSACTIONS_MASTER!$O$5:$O$1204,$Q194))</f>
        <v/>
      </c>
      <c r="K194" s="26" t="str">
        <f>IF($Q194="","",INDEX(TRANSACTIONS_MASTER!$Q$5:$Q$1204,$Q194))</f>
        <v/>
      </c>
      <c r="L194" s="25" t="str">
        <f>IF($Q194="","",INDEX(TRANSACTIONS_MASTER!$P$5:$P$1204,$Q194))</f>
        <v/>
      </c>
      <c r="M194" s="25" t="str">
        <f>IF($Q194="","",INDEX(TRANSACTIONS_MASTER!$AA$5:$AA$1204,$Q194))</f>
        <v/>
      </c>
      <c r="N194" s="25" t="str">
        <f>IF($Q194="","",INDEX(TRANSACTIONS_MASTER!$R$5:$R$1204,$Q194))</f>
        <v/>
      </c>
      <c r="O194" s="28" t="str">
        <f>IF($Q194="","",INDEX(TRANSACTIONS_MASTER!$AB$5:$AB$1204,$Q194))</f>
        <v/>
      </c>
      <c r="P194" s="55" t="str">
        <f>IF($Q194="","",INDEX(TRANSACTIONS_MASTER!$Z$5:$Z$1204,$Q194)&amp;"")</f>
        <v/>
      </c>
      <c r="Q194" s="67" t="str">
        <f>IFERROR(MATCH($C$2&amp;"|"&amp;187,TRANSACTIONS_MASTER!$AE$5:$AE$1204,0),"")</f>
        <v/>
      </c>
    </row>
    <row r="195">
      <c r="A195" s="81" t="str">
        <f>IF($Q195="","",188)</f>
        <v/>
      </c>
      <c r="B195" s="57" t="str">
        <f>IF($Q195="","",INDEX(TRANSACTIONS_MASTER!$B$5:$B$1204,$Q195))</f>
        <v/>
      </c>
      <c r="C195" s="55" t="str">
        <f>IF($Q195="","",INDEX(TRANSACTIONS_MASTER!$F$5:$F$1204,$Q195))</f>
        <v/>
      </c>
      <c r="D195" s="55" t="str">
        <f>IF($Q195="","",INDEX(TRANSACTIONS_MASTER!$E$5:$E$1204,$Q195))</f>
        <v/>
      </c>
      <c r="E195" s="55" t="str">
        <f>IF($Q195="","",INDEX(TRANSACTIONS_MASTER!$G$5:$G$1204,$Q195)&amp;"")</f>
        <v/>
      </c>
      <c r="F195" s="29" t="str">
        <f>IF($Q195="","",INDEX(TRANSACTIONS_MASTER!$I$5:$I$1204,$Q195))</f>
        <v/>
      </c>
      <c r="G195" s="55" t="str">
        <f>IF($Q195="","",INDEX(TRANSACTIONS_MASTER!$K$5:$K$1204,$Q195))</f>
        <v/>
      </c>
      <c r="H195" s="25" t="str">
        <f>IF($Q195="","",INDEX(TRANSACTIONS_MASTER!$L$5:$L$1204,$Q195))</f>
        <v/>
      </c>
      <c r="I195" s="56" t="str">
        <f>IF($Q195="","",INDEX(TRANSACTIONS_MASTER!$N$5:$N$1204,$Q195))</f>
        <v/>
      </c>
      <c r="J195" s="25" t="str">
        <f>IF($Q195="","",INDEX(TRANSACTIONS_MASTER!$O$5:$O$1204,$Q195))</f>
        <v/>
      </c>
      <c r="K195" s="26" t="str">
        <f>IF($Q195="","",INDEX(TRANSACTIONS_MASTER!$Q$5:$Q$1204,$Q195))</f>
        <v/>
      </c>
      <c r="L195" s="25" t="str">
        <f>IF($Q195="","",INDEX(TRANSACTIONS_MASTER!$P$5:$P$1204,$Q195))</f>
        <v/>
      </c>
      <c r="M195" s="25" t="str">
        <f>IF($Q195="","",INDEX(TRANSACTIONS_MASTER!$AA$5:$AA$1204,$Q195))</f>
        <v/>
      </c>
      <c r="N195" s="25" t="str">
        <f>IF($Q195="","",INDEX(TRANSACTIONS_MASTER!$R$5:$R$1204,$Q195))</f>
        <v/>
      </c>
      <c r="O195" s="28" t="str">
        <f>IF($Q195="","",INDEX(TRANSACTIONS_MASTER!$AB$5:$AB$1204,$Q195))</f>
        <v/>
      </c>
      <c r="P195" s="55" t="str">
        <f>IF($Q195="","",INDEX(TRANSACTIONS_MASTER!$Z$5:$Z$1204,$Q195)&amp;"")</f>
        <v/>
      </c>
      <c r="Q195" s="67" t="str">
        <f>IFERROR(MATCH($C$2&amp;"|"&amp;188,TRANSACTIONS_MASTER!$AE$5:$AE$1204,0),"")</f>
        <v/>
      </c>
    </row>
    <row r="196">
      <c r="A196" s="81" t="str">
        <f>IF($Q196="","",189)</f>
        <v/>
      </c>
      <c r="B196" s="57" t="str">
        <f>IF($Q196="","",INDEX(TRANSACTIONS_MASTER!$B$5:$B$1204,$Q196))</f>
        <v/>
      </c>
      <c r="C196" s="55" t="str">
        <f>IF($Q196="","",INDEX(TRANSACTIONS_MASTER!$F$5:$F$1204,$Q196))</f>
        <v/>
      </c>
      <c r="D196" s="55" t="str">
        <f>IF($Q196="","",INDEX(TRANSACTIONS_MASTER!$E$5:$E$1204,$Q196))</f>
        <v/>
      </c>
      <c r="E196" s="55" t="str">
        <f>IF($Q196="","",INDEX(TRANSACTIONS_MASTER!$G$5:$G$1204,$Q196)&amp;"")</f>
        <v/>
      </c>
      <c r="F196" s="29" t="str">
        <f>IF($Q196="","",INDEX(TRANSACTIONS_MASTER!$I$5:$I$1204,$Q196))</f>
        <v/>
      </c>
      <c r="G196" s="55" t="str">
        <f>IF($Q196="","",INDEX(TRANSACTIONS_MASTER!$K$5:$K$1204,$Q196))</f>
        <v/>
      </c>
      <c r="H196" s="25" t="str">
        <f>IF($Q196="","",INDEX(TRANSACTIONS_MASTER!$L$5:$L$1204,$Q196))</f>
        <v/>
      </c>
      <c r="I196" s="56" t="str">
        <f>IF($Q196="","",INDEX(TRANSACTIONS_MASTER!$N$5:$N$1204,$Q196))</f>
        <v/>
      </c>
      <c r="J196" s="25" t="str">
        <f>IF($Q196="","",INDEX(TRANSACTIONS_MASTER!$O$5:$O$1204,$Q196))</f>
        <v/>
      </c>
      <c r="K196" s="26" t="str">
        <f>IF($Q196="","",INDEX(TRANSACTIONS_MASTER!$Q$5:$Q$1204,$Q196))</f>
        <v/>
      </c>
      <c r="L196" s="25" t="str">
        <f>IF($Q196="","",INDEX(TRANSACTIONS_MASTER!$P$5:$P$1204,$Q196))</f>
        <v/>
      </c>
      <c r="M196" s="25" t="str">
        <f>IF($Q196="","",INDEX(TRANSACTIONS_MASTER!$AA$5:$AA$1204,$Q196))</f>
        <v/>
      </c>
      <c r="N196" s="25" t="str">
        <f>IF($Q196="","",INDEX(TRANSACTIONS_MASTER!$R$5:$R$1204,$Q196))</f>
        <v/>
      </c>
      <c r="O196" s="28" t="str">
        <f>IF($Q196="","",INDEX(TRANSACTIONS_MASTER!$AB$5:$AB$1204,$Q196))</f>
        <v/>
      </c>
      <c r="P196" s="55" t="str">
        <f>IF($Q196="","",INDEX(TRANSACTIONS_MASTER!$Z$5:$Z$1204,$Q196)&amp;"")</f>
        <v/>
      </c>
      <c r="Q196" s="67" t="str">
        <f>IFERROR(MATCH($C$2&amp;"|"&amp;189,TRANSACTIONS_MASTER!$AE$5:$AE$1204,0),"")</f>
        <v/>
      </c>
    </row>
    <row r="197">
      <c r="A197" s="81" t="str">
        <f>IF($Q197="","",190)</f>
        <v/>
      </c>
      <c r="B197" s="57" t="str">
        <f>IF($Q197="","",INDEX(TRANSACTIONS_MASTER!$B$5:$B$1204,$Q197))</f>
        <v/>
      </c>
      <c r="C197" s="55" t="str">
        <f>IF($Q197="","",INDEX(TRANSACTIONS_MASTER!$F$5:$F$1204,$Q197))</f>
        <v/>
      </c>
      <c r="D197" s="55" t="str">
        <f>IF($Q197="","",INDEX(TRANSACTIONS_MASTER!$E$5:$E$1204,$Q197))</f>
        <v/>
      </c>
      <c r="E197" s="55" t="str">
        <f>IF($Q197="","",INDEX(TRANSACTIONS_MASTER!$G$5:$G$1204,$Q197)&amp;"")</f>
        <v/>
      </c>
      <c r="F197" s="29" t="str">
        <f>IF($Q197="","",INDEX(TRANSACTIONS_MASTER!$I$5:$I$1204,$Q197))</f>
        <v/>
      </c>
      <c r="G197" s="55" t="str">
        <f>IF($Q197="","",INDEX(TRANSACTIONS_MASTER!$K$5:$K$1204,$Q197))</f>
        <v/>
      </c>
      <c r="H197" s="25" t="str">
        <f>IF($Q197="","",INDEX(TRANSACTIONS_MASTER!$L$5:$L$1204,$Q197))</f>
        <v/>
      </c>
      <c r="I197" s="56" t="str">
        <f>IF($Q197="","",INDEX(TRANSACTIONS_MASTER!$N$5:$N$1204,$Q197))</f>
        <v/>
      </c>
      <c r="J197" s="25" t="str">
        <f>IF($Q197="","",INDEX(TRANSACTIONS_MASTER!$O$5:$O$1204,$Q197))</f>
        <v/>
      </c>
      <c r="K197" s="26" t="str">
        <f>IF($Q197="","",INDEX(TRANSACTIONS_MASTER!$Q$5:$Q$1204,$Q197))</f>
        <v/>
      </c>
      <c r="L197" s="25" t="str">
        <f>IF($Q197="","",INDEX(TRANSACTIONS_MASTER!$P$5:$P$1204,$Q197))</f>
        <v/>
      </c>
      <c r="M197" s="25" t="str">
        <f>IF($Q197="","",INDEX(TRANSACTIONS_MASTER!$AA$5:$AA$1204,$Q197))</f>
        <v/>
      </c>
      <c r="N197" s="25" t="str">
        <f>IF($Q197="","",INDEX(TRANSACTIONS_MASTER!$R$5:$R$1204,$Q197))</f>
        <v/>
      </c>
      <c r="O197" s="28" t="str">
        <f>IF($Q197="","",INDEX(TRANSACTIONS_MASTER!$AB$5:$AB$1204,$Q197))</f>
        <v/>
      </c>
      <c r="P197" s="55" t="str">
        <f>IF($Q197="","",INDEX(TRANSACTIONS_MASTER!$Z$5:$Z$1204,$Q197)&amp;"")</f>
        <v/>
      </c>
      <c r="Q197" s="67" t="str">
        <f>IFERROR(MATCH($C$2&amp;"|"&amp;190,TRANSACTIONS_MASTER!$AE$5:$AE$1204,0),"")</f>
        <v/>
      </c>
    </row>
    <row r="198">
      <c r="A198" s="81" t="str">
        <f>IF($Q198="","",191)</f>
        <v/>
      </c>
      <c r="B198" s="57" t="str">
        <f>IF($Q198="","",INDEX(TRANSACTIONS_MASTER!$B$5:$B$1204,$Q198))</f>
        <v/>
      </c>
      <c r="C198" s="55" t="str">
        <f>IF($Q198="","",INDEX(TRANSACTIONS_MASTER!$F$5:$F$1204,$Q198))</f>
        <v/>
      </c>
      <c r="D198" s="55" t="str">
        <f>IF($Q198="","",INDEX(TRANSACTIONS_MASTER!$E$5:$E$1204,$Q198))</f>
        <v/>
      </c>
      <c r="E198" s="55" t="str">
        <f>IF($Q198="","",INDEX(TRANSACTIONS_MASTER!$G$5:$G$1204,$Q198)&amp;"")</f>
        <v/>
      </c>
      <c r="F198" s="29" t="str">
        <f>IF($Q198="","",INDEX(TRANSACTIONS_MASTER!$I$5:$I$1204,$Q198))</f>
        <v/>
      </c>
      <c r="G198" s="55" t="str">
        <f>IF($Q198="","",INDEX(TRANSACTIONS_MASTER!$K$5:$K$1204,$Q198))</f>
        <v/>
      </c>
      <c r="H198" s="25" t="str">
        <f>IF($Q198="","",INDEX(TRANSACTIONS_MASTER!$L$5:$L$1204,$Q198))</f>
        <v/>
      </c>
      <c r="I198" s="56" t="str">
        <f>IF($Q198="","",INDEX(TRANSACTIONS_MASTER!$N$5:$N$1204,$Q198))</f>
        <v/>
      </c>
      <c r="J198" s="25" t="str">
        <f>IF($Q198="","",INDEX(TRANSACTIONS_MASTER!$O$5:$O$1204,$Q198))</f>
        <v/>
      </c>
      <c r="K198" s="26" t="str">
        <f>IF($Q198="","",INDEX(TRANSACTIONS_MASTER!$Q$5:$Q$1204,$Q198))</f>
        <v/>
      </c>
      <c r="L198" s="25" t="str">
        <f>IF($Q198="","",INDEX(TRANSACTIONS_MASTER!$P$5:$P$1204,$Q198))</f>
        <v/>
      </c>
      <c r="M198" s="25" t="str">
        <f>IF($Q198="","",INDEX(TRANSACTIONS_MASTER!$AA$5:$AA$1204,$Q198))</f>
        <v/>
      </c>
      <c r="N198" s="25" t="str">
        <f>IF($Q198="","",INDEX(TRANSACTIONS_MASTER!$R$5:$R$1204,$Q198))</f>
        <v/>
      </c>
      <c r="O198" s="28" t="str">
        <f>IF($Q198="","",INDEX(TRANSACTIONS_MASTER!$AB$5:$AB$1204,$Q198))</f>
        <v/>
      </c>
      <c r="P198" s="55" t="str">
        <f>IF($Q198="","",INDEX(TRANSACTIONS_MASTER!$Z$5:$Z$1204,$Q198)&amp;"")</f>
        <v/>
      </c>
      <c r="Q198" s="67" t="str">
        <f>IFERROR(MATCH($C$2&amp;"|"&amp;191,TRANSACTIONS_MASTER!$AE$5:$AE$1204,0),"")</f>
        <v/>
      </c>
    </row>
    <row r="199">
      <c r="A199" s="81" t="str">
        <f>IF($Q199="","",192)</f>
        <v/>
      </c>
      <c r="B199" s="57" t="str">
        <f>IF($Q199="","",INDEX(TRANSACTIONS_MASTER!$B$5:$B$1204,$Q199))</f>
        <v/>
      </c>
      <c r="C199" s="55" t="str">
        <f>IF($Q199="","",INDEX(TRANSACTIONS_MASTER!$F$5:$F$1204,$Q199))</f>
        <v/>
      </c>
      <c r="D199" s="55" t="str">
        <f>IF($Q199="","",INDEX(TRANSACTIONS_MASTER!$E$5:$E$1204,$Q199))</f>
        <v/>
      </c>
      <c r="E199" s="55" t="str">
        <f>IF($Q199="","",INDEX(TRANSACTIONS_MASTER!$G$5:$G$1204,$Q199)&amp;"")</f>
        <v/>
      </c>
      <c r="F199" s="29" t="str">
        <f>IF($Q199="","",INDEX(TRANSACTIONS_MASTER!$I$5:$I$1204,$Q199))</f>
        <v/>
      </c>
      <c r="G199" s="55" t="str">
        <f>IF($Q199="","",INDEX(TRANSACTIONS_MASTER!$K$5:$K$1204,$Q199))</f>
        <v/>
      </c>
      <c r="H199" s="25" t="str">
        <f>IF($Q199="","",INDEX(TRANSACTIONS_MASTER!$L$5:$L$1204,$Q199))</f>
        <v/>
      </c>
      <c r="I199" s="56" t="str">
        <f>IF($Q199="","",INDEX(TRANSACTIONS_MASTER!$N$5:$N$1204,$Q199))</f>
        <v/>
      </c>
      <c r="J199" s="25" t="str">
        <f>IF($Q199="","",INDEX(TRANSACTIONS_MASTER!$O$5:$O$1204,$Q199))</f>
        <v/>
      </c>
      <c r="K199" s="26" t="str">
        <f>IF($Q199="","",INDEX(TRANSACTIONS_MASTER!$Q$5:$Q$1204,$Q199))</f>
        <v/>
      </c>
      <c r="L199" s="25" t="str">
        <f>IF($Q199="","",INDEX(TRANSACTIONS_MASTER!$P$5:$P$1204,$Q199))</f>
        <v/>
      </c>
      <c r="M199" s="25" t="str">
        <f>IF($Q199="","",INDEX(TRANSACTIONS_MASTER!$AA$5:$AA$1204,$Q199))</f>
        <v/>
      </c>
      <c r="N199" s="25" t="str">
        <f>IF($Q199="","",INDEX(TRANSACTIONS_MASTER!$R$5:$R$1204,$Q199))</f>
        <v/>
      </c>
      <c r="O199" s="28" t="str">
        <f>IF($Q199="","",INDEX(TRANSACTIONS_MASTER!$AB$5:$AB$1204,$Q199))</f>
        <v/>
      </c>
      <c r="P199" s="55" t="str">
        <f>IF($Q199="","",INDEX(TRANSACTIONS_MASTER!$Z$5:$Z$1204,$Q199)&amp;"")</f>
        <v/>
      </c>
      <c r="Q199" s="67" t="str">
        <f>IFERROR(MATCH($C$2&amp;"|"&amp;192,TRANSACTIONS_MASTER!$AE$5:$AE$1204,0),"")</f>
        <v/>
      </c>
    </row>
    <row r="200">
      <c r="A200" s="81" t="str">
        <f>IF($Q200="","",193)</f>
        <v/>
      </c>
      <c r="B200" s="57" t="str">
        <f>IF($Q200="","",INDEX(TRANSACTIONS_MASTER!$B$5:$B$1204,$Q200))</f>
        <v/>
      </c>
      <c r="C200" s="55" t="str">
        <f>IF($Q200="","",INDEX(TRANSACTIONS_MASTER!$F$5:$F$1204,$Q200))</f>
        <v/>
      </c>
      <c r="D200" s="55" t="str">
        <f>IF($Q200="","",INDEX(TRANSACTIONS_MASTER!$E$5:$E$1204,$Q200))</f>
        <v/>
      </c>
      <c r="E200" s="55" t="str">
        <f>IF($Q200="","",INDEX(TRANSACTIONS_MASTER!$G$5:$G$1204,$Q200)&amp;"")</f>
        <v/>
      </c>
      <c r="F200" s="29" t="str">
        <f>IF($Q200="","",INDEX(TRANSACTIONS_MASTER!$I$5:$I$1204,$Q200))</f>
        <v/>
      </c>
      <c r="G200" s="55" t="str">
        <f>IF($Q200="","",INDEX(TRANSACTIONS_MASTER!$K$5:$K$1204,$Q200))</f>
        <v/>
      </c>
      <c r="H200" s="25" t="str">
        <f>IF($Q200="","",INDEX(TRANSACTIONS_MASTER!$L$5:$L$1204,$Q200))</f>
        <v/>
      </c>
      <c r="I200" s="56" t="str">
        <f>IF($Q200="","",INDEX(TRANSACTIONS_MASTER!$N$5:$N$1204,$Q200))</f>
        <v/>
      </c>
      <c r="J200" s="25" t="str">
        <f>IF($Q200="","",INDEX(TRANSACTIONS_MASTER!$O$5:$O$1204,$Q200))</f>
        <v/>
      </c>
      <c r="K200" s="26" t="str">
        <f>IF($Q200="","",INDEX(TRANSACTIONS_MASTER!$Q$5:$Q$1204,$Q200))</f>
        <v/>
      </c>
      <c r="L200" s="25" t="str">
        <f>IF($Q200="","",INDEX(TRANSACTIONS_MASTER!$P$5:$P$1204,$Q200))</f>
        <v/>
      </c>
      <c r="M200" s="25" t="str">
        <f>IF($Q200="","",INDEX(TRANSACTIONS_MASTER!$AA$5:$AA$1204,$Q200))</f>
        <v/>
      </c>
      <c r="N200" s="25" t="str">
        <f>IF($Q200="","",INDEX(TRANSACTIONS_MASTER!$R$5:$R$1204,$Q200))</f>
        <v/>
      </c>
      <c r="O200" s="28" t="str">
        <f>IF($Q200="","",INDEX(TRANSACTIONS_MASTER!$AB$5:$AB$1204,$Q200))</f>
        <v/>
      </c>
      <c r="P200" s="55" t="str">
        <f>IF($Q200="","",INDEX(TRANSACTIONS_MASTER!$Z$5:$Z$1204,$Q200)&amp;"")</f>
        <v/>
      </c>
      <c r="Q200" s="67" t="str">
        <f>IFERROR(MATCH($C$2&amp;"|"&amp;193,TRANSACTIONS_MASTER!$AE$5:$AE$1204,0),"")</f>
        <v/>
      </c>
    </row>
    <row r="201">
      <c r="A201" s="81" t="str">
        <f>IF($Q201="","",194)</f>
        <v/>
      </c>
      <c r="B201" s="57" t="str">
        <f>IF($Q201="","",INDEX(TRANSACTIONS_MASTER!$B$5:$B$1204,$Q201))</f>
        <v/>
      </c>
      <c r="C201" s="55" t="str">
        <f>IF($Q201="","",INDEX(TRANSACTIONS_MASTER!$F$5:$F$1204,$Q201))</f>
        <v/>
      </c>
      <c r="D201" s="55" t="str">
        <f>IF($Q201="","",INDEX(TRANSACTIONS_MASTER!$E$5:$E$1204,$Q201))</f>
        <v/>
      </c>
      <c r="E201" s="55" t="str">
        <f>IF($Q201="","",INDEX(TRANSACTIONS_MASTER!$G$5:$G$1204,$Q201)&amp;"")</f>
        <v/>
      </c>
      <c r="F201" s="29" t="str">
        <f>IF($Q201="","",INDEX(TRANSACTIONS_MASTER!$I$5:$I$1204,$Q201))</f>
        <v/>
      </c>
      <c r="G201" s="55" t="str">
        <f>IF($Q201="","",INDEX(TRANSACTIONS_MASTER!$K$5:$K$1204,$Q201))</f>
        <v/>
      </c>
      <c r="H201" s="25" t="str">
        <f>IF($Q201="","",INDEX(TRANSACTIONS_MASTER!$L$5:$L$1204,$Q201))</f>
        <v/>
      </c>
      <c r="I201" s="56" t="str">
        <f>IF($Q201="","",INDEX(TRANSACTIONS_MASTER!$N$5:$N$1204,$Q201))</f>
        <v/>
      </c>
      <c r="J201" s="25" t="str">
        <f>IF($Q201="","",INDEX(TRANSACTIONS_MASTER!$O$5:$O$1204,$Q201))</f>
        <v/>
      </c>
      <c r="K201" s="26" t="str">
        <f>IF($Q201="","",INDEX(TRANSACTIONS_MASTER!$Q$5:$Q$1204,$Q201))</f>
        <v/>
      </c>
      <c r="L201" s="25" t="str">
        <f>IF($Q201="","",INDEX(TRANSACTIONS_MASTER!$P$5:$P$1204,$Q201))</f>
        <v/>
      </c>
      <c r="M201" s="25" t="str">
        <f>IF($Q201="","",INDEX(TRANSACTIONS_MASTER!$AA$5:$AA$1204,$Q201))</f>
        <v/>
      </c>
      <c r="N201" s="25" t="str">
        <f>IF($Q201="","",INDEX(TRANSACTIONS_MASTER!$R$5:$R$1204,$Q201))</f>
        <v/>
      </c>
      <c r="O201" s="28" t="str">
        <f>IF($Q201="","",INDEX(TRANSACTIONS_MASTER!$AB$5:$AB$1204,$Q201))</f>
        <v/>
      </c>
      <c r="P201" s="55" t="str">
        <f>IF($Q201="","",INDEX(TRANSACTIONS_MASTER!$Z$5:$Z$1204,$Q201)&amp;"")</f>
        <v/>
      </c>
      <c r="Q201" s="67" t="str">
        <f>IFERROR(MATCH($C$2&amp;"|"&amp;194,TRANSACTIONS_MASTER!$AE$5:$AE$1204,0),"")</f>
        <v/>
      </c>
    </row>
    <row r="202">
      <c r="A202" s="81" t="str">
        <f>IF($Q202="","",195)</f>
        <v/>
      </c>
      <c r="B202" s="57" t="str">
        <f>IF($Q202="","",INDEX(TRANSACTIONS_MASTER!$B$5:$B$1204,$Q202))</f>
        <v/>
      </c>
      <c r="C202" s="55" t="str">
        <f>IF($Q202="","",INDEX(TRANSACTIONS_MASTER!$F$5:$F$1204,$Q202))</f>
        <v/>
      </c>
      <c r="D202" s="55" t="str">
        <f>IF($Q202="","",INDEX(TRANSACTIONS_MASTER!$E$5:$E$1204,$Q202))</f>
        <v/>
      </c>
      <c r="E202" s="55" t="str">
        <f>IF($Q202="","",INDEX(TRANSACTIONS_MASTER!$G$5:$G$1204,$Q202)&amp;"")</f>
        <v/>
      </c>
      <c r="F202" s="29" t="str">
        <f>IF($Q202="","",INDEX(TRANSACTIONS_MASTER!$I$5:$I$1204,$Q202))</f>
        <v/>
      </c>
      <c r="G202" s="55" t="str">
        <f>IF($Q202="","",INDEX(TRANSACTIONS_MASTER!$K$5:$K$1204,$Q202))</f>
        <v/>
      </c>
      <c r="H202" s="25" t="str">
        <f>IF($Q202="","",INDEX(TRANSACTIONS_MASTER!$L$5:$L$1204,$Q202))</f>
        <v/>
      </c>
      <c r="I202" s="56" t="str">
        <f>IF($Q202="","",INDEX(TRANSACTIONS_MASTER!$N$5:$N$1204,$Q202))</f>
        <v/>
      </c>
      <c r="J202" s="25" t="str">
        <f>IF($Q202="","",INDEX(TRANSACTIONS_MASTER!$O$5:$O$1204,$Q202))</f>
        <v/>
      </c>
      <c r="K202" s="26" t="str">
        <f>IF($Q202="","",INDEX(TRANSACTIONS_MASTER!$Q$5:$Q$1204,$Q202))</f>
        <v/>
      </c>
      <c r="L202" s="25" t="str">
        <f>IF($Q202="","",INDEX(TRANSACTIONS_MASTER!$P$5:$P$1204,$Q202))</f>
        <v/>
      </c>
      <c r="M202" s="25" t="str">
        <f>IF($Q202="","",INDEX(TRANSACTIONS_MASTER!$AA$5:$AA$1204,$Q202))</f>
        <v/>
      </c>
      <c r="N202" s="25" t="str">
        <f>IF($Q202="","",INDEX(TRANSACTIONS_MASTER!$R$5:$R$1204,$Q202))</f>
        <v/>
      </c>
      <c r="O202" s="28" t="str">
        <f>IF($Q202="","",INDEX(TRANSACTIONS_MASTER!$AB$5:$AB$1204,$Q202))</f>
        <v/>
      </c>
      <c r="P202" s="55" t="str">
        <f>IF($Q202="","",INDEX(TRANSACTIONS_MASTER!$Z$5:$Z$1204,$Q202)&amp;"")</f>
        <v/>
      </c>
      <c r="Q202" s="67" t="str">
        <f>IFERROR(MATCH($C$2&amp;"|"&amp;195,TRANSACTIONS_MASTER!$AE$5:$AE$1204,0),"")</f>
        <v/>
      </c>
    </row>
    <row r="203">
      <c r="A203" s="81" t="str">
        <f>IF($Q203="","",196)</f>
        <v/>
      </c>
      <c r="B203" s="57" t="str">
        <f>IF($Q203="","",INDEX(TRANSACTIONS_MASTER!$B$5:$B$1204,$Q203))</f>
        <v/>
      </c>
      <c r="C203" s="55" t="str">
        <f>IF($Q203="","",INDEX(TRANSACTIONS_MASTER!$F$5:$F$1204,$Q203))</f>
        <v/>
      </c>
      <c r="D203" s="55" t="str">
        <f>IF($Q203="","",INDEX(TRANSACTIONS_MASTER!$E$5:$E$1204,$Q203))</f>
        <v/>
      </c>
      <c r="E203" s="55" t="str">
        <f>IF($Q203="","",INDEX(TRANSACTIONS_MASTER!$G$5:$G$1204,$Q203)&amp;"")</f>
        <v/>
      </c>
      <c r="F203" s="29" t="str">
        <f>IF($Q203="","",INDEX(TRANSACTIONS_MASTER!$I$5:$I$1204,$Q203))</f>
        <v/>
      </c>
      <c r="G203" s="55" t="str">
        <f>IF($Q203="","",INDEX(TRANSACTIONS_MASTER!$K$5:$K$1204,$Q203))</f>
        <v/>
      </c>
      <c r="H203" s="25" t="str">
        <f>IF($Q203="","",INDEX(TRANSACTIONS_MASTER!$L$5:$L$1204,$Q203))</f>
        <v/>
      </c>
      <c r="I203" s="56" t="str">
        <f>IF($Q203="","",INDEX(TRANSACTIONS_MASTER!$N$5:$N$1204,$Q203))</f>
        <v/>
      </c>
      <c r="J203" s="25" t="str">
        <f>IF($Q203="","",INDEX(TRANSACTIONS_MASTER!$O$5:$O$1204,$Q203))</f>
        <v/>
      </c>
      <c r="K203" s="26" t="str">
        <f>IF($Q203="","",INDEX(TRANSACTIONS_MASTER!$Q$5:$Q$1204,$Q203))</f>
        <v/>
      </c>
      <c r="L203" s="25" t="str">
        <f>IF($Q203="","",INDEX(TRANSACTIONS_MASTER!$P$5:$P$1204,$Q203))</f>
        <v/>
      </c>
      <c r="M203" s="25" t="str">
        <f>IF($Q203="","",INDEX(TRANSACTIONS_MASTER!$AA$5:$AA$1204,$Q203))</f>
        <v/>
      </c>
      <c r="N203" s="25" t="str">
        <f>IF($Q203="","",INDEX(TRANSACTIONS_MASTER!$R$5:$R$1204,$Q203))</f>
        <v/>
      </c>
      <c r="O203" s="28" t="str">
        <f>IF($Q203="","",INDEX(TRANSACTIONS_MASTER!$AB$5:$AB$1204,$Q203))</f>
        <v/>
      </c>
      <c r="P203" s="55" t="str">
        <f>IF($Q203="","",INDEX(TRANSACTIONS_MASTER!$Z$5:$Z$1204,$Q203)&amp;"")</f>
        <v/>
      </c>
      <c r="Q203" s="67" t="str">
        <f>IFERROR(MATCH($C$2&amp;"|"&amp;196,TRANSACTIONS_MASTER!$AE$5:$AE$1204,0),"")</f>
        <v/>
      </c>
    </row>
    <row r="204">
      <c r="A204" s="81" t="str">
        <f>IF($Q204="","",197)</f>
        <v/>
      </c>
      <c r="B204" s="57" t="str">
        <f>IF($Q204="","",INDEX(TRANSACTIONS_MASTER!$B$5:$B$1204,$Q204))</f>
        <v/>
      </c>
      <c r="C204" s="55" t="str">
        <f>IF($Q204="","",INDEX(TRANSACTIONS_MASTER!$F$5:$F$1204,$Q204))</f>
        <v/>
      </c>
      <c r="D204" s="55" t="str">
        <f>IF($Q204="","",INDEX(TRANSACTIONS_MASTER!$E$5:$E$1204,$Q204))</f>
        <v/>
      </c>
      <c r="E204" s="55" t="str">
        <f>IF($Q204="","",INDEX(TRANSACTIONS_MASTER!$G$5:$G$1204,$Q204)&amp;"")</f>
        <v/>
      </c>
      <c r="F204" s="29" t="str">
        <f>IF($Q204="","",INDEX(TRANSACTIONS_MASTER!$I$5:$I$1204,$Q204))</f>
        <v/>
      </c>
      <c r="G204" s="55" t="str">
        <f>IF($Q204="","",INDEX(TRANSACTIONS_MASTER!$K$5:$K$1204,$Q204))</f>
        <v/>
      </c>
      <c r="H204" s="25" t="str">
        <f>IF($Q204="","",INDEX(TRANSACTIONS_MASTER!$L$5:$L$1204,$Q204))</f>
        <v/>
      </c>
      <c r="I204" s="56" t="str">
        <f>IF($Q204="","",INDEX(TRANSACTIONS_MASTER!$N$5:$N$1204,$Q204))</f>
        <v/>
      </c>
      <c r="J204" s="25" t="str">
        <f>IF($Q204="","",INDEX(TRANSACTIONS_MASTER!$O$5:$O$1204,$Q204))</f>
        <v/>
      </c>
      <c r="K204" s="26" t="str">
        <f>IF($Q204="","",INDEX(TRANSACTIONS_MASTER!$Q$5:$Q$1204,$Q204))</f>
        <v/>
      </c>
      <c r="L204" s="25" t="str">
        <f>IF($Q204="","",INDEX(TRANSACTIONS_MASTER!$P$5:$P$1204,$Q204))</f>
        <v/>
      </c>
      <c r="M204" s="25" t="str">
        <f>IF($Q204="","",INDEX(TRANSACTIONS_MASTER!$AA$5:$AA$1204,$Q204))</f>
        <v/>
      </c>
      <c r="N204" s="25" t="str">
        <f>IF($Q204="","",INDEX(TRANSACTIONS_MASTER!$R$5:$R$1204,$Q204))</f>
        <v/>
      </c>
      <c r="O204" s="28" t="str">
        <f>IF($Q204="","",INDEX(TRANSACTIONS_MASTER!$AB$5:$AB$1204,$Q204))</f>
        <v/>
      </c>
      <c r="P204" s="55" t="str">
        <f>IF($Q204="","",INDEX(TRANSACTIONS_MASTER!$Z$5:$Z$1204,$Q204)&amp;"")</f>
        <v/>
      </c>
      <c r="Q204" s="67" t="str">
        <f>IFERROR(MATCH($C$2&amp;"|"&amp;197,TRANSACTIONS_MASTER!$AE$5:$AE$1204,0),"")</f>
        <v/>
      </c>
    </row>
    <row r="205">
      <c r="A205" s="81" t="str">
        <f>IF($Q205="","",198)</f>
        <v/>
      </c>
      <c r="B205" s="57" t="str">
        <f>IF($Q205="","",INDEX(TRANSACTIONS_MASTER!$B$5:$B$1204,$Q205))</f>
        <v/>
      </c>
      <c r="C205" s="55" t="str">
        <f>IF($Q205="","",INDEX(TRANSACTIONS_MASTER!$F$5:$F$1204,$Q205))</f>
        <v/>
      </c>
      <c r="D205" s="55" t="str">
        <f>IF($Q205="","",INDEX(TRANSACTIONS_MASTER!$E$5:$E$1204,$Q205))</f>
        <v/>
      </c>
      <c r="E205" s="55" t="str">
        <f>IF($Q205="","",INDEX(TRANSACTIONS_MASTER!$G$5:$G$1204,$Q205)&amp;"")</f>
        <v/>
      </c>
      <c r="F205" s="29" t="str">
        <f>IF($Q205="","",INDEX(TRANSACTIONS_MASTER!$I$5:$I$1204,$Q205))</f>
        <v/>
      </c>
      <c r="G205" s="55" t="str">
        <f>IF($Q205="","",INDEX(TRANSACTIONS_MASTER!$K$5:$K$1204,$Q205))</f>
        <v/>
      </c>
      <c r="H205" s="25" t="str">
        <f>IF($Q205="","",INDEX(TRANSACTIONS_MASTER!$L$5:$L$1204,$Q205))</f>
        <v/>
      </c>
      <c r="I205" s="56" t="str">
        <f>IF($Q205="","",INDEX(TRANSACTIONS_MASTER!$N$5:$N$1204,$Q205))</f>
        <v/>
      </c>
      <c r="J205" s="25" t="str">
        <f>IF($Q205="","",INDEX(TRANSACTIONS_MASTER!$O$5:$O$1204,$Q205))</f>
        <v/>
      </c>
      <c r="K205" s="26" t="str">
        <f>IF($Q205="","",INDEX(TRANSACTIONS_MASTER!$Q$5:$Q$1204,$Q205))</f>
        <v/>
      </c>
      <c r="L205" s="25" t="str">
        <f>IF($Q205="","",INDEX(TRANSACTIONS_MASTER!$P$5:$P$1204,$Q205))</f>
        <v/>
      </c>
      <c r="M205" s="25" t="str">
        <f>IF($Q205="","",INDEX(TRANSACTIONS_MASTER!$AA$5:$AA$1204,$Q205))</f>
        <v/>
      </c>
      <c r="N205" s="25" t="str">
        <f>IF($Q205="","",INDEX(TRANSACTIONS_MASTER!$R$5:$R$1204,$Q205))</f>
        <v/>
      </c>
      <c r="O205" s="28" t="str">
        <f>IF($Q205="","",INDEX(TRANSACTIONS_MASTER!$AB$5:$AB$1204,$Q205))</f>
        <v/>
      </c>
      <c r="P205" s="55" t="str">
        <f>IF($Q205="","",INDEX(TRANSACTIONS_MASTER!$Z$5:$Z$1204,$Q205)&amp;"")</f>
        <v/>
      </c>
      <c r="Q205" s="67" t="str">
        <f>IFERROR(MATCH($C$2&amp;"|"&amp;198,TRANSACTIONS_MASTER!$AE$5:$AE$1204,0),"")</f>
        <v/>
      </c>
    </row>
    <row r="206">
      <c r="A206" s="81" t="str">
        <f>IF($Q206="","",199)</f>
        <v/>
      </c>
      <c r="B206" s="57" t="str">
        <f>IF($Q206="","",INDEX(TRANSACTIONS_MASTER!$B$5:$B$1204,$Q206))</f>
        <v/>
      </c>
      <c r="C206" s="55" t="str">
        <f>IF($Q206="","",INDEX(TRANSACTIONS_MASTER!$F$5:$F$1204,$Q206))</f>
        <v/>
      </c>
      <c r="D206" s="55" t="str">
        <f>IF($Q206="","",INDEX(TRANSACTIONS_MASTER!$E$5:$E$1204,$Q206))</f>
        <v/>
      </c>
      <c r="E206" s="55" t="str">
        <f>IF($Q206="","",INDEX(TRANSACTIONS_MASTER!$G$5:$G$1204,$Q206)&amp;"")</f>
        <v/>
      </c>
      <c r="F206" s="29" t="str">
        <f>IF($Q206="","",INDEX(TRANSACTIONS_MASTER!$I$5:$I$1204,$Q206))</f>
        <v/>
      </c>
      <c r="G206" s="55" t="str">
        <f>IF($Q206="","",INDEX(TRANSACTIONS_MASTER!$K$5:$K$1204,$Q206))</f>
        <v/>
      </c>
      <c r="H206" s="25" t="str">
        <f>IF($Q206="","",INDEX(TRANSACTIONS_MASTER!$L$5:$L$1204,$Q206))</f>
        <v/>
      </c>
      <c r="I206" s="56" t="str">
        <f>IF($Q206="","",INDEX(TRANSACTIONS_MASTER!$N$5:$N$1204,$Q206))</f>
        <v/>
      </c>
      <c r="J206" s="25" t="str">
        <f>IF($Q206="","",INDEX(TRANSACTIONS_MASTER!$O$5:$O$1204,$Q206))</f>
        <v/>
      </c>
      <c r="K206" s="26" t="str">
        <f>IF($Q206="","",INDEX(TRANSACTIONS_MASTER!$Q$5:$Q$1204,$Q206))</f>
        <v/>
      </c>
      <c r="L206" s="25" t="str">
        <f>IF($Q206="","",INDEX(TRANSACTIONS_MASTER!$P$5:$P$1204,$Q206))</f>
        <v/>
      </c>
      <c r="M206" s="25" t="str">
        <f>IF($Q206="","",INDEX(TRANSACTIONS_MASTER!$AA$5:$AA$1204,$Q206))</f>
        <v/>
      </c>
      <c r="N206" s="25" t="str">
        <f>IF($Q206="","",INDEX(TRANSACTIONS_MASTER!$R$5:$R$1204,$Q206))</f>
        <v/>
      </c>
      <c r="O206" s="28" t="str">
        <f>IF($Q206="","",INDEX(TRANSACTIONS_MASTER!$AB$5:$AB$1204,$Q206))</f>
        <v/>
      </c>
      <c r="P206" s="55" t="str">
        <f>IF($Q206="","",INDEX(TRANSACTIONS_MASTER!$Z$5:$Z$1204,$Q206)&amp;"")</f>
        <v/>
      </c>
      <c r="Q206" s="67" t="str">
        <f>IFERROR(MATCH($C$2&amp;"|"&amp;199,TRANSACTIONS_MASTER!$AE$5:$AE$1204,0),"")</f>
        <v/>
      </c>
    </row>
    <row r="207">
      <c r="A207" s="81" t="str">
        <f>IF($Q207="","",200)</f>
        <v/>
      </c>
      <c r="B207" s="57" t="str">
        <f>IF($Q207="","",INDEX(TRANSACTIONS_MASTER!$B$5:$B$1204,$Q207))</f>
        <v/>
      </c>
      <c r="C207" s="55" t="str">
        <f>IF($Q207="","",INDEX(TRANSACTIONS_MASTER!$F$5:$F$1204,$Q207))</f>
        <v/>
      </c>
      <c r="D207" s="55" t="str">
        <f>IF($Q207="","",INDEX(TRANSACTIONS_MASTER!$E$5:$E$1204,$Q207))</f>
        <v/>
      </c>
      <c r="E207" s="55" t="str">
        <f>IF($Q207="","",INDEX(TRANSACTIONS_MASTER!$G$5:$G$1204,$Q207)&amp;"")</f>
        <v/>
      </c>
      <c r="F207" s="29" t="str">
        <f>IF($Q207="","",INDEX(TRANSACTIONS_MASTER!$I$5:$I$1204,$Q207))</f>
        <v/>
      </c>
      <c r="G207" s="55" t="str">
        <f>IF($Q207="","",INDEX(TRANSACTIONS_MASTER!$K$5:$K$1204,$Q207))</f>
        <v/>
      </c>
      <c r="H207" s="25" t="str">
        <f>IF($Q207="","",INDEX(TRANSACTIONS_MASTER!$L$5:$L$1204,$Q207))</f>
        <v/>
      </c>
      <c r="I207" s="56" t="str">
        <f>IF($Q207="","",INDEX(TRANSACTIONS_MASTER!$N$5:$N$1204,$Q207))</f>
        <v/>
      </c>
      <c r="J207" s="25" t="str">
        <f>IF($Q207="","",INDEX(TRANSACTIONS_MASTER!$O$5:$O$1204,$Q207))</f>
        <v/>
      </c>
      <c r="K207" s="26" t="str">
        <f>IF($Q207="","",INDEX(TRANSACTIONS_MASTER!$Q$5:$Q$1204,$Q207))</f>
        <v/>
      </c>
      <c r="L207" s="25" t="str">
        <f>IF($Q207="","",INDEX(TRANSACTIONS_MASTER!$P$5:$P$1204,$Q207))</f>
        <v/>
      </c>
      <c r="M207" s="25" t="str">
        <f>IF($Q207="","",INDEX(TRANSACTIONS_MASTER!$AA$5:$AA$1204,$Q207))</f>
        <v/>
      </c>
      <c r="N207" s="25" t="str">
        <f>IF($Q207="","",INDEX(TRANSACTIONS_MASTER!$R$5:$R$1204,$Q207))</f>
        <v/>
      </c>
      <c r="O207" s="28" t="str">
        <f>IF($Q207="","",INDEX(TRANSACTIONS_MASTER!$AB$5:$AB$1204,$Q207))</f>
        <v/>
      </c>
      <c r="P207" s="55" t="str">
        <f>IF($Q207="","",INDEX(TRANSACTIONS_MASTER!$Z$5:$Z$1204,$Q207)&amp;"")</f>
        <v/>
      </c>
      <c r="Q207" s="67" t="str">
        <f>IFERROR(MATCH($C$2&amp;"|"&amp;200,TRANSACTIONS_MASTER!$AE$5:$AE$1204,0),"")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autoFilter ref="A7:P207"/>
  <mergeCells count="14">
    <mergeCell ref="I4:J4"/>
    <mergeCell ref="T3:W3"/>
    <mergeCell ref="B3:C3"/>
    <mergeCell ref="T4:W4"/>
    <mergeCell ref="M4:O4"/>
    <mergeCell ref="M3:O3"/>
    <mergeCell ref="F4:H4"/>
    <mergeCell ref="D4:E4"/>
    <mergeCell ref="K4:L4"/>
    <mergeCell ref="F3:H3"/>
    <mergeCell ref="D3:E3"/>
    <mergeCell ref="B4:C4"/>
    <mergeCell ref="K3:L3"/>
    <mergeCell ref="I3:J3"/>
  </mergeCells>
  <conditionalFormatting sqref="AA8:AA57">
    <cfRule type="dataBar" priority="1">
      <dataBar showValue="1">
        <cfvo type="num" val="0"/>
        <cfvo type="num" val="1"/>
        <color rgb="00F2A1BF"/>
      </dataBar>
    </cfRule>
    <cfRule type="expression" priority="2" dxfId="8">
      <formula>AND(ISNUMBER(AA8),AA8&gt;=1)</formula>
    </cfRule>
  </conditionalFormatting>
  <conditionalFormatting sqref="Z8:Z57">
    <cfRule type="cellIs" priority="3" operator="equal" dxfId="1">
      <formula>0</formula>
    </cfRule>
  </conditionalFormatting>
  <conditionalFormatting sqref="Z62:Z91">
    <cfRule type="dataBar" priority="4">
      <dataBar showValue="1">
        <cfvo type="num" val="0"/>
        <cfvo type="num" val="1"/>
        <color rgb="00F2A1BF"/>
      </dataBar>
    </cfRule>
    <cfRule type="expression" priority="5" dxfId="8">
      <formula>AND(ISNUMBER(Z62),Z62&gt;=1)</formula>
    </cfRule>
  </conditionalFormatting>
  <conditionalFormatting sqref="Y62:Y91">
    <cfRule type="cellIs" priority="6" operator="equal" dxfId="1">
      <formula>0</formula>
    </cfRule>
  </conditionalFormatting>
  <conditionalFormatting sqref="A8:P207">
    <cfRule type="expression" priority="7" dxfId="5" stopIfTrue="0">
      <formula>MOD(ROW(),2)=0</formula>
    </cfRule>
  </conditionalFormatting>
  <conditionalFormatting sqref="O8:O207">
    <cfRule type="cellIs" priority="8" operator="equal" dxfId="3">
      <formula>"Được hoàn"</formula>
    </cfRule>
    <cfRule type="cellIs" priority="9" operator="equal" dxfId="2">
      <formula>"Hoàn một phần"</formula>
    </cfRule>
    <cfRule type="cellIs" priority="10" operator="equal" dxfId="1">
      <formula>"Đã đạt cap"</formula>
    </cfRule>
    <cfRule type="cellIs" priority="11" operator="equal" dxfId="4">
      <formula>"Không được hoàn"</formula>
    </cfRule>
    <cfRule type="cellIs" priority="12" operator="equal" dxfId="0">
      <formula>"Đã hủy"</formula>
    </cfRule>
  </conditionalFormatting>
  <conditionalFormatting sqref="K8:K207">
    <cfRule type="expression" priority="13" dxfId="7">
      <formula>AND(ISNUMBER($K8),$K8&gt;0)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F8C8DC"/>
    <outlinePr summaryBelow="1" summaryRight="1"/>
    <pageSetUpPr/>
  </sheetPr>
  <dimension ref="A1:AA20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13" customWidth="1" min="4" max="4"/>
    <col width="22" customWidth="1" min="5" max="5"/>
    <col width="8" customWidth="1" min="6" max="6"/>
    <col width="17" customWidth="1" min="7" max="7"/>
    <col width="14" customWidth="1" min="8" max="8"/>
    <col width="10" customWidth="1" min="9" max="9"/>
    <col width="15" customWidth="1" min="10" max="10"/>
    <col width="15" customWidth="1" min="11" max="11"/>
    <col width="14" customWidth="1" min="12" max="12"/>
    <col width="14" customWidth="1" min="13" max="13"/>
    <col width="15" customWidth="1" min="14" max="14"/>
    <col width="16" customWidth="1" min="15" max="15"/>
    <col width="14" customWidth="1" min="16" max="16"/>
    <col width="3" customWidth="1" min="17" max="17"/>
    <col width="3" customWidth="1" min="18" max="18"/>
    <col width="4" customWidth="1" min="19" max="19"/>
    <col width="12" customWidth="1" min="20" max="20"/>
    <col width="30" customWidth="1" min="21" max="21"/>
    <col width="15" customWidth="1" min="22" max="22"/>
    <col width="17" customWidth="1" min="23" max="23"/>
    <col width="15" customWidth="1" min="24" max="24"/>
    <col width="15" customWidth="1" min="25" max="25"/>
    <col width="15" customWidth="1" min="26" max="26"/>
    <col width="12" customWidth="1" min="27" max="27"/>
  </cols>
  <sheetData>
    <row r="1" ht="28" customHeight="1">
      <c r="B1" s="70" t="str">
        <f>"THÁNG "&amp;MOD($C$2,100)&amp;"/"&amp;INT($C$2/100)&amp;"   ♥"</f>
        <v>THÁNG 3/2026   ♥</v>
      </c>
    </row>
    <row r="2" ht="20" customHeight="1">
      <c r="B2" s="71" t="inlineStr">
        <is>
          <t>Mã tháng</t>
        </is>
      </c>
      <c r="C2" s="72" t="n">
        <v>202603</v>
      </c>
      <c r="E2" s="66" t="str">
        <f>HYPERLINK("#Dashboard!A1","← Dashboard")</f>
        <v>← Dashboard</v>
      </c>
      <c r="G2" s="66" t="str">
        <f>HYPERLINK("#TRANSACTIONS_MASTER!A1","Giao dịch (nhập ở đây) →")</f>
        <v>Giao dịch (nhập ở đây) →</v>
      </c>
      <c r="J2" s="66" t="str">
        <f>HYPERLINK("#'2026-03'!S6","Cap &amp; thẻ →")</f>
        <v>Cap &amp; thẻ →</v>
      </c>
      <c r="L2" s="66" t="str">
        <f>HYPERLINK("#'2026-03'!S95","Phân tích →")</f>
        <v>Phân tích →</v>
      </c>
      <c r="N2" s="66" t="str">
        <f>HYPERLINK("#'2026-03'!A1","↑ Đầu trang")</f>
        <v>↑ Đầu trang</v>
      </c>
      <c r="O2" s="73" t="inlineStr">
        <is>
          <t>Sheet này là bản xem tự động — nhập giao dịch ở TRANSACTIONS_MASTER</t>
        </is>
      </c>
    </row>
    <row r="3" ht="17" customHeight="1">
      <c r="B3" s="74" t="inlineStr">
        <is>
          <t>💰 Tổng chi tiêu</t>
        </is>
      </c>
      <c r="C3" s="75" t="n"/>
      <c r="D3" s="74" t="inlineStr">
        <is>
          <t>★ Tổng cashback (thực nhận)</t>
        </is>
      </c>
      <c r="E3" s="75" t="n"/>
      <c r="F3" s="74" t="inlineStr">
        <is>
          <t>Cashback còn có thể nhận</t>
        </is>
      </c>
      <c r="G3" s="75" t="n"/>
      <c r="H3" s="75" t="n"/>
      <c r="I3" s="74" t="inlineStr">
        <is>
          <t>Số giao dịch</t>
        </is>
      </c>
      <c r="J3" s="75" t="n"/>
      <c r="K3" s="74" t="inlineStr">
        <is>
          <t>Số thẻ sử dụng</t>
        </is>
      </c>
      <c r="L3" s="75" t="n"/>
      <c r="M3" s="74" t="inlineStr">
        <is>
          <t>Thẻ có cashback cao nhất</t>
        </is>
      </c>
      <c r="N3" s="75" t="n"/>
      <c r="O3" s="75" t="n"/>
      <c r="T3" s="74" t="inlineStr">
        <is>
          <t>Danh mục chi tiêu nhiều nhất</t>
        </is>
      </c>
      <c r="U3" s="75" t="n"/>
      <c r="V3" s="75" t="n"/>
      <c r="W3" s="75" t="n"/>
    </row>
    <row r="4" ht="30" customHeight="1">
      <c r="B4" s="76">
        <f>SUMIFS(TRANSACTIONS_MASTER!$L$5:$L$1204,TRANSACTIONS_MASTER!$C$5:$C$1204,$C$2,TRANSACTIONS_MASTER!$U$5:$U$1204,"&lt;&gt;Cancelled")</f>
        <v>0</v>
      </c>
      <c r="C4" s="77" t="n"/>
      <c r="D4" s="76">
        <f>SUMIFS(TRANSACTIONS_MASTER!$Q$5:$Q$1204,TRANSACTIONS_MASTER!$C$5:$C$1204,$C$2)</f>
        <v>0</v>
      </c>
      <c r="E4" s="77" t="n"/>
      <c r="F4" s="76">
        <f>SUM($Y$62:$Y$91)</f>
        <v>4500000</v>
      </c>
      <c r="G4" s="77" t="n"/>
      <c r="H4" s="77" t="n"/>
      <c r="I4" s="78">
        <f>COUNTIFS(TRANSACTIONS_MASTER!$C$5:$C$1204,$C$2,TRANSACTIONS_MASTER!$U$5:$U$1204,"&lt;&gt;Cancelled")</f>
        <v>0</v>
      </c>
      <c r="J4" s="77" t="n"/>
      <c r="K4" s="78">
        <f>COUNTIF($AA$62:$AA$91,"&gt;0")</f>
        <v>0</v>
      </c>
      <c r="L4" s="77" t="n"/>
      <c r="M4" s="79" t="str">
        <f>IF(MAX($W$62:$W$91)&gt;0,INDEX($U$62:$U$91,MATCH(MAX($W$62:$W$91),$W$62:$W$91,0)),"—")</f>
        <v>—</v>
      </c>
      <c r="N4" s="77" t="n"/>
      <c r="O4" s="77" t="n"/>
      <c r="T4" s="79" t="str">
        <f>IF(MAX($V$117:$V$131)&gt;0,INDEX($U$117:$U$131,MATCH(MAX($V$117:$V$131),$V$117:$V$131,0)),"—")</f>
        <v>—</v>
      </c>
      <c r="U4" s="77" t="n"/>
      <c r="V4" s="77" t="n"/>
      <c r="W4" s="77" t="n"/>
    </row>
    <row r="5" ht="6" customHeight="1"/>
    <row r="6" ht="22" customHeight="1">
      <c r="A6" s="19" t="inlineStr">
        <is>
          <t>GIAO DỊCH TRONG THÁNG</t>
        </is>
      </c>
      <c r="B6" s="20" t="n"/>
      <c r="C6" s="20" t="n"/>
      <c r="D6" s="20" t="n"/>
      <c r="E6" s="20" t="n"/>
      <c r="F6" s="20" t="n"/>
      <c r="G6" s="20" t="n"/>
      <c r="H6" s="80" t="str">
        <f>IF(COUNTIFS(TRANSACTIONS_MASTER!$C$5:$C$1204,$C$2)&gt;200,"⚠ Còn "&amp;(COUNTIFS(TRANSACTIONS_MASTER!$C$5:$C$1204,$C$2)-200)&amp;" giao dịch chưa hiển thị — xem TRANSACTIONS_MASTER","")</f>
        <v/>
      </c>
      <c r="I6" s="20" t="n"/>
      <c r="J6" s="20" t="n"/>
      <c r="K6" s="20" t="n"/>
      <c r="L6" s="20" t="n"/>
      <c r="M6" s="20" t="n"/>
      <c r="N6" s="20" t="n"/>
      <c r="O6" s="20" t="n"/>
      <c r="P6" s="20" t="n"/>
      <c r="T6" s="19" t="inlineStr">
        <is>
          <t>THEO DÕI CAP — TỪNG NHÓM CASHBACK (progress bar)</t>
        </is>
      </c>
      <c r="U6" s="20" t="n"/>
      <c r="V6" s="20" t="n"/>
      <c r="W6" s="20" t="n"/>
      <c r="X6" s="20" t="n"/>
      <c r="Y6" s="20" t="n"/>
      <c r="Z6" s="20" t="n"/>
      <c r="AA6" s="20" t="n"/>
    </row>
    <row r="7" ht="30" customHeight="1">
      <c r="A7" s="21" t="inlineStr">
        <is>
          <t>#</t>
        </is>
      </c>
      <c r="B7" s="21" t="inlineStr">
        <is>
          <t>Ngày</t>
        </is>
      </c>
      <c r="C7" s="21" t="inlineStr">
        <is>
          <t>Thẻ</t>
        </is>
      </c>
      <c r="D7" s="21" t="inlineStr">
        <is>
          <t>Ngân hàng</t>
        </is>
      </c>
      <c r="E7" s="21" t="inlineStr">
        <is>
          <t>Merchant</t>
        </is>
      </c>
      <c r="F7" s="21" t="inlineStr">
        <is>
          <t>MCC</t>
        </is>
      </c>
      <c r="G7" s="21" t="inlineStr">
        <is>
          <t>Danh mục</t>
        </is>
      </c>
      <c r="H7" s="21" t="inlineStr">
        <is>
          <t>Số tiền</t>
        </is>
      </c>
      <c r="I7" s="21" t="inlineStr">
        <is>
          <t>Cashback %</t>
        </is>
      </c>
      <c r="J7" s="21" t="inlineStr">
        <is>
          <t>Cashback tính toán</t>
        </is>
      </c>
      <c r="K7" s="21" t="inlineStr">
        <is>
          <t>Cashback thực nhận</t>
        </is>
      </c>
      <c r="L7" s="21" t="inlineStr">
        <is>
          <t>Cap danh mục</t>
        </is>
      </c>
      <c r="M7" s="21" t="inlineStr">
        <is>
          <t>Cap thẻ</t>
        </is>
      </c>
      <c r="N7" s="21" t="inlineStr">
        <is>
          <t>Cashback còn lại</t>
        </is>
      </c>
      <c r="O7" s="21" t="inlineStr">
        <is>
          <t>Trạng thái hoàn</t>
        </is>
      </c>
      <c r="P7" s="21" t="inlineStr">
        <is>
          <t>Nhóm cashback</t>
        </is>
      </c>
      <c r="Q7" s="21" t="inlineStr">
        <is>
          <t>⚙</t>
        </is>
      </c>
      <c r="S7" s="21" t="inlineStr">
        <is>
          <t>#</t>
        </is>
      </c>
      <c r="T7" s="21" t="inlineStr">
        <is>
          <t>Card ID</t>
        </is>
      </c>
      <c r="U7" s="21" t="inlineStr">
        <is>
          <t>Thẻ</t>
        </is>
      </c>
      <c r="V7" s="21" t="inlineStr">
        <is>
          <t>Nhóm</t>
        </is>
      </c>
      <c r="W7" s="21" t="inlineStr">
        <is>
          <t>Danh mục</t>
        </is>
      </c>
      <c r="X7" s="21" t="inlineStr">
        <is>
          <t>Đã cashback</t>
        </is>
      </c>
      <c r="Y7" s="21" t="inlineStr">
        <is>
          <t>Cap nhóm</t>
        </is>
      </c>
      <c r="Z7" s="21" t="inlineStr">
        <is>
          <t>Còn lại</t>
        </is>
      </c>
      <c r="AA7" s="21" t="inlineStr">
        <is>
          <t>Progress</t>
        </is>
      </c>
    </row>
    <row r="8" ht="20" customHeight="1">
      <c r="A8" s="81" t="str">
        <f>IF($Q8="","",1)</f>
        <v/>
      </c>
      <c r="B8" s="57" t="str">
        <f>IF($Q8="","",INDEX(TRANSACTIONS_MASTER!$B$5:$B$1204,$Q8))</f>
        <v/>
      </c>
      <c r="C8" s="55" t="str">
        <f>IF($Q8="","",INDEX(TRANSACTIONS_MASTER!$F$5:$F$1204,$Q8))</f>
        <v/>
      </c>
      <c r="D8" s="55" t="str">
        <f>IF($Q8="","",INDEX(TRANSACTIONS_MASTER!$E$5:$E$1204,$Q8))</f>
        <v/>
      </c>
      <c r="E8" s="55" t="str">
        <f>IF($Q8="","",INDEX(TRANSACTIONS_MASTER!$G$5:$G$1204,$Q8)&amp;"")</f>
        <v/>
      </c>
      <c r="F8" s="29" t="str">
        <f>IF($Q8="","",INDEX(TRANSACTIONS_MASTER!$I$5:$I$1204,$Q8))</f>
        <v/>
      </c>
      <c r="G8" s="55" t="str">
        <f>IF($Q8="","",INDEX(TRANSACTIONS_MASTER!$K$5:$K$1204,$Q8))</f>
        <v/>
      </c>
      <c r="H8" s="25" t="str">
        <f>IF($Q8="","",INDEX(TRANSACTIONS_MASTER!$L$5:$L$1204,$Q8))</f>
        <v/>
      </c>
      <c r="I8" s="56" t="str">
        <f>IF($Q8="","",INDEX(TRANSACTIONS_MASTER!$N$5:$N$1204,$Q8))</f>
        <v/>
      </c>
      <c r="J8" s="25" t="str">
        <f>IF($Q8="","",INDEX(TRANSACTIONS_MASTER!$O$5:$O$1204,$Q8))</f>
        <v/>
      </c>
      <c r="K8" s="26" t="str">
        <f>IF($Q8="","",INDEX(TRANSACTIONS_MASTER!$Q$5:$Q$1204,$Q8))</f>
        <v/>
      </c>
      <c r="L8" s="25" t="str">
        <f>IF($Q8="","",INDEX(TRANSACTIONS_MASTER!$P$5:$P$1204,$Q8))</f>
        <v/>
      </c>
      <c r="M8" s="25" t="str">
        <f>IF($Q8="","",INDEX(TRANSACTIONS_MASTER!$AA$5:$AA$1204,$Q8))</f>
        <v/>
      </c>
      <c r="N8" s="25" t="str">
        <f>IF($Q8="","",INDEX(TRANSACTIONS_MASTER!$R$5:$R$1204,$Q8))</f>
        <v/>
      </c>
      <c r="O8" s="28" t="str">
        <f>IF($Q8="","",INDEX(TRANSACTIONS_MASTER!$AB$5:$AB$1204,$Q8))</f>
        <v/>
      </c>
      <c r="P8" s="55" t="str">
        <f>IF($Q8="","",INDEX(TRANSACTIONS_MASTER!$Z$5:$Z$1204,$Q8)&amp;"")</f>
        <v/>
      </c>
      <c r="Q8" s="67" t="str">
        <f>IFERROR(MATCH($C$2&amp;"|"&amp;1,TRANSACTIONS_MASTER!$AE$5:$AE$1204,0),"")</f>
        <v/>
      </c>
      <c r="S8" s="67">
        <f>IFERROR(MATCH(1,CASHBACK_RULES!$S$5:$S$304,0),"")</f>
        <v>1</v>
      </c>
      <c r="T8" s="55" t="str">
        <f>IF($S8="","",INDEX(CASHBACK_RULES!$B$5:$B$304,$S8))</f>
        <v>VPB-JCBZ</v>
      </c>
      <c r="U8" s="55" t="str">
        <f>IF($S8="","",INDEX(CASHBACK_RULES!$C$5:$C$304,$S8)&amp;" "&amp;INDEX(CASHBACK_RULES!$D$5:$D$304,$S8))</f>
        <v>VPBank JCB Z Card</v>
      </c>
      <c r="V8" s="55" t="str">
        <f>IF($S8="","",INDEX(CASHBACK_RULES!$E$5:$E$304,$S8)&amp;"")</f>
        <v>Group 1</v>
      </c>
      <c r="W8" s="55" t="str">
        <f>IF($S8="","",INDEX(CASHBACK_RULES!$F$5:$F$304,$S8)&amp;"")</f>
        <v>Dining</v>
      </c>
      <c r="X8" s="26">
        <f>IF($S8="","",SUMIFS(TRANSACTIONS_MASTER!$Q$5:$Q$1204,TRANSACTIONS_MASTER!$D$5:$D$1204,$T8,TRANSACTIONS_MASTER!$Z$5:$Z$1204,$V8,TRANSACTIONS_MASTER!$C$5:$C$1204,$C$2))</f>
        <v>0</v>
      </c>
      <c r="Y8" s="25">
        <f>IF($S8="","",IF(ISNUMBER(INDEX(CASHBACK_RULES!$J$5:$J$304,$S8)),INDEX(CASHBACK_RULES!$J$5:$J$304,$S8),"∞"))</f>
        <v>500000</v>
      </c>
      <c r="Z8" s="25">
        <f>IF($S8="","",IF(ISNUMBER($Y8),MAX(0,$Y8-$X8),"∞"))</f>
        <v>500000</v>
      </c>
      <c r="AA8" s="27">
        <f>IF($S8="","",IF(ISNUMBER($Y8),IF($Y8=0,0,$X8/$Y8),""))</f>
        <v>0</v>
      </c>
    </row>
    <row r="9" ht="20" customHeight="1">
      <c r="A9" s="81" t="str">
        <f>IF($Q9="","",2)</f>
        <v/>
      </c>
      <c r="B9" s="57" t="str">
        <f>IF($Q9="","",INDEX(TRANSACTIONS_MASTER!$B$5:$B$1204,$Q9))</f>
        <v/>
      </c>
      <c r="C9" s="55" t="str">
        <f>IF($Q9="","",INDEX(TRANSACTIONS_MASTER!$F$5:$F$1204,$Q9))</f>
        <v/>
      </c>
      <c r="D9" s="55" t="str">
        <f>IF($Q9="","",INDEX(TRANSACTIONS_MASTER!$E$5:$E$1204,$Q9))</f>
        <v/>
      </c>
      <c r="E9" s="55" t="str">
        <f>IF($Q9="","",INDEX(TRANSACTIONS_MASTER!$G$5:$G$1204,$Q9)&amp;"")</f>
        <v/>
      </c>
      <c r="F9" s="29" t="str">
        <f>IF($Q9="","",INDEX(TRANSACTIONS_MASTER!$I$5:$I$1204,$Q9))</f>
        <v/>
      </c>
      <c r="G9" s="55" t="str">
        <f>IF($Q9="","",INDEX(TRANSACTIONS_MASTER!$K$5:$K$1204,$Q9))</f>
        <v/>
      </c>
      <c r="H9" s="25" t="str">
        <f>IF($Q9="","",INDEX(TRANSACTIONS_MASTER!$L$5:$L$1204,$Q9))</f>
        <v/>
      </c>
      <c r="I9" s="56" t="str">
        <f>IF($Q9="","",INDEX(TRANSACTIONS_MASTER!$N$5:$N$1204,$Q9))</f>
        <v/>
      </c>
      <c r="J9" s="25" t="str">
        <f>IF($Q9="","",INDEX(TRANSACTIONS_MASTER!$O$5:$O$1204,$Q9))</f>
        <v/>
      </c>
      <c r="K9" s="26" t="str">
        <f>IF($Q9="","",INDEX(TRANSACTIONS_MASTER!$Q$5:$Q$1204,$Q9))</f>
        <v/>
      </c>
      <c r="L9" s="25" t="str">
        <f>IF($Q9="","",INDEX(TRANSACTIONS_MASTER!$P$5:$P$1204,$Q9))</f>
        <v/>
      </c>
      <c r="M9" s="25" t="str">
        <f>IF($Q9="","",INDEX(TRANSACTIONS_MASTER!$AA$5:$AA$1204,$Q9))</f>
        <v/>
      </c>
      <c r="N9" s="25" t="str">
        <f>IF($Q9="","",INDEX(TRANSACTIONS_MASTER!$R$5:$R$1204,$Q9))</f>
        <v/>
      </c>
      <c r="O9" s="28" t="str">
        <f>IF($Q9="","",INDEX(TRANSACTIONS_MASTER!$AB$5:$AB$1204,$Q9))</f>
        <v/>
      </c>
      <c r="P9" s="55" t="str">
        <f>IF($Q9="","",INDEX(TRANSACTIONS_MASTER!$Z$5:$Z$1204,$Q9)&amp;"")</f>
        <v/>
      </c>
      <c r="Q9" s="67" t="str">
        <f>IFERROR(MATCH($C$2&amp;"|"&amp;2,TRANSACTIONS_MASTER!$AE$5:$AE$1204,0),"")</f>
        <v/>
      </c>
      <c r="S9" s="67">
        <f>IFERROR(MATCH(2,CASHBACK_RULES!$S$5:$S$304,0),"")</f>
        <v>5</v>
      </c>
      <c r="T9" s="55" t="str">
        <f>IF($S9="","",INDEX(CASHBACK_RULES!$B$5:$B$304,$S9))</f>
        <v>VPB-JCBZ</v>
      </c>
      <c r="U9" s="55" t="str">
        <f>IF($S9="","",INDEX(CASHBACK_RULES!$C$5:$C$304,$S9)&amp;" "&amp;INDEX(CASHBACK_RULES!$D$5:$D$304,$S9))</f>
        <v>VPBank JCB Z Card</v>
      </c>
      <c r="V9" s="55" t="str">
        <f>IF($S9="","",INDEX(CASHBACK_RULES!$E$5:$E$304,$S9)&amp;"")</f>
        <v>Group 2</v>
      </c>
      <c r="W9" s="55" t="str">
        <f>IF($S9="","",INDEX(CASHBACK_RULES!$F$5:$F$304,$S9)&amp;"")</f>
        <v>Entertainment / Fitness</v>
      </c>
      <c r="X9" s="26">
        <f>IF($S9="","",SUMIFS(TRANSACTIONS_MASTER!$Q$5:$Q$1204,TRANSACTIONS_MASTER!$D$5:$D$1204,$T9,TRANSACTIONS_MASTER!$Z$5:$Z$1204,$V9,TRANSACTIONS_MASTER!$C$5:$C$1204,$C$2))</f>
        <v>0</v>
      </c>
      <c r="Y9" s="25">
        <f>IF($S9="","",IF(ISNUMBER(INDEX(CASHBACK_RULES!$J$5:$J$304,$S9)),INDEX(CASHBACK_RULES!$J$5:$J$304,$S9),"∞"))</f>
        <v>500000</v>
      </c>
      <c r="Z9" s="25">
        <f>IF($S9="","",IF(ISNUMBER($Y9),MAX(0,$Y9-$X9),"∞"))</f>
        <v>500000</v>
      </c>
      <c r="AA9" s="27">
        <f>IF($S9="","",IF(ISNUMBER($Y9),IF($Y9=0,0,$X9/$Y9),""))</f>
        <v>0</v>
      </c>
    </row>
    <row r="10" ht="20" customHeight="1">
      <c r="A10" s="81" t="str">
        <f>IF($Q10="","",3)</f>
        <v/>
      </c>
      <c r="B10" s="57" t="str">
        <f>IF($Q10="","",INDEX(TRANSACTIONS_MASTER!$B$5:$B$1204,$Q10))</f>
        <v/>
      </c>
      <c r="C10" s="55" t="str">
        <f>IF($Q10="","",INDEX(TRANSACTIONS_MASTER!$F$5:$F$1204,$Q10))</f>
        <v/>
      </c>
      <c r="D10" s="55" t="str">
        <f>IF($Q10="","",INDEX(TRANSACTIONS_MASTER!$E$5:$E$1204,$Q10))</f>
        <v/>
      </c>
      <c r="E10" s="55" t="str">
        <f>IF($Q10="","",INDEX(TRANSACTIONS_MASTER!$G$5:$G$1204,$Q10)&amp;"")</f>
        <v/>
      </c>
      <c r="F10" s="29" t="str">
        <f>IF($Q10="","",INDEX(TRANSACTIONS_MASTER!$I$5:$I$1204,$Q10))</f>
        <v/>
      </c>
      <c r="G10" s="55" t="str">
        <f>IF($Q10="","",INDEX(TRANSACTIONS_MASTER!$K$5:$K$1204,$Q10))</f>
        <v/>
      </c>
      <c r="H10" s="25" t="str">
        <f>IF($Q10="","",INDEX(TRANSACTIONS_MASTER!$L$5:$L$1204,$Q10))</f>
        <v/>
      </c>
      <c r="I10" s="56" t="str">
        <f>IF($Q10="","",INDEX(TRANSACTIONS_MASTER!$N$5:$N$1204,$Q10))</f>
        <v/>
      </c>
      <c r="J10" s="25" t="str">
        <f>IF($Q10="","",INDEX(TRANSACTIONS_MASTER!$O$5:$O$1204,$Q10))</f>
        <v/>
      </c>
      <c r="K10" s="26" t="str">
        <f>IF($Q10="","",INDEX(TRANSACTIONS_MASTER!$Q$5:$Q$1204,$Q10))</f>
        <v/>
      </c>
      <c r="L10" s="25" t="str">
        <f>IF($Q10="","",INDEX(TRANSACTIONS_MASTER!$P$5:$P$1204,$Q10))</f>
        <v/>
      </c>
      <c r="M10" s="25" t="str">
        <f>IF($Q10="","",INDEX(TRANSACTIONS_MASTER!$AA$5:$AA$1204,$Q10))</f>
        <v/>
      </c>
      <c r="N10" s="25" t="str">
        <f>IF($Q10="","",INDEX(TRANSACTIONS_MASTER!$R$5:$R$1204,$Q10))</f>
        <v/>
      </c>
      <c r="O10" s="28" t="str">
        <f>IF($Q10="","",INDEX(TRANSACTIONS_MASTER!$AB$5:$AB$1204,$Q10))</f>
        <v/>
      </c>
      <c r="P10" s="55" t="str">
        <f>IF($Q10="","",INDEX(TRANSACTIONS_MASTER!$Z$5:$Z$1204,$Q10)&amp;"")</f>
        <v/>
      </c>
      <c r="Q10" s="67" t="str">
        <f>IFERROR(MATCH($C$2&amp;"|"&amp;3,TRANSACTIONS_MASTER!$AE$5:$AE$1204,0),"")</f>
        <v/>
      </c>
      <c r="S10" s="67">
        <f>IFERROR(MATCH(3,CASHBACK_RULES!$S$5:$S$304,0),"")</f>
        <v>9</v>
      </c>
      <c r="T10" s="55" t="str">
        <f>IF($S10="","",INDEX(CASHBACK_RULES!$B$5:$B$304,$S10))</f>
        <v>VPB-JCBZ</v>
      </c>
      <c r="U10" s="55" t="str">
        <f>IF($S10="","",INDEX(CASHBACK_RULES!$C$5:$C$304,$S10)&amp;" "&amp;INDEX(CASHBACK_RULES!$D$5:$D$304,$S10))</f>
        <v>VPBank JCB Z Card</v>
      </c>
      <c r="V10" s="55" t="str">
        <f>IF($S10="","",INDEX(CASHBACK_RULES!$E$5:$E$304,$S10)&amp;"")</f>
        <v>Group 3</v>
      </c>
      <c r="W10" s="55" t="str">
        <f>IF($S10="","",INDEX(CASHBACK_RULES!$F$5:$F$304,$S10)&amp;"")</f>
        <v>Transport / Food Delivery</v>
      </c>
      <c r="X10" s="26">
        <f>IF($S10="","",SUMIFS(TRANSACTIONS_MASTER!$Q$5:$Q$1204,TRANSACTIONS_MASTER!$D$5:$D$1204,$T10,TRANSACTIONS_MASTER!$Z$5:$Z$1204,$V10,TRANSACTIONS_MASTER!$C$5:$C$1204,$C$2))</f>
        <v>0</v>
      </c>
      <c r="Y10" s="25">
        <f>IF($S10="","",IF(ISNUMBER(INDEX(CASHBACK_RULES!$J$5:$J$304,$S10)),INDEX(CASHBACK_RULES!$J$5:$J$304,$S10),"∞"))</f>
        <v>500000</v>
      </c>
      <c r="Z10" s="25">
        <f>IF($S10="","",IF(ISNUMBER($Y10),MAX(0,$Y10-$X10),"∞"))</f>
        <v>500000</v>
      </c>
      <c r="AA10" s="27">
        <f>IF($S10="","",IF(ISNUMBER($Y10),IF($Y10=0,0,$X10/$Y10),""))</f>
        <v>0</v>
      </c>
    </row>
    <row r="11" ht="20" customHeight="1">
      <c r="A11" s="81" t="str">
        <f>IF($Q11="","",4)</f>
        <v/>
      </c>
      <c r="B11" s="57" t="str">
        <f>IF($Q11="","",INDEX(TRANSACTIONS_MASTER!$B$5:$B$1204,$Q11))</f>
        <v/>
      </c>
      <c r="C11" s="55" t="str">
        <f>IF($Q11="","",INDEX(TRANSACTIONS_MASTER!$F$5:$F$1204,$Q11))</f>
        <v/>
      </c>
      <c r="D11" s="55" t="str">
        <f>IF($Q11="","",INDEX(TRANSACTIONS_MASTER!$E$5:$E$1204,$Q11))</f>
        <v/>
      </c>
      <c r="E11" s="55" t="str">
        <f>IF($Q11="","",INDEX(TRANSACTIONS_MASTER!$G$5:$G$1204,$Q11)&amp;"")</f>
        <v/>
      </c>
      <c r="F11" s="29" t="str">
        <f>IF($Q11="","",INDEX(TRANSACTIONS_MASTER!$I$5:$I$1204,$Q11))</f>
        <v/>
      </c>
      <c r="G11" s="55" t="str">
        <f>IF($Q11="","",INDEX(TRANSACTIONS_MASTER!$K$5:$K$1204,$Q11))</f>
        <v/>
      </c>
      <c r="H11" s="25" t="str">
        <f>IF($Q11="","",INDEX(TRANSACTIONS_MASTER!$L$5:$L$1204,$Q11))</f>
        <v/>
      </c>
      <c r="I11" s="56" t="str">
        <f>IF($Q11="","",INDEX(TRANSACTIONS_MASTER!$N$5:$N$1204,$Q11))</f>
        <v/>
      </c>
      <c r="J11" s="25" t="str">
        <f>IF($Q11="","",INDEX(TRANSACTIONS_MASTER!$O$5:$O$1204,$Q11))</f>
        <v/>
      </c>
      <c r="K11" s="26" t="str">
        <f>IF($Q11="","",INDEX(TRANSACTIONS_MASTER!$Q$5:$Q$1204,$Q11))</f>
        <v/>
      </c>
      <c r="L11" s="25" t="str">
        <f>IF($Q11="","",INDEX(TRANSACTIONS_MASTER!$P$5:$P$1204,$Q11))</f>
        <v/>
      </c>
      <c r="M11" s="25" t="str">
        <f>IF($Q11="","",INDEX(TRANSACTIONS_MASTER!$AA$5:$AA$1204,$Q11))</f>
        <v/>
      </c>
      <c r="N11" s="25" t="str">
        <f>IF($Q11="","",INDEX(TRANSACTIONS_MASTER!$R$5:$R$1204,$Q11))</f>
        <v/>
      </c>
      <c r="O11" s="28" t="str">
        <f>IF($Q11="","",INDEX(TRANSACTIONS_MASTER!$AB$5:$AB$1204,$Q11))</f>
        <v/>
      </c>
      <c r="P11" s="55" t="str">
        <f>IF($Q11="","",INDEX(TRANSACTIONS_MASTER!$Z$5:$Z$1204,$Q11)&amp;"")</f>
        <v/>
      </c>
      <c r="Q11" s="67" t="str">
        <f>IFERROR(MATCH($C$2&amp;"|"&amp;4,TRANSACTIONS_MASTER!$AE$5:$AE$1204,0),"")</f>
        <v/>
      </c>
      <c r="S11" s="67">
        <f>IFERROR(MATCH(4,CASHBACK_RULES!$S$5:$S$304,0),"")</f>
        <v>11</v>
      </c>
      <c r="T11" s="55" t="str">
        <f>IF($S11="","",INDEX(CASHBACK_RULES!$B$5:$B$304,$S11))</f>
        <v>VIB-A</v>
      </c>
      <c r="U11" s="55" t="str">
        <f>IF($S11="","",INDEX(CASHBACK_RULES!$C$5:$C$304,$S11)&amp;" "&amp;INDEX(CASHBACK_RULES!$D$5:$D$304,$S11))</f>
        <v>VIB Cashback Demo A</v>
      </c>
      <c r="V11" s="55" t="str">
        <f>IF($S11="","",INDEX(CASHBACK_RULES!$E$5:$E$304,$S11)&amp;"")</f>
        <v>Group 1</v>
      </c>
      <c r="W11" s="55" t="str">
        <f>IF($S11="","",INDEX(CASHBACK_RULES!$F$5:$F$304,$S11)&amp;"")</f>
        <v>Groceries</v>
      </c>
      <c r="X11" s="26">
        <f>IF($S11="","",SUMIFS(TRANSACTIONS_MASTER!$Q$5:$Q$1204,TRANSACTIONS_MASTER!$D$5:$D$1204,$T11,TRANSACTIONS_MASTER!$Z$5:$Z$1204,$V11,TRANSACTIONS_MASTER!$C$5:$C$1204,$C$2))</f>
        <v>0</v>
      </c>
      <c r="Y11" s="25">
        <f>IF($S11="","",IF(ISNUMBER(INDEX(CASHBACK_RULES!$J$5:$J$304,$S11)),INDEX(CASHBACK_RULES!$J$5:$J$304,$S11),"∞"))</f>
        <v>500000</v>
      </c>
      <c r="Z11" s="25">
        <f>IF($S11="","",IF(ISNUMBER($Y11),MAX(0,$Y11-$X11),"∞"))</f>
        <v>500000</v>
      </c>
      <c r="AA11" s="27">
        <f>IF($S11="","",IF(ISNUMBER($Y11),IF($Y11=0,0,$X11/$Y11),""))</f>
        <v>0</v>
      </c>
    </row>
    <row r="12" ht="20" customHeight="1">
      <c r="A12" s="81" t="str">
        <f>IF($Q12="","",5)</f>
        <v/>
      </c>
      <c r="B12" s="57" t="str">
        <f>IF($Q12="","",INDEX(TRANSACTIONS_MASTER!$B$5:$B$1204,$Q12))</f>
        <v/>
      </c>
      <c r="C12" s="55" t="str">
        <f>IF($Q12="","",INDEX(TRANSACTIONS_MASTER!$F$5:$F$1204,$Q12))</f>
        <v/>
      </c>
      <c r="D12" s="55" t="str">
        <f>IF($Q12="","",INDEX(TRANSACTIONS_MASTER!$E$5:$E$1204,$Q12))</f>
        <v/>
      </c>
      <c r="E12" s="55" t="str">
        <f>IF($Q12="","",INDEX(TRANSACTIONS_MASTER!$G$5:$G$1204,$Q12)&amp;"")</f>
        <v/>
      </c>
      <c r="F12" s="29" t="str">
        <f>IF($Q12="","",INDEX(TRANSACTIONS_MASTER!$I$5:$I$1204,$Q12))</f>
        <v/>
      </c>
      <c r="G12" s="55" t="str">
        <f>IF($Q12="","",INDEX(TRANSACTIONS_MASTER!$K$5:$K$1204,$Q12))</f>
        <v/>
      </c>
      <c r="H12" s="25" t="str">
        <f>IF($Q12="","",INDEX(TRANSACTIONS_MASTER!$L$5:$L$1204,$Q12))</f>
        <v/>
      </c>
      <c r="I12" s="56" t="str">
        <f>IF($Q12="","",INDEX(TRANSACTIONS_MASTER!$N$5:$N$1204,$Q12))</f>
        <v/>
      </c>
      <c r="J12" s="25" t="str">
        <f>IF($Q12="","",INDEX(TRANSACTIONS_MASTER!$O$5:$O$1204,$Q12))</f>
        <v/>
      </c>
      <c r="K12" s="26" t="str">
        <f>IF($Q12="","",INDEX(TRANSACTIONS_MASTER!$Q$5:$Q$1204,$Q12))</f>
        <v/>
      </c>
      <c r="L12" s="25" t="str">
        <f>IF($Q12="","",INDEX(TRANSACTIONS_MASTER!$P$5:$P$1204,$Q12))</f>
        <v/>
      </c>
      <c r="M12" s="25" t="str">
        <f>IF($Q12="","",INDEX(TRANSACTIONS_MASTER!$AA$5:$AA$1204,$Q12))</f>
        <v/>
      </c>
      <c r="N12" s="25" t="str">
        <f>IF($Q12="","",INDEX(TRANSACTIONS_MASTER!$R$5:$R$1204,$Q12))</f>
        <v/>
      </c>
      <c r="O12" s="28" t="str">
        <f>IF($Q12="","",INDEX(TRANSACTIONS_MASTER!$AB$5:$AB$1204,$Q12))</f>
        <v/>
      </c>
      <c r="P12" s="55" t="str">
        <f>IF($Q12="","",INDEX(TRANSACTIONS_MASTER!$Z$5:$Z$1204,$Q12)&amp;"")</f>
        <v/>
      </c>
      <c r="Q12" s="67" t="str">
        <f>IFERROR(MATCH($C$2&amp;"|"&amp;5,TRANSACTIONS_MASTER!$AE$5:$AE$1204,0),"")</f>
        <v/>
      </c>
      <c r="S12" s="67">
        <f>IFERROR(MATCH(5,CASHBACK_RULES!$S$5:$S$304,0),"")</f>
        <v>13</v>
      </c>
      <c r="T12" s="55" t="str">
        <f>IF($S12="","",INDEX(CASHBACK_RULES!$B$5:$B$304,$S12))</f>
        <v>VIB-A</v>
      </c>
      <c r="U12" s="55" t="str">
        <f>IF($S12="","",INDEX(CASHBACK_RULES!$C$5:$C$304,$S12)&amp;" "&amp;INDEX(CASHBACK_RULES!$D$5:$D$304,$S12))</f>
        <v>VIB Cashback Demo A</v>
      </c>
      <c r="V12" s="55" t="str">
        <f>IF($S12="","",INDEX(CASHBACK_RULES!$E$5:$E$304,$S12)&amp;"")</f>
        <v>Group 2</v>
      </c>
      <c r="W12" s="55" t="str">
        <f>IF($S12="","",INDEX(CASHBACK_RULES!$F$5:$F$304,$S12)&amp;"")</f>
        <v>Shopping</v>
      </c>
      <c r="X12" s="26">
        <f>IF($S12="","",SUMIFS(TRANSACTIONS_MASTER!$Q$5:$Q$1204,TRANSACTIONS_MASTER!$D$5:$D$1204,$T12,TRANSACTIONS_MASTER!$Z$5:$Z$1204,$V12,TRANSACTIONS_MASTER!$C$5:$C$1204,$C$2))</f>
        <v>0</v>
      </c>
      <c r="Y12" s="25">
        <f>IF($S12="","",IF(ISNUMBER(INDEX(CASHBACK_RULES!$J$5:$J$304,$S12)),INDEX(CASHBACK_RULES!$J$5:$J$304,$S12),"∞"))</f>
        <v>500000</v>
      </c>
      <c r="Z12" s="25">
        <f>IF($S12="","",IF(ISNUMBER($Y12),MAX(0,$Y12-$X12),"∞"))</f>
        <v>500000</v>
      </c>
      <c r="AA12" s="27">
        <f>IF($S12="","",IF(ISNUMBER($Y12),IF($Y12=0,0,$X12/$Y12),""))</f>
        <v>0</v>
      </c>
    </row>
    <row r="13" ht="20" customHeight="1">
      <c r="A13" s="81" t="str">
        <f>IF($Q13="","",6)</f>
        <v/>
      </c>
      <c r="B13" s="57" t="str">
        <f>IF($Q13="","",INDEX(TRANSACTIONS_MASTER!$B$5:$B$1204,$Q13))</f>
        <v/>
      </c>
      <c r="C13" s="55" t="str">
        <f>IF($Q13="","",INDEX(TRANSACTIONS_MASTER!$F$5:$F$1204,$Q13))</f>
        <v/>
      </c>
      <c r="D13" s="55" t="str">
        <f>IF($Q13="","",INDEX(TRANSACTIONS_MASTER!$E$5:$E$1204,$Q13))</f>
        <v/>
      </c>
      <c r="E13" s="55" t="str">
        <f>IF($Q13="","",INDEX(TRANSACTIONS_MASTER!$G$5:$G$1204,$Q13)&amp;"")</f>
        <v/>
      </c>
      <c r="F13" s="29" t="str">
        <f>IF($Q13="","",INDEX(TRANSACTIONS_MASTER!$I$5:$I$1204,$Q13))</f>
        <v/>
      </c>
      <c r="G13" s="55" t="str">
        <f>IF($Q13="","",INDEX(TRANSACTIONS_MASTER!$K$5:$K$1204,$Q13))</f>
        <v/>
      </c>
      <c r="H13" s="25" t="str">
        <f>IF($Q13="","",INDEX(TRANSACTIONS_MASTER!$L$5:$L$1204,$Q13))</f>
        <v/>
      </c>
      <c r="I13" s="56" t="str">
        <f>IF($Q13="","",INDEX(TRANSACTIONS_MASTER!$N$5:$N$1204,$Q13))</f>
        <v/>
      </c>
      <c r="J13" s="25" t="str">
        <f>IF($Q13="","",INDEX(TRANSACTIONS_MASTER!$O$5:$O$1204,$Q13))</f>
        <v/>
      </c>
      <c r="K13" s="26" t="str">
        <f>IF($Q13="","",INDEX(TRANSACTIONS_MASTER!$Q$5:$Q$1204,$Q13))</f>
        <v/>
      </c>
      <c r="L13" s="25" t="str">
        <f>IF($Q13="","",INDEX(TRANSACTIONS_MASTER!$P$5:$P$1204,$Q13))</f>
        <v/>
      </c>
      <c r="M13" s="25" t="str">
        <f>IF($Q13="","",INDEX(TRANSACTIONS_MASTER!$AA$5:$AA$1204,$Q13))</f>
        <v/>
      </c>
      <c r="N13" s="25" t="str">
        <f>IF($Q13="","",INDEX(TRANSACTIONS_MASTER!$R$5:$R$1204,$Q13))</f>
        <v/>
      </c>
      <c r="O13" s="28" t="str">
        <f>IF($Q13="","",INDEX(TRANSACTIONS_MASTER!$AB$5:$AB$1204,$Q13))</f>
        <v/>
      </c>
      <c r="P13" s="55" t="str">
        <f>IF($Q13="","",INDEX(TRANSACTIONS_MASTER!$Z$5:$Z$1204,$Q13)&amp;"")</f>
        <v/>
      </c>
      <c r="Q13" s="67" t="str">
        <f>IFERROR(MATCH($C$2&amp;"|"&amp;6,TRANSACTIONS_MASTER!$AE$5:$AE$1204,0),"")</f>
        <v/>
      </c>
      <c r="S13" s="67">
        <f>IFERROR(MATCH(6,CASHBACK_RULES!$S$5:$S$304,0),"")</f>
        <v>15</v>
      </c>
      <c r="T13" s="55" t="str">
        <f>IF($S13="","",INDEX(CASHBACK_RULES!$B$5:$B$304,$S13))</f>
        <v>TCB-B</v>
      </c>
      <c r="U13" s="55" t="str">
        <f>IF($S13="","",INDEX(CASHBACK_RULES!$C$5:$C$304,$S13)&amp;" "&amp;INDEX(CASHBACK_RULES!$D$5:$D$304,$S13))</f>
        <v>Techcombank Cashback Demo B</v>
      </c>
      <c r="V13" s="55" t="str">
        <f>IF($S13="","",INDEX(CASHBACK_RULES!$E$5:$E$304,$S13)&amp;"")</f>
        <v>Group 1</v>
      </c>
      <c r="W13" s="55" t="str">
        <f>IF($S13="","",INDEX(CASHBACK_RULES!$F$5:$F$304,$S13)&amp;"")</f>
        <v>Fuel &amp; Transport</v>
      </c>
      <c r="X13" s="26">
        <f>IF($S13="","",SUMIFS(TRANSACTIONS_MASTER!$Q$5:$Q$1204,TRANSACTIONS_MASTER!$D$5:$D$1204,$T13,TRANSACTIONS_MASTER!$Z$5:$Z$1204,$V13,TRANSACTIONS_MASTER!$C$5:$C$1204,$C$2))</f>
        <v>0</v>
      </c>
      <c r="Y13" s="25">
        <f>IF($S13="","",IF(ISNUMBER(INDEX(CASHBACK_RULES!$J$5:$J$304,$S13)),INDEX(CASHBACK_RULES!$J$5:$J$304,$S13),"∞"))</f>
        <v>300000</v>
      </c>
      <c r="Z13" s="25">
        <f>IF($S13="","",IF(ISNUMBER($Y13),MAX(0,$Y13-$X13),"∞"))</f>
        <v>300000</v>
      </c>
      <c r="AA13" s="27">
        <f>IF($S13="","",IF(ISNUMBER($Y13),IF($Y13=0,0,$X13/$Y13),""))</f>
        <v>0</v>
      </c>
    </row>
    <row r="14" ht="20" customHeight="1">
      <c r="A14" s="81" t="str">
        <f>IF($Q14="","",7)</f>
        <v/>
      </c>
      <c r="B14" s="57" t="str">
        <f>IF($Q14="","",INDEX(TRANSACTIONS_MASTER!$B$5:$B$1204,$Q14))</f>
        <v/>
      </c>
      <c r="C14" s="55" t="str">
        <f>IF($Q14="","",INDEX(TRANSACTIONS_MASTER!$F$5:$F$1204,$Q14))</f>
        <v/>
      </c>
      <c r="D14" s="55" t="str">
        <f>IF($Q14="","",INDEX(TRANSACTIONS_MASTER!$E$5:$E$1204,$Q14))</f>
        <v/>
      </c>
      <c r="E14" s="55" t="str">
        <f>IF($Q14="","",INDEX(TRANSACTIONS_MASTER!$G$5:$G$1204,$Q14)&amp;"")</f>
        <v/>
      </c>
      <c r="F14" s="29" t="str">
        <f>IF($Q14="","",INDEX(TRANSACTIONS_MASTER!$I$5:$I$1204,$Q14))</f>
        <v/>
      </c>
      <c r="G14" s="55" t="str">
        <f>IF($Q14="","",INDEX(TRANSACTIONS_MASTER!$K$5:$K$1204,$Q14))</f>
        <v/>
      </c>
      <c r="H14" s="25" t="str">
        <f>IF($Q14="","",INDEX(TRANSACTIONS_MASTER!$L$5:$L$1204,$Q14))</f>
        <v/>
      </c>
      <c r="I14" s="56" t="str">
        <f>IF($Q14="","",INDEX(TRANSACTIONS_MASTER!$N$5:$N$1204,$Q14))</f>
        <v/>
      </c>
      <c r="J14" s="25" t="str">
        <f>IF($Q14="","",INDEX(TRANSACTIONS_MASTER!$O$5:$O$1204,$Q14))</f>
        <v/>
      </c>
      <c r="K14" s="26" t="str">
        <f>IF($Q14="","",INDEX(TRANSACTIONS_MASTER!$Q$5:$Q$1204,$Q14))</f>
        <v/>
      </c>
      <c r="L14" s="25" t="str">
        <f>IF($Q14="","",INDEX(TRANSACTIONS_MASTER!$P$5:$P$1204,$Q14))</f>
        <v/>
      </c>
      <c r="M14" s="25" t="str">
        <f>IF($Q14="","",INDEX(TRANSACTIONS_MASTER!$AA$5:$AA$1204,$Q14))</f>
        <v/>
      </c>
      <c r="N14" s="25" t="str">
        <f>IF($Q14="","",INDEX(TRANSACTIONS_MASTER!$R$5:$R$1204,$Q14))</f>
        <v/>
      </c>
      <c r="O14" s="28" t="str">
        <f>IF($Q14="","",INDEX(TRANSACTIONS_MASTER!$AB$5:$AB$1204,$Q14))</f>
        <v/>
      </c>
      <c r="P14" s="55" t="str">
        <f>IF($Q14="","",INDEX(TRANSACTIONS_MASTER!$Z$5:$Z$1204,$Q14)&amp;"")</f>
        <v/>
      </c>
      <c r="Q14" s="67" t="str">
        <f>IFERROR(MATCH($C$2&amp;"|"&amp;7,TRANSACTIONS_MASTER!$AE$5:$AE$1204,0),"")</f>
        <v/>
      </c>
      <c r="S14" s="67">
        <f>IFERROR(MATCH(7,CASHBACK_RULES!$S$5:$S$304,0),"")</f>
        <v>18</v>
      </c>
      <c r="T14" s="55" t="str">
        <f>IF($S14="","",INDEX(CASHBACK_RULES!$B$5:$B$304,$S14))</f>
        <v>TCB-B</v>
      </c>
      <c r="U14" s="55" t="str">
        <f>IF($S14="","",INDEX(CASHBACK_RULES!$C$5:$C$304,$S14)&amp;" "&amp;INDEX(CASHBACK_RULES!$D$5:$D$304,$S14))</f>
        <v>Techcombank Cashback Demo B</v>
      </c>
      <c r="V14" s="55" t="str">
        <f>IF($S14="","",INDEX(CASHBACK_RULES!$E$5:$E$304,$S14)&amp;"")</f>
        <v>Group 2</v>
      </c>
      <c r="W14" s="55" t="str">
        <f>IF($S14="","",INDEX(CASHBACK_RULES!$F$5:$F$304,$S14)&amp;"")</f>
        <v>Healthcare</v>
      </c>
      <c r="X14" s="26">
        <f>IF($S14="","",SUMIFS(TRANSACTIONS_MASTER!$Q$5:$Q$1204,TRANSACTIONS_MASTER!$D$5:$D$1204,$T14,TRANSACTIONS_MASTER!$Z$5:$Z$1204,$V14,TRANSACTIONS_MASTER!$C$5:$C$1204,$C$2))</f>
        <v>0</v>
      </c>
      <c r="Y14" s="25">
        <f>IF($S14="","",IF(ISNUMBER(INDEX(CASHBACK_RULES!$J$5:$J$304,$S14)),INDEX(CASHBACK_RULES!$J$5:$J$304,$S14),"∞"))</f>
        <v>300000</v>
      </c>
      <c r="Z14" s="25">
        <f>IF($S14="","",IF(ISNUMBER($Y14),MAX(0,$Y14-$X14),"∞"))</f>
        <v>300000</v>
      </c>
      <c r="AA14" s="27">
        <f>IF($S14="","",IF(ISNUMBER($Y14),IF($Y14=0,0,$X14/$Y14),""))</f>
        <v>0</v>
      </c>
    </row>
    <row r="15" ht="20" customHeight="1">
      <c r="A15" s="81" t="str">
        <f>IF($Q15="","",8)</f>
        <v/>
      </c>
      <c r="B15" s="57" t="str">
        <f>IF($Q15="","",INDEX(TRANSACTIONS_MASTER!$B$5:$B$1204,$Q15))</f>
        <v/>
      </c>
      <c r="C15" s="55" t="str">
        <f>IF($Q15="","",INDEX(TRANSACTIONS_MASTER!$F$5:$F$1204,$Q15))</f>
        <v/>
      </c>
      <c r="D15" s="55" t="str">
        <f>IF($Q15="","",INDEX(TRANSACTIONS_MASTER!$E$5:$E$1204,$Q15))</f>
        <v/>
      </c>
      <c r="E15" s="55" t="str">
        <f>IF($Q15="","",INDEX(TRANSACTIONS_MASTER!$G$5:$G$1204,$Q15)&amp;"")</f>
        <v/>
      </c>
      <c r="F15" s="29" t="str">
        <f>IF($Q15="","",INDEX(TRANSACTIONS_MASTER!$I$5:$I$1204,$Q15))</f>
        <v/>
      </c>
      <c r="G15" s="55" t="str">
        <f>IF($Q15="","",INDEX(TRANSACTIONS_MASTER!$K$5:$K$1204,$Q15))</f>
        <v/>
      </c>
      <c r="H15" s="25" t="str">
        <f>IF($Q15="","",INDEX(TRANSACTIONS_MASTER!$L$5:$L$1204,$Q15))</f>
        <v/>
      </c>
      <c r="I15" s="56" t="str">
        <f>IF($Q15="","",INDEX(TRANSACTIONS_MASTER!$N$5:$N$1204,$Q15))</f>
        <v/>
      </c>
      <c r="J15" s="25" t="str">
        <f>IF($Q15="","",INDEX(TRANSACTIONS_MASTER!$O$5:$O$1204,$Q15))</f>
        <v/>
      </c>
      <c r="K15" s="26" t="str">
        <f>IF($Q15="","",INDEX(TRANSACTIONS_MASTER!$Q$5:$Q$1204,$Q15))</f>
        <v/>
      </c>
      <c r="L15" s="25" t="str">
        <f>IF($Q15="","",INDEX(TRANSACTIONS_MASTER!$P$5:$P$1204,$Q15))</f>
        <v/>
      </c>
      <c r="M15" s="25" t="str">
        <f>IF($Q15="","",INDEX(TRANSACTIONS_MASTER!$AA$5:$AA$1204,$Q15))</f>
        <v/>
      </c>
      <c r="N15" s="25" t="str">
        <f>IF($Q15="","",INDEX(TRANSACTIONS_MASTER!$R$5:$R$1204,$Q15))</f>
        <v/>
      </c>
      <c r="O15" s="28" t="str">
        <f>IF($Q15="","",INDEX(TRANSACTIONS_MASTER!$AB$5:$AB$1204,$Q15))</f>
        <v/>
      </c>
      <c r="P15" s="55" t="str">
        <f>IF($Q15="","",INDEX(TRANSACTIONS_MASTER!$Z$5:$Z$1204,$Q15)&amp;"")</f>
        <v/>
      </c>
      <c r="Q15" s="67" t="str">
        <f>IFERROR(MATCH($C$2&amp;"|"&amp;8,TRANSACTIONS_MASTER!$AE$5:$AE$1204,0),"")</f>
        <v/>
      </c>
      <c r="S15" s="67">
        <f>IFERROR(MATCH(8,CASHBACK_RULES!$S$5:$S$304,0),"")</f>
        <v>20</v>
      </c>
      <c r="T15" s="55" t="str">
        <f>IF($S15="","",INDEX(CASHBACK_RULES!$B$5:$B$304,$S15))</f>
        <v>TCB-B</v>
      </c>
      <c r="U15" s="55" t="str">
        <f>IF($S15="","",INDEX(CASHBACK_RULES!$C$5:$C$304,$S15)&amp;" "&amp;INDEX(CASHBACK_RULES!$D$5:$D$304,$S15))</f>
        <v>Techcombank Cashback Demo B</v>
      </c>
      <c r="V15" s="55" t="str">
        <f>IF($S15="","",INDEX(CASHBACK_RULES!$E$5:$E$304,$S15)&amp;"")</f>
        <v>Group 3</v>
      </c>
      <c r="W15" s="55" t="str">
        <f>IF($S15="","",INDEX(CASHBACK_RULES!$F$5:$F$304,$S15)&amp;"")</f>
        <v>Utilities &amp; Telecom</v>
      </c>
      <c r="X15" s="26">
        <f>IF($S15="","",SUMIFS(TRANSACTIONS_MASTER!$Q$5:$Q$1204,TRANSACTIONS_MASTER!$D$5:$D$1204,$T15,TRANSACTIONS_MASTER!$Z$5:$Z$1204,$V15,TRANSACTIONS_MASTER!$C$5:$C$1204,$C$2))</f>
        <v>0</v>
      </c>
      <c r="Y15" s="25">
        <f>IF($S15="","",IF(ISNUMBER(INDEX(CASHBACK_RULES!$J$5:$J$304,$S15)),INDEX(CASHBACK_RULES!$J$5:$J$304,$S15),"∞"))</f>
        <v>300000</v>
      </c>
      <c r="Z15" s="25">
        <f>IF($S15="","",IF(ISNUMBER($Y15),MAX(0,$Y15-$X15),"∞"))</f>
        <v>300000</v>
      </c>
      <c r="AA15" s="27">
        <f>IF($S15="","",IF(ISNUMBER($Y15),IF($Y15=0,0,$X15/$Y15),""))</f>
        <v>0</v>
      </c>
    </row>
    <row r="16" ht="20" customHeight="1">
      <c r="A16" s="81" t="str">
        <f>IF($Q16="","",9)</f>
        <v/>
      </c>
      <c r="B16" s="57" t="str">
        <f>IF($Q16="","",INDEX(TRANSACTIONS_MASTER!$B$5:$B$1204,$Q16))</f>
        <v/>
      </c>
      <c r="C16" s="55" t="str">
        <f>IF($Q16="","",INDEX(TRANSACTIONS_MASTER!$F$5:$F$1204,$Q16))</f>
        <v/>
      </c>
      <c r="D16" s="55" t="str">
        <f>IF($Q16="","",INDEX(TRANSACTIONS_MASTER!$E$5:$E$1204,$Q16))</f>
        <v/>
      </c>
      <c r="E16" s="55" t="str">
        <f>IF($Q16="","",INDEX(TRANSACTIONS_MASTER!$G$5:$G$1204,$Q16)&amp;"")</f>
        <v/>
      </c>
      <c r="F16" s="29" t="str">
        <f>IF($Q16="","",INDEX(TRANSACTIONS_MASTER!$I$5:$I$1204,$Q16))</f>
        <v/>
      </c>
      <c r="G16" s="55" t="str">
        <f>IF($Q16="","",INDEX(TRANSACTIONS_MASTER!$K$5:$K$1204,$Q16))</f>
        <v/>
      </c>
      <c r="H16" s="25" t="str">
        <f>IF($Q16="","",INDEX(TRANSACTIONS_MASTER!$L$5:$L$1204,$Q16))</f>
        <v/>
      </c>
      <c r="I16" s="56" t="str">
        <f>IF($Q16="","",INDEX(TRANSACTIONS_MASTER!$N$5:$N$1204,$Q16))</f>
        <v/>
      </c>
      <c r="J16" s="25" t="str">
        <f>IF($Q16="","",INDEX(TRANSACTIONS_MASTER!$O$5:$O$1204,$Q16))</f>
        <v/>
      </c>
      <c r="K16" s="26" t="str">
        <f>IF($Q16="","",INDEX(TRANSACTIONS_MASTER!$Q$5:$Q$1204,$Q16))</f>
        <v/>
      </c>
      <c r="L16" s="25" t="str">
        <f>IF($Q16="","",INDEX(TRANSACTIONS_MASTER!$P$5:$P$1204,$Q16))</f>
        <v/>
      </c>
      <c r="M16" s="25" t="str">
        <f>IF($Q16="","",INDEX(TRANSACTIONS_MASTER!$AA$5:$AA$1204,$Q16))</f>
        <v/>
      </c>
      <c r="N16" s="25" t="str">
        <f>IF($Q16="","",INDEX(TRANSACTIONS_MASTER!$R$5:$R$1204,$Q16))</f>
        <v/>
      </c>
      <c r="O16" s="28" t="str">
        <f>IF($Q16="","",INDEX(TRANSACTIONS_MASTER!$AB$5:$AB$1204,$Q16))</f>
        <v/>
      </c>
      <c r="P16" s="55" t="str">
        <f>IF($Q16="","",INDEX(TRANSACTIONS_MASTER!$Z$5:$Z$1204,$Q16)&amp;"")</f>
        <v/>
      </c>
      <c r="Q16" s="67" t="str">
        <f>IFERROR(MATCH($C$2&amp;"|"&amp;9,TRANSACTIONS_MASTER!$AE$5:$AE$1204,0),"")</f>
        <v/>
      </c>
      <c r="S16" s="67">
        <f>IFERROR(MATCH(9,CASHBACK_RULES!$S$5:$S$304,0),"")</f>
        <v>22</v>
      </c>
      <c r="T16" s="55" t="str">
        <f>IF($S16="","",INDEX(CASHBACK_RULES!$B$5:$B$304,$S16))</f>
        <v>UOB-C</v>
      </c>
      <c r="U16" s="55" t="str">
        <f>IF($S16="","",INDEX(CASHBACK_RULES!$C$5:$C$304,$S16)&amp;" "&amp;INDEX(CASHBACK_RULES!$D$5:$D$304,$S16))</f>
        <v>UOB Cashback Demo C</v>
      </c>
      <c r="V16" s="55" t="str">
        <f>IF($S16="","",INDEX(CASHBACK_RULES!$E$5:$E$304,$S16)&amp;"")</f>
        <v>Group 1</v>
      </c>
      <c r="W16" s="55" t="str">
        <f>IF($S16="","",INDEX(CASHBACK_RULES!$F$5:$F$304,$S16)&amp;"")</f>
        <v>Dining</v>
      </c>
      <c r="X16" s="26">
        <f>IF($S16="","",SUMIFS(TRANSACTIONS_MASTER!$Q$5:$Q$1204,TRANSACTIONS_MASTER!$D$5:$D$1204,$T16,TRANSACTIONS_MASTER!$Z$5:$Z$1204,$V16,TRANSACTIONS_MASTER!$C$5:$C$1204,$C$2))</f>
        <v>0</v>
      </c>
      <c r="Y16" s="25">
        <f>IF($S16="","",IF(ISNUMBER(INDEX(CASHBACK_RULES!$J$5:$J$304,$S16)),INDEX(CASHBACK_RULES!$J$5:$J$304,$S16),"∞"))</f>
        <v>1000000</v>
      </c>
      <c r="Z16" s="25">
        <f>IF($S16="","",IF(ISNUMBER($Y16),MAX(0,$Y16-$X16),"∞"))</f>
        <v>1000000</v>
      </c>
      <c r="AA16" s="27">
        <f>IF($S16="","",IF(ISNUMBER($Y16),IF($Y16=0,0,$X16/$Y16),""))</f>
        <v>0</v>
      </c>
    </row>
    <row r="17" ht="20" customHeight="1">
      <c r="A17" s="81" t="str">
        <f>IF($Q17="","",10)</f>
        <v/>
      </c>
      <c r="B17" s="57" t="str">
        <f>IF($Q17="","",INDEX(TRANSACTIONS_MASTER!$B$5:$B$1204,$Q17))</f>
        <v/>
      </c>
      <c r="C17" s="55" t="str">
        <f>IF($Q17="","",INDEX(TRANSACTIONS_MASTER!$F$5:$F$1204,$Q17))</f>
        <v/>
      </c>
      <c r="D17" s="55" t="str">
        <f>IF($Q17="","",INDEX(TRANSACTIONS_MASTER!$E$5:$E$1204,$Q17))</f>
        <v/>
      </c>
      <c r="E17" s="55" t="str">
        <f>IF($Q17="","",INDEX(TRANSACTIONS_MASTER!$G$5:$G$1204,$Q17)&amp;"")</f>
        <v/>
      </c>
      <c r="F17" s="29" t="str">
        <f>IF($Q17="","",INDEX(TRANSACTIONS_MASTER!$I$5:$I$1204,$Q17))</f>
        <v/>
      </c>
      <c r="G17" s="55" t="str">
        <f>IF($Q17="","",INDEX(TRANSACTIONS_MASTER!$K$5:$K$1204,$Q17))</f>
        <v/>
      </c>
      <c r="H17" s="25" t="str">
        <f>IF($Q17="","",INDEX(TRANSACTIONS_MASTER!$L$5:$L$1204,$Q17))</f>
        <v/>
      </c>
      <c r="I17" s="56" t="str">
        <f>IF($Q17="","",INDEX(TRANSACTIONS_MASTER!$N$5:$N$1204,$Q17))</f>
        <v/>
      </c>
      <c r="J17" s="25" t="str">
        <f>IF($Q17="","",INDEX(TRANSACTIONS_MASTER!$O$5:$O$1204,$Q17))</f>
        <v/>
      </c>
      <c r="K17" s="26" t="str">
        <f>IF($Q17="","",INDEX(TRANSACTIONS_MASTER!$Q$5:$Q$1204,$Q17))</f>
        <v/>
      </c>
      <c r="L17" s="25" t="str">
        <f>IF($Q17="","",INDEX(TRANSACTIONS_MASTER!$P$5:$P$1204,$Q17))</f>
        <v/>
      </c>
      <c r="M17" s="25" t="str">
        <f>IF($Q17="","",INDEX(TRANSACTIONS_MASTER!$AA$5:$AA$1204,$Q17))</f>
        <v/>
      </c>
      <c r="N17" s="25" t="str">
        <f>IF($Q17="","",INDEX(TRANSACTIONS_MASTER!$R$5:$R$1204,$Q17))</f>
        <v/>
      </c>
      <c r="O17" s="28" t="str">
        <f>IF($Q17="","",INDEX(TRANSACTIONS_MASTER!$AB$5:$AB$1204,$Q17))</f>
        <v/>
      </c>
      <c r="P17" s="55" t="str">
        <f>IF($Q17="","",INDEX(TRANSACTIONS_MASTER!$Z$5:$Z$1204,$Q17)&amp;"")</f>
        <v/>
      </c>
      <c r="Q17" s="67" t="str">
        <f>IFERROR(MATCH($C$2&amp;"|"&amp;10,TRANSACTIONS_MASTER!$AE$5:$AE$1204,0),"")</f>
        <v/>
      </c>
      <c r="S17" s="67">
        <f>IFERROR(MATCH(10,CASHBACK_RULES!$S$5:$S$304,0),"")</f>
        <v>24</v>
      </c>
      <c r="T17" s="55" t="str">
        <f>IF($S17="","",INDEX(CASHBACK_RULES!$B$5:$B$304,$S17))</f>
        <v>MB-D</v>
      </c>
      <c r="U17" s="55" t="str">
        <f>IF($S17="","",INDEX(CASHBACK_RULES!$C$5:$C$304,$S17)&amp;" "&amp;INDEX(CASHBACK_RULES!$D$5:$D$304,$S17))</f>
        <v>MB Cashback Demo D</v>
      </c>
      <c r="V17" s="55" t="str">
        <f>IF($S17="","",INDEX(CASHBACK_RULES!$E$5:$E$304,$S17)&amp;"")</f>
        <v>Dining</v>
      </c>
      <c r="W17" s="55" t="str">
        <f>IF($S17="","",INDEX(CASHBACK_RULES!$F$5:$F$304,$S17)&amp;"")</f>
        <v>Dining</v>
      </c>
      <c r="X17" s="26">
        <f>IF($S17="","",SUMIFS(TRANSACTIONS_MASTER!$Q$5:$Q$1204,TRANSACTIONS_MASTER!$D$5:$D$1204,$T17,TRANSACTIONS_MASTER!$Z$5:$Z$1204,$V17,TRANSACTIONS_MASTER!$C$5:$C$1204,$C$2))</f>
        <v>0</v>
      </c>
      <c r="Y17" s="25">
        <f>IF($S17="","",IF(ISNUMBER(INDEX(CASHBACK_RULES!$J$5:$J$304,$S17)),INDEX(CASHBACK_RULES!$J$5:$J$304,$S17),"∞"))</f>
        <v>500000</v>
      </c>
      <c r="Z17" s="25">
        <f>IF($S17="","",IF(ISNUMBER($Y17),MAX(0,$Y17-$X17),"∞"))</f>
        <v>500000</v>
      </c>
      <c r="AA17" s="27">
        <f>IF($S17="","",IF(ISNUMBER($Y17),IF($Y17=0,0,$X17/$Y17),""))</f>
        <v>0</v>
      </c>
    </row>
    <row r="18" ht="20" customHeight="1">
      <c r="A18" s="81" t="str">
        <f>IF($Q18="","",11)</f>
        <v/>
      </c>
      <c r="B18" s="57" t="str">
        <f>IF($Q18="","",INDEX(TRANSACTIONS_MASTER!$B$5:$B$1204,$Q18))</f>
        <v/>
      </c>
      <c r="C18" s="55" t="str">
        <f>IF($Q18="","",INDEX(TRANSACTIONS_MASTER!$F$5:$F$1204,$Q18))</f>
        <v/>
      </c>
      <c r="D18" s="55" t="str">
        <f>IF($Q18="","",INDEX(TRANSACTIONS_MASTER!$E$5:$E$1204,$Q18))</f>
        <v/>
      </c>
      <c r="E18" s="55" t="str">
        <f>IF($Q18="","",INDEX(TRANSACTIONS_MASTER!$G$5:$G$1204,$Q18)&amp;"")</f>
        <v/>
      </c>
      <c r="F18" s="29" t="str">
        <f>IF($Q18="","",INDEX(TRANSACTIONS_MASTER!$I$5:$I$1204,$Q18))</f>
        <v/>
      </c>
      <c r="G18" s="55" t="str">
        <f>IF($Q18="","",INDEX(TRANSACTIONS_MASTER!$K$5:$K$1204,$Q18))</f>
        <v/>
      </c>
      <c r="H18" s="25" t="str">
        <f>IF($Q18="","",INDEX(TRANSACTIONS_MASTER!$L$5:$L$1204,$Q18))</f>
        <v/>
      </c>
      <c r="I18" s="56" t="str">
        <f>IF($Q18="","",INDEX(TRANSACTIONS_MASTER!$N$5:$N$1204,$Q18))</f>
        <v/>
      </c>
      <c r="J18" s="25" t="str">
        <f>IF($Q18="","",INDEX(TRANSACTIONS_MASTER!$O$5:$O$1204,$Q18))</f>
        <v/>
      </c>
      <c r="K18" s="26" t="str">
        <f>IF($Q18="","",INDEX(TRANSACTIONS_MASTER!$Q$5:$Q$1204,$Q18))</f>
        <v/>
      </c>
      <c r="L18" s="25" t="str">
        <f>IF($Q18="","",INDEX(TRANSACTIONS_MASTER!$P$5:$P$1204,$Q18))</f>
        <v/>
      </c>
      <c r="M18" s="25" t="str">
        <f>IF($Q18="","",INDEX(TRANSACTIONS_MASTER!$AA$5:$AA$1204,$Q18))</f>
        <v/>
      </c>
      <c r="N18" s="25" t="str">
        <f>IF($Q18="","",INDEX(TRANSACTIONS_MASTER!$R$5:$R$1204,$Q18))</f>
        <v/>
      </c>
      <c r="O18" s="28" t="str">
        <f>IF($Q18="","",INDEX(TRANSACTIONS_MASTER!$AB$5:$AB$1204,$Q18))</f>
        <v/>
      </c>
      <c r="P18" s="55" t="str">
        <f>IF($Q18="","",INDEX(TRANSACTIONS_MASTER!$Z$5:$Z$1204,$Q18)&amp;"")</f>
        <v/>
      </c>
      <c r="Q18" s="67" t="str">
        <f>IFERROR(MATCH($C$2&amp;"|"&amp;11,TRANSACTIONS_MASTER!$AE$5:$AE$1204,0),"")</f>
        <v/>
      </c>
      <c r="S18" s="67">
        <f>IFERROR(MATCH(11,CASHBACK_RULES!$S$5:$S$304,0),"")</f>
        <v>25</v>
      </c>
      <c r="T18" s="55" t="str">
        <f>IF($S18="","",INDEX(CASHBACK_RULES!$B$5:$B$304,$S18))</f>
        <v>MB-D</v>
      </c>
      <c r="U18" s="55" t="str">
        <f>IF($S18="","",INDEX(CASHBACK_RULES!$C$5:$C$304,$S18)&amp;" "&amp;INDEX(CASHBACK_RULES!$D$5:$D$304,$S18))</f>
        <v>MB Cashback Demo D</v>
      </c>
      <c r="V18" s="55" t="str">
        <f>IF($S18="","",INDEX(CASHBACK_RULES!$E$5:$E$304,$S18)&amp;"")</f>
        <v>Fuel</v>
      </c>
      <c r="W18" s="55" t="str">
        <f>IF($S18="","",INDEX(CASHBACK_RULES!$F$5:$F$304,$S18)&amp;"")</f>
        <v>Fuel</v>
      </c>
      <c r="X18" s="26">
        <f>IF($S18="","",SUMIFS(TRANSACTIONS_MASTER!$Q$5:$Q$1204,TRANSACTIONS_MASTER!$D$5:$D$1204,$T18,TRANSACTIONS_MASTER!$Z$5:$Z$1204,$V18,TRANSACTIONS_MASTER!$C$5:$C$1204,$C$2))</f>
        <v>0</v>
      </c>
      <c r="Y18" s="25">
        <f>IF($S18="","",IF(ISNUMBER(INDEX(CASHBACK_RULES!$J$5:$J$304,$S18)),INDEX(CASHBACK_RULES!$J$5:$J$304,$S18),"∞"))</f>
        <v>200000</v>
      </c>
      <c r="Z18" s="25">
        <f>IF($S18="","",IF(ISNUMBER($Y18),MAX(0,$Y18-$X18),"∞"))</f>
        <v>200000</v>
      </c>
      <c r="AA18" s="27">
        <f>IF($S18="","",IF(ISNUMBER($Y18),IF($Y18=0,0,$X18/$Y18),""))</f>
        <v>0</v>
      </c>
    </row>
    <row r="19" ht="20" customHeight="1">
      <c r="A19" s="81" t="str">
        <f>IF($Q19="","",12)</f>
        <v/>
      </c>
      <c r="B19" s="57" t="str">
        <f>IF($Q19="","",INDEX(TRANSACTIONS_MASTER!$B$5:$B$1204,$Q19))</f>
        <v/>
      </c>
      <c r="C19" s="55" t="str">
        <f>IF($Q19="","",INDEX(TRANSACTIONS_MASTER!$F$5:$F$1204,$Q19))</f>
        <v/>
      </c>
      <c r="D19" s="55" t="str">
        <f>IF($Q19="","",INDEX(TRANSACTIONS_MASTER!$E$5:$E$1204,$Q19))</f>
        <v/>
      </c>
      <c r="E19" s="55" t="str">
        <f>IF($Q19="","",INDEX(TRANSACTIONS_MASTER!$G$5:$G$1204,$Q19)&amp;"")</f>
        <v/>
      </c>
      <c r="F19" s="29" t="str">
        <f>IF($Q19="","",INDEX(TRANSACTIONS_MASTER!$I$5:$I$1204,$Q19))</f>
        <v/>
      </c>
      <c r="G19" s="55" t="str">
        <f>IF($Q19="","",INDEX(TRANSACTIONS_MASTER!$K$5:$K$1204,$Q19))</f>
        <v/>
      </c>
      <c r="H19" s="25" t="str">
        <f>IF($Q19="","",INDEX(TRANSACTIONS_MASTER!$L$5:$L$1204,$Q19))</f>
        <v/>
      </c>
      <c r="I19" s="56" t="str">
        <f>IF($Q19="","",INDEX(TRANSACTIONS_MASTER!$N$5:$N$1204,$Q19))</f>
        <v/>
      </c>
      <c r="J19" s="25" t="str">
        <f>IF($Q19="","",INDEX(TRANSACTIONS_MASTER!$O$5:$O$1204,$Q19))</f>
        <v/>
      </c>
      <c r="K19" s="26" t="str">
        <f>IF($Q19="","",INDEX(TRANSACTIONS_MASTER!$Q$5:$Q$1204,$Q19))</f>
        <v/>
      </c>
      <c r="L19" s="25" t="str">
        <f>IF($Q19="","",INDEX(TRANSACTIONS_MASTER!$P$5:$P$1204,$Q19))</f>
        <v/>
      </c>
      <c r="M19" s="25" t="str">
        <f>IF($Q19="","",INDEX(TRANSACTIONS_MASTER!$AA$5:$AA$1204,$Q19))</f>
        <v/>
      </c>
      <c r="N19" s="25" t="str">
        <f>IF($Q19="","",INDEX(TRANSACTIONS_MASTER!$R$5:$R$1204,$Q19))</f>
        <v/>
      </c>
      <c r="O19" s="28" t="str">
        <f>IF($Q19="","",INDEX(TRANSACTIONS_MASTER!$AB$5:$AB$1204,$Q19))</f>
        <v/>
      </c>
      <c r="P19" s="55" t="str">
        <f>IF($Q19="","",INDEX(TRANSACTIONS_MASTER!$Z$5:$Z$1204,$Q19)&amp;"")</f>
        <v/>
      </c>
      <c r="Q19" s="67" t="str">
        <f>IFERROR(MATCH($C$2&amp;"|"&amp;12,TRANSACTIONS_MASTER!$AE$5:$AE$1204,0),"")</f>
        <v/>
      </c>
      <c r="S19" s="67">
        <f>IFERROR(MATCH(12,CASHBACK_RULES!$S$5:$S$304,0),"")</f>
        <v>26</v>
      </c>
      <c r="T19" s="55" t="str">
        <f>IF($S19="","",INDEX(CASHBACK_RULES!$B$5:$B$304,$S19))</f>
        <v>MB-D</v>
      </c>
      <c r="U19" s="55" t="str">
        <f>IF($S19="","",INDEX(CASHBACK_RULES!$C$5:$C$304,$S19)&amp;" "&amp;INDEX(CASHBACK_RULES!$D$5:$D$304,$S19))</f>
        <v>MB Cashback Demo D</v>
      </c>
      <c r="V19" s="55" t="str">
        <f>IF($S19="","",INDEX(CASHBACK_RULES!$E$5:$E$304,$S19)&amp;"")</f>
        <v>Groceries</v>
      </c>
      <c r="W19" s="55" t="str">
        <f>IF($S19="","",INDEX(CASHBACK_RULES!$F$5:$F$304,$S19)&amp;"")</f>
        <v>Groceries</v>
      </c>
      <c r="X19" s="26">
        <f>IF($S19="","",SUMIFS(TRANSACTIONS_MASTER!$Q$5:$Q$1204,TRANSACTIONS_MASTER!$D$5:$D$1204,$T19,TRANSACTIONS_MASTER!$Z$5:$Z$1204,$V19,TRANSACTIONS_MASTER!$C$5:$C$1204,$C$2))</f>
        <v>0</v>
      </c>
      <c r="Y19" s="25">
        <f>IF($S19="","",IF(ISNUMBER(INDEX(CASHBACK_RULES!$J$5:$J$304,$S19)),INDEX(CASHBACK_RULES!$J$5:$J$304,$S19),"∞"))</f>
        <v>100000</v>
      </c>
      <c r="Z19" s="25">
        <f>IF($S19="","",IF(ISNUMBER($Y19),MAX(0,$Y19-$X19),"∞"))</f>
        <v>100000</v>
      </c>
      <c r="AA19" s="27">
        <f>IF($S19="","",IF(ISNUMBER($Y19),IF($Y19=0,0,$X19/$Y19),""))</f>
        <v>0</v>
      </c>
    </row>
    <row r="20" ht="20" customHeight="1">
      <c r="A20" s="81" t="str">
        <f>IF($Q20="","",13)</f>
        <v/>
      </c>
      <c r="B20" s="57" t="str">
        <f>IF($Q20="","",INDEX(TRANSACTIONS_MASTER!$B$5:$B$1204,$Q20))</f>
        <v/>
      </c>
      <c r="C20" s="55" t="str">
        <f>IF($Q20="","",INDEX(TRANSACTIONS_MASTER!$F$5:$F$1204,$Q20))</f>
        <v/>
      </c>
      <c r="D20" s="55" t="str">
        <f>IF($Q20="","",INDEX(TRANSACTIONS_MASTER!$E$5:$E$1204,$Q20))</f>
        <v/>
      </c>
      <c r="E20" s="55" t="str">
        <f>IF($Q20="","",INDEX(TRANSACTIONS_MASTER!$G$5:$G$1204,$Q20)&amp;"")</f>
        <v/>
      </c>
      <c r="F20" s="29" t="str">
        <f>IF($Q20="","",INDEX(TRANSACTIONS_MASTER!$I$5:$I$1204,$Q20))</f>
        <v/>
      </c>
      <c r="G20" s="55" t="str">
        <f>IF($Q20="","",INDEX(TRANSACTIONS_MASTER!$K$5:$K$1204,$Q20))</f>
        <v/>
      </c>
      <c r="H20" s="25" t="str">
        <f>IF($Q20="","",INDEX(TRANSACTIONS_MASTER!$L$5:$L$1204,$Q20))</f>
        <v/>
      </c>
      <c r="I20" s="56" t="str">
        <f>IF($Q20="","",INDEX(TRANSACTIONS_MASTER!$N$5:$N$1204,$Q20))</f>
        <v/>
      </c>
      <c r="J20" s="25" t="str">
        <f>IF($Q20="","",INDEX(TRANSACTIONS_MASTER!$O$5:$O$1204,$Q20))</f>
        <v/>
      </c>
      <c r="K20" s="26" t="str">
        <f>IF($Q20="","",INDEX(TRANSACTIONS_MASTER!$Q$5:$Q$1204,$Q20))</f>
        <v/>
      </c>
      <c r="L20" s="25" t="str">
        <f>IF($Q20="","",INDEX(TRANSACTIONS_MASTER!$P$5:$P$1204,$Q20))</f>
        <v/>
      </c>
      <c r="M20" s="25" t="str">
        <f>IF($Q20="","",INDEX(TRANSACTIONS_MASTER!$AA$5:$AA$1204,$Q20))</f>
        <v/>
      </c>
      <c r="N20" s="25" t="str">
        <f>IF($Q20="","",INDEX(TRANSACTIONS_MASTER!$R$5:$R$1204,$Q20))</f>
        <v/>
      </c>
      <c r="O20" s="28" t="str">
        <f>IF($Q20="","",INDEX(TRANSACTIONS_MASTER!$AB$5:$AB$1204,$Q20))</f>
        <v/>
      </c>
      <c r="P20" s="55" t="str">
        <f>IF($Q20="","",INDEX(TRANSACTIONS_MASTER!$Z$5:$Z$1204,$Q20)&amp;"")</f>
        <v/>
      </c>
      <c r="Q20" s="67" t="str">
        <f>IFERROR(MATCH($C$2&amp;"|"&amp;13,TRANSACTIONS_MASTER!$AE$5:$AE$1204,0),"")</f>
        <v/>
      </c>
      <c r="S20" s="67">
        <f>IFERROR(MATCH(13,CASHBACK_RULES!$S$5:$S$304,0),"")</f>
        <v>27</v>
      </c>
      <c r="T20" s="55" t="str">
        <f>IF($S20="","",INDEX(CASHBACK_RULES!$B$5:$B$304,$S20))</f>
        <v>MB-D</v>
      </c>
      <c r="U20" s="55" t="str">
        <f>IF($S20="","",INDEX(CASHBACK_RULES!$C$5:$C$304,$S20)&amp;" "&amp;INDEX(CASHBACK_RULES!$D$5:$D$304,$S20))</f>
        <v>MB Cashback Demo D</v>
      </c>
      <c r="V20" s="55" t="str">
        <f>IF($S20="","",INDEX(CASHBACK_RULES!$E$5:$E$304,$S20)&amp;"")</f>
        <v>Shopping</v>
      </c>
      <c r="W20" s="55" t="str">
        <f>IF($S20="","",INDEX(CASHBACK_RULES!$F$5:$F$304,$S20)&amp;"")</f>
        <v>Shopping</v>
      </c>
      <c r="X20" s="26">
        <f>IF($S20="","",SUMIFS(TRANSACTIONS_MASTER!$Q$5:$Q$1204,TRANSACTIONS_MASTER!$D$5:$D$1204,$T20,TRANSACTIONS_MASTER!$Z$5:$Z$1204,$V20,TRANSACTIONS_MASTER!$C$5:$C$1204,$C$2))</f>
        <v>0</v>
      </c>
      <c r="Y20" s="25">
        <f>IF($S20="","",IF(ISNUMBER(INDEX(CASHBACK_RULES!$J$5:$J$304,$S20)),INDEX(CASHBACK_RULES!$J$5:$J$304,$S20),"∞"))</f>
        <v>100000</v>
      </c>
      <c r="Z20" s="25">
        <f>IF($S20="","",IF(ISNUMBER($Y20),MAX(0,$Y20-$X20),"∞"))</f>
        <v>100000</v>
      </c>
      <c r="AA20" s="27">
        <f>IF($S20="","",IF(ISNUMBER($Y20),IF($Y20=0,0,$X20/$Y20),""))</f>
        <v>0</v>
      </c>
    </row>
    <row r="21" ht="20" customHeight="1">
      <c r="A21" s="81" t="str">
        <f>IF($Q21="","",14)</f>
        <v/>
      </c>
      <c r="B21" s="57" t="str">
        <f>IF($Q21="","",INDEX(TRANSACTIONS_MASTER!$B$5:$B$1204,$Q21))</f>
        <v/>
      </c>
      <c r="C21" s="55" t="str">
        <f>IF($Q21="","",INDEX(TRANSACTIONS_MASTER!$F$5:$F$1204,$Q21))</f>
        <v/>
      </c>
      <c r="D21" s="55" t="str">
        <f>IF($Q21="","",INDEX(TRANSACTIONS_MASTER!$E$5:$E$1204,$Q21))</f>
        <v/>
      </c>
      <c r="E21" s="55" t="str">
        <f>IF($Q21="","",INDEX(TRANSACTIONS_MASTER!$G$5:$G$1204,$Q21)&amp;"")</f>
        <v/>
      </c>
      <c r="F21" s="29" t="str">
        <f>IF($Q21="","",INDEX(TRANSACTIONS_MASTER!$I$5:$I$1204,$Q21))</f>
        <v/>
      </c>
      <c r="G21" s="55" t="str">
        <f>IF($Q21="","",INDEX(TRANSACTIONS_MASTER!$K$5:$K$1204,$Q21))</f>
        <v/>
      </c>
      <c r="H21" s="25" t="str">
        <f>IF($Q21="","",INDEX(TRANSACTIONS_MASTER!$L$5:$L$1204,$Q21))</f>
        <v/>
      </c>
      <c r="I21" s="56" t="str">
        <f>IF($Q21="","",INDEX(TRANSACTIONS_MASTER!$N$5:$N$1204,$Q21))</f>
        <v/>
      </c>
      <c r="J21" s="25" t="str">
        <f>IF($Q21="","",INDEX(TRANSACTIONS_MASTER!$O$5:$O$1204,$Q21))</f>
        <v/>
      </c>
      <c r="K21" s="26" t="str">
        <f>IF($Q21="","",INDEX(TRANSACTIONS_MASTER!$Q$5:$Q$1204,$Q21))</f>
        <v/>
      </c>
      <c r="L21" s="25" t="str">
        <f>IF($Q21="","",INDEX(TRANSACTIONS_MASTER!$P$5:$P$1204,$Q21))</f>
        <v/>
      </c>
      <c r="M21" s="25" t="str">
        <f>IF($Q21="","",INDEX(TRANSACTIONS_MASTER!$AA$5:$AA$1204,$Q21))</f>
        <v/>
      </c>
      <c r="N21" s="25" t="str">
        <f>IF($Q21="","",INDEX(TRANSACTIONS_MASTER!$R$5:$R$1204,$Q21))</f>
        <v/>
      </c>
      <c r="O21" s="28" t="str">
        <f>IF($Q21="","",INDEX(TRANSACTIONS_MASTER!$AB$5:$AB$1204,$Q21))</f>
        <v/>
      </c>
      <c r="P21" s="55" t="str">
        <f>IF($Q21="","",INDEX(TRANSACTIONS_MASTER!$Z$5:$Z$1204,$Q21)&amp;"")</f>
        <v/>
      </c>
      <c r="Q21" s="67" t="str">
        <f>IFERROR(MATCH($C$2&amp;"|"&amp;14,TRANSACTIONS_MASTER!$AE$5:$AE$1204,0),"")</f>
        <v/>
      </c>
      <c r="S21" s="67" t="str">
        <f>IFERROR(MATCH(14,CASHBACK_RULES!$S$5:$S$304,0),"")</f>
        <v/>
      </c>
      <c r="T21" s="55" t="str">
        <f>IF($S21="","",INDEX(CASHBACK_RULES!$B$5:$B$304,$S21))</f>
        <v/>
      </c>
      <c r="U21" s="55" t="str">
        <f>IF($S21="","",INDEX(CASHBACK_RULES!$C$5:$C$304,$S21)&amp;" "&amp;INDEX(CASHBACK_RULES!$D$5:$D$304,$S21))</f>
        <v/>
      </c>
      <c r="V21" s="55" t="str">
        <f>IF($S21="","",INDEX(CASHBACK_RULES!$E$5:$E$304,$S21)&amp;"")</f>
        <v/>
      </c>
      <c r="W21" s="55" t="str">
        <f>IF($S21="","",INDEX(CASHBACK_RULES!$F$5:$F$304,$S21)&amp;"")</f>
        <v/>
      </c>
      <c r="X21" s="26" t="str">
        <f>IF($S21="","",SUMIFS(TRANSACTIONS_MASTER!$Q$5:$Q$1204,TRANSACTIONS_MASTER!$D$5:$D$1204,$T21,TRANSACTIONS_MASTER!$Z$5:$Z$1204,$V21,TRANSACTIONS_MASTER!$C$5:$C$1204,$C$2))</f>
        <v/>
      </c>
      <c r="Y21" s="25" t="str">
        <f>IF($S21="","",IF(ISNUMBER(INDEX(CASHBACK_RULES!$J$5:$J$304,$S21)),INDEX(CASHBACK_RULES!$J$5:$J$304,$S21),"∞"))</f>
        <v/>
      </c>
      <c r="Z21" s="25" t="str">
        <f>IF($S21="","",IF(ISNUMBER($Y21),MAX(0,$Y21-$X21),"∞"))</f>
        <v/>
      </c>
      <c r="AA21" s="27" t="str">
        <f>IF($S21="","",IF(ISNUMBER($Y21),IF($Y21=0,0,$X21/$Y21),""))</f>
        <v/>
      </c>
    </row>
    <row r="22" ht="20" customHeight="1">
      <c r="A22" s="81" t="str">
        <f>IF($Q22="","",15)</f>
        <v/>
      </c>
      <c r="B22" s="57" t="str">
        <f>IF($Q22="","",INDEX(TRANSACTIONS_MASTER!$B$5:$B$1204,$Q22))</f>
        <v/>
      </c>
      <c r="C22" s="55" t="str">
        <f>IF($Q22="","",INDEX(TRANSACTIONS_MASTER!$F$5:$F$1204,$Q22))</f>
        <v/>
      </c>
      <c r="D22" s="55" t="str">
        <f>IF($Q22="","",INDEX(TRANSACTIONS_MASTER!$E$5:$E$1204,$Q22))</f>
        <v/>
      </c>
      <c r="E22" s="55" t="str">
        <f>IF($Q22="","",INDEX(TRANSACTIONS_MASTER!$G$5:$G$1204,$Q22)&amp;"")</f>
        <v/>
      </c>
      <c r="F22" s="29" t="str">
        <f>IF($Q22="","",INDEX(TRANSACTIONS_MASTER!$I$5:$I$1204,$Q22))</f>
        <v/>
      </c>
      <c r="G22" s="55" t="str">
        <f>IF($Q22="","",INDEX(TRANSACTIONS_MASTER!$K$5:$K$1204,$Q22))</f>
        <v/>
      </c>
      <c r="H22" s="25" t="str">
        <f>IF($Q22="","",INDEX(TRANSACTIONS_MASTER!$L$5:$L$1204,$Q22))</f>
        <v/>
      </c>
      <c r="I22" s="56" t="str">
        <f>IF($Q22="","",INDEX(TRANSACTIONS_MASTER!$N$5:$N$1204,$Q22))</f>
        <v/>
      </c>
      <c r="J22" s="25" t="str">
        <f>IF($Q22="","",INDEX(TRANSACTIONS_MASTER!$O$5:$O$1204,$Q22))</f>
        <v/>
      </c>
      <c r="K22" s="26" t="str">
        <f>IF($Q22="","",INDEX(TRANSACTIONS_MASTER!$Q$5:$Q$1204,$Q22))</f>
        <v/>
      </c>
      <c r="L22" s="25" t="str">
        <f>IF($Q22="","",INDEX(TRANSACTIONS_MASTER!$P$5:$P$1204,$Q22))</f>
        <v/>
      </c>
      <c r="M22" s="25" t="str">
        <f>IF($Q22="","",INDEX(TRANSACTIONS_MASTER!$AA$5:$AA$1204,$Q22))</f>
        <v/>
      </c>
      <c r="N22" s="25" t="str">
        <f>IF($Q22="","",INDEX(TRANSACTIONS_MASTER!$R$5:$R$1204,$Q22))</f>
        <v/>
      </c>
      <c r="O22" s="28" t="str">
        <f>IF($Q22="","",INDEX(TRANSACTIONS_MASTER!$AB$5:$AB$1204,$Q22))</f>
        <v/>
      </c>
      <c r="P22" s="55" t="str">
        <f>IF($Q22="","",INDEX(TRANSACTIONS_MASTER!$Z$5:$Z$1204,$Q22)&amp;"")</f>
        <v/>
      </c>
      <c r="Q22" s="67" t="str">
        <f>IFERROR(MATCH($C$2&amp;"|"&amp;15,TRANSACTIONS_MASTER!$AE$5:$AE$1204,0),"")</f>
        <v/>
      </c>
      <c r="S22" s="67" t="str">
        <f>IFERROR(MATCH(15,CASHBACK_RULES!$S$5:$S$304,0),"")</f>
        <v/>
      </c>
      <c r="T22" s="55" t="str">
        <f>IF($S22="","",INDEX(CASHBACK_RULES!$B$5:$B$304,$S22))</f>
        <v/>
      </c>
      <c r="U22" s="55" t="str">
        <f>IF($S22="","",INDEX(CASHBACK_RULES!$C$5:$C$304,$S22)&amp;" "&amp;INDEX(CASHBACK_RULES!$D$5:$D$304,$S22))</f>
        <v/>
      </c>
      <c r="V22" s="55" t="str">
        <f>IF($S22="","",INDEX(CASHBACK_RULES!$E$5:$E$304,$S22)&amp;"")</f>
        <v/>
      </c>
      <c r="W22" s="55" t="str">
        <f>IF($S22="","",INDEX(CASHBACK_RULES!$F$5:$F$304,$S22)&amp;"")</f>
        <v/>
      </c>
      <c r="X22" s="26" t="str">
        <f>IF($S22="","",SUMIFS(TRANSACTIONS_MASTER!$Q$5:$Q$1204,TRANSACTIONS_MASTER!$D$5:$D$1204,$T22,TRANSACTIONS_MASTER!$Z$5:$Z$1204,$V22,TRANSACTIONS_MASTER!$C$5:$C$1204,$C$2))</f>
        <v/>
      </c>
      <c r="Y22" s="25" t="str">
        <f>IF($S22="","",IF(ISNUMBER(INDEX(CASHBACK_RULES!$J$5:$J$304,$S22)),INDEX(CASHBACK_RULES!$J$5:$J$304,$S22),"∞"))</f>
        <v/>
      </c>
      <c r="Z22" s="25" t="str">
        <f>IF($S22="","",IF(ISNUMBER($Y22),MAX(0,$Y22-$X22),"∞"))</f>
        <v/>
      </c>
      <c r="AA22" s="27" t="str">
        <f>IF($S22="","",IF(ISNUMBER($Y22),IF($Y22=0,0,$X22/$Y22),""))</f>
        <v/>
      </c>
    </row>
    <row r="23" ht="20" customHeight="1">
      <c r="A23" s="81" t="str">
        <f>IF($Q23="","",16)</f>
        <v/>
      </c>
      <c r="B23" s="57" t="str">
        <f>IF($Q23="","",INDEX(TRANSACTIONS_MASTER!$B$5:$B$1204,$Q23))</f>
        <v/>
      </c>
      <c r="C23" s="55" t="str">
        <f>IF($Q23="","",INDEX(TRANSACTIONS_MASTER!$F$5:$F$1204,$Q23))</f>
        <v/>
      </c>
      <c r="D23" s="55" t="str">
        <f>IF($Q23="","",INDEX(TRANSACTIONS_MASTER!$E$5:$E$1204,$Q23))</f>
        <v/>
      </c>
      <c r="E23" s="55" t="str">
        <f>IF($Q23="","",INDEX(TRANSACTIONS_MASTER!$G$5:$G$1204,$Q23)&amp;"")</f>
        <v/>
      </c>
      <c r="F23" s="29" t="str">
        <f>IF($Q23="","",INDEX(TRANSACTIONS_MASTER!$I$5:$I$1204,$Q23))</f>
        <v/>
      </c>
      <c r="G23" s="55" t="str">
        <f>IF($Q23="","",INDEX(TRANSACTIONS_MASTER!$K$5:$K$1204,$Q23))</f>
        <v/>
      </c>
      <c r="H23" s="25" t="str">
        <f>IF($Q23="","",INDEX(TRANSACTIONS_MASTER!$L$5:$L$1204,$Q23))</f>
        <v/>
      </c>
      <c r="I23" s="56" t="str">
        <f>IF($Q23="","",INDEX(TRANSACTIONS_MASTER!$N$5:$N$1204,$Q23))</f>
        <v/>
      </c>
      <c r="J23" s="25" t="str">
        <f>IF($Q23="","",INDEX(TRANSACTIONS_MASTER!$O$5:$O$1204,$Q23))</f>
        <v/>
      </c>
      <c r="K23" s="26" t="str">
        <f>IF($Q23="","",INDEX(TRANSACTIONS_MASTER!$Q$5:$Q$1204,$Q23))</f>
        <v/>
      </c>
      <c r="L23" s="25" t="str">
        <f>IF($Q23="","",INDEX(TRANSACTIONS_MASTER!$P$5:$P$1204,$Q23))</f>
        <v/>
      </c>
      <c r="M23" s="25" t="str">
        <f>IF($Q23="","",INDEX(TRANSACTIONS_MASTER!$AA$5:$AA$1204,$Q23))</f>
        <v/>
      </c>
      <c r="N23" s="25" t="str">
        <f>IF($Q23="","",INDEX(TRANSACTIONS_MASTER!$R$5:$R$1204,$Q23))</f>
        <v/>
      </c>
      <c r="O23" s="28" t="str">
        <f>IF($Q23="","",INDEX(TRANSACTIONS_MASTER!$AB$5:$AB$1204,$Q23))</f>
        <v/>
      </c>
      <c r="P23" s="55" t="str">
        <f>IF($Q23="","",INDEX(TRANSACTIONS_MASTER!$Z$5:$Z$1204,$Q23)&amp;"")</f>
        <v/>
      </c>
      <c r="Q23" s="67" t="str">
        <f>IFERROR(MATCH($C$2&amp;"|"&amp;16,TRANSACTIONS_MASTER!$AE$5:$AE$1204,0),"")</f>
        <v/>
      </c>
      <c r="S23" s="67" t="str">
        <f>IFERROR(MATCH(16,CASHBACK_RULES!$S$5:$S$304,0),"")</f>
        <v/>
      </c>
      <c r="T23" s="55" t="str">
        <f>IF($S23="","",INDEX(CASHBACK_RULES!$B$5:$B$304,$S23))</f>
        <v/>
      </c>
      <c r="U23" s="55" t="str">
        <f>IF($S23="","",INDEX(CASHBACK_RULES!$C$5:$C$304,$S23)&amp;" "&amp;INDEX(CASHBACK_RULES!$D$5:$D$304,$S23))</f>
        <v/>
      </c>
      <c r="V23" s="55" t="str">
        <f>IF($S23="","",INDEX(CASHBACK_RULES!$E$5:$E$304,$S23)&amp;"")</f>
        <v/>
      </c>
      <c r="W23" s="55" t="str">
        <f>IF($S23="","",INDEX(CASHBACK_RULES!$F$5:$F$304,$S23)&amp;"")</f>
        <v/>
      </c>
      <c r="X23" s="26" t="str">
        <f>IF($S23="","",SUMIFS(TRANSACTIONS_MASTER!$Q$5:$Q$1204,TRANSACTIONS_MASTER!$D$5:$D$1204,$T23,TRANSACTIONS_MASTER!$Z$5:$Z$1204,$V23,TRANSACTIONS_MASTER!$C$5:$C$1204,$C$2))</f>
        <v/>
      </c>
      <c r="Y23" s="25" t="str">
        <f>IF($S23="","",IF(ISNUMBER(INDEX(CASHBACK_RULES!$J$5:$J$304,$S23)),INDEX(CASHBACK_RULES!$J$5:$J$304,$S23),"∞"))</f>
        <v/>
      </c>
      <c r="Z23" s="25" t="str">
        <f>IF($S23="","",IF(ISNUMBER($Y23),MAX(0,$Y23-$X23),"∞"))</f>
        <v/>
      </c>
      <c r="AA23" s="27" t="str">
        <f>IF($S23="","",IF(ISNUMBER($Y23),IF($Y23=0,0,$X23/$Y23),""))</f>
        <v/>
      </c>
    </row>
    <row r="24" ht="20" customHeight="1">
      <c r="A24" s="81" t="str">
        <f>IF($Q24="","",17)</f>
        <v/>
      </c>
      <c r="B24" s="57" t="str">
        <f>IF($Q24="","",INDEX(TRANSACTIONS_MASTER!$B$5:$B$1204,$Q24))</f>
        <v/>
      </c>
      <c r="C24" s="55" t="str">
        <f>IF($Q24="","",INDEX(TRANSACTIONS_MASTER!$F$5:$F$1204,$Q24))</f>
        <v/>
      </c>
      <c r="D24" s="55" t="str">
        <f>IF($Q24="","",INDEX(TRANSACTIONS_MASTER!$E$5:$E$1204,$Q24))</f>
        <v/>
      </c>
      <c r="E24" s="55" t="str">
        <f>IF($Q24="","",INDEX(TRANSACTIONS_MASTER!$G$5:$G$1204,$Q24)&amp;"")</f>
        <v/>
      </c>
      <c r="F24" s="29" t="str">
        <f>IF($Q24="","",INDEX(TRANSACTIONS_MASTER!$I$5:$I$1204,$Q24))</f>
        <v/>
      </c>
      <c r="G24" s="55" t="str">
        <f>IF($Q24="","",INDEX(TRANSACTIONS_MASTER!$K$5:$K$1204,$Q24))</f>
        <v/>
      </c>
      <c r="H24" s="25" t="str">
        <f>IF($Q24="","",INDEX(TRANSACTIONS_MASTER!$L$5:$L$1204,$Q24))</f>
        <v/>
      </c>
      <c r="I24" s="56" t="str">
        <f>IF($Q24="","",INDEX(TRANSACTIONS_MASTER!$N$5:$N$1204,$Q24))</f>
        <v/>
      </c>
      <c r="J24" s="25" t="str">
        <f>IF($Q24="","",INDEX(TRANSACTIONS_MASTER!$O$5:$O$1204,$Q24))</f>
        <v/>
      </c>
      <c r="K24" s="26" t="str">
        <f>IF($Q24="","",INDEX(TRANSACTIONS_MASTER!$Q$5:$Q$1204,$Q24))</f>
        <v/>
      </c>
      <c r="L24" s="25" t="str">
        <f>IF($Q24="","",INDEX(TRANSACTIONS_MASTER!$P$5:$P$1204,$Q24))</f>
        <v/>
      </c>
      <c r="M24" s="25" t="str">
        <f>IF($Q24="","",INDEX(TRANSACTIONS_MASTER!$AA$5:$AA$1204,$Q24))</f>
        <v/>
      </c>
      <c r="N24" s="25" t="str">
        <f>IF($Q24="","",INDEX(TRANSACTIONS_MASTER!$R$5:$R$1204,$Q24))</f>
        <v/>
      </c>
      <c r="O24" s="28" t="str">
        <f>IF($Q24="","",INDEX(TRANSACTIONS_MASTER!$AB$5:$AB$1204,$Q24))</f>
        <v/>
      </c>
      <c r="P24" s="55" t="str">
        <f>IF($Q24="","",INDEX(TRANSACTIONS_MASTER!$Z$5:$Z$1204,$Q24)&amp;"")</f>
        <v/>
      </c>
      <c r="Q24" s="67" t="str">
        <f>IFERROR(MATCH($C$2&amp;"|"&amp;17,TRANSACTIONS_MASTER!$AE$5:$AE$1204,0),"")</f>
        <v/>
      </c>
      <c r="S24" s="67" t="str">
        <f>IFERROR(MATCH(17,CASHBACK_RULES!$S$5:$S$304,0),"")</f>
        <v/>
      </c>
      <c r="T24" s="55" t="str">
        <f>IF($S24="","",INDEX(CASHBACK_RULES!$B$5:$B$304,$S24))</f>
        <v/>
      </c>
      <c r="U24" s="55" t="str">
        <f>IF($S24="","",INDEX(CASHBACK_RULES!$C$5:$C$304,$S24)&amp;" "&amp;INDEX(CASHBACK_RULES!$D$5:$D$304,$S24))</f>
        <v/>
      </c>
      <c r="V24" s="55" t="str">
        <f>IF($S24="","",INDEX(CASHBACK_RULES!$E$5:$E$304,$S24)&amp;"")</f>
        <v/>
      </c>
      <c r="W24" s="55" t="str">
        <f>IF($S24="","",INDEX(CASHBACK_RULES!$F$5:$F$304,$S24)&amp;"")</f>
        <v/>
      </c>
      <c r="X24" s="26" t="str">
        <f>IF($S24="","",SUMIFS(TRANSACTIONS_MASTER!$Q$5:$Q$1204,TRANSACTIONS_MASTER!$D$5:$D$1204,$T24,TRANSACTIONS_MASTER!$Z$5:$Z$1204,$V24,TRANSACTIONS_MASTER!$C$5:$C$1204,$C$2))</f>
        <v/>
      </c>
      <c r="Y24" s="25" t="str">
        <f>IF($S24="","",IF(ISNUMBER(INDEX(CASHBACK_RULES!$J$5:$J$304,$S24)),INDEX(CASHBACK_RULES!$J$5:$J$304,$S24),"∞"))</f>
        <v/>
      </c>
      <c r="Z24" s="25" t="str">
        <f>IF($S24="","",IF(ISNUMBER($Y24),MAX(0,$Y24-$X24),"∞"))</f>
        <v/>
      </c>
      <c r="AA24" s="27" t="str">
        <f>IF($S24="","",IF(ISNUMBER($Y24),IF($Y24=0,0,$X24/$Y24),""))</f>
        <v/>
      </c>
    </row>
    <row r="25" ht="20" customHeight="1">
      <c r="A25" s="81" t="str">
        <f>IF($Q25="","",18)</f>
        <v/>
      </c>
      <c r="B25" s="57" t="str">
        <f>IF($Q25="","",INDEX(TRANSACTIONS_MASTER!$B$5:$B$1204,$Q25))</f>
        <v/>
      </c>
      <c r="C25" s="55" t="str">
        <f>IF($Q25="","",INDEX(TRANSACTIONS_MASTER!$F$5:$F$1204,$Q25))</f>
        <v/>
      </c>
      <c r="D25" s="55" t="str">
        <f>IF($Q25="","",INDEX(TRANSACTIONS_MASTER!$E$5:$E$1204,$Q25))</f>
        <v/>
      </c>
      <c r="E25" s="55" t="str">
        <f>IF($Q25="","",INDEX(TRANSACTIONS_MASTER!$G$5:$G$1204,$Q25)&amp;"")</f>
        <v/>
      </c>
      <c r="F25" s="29" t="str">
        <f>IF($Q25="","",INDEX(TRANSACTIONS_MASTER!$I$5:$I$1204,$Q25))</f>
        <v/>
      </c>
      <c r="G25" s="55" t="str">
        <f>IF($Q25="","",INDEX(TRANSACTIONS_MASTER!$K$5:$K$1204,$Q25))</f>
        <v/>
      </c>
      <c r="H25" s="25" t="str">
        <f>IF($Q25="","",INDEX(TRANSACTIONS_MASTER!$L$5:$L$1204,$Q25))</f>
        <v/>
      </c>
      <c r="I25" s="56" t="str">
        <f>IF($Q25="","",INDEX(TRANSACTIONS_MASTER!$N$5:$N$1204,$Q25))</f>
        <v/>
      </c>
      <c r="J25" s="25" t="str">
        <f>IF($Q25="","",INDEX(TRANSACTIONS_MASTER!$O$5:$O$1204,$Q25))</f>
        <v/>
      </c>
      <c r="K25" s="26" t="str">
        <f>IF($Q25="","",INDEX(TRANSACTIONS_MASTER!$Q$5:$Q$1204,$Q25))</f>
        <v/>
      </c>
      <c r="L25" s="25" t="str">
        <f>IF($Q25="","",INDEX(TRANSACTIONS_MASTER!$P$5:$P$1204,$Q25))</f>
        <v/>
      </c>
      <c r="M25" s="25" t="str">
        <f>IF($Q25="","",INDEX(TRANSACTIONS_MASTER!$AA$5:$AA$1204,$Q25))</f>
        <v/>
      </c>
      <c r="N25" s="25" t="str">
        <f>IF($Q25="","",INDEX(TRANSACTIONS_MASTER!$R$5:$R$1204,$Q25))</f>
        <v/>
      </c>
      <c r="O25" s="28" t="str">
        <f>IF($Q25="","",INDEX(TRANSACTIONS_MASTER!$AB$5:$AB$1204,$Q25))</f>
        <v/>
      </c>
      <c r="P25" s="55" t="str">
        <f>IF($Q25="","",INDEX(TRANSACTIONS_MASTER!$Z$5:$Z$1204,$Q25)&amp;"")</f>
        <v/>
      </c>
      <c r="Q25" s="67" t="str">
        <f>IFERROR(MATCH($C$2&amp;"|"&amp;18,TRANSACTIONS_MASTER!$AE$5:$AE$1204,0),"")</f>
        <v/>
      </c>
      <c r="S25" s="67" t="str">
        <f>IFERROR(MATCH(18,CASHBACK_RULES!$S$5:$S$304,0),"")</f>
        <v/>
      </c>
      <c r="T25" s="55" t="str">
        <f>IF($S25="","",INDEX(CASHBACK_RULES!$B$5:$B$304,$S25))</f>
        <v/>
      </c>
      <c r="U25" s="55" t="str">
        <f>IF($S25="","",INDEX(CASHBACK_RULES!$C$5:$C$304,$S25)&amp;" "&amp;INDEX(CASHBACK_RULES!$D$5:$D$304,$S25))</f>
        <v/>
      </c>
      <c r="V25" s="55" t="str">
        <f>IF($S25="","",INDEX(CASHBACK_RULES!$E$5:$E$304,$S25)&amp;"")</f>
        <v/>
      </c>
      <c r="W25" s="55" t="str">
        <f>IF($S25="","",INDEX(CASHBACK_RULES!$F$5:$F$304,$S25)&amp;"")</f>
        <v/>
      </c>
      <c r="X25" s="26" t="str">
        <f>IF($S25="","",SUMIFS(TRANSACTIONS_MASTER!$Q$5:$Q$1204,TRANSACTIONS_MASTER!$D$5:$D$1204,$T25,TRANSACTIONS_MASTER!$Z$5:$Z$1204,$V25,TRANSACTIONS_MASTER!$C$5:$C$1204,$C$2))</f>
        <v/>
      </c>
      <c r="Y25" s="25" t="str">
        <f>IF($S25="","",IF(ISNUMBER(INDEX(CASHBACK_RULES!$J$5:$J$304,$S25)),INDEX(CASHBACK_RULES!$J$5:$J$304,$S25),"∞"))</f>
        <v/>
      </c>
      <c r="Z25" s="25" t="str">
        <f>IF($S25="","",IF(ISNUMBER($Y25),MAX(0,$Y25-$X25),"∞"))</f>
        <v/>
      </c>
      <c r="AA25" s="27" t="str">
        <f>IF($S25="","",IF(ISNUMBER($Y25),IF($Y25=0,0,$X25/$Y25),""))</f>
        <v/>
      </c>
    </row>
    <row r="26" ht="20" customHeight="1">
      <c r="A26" s="81" t="str">
        <f>IF($Q26="","",19)</f>
        <v/>
      </c>
      <c r="B26" s="57" t="str">
        <f>IF($Q26="","",INDEX(TRANSACTIONS_MASTER!$B$5:$B$1204,$Q26))</f>
        <v/>
      </c>
      <c r="C26" s="55" t="str">
        <f>IF($Q26="","",INDEX(TRANSACTIONS_MASTER!$F$5:$F$1204,$Q26))</f>
        <v/>
      </c>
      <c r="D26" s="55" t="str">
        <f>IF($Q26="","",INDEX(TRANSACTIONS_MASTER!$E$5:$E$1204,$Q26))</f>
        <v/>
      </c>
      <c r="E26" s="55" t="str">
        <f>IF($Q26="","",INDEX(TRANSACTIONS_MASTER!$G$5:$G$1204,$Q26)&amp;"")</f>
        <v/>
      </c>
      <c r="F26" s="29" t="str">
        <f>IF($Q26="","",INDEX(TRANSACTIONS_MASTER!$I$5:$I$1204,$Q26))</f>
        <v/>
      </c>
      <c r="G26" s="55" t="str">
        <f>IF($Q26="","",INDEX(TRANSACTIONS_MASTER!$K$5:$K$1204,$Q26))</f>
        <v/>
      </c>
      <c r="H26" s="25" t="str">
        <f>IF($Q26="","",INDEX(TRANSACTIONS_MASTER!$L$5:$L$1204,$Q26))</f>
        <v/>
      </c>
      <c r="I26" s="56" t="str">
        <f>IF($Q26="","",INDEX(TRANSACTIONS_MASTER!$N$5:$N$1204,$Q26))</f>
        <v/>
      </c>
      <c r="J26" s="25" t="str">
        <f>IF($Q26="","",INDEX(TRANSACTIONS_MASTER!$O$5:$O$1204,$Q26))</f>
        <v/>
      </c>
      <c r="K26" s="26" t="str">
        <f>IF($Q26="","",INDEX(TRANSACTIONS_MASTER!$Q$5:$Q$1204,$Q26))</f>
        <v/>
      </c>
      <c r="L26" s="25" t="str">
        <f>IF($Q26="","",INDEX(TRANSACTIONS_MASTER!$P$5:$P$1204,$Q26))</f>
        <v/>
      </c>
      <c r="M26" s="25" t="str">
        <f>IF($Q26="","",INDEX(TRANSACTIONS_MASTER!$AA$5:$AA$1204,$Q26))</f>
        <v/>
      </c>
      <c r="N26" s="25" t="str">
        <f>IF($Q26="","",INDEX(TRANSACTIONS_MASTER!$R$5:$R$1204,$Q26))</f>
        <v/>
      </c>
      <c r="O26" s="28" t="str">
        <f>IF($Q26="","",INDEX(TRANSACTIONS_MASTER!$AB$5:$AB$1204,$Q26))</f>
        <v/>
      </c>
      <c r="P26" s="55" t="str">
        <f>IF($Q26="","",INDEX(TRANSACTIONS_MASTER!$Z$5:$Z$1204,$Q26)&amp;"")</f>
        <v/>
      </c>
      <c r="Q26" s="67" t="str">
        <f>IFERROR(MATCH($C$2&amp;"|"&amp;19,TRANSACTIONS_MASTER!$AE$5:$AE$1204,0),"")</f>
        <v/>
      </c>
      <c r="S26" s="67" t="str">
        <f>IFERROR(MATCH(19,CASHBACK_RULES!$S$5:$S$304,0),"")</f>
        <v/>
      </c>
      <c r="T26" s="55" t="str">
        <f>IF($S26="","",INDEX(CASHBACK_RULES!$B$5:$B$304,$S26))</f>
        <v/>
      </c>
      <c r="U26" s="55" t="str">
        <f>IF($S26="","",INDEX(CASHBACK_RULES!$C$5:$C$304,$S26)&amp;" "&amp;INDEX(CASHBACK_RULES!$D$5:$D$304,$S26))</f>
        <v/>
      </c>
      <c r="V26" s="55" t="str">
        <f>IF($S26="","",INDEX(CASHBACK_RULES!$E$5:$E$304,$S26)&amp;"")</f>
        <v/>
      </c>
      <c r="W26" s="55" t="str">
        <f>IF($S26="","",INDEX(CASHBACK_RULES!$F$5:$F$304,$S26)&amp;"")</f>
        <v/>
      </c>
      <c r="X26" s="26" t="str">
        <f>IF($S26="","",SUMIFS(TRANSACTIONS_MASTER!$Q$5:$Q$1204,TRANSACTIONS_MASTER!$D$5:$D$1204,$T26,TRANSACTIONS_MASTER!$Z$5:$Z$1204,$V26,TRANSACTIONS_MASTER!$C$5:$C$1204,$C$2))</f>
        <v/>
      </c>
      <c r="Y26" s="25" t="str">
        <f>IF($S26="","",IF(ISNUMBER(INDEX(CASHBACK_RULES!$J$5:$J$304,$S26)),INDEX(CASHBACK_RULES!$J$5:$J$304,$S26),"∞"))</f>
        <v/>
      </c>
      <c r="Z26" s="25" t="str">
        <f>IF($S26="","",IF(ISNUMBER($Y26),MAX(0,$Y26-$X26),"∞"))</f>
        <v/>
      </c>
      <c r="AA26" s="27" t="str">
        <f>IF($S26="","",IF(ISNUMBER($Y26),IF($Y26=0,0,$X26/$Y26),""))</f>
        <v/>
      </c>
    </row>
    <row r="27" ht="20" customHeight="1">
      <c r="A27" s="81" t="str">
        <f>IF($Q27="","",20)</f>
        <v/>
      </c>
      <c r="B27" s="57" t="str">
        <f>IF($Q27="","",INDEX(TRANSACTIONS_MASTER!$B$5:$B$1204,$Q27))</f>
        <v/>
      </c>
      <c r="C27" s="55" t="str">
        <f>IF($Q27="","",INDEX(TRANSACTIONS_MASTER!$F$5:$F$1204,$Q27))</f>
        <v/>
      </c>
      <c r="D27" s="55" t="str">
        <f>IF($Q27="","",INDEX(TRANSACTIONS_MASTER!$E$5:$E$1204,$Q27))</f>
        <v/>
      </c>
      <c r="E27" s="55" t="str">
        <f>IF($Q27="","",INDEX(TRANSACTIONS_MASTER!$G$5:$G$1204,$Q27)&amp;"")</f>
        <v/>
      </c>
      <c r="F27" s="29" t="str">
        <f>IF($Q27="","",INDEX(TRANSACTIONS_MASTER!$I$5:$I$1204,$Q27))</f>
        <v/>
      </c>
      <c r="G27" s="55" t="str">
        <f>IF($Q27="","",INDEX(TRANSACTIONS_MASTER!$K$5:$K$1204,$Q27))</f>
        <v/>
      </c>
      <c r="H27" s="25" t="str">
        <f>IF($Q27="","",INDEX(TRANSACTIONS_MASTER!$L$5:$L$1204,$Q27))</f>
        <v/>
      </c>
      <c r="I27" s="56" t="str">
        <f>IF($Q27="","",INDEX(TRANSACTIONS_MASTER!$N$5:$N$1204,$Q27))</f>
        <v/>
      </c>
      <c r="J27" s="25" t="str">
        <f>IF($Q27="","",INDEX(TRANSACTIONS_MASTER!$O$5:$O$1204,$Q27))</f>
        <v/>
      </c>
      <c r="K27" s="26" t="str">
        <f>IF($Q27="","",INDEX(TRANSACTIONS_MASTER!$Q$5:$Q$1204,$Q27))</f>
        <v/>
      </c>
      <c r="L27" s="25" t="str">
        <f>IF($Q27="","",INDEX(TRANSACTIONS_MASTER!$P$5:$P$1204,$Q27))</f>
        <v/>
      </c>
      <c r="M27" s="25" t="str">
        <f>IF($Q27="","",INDEX(TRANSACTIONS_MASTER!$AA$5:$AA$1204,$Q27))</f>
        <v/>
      </c>
      <c r="N27" s="25" t="str">
        <f>IF($Q27="","",INDEX(TRANSACTIONS_MASTER!$R$5:$R$1204,$Q27))</f>
        <v/>
      </c>
      <c r="O27" s="28" t="str">
        <f>IF($Q27="","",INDEX(TRANSACTIONS_MASTER!$AB$5:$AB$1204,$Q27))</f>
        <v/>
      </c>
      <c r="P27" s="55" t="str">
        <f>IF($Q27="","",INDEX(TRANSACTIONS_MASTER!$Z$5:$Z$1204,$Q27)&amp;"")</f>
        <v/>
      </c>
      <c r="Q27" s="67" t="str">
        <f>IFERROR(MATCH($C$2&amp;"|"&amp;20,TRANSACTIONS_MASTER!$AE$5:$AE$1204,0),"")</f>
        <v/>
      </c>
      <c r="S27" s="67" t="str">
        <f>IFERROR(MATCH(20,CASHBACK_RULES!$S$5:$S$304,0),"")</f>
        <v/>
      </c>
      <c r="T27" s="55" t="str">
        <f>IF($S27="","",INDEX(CASHBACK_RULES!$B$5:$B$304,$S27))</f>
        <v/>
      </c>
      <c r="U27" s="55" t="str">
        <f>IF($S27="","",INDEX(CASHBACK_RULES!$C$5:$C$304,$S27)&amp;" "&amp;INDEX(CASHBACK_RULES!$D$5:$D$304,$S27))</f>
        <v/>
      </c>
      <c r="V27" s="55" t="str">
        <f>IF($S27="","",INDEX(CASHBACK_RULES!$E$5:$E$304,$S27)&amp;"")</f>
        <v/>
      </c>
      <c r="W27" s="55" t="str">
        <f>IF($S27="","",INDEX(CASHBACK_RULES!$F$5:$F$304,$S27)&amp;"")</f>
        <v/>
      </c>
      <c r="X27" s="26" t="str">
        <f>IF($S27="","",SUMIFS(TRANSACTIONS_MASTER!$Q$5:$Q$1204,TRANSACTIONS_MASTER!$D$5:$D$1204,$T27,TRANSACTIONS_MASTER!$Z$5:$Z$1204,$V27,TRANSACTIONS_MASTER!$C$5:$C$1204,$C$2))</f>
        <v/>
      </c>
      <c r="Y27" s="25" t="str">
        <f>IF($S27="","",IF(ISNUMBER(INDEX(CASHBACK_RULES!$J$5:$J$304,$S27)),INDEX(CASHBACK_RULES!$J$5:$J$304,$S27),"∞"))</f>
        <v/>
      </c>
      <c r="Z27" s="25" t="str">
        <f>IF($S27="","",IF(ISNUMBER($Y27),MAX(0,$Y27-$X27),"∞"))</f>
        <v/>
      </c>
      <c r="AA27" s="27" t="str">
        <f>IF($S27="","",IF(ISNUMBER($Y27),IF($Y27=0,0,$X27/$Y27),""))</f>
        <v/>
      </c>
    </row>
    <row r="28" ht="20" customHeight="1">
      <c r="A28" s="81" t="str">
        <f>IF($Q28="","",21)</f>
        <v/>
      </c>
      <c r="B28" s="57" t="str">
        <f>IF($Q28="","",INDEX(TRANSACTIONS_MASTER!$B$5:$B$1204,$Q28))</f>
        <v/>
      </c>
      <c r="C28" s="55" t="str">
        <f>IF($Q28="","",INDEX(TRANSACTIONS_MASTER!$F$5:$F$1204,$Q28))</f>
        <v/>
      </c>
      <c r="D28" s="55" t="str">
        <f>IF($Q28="","",INDEX(TRANSACTIONS_MASTER!$E$5:$E$1204,$Q28))</f>
        <v/>
      </c>
      <c r="E28" s="55" t="str">
        <f>IF($Q28="","",INDEX(TRANSACTIONS_MASTER!$G$5:$G$1204,$Q28)&amp;"")</f>
        <v/>
      </c>
      <c r="F28" s="29" t="str">
        <f>IF($Q28="","",INDEX(TRANSACTIONS_MASTER!$I$5:$I$1204,$Q28))</f>
        <v/>
      </c>
      <c r="G28" s="55" t="str">
        <f>IF($Q28="","",INDEX(TRANSACTIONS_MASTER!$K$5:$K$1204,$Q28))</f>
        <v/>
      </c>
      <c r="H28" s="25" t="str">
        <f>IF($Q28="","",INDEX(TRANSACTIONS_MASTER!$L$5:$L$1204,$Q28))</f>
        <v/>
      </c>
      <c r="I28" s="56" t="str">
        <f>IF($Q28="","",INDEX(TRANSACTIONS_MASTER!$N$5:$N$1204,$Q28))</f>
        <v/>
      </c>
      <c r="J28" s="25" t="str">
        <f>IF($Q28="","",INDEX(TRANSACTIONS_MASTER!$O$5:$O$1204,$Q28))</f>
        <v/>
      </c>
      <c r="K28" s="26" t="str">
        <f>IF($Q28="","",INDEX(TRANSACTIONS_MASTER!$Q$5:$Q$1204,$Q28))</f>
        <v/>
      </c>
      <c r="L28" s="25" t="str">
        <f>IF($Q28="","",INDEX(TRANSACTIONS_MASTER!$P$5:$P$1204,$Q28))</f>
        <v/>
      </c>
      <c r="M28" s="25" t="str">
        <f>IF($Q28="","",INDEX(TRANSACTIONS_MASTER!$AA$5:$AA$1204,$Q28))</f>
        <v/>
      </c>
      <c r="N28" s="25" t="str">
        <f>IF($Q28="","",INDEX(TRANSACTIONS_MASTER!$R$5:$R$1204,$Q28))</f>
        <v/>
      </c>
      <c r="O28" s="28" t="str">
        <f>IF($Q28="","",INDEX(TRANSACTIONS_MASTER!$AB$5:$AB$1204,$Q28))</f>
        <v/>
      </c>
      <c r="P28" s="55" t="str">
        <f>IF($Q28="","",INDEX(TRANSACTIONS_MASTER!$Z$5:$Z$1204,$Q28)&amp;"")</f>
        <v/>
      </c>
      <c r="Q28" s="67" t="str">
        <f>IFERROR(MATCH($C$2&amp;"|"&amp;21,TRANSACTIONS_MASTER!$AE$5:$AE$1204,0),"")</f>
        <v/>
      </c>
      <c r="S28" s="67" t="str">
        <f>IFERROR(MATCH(21,CASHBACK_RULES!$S$5:$S$304,0),"")</f>
        <v/>
      </c>
      <c r="T28" s="55" t="str">
        <f>IF($S28="","",INDEX(CASHBACK_RULES!$B$5:$B$304,$S28))</f>
        <v/>
      </c>
      <c r="U28" s="55" t="str">
        <f>IF($S28="","",INDEX(CASHBACK_RULES!$C$5:$C$304,$S28)&amp;" "&amp;INDEX(CASHBACK_RULES!$D$5:$D$304,$S28))</f>
        <v/>
      </c>
      <c r="V28" s="55" t="str">
        <f>IF($S28="","",INDEX(CASHBACK_RULES!$E$5:$E$304,$S28)&amp;"")</f>
        <v/>
      </c>
      <c r="W28" s="55" t="str">
        <f>IF($S28="","",INDEX(CASHBACK_RULES!$F$5:$F$304,$S28)&amp;"")</f>
        <v/>
      </c>
      <c r="X28" s="26" t="str">
        <f>IF($S28="","",SUMIFS(TRANSACTIONS_MASTER!$Q$5:$Q$1204,TRANSACTIONS_MASTER!$D$5:$D$1204,$T28,TRANSACTIONS_MASTER!$Z$5:$Z$1204,$V28,TRANSACTIONS_MASTER!$C$5:$C$1204,$C$2))</f>
        <v/>
      </c>
      <c r="Y28" s="25" t="str">
        <f>IF($S28="","",IF(ISNUMBER(INDEX(CASHBACK_RULES!$J$5:$J$304,$S28)),INDEX(CASHBACK_RULES!$J$5:$J$304,$S28),"∞"))</f>
        <v/>
      </c>
      <c r="Z28" s="25" t="str">
        <f>IF($S28="","",IF(ISNUMBER($Y28),MAX(0,$Y28-$X28),"∞"))</f>
        <v/>
      </c>
      <c r="AA28" s="27" t="str">
        <f>IF($S28="","",IF(ISNUMBER($Y28),IF($Y28=0,0,$X28/$Y28),""))</f>
        <v/>
      </c>
    </row>
    <row r="29" ht="20" customHeight="1">
      <c r="A29" s="81" t="str">
        <f>IF($Q29="","",22)</f>
        <v/>
      </c>
      <c r="B29" s="57" t="str">
        <f>IF($Q29="","",INDEX(TRANSACTIONS_MASTER!$B$5:$B$1204,$Q29))</f>
        <v/>
      </c>
      <c r="C29" s="55" t="str">
        <f>IF($Q29="","",INDEX(TRANSACTIONS_MASTER!$F$5:$F$1204,$Q29))</f>
        <v/>
      </c>
      <c r="D29" s="55" t="str">
        <f>IF($Q29="","",INDEX(TRANSACTIONS_MASTER!$E$5:$E$1204,$Q29))</f>
        <v/>
      </c>
      <c r="E29" s="55" t="str">
        <f>IF($Q29="","",INDEX(TRANSACTIONS_MASTER!$G$5:$G$1204,$Q29)&amp;"")</f>
        <v/>
      </c>
      <c r="F29" s="29" t="str">
        <f>IF($Q29="","",INDEX(TRANSACTIONS_MASTER!$I$5:$I$1204,$Q29))</f>
        <v/>
      </c>
      <c r="G29" s="55" t="str">
        <f>IF($Q29="","",INDEX(TRANSACTIONS_MASTER!$K$5:$K$1204,$Q29))</f>
        <v/>
      </c>
      <c r="H29" s="25" t="str">
        <f>IF($Q29="","",INDEX(TRANSACTIONS_MASTER!$L$5:$L$1204,$Q29))</f>
        <v/>
      </c>
      <c r="I29" s="56" t="str">
        <f>IF($Q29="","",INDEX(TRANSACTIONS_MASTER!$N$5:$N$1204,$Q29))</f>
        <v/>
      </c>
      <c r="J29" s="25" t="str">
        <f>IF($Q29="","",INDEX(TRANSACTIONS_MASTER!$O$5:$O$1204,$Q29))</f>
        <v/>
      </c>
      <c r="K29" s="26" t="str">
        <f>IF($Q29="","",INDEX(TRANSACTIONS_MASTER!$Q$5:$Q$1204,$Q29))</f>
        <v/>
      </c>
      <c r="L29" s="25" t="str">
        <f>IF($Q29="","",INDEX(TRANSACTIONS_MASTER!$P$5:$P$1204,$Q29))</f>
        <v/>
      </c>
      <c r="M29" s="25" t="str">
        <f>IF($Q29="","",INDEX(TRANSACTIONS_MASTER!$AA$5:$AA$1204,$Q29))</f>
        <v/>
      </c>
      <c r="N29" s="25" t="str">
        <f>IF($Q29="","",INDEX(TRANSACTIONS_MASTER!$R$5:$R$1204,$Q29))</f>
        <v/>
      </c>
      <c r="O29" s="28" t="str">
        <f>IF($Q29="","",INDEX(TRANSACTIONS_MASTER!$AB$5:$AB$1204,$Q29))</f>
        <v/>
      </c>
      <c r="P29" s="55" t="str">
        <f>IF($Q29="","",INDEX(TRANSACTIONS_MASTER!$Z$5:$Z$1204,$Q29)&amp;"")</f>
        <v/>
      </c>
      <c r="Q29" s="67" t="str">
        <f>IFERROR(MATCH($C$2&amp;"|"&amp;22,TRANSACTIONS_MASTER!$AE$5:$AE$1204,0),"")</f>
        <v/>
      </c>
      <c r="S29" s="67" t="str">
        <f>IFERROR(MATCH(22,CASHBACK_RULES!$S$5:$S$304,0),"")</f>
        <v/>
      </c>
      <c r="T29" s="55" t="str">
        <f>IF($S29="","",INDEX(CASHBACK_RULES!$B$5:$B$304,$S29))</f>
        <v/>
      </c>
      <c r="U29" s="55" t="str">
        <f>IF($S29="","",INDEX(CASHBACK_RULES!$C$5:$C$304,$S29)&amp;" "&amp;INDEX(CASHBACK_RULES!$D$5:$D$304,$S29))</f>
        <v/>
      </c>
      <c r="V29" s="55" t="str">
        <f>IF($S29="","",INDEX(CASHBACK_RULES!$E$5:$E$304,$S29)&amp;"")</f>
        <v/>
      </c>
      <c r="W29" s="55" t="str">
        <f>IF($S29="","",INDEX(CASHBACK_RULES!$F$5:$F$304,$S29)&amp;"")</f>
        <v/>
      </c>
      <c r="X29" s="26" t="str">
        <f>IF($S29="","",SUMIFS(TRANSACTIONS_MASTER!$Q$5:$Q$1204,TRANSACTIONS_MASTER!$D$5:$D$1204,$T29,TRANSACTIONS_MASTER!$Z$5:$Z$1204,$V29,TRANSACTIONS_MASTER!$C$5:$C$1204,$C$2))</f>
        <v/>
      </c>
      <c r="Y29" s="25" t="str">
        <f>IF($S29="","",IF(ISNUMBER(INDEX(CASHBACK_RULES!$J$5:$J$304,$S29)),INDEX(CASHBACK_RULES!$J$5:$J$304,$S29),"∞"))</f>
        <v/>
      </c>
      <c r="Z29" s="25" t="str">
        <f>IF($S29="","",IF(ISNUMBER($Y29),MAX(0,$Y29-$X29),"∞"))</f>
        <v/>
      </c>
      <c r="AA29" s="27" t="str">
        <f>IF($S29="","",IF(ISNUMBER($Y29),IF($Y29=0,0,$X29/$Y29),""))</f>
        <v/>
      </c>
    </row>
    <row r="30" ht="20" customHeight="1">
      <c r="A30" s="81" t="str">
        <f>IF($Q30="","",23)</f>
        <v/>
      </c>
      <c r="B30" s="57" t="str">
        <f>IF($Q30="","",INDEX(TRANSACTIONS_MASTER!$B$5:$B$1204,$Q30))</f>
        <v/>
      </c>
      <c r="C30" s="55" t="str">
        <f>IF($Q30="","",INDEX(TRANSACTIONS_MASTER!$F$5:$F$1204,$Q30))</f>
        <v/>
      </c>
      <c r="D30" s="55" t="str">
        <f>IF($Q30="","",INDEX(TRANSACTIONS_MASTER!$E$5:$E$1204,$Q30))</f>
        <v/>
      </c>
      <c r="E30" s="55" t="str">
        <f>IF($Q30="","",INDEX(TRANSACTIONS_MASTER!$G$5:$G$1204,$Q30)&amp;"")</f>
        <v/>
      </c>
      <c r="F30" s="29" t="str">
        <f>IF($Q30="","",INDEX(TRANSACTIONS_MASTER!$I$5:$I$1204,$Q30))</f>
        <v/>
      </c>
      <c r="G30" s="55" t="str">
        <f>IF($Q30="","",INDEX(TRANSACTIONS_MASTER!$K$5:$K$1204,$Q30))</f>
        <v/>
      </c>
      <c r="H30" s="25" t="str">
        <f>IF($Q30="","",INDEX(TRANSACTIONS_MASTER!$L$5:$L$1204,$Q30))</f>
        <v/>
      </c>
      <c r="I30" s="56" t="str">
        <f>IF($Q30="","",INDEX(TRANSACTIONS_MASTER!$N$5:$N$1204,$Q30))</f>
        <v/>
      </c>
      <c r="J30" s="25" t="str">
        <f>IF($Q30="","",INDEX(TRANSACTIONS_MASTER!$O$5:$O$1204,$Q30))</f>
        <v/>
      </c>
      <c r="K30" s="26" t="str">
        <f>IF($Q30="","",INDEX(TRANSACTIONS_MASTER!$Q$5:$Q$1204,$Q30))</f>
        <v/>
      </c>
      <c r="L30" s="25" t="str">
        <f>IF($Q30="","",INDEX(TRANSACTIONS_MASTER!$P$5:$P$1204,$Q30))</f>
        <v/>
      </c>
      <c r="M30" s="25" t="str">
        <f>IF($Q30="","",INDEX(TRANSACTIONS_MASTER!$AA$5:$AA$1204,$Q30))</f>
        <v/>
      </c>
      <c r="N30" s="25" t="str">
        <f>IF($Q30="","",INDEX(TRANSACTIONS_MASTER!$R$5:$R$1204,$Q30))</f>
        <v/>
      </c>
      <c r="O30" s="28" t="str">
        <f>IF($Q30="","",INDEX(TRANSACTIONS_MASTER!$AB$5:$AB$1204,$Q30))</f>
        <v/>
      </c>
      <c r="P30" s="55" t="str">
        <f>IF($Q30="","",INDEX(TRANSACTIONS_MASTER!$Z$5:$Z$1204,$Q30)&amp;"")</f>
        <v/>
      </c>
      <c r="Q30" s="67" t="str">
        <f>IFERROR(MATCH($C$2&amp;"|"&amp;23,TRANSACTIONS_MASTER!$AE$5:$AE$1204,0),"")</f>
        <v/>
      </c>
      <c r="S30" s="67" t="str">
        <f>IFERROR(MATCH(23,CASHBACK_RULES!$S$5:$S$304,0),"")</f>
        <v/>
      </c>
      <c r="T30" s="55" t="str">
        <f>IF($S30="","",INDEX(CASHBACK_RULES!$B$5:$B$304,$S30))</f>
        <v/>
      </c>
      <c r="U30" s="55" t="str">
        <f>IF($S30="","",INDEX(CASHBACK_RULES!$C$5:$C$304,$S30)&amp;" "&amp;INDEX(CASHBACK_RULES!$D$5:$D$304,$S30))</f>
        <v/>
      </c>
      <c r="V30" s="55" t="str">
        <f>IF($S30="","",INDEX(CASHBACK_RULES!$E$5:$E$304,$S30)&amp;"")</f>
        <v/>
      </c>
      <c r="W30" s="55" t="str">
        <f>IF($S30="","",INDEX(CASHBACK_RULES!$F$5:$F$304,$S30)&amp;"")</f>
        <v/>
      </c>
      <c r="X30" s="26" t="str">
        <f>IF($S30="","",SUMIFS(TRANSACTIONS_MASTER!$Q$5:$Q$1204,TRANSACTIONS_MASTER!$D$5:$D$1204,$T30,TRANSACTIONS_MASTER!$Z$5:$Z$1204,$V30,TRANSACTIONS_MASTER!$C$5:$C$1204,$C$2))</f>
        <v/>
      </c>
      <c r="Y30" s="25" t="str">
        <f>IF($S30="","",IF(ISNUMBER(INDEX(CASHBACK_RULES!$J$5:$J$304,$S30)),INDEX(CASHBACK_RULES!$J$5:$J$304,$S30),"∞"))</f>
        <v/>
      </c>
      <c r="Z30" s="25" t="str">
        <f>IF($S30="","",IF(ISNUMBER($Y30),MAX(0,$Y30-$X30),"∞"))</f>
        <v/>
      </c>
      <c r="AA30" s="27" t="str">
        <f>IF($S30="","",IF(ISNUMBER($Y30),IF($Y30=0,0,$X30/$Y30),""))</f>
        <v/>
      </c>
    </row>
    <row r="31" ht="20" customHeight="1">
      <c r="A31" s="81" t="str">
        <f>IF($Q31="","",24)</f>
        <v/>
      </c>
      <c r="B31" s="57" t="str">
        <f>IF($Q31="","",INDEX(TRANSACTIONS_MASTER!$B$5:$B$1204,$Q31))</f>
        <v/>
      </c>
      <c r="C31" s="55" t="str">
        <f>IF($Q31="","",INDEX(TRANSACTIONS_MASTER!$F$5:$F$1204,$Q31))</f>
        <v/>
      </c>
      <c r="D31" s="55" t="str">
        <f>IF($Q31="","",INDEX(TRANSACTIONS_MASTER!$E$5:$E$1204,$Q31))</f>
        <v/>
      </c>
      <c r="E31" s="55" t="str">
        <f>IF($Q31="","",INDEX(TRANSACTIONS_MASTER!$G$5:$G$1204,$Q31)&amp;"")</f>
        <v/>
      </c>
      <c r="F31" s="29" t="str">
        <f>IF($Q31="","",INDEX(TRANSACTIONS_MASTER!$I$5:$I$1204,$Q31))</f>
        <v/>
      </c>
      <c r="G31" s="55" t="str">
        <f>IF($Q31="","",INDEX(TRANSACTIONS_MASTER!$K$5:$K$1204,$Q31))</f>
        <v/>
      </c>
      <c r="H31" s="25" t="str">
        <f>IF($Q31="","",INDEX(TRANSACTIONS_MASTER!$L$5:$L$1204,$Q31))</f>
        <v/>
      </c>
      <c r="I31" s="56" t="str">
        <f>IF($Q31="","",INDEX(TRANSACTIONS_MASTER!$N$5:$N$1204,$Q31))</f>
        <v/>
      </c>
      <c r="J31" s="25" t="str">
        <f>IF($Q31="","",INDEX(TRANSACTIONS_MASTER!$O$5:$O$1204,$Q31))</f>
        <v/>
      </c>
      <c r="K31" s="26" t="str">
        <f>IF($Q31="","",INDEX(TRANSACTIONS_MASTER!$Q$5:$Q$1204,$Q31))</f>
        <v/>
      </c>
      <c r="L31" s="25" t="str">
        <f>IF($Q31="","",INDEX(TRANSACTIONS_MASTER!$P$5:$P$1204,$Q31))</f>
        <v/>
      </c>
      <c r="M31" s="25" t="str">
        <f>IF($Q31="","",INDEX(TRANSACTIONS_MASTER!$AA$5:$AA$1204,$Q31))</f>
        <v/>
      </c>
      <c r="N31" s="25" t="str">
        <f>IF($Q31="","",INDEX(TRANSACTIONS_MASTER!$R$5:$R$1204,$Q31))</f>
        <v/>
      </c>
      <c r="O31" s="28" t="str">
        <f>IF($Q31="","",INDEX(TRANSACTIONS_MASTER!$AB$5:$AB$1204,$Q31))</f>
        <v/>
      </c>
      <c r="P31" s="55" t="str">
        <f>IF($Q31="","",INDEX(TRANSACTIONS_MASTER!$Z$5:$Z$1204,$Q31)&amp;"")</f>
        <v/>
      </c>
      <c r="Q31" s="67" t="str">
        <f>IFERROR(MATCH($C$2&amp;"|"&amp;24,TRANSACTIONS_MASTER!$AE$5:$AE$1204,0),"")</f>
        <v/>
      </c>
      <c r="S31" s="67" t="str">
        <f>IFERROR(MATCH(24,CASHBACK_RULES!$S$5:$S$304,0),"")</f>
        <v/>
      </c>
      <c r="T31" s="55" t="str">
        <f>IF($S31="","",INDEX(CASHBACK_RULES!$B$5:$B$304,$S31))</f>
        <v/>
      </c>
      <c r="U31" s="55" t="str">
        <f>IF($S31="","",INDEX(CASHBACK_RULES!$C$5:$C$304,$S31)&amp;" "&amp;INDEX(CASHBACK_RULES!$D$5:$D$304,$S31))</f>
        <v/>
      </c>
      <c r="V31" s="55" t="str">
        <f>IF($S31="","",INDEX(CASHBACK_RULES!$E$5:$E$304,$S31)&amp;"")</f>
        <v/>
      </c>
      <c r="W31" s="55" t="str">
        <f>IF($S31="","",INDEX(CASHBACK_RULES!$F$5:$F$304,$S31)&amp;"")</f>
        <v/>
      </c>
      <c r="X31" s="26" t="str">
        <f>IF($S31="","",SUMIFS(TRANSACTIONS_MASTER!$Q$5:$Q$1204,TRANSACTIONS_MASTER!$D$5:$D$1204,$T31,TRANSACTIONS_MASTER!$Z$5:$Z$1204,$V31,TRANSACTIONS_MASTER!$C$5:$C$1204,$C$2))</f>
        <v/>
      </c>
      <c r="Y31" s="25" t="str">
        <f>IF($S31="","",IF(ISNUMBER(INDEX(CASHBACK_RULES!$J$5:$J$304,$S31)),INDEX(CASHBACK_RULES!$J$5:$J$304,$S31),"∞"))</f>
        <v/>
      </c>
      <c r="Z31" s="25" t="str">
        <f>IF($S31="","",IF(ISNUMBER($Y31),MAX(0,$Y31-$X31),"∞"))</f>
        <v/>
      </c>
      <c r="AA31" s="27" t="str">
        <f>IF($S31="","",IF(ISNUMBER($Y31),IF($Y31=0,0,$X31/$Y31),""))</f>
        <v/>
      </c>
    </row>
    <row r="32" ht="20" customHeight="1">
      <c r="A32" s="81" t="str">
        <f>IF($Q32="","",25)</f>
        <v/>
      </c>
      <c r="B32" s="57" t="str">
        <f>IF($Q32="","",INDEX(TRANSACTIONS_MASTER!$B$5:$B$1204,$Q32))</f>
        <v/>
      </c>
      <c r="C32" s="55" t="str">
        <f>IF($Q32="","",INDEX(TRANSACTIONS_MASTER!$F$5:$F$1204,$Q32))</f>
        <v/>
      </c>
      <c r="D32" s="55" t="str">
        <f>IF($Q32="","",INDEX(TRANSACTIONS_MASTER!$E$5:$E$1204,$Q32))</f>
        <v/>
      </c>
      <c r="E32" s="55" t="str">
        <f>IF($Q32="","",INDEX(TRANSACTIONS_MASTER!$G$5:$G$1204,$Q32)&amp;"")</f>
        <v/>
      </c>
      <c r="F32" s="29" t="str">
        <f>IF($Q32="","",INDEX(TRANSACTIONS_MASTER!$I$5:$I$1204,$Q32))</f>
        <v/>
      </c>
      <c r="G32" s="55" t="str">
        <f>IF($Q32="","",INDEX(TRANSACTIONS_MASTER!$K$5:$K$1204,$Q32))</f>
        <v/>
      </c>
      <c r="H32" s="25" t="str">
        <f>IF($Q32="","",INDEX(TRANSACTIONS_MASTER!$L$5:$L$1204,$Q32))</f>
        <v/>
      </c>
      <c r="I32" s="56" t="str">
        <f>IF($Q32="","",INDEX(TRANSACTIONS_MASTER!$N$5:$N$1204,$Q32))</f>
        <v/>
      </c>
      <c r="J32" s="25" t="str">
        <f>IF($Q32="","",INDEX(TRANSACTIONS_MASTER!$O$5:$O$1204,$Q32))</f>
        <v/>
      </c>
      <c r="K32" s="26" t="str">
        <f>IF($Q32="","",INDEX(TRANSACTIONS_MASTER!$Q$5:$Q$1204,$Q32))</f>
        <v/>
      </c>
      <c r="L32" s="25" t="str">
        <f>IF($Q32="","",INDEX(TRANSACTIONS_MASTER!$P$5:$P$1204,$Q32))</f>
        <v/>
      </c>
      <c r="M32" s="25" t="str">
        <f>IF($Q32="","",INDEX(TRANSACTIONS_MASTER!$AA$5:$AA$1204,$Q32))</f>
        <v/>
      </c>
      <c r="N32" s="25" t="str">
        <f>IF($Q32="","",INDEX(TRANSACTIONS_MASTER!$R$5:$R$1204,$Q32))</f>
        <v/>
      </c>
      <c r="O32" s="28" t="str">
        <f>IF($Q32="","",INDEX(TRANSACTIONS_MASTER!$AB$5:$AB$1204,$Q32))</f>
        <v/>
      </c>
      <c r="P32" s="55" t="str">
        <f>IF($Q32="","",INDEX(TRANSACTIONS_MASTER!$Z$5:$Z$1204,$Q32)&amp;"")</f>
        <v/>
      </c>
      <c r="Q32" s="67" t="str">
        <f>IFERROR(MATCH($C$2&amp;"|"&amp;25,TRANSACTIONS_MASTER!$AE$5:$AE$1204,0),"")</f>
        <v/>
      </c>
      <c r="S32" s="67" t="str">
        <f>IFERROR(MATCH(25,CASHBACK_RULES!$S$5:$S$304,0),"")</f>
        <v/>
      </c>
      <c r="T32" s="55" t="str">
        <f>IF($S32="","",INDEX(CASHBACK_RULES!$B$5:$B$304,$S32))</f>
        <v/>
      </c>
      <c r="U32" s="55" t="str">
        <f>IF($S32="","",INDEX(CASHBACK_RULES!$C$5:$C$304,$S32)&amp;" "&amp;INDEX(CASHBACK_RULES!$D$5:$D$304,$S32))</f>
        <v/>
      </c>
      <c r="V32" s="55" t="str">
        <f>IF($S32="","",INDEX(CASHBACK_RULES!$E$5:$E$304,$S32)&amp;"")</f>
        <v/>
      </c>
      <c r="W32" s="55" t="str">
        <f>IF($S32="","",INDEX(CASHBACK_RULES!$F$5:$F$304,$S32)&amp;"")</f>
        <v/>
      </c>
      <c r="X32" s="26" t="str">
        <f>IF($S32="","",SUMIFS(TRANSACTIONS_MASTER!$Q$5:$Q$1204,TRANSACTIONS_MASTER!$D$5:$D$1204,$T32,TRANSACTIONS_MASTER!$Z$5:$Z$1204,$V32,TRANSACTIONS_MASTER!$C$5:$C$1204,$C$2))</f>
        <v/>
      </c>
      <c r="Y32" s="25" t="str">
        <f>IF($S32="","",IF(ISNUMBER(INDEX(CASHBACK_RULES!$J$5:$J$304,$S32)),INDEX(CASHBACK_RULES!$J$5:$J$304,$S32),"∞"))</f>
        <v/>
      </c>
      <c r="Z32" s="25" t="str">
        <f>IF($S32="","",IF(ISNUMBER($Y32),MAX(0,$Y32-$X32),"∞"))</f>
        <v/>
      </c>
      <c r="AA32" s="27" t="str">
        <f>IF($S32="","",IF(ISNUMBER($Y32),IF($Y32=0,0,$X32/$Y32),""))</f>
        <v/>
      </c>
    </row>
    <row r="33" ht="20" customHeight="1">
      <c r="A33" s="81" t="str">
        <f>IF($Q33="","",26)</f>
        <v/>
      </c>
      <c r="B33" s="57" t="str">
        <f>IF($Q33="","",INDEX(TRANSACTIONS_MASTER!$B$5:$B$1204,$Q33))</f>
        <v/>
      </c>
      <c r="C33" s="55" t="str">
        <f>IF($Q33="","",INDEX(TRANSACTIONS_MASTER!$F$5:$F$1204,$Q33))</f>
        <v/>
      </c>
      <c r="D33" s="55" t="str">
        <f>IF($Q33="","",INDEX(TRANSACTIONS_MASTER!$E$5:$E$1204,$Q33))</f>
        <v/>
      </c>
      <c r="E33" s="55" t="str">
        <f>IF($Q33="","",INDEX(TRANSACTIONS_MASTER!$G$5:$G$1204,$Q33)&amp;"")</f>
        <v/>
      </c>
      <c r="F33" s="29" t="str">
        <f>IF($Q33="","",INDEX(TRANSACTIONS_MASTER!$I$5:$I$1204,$Q33))</f>
        <v/>
      </c>
      <c r="G33" s="55" t="str">
        <f>IF($Q33="","",INDEX(TRANSACTIONS_MASTER!$K$5:$K$1204,$Q33))</f>
        <v/>
      </c>
      <c r="H33" s="25" t="str">
        <f>IF($Q33="","",INDEX(TRANSACTIONS_MASTER!$L$5:$L$1204,$Q33))</f>
        <v/>
      </c>
      <c r="I33" s="56" t="str">
        <f>IF($Q33="","",INDEX(TRANSACTIONS_MASTER!$N$5:$N$1204,$Q33))</f>
        <v/>
      </c>
      <c r="J33" s="25" t="str">
        <f>IF($Q33="","",INDEX(TRANSACTIONS_MASTER!$O$5:$O$1204,$Q33))</f>
        <v/>
      </c>
      <c r="K33" s="26" t="str">
        <f>IF($Q33="","",INDEX(TRANSACTIONS_MASTER!$Q$5:$Q$1204,$Q33))</f>
        <v/>
      </c>
      <c r="L33" s="25" t="str">
        <f>IF($Q33="","",INDEX(TRANSACTIONS_MASTER!$P$5:$P$1204,$Q33))</f>
        <v/>
      </c>
      <c r="M33" s="25" t="str">
        <f>IF($Q33="","",INDEX(TRANSACTIONS_MASTER!$AA$5:$AA$1204,$Q33))</f>
        <v/>
      </c>
      <c r="N33" s="25" t="str">
        <f>IF($Q33="","",INDEX(TRANSACTIONS_MASTER!$R$5:$R$1204,$Q33))</f>
        <v/>
      </c>
      <c r="O33" s="28" t="str">
        <f>IF($Q33="","",INDEX(TRANSACTIONS_MASTER!$AB$5:$AB$1204,$Q33))</f>
        <v/>
      </c>
      <c r="P33" s="55" t="str">
        <f>IF($Q33="","",INDEX(TRANSACTIONS_MASTER!$Z$5:$Z$1204,$Q33)&amp;"")</f>
        <v/>
      </c>
      <c r="Q33" s="67" t="str">
        <f>IFERROR(MATCH($C$2&amp;"|"&amp;26,TRANSACTIONS_MASTER!$AE$5:$AE$1204,0),"")</f>
        <v/>
      </c>
      <c r="S33" s="67" t="str">
        <f>IFERROR(MATCH(26,CASHBACK_RULES!$S$5:$S$304,0),"")</f>
        <v/>
      </c>
      <c r="T33" s="55" t="str">
        <f>IF($S33="","",INDEX(CASHBACK_RULES!$B$5:$B$304,$S33))</f>
        <v/>
      </c>
      <c r="U33" s="55" t="str">
        <f>IF($S33="","",INDEX(CASHBACK_RULES!$C$5:$C$304,$S33)&amp;" "&amp;INDEX(CASHBACK_RULES!$D$5:$D$304,$S33))</f>
        <v/>
      </c>
      <c r="V33" s="55" t="str">
        <f>IF($S33="","",INDEX(CASHBACK_RULES!$E$5:$E$304,$S33)&amp;"")</f>
        <v/>
      </c>
      <c r="W33" s="55" t="str">
        <f>IF($S33="","",INDEX(CASHBACK_RULES!$F$5:$F$304,$S33)&amp;"")</f>
        <v/>
      </c>
      <c r="X33" s="26" t="str">
        <f>IF($S33="","",SUMIFS(TRANSACTIONS_MASTER!$Q$5:$Q$1204,TRANSACTIONS_MASTER!$D$5:$D$1204,$T33,TRANSACTIONS_MASTER!$Z$5:$Z$1204,$V33,TRANSACTIONS_MASTER!$C$5:$C$1204,$C$2))</f>
        <v/>
      </c>
      <c r="Y33" s="25" t="str">
        <f>IF($S33="","",IF(ISNUMBER(INDEX(CASHBACK_RULES!$J$5:$J$304,$S33)),INDEX(CASHBACK_RULES!$J$5:$J$304,$S33),"∞"))</f>
        <v/>
      </c>
      <c r="Z33" s="25" t="str">
        <f>IF($S33="","",IF(ISNUMBER($Y33),MAX(0,$Y33-$X33),"∞"))</f>
        <v/>
      </c>
      <c r="AA33" s="27" t="str">
        <f>IF($S33="","",IF(ISNUMBER($Y33),IF($Y33=0,0,$X33/$Y33),""))</f>
        <v/>
      </c>
    </row>
    <row r="34" ht="20" customHeight="1">
      <c r="A34" s="81" t="str">
        <f>IF($Q34="","",27)</f>
        <v/>
      </c>
      <c r="B34" s="57" t="str">
        <f>IF($Q34="","",INDEX(TRANSACTIONS_MASTER!$B$5:$B$1204,$Q34))</f>
        <v/>
      </c>
      <c r="C34" s="55" t="str">
        <f>IF($Q34="","",INDEX(TRANSACTIONS_MASTER!$F$5:$F$1204,$Q34))</f>
        <v/>
      </c>
      <c r="D34" s="55" t="str">
        <f>IF($Q34="","",INDEX(TRANSACTIONS_MASTER!$E$5:$E$1204,$Q34))</f>
        <v/>
      </c>
      <c r="E34" s="55" t="str">
        <f>IF($Q34="","",INDEX(TRANSACTIONS_MASTER!$G$5:$G$1204,$Q34)&amp;"")</f>
        <v/>
      </c>
      <c r="F34" s="29" t="str">
        <f>IF($Q34="","",INDEX(TRANSACTIONS_MASTER!$I$5:$I$1204,$Q34))</f>
        <v/>
      </c>
      <c r="G34" s="55" t="str">
        <f>IF($Q34="","",INDEX(TRANSACTIONS_MASTER!$K$5:$K$1204,$Q34))</f>
        <v/>
      </c>
      <c r="H34" s="25" t="str">
        <f>IF($Q34="","",INDEX(TRANSACTIONS_MASTER!$L$5:$L$1204,$Q34))</f>
        <v/>
      </c>
      <c r="I34" s="56" t="str">
        <f>IF($Q34="","",INDEX(TRANSACTIONS_MASTER!$N$5:$N$1204,$Q34))</f>
        <v/>
      </c>
      <c r="J34" s="25" t="str">
        <f>IF($Q34="","",INDEX(TRANSACTIONS_MASTER!$O$5:$O$1204,$Q34))</f>
        <v/>
      </c>
      <c r="K34" s="26" t="str">
        <f>IF($Q34="","",INDEX(TRANSACTIONS_MASTER!$Q$5:$Q$1204,$Q34))</f>
        <v/>
      </c>
      <c r="L34" s="25" t="str">
        <f>IF($Q34="","",INDEX(TRANSACTIONS_MASTER!$P$5:$P$1204,$Q34))</f>
        <v/>
      </c>
      <c r="M34" s="25" t="str">
        <f>IF($Q34="","",INDEX(TRANSACTIONS_MASTER!$AA$5:$AA$1204,$Q34))</f>
        <v/>
      </c>
      <c r="N34" s="25" t="str">
        <f>IF($Q34="","",INDEX(TRANSACTIONS_MASTER!$R$5:$R$1204,$Q34))</f>
        <v/>
      </c>
      <c r="O34" s="28" t="str">
        <f>IF($Q34="","",INDEX(TRANSACTIONS_MASTER!$AB$5:$AB$1204,$Q34))</f>
        <v/>
      </c>
      <c r="P34" s="55" t="str">
        <f>IF($Q34="","",INDEX(TRANSACTIONS_MASTER!$Z$5:$Z$1204,$Q34)&amp;"")</f>
        <v/>
      </c>
      <c r="Q34" s="67" t="str">
        <f>IFERROR(MATCH($C$2&amp;"|"&amp;27,TRANSACTIONS_MASTER!$AE$5:$AE$1204,0),"")</f>
        <v/>
      </c>
      <c r="S34" s="67" t="str">
        <f>IFERROR(MATCH(27,CASHBACK_RULES!$S$5:$S$304,0),"")</f>
        <v/>
      </c>
      <c r="T34" s="55" t="str">
        <f>IF($S34="","",INDEX(CASHBACK_RULES!$B$5:$B$304,$S34))</f>
        <v/>
      </c>
      <c r="U34" s="55" t="str">
        <f>IF($S34="","",INDEX(CASHBACK_RULES!$C$5:$C$304,$S34)&amp;" "&amp;INDEX(CASHBACK_RULES!$D$5:$D$304,$S34))</f>
        <v/>
      </c>
      <c r="V34" s="55" t="str">
        <f>IF($S34="","",INDEX(CASHBACK_RULES!$E$5:$E$304,$S34)&amp;"")</f>
        <v/>
      </c>
      <c r="W34" s="55" t="str">
        <f>IF($S34="","",INDEX(CASHBACK_RULES!$F$5:$F$304,$S34)&amp;"")</f>
        <v/>
      </c>
      <c r="X34" s="26" t="str">
        <f>IF($S34="","",SUMIFS(TRANSACTIONS_MASTER!$Q$5:$Q$1204,TRANSACTIONS_MASTER!$D$5:$D$1204,$T34,TRANSACTIONS_MASTER!$Z$5:$Z$1204,$V34,TRANSACTIONS_MASTER!$C$5:$C$1204,$C$2))</f>
        <v/>
      </c>
      <c r="Y34" s="25" t="str">
        <f>IF($S34="","",IF(ISNUMBER(INDEX(CASHBACK_RULES!$J$5:$J$304,$S34)),INDEX(CASHBACK_RULES!$J$5:$J$304,$S34),"∞"))</f>
        <v/>
      </c>
      <c r="Z34" s="25" t="str">
        <f>IF($S34="","",IF(ISNUMBER($Y34),MAX(0,$Y34-$X34),"∞"))</f>
        <v/>
      </c>
      <c r="AA34" s="27" t="str">
        <f>IF($S34="","",IF(ISNUMBER($Y34),IF($Y34=0,0,$X34/$Y34),""))</f>
        <v/>
      </c>
    </row>
    <row r="35" ht="20" customHeight="1">
      <c r="A35" s="81" t="str">
        <f>IF($Q35="","",28)</f>
        <v/>
      </c>
      <c r="B35" s="57" t="str">
        <f>IF($Q35="","",INDEX(TRANSACTIONS_MASTER!$B$5:$B$1204,$Q35))</f>
        <v/>
      </c>
      <c r="C35" s="55" t="str">
        <f>IF($Q35="","",INDEX(TRANSACTIONS_MASTER!$F$5:$F$1204,$Q35))</f>
        <v/>
      </c>
      <c r="D35" s="55" t="str">
        <f>IF($Q35="","",INDEX(TRANSACTIONS_MASTER!$E$5:$E$1204,$Q35))</f>
        <v/>
      </c>
      <c r="E35" s="55" t="str">
        <f>IF($Q35="","",INDEX(TRANSACTIONS_MASTER!$G$5:$G$1204,$Q35)&amp;"")</f>
        <v/>
      </c>
      <c r="F35" s="29" t="str">
        <f>IF($Q35="","",INDEX(TRANSACTIONS_MASTER!$I$5:$I$1204,$Q35))</f>
        <v/>
      </c>
      <c r="G35" s="55" t="str">
        <f>IF($Q35="","",INDEX(TRANSACTIONS_MASTER!$K$5:$K$1204,$Q35))</f>
        <v/>
      </c>
      <c r="H35" s="25" t="str">
        <f>IF($Q35="","",INDEX(TRANSACTIONS_MASTER!$L$5:$L$1204,$Q35))</f>
        <v/>
      </c>
      <c r="I35" s="56" t="str">
        <f>IF($Q35="","",INDEX(TRANSACTIONS_MASTER!$N$5:$N$1204,$Q35))</f>
        <v/>
      </c>
      <c r="J35" s="25" t="str">
        <f>IF($Q35="","",INDEX(TRANSACTIONS_MASTER!$O$5:$O$1204,$Q35))</f>
        <v/>
      </c>
      <c r="K35" s="26" t="str">
        <f>IF($Q35="","",INDEX(TRANSACTIONS_MASTER!$Q$5:$Q$1204,$Q35))</f>
        <v/>
      </c>
      <c r="L35" s="25" t="str">
        <f>IF($Q35="","",INDEX(TRANSACTIONS_MASTER!$P$5:$P$1204,$Q35))</f>
        <v/>
      </c>
      <c r="M35" s="25" t="str">
        <f>IF($Q35="","",INDEX(TRANSACTIONS_MASTER!$AA$5:$AA$1204,$Q35))</f>
        <v/>
      </c>
      <c r="N35" s="25" t="str">
        <f>IF($Q35="","",INDEX(TRANSACTIONS_MASTER!$R$5:$R$1204,$Q35))</f>
        <v/>
      </c>
      <c r="O35" s="28" t="str">
        <f>IF($Q35="","",INDEX(TRANSACTIONS_MASTER!$AB$5:$AB$1204,$Q35))</f>
        <v/>
      </c>
      <c r="P35" s="55" t="str">
        <f>IF($Q35="","",INDEX(TRANSACTIONS_MASTER!$Z$5:$Z$1204,$Q35)&amp;"")</f>
        <v/>
      </c>
      <c r="Q35" s="67" t="str">
        <f>IFERROR(MATCH($C$2&amp;"|"&amp;28,TRANSACTIONS_MASTER!$AE$5:$AE$1204,0),"")</f>
        <v/>
      </c>
      <c r="S35" s="67" t="str">
        <f>IFERROR(MATCH(28,CASHBACK_RULES!$S$5:$S$304,0),"")</f>
        <v/>
      </c>
      <c r="T35" s="55" t="str">
        <f>IF($S35="","",INDEX(CASHBACK_RULES!$B$5:$B$304,$S35))</f>
        <v/>
      </c>
      <c r="U35" s="55" t="str">
        <f>IF($S35="","",INDEX(CASHBACK_RULES!$C$5:$C$304,$S35)&amp;" "&amp;INDEX(CASHBACK_RULES!$D$5:$D$304,$S35))</f>
        <v/>
      </c>
      <c r="V35" s="55" t="str">
        <f>IF($S35="","",INDEX(CASHBACK_RULES!$E$5:$E$304,$S35)&amp;"")</f>
        <v/>
      </c>
      <c r="W35" s="55" t="str">
        <f>IF($S35="","",INDEX(CASHBACK_RULES!$F$5:$F$304,$S35)&amp;"")</f>
        <v/>
      </c>
      <c r="X35" s="26" t="str">
        <f>IF($S35="","",SUMIFS(TRANSACTIONS_MASTER!$Q$5:$Q$1204,TRANSACTIONS_MASTER!$D$5:$D$1204,$T35,TRANSACTIONS_MASTER!$Z$5:$Z$1204,$V35,TRANSACTIONS_MASTER!$C$5:$C$1204,$C$2))</f>
        <v/>
      </c>
      <c r="Y35" s="25" t="str">
        <f>IF($S35="","",IF(ISNUMBER(INDEX(CASHBACK_RULES!$J$5:$J$304,$S35)),INDEX(CASHBACK_RULES!$J$5:$J$304,$S35),"∞"))</f>
        <v/>
      </c>
      <c r="Z35" s="25" t="str">
        <f>IF($S35="","",IF(ISNUMBER($Y35),MAX(0,$Y35-$X35),"∞"))</f>
        <v/>
      </c>
      <c r="AA35" s="27" t="str">
        <f>IF($S35="","",IF(ISNUMBER($Y35),IF($Y35=0,0,$X35/$Y35),""))</f>
        <v/>
      </c>
    </row>
    <row r="36" ht="20" customHeight="1">
      <c r="A36" s="81" t="str">
        <f>IF($Q36="","",29)</f>
        <v/>
      </c>
      <c r="B36" s="57" t="str">
        <f>IF($Q36="","",INDEX(TRANSACTIONS_MASTER!$B$5:$B$1204,$Q36))</f>
        <v/>
      </c>
      <c r="C36" s="55" t="str">
        <f>IF($Q36="","",INDEX(TRANSACTIONS_MASTER!$F$5:$F$1204,$Q36))</f>
        <v/>
      </c>
      <c r="D36" s="55" t="str">
        <f>IF($Q36="","",INDEX(TRANSACTIONS_MASTER!$E$5:$E$1204,$Q36))</f>
        <v/>
      </c>
      <c r="E36" s="55" t="str">
        <f>IF($Q36="","",INDEX(TRANSACTIONS_MASTER!$G$5:$G$1204,$Q36)&amp;"")</f>
        <v/>
      </c>
      <c r="F36" s="29" t="str">
        <f>IF($Q36="","",INDEX(TRANSACTIONS_MASTER!$I$5:$I$1204,$Q36))</f>
        <v/>
      </c>
      <c r="G36" s="55" t="str">
        <f>IF($Q36="","",INDEX(TRANSACTIONS_MASTER!$K$5:$K$1204,$Q36))</f>
        <v/>
      </c>
      <c r="H36" s="25" t="str">
        <f>IF($Q36="","",INDEX(TRANSACTIONS_MASTER!$L$5:$L$1204,$Q36))</f>
        <v/>
      </c>
      <c r="I36" s="56" t="str">
        <f>IF($Q36="","",INDEX(TRANSACTIONS_MASTER!$N$5:$N$1204,$Q36))</f>
        <v/>
      </c>
      <c r="J36" s="25" t="str">
        <f>IF($Q36="","",INDEX(TRANSACTIONS_MASTER!$O$5:$O$1204,$Q36))</f>
        <v/>
      </c>
      <c r="K36" s="26" t="str">
        <f>IF($Q36="","",INDEX(TRANSACTIONS_MASTER!$Q$5:$Q$1204,$Q36))</f>
        <v/>
      </c>
      <c r="L36" s="25" t="str">
        <f>IF($Q36="","",INDEX(TRANSACTIONS_MASTER!$P$5:$P$1204,$Q36))</f>
        <v/>
      </c>
      <c r="M36" s="25" t="str">
        <f>IF($Q36="","",INDEX(TRANSACTIONS_MASTER!$AA$5:$AA$1204,$Q36))</f>
        <v/>
      </c>
      <c r="N36" s="25" t="str">
        <f>IF($Q36="","",INDEX(TRANSACTIONS_MASTER!$R$5:$R$1204,$Q36))</f>
        <v/>
      </c>
      <c r="O36" s="28" t="str">
        <f>IF($Q36="","",INDEX(TRANSACTIONS_MASTER!$AB$5:$AB$1204,$Q36))</f>
        <v/>
      </c>
      <c r="P36" s="55" t="str">
        <f>IF($Q36="","",INDEX(TRANSACTIONS_MASTER!$Z$5:$Z$1204,$Q36)&amp;"")</f>
        <v/>
      </c>
      <c r="Q36" s="67" t="str">
        <f>IFERROR(MATCH($C$2&amp;"|"&amp;29,TRANSACTIONS_MASTER!$AE$5:$AE$1204,0),"")</f>
        <v/>
      </c>
      <c r="S36" s="67" t="str">
        <f>IFERROR(MATCH(29,CASHBACK_RULES!$S$5:$S$304,0),"")</f>
        <v/>
      </c>
      <c r="T36" s="55" t="str">
        <f>IF($S36="","",INDEX(CASHBACK_RULES!$B$5:$B$304,$S36))</f>
        <v/>
      </c>
      <c r="U36" s="55" t="str">
        <f>IF($S36="","",INDEX(CASHBACK_RULES!$C$5:$C$304,$S36)&amp;" "&amp;INDEX(CASHBACK_RULES!$D$5:$D$304,$S36))</f>
        <v/>
      </c>
      <c r="V36" s="55" t="str">
        <f>IF($S36="","",INDEX(CASHBACK_RULES!$E$5:$E$304,$S36)&amp;"")</f>
        <v/>
      </c>
      <c r="W36" s="55" t="str">
        <f>IF($S36="","",INDEX(CASHBACK_RULES!$F$5:$F$304,$S36)&amp;"")</f>
        <v/>
      </c>
      <c r="X36" s="26" t="str">
        <f>IF($S36="","",SUMIFS(TRANSACTIONS_MASTER!$Q$5:$Q$1204,TRANSACTIONS_MASTER!$D$5:$D$1204,$T36,TRANSACTIONS_MASTER!$Z$5:$Z$1204,$V36,TRANSACTIONS_MASTER!$C$5:$C$1204,$C$2))</f>
        <v/>
      </c>
      <c r="Y36" s="25" t="str">
        <f>IF($S36="","",IF(ISNUMBER(INDEX(CASHBACK_RULES!$J$5:$J$304,$S36)),INDEX(CASHBACK_RULES!$J$5:$J$304,$S36),"∞"))</f>
        <v/>
      </c>
      <c r="Z36" s="25" t="str">
        <f>IF($S36="","",IF(ISNUMBER($Y36),MAX(0,$Y36-$X36),"∞"))</f>
        <v/>
      </c>
      <c r="AA36" s="27" t="str">
        <f>IF($S36="","",IF(ISNUMBER($Y36),IF($Y36=0,0,$X36/$Y36),""))</f>
        <v/>
      </c>
    </row>
    <row r="37" ht="20" customHeight="1">
      <c r="A37" s="81" t="str">
        <f>IF($Q37="","",30)</f>
        <v/>
      </c>
      <c r="B37" s="57" t="str">
        <f>IF($Q37="","",INDEX(TRANSACTIONS_MASTER!$B$5:$B$1204,$Q37))</f>
        <v/>
      </c>
      <c r="C37" s="55" t="str">
        <f>IF($Q37="","",INDEX(TRANSACTIONS_MASTER!$F$5:$F$1204,$Q37))</f>
        <v/>
      </c>
      <c r="D37" s="55" t="str">
        <f>IF($Q37="","",INDEX(TRANSACTIONS_MASTER!$E$5:$E$1204,$Q37))</f>
        <v/>
      </c>
      <c r="E37" s="55" t="str">
        <f>IF($Q37="","",INDEX(TRANSACTIONS_MASTER!$G$5:$G$1204,$Q37)&amp;"")</f>
        <v/>
      </c>
      <c r="F37" s="29" t="str">
        <f>IF($Q37="","",INDEX(TRANSACTIONS_MASTER!$I$5:$I$1204,$Q37))</f>
        <v/>
      </c>
      <c r="G37" s="55" t="str">
        <f>IF($Q37="","",INDEX(TRANSACTIONS_MASTER!$K$5:$K$1204,$Q37))</f>
        <v/>
      </c>
      <c r="H37" s="25" t="str">
        <f>IF($Q37="","",INDEX(TRANSACTIONS_MASTER!$L$5:$L$1204,$Q37))</f>
        <v/>
      </c>
      <c r="I37" s="56" t="str">
        <f>IF($Q37="","",INDEX(TRANSACTIONS_MASTER!$N$5:$N$1204,$Q37))</f>
        <v/>
      </c>
      <c r="J37" s="25" t="str">
        <f>IF($Q37="","",INDEX(TRANSACTIONS_MASTER!$O$5:$O$1204,$Q37))</f>
        <v/>
      </c>
      <c r="K37" s="26" t="str">
        <f>IF($Q37="","",INDEX(TRANSACTIONS_MASTER!$Q$5:$Q$1204,$Q37))</f>
        <v/>
      </c>
      <c r="L37" s="25" t="str">
        <f>IF($Q37="","",INDEX(TRANSACTIONS_MASTER!$P$5:$P$1204,$Q37))</f>
        <v/>
      </c>
      <c r="M37" s="25" t="str">
        <f>IF($Q37="","",INDEX(TRANSACTIONS_MASTER!$AA$5:$AA$1204,$Q37))</f>
        <v/>
      </c>
      <c r="N37" s="25" t="str">
        <f>IF($Q37="","",INDEX(TRANSACTIONS_MASTER!$R$5:$R$1204,$Q37))</f>
        <v/>
      </c>
      <c r="O37" s="28" t="str">
        <f>IF($Q37="","",INDEX(TRANSACTIONS_MASTER!$AB$5:$AB$1204,$Q37))</f>
        <v/>
      </c>
      <c r="P37" s="55" t="str">
        <f>IF($Q37="","",INDEX(TRANSACTIONS_MASTER!$Z$5:$Z$1204,$Q37)&amp;"")</f>
        <v/>
      </c>
      <c r="Q37" s="67" t="str">
        <f>IFERROR(MATCH($C$2&amp;"|"&amp;30,TRANSACTIONS_MASTER!$AE$5:$AE$1204,0),"")</f>
        <v/>
      </c>
      <c r="S37" s="67" t="str">
        <f>IFERROR(MATCH(30,CASHBACK_RULES!$S$5:$S$304,0),"")</f>
        <v/>
      </c>
      <c r="T37" s="55" t="str">
        <f>IF($S37="","",INDEX(CASHBACK_RULES!$B$5:$B$304,$S37))</f>
        <v/>
      </c>
      <c r="U37" s="55" t="str">
        <f>IF($S37="","",INDEX(CASHBACK_RULES!$C$5:$C$304,$S37)&amp;" "&amp;INDEX(CASHBACK_RULES!$D$5:$D$304,$S37))</f>
        <v/>
      </c>
      <c r="V37" s="55" t="str">
        <f>IF($S37="","",INDEX(CASHBACK_RULES!$E$5:$E$304,$S37)&amp;"")</f>
        <v/>
      </c>
      <c r="W37" s="55" t="str">
        <f>IF($S37="","",INDEX(CASHBACK_RULES!$F$5:$F$304,$S37)&amp;"")</f>
        <v/>
      </c>
      <c r="X37" s="26" t="str">
        <f>IF($S37="","",SUMIFS(TRANSACTIONS_MASTER!$Q$5:$Q$1204,TRANSACTIONS_MASTER!$D$5:$D$1204,$T37,TRANSACTIONS_MASTER!$Z$5:$Z$1204,$V37,TRANSACTIONS_MASTER!$C$5:$C$1204,$C$2))</f>
        <v/>
      </c>
      <c r="Y37" s="25" t="str">
        <f>IF($S37="","",IF(ISNUMBER(INDEX(CASHBACK_RULES!$J$5:$J$304,$S37)),INDEX(CASHBACK_RULES!$J$5:$J$304,$S37),"∞"))</f>
        <v/>
      </c>
      <c r="Z37" s="25" t="str">
        <f>IF($S37="","",IF(ISNUMBER($Y37),MAX(0,$Y37-$X37),"∞"))</f>
        <v/>
      </c>
      <c r="AA37" s="27" t="str">
        <f>IF($S37="","",IF(ISNUMBER($Y37),IF($Y37=0,0,$X37/$Y37),""))</f>
        <v/>
      </c>
    </row>
    <row r="38" ht="20" customHeight="1">
      <c r="A38" s="81" t="str">
        <f>IF($Q38="","",31)</f>
        <v/>
      </c>
      <c r="B38" s="57" t="str">
        <f>IF($Q38="","",INDEX(TRANSACTIONS_MASTER!$B$5:$B$1204,$Q38))</f>
        <v/>
      </c>
      <c r="C38" s="55" t="str">
        <f>IF($Q38="","",INDEX(TRANSACTIONS_MASTER!$F$5:$F$1204,$Q38))</f>
        <v/>
      </c>
      <c r="D38" s="55" t="str">
        <f>IF($Q38="","",INDEX(TRANSACTIONS_MASTER!$E$5:$E$1204,$Q38))</f>
        <v/>
      </c>
      <c r="E38" s="55" t="str">
        <f>IF($Q38="","",INDEX(TRANSACTIONS_MASTER!$G$5:$G$1204,$Q38)&amp;"")</f>
        <v/>
      </c>
      <c r="F38" s="29" t="str">
        <f>IF($Q38="","",INDEX(TRANSACTIONS_MASTER!$I$5:$I$1204,$Q38))</f>
        <v/>
      </c>
      <c r="G38" s="55" t="str">
        <f>IF($Q38="","",INDEX(TRANSACTIONS_MASTER!$K$5:$K$1204,$Q38))</f>
        <v/>
      </c>
      <c r="H38" s="25" t="str">
        <f>IF($Q38="","",INDEX(TRANSACTIONS_MASTER!$L$5:$L$1204,$Q38))</f>
        <v/>
      </c>
      <c r="I38" s="56" t="str">
        <f>IF($Q38="","",INDEX(TRANSACTIONS_MASTER!$N$5:$N$1204,$Q38))</f>
        <v/>
      </c>
      <c r="J38" s="25" t="str">
        <f>IF($Q38="","",INDEX(TRANSACTIONS_MASTER!$O$5:$O$1204,$Q38))</f>
        <v/>
      </c>
      <c r="K38" s="26" t="str">
        <f>IF($Q38="","",INDEX(TRANSACTIONS_MASTER!$Q$5:$Q$1204,$Q38))</f>
        <v/>
      </c>
      <c r="L38" s="25" t="str">
        <f>IF($Q38="","",INDEX(TRANSACTIONS_MASTER!$P$5:$P$1204,$Q38))</f>
        <v/>
      </c>
      <c r="M38" s="25" t="str">
        <f>IF($Q38="","",INDEX(TRANSACTIONS_MASTER!$AA$5:$AA$1204,$Q38))</f>
        <v/>
      </c>
      <c r="N38" s="25" t="str">
        <f>IF($Q38="","",INDEX(TRANSACTIONS_MASTER!$R$5:$R$1204,$Q38))</f>
        <v/>
      </c>
      <c r="O38" s="28" t="str">
        <f>IF($Q38="","",INDEX(TRANSACTIONS_MASTER!$AB$5:$AB$1204,$Q38))</f>
        <v/>
      </c>
      <c r="P38" s="55" t="str">
        <f>IF($Q38="","",INDEX(TRANSACTIONS_MASTER!$Z$5:$Z$1204,$Q38)&amp;"")</f>
        <v/>
      </c>
      <c r="Q38" s="67" t="str">
        <f>IFERROR(MATCH($C$2&amp;"|"&amp;31,TRANSACTIONS_MASTER!$AE$5:$AE$1204,0),"")</f>
        <v/>
      </c>
      <c r="S38" s="67" t="str">
        <f>IFERROR(MATCH(31,CASHBACK_RULES!$S$5:$S$304,0),"")</f>
        <v/>
      </c>
      <c r="T38" s="55" t="str">
        <f>IF($S38="","",INDEX(CASHBACK_RULES!$B$5:$B$304,$S38))</f>
        <v/>
      </c>
      <c r="U38" s="55" t="str">
        <f>IF($S38="","",INDEX(CASHBACK_RULES!$C$5:$C$304,$S38)&amp;" "&amp;INDEX(CASHBACK_RULES!$D$5:$D$304,$S38))</f>
        <v/>
      </c>
      <c r="V38" s="55" t="str">
        <f>IF($S38="","",INDEX(CASHBACK_RULES!$E$5:$E$304,$S38)&amp;"")</f>
        <v/>
      </c>
      <c r="W38" s="55" t="str">
        <f>IF($S38="","",INDEX(CASHBACK_RULES!$F$5:$F$304,$S38)&amp;"")</f>
        <v/>
      </c>
      <c r="X38" s="26" t="str">
        <f>IF($S38="","",SUMIFS(TRANSACTIONS_MASTER!$Q$5:$Q$1204,TRANSACTIONS_MASTER!$D$5:$D$1204,$T38,TRANSACTIONS_MASTER!$Z$5:$Z$1204,$V38,TRANSACTIONS_MASTER!$C$5:$C$1204,$C$2))</f>
        <v/>
      </c>
      <c r="Y38" s="25" t="str">
        <f>IF($S38="","",IF(ISNUMBER(INDEX(CASHBACK_RULES!$J$5:$J$304,$S38)),INDEX(CASHBACK_RULES!$J$5:$J$304,$S38),"∞"))</f>
        <v/>
      </c>
      <c r="Z38" s="25" t="str">
        <f>IF($S38="","",IF(ISNUMBER($Y38),MAX(0,$Y38-$X38),"∞"))</f>
        <v/>
      </c>
      <c r="AA38" s="27" t="str">
        <f>IF($S38="","",IF(ISNUMBER($Y38),IF($Y38=0,0,$X38/$Y38),""))</f>
        <v/>
      </c>
    </row>
    <row r="39" ht="20" customHeight="1">
      <c r="A39" s="81" t="str">
        <f>IF($Q39="","",32)</f>
        <v/>
      </c>
      <c r="B39" s="57" t="str">
        <f>IF($Q39="","",INDEX(TRANSACTIONS_MASTER!$B$5:$B$1204,$Q39))</f>
        <v/>
      </c>
      <c r="C39" s="55" t="str">
        <f>IF($Q39="","",INDEX(TRANSACTIONS_MASTER!$F$5:$F$1204,$Q39))</f>
        <v/>
      </c>
      <c r="D39" s="55" t="str">
        <f>IF($Q39="","",INDEX(TRANSACTIONS_MASTER!$E$5:$E$1204,$Q39))</f>
        <v/>
      </c>
      <c r="E39" s="55" t="str">
        <f>IF($Q39="","",INDEX(TRANSACTIONS_MASTER!$G$5:$G$1204,$Q39)&amp;"")</f>
        <v/>
      </c>
      <c r="F39" s="29" t="str">
        <f>IF($Q39="","",INDEX(TRANSACTIONS_MASTER!$I$5:$I$1204,$Q39))</f>
        <v/>
      </c>
      <c r="G39" s="55" t="str">
        <f>IF($Q39="","",INDEX(TRANSACTIONS_MASTER!$K$5:$K$1204,$Q39))</f>
        <v/>
      </c>
      <c r="H39" s="25" t="str">
        <f>IF($Q39="","",INDEX(TRANSACTIONS_MASTER!$L$5:$L$1204,$Q39))</f>
        <v/>
      </c>
      <c r="I39" s="56" t="str">
        <f>IF($Q39="","",INDEX(TRANSACTIONS_MASTER!$N$5:$N$1204,$Q39))</f>
        <v/>
      </c>
      <c r="J39" s="25" t="str">
        <f>IF($Q39="","",INDEX(TRANSACTIONS_MASTER!$O$5:$O$1204,$Q39))</f>
        <v/>
      </c>
      <c r="K39" s="26" t="str">
        <f>IF($Q39="","",INDEX(TRANSACTIONS_MASTER!$Q$5:$Q$1204,$Q39))</f>
        <v/>
      </c>
      <c r="L39" s="25" t="str">
        <f>IF($Q39="","",INDEX(TRANSACTIONS_MASTER!$P$5:$P$1204,$Q39))</f>
        <v/>
      </c>
      <c r="M39" s="25" t="str">
        <f>IF($Q39="","",INDEX(TRANSACTIONS_MASTER!$AA$5:$AA$1204,$Q39))</f>
        <v/>
      </c>
      <c r="N39" s="25" t="str">
        <f>IF($Q39="","",INDEX(TRANSACTIONS_MASTER!$R$5:$R$1204,$Q39))</f>
        <v/>
      </c>
      <c r="O39" s="28" t="str">
        <f>IF($Q39="","",INDEX(TRANSACTIONS_MASTER!$AB$5:$AB$1204,$Q39))</f>
        <v/>
      </c>
      <c r="P39" s="55" t="str">
        <f>IF($Q39="","",INDEX(TRANSACTIONS_MASTER!$Z$5:$Z$1204,$Q39)&amp;"")</f>
        <v/>
      </c>
      <c r="Q39" s="67" t="str">
        <f>IFERROR(MATCH($C$2&amp;"|"&amp;32,TRANSACTIONS_MASTER!$AE$5:$AE$1204,0),"")</f>
        <v/>
      </c>
      <c r="S39" s="67" t="str">
        <f>IFERROR(MATCH(32,CASHBACK_RULES!$S$5:$S$304,0),"")</f>
        <v/>
      </c>
      <c r="T39" s="55" t="str">
        <f>IF($S39="","",INDEX(CASHBACK_RULES!$B$5:$B$304,$S39))</f>
        <v/>
      </c>
      <c r="U39" s="55" t="str">
        <f>IF($S39="","",INDEX(CASHBACK_RULES!$C$5:$C$304,$S39)&amp;" "&amp;INDEX(CASHBACK_RULES!$D$5:$D$304,$S39))</f>
        <v/>
      </c>
      <c r="V39" s="55" t="str">
        <f>IF($S39="","",INDEX(CASHBACK_RULES!$E$5:$E$304,$S39)&amp;"")</f>
        <v/>
      </c>
      <c r="W39" s="55" t="str">
        <f>IF($S39="","",INDEX(CASHBACK_RULES!$F$5:$F$304,$S39)&amp;"")</f>
        <v/>
      </c>
      <c r="X39" s="26" t="str">
        <f>IF($S39="","",SUMIFS(TRANSACTIONS_MASTER!$Q$5:$Q$1204,TRANSACTIONS_MASTER!$D$5:$D$1204,$T39,TRANSACTIONS_MASTER!$Z$5:$Z$1204,$V39,TRANSACTIONS_MASTER!$C$5:$C$1204,$C$2))</f>
        <v/>
      </c>
      <c r="Y39" s="25" t="str">
        <f>IF($S39="","",IF(ISNUMBER(INDEX(CASHBACK_RULES!$J$5:$J$304,$S39)),INDEX(CASHBACK_RULES!$J$5:$J$304,$S39),"∞"))</f>
        <v/>
      </c>
      <c r="Z39" s="25" t="str">
        <f>IF($S39="","",IF(ISNUMBER($Y39),MAX(0,$Y39-$X39),"∞"))</f>
        <v/>
      </c>
      <c r="AA39" s="27" t="str">
        <f>IF($S39="","",IF(ISNUMBER($Y39),IF($Y39=0,0,$X39/$Y39),""))</f>
        <v/>
      </c>
    </row>
    <row r="40" ht="20" customHeight="1">
      <c r="A40" s="81" t="str">
        <f>IF($Q40="","",33)</f>
        <v/>
      </c>
      <c r="B40" s="57" t="str">
        <f>IF($Q40="","",INDEX(TRANSACTIONS_MASTER!$B$5:$B$1204,$Q40))</f>
        <v/>
      </c>
      <c r="C40" s="55" t="str">
        <f>IF($Q40="","",INDEX(TRANSACTIONS_MASTER!$F$5:$F$1204,$Q40))</f>
        <v/>
      </c>
      <c r="D40" s="55" t="str">
        <f>IF($Q40="","",INDEX(TRANSACTIONS_MASTER!$E$5:$E$1204,$Q40))</f>
        <v/>
      </c>
      <c r="E40" s="55" t="str">
        <f>IF($Q40="","",INDEX(TRANSACTIONS_MASTER!$G$5:$G$1204,$Q40)&amp;"")</f>
        <v/>
      </c>
      <c r="F40" s="29" t="str">
        <f>IF($Q40="","",INDEX(TRANSACTIONS_MASTER!$I$5:$I$1204,$Q40))</f>
        <v/>
      </c>
      <c r="G40" s="55" t="str">
        <f>IF($Q40="","",INDEX(TRANSACTIONS_MASTER!$K$5:$K$1204,$Q40))</f>
        <v/>
      </c>
      <c r="H40" s="25" t="str">
        <f>IF($Q40="","",INDEX(TRANSACTIONS_MASTER!$L$5:$L$1204,$Q40))</f>
        <v/>
      </c>
      <c r="I40" s="56" t="str">
        <f>IF($Q40="","",INDEX(TRANSACTIONS_MASTER!$N$5:$N$1204,$Q40))</f>
        <v/>
      </c>
      <c r="J40" s="25" t="str">
        <f>IF($Q40="","",INDEX(TRANSACTIONS_MASTER!$O$5:$O$1204,$Q40))</f>
        <v/>
      </c>
      <c r="K40" s="26" t="str">
        <f>IF($Q40="","",INDEX(TRANSACTIONS_MASTER!$Q$5:$Q$1204,$Q40))</f>
        <v/>
      </c>
      <c r="L40" s="25" t="str">
        <f>IF($Q40="","",INDEX(TRANSACTIONS_MASTER!$P$5:$P$1204,$Q40))</f>
        <v/>
      </c>
      <c r="M40" s="25" t="str">
        <f>IF($Q40="","",INDEX(TRANSACTIONS_MASTER!$AA$5:$AA$1204,$Q40))</f>
        <v/>
      </c>
      <c r="N40" s="25" t="str">
        <f>IF($Q40="","",INDEX(TRANSACTIONS_MASTER!$R$5:$R$1204,$Q40))</f>
        <v/>
      </c>
      <c r="O40" s="28" t="str">
        <f>IF($Q40="","",INDEX(TRANSACTIONS_MASTER!$AB$5:$AB$1204,$Q40))</f>
        <v/>
      </c>
      <c r="P40" s="55" t="str">
        <f>IF($Q40="","",INDEX(TRANSACTIONS_MASTER!$Z$5:$Z$1204,$Q40)&amp;"")</f>
        <v/>
      </c>
      <c r="Q40" s="67" t="str">
        <f>IFERROR(MATCH($C$2&amp;"|"&amp;33,TRANSACTIONS_MASTER!$AE$5:$AE$1204,0),"")</f>
        <v/>
      </c>
      <c r="S40" s="67" t="str">
        <f>IFERROR(MATCH(33,CASHBACK_RULES!$S$5:$S$304,0),"")</f>
        <v/>
      </c>
      <c r="T40" s="55" t="str">
        <f>IF($S40="","",INDEX(CASHBACK_RULES!$B$5:$B$304,$S40))</f>
        <v/>
      </c>
      <c r="U40" s="55" t="str">
        <f>IF($S40="","",INDEX(CASHBACK_RULES!$C$5:$C$304,$S40)&amp;" "&amp;INDEX(CASHBACK_RULES!$D$5:$D$304,$S40))</f>
        <v/>
      </c>
      <c r="V40" s="55" t="str">
        <f>IF($S40="","",INDEX(CASHBACK_RULES!$E$5:$E$304,$S40)&amp;"")</f>
        <v/>
      </c>
      <c r="W40" s="55" t="str">
        <f>IF($S40="","",INDEX(CASHBACK_RULES!$F$5:$F$304,$S40)&amp;"")</f>
        <v/>
      </c>
      <c r="X40" s="26" t="str">
        <f>IF($S40="","",SUMIFS(TRANSACTIONS_MASTER!$Q$5:$Q$1204,TRANSACTIONS_MASTER!$D$5:$D$1204,$T40,TRANSACTIONS_MASTER!$Z$5:$Z$1204,$V40,TRANSACTIONS_MASTER!$C$5:$C$1204,$C$2))</f>
        <v/>
      </c>
      <c r="Y40" s="25" t="str">
        <f>IF($S40="","",IF(ISNUMBER(INDEX(CASHBACK_RULES!$J$5:$J$304,$S40)),INDEX(CASHBACK_RULES!$J$5:$J$304,$S40),"∞"))</f>
        <v/>
      </c>
      <c r="Z40" s="25" t="str">
        <f>IF($S40="","",IF(ISNUMBER($Y40),MAX(0,$Y40-$X40),"∞"))</f>
        <v/>
      </c>
      <c r="AA40" s="27" t="str">
        <f>IF($S40="","",IF(ISNUMBER($Y40),IF($Y40=0,0,$X40/$Y40),""))</f>
        <v/>
      </c>
    </row>
    <row r="41" ht="20" customHeight="1">
      <c r="A41" s="81" t="str">
        <f>IF($Q41="","",34)</f>
        <v/>
      </c>
      <c r="B41" s="57" t="str">
        <f>IF($Q41="","",INDEX(TRANSACTIONS_MASTER!$B$5:$B$1204,$Q41))</f>
        <v/>
      </c>
      <c r="C41" s="55" t="str">
        <f>IF($Q41="","",INDEX(TRANSACTIONS_MASTER!$F$5:$F$1204,$Q41))</f>
        <v/>
      </c>
      <c r="D41" s="55" t="str">
        <f>IF($Q41="","",INDEX(TRANSACTIONS_MASTER!$E$5:$E$1204,$Q41))</f>
        <v/>
      </c>
      <c r="E41" s="55" t="str">
        <f>IF($Q41="","",INDEX(TRANSACTIONS_MASTER!$G$5:$G$1204,$Q41)&amp;"")</f>
        <v/>
      </c>
      <c r="F41" s="29" t="str">
        <f>IF($Q41="","",INDEX(TRANSACTIONS_MASTER!$I$5:$I$1204,$Q41))</f>
        <v/>
      </c>
      <c r="G41" s="55" t="str">
        <f>IF($Q41="","",INDEX(TRANSACTIONS_MASTER!$K$5:$K$1204,$Q41))</f>
        <v/>
      </c>
      <c r="H41" s="25" t="str">
        <f>IF($Q41="","",INDEX(TRANSACTIONS_MASTER!$L$5:$L$1204,$Q41))</f>
        <v/>
      </c>
      <c r="I41" s="56" t="str">
        <f>IF($Q41="","",INDEX(TRANSACTIONS_MASTER!$N$5:$N$1204,$Q41))</f>
        <v/>
      </c>
      <c r="J41" s="25" t="str">
        <f>IF($Q41="","",INDEX(TRANSACTIONS_MASTER!$O$5:$O$1204,$Q41))</f>
        <v/>
      </c>
      <c r="K41" s="26" t="str">
        <f>IF($Q41="","",INDEX(TRANSACTIONS_MASTER!$Q$5:$Q$1204,$Q41))</f>
        <v/>
      </c>
      <c r="L41" s="25" t="str">
        <f>IF($Q41="","",INDEX(TRANSACTIONS_MASTER!$P$5:$P$1204,$Q41))</f>
        <v/>
      </c>
      <c r="M41" s="25" t="str">
        <f>IF($Q41="","",INDEX(TRANSACTIONS_MASTER!$AA$5:$AA$1204,$Q41))</f>
        <v/>
      </c>
      <c r="N41" s="25" t="str">
        <f>IF($Q41="","",INDEX(TRANSACTIONS_MASTER!$R$5:$R$1204,$Q41))</f>
        <v/>
      </c>
      <c r="O41" s="28" t="str">
        <f>IF($Q41="","",INDEX(TRANSACTIONS_MASTER!$AB$5:$AB$1204,$Q41))</f>
        <v/>
      </c>
      <c r="P41" s="55" t="str">
        <f>IF($Q41="","",INDEX(TRANSACTIONS_MASTER!$Z$5:$Z$1204,$Q41)&amp;"")</f>
        <v/>
      </c>
      <c r="Q41" s="67" t="str">
        <f>IFERROR(MATCH($C$2&amp;"|"&amp;34,TRANSACTIONS_MASTER!$AE$5:$AE$1204,0),"")</f>
        <v/>
      </c>
      <c r="S41" s="67" t="str">
        <f>IFERROR(MATCH(34,CASHBACK_RULES!$S$5:$S$304,0),"")</f>
        <v/>
      </c>
      <c r="T41" s="55" t="str">
        <f>IF($S41="","",INDEX(CASHBACK_RULES!$B$5:$B$304,$S41))</f>
        <v/>
      </c>
      <c r="U41" s="55" t="str">
        <f>IF($S41="","",INDEX(CASHBACK_RULES!$C$5:$C$304,$S41)&amp;" "&amp;INDEX(CASHBACK_RULES!$D$5:$D$304,$S41))</f>
        <v/>
      </c>
      <c r="V41" s="55" t="str">
        <f>IF($S41="","",INDEX(CASHBACK_RULES!$E$5:$E$304,$S41)&amp;"")</f>
        <v/>
      </c>
      <c r="W41" s="55" t="str">
        <f>IF($S41="","",INDEX(CASHBACK_RULES!$F$5:$F$304,$S41)&amp;"")</f>
        <v/>
      </c>
      <c r="X41" s="26" t="str">
        <f>IF($S41="","",SUMIFS(TRANSACTIONS_MASTER!$Q$5:$Q$1204,TRANSACTIONS_MASTER!$D$5:$D$1204,$T41,TRANSACTIONS_MASTER!$Z$5:$Z$1204,$V41,TRANSACTIONS_MASTER!$C$5:$C$1204,$C$2))</f>
        <v/>
      </c>
      <c r="Y41" s="25" t="str">
        <f>IF($S41="","",IF(ISNUMBER(INDEX(CASHBACK_RULES!$J$5:$J$304,$S41)),INDEX(CASHBACK_RULES!$J$5:$J$304,$S41),"∞"))</f>
        <v/>
      </c>
      <c r="Z41" s="25" t="str">
        <f>IF($S41="","",IF(ISNUMBER($Y41),MAX(0,$Y41-$X41),"∞"))</f>
        <v/>
      </c>
      <c r="AA41" s="27" t="str">
        <f>IF($S41="","",IF(ISNUMBER($Y41),IF($Y41=0,0,$X41/$Y41),""))</f>
        <v/>
      </c>
    </row>
    <row r="42" ht="20" customHeight="1">
      <c r="A42" s="81" t="str">
        <f>IF($Q42="","",35)</f>
        <v/>
      </c>
      <c r="B42" s="57" t="str">
        <f>IF($Q42="","",INDEX(TRANSACTIONS_MASTER!$B$5:$B$1204,$Q42))</f>
        <v/>
      </c>
      <c r="C42" s="55" t="str">
        <f>IF($Q42="","",INDEX(TRANSACTIONS_MASTER!$F$5:$F$1204,$Q42))</f>
        <v/>
      </c>
      <c r="D42" s="55" t="str">
        <f>IF($Q42="","",INDEX(TRANSACTIONS_MASTER!$E$5:$E$1204,$Q42))</f>
        <v/>
      </c>
      <c r="E42" s="55" t="str">
        <f>IF($Q42="","",INDEX(TRANSACTIONS_MASTER!$G$5:$G$1204,$Q42)&amp;"")</f>
        <v/>
      </c>
      <c r="F42" s="29" t="str">
        <f>IF($Q42="","",INDEX(TRANSACTIONS_MASTER!$I$5:$I$1204,$Q42))</f>
        <v/>
      </c>
      <c r="G42" s="55" t="str">
        <f>IF($Q42="","",INDEX(TRANSACTIONS_MASTER!$K$5:$K$1204,$Q42))</f>
        <v/>
      </c>
      <c r="H42" s="25" t="str">
        <f>IF($Q42="","",INDEX(TRANSACTIONS_MASTER!$L$5:$L$1204,$Q42))</f>
        <v/>
      </c>
      <c r="I42" s="56" t="str">
        <f>IF($Q42="","",INDEX(TRANSACTIONS_MASTER!$N$5:$N$1204,$Q42))</f>
        <v/>
      </c>
      <c r="J42" s="25" t="str">
        <f>IF($Q42="","",INDEX(TRANSACTIONS_MASTER!$O$5:$O$1204,$Q42))</f>
        <v/>
      </c>
      <c r="K42" s="26" t="str">
        <f>IF($Q42="","",INDEX(TRANSACTIONS_MASTER!$Q$5:$Q$1204,$Q42))</f>
        <v/>
      </c>
      <c r="L42" s="25" t="str">
        <f>IF($Q42="","",INDEX(TRANSACTIONS_MASTER!$P$5:$P$1204,$Q42))</f>
        <v/>
      </c>
      <c r="M42" s="25" t="str">
        <f>IF($Q42="","",INDEX(TRANSACTIONS_MASTER!$AA$5:$AA$1204,$Q42))</f>
        <v/>
      </c>
      <c r="N42" s="25" t="str">
        <f>IF($Q42="","",INDEX(TRANSACTIONS_MASTER!$R$5:$R$1204,$Q42))</f>
        <v/>
      </c>
      <c r="O42" s="28" t="str">
        <f>IF($Q42="","",INDEX(TRANSACTIONS_MASTER!$AB$5:$AB$1204,$Q42))</f>
        <v/>
      </c>
      <c r="P42" s="55" t="str">
        <f>IF($Q42="","",INDEX(TRANSACTIONS_MASTER!$Z$5:$Z$1204,$Q42)&amp;"")</f>
        <v/>
      </c>
      <c r="Q42" s="67" t="str">
        <f>IFERROR(MATCH($C$2&amp;"|"&amp;35,TRANSACTIONS_MASTER!$AE$5:$AE$1204,0),"")</f>
        <v/>
      </c>
      <c r="S42" s="67" t="str">
        <f>IFERROR(MATCH(35,CASHBACK_RULES!$S$5:$S$304,0),"")</f>
        <v/>
      </c>
      <c r="T42" s="55" t="str">
        <f>IF($S42="","",INDEX(CASHBACK_RULES!$B$5:$B$304,$S42))</f>
        <v/>
      </c>
      <c r="U42" s="55" t="str">
        <f>IF($S42="","",INDEX(CASHBACK_RULES!$C$5:$C$304,$S42)&amp;" "&amp;INDEX(CASHBACK_RULES!$D$5:$D$304,$S42))</f>
        <v/>
      </c>
      <c r="V42" s="55" t="str">
        <f>IF($S42="","",INDEX(CASHBACK_RULES!$E$5:$E$304,$S42)&amp;"")</f>
        <v/>
      </c>
      <c r="W42" s="55" t="str">
        <f>IF($S42="","",INDEX(CASHBACK_RULES!$F$5:$F$304,$S42)&amp;"")</f>
        <v/>
      </c>
      <c r="X42" s="26" t="str">
        <f>IF($S42="","",SUMIFS(TRANSACTIONS_MASTER!$Q$5:$Q$1204,TRANSACTIONS_MASTER!$D$5:$D$1204,$T42,TRANSACTIONS_MASTER!$Z$5:$Z$1204,$V42,TRANSACTIONS_MASTER!$C$5:$C$1204,$C$2))</f>
        <v/>
      </c>
      <c r="Y42" s="25" t="str">
        <f>IF($S42="","",IF(ISNUMBER(INDEX(CASHBACK_RULES!$J$5:$J$304,$S42)),INDEX(CASHBACK_RULES!$J$5:$J$304,$S42),"∞"))</f>
        <v/>
      </c>
      <c r="Z42" s="25" t="str">
        <f>IF($S42="","",IF(ISNUMBER($Y42),MAX(0,$Y42-$X42),"∞"))</f>
        <v/>
      </c>
      <c r="AA42" s="27" t="str">
        <f>IF($S42="","",IF(ISNUMBER($Y42),IF($Y42=0,0,$X42/$Y42),""))</f>
        <v/>
      </c>
    </row>
    <row r="43" ht="20" customHeight="1">
      <c r="A43" s="81" t="str">
        <f>IF($Q43="","",36)</f>
        <v/>
      </c>
      <c r="B43" s="57" t="str">
        <f>IF($Q43="","",INDEX(TRANSACTIONS_MASTER!$B$5:$B$1204,$Q43))</f>
        <v/>
      </c>
      <c r="C43" s="55" t="str">
        <f>IF($Q43="","",INDEX(TRANSACTIONS_MASTER!$F$5:$F$1204,$Q43))</f>
        <v/>
      </c>
      <c r="D43" s="55" t="str">
        <f>IF($Q43="","",INDEX(TRANSACTIONS_MASTER!$E$5:$E$1204,$Q43))</f>
        <v/>
      </c>
      <c r="E43" s="55" t="str">
        <f>IF($Q43="","",INDEX(TRANSACTIONS_MASTER!$G$5:$G$1204,$Q43)&amp;"")</f>
        <v/>
      </c>
      <c r="F43" s="29" t="str">
        <f>IF($Q43="","",INDEX(TRANSACTIONS_MASTER!$I$5:$I$1204,$Q43))</f>
        <v/>
      </c>
      <c r="G43" s="55" t="str">
        <f>IF($Q43="","",INDEX(TRANSACTIONS_MASTER!$K$5:$K$1204,$Q43))</f>
        <v/>
      </c>
      <c r="H43" s="25" t="str">
        <f>IF($Q43="","",INDEX(TRANSACTIONS_MASTER!$L$5:$L$1204,$Q43))</f>
        <v/>
      </c>
      <c r="I43" s="56" t="str">
        <f>IF($Q43="","",INDEX(TRANSACTIONS_MASTER!$N$5:$N$1204,$Q43))</f>
        <v/>
      </c>
      <c r="J43" s="25" t="str">
        <f>IF($Q43="","",INDEX(TRANSACTIONS_MASTER!$O$5:$O$1204,$Q43))</f>
        <v/>
      </c>
      <c r="K43" s="26" t="str">
        <f>IF($Q43="","",INDEX(TRANSACTIONS_MASTER!$Q$5:$Q$1204,$Q43))</f>
        <v/>
      </c>
      <c r="L43" s="25" t="str">
        <f>IF($Q43="","",INDEX(TRANSACTIONS_MASTER!$P$5:$P$1204,$Q43))</f>
        <v/>
      </c>
      <c r="M43" s="25" t="str">
        <f>IF($Q43="","",INDEX(TRANSACTIONS_MASTER!$AA$5:$AA$1204,$Q43))</f>
        <v/>
      </c>
      <c r="N43" s="25" t="str">
        <f>IF($Q43="","",INDEX(TRANSACTIONS_MASTER!$R$5:$R$1204,$Q43))</f>
        <v/>
      </c>
      <c r="O43" s="28" t="str">
        <f>IF($Q43="","",INDEX(TRANSACTIONS_MASTER!$AB$5:$AB$1204,$Q43))</f>
        <v/>
      </c>
      <c r="P43" s="55" t="str">
        <f>IF($Q43="","",INDEX(TRANSACTIONS_MASTER!$Z$5:$Z$1204,$Q43)&amp;"")</f>
        <v/>
      </c>
      <c r="Q43" s="67" t="str">
        <f>IFERROR(MATCH($C$2&amp;"|"&amp;36,TRANSACTIONS_MASTER!$AE$5:$AE$1204,0),"")</f>
        <v/>
      </c>
      <c r="S43" s="67" t="str">
        <f>IFERROR(MATCH(36,CASHBACK_RULES!$S$5:$S$304,0),"")</f>
        <v/>
      </c>
      <c r="T43" s="55" t="str">
        <f>IF($S43="","",INDEX(CASHBACK_RULES!$B$5:$B$304,$S43))</f>
        <v/>
      </c>
      <c r="U43" s="55" t="str">
        <f>IF($S43="","",INDEX(CASHBACK_RULES!$C$5:$C$304,$S43)&amp;" "&amp;INDEX(CASHBACK_RULES!$D$5:$D$304,$S43))</f>
        <v/>
      </c>
      <c r="V43" s="55" t="str">
        <f>IF($S43="","",INDEX(CASHBACK_RULES!$E$5:$E$304,$S43)&amp;"")</f>
        <v/>
      </c>
      <c r="W43" s="55" t="str">
        <f>IF($S43="","",INDEX(CASHBACK_RULES!$F$5:$F$304,$S43)&amp;"")</f>
        <v/>
      </c>
      <c r="X43" s="26" t="str">
        <f>IF($S43="","",SUMIFS(TRANSACTIONS_MASTER!$Q$5:$Q$1204,TRANSACTIONS_MASTER!$D$5:$D$1204,$T43,TRANSACTIONS_MASTER!$Z$5:$Z$1204,$V43,TRANSACTIONS_MASTER!$C$5:$C$1204,$C$2))</f>
        <v/>
      </c>
      <c r="Y43" s="25" t="str">
        <f>IF($S43="","",IF(ISNUMBER(INDEX(CASHBACK_RULES!$J$5:$J$304,$S43)),INDEX(CASHBACK_RULES!$J$5:$J$304,$S43),"∞"))</f>
        <v/>
      </c>
      <c r="Z43" s="25" t="str">
        <f>IF($S43="","",IF(ISNUMBER($Y43),MAX(0,$Y43-$X43),"∞"))</f>
        <v/>
      </c>
      <c r="AA43" s="27" t="str">
        <f>IF($S43="","",IF(ISNUMBER($Y43),IF($Y43=0,0,$X43/$Y43),""))</f>
        <v/>
      </c>
    </row>
    <row r="44" ht="20" customHeight="1">
      <c r="A44" s="81" t="str">
        <f>IF($Q44="","",37)</f>
        <v/>
      </c>
      <c r="B44" s="57" t="str">
        <f>IF($Q44="","",INDEX(TRANSACTIONS_MASTER!$B$5:$B$1204,$Q44))</f>
        <v/>
      </c>
      <c r="C44" s="55" t="str">
        <f>IF($Q44="","",INDEX(TRANSACTIONS_MASTER!$F$5:$F$1204,$Q44))</f>
        <v/>
      </c>
      <c r="D44" s="55" t="str">
        <f>IF($Q44="","",INDEX(TRANSACTIONS_MASTER!$E$5:$E$1204,$Q44))</f>
        <v/>
      </c>
      <c r="E44" s="55" t="str">
        <f>IF($Q44="","",INDEX(TRANSACTIONS_MASTER!$G$5:$G$1204,$Q44)&amp;"")</f>
        <v/>
      </c>
      <c r="F44" s="29" t="str">
        <f>IF($Q44="","",INDEX(TRANSACTIONS_MASTER!$I$5:$I$1204,$Q44))</f>
        <v/>
      </c>
      <c r="G44" s="55" t="str">
        <f>IF($Q44="","",INDEX(TRANSACTIONS_MASTER!$K$5:$K$1204,$Q44))</f>
        <v/>
      </c>
      <c r="H44" s="25" t="str">
        <f>IF($Q44="","",INDEX(TRANSACTIONS_MASTER!$L$5:$L$1204,$Q44))</f>
        <v/>
      </c>
      <c r="I44" s="56" t="str">
        <f>IF($Q44="","",INDEX(TRANSACTIONS_MASTER!$N$5:$N$1204,$Q44))</f>
        <v/>
      </c>
      <c r="J44" s="25" t="str">
        <f>IF($Q44="","",INDEX(TRANSACTIONS_MASTER!$O$5:$O$1204,$Q44))</f>
        <v/>
      </c>
      <c r="K44" s="26" t="str">
        <f>IF($Q44="","",INDEX(TRANSACTIONS_MASTER!$Q$5:$Q$1204,$Q44))</f>
        <v/>
      </c>
      <c r="L44" s="25" t="str">
        <f>IF($Q44="","",INDEX(TRANSACTIONS_MASTER!$P$5:$P$1204,$Q44))</f>
        <v/>
      </c>
      <c r="M44" s="25" t="str">
        <f>IF($Q44="","",INDEX(TRANSACTIONS_MASTER!$AA$5:$AA$1204,$Q44))</f>
        <v/>
      </c>
      <c r="N44" s="25" t="str">
        <f>IF($Q44="","",INDEX(TRANSACTIONS_MASTER!$R$5:$R$1204,$Q44))</f>
        <v/>
      </c>
      <c r="O44" s="28" t="str">
        <f>IF($Q44="","",INDEX(TRANSACTIONS_MASTER!$AB$5:$AB$1204,$Q44))</f>
        <v/>
      </c>
      <c r="P44" s="55" t="str">
        <f>IF($Q44="","",INDEX(TRANSACTIONS_MASTER!$Z$5:$Z$1204,$Q44)&amp;"")</f>
        <v/>
      </c>
      <c r="Q44" s="67" t="str">
        <f>IFERROR(MATCH($C$2&amp;"|"&amp;37,TRANSACTIONS_MASTER!$AE$5:$AE$1204,0),"")</f>
        <v/>
      </c>
      <c r="S44" s="67" t="str">
        <f>IFERROR(MATCH(37,CASHBACK_RULES!$S$5:$S$304,0),"")</f>
        <v/>
      </c>
      <c r="T44" s="55" t="str">
        <f>IF($S44="","",INDEX(CASHBACK_RULES!$B$5:$B$304,$S44))</f>
        <v/>
      </c>
      <c r="U44" s="55" t="str">
        <f>IF($S44="","",INDEX(CASHBACK_RULES!$C$5:$C$304,$S44)&amp;" "&amp;INDEX(CASHBACK_RULES!$D$5:$D$304,$S44))</f>
        <v/>
      </c>
      <c r="V44" s="55" t="str">
        <f>IF($S44="","",INDEX(CASHBACK_RULES!$E$5:$E$304,$S44)&amp;"")</f>
        <v/>
      </c>
      <c r="W44" s="55" t="str">
        <f>IF($S44="","",INDEX(CASHBACK_RULES!$F$5:$F$304,$S44)&amp;"")</f>
        <v/>
      </c>
      <c r="X44" s="26" t="str">
        <f>IF($S44="","",SUMIFS(TRANSACTIONS_MASTER!$Q$5:$Q$1204,TRANSACTIONS_MASTER!$D$5:$D$1204,$T44,TRANSACTIONS_MASTER!$Z$5:$Z$1204,$V44,TRANSACTIONS_MASTER!$C$5:$C$1204,$C$2))</f>
        <v/>
      </c>
      <c r="Y44" s="25" t="str">
        <f>IF($S44="","",IF(ISNUMBER(INDEX(CASHBACK_RULES!$J$5:$J$304,$S44)),INDEX(CASHBACK_RULES!$J$5:$J$304,$S44),"∞"))</f>
        <v/>
      </c>
      <c r="Z44" s="25" t="str">
        <f>IF($S44="","",IF(ISNUMBER($Y44),MAX(0,$Y44-$X44),"∞"))</f>
        <v/>
      </c>
      <c r="AA44" s="27" t="str">
        <f>IF($S44="","",IF(ISNUMBER($Y44),IF($Y44=0,0,$X44/$Y44),""))</f>
        <v/>
      </c>
    </row>
    <row r="45" ht="20" customHeight="1">
      <c r="A45" s="81" t="str">
        <f>IF($Q45="","",38)</f>
        <v/>
      </c>
      <c r="B45" s="57" t="str">
        <f>IF($Q45="","",INDEX(TRANSACTIONS_MASTER!$B$5:$B$1204,$Q45))</f>
        <v/>
      </c>
      <c r="C45" s="55" t="str">
        <f>IF($Q45="","",INDEX(TRANSACTIONS_MASTER!$F$5:$F$1204,$Q45))</f>
        <v/>
      </c>
      <c r="D45" s="55" t="str">
        <f>IF($Q45="","",INDEX(TRANSACTIONS_MASTER!$E$5:$E$1204,$Q45))</f>
        <v/>
      </c>
      <c r="E45" s="55" t="str">
        <f>IF($Q45="","",INDEX(TRANSACTIONS_MASTER!$G$5:$G$1204,$Q45)&amp;"")</f>
        <v/>
      </c>
      <c r="F45" s="29" t="str">
        <f>IF($Q45="","",INDEX(TRANSACTIONS_MASTER!$I$5:$I$1204,$Q45))</f>
        <v/>
      </c>
      <c r="G45" s="55" t="str">
        <f>IF($Q45="","",INDEX(TRANSACTIONS_MASTER!$K$5:$K$1204,$Q45))</f>
        <v/>
      </c>
      <c r="H45" s="25" t="str">
        <f>IF($Q45="","",INDEX(TRANSACTIONS_MASTER!$L$5:$L$1204,$Q45))</f>
        <v/>
      </c>
      <c r="I45" s="56" t="str">
        <f>IF($Q45="","",INDEX(TRANSACTIONS_MASTER!$N$5:$N$1204,$Q45))</f>
        <v/>
      </c>
      <c r="J45" s="25" t="str">
        <f>IF($Q45="","",INDEX(TRANSACTIONS_MASTER!$O$5:$O$1204,$Q45))</f>
        <v/>
      </c>
      <c r="K45" s="26" t="str">
        <f>IF($Q45="","",INDEX(TRANSACTIONS_MASTER!$Q$5:$Q$1204,$Q45))</f>
        <v/>
      </c>
      <c r="L45" s="25" t="str">
        <f>IF($Q45="","",INDEX(TRANSACTIONS_MASTER!$P$5:$P$1204,$Q45))</f>
        <v/>
      </c>
      <c r="M45" s="25" t="str">
        <f>IF($Q45="","",INDEX(TRANSACTIONS_MASTER!$AA$5:$AA$1204,$Q45))</f>
        <v/>
      </c>
      <c r="N45" s="25" t="str">
        <f>IF($Q45="","",INDEX(TRANSACTIONS_MASTER!$R$5:$R$1204,$Q45))</f>
        <v/>
      </c>
      <c r="O45" s="28" t="str">
        <f>IF($Q45="","",INDEX(TRANSACTIONS_MASTER!$AB$5:$AB$1204,$Q45))</f>
        <v/>
      </c>
      <c r="P45" s="55" t="str">
        <f>IF($Q45="","",INDEX(TRANSACTIONS_MASTER!$Z$5:$Z$1204,$Q45)&amp;"")</f>
        <v/>
      </c>
      <c r="Q45" s="67" t="str">
        <f>IFERROR(MATCH($C$2&amp;"|"&amp;38,TRANSACTIONS_MASTER!$AE$5:$AE$1204,0),"")</f>
        <v/>
      </c>
      <c r="S45" s="67" t="str">
        <f>IFERROR(MATCH(38,CASHBACK_RULES!$S$5:$S$304,0),"")</f>
        <v/>
      </c>
      <c r="T45" s="55" t="str">
        <f>IF($S45="","",INDEX(CASHBACK_RULES!$B$5:$B$304,$S45))</f>
        <v/>
      </c>
      <c r="U45" s="55" t="str">
        <f>IF($S45="","",INDEX(CASHBACK_RULES!$C$5:$C$304,$S45)&amp;" "&amp;INDEX(CASHBACK_RULES!$D$5:$D$304,$S45))</f>
        <v/>
      </c>
      <c r="V45" s="55" t="str">
        <f>IF($S45="","",INDEX(CASHBACK_RULES!$E$5:$E$304,$S45)&amp;"")</f>
        <v/>
      </c>
      <c r="W45" s="55" t="str">
        <f>IF($S45="","",INDEX(CASHBACK_RULES!$F$5:$F$304,$S45)&amp;"")</f>
        <v/>
      </c>
      <c r="X45" s="26" t="str">
        <f>IF($S45="","",SUMIFS(TRANSACTIONS_MASTER!$Q$5:$Q$1204,TRANSACTIONS_MASTER!$D$5:$D$1204,$T45,TRANSACTIONS_MASTER!$Z$5:$Z$1204,$V45,TRANSACTIONS_MASTER!$C$5:$C$1204,$C$2))</f>
        <v/>
      </c>
      <c r="Y45" s="25" t="str">
        <f>IF($S45="","",IF(ISNUMBER(INDEX(CASHBACK_RULES!$J$5:$J$304,$S45)),INDEX(CASHBACK_RULES!$J$5:$J$304,$S45),"∞"))</f>
        <v/>
      </c>
      <c r="Z45" s="25" t="str">
        <f>IF($S45="","",IF(ISNUMBER($Y45),MAX(0,$Y45-$X45),"∞"))</f>
        <v/>
      </c>
      <c r="AA45" s="27" t="str">
        <f>IF($S45="","",IF(ISNUMBER($Y45),IF($Y45=0,0,$X45/$Y45),""))</f>
        <v/>
      </c>
    </row>
    <row r="46" ht="20" customHeight="1">
      <c r="A46" s="81" t="str">
        <f>IF($Q46="","",39)</f>
        <v/>
      </c>
      <c r="B46" s="57" t="str">
        <f>IF($Q46="","",INDEX(TRANSACTIONS_MASTER!$B$5:$B$1204,$Q46))</f>
        <v/>
      </c>
      <c r="C46" s="55" t="str">
        <f>IF($Q46="","",INDEX(TRANSACTIONS_MASTER!$F$5:$F$1204,$Q46))</f>
        <v/>
      </c>
      <c r="D46" s="55" t="str">
        <f>IF($Q46="","",INDEX(TRANSACTIONS_MASTER!$E$5:$E$1204,$Q46))</f>
        <v/>
      </c>
      <c r="E46" s="55" t="str">
        <f>IF($Q46="","",INDEX(TRANSACTIONS_MASTER!$G$5:$G$1204,$Q46)&amp;"")</f>
        <v/>
      </c>
      <c r="F46" s="29" t="str">
        <f>IF($Q46="","",INDEX(TRANSACTIONS_MASTER!$I$5:$I$1204,$Q46))</f>
        <v/>
      </c>
      <c r="G46" s="55" t="str">
        <f>IF($Q46="","",INDEX(TRANSACTIONS_MASTER!$K$5:$K$1204,$Q46))</f>
        <v/>
      </c>
      <c r="H46" s="25" t="str">
        <f>IF($Q46="","",INDEX(TRANSACTIONS_MASTER!$L$5:$L$1204,$Q46))</f>
        <v/>
      </c>
      <c r="I46" s="56" t="str">
        <f>IF($Q46="","",INDEX(TRANSACTIONS_MASTER!$N$5:$N$1204,$Q46))</f>
        <v/>
      </c>
      <c r="J46" s="25" t="str">
        <f>IF($Q46="","",INDEX(TRANSACTIONS_MASTER!$O$5:$O$1204,$Q46))</f>
        <v/>
      </c>
      <c r="K46" s="26" t="str">
        <f>IF($Q46="","",INDEX(TRANSACTIONS_MASTER!$Q$5:$Q$1204,$Q46))</f>
        <v/>
      </c>
      <c r="L46" s="25" t="str">
        <f>IF($Q46="","",INDEX(TRANSACTIONS_MASTER!$P$5:$P$1204,$Q46))</f>
        <v/>
      </c>
      <c r="M46" s="25" t="str">
        <f>IF($Q46="","",INDEX(TRANSACTIONS_MASTER!$AA$5:$AA$1204,$Q46))</f>
        <v/>
      </c>
      <c r="N46" s="25" t="str">
        <f>IF($Q46="","",INDEX(TRANSACTIONS_MASTER!$R$5:$R$1204,$Q46))</f>
        <v/>
      </c>
      <c r="O46" s="28" t="str">
        <f>IF($Q46="","",INDEX(TRANSACTIONS_MASTER!$AB$5:$AB$1204,$Q46))</f>
        <v/>
      </c>
      <c r="P46" s="55" t="str">
        <f>IF($Q46="","",INDEX(TRANSACTIONS_MASTER!$Z$5:$Z$1204,$Q46)&amp;"")</f>
        <v/>
      </c>
      <c r="Q46" s="67" t="str">
        <f>IFERROR(MATCH($C$2&amp;"|"&amp;39,TRANSACTIONS_MASTER!$AE$5:$AE$1204,0),"")</f>
        <v/>
      </c>
      <c r="S46" s="67" t="str">
        <f>IFERROR(MATCH(39,CASHBACK_RULES!$S$5:$S$304,0),"")</f>
        <v/>
      </c>
      <c r="T46" s="55" t="str">
        <f>IF($S46="","",INDEX(CASHBACK_RULES!$B$5:$B$304,$S46))</f>
        <v/>
      </c>
      <c r="U46" s="55" t="str">
        <f>IF($S46="","",INDEX(CASHBACK_RULES!$C$5:$C$304,$S46)&amp;" "&amp;INDEX(CASHBACK_RULES!$D$5:$D$304,$S46))</f>
        <v/>
      </c>
      <c r="V46" s="55" t="str">
        <f>IF($S46="","",INDEX(CASHBACK_RULES!$E$5:$E$304,$S46)&amp;"")</f>
        <v/>
      </c>
      <c r="W46" s="55" t="str">
        <f>IF($S46="","",INDEX(CASHBACK_RULES!$F$5:$F$304,$S46)&amp;"")</f>
        <v/>
      </c>
      <c r="X46" s="26" t="str">
        <f>IF($S46="","",SUMIFS(TRANSACTIONS_MASTER!$Q$5:$Q$1204,TRANSACTIONS_MASTER!$D$5:$D$1204,$T46,TRANSACTIONS_MASTER!$Z$5:$Z$1204,$V46,TRANSACTIONS_MASTER!$C$5:$C$1204,$C$2))</f>
        <v/>
      </c>
      <c r="Y46" s="25" t="str">
        <f>IF($S46="","",IF(ISNUMBER(INDEX(CASHBACK_RULES!$J$5:$J$304,$S46)),INDEX(CASHBACK_RULES!$J$5:$J$304,$S46),"∞"))</f>
        <v/>
      </c>
      <c r="Z46" s="25" t="str">
        <f>IF($S46="","",IF(ISNUMBER($Y46),MAX(0,$Y46-$X46),"∞"))</f>
        <v/>
      </c>
      <c r="AA46" s="27" t="str">
        <f>IF($S46="","",IF(ISNUMBER($Y46),IF($Y46=0,0,$X46/$Y46),""))</f>
        <v/>
      </c>
    </row>
    <row r="47" ht="20" customHeight="1">
      <c r="A47" s="81" t="str">
        <f>IF($Q47="","",40)</f>
        <v/>
      </c>
      <c r="B47" s="57" t="str">
        <f>IF($Q47="","",INDEX(TRANSACTIONS_MASTER!$B$5:$B$1204,$Q47))</f>
        <v/>
      </c>
      <c r="C47" s="55" t="str">
        <f>IF($Q47="","",INDEX(TRANSACTIONS_MASTER!$F$5:$F$1204,$Q47))</f>
        <v/>
      </c>
      <c r="D47" s="55" t="str">
        <f>IF($Q47="","",INDEX(TRANSACTIONS_MASTER!$E$5:$E$1204,$Q47))</f>
        <v/>
      </c>
      <c r="E47" s="55" t="str">
        <f>IF($Q47="","",INDEX(TRANSACTIONS_MASTER!$G$5:$G$1204,$Q47)&amp;"")</f>
        <v/>
      </c>
      <c r="F47" s="29" t="str">
        <f>IF($Q47="","",INDEX(TRANSACTIONS_MASTER!$I$5:$I$1204,$Q47))</f>
        <v/>
      </c>
      <c r="G47" s="55" t="str">
        <f>IF($Q47="","",INDEX(TRANSACTIONS_MASTER!$K$5:$K$1204,$Q47))</f>
        <v/>
      </c>
      <c r="H47" s="25" t="str">
        <f>IF($Q47="","",INDEX(TRANSACTIONS_MASTER!$L$5:$L$1204,$Q47))</f>
        <v/>
      </c>
      <c r="I47" s="56" t="str">
        <f>IF($Q47="","",INDEX(TRANSACTIONS_MASTER!$N$5:$N$1204,$Q47))</f>
        <v/>
      </c>
      <c r="J47" s="25" t="str">
        <f>IF($Q47="","",INDEX(TRANSACTIONS_MASTER!$O$5:$O$1204,$Q47))</f>
        <v/>
      </c>
      <c r="K47" s="26" t="str">
        <f>IF($Q47="","",INDEX(TRANSACTIONS_MASTER!$Q$5:$Q$1204,$Q47))</f>
        <v/>
      </c>
      <c r="L47" s="25" t="str">
        <f>IF($Q47="","",INDEX(TRANSACTIONS_MASTER!$P$5:$P$1204,$Q47))</f>
        <v/>
      </c>
      <c r="M47" s="25" t="str">
        <f>IF($Q47="","",INDEX(TRANSACTIONS_MASTER!$AA$5:$AA$1204,$Q47))</f>
        <v/>
      </c>
      <c r="N47" s="25" t="str">
        <f>IF($Q47="","",INDEX(TRANSACTIONS_MASTER!$R$5:$R$1204,$Q47))</f>
        <v/>
      </c>
      <c r="O47" s="28" t="str">
        <f>IF($Q47="","",INDEX(TRANSACTIONS_MASTER!$AB$5:$AB$1204,$Q47))</f>
        <v/>
      </c>
      <c r="P47" s="55" t="str">
        <f>IF($Q47="","",INDEX(TRANSACTIONS_MASTER!$Z$5:$Z$1204,$Q47)&amp;"")</f>
        <v/>
      </c>
      <c r="Q47" s="67" t="str">
        <f>IFERROR(MATCH($C$2&amp;"|"&amp;40,TRANSACTIONS_MASTER!$AE$5:$AE$1204,0),"")</f>
        <v/>
      </c>
      <c r="S47" s="67" t="str">
        <f>IFERROR(MATCH(40,CASHBACK_RULES!$S$5:$S$304,0),"")</f>
        <v/>
      </c>
      <c r="T47" s="55" t="str">
        <f>IF($S47="","",INDEX(CASHBACK_RULES!$B$5:$B$304,$S47))</f>
        <v/>
      </c>
      <c r="U47" s="55" t="str">
        <f>IF($S47="","",INDEX(CASHBACK_RULES!$C$5:$C$304,$S47)&amp;" "&amp;INDEX(CASHBACK_RULES!$D$5:$D$304,$S47))</f>
        <v/>
      </c>
      <c r="V47" s="55" t="str">
        <f>IF($S47="","",INDEX(CASHBACK_RULES!$E$5:$E$304,$S47)&amp;"")</f>
        <v/>
      </c>
      <c r="W47" s="55" t="str">
        <f>IF($S47="","",INDEX(CASHBACK_RULES!$F$5:$F$304,$S47)&amp;"")</f>
        <v/>
      </c>
      <c r="X47" s="26" t="str">
        <f>IF($S47="","",SUMIFS(TRANSACTIONS_MASTER!$Q$5:$Q$1204,TRANSACTIONS_MASTER!$D$5:$D$1204,$T47,TRANSACTIONS_MASTER!$Z$5:$Z$1204,$V47,TRANSACTIONS_MASTER!$C$5:$C$1204,$C$2))</f>
        <v/>
      </c>
      <c r="Y47" s="25" t="str">
        <f>IF($S47="","",IF(ISNUMBER(INDEX(CASHBACK_RULES!$J$5:$J$304,$S47)),INDEX(CASHBACK_RULES!$J$5:$J$304,$S47),"∞"))</f>
        <v/>
      </c>
      <c r="Z47" s="25" t="str">
        <f>IF($S47="","",IF(ISNUMBER($Y47),MAX(0,$Y47-$X47),"∞"))</f>
        <v/>
      </c>
      <c r="AA47" s="27" t="str">
        <f>IF($S47="","",IF(ISNUMBER($Y47),IF($Y47=0,0,$X47/$Y47),""))</f>
        <v/>
      </c>
    </row>
    <row r="48" ht="20" customHeight="1">
      <c r="A48" s="81" t="str">
        <f>IF($Q48="","",41)</f>
        <v/>
      </c>
      <c r="B48" s="57" t="str">
        <f>IF($Q48="","",INDEX(TRANSACTIONS_MASTER!$B$5:$B$1204,$Q48))</f>
        <v/>
      </c>
      <c r="C48" s="55" t="str">
        <f>IF($Q48="","",INDEX(TRANSACTIONS_MASTER!$F$5:$F$1204,$Q48))</f>
        <v/>
      </c>
      <c r="D48" s="55" t="str">
        <f>IF($Q48="","",INDEX(TRANSACTIONS_MASTER!$E$5:$E$1204,$Q48))</f>
        <v/>
      </c>
      <c r="E48" s="55" t="str">
        <f>IF($Q48="","",INDEX(TRANSACTIONS_MASTER!$G$5:$G$1204,$Q48)&amp;"")</f>
        <v/>
      </c>
      <c r="F48" s="29" t="str">
        <f>IF($Q48="","",INDEX(TRANSACTIONS_MASTER!$I$5:$I$1204,$Q48))</f>
        <v/>
      </c>
      <c r="G48" s="55" t="str">
        <f>IF($Q48="","",INDEX(TRANSACTIONS_MASTER!$K$5:$K$1204,$Q48))</f>
        <v/>
      </c>
      <c r="H48" s="25" t="str">
        <f>IF($Q48="","",INDEX(TRANSACTIONS_MASTER!$L$5:$L$1204,$Q48))</f>
        <v/>
      </c>
      <c r="I48" s="56" t="str">
        <f>IF($Q48="","",INDEX(TRANSACTIONS_MASTER!$N$5:$N$1204,$Q48))</f>
        <v/>
      </c>
      <c r="J48" s="25" t="str">
        <f>IF($Q48="","",INDEX(TRANSACTIONS_MASTER!$O$5:$O$1204,$Q48))</f>
        <v/>
      </c>
      <c r="K48" s="26" t="str">
        <f>IF($Q48="","",INDEX(TRANSACTIONS_MASTER!$Q$5:$Q$1204,$Q48))</f>
        <v/>
      </c>
      <c r="L48" s="25" t="str">
        <f>IF($Q48="","",INDEX(TRANSACTIONS_MASTER!$P$5:$P$1204,$Q48))</f>
        <v/>
      </c>
      <c r="M48" s="25" t="str">
        <f>IF($Q48="","",INDEX(TRANSACTIONS_MASTER!$AA$5:$AA$1204,$Q48))</f>
        <v/>
      </c>
      <c r="N48" s="25" t="str">
        <f>IF($Q48="","",INDEX(TRANSACTIONS_MASTER!$R$5:$R$1204,$Q48))</f>
        <v/>
      </c>
      <c r="O48" s="28" t="str">
        <f>IF($Q48="","",INDEX(TRANSACTIONS_MASTER!$AB$5:$AB$1204,$Q48))</f>
        <v/>
      </c>
      <c r="P48" s="55" t="str">
        <f>IF($Q48="","",INDEX(TRANSACTIONS_MASTER!$Z$5:$Z$1204,$Q48)&amp;"")</f>
        <v/>
      </c>
      <c r="Q48" s="67" t="str">
        <f>IFERROR(MATCH($C$2&amp;"|"&amp;41,TRANSACTIONS_MASTER!$AE$5:$AE$1204,0),"")</f>
        <v/>
      </c>
      <c r="S48" s="67" t="str">
        <f>IFERROR(MATCH(41,CASHBACK_RULES!$S$5:$S$304,0),"")</f>
        <v/>
      </c>
      <c r="T48" s="55" t="str">
        <f>IF($S48="","",INDEX(CASHBACK_RULES!$B$5:$B$304,$S48))</f>
        <v/>
      </c>
      <c r="U48" s="55" t="str">
        <f>IF($S48="","",INDEX(CASHBACK_RULES!$C$5:$C$304,$S48)&amp;" "&amp;INDEX(CASHBACK_RULES!$D$5:$D$304,$S48))</f>
        <v/>
      </c>
      <c r="V48" s="55" t="str">
        <f>IF($S48="","",INDEX(CASHBACK_RULES!$E$5:$E$304,$S48)&amp;"")</f>
        <v/>
      </c>
      <c r="W48" s="55" t="str">
        <f>IF($S48="","",INDEX(CASHBACK_RULES!$F$5:$F$304,$S48)&amp;"")</f>
        <v/>
      </c>
      <c r="X48" s="26" t="str">
        <f>IF($S48="","",SUMIFS(TRANSACTIONS_MASTER!$Q$5:$Q$1204,TRANSACTIONS_MASTER!$D$5:$D$1204,$T48,TRANSACTIONS_MASTER!$Z$5:$Z$1204,$V48,TRANSACTIONS_MASTER!$C$5:$C$1204,$C$2))</f>
        <v/>
      </c>
      <c r="Y48" s="25" t="str">
        <f>IF($S48="","",IF(ISNUMBER(INDEX(CASHBACK_RULES!$J$5:$J$304,$S48)),INDEX(CASHBACK_RULES!$J$5:$J$304,$S48),"∞"))</f>
        <v/>
      </c>
      <c r="Z48" s="25" t="str">
        <f>IF($S48="","",IF(ISNUMBER($Y48),MAX(0,$Y48-$X48),"∞"))</f>
        <v/>
      </c>
      <c r="AA48" s="27" t="str">
        <f>IF($S48="","",IF(ISNUMBER($Y48),IF($Y48=0,0,$X48/$Y48),""))</f>
        <v/>
      </c>
    </row>
    <row r="49" ht="20" customHeight="1">
      <c r="A49" s="81" t="str">
        <f>IF($Q49="","",42)</f>
        <v/>
      </c>
      <c r="B49" s="57" t="str">
        <f>IF($Q49="","",INDEX(TRANSACTIONS_MASTER!$B$5:$B$1204,$Q49))</f>
        <v/>
      </c>
      <c r="C49" s="55" t="str">
        <f>IF($Q49="","",INDEX(TRANSACTIONS_MASTER!$F$5:$F$1204,$Q49))</f>
        <v/>
      </c>
      <c r="D49" s="55" t="str">
        <f>IF($Q49="","",INDEX(TRANSACTIONS_MASTER!$E$5:$E$1204,$Q49))</f>
        <v/>
      </c>
      <c r="E49" s="55" t="str">
        <f>IF($Q49="","",INDEX(TRANSACTIONS_MASTER!$G$5:$G$1204,$Q49)&amp;"")</f>
        <v/>
      </c>
      <c r="F49" s="29" t="str">
        <f>IF($Q49="","",INDEX(TRANSACTIONS_MASTER!$I$5:$I$1204,$Q49))</f>
        <v/>
      </c>
      <c r="G49" s="55" t="str">
        <f>IF($Q49="","",INDEX(TRANSACTIONS_MASTER!$K$5:$K$1204,$Q49))</f>
        <v/>
      </c>
      <c r="H49" s="25" t="str">
        <f>IF($Q49="","",INDEX(TRANSACTIONS_MASTER!$L$5:$L$1204,$Q49))</f>
        <v/>
      </c>
      <c r="I49" s="56" t="str">
        <f>IF($Q49="","",INDEX(TRANSACTIONS_MASTER!$N$5:$N$1204,$Q49))</f>
        <v/>
      </c>
      <c r="J49" s="25" t="str">
        <f>IF($Q49="","",INDEX(TRANSACTIONS_MASTER!$O$5:$O$1204,$Q49))</f>
        <v/>
      </c>
      <c r="K49" s="26" t="str">
        <f>IF($Q49="","",INDEX(TRANSACTIONS_MASTER!$Q$5:$Q$1204,$Q49))</f>
        <v/>
      </c>
      <c r="L49" s="25" t="str">
        <f>IF($Q49="","",INDEX(TRANSACTIONS_MASTER!$P$5:$P$1204,$Q49))</f>
        <v/>
      </c>
      <c r="M49" s="25" t="str">
        <f>IF($Q49="","",INDEX(TRANSACTIONS_MASTER!$AA$5:$AA$1204,$Q49))</f>
        <v/>
      </c>
      <c r="N49" s="25" t="str">
        <f>IF($Q49="","",INDEX(TRANSACTIONS_MASTER!$R$5:$R$1204,$Q49))</f>
        <v/>
      </c>
      <c r="O49" s="28" t="str">
        <f>IF($Q49="","",INDEX(TRANSACTIONS_MASTER!$AB$5:$AB$1204,$Q49))</f>
        <v/>
      </c>
      <c r="P49" s="55" t="str">
        <f>IF($Q49="","",INDEX(TRANSACTIONS_MASTER!$Z$5:$Z$1204,$Q49)&amp;"")</f>
        <v/>
      </c>
      <c r="Q49" s="67" t="str">
        <f>IFERROR(MATCH($C$2&amp;"|"&amp;42,TRANSACTIONS_MASTER!$AE$5:$AE$1204,0),"")</f>
        <v/>
      </c>
      <c r="S49" s="67" t="str">
        <f>IFERROR(MATCH(42,CASHBACK_RULES!$S$5:$S$304,0),"")</f>
        <v/>
      </c>
      <c r="T49" s="55" t="str">
        <f>IF($S49="","",INDEX(CASHBACK_RULES!$B$5:$B$304,$S49))</f>
        <v/>
      </c>
      <c r="U49" s="55" t="str">
        <f>IF($S49="","",INDEX(CASHBACK_RULES!$C$5:$C$304,$S49)&amp;" "&amp;INDEX(CASHBACK_RULES!$D$5:$D$304,$S49))</f>
        <v/>
      </c>
      <c r="V49" s="55" t="str">
        <f>IF($S49="","",INDEX(CASHBACK_RULES!$E$5:$E$304,$S49)&amp;"")</f>
        <v/>
      </c>
      <c r="W49" s="55" t="str">
        <f>IF($S49="","",INDEX(CASHBACK_RULES!$F$5:$F$304,$S49)&amp;"")</f>
        <v/>
      </c>
      <c r="X49" s="26" t="str">
        <f>IF($S49="","",SUMIFS(TRANSACTIONS_MASTER!$Q$5:$Q$1204,TRANSACTIONS_MASTER!$D$5:$D$1204,$T49,TRANSACTIONS_MASTER!$Z$5:$Z$1204,$V49,TRANSACTIONS_MASTER!$C$5:$C$1204,$C$2))</f>
        <v/>
      </c>
      <c r="Y49" s="25" t="str">
        <f>IF($S49="","",IF(ISNUMBER(INDEX(CASHBACK_RULES!$J$5:$J$304,$S49)),INDEX(CASHBACK_RULES!$J$5:$J$304,$S49),"∞"))</f>
        <v/>
      </c>
      <c r="Z49" s="25" t="str">
        <f>IF($S49="","",IF(ISNUMBER($Y49),MAX(0,$Y49-$X49),"∞"))</f>
        <v/>
      </c>
      <c r="AA49" s="27" t="str">
        <f>IF($S49="","",IF(ISNUMBER($Y49),IF($Y49=0,0,$X49/$Y49),""))</f>
        <v/>
      </c>
    </row>
    <row r="50" ht="20" customHeight="1">
      <c r="A50" s="81" t="str">
        <f>IF($Q50="","",43)</f>
        <v/>
      </c>
      <c r="B50" s="57" t="str">
        <f>IF($Q50="","",INDEX(TRANSACTIONS_MASTER!$B$5:$B$1204,$Q50))</f>
        <v/>
      </c>
      <c r="C50" s="55" t="str">
        <f>IF($Q50="","",INDEX(TRANSACTIONS_MASTER!$F$5:$F$1204,$Q50))</f>
        <v/>
      </c>
      <c r="D50" s="55" t="str">
        <f>IF($Q50="","",INDEX(TRANSACTIONS_MASTER!$E$5:$E$1204,$Q50))</f>
        <v/>
      </c>
      <c r="E50" s="55" t="str">
        <f>IF($Q50="","",INDEX(TRANSACTIONS_MASTER!$G$5:$G$1204,$Q50)&amp;"")</f>
        <v/>
      </c>
      <c r="F50" s="29" t="str">
        <f>IF($Q50="","",INDEX(TRANSACTIONS_MASTER!$I$5:$I$1204,$Q50))</f>
        <v/>
      </c>
      <c r="G50" s="55" t="str">
        <f>IF($Q50="","",INDEX(TRANSACTIONS_MASTER!$K$5:$K$1204,$Q50))</f>
        <v/>
      </c>
      <c r="H50" s="25" t="str">
        <f>IF($Q50="","",INDEX(TRANSACTIONS_MASTER!$L$5:$L$1204,$Q50))</f>
        <v/>
      </c>
      <c r="I50" s="56" t="str">
        <f>IF($Q50="","",INDEX(TRANSACTIONS_MASTER!$N$5:$N$1204,$Q50))</f>
        <v/>
      </c>
      <c r="J50" s="25" t="str">
        <f>IF($Q50="","",INDEX(TRANSACTIONS_MASTER!$O$5:$O$1204,$Q50))</f>
        <v/>
      </c>
      <c r="K50" s="26" t="str">
        <f>IF($Q50="","",INDEX(TRANSACTIONS_MASTER!$Q$5:$Q$1204,$Q50))</f>
        <v/>
      </c>
      <c r="L50" s="25" t="str">
        <f>IF($Q50="","",INDEX(TRANSACTIONS_MASTER!$P$5:$P$1204,$Q50))</f>
        <v/>
      </c>
      <c r="M50" s="25" t="str">
        <f>IF($Q50="","",INDEX(TRANSACTIONS_MASTER!$AA$5:$AA$1204,$Q50))</f>
        <v/>
      </c>
      <c r="N50" s="25" t="str">
        <f>IF($Q50="","",INDEX(TRANSACTIONS_MASTER!$R$5:$R$1204,$Q50))</f>
        <v/>
      </c>
      <c r="O50" s="28" t="str">
        <f>IF($Q50="","",INDEX(TRANSACTIONS_MASTER!$AB$5:$AB$1204,$Q50))</f>
        <v/>
      </c>
      <c r="P50" s="55" t="str">
        <f>IF($Q50="","",INDEX(TRANSACTIONS_MASTER!$Z$5:$Z$1204,$Q50)&amp;"")</f>
        <v/>
      </c>
      <c r="Q50" s="67" t="str">
        <f>IFERROR(MATCH($C$2&amp;"|"&amp;43,TRANSACTIONS_MASTER!$AE$5:$AE$1204,0),"")</f>
        <v/>
      </c>
      <c r="S50" s="67" t="str">
        <f>IFERROR(MATCH(43,CASHBACK_RULES!$S$5:$S$304,0),"")</f>
        <v/>
      </c>
      <c r="T50" s="55" t="str">
        <f>IF($S50="","",INDEX(CASHBACK_RULES!$B$5:$B$304,$S50))</f>
        <v/>
      </c>
      <c r="U50" s="55" t="str">
        <f>IF($S50="","",INDEX(CASHBACK_RULES!$C$5:$C$304,$S50)&amp;" "&amp;INDEX(CASHBACK_RULES!$D$5:$D$304,$S50))</f>
        <v/>
      </c>
      <c r="V50" s="55" t="str">
        <f>IF($S50="","",INDEX(CASHBACK_RULES!$E$5:$E$304,$S50)&amp;"")</f>
        <v/>
      </c>
      <c r="W50" s="55" t="str">
        <f>IF($S50="","",INDEX(CASHBACK_RULES!$F$5:$F$304,$S50)&amp;"")</f>
        <v/>
      </c>
      <c r="X50" s="26" t="str">
        <f>IF($S50="","",SUMIFS(TRANSACTIONS_MASTER!$Q$5:$Q$1204,TRANSACTIONS_MASTER!$D$5:$D$1204,$T50,TRANSACTIONS_MASTER!$Z$5:$Z$1204,$V50,TRANSACTIONS_MASTER!$C$5:$C$1204,$C$2))</f>
        <v/>
      </c>
      <c r="Y50" s="25" t="str">
        <f>IF($S50="","",IF(ISNUMBER(INDEX(CASHBACK_RULES!$J$5:$J$304,$S50)),INDEX(CASHBACK_RULES!$J$5:$J$304,$S50),"∞"))</f>
        <v/>
      </c>
      <c r="Z50" s="25" t="str">
        <f>IF($S50="","",IF(ISNUMBER($Y50),MAX(0,$Y50-$X50),"∞"))</f>
        <v/>
      </c>
      <c r="AA50" s="27" t="str">
        <f>IF($S50="","",IF(ISNUMBER($Y50),IF($Y50=0,0,$X50/$Y50),""))</f>
        <v/>
      </c>
    </row>
    <row r="51" ht="20" customHeight="1">
      <c r="A51" s="81" t="str">
        <f>IF($Q51="","",44)</f>
        <v/>
      </c>
      <c r="B51" s="57" t="str">
        <f>IF($Q51="","",INDEX(TRANSACTIONS_MASTER!$B$5:$B$1204,$Q51))</f>
        <v/>
      </c>
      <c r="C51" s="55" t="str">
        <f>IF($Q51="","",INDEX(TRANSACTIONS_MASTER!$F$5:$F$1204,$Q51))</f>
        <v/>
      </c>
      <c r="D51" s="55" t="str">
        <f>IF($Q51="","",INDEX(TRANSACTIONS_MASTER!$E$5:$E$1204,$Q51))</f>
        <v/>
      </c>
      <c r="E51" s="55" t="str">
        <f>IF($Q51="","",INDEX(TRANSACTIONS_MASTER!$G$5:$G$1204,$Q51)&amp;"")</f>
        <v/>
      </c>
      <c r="F51" s="29" t="str">
        <f>IF($Q51="","",INDEX(TRANSACTIONS_MASTER!$I$5:$I$1204,$Q51))</f>
        <v/>
      </c>
      <c r="G51" s="55" t="str">
        <f>IF($Q51="","",INDEX(TRANSACTIONS_MASTER!$K$5:$K$1204,$Q51))</f>
        <v/>
      </c>
      <c r="H51" s="25" t="str">
        <f>IF($Q51="","",INDEX(TRANSACTIONS_MASTER!$L$5:$L$1204,$Q51))</f>
        <v/>
      </c>
      <c r="I51" s="56" t="str">
        <f>IF($Q51="","",INDEX(TRANSACTIONS_MASTER!$N$5:$N$1204,$Q51))</f>
        <v/>
      </c>
      <c r="J51" s="25" t="str">
        <f>IF($Q51="","",INDEX(TRANSACTIONS_MASTER!$O$5:$O$1204,$Q51))</f>
        <v/>
      </c>
      <c r="K51" s="26" t="str">
        <f>IF($Q51="","",INDEX(TRANSACTIONS_MASTER!$Q$5:$Q$1204,$Q51))</f>
        <v/>
      </c>
      <c r="L51" s="25" t="str">
        <f>IF($Q51="","",INDEX(TRANSACTIONS_MASTER!$P$5:$P$1204,$Q51))</f>
        <v/>
      </c>
      <c r="M51" s="25" t="str">
        <f>IF($Q51="","",INDEX(TRANSACTIONS_MASTER!$AA$5:$AA$1204,$Q51))</f>
        <v/>
      </c>
      <c r="N51" s="25" t="str">
        <f>IF($Q51="","",INDEX(TRANSACTIONS_MASTER!$R$5:$R$1204,$Q51))</f>
        <v/>
      </c>
      <c r="O51" s="28" t="str">
        <f>IF($Q51="","",INDEX(TRANSACTIONS_MASTER!$AB$5:$AB$1204,$Q51))</f>
        <v/>
      </c>
      <c r="P51" s="55" t="str">
        <f>IF($Q51="","",INDEX(TRANSACTIONS_MASTER!$Z$5:$Z$1204,$Q51)&amp;"")</f>
        <v/>
      </c>
      <c r="Q51" s="67" t="str">
        <f>IFERROR(MATCH($C$2&amp;"|"&amp;44,TRANSACTIONS_MASTER!$AE$5:$AE$1204,0),"")</f>
        <v/>
      </c>
      <c r="S51" s="67" t="str">
        <f>IFERROR(MATCH(44,CASHBACK_RULES!$S$5:$S$304,0),"")</f>
        <v/>
      </c>
      <c r="T51" s="55" t="str">
        <f>IF($S51="","",INDEX(CASHBACK_RULES!$B$5:$B$304,$S51))</f>
        <v/>
      </c>
      <c r="U51" s="55" t="str">
        <f>IF($S51="","",INDEX(CASHBACK_RULES!$C$5:$C$304,$S51)&amp;" "&amp;INDEX(CASHBACK_RULES!$D$5:$D$304,$S51))</f>
        <v/>
      </c>
      <c r="V51" s="55" t="str">
        <f>IF($S51="","",INDEX(CASHBACK_RULES!$E$5:$E$304,$S51)&amp;"")</f>
        <v/>
      </c>
      <c r="W51" s="55" t="str">
        <f>IF($S51="","",INDEX(CASHBACK_RULES!$F$5:$F$304,$S51)&amp;"")</f>
        <v/>
      </c>
      <c r="X51" s="26" t="str">
        <f>IF($S51="","",SUMIFS(TRANSACTIONS_MASTER!$Q$5:$Q$1204,TRANSACTIONS_MASTER!$D$5:$D$1204,$T51,TRANSACTIONS_MASTER!$Z$5:$Z$1204,$V51,TRANSACTIONS_MASTER!$C$5:$C$1204,$C$2))</f>
        <v/>
      </c>
      <c r="Y51" s="25" t="str">
        <f>IF($S51="","",IF(ISNUMBER(INDEX(CASHBACK_RULES!$J$5:$J$304,$S51)),INDEX(CASHBACK_RULES!$J$5:$J$304,$S51),"∞"))</f>
        <v/>
      </c>
      <c r="Z51" s="25" t="str">
        <f>IF($S51="","",IF(ISNUMBER($Y51),MAX(0,$Y51-$X51),"∞"))</f>
        <v/>
      </c>
      <c r="AA51" s="27" t="str">
        <f>IF($S51="","",IF(ISNUMBER($Y51),IF($Y51=0,0,$X51/$Y51),""))</f>
        <v/>
      </c>
    </row>
    <row r="52" ht="20" customHeight="1">
      <c r="A52" s="81" t="str">
        <f>IF($Q52="","",45)</f>
        <v/>
      </c>
      <c r="B52" s="57" t="str">
        <f>IF($Q52="","",INDEX(TRANSACTIONS_MASTER!$B$5:$B$1204,$Q52))</f>
        <v/>
      </c>
      <c r="C52" s="55" t="str">
        <f>IF($Q52="","",INDEX(TRANSACTIONS_MASTER!$F$5:$F$1204,$Q52))</f>
        <v/>
      </c>
      <c r="D52" s="55" t="str">
        <f>IF($Q52="","",INDEX(TRANSACTIONS_MASTER!$E$5:$E$1204,$Q52))</f>
        <v/>
      </c>
      <c r="E52" s="55" t="str">
        <f>IF($Q52="","",INDEX(TRANSACTIONS_MASTER!$G$5:$G$1204,$Q52)&amp;"")</f>
        <v/>
      </c>
      <c r="F52" s="29" t="str">
        <f>IF($Q52="","",INDEX(TRANSACTIONS_MASTER!$I$5:$I$1204,$Q52))</f>
        <v/>
      </c>
      <c r="G52" s="55" t="str">
        <f>IF($Q52="","",INDEX(TRANSACTIONS_MASTER!$K$5:$K$1204,$Q52))</f>
        <v/>
      </c>
      <c r="H52" s="25" t="str">
        <f>IF($Q52="","",INDEX(TRANSACTIONS_MASTER!$L$5:$L$1204,$Q52))</f>
        <v/>
      </c>
      <c r="I52" s="56" t="str">
        <f>IF($Q52="","",INDEX(TRANSACTIONS_MASTER!$N$5:$N$1204,$Q52))</f>
        <v/>
      </c>
      <c r="J52" s="25" t="str">
        <f>IF($Q52="","",INDEX(TRANSACTIONS_MASTER!$O$5:$O$1204,$Q52))</f>
        <v/>
      </c>
      <c r="K52" s="26" t="str">
        <f>IF($Q52="","",INDEX(TRANSACTIONS_MASTER!$Q$5:$Q$1204,$Q52))</f>
        <v/>
      </c>
      <c r="L52" s="25" t="str">
        <f>IF($Q52="","",INDEX(TRANSACTIONS_MASTER!$P$5:$P$1204,$Q52))</f>
        <v/>
      </c>
      <c r="M52" s="25" t="str">
        <f>IF($Q52="","",INDEX(TRANSACTIONS_MASTER!$AA$5:$AA$1204,$Q52))</f>
        <v/>
      </c>
      <c r="N52" s="25" t="str">
        <f>IF($Q52="","",INDEX(TRANSACTIONS_MASTER!$R$5:$R$1204,$Q52))</f>
        <v/>
      </c>
      <c r="O52" s="28" t="str">
        <f>IF($Q52="","",INDEX(TRANSACTIONS_MASTER!$AB$5:$AB$1204,$Q52))</f>
        <v/>
      </c>
      <c r="P52" s="55" t="str">
        <f>IF($Q52="","",INDEX(TRANSACTIONS_MASTER!$Z$5:$Z$1204,$Q52)&amp;"")</f>
        <v/>
      </c>
      <c r="Q52" s="67" t="str">
        <f>IFERROR(MATCH($C$2&amp;"|"&amp;45,TRANSACTIONS_MASTER!$AE$5:$AE$1204,0),"")</f>
        <v/>
      </c>
      <c r="S52" s="67" t="str">
        <f>IFERROR(MATCH(45,CASHBACK_RULES!$S$5:$S$304,0),"")</f>
        <v/>
      </c>
      <c r="T52" s="55" t="str">
        <f>IF($S52="","",INDEX(CASHBACK_RULES!$B$5:$B$304,$S52))</f>
        <v/>
      </c>
      <c r="U52" s="55" t="str">
        <f>IF($S52="","",INDEX(CASHBACK_RULES!$C$5:$C$304,$S52)&amp;" "&amp;INDEX(CASHBACK_RULES!$D$5:$D$304,$S52))</f>
        <v/>
      </c>
      <c r="V52" s="55" t="str">
        <f>IF($S52="","",INDEX(CASHBACK_RULES!$E$5:$E$304,$S52)&amp;"")</f>
        <v/>
      </c>
      <c r="W52" s="55" t="str">
        <f>IF($S52="","",INDEX(CASHBACK_RULES!$F$5:$F$304,$S52)&amp;"")</f>
        <v/>
      </c>
      <c r="X52" s="26" t="str">
        <f>IF($S52="","",SUMIFS(TRANSACTIONS_MASTER!$Q$5:$Q$1204,TRANSACTIONS_MASTER!$D$5:$D$1204,$T52,TRANSACTIONS_MASTER!$Z$5:$Z$1204,$V52,TRANSACTIONS_MASTER!$C$5:$C$1204,$C$2))</f>
        <v/>
      </c>
      <c r="Y52" s="25" t="str">
        <f>IF($S52="","",IF(ISNUMBER(INDEX(CASHBACK_RULES!$J$5:$J$304,$S52)),INDEX(CASHBACK_RULES!$J$5:$J$304,$S52),"∞"))</f>
        <v/>
      </c>
      <c r="Z52" s="25" t="str">
        <f>IF($S52="","",IF(ISNUMBER($Y52),MAX(0,$Y52-$X52),"∞"))</f>
        <v/>
      </c>
      <c r="AA52" s="27" t="str">
        <f>IF($S52="","",IF(ISNUMBER($Y52),IF($Y52=0,0,$X52/$Y52),""))</f>
        <v/>
      </c>
    </row>
    <row r="53" ht="20" customHeight="1">
      <c r="A53" s="81" t="str">
        <f>IF($Q53="","",46)</f>
        <v/>
      </c>
      <c r="B53" s="57" t="str">
        <f>IF($Q53="","",INDEX(TRANSACTIONS_MASTER!$B$5:$B$1204,$Q53))</f>
        <v/>
      </c>
      <c r="C53" s="55" t="str">
        <f>IF($Q53="","",INDEX(TRANSACTIONS_MASTER!$F$5:$F$1204,$Q53))</f>
        <v/>
      </c>
      <c r="D53" s="55" t="str">
        <f>IF($Q53="","",INDEX(TRANSACTIONS_MASTER!$E$5:$E$1204,$Q53))</f>
        <v/>
      </c>
      <c r="E53" s="55" t="str">
        <f>IF($Q53="","",INDEX(TRANSACTIONS_MASTER!$G$5:$G$1204,$Q53)&amp;"")</f>
        <v/>
      </c>
      <c r="F53" s="29" t="str">
        <f>IF($Q53="","",INDEX(TRANSACTIONS_MASTER!$I$5:$I$1204,$Q53))</f>
        <v/>
      </c>
      <c r="G53" s="55" t="str">
        <f>IF($Q53="","",INDEX(TRANSACTIONS_MASTER!$K$5:$K$1204,$Q53))</f>
        <v/>
      </c>
      <c r="H53" s="25" t="str">
        <f>IF($Q53="","",INDEX(TRANSACTIONS_MASTER!$L$5:$L$1204,$Q53))</f>
        <v/>
      </c>
      <c r="I53" s="56" t="str">
        <f>IF($Q53="","",INDEX(TRANSACTIONS_MASTER!$N$5:$N$1204,$Q53))</f>
        <v/>
      </c>
      <c r="J53" s="25" t="str">
        <f>IF($Q53="","",INDEX(TRANSACTIONS_MASTER!$O$5:$O$1204,$Q53))</f>
        <v/>
      </c>
      <c r="K53" s="26" t="str">
        <f>IF($Q53="","",INDEX(TRANSACTIONS_MASTER!$Q$5:$Q$1204,$Q53))</f>
        <v/>
      </c>
      <c r="L53" s="25" t="str">
        <f>IF($Q53="","",INDEX(TRANSACTIONS_MASTER!$P$5:$P$1204,$Q53))</f>
        <v/>
      </c>
      <c r="M53" s="25" t="str">
        <f>IF($Q53="","",INDEX(TRANSACTIONS_MASTER!$AA$5:$AA$1204,$Q53))</f>
        <v/>
      </c>
      <c r="N53" s="25" t="str">
        <f>IF($Q53="","",INDEX(TRANSACTIONS_MASTER!$R$5:$R$1204,$Q53))</f>
        <v/>
      </c>
      <c r="O53" s="28" t="str">
        <f>IF($Q53="","",INDEX(TRANSACTIONS_MASTER!$AB$5:$AB$1204,$Q53))</f>
        <v/>
      </c>
      <c r="P53" s="55" t="str">
        <f>IF($Q53="","",INDEX(TRANSACTIONS_MASTER!$Z$5:$Z$1204,$Q53)&amp;"")</f>
        <v/>
      </c>
      <c r="Q53" s="67" t="str">
        <f>IFERROR(MATCH($C$2&amp;"|"&amp;46,TRANSACTIONS_MASTER!$AE$5:$AE$1204,0),"")</f>
        <v/>
      </c>
      <c r="S53" s="67" t="str">
        <f>IFERROR(MATCH(46,CASHBACK_RULES!$S$5:$S$304,0),"")</f>
        <v/>
      </c>
      <c r="T53" s="55" t="str">
        <f>IF($S53="","",INDEX(CASHBACK_RULES!$B$5:$B$304,$S53))</f>
        <v/>
      </c>
      <c r="U53" s="55" t="str">
        <f>IF($S53="","",INDEX(CASHBACK_RULES!$C$5:$C$304,$S53)&amp;" "&amp;INDEX(CASHBACK_RULES!$D$5:$D$304,$S53))</f>
        <v/>
      </c>
      <c r="V53" s="55" t="str">
        <f>IF($S53="","",INDEX(CASHBACK_RULES!$E$5:$E$304,$S53)&amp;"")</f>
        <v/>
      </c>
      <c r="W53" s="55" t="str">
        <f>IF($S53="","",INDEX(CASHBACK_RULES!$F$5:$F$304,$S53)&amp;"")</f>
        <v/>
      </c>
      <c r="X53" s="26" t="str">
        <f>IF($S53="","",SUMIFS(TRANSACTIONS_MASTER!$Q$5:$Q$1204,TRANSACTIONS_MASTER!$D$5:$D$1204,$T53,TRANSACTIONS_MASTER!$Z$5:$Z$1204,$V53,TRANSACTIONS_MASTER!$C$5:$C$1204,$C$2))</f>
        <v/>
      </c>
      <c r="Y53" s="25" t="str">
        <f>IF($S53="","",IF(ISNUMBER(INDEX(CASHBACK_RULES!$J$5:$J$304,$S53)),INDEX(CASHBACK_RULES!$J$5:$J$304,$S53),"∞"))</f>
        <v/>
      </c>
      <c r="Z53" s="25" t="str">
        <f>IF($S53="","",IF(ISNUMBER($Y53),MAX(0,$Y53-$X53),"∞"))</f>
        <v/>
      </c>
      <c r="AA53" s="27" t="str">
        <f>IF($S53="","",IF(ISNUMBER($Y53),IF($Y53=0,0,$X53/$Y53),""))</f>
        <v/>
      </c>
    </row>
    <row r="54" ht="20" customHeight="1">
      <c r="A54" s="81" t="str">
        <f>IF($Q54="","",47)</f>
        <v/>
      </c>
      <c r="B54" s="57" t="str">
        <f>IF($Q54="","",INDEX(TRANSACTIONS_MASTER!$B$5:$B$1204,$Q54))</f>
        <v/>
      </c>
      <c r="C54" s="55" t="str">
        <f>IF($Q54="","",INDEX(TRANSACTIONS_MASTER!$F$5:$F$1204,$Q54))</f>
        <v/>
      </c>
      <c r="D54" s="55" t="str">
        <f>IF($Q54="","",INDEX(TRANSACTIONS_MASTER!$E$5:$E$1204,$Q54))</f>
        <v/>
      </c>
      <c r="E54" s="55" t="str">
        <f>IF($Q54="","",INDEX(TRANSACTIONS_MASTER!$G$5:$G$1204,$Q54)&amp;"")</f>
        <v/>
      </c>
      <c r="F54" s="29" t="str">
        <f>IF($Q54="","",INDEX(TRANSACTIONS_MASTER!$I$5:$I$1204,$Q54))</f>
        <v/>
      </c>
      <c r="G54" s="55" t="str">
        <f>IF($Q54="","",INDEX(TRANSACTIONS_MASTER!$K$5:$K$1204,$Q54))</f>
        <v/>
      </c>
      <c r="H54" s="25" t="str">
        <f>IF($Q54="","",INDEX(TRANSACTIONS_MASTER!$L$5:$L$1204,$Q54))</f>
        <v/>
      </c>
      <c r="I54" s="56" t="str">
        <f>IF($Q54="","",INDEX(TRANSACTIONS_MASTER!$N$5:$N$1204,$Q54))</f>
        <v/>
      </c>
      <c r="J54" s="25" t="str">
        <f>IF($Q54="","",INDEX(TRANSACTIONS_MASTER!$O$5:$O$1204,$Q54))</f>
        <v/>
      </c>
      <c r="K54" s="26" t="str">
        <f>IF($Q54="","",INDEX(TRANSACTIONS_MASTER!$Q$5:$Q$1204,$Q54))</f>
        <v/>
      </c>
      <c r="L54" s="25" t="str">
        <f>IF($Q54="","",INDEX(TRANSACTIONS_MASTER!$P$5:$P$1204,$Q54))</f>
        <v/>
      </c>
      <c r="M54" s="25" t="str">
        <f>IF($Q54="","",INDEX(TRANSACTIONS_MASTER!$AA$5:$AA$1204,$Q54))</f>
        <v/>
      </c>
      <c r="N54" s="25" t="str">
        <f>IF($Q54="","",INDEX(TRANSACTIONS_MASTER!$R$5:$R$1204,$Q54))</f>
        <v/>
      </c>
      <c r="O54" s="28" t="str">
        <f>IF($Q54="","",INDEX(TRANSACTIONS_MASTER!$AB$5:$AB$1204,$Q54))</f>
        <v/>
      </c>
      <c r="P54" s="55" t="str">
        <f>IF($Q54="","",INDEX(TRANSACTIONS_MASTER!$Z$5:$Z$1204,$Q54)&amp;"")</f>
        <v/>
      </c>
      <c r="Q54" s="67" t="str">
        <f>IFERROR(MATCH($C$2&amp;"|"&amp;47,TRANSACTIONS_MASTER!$AE$5:$AE$1204,0),"")</f>
        <v/>
      </c>
      <c r="S54" s="67" t="str">
        <f>IFERROR(MATCH(47,CASHBACK_RULES!$S$5:$S$304,0),"")</f>
        <v/>
      </c>
      <c r="T54" s="55" t="str">
        <f>IF($S54="","",INDEX(CASHBACK_RULES!$B$5:$B$304,$S54))</f>
        <v/>
      </c>
      <c r="U54" s="55" t="str">
        <f>IF($S54="","",INDEX(CASHBACK_RULES!$C$5:$C$304,$S54)&amp;" "&amp;INDEX(CASHBACK_RULES!$D$5:$D$304,$S54))</f>
        <v/>
      </c>
      <c r="V54" s="55" t="str">
        <f>IF($S54="","",INDEX(CASHBACK_RULES!$E$5:$E$304,$S54)&amp;"")</f>
        <v/>
      </c>
      <c r="W54" s="55" t="str">
        <f>IF($S54="","",INDEX(CASHBACK_RULES!$F$5:$F$304,$S54)&amp;"")</f>
        <v/>
      </c>
      <c r="X54" s="26" t="str">
        <f>IF($S54="","",SUMIFS(TRANSACTIONS_MASTER!$Q$5:$Q$1204,TRANSACTIONS_MASTER!$D$5:$D$1204,$T54,TRANSACTIONS_MASTER!$Z$5:$Z$1204,$V54,TRANSACTIONS_MASTER!$C$5:$C$1204,$C$2))</f>
        <v/>
      </c>
      <c r="Y54" s="25" t="str">
        <f>IF($S54="","",IF(ISNUMBER(INDEX(CASHBACK_RULES!$J$5:$J$304,$S54)),INDEX(CASHBACK_RULES!$J$5:$J$304,$S54),"∞"))</f>
        <v/>
      </c>
      <c r="Z54" s="25" t="str">
        <f>IF($S54="","",IF(ISNUMBER($Y54),MAX(0,$Y54-$X54),"∞"))</f>
        <v/>
      </c>
      <c r="AA54" s="27" t="str">
        <f>IF($S54="","",IF(ISNUMBER($Y54),IF($Y54=0,0,$X54/$Y54),""))</f>
        <v/>
      </c>
    </row>
    <row r="55" ht="20" customHeight="1">
      <c r="A55" s="81" t="str">
        <f>IF($Q55="","",48)</f>
        <v/>
      </c>
      <c r="B55" s="57" t="str">
        <f>IF($Q55="","",INDEX(TRANSACTIONS_MASTER!$B$5:$B$1204,$Q55))</f>
        <v/>
      </c>
      <c r="C55" s="55" t="str">
        <f>IF($Q55="","",INDEX(TRANSACTIONS_MASTER!$F$5:$F$1204,$Q55))</f>
        <v/>
      </c>
      <c r="D55" s="55" t="str">
        <f>IF($Q55="","",INDEX(TRANSACTIONS_MASTER!$E$5:$E$1204,$Q55))</f>
        <v/>
      </c>
      <c r="E55" s="55" t="str">
        <f>IF($Q55="","",INDEX(TRANSACTIONS_MASTER!$G$5:$G$1204,$Q55)&amp;"")</f>
        <v/>
      </c>
      <c r="F55" s="29" t="str">
        <f>IF($Q55="","",INDEX(TRANSACTIONS_MASTER!$I$5:$I$1204,$Q55))</f>
        <v/>
      </c>
      <c r="G55" s="55" t="str">
        <f>IF($Q55="","",INDEX(TRANSACTIONS_MASTER!$K$5:$K$1204,$Q55))</f>
        <v/>
      </c>
      <c r="H55" s="25" t="str">
        <f>IF($Q55="","",INDEX(TRANSACTIONS_MASTER!$L$5:$L$1204,$Q55))</f>
        <v/>
      </c>
      <c r="I55" s="56" t="str">
        <f>IF($Q55="","",INDEX(TRANSACTIONS_MASTER!$N$5:$N$1204,$Q55))</f>
        <v/>
      </c>
      <c r="J55" s="25" t="str">
        <f>IF($Q55="","",INDEX(TRANSACTIONS_MASTER!$O$5:$O$1204,$Q55))</f>
        <v/>
      </c>
      <c r="K55" s="26" t="str">
        <f>IF($Q55="","",INDEX(TRANSACTIONS_MASTER!$Q$5:$Q$1204,$Q55))</f>
        <v/>
      </c>
      <c r="L55" s="25" t="str">
        <f>IF($Q55="","",INDEX(TRANSACTIONS_MASTER!$P$5:$P$1204,$Q55))</f>
        <v/>
      </c>
      <c r="M55" s="25" t="str">
        <f>IF($Q55="","",INDEX(TRANSACTIONS_MASTER!$AA$5:$AA$1204,$Q55))</f>
        <v/>
      </c>
      <c r="N55" s="25" t="str">
        <f>IF($Q55="","",INDEX(TRANSACTIONS_MASTER!$R$5:$R$1204,$Q55))</f>
        <v/>
      </c>
      <c r="O55" s="28" t="str">
        <f>IF($Q55="","",INDEX(TRANSACTIONS_MASTER!$AB$5:$AB$1204,$Q55))</f>
        <v/>
      </c>
      <c r="P55" s="55" t="str">
        <f>IF($Q55="","",INDEX(TRANSACTIONS_MASTER!$Z$5:$Z$1204,$Q55)&amp;"")</f>
        <v/>
      </c>
      <c r="Q55" s="67" t="str">
        <f>IFERROR(MATCH($C$2&amp;"|"&amp;48,TRANSACTIONS_MASTER!$AE$5:$AE$1204,0),"")</f>
        <v/>
      </c>
      <c r="S55" s="67" t="str">
        <f>IFERROR(MATCH(48,CASHBACK_RULES!$S$5:$S$304,0),"")</f>
        <v/>
      </c>
      <c r="T55" s="55" t="str">
        <f>IF($S55="","",INDEX(CASHBACK_RULES!$B$5:$B$304,$S55))</f>
        <v/>
      </c>
      <c r="U55" s="55" t="str">
        <f>IF($S55="","",INDEX(CASHBACK_RULES!$C$5:$C$304,$S55)&amp;" "&amp;INDEX(CASHBACK_RULES!$D$5:$D$304,$S55))</f>
        <v/>
      </c>
      <c r="V55" s="55" t="str">
        <f>IF($S55="","",INDEX(CASHBACK_RULES!$E$5:$E$304,$S55)&amp;"")</f>
        <v/>
      </c>
      <c r="W55" s="55" t="str">
        <f>IF($S55="","",INDEX(CASHBACK_RULES!$F$5:$F$304,$S55)&amp;"")</f>
        <v/>
      </c>
      <c r="X55" s="26" t="str">
        <f>IF($S55="","",SUMIFS(TRANSACTIONS_MASTER!$Q$5:$Q$1204,TRANSACTIONS_MASTER!$D$5:$D$1204,$T55,TRANSACTIONS_MASTER!$Z$5:$Z$1204,$V55,TRANSACTIONS_MASTER!$C$5:$C$1204,$C$2))</f>
        <v/>
      </c>
      <c r="Y55" s="25" t="str">
        <f>IF($S55="","",IF(ISNUMBER(INDEX(CASHBACK_RULES!$J$5:$J$304,$S55)),INDEX(CASHBACK_RULES!$J$5:$J$304,$S55),"∞"))</f>
        <v/>
      </c>
      <c r="Z55" s="25" t="str">
        <f>IF($S55="","",IF(ISNUMBER($Y55),MAX(0,$Y55-$X55),"∞"))</f>
        <v/>
      </c>
      <c r="AA55" s="27" t="str">
        <f>IF($S55="","",IF(ISNUMBER($Y55),IF($Y55=0,0,$X55/$Y55),""))</f>
        <v/>
      </c>
    </row>
    <row r="56" ht="20" customHeight="1">
      <c r="A56" s="81" t="str">
        <f>IF($Q56="","",49)</f>
        <v/>
      </c>
      <c r="B56" s="57" t="str">
        <f>IF($Q56="","",INDEX(TRANSACTIONS_MASTER!$B$5:$B$1204,$Q56))</f>
        <v/>
      </c>
      <c r="C56" s="55" t="str">
        <f>IF($Q56="","",INDEX(TRANSACTIONS_MASTER!$F$5:$F$1204,$Q56))</f>
        <v/>
      </c>
      <c r="D56" s="55" t="str">
        <f>IF($Q56="","",INDEX(TRANSACTIONS_MASTER!$E$5:$E$1204,$Q56))</f>
        <v/>
      </c>
      <c r="E56" s="55" t="str">
        <f>IF($Q56="","",INDEX(TRANSACTIONS_MASTER!$G$5:$G$1204,$Q56)&amp;"")</f>
        <v/>
      </c>
      <c r="F56" s="29" t="str">
        <f>IF($Q56="","",INDEX(TRANSACTIONS_MASTER!$I$5:$I$1204,$Q56))</f>
        <v/>
      </c>
      <c r="G56" s="55" t="str">
        <f>IF($Q56="","",INDEX(TRANSACTIONS_MASTER!$K$5:$K$1204,$Q56))</f>
        <v/>
      </c>
      <c r="H56" s="25" t="str">
        <f>IF($Q56="","",INDEX(TRANSACTIONS_MASTER!$L$5:$L$1204,$Q56))</f>
        <v/>
      </c>
      <c r="I56" s="56" t="str">
        <f>IF($Q56="","",INDEX(TRANSACTIONS_MASTER!$N$5:$N$1204,$Q56))</f>
        <v/>
      </c>
      <c r="J56" s="25" t="str">
        <f>IF($Q56="","",INDEX(TRANSACTIONS_MASTER!$O$5:$O$1204,$Q56))</f>
        <v/>
      </c>
      <c r="K56" s="26" t="str">
        <f>IF($Q56="","",INDEX(TRANSACTIONS_MASTER!$Q$5:$Q$1204,$Q56))</f>
        <v/>
      </c>
      <c r="L56" s="25" t="str">
        <f>IF($Q56="","",INDEX(TRANSACTIONS_MASTER!$P$5:$P$1204,$Q56))</f>
        <v/>
      </c>
      <c r="M56" s="25" t="str">
        <f>IF($Q56="","",INDEX(TRANSACTIONS_MASTER!$AA$5:$AA$1204,$Q56))</f>
        <v/>
      </c>
      <c r="N56" s="25" t="str">
        <f>IF($Q56="","",INDEX(TRANSACTIONS_MASTER!$R$5:$R$1204,$Q56))</f>
        <v/>
      </c>
      <c r="O56" s="28" t="str">
        <f>IF($Q56="","",INDEX(TRANSACTIONS_MASTER!$AB$5:$AB$1204,$Q56))</f>
        <v/>
      </c>
      <c r="P56" s="55" t="str">
        <f>IF($Q56="","",INDEX(TRANSACTIONS_MASTER!$Z$5:$Z$1204,$Q56)&amp;"")</f>
        <v/>
      </c>
      <c r="Q56" s="67" t="str">
        <f>IFERROR(MATCH($C$2&amp;"|"&amp;49,TRANSACTIONS_MASTER!$AE$5:$AE$1204,0),"")</f>
        <v/>
      </c>
      <c r="S56" s="67" t="str">
        <f>IFERROR(MATCH(49,CASHBACK_RULES!$S$5:$S$304,0),"")</f>
        <v/>
      </c>
      <c r="T56" s="55" t="str">
        <f>IF($S56="","",INDEX(CASHBACK_RULES!$B$5:$B$304,$S56))</f>
        <v/>
      </c>
      <c r="U56" s="55" t="str">
        <f>IF($S56="","",INDEX(CASHBACK_RULES!$C$5:$C$304,$S56)&amp;" "&amp;INDEX(CASHBACK_RULES!$D$5:$D$304,$S56))</f>
        <v/>
      </c>
      <c r="V56" s="55" t="str">
        <f>IF($S56="","",INDEX(CASHBACK_RULES!$E$5:$E$304,$S56)&amp;"")</f>
        <v/>
      </c>
      <c r="W56" s="55" t="str">
        <f>IF($S56="","",INDEX(CASHBACK_RULES!$F$5:$F$304,$S56)&amp;"")</f>
        <v/>
      </c>
      <c r="X56" s="26" t="str">
        <f>IF($S56="","",SUMIFS(TRANSACTIONS_MASTER!$Q$5:$Q$1204,TRANSACTIONS_MASTER!$D$5:$D$1204,$T56,TRANSACTIONS_MASTER!$Z$5:$Z$1204,$V56,TRANSACTIONS_MASTER!$C$5:$C$1204,$C$2))</f>
        <v/>
      </c>
      <c r="Y56" s="25" t="str">
        <f>IF($S56="","",IF(ISNUMBER(INDEX(CASHBACK_RULES!$J$5:$J$304,$S56)),INDEX(CASHBACK_RULES!$J$5:$J$304,$S56),"∞"))</f>
        <v/>
      </c>
      <c r="Z56" s="25" t="str">
        <f>IF($S56="","",IF(ISNUMBER($Y56),MAX(0,$Y56-$X56),"∞"))</f>
        <v/>
      </c>
      <c r="AA56" s="27" t="str">
        <f>IF($S56="","",IF(ISNUMBER($Y56),IF($Y56=0,0,$X56/$Y56),""))</f>
        <v/>
      </c>
    </row>
    <row r="57" ht="20" customHeight="1">
      <c r="A57" s="81" t="str">
        <f>IF($Q57="","",50)</f>
        <v/>
      </c>
      <c r="B57" s="57" t="str">
        <f>IF($Q57="","",INDEX(TRANSACTIONS_MASTER!$B$5:$B$1204,$Q57))</f>
        <v/>
      </c>
      <c r="C57" s="55" t="str">
        <f>IF($Q57="","",INDEX(TRANSACTIONS_MASTER!$F$5:$F$1204,$Q57))</f>
        <v/>
      </c>
      <c r="D57" s="55" t="str">
        <f>IF($Q57="","",INDEX(TRANSACTIONS_MASTER!$E$5:$E$1204,$Q57))</f>
        <v/>
      </c>
      <c r="E57" s="55" t="str">
        <f>IF($Q57="","",INDEX(TRANSACTIONS_MASTER!$G$5:$G$1204,$Q57)&amp;"")</f>
        <v/>
      </c>
      <c r="F57" s="29" t="str">
        <f>IF($Q57="","",INDEX(TRANSACTIONS_MASTER!$I$5:$I$1204,$Q57))</f>
        <v/>
      </c>
      <c r="G57" s="55" t="str">
        <f>IF($Q57="","",INDEX(TRANSACTIONS_MASTER!$K$5:$K$1204,$Q57))</f>
        <v/>
      </c>
      <c r="H57" s="25" t="str">
        <f>IF($Q57="","",INDEX(TRANSACTIONS_MASTER!$L$5:$L$1204,$Q57))</f>
        <v/>
      </c>
      <c r="I57" s="56" t="str">
        <f>IF($Q57="","",INDEX(TRANSACTIONS_MASTER!$N$5:$N$1204,$Q57))</f>
        <v/>
      </c>
      <c r="J57" s="25" t="str">
        <f>IF($Q57="","",INDEX(TRANSACTIONS_MASTER!$O$5:$O$1204,$Q57))</f>
        <v/>
      </c>
      <c r="K57" s="26" t="str">
        <f>IF($Q57="","",INDEX(TRANSACTIONS_MASTER!$Q$5:$Q$1204,$Q57))</f>
        <v/>
      </c>
      <c r="L57" s="25" t="str">
        <f>IF($Q57="","",INDEX(TRANSACTIONS_MASTER!$P$5:$P$1204,$Q57))</f>
        <v/>
      </c>
      <c r="M57" s="25" t="str">
        <f>IF($Q57="","",INDEX(TRANSACTIONS_MASTER!$AA$5:$AA$1204,$Q57))</f>
        <v/>
      </c>
      <c r="N57" s="25" t="str">
        <f>IF($Q57="","",INDEX(TRANSACTIONS_MASTER!$R$5:$R$1204,$Q57))</f>
        <v/>
      </c>
      <c r="O57" s="28" t="str">
        <f>IF($Q57="","",INDEX(TRANSACTIONS_MASTER!$AB$5:$AB$1204,$Q57))</f>
        <v/>
      </c>
      <c r="P57" s="55" t="str">
        <f>IF($Q57="","",INDEX(TRANSACTIONS_MASTER!$Z$5:$Z$1204,$Q57)&amp;"")</f>
        <v/>
      </c>
      <c r="Q57" s="67" t="str">
        <f>IFERROR(MATCH($C$2&amp;"|"&amp;50,TRANSACTIONS_MASTER!$AE$5:$AE$1204,0),"")</f>
        <v/>
      </c>
      <c r="S57" s="67" t="str">
        <f>IFERROR(MATCH(50,CASHBACK_RULES!$S$5:$S$304,0),"")</f>
        <v/>
      </c>
      <c r="T57" s="55" t="str">
        <f>IF($S57="","",INDEX(CASHBACK_RULES!$B$5:$B$304,$S57))</f>
        <v/>
      </c>
      <c r="U57" s="55" t="str">
        <f>IF($S57="","",INDEX(CASHBACK_RULES!$C$5:$C$304,$S57)&amp;" "&amp;INDEX(CASHBACK_RULES!$D$5:$D$304,$S57))</f>
        <v/>
      </c>
      <c r="V57" s="55" t="str">
        <f>IF($S57="","",INDEX(CASHBACK_RULES!$E$5:$E$304,$S57)&amp;"")</f>
        <v/>
      </c>
      <c r="W57" s="55" t="str">
        <f>IF($S57="","",INDEX(CASHBACK_RULES!$F$5:$F$304,$S57)&amp;"")</f>
        <v/>
      </c>
      <c r="X57" s="26" t="str">
        <f>IF($S57="","",SUMIFS(TRANSACTIONS_MASTER!$Q$5:$Q$1204,TRANSACTIONS_MASTER!$D$5:$D$1204,$T57,TRANSACTIONS_MASTER!$Z$5:$Z$1204,$V57,TRANSACTIONS_MASTER!$C$5:$C$1204,$C$2))</f>
        <v/>
      </c>
      <c r="Y57" s="25" t="str">
        <f>IF($S57="","",IF(ISNUMBER(INDEX(CASHBACK_RULES!$J$5:$J$304,$S57)),INDEX(CASHBACK_RULES!$J$5:$J$304,$S57),"∞"))</f>
        <v/>
      </c>
      <c r="Z57" s="25" t="str">
        <f>IF($S57="","",IF(ISNUMBER($Y57),MAX(0,$Y57-$X57),"∞"))</f>
        <v/>
      </c>
      <c r="AA57" s="27" t="str">
        <f>IF($S57="","",IF(ISNUMBER($Y57),IF($Y57=0,0,$X57/$Y57),""))</f>
        <v/>
      </c>
    </row>
    <row r="58">
      <c r="A58" s="81" t="str">
        <f>IF($Q58="","",51)</f>
        <v/>
      </c>
      <c r="B58" s="57" t="str">
        <f>IF($Q58="","",INDEX(TRANSACTIONS_MASTER!$B$5:$B$1204,$Q58))</f>
        <v/>
      </c>
      <c r="C58" s="55" t="str">
        <f>IF($Q58="","",INDEX(TRANSACTIONS_MASTER!$F$5:$F$1204,$Q58))</f>
        <v/>
      </c>
      <c r="D58" s="55" t="str">
        <f>IF($Q58="","",INDEX(TRANSACTIONS_MASTER!$E$5:$E$1204,$Q58))</f>
        <v/>
      </c>
      <c r="E58" s="55" t="str">
        <f>IF($Q58="","",INDEX(TRANSACTIONS_MASTER!$G$5:$G$1204,$Q58)&amp;"")</f>
        <v/>
      </c>
      <c r="F58" s="29" t="str">
        <f>IF($Q58="","",INDEX(TRANSACTIONS_MASTER!$I$5:$I$1204,$Q58))</f>
        <v/>
      </c>
      <c r="G58" s="55" t="str">
        <f>IF($Q58="","",INDEX(TRANSACTIONS_MASTER!$K$5:$K$1204,$Q58))</f>
        <v/>
      </c>
      <c r="H58" s="25" t="str">
        <f>IF($Q58="","",INDEX(TRANSACTIONS_MASTER!$L$5:$L$1204,$Q58))</f>
        <v/>
      </c>
      <c r="I58" s="56" t="str">
        <f>IF($Q58="","",INDEX(TRANSACTIONS_MASTER!$N$5:$N$1204,$Q58))</f>
        <v/>
      </c>
      <c r="J58" s="25" t="str">
        <f>IF($Q58="","",INDEX(TRANSACTIONS_MASTER!$O$5:$O$1204,$Q58))</f>
        <v/>
      </c>
      <c r="K58" s="26" t="str">
        <f>IF($Q58="","",INDEX(TRANSACTIONS_MASTER!$Q$5:$Q$1204,$Q58))</f>
        <v/>
      </c>
      <c r="L58" s="25" t="str">
        <f>IF($Q58="","",INDEX(TRANSACTIONS_MASTER!$P$5:$P$1204,$Q58))</f>
        <v/>
      </c>
      <c r="M58" s="25" t="str">
        <f>IF($Q58="","",INDEX(TRANSACTIONS_MASTER!$AA$5:$AA$1204,$Q58))</f>
        <v/>
      </c>
      <c r="N58" s="25" t="str">
        <f>IF($Q58="","",INDEX(TRANSACTIONS_MASTER!$R$5:$R$1204,$Q58))</f>
        <v/>
      </c>
      <c r="O58" s="28" t="str">
        <f>IF($Q58="","",INDEX(TRANSACTIONS_MASTER!$AB$5:$AB$1204,$Q58))</f>
        <v/>
      </c>
      <c r="P58" s="55" t="str">
        <f>IF($Q58="","",INDEX(TRANSACTIONS_MASTER!$Z$5:$Z$1204,$Q58)&amp;"")</f>
        <v/>
      </c>
      <c r="Q58" s="67" t="str">
        <f>IFERROR(MATCH($C$2&amp;"|"&amp;51,TRANSACTIONS_MASTER!$AE$5:$AE$1204,0),"")</f>
        <v/>
      </c>
    </row>
    <row r="59">
      <c r="A59" s="81" t="str">
        <f>IF($Q59="","",52)</f>
        <v/>
      </c>
      <c r="B59" s="57" t="str">
        <f>IF($Q59="","",INDEX(TRANSACTIONS_MASTER!$B$5:$B$1204,$Q59))</f>
        <v/>
      </c>
      <c r="C59" s="55" t="str">
        <f>IF($Q59="","",INDEX(TRANSACTIONS_MASTER!$F$5:$F$1204,$Q59))</f>
        <v/>
      </c>
      <c r="D59" s="55" t="str">
        <f>IF($Q59="","",INDEX(TRANSACTIONS_MASTER!$E$5:$E$1204,$Q59))</f>
        <v/>
      </c>
      <c r="E59" s="55" t="str">
        <f>IF($Q59="","",INDEX(TRANSACTIONS_MASTER!$G$5:$G$1204,$Q59)&amp;"")</f>
        <v/>
      </c>
      <c r="F59" s="29" t="str">
        <f>IF($Q59="","",INDEX(TRANSACTIONS_MASTER!$I$5:$I$1204,$Q59))</f>
        <v/>
      </c>
      <c r="G59" s="55" t="str">
        <f>IF($Q59="","",INDEX(TRANSACTIONS_MASTER!$K$5:$K$1204,$Q59))</f>
        <v/>
      </c>
      <c r="H59" s="25" t="str">
        <f>IF($Q59="","",INDEX(TRANSACTIONS_MASTER!$L$5:$L$1204,$Q59))</f>
        <v/>
      </c>
      <c r="I59" s="56" t="str">
        <f>IF($Q59="","",INDEX(TRANSACTIONS_MASTER!$N$5:$N$1204,$Q59))</f>
        <v/>
      </c>
      <c r="J59" s="25" t="str">
        <f>IF($Q59="","",INDEX(TRANSACTIONS_MASTER!$O$5:$O$1204,$Q59))</f>
        <v/>
      </c>
      <c r="K59" s="26" t="str">
        <f>IF($Q59="","",INDEX(TRANSACTIONS_MASTER!$Q$5:$Q$1204,$Q59))</f>
        <v/>
      </c>
      <c r="L59" s="25" t="str">
        <f>IF($Q59="","",INDEX(TRANSACTIONS_MASTER!$P$5:$P$1204,$Q59))</f>
        <v/>
      </c>
      <c r="M59" s="25" t="str">
        <f>IF($Q59="","",INDEX(TRANSACTIONS_MASTER!$AA$5:$AA$1204,$Q59))</f>
        <v/>
      </c>
      <c r="N59" s="25" t="str">
        <f>IF($Q59="","",INDEX(TRANSACTIONS_MASTER!$R$5:$R$1204,$Q59))</f>
        <v/>
      </c>
      <c r="O59" s="28" t="str">
        <f>IF($Q59="","",INDEX(TRANSACTIONS_MASTER!$AB$5:$AB$1204,$Q59))</f>
        <v/>
      </c>
      <c r="P59" s="55" t="str">
        <f>IF($Q59="","",INDEX(TRANSACTIONS_MASTER!$Z$5:$Z$1204,$Q59)&amp;"")</f>
        <v/>
      </c>
      <c r="Q59" s="67" t="str">
        <f>IFERROR(MATCH($C$2&amp;"|"&amp;52,TRANSACTIONS_MASTER!$AE$5:$AE$1204,0),"")</f>
        <v/>
      </c>
    </row>
    <row r="60" ht="22" customHeight="1">
      <c r="A60" s="81" t="str">
        <f>IF($Q60="","",53)</f>
        <v/>
      </c>
      <c r="B60" s="57" t="str">
        <f>IF($Q60="","",INDEX(TRANSACTIONS_MASTER!$B$5:$B$1204,$Q60))</f>
        <v/>
      </c>
      <c r="C60" s="55" t="str">
        <f>IF($Q60="","",INDEX(TRANSACTIONS_MASTER!$F$5:$F$1204,$Q60))</f>
        <v/>
      </c>
      <c r="D60" s="55" t="str">
        <f>IF($Q60="","",INDEX(TRANSACTIONS_MASTER!$E$5:$E$1204,$Q60))</f>
        <v/>
      </c>
      <c r="E60" s="55" t="str">
        <f>IF($Q60="","",INDEX(TRANSACTIONS_MASTER!$G$5:$G$1204,$Q60)&amp;"")</f>
        <v/>
      </c>
      <c r="F60" s="29" t="str">
        <f>IF($Q60="","",INDEX(TRANSACTIONS_MASTER!$I$5:$I$1204,$Q60))</f>
        <v/>
      </c>
      <c r="G60" s="55" t="str">
        <f>IF($Q60="","",INDEX(TRANSACTIONS_MASTER!$K$5:$K$1204,$Q60))</f>
        <v/>
      </c>
      <c r="H60" s="25" t="str">
        <f>IF($Q60="","",INDEX(TRANSACTIONS_MASTER!$L$5:$L$1204,$Q60))</f>
        <v/>
      </c>
      <c r="I60" s="56" t="str">
        <f>IF($Q60="","",INDEX(TRANSACTIONS_MASTER!$N$5:$N$1204,$Q60))</f>
        <v/>
      </c>
      <c r="J60" s="25" t="str">
        <f>IF($Q60="","",INDEX(TRANSACTIONS_MASTER!$O$5:$O$1204,$Q60))</f>
        <v/>
      </c>
      <c r="K60" s="26" t="str">
        <f>IF($Q60="","",INDEX(TRANSACTIONS_MASTER!$Q$5:$Q$1204,$Q60))</f>
        <v/>
      </c>
      <c r="L60" s="25" t="str">
        <f>IF($Q60="","",INDEX(TRANSACTIONS_MASTER!$P$5:$P$1204,$Q60))</f>
        <v/>
      </c>
      <c r="M60" s="25" t="str">
        <f>IF($Q60="","",INDEX(TRANSACTIONS_MASTER!$AA$5:$AA$1204,$Q60))</f>
        <v/>
      </c>
      <c r="N60" s="25" t="str">
        <f>IF($Q60="","",INDEX(TRANSACTIONS_MASTER!$R$5:$R$1204,$Q60))</f>
        <v/>
      </c>
      <c r="O60" s="28" t="str">
        <f>IF($Q60="","",INDEX(TRANSACTIONS_MASTER!$AB$5:$AB$1204,$Q60))</f>
        <v/>
      </c>
      <c r="P60" s="55" t="str">
        <f>IF($Q60="","",INDEX(TRANSACTIONS_MASTER!$Z$5:$Z$1204,$Q60)&amp;"")</f>
        <v/>
      </c>
      <c r="Q60" s="67" t="str">
        <f>IFERROR(MATCH($C$2&amp;"|"&amp;53,TRANSACTIONS_MASTER!$AE$5:$AE$1204,0),"")</f>
        <v/>
      </c>
      <c r="T60" s="19" t="inlineStr">
        <is>
          <t>TỔNG THEO THẺ — chi tiêu · cashback · cap thẻ / tháng</t>
        </is>
      </c>
      <c r="U60" s="20" t="n"/>
      <c r="V60" s="20" t="n"/>
      <c r="W60" s="20" t="n"/>
      <c r="X60" s="20" t="n"/>
      <c r="Y60" s="20" t="n"/>
      <c r="Z60" s="20" t="n"/>
      <c r="AA60" s="20" t="n"/>
    </row>
    <row r="61" ht="30" customHeight="1">
      <c r="A61" s="81" t="str">
        <f>IF($Q61="","",54)</f>
        <v/>
      </c>
      <c r="B61" s="57" t="str">
        <f>IF($Q61="","",INDEX(TRANSACTIONS_MASTER!$B$5:$B$1204,$Q61))</f>
        <v/>
      </c>
      <c r="C61" s="55" t="str">
        <f>IF($Q61="","",INDEX(TRANSACTIONS_MASTER!$F$5:$F$1204,$Q61))</f>
        <v/>
      </c>
      <c r="D61" s="55" t="str">
        <f>IF($Q61="","",INDEX(TRANSACTIONS_MASTER!$E$5:$E$1204,$Q61))</f>
        <v/>
      </c>
      <c r="E61" s="55" t="str">
        <f>IF($Q61="","",INDEX(TRANSACTIONS_MASTER!$G$5:$G$1204,$Q61)&amp;"")</f>
        <v/>
      </c>
      <c r="F61" s="29" t="str">
        <f>IF($Q61="","",INDEX(TRANSACTIONS_MASTER!$I$5:$I$1204,$Q61))</f>
        <v/>
      </c>
      <c r="G61" s="55" t="str">
        <f>IF($Q61="","",INDEX(TRANSACTIONS_MASTER!$K$5:$K$1204,$Q61))</f>
        <v/>
      </c>
      <c r="H61" s="25" t="str">
        <f>IF($Q61="","",INDEX(TRANSACTIONS_MASTER!$L$5:$L$1204,$Q61))</f>
        <v/>
      </c>
      <c r="I61" s="56" t="str">
        <f>IF($Q61="","",INDEX(TRANSACTIONS_MASTER!$N$5:$N$1204,$Q61))</f>
        <v/>
      </c>
      <c r="J61" s="25" t="str">
        <f>IF($Q61="","",INDEX(TRANSACTIONS_MASTER!$O$5:$O$1204,$Q61))</f>
        <v/>
      </c>
      <c r="K61" s="26" t="str">
        <f>IF($Q61="","",INDEX(TRANSACTIONS_MASTER!$Q$5:$Q$1204,$Q61))</f>
        <v/>
      </c>
      <c r="L61" s="25" t="str">
        <f>IF($Q61="","",INDEX(TRANSACTIONS_MASTER!$P$5:$P$1204,$Q61))</f>
        <v/>
      </c>
      <c r="M61" s="25" t="str">
        <f>IF($Q61="","",INDEX(TRANSACTIONS_MASTER!$AA$5:$AA$1204,$Q61))</f>
        <v/>
      </c>
      <c r="N61" s="25" t="str">
        <f>IF($Q61="","",INDEX(TRANSACTIONS_MASTER!$R$5:$R$1204,$Q61))</f>
        <v/>
      </c>
      <c r="O61" s="28" t="str">
        <f>IF($Q61="","",INDEX(TRANSACTIONS_MASTER!$AB$5:$AB$1204,$Q61))</f>
        <v/>
      </c>
      <c r="P61" s="55" t="str">
        <f>IF($Q61="","",INDEX(TRANSACTIONS_MASTER!$Z$5:$Z$1204,$Q61)&amp;"")</f>
        <v/>
      </c>
      <c r="Q61" s="67" t="str">
        <f>IFERROR(MATCH($C$2&amp;"|"&amp;54,TRANSACTIONS_MASTER!$AE$5:$AE$1204,0),"")</f>
        <v/>
      </c>
      <c r="S61" s="21" t="inlineStr">
        <is>
          <t>#</t>
        </is>
      </c>
      <c r="T61" s="21" t="inlineStr">
        <is>
          <t>Card ID</t>
        </is>
      </c>
      <c r="U61" s="21" t="inlineStr">
        <is>
          <t>Thẻ</t>
        </is>
      </c>
      <c r="V61" s="21" t="inlineStr">
        <is>
          <t>Chi tiêu</t>
        </is>
      </c>
      <c r="W61" s="21" t="inlineStr">
        <is>
          <t>Cashback</t>
        </is>
      </c>
      <c r="X61" s="21" t="inlineStr">
        <is>
          <t>Cap thẻ / tháng</t>
        </is>
      </c>
      <c r="Y61" s="21" t="inlineStr">
        <is>
          <t>Còn lại (tối đa)</t>
        </is>
      </c>
      <c r="Z61" s="21" t="inlineStr">
        <is>
          <t>Progress</t>
        </is>
      </c>
      <c r="AA61" s="21" t="inlineStr">
        <is>
          <t>Số GD</t>
        </is>
      </c>
    </row>
    <row r="62">
      <c r="A62" s="81" t="str">
        <f>IF($Q62="","",55)</f>
        <v/>
      </c>
      <c r="B62" s="57" t="str">
        <f>IF($Q62="","",INDEX(TRANSACTIONS_MASTER!$B$5:$B$1204,$Q62))</f>
        <v/>
      </c>
      <c r="C62" s="55" t="str">
        <f>IF($Q62="","",INDEX(TRANSACTIONS_MASTER!$F$5:$F$1204,$Q62))</f>
        <v/>
      </c>
      <c r="D62" s="55" t="str">
        <f>IF($Q62="","",INDEX(TRANSACTIONS_MASTER!$E$5:$E$1204,$Q62))</f>
        <v/>
      </c>
      <c r="E62" s="55" t="str">
        <f>IF($Q62="","",INDEX(TRANSACTIONS_MASTER!$G$5:$G$1204,$Q62)&amp;"")</f>
        <v/>
      </c>
      <c r="F62" s="29" t="str">
        <f>IF($Q62="","",INDEX(TRANSACTIONS_MASTER!$I$5:$I$1204,$Q62))</f>
        <v/>
      </c>
      <c r="G62" s="55" t="str">
        <f>IF($Q62="","",INDEX(TRANSACTIONS_MASTER!$K$5:$K$1204,$Q62))</f>
        <v/>
      </c>
      <c r="H62" s="25" t="str">
        <f>IF($Q62="","",INDEX(TRANSACTIONS_MASTER!$L$5:$L$1204,$Q62))</f>
        <v/>
      </c>
      <c r="I62" s="56" t="str">
        <f>IF($Q62="","",INDEX(TRANSACTIONS_MASTER!$N$5:$N$1204,$Q62))</f>
        <v/>
      </c>
      <c r="J62" s="25" t="str">
        <f>IF($Q62="","",INDEX(TRANSACTIONS_MASTER!$O$5:$O$1204,$Q62))</f>
        <v/>
      </c>
      <c r="K62" s="26" t="str">
        <f>IF($Q62="","",INDEX(TRANSACTIONS_MASTER!$Q$5:$Q$1204,$Q62))</f>
        <v/>
      </c>
      <c r="L62" s="25" t="str">
        <f>IF($Q62="","",INDEX(TRANSACTIONS_MASTER!$P$5:$P$1204,$Q62))</f>
        <v/>
      </c>
      <c r="M62" s="25" t="str">
        <f>IF($Q62="","",INDEX(TRANSACTIONS_MASTER!$AA$5:$AA$1204,$Q62))</f>
        <v/>
      </c>
      <c r="N62" s="25" t="str">
        <f>IF($Q62="","",INDEX(TRANSACTIONS_MASTER!$R$5:$R$1204,$Q62))</f>
        <v/>
      </c>
      <c r="O62" s="28" t="str">
        <f>IF($Q62="","",INDEX(TRANSACTIONS_MASTER!$AB$5:$AB$1204,$Q62))</f>
        <v/>
      </c>
      <c r="P62" s="55" t="str">
        <f>IF($Q62="","",INDEX(TRANSACTIONS_MASTER!$Z$5:$Z$1204,$Q62)&amp;"")</f>
        <v/>
      </c>
      <c r="Q62" s="67" t="str">
        <f>IFERROR(MATCH($C$2&amp;"|"&amp;55,TRANSACTIONS_MASTER!$AE$5:$AE$1204,0),"")</f>
        <v/>
      </c>
      <c r="S62" s="67" t="n">
        <v>1</v>
      </c>
      <c r="T62" s="55" t="str">
        <f>IF(CARDS!$A5="","",CARDS!$A5)</f>
        <v>VPB-JCBZ</v>
      </c>
      <c r="U62" s="55" t="str">
        <f>IF($T62="","",CARDS!$B5&amp;" "&amp;CARDS!$C5)</f>
        <v>VPBank JCB Z Card</v>
      </c>
      <c r="V62" s="25">
        <f>IF($T62="","",SUMIFS(TRANSACTIONS_MASTER!$L$5:$L$1204,TRANSACTIONS_MASTER!$D$5:$D$1204,$T62,TRANSACTIONS_MASTER!$C$5:$C$1204,$C$2,TRANSACTIONS_MASTER!$U$5:$U$1204,"&lt;&gt;Cancelled"))</f>
        <v>0</v>
      </c>
      <c r="W62" s="26">
        <f>IF($T62="","",SUMIFS(TRANSACTIONS_MASTER!$Q$5:$Q$1204,TRANSACTIONS_MASTER!$D$5:$D$1204,$T62,TRANSACTIONS_MASTER!$C$5:$C$1204,$C$2))</f>
        <v>0</v>
      </c>
      <c r="X62" s="25">
        <f>IF($T62="","",IFERROR(IF(ISNUMBER(INDEX(CASHBACK_RULES!$K$5:$K$304,MATCH($T62,CASHBACK_RULES!$B$5:$B$304,0))),INDEX(CASHBACK_RULES!$K$5:$K$304,MATCH($T62,CASHBACK_RULES!$B$5:$B$304,0)),"∞"),"—"))</f>
        <v>1000000</v>
      </c>
      <c r="Y62" s="25">
        <f>IF($T62="","",IF($X62="—","—",IF(COUNTIFS($T$8:$T$57,$T62,$Z$8:$Z$57,"∞")&gt;0,IF(ISNUMBER($X62),MAX(0,$X62-$W62),"∞"),IF(ISNUMBER($X62),MAX(0,MIN($X62-$W62,SUMIFS($Z$8:$Z$57,$T$8:$T$57,$T62))),SUMIFS($Z$8:$Z$57,$T$8:$T$57,$T62)))))</f>
        <v>1000000</v>
      </c>
      <c r="Z62" s="27">
        <f>IF($T62="","",IF(ISNUMBER($X62),IF($X62=0,0,$W62/$X62),IF(ISNUMBER($Y62),IF($W62+$Y62=0,0,$W62/($W62+$Y62)),"")))</f>
        <v>0</v>
      </c>
      <c r="AA62" s="29">
        <f>IF($T62="","",COUNTIFS(TRANSACTIONS_MASTER!$D$5:$D$1204,$T62,TRANSACTIONS_MASTER!$C$5:$C$1204,$C$2,TRANSACTIONS_MASTER!$U$5:$U$1204,"&lt;&gt;Cancelled"))</f>
        <v>0</v>
      </c>
    </row>
    <row r="63">
      <c r="A63" s="81" t="str">
        <f>IF($Q63="","",56)</f>
        <v/>
      </c>
      <c r="B63" s="57" t="str">
        <f>IF($Q63="","",INDEX(TRANSACTIONS_MASTER!$B$5:$B$1204,$Q63))</f>
        <v/>
      </c>
      <c r="C63" s="55" t="str">
        <f>IF($Q63="","",INDEX(TRANSACTIONS_MASTER!$F$5:$F$1204,$Q63))</f>
        <v/>
      </c>
      <c r="D63" s="55" t="str">
        <f>IF($Q63="","",INDEX(TRANSACTIONS_MASTER!$E$5:$E$1204,$Q63))</f>
        <v/>
      </c>
      <c r="E63" s="55" t="str">
        <f>IF($Q63="","",INDEX(TRANSACTIONS_MASTER!$G$5:$G$1204,$Q63)&amp;"")</f>
        <v/>
      </c>
      <c r="F63" s="29" t="str">
        <f>IF($Q63="","",INDEX(TRANSACTIONS_MASTER!$I$5:$I$1204,$Q63))</f>
        <v/>
      </c>
      <c r="G63" s="55" t="str">
        <f>IF($Q63="","",INDEX(TRANSACTIONS_MASTER!$K$5:$K$1204,$Q63))</f>
        <v/>
      </c>
      <c r="H63" s="25" t="str">
        <f>IF($Q63="","",INDEX(TRANSACTIONS_MASTER!$L$5:$L$1204,$Q63))</f>
        <v/>
      </c>
      <c r="I63" s="56" t="str">
        <f>IF($Q63="","",INDEX(TRANSACTIONS_MASTER!$N$5:$N$1204,$Q63))</f>
        <v/>
      </c>
      <c r="J63" s="25" t="str">
        <f>IF($Q63="","",INDEX(TRANSACTIONS_MASTER!$O$5:$O$1204,$Q63))</f>
        <v/>
      </c>
      <c r="K63" s="26" t="str">
        <f>IF($Q63="","",INDEX(TRANSACTIONS_MASTER!$Q$5:$Q$1204,$Q63))</f>
        <v/>
      </c>
      <c r="L63" s="25" t="str">
        <f>IF($Q63="","",INDEX(TRANSACTIONS_MASTER!$P$5:$P$1204,$Q63))</f>
        <v/>
      </c>
      <c r="M63" s="25" t="str">
        <f>IF($Q63="","",INDEX(TRANSACTIONS_MASTER!$AA$5:$AA$1204,$Q63))</f>
        <v/>
      </c>
      <c r="N63" s="25" t="str">
        <f>IF($Q63="","",INDEX(TRANSACTIONS_MASTER!$R$5:$R$1204,$Q63))</f>
        <v/>
      </c>
      <c r="O63" s="28" t="str">
        <f>IF($Q63="","",INDEX(TRANSACTIONS_MASTER!$AB$5:$AB$1204,$Q63))</f>
        <v/>
      </c>
      <c r="P63" s="55" t="str">
        <f>IF($Q63="","",INDEX(TRANSACTIONS_MASTER!$Z$5:$Z$1204,$Q63)&amp;"")</f>
        <v/>
      </c>
      <c r="Q63" s="67" t="str">
        <f>IFERROR(MATCH($C$2&amp;"|"&amp;56,TRANSACTIONS_MASTER!$AE$5:$AE$1204,0),"")</f>
        <v/>
      </c>
      <c r="S63" s="67" t="n">
        <v>2</v>
      </c>
      <c r="T63" s="55" t="str">
        <f>IF(CARDS!$A6="","",CARDS!$A6)</f>
        <v>VIB-A</v>
      </c>
      <c r="U63" s="55" t="str">
        <f>IF($T63="","",CARDS!$B6&amp;" "&amp;CARDS!$C6)</f>
        <v>VIB Cashback Demo A</v>
      </c>
      <c r="V63" s="25">
        <f>IF($T63="","",SUMIFS(TRANSACTIONS_MASTER!$L$5:$L$1204,TRANSACTIONS_MASTER!$D$5:$D$1204,$T63,TRANSACTIONS_MASTER!$C$5:$C$1204,$C$2,TRANSACTIONS_MASTER!$U$5:$U$1204,"&lt;&gt;Cancelled"))</f>
        <v>0</v>
      </c>
      <c r="W63" s="26">
        <f>IF($T63="","",SUMIFS(TRANSACTIONS_MASTER!$Q$5:$Q$1204,TRANSACTIONS_MASTER!$D$5:$D$1204,$T63,TRANSACTIONS_MASTER!$C$5:$C$1204,$C$2))</f>
        <v>0</v>
      </c>
      <c r="X63" s="25">
        <f>IF($T63="","",IFERROR(IF(ISNUMBER(INDEX(CASHBACK_RULES!$K$5:$K$304,MATCH($T63,CASHBACK_RULES!$B$5:$B$304,0))),INDEX(CASHBACK_RULES!$K$5:$K$304,MATCH($T63,CASHBACK_RULES!$B$5:$B$304,0)),"∞"),"—"))</f>
        <v>1000000</v>
      </c>
      <c r="Y63" s="25">
        <f>IF($T63="","",IF($X63="—","—",IF(COUNTIFS($T$8:$T$57,$T63,$Z$8:$Z$57,"∞")&gt;0,IF(ISNUMBER($X63),MAX(0,$X63-$W63),"∞"),IF(ISNUMBER($X63),MAX(0,MIN($X63-$W63,SUMIFS($Z$8:$Z$57,$T$8:$T$57,$T63))),SUMIFS($Z$8:$Z$57,$T$8:$T$57,$T63)))))</f>
        <v>1000000</v>
      </c>
      <c r="Z63" s="27">
        <f>IF($T63="","",IF(ISNUMBER($X63),IF($X63=0,0,$W63/$X63),IF(ISNUMBER($Y63),IF($W63+$Y63=0,0,$W63/($W63+$Y63)),"")))</f>
        <v>0</v>
      </c>
      <c r="AA63" s="29">
        <f>IF($T63="","",COUNTIFS(TRANSACTIONS_MASTER!$D$5:$D$1204,$T63,TRANSACTIONS_MASTER!$C$5:$C$1204,$C$2,TRANSACTIONS_MASTER!$U$5:$U$1204,"&lt;&gt;Cancelled"))</f>
        <v>0</v>
      </c>
    </row>
    <row r="64">
      <c r="A64" s="81" t="str">
        <f>IF($Q64="","",57)</f>
        <v/>
      </c>
      <c r="B64" s="57" t="str">
        <f>IF($Q64="","",INDEX(TRANSACTIONS_MASTER!$B$5:$B$1204,$Q64))</f>
        <v/>
      </c>
      <c r="C64" s="55" t="str">
        <f>IF($Q64="","",INDEX(TRANSACTIONS_MASTER!$F$5:$F$1204,$Q64))</f>
        <v/>
      </c>
      <c r="D64" s="55" t="str">
        <f>IF($Q64="","",INDEX(TRANSACTIONS_MASTER!$E$5:$E$1204,$Q64))</f>
        <v/>
      </c>
      <c r="E64" s="55" t="str">
        <f>IF($Q64="","",INDEX(TRANSACTIONS_MASTER!$G$5:$G$1204,$Q64)&amp;"")</f>
        <v/>
      </c>
      <c r="F64" s="29" t="str">
        <f>IF($Q64="","",INDEX(TRANSACTIONS_MASTER!$I$5:$I$1204,$Q64))</f>
        <v/>
      </c>
      <c r="G64" s="55" t="str">
        <f>IF($Q64="","",INDEX(TRANSACTIONS_MASTER!$K$5:$K$1204,$Q64))</f>
        <v/>
      </c>
      <c r="H64" s="25" t="str">
        <f>IF($Q64="","",INDEX(TRANSACTIONS_MASTER!$L$5:$L$1204,$Q64))</f>
        <v/>
      </c>
      <c r="I64" s="56" t="str">
        <f>IF($Q64="","",INDEX(TRANSACTIONS_MASTER!$N$5:$N$1204,$Q64))</f>
        <v/>
      </c>
      <c r="J64" s="25" t="str">
        <f>IF($Q64="","",INDEX(TRANSACTIONS_MASTER!$O$5:$O$1204,$Q64))</f>
        <v/>
      </c>
      <c r="K64" s="26" t="str">
        <f>IF($Q64="","",INDEX(TRANSACTIONS_MASTER!$Q$5:$Q$1204,$Q64))</f>
        <v/>
      </c>
      <c r="L64" s="25" t="str">
        <f>IF($Q64="","",INDEX(TRANSACTIONS_MASTER!$P$5:$P$1204,$Q64))</f>
        <v/>
      </c>
      <c r="M64" s="25" t="str">
        <f>IF($Q64="","",INDEX(TRANSACTIONS_MASTER!$AA$5:$AA$1204,$Q64))</f>
        <v/>
      </c>
      <c r="N64" s="25" t="str">
        <f>IF($Q64="","",INDEX(TRANSACTIONS_MASTER!$R$5:$R$1204,$Q64))</f>
        <v/>
      </c>
      <c r="O64" s="28" t="str">
        <f>IF($Q64="","",INDEX(TRANSACTIONS_MASTER!$AB$5:$AB$1204,$Q64))</f>
        <v/>
      </c>
      <c r="P64" s="55" t="str">
        <f>IF($Q64="","",INDEX(TRANSACTIONS_MASTER!$Z$5:$Z$1204,$Q64)&amp;"")</f>
        <v/>
      </c>
      <c r="Q64" s="67" t="str">
        <f>IFERROR(MATCH($C$2&amp;"|"&amp;57,TRANSACTIONS_MASTER!$AE$5:$AE$1204,0),"")</f>
        <v/>
      </c>
      <c r="S64" s="67" t="n">
        <v>3</v>
      </c>
      <c r="T64" s="55" t="str">
        <f>IF(CARDS!$A7="","",CARDS!$A7)</f>
        <v>TCB-B</v>
      </c>
      <c r="U64" s="55" t="str">
        <f>IF($T64="","",CARDS!$B7&amp;" "&amp;CARDS!$C7)</f>
        <v>Techcombank Cashback Demo B</v>
      </c>
      <c r="V64" s="25">
        <f>IF($T64="","",SUMIFS(TRANSACTIONS_MASTER!$L$5:$L$1204,TRANSACTIONS_MASTER!$D$5:$D$1204,$T64,TRANSACTIONS_MASTER!$C$5:$C$1204,$C$2,TRANSACTIONS_MASTER!$U$5:$U$1204,"&lt;&gt;Cancelled"))</f>
        <v>0</v>
      </c>
      <c r="W64" s="26">
        <f>IF($T64="","",SUMIFS(TRANSACTIONS_MASTER!$Q$5:$Q$1204,TRANSACTIONS_MASTER!$D$5:$D$1204,$T64,TRANSACTIONS_MASTER!$C$5:$C$1204,$C$2))</f>
        <v>0</v>
      </c>
      <c r="X64" s="25">
        <f>IF($T64="","",IFERROR(IF(ISNUMBER(INDEX(CASHBACK_RULES!$K$5:$K$304,MATCH($T64,CASHBACK_RULES!$B$5:$B$304,0))),INDEX(CASHBACK_RULES!$K$5:$K$304,MATCH($T64,CASHBACK_RULES!$B$5:$B$304,0)),"∞"),"—"))</f>
        <v>2000000</v>
      </c>
      <c r="Y64" s="25">
        <f>IF($T64="","",IF($X64="—","—",IF(COUNTIFS($T$8:$T$57,$T64,$Z$8:$Z$57,"∞")&gt;0,IF(ISNUMBER($X64),MAX(0,$X64-$W64),"∞"),IF(ISNUMBER($X64),MAX(0,MIN($X64-$W64,SUMIFS($Z$8:$Z$57,$T$8:$T$57,$T64))),SUMIFS($Z$8:$Z$57,$T$8:$T$57,$T64)))))</f>
        <v>900000</v>
      </c>
      <c r="Z64" s="27">
        <f>IF($T64="","",IF(ISNUMBER($X64),IF($X64=0,0,$W64/$X64),IF(ISNUMBER($Y64),IF($W64+$Y64=0,0,$W64/($W64+$Y64)),"")))</f>
        <v>0</v>
      </c>
      <c r="AA64" s="29">
        <f>IF($T64="","",COUNTIFS(TRANSACTIONS_MASTER!$D$5:$D$1204,$T64,TRANSACTIONS_MASTER!$C$5:$C$1204,$C$2,TRANSACTIONS_MASTER!$U$5:$U$1204,"&lt;&gt;Cancelled"))</f>
        <v>0</v>
      </c>
    </row>
    <row r="65">
      <c r="A65" s="81" t="str">
        <f>IF($Q65="","",58)</f>
        <v/>
      </c>
      <c r="B65" s="57" t="str">
        <f>IF($Q65="","",INDEX(TRANSACTIONS_MASTER!$B$5:$B$1204,$Q65))</f>
        <v/>
      </c>
      <c r="C65" s="55" t="str">
        <f>IF($Q65="","",INDEX(TRANSACTIONS_MASTER!$F$5:$F$1204,$Q65))</f>
        <v/>
      </c>
      <c r="D65" s="55" t="str">
        <f>IF($Q65="","",INDEX(TRANSACTIONS_MASTER!$E$5:$E$1204,$Q65))</f>
        <v/>
      </c>
      <c r="E65" s="55" t="str">
        <f>IF($Q65="","",INDEX(TRANSACTIONS_MASTER!$G$5:$G$1204,$Q65)&amp;"")</f>
        <v/>
      </c>
      <c r="F65" s="29" t="str">
        <f>IF($Q65="","",INDEX(TRANSACTIONS_MASTER!$I$5:$I$1204,$Q65))</f>
        <v/>
      </c>
      <c r="G65" s="55" t="str">
        <f>IF($Q65="","",INDEX(TRANSACTIONS_MASTER!$K$5:$K$1204,$Q65))</f>
        <v/>
      </c>
      <c r="H65" s="25" t="str">
        <f>IF($Q65="","",INDEX(TRANSACTIONS_MASTER!$L$5:$L$1204,$Q65))</f>
        <v/>
      </c>
      <c r="I65" s="56" t="str">
        <f>IF($Q65="","",INDEX(TRANSACTIONS_MASTER!$N$5:$N$1204,$Q65))</f>
        <v/>
      </c>
      <c r="J65" s="25" t="str">
        <f>IF($Q65="","",INDEX(TRANSACTIONS_MASTER!$O$5:$O$1204,$Q65))</f>
        <v/>
      </c>
      <c r="K65" s="26" t="str">
        <f>IF($Q65="","",INDEX(TRANSACTIONS_MASTER!$Q$5:$Q$1204,$Q65))</f>
        <v/>
      </c>
      <c r="L65" s="25" t="str">
        <f>IF($Q65="","",INDEX(TRANSACTIONS_MASTER!$P$5:$P$1204,$Q65))</f>
        <v/>
      </c>
      <c r="M65" s="25" t="str">
        <f>IF($Q65="","",INDEX(TRANSACTIONS_MASTER!$AA$5:$AA$1204,$Q65))</f>
        <v/>
      </c>
      <c r="N65" s="25" t="str">
        <f>IF($Q65="","",INDEX(TRANSACTIONS_MASTER!$R$5:$R$1204,$Q65))</f>
        <v/>
      </c>
      <c r="O65" s="28" t="str">
        <f>IF($Q65="","",INDEX(TRANSACTIONS_MASTER!$AB$5:$AB$1204,$Q65))</f>
        <v/>
      </c>
      <c r="P65" s="55" t="str">
        <f>IF($Q65="","",INDEX(TRANSACTIONS_MASTER!$Z$5:$Z$1204,$Q65)&amp;"")</f>
        <v/>
      </c>
      <c r="Q65" s="67" t="str">
        <f>IFERROR(MATCH($C$2&amp;"|"&amp;58,TRANSACTIONS_MASTER!$AE$5:$AE$1204,0),"")</f>
        <v/>
      </c>
      <c r="S65" s="67" t="n">
        <v>4</v>
      </c>
      <c r="T65" s="55" t="str">
        <f>IF(CARDS!$A8="","",CARDS!$A8)</f>
        <v>UOB-C</v>
      </c>
      <c r="U65" s="55" t="str">
        <f>IF($T65="","",CARDS!$B8&amp;" "&amp;CARDS!$C8)</f>
        <v>UOB Cashback Demo C</v>
      </c>
      <c r="V65" s="25">
        <f>IF($T65="","",SUMIFS(TRANSACTIONS_MASTER!$L$5:$L$1204,TRANSACTIONS_MASTER!$D$5:$D$1204,$T65,TRANSACTIONS_MASTER!$C$5:$C$1204,$C$2,TRANSACTIONS_MASTER!$U$5:$U$1204,"&lt;&gt;Cancelled"))</f>
        <v>0</v>
      </c>
      <c r="W65" s="26">
        <f>IF($T65="","",SUMIFS(TRANSACTIONS_MASTER!$Q$5:$Q$1204,TRANSACTIONS_MASTER!$D$5:$D$1204,$T65,TRANSACTIONS_MASTER!$C$5:$C$1204,$C$2))</f>
        <v>0</v>
      </c>
      <c r="X65" s="25" t="str">
        <f>IF($T65="","",IFERROR(IF(ISNUMBER(INDEX(CASHBACK_RULES!$K$5:$K$304,MATCH($T65,CASHBACK_RULES!$B$5:$B$304,0))),INDEX(CASHBACK_RULES!$K$5:$K$304,MATCH($T65,CASHBACK_RULES!$B$5:$B$304,0)),"∞"),"—"))</f>
        <v>∞</v>
      </c>
      <c r="Y65" s="25">
        <f>IF($T65="","",IF($X65="—","—",IF(COUNTIFS($T$8:$T$57,$T65,$Z$8:$Z$57,"∞")&gt;0,IF(ISNUMBER($X65),MAX(0,$X65-$W65),"∞"),IF(ISNUMBER($X65),MAX(0,MIN($X65-$W65,SUMIFS($Z$8:$Z$57,$T$8:$T$57,$T65))),SUMIFS($Z$8:$Z$57,$T$8:$T$57,$T65)))))</f>
        <v>1000000</v>
      </c>
      <c r="Z65" s="27">
        <f>IF($T65="","",IF(ISNUMBER($X65),IF($X65=0,0,$W65/$X65),IF(ISNUMBER($Y65),IF($W65+$Y65=0,0,$W65/($W65+$Y65)),"")))</f>
        <v>0</v>
      </c>
      <c r="AA65" s="29">
        <f>IF($T65="","",COUNTIFS(TRANSACTIONS_MASTER!$D$5:$D$1204,$T65,TRANSACTIONS_MASTER!$C$5:$C$1204,$C$2,TRANSACTIONS_MASTER!$U$5:$U$1204,"&lt;&gt;Cancelled"))</f>
        <v>0</v>
      </c>
    </row>
    <row r="66">
      <c r="A66" s="81" t="str">
        <f>IF($Q66="","",59)</f>
        <v/>
      </c>
      <c r="B66" s="57" t="str">
        <f>IF($Q66="","",INDEX(TRANSACTIONS_MASTER!$B$5:$B$1204,$Q66))</f>
        <v/>
      </c>
      <c r="C66" s="55" t="str">
        <f>IF($Q66="","",INDEX(TRANSACTIONS_MASTER!$F$5:$F$1204,$Q66))</f>
        <v/>
      </c>
      <c r="D66" s="55" t="str">
        <f>IF($Q66="","",INDEX(TRANSACTIONS_MASTER!$E$5:$E$1204,$Q66))</f>
        <v/>
      </c>
      <c r="E66" s="55" t="str">
        <f>IF($Q66="","",INDEX(TRANSACTIONS_MASTER!$G$5:$G$1204,$Q66)&amp;"")</f>
        <v/>
      </c>
      <c r="F66" s="29" t="str">
        <f>IF($Q66="","",INDEX(TRANSACTIONS_MASTER!$I$5:$I$1204,$Q66))</f>
        <v/>
      </c>
      <c r="G66" s="55" t="str">
        <f>IF($Q66="","",INDEX(TRANSACTIONS_MASTER!$K$5:$K$1204,$Q66))</f>
        <v/>
      </c>
      <c r="H66" s="25" t="str">
        <f>IF($Q66="","",INDEX(TRANSACTIONS_MASTER!$L$5:$L$1204,$Q66))</f>
        <v/>
      </c>
      <c r="I66" s="56" t="str">
        <f>IF($Q66="","",INDEX(TRANSACTIONS_MASTER!$N$5:$N$1204,$Q66))</f>
        <v/>
      </c>
      <c r="J66" s="25" t="str">
        <f>IF($Q66="","",INDEX(TRANSACTIONS_MASTER!$O$5:$O$1204,$Q66))</f>
        <v/>
      </c>
      <c r="K66" s="26" t="str">
        <f>IF($Q66="","",INDEX(TRANSACTIONS_MASTER!$Q$5:$Q$1204,$Q66))</f>
        <v/>
      </c>
      <c r="L66" s="25" t="str">
        <f>IF($Q66="","",INDEX(TRANSACTIONS_MASTER!$P$5:$P$1204,$Q66))</f>
        <v/>
      </c>
      <c r="M66" s="25" t="str">
        <f>IF($Q66="","",INDEX(TRANSACTIONS_MASTER!$AA$5:$AA$1204,$Q66))</f>
        <v/>
      </c>
      <c r="N66" s="25" t="str">
        <f>IF($Q66="","",INDEX(TRANSACTIONS_MASTER!$R$5:$R$1204,$Q66))</f>
        <v/>
      </c>
      <c r="O66" s="28" t="str">
        <f>IF($Q66="","",INDEX(TRANSACTIONS_MASTER!$AB$5:$AB$1204,$Q66))</f>
        <v/>
      </c>
      <c r="P66" s="55" t="str">
        <f>IF($Q66="","",INDEX(TRANSACTIONS_MASTER!$Z$5:$Z$1204,$Q66)&amp;"")</f>
        <v/>
      </c>
      <c r="Q66" s="67" t="str">
        <f>IFERROR(MATCH($C$2&amp;"|"&amp;59,TRANSACTIONS_MASTER!$AE$5:$AE$1204,0),"")</f>
        <v/>
      </c>
      <c r="S66" s="67" t="n">
        <v>5</v>
      </c>
      <c r="T66" s="55" t="str">
        <f>IF(CARDS!$A9="","",CARDS!$A9)</f>
        <v>MB-D</v>
      </c>
      <c r="U66" s="55" t="str">
        <f>IF($T66="","",CARDS!$B9&amp;" "&amp;CARDS!$C9)</f>
        <v>MB Cashback Demo D</v>
      </c>
      <c r="V66" s="25">
        <f>IF($T66="","",SUMIFS(TRANSACTIONS_MASTER!$L$5:$L$1204,TRANSACTIONS_MASTER!$D$5:$D$1204,$T66,TRANSACTIONS_MASTER!$C$5:$C$1204,$C$2,TRANSACTIONS_MASTER!$U$5:$U$1204,"&lt;&gt;Cancelled"))</f>
        <v>0</v>
      </c>
      <c r="W66" s="26">
        <f>IF($T66="","",SUMIFS(TRANSACTIONS_MASTER!$Q$5:$Q$1204,TRANSACTIONS_MASTER!$D$5:$D$1204,$T66,TRANSACTIONS_MASTER!$C$5:$C$1204,$C$2))</f>
        <v>0</v>
      </c>
      <c r="X66" s="25">
        <f>IF($T66="","",IFERROR(IF(ISNUMBER(INDEX(CASHBACK_RULES!$K$5:$K$304,MATCH($T66,CASHBACK_RULES!$B$5:$B$304,0))),INDEX(CASHBACK_RULES!$K$5:$K$304,MATCH($T66,CASHBACK_RULES!$B$5:$B$304,0)),"∞"),"—"))</f>
        <v>600000</v>
      </c>
      <c r="Y66" s="25">
        <f>IF($T66="","",IF($X66="—","—",IF(COUNTIFS($T$8:$T$57,$T66,$Z$8:$Z$57,"∞")&gt;0,IF(ISNUMBER($X66),MAX(0,$X66-$W66),"∞"),IF(ISNUMBER($X66),MAX(0,MIN($X66-$W66,SUMIFS($Z$8:$Z$57,$T$8:$T$57,$T66))),SUMIFS($Z$8:$Z$57,$T$8:$T$57,$T66)))))</f>
        <v>600000</v>
      </c>
      <c r="Z66" s="27">
        <f>IF($T66="","",IF(ISNUMBER($X66),IF($X66=0,0,$W66/$X66),IF(ISNUMBER($Y66),IF($W66+$Y66=0,0,$W66/($W66+$Y66)),"")))</f>
        <v>0</v>
      </c>
      <c r="AA66" s="29">
        <f>IF($T66="","",COUNTIFS(TRANSACTIONS_MASTER!$D$5:$D$1204,$T66,TRANSACTIONS_MASTER!$C$5:$C$1204,$C$2,TRANSACTIONS_MASTER!$U$5:$U$1204,"&lt;&gt;Cancelled"))</f>
        <v>0</v>
      </c>
    </row>
    <row r="67">
      <c r="A67" s="81" t="str">
        <f>IF($Q67="","",60)</f>
        <v/>
      </c>
      <c r="B67" s="57" t="str">
        <f>IF($Q67="","",INDEX(TRANSACTIONS_MASTER!$B$5:$B$1204,$Q67))</f>
        <v/>
      </c>
      <c r="C67" s="55" t="str">
        <f>IF($Q67="","",INDEX(TRANSACTIONS_MASTER!$F$5:$F$1204,$Q67))</f>
        <v/>
      </c>
      <c r="D67" s="55" t="str">
        <f>IF($Q67="","",INDEX(TRANSACTIONS_MASTER!$E$5:$E$1204,$Q67))</f>
        <v/>
      </c>
      <c r="E67" s="55" t="str">
        <f>IF($Q67="","",INDEX(TRANSACTIONS_MASTER!$G$5:$G$1204,$Q67)&amp;"")</f>
        <v/>
      </c>
      <c r="F67" s="29" t="str">
        <f>IF($Q67="","",INDEX(TRANSACTIONS_MASTER!$I$5:$I$1204,$Q67))</f>
        <v/>
      </c>
      <c r="G67" s="55" t="str">
        <f>IF($Q67="","",INDEX(TRANSACTIONS_MASTER!$K$5:$K$1204,$Q67))</f>
        <v/>
      </c>
      <c r="H67" s="25" t="str">
        <f>IF($Q67="","",INDEX(TRANSACTIONS_MASTER!$L$5:$L$1204,$Q67))</f>
        <v/>
      </c>
      <c r="I67" s="56" t="str">
        <f>IF($Q67="","",INDEX(TRANSACTIONS_MASTER!$N$5:$N$1204,$Q67))</f>
        <v/>
      </c>
      <c r="J67" s="25" t="str">
        <f>IF($Q67="","",INDEX(TRANSACTIONS_MASTER!$O$5:$O$1204,$Q67))</f>
        <v/>
      </c>
      <c r="K67" s="26" t="str">
        <f>IF($Q67="","",INDEX(TRANSACTIONS_MASTER!$Q$5:$Q$1204,$Q67))</f>
        <v/>
      </c>
      <c r="L67" s="25" t="str">
        <f>IF($Q67="","",INDEX(TRANSACTIONS_MASTER!$P$5:$P$1204,$Q67))</f>
        <v/>
      </c>
      <c r="M67" s="25" t="str">
        <f>IF($Q67="","",INDEX(TRANSACTIONS_MASTER!$AA$5:$AA$1204,$Q67))</f>
        <v/>
      </c>
      <c r="N67" s="25" t="str">
        <f>IF($Q67="","",INDEX(TRANSACTIONS_MASTER!$R$5:$R$1204,$Q67))</f>
        <v/>
      </c>
      <c r="O67" s="28" t="str">
        <f>IF($Q67="","",INDEX(TRANSACTIONS_MASTER!$AB$5:$AB$1204,$Q67))</f>
        <v/>
      </c>
      <c r="P67" s="55" t="str">
        <f>IF($Q67="","",INDEX(TRANSACTIONS_MASTER!$Z$5:$Z$1204,$Q67)&amp;"")</f>
        <v/>
      </c>
      <c r="Q67" s="67" t="str">
        <f>IFERROR(MATCH($C$2&amp;"|"&amp;60,TRANSACTIONS_MASTER!$AE$5:$AE$1204,0),"")</f>
        <v/>
      </c>
      <c r="S67" s="67" t="n">
        <v>6</v>
      </c>
      <c r="T67" s="55" t="str">
        <f>IF(CARDS!$A10="","",CARDS!$A10)</f>
        <v>ACB-E</v>
      </c>
      <c r="U67" s="55" t="str">
        <f>IF($T67="","",CARDS!$B10&amp;" "&amp;CARDS!$C10)</f>
        <v>ACB Demo E (không cashback)</v>
      </c>
      <c r="V67" s="25">
        <f>IF($T67="","",SUMIFS(TRANSACTIONS_MASTER!$L$5:$L$1204,TRANSACTIONS_MASTER!$D$5:$D$1204,$T67,TRANSACTIONS_MASTER!$C$5:$C$1204,$C$2,TRANSACTIONS_MASTER!$U$5:$U$1204,"&lt;&gt;Cancelled"))</f>
        <v>0</v>
      </c>
      <c r="W67" s="26">
        <f>IF($T67="","",SUMIFS(TRANSACTIONS_MASTER!$Q$5:$Q$1204,TRANSACTIONS_MASTER!$D$5:$D$1204,$T67,TRANSACTIONS_MASTER!$C$5:$C$1204,$C$2))</f>
        <v>0</v>
      </c>
      <c r="X67" s="25" t="str">
        <f>IF($T67="","",IFERROR(IF(ISNUMBER(INDEX(CASHBACK_RULES!$K$5:$K$304,MATCH($T67,CASHBACK_RULES!$B$5:$B$304,0))),INDEX(CASHBACK_RULES!$K$5:$K$304,MATCH($T67,CASHBACK_RULES!$B$5:$B$304,0)),"∞"),"—"))</f>
        <v>∞</v>
      </c>
      <c r="Y67" s="25">
        <f>IF($T67="","",IF($X67="—","—",IF(COUNTIFS($T$8:$T$57,$T67,$Z$8:$Z$57,"∞")&gt;0,IF(ISNUMBER($X67),MAX(0,$X67-$W67),"∞"),IF(ISNUMBER($X67),MAX(0,MIN($X67-$W67,SUMIFS($Z$8:$Z$57,$T$8:$T$57,$T67))),SUMIFS($Z$8:$Z$57,$T$8:$T$57,$T67)))))</f>
        <v>0</v>
      </c>
      <c r="Z67" s="27">
        <f>IF($T67="","",IF(ISNUMBER($X67),IF($X67=0,0,$W67/$X67),IF(ISNUMBER($Y67),IF($W67+$Y67=0,0,$W67/($W67+$Y67)),"")))</f>
        <v>0</v>
      </c>
      <c r="AA67" s="29">
        <f>IF($T67="","",COUNTIFS(TRANSACTIONS_MASTER!$D$5:$D$1204,$T67,TRANSACTIONS_MASTER!$C$5:$C$1204,$C$2,TRANSACTIONS_MASTER!$U$5:$U$1204,"&lt;&gt;Cancelled"))</f>
        <v>0</v>
      </c>
    </row>
    <row r="68">
      <c r="A68" s="81" t="str">
        <f>IF($Q68="","",61)</f>
        <v/>
      </c>
      <c r="B68" s="57" t="str">
        <f>IF($Q68="","",INDEX(TRANSACTIONS_MASTER!$B$5:$B$1204,$Q68))</f>
        <v/>
      </c>
      <c r="C68" s="55" t="str">
        <f>IF($Q68="","",INDEX(TRANSACTIONS_MASTER!$F$5:$F$1204,$Q68))</f>
        <v/>
      </c>
      <c r="D68" s="55" t="str">
        <f>IF($Q68="","",INDEX(TRANSACTIONS_MASTER!$E$5:$E$1204,$Q68))</f>
        <v/>
      </c>
      <c r="E68" s="55" t="str">
        <f>IF($Q68="","",INDEX(TRANSACTIONS_MASTER!$G$5:$G$1204,$Q68)&amp;"")</f>
        <v/>
      </c>
      <c r="F68" s="29" t="str">
        <f>IF($Q68="","",INDEX(TRANSACTIONS_MASTER!$I$5:$I$1204,$Q68))</f>
        <v/>
      </c>
      <c r="G68" s="55" t="str">
        <f>IF($Q68="","",INDEX(TRANSACTIONS_MASTER!$K$5:$K$1204,$Q68))</f>
        <v/>
      </c>
      <c r="H68" s="25" t="str">
        <f>IF($Q68="","",INDEX(TRANSACTIONS_MASTER!$L$5:$L$1204,$Q68))</f>
        <v/>
      </c>
      <c r="I68" s="56" t="str">
        <f>IF($Q68="","",INDEX(TRANSACTIONS_MASTER!$N$5:$N$1204,$Q68))</f>
        <v/>
      </c>
      <c r="J68" s="25" t="str">
        <f>IF($Q68="","",INDEX(TRANSACTIONS_MASTER!$O$5:$O$1204,$Q68))</f>
        <v/>
      </c>
      <c r="K68" s="26" t="str">
        <f>IF($Q68="","",INDEX(TRANSACTIONS_MASTER!$Q$5:$Q$1204,$Q68))</f>
        <v/>
      </c>
      <c r="L68" s="25" t="str">
        <f>IF($Q68="","",INDEX(TRANSACTIONS_MASTER!$P$5:$P$1204,$Q68))</f>
        <v/>
      </c>
      <c r="M68" s="25" t="str">
        <f>IF($Q68="","",INDEX(TRANSACTIONS_MASTER!$AA$5:$AA$1204,$Q68))</f>
        <v/>
      </c>
      <c r="N68" s="25" t="str">
        <f>IF($Q68="","",INDEX(TRANSACTIONS_MASTER!$R$5:$R$1204,$Q68))</f>
        <v/>
      </c>
      <c r="O68" s="28" t="str">
        <f>IF($Q68="","",INDEX(TRANSACTIONS_MASTER!$AB$5:$AB$1204,$Q68))</f>
        <v/>
      </c>
      <c r="P68" s="55" t="str">
        <f>IF($Q68="","",INDEX(TRANSACTIONS_MASTER!$Z$5:$Z$1204,$Q68)&amp;"")</f>
        <v/>
      </c>
      <c r="Q68" s="67" t="str">
        <f>IFERROR(MATCH($C$2&amp;"|"&amp;61,TRANSACTIONS_MASTER!$AE$5:$AE$1204,0),"")</f>
        <v/>
      </c>
      <c r="S68" s="67" t="n">
        <v>7</v>
      </c>
      <c r="T68" s="55" t="str">
        <f>IF(CARDS!$A11="","",CARDS!$A11)</f>
        <v/>
      </c>
      <c r="U68" s="55" t="str">
        <f>IF($T68="","",CARDS!$B11&amp;" "&amp;CARDS!$C11)</f>
        <v/>
      </c>
      <c r="V68" s="25" t="str">
        <f>IF($T68="","",SUMIFS(TRANSACTIONS_MASTER!$L$5:$L$1204,TRANSACTIONS_MASTER!$D$5:$D$1204,$T68,TRANSACTIONS_MASTER!$C$5:$C$1204,$C$2,TRANSACTIONS_MASTER!$U$5:$U$1204,"&lt;&gt;Cancelled"))</f>
        <v/>
      </c>
      <c r="W68" s="26" t="str">
        <f>IF($T68="","",SUMIFS(TRANSACTIONS_MASTER!$Q$5:$Q$1204,TRANSACTIONS_MASTER!$D$5:$D$1204,$T68,TRANSACTIONS_MASTER!$C$5:$C$1204,$C$2))</f>
        <v/>
      </c>
      <c r="X68" s="25" t="str">
        <f>IF($T68="","",IFERROR(IF(ISNUMBER(INDEX(CASHBACK_RULES!$K$5:$K$304,MATCH($T68,CASHBACK_RULES!$B$5:$B$304,0))),INDEX(CASHBACK_RULES!$K$5:$K$304,MATCH($T68,CASHBACK_RULES!$B$5:$B$304,0)),"∞"),"—"))</f>
        <v/>
      </c>
      <c r="Y68" s="25" t="str">
        <f>IF($T68="","",IF($X68="—","—",IF(COUNTIFS($T$8:$T$57,$T68,$Z$8:$Z$57,"∞")&gt;0,IF(ISNUMBER($X68),MAX(0,$X68-$W68),"∞"),IF(ISNUMBER($X68),MAX(0,MIN($X68-$W68,SUMIFS($Z$8:$Z$57,$T$8:$T$57,$T68))),SUMIFS($Z$8:$Z$57,$T$8:$T$57,$T68)))))</f>
        <v/>
      </c>
      <c r="Z68" s="27" t="str">
        <f>IF($T68="","",IF(ISNUMBER($X68),IF($X68=0,0,$W68/$X68),IF(ISNUMBER($Y68),IF($W68+$Y68=0,0,$W68/($W68+$Y68)),"")))</f>
        <v/>
      </c>
      <c r="AA68" s="29" t="str">
        <f>IF($T68="","",COUNTIFS(TRANSACTIONS_MASTER!$D$5:$D$1204,$T68,TRANSACTIONS_MASTER!$C$5:$C$1204,$C$2,TRANSACTIONS_MASTER!$U$5:$U$1204,"&lt;&gt;Cancelled"))</f>
        <v/>
      </c>
    </row>
    <row r="69">
      <c r="A69" s="81" t="str">
        <f>IF($Q69="","",62)</f>
        <v/>
      </c>
      <c r="B69" s="57" t="str">
        <f>IF($Q69="","",INDEX(TRANSACTIONS_MASTER!$B$5:$B$1204,$Q69))</f>
        <v/>
      </c>
      <c r="C69" s="55" t="str">
        <f>IF($Q69="","",INDEX(TRANSACTIONS_MASTER!$F$5:$F$1204,$Q69))</f>
        <v/>
      </c>
      <c r="D69" s="55" t="str">
        <f>IF($Q69="","",INDEX(TRANSACTIONS_MASTER!$E$5:$E$1204,$Q69))</f>
        <v/>
      </c>
      <c r="E69" s="55" t="str">
        <f>IF($Q69="","",INDEX(TRANSACTIONS_MASTER!$G$5:$G$1204,$Q69)&amp;"")</f>
        <v/>
      </c>
      <c r="F69" s="29" t="str">
        <f>IF($Q69="","",INDEX(TRANSACTIONS_MASTER!$I$5:$I$1204,$Q69))</f>
        <v/>
      </c>
      <c r="G69" s="55" t="str">
        <f>IF($Q69="","",INDEX(TRANSACTIONS_MASTER!$K$5:$K$1204,$Q69))</f>
        <v/>
      </c>
      <c r="H69" s="25" t="str">
        <f>IF($Q69="","",INDEX(TRANSACTIONS_MASTER!$L$5:$L$1204,$Q69))</f>
        <v/>
      </c>
      <c r="I69" s="56" t="str">
        <f>IF($Q69="","",INDEX(TRANSACTIONS_MASTER!$N$5:$N$1204,$Q69))</f>
        <v/>
      </c>
      <c r="J69" s="25" t="str">
        <f>IF($Q69="","",INDEX(TRANSACTIONS_MASTER!$O$5:$O$1204,$Q69))</f>
        <v/>
      </c>
      <c r="K69" s="26" t="str">
        <f>IF($Q69="","",INDEX(TRANSACTIONS_MASTER!$Q$5:$Q$1204,$Q69))</f>
        <v/>
      </c>
      <c r="L69" s="25" t="str">
        <f>IF($Q69="","",INDEX(TRANSACTIONS_MASTER!$P$5:$P$1204,$Q69))</f>
        <v/>
      </c>
      <c r="M69" s="25" t="str">
        <f>IF($Q69="","",INDEX(TRANSACTIONS_MASTER!$AA$5:$AA$1204,$Q69))</f>
        <v/>
      </c>
      <c r="N69" s="25" t="str">
        <f>IF($Q69="","",INDEX(TRANSACTIONS_MASTER!$R$5:$R$1204,$Q69))</f>
        <v/>
      </c>
      <c r="O69" s="28" t="str">
        <f>IF($Q69="","",INDEX(TRANSACTIONS_MASTER!$AB$5:$AB$1204,$Q69))</f>
        <v/>
      </c>
      <c r="P69" s="55" t="str">
        <f>IF($Q69="","",INDEX(TRANSACTIONS_MASTER!$Z$5:$Z$1204,$Q69)&amp;"")</f>
        <v/>
      </c>
      <c r="Q69" s="67" t="str">
        <f>IFERROR(MATCH($C$2&amp;"|"&amp;62,TRANSACTIONS_MASTER!$AE$5:$AE$1204,0),"")</f>
        <v/>
      </c>
      <c r="S69" s="67" t="n">
        <v>8</v>
      </c>
      <c r="T69" s="55" t="str">
        <f>IF(CARDS!$A12="","",CARDS!$A12)</f>
        <v/>
      </c>
      <c r="U69" s="55" t="str">
        <f>IF($T69="","",CARDS!$B12&amp;" "&amp;CARDS!$C12)</f>
        <v/>
      </c>
      <c r="V69" s="25" t="str">
        <f>IF($T69="","",SUMIFS(TRANSACTIONS_MASTER!$L$5:$L$1204,TRANSACTIONS_MASTER!$D$5:$D$1204,$T69,TRANSACTIONS_MASTER!$C$5:$C$1204,$C$2,TRANSACTIONS_MASTER!$U$5:$U$1204,"&lt;&gt;Cancelled"))</f>
        <v/>
      </c>
      <c r="W69" s="26" t="str">
        <f>IF($T69="","",SUMIFS(TRANSACTIONS_MASTER!$Q$5:$Q$1204,TRANSACTIONS_MASTER!$D$5:$D$1204,$T69,TRANSACTIONS_MASTER!$C$5:$C$1204,$C$2))</f>
        <v/>
      </c>
      <c r="X69" s="25" t="str">
        <f>IF($T69="","",IFERROR(IF(ISNUMBER(INDEX(CASHBACK_RULES!$K$5:$K$304,MATCH($T69,CASHBACK_RULES!$B$5:$B$304,0))),INDEX(CASHBACK_RULES!$K$5:$K$304,MATCH($T69,CASHBACK_RULES!$B$5:$B$304,0)),"∞"),"—"))</f>
        <v/>
      </c>
      <c r="Y69" s="25" t="str">
        <f>IF($T69="","",IF($X69="—","—",IF(COUNTIFS($T$8:$T$57,$T69,$Z$8:$Z$57,"∞")&gt;0,IF(ISNUMBER($X69),MAX(0,$X69-$W69),"∞"),IF(ISNUMBER($X69),MAX(0,MIN($X69-$W69,SUMIFS($Z$8:$Z$57,$T$8:$T$57,$T69))),SUMIFS($Z$8:$Z$57,$T$8:$T$57,$T69)))))</f>
        <v/>
      </c>
      <c r="Z69" s="27" t="str">
        <f>IF($T69="","",IF(ISNUMBER($X69),IF($X69=0,0,$W69/$X69),IF(ISNUMBER($Y69),IF($W69+$Y69=0,0,$W69/($W69+$Y69)),"")))</f>
        <v/>
      </c>
      <c r="AA69" s="29" t="str">
        <f>IF($T69="","",COUNTIFS(TRANSACTIONS_MASTER!$D$5:$D$1204,$T69,TRANSACTIONS_MASTER!$C$5:$C$1204,$C$2,TRANSACTIONS_MASTER!$U$5:$U$1204,"&lt;&gt;Cancelled"))</f>
        <v/>
      </c>
    </row>
    <row r="70">
      <c r="A70" s="81" t="str">
        <f>IF($Q70="","",63)</f>
        <v/>
      </c>
      <c r="B70" s="57" t="str">
        <f>IF($Q70="","",INDEX(TRANSACTIONS_MASTER!$B$5:$B$1204,$Q70))</f>
        <v/>
      </c>
      <c r="C70" s="55" t="str">
        <f>IF($Q70="","",INDEX(TRANSACTIONS_MASTER!$F$5:$F$1204,$Q70))</f>
        <v/>
      </c>
      <c r="D70" s="55" t="str">
        <f>IF($Q70="","",INDEX(TRANSACTIONS_MASTER!$E$5:$E$1204,$Q70))</f>
        <v/>
      </c>
      <c r="E70" s="55" t="str">
        <f>IF($Q70="","",INDEX(TRANSACTIONS_MASTER!$G$5:$G$1204,$Q70)&amp;"")</f>
        <v/>
      </c>
      <c r="F70" s="29" t="str">
        <f>IF($Q70="","",INDEX(TRANSACTIONS_MASTER!$I$5:$I$1204,$Q70))</f>
        <v/>
      </c>
      <c r="G70" s="55" t="str">
        <f>IF($Q70="","",INDEX(TRANSACTIONS_MASTER!$K$5:$K$1204,$Q70))</f>
        <v/>
      </c>
      <c r="H70" s="25" t="str">
        <f>IF($Q70="","",INDEX(TRANSACTIONS_MASTER!$L$5:$L$1204,$Q70))</f>
        <v/>
      </c>
      <c r="I70" s="56" t="str">
        <f>IF($Q70="","",INDEX(TRANSACTIONS_MASTER!$N$5:$N$1204,$Q70))</f>
        <v/>
      </c>
      <c r="J70" s="25" t="str">
        <f>IF($Q70="","",INDEX(TRANSACTIONS_MASTER!$O$5:$O$1204,$Q70))</f>
        <v/>
      </c>
      <c r="K70" s="26" t="str">
        <f>IF($Q70="","",INDEX(TRANSACTIONS_MASTER!$Q$5:$Q$1204,$Q70))</f>
        <v/>
      </c>
      <c r="L70" s="25" t="str">
        <f>IF($Q70="","",INDEX(TRANSACTIONS_MASTER!$P$5:$P$1204,$Q70))</f>
        <v/>
      </c>
      <c r="M70" s="25" t="str">
        <f>IF($Q70="","",INDEX(TRANSACTIONS_MASTER!$AA$5:$AA$1204,$Q70))</f>
        <v/>
      </c>
      <c r="N70" s="25" t="str">
        <f>IF($Q70="","",INDEX(TRANSACTIONS_MASTER!$R$5:$R$1204,$Q70))</f>
        <v/>
      </c>
      <c r="O70" s="28" t="str">
        <f>IF($Q70="","",INDEX(TRANSACTIONS_MASTER!$AB$5:$AB$1204,$Q70))</f>
        <v/>
      </c>
      <c r="P70" s="55" t="str">
        <f>IF($Q70="","",INDEX(TRANSACTIONS_MASTER!$Z$5:$Z$1204,$Q70)&amp;"")</f>
        <v/>
      </c>
      <c r="Q70" s="67" t="str">
        <f>IFERROR(MATCH($C$2&amp;"|"&amp;63,TRANSACTIONS_MASTER!$AE$5:$AE$1204,0),"")</f>
        <v/>
      </c>
      <c r="S70" s="67" t="n">
        <v>9</v>
      </c>
      <c r="T70" s="55" t="str">
        <f>IF(CARDS!$A13="","",CARDS!$A13)</f>
        <v/>
      </c>
      <c r="U70" s="55" t="str">
        <f>IF($T70="","",CARDS!$B13&amp;" "&amp;CARDS!$C13)</f>
        <v/>
      </c>
      <c r="V70" s="25" t="str">
        <f>IF($T70="","",SUMIFS(TRANSACTIONS_MASTER!$L$5:$L$1204,TRANSACTIONS_MASTER!$D$5:$D$1204,$T70,TRANSACTIONS_MASTER!$C$5:$C$1204,$C$2,TRANSACTIONS_MASTER!$U$5:$U$1204,"&lt;&gt;Cancelled"))</f>
        <v/>
      </c>
      <c r="W70" s="26" t="str">
        <f>IF($T70="","",SUMIFS(TRANSACTIONS_MASTER!$Q$5:$Q$1204,TRANSACTIONS_MASTER!$D$5:$D$1204,$T70,TRANSACTIONS_MASTER!$C$5:$C$1204,$C$2))</f>
        <v/>
      </c>
      <c r="X70" s="25" t="str">
        <f>IF($T70="","",IFERROR(IF(ISNUMBER(INDEX(CASHBACK_RULES!$K$5:$K$304,MATCH($T70,CASHBACK_RULES!$B$5:$B$304,0))),INDEX(CASHBACK_RULES!$K$5:$K$304,MATCH($T70,CASHBACK_RULES!$B$5:$B$304,0)),"∞"),"—"))</f>
        <v/>
      </c>
      <c r="Y70" s="25" t="str">
        <f>IF($T70="","",IF($X70="—","—",IF(COUNTIFS($T$8:$T$57,$T70,$Z$8:$Z$57,"∞")&gt;0,IF(ISNUMBER($X70),MAX(0,$X70-$W70),"∞"),IF(ISNUMBER($X70),MAX(0,MIN($X70-$W70,SUMIFS($Z$8:$Z$57,$T$8:$T$57,$T70))),SUMIFS($Z$8:$Z$57,$T$8:$T$57,$T70)))))</f>
        <v/>
      </c>
      <c r="Z70" s="27" t="str">
        <f>IF($T70="","",IF(ISNUMBER($X70),IF($X70=0,0,$W70/$X70),IF(ISNUMBER($Y70),IF($W70+$Y70=0,0,$W70/($W70+$Y70)),"")))</f>
        <v/>
      </c>
      <c r="AA70" s="29" t="str">
        <f>IF($T70="","",COUNTIFS(TRANSACTIONS_MASTER!$D$5:$D$1204,$T70,TRANSACTIONS_MASTER!$C$5:$C$1204,$C$2,TRANSACTIONS_MASTER!$U$5:$U$1204,"&lt;&gt;Cancelled"))</f>
        <v/>
      </c>
    </row>
    <row r="71">
      <c r="A71" s="81" t="str">
        <f>IF($Q71="","",64)</f>
        <v/>
      </c>
      <c r="B71" s="57" t="str">
        <f>IF($Q71="","",INDEX(TRANSACTIONS_MASTER!$B$5:$B$1204,$Q71))</f>
        <v/>
      </c>
      <c r="C71" s="55" t="str">
        <f>IF($Q71="","",INDEX(TRANSACTIONS_MASTER!$F$5:$F$1204,$Q71))</f>
        <v/>
      </c>
      <c r="D71" s="55" t="str">
        <f>IF($Q71="","",INDEX(TRANSACTIONS_MASTER!$E$5:$E$1204,$Q71))</f>
        <v/>
      </c>
      <c r="E71" s="55" t="str">
        <f>IF($Q71="","",INDEX(TRANSACTIONS_MASTER!$G$5:$G$1204,$Q71)&amp;"")</f>
        <v/>
      </c>
      <c r="F71" s="29" t="str">
        <f>IF($Q71="","",INDEX(TRANSACTIONS_MASTER!$I$5:$I$1204,$Q71))</f>
        <v/>
      </c>
      <c r="G71" s="55" t="str">
        <f>IF($Q71="","",INDEX(TRANSACTIONS_MASTER!$K$5:$K$1204,$Q71))</f>
        <v/>
      </c>
      <c r="H71" s="25" t="str">
        <f>IF($Q71="","",INDEX(TRANSACTIONS_MASTER!$L$5:$L$1204,$Q71))</f>
        <v/>
      </c>
      <c r="I71" s="56" t="str">
        <f>IF($Q71="","",INDEX(TRANSACTIONS_MASTER!$N$5:$N$1204,$Q71))</f>
        <v/>
      </c>
      <c r="J71" s="25" t="str">
        <f>IF($Q71="","",INDEX(TRANSACTIONS_MASTER!$O$5:$O$1204,$Q71))</f>
        <v/>
      </c>
      <c r="K71" s="26" t="str">
        <f>IF($Q71="","",INDEX(TRANSACTIONS_MASTER!$Q$5:$Q$1204,$Q71))</f>
        <v/>
      </c>
      <c r="L71" s="25" t="str">
        <f>IF($Q71="","",INDEX(TRANSACTIONS_MASTER!$P$5:$P$1204,$Q71))</f>
        <v/>
      </c>
      <c r="M71" s="25" t="str">
        <f>IF($Q71="","",INDEX(TRANSACTIONS_MASTER!$AA$5:$AA$1204,$Q71))</f>
        <v/>
      </c>
      <c r="N71" s="25" t="str">
        <f>IF($Q71="","",INDEX(TRANSACTIONS_MASTER!$R$5:$R$1204,$Q71))</f>
        <v/>
      </c>
      <c r="O71" s="28" t="str">
        <f>IF($Q71="","",INDEX(TRANSACTIONS_MASTER!$AB$5:$AB$1204,$Q71))</f>
        <v/>
      </c>
      <c r="P71" s="55" t="str">
        <f>IF($Q71="","",INDEX(TRANSACTIONS_MASTER!$Z$5:$Z$1204,$Q71)&amp;"")</f>
        <v/>
      </c>
      <c r="Q71" s="67" t="str">
        <f>IFERROR(MATCH($C$2&amp;"|"&amp;64,TRANSACTIONS_MASTER!$AE$5:$AE$1204,0),"")</f>
        <v/>
      </c>
      <c r="S71" s="67" t="n">
        <v>10</v>
      </c>
      <c r="T71" s="55" t="str">
        <f>IF(CARDS!$A14="","",CARDS!$A14)</f>
        <v/>
      </c>
      <c r="U71" s="55" t="str">
        <f>IF($T71="","",CARDS!$B14&amp;" "&amp;CARDS!$C14)</f>
        <v/>
      </c>
      <c r="V71" s="25" t="str">
        <f>IF($T71="","",SUMIFS(TRANSACTIONS_MASTER!$L$5:$L$1204,TRANSACTIONS_MASTER!$D$5:$D$1204,$T71,TRANSACTIONS_MASTER!$C$5:$C$1204,$C$2,TRANSACTIONS_MASTER!$U$5:$U$1204,"&lt;&gt;Cancelled"))</f>
        <v/>
      </c>
      <c r="W71" s="26" t="str">
        <f>IF($T71="","",SUMIFS(TRANSACTIONS_MASTER!$Q$5:$Q$1204,TRANSACTIONS_MASTER!$D$5:$D$1204,$T71,TRANSACTIONS_MASTER!$C$5:$C$1204,$C$2))</f>
        <v/>
      </c>
      <c r="X71" s="25" t="str">
        <f>IF($T71="","",IFERROR(IF(ISNUMBER(INDEX(CASHBACK_RULES!$K$5:$K$304,MATCH($T71,CASHBACK_RULES!$B$5:$B$304,0))),INDEX(CASHBACK_RULES!$K$5:$K$304,MATCH($T71,CASHBACK_RULES!$B$5:$B$304,0)),"∞"),"—"))</f>
        <v/>
      </c>
      <c r="Y71" s="25" t="str">
        <f>IF($T71="","",IF($X71="—","—",IF(COUNTIFS($T$8:$T$57,$T71,$Z$8:$Z$57,"∞")&gt;0,IF(ISNUMBER($X71),MAX(0,$X71-$W71),"∞"),IF(ISNUMBER($X71),MAX(0,MIN($X71-$W71,SUMIFS($Z$8:$Z$57,$T$8:$T$57,$T71))),SUMIFS($Z$8:$Z$57,$T$8:$T$57,$T71)))))</f>
        <v/>
      </c>
      <c r="Z71" s="27" t="str">
        <f>IF($T71="","",IF(ISNUMBER($X71),IF($X71=0,0,$W71/$X71),IF(ISNUMBER($Y71),IF($W71+$Y71=0,0,$W71/($W71+$Y71)),"")))</f>
        <v/>
      </c>
      <c r="AA71" s="29" t="str">
        <f>IF($T71="","",COUNTIFS(TRANSACTIONS_MASTER!$D$5:$D$1204,$T71,TRANSACTIONS_MASTER!$C$5:$C$1204,$C$2,TRANSACTIONS_MASTER!$U$5:$U$1204,"&lt;&gt;Cancelled"))</f>
        <v/>
      </c>
    </row>
    <row r="72">
      <c r="A72" s="81" t="str">
        <f>IF($Q72="","",65)</f>
        <v/>
      </c>
      <c r="B72" s="57" t="str">
        <f>IF($Q72="","",INDEX(TRANSACTIONS_MASTER!$B$5:$B$1204,$Q72))</f>
        <v/>
      </c>
      <c r="C72" s="55" t="str">
        <f>IF($Q72="","",INDEX(TRANSACTIONS_MASTER!$F$5:$F$1204,$Q72))</f>
        <v/>
      </c>
      <c r="D72" s="55" t="str">
        <f>IF($Q72="","",INDEX(TRANSACTIONS_MASTER!$E$5:$E$1204,$Q72))</f>
        <v/>
      </c>
      <c r="E72" s="55" t="str">
        <f>IF($Q72="","",INDEX(TRANSACTIONS_MASTER!$G$5:$G$1204,$Q72)&amp;"")</f>
        <v/>
      </c>
      <c r="F72" s="29" t="str">
        <f>IF($Q72="","",INDEX(TRANSACTIONS_MASTER!$I$5:$I$1204,$Q72))</f>
        <v/>
      </c>
      <c r="G72" s="55" t="str">
        <f>IF($Q72="","",INDEX(TRANSACTIONS_MASTER!$K$5:$K$1204,$Q72))</f>
        <v/>
      </c>
      <c r="H72" s="25" t="str">
        <f>IF($Q72="","",INDEX(TRANSACTIONS_MASTER!$L$5:$L$1204,$Q72))</f>
        <v/>
      </c>
      <c r="I72" s="56" t="str">
        <f>IF($Q72="","",INDEX(TRANSACTIONS_MASTER!$N$5:$N$1204,$Q72))</f>
        <v/>
      </c>
      <c r="J72" s="25" t="str">
        <f>IF($Q72="","",INDEX(TRANSACTIONS_MASTER!$O$5:$O$1204,$Q72))</f>
        <v/>
      </c>
      <c r="K72" s="26" t="str">
        <f>IF($Q72="","",INDEX(TRANSACTIONS_MASTER!$Q$5:$Q$1204,$Q72))</f>
        <v/>
      </c>
      <c r="L72" s="25" t="str">
        <f>IF($Q72="","",INDEX(TRANSACTIONS_MASTER!$P$5:$P$1204,$Q72))</f>
        <v/>
      </c>
      <c r="M72" s="25" t="str">
        <f>IF($Q72="","",INDEX(TRANSACTIONS_MASTER!$AA$5:$AA$1204,$Q72))</f>
        <v/>
      </c>
      <c r="N72" s="25" t="str">
        <f>IF($Q72="","",INDEX(TRANSACTIONS_MASTER!$R$5:$R$1204,$Q72))</f>
        <v/>
      </c>
      <c r="O72" s="28" t="str">
        <f>IF($Q72="","",INDEX(TRANSACTIONS_MASTER!$AB$5:$AB$1204,$Q72))</f>
        <v/>
      </c>
      <c r="P72" s="55" t="str">
        <f>IF($Q72="","",INDEX(TRANSACTIONS_MASTER!$Z$5:$Z$1204,$Q72)&amp;"")</f>
        <v/>
      </c>
      <c r="Q72" s="67" t="str">
        <f>IFERROR(MATCH($C$2&amp;"|"&amp;65,TRANSACTIONS_MASTER!$AE$5:$AE$1204,0),"")</f>
        <v/>
      </c>
      <c r="S72" s="67" t="n">
        <v>11</v>
      </c>
      <c r="T72" s="55" t="str">
        <f>IF(CARDS!$A15="","",CARDS!$A15)</f>
        <v/>
      </c>
      <c r="U72" s="55" t="str">
        <f>IF($T72="","",CARDS!$B15&amp;" "&amp;CARDS!$C15)</f>
        <v/>
      </c>
      <c r="V72" s="25" t="str">
        <f>IF($T72="","",SUMIFS(TRANSACTIONS_MASTER!$L$5:$L$1204,TRANSACTIONS_MASTER!$D$5:$D$1204,$T72,TRANSACTIONS_MASTER!$C$5:$C$1204,$C$2,TRANSACTIONS_MASTER!$U$5:$U$1204,"&lt;&gt;Cancelled"))</f>
        <v/>
      </c>
      <c r="W72" s="26" t="str">
        <f>IF($T72="","",SUMIFS(TRANSACTIONS_MASTER!$Q$5:$Q$1204,TRANSACTIONS_MASTER!$D$5:$D$1204,$T72,TRANSACTIONS_MASTER!$C$5:$C$1204,$C$2))</f>
        <v/>
      </c>
      <c r="X72" s="25" t="str">
        <f>IF($T72="","",IFERROR(IF(ISNUMBER(INDEX(CASHBACK_RULES!$K$5:$K$304,MATCH($T72,CASHBACK_RULES!$B$5:$B$304,0))),INDEX(CASHBACK_RULES!$K$5:$K$304,MATCH($T72,CASHBACK_RULES!$B$5:$B$304,0)),"∞"),"—"))</f>
        <v/>
      </c>
      <c r="Y72" s="25" t="str">
        <f>IF($T72="","",IF($X72="—","—",IF(COUNTIFS($T$8:$T$57,$T72,$Z$8:$Z$57,"∞")&gt;0,IF(ISNUMBER($X72),MAX(0,$X72-$W72),"∞"),IF(ISNUMBER($X72),MAX(0,MIN($X72-$W72,SUMIFS($Z$8:$Z$57,$T$8:$T$57,$T72))),SUMIFS($Z$8:$Z$57,$T$8:$T$57,$T72)))))</f>
        <v/>
      </c>
      <c r="Z72" s="27" t="str">
        <f>IF($T72="","",IF(ISNUMBER($X72),IF($X72=0,0,$W72/$X72),IF(ISNUMBER($Y72),IF($W72+$Y72=0,0,$W72/($W72+$Y72)),"")))</f>
        <v/>
      </c>
      <c r="AA72" s="29" t="str">
        <f>IF($T72="","",COUNTIFS(TRANSACTIONS_MASTER!$D$5:$D$1204,$T72,TRANSACTIONS_MASTER!$C$5:$C$1204,$C$2,TRANSACTIONS_MASTER!$U$5:$U$1204,"&lt;&gt;Cancelled"))</f>
        <v/>
      </c>
    </row>
    <row r="73">
      <c r="A73" s="81" t="str">
        <f>IF($Q73="","",66)</f>
        <v/>
      </c>
      <c r="B73" s="57" t="str">
        <f>IF($Q73="","",INDEX(TRANSACTIONS_MASTER!$B$5:$B$1204,$Q73))</f>
        <v/>
      </c>
      <c r="C73" s="55" t="str">
        <f>IF($Q73="","",INDEX(TRANSACTIONS_MASTER!$F$5:$F$1204,$Q73))</f>
        <v/>
      </c>
      <c r="D73" s="55" t="str">
        <f>IF($Q73="","",INDEX(TRANSACTIONS_MASTER!$E$5:$E$1204,$Q73))</f>
        <v/>
      </c>
      <c r="E73" s="55" t="str">
        <f>IF($Q73="","",INDEX(TRANSACTIONS_MASTER!$G$5:$G$1204,$Q73)&amp;"")</f>
        <v/>
      </c>
      <c r="F73" s="29" t="str">
        <f>IF($Q73="","",INDEX(TRANSACTIONS_MASTER!$I$5:$I$1204,$Q73))</f>
        <v/>
      </c>
      <c r="G73" s="55" t="str">
        <f>IF($Q73="","",INDEX(TRANSACTIONS_MASTER!$K$5:$K$1204,$Q73))</f>
        <v/>
      </c>
      <c r="H73" s="25" t="str">
        <f>IF($Q73="","",INDEX(TRANSACTIONS_MASTER!$L$5:$L$1204,$Q73))</f>
        <v/>
      </c>
      <c r="I73" s="56" t="str">
        <f>IF($Q73="","",INDEX(TRANSACTIONS_MASTER!$N$5:$N$1204,$Q73))</f>
        <v/>
      </c>
      <c r="J73" s="25" t="str">
        <f>IF($Q73="","",INDEX(TRANSACTIONS_MASTER!$O$5:$O$1204,$Q73))</f>
        <v/>
      </c>
      <c r="K73" s="26" t="str">
        <f>IF($Q73="","",INDEX(TRANSACTIONS_MASTER!$Q$5:$Q$1204,$Q73))</f>
        <v/>
      </c>
      <c r="L73" s="25" t="str">
        <f>IF($Q73="","",INDEX(TRANSACTIONS_MASTER!$P$5:$P$1204,$Q73))</f>
        <v/>
      </c>
      <c r="M73" s="25" t="str">
        <f>IF($Q73="","",INDEX(TRANSACTIONS_MASTER!$AA$5:$AA$1204,$Q73))</f>
        <v/>
      </c>
      <c r="N73" s="25" t="str">
        <f>IF($Q73="","",INDEX(TRANSACTIONS_MASTER!$R$5:$R$1204,$Q73))</f>
        <v/>
      </c>
      <c r="O73" s="28" t="str">
        <f>IF($Q73="","",INDEX(TRANSACTIONS_MASTER!$AB$5:$AB$1204,$Q73))</f>
        <v/>
      </c>
      <c r="P73" s="55" t="str">
        <f>IF($Q73="","",INDEX(TRANSACTIONS_MASTER!$Z$5:$Z$1204,$Q73)&amp;"")</f>
        <v/>
      </c>
      <c r="Q73" s="67" t="str">
        <f>IFERROR(MATCH($C$2&amp;"|"&amp;66,TRANSACTIONS_MASTER!$AE$5:$AE$1204,0),"")</f>
        <v/>
      </c>
      <c r="S73" s="67" t="n">
        <v>12</v>
      </c>
      <c r="T73" s="55" t="str">
        <f>IF(CARDS!$A16="","",CARDS!$A16)</f>
        <v/>
      </c>
      <c r="U73" s="55" t="str">
        <f>IF($T73="","",CARDS!$B16&amp;" "&amp;CARDS!$C16)</f>
        <v/>
      </c>
      <c r="V73" s="25" t="str">
        <f>IF($T73="","",SUMIFS(TRANSACTIONS_MASTER!$L$5:$L$1204,TRANSACTIONS_MASTER!$D$5:$D$1204,$T73,TRANSACTIONS_MASTER!$C$5:$C$1204,$C$2,TRANSACTIONS_MASTER!$U$5:$U$1204,"&lt;&gt;Cancelled"))</f>
        <v/>
      </c>
      <c r="W73" s="26" t="str">
        <f>IF($T73="","",SUMIFS(TRANSACTIONS_MASTER!$Q$5:$Q$1204,TRANSACTIONS_MASTER!$D$5:$D$1204,$T73,TRANSACTIONS_MASTER!$C$5:$C$1204,$C$2))</f>
        <v/>
      </c>
      <c r="X73" s="25" t="str">
        <f>IF($T73="","",IFERROR(IF(ISNUMBER(INDEX(CASHBACK_RULES!$K$5:$K$304,MATCH($T73,CASHBACK_RULES!$B$5:$B$304,0))),INDEX(CASHBACK_RULES!$K$5:$K$304,MATCH($T73,CASHBACK_RULES!$B$5:$B$304,0)),"∞"),"—"))</f>
        <v/>
      </c>
      <c r="Y73" s="25" t="str">
        <f>IF($T73="","",IF($X73="—","—",IF(COUNTIFS($T$8:$T$57,$T73,$Z$8:$Z$57,"∞")&gt;0,IF(ISNUMBER($X73),MAX(0,$X73-$W73),"∞"),IF(ISNUMBER($X73),MAX(0,MIN($X73-$W73,SUMIFS($Z$8:$Z$57,$T$8:$T$57,$T73))),SUMIFS($Z$8:$Z$57,$T$8:$T$57,$T73)))))</f>
        <v/>
      </c>
      <c r="Z73" s="27" t="str">
        <f>IF($T73="","",IF(ISNUMBER($X73),IF($X73=0,0,$W73/$X73),IF(ISNUMBER($Y73),IF($W73+$Y73=0,0,$W73/($W73+$Y73)),"")))</f>
        <v/>
      </c>
      <c r="AA73" s="29" t="str">
        <f>IF($T73="","",COUNTIFS(TRANSACTIONS_MASTER!$D$5:$D$1204,$T73,TRANSACTIONS_MASTER!$C$5:$C$1204,$C$2,TRANSACTIONS_MASTER!$U$5:$U$1204,"&lt;&gt;Cancelled"))</f>
        <v/>
      </c>
    </row>
    <row r="74">
      <c r="A74" s="81" t="str">
        <f>IF($Q74="","",67)</f>
        <v/>
      </c>
      <c r="B74" s="57" t="str">
        <f>IF($Q74="","",INDEX(TRANSACTIONS_MASTER!$B$5:$B$1204,$Q74))</f>
        <v/>
      </c>
      <c r="C74" s="55" t="str">
        <f>IF($Q74="","",INDEX(TRANSACTIONS_MASTER!$F$5:$F$1204,$Q74))</f>
        <v/>
      </c>
      <c r="D74" s="55" t="str">
        <f>IF($Q74="","",INDEX(TRANSACTIONS_MASTER!$E$5:$E$1204,$Q74))</f>
        <v/>
      </c>
      <c r="E74" s="55" t="str">
        <f>IF($Q74="","",INDEX(TRANSACTIONS_MASTER!$G$5:$G$1204,$Q74)&amp;"")</f>
        <v/>
      </c>
      <c r="F74" s="29" t="str">
        <f>IF($Q74="","",INDEX(TRANSACTIONS_MASTER!$I$5:$I$1204,$Q74))</f>
        <v/>
      </c>
      <c r="G74" s="55" t="str">
        <f>IF($Q74="","",INDEX(TRANSACTIONS_MASTER!$K$5:$K$1204,$Q74))</f>
        <v/>
      </c>
      <c r="H74" s="25" t="str">
        <f>IF($Q74="","",INDEX(TRANSACTIONS_MASTER!$L$5:$L$1204,$Q74))</f>
        <v/>
      </c>
      <c r="I74" s="56" t="str">
        <f>IF($Q74="","",INDEX(TRANSACTIONS_MASTER!$N$5:$N$1204,$Q74))</f>
        <v/>
      </c>
      <c r="J74" s="25" t="str">
        <f>IF($Q74="","",INDEX(TRANSACTIONS_MASTER!$O$5:$O$1204,$Q74))</f>
        <v/>
      </c>
      <c r="K74" s="26" t="str">
        <f>IF($Q74="","",INDEX(TRANSACTIONS_MASTER!$Q$5:$Q$1204,$Q74))</f>
        <v/>
      </c>
      <c r="L74" s="25" t="str">
        <f>IF($Q74="","",INDEX(TRANSACTIONS_MASTER!$P$5:$P$1204,$Q74))</f>
        <v/>
      </c>
      <c r="M74" s="25" t="str">
        <f>IF($Q74="","",INDEX(TRANSACTIONS_MASTER!$AA$5:$AA$1204,$Q74))</f>
        <v/>
      </c>
      <c r="N74" s="25" t="str">
        <f>IF($Q74="","",INDEX(TRANSACTIONS_MASTER!$R$5:$R$1204,$Q74))</f>
        <v/>
      </c>
      <c r="O74" s="28" t="str">
        <f>IF($Q74="","",INDEX(TRANSACTIONS_MASTER!$AB$5:$AB$1204,$Q74))</f>
        <v/>
      </c>
      <c r="P74" s="55" t="str">
        <f>IF($Q74="","",INDEX(TRANSACTIONS_MASTER!$Z$5:$Z$1204,$Q74)&amp;"")</f>
        <v/>
      </c>
      <c r="Q74" s="67" t="str">
        <f>IFERROR(MATCH($C$2&amp;"|"&amp;67,TRANSACTIONS_MASTER!$AE$5:$AE$1204,0),"")</f>
        <v/>
      </c>
      <c r="S74" s="67" t="n">
        <v>13</v>
      </c>
      <c r="T74" s="55" t="str">
        <f>IF(CARDS!$A17="","",CARDS!$A17)</f>
        <v/>
      </c>
      <c r="U74" s="55" t="str">
        <f>IF($T74="","",CARDS!$B17&amp;" "&amp;CARDS!$C17)</f>
        <v/>
      </c>
      <c r="V74" s="25" t="str">
        <f>IF($T74="","",SUMIFS(TRANSACTIONS_MASTER!$L$5:$L$1204,TRANSACTIONS_MASTER!$D$5:$D$1204,$T74,TRANSACTIONS_MASTER!$C$5:$C$1204,$C$2,TRANSACTIONS_MASTER!$U$5:$U$1204,"&lt;&gt;Cancelled"))</f>
        <v/>
      </c>
      <c r="W74" s="26" t="str">
        <f>IF($T74="","",SUMIFS(TRANSACTIONS_MASTER!$Q$5:$Q$1204,TRANSACTIONS_MASTER!$D$5:$D$1204,$T74,TRANSACTIONS_MASTER!$C$5:$C$1204,$C$2))</f>
        <v/>
      </c>
      <c r="X74" s="25" t="str">
        <f>IF($T74="","",IFERROR(IF(ISNUMBER(INDEX(CASHBACK_RULES!$K$5:$K$304,MATCH($T74,CASHBACK_RULES!$B$5:$B$304,0))),INDEX(CASHBACK_RULES!$K$5:$K$304,MATCH($T74,CASHBACK_RULES!$B$5:$B$304,0)),"∞"),"—"))</f>
        <v/>
      </c>
      <c r="Y74" s="25" t="str">
        <f>IF($T74="","",IF($X74="—","—",IF(COUNTIFS($T$8:$T$57,$T74,$Z$8:$Z$57,"∞")&gt;0,IF(ISNUMBER($X74),MAX(0,$X74-$W74),"∞"),IF(ISNUMBER($X74),MAX(0,MIN($X74-$W74,SUMIFS($Z$8:$Z$57,$T$8:$T$57,$T74))),SUMIFS($Z$8:$Z$57,$T$8:$T$57,$T74)))))</f>
        <v/>
      </c>
      <c r="Z74" s="27" t="str">
        <f>IF($T74="","",IF(ISNUMBER($X74),IF($X74=0,0,$W74/$X74),IF(ISNUMBER($Y74),IF($W74+$Y74=0,0,$W74/($W74+$Y74)),"")))</f>
        <v/>
      </c>
      <c r="AA74" s="29" t="str">
        <f>IF($T74="","",COUNTIFS(TRANSACTIONS_MASTER!$D$5:$D$1204,$T74,TRANSACTIONS_MASTER!$C$5:$C$1204,$C$2,TRANSACTIONS_MASTER!$U$5:$U$1204,"&lt;&gt;Cancelled"))</f>
        <v/>
      </c>
    </row>
    <row r="75">
      <c r="A75" s="81" t="str">
        <f>IF($Q75="","",68)</f>
        <v/>
      </c>
      <c r="B75" s="57" t="str">
        <f>IF($Q75="","",INDEX(TRANSACTIONS_MASTER!$B$5:$B$1204,$Q75))</f>
        <v/>
      </c>
      <c r="C75" s="55" t="str">
        <f>IF($Q75="","",INDEX(TRANSACTIONS_MASTER!$F$5:$F$1204,$Q75))</f>
        <v/>
      </c>
      <c r="D75" s="55" t="str">
        <f>IF($Q75="","",INDEX(TRANSACTIONS_MASTER!$E$5:$E$1204,$Q75))</f>
        <v/>
      </c>
      <c r="E75" s="55" t="str">
        <f>IF($Q75="","",INDEX(TRANSACTIONS_MASTER!$G$5:$G$1204,$Q75)&amp;"")</f>
        <v/>
      </c>
      <c r="F75" s="29" t="str">
        <f>IF($Q75="","",INDEX(TRANSACTIONS_MASTER!$I$5:$I$1204,$Q75))</f>
        <v/>
      </c>
      <c r="G75" s="55" t="str">
        <f>IF($Q75="","",INDEX(TRANSACTIONS_MASTER!$K$5:$K$1204,$Q75))</f>
        <v/>
      </c>
      <c r="H75" s="25" t="str">
        <f>IF($Q75="","",INDEX(TRANSACTIONS_MASTER!$L$5:$L$1204,$Q75))</f>
        <v/>
      </c>
      <c r="I75" s="56" t="str">
        <f>IF($Q75="","",INDEX(TRANSACTIONS_MASTER!$N$5:$N$1204,$Q75))</f>
        <v/>
      </c>
      <c r="J75" s="25" t="str">
        <f>IF($Q75="","",INDEX(TRANSACTIONS_MASTER!$O$5:$O$1204,$Q75))</f>
        <v/>
      </c>
      <c r="K75" s="26" t="str">
        <f>IF($Q75="","",INDEX(TRANSACTIONS_MASTER!$Q$5:$Q$1204,$Q75))</f>
        <v/>
      </c>
      <c r="L75" s="25" t="str">
        <f>IF($Q75="","",INDEX(TRANSACTIONS_MASTER!$P$5:$P$1204,$Q75))</f>
        <v/>
      </c>
      <c r="M75" s="25" t="str">
        <f>IF($Q75="","",INDEX(TRANSACTIONS_MASTER!$AA$5:$AA$1204,$Q75))</f>
        <v/>
      </c>
      <c r="N75" s="25" t="str">
        <f>IF($Q75="","",INDEX(TRANSACTIONS_MASTER!$R$5:$R$1204,$Q75))</f>
        <v/>
      </c>
      <c r="O75" s="28" t="str">
        <f>IF($Q75="","",INDEX(TRANSACTIONS_MASTER!$AB$5:$AB$1204,$Q75))</f>
        <v/>
      </c>
      <c r="P75" s="55" t="str">
        <f>IF($Q75="","",INDEX(TRANSACTIONS_MASTER!$Z$5:$Z$1204,$Q75)&amp;"")</f>
        <v/>
      </c>
      <c r="Q75" s="67" t="str">
        <f>IFERROR(MATCH($C$2&amp;"|"&amp;68,TRANSACTIONS_MASTER!$AE$5:$AE$1204,0),"")</f>
        <v/>
      </c>
      <c r="S75" s="67" t="n">
        <v>14</v>
      </c>
      <c r="T75" s="55" t="str">
        <f>IF(CARDS!$A18="","",CARDS!$A18)</f>
        <v/>
      </c>
      <c r="U75" s="55" t="str">
        <f>IF($T75="","",CARDS!$B18&amp;" "&amp;CARDS!$C18)</f>
        <v/>
      </c>
      <c r="V75" s="25" t="str">
        <f>IF($T75="","",SUMIFS(TRANSACTIONS_MASTER!$L$5:$L$1204,TRANSACTIONS_MASTER!$D$5:$D$1204,$T75,TRANSACTIONS_MASTER!$C$5:$C$1204,$C$2,TRANSACTIONS_MASTER!$U$5:$U$1204,"&lt;&gt;Cancelled"))</f>
        <v/>
      </c>
      <c r="W75" s="26" t="str">
        <f>IF($T75="","",SUMIFS(TRANSACTIONS_MASTER!$Q$5:$Q$1204,TRANSACTIONS_MASTER!$D$5:$D$1204,$T75,TRANSACTIONS_MASTER!$C$5:$C$1204,$C$2))</f>
        <v/>
      </c>
      <c r="X75" s="25" t="str">
        <f>IF($T75="","",IFERROR(IF(ISNUMBER(INDEX(CASHBACK_RULES!$K$5:$K$304,MATCH($T75,CASHBACK_RULES!$B$5:$B$304,0))),INDEX(CASHBACK_RULES!$K$5:$K$304,MATCH($T75,CASHBACK_RULES!$B$5:$B$304,0)),"∞"),"—"))</f>
        <v/>
      </c>
      <c r="Y75" s="25" t="str">
        <f>IF($T75="","",IF($X75="—","—",IF(COUNTIFS($T$8:$T$57,$T75,$Z$8:$Z$57,"∞")&gt;0,IF(ISNUMBER($X75),MAX(0,$X75-$W75),"∞"),IF(ISNUMBER($X75),MAX(0,MIN($X75-$W75,SUMIFS($Z$8:$Z$57,$T$8:$T$57,$T75))),SUMIFS($Z$8:$Z$57,$T$8:$T$57,$T75)))))</f>
        <v/>
      </c>
      <c r="Z75" s="27" t="str">
        <f>IF($T75="","",IF(ISNUMBER($X75),IF($X75=0,0,$W75/$X75),IF(ISNUMBER($Y75),IF($W75+$Y75=0,0,$W75/($W75+$Y75)),"")))</f>
        <v/>
      </c>
      <c r="AA75" s="29" t="str">
        <f>IF($T75="","",COUNTIFS(TRANSACTIONS_MASTER!$D$5:$D$1204,$T75,TRANSACTIONS_MASTER!$C$5:$C$1204,$C$2,TRANSACTIONS_MASTER!$U$5:$U$1204,"&lt;&gt;Cancelled"))</f>
        <v/>
      </c>
    </row>
    <row r="76">
      <c r="A76" s="81" t="str">
        <f>IF($Q76="","",69)</f>
        <v/>
      </c>
      <c r="B76" s="57" t="str">
        <f>IF($Q76="","",INDEX(TRANSACTIONS_MASTER!$B$5:$B$1204,$Q76))</f>
        <v/>
      </c>
      <c r="C76" s="55" t="str">
        <f>IF($Q76="","",INDEX(TRANSACTIONS_MASTER!$F$5:$F$1204,$Q76))</f>
        <v/>
      </c>
      <c r="D76" s="55" t="str">
        <f>IF($Q76="","",INDEX(TRANSACTIONS_MASTER!$E$5:$E$1204,$Q76))</f>
        <v/>
      </c>
      <c r="E76" s="55" t="str">
        <f>IF($Q76="","",INDEX(TRANSACTIONS_MASTER!$G$5:$G$1204,$Q76)&amp;"")</f>
        <v/>
      </c>
      <c r="F76" s="29" t="str">
        <f>IF($Q76="","",INDEX(TRANSACTIONS_MASTER!$I$5:$I$1204,$Q76))</f>
        <v/>
      </c>
      <c r="G76" s="55" t="str">
        <f>IF($Q76="","",INDEX(TRANSACTIONS_MASTER!$K$5:$K$1204,$Q76))</f>
        <v/>
      </c>
      <c r="H76" s="25" t="str">
        <f>IF($Q76="","",INDEX(TRANSACTIONS_MASTER!$L$5:$L$1204,$Q76))</f>
        <v/>
      </c>
      <c r="I76" s="56" t="str">
        <f>IF($Q76="","",INDEX(TRANSACTIONS_MASTER!$N$5:$N$1204,$Q76))</f>
        <v/>
      </c>
      <c r="J76" s="25" t="str">
        <f>IF($Q76="","",INDEX(TRANSACTIONS_MASTER!$O$5:$O$1204,$Q76))</f>
        <v/>
      </c>
      <c r="K76" s="26" t="str">
        <f>IF($Q76="","",INDEX(TRANSACTIONS_MASTER!$Q$5:$Q$1204,$Q76))</f>
        <v/>
      </c>
      <c r="L76" s="25" t="str">
        <f>IF($Q76="","",INDEX(TRANSACTIONS_MASTER!$P$5:$P$1204,$Q76))</f>
        <v/>
      </c>
      <c r="M76" s="25" t="str">
        <f>IF($Q76="","",INDEX(TRANSACTIONS_MASTER!$AA$5:$AA$1204,$Q76))</f>
        <v/>
      </c>
      <c r="N76" s="25" t="str">
        <f>IF($Q76="","",INDEX(TRANSACTIONS_MASTER!$R$5:$R$1204,$Q76))</f>
        <v/>
      </c>
      <c r="O76" s="28" t="str">
        <f>IF($Q76="","",INDEX(TRANSACTIONS_MASTER!$AB$5:$AB$1204,$Q76))</f>
        <v/>
      </c>
      <c r="P76" s="55" t="str">
        <f>IF($Q76="","",INDEX(TRANSACTIONS_MASTER!$Z$5:$Z$1204,$Q76)&amp;"")</f>
        <v/>
      </c>
      <c r="Q76" s="67" t="str">
        <f>IFERROR(MATCH($C$2&amp;"|"&amp;69,TRANSACTIONS_MASTER!$AE$5:$AE$1204,0),"")</f>
        <v/>
      </c>
      <c r="S76" s="67" t="n">
        <v>15</v>
      </c>
      <c r="T76" s="55" t="str">
        <f>IF(CARDS!$A19="","",CARDS!$A19)</f>
        <v/>
      </c>
      <c r="U76" s="55" t="str">
        <f>IF($T76="","",CARDS!$B19&amp;" "&amp;CARDS!$C19)</f>
        <v/>
      </c>
      <c r="V76" s="25" t="str">
        <f>IF($T76="","",SUMIFS(TRANSACTIONS_MASTER!$L$5:$L$1204,TRANSACTIONS_MASTER!$D$5:$D$1204,$T76,TRANSACTIONS_MASTER!$C$5:$C$1204,$C$2,TRANSACTIONS_MASTER!$U$5:$U$1204,"&lt;&gt;Cancelled"))</f>
        <v/>
      </c>
      <c r="W76" s="26" t="str">
        <f>IF($T76="","",SUMIFS(TRANSACTIONS_MASTER!$Q$5:$Q$1204,TRANSACTIONS_MASTER!$D$5:$D$1204,$T76,TRANSACTIONS_MASTER!$C$5:$C$1204,$C$2))</f>
        <v/>
      </c>
      <c r="X76" s="25" t="str">
        <f>IF($T76="","",IFERROR(IF(ISNUMBER(INDEX(CASHBACK_RULES!$K$5:$K$304,MATCH($T76,CASHBACK_RULES!$B$5:$B$304,0))),INDEX(CASHBACK_RULES!$K$5:$K$304,MATCH($T76,CASHBACK_RULES!$B$5:$B$304,0)),"∞"),"—"))</f>
        <v/>
      </c>
      <c r="Y76" s="25" t="str">
        <f>IF($T76="","",IF($X76="—","—",IF(COUNTIFS($T$8:$T$57,$T76,$Z$8:$Z$57,"∞")&gt;0,IF(ISNUMBER($X76),MAX(0,$X76-$W76),"∞"),IF(ISNUMBER($X76),MAX(0,MIN($X76-$W76,SUMIFS($Z$8:$Z$57,$T$8:$T$57,$T76))),SUMIFS($Z$8:$Z$57,$T$8:$T$57,$T76)))))</f>
        <v/>
      </c>
      <c r="Z76" s="27" t="str">
        <f>IF($T76="","",IF(ISNUMBER($X76),IF($X76=0,0,$W76/$X76),IF(ISNUMBER($Y76),IF($W76+$Y76=0,0,$W76/($W76+$Y76)),"")))</f>
        <v/>
      </c>
      <c r="AA76" s="29" t="str">
        <f>IF($T76="","",COUNTIFS(TRANSACTIONS_MASTER!$D$5:$D$1204,$T76,TRANSACTIONS_MASTER!$C$5:$C$1204,$C$2,TRANSACTIONS_MASTER!$U$5:$U$1204,"&lt;&gt;Cancelled"))</f>
        <v/>
      </c>
    </row>
    <row r="77">
      <c r="A77" s="81" t="str">
        <f>IF($Q77="","",70)</f>
        <v/>
      </c>
      <c r="B77" s="57" t="str">
        <f>IF($Q77="","",INDEX(TRANSACTIONS_MASTER!$B$5:$B$1204,$Q77))</f>
        <v/>
      </c>
      <c r="C77" s="55" t="str">
        <f>IF($Q77="","",INDEX(TRANSACTIONS_MASTER!$F$5:$F$1204,$Q77))</f>
        <v/>
      </c>
      <c r="D77" s="55" t="str">
        <f>IF($Q77="","",INDEX(TRANSACTIONS_MASTER!$E$5:$E$1204,$Q77))</f>
        <v/>
      </c>
      <c r="E77" s="55" t="str">
        <f>IF($Q77="","",INDEX(TRANSACTIONS_MASTER!$G$5:$G$1204,$Q77)&amp;"")</f>
        <v/>
      </c>
      <c r="F77" s="29" t="str">
        <f>IF($Q77="","",INDEX(TRANSACTIONS_MASTER!$I$5:$I$1204,$Q77))</f>
        <v/>
      </c>
      <c r="G77" s="55" t="str">
        <f>IF($Q77="","",INDEX(TRANSACTIONS_MASTER!$K$5:$K$1204,$Q77))</f>
        <v/>
      </c>
      <c r="H77" s="25" t="str">
        <f>IF($Q77="","",INDEX(TRANSACTIONS_MASTER!$L$5:$L$1204,$Q77))</f>
        <v/>
      </c>
      <c r="I77" s="56" t="str">
        <f>IF($Q77="","",INDEX(TRANSACTIONS_MASTER!$N$5:$N$1204,$Q77))</f>
        <v/>
      </c>
      <c r="J77" s="25" t="str">
        <f>IF($Q77="","",INDEX(TRANSACTIONS_MASTER!$O$5:$O$1204,$Q77))</f>
        <v/>
      </c>
      <c r="K77" s="26" t="str">
        <f>IF($Q77="","",INDEX(TRANSACTIONS_MASTER!$Q$5:$Q$1204,$Q77))</f>
        <v/>
      </c>
      <c r="L77" s="25" t="str">
        <f>IF($Q77="","",INDEX(TRANSACTIONS_MASTER!$P$5:$P$1204,$Q77))</f>
        <v/>
      </c>
      <c r="M77" s="25" t="str">
        <f>IF($Q77="","",INDEX(TRANSACTIONS_MASTER!$AA$5:$AA$1204,$Q77))</f>
        <v/>
      </c>
      <c r="N77" s="25" t="str">
        <f>IF($Q77="","",INDEX(TRANSACTIONS_MASTER!$R$5:$R$1204,$Q77))</f>
        <v/>
      </c>
      <c r="O77" s="28" t="str">
        <f>IF($Q77="","",INDEX(TRANSACTIONS_MASTER!$AB$5:$AB$1204,$Q77))</f>
        <v/>
      </c>
      <c r="P77" s="55" t="str">
        <f>IF($Q77="","",INDEX(TRANSACTIONS_MASTER!$Z$5:$Z$1204,$Q77)&amp;"")</f>
        <v/>
      </c>
      <c r="Q77" s="67" t="str">
        <f>IFERROR(MATCH($C$2&amp;"|"&amp;70,TRANSACTIONS_MASTER!$AE$5:$AE$1204,0),"")</f>
        <v/>
      </c>
      <c r="S77" s="67" t="n">
        <v>16</v>
      </c>
      <c r="T77" s="55" t="str">
        <f>IF(CARDS!$A20="","",CARDS!$A20)</f>
        <v/>
      </c>
      <c r="U77" s="55" t="str">
        <f>IF($T77="","",CARDS!$B20&amp;" "&amp;CARDS!$C20)</f>
        <v/>
      </c>
      <c r="V77" s="25" t="str">
        <f>IF($T77="","",SUMIFS(TRANSACTIONS_MASTER!$L$5:$L$1204,TRANSACTIONS_MASTER!$D$5:$D$1204,$T77,TRANSACTIONS_MASTER!$C$5:$C$1204,$C$2,TRANSACTIONS_MASTER!$U$5:$U$1204,"&lt;&gt;Cancelled"))</f>
        <v/>
      </c>
      <c r="W77" s="26" t="str">
        <f>IF($T77="","",SUMIFS(TRANSACTIONS_MASTER!$Q$5:$Q$1204,TRANSACTIONS_MASTER!$D$5:$D$1204,$T77,TRANSACTIONS_MASTER!$C$5:$C$1204,$C$2))</f>
        <v/>
      </c>
      <c r="X77" s="25" t="str">
        <f>IF($T77="","",IFERROR(IF(ISNUMBER(INDEX(CASHBACK_RULES!$K$5:$K$304,MATCH($T77,CASHBACK_RULES!$B$5:$B$304,0))),INDEX(CASHBACK_RULES!$K$5:$K$304,MATCH($T77,CASHBACK_RULES!$B$5:$B$304,0)),"∞"),"—"))</f>
        <v/>
      </c>
      <c r="Y77" s="25" t="str">
        <f>IF($T77="","",IF($X77="—","—",IF(COUNTIFS($T$8:$T$57,$T77,$Z$8:$Z$57,"∞")&gt;0,IF(ISNUMBER($X77),MAX(0,$X77-$W77),"∞"),IF(ISNUMBER($X77),MAX(0,MIN($X77-$W77,SUMIFS($Z$8:$Z$57,$T$8:$T$57,$T77))),SUMIFS($Z$8:$Z$57,$T$8:$T$57,$T77)))))</f>
        <v/>
      </c>
      <c r="Z77" s="27" t="str">
        <f>IF($T77="","",IF(ISNUMBER($X77),IF($X77=0,0,$W77/$X77),IF(ISNUMBER($Y77),IF($W77+$Y77=0,0,$W77/($W77+$Y77)),"")))</f>
        <v/>
      </c>
      <c r="AA77" s="29" t="str">
        <f>IF($T77="","",COUNTIFS(TRANSACTIONS_MASTER!$D$5:$D$1204,$T77,TRANSACTIONS_MASTER!$C$5:$C$1204,$C$2,TRANSACTIONS_MASTER!$U$5:$U$1204,"&lt;&gt;Cancelled"))</f>
        <v/>
      </c>
    </row>
    <row r="78">
      <c r="A78" s="81" t="str">
        <f>IF($Q78="","",71)</f>
        <v/>
      </c>
      <c r="B78" s="57" t="str">
        <f>IF($Q78="","",INDEX(TRANSACTIONS_MASTER!$B$5:$B$1204,$Q78))</f>
        <v/>
      </c>
      <c r="C78" s="55" t="str">
        <f>IF($Q78="","",INDEX(TRANSACTIONS_MASTER!$F$5:$F$1204,$Q78))</f>
        <v/>
      </c>
      <c r="D78" s="55" t="str">
        <f>IF($Q78="","",INDEX(TRANSACTIONS_MASTER!$E$5:$E$1204,$Q78))</f>
        <v/>
      </c>
      <c r="E78" s="55" t="str">
        <f>IF($Q78="","",INDEX(TRANSACTIONS_MASTER!$G$5:$G$1204,$Q78)&amp;"")</f>
        <v/>
      </c>
      <c r="F78" s="29" t="str">
        <f>IF($Q78="","",INDEX(TRANSACTIONS_MASTER!$I$5:$I$1204,$Q78))</f>
        <v/>
      </c>
      <c r="G78" s="55" t="str">
        <f>IF($Q78="","",INDEX(TRANSACTIONS_MASTER!$K$5:$K$1204,$Q78))</f>
        <v/>
      </c>
      <c r="H78" s="25" t="str">
        <f>IF($Q78="","",INDEX(TRANSACTIONS_MASTER!$L$5:$L$1204,$Q78))</f>
        <v/>
      </c>
      <c r="I78" s="56" t="str">
        <f>IF($Q78="","",INDEX(TRANSACTIONS_MASTER!$N$5:$N$1204,$Q78))</f>
        <v/>
      </c>
      <c r="J78" s="25" t="str">
        <f>IF($Q78="","",INDEX(TRANSACTIONS_MASTER!$O$5:$O$1204,$Q78))</f>
        <v/>
      </c>
      <c r="K78" s="26" t="str">
        <f>IF($Q78="","",INDEX(TRANSACTIONS_MASTER!$Q$5:$Q$1204,$Q78))</f>
        <v/>
      </c>
      <c r="L78" s="25" t="str">
        <f>IF($Q78="","",INDEX(TRANSACTIONS_MASTER!$P$5:$P$1204,$Q78))</f>
        <v/>
      </c>
      <c r="M78" s="25" t="str">
        <f>IF($Q78="","",INDEX(TRANSACTIONS_MASTER!$AA$5:$AA$1204,$Q78))</f>
        <v/>
      </c>
      <c r="N78" s="25" t="str">
        <f>IF($Q78="","",INDEX(TRANSACTIONS_MASTER!$R$5:$R$1204,$Q78))</f>
        <v/>
      </c>
      <c r="O78" s="28" t="str">
        <f>IF($Q78="","",INDEX(TRANSACTIONS_MASTER!$AB$5:$AB$1204,$Q78))</f>
        <v/>
      </c>
      <c r="P78" s="55" t="str">
        <f>IF($Q78="","",INDEX(TRANSACTIONS_MASTER!$Z$5:$Z$1204,$Q78)&amp;"")</f>
        <v/>
      </c>
      <c r="Q78" s="67" t="str">
        <f>IFERROR(MATCH($C$2&amp;"|"&amp;71,TRANSACTIONS_MASTER!$AE$5:$AE$1204,0),"")</f>
        <v/>
      </c>
      <c r="S78" s="67" t="n">
        <v>17</v>
      </c>
      <c r="T78" s="55" t="str">
        <f>IF(CARDS!$A21="","",CARDS!$A21)</f>
        <v/>
      </c>
      <c r="U78" s="55" t="str">
        <f>IF($T78="","",CARDS!$B21&amp;" "&amp;CARDS!$C21)</f>
        <v/>
      </c>
      <c r="V78" s="25" t="str">
        <f>IF($T78="","",SUMIFS(TRANSACTIONS_MASTER!$L$5:$L$1204,TRANSACTIONS_MASTER!$D$5:$D$1204,$T78,TRANSACTIONS_MASTER!$C$5:$C$1204,$C$2,TRANSACTIONS_MASTER!$U$5:$U$1204,"&lt;&gt;Cancelled"))</f>
        <v/>
      </c>
      <c r="W78" s="26" t="str">
        <f>IF($T78="","",SUMIFS(TRANSACTIONS_MASTER!$Q$5:$Q$1204,TRANSACTIONS_MASTER!$D$5:$D$1204,$T78,TRANSACTIONS_MASTER!$C$5:$C$1204,$C$2))</f>
        <v/>
      </c>
      <c r="X78" s="25" t="str">
        <f>IF($T78="","",IFERROR(IF(ISNUMBER(INDEX(CASHBACK_RULES!$K$5:$K$304,MATCH($T78,CASHBACK_RULES!$B$5:$B$304,0))),INDEX(CASHBACK_RULES!$K$5:$K$304,MATCH($T78,CASHBACK_RULES!$B$5:$B$304,0)),"∞"),"—"))</f>
        <v/>
      </c>
      <c r="Y78" s="25" t="str">
        <f>IF($T78="","",IF($X78="—","—",IF(COUNTIFS($T$8:$T$57,$T78,$Z$8:$Z$57,"∞")&gt;0,IF(ISNUMBER($X78),MAX(0,$X78-$W78),"∞"),IF(ISNUMBER($X78),MAX(0,MIN($X78-$W78,SUMIFS($Z$8:$Z$57,$T$8:$T$57,$T78))),SUMIFS($Z$8:$Z$57,$T$8:$T$57,$T78)))))</f>
        <v/>
      </c>
      <c r="Z78" s="27" t="str">
        <f>IF($T78="","",IF(ISNUMBER($X78),IF($X78=0,0,$W78/$X78),IF(ISNUMBER($Y78),IF($W78+$Y78=0,0,$W78/($W78+$Y78)),"")))</f>
        <v/>
      </c>
      <c r="AA78" s="29" t="str">
        <f>IF($T78="","",COUNTIFS(TRANSACTIONS_MASTER!$D$5:$D$1204,$T78,TRANSACTIONS_MASTER!$C$5:$C$1204,$C$2,TRANSACTIONS_MASTER!$U$5:$U$1204,"&lt;&gt;Cancelled"))</f>
        <v/>
      </c>
    </row>
    <row r="79">
      <c r="A79" s="81" t="str">
        <f>IF($Q79="","",72)</f>
        <v/>
      </c>
      <c r="B79" s="57" t="str">
        <f>IF($Q79="","",INDEX(TRANSACTIONS_MASTER!$B$5:$B$1204,$Q79))</f>
        <v/>
      </c>
      <c r="C79" s="55" t="str">
        <f>IF($Q79="","",INDEX(TRANSACTIONS_MASTER!$F$5:$F$1204,$Q79))</f>
        <v/>
      </c>
      <c r="D79" s="55" t="str">
        <f>IF($Q79="","",INDEX(TRANSACTIONS_MASTER!$E$5:$E$1204,$Q79))</f>
        <v/>
      </c>
      <c r="E79" s="55" t="str">
        <f>IF($Q79="","",INDEX(TRANSACTIONS_MASTER!$G$5:$G$1204,$Q79)&amp;"")</f>
        <v/>
      </c>
      <c r="F79" s="29" t="str">
        <f>IF($Q79="","",INDEX(TRANSACTIONS_MASTER!$I$5:$I$1204,$Q79))</f>
        <v/>
      </c>
      <c r="G79" s="55" t="str">
        <f>IF($Q79="","",INDEX(TRANSACTIONS_MASTER!$K$5:$K$1204,$Q79))</f>
        <v/>
      </c>
      <c r="H79" s="25" t="str">
        <f>IF($Q79="","",INDEX(TRANSACTIONS_MASTER!$L$5:$L$1204,$Q79))</f>
        <v/>
      </c>
      <c r="I79" s="56" t="str">
        <f>IF($Q79="","",INDEX(TRANSACTIONS_MASTER!$N$5:$N$1204,$Q79))</f>
        <v/>
      </c>
      <c r="J79" s="25" t="str">
        <f>IF($Q79="","",INDEX(TRANSACTIONS_MASTER!$O$5:$O$1204,$Q79))</f>
        <v/>
      </c>
      <c r="K79" s="26" t="str">
        <f>IF($Q79="","",INDEX(TRANSACTIONS_MASTER!$Q$5:$Q$1204,$Q79))</f>
        <v/>
      </c>
      <c r="L79" s="25" t="str">
        <f>IF($Q79="","",INDEX(TRANSACTIONS_MASTER!$P$5:$P$1204,$Q79))</f>
        <v/>
      </c>
      <c r="M79" s="25" t="str">
        <f>IF($Q79="","",INDEX(TRANSACTIONS_MASTER!$AA$5:$AA$1204,$Q79))</f>
        <v/>
      </c>
      <c r="N79" s="25" t="str">
        <f>IF($Q79="","",INDEX(TRANSACTIONS_MASTER!$R$5:$R$1204,$Q79))</f>
        <v/>
      </c>
      <c r="O79" s="28" t="str">
        <f>IF($Q79="","",INDEX(TRANSACTIONS_MASTER!$AB$5:$AB$1204,$Q79))</f>
        <v/>
      </c>
      <c r="P79" s="55" t="str">
        <f>IF($Q79="","",INDEX(TRANSACTIONS_MASTER!$Z$5:$Z$1204,$Q79)&amp;"")</f>
        <v/>
      </c>
      <c r="Q79" s="67" t="str">
        <f>IFERROR(MATCH($C$2&amp;"|"&amp;72,TRANSACTIONS_MASTER!$AE$5:$AE$1204,0),"")</f>
        <v/>
      </c>
      <c r="S79" s="67" t="n">
        <v>18</v>
      </c>
      <c r="T79" s="55" t="str">
        <f>IF(CARDS!$A22="","",CARDS!$A22)</f>
        <v/>
      </c>
      <c r="U79" s="55" t="str">
        <f>IF($T79="","",CARDS!$B22&amp;" "&amp;CARDS!$C22)</f>
        <v/>
      </c>
      <c r="V79" s="25" t="str">
        <f>IF($T79="","",SUMIFS(TRANSACTIONS_MASTER!$L$5:$L$1204,TRANSACTIONS_MASTER!$D$5:$D$1204,$T79,TRANSACTIONS_MASTER!$C$5:$C$1204,$C$2,TRANSACTIONS_MASTER!$U$5:$U$1204,"&lt;&gt;Cancelled"))</f>
        <v/>
      </c>
      <c r="W79" s="26" t="str">
        <f>IF($T79="","",SUMIFS(TRANSACTIONS_MASTER!$Q$5:$Q$1204,TRANSACTIONS_MASTER!$D$5:$D$1204,$T79,TRANSACTIONS_MASTER!$C$5:$C$1204,$C$2))</f>
        <v/>
      </c>
      <c r="X79" s="25" t="str">
        <f>IF($T79="","",IFERROR(IF(ISNUMBER(INDEX(CASHBACK_RULES!$K$5:$K$304,MATCH($T79,CASHBACK_RULES!$B$5:$B$304,0))),INDEX(CASHBACK_RULES!$K$5:$K$304,MATCH($T79,CASHBACK_RULES!$B$5:$B$304,0)),"∞"),"—"))</f>
        <v/>
      </c>
      <c r="Y79" s="25" t="str">
        <f>IF($T79="","",IF($X79="—","—",IF(COUNTIFS($T$8:$T$57,$T79,$Z$8:$Z$57,"∞")&gt;0,IF(ISNUMBER($X79),MAX(0,$X79-$W79),"∞"),IF(ISNUMBER($X79),MAX(0,MIN($X79-$W79,SUMIFS($Z$8:$Z$57,$T$8:$T$57,$T79))),SUMIFS($Z$8:$Z$57,$T$8:$T$57,$T79)))))</f>
        <v/>
      </c>
      <c r="Z79" s="27" t="str">
        <f>IF($T79="","",IF(ISNUMBER($X79),IF($X79=0,0,$W79/$X79),IF(ISNUMBER($Y79),IF($W79+$Y79=0,0,$W79/($W79+$Y79)),"")))</f>
        <v/>
      </c>
      <c r="AA79" s="29" t="str">
        <f>IF($T79="","",COUNTIFS(TRANSACTIONS_MASTER!$D$5:$D$1204,$T79,TRANSACTIONS_MASTER!$C$5:$C$1204,$C$2,TRANSACTIONS_MASTER!$U$5:$U$1204,"&lt;&gt;Cancelled"))</f>
        <v/>
      </c>
    </row>
    <row r="80">
      <c r="A80" s="81" t="str">
        <f>IF($Q80="","",73)</f>
        <v/>
      </c>
      <c r="B80" s="57" t="str">
        <f>IF($Q80="","",INDEX(TRANSACTIONS_MASTER!$B$5:$B$1204,$Q80))</f>
        <v/>
      </c>
      <c r="C80" s="55" t="str">
        <f>IF($Q80="","",INDEX(TRANSACTIONS_MASTER!$F$5:$F$1204,$Q80))</f>
        <v/>
      </c>
      <c r="D80" s="55" t="str">
        <f>IF($Q80="","",INDEX(TRANSACTIONS_MASTER!$E$5:$E$1204,$Q80))</f>
        <v/>
      </c>
      <c r="E80" s="55" t="str">
        <f>IF($Q80="","",INDEX(TRANSACTIONS_MASTER!$G$5:$G$1204,$Q80)&amp;"")</f>
        <v/>
      </c>
      <c r="F80" s="29" t="str">
        <f>IF($Q80="","",INDEX(TRANSACTIONS_MASTER!$I$5:$I$1204,$Q80))</f>
        <v/>
      </c>
      <c r="G80" s="55" t="str">
        <f>IF($Q80="","",INDEX(TRANSACTIONS_MASTER!$K$5:$K$1204,$Q80))</f>
        <v/>
      </c>
      <c r="H80" s="25" t="str">
        <f>IF($Q80="","",INDEX(TRANSACTIONS_MASTER!$L$5:$L$1204,$Q80))</f>
        <v/>
      </c>
      <c r="I80" s="56" t="str">
        <f>IF($Q80="","",INDEX(TRANSACTIONS_MASTER!$N$5:$N$1204,$Q80))</f>
        <v/>
      </c>
      <c r="J80" s="25" t="str">
        <f>IF($Q80="","",INDEX(TRANSACTIONS_MASTER!$O$5:$O$1204,$Q80))</f>
        <v/>
      </c>
      <c r="K80" s="26" t="str">
        <f>IF($Q80="","",INDEX(TRANSACTIONS_MASTER!$Q$5:$Q$1204,$Q80))</f>
        <v/>
      </c>
      <c r="L80" s="25" t="str">
        <f>IF($Q80="","",INDEX(TRANSACTIONS_MASTER!$P$5:$P$1204,$Q80))</f>
        <v/>
      </c>
      <c r="M80" s="25" t="str">
        <f>IF($Q80="","",INDEX(TRANSACTIONS_MASTER!$AA$5:$AA$1204,$Q80))</f>
        <v/>
      </c>
      <c r="N80" s="25" t="str">
        <f>IF($Q80="","",INDEX(TRANSACTIONS_MASTER!$R$5:$R$1204,$Q80))</f>
        <v/>
      </c>
      <c r="O80" s="28" t="str">
        <f>IF($Q80="","",INDEX(TRANSACTIONS_MASTER!$AB$5:$AB$1204,$Q80))</f>
        <v/>
      </c>
      <c r="P80" s="55" t="str">
        <f>IF($Q80="","",INDEX(TRANSACTIONS_MASTER!$Z$5:$Z$1204,$Q80)&amp;"")</f>
        <v/>
      </c>
      <c r="Q80" s="67" t="str">
        <f>IFERROR(MATCH($C$2&amp;"|"&amp;73,TRANSACTIONS_MASTER!$AE$5:$AE$1204,0),"")</f>
        <v/>
      </c>
      <c r="S80" s="67" t="n">
        <v>19</v>
      </c>
      <c r="T80" s="55" t="str">
        <f>IF(CARDS!$A23="","",CARDS!$A23)</f>
        <v/>
      </c>
      <c r="U80" s="55" t="str">
        <f>IF($T80="","",CARDS!$B23&amp;" "&amp;CARDS!$C23)</f>
        <v/>
      </c>
      <c r="V80" s="25" t="str">
        <f>IF($T80="","",SUMIFS(TRANSACTIONS_MASTER!$L$5:$L$1204,TRANSACTIONS_MASTER!$D$5:$D$1204,$T80,TRANSACTIONS_MASTER!$C$5:$C$1204,$C$2,TRANSACTIONS_MASTER!$U$5:$U$1204,"&lt;&gt;Cancelled"))</f>
        <v/>
      </c>
      <c r="W80" s="26" t="str">
        <f>IF($T80="","",SUMIFS(TRANSACTIONS_MASTER!$Q$5:$Q$1204,TRANSACTIONS_MASTER!$D$5:$D$1204,$T80,TRANSACTIONS_MASTER!$C$5:$C$1204,$C$2))</f>
        <v/>
      </c>
      <c r="X80" s="25" t="str">
        <f>IF($T80="","",IFERROR(IF(ISNUMBER(INDEX(CASHBACK_RULES!$K$5:$K$304,MATCH($T80,CASHBACK_RULES!$B$5:$B$304,0))),INDEX(CASHBACK_RULES!$K$5:$K$304,MATCH($T80,CASHBACK_RULES!$B$5:$B$304,0)),"∞"),"—"))</f>
        <v/>
      </c>
      <c r="Y80" s="25" t="str">
        <f>IF($T80="","",IF($X80="—","—",IF(COUNTIFS($T$8:$T$57,$T80,$Z$8:$Z$57,"∞")&gt;0,IF(ISNUMBER($X80),MAX(0,$X80-$W80),"∞"),IF(ISNUMBER($X80),MAX(0,MIN($X80-$W80,SUMIFS($Z$8:$Z$57,$T$8:$T$57,$T80))),SUMIFS($Z$8:$Z$57,$T$8:$T$57,$T80)))))</f>
        <v/>
      </c>
      <c r="Z80" s="27" t="str">
        <f>IF($T80="","",IF(ISNUMBER($X80),IF($X80=0,0,$W80/$X80),IF(ISNUMBER($Y80),IF($W80+$Y80=0,0,$W80/($W80+$Y80)),"")))</f>
        <v/>
      </c>
      <c r="AA80" s="29" t="str">
        <f>IF($T80="","",COUNTIFS(TRANSACTIONS_MASTER!$D$5:$D$1204,$T80,TRANSACTIONS_MASTER!$C$5:$C$1204,$C$2,TRANSACTIONS_MASTER!$U$5:$U$1204,"&lt;&gt;Cancelled"))</f>
        <v/>
      </c>
    </row>
    <row r="81">
      <c r="A81" s="81" t="str">
        <f>IF($Q81="","",74)</f>
        <v/>
      </c>
      <c r="B81" s="57" t="str">
        <f>IF($Q81="","",INDEX(TRANSACTIONS_MASTER!$B$5:$B$1204,$Q81))</f>
        <v/>
      </c>
      <c r="C81" s="55" t="str">
        <f>IF($Q81="","",INDEX(TRANSACTIONS_MASTER!$F$5:$F$1204,$Q81))</f>
        <v/>
      </c>
      <c r="D81" s="55" t="str">
        <f>IF($Q81="","",INDEX(TRANSACTIONS_MASTER!$E$5:$E$1204,$Q81))</f>
        <v/>
      </c>
      <c r="E81" s="55" t="str">
        <f>IF($Q81="","",INDEX(TRANSACTIONS_MASTER!$G$5:$G$1204,$Q81)&amp;"")</f>
        <v/>
      </c>
      <c r="F81" s="29" t="str">
        <f>IF($Q81="","",INDEX(TRANSACTIONS_MASTER!$I$5:$I$1204,$Q81))</f>
        <v/>
      </c>
      <c r="G81" s="55" t="str">
        <f>IF($Q81="","",INDEX(TRANSACTIONS_MASTER!$K$5:$K$1204,$Q81))</f>
        <v/>
      </c>
      <c r="H81" s="25" t="str">
        <f>IF($Q81="","",INDEX(TRANSACTIONS_MASTER!$L$5:$L$1204,$Q81))</f>
        <v/>
      </c>
      <c r="I81" s="56" t="str">
        <f>IF($Q81="","",INDEX(TRANSACTIONS_MASTER!$N$5:$N$1204,$Q81))</f>
        <v/>
      </c>
      <c r="J81" s="25" t="str">
        <f>IF($Q81="","",INDEX(TRANSACTIONS_MASTER!$O$5:$O$1204,$Q81))</f>
        <v/>
      </c>
      <c r="K81" s="26" t="str">
        <f>IF($Q81="","",INDEX(TRANSACTIONS_MASTER!$Q$5:$Q$1204,$Q81))</f>
        <v/>
      </c>
      <c r="L81" s="25" t="str">
        <f>IF($Q81="","",INDEX(TRANSACTIONS_MASTER!$P$5:$P$1204,$Q81))</f>
        <v/>
      </c>
      <c r="M81" s="25" t="str">
        <f>IF($Q81="","",INDEX(TRANSACTIONS_MASTER!$AA$5:$AA$1204,$Q81))</f>
        <v/>
      </c>
      <c r="N81" s="25" t="str">
        <f>IF($Q81="","",INDEX(TRANSACTIONS_MASTER!$R$5:$R$1204,$Q81))</f>
        <v/>
      </c>
      <c r="O81" s="28" t="str">
        <f>IF($Q81="","",INDEX(TRANSACTIONS_MASTER!$AB$5:$AB$1204,$Q81))</f>
        <v/>
      </c>
      <c r="P81" s="55" t="str">
        <f>IF($Q81="","",INDEX(TRANSACTIONS_MASTER!$Z$5:$Z$1204,$Q81)&amp;"")</f>
        <v/>
      </c>
      <c r="Q81" s="67" t="str">
        <f>IFERROR(MATCH($C$2&amp;"|"&amp;74,TRANSACTIONS_MASTER!$AE$5:$AE$1204,0),"")</f>
        <v/>
      </c>
      <c r="S81" s="67" t="n">
        <v>20</v>
      </c>
      <c r="T81" s="55" t="str">
        <f>IF(CARDS!$A24="","",CARDS!$A24)</f>
        <v/>
      </c>
      <c r="U81" s="55" t="str">
        <f>IF($T81="","",CARDS!$B24&amp;" "&amp;CARDS!$C24)</f>
        <v/>
      </c>
      <c r="V81" s="25" t="str">
        <f>IF($T81="","",SUMIFS(TRANSACTIONS_MASTER!$L$5:$L$1204,TRANSACTIONS_MASTER!$D$5:$D$1204,$T81,TRANSACTIONS_MASTER!$C$5:$C$1204,$C$2,TRANSACTIONS_MASTER!$U$5:$U$1204,"&lt;&gt;Cancelled"))</f>
        <v/>
      </c>
      <c r="W81" s="26" t="str">
        <f>IF($T81="","",SUMIFS(TRANSACTIONS_MASTER!$Q$5:$Q$1204,TRANSACTIONS_MASTER!$D$5:$D$1204,$T81,TRANSACTIONS_MASTER!$C$5:$C$1204,$C$2))</f>
        <v/>
      </c>
      <c r="X81" s="25" t="str">
        <f>IF($T81="","",IFERROR(IF(ISNUMBER(INDEX(CASHBACK_RULES!$K$5:$K$304,MATCH($T81,CASHBACK_RULES!$B$5:$B$304,0))),INDEX(CASHBACK_RULES!$K$5:$K$304,MATCH($T81,CASHBACK_RULES!$B$5:$B$304,0)),"∞"),"—"))</f>
        <v/>
      </c>
      <c r="Y81" s="25" t="str">
        <f>IF($T81="","",IF($X81="—","—",IF(COUNTIFS($T$8:$T$57,$T81,$Z$8:$Z$57,"∞")&gt;0,IF(ISNUMBER($X81),MAX(0,$X81-$W81),"∞"),IF(ISNUMBER($X81),MAX(0,MIN($X81-$W81,SUMIFS($Z$8:$Z$57,$T$8:$T$57,$T81))),SUMIFS($Z$8:$Z$57,$T$8:$T$57,$T81)))))</f>
        <v/>
      </c>
      <c r="Z81" s="27" t="str">
        <f>IF($T81="","",IF(ISNUMBER($X81),IF($X81=0,0,$W81/$X81),IF(ISNUMBER($Y81),IF($W81+$Y81=0,0,$W81/($W81+$Y81)),"")))</f>
        <v/>
      </c>
      <c r="AA81" s="29" t="str">
        <f>IF($T81="","",COUNTIFS(TRANSACTIONS_MASTER!$D$5:$D$1204,$T81,TRANSACTIONS_MASTER!$C$5:$C$1204,$C$2,TRANSACTIONS_MASTER!$U$5:$U$1204,"&lt;&gt;Cancelled"))</f>
        <v/>
      </c>
    </row>
    <row r="82">
      <c r="A82" s="81" t="str">
        <f>IF($Q82="","",75)</f>
        <v/>
      </c>
      <c r="B82" s="57" t="str">
        <f>IF($Q82="","",INDEX(TRANSACTIONS_MASTER!$B$5:$B$1204,$Q82))</f>
        <v/>
      </c>
      <c r="C82" s="55" t="str">
        <f>IF($Q82="","",INDEX(TRANSACTIONS_MASTER!$F$5:$F$1204,$Q82))</f>
        <v/>
      </c>
      <c r="D82" s="55" t="str">
        <f>IF($Q82="","",INDEX(TRANSACTIONS_MASTER!$E$5:$E$1204,$Q82))</f>
        <v/>
      </c>
      <c r="E82" s="55" t="str">
        <f>IF($Q82="","",INDEX(TRANSACTIONS_MASTER!$G$5:$G$1204,$Q82)&amp;"")</f>
        <v/>
      </c>
      <c r="F82" s="29" t="str">
        <f>IF($Q82="","",INDEX(TRANSACTIONS_MASTER!$I$5:$I$1204,$Q82))</f>
        <v/>
      </c>
      <c r="G82" s="55" t="str">
        <f>IF($Q82="","",INDEX(TRANSACTIONS_MASTER!$K$5:$K$1204,$Q82))</f>
        <v/>
      </c>
      <c r="H82" s="25" t="str">
        <f>IF($Q82="","",INDEX(TRANSACTIONS_MASTER!$L$5:$L$1204,$Q82))</f>
        <v/>
      </c>
      <c r="I82" s="56" t="str">
        <f>IF($Q82="","",INDEX(TRANSACTIONS_MASTER!$N$5:$N$1204,$Q82))</f>
        <v/>
      </c>
      <c r="J82" s="25" t="str">
        <f>IF($Q82="","",INDEX(TRANSACTIONS_MASTER!$O$5:$O$1204,$Q82))</f>
        <v/>
      </c>
      <c r="K82" s="26" t="str">
        <f>IF($Q82="","",INDEX(TRANSACTIONS_MASTER!$Q$5:$Q$1204,$Q82))</f>
        <v/>
      </c>
      <c r="L82" s="25" t="str">
        <f>IF($Q82="","",INDEX(TRANSACTIONS_MASTER!$P$5:$P$1204,$Q82))</f>
        <v/>
      </c>
      <c r="M82" s="25" t="str">
        <f>IF($Q82="","",INDEX(TRANSACTIONS_MASTER!$AA$5:$AA$1204,$Q82))</f>
        <v/>
      </c>
      <c r="N82" s="25" t="str">
        <f>IF($Q82="","",INDEX(TRANSACTIONS_MASTER!$R$5:$R$1204,$Q82))</f>
        <v/>
      </c>
      <c r="O82" s="28" t="str">
        <f>IF($Q82="","",INDEX(TRANSACTIONS_MASTER!$AB$5:$AB$1204,$Q82))</f>
        <v/>
      </c>
      <c r="P82" s="55" t="str">
        <f>IF($Q82="","",INDEX(TRANSACTIONS_MASTER!$Z$5:$Z$1204,$Q82)&amp;"")</f>
        <v/>
      </c>
      <c r="Q82" s="67" t="str">
        <f>IFERROR(MATCH($C$2&amp;"|"&amp;75,TRANSACTIONS_MASTER!$AE$5:$AE$1204,0),"")</f>
        <v/>
      </c>
      <c r="S82" s="67" t="n">
        <v>21</v>
      </c>
      <c r="T82" s="55" t="str">
        <f>IF(CARDS!$A25="","",CARDS!$A25)</f>
        <v/>
      </c>
      <c r="U82" s="55" t="str">
        <f>IF($T82="","",CARDS!$B25&amp;" "&amp;CARDS!$C25)</f>
        <v/>
      </c>
      <c r="V82" s="25" t="str">
        <f>IF($T82="","",SUMIFS(TRANSACTIONS_MASTER!$L$5:$L$1204,TRANSACTIONS_MASTER!$D$5:$D$1204,$T82,TRANSACTIONS_MASTER!$C$5:$C$1204,$C$2,TRANSACTIONS_MASTER!$U$5:$U$1204,"&lt;&gt;Cancelled"))</f>
        <v/>
      </c>
      <c r="W82" s="26" t="str">
        <f>IF($T82="","",SUMIFS(TRANSACTIONS_MASTER!$Q$5:$Q$1204,TRANSACTIONS_MASTER!$D$5:$D$1204,$T82,TRANSACTIONS_MASTER!$C$5:$C$1204,$C$2))</f>
        <v/>
      </c>
      <c r="X82" s="25" t="str">
        <f>IF($T82="","",IFERROR(IF(ISNUMBER(INDEX(CASHBACK_RULES!$K$5:$K$304,MATCH($T82,CASHBACK_RULES!$B$5:$B$304,0))),INDEX(CASHBACK_RULES!$K$5:$K$304,MATCH($T82,CASHBACK_RULES!$B$5:$B$304,0)),"∞"),"—"))</f>
        <v/>
      </c>
      <c r="Y82" s="25" t="str">
        <f>IF($T82="","",IF($X82="—","—",IF(COUNTIFS($T$8:$T$57,$T82,$Z$8:$Z$57,"∞")&gt;0,IF(ISNUMBER($X82),MAX(0,$X82-$W82),"∞"),IF(ISNUMBER($X82),MAX(0,MIN($X82-$W82,SUMIFS($Z$8:$Z$57,$T$8:$T$57,$T82))),SUMIFS($Z$8:$Z$57,$T$8:$T$57,$T82)))))</f>
        <v/>
      </c>
      <c r="Z82" s="27" t="str">
        <f>IF($T82="","",IF(ISNUMBER($X82),IF($X82=0,0,$W82/$X82),IF(ISNUMBER($Y82),IF($W82+$Y82=0,0,$W82/($W82+$Y82)),"")))</f>
        <v/>
      </c>
      <c r="AA82" s="29" t="str">
        <f>IF($T82="","",COUNTIFS(TRANSACTIONS_MASTER!$D$5:$D$1204,$T82,TRANSACTIONS_MASTER!$C$5:$C$1204,$C$2,TRANSACTIONS_MASTER!$U$5:$U$1204,"&lt;&gt;Cancelled"))</f>
        <v/>
      </c>
    </row>
    <row r="83">
      <c r="A83" s="81" t="str">
        <f>IF($Q83="","",76)</f>
        <v/>
      </c>
      <c r="B83" s="57" t="str">
        <f>IF($Q83="","",INDEX(TRANSACTIONS_MASTER!$B$5:$B$1204,$Q83))</f>
        <v/>
      </c>
      <c r="C83" s="55" t="str">
        <f>IF($Q83="","",INDEX(TRANSACTIONS_MASTER!$F$5:$F$1204,$Q83))</f>
        <v/>
      </c>
      <c r="D83" s="55" t="str">
        <f>IF($Q83="","",INDEX(TRANSACTIONS_MASTER!$E$5:$E$1204,$Q83))</f>
        <v/>
      </c>
      <c r="E83" s="55" t="str">
        <f>IF($Q83="","",INDEX(TRANSACTIONS_MASTER!$G$5:$G$1204,$Q83)&amp;"")</f>
        <v/>
      </c>
      <c r="F83" s="29" t="str">
        <f>IF($Q83="","",INDEX(TRANSACTIONS_MASTER!$I$5:$I$1204,$Q83))</f>
        <v/>
      </c>
      <c r="G83" s="55" t="str">
        <f>IF($Q83="","",INDEX(TRANSACTIONS_MASTER!$K$5:$K$1204,$Q83))</f>
        <v/>
      </c>
      <c r="H83" s="25" t="str">
        <f>IF($Q83="","",INDEX(TRANSACTIONS_MASTER!$L$5:$L$1204,$Q83))</f>
        <v/>
      </c>
      <c r="I83" s="56" t="str">
        <f>IF($Q83="","",INDEX(TRANSACTIONS_MASTER!$N$5:$N$1204,$Q83))</f>
        <v/>
      </c>
      <c r="J83" s="25" t="str">
        <f>IF($Q83="","",INDEX(TRANSACTIONS_MASTER!$O$5:$O$1204,$Q83))</f>
        <v/>
      </c>
      <c r="K83" s="26" t="str">
        <f>IF($Q83="","",INDEX(TRANSACTIONS_MASTER!$Q$5:$Q$1204,$Q83))</f>
        <v/>
      </c>
      <c r="L83" s="25" t="str">
        <f>IF($Q83="","",INDEX(TRANSACTIONS_MASTER!$P$5:$P$1204,$Q83))</f>
        <v/>
      </c>
      <c r="M83" s="25" t="str">
        <f>IF($Q83="","",INDEX(TRANSACTIONS_MASTER!$AA$5:$AA$1204,$Q83))</f>
        <v/>
      </c>
      <c r="N83" s="25" t="str">
        <f>IF($Q83="","",INDEX(TRANSACTIONS_MASTER!$R$5:$R$1204,$Q83))</f>
        <v/>
      </c>
      <c r="O83" s="28" t="str">
        <f>IF($Q83="","",INDEX(TRANSACTIONS_MASTER!$AB$5:$AB$1204,$Q83))</f>
        <v/>
      </c>
      <c r="P83" s="55" t="str">
        <f>IF($Q83="","",INDEX(TRANSACTIONS_MASTER!$Z$5:$Z$1204,$Q83)&amp;"")</f>
        <v/>
      </c>
      <c r="Q83" s="67" t="str">
        <f>IFERROR(MATCH($C$2&amp;"|"&amp;76,TRANSACTIONS_MASTER!$AE$5:$AE$1204,0),"")</f>
        <v/>
      </c>
      <c r="S83" s="67" t="n">
        <v>22</v>
      </c>
      <c r="T83" s="55" t="str">
        <f>IF(CARDS!$A26="","",CARDS!$A26)</f>
        <v/>
      </c>
      <c r="U83" s="55" t="str">
        <f>IF($T83="","",CARDS!$B26&amp;" "&amp;CARDS!$C26)</f>
        <v/>
      </c>
      <c r="V83" s="25" t="str">
        <f>IF($T83="","",SUMIFS(TRANSACTIONS_MASTER!$L$5:$L$1204,TRANSACTIONS_MASTER!$D$5:$D$1204,$T83,TRANSACTIONS_MASTER!$C$5:$C$1204,$C$2,TRANSACTIONS_MASTER!$U$5:$U$1204,"&lt;&gt;Cancelled"))</f>
        <v/>
      </c>
      <c r="W83" s="26" t="str">
        <f>IF($T83="","",SUMIFS(TRANSACTIONS_MASTER!$Q$5:$Q$1204,TRANSACTIONS_MASTER!$D$5:$D$1204,$T83,TRANSACTIONS_MASTER!$C$5:$C$1204,$C$2))</f>
        <v/>
      </c>
      <c r="X83" s="25" t="str">
        <f>IF($T83="","",IFERROR(IF(ISNUMBER(INDEX(CASHBACK_RULES!$K$5:$K$304,MATCH($T83,CASHBACK_RULES!$B$5:$B$304,0))),INDEX(CASHBACK_RULES!$K$5:$K$304,MATCH($T83,CASHBACK_RULES!$B$5:$B$304,0)),"∞"),"—"))</f>
        <v/>
      </c>
      <c r="Y83" s="25" t="str">
        <f>IF($T83="","",IF($X83="—","—",IF(COUNTIFS($T$8:$T$57,$T83,$Z$8:$Z$57,"∞")&gt;0,IF(ISNUMBER($X83),MAX(0,$X83-$W83),"∞"),IF(ISNUMBER($X83),MAX(0,MIN($X83-$W83,SUMIFS($Z$8:$Z$57,$T$8:$T$57,$T83))),SUMIFS($Z$8:$Z$57,$T$8:$T$57,$T83)))))</f>
        <v/>
      </c>
      <c r="Z83" s="27" t="str">
        <f>IF($T83="","",IF(ISNUMBER($X83),IF($X83=0,0,$W83/$X83),IF(ISNUMBER($Y83),IF($W83+$Y83=0,0,$W83/($W83+$Y83)),"")))</f>
        <v/>
      </c>
      <c r="AA83" s="29" t="str">
        <f>IF($T83="","",COUNTIFS(TRANSACTIONS_MASTER!$D$5:$D$1204,$T83,TRANSACTIONS_MASTER!$C$5:$C$1204,$C$2,TRANSACTIONS_MASTER!$U$5:$U$1204,"&lt;&gt;Cancelled"))</f>
        <v/>
      </c>
    </row>
    <row r="84">
      <c r="A84" s="81" t="str">
        <f>IF($Q84="","",77)</f>
        <v/>
      </c>
      <c r="B84" s="57" t="str">
        <f>IF($Q84="","",INDEX(TRANSACTIONS_MASTER!$B$5:$B$1204,$Q84))</f>
        <v/>
      </c>
      <c r="C84" s="55" t="str">
        <f>IF($Q84="","",INDEX(TRANSACTIONS_MASTER!$F$5:$F$1204,$Q84))</f>
        <v/>
      </c>
      <c r="D84" s="55" t="str">
        <f>IF($Q84="","",INDEX(TRANSACTIONS_MASTER!$E$5:$E$1204,$Q84))</f>
        <v/>
      </c>
      <c r="E84" s="55" t="str">
        <f>IF($Q84="","",INDEX(TRANSACTIONS_MASTER!$G$5:$G$1204,$Q84)&amp;"")</f>
        <v/>
      </c>
      <c r="F84" s="29" t="str">
        <f>IF($Q84="","",INDEX(TRANSACTIONS_MASTER!$I$5:$I$1204,$Q84))</f>
        <v/>
      </c>
      <c r="G84" s="55" t="str">
        <f>IF($Q84="","",INDEX(TRANSACTIONS_MASTER!$K$5:$K$1204,$Q84))</f>
        <v/>
      </c>
      <c r="H84" s="25" t="str">
        <f>IF($Q84="","",INDEX(TRANSACTIONS_MASTER!$L$5:$L$1204,$Q84))</f>
        <v/>
      </c>
      <c r="I84" s="56" t="str">
        <f>IF($Q84="","",INDEX(TRANSACTIONS_MASTER!$N$5:$N$1204,$Q84))</f>
        <v/>
      </c>
      <c r="J84" s="25" t="str">
        <f>IF($Q84="","",INDEX(TRANSACTIONS_MASTER!$O$5:$O$1204,$Q84))</f>
        <v/>
      </c>
      <c r="K84" s="26" t="str">
        <f>IF($Q84="","",INDEX(TRANSACTIONS_MASTER!$Q$5:$Q$1204,$Q84))</f>
        <v/>
      </c>
      <c r="L84" s="25" t="str">
        <f>IF($Q84="","",INDEX(TRANSACTIONS_MASTER!$P$5:$P$1204,$Q84))</f>
        <v/>
      </c>
      <c r="M84" s="25" t="str">
        <f>IF($Q84="","",INDEX(TRANSACTIONS_MASTER!$AA$5:$AA$1204,$Q84))</f>
        <v/>
      </c>
      <c r="N84" s="25" t="str">
        <f>IF($Q84="","",INDEX(TRANSACTIONS_MASTER!$R$5:$R$1204,$Q84))</f>
        <v/>
      </c>
      <c r="O84" s="28" t="str">
        <f>IF($Q84="","",INDEX(TRANSACTIONS_MASTER!$AB$5:$AB$1204,$Q84))</f>
        <v/>
      </c>
      <c r="P84" s="55" t="str">
        <f>IF($Q84="","",INDEX(TRANSACTIONS_MASTER!$Z$5:$Z$1204,$Q84)&amp;"")</f>
        <v/>
      </c>
      <c r="Q84" s="67" t="str">
        <f>IFERROR(MATCH($C$2&amp;"|"&amp;77,TRANSACTIONS_MASTER!$AE$5:$AE$1204,0),"")</f>
        <v/>
      </c>
      <c r="S84" s="67" t="n">
        <v>23</v>
      </c>
      <c r="T84" s="55" t="str">
        <f>IF(CARDS!$A27="","",CARDS!$A27)</f>
        <v/>
      </c>
      <c r="U84" s="55" t="str">
        <f>IF($T84="","",CARDS!$B27&amp;" "&amp;CARDS!$C27)</f>
        <v/>
      </c>
      <c r="V84" s="25" t="str">
        <f>IF($T84="","",SUMIFS(TRANSACTIONS_MASTER!$L$5:$L$1204,TRANSACTIONS_MASTER!$D$5:$D$1204,$T84,TRANSACTIONS_MASTER!$C$5:$C$1204,$C$2,TRANSACTIONS_MASTER!$U$5:$U$1204,"&lt;&gt;Cancelled"))</f>
        <v/>
      </c>
      <c r="W84" s="26" t="str">
        <f>IF($T84="","",SUMIFS(TRANSACTIONS_MASTER!$Q$5:$Q$1204,TRANSACTIONS_MASTER!$D$5:$D$1204,$T84,TRANSACTIONS_MASTER!$C$5:$C$1204,$C$2))</f>
        <v/>
      </c>
      <c r="X84" s="25" t="str">
        <f>IF($T84="","",IFERROR(IF(ISNUMBER(INDEX(CASHBACK_RULES!$K$5:$K$304,MATCH($T84,CASHBACK_RULES!$B$5:$B$304,0))),INDEX(CASHBACK_RULES!$K$5:$K$304,MATCH($T84,CASHBACK_RULES!$B$5:$B$304,0)),"∞"),"—"))</f>
        <v/>
      </c>
      <c r="Y84" s="25" t="str">
        <f>IF($T84="","",IF($X84="—","—",IF(COUNTIFS($T$8:$T$57,$T84,$Z$8:$Z$57,"∞")&gt;0,IF(ISNUMBER($X84),MAX(0,$X84-$W84),"∞"),IF(ISNUMBER($X84),MAX(0,MIN($X84-$W84,SUMIFS($Z$8:$Z$57,$T$8:$T$57,$T84))),SUMIFS($Z$8:$Z$57,$T$8:$T$57,$T84)))))</f>
        <v/>
      </c>
      <c r="Z84" s="27" t="str">
        <f>IF($T84="","",IF(ISNUMBER($X84),IF($X84=0,0,$W84/$X84),IF(ISNUMBER($Y84),IF($W84+$Y84=0,0,$W84/($W84+$Y84)),"")))</f>
        <v/>
      </c>
      <c r="AA84" s="29" t="str">
        <f>IF($T84="","",COUNTIFS(TRANSACTIONS_MASTER!$D$5:$D$1204,$T84,TRANSACTIONS_MASTER!$C$5:$C$1204,$C$2,TRANSACTIONS_MASTER!$U$5:$U$1204,"&lt;&gt;Cancelled"))</f>
        <v/>
      </c>
    </row>
    <row r="85">
      <c r="A85" s="81" t="str">
        <f>IF($Q85="","",78)</f>
        <v/>
      </c>
      <c r="B85" s="57" t="str">
        <f>IF($Q85="","",INDEX(TRANSACTIONS_MASTER!$B$5:$B$1204,$Q85))</f>
        <v/>
      </c>
      <c r="C85" s="55" t="str">
        <f>IF($Q85="","",INDEX(TRANSACTIONS_MASTER!$F$5:$F$1204,$Q85))</f>
        <v/>
      </c>
      <c r="D85" s="55" t="str">
        <f>IF($Q85="","",INDEX(TRANSACTIONS_MASTER!$E$5:$E$1204,$Q85))</f>
        <v/>
      </c>
      <c r="E85" s="55" t="str">
        <f>IF($Q85="","",INDEX(TRANSACTIONS_MASTER!$G$5:$G$1204,$Q85)&amp;"")</f>
        <v/>
      </c>
      <c r="F85" s="29" t="str">
        <f>IF($Q85="","",INDEX(TRANSACTIONS_MASTER!$I$5:$I$1204,$Q85))</f>
        <v/>
      </c>
      <c r="G85" s="55" t="str">
        <f>IF($Q85="","",INDEX(TRANSACTIONS_MASTER!$K$5:$K$1204,$Q85))</f>
        <v/>
      </c>
      <c r="H85" s="25" t="str">
        <f>IF($Q85="","",INDEX(TRANSACTIONS_MASTER!$L$5:$L$1204,$Q85))</f>
        <v/>
      </c>
      <c r="I85" s="56" t="str">
        <f>IF($Q85="","",INDEX(TRANSACTIONS_MASTER!$N$5:$N$1204,$Q85))</f>
        <v/>
      </c>
      <c r="J85" s="25" t="str">
        <f>IF($Q85="","",INDEX(TRANSACTIONS_MASTER!$O$5:$O$1204,$Q85))</f>
        <v/>
      </c>
      <c r="K85" s="26" t="str">
        <f>IF($Q85="","",INDEX(TRANSACTIONS_MASTER!$Q$5:$Q$1204,$Q85))</f>
        <v/>
      </c>
      <c r="L85" s="25" t="str">
        <f>IF($Q85="","",INDEX(TRANSACTIONS_MASTER!$P$5:$P$1204,$Q85))</f>
        <v/>
      </c>
      <c r="M85" s="25" t="str">
        <f>IF($Q85="","",INDEX(TRANSACTIONS_MASTER!$AA$5:$AA$1204,$Q85))</f>
        <v/>
      </c>
      <c r="N85" s="25" t="str">
        <f>IF($Q85="","",INDEX(TRANSACTIONS_MASTER!$R$5:$R$1204,$Q85))</f>
        <v/>
      </c>
      <c r="O85" s="28" t="str">
        <f>IF($Q85="","",INDEX(TRANSACTIONS_MASTER!$AB$5:$AB$1204,$Q85))</f>
        <v/>
      </c>
      <c r="P85" s="55" t="str">
        <f>IF($Q85="","",INDEX(TRANSACTIONS_MASTER!$Z$5:$Z$1204,$Q85)&amp;"")</f>
        <v/>
      </c>
      <c r="Q85" s="67" t="str">
        <f>IFERROR(MATCH($C$2&amp;"|"&amp;78,TRANSACTIONS_MASTER!$AE$5:$AE$1204,0),"")</f>
        <v/>
      </c>
      <c r="S85" s="67" t="n">
        <v>24</v>
      </c>
      <c r="T85" s="55" t="str">
        <f>IF(CARDS!$A28="","",CARDS!$A28)</f>
        <v/>
      </c>
      <c r="U85" s="55" t="str">
        <f>IF($T85="","",CARDS!$B28&amp;" "&amp;CARDS!$C28)</f>
        <v/>
      </c>
      <c r="V85" s="25" t="str">
        <f>IF($T85="","",SUMIFS(TRANSACTIONS_MASTER!$L$5:$L$1204,TRANSACTIONS_MASTER!$D$5:$D$1204,$T85,TRANSACTIONS_MASTER!$C$5:$C$1204,$C$2,TRANSACTIONS_MASTER!$U$5:$U$1204,"&lt;&gt;Cancelled"))</f>
        <v/>
      </c>
      <c r="W85" s="26" t="str">
        <f>IF($T85="","",SUMIFS(TRANSACTIONS_MASTER!$Q$5:$Q$1204,TRANSACTIONS_MASTER!$D$5:$D$1204,$T85,TRANSACTIONS_MASTER!$C$5:$C$1204,$C$2))</f>
        <v/>
      </c>
      <c r="X85" s="25" t="str">
        <f>IF($T85="","",IFERROR(IF(ISNUMBER(INDEX(CASHBACK_RULES!$K$5:$K$304,MATCH($T85,CASHBACK_RULES!$B$5:$B$304,0))),INDEX(CASHBACK_RULES!$K$5:$K$304,MATCH($T85,CASHBACK_RULES!$B$5:$B$304,0)),"∞"),"—"))</f>
        <v/>
      </c>
      <c r="Y85" s="25" t="str">
        <f>IF($T85="","",IF($X85="—","—",IF(COUNTIFS($T$8:$T$57,$T85,$Z$8:$Z$57,"∞")&gt;0,IF(ISNUMBER($X85),MAX(0,$X85-$W85),"∞"),IF(ISNUMBER($X85),MAX(0,MIN($X85-$W85,SUMIFS($Z$8:$Z$57,$T$8:$T$57,$T85))),SUMIFS($Z$8:$Z$57,$T$8:$T$57,$T85)))))</f>
        <v/>
      </c>
      <c r="Z85" s="27" t="str">
        <f>IF($T85="","",IF(ISNUMBER($X85),IF($X85=0,0,$W85/$X85),IF(ISNUMBER($Y85),IF($W85+$Y85=0,0,$W85/($W85+$Y85)),"")))</f>
        <v/>
      </c>
      <c r="AA85" s="29" t="str">
        <f>IF($T85="","",COUNTIFS(TRANSACTIONS_MASTER!$D$5:$D$1204,$T85,TRANSACTIONS_MASTER!$C$5:$C$1204,$C$2,TRANSACTIONS_MASTER!$U$5:$U$1204,"&lt;&gt;Cancelled"))</f>
        <v/>
      </c>
    </row>
    <row r="86">
      <c r="A86" s="81" t="str">
        <f>IF($Q86="","",79)</f>
        <v/>
      </c>
      <c r="B86" s="57" t="str">
        <f>IF($Q86="","",INDEX(TRANSACTIONS_MASTER!$B$5:$B$1204,$Q86))</f>
        <v/>
      </c>
      <c r="C86" s="55" t="str">
        <f>IF($Q86="","",INDEX(TRANSACTIONS_MASTER!$F$5:$F$1204,$Q86))</f>
        <v/>
      </c>
      <c r="D86" s="55" t="str">
        <f>IF($Q86="","",INDEX(TRANSACTIONS_MASTER!$E$5:$E$1204,$Q86))</f>
        <v/>
      </c>
      <c r="E86" s="55" t="str">
        <f>IF($Q86="","",INDEX(TRANSACTIONS_MASTER!$G$5:$G$1204,$Q86)&amp;"")</f>
        <v/>
      </c>
      <c r="F86" s="29" t="str">
        <f>IF($Q86="","",INDEX(TRANSACTIONS_MASTER!$I$5:$I$1204,$Q86))</f>
        <v/>
      </c>
      <c r="G86" s="55" t="str">
        <f>IF($Q86="","",INDEX(TRANSACTIONS_MASTER!$K$5:$K$1204,$Q86))</f>
        <v/>
      </c>
      <c r="H86" s="25" t="str">
        <f>IF($Q86="","",INDEX(TRANSACTIONS_MASTER!$L$5:$L$1204,$Q86))</f>
        <v/>
      </c>
      <c r="I86" s="56" t="str">
        <f>IF($Q86="","",INDEX(TRANSACTIONS_MASTER!$N$5:$N$1204,$Q86))</f>
        <v/>
      </c>
      <c r="J86" s="25" t="str">
        <f>IF($Q86="","",INDEX(TRANSACTIONS_MASTER!$O$5:$O$1204,$Q86))</f>
        <v/>
      </c>
      <c r="K86" s="26" t="str">
        <f>IF($Q86="","",INDEX(TRANSACTIONS_MASTER!$Q$5:$Q$1204,$Q86))</f>
        <v/>
      </c>
      <c r="L86" s="25" t="str">
        <f>IF($Q86="","",INDEX(TRANSACTIONS_MASTER!$P$5:$P$1204,$Q86))</f>
        <v/>
      </c>
      <c r="M86" s="25" t="str">
        <f>IF($Q86="","",INDEX(TRANSACTIONS_MASTER!$AA$5:$AA$1204,$Q86))</f>
        <v/>
      </c>
      <c r="N86" s="25" t="str">
        <f>IF($Q86="","",INDEX(TRANSACTIONS_MASTER!$R$5:$R$1204,$Q86))</f>
        <v/>
      </c>
      <c r="O86" s="28" t="str">
        <f>IF($Q86="","",INDEX(TRANSACTIONS_MASTER!$AB$5:$AB$1204,$Q86))</f>
        <v/>
      </c>
      <c r="P86" s="55" t="str">
        <f>IF($Q86="","",INDEX(TRANSACTIONS_MASTER!$Z$5:$Z$1204,$Q86)&amp;"")</f>
        <v/>
      </c>
      <c r="Q86" s="67" t="str">
        <f>IFERROR(MATCH($C$2&amp;"|"&amp;79,TRANSACTIONS_MASTER!$AE$5:$AE$1204,0),"")</f>
        <v/>
      </c>
      <c r="S86" s="67" t="n">
        <v>25</v>
      </c>
      <c r="T86" s="55" t="str">
        <f>IF(CARDS!$A29="","",CARDS!$A29)</f>
        <v/>
      </c>
      <c r="U86" s="55" t="str">
        <f>IF($T86="","",CARDS!$B29&amp;" "&amp;CARDS!$C29)</f>
        <v/>
      </c>
      <c r="V86" s="25" t="str">
        <f>IF($T86="","",SUMIFS(TRANSACTIONS_MASTER!$L$5:$L$1204,TRANSACTIONS_MASTER!$D$5:$D$1204,$T86,TRANSACTIONS_MASTER!$C$5:$C$1204,$C$2,TRANSACTIONS_MASTER!$U$5:$U$1204,"&lt;&gt;Cancelled"))</f>
        <v/>
      </c>
      <c r="W86" s="26" t="str">
        <f>IF($T86="","",SUMIFS(TRANSACTIONS_MASTER!$Q$5:$Q$1204,TRANSACTIONS_MASTER!$D$5:$D$1204,$T86,TRANSACTIONS_MASTER!$C$5:$C$1204,$C$2))</f>
        <v/>
      </c>
      <c r="X86" s="25" t="str">
        <f>IF($T86="","",IFERROR(IF(ISNUMBER(INDEX(CASHBACK_RULES!$K$5:$K$304,MATCH($T86,CASHBACK_RULES!$B$5:$B$304,0))),INDEX(CASHBACK_RULES!$K$5:$K$304,MATCH($T86,CASHBACK_RULES!$B$5:$B$304,0)),"∞"),"—"))</f>
        <v/>
      </c>
      <c r="Y86" s="25" t="str">
        <f>IF($T86="","",IF($X86="—","—",IF(COUNTIFS($T$8:$T$57,$T86,$Z$8:$Z$57,"∞")&gt;0,IF(ISNUMBER($X86),MAX(0,$X86-$W86),"∞"),IF(ISNUMBER($X86),MAX(0,MIN($X86-$W86,SUMIFS($Z$8:$Z$57,$T$8:$T$57,$T86))),SUMIFS($Z$8:$Z$57,$T$8:$T$57,$T86)))))</f>
        <v/>
      </c>
      <c r="Z86" s="27" t="str">
        <f>IF($T86="","",IF(ISNUMBER($X86),IF($X86=0,0,$W86/$X86),IF(ISNUMBER($Y86),IF($W86+$Y86=0,0,$W86/($W86+$Y86)),"")))</f>
        <v/>
      </c>
      <c r="AA86" s="29" t="str">
        <f>IF($T86="","",COUNTIFS(TRANSACTIONS_MASTER!$D$5:$D$1204,$T86,TRANSACTIONS_MASTER!$C$5:$C$1204,$C$2,TRANSACTIONS_MASTER!$U$5:$U$1204,"&lt;&gt;Cancelled"))</f>
        <v/>
      </c>
    </row>
    <row r="87">
      <c r="A87" s="81" t="str">
        <f>IF($Q87="","",80)</f>
        <v/>
      </c>
      <c r="B87" s="57" t="str">
        <f>IF($Q87="","",INDEX(TRANSACTIONS_MASTER!$B$5:$B$1204,$Q87))</f>
        <v/>
      </c>
      <c r="C87" s="55" t="str">
        <f>IF($Q87="","",INDEX(TRANSACTIONS_MASTER!$F$5:$F$1204,$Q87))</f>
        <v/>
      </c>
      <c r="D87" s="55" t="str">
        <f>IF($Q87="","",INDEX(TRANSACTIONS_MASTER!$E$5:$E$1204,$Q87))</f>
        <v/>
      </c>
      <c r="E87" s="55" t="str">
        <f>IF($Q87="","",INDEX(TRANSACTIONS_MASTER!$G$5:$G$1204,$Q87)&amp;"")</f>
        <v/>
      </c>
      <c r="F87" s="29" t="str">
        <f>IF($Q87="","",INDEX(TRANSACTIONS_MASTER!$I$5:$I$1204,$Q87))</f>
        <v/>
      </c>
      <c r="G87" s="55" t="str">
        <f>IF($Q87="","",INDEX(TRANSACTIONS_MASTER!$K$5:$K$1204,$Q87))</f>
        <v/>
      </c>
      <c r="H87" s="25" t="str">
        <f>IF($Q87="","",INDEX(TRANSACTIONS_MASTER!$L$5:$L$1204,$Q87))</f>
        <v/>
      </c>
      <c r="I87" s="56" t="str">
        <f>IF($Q87="","",INDEX(TRANSACTIONS_MASTER!$N$5:$N$1204,$Q87))</f>
        <v/>
      </c>
      <c r="J87" s="25" t="str">
        <f>IF($Q87="","",INDEX(TRANSACTIONS_MASTER!$O$5:$O$1204,$Q87))</f>
        <v/>
      </c>
      <c r="K87" s="26" t="str">
        <f>IF($Q87="","",INDEX(TRANSACTIONS_MASTER!$Q$5:$Q$1204,$Q87))</f>
        <v/>
      </c>
      <c r="L87" s="25" t="str">
        <f>IF($Q87="","",INDEX(TRANSACTIONS_MASTER!$P$5:$P$1204,$Q87))</f>
        <v/>
      </c>
      <c r="M87" s="25" t="str">
        <f>IF($Q87="","",INDEX(TRANSACTIONS_MASTER!$AA$5:$AA$1204,$Q87))</f>
        <v/>
      </c>
      <c r="N87" s="25" t="str">
        <f>IF($Q87="","",INDEX(TRANSACTIONS_MASTER!$R$5:$R$1204,$Q87))</f>
        <v/>
      </c>
      <c r="O87" s="28" t="str">
        <f>IF($Q87="","",INDEX(TRANSACTIONS_MASTER!$AB$5:$AB$1204,$Q87))</f>
        <v/>
      </c>
      <c r="P87" s="55" t="str">
        <f>IF($Q87="","",INDEX(TRANSACTIONS_MASTER!$Z$5:$Z$1204,$Q87)&amp;"")</f>
        <v/>
      </c>
      <c r="Q87" s="67" t="str">
        <f>IFERROR(MATCH($C$2&amp;"|"&amp;80,TRANSACTIONS_MASTER!$AE$5:$AE$1204,0),"")</f>
        <v/>
      </c>
      <c r="S87" s="67" t="n">
        <v>26</v>
      </c>
      <c r="T87" s="55" t="str">
        <f>IF(CARDS!$A30="","",CARDS!$A30)</f>
        <v/>
      </c>
      <c r="U87" s="55" t="str">
        <f>IF($T87="","",CARDS!$B30&amp;" "&amp;CARDS!$C30)</f>
        <v/>
      </c>
      <c r="V87" s="25" t="str">
        <f>IF($T87="","",SUMIFS(TRANSACTIONS_MASTER!$L$5:$L$1204,TRANSACTIONS_MASTER!$D$5:$D$1204,$T87,TRANSACTIONS_MASTER!$C$5:$C$1204,$C$2,TRANSACTIONS_MASTER!$U$5:$U$1204,"&lt;&gt;Cancelled"))</f>
        <v/>
      </c>
      <c r="W87" s="26" t="str">
        <f>IF($T87="","",SUMIFS(TRANSACTIONS_MASTER!$Q$5:$Q$1204,TRANSACTIONS_MASTER!$D$5:$D$1204,$T87,TRANSACTIONS_MASTER!$C$5:$C$1204,$C$2))</f>
        <v/>
      </c>
      <c r="X87" s="25" t="str">
        <f>IF($T87="","",IFERROR(IF(ISNUMBER(INDEX(CASHBACK_RULES!$K$5:$K$304,MATCH($T87,CASHBACK_RULES!$B$5:$B$304,0))),INDEX(CASHBACK_RULES!$K$5:$K$304,MATCH($T87,CASHBACK_RULES!$B$5:$B$304,0)),"∞"),"—"))</f>
        <v/>
      </c>
      <c r="Y87" s="25" t="str">
        <f>IF($T87="","",IF($X87="—","—",IF(COUNTIFS($T$8:$T$57,$T87,$Z$8:$Z$57,"∞")&gt;0,IF(ISNUMBER($X87),MAX(0,$X87-$W87),"∞"),IF(ISNUMBER($X87),MAX(0,MIN($X87-$W87,SUMIFS($Z$8:$Z$57,$T$8:$T$57,$T87))),SUMIFS($Z$8:$Z$57,$T$8:$T$57,$T87)))))</f>
        <v/>
      </c>
      <c r="Z87" s="27" t="str">
        <f>IF($T87="","",IF(ISNUMBER($X87),IF($X87=0,0,$W87/$X87),IF(ISNUMBER($Y87),IF($W87+$Y87=0,0,$W87/($W87+$Y87)),"")))</f>
        <v/>
      </c>
      <c r="AA87" s="29" t="str">
        <f>IF($T87="","",COUNTIFS(TRANSACTIONS_MASTER!$D$5:$D$1204,$T87,TRANSACTIONS_MASTER!$C$5:$C$1204,$C$2,TRANSACTIONS_MASTER!$U$5:$U$1204,"&lt;&gt;Cancelled"))</f>
        <v/>
      </c>
    </row>
    <row r="88">
      <c r="A88" s="81" t="str">
        <f>IF($Q88="","",81)</f>
        <v/>
      </c>
      <c r="B88" s="57" t="str">
        <f>IF($Q88="","",INDEX(TRANSACTIONS_MASTER!$B$5:$B$1204,$Q88))</f>
        <v/>
      </c>
      <c r="C88" s="55" t="str">
        <f>IF($Q88="","",INDEX(TRANSACTIONS_MASTER!$F$5:$F$1204,$Q88))</f>
        <v/>
      </c>
      <c r="D88" s="55" t="str">
        <f>IF($Q88="","",INDEX(TRANSACTIONS_MASTER!$E$5:$E$1204,$Q88))</f>
        <v/>
      </c>
      <c r="E88" s="55" t="str">
        <f>IF($Q88="","",INDEX(TRANSACTIONS_MASTER!$G$5:$G$1204,$Q88)&amp;"")</f>
        <v/>
      </c>
      <c r="F88" s="29" t="str">
        <f>IF($Q88="","",INDEX(TRANSACTIONS_MASTER!$I$5:$I$1204,$Q88))</f>
        <v/>
      </c>
      <c r="G88" s="55" t="str">
        <f>IF($Q88="","",INDEX(TRANSACTIONS_MASTER!$K$5:$K$1204,$Q88))</f>
        <v/>
      </c>
      <c r="H88" s="25" t="str">
        <f>IF($Q88="","",INDEX(TRANSACTIONS_MASTER!$L$5:$L$1204,$Q88))</f>
        <v/>
      </c>
      <c r="I88" s="56" t="str">
        <f>IF($Q88="","",INDEX(TRANSACTIONS_MASTER!$N$5:$N$1204,$Q88))</f>
        <v/>
      </c>
      <c r="J88" s="25" t="str">
        <f>IF($Q88="","",INDEX(TRANSACTIONS_MASTER!$O$5:$O$1204,$Q88))</f>
        <v/>
      </c>
      <c r="K88" s="26" t="str">
        <f>IF($Q88="","",INDEX(TRANSACTIONS_MASTER!$Q$5:$Q$1204,$Q88))</f>
        <v/>
      </c>
      <c r="L88" s="25" t="str">
        <f>IF($Q88="","",INDEX(TRANSACTIONS_MASTER!$P$5:$P$1204,$Q88))</f>
        <v/>
      </c>
      <c r="M88" s="25" t="str">
        <f>IF($Q88="","",INDEX(TRANSACTIONS_MASTER!$AA$5:$AA$1204,$Q88))</f>
        <v/>
      </c>
      <c r="N88" s="25" t="str">
        <f>IF($Q88="","",INDEX(TRANSACTIONS_MASTER!$R$5:$R$1204,$Q88))</f>
        <v/>
      </c>
      <c r="O88" s="28" t="str">
        <f>IF($Q88="","",INDEX(TRANSACTIONS_MASTER!$AB$5:$AB$1204,$Q88))</f>
        <v/>
      </c>
      <c r="P88" s="55" t="str">
        <f>IF($Q88="","",INDEX(TRANSACTIONS_MASTER!$Z$5:$Z$1204,$Q88)&amp;"")</f>
        <v/>
      </c>
      <c r="Q88" s="67" t="str">
        <f>IFERROR(MATCH($C$2&amp;"|"&amp;81,TRANSACTIONS_MASTER!$AE$5:$AE$1204,0),"")</f>
        <v/>
      </c>
      <c r="S88" s="67" t="n">
        <v>27</v>
      </c>
      <c r="T88" s="55" t="str">
        <f>IF(CARDS!$A31="","",CARDS!$A31)</f>
        <v/>
      </c>
      <c r="U88" s="55" t="str">
        <f>IF($T88="","",CARDS!$B31&amp;" "&amp;CARDS!$C31)</f>
        <v/>
      </c>
      <c r="V88" s="25" t="str">
        <f>IF($T88="","",SUMIFS(TRANSACTIONS_MASTER!$L$5:$L$1204,TRANSACTIONS_MASTER!$D$5:$D$1204,$T88,TRANSACTIONS_MASTER!$C$5:$C$1204,$C$2,TRANSACTIONS_MASTER!$U$5:$U$1204,"&lt;&gt;Cancelled"))</f>
        <v/>
      </c>
      <c r="W88" s="26" t="str">
        <f>IF($T88="","",SUMIFS(TRANSACTIONS_MASTER!$Q$5:$Q$1204,TRANSACTIONS_MASTER!$D$5:$D$1204,$T88,TRANSACTIONS_MASTER!$C$5:$C$1204,$C$2))</f>
        <v/>
      </c>
      <c r="X88" s="25" t="str">
        <f>IF($T88="","",IFERROR(IF(ISNUMBER(INDEX(CASHBACK_RULES!$K$5:$K$304,MATCH($T88,CASHBACK_RULES!$B$5:$B$304,0))),INDEX(CASHBACK_RULES!$K$5:$K$304,MATCH($T88,CASHBACK_RULES!$B$5:$B$304,0)),"∞"),"—"))</f>
        <v/>
      </c>
      <c r="Y88" s="25" t="str">
        <f>IF($T88="","",IF($X88="—","—",IF(COUNTIFS($T$8:$T$57,$T88,$Z$8:$Z$57,"∞")&gt;0,IF(ISNUMBER($X88),MAX(0,$X88-$W88),"∞"),IF(ISNUMBER($X88),MAX(0,MIN($X88-$W88,SUMIFS($Z$8:$Z$57,$T$8:$T$57,$T88))),SUMIFS($Z$8:$Z$57,$T$8:$T$57,$T88)))))</f>
        <v/>
      </c>
      <c r="Z88" s="27" t="str">
        <f>IF($T88="","",IF(ISNUMBER($X88),IF($X88=0,0,$W88/$X88),IF(ISNUMBER($Y88),IF($W88+$Y88=0,0,$W88/($W88+$Y88)),"")))</f>
        <v/>
      </c>
      <c r="AA88" s="29" t="str">
        <f>IF($T88="","",COUNTIFS(TRANSACTIONS_MASTER!$D$5:$D$1204,$T88,TRANSACTIONS_MASTER!$C$5:$C$1204,$C$2,TRANSACTIONS_MASTER!$U$5:$U$1204,"&lt;&gt;Cancelled"))</f>
        <v/>
      </c>
    </row>
    <row r="89">
      <c r="A89" s="81" t="str">
        <f>IF($Q89="","",82)</f>
        <v/>
      </c>
      <c r="B89" s="57" t="str">
        <f>IF($Q89="","",INDEX(TRANSACTIONS_MASTER!$B$5:$B$1204,$Q89))</f>
        <v/>
      </c>
      <c r="C89" s="55" t="str">
        <f>IF($Q89="","",INDEX(TRANSACTIONS_MASTER!$F$5:$F$1204,$Q89))</f>
        <v/>
      </c>
      <c r="D89" s="55" t="str">
        <f>IF($Q89="","",INDEX(TRANSACTIONS_MASTER!$E$5:$E$1204,$Q89))</f>
        <v/>
      </c>
      <c r="E89" s="55" t="str">
        <f>IF($Q89="","",INDEX(TRANSACTIONS_MASTER!$G$5:$G$1204,$Q89)&amp;"")</f>
        <v/>
      </c>
      <c r="F89" s="29" t="str">
        <f>IF($Q89="","",INDEX(TRANSACTIONS_MASTER!$I$5:$I$1204,$Q89))</f>
        <v/>
      </c>
      <c r="G89" s="55" t="str">
        <f>IF($Q89="","",INDEX(TRANSACTIONS_MASTER!$K$5:$K$1204,$Q89))</f>
        <v/>
      </c>
      <c r="H89" s="25" t="str">
        <f>IF($Q89="","",INDEX(TRANSACTIONS_MASTER!$L$5:$L$1204,$Q89))</f>
        <v/>
      </c>
      <c r="I89" s="56" t="str">
        <f>IF($Q89="","",INDEX(TRANSACTIONS_MASTER!$N$5:$N$1204,$Q89))</f>
        <v/>
      </c>
      <c r="J89" s="25" t="str">
        <f>IF($Q89="","",INDEX(TRANSACTIONS_MASTER!$O$5:$O$1204,$Q89))</f>
        <v/>
      </c>
      <c r="K89" s="26" t="str">
        <f>IF($Q89="","",INDEX(TRANSACTIONS_MASTER!$Q$5:$Q$1204,$Q89))</f>
        <v/>
      </c>
      <c r="L89" s="25" t="str">
        <f>IF($Q89="","",INDEX(TRANSACTIONS_MASTER!$P$5:$P$1204,$Q89))</f>
        <v/>
      </c>
      <c r="M89" s="25" t="str">
        <f>IF($Q89="","",INDEX(TRANSACTIONS_MASTER!$AA$5:$AA$1204,$Q89))</f>
        <v/>
      </c>
      <c r="N89" s="25" t="str">
        <f>IF($Q89="","",INDEX(TRANSACTIONS_MASTER!$R$5:$R$1204,$Q89))</f>
        <v/>
      </c>
      <c r="O89" s="28" t="str">
        <f>IF($Q89="","",INDEX(TRANSACTIONS_MASTER!$AB$5:$AB$1204,$Q89))</f>
        <v/>
      </c>
      <c r="P89" s="55" t="str">
        <f>IF($Q89="","",INDEX(TRANSACTIONS_MASTER!$Z$5:$Z$1204,$Q89)&amp;"")</f>
        <v/>
      </c>
      <c r="Q89" s="67" t="str">
        <f>IFERROR(MATCH($C$2&amp;"|"&amp;82,TRANSACTIONS_MASTER!$AE$5:$AE$1204,0),"")</f>
        <v/>
      </c>
      <c r="S89" s="67" t="n">
        <v>28</v>
      </c>
      <c r="T89" s="55" t="str">
        <f>IF(CARDS!$A32="","",CARDS!$A32)</f>
        <v/>
      </c>
      <c r="U89" s="55" t="str">
        <f>IF($T89="","",CARDS!$B32&amp;" "&amp;CARDS!$C32)</f>
        <v/>
      </c>
      <c r="V89" s="25" t="str">
        <f>IF($T89="","",SUMIFS(TRANSACTIONS_MASTER!$L$5:$L$1204,TRANSACTIONS_MASTER!$D$5:$D$1204,$T89,TRANSACTIONS_MASTER!$C$5:$C$1204,$C$2,TRANSACTIONS_MASTER!$U$5:$U$1204,"&lt;&gt;Cancelled"))</f>
        <v/>
      </c>
      <c r="W89" s="26" t="str">
        <f>IF($T89="","",SUMIFS(TRANSACTIONS_MASTER!$Q$5:$Q$1204,TRANSACTIONS_MASTER!$D$5:$D$1204,$T89,TRANSACTIONS_MASTER!$C$5:$C$1204,$C$2))</f>
        <v/>
      </c>
      <c r="X89" s="25" t="str">
        <f>IF($T89="","",IFERROR(IF(ISNUMBER(INDEX(CASHBACK_RULES!$K$5:$K$304,MATCH($T89,CASHBACK_RULES!$B$5:$B$304,0))),INDEX(CASHBACK_RULES!$K$5:$K$304,MATCH($T89,CASHBACK_RULES!$B$5:$B$304,0)),"∞"),"—"))</f>
        <v/>
      </c>
      <c r="Y89" s="25" t="str">
        <f>IF($T89="","",IF($X89="—","—",IF(COUNTIFS($T$8:$T$57,$T89,$Z$8:$Z$57,"∞")&gt;0,IF(ISNUMBER($X89),MAX(0,$X89-$W89),"∞"),IF(ISNUMBER($X89),MAX(0,MIN($X89-$W89,SUMIFS($Z$8:$Z$57,$T$8:$T$57,$T89))),SUMIFS($Z$8:$Z$57,$T$8:$T$57,$T89)))))</f>
        <v/>
      </c>
      <c r="Z89" s="27" t="str">
        <f>IF($T89="","",IF(ISNUMBER($X89),IF($X89=0,0,$W89/$X89),IF(ISNUMBER($Y89),IF($W89+$Y89=0,0,$W89/($W89+$Y89)),"")))</f>
        <v/>
      </c>
      <c r="AA89" s="29" t="str">
        <f>IF($T89="","",COUNTIFS(TRANSACTIONS_MASTER!$D$5:$D$1204,$T89,TRANSACTIONS_MASTER!$C$5:$C$1204,$C$2,TRANSACTIONS_MASTER!$U$5:$U$1204,"&lt;&gt;Cancelled"))</f>
        <v/>
      </c>
    </row>
    <row r="90">
      <c r="A90" s="81" t="str">
        <f>IF($Q90="","",83)</f>
        <v/>
      </c>
      <c r="B90" s="57" t="str">
        <f>IF($Q90="","",INDEX(TRANSACTIONS_MASTER!$B$5:$B$1204,$Q90))</f>
        <v/>
      </c>
      <c r="C90" s="55" t="str">
        <f>IF($Q90="","",INDEX(TRANSACTIONS_MASTER!$F$5:$F$1204,$Q90))</f>
        <v/>
      </c>
      <c r="D90" s="55" t="str">
        <f>IF($Q90="","",INDEX(TRANSACTIONS_MASTER!$E$5:$E$1204,$Q90))</f>
        <v/>
      </c>
      <c r="E90" s="55" t="str">
        <f>IF($Q90="","",INDEX(TRANSACTIONS_MASTER!$G$5:$G$1204,$Q90)&amp;"")</f>
        <v/>
      </c>
      <c r="F90" s="29" t="str">
        <f>IF($Q90="","",INDEX(TRANSACTIONS_MASTER!$I$5:$I$1204,$Q90))</f>
        <v/>
      </c>
      <c r="G90" s="55" t="str">
        <f>IF($Q90="","",INDEX(TRANSACTIONS_MASTER!$K$5:$K$1204,$Q90))</f>
        <v/>
      </c>
      <c r="H90" s="25" t="str">
        <f>IF($Q90="","",INDEX(TRANSACTIONS_MASTER!$L$5:$L$1204,$Q90))</f>
        <v/>
      </c>
      <c r="I90" s="56" t="str">
        <f>IF($Q90="","",INDEX(TRANSACTIONS_MASTER!$N$5:$N$1204,$Q90))</f>
        <v/>
      </c>
      <c r="J90" s="25" t="str">
        <f>IF($Q90="","",INDEX(TRANSACTIONS_MASTER!$O$5:$O$1204,$Q90))</f>
        <v/>
      </c>
      <c r="K90" s="26" t="str">
        <f>IF($Q90="","",INDEX(TRANSACTIONS_MASTER!$Q$5:$Q$1204,$Q90))</f>
        <v/>
      </c>
      <c r="L90" s="25" t="str">
        <f>IF($Q90="","",INDEX(TRANSACTIONS_MASTER!$P$5:$P$1204,$Q90))</f>
        <v/>
      </c>
      <c r="M90" s="25" t="str">
        <f>IF($Q90="","",INDEX(TRANSACTIONS_MASTER!$AA$5:$AA$1204,$Q90))</f>
        <v/>
      </c>
      <c r="N90" s="25" t="str">
        <f>IF($Q90="","",INDEX(TRANSACTIONS_MASTER!$R$5:$R$1204,$Q90))</f>
        <v/>
      </c>
      <c r="O90" s="28" t="str">
        <f>IF($Q90="","",INDEX(TRANSACTIONS_MASTER!$AB$5:$AB$1204,$Q90))</f>
        <v/>
      </c>
      <c r="P90" s="55" t="str">
        <f>IF($Q90="","",INDEX(TRANSACTIONS_MASTER!$Z$5:$Z$1204,$Q90)&amp;"")</f>
        <v/>
      </c>
      <c r="Q90" s="67" t="str">
        <f>IFERROR(MATCH($C$2&amp;"|"&amp;83,TRANSACTIONS_MASTER!$AE$5:$AE$1204,0),"")</f>
        <v/>
      </c>
      <c r="S90" s="67" t="n">
        <v>29</v>
      </c>
      <c r="T90" s="55" t="str">
        <f>IF(CARDS!$A33="","",CARDS!$A33)</f>
        <v/>
      </c>
      <c r="U90" s="55" t="str">
        <f>IF($T90="","",CARDS!$B33&amp;" "&amp;CARDS!$C33)</f>
        <v/>
      </c>
      <c r="V90" s="25" t="str">
        <f>IF($T90="","",SUMIFS(TRANSACTIONS_MASTER!$L$5:$L$1204,TRANSACTIONS_MASTER!$D$5:$D$1204,$T90,TRANSACTIONS_MASTER!$C$5:$C$1204,$C$2,TRANSACTIONS_MASTER!$U$5:$U$1204,"&lt;&gt;Cancelled"))</f>
        <v/>
      </c>
      <c r="W90" s="26" t="str">
        <f>IF($T90="","",SUMIFS(TRANSACTIONS_MASTER!$Q$5:$Q$1204,TRANSACTIONS_MASTER!$D$5:$D$1204,$T90,TRANSACTIONS_MASTER!$C$5:$C$1204,$C$2))</f>
        <v/>
      </c>
      <c r="X90" s="25" t="str">
        <f>IF($T90="","",IFERROR(IF(ISNUMBER(INDEX(CASHBACK_RULES!$K$5:$K$304,MATCH($T90,CASHBACK_RULES!$B$5:$B$304,0))),INDEX(CASHBACK_RULES!$K$5:$K$304,MATCH($T90,CASHBACK_RULES!$B$5:$B$304,0)),"∞"),"—"))</f>
        <v/>
      </c>
      <c r="Y90" s="25" t="str">
        <f>IF($T90="","",IF($X90="—","—",IF(COUNTIFS($T$8:$T$57,$T90,$Z$8:$Z$57,"∞")&gt;0,IF(ISNUMBER($X90),MAX(0,$X90-$W90),"∞"),IF(ISNUMBER($X90),MAX(0,MIN($X90-$W90,SUMIFS($Z$8:$Z$57,$T$8:$T$57,$T90))),SUMIFS($Z$8:$Z$57,$T$8:$T$57,$T90)))))</f>
        <v/>
      </c>
      <c r="Z90" s="27" t="str">
        <f>IF($T90="","",IF(ISNUMBER($X90),IF($X90=0,0,$W90/$X90),IF(ISNUMBER($Y90),IF($W90+$Y90=0,0,$W90/($W90+$Y90)),"")))</f>
        <v/>
      </c>
      <c r="AA90" s="29" t="str">
        <f>IF($T90="","",COUNTIFS(TRANSACTIONS_MASTER!$D$5:$D$1204,$T90,TRANSACTIONS_MASTER!$C$5:$C$1204,$C$2,TRANSACTIONS_MASTER!$U$5:$U$1204,"&lt;&gt;Cancelled"))</f>
        <v/>
      </c>
    </row>
    <row r="91">
      <c r="A91" s="81" t="str">
        <f>IF($Q91="","",84)</f>
        <v/>
      </c>
      <c r="B91" s="57" t="str">
        <f>IF($Q91="","",INDEX(TRANSACTIONS_MASTER!$B$5:$B$1204,$Q91))</f>
        <v/>
      </c>
      <c r="C91" s="55" t="str">
        <f>IF($Q91="","",INDEX(TRANSACTIONS_MASTER!$F$5:$F$1204,$Q91))</f>
        <v/>
      </c>
      <c r="D91" s="55" t="str">
        <f>IF($Q91="","",INDEX(TRANSACTIONS_MASTER!$E$5:$E$1204,$Q91))</f>
        <v/>
      </c>
      <c r="E91" s="55" t="str">
        <f>IF($Q91="","",INDEX(TRANSACTIONS_MASTER!$G$5:$G$1204,$Q91)&amp;"")</f>
        <v/>
      </c>
      <c r="F91" s="29" t="str">
        <f>IF($Q91="","",INDEX(TRANSACTIONS_MASTER!$I$5:$I$1204,$Q91))</f>
        <v/>
      </c>
      <c r="G91" s="55" t="str">
        <f>IF($Q91="","",INDEX(TRANSACTIONS_MASTER!$K$5:$K$1204,$Q91))</f>
        <v/>
      </c>
      <c r="H91" s="25" t="str">
        <f>IF($Q91="","",INDEX(TRANSACTIONS_MASTER!$L$5:$L$1204,$Q91))</f>
        <v/>
      </c>
      <c r="I91" s="56" t="str">
        <f>IF($Q91="","",INDEX(TRANSACTIONS_MASTER!$N$5:$N$1204,$Q91))</f>
        <v/>
      </c>
      <c r="J91" s="25" t="str">
        <f>IF($Q91="","",INDEX(TRANSACTIONS_MASTER!$O$5:$O$1204,$Q91))</f>
        <v/>
      </c>
      <c r="K91" s="26" t="str">
        <f>IF($Q91="","",INDEX(TRANSACTIONS_MASTER!$Q$5:$Q$1204,$Q91))</f>
        <v/>
      </c>
      <c r="L91" s="25" t="str">
        <f>IF($Q91="","",INDEX(TRANSACTIONS_MASTER!$P$5:$P$1204,$Q91))</f>
        <v/>
      </c>
      <c r="M91" s="25" t="str">
        <f>IF($Q91="","",INDEX(TRANSACTIONS_MASTER!$AA$5:$AA$1204,$Q91))</f>
        <v/>
      </c>
      <c r="N91" s="25" t="str">
        <f>IF($Q91="","",INDEX(TRANSACTIONS_MASTER!$R$5:$R$1204,$Q91))</f>
        <v/>
      </c>
      <c r="O91" s="28" t="str">
        <f>IF($Q91="","",INDEX(TRANSACTIONS_MASTER!$AB$5:$AB$1204,$Q91))</f>
        <v/>
      </c>
      <c r="P91" s="55" t="str">
        <f>IF($Q91="","",INDEX(TRANSACTIONS_MASTER!$Z$5:$Z$1204,$Q91)&amp;"")</f>
        <v/>
      </c>
      <c r="Q91" s="67" t="str">
        <f>IFERROR(MATCH($C$2&amp;"|"&amp;84,TRANSACTIONS_MASTER!$AE$5:$AE$1204,0),"")</f>
        <v/>
      </c>
      <c r="S91" s="67" t="n">
        <v>30</v>
      </c>
      <c r="T91" s="55" t="str">
        <f>IF(CARDS!$A34="","",CARDS!$A34)</f>
        <v/>
      </c>
      <c r="U91" s="55" t="str">
        <f>IF($T91="","",CARDS!$B34&amp;" "&amp;CARDS!$C34)</f>
        <v/>
      </c>
      <c r="V91" s="25" t="str">
        <f>IF($T91="","",SUMIFS(TRANSACTIONS_MASTER!$L$5:$L$1204,TRANSACTIONS_MASTER!$D$5:$D$1204,$T91,TRANSACTIONS_MASTER!$C$5:$C$1204,$C$2,TRANSACTIONS_MASTER!$U$5:$U$1204,"&lt;&gt;Cancelled"))</f>
        <v/>
      </c>
      <c r="W91" s="26" t="str">
        <f>IF($T91="","",SUMIFS(TRANSACTIONS_MASTER!$Q$5:$Q$1204,TRANSACTIONS_MASTER!$D$5:$D$1204,$T91,TRANSACTIONS_MASTER!$C$5:$C$1204,$C$2))</f>
        <v/>
      </c>
      <c r="X91" s="25" t="str">
        <f>IF($T91="","",IFERROR(IF(ISNUMBER(INDEX(CASHBACK_RULES!$K$5:$K$304,MATCH($T91,CASHBACK_RULES!$B$5:$B$304,0))),INDEX(CASHBACK_RULES!$K$5:$K$304,MATCH($T91,CASHBACK_RULES!$B$5:$B$304,0)),"∞"),"—"))</f>
        <v/>
      </c>
      <c r="Y91" s="25" t="str">
        <f>IF($T91="","",IF($X91="—","—",IF(COUNTIFS($T$8:$T$57,$T91,$Z$8:$Z$57,"∞")&gt;0,IF(ISNUMBER($X91),MAX(0,$X91-$W91),"∞"),IF(ISNUMBER($X91),MAX(0,MIN($X91-$W91,SUMIFS($Z$8:$Z$57,$T$8:$T$57,$T91))),SUMIFS($Z$8:$Z$57,$T$8:$T$57,$T91)))))</f>
        <v/>
      </c>
      <c r="Z91" s="27" t="str">
        <f>IF($T91="","",IF(ISNUMBER($X91),IF($X91=0,0,$W91/$X91),IF(ISNUMBER($Y91),IF($W91+$Y91=0,0,$W91/($W91+$Y91)),"")))</f>
        <v/>
      </c>
      <c r="AA91" s="29" t="str">
        <f>IF($T91="","",COUNTIFS(TRANSACTIONS_MASTER!$D$5:$D$1204,$T91,TRANSACTIONS_MASTER!$C$5:$C$1204,$C$2,TRANSACTIONS_MASTER!$U$5:$U$1204,"&lt;&gt;Cancelled"))</f>
        <v/>
      </c>
    </row>
    <row r="92">
      <c r="A92" s="81" t="str">
        <f>IF($Q92="","",85)</f>
        <v/>
      </c>
      <c r="B92" s="57" t="str">
        <f>IF($Q92="","",INDEX(TRANSACTIONS_MASTER!$B$5:$B$1204,$Q92))</f>
        <v/>
      </c>
      <c r="C92" s="55" t="str">
        <f>IF($Q92="","",INDEX(TRANSACTIONS_MASTER!$F$5:$F$1204,$Q92))</f>
        <v/>
      </c>
      <c r="D92" s="55" t="str">
        <f>IF($Q92="","",INDEX(TRANSACTIONS_MASTER!$E$5:$E$1204,$Q92))</f>
        <v/>
      </c>
      <c r="E92" s="55" t="str">
        <f>IF($Q92="","",INDEX(TRANSACTIONS_MASTER!$G$5:$G$1204,$Q92)&amp;"")</f>
        <v/>
      </c>
      <c r="F92" s="29" t="str">
        <f>IF($Q92="","",INDEX(TRANSACTIONS_MASTER!$I$5:$I$1204,$Q92))</f>
        <v/>
      </c>
      <c r="G92" s="55" t="str">
        <f>IF($Q92="","",INDEX(TRANSACTIONS_MASTER!$K$5:$K$1204,$Q92))</f>
        <v/>
      </c>
      <c r="H92" s="25" t="str">
        <f>IF($Q92="","",INDEX(TRANSACTIONS_MASTER!$L$5:$L$1204,$Q92))</f>
        <v/>
      </c>
      <c r="I92" s="56" t="str">
        <f>IF($Q92="","",INDEX(TRANSACTIONS_MASTER!$N$5:$N$1204,$Q92))</f>
        <v/>
      </c>
      <c r="J92" s="25" t="str">
        <f>IF($Q92="","",INDEX(TRANSACTIONS_MASTER!$O$5:$O$1204,$Q92))</f>
        <v/>
      </c>
      <c r="K92" s="26" t="str">
        <f>IF($Q92="","",INDEX(TRANSACTIONS_MASTER!$Q$5:$Q$1204,$Q92))</f>
        <v/>
      </c>
      <c r="L92" s="25" t="str">
        <f>IF($Q92="","",INDEX(TRANSACTIONS_MASTER!$P$5:$P$1204,$Q92))</f>
        <v/>
      </c>
      <c r="M92" s="25" t="str">
        <f>IF($Q92="","",INDEX(TRANSACTIONS_MASTER!$AA$5:$AA$1204,$Q92))</f>
        <v/>
      </c>
      <c r="N92" s="25" t="str">
        <f>IF($Q92="","",INDEX(TRANSACTIONS_MASTER!$R$5:$R$1204,$Q92))</f>
        <v/>
      </c>
      <c r="O92" s="28" t="str">
        <f>IF($Q92="","",INDEX(TRANSACTIONS_MASTER!$AB$5:$AB$1204,$Q92))</f>
        <v/>
      </c>
      <c r="P92" s="55" t="str">
        <f>IF($Q92="","",INDEX(TRANSACTIONS_MASTER!$Z$5:$Z$1204,$Q92)&amp;"")</f>
        <v/>
      </c>
      <c r="Q92" s="67" t="str">
        <f>IFERROR(MATCH($C$2&amp;"|"&amp;85,TRANSACTIONS_MASTER!$AE$5:$AE$1204,0),"")</f>
        <v/>
      </c>
      <c r="T92" s="68" t="n"/>
      <c r="U92" s="69" t="inlineStr">
        <is>
          <t>TỔNG</t>
        </is>
      </c>
      <c r="V92" s="31">
        <f>SUM(V62:V91)</f>
        <v>0</v>
      </c>
      <c r="W92" s="31">
        <f>SUM(W62:W91)</f>
        <v>0</v>
      </c>
      <c r="X92" s="68" t="n"/>
      <c r="Y92" s="31">
        <f>SUM(Y62:Y91)</f>
        <v>4500000</v>
      </c>
      <c r="Z92" s="68" t="n"/>
      <c r="AA92" s="32">
        <f>SUM(AA62:AA91)</f>
        <v>0</v>
      </c>
    </row>
    <row r="93">
      <c r="A93" s="81" t="str">
        <f>IF($Q93="","",86)</f>
        <v/>
      </c>
      <c r="B93" s="57" t="str">
        <f>IF($Q93="","",INDEX(TRANSACTIONS_MASTER!$B$5:$B$1204,$Q93))</f>
        <v/>
      </c>
      <c r="C93" s="55" t="str">
        <f>IF($Q93="","",INDEX(TRANSACTIONS_MASTER!$F$5:$F$1204,$Q93))</f>
        <v/>
      </c>
      <c r="D93" s="55" t="str">
        <f>IF($Q93="","",INDEX(TRANSACTIONS_MASTER!$E$5:$E$1204,$Q93))</f>
        <v/>
      </c>
      <c r="E93" s="55" t="str">
        <f>IF($Q93="","",INDEX(TRANSACTIONS_MASTER!$G$5:$G$1204,$Q93)&amp;"")</f>
        <v/>
      </c>
      <c r="F93" s="29" t="str">
        <f>IF($Q93="","",INDEX(TRANSACTIONS_MASTER!$I$5:$I$1204,$Q93))</f>
        <v/>
      </c>
      <c r="G93" s="55" t="str">
        <f>IF($Q93="","",INDEX(TRANSACTIONS_MASTER!$K$5:$K$1204,$Q93))</f>
        <v/>
      </c>
      <c r="H93" s="25" t="str">
        <f>IF($Q93="","",INDEX(TRANSACTIONS_MASTER!$L$5:$L$1204,$Q93))</f>
        <v/>
      </c>
      <c r="I93" s="56" t="str">
        <f>IF($Q93="","",INDEX(TRANSACTIONS_MASTER!$N$5:$N$1204,$Q93))</f>
        <v/>
      </c>
      <c r="J93" s="25" t="str">
        <f>IF($Q93="","",INDEX(TRANSACTIONS_MASTER!$O$5:$O$1204,$Q93))</f>
        <v/>
      </c>
      <c r="K93" s="26" t="str">
        <f>IF($Q93="","",INDEX(TRANSACTIONS_MASTER!$Q$5:$Q$1204,$Q93))</f>
        <v/>
      </c>
      <c r="L93" s="25" t="str">
        <f>IF($Q93="","",INDEX(TRANSACTIONS_MASTER!$P$5:$P$1204,$Q93))</f>
        <v/>
      </c>
      <c r="M93" s="25" t="str">
        <f>IF($Q93="","",INDEX(TRANSACTIONS_MASTER!$AA$5:$AA$1204,$Q93))</f>
        <v/>
      </c>
      <c r="N93" s="25" t="str">
        <f>IF($Q93="","",INDEX(TRANSACTIONS_MASTER!$R$5:$R$1204,$Q93))</f>
        <v/>
      </c>
      <c r="O93" s="28" t="str">
        <f>IF($Q93="","",INDEX(TRANSACTIONS_MASTER!$AB$5:$AB$1204,$Q93))</f>
        <v/>
      </c>
      <c r="P93" s="55" t="str">
        <f>IF($Q93="","",INDEX(TRANSACTIONS_MASTER!$Z$5:$Z$1204,$Q93)&amp;"")</f>
        <v/>
      </c>
      <c r="Q93" s="67" t="str">
        <f>IFERROR(MATCH($C$2&amp;"|"&amp;86,TRANSACTIONS_MASTER!$AE$5:$AE$1204,0),"")</f>
        <v/>
      </c>
    </row>
    <row r="94">
      <c r="A94" s="81" t="str">
        <f>IF($Q94="","",87)</f>
        <v/>
      </c>
      <c r="B94" s="57" t="str">
        <f>IF($Q94="","",INDEX(TRANSACTIONS_MASTER!$B$5:$B$1204,$Q94))</f>
        <v/>
      </c>
      <c r="C94" s="55" t="str">
        <f>IF($Q94="","",INDEX(TRANSACTIONS_MASTER!$F$5:$F$1204,$Q94))</f>
        <v/>
      </c>
      <c r="D94" s="55" t="str">
        <f>IF($Q94="","",INDEX(TRANSACTIONS_MASTER!$E$5:$E$1204,$Q94))</f>
        <v/>
      </c>
      <c r="E94" s="55" t="str">
        <f>IF($Q94="","",INDEX(TRANSACTIONS_MASTER!$G$5:$G$1204,$Q94)&amp;"")</f>
        <v/>
      </c>
      <c r="F94" s="29" t="str">
        <f>IF($Q94="","",INDEX(TRANSACTIONS_MASTER!$I$5:$I$1204,$Q94))</f>
        <v/>
      </c>
      <c r="G94" s="55" t="str">
        <f>IF($Q94="","",INDEX(TRANSACTIONS_MASTER!$K$5:$K$1204,$Q94))</f>
        <v/>
      </c>
      <c r="H94" s="25" t="str">
        <f>IF($Q94="","",INDEX(TRANSACTIONS_MASTER!$L$5:$L$1204,$Q94))</f>
        <v/>
      </c>
      <c r="I94" s="56" t="str">
        <f>IF($Q94="","",INDEX(TRANSACTIONS_MASTER!$N$5:$N$1204,$Q94))</f>
        <v/>
      </c>
      <c r="J94" s="25" t="str">
        <f>IF($Q94="","",INDEX(TRANSACTIONS_MASTER!$O$5:$O$1204,$Q94))</f>
        <v/>
      </c>
      <c r="K94" s="26" t="str">
        <f>IF($Q94="","",INDEX(TRANSACTIONS_MASTER!$Q$5:$Q$1204,$Q94))</f>
        <v/>
      </c>
      <c r="L94" s="25" t="str">
        <f>IF($Q94="","",INDEX(TRANSACTIONS_MASTER!$P$5:$P$1204,$Q94))</f>
        <v/>
      </c>
      <c r="M94" s="25" t="str">
        <f>IF($Q94="","",INDEX(TRANSACTIONS_MASTER!$AA$5:$AA$1204,$Q94))</f>
        <v/>
      </c>
      <c r="N94" s="25" t="str">
        <f>IF($Q94="","",INDEX(TRANSACTIONS_MASTER!$R$5:$R$1204,$Q94))</f>
        <v/>
      </c>
      <c r="O94" s="28" t="str">
        <f>IF($Q94="","",INDEX(TRANSACTIONS_MASTER!$AB$5:$AB$1204,$Q94))</f>
        <v/>
      </c>
      <c r="P94" s="55" t="str">
        <f>IF($Q94="","",INDEX(TRANSACTIONS_MASTER!$Z$5:$Z$1204,$Q94)&amp;"")</f>
        <v/>
      </c>
      <c r="Q94" s="67" t="str">
        <f>IFERROR(MATCH($C$2&amp;"|"&amp;87,TRANSACTIONS_MASTER!$AE$5:$AE$1204,0),"")</f>
        <v/>
      </c>
    </row>
    <row r="95" ht="22" customHeight="1">
      <c r="A95" s="81" t="str">
        <f>IF($Q95="","",88)</f>
        <v/>
      </c>
      <c r="B95" s="57" t="str">
        <f>IF($Q95="","",INDEX(TRANSACTIONS_MASTER!$B$5:$B$1204,$Q95))</f>
        <v/>
      </c>
      <c r="C95" s="55" t="str">
        <f>IF($Q95="","",INDEX(TRANSACTIONS_MASTER!$F$5:$F$1204,$Q95))</f>
        <v/>
      </c>
      <c r="D95" s="55" t="str">
        <f>IF($Q95="","",INDEX(TRANSACTIONS_MASTER!$E$5:$E$1204,$Q95))</f>
        <v/>
      </c>
      <c r="E95" s="55" t="str">
        <f>IF($Q95="","",INDEX(TRANSACTIONS_MASTER!$G$5:$G$1204,$Q95)&amp;"")</f>
        <v/>
      </c>
      <c r="F95" s="29" t="str">
        <f>IF($Q95="","",INDEX(TRANSACTIONS_MASTER!$I$5:$I$1204,$Q95))</f>
        <v/>
      </c>
      <c r="G95" s="55" t="str">
        <f>IF($Q95="","",INDEX(TRANSACTIONS_MASTER!$K$5:$K$1204,$Q95))</f>
        <v/>
      </c>
      <c r="H95" s="25" t="str">
        <f>IF($Q95="","",INDEX(TRANSACTIONS_MASTER!$L$5:$L$1204,$Q95))</f>
        <v/>
      </c>
      <c r="I95" s="56" t="str">
        <f>IF($Q95="","",INDEX(TRANSACTIONS_MASTER!$N$5:$N$1204,$Q95))</f>
        <v/>
      </c>
      <c r="J95" s="25" t="str">
        <f>IF($Q95="","",INDEX(TRANSACTIONS_MASTER!$O$5:$O$1204,$Q95))</f>
        <v/>
      </c>
      <c r="K95" s="26" t="str">
        <f>IF($Q95="","",INDEX(TRANSACTIONS_MASTER!$Q$5:$Q$1204,$Q95))</f>
        <v/>
      </c>
      <c r="L95" s="25" t="str">
        <f>IF($Q95="","",INDEX(TRANSACTIONS_MASTER!$P$5:$P$1204,$Q95))</f>
        <v/>
      </c>
      <c r="M95" s="25" t="str">
        <f>IF($Q95="","",INDEX(TRANSACTIONS_MASTER!$AA$5:$AA$1204,$Q95))</f>
        <v/>
      </c>
      <c r="N95" s="25" t="str">
        <f>IF($Q95="","",INDEX(TRANSACTIONS_MASTER!$R$5:$R$1204,$Q95))</f>
        <v/>
      </c>
      <c r="O95" s="28" t="str">
        <f>IF($Q95="","",INDEX(TRANSACTIONS_MASTER!$AB$5:$AB$1204,$Q95))</f>
        <v/>
      </c>
      <c r="P95" s="55" t="str">
        <f>IF($Q95="","",INDEX(TRANSACTIONS_MASTER!$Z$5:$Z$1204,$Q95)&amp;"")</f>
        <v/>
      </c>
      <c r="Q95" s="67" t="str">
        <f>IFERROR(MATCH($C$2&amp;"|"&amp;88,TRANSACTIONS_MASTER!$AE$5:$AE$1204,0),"")</f>
        <v/>
      </c>
      <c r="T95" s="19" t="inlineStr">
        <is>
          <t>THEO NGÂN HÀNG</t>
        </is>
      </c>
      <c r="U95" s="20" t="n"/>
      <c r="V95" s="20" t="n"/>
      <c r="W95" s="20" t="n"/>
      <c r="X95" s="20" t="n"/>
      <c r="Y95" s="20" t="n"/>
      <c r="Z95" s="20" t="n"/>
      <c r="AA95" s="20" t="n"/>
    </row>
    <row r="96" ht="28" customHeight="1">
      <c r="A96" s="81" t="str">
        <f>IF($Q96="","",89)</f>
        <v/>
      </c>
      <c r="B96" s="57" t="str">
        <f>IF($Q96="","",INDEX(TRANSACTIONS_MASTER!$B$5:$B$1204,$Q96))</f>
        <v/>
      </c>
      <c r="C96" s="55" t="str">
        <f>IF($Q96="","",INDEX(TRANSACTIONS_MASTER!$F$5:$F$1204,$Q96))</f>
        <v/>
      </c>
      <c r="D96" s="55" t="str">
        <f>IF($Q96="","",INDEX(TRANSACTIONS_MASTER!$E$5:$E$1204,$Q96))</f>
        <v/>
      </c>
      <c r="E96" s="55" t="str">
        <f>IF($Q96="","",INDEX(TRANSACTIONS_MASTER!$G$5:$G$1204,$Q96)&amp;"")</f>
        <v/>
      </c>
      <c r="F96" s="29" t="str">
        <f>IF($Q96="","",INDEX(TRANSACTIONS_MASTER!$I$5:$I$1204,$Q96))</f>
        <v/>
      </c>
      <c r="G96" s="55" t="str">
        <f>IF($Q96="","",INDEX(TRANSACTIONS_MASTER!$K$5:$K$1204,$Q96))</f>
        <v/>
      </c>
      <c r="H96" s="25" t="str">
        <f>IF($Q96="","",INDEX(TRANSACTIONS_MASTER!$L$5:$L$1204,$Q96))</f>
        <v/>
      </c>
      <c r="I96" s="56" t="str">
        <f>IF($Q96="","",INDEX(TRANSACTIONS_MASTER!$N$5:$N$1204,$Q96))</f>
        <v/>
      </c>
      <c r="J96" s="25" t="str">
        <f>IF($Q96="","",INDEX(TRANSACTIONS_MASTER!$O$5:$O$1204,$Q96))</f>
        <v/>
      </c>
      <c r="K96" s="26" t="str">
        <f>IF($Q96="","",INDEX(TRANSACTIONS_MASTER!$Q$5:$Q$1204,$Q96))</f>
        <v/>
      </c>
      <c r="L96" s="25" t="str">
        <f>IF($Q96="","",INDEX(TRANSACTIONS_MASTER!$P$5:$P$1204,$Q96))</f>
        <v/>
      </c>
      <c r="M96" s="25" t="str">
        <f>IF($Q96="","",INDEX(TRANSACTIONS_MASTER!$AA$5:$AA$1204,$Q96))</f>
        <v/>
      </c>
      <c r="N96" s="25" t="str">
        <f>IF($Q96="","",INDEX(TRANSACTIONS_MASTER!$R$5:$R$1204,$Q96))</f>
        <v/>
      </c>
      <c r="O96" s="28" t="str">
        <f>IF($Q96="","",INDEX(TRANSACTIONS_MASTER!$AB$5:$AB$1204,$Q96))</f>
        <v/>
      </c>
      <c r="P96" s="55" t="str">
        <f>IF($Q96="","",INDEX(TRANSACTIONS_MASTER!$Z$5:$Z$1204,$Q96)&amp;"")</f>
        <v/>
      </c>
      <c r="Q96" s="67" t="str">
        <f>IFERROR(MATCH($C$2&amp;"|"&amp;89,TRANSACTIONS_MASTER!$AE$5:$AE$1204,0),"")</f>
        <v/>
      </c>
      <c r="S96" s="21" t="inlineStr">
        <is>
          <t>#</t>
        </is>
      </c>
      <c r="T96" s="21" t="inlineStr"/>
      <c r="U96" s="21" t="inlineStr">
        <is>
          <t>Ngân hàng</t>
        </is>
      </c>
      <c r="V96" s="21" t="inlineStr">
        <is>
          <t>Chi tiêu</t>
        </is>
      </c>
      <c r="W96" s="21" t="inlineStr">
        <is>
          <t>Cashback</t>
        </is>
      </c>
    </row>
    <row r="97">
      <c r="A97" s="81" t="str">
        <f>IF($Q97="","",90)</f>
        <v/>
      </c>
      <c r="B97" s="57" t="str">
        <f>IF($Q97="","",INDEX(TRANSACTIONS_MASTER!$B$5:$B$1204,$Q97))</f>
        <v/>
      </c>
      <c r="C97" s="55" t="str">
        <f>IF($Q97="","",INDEX(TRANSACTIONS_MASTER!$F$5:$F$1204,$Q97))</f>
        <v/>
      </c>
      <c r="D97" s="55" t="str">
        <f>IF($Q97="","",INDEX(TRANSACTIONS_MASTER!$E$5:$E$1204,$Q97))</f>
        <v/>
      </c>
      <c r="E97" s="55" t="str">
        <f>IF($Q97="","",INDEX(TRANSACTIONS_MASTER!$G$5:$G$1204,$Q97)&amp;"")</f>
        <v/>
      </c>
      <c r="F97" s="29" t="str">
        <f>IF($Q97="","",INDEX(TRANSACTIONS_MASTER!$I$5:$I$1204,$Q97))</f>
        <v/>
      </c>
      <c r="G97" s="55" t="str">
        <f>IF($Q97="","",INDEX(TRANSACTIONS_MASTER!$K$5:$K$1204,$Q97))</f>
        <v/>
      </c>
      <c r="H97" s="25" t="str">
        <f>IF($Q97="","",INDEX(TRANSACTIONS_MASTER!$L$5:$L$1204,$Q97))</f>
        <v/>
      </c>
      <c r="I97" s="56" t="str">
        <f>IF($Q97="","",INDEX(TRANSACTIONS_MASTER!$N$5:$N$1204,$Q97))</f>
        <v/>
      </c>
      <c r="J97" s="25" t="str">
        <f>IF($Q97="","",INDEX(TRANSACTIONS_MASTER!$O$5:$O$1204,$Q97))</f>
        <v/>
      </c>
      <c r="K97" s="26" t="str">
        <f>IF($Q97="","",INDEX(TRANSACTIONS_MASTER!$Q$5:$Q$1204,$Q97))</f>
        <v/>
      </c>
      <c r="L97" s="25" t="str">
        <f>IF($Q97="","",INDEX(TRANSACTIONS_MASTER!$P$5:$P$1204,$Q97))</f>
        <v/>
      </c>
      <c r="M97" s="25" t="str">
        <f>IF($Q97="","",INDEX(TRANSACTIONS_MASTER!$AA$5:$AA$1204,$Q97))</f>
        <v/>
      </c>
      <c r="N97" s="25" t="str">
        <f>IF($Q97="","",INDEX(TRANSACTIONS_MASTER!$R$5:$R$1204,$Q97))</f>
        <v/>
      </c>
      <c r="O97" s="28" t="str">
        <f>IF($Q97="","",INDEX(TRANSACTIONS_MASTER!$AB$5:$AB$1204,$Q97))</f>
        <v/>
      </c>
      <c r="P97" s="55" t="str">
        <f>IF($Q97="","",INDEX(TRANSACTIONS_MASTER!$Z$5:$Z$1204,$Q97)&amp;"")</f>
        <v/>
      </c>
      <c r="Q97" s="67" t="str">
        <f>IFERROR(MATCH($C$2&amp;"|"&amp;90,TRANSACTIONS_MASTER!$AE$5:$AE$1204,0),"")</f>
        <v/>
      </c>
      <c r="S97" s="67">
        <f>IFERROR(MATCH(1,CARDS!$O$5:$O$34,0),"")</f>
        <v>1</v>
      </c>
      <c r="T97" s="55" t="n"/>
      <c r="U97" s="55" t="str">
        <f>IF($S97="","",INDEX(CARDS!$B$5:$B$34,$S97))</f>
        <v>VPBank</v>
      </c>
      <c r="V97" s="25">
        <f>IF($S97="","",SUMIFS(TRANSACTIONS_MASTER!$L$5:$L$1204,TRANSACTIONS_MASTER!$E$5:$E$1204,$U97,TRANSACTIONS_MASTER!$C$5:$C$1204,$C$2,TRANSACTIONS_MASTER!$U$5:$U$1204,"&lt;&gt;Cancelled"))</f>
        <v>0</v>
      </c>
      <c r="W97" s="26">
        <f>IF($S97="","",SUMIFS(TRANSACTIONS_MASTER!$Q$5:$Q$1204,TRANSACTIONS_MASTER!$E$5:$E$1204,$U97,TRANSACTIONS_MASTER!$C$5:$C$1204,$C$2))</f>
        <v>0</v>
      </c>
    </row>
    <row r="98">
      <c r="A98" s="81" t="str">
        <f>IF($Q98="","",91)</f>
        <v/>
      </c>
      <c r="B98" s="57" t="str">
        <f>IF($Q98="","",INDEX(TRANSACTIONS_MASTER!$B$5:$B$1204,$Q98))</f>
        <v/>
      </c>
      <c r="C98" s="55" t="str">
        <f>IF($Q98="","",INDEX(TRANSACTIONS_MASTER!$F$5:$F$1204,$Q98))</f>
        <v/>
      </c>
      <c r="D98" s="55" t="str">
        <f>IF($Q98="","",INDEX(TRANSACTIONS_MASTER!$E$5:$E$1204,$Q98))</f>
        <v/>
      </c>
      <c r="E98" s="55" t="str">
        <f>IF($Q98="","",INDEX(TRANSACTIONS_MASTER!$G$5:$G$1204,$Q98)&amp;"")</f>
        <v/>
      </c>
      <c r="F98" s="29" t="str">
        <f>IF($Q98="","",INDEX(TRANSACTIONS_MASTER!$I$5:$I$1204,$Q98))</f>
        <v/>
      </c>
      <c r="G98" s="55" t="str">
        <f>IF($Q98="","",INDEX(TRANSACTIONS_MASTER!$K$5:$K$1204,$Q98))</f>
        <v/>
      </c>
      <c r="H98" s="25" t="str">
        <f>IF($Q98="","",INDEX(TRANSACTIONS_MASTER!$L$5:$L$1204,$Q98))</f>
        <v/>
      </c>
      <c r="I98" s="56" t="str">
        <f>IF($Q98="","",INDEX(TRANSACTIONS_MASTER!$N$5:$N$1204,$Q98))</f>
        <v/>
      </c>
      <c r="J98" s="25" t="str">
        <f>IF($Q98="","",INDEX(TRANSACTIONS_MASTER!$O$5:$O$1204,$Q98))</f>
        <v/>
      </c>
      <c r="K98" s="26" t="str">
        <f>IF($Q98="","",INDEX(TRANSACTIONS_MASTER!$Q$5:$Q$1204,$Q98))</f>
        <v/>
      </c>
      <c r="L98" s="25" t="str">
        <f>IF($Q98="","",INDEX(TRANSACTIONS_MASTER!$P$5:$P$1204,$Q98))</f>
        <v/>
      </c>
      <c r="M98" s="25" t="str">
        <f>IF($Q98="","",INDEX(TRANSACTIONS_MASTER!$AA$5:$AA$1204,$Q98))</f>
        <v/>
      </c>
      <c r="N98" s="25" t="str">
        <f>IF($Q98="","",INDEX(TRANSACTIONS_MASTER!$R$5:$R$1204,$Q98))</f>
        <v/>
      </c>
      <c r="O98" s="28" t="str">
        <f>IF($Q98="","",INDEX(TRANSACTIONS_MASTER!$AB$5:$AB$1204,$Q98))</f>
        <v/>
      </c>
      <c r="P98" s="55" t="str">
        <f>IF($Q98="","",INDEX(TRANSACTIONS_MASTER!$Z$5:$Z$1204,$Q98)&amp;"")</f>
        <v/>
      </c>
      <c r="Q98" s="67" t="str">
        <f>IFERROR(MATCH($C$2&amp;"|"&amp;91,TRANSACTIONS_MASTER!$AE$5:$AE$1204,0),"")</f>
        <v/>
      </c>
      <c r="S98" s="67">
        <f>IFERROR(MATCH(2,CARDS!$O$5:$O$34,0),"")</f>
        <v>2</v>
      </c>
      <c r="T98" s="55" t="n"/>
      <c r="U98" s="55" t="str">
        <f>IF($S98="","",INDEX(CARDS!$B$5:$B$34,$S98))</f>
        <v>VIB</v>
      </c>
      <c r="V98" s="25">
        <f>IF($S98="","",SUMIFS(TRANSACTIONS_MASTER!$L$5:$L$1204,TRANSACTIONS_MASTER!$E$5:$E$1204,$U98,TRANSACTIONS_MASTER!$C$5:$C$1204,$C$2,TRANSACTIONS_MASTER!$U$5:$U$1204,"&lt;&gt;Cancelled"))</f>
        <v>0</v>
      </c>
      <c r="W98" s="26">
        <f>IF($S98="","",SUMIFS(TRANSACTIONS_MASTER!$Q$5:$Q$1204,TRANSACTIONS_MASTER!$E$5:$E$1204,$U98,TRANSACTIONS_MASTER!$C$5:$C$1204,$C$2))</f>
        <v>0</v>
      </c>
    </row>
    <row r="99">
      <c r="A99" s="81" t="str">
        <f>IF($Q99="","",92)</f>
        <v/>
      </c>
      <c r="B99" s="57" t="str">
        <f>IF($Q99="","",INDEX(TRANSACTIONS_MASTER!$B$5:$B$1204,$Q99))</f>
        <v/>
      </c>
      <c r="C99" s="55" t="str">
        <f>IF($Q99="","",INDEX(TRANSACTIONS_MASTER!$F$5:$F$1204,$Q99))</f>
        <v/>
      </c>
      <c r="D99" s="55" t="str">
        <f>IF($Q99="","",INDEX(TRANSACTIONS_MASTER!$E$5:$E$1204,$Q99))</f>
        <v/>
      </c>
      <c r="E99" s="55" t="str">
        <f>IF($Q99="","",INDEX(TRANSACTIONS_MASTER!$G$5:$G$1204,$Q99)&amp;"")</f>
        <v/>
      </c>
      <c r="F99" s="29" t="str">
        <f>IF($Q99="","",INDEX(TRANSACTIONS_MASTER!$I$5:$I$1204,$Q99))</f>
        <v/>
      </c>
      <c r="G99" s="55" t="str">
        <f>IF($Q99="","",INDEX(TRANSACTIONS_MASTER!$K$5:$K$1204,$Q99))</f>
        <v/>
      </c>
      <c r="H99" s="25" t="str">
        <f>IF($Q99="","",INDEX(TRANSACTIONS_MASTER!$L$5:$L$1204,$Q99))</f>
        <v/>
      </c>
      <c r="I99" s="56" t="str">
        <f>IF($Q99="","",INDEX(TRANSACTIONS_MASTER!$N$5:$N$1204,$Q99))</f>
        <v/>
      </c>
      <c r="J99" s="25" t="str">
        <f>IF($Q99="","",INDEX(TRANSACTIONS_MASTER!$O$5:$O$1204,$Q99))</f>
        <v/>
      </c>
      <c r="K99" s="26" t="str">
        <f>IF($Q99="","",INDEX(TRANSACTIONS_MASTER!$Q$5:$Q$1204,$Q99))</f>
        <v/>
      </c>
      <c r="L99" s="25" t="str">
        <f>IF($Q99="","",INDEX(TRANSACTIONS_MASTER!$P$5:$P$1204,$Q99))</f>
        <v/>
      </c>
      <c r="M99" s="25" t="str">
        <f>IF($Q99="","",INDEX(TRANSACTIONS_MASTER!$AA$5:$AA$1204,$Q99))</f>
        <v/>
      </c>
      <c r="N99" s="25" t="str">
        <f>IF($Q99="","",INDEX(TRANSACTIONS_MASTER!$R$5:$R$1204,$Q99))</f>
        <v/>
      </c>
      <c r="O99" s="28" t="str">
        <f>IF($Q99="","",INDEX(TRANSACTIONS_MASTER!$AB$5:$AB$1204,$Q99))</f>
        <v/>
      </c>
      <c r="P99" s="55" t="str">
        <f>IF($Q99="","",INDEX(TRANSACTIONS_MASTER!$Z$5:$Z$1204,$Q99)&amp;"")</f>
        <v/>
      </c>
      <c r="Q99" s="67" t="str">
        <f>IFERROR(MATCH($C$2&amp;"|"&amp;92,TRANSACTIONS_MASTER!$AE$5:$AE$1204,0),"")</f>
        <v/>
      </c>
      <c r="S99" s="67">
        <f>IFERROR(MATCH(3,CARDS!$O$5:$O$34,0),"")</f>
        <v>3</v>
      </c>
      <c r="T99" s="55" t="n"/>
      <c r="U99" s="55" t="str">
        <f>IF($S99="","",INDEX(CARDS!$B$5:$B$34,$S99))</f>
        <v>Techcombank</v>
      </c>
      <c r="V99" s="25">
        <f>IF($S99="","",SUMIFS(TRANSACTIONS_MASTER!$L$5:$L$1204,TRANSACTIONS_MASTER!$E$5:$E$1204,$U99,TRANSACTIONS_MASTER!$C$5:$C$1204,$C$2,TRANSACTIONS_MASTER!$U$5:$U$1204,"&lt;&gt;Cancelled"))</f>
        <v>0</v>
      </c>
      <c r="W99" s="26">
        <f>IF($S99="","",SUMIFS(TRANSACTIONS_MASTER!$Q$5:$Q$1204,TRANSACTIONS_MASTER!$E$5:$E$1204,$U99,TRANSACTIONS_MASTER!$C$5:$C$1204,$C$2))</f>
        <v>0</v>
      </c>
    </row>
    <row r="100">
      <c r="A100" s="81" t="str">
        <f>IF($Q100="","",93)</f>
        <v/>
      </c>
      <c r="B100" s="57" t="str">
        <f>IF($Q100="","",INDEX(TRANSACTIONS_MASTER!$B$5:$B$1204,$Q100))</f>
        <v/>
      </c>
      <c r="C100" s="55" t="str">
        <f>IF($Q100="","",INDEX(TRANSACTIONS_MASTER!$F$5:$F$1204,$Q100))</f>
        <v/>
      </c>
      <c r="D100" s="55" t="str">
        <f>IF($Q100="","",INDEX(TRANSACTIONS_MASTER!$E$5:$E$1204,$Q100))</f>
        <v/>
      </c>
      <c r="E100" s="55" t="str">
        <f>IF($Q100="","",INDEX(TRANSACTIONS_MASTER!$G$5:$G$1204,$Q100)&amp;"")</f>
        <v/>
      </c>
      <c r="F100" s="29" t="str">
        <f>IF($Q100="","",INDEX(TRANSACTIONS_MASTER!$I$5:$I$1204,$Q100))</f>
        <v/>
      </c>
      <c r="G100" s="55" t="str">
        <f>IF($Q100="","",INDEX(TRANSACTIONS_MASTER!$K$5:$K$1204,$Q100))</f>
        <v/>
      </c>
      <c r="H100" s="25" t="str">
        <f>IF($Q100="","",INDEX(TRANSACTIONS_MASTER!$L$5:$L$1204,$Q100))</f>
        <v/>
      </c>
      <c r="I100" s="56" t="str">
        <f>IF($Q100="","",INDEX(TRANSACTIONS_MASTER!$N$5:$N$1204,$Q100))</f>
        <v/>
      </c>
      <c r="J100" s="25" t="str">
        <f>IF($Q100="","",INDEX(TRANSACTIONS_MASTER!$O$5:$O$1204,$Q100))</f>
        <v/>
      </c>
      <c r="K100" s="26" t="str">
        <f>IF($Q100="","",INDEX(TRANSACTIONS_MASTER!$Q$5:$Q$1204,$Q100))</f>
        <v/>
      </c>
      <c r="L100" s="25" t="str">
        <f>IF($Q100="","",INDEX(TRANSACTIONS_MASTER!$P$5:$P$1204,$Q100))</f>
        <v/>
      </c>
      <c r="M100" s="25" t="str">
        <f>IF($Q100="","",INDEX(TRANSACTIONS_MASTER!$AA$5:$AA$1204,$Q100))</f>
        <v/>
      </c>
      <c r="N100" s="25" t="str">
        <f>IF($Q100="","",INDEX(TRANSACTIONS_MASTER!$R$5:$R$1204,$Q100))</f>
        <v/>
      </c>
      <c r="O100" s="28" t="str">
        <f>IF($Q100="","",INDEX(TRANSACTIONS_MASTER!$AB$5:$AB$1204,$Q100))</f>
        <v/>
      </c>
      <c r="P100" s="55" t="str">
        <f>IF($Q100="","",INDEX(TRANSACTIONS_MASTER!$Z$5:$Z$1204,$Q100)&amp;"")</f>
        <v/>
      </c>
      <c r="Q100" s="67" t="str">
        <f>IFERROR(MATCH($C$2&amp;"|"&amp;93,TRANSACTIONS_MASTER!$AE$5:$AE$1204,0),"")</f>
        <v/>
      </c>
      <c r="S100" s="67">
        <f>IFERROR(MATCH(4,CARDS!$O$5:$O$34,0),"")</f>
        <v>4</v>
      </c>
      <c r="T100" s="55" t="n"/>
      <c r="U100" s="55" t="str">
        <f>IF($S100="","",INDEX(CARDS!$B$5:$B$34,$S100))</f>
        <v>UOB</v>
      </c>
      <c r="V100" s="25">
        <f>IF($S100="","",SUMIFS(TRANSACTIONS_MASTER!$L$5:$L$1204,TRANSACTIONS_MASTER!$E$5:$E$1204,$U100,TRANSACTIONS_MASTER!$C$5:$C$1204,$C$2,TRANSACTIONS_MASTER!$U$5:$U$1204,"&lt;&gt;Cancelled"))</f>
        <v>0</v>
      </c>
      <c r="W100" s="26">
        <f>IF($S100="","",SUMIFS(TRANSACTIONS_MASTER!$Q$5:$Q$1204,TRANSACTIONS_MASTER!$E$5:$E$1204,$U100,TRANSACTIONS_MASTER!$C$5:$C$1204,$C$2))</f>
        <v>0</v>
      </c>
    </row>
    <row r="101">
      <c r="A101" s="81" t="str">
        <f>IF($Q101="","",94)</f>
        <v/>
      </c>
      <c r="B101" s="57" t="str">
        <f>IF($Q101="","",INDEX(TRANSACTIONS_MASTER!$B$5:$B$1204,$Q101))</f>
        <v/>
      </c>
      <c r="C101" s="55" t="str">
        <f>IF($Q101="","",INDEX(TRANSACTIONS_MASTER!$F$5:$F$1204,$Q101))</f>
        <v/>
      </c>
      <c r="D101" s="55" t="str">
        <f>IF($Q101="","",INDEX(TRANSACTIONS_MASTER!$E$5:$E$1204,$Q101))</f>
        <v/>
      </c>
      <c r="E101" s="55" t="str">
        <f>IF($Q101="","",INDEX(TRANSACTIONS_MASTER!$G$5:$G$1204,$Q101)&amp;"")</f>
        <v/>
      </c>
      <c r="F101" s="29" t="str">
        <f>IF($Q101="","",INDEX(TRANSACTIONS_MASTER!$I$5:$I$1204,$Q101))</f>
        <v/>
      </c>
      <c r="G101" s="55" t="str">
        <f>IF($Q101="","",INDEX(TRANSACTIONS_MASTER!$K$5:$K$1204,$Q101))</f>
        <v/>
      </c>
      <c r="H101" s="25" t="str">
        <f>IF($Q101="","",INDEX(TRANSACTIONS_MASTER!$L$5:$L$1204,$Q101))</f>
        <v/>
      </c>
      <c r="I101" s="56" t="str">
        <f>IF($Q101="","",INDEX(TRANSACTIONS_MASTER!$N$5:$N$1204,$Q101))</f>
        <v/>
      </c>
      <c r="J101" s="25" t="str">
        <f>IF($Q101="","",INDEX(TRANSACTIONS_MASTER!$O$5:$O$1204,$Q101))</f>
        <v/>
      </c>
      <c r="K101" s="26" t="str">
        <f>IF($Q101="","",INDEX(TRANSACTIONS_MASTER!$Q$5:$Q$1204,$Q101))</f>
        <v/>
      </c>
      <c r="L101" s="25" t="str">
        <f>IF($Q101="","",INDEX(TRANSACTIONS_MASTER!$P$5:$P$1204,$Q101))</f>
        <v/>
      </c>
      <c r="M101" s="25" t="str">
        <f>IF($Q101="","",INDEX(TRANSACTIONS_MASTER!$AA$5:$AA$1204,$Q101))</f>
        <v/>
      </c>
      <c r="N101" s="25" t="str">
        <f>IF($Q101="","",INDEX(TRANSACTIONS_MASTER!$R$5:$R$1204,$Q101))</f>
        <v/>
      </c>
      <c r="O101" s="28" t="str">
        <f>IF($Q101="","",INDEX(TRANSACTIONS_MASTER!$AB$5:$AB$1204,$Q101))</f>
        <v/>
      </c>
      <c r="P101" s="55" t="str">
        <f>IF($Q101="","",INDEX(TRANSACTIONS_MASTER!$Z$5:$Z$1204,$Q101)&amp;"")</f>
        <v/>
      </c>
      <c r="Q101" s="67" t="str">
        <f>IFERROR(MATCH($C$2&amp;"|"&amp;94,TRANSACTIONS_MASTER!$AE$5:$AE$1204,0),"")</f>
        <v/>
      </c>
      <c r="S101" s="67">
        <f>IFERROR(MATCH(5,CARDS!$O$5:$O$34,0),"")</f>
        <v>5</v>
      </c>
      <c r="T101" s="55" t="n"/>
      <c r="U101" s="55" t="str">
        <f>IF($S101="","",INDEX(CARDS!$B$5:$B$34,$S101))</f>
        <v>MB</v>
      </c>
      <c r="V101" s="25">
        <f>IF($S101="","",SUMIFS(TRANSACTIONS_MASTER!$L$5:$L$1204,TRANSACTIONS_MASTER!$E$5:$E$1204,$U101,TRANSACTIONS_MASTER!$C$5:$C$1204,$C$2,TRANSACTIONS_MASTER!$U$5:$U$1204,"&lt;&gt;Cancelled"))</f>
        <v>0</v>
      </c>
      <c r="W101" s="26">
        <f>IF($S101="","",SUMIFS(TRANSACTIONS_MASTER!$Q$5:$Q$1204,TRANSACTIONS_MASTER!$E$5:$E$1204,$U101,TRANSACTIONS_MASTER!$C$5:$C$1204,$C$2))</f>
        <v>0</v>
      </c>
    </row>
    <row r="102">
      <c r="A102" s="81" t="str">
        <f>IF($Q102="","",95)</f>
        <v/>
      </c>
      <c r="B102" s="57" t="str">
        <f>IF($Q102="","",INDEX(TRANSACTIONS_MASTER!$B$5:$B$1204,$Q102))</f>
        <v/>
      </c>
      <c r="C102" s="55" t="str">
        <f>IF($Q102="","",INDEX(TRANSACTIONS_MASTER!$F$5:$F$1204,$Q102))</f>
        <v/>
      </c>
      <c r="D102" s="55" t="str">
        <f>IF($Q102="","",INDEX(TRANSACTIONS_MASTER!$E$5:$E$1204,$Q102))</f>
        <v/>
      </c>
      <c r="E102" s="55" t="str">
        <f>IF($Q102="","",INDEX(TRANSACTIONS_MASTER!$G$5:$G$1204,$Q102)&amp;"")</f>
        <v/>
      </c>
      <c r="F102" s="29" t="str">
        <f>IF($Q102="","",INDEX(TRANSACTIONS_MASTER!$I$5:$I$1204,$Q102))</f>
        <v/>
      </c>
      <c r="G102" s="55" t="str">
        <f>IF($Q102="","",INDEX(TRANSACTIONS_MASTER!$K$5:$K$1204,$Q102))</f>
        <v/>
      </c>
      <c r="H102" s="25" t="str">
        <f>IF($Q102="","",INDEX(TRANSACTIONS_MASTER!$L$5:$L$1204,$Q102))</f>
        <v/>
      </c>
      <c r="I102" s="56" t="str">
        <f>IF($Q102="","",INDEX(TRANSACTIONS_MASTER!$N$5:$N$1204,$Q102))</f>
        <v/>
      </c>
      <c r="J102" s="25" t="str">
        <f>IF($Q102="","",INDEX(TRANSACTIONS_MASTER!$O$5:$O$1204,$Q102))</f>
        <v/>
      </c>
      <c r="K102" s="26" t="str">
        <f>IF($Q102="","",INDEX(TRANSACTIONS_MASTER!$Q$5:$Q$1204,$Q102))</f>
        <v/>
      </c>
      <c r="L102" s="25" t="str">
        <f>IF($Q102="","",INDEX(TRANSACTIONS_MASTER!$P$5:$P$1204,$Q102))</f>
        <v/>
      </c>
      <c r="M102" s="25" t="str">
        <f>IF($Q102="","",INDEX(TRANSACTIONS_MASTER!$AA$5:$AA$1204,$Q102))</f>
        <v/>
      </c>
      <c r="N102" s="25" t="str">
        <f>IF($Q102="","",INDEX(TRANSACTIONS_MASTER!$R$5:$R$1204,$Q102))</f>
        <v/>
      </c>
      <c r="O102" s="28" t="str">
        <f>IF($Q102="","",INDEX(TRANSACTIONS_MASTER!$AB$5:$AB$1204,$Q102))</f>
        <v/>
      </c>
      <c r="P102" s="55" t="str">
        <f>IF($Q102="","",INDEX(TRANSACTIONS_MASTER!$Z$5:$Z$1204,$Q102)&amp;"")</f>
        <v/>
      </c>
      <c r="Q102" s="67" t="str">
        <f>IFERROR(MATCH($C$2&amp;"|"&amp;95,TRANSACTIONS_MASTER!$AE$5:$AE$1204,0),"")</f>
        <v/>
      </c>
      <c r="S102" s="67">
        <f>IFERROR(MATCH(6,CARDS!$O$5:$O$34,0),"")</f>
        <v>6</v>
      </c>
      <c r="T102" s="55" t="n"/>
      <c r="U102" s="55" t="str">
        <f>IF($S102="","",INDEX(CARDS!$B$5:$B$34,$S102))</f>
        <v>ACB</v>
      </c>
      <c r="V102" s="25">
        <f>IF($S102="","",SUMIFS(TRANSACTIONS_MASTER!$L$5:$L$1204,TRANSACTIONS_MASTER!$E$5:$E$1204,$U102,TRANSACTIONS_MASTER!$C$5:$C$1204,$C$2,TRANSACTIONS_MASTER!$U$5:$U$1204,"&lt;&gt;Cancelled"))</f>
        <v>0</v>
      </c>
      <c r="W102" s="26">
        <f>IF($S102="","",SUMIFS(TRANSACTIONS_MASTER!$Q$5:$Q$1204,TRANSACTIONS_MASTER!$E$5:$E$1204,$U102,TRANSACTIONS_MASTER!$C$5:$C$1204,$C$2))</f>
        <v>0</v>
      </c>
    </row>
    <row r="103">
      <c r="A103" s="81" t="str">
        <f>IF($Q103="","",96)</f>
        <v/>
      </c>
      <c r="B103" s="57" t="str">
        <f>IF($Q103="","",INDEX(TRANSACTIONS_MASTER!$B$5:$B$1204,$Q103))</f>
        <v/>
      </c>
      <c r="C103" s="55" t="str">
        <f>IF($Q103="","",INDEX(TRANSACTIONS_MASTER!$F$5:$F$1204,$Q103))</f>
        <v/>
      </c>
      <c r="D103" s="55" t="str">
        <f>IF($Q103="","",INDEX(TRANSACTIONS_MASTER!$E$5:$E$1204,$Q103))</f>
        <v/>
      </c>
      <c r="E103" s="55" t="str">
        <f>IF($Q103="","",INDEX(TRANSACTIONS_MASTER!$G$5:$G$1204,$Q103)&amp;"")</f>
        <v/>
      </c>
      <c r="F103" s="29" t="str">
        <f>IF($Q103="","",INDEX(TRANSACTIONS_MASTER!$I$5:$I$1204,$Q103))</f>
        <v/>
      </c>
      <c r="G103" s="55" t="str">
        <f>IF($Q103="","",INDEX(TRANSACTIONS_MASTER!$K$5:$K$1204,$Q103))</f>
        <v/>
      </c>
      <c r="H103" s="25" t="str">
        <f>IF($Q103="","",INDEX(TRANSACTIONS_MASTER!$L$5:$L$1204,$Q103))</f>
        <v/>
      </c>
      <c r="I103" s="56" t="str">
        <f>IF($Q103="","",INDEX(TRANSACTIONS_MASTER!$N$5:$N$1204,$Q103))</f>
        <v/>
      </c>
      <c r="J103" s="25" t="str">
        <f>IF($Q103="","",INDEX(TRANSACTIONS_MASTER!$O$5:$O$1204,$Q103))</f>
        <v/>
      </c>
      <c r="K103" s="26" t="str">
        <f>IF($Q103="","",INDEX(TRANSACTIONS_MASTER!$Q$5:$Q$1204,$Q103))</f>
        <v/>
      </c>
      <c r="L103" s="25" t="str">
        <f>IF($Q103="","",INDEX(TRANSACTIONS_MASTER!$P$5:$P$1204,$Q103))</f>
        <v/>
      </c>
      <c r="M103" s="25" t="str">
        <f>IF($Q103="","",INDEX(TRANSACTIONS_MASTER!$AA$5:$AA$1204,$Q103))</f>
        <v/>
      </c>
      <c r="N103" s="25" t="str">
        <f>IF($Q103="","",INDEX(TRANSACTIONS_MASTER!$R$5:$R$1204,$Q103))</f>
        <v/>
      </c>
      <c r="O103" s="28" t="str">
        <f>IF($Q103="","",INDEX(TRANSACTIONS_MASTER!$AB$5:$AB$1204,$Q103))</f>
        <v/>
      </c>
      <c r="P103" s="55" t="str">
        <f>IF($Q103="","",INDEX(TRANSACTIONS_MASTER!$Z$5:$Z$1204,$Q103)&amp;"")</f>
        <v/>
      </c>
      <c r="Q103" s="67" t="str">
        <f>IFERROR(MATCH($C$2&amp;"|"&amp;96,TRANSACTIONS_MASTER!$AE$5:$AE$1204,0),"")</f>
        <v/>
      </c>
      <c r="S103" s="67" t="str">
        <f>IFERROR(MATCH(7,CARDS!$O$5:$O$34,0),"")</f>
        <v/>
      </c>
      <c r="T103" s="55" t="n"/>
      <c r="U103" s="55" t="str">
        <f>IF($S103="","",INDEX(CARDS!$B$5:$B$34,$S103))</f>
        <v/>
      </c>
      <c r="V103" s="25" t="str">
        <f>IF($S103="","",SUMIFS(TRANSACTIONS_MASTER!$L$5:$L$1204,TRANSACTIONS_MASTER!$E$5:$E$1204,$U103,TRANSACTIONS_MASTER!$C$5:$C$1204,$C$2,TRANSACTIONS_MASTER!$U$5:$U$1204,"&lt;&gt;Cancelled"))</f>
        <v/>
      </c>
      <c r="W103" s="26" t="str">
        <f>IF($S103="","",SUMIFS(TRANSACTIONS_MASTER!$Q$5:$Q$1204,TRANSACTIONS_MASTER!$E$5:$E$1204,$U103,TRANSACTIONS_MASTER!$C$5:$C$1204,$C$2))</f>
        <v/>
      </c>
    </row>
    <row r="104">
      <c r="A104" s="81" t="str">
        <f>IF($Q104="","",97)</f>
        <v/>
      </c>
      <c r="B104" s="57" t="str">
        <f>IF($Q104="","",INDEX(TRANSACTIONS_MASTER!$B$5:$B$1204,$Q104))</f>
        <v/>
      </c>
      <c r="C104" s="55" t="str">
        <f>IF($Q104="","",INDEX(TRANSACTIONS_MASTER!$F$5:$F$1204,$Q104))</f>
        <v/>
      </c>
      <c r="D104" s="55" t="str">
        <f>IF($Q104="","",INDEX(TRANSACTIONS_MASTER!$E$5:$E$1204,$Q104))</f>
        <v/>
      </c>
      <c r="E104" s="55" t="str">
        <f>IF($Q104="","",INDEX(TRANSACTIONS_MASTER!$G$5:$G$1204,$Q104)&amp;"")</f>
        <v/>
      </c>
      <c r="F104" s="29" t="str">
        <f>IF($Q104="","",INDEX(TRANSACTIONS_MASTER!$I$5:$I$1204,$Q104))</f>
        <v/>
      </c>
      <c r="G104" s="55" t="str">
        <f>IF($Q104="","",INDEX(TRANSACTIONS_MASTER!$K$5:$K$1204,$Q104))</f>
        <v/>
      </c>
      <c r="H104" s="25" t="str">
        <f>IF($Q104="","",INDEX(TRANSACTIONS_MASTER!$L$5:$L$1204,$Q104))</f>
        <v/>
      </c>
      <c r="I104" s="56" t="str">
        <f>IF($Q104="","",INDEX(TRANSACTIONS_MASTER!$N$5:$N$1204,$Q104))</f>
        <v/>
      </c>
      <c r="J104" s="25" t="str">
        <f>IF($Q104="","",INDEX(TRANSACTIONS_MASTER!$O$5:$O$1204,$Q104))</f>
        <v/>
      </c>
      <c r="K104" s="26" t="str">
        <f>IF($Q104="","",INDEX(TRANSACTIONS_MASTER!$Q$5:$Q$1204,$Q104))</f>
        <v/>
      </c>
      <c r="L104" s="25" t="str">
        <f>IF($Q104="","",INDEX(TRANSACTIONS_MASTER!$P$5:$P$1204,$Q104))</f>
        <v/>
      </c>
      <c r="M104" s="25" t="str">
        <f>IF($Q104="","",INDEX(TRANSACTIONS_MASTER!$AA$5:$AA$1204,$Q104))</f>
        <v/>
      </c>
      <c r="N104" s="25" t="str">
        <f>IF($Q104="","",INDEX(TRANSACTIONS_MASTER!$R$5:$R$1204,$Q104))</f>
        <v/>
      </c>
      <c r="O104" s="28" t="str">
        <f>IF($Q104="","",INDEX(TRANSACTIONS_MASTER!$AB$5:$AB$1204,$Q104))</f>
        <v/>
      </c>
      <c r="P104" s="55" t="str">
        <f>IF($Q104="","",INDEX(TRANSACTIONS_MASTER!$Z$5:$Z$1204,$Q104)&amp;"")</f>
        <v/>
      </c>
      <c r="Q104" s="67" t="str">
        <f>IFERROR(MATCH($C$2&amp;"|"&amp;97,TRANSACTIONS_MASTER!$AE$5:$AE$1204,0),"")</f>
        <v/>
      </c>
      <c r="S104" s="67" t="str">
        <f>IFERROR(MATCH(8,CARDS!$O$5:$O$34,0),"")</f>
        <v/>
      </c>
      <c r="T104" s="55" t="n"/>
      <c r="U104" s="55" t="str">
        <f>IF($S104="","",INDEX(CARDS!$B$5:$B$34,$S104))</f>
        <v/>
      </c>
      <c r="V104" s="25" t="str">
        <f>IF($S104="","",SUMIFS(TRANSACTIONS_MASTER!$L$5:$L$1204,TRANSACTIONS_MASTER!$E$5:$E$1204,$U104,TRANSACTIONS_MASTER!$C$5:$C$1204,$C$2,TRANSACTIONS_MASTER!$U$5:$U$1204,"&lt;&gt;Cancelled"))</f>
        <v/>
      </c>
      <c r="W104" s="26" t="str">
        <f>IF($S104="","",SUMIFS(TRANSACTIONS_MASTER!$Q$5:$Q$1204,TRANSACTIONS_MASTER!$E$5:$E$1204,$U104,TRANSACTIONS_MASTER!$C$5:$C$1204,$C$2))</f>
        <v/>
      </c>
    </row>
    <row r="105">
      <c r="A105" s="81" t="str">
        <f>IF($Q105="","",98)</f>
        <v/>
      </c>
      <c r="B105" s="57" t="str">
        <f>IF($Q105="","",INDEX(TRANSACTIONS_MASTER!$B$5:$B$1204,$Q105))</f>
        <v/>
      </c>
      <c r="C105" s="55" t="str">
        <f>IF($Q105="","",INDEX(TRANSACTIONS_MASTER!$F$5:$F$1204,$Q105))</f>
        <v/>
      </c>
      <c r="D105" s="55" t="str">
        <f>IF($Q105="","",INDEX(TRANSACTIONS_MASTER!$E$5:$E$1204,$Q105))</f>
        <v/>
      </c>
      <c r="E105" s="55" t="str">
        <f>IF($Q105="","",INDEX(TRANSACTIONS_MASTER!$G$5:$G$1204,$Q105)&amp;"")</f>
        <v/>
      </c>
      <c r="F105" s="29" t="str">
        <f>IF($Q105="","",INDEX(TRANSACTIONS_MASTER!$I$5:$I$1204,$Q105))</f>
        <v/>
      </c>
      <c r="G105" s="55" t="str">
        <f>IF($Q105="","",INDEX(TRANSACTIONS_MASTER!$K$5:$K$1204,$Q105))</f>
        <v/>
      </c>
      <c r="H105" s="25" t="str">
        <f>IF($Q105="","",INDEX(TRANSACTIONS_MASTER!$L$5:$L$1204,$Q105))</f>
        <v/>
      </c>
      <c r="I105" s="56" t="str">
        <f>IF($Q105="","",INDEX(TRANSACTIONS_MASTER!$N$5:$N$1204,$Q105))</f>
        <v/>
      </c>
      <c r="J105" s="25" t="str">
        <f>IF($Q105="","",INDEX(TRANSACTIONS_MASTER!$O$5:$O$1204,$Q105))</f>
        <v/>
      </c>
      <c r="K105" s="26" t="str">
        <f>IF($Q105="","",INDEX(TRANSACTIONS_MASTER!$Q$5:$Q$1204,$Q105))</f>
        <v/>
      </c>
      <c r="L105" s="25" t="str">
        <f>IF($Q105="","",INDEX(TRANSACTIONS_MASTER!$P$5:$P$1204,$Q105))</f>
        <v/>
      </c>
      <c r="M105" s="25" t="str">
        <f>IF($Q105="","",INDEX(TRANSACTIONS_MASTER!$AA$5:$AA$1204,$Q105))</f>
        <v/>
      </c>
      <c r="N105" s="25" t="str">
        <f>IF($Q105="","",INDEX(TRANSACTIONS_MASTER!$R$5:$R$1204,$Q105))</f>
        <v/>
      </c>
      <c r="O105" s="28" t="str">
        <f>IF($Q105="","",INDEX(TRANSACTIONS_MASTER!$AB$5:$AB$1204,$Q105))</f>
        <v/>
      </c>
      <c r="P105" s="55" t="str">
        <f>IF($Q105="","",INDEX(TRANSACTIONS_MASTER!$Z$5:$Z$1204,$Q105)&amp;"")</f>
        <v/>
      </c>
      <c r="Q105" s="67" t="str">
        <f>IFERROR(MATCH($C$2&amp;"|"&amp;98,TRANSACTIONS_MASTER!$AE$5:$AE$1204,0),"")</f>
        <v/>
      </c>
      <c r="S105" s="67" t="str">
        <f>IFERROR(MATCH(9,CARDS!$O$5:$O$34,0),"")</f>
        <v/>
      </c>
      <c r="T105" s="55" t="n"/>
      <c r="U105" s="55" t="str">
        <f>IF($S105="","",INDEX(CARDS!$B$5:$B$34,$S105))</f>
        <v/>
      </c>
      <c r="V105" s="25" t="str">
        <f>IF($S105="","",SUMIFS(TRANSACTIONS_MASTER!$L$5:$L$1204,TRANSACTIONS_MASTER!$E$5:$E$1204,$U105,TRANSACTIONS_MASTER!$C$5:$C$1204,$C$2,TRANSACTIONS_MASTER!$U$5:$U$1204,"&lt;&gt;Cancelled"))</f>
        <v/>
      </c>
      <c r="W105" s="26" t="str">
        <f>IF($S105="","",SUMIFS(TRANSACTIONS_MASTER!$Q$5:$Q$1204,TRANSACTIONS_MASTER!$E$5:$E$1204,$U105,TRANSACTIONS_MASTER!$C$5:$C$1204,$C$2))</f>
        <v/>
      </c>
    </row>
    <row r="106">
      <c r="A106" s="81" t="str">
        <f>IF($Q106="","",99)</f>
        <v/>
      </c>
      <c r="B106" s="57" t="str">
        <f>IF($Q106="","",INDEX(TRANSACTIONS_MASTER!$B$5:$B$1204,$Q106))</f>
        <v/>
      </c>
      <c r="C106" s="55" t="str">
        <f>IF($Q106="","",INDEX(TRANSACTIONS_MASTER!$F$5:$F$1204,$Q106))</f>
        <v/>
      </c>
      <c r="D106" s="55" t="str">
        <f>IF($Q106="","",INDEX(TRANSACTIONS_MASTER!$E$5:$E$1204,$Q106))</f>
        <v/>
      </c>
      <c r="E106" s="55" t="str">
        <f>IF($Q106="","",INDEX(TRANSACTIONS_MASTER!$G$5:$G$1204,$Q106)&amp;"")</f>
        <v/>
      </c>
      <c r="F106" s="29" t="str">
        <f>IF($Q106="","",INDEX(TRANSACTIONS_MASTER!$I$5:$I$1204,$Q106))</f>
        <v/>
      </c>
      <c r="G106" s="55" t="str">
        <f>IF($Q106="","",INDEX(TRANSACTIONS_MASTER!$K$5:$K$1204,$Q106))</f>
        <v/>
      </c>
      <c r="H106" s="25" t="str">
        <f>IF($Q106="","",INDEX(TRANSACTIONS_MASTER!$L$5:$L$1204,$Q106))</f>
        <v/>
      </c>
      <c r="I106" s="56" t="str">
        <f>IF($Q106="","",INDEX(TRANSACTIONS_MASTER!$N$5:$N$1204,$Q106))</f>
        <v/>
      </c>
      <c r="J106" s="25" t="str">
        <f>IF($Q106="","",INDEX(TRANSACTIONS_MASTER!$O$5:$O$1204,$Q106))</f>
        <v/>
      </c>
      <c r="K106" s="26" t="str">
        <f>IF($Q106="","",INDEX(TRANSACTIONS_MASTER!$Q$5:$Q$1204,$Q106))</f>
        <v/>
      </c>
      <c r="L106" s="25" t="str">
        <f>IF($Q106="","",INDEX(TRANSACTIONS_MASTER!$P$5:$P$1204,$Q106))</f>
        <v/>
      </c>
      <c r="M106" s="25" t="str">
        <f>IF($Q106="","",INDEX(TRANSACTIONS_MASTER!$AA$5:$AA$1204,$Q106))</f>
        <v/>
      </c>
      <c r="N106" s="25" t="str">
        <f>IF($Q106="","",INDEX(TRANSACTIONS_MASTER!$R$5:$R$1204,$Q106))</f>
        <v/>
      </c>
      <c r="O106" s="28" t="str">
        <f>IF($Q106="","",INDEX(TRANSACTIONS_MASTER!$AB$5:$AB$1204,$Q106))</f>
        <v/>
      </c>
      <c r="P106" s="55" t="str">
        <f>IF($Q106="","",INDEX(TRANSACTIONS_MASTER!$Z$5:$Z$1204,$Q106)&amp;"")</f>
        <v/>
      </c>
      <c r="Q106" s="67" t="str">
        <f>IFERROR(MATCH($C$2&amp;"|"&amp;99,TRANSACTIONS_MASTER!$AE$5:$AE$1204,0),"")</f>
        <v/>
      </c>
      <c r="S106" s="67" t="str">
        <f>IFERROR(MATCH(10,CARDS!$O$5:$O$34,0),"")</f>
        <v/>
      </c>
      <c r="T106" s="55" t="n"/>
      <c r="U106" s="55" t="str">
        <f>IF($S106="","",INDEX(CARDS!$B$5:$B$34,$S106))</f>
        <v/>
      </c>
      <c r="V106" s="25" t="str">
        <f>IF($S106="","",SUMIFS(TRANSACTIONS_MASTER!$L$5:$L$1204,TRANSACTIONS_MASTER!$E$5:$E$1204,$U106,TRANSACTIONS_MASTER!$C$5:$C$1204,$C$2,TRANSACTIONS_MASTER!$U$5:$U$1204,"&lt;&gt;Cancelled"))</f>
        <v/>
      </c>
      <c r="W106" s="26" t="str">
        <f>IF($S106="","",SUMIFS(TRANSACTIONS_MASTER!$Q$5:$Q$1204,TRANSACTIONS_MASTER!$E$5:$E$1204,$U106,TRANSACTIONS_MASTER!$C$5:$C$1204,$C$2))</f>
        <v/>
      </c>
    </row>
    <row r="107">
      <c r="A107" s="81" t="str">
        <f>IF($Q107="","",100)</f>
        <v/>
      </c>
      <c r="B107" s="57" t="str">
        <f>IF($Q107="","",INDEX(TRANSACTIONS_MASTER!$B$5:$B$1204,$Q107))</f>
        <v/>
      </c>
      <c r="C107" s="55" t="str">
        <f>IF($Q107="","",INDEX(TRANSACTIONS_MASTER!$F$5:$F$1204,$Q107))</f>
        <v/>
      </c>
      <c r="D107" s="55" t="str">
        <f>IF($Q107="","",INDEX(TRANSACTIONS_MASTER!$E$5:$E$1204,$Q107))</f>
        <v/>
      </c>
      <c r="E107" s="55" t="str">
        <f>IF($Q107="","",INDEX(TRANSACTIONS_MASTER!$G$5:$G$1204,$Q107)&amp;"")</f>
        <v/>
      </c>
      <c r="F107" s="29" t="str">
        <f>IF($Q107="","",INDEX(TRANSACTIONS_MASTER!$I$5:$I$1204,$Q107))</f>
        <v/>
      </c>
      <c r="G107" s="55" t="str">
        <f>IF($Q107="","",INDEX(TRANSACTIONS_MASTER!$K$5:$K$1204,$Q107))</f>
        <v/>
      </c>
      <c r="H107" s="25" t="str">
        <f>IF($Q107="","",INDEX(TRANSACTIONS_MASTER!$L$5:$L$1204,$Q107))</f>
        <v/>
      </c>
      <c r="I107" s="56" t="str">
        <f>IF($Q107="","",INDEX(TRANSACTIONS_MASTER!$N$5:$N$1204,$Q107))</f>
        <v/>
      </c>
      <c r="J107" s="25" t="str">
        <f>IF($Q107="","",INDEX(TRANSACTIONS_MASTER!$O$5:$O$1204,$Q107))</f>
        <v/>
      </c>
      <c r="K107" s="26" t="str">
        <f>IF($Q107="","",INDEX(TRANSACTIONS_MASTER!$Q$5:$Q$1204,$Q107))</f>
        <v/>
      </c>
      <c r="L107" s="25" t="str">
        <f>IF($Q107="","",INDEX(TRANSACTIONS_MASTER!$P$5:$P$1204,$Q107))</f>
        <v/>
      </c>
      <c r="M107" s="25" t="str">
        <f>IF($Q107="","",INDEX(TRANSACTIONS_MASTER!$AA$5:$AA$1204,$Q107))</f>
        <v/>
      </c>
      <c r="N107" s="25" t="str">
        <f>IF($Q107="","",INDEX(TRANSACTIONS_MASTER!$R$5:$R$1204,$Q107))</f>
        <v/>
      </c>
      <c r="O107" s="28" t="str">
        <f>IF($Q107="","",INDEX(TRANSACTIONS_MASTER!$AB$5:$AB$1204,$Q107))</f>
        <v/>
      </c>
      <c r="P107" s="55" t="str">
        <f>IF($Q107="","",INDEX(TRANSACTIONS_MASTER!$Z$5:$Z$1204,$Q107)&amp;"")</f>
        <v/>
      </c>
      <c r="Q107" s="67" t="str">
        <f>IFERROR(MATCH($C$2&amp;"|"&amp;100,TRANSACTIONS_MASTER!$AE$5:$AE$1204,0),"")</f>
        <v/>
      </c>
      <c r="S107" s="67" t="str">
        <f>IFERROR(MATCH(11,CARDS!$O$5:$O$34,0),"")</f>
        <v/>
      </c>
      <c r="T107" s="55" t="n"/>
      <c r="U107" s="55" t="str">
        <f>IF($S107="","",INDEX(CARDS!$B$5:$B$34,$S107))</f>
        <v/>
      </c>
      <c r="V107" s="25" t="str">
        <f>IF($S107="","",SUMIFS(TRANSACTIONS_MASTER!$L$5:$L$1204,TRANSACTIONS_MASTER!$E$5:$E$1204,$U107,TRANSACTIONS_MASTER!$C$5:$C$1204,$C$2,TRANSACTIONS_MASTER!$U$5:$U$1204,"&lt;&gt;Cancelled"))</f>
        <v/>
      </c>
      <c r="W107" s="26" t="str">
        <f>IF($S107="","",SUMIFS(TRANSACTIONS_MASTER!$Q$5:$Q$1204,TRANSACTIONS_MASTER!$E$5:$E$1204,$U107,TRANSACTIONS_MASTER!$C$5:$C$1204,$C$2))</f>
        <v/>
      </c>
    </row>
    <row r="108">
      <c r="A108" s="81" t="str">
        <f>IF($Q108="","",101)</f>
        <v/>
      </c>
      <c r="B108" s="57" t="str">
        <f>IF($Q108="","",INDEX(TRANSACTIONS_MASTER!$B$5:$B$1204,$Q108))</f>
        <v/>
      </c>
      <c r="C108" s="55" t="str">
        <f>IF($Q108="","",INDEX(TRANSACTIONS_MASTER!$F$5:$F$1204,$Q108))</f>
        <v/>
      </c>
      <c r="D108" s="55" t="str">
        <f>IF($Q108="","",INDEX(TRANSACTIONS_MASTER!$E$5:$E$1204,$Q108))</f>
        <v/>
      </c>
      <c r="E108" s="55" t="str">
        <f>IF($Q108="","",INDEX(TRANSACTIONS_MASTER!$G$5:$G$1204,$Q108)&amp;"")</f>
        <v/>
      </c>
      <c r="F108" s="29" t="str">
        <f>IF($Q108="","",INDEX(TRANSACTIONS_MASTER!$I$5:$I$1204,$Q108))</f>
        <v/>
      </c>
      <c r="G108" s="55" t="str">
        <f>IF($Q108="","",INDEX(TRANSACTIONS_MASTER!$K$5:$K$1204,$Q108))</f>
        <v/>
      </c>
      <c r="H108" s="25" t="str">
        <f>IF($Q108="","",INDEX(TRANSACTIONS_MASTER!$L$5:$L$1204,$Q108))</f>
        <v/>
      </c>
      <c r="I108" s="56" t="str">
        <f>IF($Q108="","",INDEX(TRANSACTIONS_MASTER!$N$5:$N$1204,$Q108))</f>
        <v/>
      </c>
      <c r="J108" s="25" t="str">
        <f>IF($Q108="","",INDEX(TRANSACTIONS_MASTER!$O$5:$O$1204,$Q108))</f>
        <v/>
      </c>
      <c r="K108" s="26" t="str">
        <f>IF($Q108="","",INDEX(TRANSACTIONS_MASTER!$Q$5:$Q$1204,$Q108))</f>
        <v/>
      </c>
      <c r="L108" s="25" t="str">
        <f>IF($Q108="","",INDEX(TRANSACTIONS_MASTER!$P$5:$P$1204,$Q108))</f>
        <v/>
      </c>
      <c r="M108" s="25" t="str">
        <f>IF($Q108="","",INDEX(TRANSACTIONS_MASTER!$AA$5:$AA$1204,$Q108))</f>
        <v/>
      </c>
      <c r="N108" s="25" t="str">
        <f>IF($Q108="","",INDEX(TRANSACTIONS_MASTER!$R$5:$R$1204,$Q108))</f>
        <v/>
      </c>
      <c r="O108" s="28" t="str">
        <f>IF($Q108="","",INDEX(TRANSACTIONS_MASTER!$AB$5:$AB$1204,$Q108))</f>
        <v/>
      </c>
      <c r="P108" s="55" t="str">
        <f>IF($Q108="","",INDEX(TRANSACTIONS_MASTER!$Z$5:$Z$1204,$Q108)&amp;"")</f>
        <v/>
      </c>
      <c r="Q108" s="67" t="str">
        <f>IFERROR(MATCH($C$2&amp;"|"&amp;101,TRANSACTIONS_MASTER!$AE$5:$AE$1204,0),"")</f>
        <v/>
      </c>
      <c r="S108" s="67" t="str">
        <f>IFERROR(MATCH(12,CARDS!$O$5:$O$34,0),"")</f>
        <v/>
      </c>
      <c r="T108" s="55" t="n"/>
      <c r="U108" s="55" t="str">
        <f>IF($S108="","",INDEX(CARDS!$B$5:$B$34,$S108))</f>
        <v/>
      </c>
      <c r="V108" s="25" t="str">
        <f>IF($S108="","",SUMIFS(TRANSACTIONS_MASTER!$L$5:$L$1204,TRANSACTIONS_MASTER!$E$5:$E$1204,$U108,TRANSACTIONS_MASTER!$C$5:$C$1204,$C$2,TRANSACTIONS_MASTER!$U$5:$U$1204,"&lt;&gt;Cancelled"))</f>
        <v/>
      </c>
      <c r="W108" s="26" t="str">
        <f>IF($S108="","",SUMIFS(TRANSACTIONS_MASTER!$Q$5:$Q$1204,TRANSACTIONS_MASTER!$E$5:$E$1204,$U108,TRANSACTIONS_MASTER!$C$5:$C$1204,$C$2))</f>
        <v/>
      </c>
    </row>
    <row r="109">
      <c r="A109" s="81" t="str">
        <f>IF($Q109="","",102)</f>
        <v/>
      </c>
      <c r="B109" s="57" t="str">
        <f>IF($Q109="","",INDEX(TRANSACTIONS_MASTER!$B$5:$B$1204,$Q109))</f>
        <v/>
      </c>
      <c r="C109" s="55" t="str">
        <f>IF($Q109="","",INDEX(TRANSACTIONS_MASTER!$F$5:$F$1204,$Q109))</f>
        <v/>
      </c>
      <c r="D109" s="55" t="str">
        <f>IF($Q109="","",INDEX(TRANSACTIONS_MASTER!$E$5:$E$1204,$Q109))</f>
        <v/>
      </c>
      <c r="E109" s="55" t="str">
        <f>IF($Q109="","",INDEX(TRANSACTIONS_MASTER!$G$5:$G$1204,$Q109)&amp;"")</f>
        <v/>
      </c>
      <c r="F109" s="29" t="str">
        <f>IF($Q109="","",INDEX(TRANSACTIONS_MASTER!$I$5:$I$1204,$Q109))</f>
        <v/>
      </c>
      <c r="G109" s="55" t="str">
        <f>IF($Q109="","",INDEX(TRANSACTIONS_MASTER!$K$5:$K$1204,$Q109))</f>
        <v/>
      </c>
      <c r="H109" s="25" t="str">
        <f>IF($Q109="","",INDEX(TRANSACTIONS_MASTER!$L$5:$L$1204,$Q109))</f>
        <v/>
      </c>
      <c r="I109" s="56" t="str">
        <f>IF($Q109="","",INDEX(TRANSACTIONS_MASTER!$N$5:$N$1204,$Q109))</f>
        <v/>
      </c>
      <c r="J109" s="25" t="str">
        <f>IF($Q109="","",INDEX(TRANSACTIONS_MASTER!$O$5:$O$1204,$Q109))</f>
        <v/>
      </c>
      <c r="K109" s="26" t="str">
        <f>IF($Q109="","",INDEX(TRANSACTIONS_MASTER!$Q$5:$Q$1204,$Q109))</f>
        <v/>
      </c>
      <c r="L109" s="25" t="str">
        <f>IF($Q109="","",INDEX(TRANSACTIONS_MASTER!$P$5:$P$1204,$Q109))</f>
        <v/>
      </c>
      <c r="M109" s="25" t="str">
        <f>IF($Q109="","",INDEX(TRANSACTIONS_MASTER!$AA$5:$AA$1204,$Q109))</f>
        <v/>
      </c>
      <c r="N109" s="25" t="str">
        <f>IF($Q109="","",INDEX(TRANSACTIONS_MASTER!$R$5:$R$1204,$Q109))</f>
        <v/>
      </c>
      <c r="O109" s="28" t="str">
        <f>IF($Q109="","",INDEX(TRANSACTIONS_MASTER!$AB$5:$AB$1204,$Q109))</f>
        <v/>
      </c>
      <c r="P109" s="55" t="str">
        <f>IF($Q109="","",INDEX(TRANSACTIONS_MASTER!$Z$5:$Z$1204,$Q109)&amp;"")</f>
        <v/>
      </c>
      <c r="Q109" s="67" t="str">
        <f>IFERROR(MATCH($C$2&amp;"|"&amp;102,TRANSACTIONS_MASTER!$AE$5:$AE$1204,0),"")</f>
        <v/>
      </c>
      <c r="S109" s="67" t="str">
        <f>IFERROR(MATCH(13,CARDS!$O$5:$O$34,0),"")</f>
        <v/>
      </c>
      <c r="T109" s="55" t="n"/>
      <c r="U109" s="55" t="str">
        <f>IF($S109="","",INDEX(CARDS!$B$5:$B$34,$S109))</f>
        <v/>
      </c>
      <c r="V109" s="25" t="str">
        <f>IF($S109="","",SUMIFS(TRANSACTIONS_MASTER!$L$5:$L$1204,TRANSACTIONS_MASTER!$E$5:$E$1204,$U109,TRANSACTIONS_MASTER!$C$5:$C$1204,$C$2,TRANSACTIONS_MASTER!$U$5:$U$1204,"&lt;&gt;Cancelled"))</f>
        <v/>
      </c>
      <c r="W109" s="26" t="str">
        <f>IF($S109="","",SUMIFS(TRANSACTIONS_MASTER!$Q$5:$Q$1204,TRANSACTIONS_MASTER!$E$5:$E$1204,$U109,TRANSACTIONS_MASTER!$C$5:$C$1204,$C$2))</f>
        <v/>
      </c>
    </row>
    <row r="110">
      <c r="A110" s="81" t="str">
        <f>IF($Q110="","",103)</f>
        <v/>
      </c>
      <c r="B110" s="57" t="str">
        <f>IF($Q110="","",INDEX(TRANSACTIONS_MASTER!$B$5:$B$1204,$Q110))</f>
        <v/>
      </c>
      <c r="C110" s="55" t="str">
        <f>IF($Q110="","",INDEX(TRANSACTIONS_MASTER!$F$5:$F$1204,$Q110))</f>
        <v/>
      </c>
      <c r="D110" s="55" t="str">
        <f>IF($Q110="","",INDEX(TRANSACTIONS_MASTER!$E$5:$E$1204,$Q110))</f>
        <v/>
      </c>
      <c r="E110" s="55" t="str">
        <f>IF($Q110="","",INDEX(TRANSACTIONS_MASTER!$G$5:$G$1204,$Q110)&amp;"")</f>
        <v/>
      </c>
      <c r="F110" s="29" t="str">
        <f>IF($Q110="","",INDEX(TRANSACTIONS_MASTER!$I$5:$I$1204,$Q110))</f>
        <v/>
      </c>
      <c r="G110" s="55" t="str">
        <f>IF($Q110="","",INDEX(TRANSACTIONS_MASTER!$K$5:$K$1204,$Q110))</f>
        <v/>
      </c>
      <c r="H110" s="25" t="str">
        <f>IF($Q110="","",INDEX(TRANSACTIONS_MASTER!$L$5:$L$1204,$Q110))</f>
        <v/>
      </c>
      <c r="I110" s="56" t="str">
        <f>IF($Q110="","",INDEX(TRANSACTIONS_MASTER!$N$5:$N$1204,$Q110))</f>
        <v/>
      </c>
      <c r="J110" s="25" t="str">
        <f>IF($Q110="","",INDEX(TRANSACTIONS_MASTER!$O$5:$O$1204,$Q110))</f>
        <v/>
      </c>
      <c r="K110" s="26" t="str">
        <f>IF($Q110="","",INDEX(TRANSACTIONS_MASTER!$Q$5:$Q$1204,$Q110))</f>
        <v/>
      </c>
      <c r="L110" s="25" t="str">
        <f>IF($Q110="","",INDEX(TRANSACTIONS_MASTER!$P$5:$P$1204,$Q110))</f>
        <v/>
      </c>
      <c r="M110" s="25" t="str">
        <f>IF($Q110="","",INDEX(TRANSACTIONS_MASTER!$AA$5:$AA$1204,$Q110))</f>
        <v/>
      </c>
      <c r="N110" s="25" t="str">
        <f>IF($Q110="","",INDEX(TRANSACTIONS_MASTER!$R$5:$R$1204,$Q110))</f>
        <v/>
      </c>
      <c r="O110" s="28" t="str">
        <f>IF($Q110="","",INDEX(TRANSACTIONS_MASTER!$AB$5:$AB$1204,$Q110))</f>
        <v/>
      </c>
      <c r="P110" s="55" t="str">
        <f>IF($Q110="","",INDEX(TRANSACTIONS_MASTER!$Z$5:$Z$1204,$Q110)&amp;"")</f>
        <v/>
      </c>
      <c r="Q110" s="67" t="str">
        <f>IFERROR(MATCH($C$2&amp;"|"&amp;103,TRANSACTIONS_MASTER!$AE$5:$AE$1204,0),"")</f>
        <v/>
      </c>
      <c r="S110" s="67" t="str">
        <f>IFERROR(MATCH(14,CARDS!$O$5:$O$34,0),"")</f>
        <v/>
      </c>
      <c r="T110" s="55" t="n"/>
      <c r="U110" s="55" t="str">
        <f>IF($S110="","",INDEX(CARDS!$B$5:$B$34,$S110))</f>
        <v/>
      </c>
      <c r="V110" s="25" t="str">
        <f>IF($S110="","",SUMIFS(TRANSACTIONS_MASTER!$L$5:$L$1204,TRANSACTIONS_MASTER!$E$5:$E$1204,$U110,TRANSACTIONS_MASTER!$C$5:$C$1204,$C$2,TRANSACTIONS_MASTER!$U$5:$U$1204,"&lt;&gt;Cancelled"))</f>
        <v/>
      </c>
      <c r="W110" s="26" t="str">
        <f>IF($S110="","",SUMIFS(TRANSACTIONS_MASTER!$Q$5:$Q$1204,TRANSACTIONS_MASTER!$E$5:$E$1204,$U110,TRANSACTIONS_MASTER!$C$5:$C$1204,$C$2))</f>
        <v/>
      </c>
    </row>
    <row r="111">
      <c r="A111" s="81" t="str">
        <f>IF($Q111="","",104)</f>
        <v/>
      </c>
      <c r="B111" s="57" t="str">
        <f>IF($Q111="","",INDEX(TRANSACTIONS_MASTER!$B$5:$B$1204,$Q111))</f>
        <v/>
      </c>
      <c r="C111" s="55" t="str">
        <f>IF($Q111="","",INDEX(TRANSACTIONS_MASTER!$F$5:$F$1204,$Q111))</f>
        <v/>
      </c>
      <c r="D111" s="55" t="str">
        <f>IF($Q111="","",INDEX(TRANSACTIONS_MASTER!$E$5:$E$1204,$Q111))</f>
        <v/>
      </c>
      <c r="E111" s="55" t="str">
        <f>IF($Q111="","",INDEX(TRANSACTIONS_MASTER!$G$5:$G$1204,$Q111)&amp;"")</f>
        <v/>
      </c>
      <c r="F111" s="29" t="str">
        <f>IF($Q111="","",INDEX(TRANSACTIONS_MASTER!$I$5:$I$1204,$Q111))</f>
        <v/>
      </c>
      <c r="G111" s="55" t="str">
        <f>IF($Q111="","",INDEX(TRANSACTIONS_MASTER!$K$5:$K$1204,$Q111))</f>
        <v/>
      </c>
      <c r="H111" s="25" t="str">
        <f>IF($Q111="","",INDEX(TRANSACTIONS_MASTER!$L$5:$L$1204,$Q111))</f>
        <v/>
      </c>
      <c r="I111" s="56" t="str">
        <f>IF($Q111="","",INDEX(TRANSACTIONS_MASTER!$N$5:$N$1204,$Q111))</f>
        <v/>
      </c>
      <c r="J111" s="25" t="str">
        <f>IF($Q111="","",INDEX(TRANSACTIONS_MASTER!$O$5:$O$1204,$Q111))</f>
        <v/>
      </c>
      <c r="K111" s="26" t="str">
        <f>IF($Q111="","",INDEX(TRANSACTIONS_MASTER!$Q$5:$Q$1204,$Q111))</f>
        <v/>
      </c>
      <c r="L111" s="25" t="str">
        <f>IF($Q111="","",INDEX(TRANSACTIONS_MASTER!$P$5:$P$1204,$Q111))</f>
        <v/>
      </c>
      <c r="M111" s="25" t="str">
        <f>IF($Q111="","",INDEX(TRANSACTIONS_MASTER!$AA$5:$AA$1204,$Q111))</f>
        <v/>
      </c>
      <c r="N111" s="25" t="str">
        <f>IF($Q111="","",INDEX(TRANSACTIONS_MASTER!$R$5:$R$1204,$Q111))</f>
        <v/>
      </c>
      <c r="O111" s="28" t="str">
        <f>IF($Q111="","",INDEX(TRANSACTIONS_MASTER!$AB$5:$AB$1204,$Q111))</f>
        <v/>
      </c>
      <c r="P111" s="55" t="str">
        <f>IF($Q111="","",INDEX(TRANSACTIONS_MASTER!$Z$5:$Z$1204,$Q111)&amp;"")</f>
        <v/>
      </c>
      <c r="Q111" s="67" t="str">
        <f>IFERROR(MATCH($C$2&amp;"|"&amp;104,TRANSACTIONS_MASTER!$AE$5:$AE$1204,0),"")</f>
        <v/>
      </c>
      <c r="S111" s="67" t="str">
        <f>IFERROR(MATCH(15,CARDS!$O$5:$O$34,0),"")</f>
        <v/>
      </c>
      <c r="T111" s="55" t="n"/>
      <c r="U111" s="55" t="str">
        <f>IF($S111="","",INDEX(CARDS!$B$5:$B$34,$S111))</f>
        <v/>
      </c>
      <c r="V111" s="25" t="str">
        <f>IF($S111="","",SUMIFS(TRANSACTIONS_MASTER!$L$5:$L$1204,TRANSACTIONS_MASTER!$E$5:$E$1204,$U111,TRANSACTIONS_MASTER!$C$5:$C$1204,$C$2,TRANSACTIONS_MASTER!$U$5:$U$1204,"&lt;&gt;Cancelled"))</f>
        <v/>
      </c>
      <c r="W111" s="26" t="str">
        <f>IF($S111="","",SUMIFS(TRANSACTIONS_MASTER!$Q$5:$Q$1204,TRANSACTIONS_MASTER!$E$5:$E$1204,$U111,TRANSACTIONS_MASTER!$C$5:$C$1204,$C$2))</f>
        <v/>
      </c>
    </row>
    <row r="112">
      <c r="A112" s="81" t="str">
        <f>IF($Q112="","",105)</f>
        <v/>
      </c>
      <c r="B112" s="57" t="str">
        <f>IF($Q112="","",INDEX(TRANSACTIONS_MASTER!$B$5:$B$1204,$Q112))</f>
        <v/>
      </c>
      <c r="C112" s="55" t="str">
        <f>IF($Q112="","",INDEX(TRANSACTIONS_MASTER!$F$5:$F$1204,$Q112))</f>
        <v/>
      </c>
      <c r="D112" s="55" t="str">
        <f>IF($Q112="","",INDEX(TRANSACTIONS_MASTER!$E$5:$E$1204,$Q112))</f>
        <v/>
      </c>
      <c r="E112" s="55" t="str">
        <f>IF($Q112="","",INDEX(TRANSACTIONS_MASTER!$G$5:$G$1204,$Q112)&amp;"")</f>
        <v/>
      </c>
      <c r="F112" s="29" t="str">
        <f>IF($Q112="","",INDEX(TRANSACTIONS_MASTER!$I$5:$I$1204,$Q112))</f>
        <v/>
      </c>
      <c r="G112" s="55" t="str">
        <f>IF($Q112="","",INDEX(TRANSACTIONS_MASTER!$K$5:$K$1204,$Q112))</f>
        <v/>
      </c>
      <c r="H112" s="25" t="str">
        <f>IF($Q112="","",INDEX(TRANSACTIONS_MASTER!$L$5:$L$1204,$Q112))</f>
        <v/>
      </c>
      <c r="I112" s="56" t="str">
        <f>IF($Q112="","",INDEX(TRANSACTIONS_MASTER!$N$5:$N$1204,$Q112))</f>
        <v/>
      </c>
      <c r="J112" s="25" t="str">
        <f>IF($Q112="","",INDEX(TRANSACTIONS_MASTER!$O$5:$O$1204,$Q112))</f>
        <v/>
      </c>
      <c r="K112" s="26" t="str">
        <f>IF($Q112="","",INDEX(TRANSACTIONS_MASTER!$Q$5:$Q$1204,$Q112))</f>
        <v/>
      </c>
      <c r="L112" s="25" t="str">
        <f>IF($Q112="","",INDEX(TRANSACTIONS_MASTER!$P$5:$P$1204,$Q112))</f>
        <v/>
      </c>
      <c r="M112" s="25" t="str">
        <f>IF($Q112="","",INDEX(TRANSACTIONS_MASTER!$AA$5:$AA$1204,$Q112))</f>
        <v/>
      </c>
      <c r="N112" s="25" t="str">
        <f>IF($Q112="","",INDEX(TRANSACTIONS_MASTER!$R$5:$R$1204,$Q112))</f>
        <v/>
      </c>
      <c r="O112" s="28" t="str">
        <f>IF($Q112="","",INDEX(TRANSACTIONS_MASTER!$AB$5:$AB$1204,$Q112))</f>
        <v/>
      </c>
      <c r="P112" s="55" t="str">
        <f>IF($Q112="","",INDEX(TRANSACTIONS_MASTER!$Z$5:$Z$1204,$Q112)&amp;"")</f>
        <v/>
      </c>
      <c r="Q112" s="67" t="str">
        <f>IFERROR(MATCH($C$2&amp;"|"&amp;105,TRANSACTIONS_MASTER!$AE$5:$AE$1204,0),"")</f>
        <v/>
      </c>
      <c r="T112" s="68" t="n"/>
      <c r="U112" s="69" t="inlineStr">
        <is>
          <t>TỔNG</t>
        </is>
      </c>
      <c r="V112" s="31">
        <f>SUM(V97:V111)</f>
        <v>0</v>
      </c>
      <c r="W112" s="31">
        <f>SUM(W97:W111)</f>
        <v>0</v>
      </c>
    </row>
    <row r="113">
      <c r="A113" s="81" t="str">
        <f>IF($Q113="","",106)</f>
        <v/>
      </c>
      <c r="B113" s="57" t="str">
        <f>IF($Q113="","",INDEX(TRANSACTIONS_MASTER!$B$5:$B$1204,$Q113))</f>
        <v/>
      </c>
      <c r="C113" s="55" t="str">
        <f>IF($Q113="","",INDEX(TRANSACTIONS_MASTER!$F$5:$F$1204,$Q113))</f>
        <v/>
      </c>
      <c r="D113" s="55" t="str">
        <f>IF($Q113="","",INDEX(TRANSACTIONS_MASTER!$E$5:$E$1204,$Q113))</f>
        <v/>
      </c>
      <c r="E113" s="55" t="str">
        <f>IF($Q113="","",INDEX(TRANSACTIONS_MASTER!$G$5:$G$1204,$Q113)&amp;"")</f>
        <v/>
      </c>
      <c r="F113" s="29" t="str">
        <f>IF($Q113="","",INDEX(TRANSACTIONS_MASTER!$I$5:$I$1204,$Q113))</f>
        <v/>
      </c>
      <c r="G113" s="55" t="str">
        <f>IF($Q113="","",INDEX(TRANSACTIONS_MASTER!$K$5:$K$1204,$Q113))</f>
        <v/>
      </c>
      <c r="H113" s="25" t="str">
        <f>IF($Q113="","",INDEX(TRANSACTIONS_MASTER!$L$5:$L$1204,$Q113))</f>
        <v/>
      </c>
      <c r="I113" s="56" t="str">
        <f>IF($Q113="","",INDEX(TRANSACTIONS_MASTER!$N$5:$N$1204,$Q113))</f>
        <v/>
      </c>
      <c r="J113" s="25" t="str">
        <f>IF($Q113="","",INDEX(TRANSACTIONS_MASTER!$O$5:$O$1204,$Q113))</f>
        <v/>
      </c>
      <c r="K113" s="26" t="str">
        <f>IF($Q113="","",INDEX(TRANSACTIONS_MASTER!$Q$5:$Q$1204,$Q113))</f>
        <v/>
      </c>
      <c r="L113" s="25" t="str">
        <f>IF($Q113="","",INDEX(TRANSACTIONS_MASTER!$P$5:$P$1204,$Q113))</f>
        <v/>
      </c>
      <c r="M113" s="25" t="str">
        <f>IF($Q113="","",INDEX(TRANSACTIONS_MASTER!$AA$5:$AA$1204,$Q113))</f>
        <v/>
      </c>
      <c r="N113" s="25" t="str">
        <f>IF($Q113="","",INDEX(TRANSACTIONS_MASTER!$R$5:$R$1204,$Q113))</f>
        <v/>
      </c>
      <c r="O113" s="28" t="str">
        <f>IF($Q113="","",INDEX(TRANSACTIONS_MASTER!$AB$5:$AB$1204,$Q113))</f>
        <v/>
      </c>
      <c r="P113" s="55" t="str">
        <f>IF($Q113="","",INDEX(TRANSACTIONS_MASTER!$Z$5:$Z$1204,$Q113)&amp;"")</f>
        <v/>
      </c>
      <c r="Q113" s="67" t="str">
        <f>IFERROR(MATCH($C$2&amp;"|"&amp;106,TRANSACTIONS_MASTER!$AE$5:$AE$1204,0),"")</f>
        <v/>
      </c>
    </row>
    <row r="114">
      <c r="A114" s="81" t="str">
        <f>IF($Q114="","",107)</f>
        <v/>
      </c>
      <c r="B114" s="57" t="str">
        <f>IF($Q114="","",INDEX(TRANSACTIONS_MASTER!$B$5:$B$1204,$Q114))</f>
        <v/>
      </c>
      <c r="C114" s="55" t="str">
        <f>IF($Q114="","",INDEX(TRANSACTIONS_MASTER!$F$5:$F$1204,$Q114))</f>
        <v/>
      </c>
      <c r="D114" s="55" t="str">
        <f>IF($Q114="","",INDEX(TRANSACTIONS_MASTER!$E$5:$E$1204,$Q114))</f>
        <v/>
      </c>
      <c r="E114" s="55" t="str">
        <f>IF($Q114="","",INDEX(TRANSACTIONS_MASTER!$G$5:$G$1204,$Q114)&amp;"")</f>
        <v/>
      </c>
      <c r="F114" s="29" t="str">
        <f>IF($Q114="","",INDEX(TRANSACTIONS_MASTER!$I$5:$I$1204,$Q114))</f>
        <v/>
      </c>
      <c r="G114" s="55" t="str">
        <f>IF($Q114="","",INDEX(TRANSACTIONS_MASTER!$K$5:$K$1204,$Q114))</f>
        <v/>
      </c>
      <c r="H114" s="25" t="str">
        <f>IF($Q114="","",INDEX(TRANSACTIONS_MASTER!$L$5:$L$1204,$Q114))</f>
        <v/>
      </c>
      <c r="I114" s="56" t="str">
        <f>IF($Q114="","",INDEX(TRANSACTIONS_MASTER!$N$5:$N$1204,$Q114))</f>
        <v/>
      </c>
      <c r="J114" s="25" t="str">
        <f>IF($Q114="","",INDEX(TRANSACTIONS_MASTER!$O$5:$O$1204,$Q114))</f>
        <v/>
      </c>
      <c r="K114" s="26" t="str">
        <f>IF($Q114="","",INDEX(TRANSACTIONS_MASTER!$Q$5:$Q$1204,$Q114))</f>
        <v/>
      </c>
      <c r="L114" s="25" t="str">
        <f>IF($Q114="","",INDEX(TRANSACTIONS_MASTER!$P$5:$P$1204,$Q114))</f>
        <v/>
      </c>
      <c r="M114" s="25" t="str">
        <f>IF($Q114="","",INDEX(TRANSACTIONS_MASTER!$AA$5:$AA$1204,$Q114))</f>
        <v/>
      </c>
      <c r="N114" s="25" t="str">
        <f>IF($Q114="","",INDEX(TRANSACTIONS_MASTER!$R$5:$R$1204,$Q114))</f>
        <v/>
      </c>
      <c r="O114" s="28" t="str">
        <f>IF($Q114="","",INDEX(TRANSACTIONS_MASTER!$AB$5:$AB$1204,$Q114))</f>
        <v/>
      </c>
      <c r="P114" s="55" t="str">
        <f>IF($Q114="","",INDEX(TRANSACTIONS_MASTER!$Z$5:$Z$1204,$Q114)&amp;"")</f>
        <v/>
      </c>
      <c r="Q114" s="67" t="str">
        <f>IFERROR(MATCH($C$2&amp;"|"&amp;107,TRANSACTIONS_MASTER!$AE$5:$AE$1204,0),"")</f>
        <v/>
      </c>
    </row>
    <row r="115" ht="22" customHeight="1">
      <c r="A115" s="81" t="str">
        <f>IF($Q115="","",108)</f>
        <v/>
      </c>
      <c r="B115" s="57" t="str">
        <f>IF($Q115="","",INDEX(TRANSACTIONS_MASTER!$B$5:$B$1204,$Q115))</f>
        <v/>
      </c>
      <c r="C115" s="55" t="str">
        <f>IF($Q115="","",INDEX(TRANSACTIONS_MASTER!$F$5:$F$1204,$Q115))</f>
        <v/>
      </c>
      <c r="D115" s="55" t="str">
        <f>IF($Q115="","",INDEX(TRANSACTIONS_MASTER!$E$5:$E$1204,$Q115))</f>
        <v/>
      </c>
      <c r="E115" s="55" t="str">
        <f>IF($Q115="","",INDEX(TRANSACTIONS_MASTER!$G$5:$G$1204,$Q115)&amp;"")</f>
        <v/>
      </c>
      <c r="F115" s="29" t="str">
        <f>IF($Q115="","",INDEX(TRANSACTIONS_MASTER!$I$5:$I$1204,$Q115))</f>
        <v/>
      </c>
      <c r="G115" s="55" t="str">
        <f>IF($Q115="","",INDEX(TRANSACTIONS_MASTER!$K$5:$K$1204,$Q115))</f>
        <v/>
      </c>
      <c r="H115" s="25" t="str">
        <f>IF($Q115="","",INDEX(TRANSACTIONS_MASTER!$L$5:$L$1204,$Q115))</f>
        <v/>
      </c>
      <c r="I115" s="56" t="str">
        <f>IF($Q115="","",INDEX(TRANSACTIONS_MASTER!$N$5:$N$1204,$Q115))</f>
        <v/>
      </c>
      <c r="J115" s="25" t="str">
        <f>IF($Q115="","",INDEX(TRANSACTIONS_MASTER!$O$5:$O$1204,$Q115))</f>
        <v/>
      </c>
      <c r="K115" s="26" t="str">
        <f>IF($Q115="","",INDEX(TRANSACTIONS_MASTER!$Q$5:$Q$1204,$Q115))</f>
        <v/>
      </c>
      <c r="L115" s="25" t="str">
        <f>IF($Q115="","",INDEX(TRANSACTIONS_MASTER!$P$5:$P$1204,$Q115))</f>
        <v/>
      </c>
      <c r="M115" s="25" t="str">
        <f>IF($Q115="","",INDEX(TRANSACTIONS_MASTER!$AA$5:$AA$1204,$Q115))</f>
        <v/>
      </c>
      <c r="N115" s="25" t="str">
        <f>IF($Q115="","",INDEX(TRANSACTIONS_MASTER!$R$5:$R$1204,$Q115))</f>
        <v/>
      </c>
      <c r="O115" s="28" t="str">
        <f>IF($Q115="","",INDEX(TRANSACTIONS_MASTER!$AB$5:$AB$1204,$Q115))</f>
        <v/>
      </c>
      <c r="P115" s="55" t="str">
        <f>IF($Q115="","",INDEX(TRANSACTIONS_MASTER!$Z$5:$Z$1204,$Q115)&amp;"")</f>
        <v/>
      </c>
      <c r="Q115" s="67" t="str">
        <f>IFERROR(MATCH($C$2&amp;"|"&amp;108,TRANSACTIONS_MASTER!$AE$5:$AE$1204,0),"")</f>
        <v/>
      </c>
      <c r="T115" s="19" t="inlineStr">
        <is>
          <t>THEO DANH MỤC (Category)</t>
        </is>
      </c>
      <c r="U115" s="20" t="n"/>
      <c r="V115" s="20" t="n"/>
      <c r="W115" s="20" t="n"/>
      <c r="X115" s="20" t="n"/>
      <c r="Y115" s="20" t="n"/>
      <c r="Z115" s="20" t="n"/>
      <c r="AA115" s="20" t="n"/>
    </row>
    <row r="116" ht="28" customHeight="1">
      <c r="A116" s="81" t="str">
        <f>IF($Q116="","",109)</f>
        <v/>
      </c>
      <c r="B116" s="57" t="str">
        <f>IF($Q116="","",INDEX(TRANSACTIONS_MASTER!$B$5:$B$1204,$Q116))</f>
        <v/>
      </c>
      <c r="C116" s="55" t="str">
        <f>IF($Q116="","",INDEX(TRANSACTIONS_MASTER!$F$5:$F$1204,$Q116))</f>
        <v/>
      </c>
      <c r="D116" s="55" t="str">
        <f>IF($Q116="","",INDEX(TRANSACTIONS_MASTER!$E$5:$E$1204,$Q116))</f>
        <v/>
      </c>
      <c r="E116" s="55" t="str">
        <f>IF($Q116="","",INDEX(TRANSACTIONS_MASTER!$G$5:$G$1204,$Q116)&amp;"")</f>
        <v/>
      </c>
      <c r="F116" s="29" t="str">
        <f>IF($Q116="","",INDEX(TRANSACTIONS_MASTER!$I$5:$I$1204,$Q116))</f>
        <v/>
      </c>
      <c r="G116" s="55" t="str">
        <f>IF($Q116="","",INDEX(TRANSACTIONS_MASTER!$K$5:$K$1204,$Q116))</f>
        <v/>
      </c>
      <c r="H116" s="25" t="str">
        <f>IF($Q116="","",INDEX(TRANSACTIONS_MASTER!$L$5:$L$1204,$Q116))</f>
        <v/>
      </c>
      <c r="I116" s="56" t="str">
        <f>IF($Q116="","",INDEX(TRANSACTIONS_MASTER!$N$5:$N$1204,$Q116))</f>
        <v/>
      </c>
      <c r="J116" s="25" t="str">
        <f>IF($Q116="","",INDEX(TRANSACTIONS_MASTER!$O$5:$O$1204,$Q116))</f>
        <v/>
      </c>
      <c r="K116" s="26" t="str">
        <f>IF($Q116="","",INDEX(TRANSACTIONS_MASTER!$Q$5:$Q$1204,$Q116))</f>
        <v/>
      </c>
      <c r="L116" s="25" t="str">
        <f>IF($Q116="","",INDEX(TRANSACTIONS_MASTER!$P$5:$P$1204,$Q116))</f>
        <v/>
      </c>
      <c r="M116" s="25" t="str">
        <f>IF($Q116="","",INDEX(TRANSACTIONS_MASTER!$AA$5:$AA$1204,$Q116))</f>
        <v/>
      </c>
      <c r="N116" s="25" t="str">
        <f>IF($Q116="","",INDEX(TRANSACTIONS_MASTER!$R$5:$R$1204,$Q116))</f>
        <v/>
      </c>
      <c r="O116" s="28" t="str">
        <f>IF($Q116="","",INDEX(TRANSACTIONS_MASTER!$AB$5:$AB$1204,$Q116))</f>
        <v/>
      </c>
      <c r="P116" s="55" t="str">
        <f>IF($Q116="","",INDEX(TRANSACTIONS_MASTER!$Z$5:$Z$1204,$Q116)&amp;"")</f>
        <v/>
      </c>
      <c r="Q116" s="67" t="str">
        <f>IFERROR(MATCH($C$2&amp;"|"&amp;109,TRANSACTIONS_MASTER!$AE$5:$AE$1204,0),"")</f>
        <v/>
      </c>
      <c r="S116" s="21" t="inlineStr">
        <is>
          <t>#</t>
        </is>
      </c>
      <c r="T116" s="21" t="inlineStr"/>
      <c r="U116" s="21" t="inlineStr">
        <is>
          <t>Danh mục</t>
        </is>
      </c>
      <c r="V116" s="21" t="inlineStr">
        <is>
          <t>Chi tiêu</t>
        </is>
      </c>
      <c r="W116" s="21" t="inlineStr">
        <is>
          <t>Cashback</t>
        </is>
      </c>
    </row>
    <row r="117">
      <c r="A117" s="81" t="str">
        <f>IF($Q117="","",110)</f>
        <v/>
      </c>
      <c r="B117" s="57" t="str">
        <f>IF($Q117="","",INDEX(TRANSACTIONS_MASTER!$B$5:$B$1204,$Q117))</f>
        <v/>
      </c>
      <c r="C117" s="55" t="str">
        <f>IF($Q117="","",INDEX(TRANSACTIONS_MASTER!$F$5:$F$1204,$Q117))</f>
        <v/>
      </c>
      <c r="D117" s="55" t="str">
        <f>IF($Q117="","",INDEX(TRANSACTIONS_MASTER!$E$5:$E$1204,$Q117))</f>
        <v/>
      </c>
      <c r="E117" s="55" t="str">
        <f>IF($Q117="","",INDEX(TRANSACTIONS_MASTER!$G$5:$G$1204,$Q117)&amp;"")</f>
        <v/>
      </c>
      <c r="F117" s="29" t="str">
        <f>IF($Q117="","",INDEX(TRANSACTIONS_MASTER!$I$5:$I$1204,$Q117))</f>
        <v/>
      </c>
      <c r="G117" s="55" t="str">
        <f>IF($Q117="","",INDEX(TRANSACTIONS_MASTER!$K$5:$K$1204,$Q117))</f>
        <v/>
      </c>
      <c r="H117" s="25" t="str">
        <f>IF($Q117="","",INDEX(TRANSACTIONS_MASTER!$L$5:$L$1204,$Q117))</f>
        <v/>
      </c>
      <c r="I117" s="56" t="str">
        <f>IF($Q117="","",INDEX(TRANSACTIONS_MASTER!$N$5:$N$1204,$Q117))</f>
        <v/>
      </c>
      <c r="J117" s="25" t="str">
        <f>IF($Q117="","",INDEX(TRANSACTIONS_MASTER!$O$5:$O$1204,$Q117))</f>
        <v/>
      </c>
      <c r="K117" s="26" t="str">
        <f>IF($Q117="","",INDEX(TRANSACTIONS_MASTER!$Q$5:$Q$1204,$Q117))</f>
        <v/>
      </c>
      <c r="L117" s="25" t="str">
        <f>IF($Q117="","",INDEX(TRANSACTIONS_MASTER!$P$5:$P$1204,$Q117))</f>
        <v/>
      </c>
      <c r="M117" s="25" t="str">
        <f>IF($Q117="","",INDEX(TRANSACTIONS_MASTER!$AA$5:$AA$1204,$Q117))</f>
        <v/>
      </c>
      <c r="N117" s="25" t="str">
        <f>IF($Q117="","",INDEX(TRANSACTIONS_MASTER!$R$5:$R$1204,$Q117))</f>
        <v/>
      </c>
      <c r="O117" s="28" t="str">
        <f>IF($Q117="","",INDEX(TRANSACTIONS_MASTER!$AB$5:$AB$1204,$Q117))</f>
        <v/>
      </c>
      <c r="P117" s="55" t="str">
        <f>IF($Q117="","",INDEX(TRANSACTIONS_MASTER!$Z$5:$Z$1204,$Q117)&amp;"")</f>
        <v/>
      </c>
      <c r="Q117" s="67" t="str">
        <f>IFERROR(MATCH($C$2&amp;"|"&amp;110,TRANSACTIONS_MASTER!$AE$5:$AE$1204,0),"")</f>
        <v/>
      </c>
      <c r="S117" s="67" t="str">
        <f>IFERROR(MATCH(1,INDEX((TRANSACTIONS_MASTER!$C$5:$C$1204=$C$2)*(TRANSACTIONS_MASTER!$AL$5:$AL$1204=1),0),0),"")</f>
        <v/>
      </c>
      <c r="T117" s="55" t="n"/>
      <c r="U117" s="55" t="str">
        <f>IF($S117="","",INDEX(TRANSACTIONS_MASTER!$K$5:$K$1204,$S117))</f>
        <v/>
      </c>
      <c r="V117" s="25" t="str">
        <f>IF($S117="","",SUMIFS(TRANSACTIONS_MASTER!$L$5:$L$1204,TRANSACTIONS_MASTER!$K$5:$K$1204,$U117,TRANSACTIONS_MASTER!$C$5:$C$1204,$C$2,TRANSACTIONS_MASTER!$U$5:$U$1204,"&lt;&gt;Cancelled"))</f>
        <v/>
      </c>
      <c r="W117" s="26" t="str">
        <f>IF($S117="","",SUMIFS(TRANSACTIONS_MASTER!$Q$5:$Q$1204,TRANSACTIONS_MASTER!$K$5:$K$1204,$U117,TRANSACTIONS_MASTER!$C$5:$C$1204,$C$2))</f>
        <v/>
      </c>
    </row>
    <row r="118">
      <c r="A118" s="81" t="str">
        <f>IF($Q118="","",111)</f>
        <v/>
      </c>
      <c r="B118" s="57" t="str">
        <f>IF($Q118="","",INDEX(TRANSACTIONS_MASTER!$B$5:$B$1204,$Q118))</f>
        <v/>
      </c>
      <c r="C118" s="55" t="str">
        <f>IF($Q118="","",INDEX(TRANSACTIONS_MASTER!$F$5:$F$1204,$Q118))</f>
        <v/>
      </c>
      <c r="D118" s="55" t="str">
        <f>IF($Q118="","",INDEX(TRANSACTIONS_MASTER!$E$5:$E$1204,$Q118))</f>
        <v/>
      </c>
      <c r="E118" s="55" t="str">
        <f>IF($Q118="","",INDEX(TRANSACTIONS_MASTER!$G$5:$G$1204,$Q118)&amp;"")</f>
        <v/>
      </c>
      <c r="F118" s="29" t="str">
        <f>IF($Q118="","",INDEX(TRANSACTIONS_MASTER!$I$5:$I$1204,$Q118))</f>
        <v/>
      </c>
      <c r="G118" s="55" t="str">
        <f>IF($Q118="","",INDEX(TRANSACTIONS_MASTER!$K$5:$K$1204,$Q118))</f>
        <v/>
      </c>
      <c r="H118" s="25" t="str">
        <f>IF($Q118="","",INDEX(TRANSACTIONS_MASTER!$L$5:$L$1204,$Q118))</f>
        <v/>
      </c>
      <c r="I118" s="56" t="str">
        <f>IF($Q118="","",INDEX(TRANSACTIONS_MASTER!$N$5:$N$1204,$Q118))</f>
        <v/>
      </c>
      <c r="J118" s="25" t="str">
        <f>IF($Q118="","",INDEX(TRANSACTIONS_MASTER!$O$5:$O$1204,$Q118))</f>
        <v/>
      </c>
      <c r="K118" s="26" t="str">
        <f>IF($Q118="","",INDEX(TRANSACTIONS_MASTER!$Q$5:$Q$1204,$Q118))</f>
        <v/>
      </c>
      <c r="L118" s="25" t="str">
        <f>IF($Q118="","",INDEX(TRANSACTIONS_MASTER!$P$5:$P$1204,$Q118))</f>
        <v/>
      </c>
      <c r="M118" s="25" t="str">
        <f>IF($Q118="","",INDEX(TRANSACTIONS_MASTER!$AA$5:$AA$1204,$Q118))</f>
        <v/>
      </c>
      <c r="N118" s="25" t="str">
        <f>IF($Q118="","",INDEX(TRANSACTIONS_MASTER!$R$5:$R$1204,$Q118))</f>
        <v/>
      </c>
      <c r="O118" s="28" t="str">
        <f>IF($Q118="","",INDEX(TRANSACTIONS_MASTER!$AB$5:$AB$1204,$Q118))</f>
        <v/>
      </c>
      <c r="P118" s="55" t="str">
        <f>IF($Q118="","",INDEX(TRANSACTIONS_MASTER!$Z$5:$Z$1204,$Q118)&amp;"")</f>
        <v/>
      </c>
      <c r="Q118" s="67" t="str">
        <f>IFERROR(MATCH($C$2&amp;"|"&amp;111,TRANSACTIONS_MASTER!$AE$5:$AE$1204,0),"")</f>
        <v/>
      </c>
      <c r="S118" s="67" t="str">
        <f>IFERROR(MATCH(1,INDEX((TRANSACTIONS_MASTER!$C$5:$C$1204=$C$2)*(TRANSACTIONS_MASTER!$AL$5:$AL$1204=2),0),0),"")</f>
        <v/>
      </c>
      <c r="T118" s="55" t="n"/>
      <c r="U118" s="55" t="str">
        <f>IF($S118="","",INDEX(TRANSACTIONS_MASTER!$K$5:$K$1204,$S118))</f>
        <v/>
      </c>
      <c r="V118" s="25" t="str">
        <f>IF($S118="","",SUMIFS(TRANSACTIONS_MASTER!$L$5:$L$1204,TRANSACTIONS_MASTER!$K$5:$K$1204,$U118,TRANSACTIONS_MASTER!$C$5:$C$1204,$C$2,TRANSACTIONS_MASTER!$U$5:$U$1204,"&lt;&gt;Cancelled"))</f>
        <v/>
      </c>
      <c r="W118" s="26" t="str">
        <f>IF($S118="","",SUMIFS(TRANSACTIONS_MASTER!$Q$5:$Q$1204,TRANSACTIONS_MASTER!$K$5:$K$1204,$U118,TRANSACTIONS_MASTER!$C$5:$C$1204,$C$2))</f>
        <v/>
      </c>
    </row>
    <row r="119">
      <c r="A119" s="81" t="str">
        <f>IF($Q119="","",112)</f>
        <v/>
      </c>
      <c r="B119" s="57" t="str">
        <f>IF($Q119="","",INDEX(TRANSACTIONS_MASTER!$B$5:$B$1204,$Q119))</f>
        <v/>
      </c>
      <c r="C119" s="55" t="str">
        <f>IF($Q119="","",INDEX(TRANSACTIONS_MASTER!$F$5:$F$1204,$Q119))</f>
        <v/>
      </c>
      <c r="D119" s="55" t="str">
        <f>IF($Q119="","",INDEX(TRANSACTIONS_MASTER!$E$5:$E$1204,$Q119))</f>
        <v/>
      </c>
      <c r="E119" s="55" t="str">
        <f>IF($Q119="","",INDEX(TRANSACTIONS_MASTER!$G$5:$G$1204,$Q119)&amp;"")</f>
        <v/>
      </c>
      <c r="F119" s="29" t="str">
        <f>IF($Q119="","",INDEX(TRANSACTIONS_MASTER!$I$5:$I$1204,$Q119))</f>
        <v/>
      </c>
      <c r="G119" s="55" t="str">
        <f>IF($Q119="","",INDEX(TRANSACTIONS_MASTER!$K$5:$K$1204,$Q119))</f>
        <v/>
      </c>
      <c r="H119" s="25" t="str">
        <f>IF($Q119="","",INDEX(TRANSACTIONS_MASTER!$L$5:$L$1204,$Q119))</f>
        <v/>
      </c>
      <c r="I119" s="56" t="str">
        <f>IF($Q119="","",INDEX(TRANSACTIONS_MASTER!$N$5:$N$1204,$Q119))</f>
        <v/>
      </c>
      <c r="J119" s="25" t="str">
        <f>IF($Q119="","",INDEX(TRANSACTIONS_MASTER!$O$5:$O$1204,$Q119))</f>
        <v/>
      </c>
      <c r="K119" s="26" t="str">
        <f>IF($Q119="","",INDEX(TRANSACTIONS_MASTER!$Q$5:$Q$1204,$Q119))</f>
        <v/>
      </c>
      <c r="L119" s="25" t="str">
        <f>IF($Q119="","",INDEX(TRANSACTIONS_MASTER!$P$5:$P$1204,$Q119))</f>
        <v/>
      </c>
      <c r="M119" s="25" t="str">
        <f>IF($Q119="","",INDEX(TRANSACTIONS_MASTER!$AA$5:$AA$1204,$Q119))</f>
        <v/>
      </c>
      <c r="N119" s="25" t="str">
        <f>IF($Q119="","",INDEX(TRANSACTIONS_MASTER!$R$5:$R$1204,$Q119))</f>
        <v/>
      </c>
      <c r="O119" s="28" t="str">
        <f>IF($Q119="","",INDEX(TRANSACTIONS_MASTER!$AB$5:$AB$1204,$Q119))</f>
        <v/>
      </c>
      <c r="P119" s="55" t="str">
        <f>IF($Q119="","",INDEX(TRANSACTIONS_MASTER!$Z$5:$Z$1204,$Q119)&amp;"")</f>
        <v/>
      </c>
      <c r="Q119" s="67" t="str">
        <f>IFERROR(MATCH($C$2&amp;"|"&amp;112,TRANSACTIONS_MASTER!$AE$5:$AE$1204,0),"")</f>
        <v/>
      </c>
      <c r="S119" s="67" t="str">
        <f>IFERROR(MATCH(1,INDEX((TRANSACTIONS_MASTER!$C$5:$C$1204=$C$2)*(TRANSACTIONS_MASTER!$AL$5:$AL$1204=3),0),0),"")</f>
        <v/>
      </c>
      <c r="T119" s="55" t="n"/>
      <c r="U119" s="55" t="str">
        <f>IF($S119="","",INDEX(TRANSACTIONS_MASTER!$K$5:$K$1204,$S119))</f>
        <v/>
      </c>
      <c r="V119" s="25" t="str">
        <f>IF($S119="","",SUMIFS(TRANSACTIONS_MASTER!$L$5:$L$1204,TRANSACTIONS_MASTER!$K$5:$K$1204,$U119,TRANSACTIONS_MASTER!$C$5:$C$1204,$C$2,TRANSACTIONS_MASTER!$U$5:$U$1204,"&lt;&gt;Cancelled"))</f>
        <v/>
      </c>
      <c r="W119" s="26" t="str">
        <f>IF($S119="","",SUMIFS(TRANSACTIONS_MASTER!$Q$5:$Q$1204,TRANSACTIONS_MASTER!$K$5:$K$1204,$U119,TRANSACTIONS_MASTER!$C$5:$C$1204,$C$2))</f>
        <v/>
      </c>
    </row>
    <row r="120">
      <c r="A120" s="81" t="str">
        <f>IF($Q120="","",113)</f>
        <v/>
      </c>
      <c r="B120" s="57" t="str">
        <f>IF($Q120="","",INDEX(TRANSACTIONS_MASTER!$B$5:$B$1204,$Q120))</f>
        <v/>
      </c>
      <c r="C120" s="55" t="str">
        <f>IF($Q120="","",INDEX(TRANSACTIONS_MASTER!$F$5:$F$1204,$Q120))</f>
        <v/>
      </c>
      <c r="D120" s="55" t="str">
        <f>IF($Q120="","",INDEX(TRANSACTIONS_MASTER!$E$5:$E$1204,$Q120))</f>
        <v/>
      </c>
      <c r="E120" s="55" t="str">
        <f>IF($Q120="","",INDEX(TRANSACTIONS_MASTER!$G$5:$G$1204,$Q120)&amp;"")</f>
        <v/>
      </c>
      <c r="F120" s="29" t="str">
        <f>IF($Q120="","",INDEX(TRANSACTIONS_MASTER!$I$5:$I$1204,$Q120))</f>
        <v/>
      </c>
      <c r="G120" s="55" t="str">
        <f>IF($Q120="","",INDEX(TRANSACTIONS_MASTER!$K$5:$K$1204,$Q120))</f>
        <v/>
      </c>
      <c r="H120" s="25" t="str">
        <f>IF($Q120="","",INDEX(TRANSACTIONS_MASTER!$L$5:$L$1204,$Q120))</f>
        <v/>
      </c>
      <c r="I120" s="56" t="str">
        <f>IF($Q120="","",INDEX(TRANSACTIONS_MASTER!$N$5:$N$1204,$Q120))</f>
        <v/>
      </c>
      <c r="J120" s="25" t="str">
        <f>IF($Q120="","",INDEX(TRANSACTIONS_MASTER!$O$5:$O$1204,$Q120))</f>
        <v/>
      </c>
      <c r="K120" s="26" t="str">
        <f>IF($Q120="","",INDEX(TRANSACTIONS_MASTER!$Q$5:$Q$1204,$Q120))</f>
        <v/>
      </c>
      <c r="L120" s="25" t="str">
        <f>IF($Q120="","",INDEX(TRANSACTIONS_MASTER!$P$5:$P$1204,$Q120))</f>
        <v/>
      </c>
      <c r="M120" s="25" t="str">
        <f>IF($Q120="","",INDEX(TRANSACTIONS_MASTER!$AA$5:$AA$1204,$Q120))</f>
        <v/>
      </c>
      <c r="N120" s="25" t="str">
        <f>IF($Q120="","",INDEX(TRANSACTIONS_MASTER!$R$5:$R$1204,$Q120))</f>
        <v/>
      </c>
      <c r="O120" s="28" t="str">
        <f>IF($Q120="","",INDEX(TRANSACTIONS_MASTER!$AB$5:$AB$1204,$Q120))</f>
        <v/>
      </c>
      <c r="P120" s="55" t="str">
        <f>IF($Q120="","",INDEX(TRANSACTIONS_MASTER!$Z$5:$Z$1204,$Q120)&amp;"")</f>
        <v/>
      </c>
      <c r="Q120" s="67" t="str">
        <f>IFERROR(MATCH($C$2&amp;"|"&amp;113,TRANSACTIONS_MASTER!$AE$5:$AE$1204,0),"")</f>
        <v/>
      </c>
      <c r="S120" s="67" t="str">
        <f>IFERROR(MATCH(1,INDEX((TRANSACTIONS_MASTER!$C$5:$C$1204=$C$2)*(TRANSACTIONS_MASTER!$AL$5:$AL$1204=4),0),0),"")</f>
        <v/>
      </c>
      <c r="T120" s="55" t="n"/>
      <c r="U120" s="55" t="str">
        <f>IF($S120="","",INDEX(TRANSACTIONS_MASTER!$K$5:$K$1204,$S120))</f>
        <v/>
      </c>
      <c r="V120" s="25" t="str">
        <f>IF($S120="","",SUMIFS(TRANSACTIONS_MASTER!$L$5:$L$1204,TRANSACTIONS_MASTER!$K$5:$K$1204,$U120,TRANSACTIONS_MASTER!$C$5:$C$1204,$C$2,TRANSACTIONS_MASTER!$U$5:$U$1204,"&lt;&gt;Cancelled"))</f>
        <v/>
      </c>
      <c r="W120" s="26" t="str">
        <f>IF($S120="","",SUMIFS(TRANSACTIONS_MASTER!$Q$5:$Q$1204,TRANSACTIONS_MASTER!$K$5:$K$1204,$U120,TRANSACTIONS_MASTER!$C$5:$C$1204,$C$2))</f>
        <v/>
      </c>
    </row>
    <row r="121">
      <c r="A121" s="81" t="str">
        <f>IF($Q121="","",114)</f>
        <v/>
      </c>
      <c r="B121" s="57" t="str">
        <f>IF($Q121="","",INDEX(TRANSACTIONS_MASTER!$B$5:$B$1204,$Q121))</f>
        <v/>
      </c>
      <c r="C121" s="55" t="str">
        <f>IF($Q121="","",INDEX(TRANSACTIONS_MASTER!$F$5:$F$1204,$Q121))</f>
        <v/>
      </c>
      <c r="D121" s="55" t="str">
        <f>IF($Q121="","",INDEX(TRANSACTIONS_MASTER!$E$5:$E$1204,$Q121))</f>
        <v/>
      </c>
      <c r="E121" s="55" t="str">
        <f>IF($Q121="","",INDEX(TRANSACTIONS_MASTER!$G$5:$G$1204,$Q121)&amp;"")</f>
        <v/>
      </c>
      <c r="F121" s="29" t="str">
        <f>IF($Q121="","",INDEX(TRANSACTIONS_MASTER!$I$5:$I$1204,$Q121))</f>
        <v/>
      </c>
      <c r="G121" s="55" t="str">
        <f>IF($Q121="","",INDEX(TRANSACTIONS_MASTER!$K$5:$K$1204,$Q121))</f>
        <v/>
      </c>
      <c r="H121" s="25" t="str">
        <f>IF($Q121="","",INDEX(TRANSACTIONS_MASTER!$L$5:$L$1204,$Q121))</f>
        <v/>
      </c>
      <c r="I121" s="56" t="str">
        <f>IF($Q121="","",INDEX(TRANSACTIONS_MASTER!$N$5:$N$1204,$Q121))</f>
        <v/>
      </c>
      <c r="J121" s="25" t="str">
        <f>IF($Q121="","",INDEX(TRANSACTIONS_MASTER!$O$5:$O$1204,$Q121))</f>
        <v/>
      </c>
      <c r="K121" s="26" t="str">
        <f>IF($Q121="","",INDEX(TRANSACTIONS_MASTER!$Q$5:$Q$1204,$Q121))</f>
        <v/>
      </c>
      <c r="L121" s="25" t="str">
        <f>IF($Q121="","",INDEX(TRANSACTIONS_MASTER!$P$5:$P$1204,$Q121))</f>
        <v/>
      </c>
      <c r="M121" s="25" t="str">
        <f>IF($Q121="","",INDEX(TRANSACTIONS_MASTER!$AA$5:$AA$1204,$Q121))</f>
        <v/>
      </c>
      <c r="N121" s="25" t="str">
        <f>IF($Q121="","",INDEX(TRANSACTIONS_MASTER!$R$5:$R$1204,$Q121))</f>
        <v/>
      </c>
      <c r="O121" s="28" t="str">
        <f>IF($Q121="","",INDEX(TRANSACTIONS_MASTER!$AB$5:$AB$1204,$Q121))</f>
        <v/>
      </c>
      <c r="P121" s="55" t="str">
        <f>IF($Q121="","",INDEX(TRANSACTIONS_MASTER!$Z$5:$Z$1204,$Q121)&amp;"")</f>
        <v/>
      </c>
      <c r="Q121" s="67" t="str">
        <f>IFERROR(MATCH($C$2&amp;"|"&amp;114,TRANSACTIONS_MASTER!$AE$5:$AE$1204,0),"")</f>
        <v/>
      </c>
      <c r="S121" s="67" t="str">
        <f>IFERROR(MATCH(1,INDEX((TRANSACTIONS_MASTER!$C$5:$C$1204=$C$2)*(TRANSACTIONS_MASTER!$AL$5:$AL$1204=5),0),0),"")</f>
        <v/>
      </c>
      <c r="T121" s="55" t="n"/>
      <c r="U121" s="55" t="str">
        <f>IF($S121="","",INDEX(TRANSACTIONS_MASTER!$K$5:$K$1204,$S121))</f>
        <v/>
      </c>
      <c r="V121" s="25" t="str">
        <f>IF($S121="","",SUMIFS(TRANSACTIONS_MASTER!$L$5:$L$1204,TRANSACTIONS_MASTER!$K$5:$K$1204,$U121,TRANSACTIONS_MASTER!$C$5:$C$1204,$C$2,TRANSACTIONS_MASTER!$U$5:$U$1204,"&lt;&gt;Cancelled"))</f>
        <v/>
      </c>
      <c r="W121" s="26" t="str">
        <f>IF($S121="","",SUMIFS(TRANSACTIONS_MASTER!$Q$5:$Q$1204,TRANSACTIONS_MASTER!$K$5:$K$1204,$U121,TRANSACTIONS_MASTER!$C$5:$C$1204,$C$2))</f>
        <v/>
      </c>
    </row>
    <row r="122">
      <c r="A122" s="81" t="str">
        <f>IF($Q122="","",115)</f>
        <v/>
      </c>
      <c r="B122" s="57" t="str">
        <f>IF($Q122="","",INDEX(TRANSACTIONS_MASTER!$B$5:$B$1204,$Q122))</f>
        <v/>
      </c>
      <c r="C122" s="55" t="str">
        <f>IF($Q122="","",INDEX(TRANSACTIONS_MASTER!$F$5:$F$1204,$Q122))</f>
        <v/>
      </c>
      <c r="D122" s="55" t="str">
        <f>IF($Q122="","",INDEX(TRANSACTIONS_MASTER!$E$5:$E$1204,$Q122))</f>
        <v/>
      </c>
      <c r="E122" s="55" t="str">
        <f>IF($Q122="","",INDEX(TRANSACTIONS_MASTER!$G$5:$G$1204,$Q122)&amp;"")</f>
        <v/>
      </c>
      <c r="F122" s="29" t="str">
        <f>IF($Q122="","",INDEX(TRANSACTIONS_MASTER!$I$5:$I$1204,$Q122))</f>
        <v/>
      </c>
      <c r="G122" s="55" t="str">
        <f>IF($Q122="","",INDEX(TRANSACTIONS_MASTER!$K$5:$K$1204,$Q122))</f>
        <v/>
      </c>
      <c r="H122" s="25" t="str">
        <f>IF($Q122="","",INDEX(TRANSACTIONS_MASTER!$L$5:$L$1204,$Q122))</f>
        <v/>
      </c>
      <c r="I122" s="56" t="str">
        <f>IF($Q122="","",INDEX(TRANSACTIONS_MASTER!$N$5:$N$1204,$Q122))</f>
        <v/>
      </c>
      <c r="J122" s="25" t="str">
        <f>IF($Q122="","",INDEX(TRANSACTIONS_MASTER!$O$5:$O$1204,$Q122))</f>
        <v/>
      </c>
      <c r="K122" s="26" t="str">
        <f>IF($Q122="","",INDEX(TRANSACTIONS_MASTER!$Q$5:$Q$1204,$Q122))</f>
        <v/>
      </c>
      <c r="L122" s="25" t="str">
        <f>IF($Q122="","",INDEX(TRANSACTIONS_MASTER!$P$5:$P$1204,$Q122))</f>
        <v/>
      </c>
      <c r="M122" s="25" t="str">
        <f>IF($Q122="","",INDEX(TRANSACTIONS_MASTER!$AA$5:$AA$1204,$Q122))</f>
        <v/>
      </c>
      <c r="N122" s="25" t="str">
        <f>IF($Q122="","",INDEX(TRANSACTIONS_MASTER!$R$5:$R$1204,$Q122))</f>
        <v/>
      </c>
      <c r="O122" s="28" t="str">
        <f>IF($Q122="","",INDEX(TRANSACTIONS_MASTER!$AB$5:$AB$1204,$Q122))</f>
        <v/>
      </c>
      <c r="P122" s="55" t="str">
        <f>IF($Q122="","",INDEX(TRANSACTIONS_MASTER!$Z$5:$Z$1204,$Q122)&amp;"")</f>
        <v/>
      </c>
      <c r="Q122" s="67" t="str">
        <f>IFERROR(MATCH($C$2&amp;"|"&amp;115,TRANSACTIONS_MASTER!$AE$5:$AE$1204,0),"")</f>
        <v/>
      </c>
      <c r="S122" s="67" t="str">
        <f>IFERROR(MATCH(1,INDEX((TRANSACTIONS_MASTER!$C$5:$C$1204=$C$2)*(TRANSACTIONS_MASTER!$AL$5:$AL$1204=6),0),0),"")</f>
        <v/>
      </c>
      <c r="T122" s="55" t="n"/>
      <c r="U122" s="55" t="str">
        <f>IF($S122="","",INDEX(TRANSACTIONS_MASTER!$K$5:$K$1204,$S122))</f>
        <v/>
      </c>
      <c r="V122" s="25" t="str">
        <f>IF($S122="","",SUMIFS(TRANSACTIONS_MASTER!$L$5:$L$1204,TRANSACTIONS_MASTER!$K$5:$K$1204,$U122,TRANSACTIONS_MASTER!$C$5:$C$1204,$C$2,TRANSACTIONS_MASTER!$U$5:$U$1204,"&lt;&gt;Cancelled"))</f>
        <v/>
      </c>
      <c r="W122" s="26" t="str">
        <f>IF($S122="","",SUMIFS(TRANSACTIONS_MASTER!$Q$5:$Q$1204,TRANSACTIONS_MASTER!$K$5:$K$1204,$U122,TRANSACTIONS_MASTER!$C$5:$C$1204,$C$2))</f>
        <v/>
      </c>
    </row>
    <row r="123">
      <c r="A123" s="81" t="str">
        <f>IF($Q123="","",116)</f>
        <v/>
      </c>
      <c r="B123" s="57" t="str">
        <f>IF($Q123="","",INDEX(TRANSACTIONS_MASTER!$B$5:$B$1204,$Q123))</f>
        <v/>
      </c>
      <c r="C123" s="55" t="str">
        <f>IF($Q123="","",INDEX(TRANSACTIONS_MASTER!$F$5:$F$1204,$Q123))</f>
        <v/>
      </c>
      <c r="D123" s="55" t="str">
        <f>IF($Q123="","",INDEX(TRANSACTIONS_MASTER!$E$5:$E$1204,$Q123))</f>
        <v/>
      </c>
      <c r="E123" s="55" t="str">
        <f>IF($Q123="","",INDEX(TRANSACTIONS_MASTER!$G$5:$G$1204,$Q123)&amp;"")</f>
        <v/>
      </c>
      <c r="F123" s="29" t="str">
        <f>IF($Q123="","",INDEX(TRANSACTIONS_MASTER!$I$5:$I$1204,$Q123))</f>
        <v/>
      </c>
      <c r="G123" s="55" t="str">
        <f>IF($Q123="","",INDEX(TRANSACTIONS_MASTER!$K$5:$K$1204,$Q123))</f>
        <v/>
      </c>
      <c r="H123" s="25" t="str">
        <f>IF($Q123="","",INDEX(TRANSACTIONS_MASTER!$L$5:$L$1204,$Q123))</f>
        <v/>
      </c>
      <c r="I123" s="56" t="str">
        <f>IF($Q123="","",INDEX(TRANSACTIONS_MASTER!$N$5:$N$1204,$Q123))</f>
        <v/>
      </c>
      <c r="J123" s="25" t="str">
        <f>IF($Q123="","",INDEX(TRANSACTIONS_MASTER!$O$5:$O$1204,$Q123))</f>
        <v/>
      </c>
      <c r="K123" s="26" t="str">
        <f>IF($Q123="","",INDEX(TRANSACTIONS_MASTER!$Q$5:$Q$1204,$Q123))</f>
        <v/>
      </c>
      <c r="L123" s="25" t="str">
        <f>IF($Q123="","",INDEX(TRANSACTIONS_MASTER!$P$5:$P$1204,$Q123))</f>
        <v/>
      </c>
      <c r="M123" s="25" t="str">
        <f>IF($Q123="","",INDEX(TRANSACTIONS_MASTER!$AA$5:$AA$1204,$Q123))</f>
        <v/>
      </c>
      <c r="N123" s="25" t="str">
        <f>IF($Q123="","",INDEX(TRANSACTIONS_MASTER!$R$5:$R$1204,$Q123))</f>
        <v/>
      </c>
      <c r="O123" s="28" t="str">
        <f>IF($Q123="","",INDEX(TRANSACTIONS_MASTER!$AB$5:$AB$1204,$Q123))</f>
        <v/>
      </c>
      <c r="P123" s="55" t="str">
        <f>IF($Q123="","",INDEX(TRANSACTIONS_MASTER!$Z$5:$Z$1204,$Q123)&amp;"")</f>
        <v/>
      </c>
      <c r="Q123" s="67" t="str">
        <f>IFERROR(MATCH($C$2&amp;"|"&amp;116,TRANSACTIONS_MASTER!$AE$5:$AE$1204,0),"")</f>
        <v/>
      </c>
      <c r="S123" s="67" t="str">
        <f>IFERROR(MATCH(1,INDEX((TRANSACTIONS_MASTER!$C$5:$C$1204=$C$2)*(TRANSACTIONS_MASTER!$AL$5:$AL$1204=7),0),0),"")</f>
        <v/>
      </c>
      <c r="T123" s="55" t="n"/>
      <c r="U123" s="55" t="str">
        <f>IF($S123="","",INDEX(TRANSACTIONS_MASTER!$K$5:$K$1204,$S123))</f>
        <v/>
      </c>
      <c r="V123" s="25" t="str">
        <f>IF($S123="","",SUMIFS(TRANSACTIONS_MASTER!$L$5:$L$1204,TRANSACTIONS_MASTER!$K$5:$K$1204,$U123,TRANSACTIONS_MASTER!$C$5:$C$1204,$C$2,TRANSACTIONS_MASTER!$U$5:$U$1204,"&lt;&gt;Cancelled"))</f>
        <v/>
      </c>
      <c r="W123" s="26" t="str">
        <f>IF($S123="","",SUMIFS(TRANSACTIONS_MASTER!$Q$5:$Q$1204,TRANSACTIONS_MASTER!$K$5:$K$1204,$U123,TRANSACTIONS_MASTER!$C$5:$C$1204,$C$2))</f>
        <v/>
      </c>
    </row>
    <row r="124">
      <c r="A124" s="81" t="str">
        <f>IF($Q124="","",117)</f>
        <v/>
      </c>
      <c r="B124" s="57" t="str">
        <f>IF($Q124="","",INDEX(TRANSACTIONS_MASTER!$B$5:$B$1204,$Q124))</f>
        <v/>
      </c>
      <c r="C124" s="55" t="str">
        <f>IF($Q124="","",INDEX(TRANSACTIONS_MASTER!$F$5:$F$1204,$Q124))</f>
        <v/>
      </c>
      <c r="D124" s="55" t="str">
        <f>IF($Q124="","",INDEX(TRANSACTIONS_MASTER!$E$5:$E$1204,$Q124))</f>
        <v/>
      </c>
      <c r="E124" s="55" t="str">
        <f>IF($Q124="","",INDEX(TRANSACTIONS_MASTER!$G$5:$G$1204,$Q124)&amp;"")</f>
        <v/>
      </c>
      <c r="F124" s="29" t="str">
        <f>IF($Q124="","",INDEX(TRANSACTIONS_MASTER!$I$5:$I$1204,$Q124))</f>
        <v/>
      </c>
      <c r="G124" s="55" t="str">
        <f>IF($Q124="","",INDEX(TRANSACTIONS_MASTER!$K$5:$K$1204,$Q124))</f>
        <v/>
      </c>
      <c r="H124" s="25" t="str">
        <f>IF($Q124="","",INDEX(TRANSACTIONS_MASTER!$L$5:$L$1204,$Q124))</f>
        <v/>
      </c>
      <c r="I124" s="56" t="str">
        <f>IF($Q124="","",INDEX(TRANSACTIONS_MASTER!$N$5:$N$1204,$Q124))</f>
        <v/>
      </c>
      <c r="J124" s="25" t="str">
        <f>IF($Q124="","",INDEX(TRANSACTIONS_MASTER!$O$5:$O$1204,$Q124))</f>
        <v/>
      </c>
      <c r="K124" s="26" t="str">
        <f>IF($Q124="","",INDEX(TRANSACTIONS_MASTER!$Q$5:$Q$1204,$Q124))</f>
        <v/>
      </c>
      <c r="L124" s="25" t="str">
        <f>IF($Q124="","",INDEX(TRANSACTIONS_MASTER!$P$5:$P$1204,$Q124))</f>
        <v/>
      </c>
      <c r="M124" s="25" t="str">
        <f>IF($Q124="","",INDEX(TRANSACTIONS_MASTER!$AA$5:$AA$1204,$Q124))</f>
        <v/>
      </c>
      <c r="N124" s="25" t="str">
        <f>IF($Q124="","",INDEX(TRANSACTIONS_MASTER!$R$5:$R$1204,$Q124))</f>
        <v/>
      </c>
      <c r="O124" s="28" t="str">
        <f>IF($Q124="","",INDEX(TRANSACTIONS_MASTER!$AB$5:$AB$1204,$Q124))</f>
        <v/>
      </c>
      <c r="P124" s="55" t="str">
        <f>IF($Q124="","",INDEX(TRANSACTIONS_MASTER!$Z$5:$Z$1204,$Q124)&amp;"")</f>
        <v/>
      </c>
      <c r="Q124" s="67" t="str">
        <f>IFERROR(MATCH($C$2&amp;"|"&amp;117,TRANSACTIONS_MASTER!$AE$5:$AE$1204,0),"")</f>
        <v/>
      </c>
      <c r="S124" s="67" t="str">
        <f>IFERROR(MATCH(1,INDEX((TRANSACTIONS_MASTER!$C$5:$C$1204=$C$2)*(TRANSACTIONS_MASTER!$AL$5:$AL$1204=8),0),0),"")</f>
        <v/>
      </c>
      <c r="T124" s="55" t="n"/>
      <c r="U124" s="55" t="str">
        <f>IF($S124="","",INDEX(TRANSACTIONS_MASTER!$K$5:$K$1204,$S124))</f>
        <v/>
      </c>
      <c r="V124" s="25" t="str">
        <f>IF($S124="","",SUMIFS(TRANSACTIONS_MASTER!$L$5:$L$1204,TRANSACTIONS_MASTER!$K$5:$K$1204,$U124,TRANSACTIONS_MASTER!$C$5:$C$1204,$C$2,TRANSACTIONS_MASTER!$U$5:$U$1204,"&lt;&gt;Cancelled"))</f>
        <v/>
      </c>
      <c r="W124" s="26" t="str">
        <f>IF($S124="","",SUMIFS(TRANSACTIONS_MASTER!$Q$5:$Q$1204,TRANSACTIONS_MASTER!$K$5:$K$1204,$U124,TRANSACTIONS_MASTER!$C$5:$C$1204,$C$2))</f>
        <v/>
      </c>
    </row>
    <row r="125">
      <c r="A125" s="81" t="str">
        <f>IF($Q125="","",118)</f>
        <v/>
      </c>
      <c r="B125" s="57" t="str">
        <f>IF($Q125="","",INDEX(TRANSACTIONS_MASTER!$B$5:$B$1204,$Q125))</f>
        <v/>
      </c>
      <c r="C125" s="55" t="str">
        <f>IF($Q125="","",INDEX(TRANSACTIONS_MASTER!$F$5:$F$1204,$Q125))</f>
        <v/>
      </c>
      <c r="D125" s="55" t="str">
        <f>IF($Q125="","",INDEX(TRANSACTIONS_MASTER!$E$5:$E$1204,$Q125))</f>
        <v/>
      </c>
      <c r="E125" s="55" t="str">
        <f>IF($Q125="","",INDEX(TRANSACTIONS_MASTER!$G$5:$G$1204,$Q125)&amp;"")</f>
        <v/>
      </c>
      <c r="F125" s="29" t="str">
        <f>IF($Q125="","",INDEX(TRANSACTIONS_MASTER!$I$5:$I$1204,$Q125))</f>
        <v/>
      </c>
      <c r="G125" s="55" t="str">
        <f>IF($Q125="","",INDEX(TRANSACTIONS_MASTER!$K$5:$K$1204,$Q125))</f>
        <v/>
      </c>
      <c r="H125" s="25" t="str">
        <f>IF($Q125="","",INDEX(TRANSACTIONS_MASTER!$L$5:$L$1204,$Q125))</f>
        <v/>
      </c>
      <c r="I125" s="56" t="str">
        <f>IF($Q125="","",INDEX(TRANSACTIONS_MASTER!$N$5:$N$1204,$Q125))</f>
        <v/>
      </c>
      <c r="J125" s="25" t="str">
        <f>IF($Q125="","",INDEX(TRANSACTIONS_MASTER!$O$5:$O$1204,$Q125))</f>
        <v/>
      </c>
      <c r="K125" s="26" t="str">
        <f>IF($Q125="","",INDEX(TRANSACTIONS_MASTER!$Q$5:$Q$1204,$Q125))</f>
        <v/>
      </c>
      <c r="L125" s="25" t="str">
        <f>IF($Q125="","",INDEX(TRANSACTIONS_MASTER!$P$5:$P$1204,$Q125))</f>
        <v/>
      </c>
      <c r="M125" s="25" t="str">
        <f>IF($Q125="","",INDEX(TRANSACTIONS_MASTER!$AA$5:$AA$1204,$Q125))</f>
        <v/>
      </c>
      <c r="N125" s="25" t="str">
        <f>IF($Q125="","",INDEX(TRANSACTIONS_MASTER!$R$5:$R$1204,$Q125))</f>
        <v/>
      </c>
      <c r="O125" s="28" t="str">
        <f>IF($Q125="","",INDEX(TRANSACTIONS_MASTER!$AB$5:$AB$1204,$Q125))</f>
        <v/>
      </c>
      <c r="P125" s="55" t="str">
        <f>IF($Q125="","",INDEX(TRANSACTIONS_MASTER!$Z$5:$Z$1204,$Q125)&amp;"")</f>
        <v/>
      </c>
      <c r="Q125" s="67" t="str">
        <f>IFERROR(MATCH($C$2&amp;"|"&amp;118,TRANSACTIONS_MASTER!$AE$5:$AE$1204,0),"")</f>
        <v/>
      </c>
      <c r="S125" s="67" t="str">
        <f>IFERROR(MATCH(1,INDEX((TRANSACTIONS_MASTER!$C$5:$C$1204=$C$2)*(TRANSACTIONS_MASTER!$AL$5:$AL$1204=9),0),0),"")</f>
        <v/>
      </c>
      <c r="T125" s="55" t="n"/>
      <c r="U125" s="55" t="str">
        <f>IF($S125="","",INDEX(TRANSACTIONS_MASTER!$K$5:$K$1204,$S125))</f>
        <v/>
      </c>
      <c r="V125" s="25" t="str">
        <f>IF($S125="","",SUMIFS(TRANSACTIONS_MASTER!$L$5:$L$1204,TRANSACTIONS_MASTER!$K$5:$K$1204,$U125,TRANSACTIONS_MASTER!$C$5:$C$1204,$C$2,TRANSACTIONS_MASTER!$U$5:$U$1204,"&lt;&gt;Cancelled"))</f>
        <v/>
      </c>
      <c r="W125" s="26" t="str">
        <f>IF($S125="","",SUMIFS(TRANSACTIONS_MASTER!$Q$5:$Q$1204,TRANSACTIONS_MASTER!$K$5:$K$1204,$U125,TRANSACTIONS_MASTER!$C$5:$C$1204,$C$2))</f>
        <v/>
      </c>
    </row>
    <row r="126">
      <c r="A126" s="81" t="str">
        <f>IF($Q126="","",119)</f>
        <v/>
      </c>
      <c r="B126" s="57" t="str">
        <f>IF($Q126="","",INDEX(TRANSACTIONS_MASTER!$B$5:$B$1204,$Q126))</f>
        <v/>
      </c>
      <c r="C126" s="55" t="str">
        <f>IF($Q126="","",INDEX(TRANSACTIONS_MASTER!$F$5:$F$1204,$Q126))</f>
        <v/>
      </c>
      <c r="D126" s="55" t="str">
        <f>IF($Q126="","",INDEX(TRANSACTIONS_MASTER!$E$5:$E$1204,$Q126))</f>
        <v/>
      </c>
      <c r="E126" s="55" t="str">
        <f>IF($Q126="","",INDEX(TRANSACTIONS_MASTER!$G$5:$G$1204,$Q126)&amp;"")</f>
        <v/>
      </c>
      <c r="F126" s="29" t="str">
        <f>IF($Q126="","",INDEX(TRANSACTIONS_MASTER!$I$5:$I$1204,$Q126))</f>
        <v/>
      </c>
      <c r="G126" s="55" t="str">
        <f>IF($Q126="","",INDEX(TRANSACTIONS_MASTER!$K$5:$K$1204,$Q126))</f>
        <v/>
      </c>
      <c r="H126" s="25" t="str">
        <f>IF($Q126="","",INDEX(TRANSACTIONS_MASTER!$L$5:$L$1204,$Q126))</f>
        <v/>
      </c>
      <c r="I126" s="56" t="str">
        <f>IF($Q126="","",INDEX(TRANSACTIONS_MASTER!$N$5:$N$1204,$Q126))</f>
        <v/>
      </c>
      <c r="J126" s="25" t="str">
        <f>IF($Q126="","",INDEX(TRANSACTIONS_MASTER!$O$5:$O$1204,$Q126))</f>
        <v/>
      </c>
      <c r="K126" s="26" t="str">
        <f>IF($Q126="","",INDEX(TRANSACTIONS_MASTER!$Q$5:$Q$1204,$Q126))</f>
        <v/>
      </c>
      <c r="L126" s="25" t="str">
        <f>IF($Q126="","",INDEX(TRANSACTIONS_MASTER!$P$5:$P$1204,$Q126))</f>
        <v/>
      </c>
      <c r="M126" s="25" t="str">
        <f>IF($Q126="","",INDEX(TRANSACTIONS_MASTER!$AA$5:$AA$1204,$Q126))</f>
        <v/>
      </c>
      <c r="N126" s="25" t="str">
        <f>IF($Q126="","",INDEX(TRANSACTIONS_MASTER!$R$5:$R$1204,$Q126))</f>
        <v/>
      </c>
      <c r="O126" s="28" t="str">
        <f>IF($Q126="","",INDEX(TRANSACTIONS_MASTER!$AB$5:$AB$1204,$Q126))</f>
        <v/>
      </c>
      <c r="P126" s="55" t="str">
        <f>IF($Q126="","",INDEX(TRANSACTIONS_MASTER!$Z$5:$Z$1204,$Q126)&amp;"")</f>
        <v/>
      </c>
      <c r="Q126" s="67" t="str">
        <f>IFERROR(MATCH($C$2&amp;"|"&amp;119,TRANSACTIONS_MASTER!$AE$5:$AE$1204,0),"")</f>
        <v/>
      </c>
      <c r="S126" s="67" t="str">
        <f>IFERROR(MATCH(1,INDEX((TRANSACTIONS_MASTER!$C$5:$C$1204=$C$2)*(TRANSACTIONS_MASTER!$AL$5:$AL$1204=10),0),0),"")</f>
        <v/>
      </c>
      <c r="T126" s="55" t="n"/>
      <c r="U126" s="55" t="str">
        <f>IF($S126="","",INDEX(TRANSACTIONS_MASTER!$K$5:$K$1204,$S126))</f>
        <v/>
      </c>
      <c r="V126" s="25" t="str">
        <f>IF($S126="","",SUMIFS(TRANSACTIONS_MASTER!$L$5:$L$1204,TRANSACTIONS_MASTER!$K$5:$K$1204,$U126,TRANSACTIONS_MASTER!$C$5:$C$1204,$C$2,TRANSACTIONS_MASTER!$U$5:$U$1204,"&lt;&gt;Cancelled"))</f>
        <v/>
      </c>
      <c r="W126" s="26" t="str">
        <f>IF($S126="","",SUMIFS(TRANSACTIONS_MASTER!$Q$5:$Q$1204,TRANSACTIONS_MASTER!$K$5:$K$1204,$U126,TRANSACTIONS_MASTER!$C$5:$C$1204,$C$2))</f>
        <v/>
      </c>
    </row>
    <row r="127">
      <c r="A127" s="81" t="str">
        <f>IF($Q127="","",120)</f>
        <v/>
      </c>
      <c r="B127" s="57" t="str">
        <f>IF($Q127="","",INDEX(TRANSACTIONS_MASTER!$B$5:$B$1204,$Q127))</f>
        <v/>
      </c>
      <c r="C127" s="55" t="str">
        <f>IF($Q127="","",INDEX(TRANSACTIONS_MASTER!$F$5:$F$1204,$Q127))</f>
        <v/>
      </c>
      <c r="D127" s="55" t="str">
        <f>IF($Q127="","",INDEX(TRANSACTIONS_MASTER!$E$5:$E$1204,$Q127))</f>
        <v/>
      </c>
      <c r="E127" s="55" t="str">
        <f>IF($Q127="","",INDEX(TRANSACTIONS_MASTER!$G$5:$G$1204,$Q127)&amp;"")</f>
        <v/>
      </c>
      <c r="F127" s="29" t="str">
        <f>IF($Q127="","",INDEX(TRANSACTIONS_MASTER!$I$5:$I$1204,$Q127))</f>
        <v/>
      </c>
      <c r="G127" s="55" t="str">
        <f>IF($Q127="","",INDEX(TRANSACTIONS_MASTER!$K$5:$K$1204,$Q127))</f>
        <v/>
      </c>
      <c r="H127" s="25" t="str">
        <f>IF($Q127="","",INDEX(TRANSACTIONS_MASTER!$L$5:$L$1204,$Q127))</f>
        <v/>
      </c>
      <c r="I127" s="56" t="str">
        <f>IF($Q127="","",INDEX(TRANSACTIONS_MASTER!$N$5:$N$1204,$Q127))</f>
        <v/>
      </c>
      <c r="J127" s="25" t="str">
        <f>IF($Q127="","",INDEX(TRANSACTIONS_MASTER!$O$5:$O$1204,$Q127))</f>
        <v/>
      </c>
      <c r="K127" s="26" t="str">
        <f>IF($Q127="","",INDEX(TRANSACTIONS_MASTER!$Q$5:$Q$1204,$Q127))</f>
        <v/>
      </c>
      <c r="L127" s="25" t="str">
        <f>IF($Q127="","",INDEX(TRANSACTIONS_MASTER!$P$5:$P$1204,$Q127))</f>
        <v/>
      </c>
      <c r="M127" s="25" t="str">
        <f>IF($Q127="","",INDEX(TRANSACTIONS_MASTER!$AA$5:$AA$1204,$Q127))</f>
        <v/>
      </c>
      <c r="N127" s="25" t="str">
        <f>IF($Q127="","",INDEX(TRANSACTIONS_MASTER!$R$5:$R$1204,$Q127))</f>
        <v/>
      </c>
      <c r="O127" s="28" t="str">
        <f>IF($Q127="","",INDEX(TRANSACTIONS_MASTER!$AB$5:$AB$1204,$Q127))</f>
        <v/>
      </c>
      <c r="P127" s="55" t="str">
        <f>IF($Q127="","",INDEX(TRANSACTIONS_MASTER!$Z$5:$Z$1204,$Q127)&amp;"")</f>
        <v/>
      </c>
      <c r="Q127" s="67" t="str">
        <f>IFERROR(MATCH($C$2&amp;"|"&amp;120,TRANSACTIONS_MASTER!$AE$5:$AE$1204,0),"")</f>
        <v/>
      </c>
      <c r="S127" s="67" t="str">
        <f>IFERROR(MATCH(1,INDEX((TRANSACTIONS_MASTER!$C$5:$C$1204=$C$2)*(TRANSACTIONS_MASTER!$AL$5:$AL$1204=11),0),0),"")</f>
        <v/>
      </c>
      <c r="T127" s="55" t="n"/>
      <c r="U127" s="55" t="str">
        <f>IF($S127="","",INDEX(TRANSACTIONS_MASTER!$K$5:$K$1204,$S127))</f>
        <v/>
      </c>
      <c r="V127" s="25" t="str">
        <f>IF($S127="","",SUMIFS(TRANSACTIONS_MASTER!$L$5:$L$1204,TRANSACTIONS_MASTER!$K$5:$K$1204,$U127,TRANSACTIONS_MASTER!$C$5:$C$1204,$C$2,TRANSACTIONS_MASTER!$U$5:$U$1204,"&lt;&gt;Cancelled"))</f>
        <v/>
      </c>
      <c r="W127" s="26" t="str">
        <f>IF($S127="","",SUMIFS(TRANSACTIONS_MASTER!$Q$5:$Q$1204,TRANSACTIONS_MASTER!$K$5:$K$1204,$U127,TRANSACTIONS_MASTER!$C$5:$C$1204,$C$2))</f>
        <v/>
      </c>
    </row>
    <row r="128">
      <c r="A128" s="81" t="str">
        <f>IF($Q128="","",121)</f>
        <v/>
      </c>
      <c r="B128" s="57" t="str">
        <f>IF($Q128="","",INDEX(TRANSACTIONS_MASTER!$B$5:$B$1204,$Q128))</f>
        <v/>
      </c>
      <c r="C128" s="55" t="str">
        <f>IF($Q128="","",INDEX(TRANSACTIONS_MASTER!$F$5:$F$1204,$Q128))</f>
        <v/>
      </c>
      <c r="D128" s="55" t="str">
        <f>IF($Q128="","",INDEX(TRANSACTIONS_MASTER!$E$5:$E$1204,$Q128))</f>
        <v/>
      </c>
      <c r="E128" s="55" t="str">
        <f>IF($Q128="","",INDEX(TRANSACTIONS_MASTER!$G$5:$G$1204,$Q128)&amp;"")</f>
        <v/>
      </c>
      <c r="F128" s="29" t="str">
        <f>IF($Q128="","",INDEX(TRANSACTIONS_MASTER!$I$5:$I$1204,$Q128))</f>
        <v/>
      </c>
      <c r="G128" s="55" t="str">
        <f>IF($Q128="","",INDEX(TRANSACTIONS_MASTER!$K$5:$K$1204,$Q128))</f>
        <v/>
      </c>
      <c r="H128" s="25" t="str">
        <f>IF($Q128="","",INDEX(TRANSACTIONS_MASTER!$L$5:$L$1204,$Q128))</f>
        <v/>
      </c>
      <c r="I128" s="56" t="str">
        <f>IF($Q128="","",INDEX(TRANSACTIONS_MASTER!$N$5:$N$1204,$Q128))</f>
        <v/>
      </c>
      <c r="J128" s="25" t="str">
        <f>IF($Q128="","",INDEX(TRANSACTIONS_MASTER!$O$5:$O$1204,$Q128))</f>
        <v/>
      </c>
      <c r="K128" s="26" t="str">
        <f>IF($Q128="","",INDEX(TRANSACTIONS_MASTER!$Q$5:$Q$1204,$Q128))</f>
        <v/>
      </c>
      <c r="L128" s="25" t="str">
        <f>IF($Q128="","",INDEX(TRANSACTIONS_MASTER!$P$5:$P$1204,$Q128))</f>
        <v/>
      </c>
      <c r="M128" s="25" t="str">
        <f>IF($Q128="","",INDEX(TRANSACTIONS_MASTER!$AA$5:$AA$1204,$Q128))</f>
        <v/>
      </c>
      <c r="N128" s="25" t="str">
        <f>IF($Q128="","",INDEX(TRANSACTIONS_MASTER!$R$5:$R$1204,$Q128))</f>
        <v/>
      </c>
      <c r="O128" s="28" t="str">
        <f>IF($Q128="","",INDEX(TRANSACTIONS_MASTER!$AB$5:$AB$1204,$Q128))</f>
        <v/>
      </c>
      <c r="P128" s="55" t="str">
        <f>IF($Q128="","",INDEX(TRANSACTIONS_MASTER!$Z$5:$Z$1204,$Q128)&amp;"")</f>
        <v/>
      </c>
      <c r="Q128" s="67" t="str">
        <f>IFERROR(MATCH($C$2&amp;"|"&amp;121,TRANSACTIONS_MASTER!$AE$5:$AE$1204,0),"")</f>
        <v/>
      </c>
      <c r="S128" s="67" t="str">
        <f>IFERROR(MATCH(1,INDEX((TRANSACTIONS_MASTER!$C$5:$C$1204=$C$2)*(TRANSACTIONS_MASTER!$AL$5:$AL$1204=12),0),0),"")</f>
        <v/>
      </c>
      <c r="T128" s="55" t="n"/>
      <c r="U128" s="55" t="str">
        <f>IF($S128="","",INDEX(TRANSACTIONS_MASTER!$K$5:$K$1204,$S128))</f>
        <v/>
      </c>
      <c r="V128" s="25" t="str">
        <f>IF($S128="","",SUMIFS(TRANSACTIONS_MASTER!$L$5:$L$1204,TRANSACTIONS_MASTER!$K$5:$K$1204,$U128,TRANSACTIONS_MASTER!$C$5:$C$1204,$C$2,TRANSACTIONS_MASTER!$U$5:$U$1204,"&lt;&gt;Cancelled"))</f>
        <v/>
      </c>
      <c r="W128" s="26" t="str">
        <f>IF($S128="","",SUMIFS(TRANSACTIONS_MASTER!$Q$5:$Q$1204,TRANSACTIONS_MASTER!$K$5:$K$1204,$U128,TRANSACTIONS_MASTER!$C$5:$C$1204,$C$2))</f>
        <v/>
      </c>
    </row>
    <row r="129">
      <c r="A129" s="81" t="str">
        <f>IF($Q129="","",122)</f>
        <v/>
      </c>
      <c r="B129" s="57" t="str">
        <f>IF($Q129="","",INDEX(TRANSACTIONS_MASTER!$B$5:$B$1204,$Q129))</f>
        <v/>
      </c>
      <c r="C129" s="55" t="str">
        <f>IF($Q129="","",INDEX(TRANSACTIONS_MASTER!$F$5:$F$1204,$Q129))</f>
        <v/>
      </c>
      <c r="D129" s="55" t="str">
        <f>IF($Q129="","",INDEX(TRANSACTIONS_MASTER!$E$5:$E$1204,$Q129))</f>
        <v/>
      </c>
      <c r="E129" s="55" t="str">
        <f>IF($Q129="","",INDEX(TRANSACTIONS_MASTER!$G$5:$G$1204,$Q129)&amp;"")</f>
        <v/>
      </c>
      <c r="F129" s="29" t="str">
        <f>IF($Q129="","",INDEX(TRANSACTIONS_MASTER!$I$5:$I$1204,$Q129))</f>
        <v/>
      </c>
      <c r="G129" s="55" t="str">
        <f>IF($Q129="","",INDEX(TRANSACTIONS_MASTER!$K$5:$K$1204,$Q129))</f>
        <v/>
      </c>
      <c r="H129" s="25" t="str">
        <f>IF($Q129="","",INDEX(TRANSACTIONS_MASTER!$L$5:$L$1204,$Q129))</f>
        <v/>
      </c>
      <c r="I129" s="56" t="str">
        <f>IF($Q129="","",INDEX(TRANSACTIONS_MASTER!$N$5:$N$1204,$Q129))</f>
        <v/>
      </c>
      <c r="J129" s="25" t="str">
        <f>IF($Q129="","",INDEX(TRANSACTIONS_MASTER!$O$5:$O$1204,$Q129))</f>
        <v/>
      </c>
      <c r="K129" s="26" t="str">
        <f>IF($Q129="","",INDEX(TRANSACTIONS_MASTER!$Q$5:$Q$1204,$Q129))</f>
        <v/>
      </c>
      <c r="L129" s="25" t="str">
        <f>IF($Q129="","",INDEX(TRANSACTIONS_MASTER!$P$5:$P$1204,$Q129))</f>
        <v/>
      </c>
      <c r="M129" s="25" t="str">
        <f>IF($Q129="","",INDEX(TRANSACTIONS_MASTER!$AA$5:$AA$1204,$Q129))</f>
        <v/>
      </c>
      <c r="N129" s="25" t="str">
        <f>IF($Q129="","",INDEX(TRANSACTIONS_MASTER!$R$5:$R$1204,$Q129))</f>
        <v/>
      </c>
      <c r="O129" s="28" t="str">
        <f>IF($Q129="","",INDEX(TRANSACTIONS_MASTER!$AB$5:$AB$1204,$Q129))</f>
        <v/>
      </c>
      <c r="P129" s="55" t="str">
        <f>IF($Q129="","",INDEX(TRANSACTIONS_MASTER!$Z$5:$Z$1204,$Q129)&amp;"")</f>
        <v/>
      </c>
      <c r="Q129" s="67" t="str">
        <f>IFERROR(MATCH($C$2&amp;"|"&amp;122,TRANSACTIONS_MASTER!$AE$5:$AE$1204,0),"")</f>
        <v/>
      </c>
      <c r="S129" s="67" t="str">
        <f>IFERROR(MATCH(1,INDEX((TRANSACTIONS_MASTER!$C$5:$C$1204=$C$2)*(TRANSACTIONS_MASTER!$AL$5:$AL$1204=13),0),0),"")</f>
        <v/>
      </c>
      <c r="T129" s="55" t="n"/>
      <c r="U129" s="55" t="str">
        <f>IF($S129="","",INDEX(TRANSACTIONS_MASTER!$K$5:$K$1204,$S129))</f>
        <v/>
      </c>
      <c r="V129" s="25" t="str">
        <f>IF($S129="","",SUMIFS(TRANSACTIONS_MASTER!$L$5:$L$1204,TRANSACTIONS_MASTER!$K$5:$K$1204,$U129,TRANSACTIONS_MASTER!$C$5:$C$1204,$C$2,TRANSACTIONS_MASTER!$U$5:$U$1204,"&lt;&gt;Cancelled"))</f>
        <v/>
      </c>
      <c r="W129" s="26" t="str">
        <f>IF($S129="","",SUMIFS(TRANSACTIONS_MASTER!$Q$5:$Q$1204,TRANSACTIONS_MASTER!$K$5:$K$1204,$U129,TRANSACTIONS_MASTER!$C$5:$C$1204,$C$2))</f>
        <v/>
      </c>
    </row>
    <row r="130">
      <c r="A130" s="81" t="str">
        <f>IF($Q130="","",123)</f>
        <v/>
      </c>
      <c r="B130" s="57" t="str">
        <f>IF($Q130="","",INDEX(TRANSACTIONS_MASTER!$B$5:$B$1204,$Q130))</f>
        <v/>
      </c>
      <c r="C130" s="55" t="str">
        <f>IF($Q130="","",INDEX(TRANSACTIONS_MASTER!$F$5:$F$1204,$Q130))</f>
        <v/>
      </c>
      <c r="D130" s="55" t="str">
        <f>IF($Q130="","",INDEX(TRANSACTIONS_MASTER!$E$5:$E$1204,$Q130))</f>
        <v/>
      </c>
      <c r="E130" s="55" t="str">
        <f>IF($Q130="","",INDEX(TRANSACTIONS_MASTER!$G$5:$G$1204,$Q130)&amp;"")</f>
        <v/>
      </c>
      <c r="F130" s="29" t="str">
        <f>IF($Q130="","",INDEX(TRANSACTIONS_MASTER!$I$5:$I$1204,$Q130))</f>
        <v/>
      </c>
      <c r="G130" s="55" t="str">
        <f>IF($Q130="","",INDEX(TRANSACTIONS_MASTER!$K$5:$K$1204,$Q130))</f>
        <v/>
      </c>
      <c r="H130" s="25" t="str">
        <f>IF($Q130="","",INDEX(TRANSACTIONS_MASTER!$L$5:$L$1204,$Q130))</f>
        <v/>
      </c>
      <c r="I130" s="56" t="str">
        <f>IF($Q130="","",INDEX(TRANSACTIONS_MASTER!$N$5:$N$1204,$Q130))</f>
        <v/>
      </c>
      <c r="J130" s="25" t="str">
        <f>IF($Q130="","",INDEX(TRANSACTIONS_MASTER!$O$5:$O$1204,$Q130))</f>
        <v/>
      </c>
      <c r="K130" s="26" t="str">
        <f>IF($Q130="","",INDEX(TRANSACTIONS_MASTER!$Q$5:$Q$1204,$Q130))</f>
        <v/>
      </c>
      <c r="L130" s="25" t="str">
        <f>IF($Q130="","",INDEX(TRANSACTIONS_MASTER!$P$5:$P$1204,$Q130))</f>
        <v/>
      </c>
      <c r="M130" s="25" t="str">
        <f>IF($Q130="","",INDEX(TRANSACTIONS_MASTER!$AA$5:$AA$1204,$Q130))</f>
        <v/>
      </c>
      <c r="N130" s="25" t="str">
        <f>IF($Q130="","",INDEX(TRANSACTIONS_MASTER!$R$5:$R$1204,$Q130))</f>
        <v/>
      </c>
      <c r="O130" s="28" t="str">
        <f>IF($Q130="","",INDEX(TRANSACTIONS_MASTER!$AB$5:$AB$1204,$Q130))</f>
        <v/>
      </c>
      <c r="P130" s="55" t="str">
        <f>IF($Q130="","",INDEX(TRANSACTIONS_MASTER!$Z$5:$Z$1204,$Q130)&amp;"")</f>
        <v/>
      </c>
      <c r="Q130" s="67" t="str">
        <f>IFERROR(MATCH($C$2&amp;"|"&amp;123,TRANSACTIONS_MASTER!$AE$5:$AE$1204,0),"")</f>
        <v/>
      </c>
      <c r="S130" s="67" t="str">
        <f>IFERROR(MATCH(1,INDEX((TRANSACTIONS_MASTER!$C$5:$C$1204=$C$2)*(TRANSACTIONS_MASTER!$AL$5:$AL$1204=14),0),0),"")</f>
        <v/>
      </c>
      <c r="T130" s="55" t="n"/>
      <c r="U130" s="55" t="str">
        <f>IF($S130="","",INDEX(TRANSACTIONS_MASTER!$K$5:$K$1204,$S130))</f>
        <v/>
      </c>
      <c r="V130" s="25" t="str">
        <f>IF($S130="","",SUMIFS(TRANSACTIONS_MASTER!$L$5:$L$1204,TRANSACTIONS_MASTER!$K$5:$K$1204,$U130,TRANSACTIONS_MASTER!$C$5:$C$1204,$C$2,TRANSACTIONS_MASTER!$U$5:$U$1204,"&lt;&gt;Cancelled"))</f>
        <v/>
      </c>
      <c r="W130" s="26" t="str">
        <f>IF($S130="","",SUMIFS(TRANSACTIONS_MASTER!$Q$5:$Q$1204,TRANSACTIONS_MASTER!$K$5:$K$1204,$U130,TRANSACTIONS_MASTER!$C$5:$C$1204,$C$2))</f>
        <v/>
      </c>
    </row>
    <row r="131">
      <c r="A131" s="81" t="str">
        <f>IF($Q131="","",124)</f>
        <v/>
      </c>
      <c r="B131" s="57" t="str">
        <f>IF($Q131="","",INDEX(TRANSACTIONS_MASTER!$B$5:$B$1204,$Q131))</f>
        <v/>
      </c>
      <c r="C131" s="55" t="str">
        <f>IF($Q131="","",INDEX(TRANSACTIONS_MASTER!$F$5:$F$1204,$Q131))</f>
        <v/>
      </c>
      <c r="D131" s="55" t="str">
        <f>IF($Q131="","",INDEX(TRANSACTIONS_MASTER!$E$5:$E$1204,$Q131))</f>
        <v/>
      </c>
      <c r="E131" s="55" t="str">
        <f>IF($Q131="","",INDEX(TRANSACTIONS_MASTER!$G$5:$G$1204,$Q131)&amp;"")</f>
        <v/>
      </c>
      <c r="F131" s="29" t="str">
        <f>IF($Q131="","",INDEX(TRANSACTIONS_MASTER!$I$5:$I$1204,$Q131))</f>
        <v/>
      </c>
      <c r="G131" s="55" t="str">
        <f>IF($Q131="","",INDEX(TRANSACTIONS_MASTER!$K$5:$K$1204,$Q131))</f>
        <v/>
      </c>
      <c r="H131" s="25" t="str">
        <f>IF($Q131="","",INDEX(TRANSACTIONS_MASTER!$L$5:$L$1204,$Q131))</f>
        <v/>
      </c>
      <c r="I131" s="56" t="str">
        <f>IF($Q131="","",INDEX(TRANSACTIONS_MASTER!$N$5:$N$1204,$Q131))</f>
        <v/>
      </c>
      <c r="J131" s="25" t="str">
        <f>IF($Q131="","",INDEX(TRANSACTIONS_MASTER!$O$5:$O$1204,$Q131))</f>
        <v/>
      </c>
      <c r="K131" s="26" t="str">
        <f>IF($Q131="","",INDEX(TRANSACTIONS_MASTER!$Q$5:$Q$1204,$Q131))</f>
        <v/>
      </c>
      <c r="L131" s="25" t="str">
        <f>IF($Q131="","",INDEX(TRANSACTIONS_MASTER!$P$5:$P$1204,$Q131))</f>
        <v/>
      </c>
      <c r="M131" s="25" t="str">
        <f>IF($Q131="","",INDEX(TRANSACTIONS_MASTER!$AA$5:$AA$1204,$Q131))</f>
        <v/>
      </c>
      <c r="N131" s="25" t="str">
        <f>IF($Q131="","",INDEX(TRANSACTIONS_MASTER!$R$5:$R$1204,$Q131))</f>
        <v/>
      </c>
      <c r="O131" s="28" t="str">
        <f>IF($Q131="","",INDEX(TRANSACTIONS_MASTER!$AB$5:$AB$1204,$Q131))</f>
        <v/>
      </c>
      <c r="P131" s="55" t="str">
        <f>IF($Q131="","",INDEX(TRANSACTIONS_MASTER!$Z$5:$Z$1204,$Q131)&amp;"")</f>
        <v/>
      </c>
      <c r="Q131" s="67" t="str">
        <f>IFERROR(MATCH($C$2&amp;"|"&amp;124,TRANSACTIONS_MASTER!$AE$5:$AE$1204,0),"")</f>
        <v/>
      </c>
      <c r="S131" s="67" t="str">
        <f>IFERROR(MATCH(1,INDEX((TRANSACTIONS_MASTER!$C$5:$C$1204=$C$2)*(TRANSACTIONS_MASTER!$AL$5:$AL$1204=15),0),0),"")</f>
        <v/>
      </c>
      <c r="T131" s="55" t="n"/>
      <c r="U131" s="55" t="str">
        <f>IF($S131="","",INDEX(TRANSACTIONS_MASTER!$K$5:$K$1204,$S131))</f>
        <v/>
      </c>
      <c r="V131" s="25" t="str">
        <f>IF($S131="","",SUMIFS(TRANSACTIONS_MASTER!$L$5:$L$1204,TRANSACTIONS_MASTER!$K$5:$K$1204,$U131,TRANSACTIONS_MASTER!$C$5:$C$1204,$C$2,TRANSACTIONS_MASTER!$U$5:$U$1204,"&lt;&gt;Cancelled"))</f>
        <v/>
      </c>
      <c r="W131" s="26" t="str">
        <f>IF($S131="","",SUMIFS(TRANSACTIONS_MASTER!$Q$5:$Q$1204,TRANSACTIONS_MASTER!$K$5:$K$1204,$U131,TRANSACTIONS_MASTER!$C$5:$C$1204,$C$2))</f>
        <v/>
      </c>
    </row>
    <row r="132">
      <c r="A132" s="81" t="str">
        <f>IF($Q132="","",125)</f>
        <v/>
      </c>
      <c r="B132" s="57" t="str">
        <f>IF($Q132="","",INDEX(TRANSACTIONS_MASTER!$B$5:$B$1204,$Q132))</f>
        <v/>
      </c>
      <c r="C132" s="55" t="str">
        <f>IF($Q132="","",INDEX(TRANSACTIONS_MASTER!$F$5:$F$1204,$Q132))</f>
        <v/>
      </c>
      <c r="D132" s="55" t="str">
        <f>IF($Q132="","",INDEX(TRANSACTIONS_MASTER!$E$5:$E$1204,$Q132))</f>
        <v/>
      </c>
      <c r="E132" s="55" t="str">
        <f>IF($Q132="","",INDEX(TRANSACTIONS_MASTER!$G$5:$G$1204,$Q132)&amp;"")</f>
        <v/>
      </c>
      <c r="F132" s="29" t="str">
        <f>IF($Q132="","",INDEX(TRANSACTIONS_MASTER!$I$5:$I$1204,$Q132))</f>
        <v/>
      </c>
      <c r="G132" s="55" t="str">
        <f>IF($Q132="","",INDEX(TRANSACTIONS_MASTER!$K$5:$K$1204,$Q132))</f>
        <v/>
      </c>
      <c r="H132" s="25" t="str">
        <f>IF($Q132="","",INDEX(TRANSACTIONS_MASTER!$L$5:$L$1204,$Q132))</f>
        <v/>
      </c>
      <c r="I132" s="56" t="str">
        <f>IF($Q132="","",INDEX(TRANSACTIONS_MASTER!$N$5:$N$1204,$Q132))</f>
        <v/>
      </c>
      <c r="J132" s="25" t="str">
        <f>IF($Q132="","",INDEX(TRANSACTIONS_MASTER!$O$5:$O$1204,$Q132))</f>
        <v/>
      </c>
      <c r="K132" s="26" t="str">
        <f>IF($Q132="","",INDEX(TRANSACTIONS_MASTER!$Q$5:$Q$1204,$Q132))</f>
        <v/>
      </c>
      <c r="L132" s="25" t="str">
        <f>IF($Q132="","",INDEX(TRANSACTIONS_MASTER!$P$5:$P$1204,$Q132))</f>
        <v/>
      </c>
      <c r="M132" s="25" t="str">
        <f>IF($Q132="","",INDEX(TRANSACTIONS_MASTER!$AA$5:$AA$1204,$Q132))</f>
        <v/>
      </c>
      <c r="N132" s="25" t="str">
        <f>IF($Q132="","",INDEX(TRANSACTIONS_MASTER!$R$5:$R$1204,$Q132))</f>
        <v/>
      </c>
      <c r="O132" s="28" t="str">
        <f>IF($Q132="","",INDEX(TRANSACTIONS_MASTER!$AB$5:$AB$1204,$Q132))</f>
        <v/>
      </c>
      <c r="P132" s="55" t="str">
        <f>IF($Q132="","",INDEX(TRANSACTIONS_MASTER!$Z$5:$Z$1204,$Q132)&amp;"")</f>
        <v/>
      </c>
      <c r="Q132" s="67" t="str">
        <f>IFERROR(MATCH($C$2&amp;"|"&amp;125,TRANSACTIONS_MASTER!$AE$5:$AE$1204,0),"")</f>
        <v/>
      </c>
      <c r="T132" s="45" t="n"/>
      <c r="U132" s="82" t="inlineStr">
        <is>
          <t>Khác (ngoài danh sách)</t>
        </is>
      </c>
      <c r="V132" s="48">
        <f>MAX(0,SUMIFS(TRANSACTIONS_MASTER!$L$5:$L$1204,TRANSACTIONS_MASTER!$C$5:$C$1204,$C$2,TRANSACTIONS_MASTER!$U$5:$U$1204,"&lt;&gt;Cancelled")-SUM(V117:V131))</f>
        <v>0</v>
      </c>
      <c r="W132" s="48">
        <f>MAX(0,SUMIFS(TRANSACTIONS_MASTER!$Q$5:$Q$1204,TRANSACTIONS_MASTER!$C$5:$C$1204,$C$2)-SUM(W117:W131))</f>
        <v>0</v>
      </c>
    </row>
    <row r="133">
      <c r="A133" s="81" t="str">
        <f>IF($Q133="","",126)</f>
        <v/>
      </c>
      <c r="B133" s="57" t="str">
        <f>IF($Q133="","",INDEX(TRANSACTIONS_MASTER!$B$5:$B$1204,$Q133))</f>
        <v/>
      </c>
      <c r="C133" s="55" t="str">
        <f>IF($Q133="","",INDEX(TRANSACTIONS_MASTER!$F$5:$F$1204,$Q133))</f>
        <v/>
      </c>
      <c r="D133" s="55" t="str">
        <f>IF($Q133="","",INDEX(TRANSACTIONS_MASTER!$E$5:$E$1204,$Q133))</f>
        <v/>
      </c>
      <c r="E133" s="55" t="str">
        <f>IF($Q133="","",INDEX(TRANSACTIONS_MASTER!$G$5:$G$1204,$Q133)&amp;"")</f>
        <v/>
      </c>
      <c r="F133" s="29" t="str">
        <f>IF($Q133="","",INDEX(TRANSACTIONS_MASTER!$I$5:$I$1204,$Q133))</f>
        <v/>
      </c>
      <c r="G133" s="55" t="str">
        <f>IF($Q133="","",INDEX(TRANSACTIONS_MASTER!$K$5:$K$1204,$Q133))</f>
        <v/>
      </c>
      <c r="H133" s="25" t="str">
        <f>IF($Q133="","",INDEX(TRANSACTIONS_MASTER!$L$5:$L$1204,$Q133))</f>
        <v/>
      </c>
      <c r="I133" s="56" t="str">
        <f>IF($Q133="","",INDEX(TRANSACTIONS_MASTER!$N$5:$N$1204,$Q133))</f>
        <v/>
      </c>
      <c r="J133" s="25" t="str">
        <f>IF($Q133="","",INDEX(TRANSACTIONS_MASTER!$O$5:$O$1204,$Q133))</f>
        <v/>
      </c>
      <c r="K133" s="26" t="str">
        <f>IF($Q133="","",INDEX(TRANSACTIONS_MASTER!$Q$5:$Q$1204,$Q133))</f>
        <v/>
      </c>
      <c r="L133" s="25" t="str">
        <f>IF($Q133="","",INDEX(TRANSACTIONS_MASTER!$P$5:$P$1204,$Q133))</f>
        <v/>
      </c>
      <c r="M133" s="25" t="str">
        <f>IF($Q133="","",INDEX(TRANSACTIONS_MASTER!$AA$5:$AA$1204,$Q133))</f>
        <v/>
      </c>
      <c r="N133" s="25" t="str">
        <f>IF($Q133="","",INDEX(TRANSACTIONS_MASTER!$R$5:$R$1204,$Q133))</f>
        <v/>
      </c>
      <c r="O133" s="28" t="str">
        <f>IF($Q133="","",INDEX(TRANSACTIONS_MASTER!$AB$5:$AB$1204,$Q133))</f>
        <v/>
      </c>
      <c r="P133" s="55" t="str">
        <f>IF($Q133="","",INDEX(TRANSACTIONS_MASTER!$Z$5:$Z$1204,$Q133)&amp;"")</f>
        <v/>
      </c>
      <c r="Q133" s="67" t="str">
        <f>IFERROR(MATCH($C$2&amp;"|"&amp;126,TRANSACTIONS_MASTER!$AE$5:$AE$1204,0),"")</f>
        <v/>
      </c>
      <c r="T133" s="68" t="n"/>
      <c r="U133" s="69" t="inlineStr">
        <is>
          <t>TỔNG</t>
        </is>
      </c>
      <c r="V133" s="31">
        <f>SUM(V117:V132)</f>
        <v>0</v>
      </c>
      <c r="W133" s="31">
        <f>SUM(W117:W132)</f>
        <v>0</v>
      </c>
    </row>
    <row r="134">
      <c r="A134" s="81" t="str">
        <f>IF($Q134="","",127)</f>
        <v/>
      </c>
      <c r="B134" s="57" t="str">
        <f>IF($Q134="","",INDEX(TRANSACTIONS_MASTER!$B$5:$B$1204,$Q134))</f>
        <v/>
      </c>
      <c r="C134" s="55" t="str">
        <f>IF($Q134="","",INDEX(TRANSACTIONS_MASTER!$F$5:$F$1204,$Q134))</f>
        <v/>
      </c>
      <c r="D134" s="55" t="str">
        <f>IF($Q134="","",INDEX(TRANSACTIONS_MASTER!$E$5:$E$1204,$Q134))</f>
        <v/>
      </c>
      <c r="E134" s="55" t="str">
        <f>IF($Q134="","",INDEX(TRANSACTIONS_MASTER!$G$5:$G$1204,$Q134)&amp;"")</f>
        <v/>
      </c>
      <c r="F134" s="29" t="str">
        <f>IF($Q134="","",INDEX(TRANSACTIONS_MASTER!$I$5:$I$1204,$Q134))</f>
        <v/>
      </c>
      <c r="G134" s="55" t="str">
        <f>IF($Q134="","",INDEX(TRANSACTIONS_MASTER!$K$5:$K$1204,$Q134))</f>
        <v/>
      </c>
      <c r="H134" s="25" t="str">
        <f>IF($Q134="","",INDEX(TRANSACTIONS_MASTER!$L$5:$L$1204,$Q134))</f>
        <v/>
      </c>
      <c r="I134" s="56" t="str">
        <f>IF($Q134="","",INDEX(TRANSACTIONS_MASTER!$N$5:$N$1204,$Q134))</f>
        <v/>
      </c>
      <c r="J134" s="25" t="str">
        <f>IF($Q134="","",INDEX(TRANSACTIONS_MASTER!$O$5:$O$1204,$Q134))</f>
        <v/>
      </c>
      <c r="K134" s="26" t="str">
        <f>IF($Q134="","",INDEX(TRANSACTIONS_MASTER!$Q$5:$Q$1204,$Q134))</f>
        <v/>
      </c>
      <c r="L134" s="25" t="str">
        <f>IF($Q134="","",INDEX(TRANSACTIONS_MASTER!$P$5:$P$1204,$Q134))</f>
        <v/>
      </c>
      <c r="M134" s="25" t="str">
        <f>IF($Q134="","",INDEX(TRANSACTIONS_MASTER!$AA$5:$AA$1204,$Q134))</f>
        <v/>
      </c>
      <c r="N134" s="25" t="str">
        <f>IF($Q134="","",INDEX(TRANSACTIONS_MASTER!$R$5:$R$1204,$Q134))</f>
        <v/>
      </c>
      <c r="O134" s="28" t="str">
        <f>IF($Q134="","",INDEX(TRANSACTIONS_MASTER!$AB$5:$AB$1204,$Q134))</f>
        <v/>
      </c>
      <c r="P134" s="55" t="str">
        <f>IF($Q134="","",INDEX(TRANSACTIONS_MASTER!$Z$5:$Z$1204,$Q134)&amp;"")</f>
        <v/>
      </c>
      <c r="Q134" s="67" t="str">
        <f>IFERROR(MATCH($C$2&amp;"|"&amp;127,TRANSACTIONS_MASTER!$AE$5:$AE$1204,0),"")</f>
        <v/>
      </c>
    </row>
    <row r="135">
      <c r="A135" s="81" t="str">
        <f>IF($Q135="","",128)</f>
        <v/>
      </c>
      <c r="B135" s="57" t="str">
        <f>IF($Q135="","",INDEX(TRANSACTIONS_MASTER!$B$5:$B$1204,$Q135))</f>
        <v/>
      </c>
      <c r="C135" s="55" t="str">
        <f>IF($Q135="","",INDEX(TRANSACTIONS_MASTER!$F$5:$F$1204,$Q135))</f>
        <v/>
      </c>
      <c r="D135" s="55" t="str">
        <f>IF($Q135="","",INDEX(TRANSACTIONS_MASTER!$E$5:$E$1204,$Q135))</f>
        <v/>
      </c>
      <c r="E135" s="55" t="str">
        <f>IF($Q135="","",INDEX(TRANSACTIONS_MASTER!$G$5:$G$1204,$Q135)&amp;"")</f>
        <v/>
      </c>
      <c r="F135" s="29" t="str">
        <f>IF($Q135="","",INDEX(TRANSACTIONS_MASTER!$I$5:$I$1204,$Q135))</f>
        <v/>
      </c>
      <c r="G135" s="55" t="str">
        <f>IF($Q135="","",INDEX(TRANSACTIONS_MASTER!$K$5:$K$1204,$Q135))</f>
        <v/>
      </c>
      <c r="H135" s="25" t="str">
        <f>IF($Q135="","",INDEX(TRANSACTIONS_MASTER!$L$5:$L$1204,$Q135))</f>
        <v/>
      </c>
      <c r="I135" s="56" t="str">
        <f>IF($Q135="","",INDEX(TRANSACTIONS_MASTER!$N$5:$N$1204,$Q135))</f>
        <v/>
      </c>
      <c r="J135" s="25" t="str">
        <f>IF($Q135="","",INDEX(TRANSACTIONS_MASTER!$O$5:$O$1204,$Q135))</f>
        <v/>
      </c>
      <c r="K135" s="26" t="str">
        <f>IF($Q135="","",INDEX(TRANSACTIONS_MASTER!$Q$5:$Q$1204,$Q135))</f>
        <v/>
      </c>
      <c r="L135" s="25" t="str">
        <f>IF($Q135="","",INDEX(TRANSACTIONS_MASTER!$P$5:$P$1204,$Q135))</f>
        <v/>
      </c>
      <c r="M135" s="25" t="str">
        <f>IF($Q135="","",INDEX(TRANSACTIONS_MASTER!$AA$5:$AA$1204,$Q135))</f>
        <v/>
      </c>
      <c r="N135" s="25" t="str">
        <f>IF($Q135="","",INDEX(TRANSACTIONS_MASTER!$R$5:$R$1204,$Q135))</f>
        <v/>
      </c>
      <c r="O135" s="28" t="str">
        <f>IF($Q135="","",INDEX(TRANSACTIONS_MASTER!$AB$5:$AB$1204,$Q135))</f>
        <v/>
      </c>
      <c r="P135" s="55" t="str">
        <f>IF($Q135="","",INDEX(TRANSACTIONS_MASTER!$Z$5:$Z$1204,$Q135)&amp;"")</f>
        <v/>
      </c>
      <c r="Q135" s="67" t="str">
        <f>IFERROR(MATCH($C$2&amp;"|"&amp;128,TRANSACTIONS_MASTER!$AE$5:$AE$1204,0),"")</f>
        <v/>
      </c>
    </row>
    <row r="136" ht="22" customHeight="1">
      <c r="A136" s="81" t="str">
        <f>IF($Q136="","",129)</f>
        <v/>
      </c>
      <c r="B136" s="57" t="str">
        <f>IF($Q136="","",INDEX(TRANSACTIONS_MASTER!$B$5:$B$1204,$Q136))</f>
        <v/>
      </c>
      <c r="C136" s="55" t="str">
        <f>IF($Q136="","",INDEX(TRANSACTIONS_MASTER!$F$5:$F$1204,$Q136))</f>
        <v/>
      </c>
      <c r="D136" s="55" t="str">
        <f>IF($Q136="","",INDEX(TRANSACTIONS_MASTER!$E$5:$E$1204,$Q136))</f>
        <v/>
      </c>
      <c r="E136" s="55" t="str">
        <f>IF($Q136="","",INDEX(TRANSACTIONS_MASTER!$G$5:$G$1204,$Q136)&amp;"")</f>
        <v/>
      </c>
      <c r="F136" s="29" t="str">
        <f>IF($Q136="","",INDEX(TRANSACTIONS_MASTER!$I$5:$I$1204,$Q136))</f>
        <v/>
      </c>
      <c r="G136" s="55" t="str">
        <f>IF($Q136="","",INDEX(TRANSACTIONS_MASTER!$K$5:$K$1204,$Q136))</f>
        <v/>
      </c>
      <c r="H136" s="25" t="str">
        <f>IF($Q136="","",INDEX(TRANSACTIONS_MASTER!$L$5:$L$1204,$Q136))</f>
        <v/>
      </c>
      <c r="I136" s="56" t="str">
        <f>IF($Q136="","",INDEX(TRANSACTIONS_MASTER!$N$5:$N$1204,$Q136))</f>
        <v/>
      </c>
      <c r="J136" s="25" t="str">
        <f>IF($Q136="","",INDEX(TRANSACTIONS_MASTER!$O$5:$O$1204,$Q136))</f>
        <v/>
      </c>
      <c r="K136" s="26" t="str">
        <f>IF($Q136="","",INDEX(TRANSACTIONS_MASTER!$Q$5:$Q$1204,$Q136))</f>
        <v/>
      </c>
      <c r="L136" s="25" t="str">
        <f>IF($Q136="","",INDEX(TRANSACTIONS_MASTER!$P$5:$P$1204,$Q136))</f>
        <v/>
      </c>
      <c r="M136" s="25" t="str">
        <f>IF($Q136="","",INDEX(TRANSACTIONS_MASTER!$AA$5:$AA$1204,$Q136))</f>
        <v/>
      </c>
      <c r="N136" s="25" t="str">
        <f>IF($Q136="","",INDEX(TRANSACTIONS_MASTER!$R$5:$R$1204,$Q136))</f>
        <v/>
      </c>
      <c r="O136" s="28" t="str">
        <f>IF($Q136="","",INDEX(TRANSACTIONS_MASTER!$AB$5:$AB$1204,$Q136))</f>
        <v/>
      </c>
      <c r="P136" s="55" t="str">
        <f>IF($Q136="","",INDEX(TRANSACTIONS_MASTER!$Z$5:$Z$1204,$Q136)&amp;"")</f>
        <v/>
      </c>
      <c r="Q136" s="67" t="str">
        <f>IFERROR(MATCH($C$2&amp;"|"&amp;129,TRANSACTIONS_MASTER!$AE$5:$AE$1204,0),"")</f>
        <v/>
      </c>
      <c r="T136" s="19" t="inlineStr">
        <is>
          <t>THEO MCC</t>
        </is>
      </c>
      <c r="U136" s="20" t="n"/>
      <c r="V136" s="20" t="n"/>
      <c r="W136" s="20" t="n"/>
      <c r="X136" s="20" t="n"/>
      <c r="Y136" s="20" t="n"/>
      <c r="Z136" s="20" t="n"/>
      <c r="AA136" s="20" t="n"/>
    </row>
    <row r="137" ht="28" customHeight="1">
      <c r="A137" s="81" t="str">
        <f>IF($Q137="","",130)</f>
        <v/>
      </c>
      <c r="B137" s="57" t="str">
        <f>IF($Q137="","",INDEX(TRANSACTIONS_MASTER!$B$5:$B$1204,$Q137))</f>
        <v/>
      </c>
      <c r="C137" s="55" t="str">
        <f>IF($Q137="","",INDEX(TRANSACTIONS_MASTER!$F$5:$F$1204,$Q137))</f>
        <v/>
      </c>
      <c r="D137" s="55" t="str">
        <f>IF($Q137="","",INDEX(TRANSACTIONS_MASTER!$E$5:$E$1204,$Q137))</f>
        <v/>
      </c>
      <c r="E137" s="55" t="str">
        <f>IF($Q137="","",INDEX(TRANSACTIONS_MASTER!$G$5:$G$1204,$Q137)&amp;"")</f>
        <v/>
      </c>
      <c r="F137" s="29" t="str">
        <f>IF($Q137="","",INDEX(TRANSACTIONS_MASTER!$I$5:$I$1204,$Q137))</f>
        <v/>
      </c>
      <c r="G137" s="55" t="str">
        <f>IF($Q137="","",INDEX(TRANSACTIONS_MASTER!$K$5:$K$1204,$Q137))</f>
        <v/>
      </c>
      <c r="H137" s="25" t="str">
        <f>IF($Q137="","",INDEX(TRANSACTIONS_MASTER!$L$5:$L$1204,$Q137))</f>
        <v/>
      </c>
      <c r="I137" s="56" t="str">
        <f>IF($Q137="","",INDEX(TRANSACTIONS_MASTER!$N$5:$N$1204,$Q137))</f>
        <v/>
      </c>
      <c r="J137" s="25" t="str">
        <f>IF($Q137="","",INDEX(TRANSACTIONS_MASTER!$O$5:$O$1204,$Q137))</f>
        <v/>
      </c>
      <c r="K137" s="26" t="str">
        <f>IF($Q137="","",INDEX(TRANSACTIONS_MASTER!$Q$5:$Q$1204,$Q137))</f>
        <v/>
      </c>
      <c r="L137" s="25" t="str">
        <f>IF($Q137="","",INDEX(TRANSACTIONS_MASTER!$P$5:$P$1204,$Q137))</f>
        <v/>
      </c>
      <c r="M137" s="25" t="str">
        <f>IF($Q137="","",INDEX(TRANSACTIONS_MASTER!$AA$5:$AA$1204,$Q137))</f>
        <v/>
      </c>
      <c r="N137" s="25" t="str">
        <f>IF($Q137="","",INDEX(TRANSACTIONS_MASTER!$R$5:$R$1204,$Q137))</f>
        <v/>
      </c>
      <c r="O137" s="28" t="str">
        <f>IF($Q137="","",INDEX(TRANSACTIONS_MASTER!$AB$5:$AB$1204,$Q137))</f>
        <v/>
      </c>
      <c r="P137" s="55" t="str">
        <f>IF($Q137="","",INDEX(TRANSACTIONS_MASTER!$Z$5:$Z$1204,$Q137)&amp;"")</f>
        <v/>
      </c>
      <c r="Q137" s="67" t="str">
        <f>IFERROR(MATCH($C$2&amp;"|"&amp;130,TRANSACTIONS_MASTER!$AE$5:$AE$1204,0),"")</f>
        <v/>
      </c>
      <c r="S137" s="21" t="inlineStr">
        <is>
          <t>#</t>
        </is>
      </c>
      <c r="T137" s="21" t="inlineStr">
        <is>
          <t>MCC</t>
        </is>
      </c>
      <c r="U137" s="21" t="inlineStr">
        <is>
          <t>Tên MCC</t>
        </is>
      </c>
      <c r="V137" s="21" t="inlineStr">
        <is>
          <t>Chi tiêu</t>
        </is>
      </c>
      <c r="W137" s="21" t="inlineStr">
        <is>
          <t>Cashback</t>
        </is>
      </c>
    </row>
    <row r="138">
      <c r="A138" s="81" t="str">
        <f>IF($Q138="","",131)</f>
        <v/>
      </c>
      <c r="B138" s="57" t="str">
        <f>IF($Q138="","",INDEX(TRANSACTIONS_MASTER!$B$5:$B$1204,$Q138))</f>
        <v/>
      </c>
      <c r="C138" s="55" t="str">
        <f>IF($Q138="","",INDEX(TRANSACTIONS_MASTER!$F$5:$F$1204,$Q138))</f>
        <v/>
      </c>
      <c r="D138" s="55" t="str">
        <f>IF($Q138="","",INDEX(TRANSACTIONS_MASTER!$E$5:$E$1204,$Q138))</f>
        <v/>
      </c>
      <c r="E138" s="55" t="str">
        <f>IF($Q138="","",INDEX(TRANSACTIONS_MASTER!$G$5:$G$1204,$Q138)&amp;"")</f>
        <v/>
      </c>
      <c r="F138" s="29" t="str">
        <f>IF($Q138="","",INDEX(TRANSACTIONS_MASTER!$I$5:$I$1204,$Q138))</f>
        <v/>
      </c>
      <c r="G138" s="55" t="str">
        <f>IF($Q138="","",INDEX(TRANSACTIONS_MASTER!$K$5:$K$1204,$Q138))</f>
        <v/>
      </c>
      <c r="H138" s="25" t="str">
        <f>IF($Q138="","",INDEX(TRANSACTIONS_MASTER!$L$5:$L$1204,$Q138))</f>
        <v/>
      </c>
      <c r="I138" s="56" t="str">
        <f>IF($Q138="","",INDEX(TRANSACTIONS_MASTER!$N$5:$N$1204,$Q138))</f>
        <v/>
      </c>
      <c r="J138" s="25" t="str">
        <f>IF($Q138="","",INDEX(TRANSACTIONS_MASTER!$O$5:$O$1204,$Q138))</f>
        <v/>
      </c>
      <c r="K138" s="26" t="str">
        <f>IF($Q138="","",INDEX(TRANSACTIONS_MASTER!$Q$5:$Q$1204,$Q138))</f>
        <v/>
      </c>
      <c r="L138" s="25" t="str">
        <f>IF($Q138="","",INDEX(TRANSACTIONS_MASTER!$P$5:$P$1204,$Q138))</f>
        <v/>
      </c>
      <c r="M138" s="25" t="str">
        <f>IF($Q138="","",INDEX(TRANSACTIONS_MASTER!$AA$5:$AA$1204,$Q138))</f>
        <v/>
      </c>
      <c r="N138" s="25" t="str">
        <f>IF($Q138="","",INDEX(TRANSACTIONS_MASTER!$R$5:$R$1204,$Q138))</f>
        <v/>
      </c>
      <c r="O138" s="28" t="str">
        <f>IF($Q138="","",INDEX(TRANSACTIONS_MASTER!$AB$5:$AB$1204,$Q138))</f>
        <v/>
      </c>
      <c r="P138" s="55" t="str">
        <f>IF($Q138="","",INDEX(TRANSACTIONS_MASTER!$Z$5:$Z$1204,$Q138)&amp;"")</f>
        <v/>
      </c>
      <c r="Q138" s="67" t="str">
        <f>IFERROR(MATCH($C$2&amp;"|"&amp;131,TRANSACTIONS_MASTER!$AE$5:$AE$1204,0),"")</f>
        <v/>
      </c>
      <c r="S138" s="67" t="str">
        <f>IFERROR(MATCH(1,INDEX((TRANSACTIONS_MASTER!$C$5:$C$1204=$C$2)*(TRANSACTIONS_MASTER!$AJ$5:$AJ$1204=1),0),0),"")</f>
        <v/>
      </c>
      <c r="T138" s="29" t="str">
        <f>IF($S138="","",INDEX(TRANSACTIONS_MASTER!$I$5:$I$1204,$S138))</f>
        <v/>
      </c>
      <c r="U138" s="55" t="str">
        <f>IF($S138="","",INDEX(TRANSACTIONS_MASTER!$J$5:$J$1204,$S138))</f>
        <v/>
      </c>
      <c r="V138" s="25" t="str">
        <f>IF($S138="","",SUMIFS(TRANSACTIONS_MASTER!$L$5:$L$1204,TRANSACTIONS_MASTER!$I$5:$I$1204,$T138,TRANSACTIONS_MASTER!$C$5:$C$1204,$C$2,TRANSACTIONS_MASTER!$U$5:$U$1204,"&lt;&gt;Cancelled"))</f>
        <v/>
      </c>
      <c r="W138" s="26" t="str">
        <f>IF($S138="","",SUMIFS(TRANSACTIONS_MASTER!$Q$5:$Q$1204,TRANSACTIONS_MASTER!$I$5:$I$1204,$T138,TRANSACTIONS_MASTER!$C$5:$C$1204,$C$2))</f>
        <v/>
      </c>
    </row>
    <row r="139">
      <c r="A139" s="81" t="str">
        <f>IF($Q139="","",132)</f>
        <v/>
      </c>
      <c r="B139" s="57" t="str">
        <f>IF($Q139="","",INDEX(TRANSACTIONS_MASTER!$B$5:$B$1204,$Q139))</f>
        <v/>
      </c>
      <c r="C139" s="55" t="str">
        <f>IF($Q139="","",INDEX(TRANSACTIONS_MASTER!$F$5:$F$1204,$Q139))</f>
        <v/>
      </c>
      <c r="D139" s="55" t="str">
        <f>IF($Q139="","",INDEX(TRANSACTIONS_MASTER!$E$5:$E$1204,$Q139))</f>
        <v/>
      </c>
      <c r="E139" s="55" t="str">
        <f>IF($Q139="","",INDEX(TRANSACTIONS_MASTER!$G$5:$G$1204,$Q139)&amp;"")</f>
        <v/>
      </c>
      <c r="F139" s="29" t="str">
        <f>IF($Q139="","",INDEX(TRANSACTIONS_MASTER!$I$5:$I$1204,$Q139))</f>
        <v/>
      </c>
      <c r="G139" s="55" t="str">
        <f>IF($Q139="","",INDEX(TRANSACTIONS_MASTER!$K$5:$K$1204,$Q139))</f>
        <v/>
      </c>
      <c r="H139" s="25" t="str">
        <f>IF($Q139="","",INDEX(TRANSACTIONS_MASTER!$L$5:$L$1204,$Q139))</f>
        <v/>
      </c>
      <c r="I139" s="56" t="str">
        <f>IF($Q139="","",INDEX(TRANSACTIONS_MASTER!$N$5:$N$1204,$Q139))</f>
        <v/>
      </c>
      <c r="J139" s="25" t="str">
        <f>IF($Q139="","",INDEX(TRANSACTIONS_MASTER!$O$5:$O$1204,$Q139))</f>
        <v/>
      </c>
      <c r="K139" s="26" t="str">
        <f>IF($Q139="","",INDEX(TRANSACTIONS_MASTER!$Q$5:$Q$1204,$Q139))</f>
        <v/>
      </c>
      <c r="L139" s="25" t="str">
        <f>IF($Q139="","",INDEX(TRANSACTIONS_MASTER!$P$5:$P$1204,$Q139))</f>
        <v/>
      </c>
      <c r="M139" s="25" t="str">
        <f>IF($Q139="","",INDEX(TRANSACTIONS_MASTER!$AA$5:$AA$1204,$Q139))</f>
        <v/>
      </c>
      <c r="N139" s="25" t="str">
        <f>IF($Q139="","",INDEX(TRANSACTIONS_MASTER!$R$5:$R$1204,$Q139))</f>
        <v/>
      </c>
      <c r="O139" s="28" t="str">
        <f>IF($Q139="","",INDEX(TRANSACTIONS_MASTER!$AB$5:$AB$1204,$Q139))</f>
        <v/>
      </c>
      <c r="P139" s="55" t="str">
        <f>IF($Q139="","",INDEX(TRANSACTIONS_MASTER!$Z$5:$Z$1204,$Q139)&amp;"")</f>
        <v/>
      </c>
      <c r="Q139" s="67" t="str">
        <f>IFERROR(MATCH($C$2&amp;"|"&amp;132,TRANSACTIONS_MASTER!$AE$5:$AE$1204,0),"")</f>
        <v/>
      </c>
      <c r="S139" s="67" t="str">
        <f>IFERROR(MATCH(1,INDEX((TRANSACTIONS_MASTER!$C$5:$C$1204=$C$2)*(TRANSACTIONS_MASTER!$AJ$5:$AJ$1204=2),0),0),"")</f>
        <v/>
      </c>
      <c r="T139" s="29" t="str">
        <f>IF($S139="","",INDEX(TRANSACTIONS_MASTER!$I$5:$I$1204,$S139))</f>
        <v/>
      </c>
      <c r="U139" s="55" t="str">
        <f>IF($S139="","",INDEX(TRANSACTIONS_MASTER!$J$5:$J$1204,$S139))</f>
        <v/>
      </c>
      <c r="V139" s="25" t="str">
        <f>IF($S139="","",SUMIFS(TRANSACTIONS_MASTER!$L$5:$L$1204,TRANSACTIONS_MASTER!$I$5:$I$1204,$T139,TRANSACTIONS_MASTER!$C$5:$C$1204,$C$2,TRANSACTIONS_MASTER!$U$5:$U$1204,"&lt;&gt;Cancelled"))</f>
        <v/>
      </c>
      <c r="W139" s="26" t="str">
        <f>IF($S139="","",SUMIFS(TRANSACTIONS_MASTER!$Q$5:$Q$1204,TRANSACTIONS_MASTER!$I$5:$I$1204,$T139,TRANSACTIONS_MASTER!$C$5:$C$1204,$C$2))</f>
        <v/>
      </c>
    </row>
    <row r="140">
      <c r="A140" s="81" t="str">
        <f>IF($Q140="","",133)</f>
        <v/>
      </c>
      <c r="B140" s="57" t="str">
        <f>IF($Q140="","",INDEX(TRANSACTIONS_MASTER!$B$5:$B$1204,$Q140))</f>
        <v/>
      </c>
      <c r="C140" s="55" t="str">
        <f>IF($Q140="","",INDEX(TRANSACTIONS_MASTER!$F$5:$F$1204,$Q140))</f>
        <v/>
      </c>
      <c r="D140" s="55" t="str">
        <f>IF($Q140="","",INDEX(TRANSACTIONS_MASTER!$E$5:$E$1204,$Q140))</f>
        <v/>
      </c>
      <c r="E140" s="55" t="str">
        <f>IF($Q140="","",INDEX(TRANSACTIONS_MASTER!$G$5:$G$1204,$Q140)&amp;"")</f>
        <v/>
      </c>
      <c r="F140" s="29" t="str">
        <f>IF($Q140="","",INDEX(TRANSACTIONS_MASTER!$I$5:$I$1204,$Q140))</f>
        <v/>
      </c>
      <c r="G140" s="55" t="str">
        <f>IF($Q140="","",INDEX(TRANSACTIONS_MASTER!$K$5:$K$1204,$Q140))</f>
        <v/>
      </c>
      <c r="H140" s="25" t="str">
        <f>IF($Q140="","",INDEX(TRANSACTIONS_MASTER!$L$5:$L$1204,$Q140))</f>
        <v/>
      </c>
      <c r="I140" s="56" t="str">
        <f>IF($Q140="","",INDEX(TRANSACTIONS_MASTER!$N$5:$N$1204,$Q140))</f>
        <v/>
      </c>
      <c r="J140" s="25" t="str">
        <f>IF($Q140="","",INDEX(TRANSACTIONS_MASTER!$O$5:$O$1204,$Q140))</f>
        <v/>
      </c>
      <c r="K140" s="26" t="str">
        <f>IF($Q140="","",INDEX(TRANSACTIONS_MASTER!$Q$5:$Q$1204,$Q140))</f>
        <v/>
      </c>
      <c r="L140" s="25" t="str">
        <f>IF($Q140="","",INDEX(TRANSACTIONS_MASTER!$P$5:$P$1204,$Q140))</f>
        <v/>
      </c>
      <c r="M140" s="25" t="str">
        <f>IF($Q140="","",INDEX(TRANSACTIONS_MASTER!$AA$5:$AA$1204,$Q140))</f>
        <v/>
      </c>
      <c r="N140" s="25" t="str">
        <f>IF($Q140="","",INDEX(TRANSACTIONS_MASTER!$R$5:$R$1204,$Q140))</f>
        <v/>
      </c>
      <c r="O140" s="28" t="str">
        <f>IF($Q140="","",INDEX(TRANSACTIONS_MASTER!$AB$5:$AB$1204,$Q140))</f>
        <v/>
      </c>
      <c r="P140" s="55" t="str">
        <f>IF($Q140="","",INDEX(TRANSACTIONS_MASTER!$Z$5:$Z$1204,$Q140)&amp;"")</f>
        <v/>
      </c>
      <c r="Q140" s="67" t="str">
        <f>IFERROR(MATCH($C$2&amp;"|"&amp;133,TRANSACTIONS_MASTER!$AE$5:$AE$1204,0),"")</f>
        <v/>
      </c>
      <c r="S140" s="67" t="str">
        <f>IFERROR(MATCH(1,INDEX((TRANSACTIONS_MASTER!$C$5:$C$1204=$C$2)*(TRANSACTIONS_MASTER!$AJ$5:$AJ$1204=3),0),0),"")</f>
        <v/>
      </c>
      <c r="T140" s="29" t="str">
        <f>IF($S140="","",INDEX(TRANSACTIONS_MASTER!$I$5:$I$1204,$S140))</f>
        <v/>
      </c>
      <c r="U140" s="55" t="str">
        <f>IF($S140="","",INDEX(TRANSACTIONS_MASTER!$J$5:$J$1204,$S140))</f>
        <v/>
      </c>
      <c r="V140" s="25" t="str">
        <f>IF($S140="","",SUMIFS(TRANSACTIONS_MASTER!$L$5:$L$1204,TRANSACTIONS_MASTER!$I$5:$I$1204,$T140,TRANSACTIONS_MASTER!$C$5:$C$1204,$C$2,TRANSACTIONS_MASTER!$U$5:$U$1204,"&lt;&gt;Cancelled"))</f>
        <v/>
      </c>
      <c r="W140" s="26" t="str">
        <f>IF($S140="","",SUMIFS(TRANSACTIONS_MASTER!$Q$5:$Q$1204,TRANSACTIONS_MASTER!$I$5:$I$1204,$T140,TRANSACTIONS_MASTER!$C$5:$C$1204,$C$2))</f>
        <v/>
      </c>
    </row>
    <row r="141">
      <c r="A141" s="81" t="str">
        <f>IF($Q141="","",134)</f>
        <v/>
      </c>
      <c r="B141" s="57" t="str">
        <f>IF($Q141="","",INDEX(TRANSACTIONS_MASTER!$B$5:$B$1204,$Q141))</f>
        <v/>
      </c>
      <c r="C141" s="55" t="str">
        <f>IF($Q141="","",INDEX(TRANSACTIONS_MASTER!$F$5:$F$1204,$Q141))</f>
        <v/>
      </c>
      <c r="D141" s="55" t="str">
        <f>IF($Q141="","",INDEX(TRANSACTIONS_MASTER!$E$5:$E$1204,$Q141))</f>
        <v/>
      </c>
      <c r="E141" s="55" t="str">
        <f>IF($Q141="","",INDEX(TRANSACTIONS_MASTER!$G$5:$G$1204,$Q141)&amp;"")</f>
        <v/>
      </c>
      <c r="F141" s="29" t="str">
        <f>IF($Q141="","",INDEX(TRANSACTIONS_MASTER!$I$5:$I$1204,$Q141))</f>
        <v/>
      </c>
      <c r="G141" s="55" t="str">
        <f>IF($Q141="","",INDEX(TRANSACTIONS_MASTER!$K$5:$K$1204,$Q141))</f>
        <v/>
      </c>
      <c r="H141" s="25" t="str">
        <f>IF($Q141="","",INDEX(TRANSACTIONS_MASTER!$L$5:$L$1204,$Q141))</f>
        <v/>
      </c>
      <c r="I141" s="56" t="str">
        <f>IF($Q141="","",INDEX(TRANSACTIONS_MASTER!$N$5:$N$1204,$Q141))</f>
        <v/>
      </c>
      <c r="J141" s="25" t="str">
        <f>IF($Q141="","",INDEX(TRANSACTIONS_MASTER!$O$5:$O$1204,$Q141))</f>
        <v/>
      </c>
      <c r="K141" s="26" t="str">
        <f>IF($Q141="","",INDEX(TRANSACTIONS_MASTER!$Q$5:$Q$1204,$Q141))</f>
        <v/>
      </c>
      <c r="L141" s="25" t="str">
        <f>IF($Q141="","",INDEX(TRANSACTIONS_MASTER!$P$5:$P$1204,$Q141))</f>
        <v/>
      </c>
      <c r="M141" s="25" t="str">
        <f>IF($Q141="","",INDEX(TRANSACTIONS_MASTER!$AA$5:$AA$1204,$Q141))</f>
        <v/>
      </c>
      <c r="N141" s="25" t="str">
        <f>IF($Q141="","",INDEX(TRANSACTIONS_MASTER!$R$5:$R$1204,$Q141))</f>
        <v/>
      </c>
      <c r="O141" s="28" t="str">
        <f>IF($Q141="","",INDEX(TRANSACTIONS_MASTER!$AB$5:$AB$1204,$Q141))</f>
        <v/>
      </c>
      <c r="P141" s="55" t="str">
        <f>IF($Q141="","",INDEX(TRANSACTIONS_MASTER!$Z$5:$Z$1204,$Q141)&amp;"")</f>
        <v/>
      </c>
      <c r="Q141" s="67" t="str">
        <f>IFERROR(MATCH($C$2&amp;"|"&amp;134,TRANSACTIONS_MASTER!$AE$5:$AE$1204,0),"")</f>
        <v/>
      </c>
      <c r="S141" s="67" t="str">
        <f>IFERROR(MATCH(1,INDEX((TRANSACTIONS_MASTER!$C$5:$C$1204=$C$2)*(TRANSACTIONS_MASTER!$AJ$5:$AJ$1204=4),0),0),"")</f>
        <v/>
      </c>
      <c r="T141" s="29" t="str">
        <f>IF($S141="","",INDEX(TRANSACTIONS_MASTER!$I$5:$I$1204,$S141))</f>
        <v/>
      </c>
      <c r="U141" s="55" t="str">
        <f>IF($S141="","",INDEX(TRANSACTIONS_MASTER!$J$5:$J$1204,$S141))</f>
        <v/>
      </c>
      <c r="V141" s="25" t="str">
        <f>IF($S141="","",SUMIFS(TRANSACTIONS_MASTER!$L$5:$L$1204,TRANSACTIONS_MASTER!$I$5:$I$1204,$T141,TRANSACTIONS_MASTER!$C$5:$C$1204,$C$2,TRANSACTIONS_MASTER!$U$5:$U$1204,"&lt;&gt;Cancelled"))</f>
        <v/>
      </c>
      <c r="W141" s="26" t="str">
        <f>IF($S141="","",SUMIFS(TRANSACTIONS_MASTER!$Q$5:$Q$1204,TRANSACTIONS_MASTER!$I$5:$I$1204,$T141,TRANSACTIONS_MASTER!$C$5:$C$1204,$C$2))</f>
        <v/>
      </c>
    </row>
    <row r="142">
      <c r="A142" s="81" t="str">
        <f>IF($Q142="","",135)</f>
        <v/>
      </c>
      <c r="B142" s="57" t="str">
        <f>IF($Q142="","",INDEX(TRANSACTIONS_MASTER!$B$5:$B$1204,$Q142))</f>
        <v/>
      </c>
      <c r="C142" s="55" t="str">
        <f>IF($Q142="","",INDEX(TRANSACTIONS_MASTER!$F$5:$F$1204,$Q142))</f>
        <v/>
      </c>
      <c r="D142" s="55" t="str">
        <f>IF($Q142="","",INDEX(TRANSACTIONS_MASTER!$E$5:$E$1204,$Q142))</f>
        <v/>
      </c>
      <c r="E142" s="55" t="str">
        <f>IF($Q142="","",INDEX(TRANSACTIONS_MASTER!$G$5:$G$1204,$Q142)&amp;"")</f>
        <v/>
      </c>
      <c r="F142" s="29" t="str">
        <f>IF($Q142="","",INDEX(TRANSACTIONS_MASTER!$I$5:$I$1204,$Q142))</f>
        <v/>
      </c>
      <c r="G142" s="55" t="str">
        <f>IF($Q142="","",INDEX(TRANSACTIONS_MASTER!$K$5:$K$1204,$Q142))</f>
        <v/>
      </c>
      <c r="H142" s="25" t="str">
        <f>IF($Q142="","",INDEX(TRANSACTIONS_MASTER!$L$5:$L$1204,$Q142))</f>
        <v/>
      </c>
      <c r="I142" s="56" t="str">
        <f>IF($Q142="","",INDEX(TRANSACTIONS_MASTER!$N$5:$N$1204,$Q142))</f>
        <v/>
      </c>
      <c r="J142" s="25" t="str">
        <f>IF($Q142="","",INDEX(TRANSACTIONS_MASTER!$O$5:$O$1204,$Q142))</f>
        <v/>
      </c>
      <c r="K142" s="26" t="str">
        <f>IF($Q142="","",INDEX(TRANSACTIONS_MASTER!$Q$5:$Q$1204,$Q142))</f>
        <v/>
      </c>
      <c r="L142" s="25" t="str">
        <f>IF($Q142="","",INDEX(TRANSACTIONS_MASTER!$P$5:$P$1204,$Q142))</f>
        <v/>
      </c>
      <c r="M142" s="25" t="str">
        <f>IF($Q142="","",INDEX(TRANSACTIONS_MASTER!$AA$5:$AA$1204,$Q142))</f>
        <v/>
      </c>
      <c r="N142" s="25" t="str">
        <f>IF($Q142="","",INDEX(TRANSACTIONS_MASTER!$R$5:$R$1204,$Q142))</f>
        <v/>
      </c>
      <c r="O142" s="28" t="str">
        <f>IF($Q142="","",INDEX(TRANSACTIONS_MASTER!$AB$5:$AB$1204,$Q142))</f>
        <v/>
      </c>
      <c r="P142" s="55" t="str">
        <f>IF($Q142="","",INDEX(TRANSACTIONS_MASTER!$Z$5:$Z$1204,$Q142)&amp;"")</f>
        <v/>
      </c>
      <c r="Q142" s="67" t="str">
        <f>IFERROR(MATCH($C$2&amp;"|"&amp;135,TRANSACTIONS_MASTER!$AE$5:$AE$1204,0),"")</f>
        <v/>
      </c>
      <c r="S142" s="67" t="str">
        <f>IFERROR(MATCH(1,INDEX((TRANSACTIONS_MASTER!$C$5:$C$1204=$C$2)*(TRANSACTIONS_MASTER!$AJ$5:$AJ$1204=5),0),0),"")</f>
        <v/>
      </c>
      <c r="T142" s="29" t="str">
        <f>IF($S142="","",INDEX(TRANSACTIONS_MASTER!$I$5:$I$1204,$S142))</f>
        <v/>
      </c>
      <c r="U142" s="55" t="str">
        <f>IF($S142="","",INDEX(TRANSACTIONS_MASTER!$J$5:$J$1204,$S142))</f>
        <v/>
      </c>
      <c r="V142" s="25" t="str">
        <f>IF($S142="","",SUMIFS(TRANSACTIONS_MASTER!$L$5:$L$1204,TRANSACTIONS_MASTER!$I$5:$I$1204,$T142,TRANSACTIONS_MASTER!$C$5:$C$1204,$C$2,TRANSACTIONS_MASTER!$U$5:$U$1204,"&lt;&gt;Cancelled"))</f>
        <v/>
      </c>
      <c r="W142" s="26" t="str">
        <f>IF($S142="","",SUMIFS(TRANSACTIONS_MASTER!$Q$5:$Q$1204,TRANSACTIONS_MASTER!$I$5:$I$1204,$T142,TRANSACTIONS_MASTER!$C$5:$C$1204,$C$2))</f>
        <v/>
      </c>
    </row>
    <row r="143">
      <c r="A143" s="81" t="str">
        <f>IF($Q143="","",136)</f>
        <v/>
      </c>
      <c r="B143" s="57" t="str">
        <f>IF($Q143="","",INDEX(TRANSACTIONS_MASTER!$B$5:$B$1204,$Q143))</f>
        <v/>
      </c>
      <c r="C143" s="55" t="str">
        <f>IF($Q143="","",INDEX(TRANSACTIONS_MASTER!$F$5:$F$1204,$Q143))</f>
        <v/>
      </c>
      <c r="D143" s="55" t="str">
        <f>IF($Q143="","",INDEX(TRANSACTIONS_MASTER!$E$5:$E$1204,$Q143))</f>
        <v/>
      </c>
      <c r="E143" s="55" t="str">
        <f>IF($Q143="","",INDEX(TRANSACTIONS_MASTER!$G$5:$G$1204,$Q143)&amp;"")</f>
        <v/>
      </c>
      <c r="F143" s="29" t="str">
        <f>IF($Q143="","",INDEX(TRANSACTIONS_MASTER!$I$5:$I$1204,$Q143))</f>
        <v/>
      </c>
      <c r="G143" s="55" t="str">
        <f>IF($Q143="","",INDEX(TRANSACTIONS_MASTER!$K$5:$K$1204,$Q143))</f>
        <v/>
      </c>
      <c r="H143" s="25" t="str">
        <f>IF($Q143="","",INDEX(TRANSACTIONS_MASTER!$L$5:$L$1204,$Q143))</f>
        <v/>
      </c>
      <c r="I143" s="56" t="str">
        <f>IF($Q143="","",INDEX(TRANSACTIONS_MASTER!$N$5:$N$1204,$Q143))</f>
        <v/>
      </c>
      <c r="J143" s="25" t="str">
        <f>IF($Q143="","",INDEX(TRANSACTIONS_MASTER!$O$5:$O$1204,$Q143))</f>
        <v/>
      </c>
      <c r="K143" s="26" t="str">
        <f>IF($Q143="","",INDEX(TRANSACTIONS_MASTER!$Q$5:$Q$1204,$Q143))</f>
        <v/>
      </c>
      <c r="L143" s="25" t="str">
        <f>IF($Q143="","",INDEX(TRANSACTIONS_MASTER!$P$5:$P$1204,$Q143))</f>
        <v/>
      </c>
      <c r="M143" s="25" t="str">
        <f>IF($Q143="","",INDEX(TRANSACTIONS_MASTER!$AA$5:$AA$1204,$Q143))</f>
        <v/>
      </c>
      <c r="N143" s="25" t="str">
        <f>IF($Q143="","",INDEX(TRANSACTIONS_MASTER!$R$5:$R$1204,$Q143))</f>
        <v/>
      </c>
      <c r="O143" s="28" t="str">
        <f>IF($Q143="","",INDEX(TRANSACTIONS_MASTER!$AB$5:$AB$1204,$Q143))</f>
        <v/>
      </c>
      <c r="P143" s="55" t="str">
        <f>IF($Q143="","",INDEX(TRANSACTIONS_MASTER!$Z$5:$Z$1204,$Q143)&amp;"")</f>
        <v/>
      </c>
      <c r="Q143" s="67" t="str">
        <f>IFERROR(MATCH($C$2&amp;"|"&amp;136,TRANSACTIONS_MASTER!$AE$5:$AE$1204,0),"")</f>
        <v/>
      </c>
      <c r="S143" s="67" t="str">
        <f>IFERROR(MATCH(1,INDEX((TRANSACTIONS_MASTER!$C$5:$C$1204=$C$2)*(TRANSACTIONS_MASTER!$AJ$5:$AJ$1204=6),0),0),"")</f>
        <v/>
      </c>
      <c r="T143" s="29" t="str">
        <f>IF($S143="","",INDEX(TRANSACTIONS_MASTER!$I$5:$I$1204,$S143))</f>
        <v/>
      </c>
      <c r="U143" s="55" t="str">
        <f>IF($S143="","",INDEX(TRANSACTIONS_MASTER!$J$5:$J$1204,$S143))</f>
        <v/>
      </c>
      <c r="V143" s="25" t="str">
        <f>IF($S143="","",SUMIFS(TRANSACTIONS_MASTER!$L$5:$L$1204,TRANSACTIONS_MASTER!$I$5:$I$1204,$T143,TRANSACTIONS_MASTER!$C$5:$C$1204,$C$2,TRANSACTIONS_MASTER!$U$5:$U$1204,"&lt;&gt;Cancelled"))</f>
        <v/>
      </c>
      <c r="W143" s="26" t="str">
        <f>IF($S143="","",SUMIFS(TRANSACTIONS_MASTER!$Q$5:$Q$1204,TRANSACTIONS_MASTER!$I$5:$I$1204,$T143,TRANSACTIONS_MASTER!$C$5:$C$1204,$C$2))</f>
        <v/>
      </c>
    </row>
    <row r="144">
      <c r="A144" s="81" t="str">
        <f>IF($Q144="","",137)</f>
        <v/>
      </c>
      <c r="B144" s="57" t="str">
        <f>IF($Q144="","",INDEX(TRANSACTIONS_MASTER!$B$5:$B$1204,$Q144))</f>
        <v/>
      </c>
      <c r="C144" s="55" t="str">
        <f>IF($Q144="","",INDEX(TRANSACTIONS_MASTER!$F$5:$F$1204,$Q144))</f>
        <v/>
      </c>
      <c r="D144" s="55" t="str">
        <f>IF($Q144="","",INDEX(TRANSACTIONS_MASTER!$E$5:$E$1204,$Q144))</f>
        <v/>
      </c>
      <c r="E144" s="55" t="str">
        <f>IF($Q144="","",INDEX(TRANSACTIONS_MASTER!$G$5:$G$1204,$Q144)&amp;"")</f>
        <v/>
      </c>
      <c r="F144" s="29" t="str">
        <f>IF($Q144="","",INDEX(TRANSACTIONS_MASTER!$I$5:$I$1204,$Q144))</f>
        <v/>
      </c>
      <c r="G144" s="55" t="str">
        <f>IF($Q144="","",INDEX(TRANSACTIONS_MASTER!$K$5:$K$1204,$Q144))</f>
        <v/>
      </c>
      <c r="H144" s="25" t="str">
        <f>IF($Q144="","",INDEX(TRANSACTIONS_MASTER!$L$5:$L$1204,$Q144))</f>
        <v/>
      </c>
      <c r="I144" s="56" t="str">
        <f>IF($Q144="","",INDEX(TRANSACTIONS_MASTER!$N$5:$N$1204,$Q144))</f>
        <v/>
      </c>
      <c r="J144" s="25" t="str">
        <f>IF($Q144="","",INDEX(TRANSACTIONS_MASTER!$O$5:$O$1204,$Q144))</f>
        <v/>
      </c>
      <c r="K144" s="26" t="str">
        <f>IF($Q144="","",INDEX(TRANSACTIONS_MASTER!$Q$5:$Q$1204,$Q144))</f>
        <v/>
      </c>
      <c r="L144" s="25" t="str">
        <f>IF($Q144="","",INDEX(TRANSACTIONS_MASTER!$P$5:$P$1204,$Q144))</f>
        <v/>
      </c>
      <c r="M144" s="25" t="str">
        <f>IF($Q144="","",INDEX(TRANSACTIONS_MASTER!$AA$5:$AA$1204,$Q144))</f>
        <v/>
      </c>
      <c r="N144" s="25" t="str">
        <f>IF($Q144="","",INDEX(TRANSACTIONS_MASTER!$R$5:$R$1204,$Q144))</f>
        <v/>
      </c>
      <c r="O144" s="28" t="str">
        <f>IF($Q144="","",INDEX(TRANSACTIONS_MASTER!$AB$5:$AB$1204,$Q144))</f>
        <v/>
      </c>
      <c r="P144" s="55" t="str">
        <f>IF($Q144="","",INDEX(TRANSACTIONS_MASTER!$Z$5:$Z$1204,$Q144)&amp;"")</f>
        <v/>
      </c>
      <c r="Q144" s="67" t="str">
        <f>IFERROR(MATCH($C$2&amp;"|"&amp;137,TRANSACTIONS_MASTER!$AE$5:$AE$1204,0),"")</f>
        <v/>
      </c>
      <c r="S144" s="67" t="str">
        <f>IFERROR(MATCH(1,INDEX((TRANSACTIONS_MASTER!$C$5:$C$1204=$C$2)*(TRANSACTIONS_MASTER!$AJ$5:$AJ$1204=7),0),0),"")</f>
        <v/>
      </c>
      <c r="T144" s="29" t="str">
        <f>IF($S144="","",INDEX(TRANSACTIONS_MASTER!$I$5:$I$1204,$S144))</f>
        <v/>
      </c>
      <c r="U144" s="55" t="str">
        <f>IF($S144="","",INDEX(TRANSACTIONS_MASTER!$J$5:$J$1204,$S144))</f>
        <v/>
      </c>
      <c r="V144" s="25" t="str">
        <f>IF($S144="","",SUMIFS(TRANSACTIONS_MASTER!$L$5:$L$1204,TRANSACTIONS_MASTER!$I$5:$I$1204,$T144,TRANSACTIONS_MASTER!$C$5:$C$1204,$C$2,TRANSACTIONS_MASTER!$U$5:$U$1204,"&lt;&gt;Cancelled"))</f>
        <v/>
      </c>
      <c r="W144" s="26" t="str">
        <f>IF($S144="","",SUMIFS(TRANSACTIONS_MASTER!$Q$5:$Q$1204,TRANSACTIONS_MASTER!$I$5:$I$1204,$T144,TRANSACTIONS_MASTER!$C$5:$C$1204,$C$2))</f>
        <v/>
      </c>
    </row>
    <row r="145">
      <c r="A145" s="81" t="str">
        <f>IF($Q145="","",138)</f>
        <v/>
      </c>
      <c r="B145" s="57" t="str">
        <f>IF($Q145="","",INDEX(TRANSACTIONS_MASTER!$B$5:$B$1204,$Q145))</f>
        <v/>
      </c>
      <c r="C145" s="55" t="str">
        <f>IF($Q145="","",INDEX(TRANSACTIONS_MASTER!$F$5:$F$1204,$Q145))</f>
        <v/>
      </c>
      <c r="D145" s="55" t="str">
        <f>IF($Q145="","",INDEX(TRANSACTIONS_MASTER!$E$5:$E$1204,$Q145))</f>
        <v/>
      </c>
      <c r="E145" s="55" t="str">
        <f>IF($Q145="","",INDEX(TRANSACTIONS_MASTER!$G$5:$G$1204,$Q145)&amp;"")</f>
        <v/>
      </c>
      <c r="F145" s="29" t="str">
        <f>IF($Q145="","",INDEX(TRANSACTIONS_MASTER!$I$5:$I$1204,$Q145))</f>
        <v/>
      </c>
      <c r="G145" s="55" t="str">
        <f>IF($Q145="","",INDEX(TRANSACTIONS_MASTER!$K$5:$K$1204,$Q145))</f>
        <v/>
      </c>
      <c r="H145" s="25" t="str">
        <f>IF($Q145="","",INDEX(TRANSACTIONS_MASTER!$L$5:$L$1204,$Q145))</f>
        <v/>
      </c>
      <c r="I145" s="56" t="str">
        <f>IF($Q145="","",INDEX(TRANSACTIONS_MASTER!$N$5:$N$1204,$Q145))</f>
        <v/>
      </c>
      <c r="J145" s="25" t="str">
        <f>IF($Q145="","",INDEX(TRANSACTIONS_MASTER!$O$5:$O$1204,$Q145))</f>
        <v/>
      </c>
      <c r="K145" s="26" t="str">
        <f>IF($Q145="","",INDEX(TRANSACTIONS_MASTER!$Q$5:$Q$1204,$Q145))</f>
        <v/>
      </c>
      <c r="L145" s="25" t="str">
        <f>IF($Q145="","",INDEX(TRANSACTIONS_MASTER!$P$5:$P$1204,$Q145))</f>
        <v/>
      </c>
      <c r="M145" s="25" t="str">
        <f>IF($Q145="","",INDEX(TRANSACTIONS_MASTER!$AA$5:$AA$1204,$Q145))</f>
        <v/>
      </c>
      <c r="N145" s="25" t="str">
        <f>IF($Q145="","",INDEX(TRANSACTIONS_MASTER!$R$5:$R$1204,$Q145))</f>
        <v/>
      </c>
      <c r="O145" s="28" t="str">
        <f>IF($Q145="","",INDEX(TRANSACTIONS_MASTER!$AB$5:$AB$1204,$Q145))</f>
        <v/>
      </c>
      <c r="P145" s="55" t="str">
        <f>IF($Q145="","",INDEX(TRANSACTIONS_MASTER!$Z$5:$Z$1204,$Q145)&amp;"")</f>
        <v/>
      </c>
      <c r="Q145" s="67" t="str">
        <f>IFERROR(MATCH($C$2&amp;"|"&amp;138,TRANSACTIONS_MASTER!$AE$5:$AE$1204,0),"")</f>
        <v/>
      </c>
      <c r="S145" s="67" t="str">
        <f>IFERROR(MATCH(1,INDEX((TRANSACTIONS_MASTER!$C$5:$C$1204=$C$2)*(TRANSACTIONS_MASTER!$AJ$5:$AJ$1204=8),0),0),"")</f>
        <v/>
      </c>
      <c r="T145" s="29" t="str">
        <f>IF($S145="","",INDEX(TRANSACTIONS_MASTER!$I$5:$I$1204,$S145))</f>
        <v/>
      </c>
      <c r="U145" s="55" t="str">
        <f>IF($S145="","",INDEX(TRANSACTIONS_MASTER!$J$5:$J$1204,$S145))</f>
        <v/>
      </c>
      <c r="V145" s="25" t="str">
        <f>IF($S145="","",SUMIFS(TRANSACTIONS_MASTER!$L$5:$L$1204,TRANSACTIONS_MASTER!$I$5:$I$1204,$T145,TRANSACTIONS_MASTER!$C$5:$C$1204,$C$2,TRANSACTIONS_MASTER!$U$5:$U$1204,"&lt;&gt;Cancelled"))</f>
        <v/>
      </c>
      <c r="W145" s="26" t="str">
        <f>IF($S145="","",SUMIFS(TRANSACTIONS_MASTER!$Q$5:$Q$1204,TRANSACTIONS_MASTER!$I$5:$I$1204,$T145,TRANSACTIONS_MASTER!$C$5:$C$1204,$C$2))</f>
        <v/>
      </c>
    </row>
    <row r="146">
      <c r="A146" s="81" t="str">
        <f>IF($Q146="","",139)</f>
        <v/>
      </c>
      <c r="B146" s="57" t="str">
        <f>IF($Q146="","",INDEX(TRANSACTIONS_MASTER!$B$5:$B$1204,$Q146))</f>
        <v/>
      </c>
      <c r="C146" s="55" t="str">
        <f>IF($Q146="","",INDEX(TRANSACTIONS_MASTER!$F$5:$F$1204,$Q146))</f>
        <v/>
      </c>
      <c r="D146" s="55" t="str">
        <f>IF($Q146="","",INDEX(TRANSACTIONS_MASTER!$E$5:$E$1204,$Q146))</f>
        <v/>
      </c>
      <c r="E146" s="55" t="str">
        <f>IF($Q146="","",INDEX(TRANSACTIONS_MASTER!$G$5:$G$1204,$Q146)&amp;"")</f>
        <v/>
      </c>
      <c r="F146" s="29" t="str">
        <f>IF($Q146="","",INDEX(TRANSACTIONS_MASTER!$I$5:$I$1204,$Q146))</f>
        <v/>
      </c>
      <c r="G146" s="55" t="str">
        <f>IF($Q146="","",INDEX(TRANSACTIONS_MASTER!$K$5:$K$1204,$Q146))</f>
        <v/>
      </c>
      <c r="H146" s="25" t="str">
        <f>IF($Q146="","",INDEX(TRANSACTIONS_MASTER!$L$5:$L$1204,$Q146))</f>
        <v/>
      </c>
      <c r="I146" s="56" t="str">
        <f>IF($Q146="","",INDEX(TRANSACTIONS_MASTER!$N$5:$N$1204,$Q146))</f>
        <v/>
      </c>
      <c r="J146" s="25" t="str">
        <f>IF($Q146="","",INDEX(TRANSACTIONS_MASTER!$O$5:$O$1204,$Q146))</f>
        <v/>
      </c>
      <c r="K146" s="26" t="str">
        <f>IF($Q146="","",INDEX(TRANSACTIONS_MASTER!$Q$5:$Q$1204,$Q146))</f>
        <v/>
      </c>
      <c r="L146" s="25" t="str">
        <f>IF($Q146="","",INDEX(TRANSACTIONS_MASTER!$P$5:$P$1204,$Q146))</f>
        <v/>
      </c>
      <c r="M146" s="25" t="str">
        <f>IF($Q146="","",INDEX(TRANSACTIONS_MASTER!$AA$5:$AA$1204,$Q146))</f>
        <v/>
      </c>
      <c r="N146" s="25" t="str">
        <f>IF($Q146="","",INDEX(TRANSACTIONS_MASTER!$R$5:$R$1204,$Q146))</f>
        <v/>
      </c>
      <c r="O146" s="28" t="str">
        <f>IF($Q146="","",INDEX(TRANSACTIONS_MASTER!$AB$5:$AB$1204,$Q146))</f>
        <v/>
      </c>
      <c r="P146" s="55" t="str">
        <f>IF($Q146="","",INDEX(TRANSACTIONS_MASTER!$Z$5:$Z$1204,$Q146)&amp;"")</f>
        <v/>
      </c>
      <c r="Q146" s="67" t="str">
        <f>IFERROR(MATCH($C$2&amp;"|"&amp;139,TRANSACTIONS_MASTER!$AE$5:$AE$1204,0),"")</f>
        <v/>
      </c>
      <c r="S146" s="67" t="str">
        <f>IFERROR(MATCH(1,INDEX((TRANSACTIONS_MASTER!$C$5:$C$1204=$C$2)*(TRANSACTIONS_MASTER!$AJ$5:$AJ$1204=9),0),0),"")</f>
        <v/>
      </c>
      <c r="T146" s="29" t="str">
        <f>IF($S146="","",INDEX(TRANSACTIONS_MASTER!$I$5:$I$1204,$S146))</f>
        <v/>
      </c>
      <c r="U146" s="55" t="str">
        <f>IF($S146="","",INDEX(TRANSACTIONS_MASTER!$J$5:$J$1204,$S146))</f>
        <v/>
      </c>
      <c r="V146" s="25" t="str">
        <f>IF($S146="","",SUMIFS(TRANSACTIONS_MASTER!$L$5:$L$1204,TRANSACTIONS_MASTER!$I$5:$I$1204,$T146,TRANSACTIONS_MASTER!$C$5:$C$1204,$C$2,TRANSACTIONS_MASTER!$U$5:$U$1204,"&lt;&gt;Cancelled"))</f>
        <v/>
      </c>
      <c r="W146" s="26" t="str">
        <f>IF($S146="","",SUMIFS(TRANSACTIONS_MASTER!$Q$5:$Q$1204,TRANSACTIONS_MASTER!$I$5:$I$1204,$T146,TRANSACTIONS_MASTER!$C$5:$C$1204,$C$2))</f>
        <v/>
      </c>
    </row>
    <row r="147">
      <c r="A147" s="81" t="str">
        <f>IF($Q147="","",140)</f>
        <v/>
      </c>
      <c r="B147" s="57" t="str">
        <f>IF($Q147="","",INDEX(TRANSACTIONS_MASTER!$B$5:$B$1204,$Q147))</f>
        <v/>
      </c>
      <c r="C147" s="55" t="str">
        <f>IF($Q147="","",INDEX(TRANSACTIONS_MASTER!$F$5:$F$1204,$Q147))</f>
        <v/>
      </c>
      <c r="D147" s="55" t="str">
        <f>IF($Q147="","",INDEX(TRANSACTIONS_MASTER!$E$5:$E$1204,$Q147))</f>
        <v/>
      </c>
      <c r="E147" s="55" t="str">
        <f>IF($Q147="","",INDEX(TRANSACTIONS_MASTER!$G$5:$G$1204,$Q147)&amp;"")</f>
        <v/>
      </c>
      <c r="F147" s="29" t="str">
        <f>IF($Q147="","",INDEX(TRANSACTIONS_MASTER!$I$5:$I$1204,$Q147))</f>
        <v/>
      </c>
      <c r="G147" s="55" t="str">
        <f>IF($Q147="","",INDEX(TRANSACTIONS_MASTER!$K$5:$K$1204,$Q147))</f>
        <v/>
      </c>
      <c r="H147" s="25" t="str">
        <f>IF($Q147="","",INDEX(TRANSACTIONS_MASTER!$L$5:$L$1204,$Q147))</f>
        <v/>
      </c>
      <c r="I147" s="56" t="str">
        <f>IF($Q147="","",INDEX(TRANSACTIONS_MASTER!$N$5:$N$1204,$Q147))</f>
        <v/>
      </c>
      <c r="J147" s="25" t="str">
        <f>IF($Q147="","",INDEX(TRANSACTIONS_MASTER!$O$5:$O$1204,$Q147))</f>
        <v/>
      </c>
      <c r="K147" s="26" t="str">
        <f>IF($Q147="","",INDEX(TRANSACTIONS_MASTER!$Q$5:$Q$1204,$Q147))</f>
        <v/>
      </c>
      <c r="L147" s="25" t="str">
        <f>IF($Q147="","",INDEX(TRANSACTIONS_MASTER!$P$5:$P$1204,$Q147))</f>
        <v/>
      </c>
      <c r="M147" s="25" t="str">
        <f>IF($Q147="","",INDEX(TRANSACTIONS_MASTER!$AA$5:$AA$1204,$Q147))</f>
        <v/>
      </c>
      <c r="N147" s="25" t="str">
        <f>IF($Q147="","",INDEX(TRANSACTIONS_MASTER!$R$5:$R$1204,$Q147))</f>
        <v/>
      </c>
      <c r="O147" s="28" t="str">
        <f>IF($Q147="","",INDEX(TRANSACTIONS_MASTER!$AB$5:$AB$1204,$Q147))</f>
        <v/>
      </c>
      <c r="P147" s="55" t="str">
        <f>IF($Q147="","",INDEX(TRANSACTIONS_MASTER!$Z$5:$Z$1204,$Q147)&amp;"")</f>
        <v/>
      </c>
      <c r="Q147" s="67" t="str">
        <f>IFERROR(MATCH($C$2&amp;"|"&amp;140,TRANSACTIONS_MASTER!$AE$5:$AE$1204,0),"")</f>
        <v/>
      </c>
      <c r="S147" s="67" t="str">
        <f>IFERROR(MATCH(1,INDEX((TRANSACTIONS_MASTER!$C$5:$C$1204=$C$2)*(TRANSACTIONS_MASTER!$AJ$5:$AJ$1204=10),0),0),"")</f>
        <v/>
      </c>
      <c r="T147" s="29" t="str">
        <f>IF($S147="","",INDEX(TRANSACTIONS_MASTER!$I$5:$I$1204,$S147))</f>
        <v/>
      </c>
      <c r="U147" s="55" t="str">
        <f>IF($S147="","",INDEX(TRANSACTIONS_MASTER!$J$5:$J$1204,$S147))</f>
        <v/>
      </c>
      <c r="V147" s="25" t="str">
        <f>IF($S147="","",SUMIFS(TRANSACTIONS_MASTER!$L$5:$L$1204,TRANSACTIONS_MASTER!$I$5:$I$1204,$T147,TRANSACTIONS_MASTER!$C$5:$C$1204,$C$2,TRANSACTIONS_MASTER!$U$5:$U$1204,"&lt;&gt;Cancelled"))</f>
        <v/>
      </c>
      <c r="W147" s="26" t="str">
        <f>IF($S147="","",SUMIFS(TRANSACTIONS_MASTER!$Q$5:$Q$1204,TRANSACTIONS_MASTER!$I$5:$I$1204,$T147,TRANSACTIONS_MASTER!$C$5:$C$1204,$C$2))</f>
        <v/>
      </c>
    </row>
    <row r="148">
      <c r="A148" s="81" t="str">
        <f>IF($Q148="","",141)</f>
        <v/>
      </c>
      <c r="B148" s="57" t="str">
        <f>IF($Q148="","",INDEX(TRANSACTIONS_MASTER!$B$5:$B$1204,$Q148))</f>
        <v/>
      </c>
      <c r="C148" s="55" t="str">
        <f>IF($Q148="","",INDEX(TRANSACTIONS_MASTER!$F$5:$F$1204,$Q148))</f>
        <v/>
      </c>
      <c r="D148" s="55" t="str">
        <f>IF($Q148="","",INDEX(TRANSACTIONS_MASTER!$E$5:$E$1204,$Q148))</f>
        <v/>
      </c>
      <c r="E148" s="55" t="str">
        <f>IF($Q148="","",INDEX(TRANSACTIONS_MASTER!$G$5:$G$1204,$Q148)&amp;"")</f>
        <v/>
      </c>
      <c r="F148" s="29" t="str">
        <f>IF($Q148="","",INDEX(TRANSACTIONS_MASTER!$I$5:$I$1204,$Q148))</f>
        <v/>
      </c>
      <c r="G148" s="55" t="str">
        <f>IF($Q148="","",INDEX(TRANSACTIONS_MASTER!$K$5:$K$1204,$Q148))</f>
        <v/>
      </c>
      <c r="H148" s="25" t="str">
        <f>IF($Q148="","",INDEX(TRANSACTIONS_MASTER!$L$5:$L$1204,$Q148))</f>
        <v/>
      </c>
      <c r="I148" s="56" t="str">
        <f>IF($Q148="","",INDEX(TRANSACTIONS_MASTER!$N$5:$N$1204,$Q148))</f>
        <v/>
      </c>
      <c r="J148" s="25" t="str">
        <f>IF($Q148="","",INDEX(TRANSACTIONS_MASTER!$O$5:$O$1204,$Q148))</f>
        <v/>
      </c>
      <c r="K148" s="26" t="str">
        <f>IF($Q148="","",INDEX(TRANSACTIONS_MASTER!$Q$5:$Q$1204,$Q148))</f>
        <v/>
      </c>
      <c r="L148" s="25" t="str">
        <f>IF($Q148="","",INDEX(TRANSACTIONS_MASTER!$P$5:$P$1204,$Q148))</f>
        <v/>
      </c>
      <c r="M148" s="25" t="str">
        <f>IF($Q148="","",INDEX(TRANSACTIONS_MASTER!$AA$5:$AA$1204,$Q148))</f>
        <v/>
      </c>
      <c r="N148" s="25" t="str">
        <f>IF($Q148="","",INDEX(TRANSACTIONS_MASTER!$R$5:$R$1204,$Q148))</f>
        <v/>
      </c>
      <c r="O148" s="28" t="str">
        <f>IF($Q148="","",INDEX(TRANSACTIONS_MASTER!$AB$5:$AB$1204,$Q148))</f>
        <v/>
      </c>
      <c r="P148" s="55" t="str">
        <f>IF($Q148="","",INDEX(TRANSACTIONS_MASTER!$Z$5:$Z$1204,$Q148)&amp;"")</f>
        <v/>
      </c>
      <c r="Q148" s="67" t="str">
        <f>IFERROR(MATCH($C$2&amp;"|"&amp;141,TRANSACTIONS_MASTER!$AE$5:$AE$1204,0),"")</f>
        <v/>
      </c>
      <c r="S148" s="67" t="str">
        <f>IFERROR(MATCH(1,INDEX((TRANSACTIONS_MASTER!$C$5:$C$1204=$C$2)*(TRANSACTIONS_MASTER!$AJ$5:$AJ$1204=11),0),0),"")</f>
        <v/>
      </c>
      <c r="T148" s="29" t="str">
        <f>IF($S148="","",INDEX(TRANSACTIONS_MASTER!$I$5:$I$1204,$S148))</f>
        <v/>
      </c>
      <c r="U148" s="55" t="str">
        <f>IF($S148="","",INDEX(TRANSACTIONS_MASTER!$J$5:$J$1204,$S148))</f>
        <v/>
      </c>
      <c r="V148" s="25" t="str">
        <f>IF($S148="","",SUMIFS(TRANSACTIONS_MASTER!$L$5:$L$1204,TRANSACTIONS_MASTER!$I$5:$I$1204,$T148,TRANSACTIONS_MASTER!$C$5:$C$1204,$C$2,TRANSACTIONS_MASTER!$U$5:$U$1204,"&lt;&gt;Cancelled"))</f>
        <v/>
      </c>
      <c r="W148" s="26" t="str">
        <f>IF($S148="","",SUMIFS(TRANSACTIONS_MASTER!$Q$5:$Q$1204,TRANSACTIONS_MASTER!$I$5:$I$1204,$T148,TRANSACTIONS_MASTER!$C$5:$C$1204,$C$2))</f>
        <v/>
      </c>
    </row>
    <row r="149">
      <c r="A149" s="81" t="str">
        <f>IF($Q149="","",142)</f>
        <v/>
      </c>
      <c r="B149" s="57" t="str">
        <f>IF($Q149="","",INDEX(TRANSACTIONS_MASTER!$B$5:$B$1204,$Q149))</f>
        <v/>
      </c>
      <c r="C149" s="55" t="str">
        <f>IF($Q149="","",INDEX(TRANSACTIONS_MASTER!$F$5:$F$1204,$Q149))</f>
        <v/>
      </c>
      <c r="D149" s="55" t="str">
        <f>IF($Q149="","",INDEX(TRANSACTIONS_MASTER!$E$5:$E$1204,$Q149))</f>
        <v/>
      </c>
      <c r="E149" s="55" t="str">
        <f>IF($Q149="","",INDEX(TRANSACTIONS_MASTER!$G$5:$G$1204,$Q149)&amp;"")</f>
        <v/>
      </c>
      <c r="F149" s="29" t="str">
        <f>IF($Q149="","",INDEX(TRANSACTIONS_MASTER!$I$5:$I$1204,$Q149))</f>
        <v/>
      </c>
      <c r="G149" s="55" t="str">
        <f>IF($Q149="","",INDEX(TRANSACTIONS_MASTER!$K$5:$K$1204,$Q149))</f>
        <v/>
      </c>
      <c r="H149" s="25" t="str">
        <f>IF($Q149="","",INDEX(TRANSACTIONS_MASTER!$L$5:$L$1204,$Q149))</f>
        <v/>
      </c>
      <c r="I149" s="56" t="str">
        <f>IF($Q149="","",INDEX(TRANSACTIONS_MASTER!$N$5:$N$1204,$Q149))</f>
        <v/>
      </c>
      <c r="J149" s="25" t="str">
        <f>IF($Q149="","",INDEX(TRANSACTIONS_MASTER!$O$5:$O$1204,$Q149))</f>
        <v/>
      </c>
      <c r="K149" s="26" t="str">
        <f>IF($Q149="","",INDEX(TRANSACTIONS_MASTER!$Q$5:$Q$1204,$Q149))</f>
        <v/>
      </c>
      <c r="L149" s="25" t="str">
        <f>IF($Q149="","",INDEX(TRANSACTIONS_MASTER!$P$5:$P$1204,$Q149))</f>
        <v/>
      </c>
      <c r="M149" s="25" t="str">
        <f>IF($Q149="","",INDEX(TRANSACTIONS_MASTER!$AA$5:$AA$1204,$Q149))</f>
        <v/>
      </c>
      <c r="N149" s="25" t="str">
        <f>IF($Q149="","",INDEX(TRANSACTIONS_MASTER!$R$5:$R$1204,$Q149))</f>
        <v/>
      </c>
      <c r="O149" s="28" t="str">
        <f>IF($Q149="","",INDEX(TRANSACTIONS_MASTER!$AB$5:$AB$1204,$Q149))</f>
        <v/>
      </c>
      <c r="P149" s="55" t="str">
        <f>IF($Q149="","",INDEX(TRANSACTIONS_MASTER!$Z$5:$Z$1204,$Q149)&amp;"")</f>
        <v/>
      </c>
      <c r="Q149" s="67" t="str">
        <f>IFERROR(MATCH($C$2&amp;"|"&amp;142,TRANSACTIONS_MASTER!$AE$5:$AE$1204,0),"")</f>
        <v/>
      </c>
      <c r="S149" s="67" t="str">
        <f>IFERROR(MATCH(1,INDEX((TRANSACTIONS_MASTER!$C$5:$C$1204=$C$2)*(TRANSACTIONS_MASTER!$AJ$5:$AJ$1204=12),0),0),"")</f>
        <v/>
      </c>
      <c r="T149" s="29" t="str">
        <f>IF($S149="","",INDEX(TRANSACTIONS_MASTER!$I$5:$I$1204,$S149))</f>
        <v/>
      </c>
      <c r="U149" s="55" t="str">
        <f>IF($S149="","",INDEX(TRANSACTIONS_MASTER!$J$5:$J$1204,$S149))</f>
        <v/>
      </c>
      <c r="V149" s="25" t="str">
        <f>IF($S149="","",SUMIFS(TRANSACTIONS_MASTER!$L$5:$L$1204,TRANSACTIONS_MASTER!$I$5:$I$1204,$T149,TRANSACTIONS_MASTER!$C$5:$C$1204,$C$2,TRANSACTIONS_MASTER!$U$5:$U$1204,"&lt;&gt;Cancelled"))</f>
        <v/>
      </c>
      <c r="W149" s="26" t="str">
        <f>IF($S149="","",SUMIFS(TRANSACTIONS_MASTER!$Q$5:$Q$1204,TRANSACTIONS_MASTER!$I$5:$I$1204,$T149,TRANSACTIONS_MASTER!$C$5:$C$1204,$C$2))</f>
        <v/>
      </c>
    </row>
    <row r="150">
      <c r="A150" s="81" t="str">
        <f>IF($Q150="","",143)</f>
        <v/>
      </c>
      <c r="B150" s="57" t="str">
        <f>IF($Q150="","",INDEX(TRANSACTIONS_MASTER!$B$5:$B$1204,$Q150))</f>
        <v/>
      </c>
      <c r="C150" s="55" t="str">
        <f>IF($Q150="","",INDEX(TRANSACTIONS_MASTER!$F$5:$F$1204,$Q150))</f>
        <v/>
      </c>
      <c r="D150" s="55" t="str">
        <f>IF($Q150="","",INDEX(TRANSACTIONS_MASTER!$E$5:$E$1204,$Q150))</f>
        <v/>
      </c>
      <c r="E150" s="55" t="str">
        <f>IF($Q150="","",INDEX(TRANSACTIONS_MASTER!$G$5:$G$1204,$Q150)&amp;"")</f>
        <v/>
      </c>
      <c r="F150" s="29" t="str">
        <f>IF($Q150="","",INDEX(TRANSACTIONS_MASTER!$I$5:$I$1204,$Q150))</f>
        <v/>
      </c>
      <c r="G150" s="55" t="str">
        <f>IF($Q150="","",INDEX(TRANSACTIONS_MASTER!$K$5:$K$1204,$Q150))</f>
        <v/>
      </c>
      <c r="H150" s="25" t="str">
        <f>IF($Q150="","",INDEX(TRANSACTIONS_MASTER!$L$5:$L$1204,$Q150))</f>
        <v/>
      </c>
      <c r="I150" s="56" t="str">
        <f>IF($Q150="","",INDEX(TRANSACTIONS_MASTER!$N$5:$N$1204,$Q150))</f>
        <v/>
      </c>
      <c r="J150" s="25" t="str">
        <f>IF($Q150="","",INDEX(TRANSACTIONS_MASTER!$O$5:$O$1204,$Q150))</f>
        <v/>
      </c>
      <c r="K150" s="26" t="str">
        <f>IF($Q150="","",INDEX(TRANSACTIONS_MASTER!$Q$5:$Q$1204,$Q150))</f>
        <v/>
      </c>
      <c r="L150" s="25" t="str">
        <f>IF($Q150="","",INDEX(TRANSACTIONS_MASTER!$P$5:$P$1204,$Q150))</f>
        <v/>
      </c>
      <c r="M150" s="25" t="str">
        <f>IF($Q150="","",INDEX(TRANSACTIONS_MASTER!$AA$5:$AA$1204,$Q150))</f>
        <v/>
      </c>
      <c r="N150" s="25" t="str">
        <f>IF($Q150="","",INDEX(TRANSACTIONS_MASTER!$R$5:$R$1204,$Q150))</f>
        <v/>
      </c>
      <c r="O150" s="28" t="str">
        <f>IF($Q150="","",INDEX(TRANSACTIONS_MASTER!$AB$5:$AB$1204,$Q150))</f>
        <v/>
      </c>
      <c r="P150" s="55" t="str">
        <f>IF($Q150="","",INDEX(TRANSACTIONS_MASTER!$Z$5:$Z$1204,$Q150)&amp;"")</f>
        <v/>
      </c>
      <c r="Q150" s="67" t="str">
        <f>IFERROR(MATCH($C$2&amp;"|"&amp;143,TRANSACTIONS_MASTER!$AE$5:$AE$1204,0),"")</f>
        <v/>
      </c>
      <c r="S150" s="67" t="str">
        <f>IFERROR(MATCH(1,INDEX((TRANSACTIONS_MASTER!$C$5:$C$1204=$C$2)*(TRANSACTIONS_MASTER!$AJ$5:$AJ$1204=13),0),0),"")</f>
        <v/>
      </c>
      <c r="T150" s="29" t="str">
        <f>IF($S150="","",INDEX(TRANSACTIONS_MASTER!$I$5:$I$1204,$S150))</f>
        <v/>
      </c>
      <c r="U150" s="55" t="str">
        <f>IF($S150="","",INDEX(TRANSACTIONS_MASTER!$J$5:$J$1204,$S150))</f>
        <v/>
      </c>
      <c r="V150" s="25" t="str">
        <f>IF($S150="","",SUMIFS(TRANSACTIONS_MASTER!$L$5:$L$1204,TRANSACTIONS_MASTER!$I$5:$I$1204,$T150,TRANSACTIONS_MASTER!$C$5:$C$1204,$C$2,TRANSACTIONS_MASTER!$U$5:$U$1204,"&lt;&gt;Cancelled"))</f>
        <v/>
      </c>
      <c r="W150" s="26" t="str">
        <f>IF($S150="","",SUMIFS(TRANSACTIONS_MASTER!$Q$5:$Q$1204,TRANSACTIONS_MASTER!$I$5:$I$1204,$T150,TRANSACTIONS_MASTER!$C$5:$C$1204,$C$2))</f>
        <v/>
      </c>
    </row>
    <row r="151">
      <c r="A151" s="81" t="str">
        <f>IF($Q151="","",144)</f>
        <v/>
      </c>
      <c r="B151" s="57" t="str">
        <f>IF($Q151="","",INDEX(TRANSACTIONS_MASTER!$B$5:$B$1204,$Q151))</f>
        <v/>
      </c>
      <c r="C151" s="55" t="str">
        <f>IF($Q151="","",INDEX(TRANSACTIONS_MASTER!$F$5:$F$1204,$Q151))</f>
        <v/>
      </c>
      <c r="D151" s="55" t="str">
        <f>IF($Q151="","",INDEX(TRANSACTIONS_MASTER!$E$5:$E$1204,$Q151))</f>
        <v/>
      </c>
      <c r="E151" s="55" t="str">
        <f>IF($Q151="","",INDEX(TRANSACTIONS_MASTER!$G$5:$G$1204,$Q151)&amp;"")</f>
        <v/>
      </c>
      <c r="F151" s="29" t="str">
        <f>IF($Q151="","",INDEX(TRANSACTIONS_MASTER!$I$5:$I$1204,$Q151))</f>
        <v/>
      </c>
      <c r="G151" s="55" t="str">
        <f>IF($Q151="","",INDEX(TRANSACTIONS_MASTER!$K$5:$K$1204,$Q151))</f>
        <v/>
      </c>
      <c r="H151" s="25" t="str">
        <f>IF($Q151="","",INDEX(TRANSACTIONS_MASTER!$L$5:$L$1204,$Q151))</f>
        <v/>
      </c>
      <c r="I151" s="56" t="str">
        <f>IF($Q151="","",INDEX(TRANSACTIONS_MASTER!$N$5:$N$1204,$Q151))</f>
        <v/>
      </c>
      <c r="J151" s="25" t="str">
        <f>IF($Q151="","",INDEX(TRANSACTIONS_MASTER!$O$5:$O$1204,$Q151))</f>
        <v/>
      </c>
      <c r="K151" s="26" t="str">
        <f>IF($Q151="","",INDEX(TRANSACTIONS_MASTER!$Q$5:$Q$1204,$Q151))</f>
        <v/>
      </c>
      <c r="L151" s="25" t="str">
        <f>IF($Q151="","",INDEX(TRANSACTIONS_MASTER!$P$5:$P$1204,$Q151))</f>
        <v/>
      </c>
      <c r="M151" s="25" t="str">
        <f>IF($Q151="","",INDEX(TRANSACTIONS_MASTER!$AA$5:$AA$1204,$Q151))</f>
        <v/>
      </c>
      <c r="N151" s="25" t="str">
        <f>IF($Q151="","",INDEX(TRANSACTIONS_MASTER!$R$5:$R$1204,$Q151))</f>
        <v/>
      </c>
      <c r="O151" s="28" t="str">
        <f>IF($Q151="","",INDEX(TRANSACTIONS_MASTER!$AB$5:$AB$1204,$Q151))</f>
        <v/>
      </c>
      <c r="P151" s="55" t="str">
        <f>IF($Q151="","",INDEX(TRANSACTIONS_MASTER!$Z$5:$Z$1204,$Q151)&amp;"")</f>
        <v/>
      </c>
      <c r="Q151" s="67" t="str">
        <f>IFERROR(MATCH($C$2&amp;"|"&amp;144,TRANSACTIONS_MASTER!$AE$5:$AE$1204,0),"")</f>
        <v/>
      </c>
      <c r="S151" s="67" t="str">
        <f>IFERROR(MATCH(1,INDEX((TRANSACTIONS_MASTER!$C$5:$C$1204=$C$2)*(TRANSACTIONS_MASTER!$AJ$5:$AJ$1204=14),0),0),"")</f>
        <v/>
      </c>
      <c r="T151" s="29" t="str">
        <f>IF($S151="","",INDEX(TRANSACTIONS_MASTER!$I$5:$I$1204,$S151))</f>
        <v/>
      </c>
      <c r="U151" s="55" t="str">
        <f>IF($S151="","",INDEX(TRANSACTIONS_MASTER!$J$5:$J$1204,$S151))</f>
        <v/>
      </c>
      <c r="V151" s="25" t="str">
        <f>IF($S151="","",SUMIFS(TRANSACTIONS_MASTER!$L$5:$L$1204,TRANSACTIONS_MASTER!$I$5:$I$1204,$T151,TRANSACTIONS_MASTER!$C$5:$C$1204,$C$2,TRANSACTIONS_MASTER!$U$5:$U$1204,"&lt;&gt;Cancelled"))</f>
        <v/>
      </c>
      <c r="W151" s="26" t="str">
        <f>IF($S151="","",SUMIFS(TRANSACTIONS_MASTER!$Q$5:$Q$1204,TRANSACTIONS_MASTER!$I$5:$I$1204,$T151,TRANSACTIONS_MASTER!$C$5:$C$1204,$C$2))</f>
        <v/>
      </c>
    </row>
    <row r="152">
      <c r="A152" s="81" t="str">
        <f>IF($Q152="","",145)</f>
        <v/>
      </c>
      <c r="B152" s="57" t="str">
        <f>IF($Q152="","",INDEX(TRANSACTIONS_MASTER!$B$5:$B$1204,$Q152))</f>
        <v/>
      </c>
      <c r="C152" s="55" t="str">
        <f>IF($Q152="","",INDEX(TRANSACTIONS_MASTER!$F$5:$F$1204,$Q152))</f>
        <v/>
      </c>
      <c r="D152" s="55" t="str">
        <f>IF($Q152="","",INDEX(TRANSACTIONS_MASTER!$E$5:$E$1204,$Q152))</f>
        <v/>
      </c>
      <c r="E152" s="55" t="str">
        <f>IF($Q152="","",INDEX(TRANSACTIONS_MASTER!$G$5:$G$1204,$Q152)&amp;"")</f>
        <v/>
      </c>
      <c r="F152" s="29" t="str">
        <f>IF($Q152="","",INDEX(TRANSACTIONS_MASTER!$I$5:$I$1204,$Q152))</f>
        <v/>
      </c>
      <c r="G152" s="55" t="str">
        <f>IF($Q152="","",INDEX(TRANSACTIONS_MASTER!$K$5:$K$1204,$Q152))</f>
        <v/>
      </c>
      <c r="H152" s="25" t="str">
        <f>IF($Q152="","",INDEX(TRANSACTIONS_MASTER!$L$5:$L$1204,$Q152))</f>
        <v/>
      </c>
      <c r="I152" s="56" t="str">
        <f>IF($Q152="","",INDEX(TRANSACTIONS_MASTER!$N$5:$N$1204,$Q152))</f>
        <v/>
      </c>
      <c r="J152" s="25" t="str">
        <f>IF($Q152="","",INDEX(TRANSACTIONS_MASTER!$O$5:$O$1204,$Q152))</f>
        <v/>
      </c>
      <c r="K152" s="26" t="str">
        <f>IF($Q152="","",INDEX(TRANSACTIONS_MASTER!$Q$5:$Q$1204,$Q152))</f>
        <v/>
      </c>
      <c r="L152" s="25" t="str">
        <f>IF($Q152="","",INDEX(TRANSACTIONS_MASTER!$P$5:$P$1204,$Q152))</f>
        <v/>
      </c>
      <c r="M152" s="25" t="str">
        <f>IF($Q152="","",INDEX(TRANSACTIONS_MASTER!$AA$5:$AA$1204,$Q152))</f>
        <v/>
      </c>
      <c r="N152" s="25" t="str">
        <f>IF($Q152="","",INDEX(TRANSACTIONS_MASTER!$R$5:$R$1204,$Q152))</f>
        <v/>
      </c>
      <c r="O152" s="28" t="str">
        <f>IF($Q152="","",INDEX(TRANSACTIONS_MASTER!$AB$5:$AB$1204,$Q152))</f>
        <v/>
      </c>
      <c r="P152" s="55" t="str">
        <f>IF($Q152="","",INDEX(TRANSACTIONS_MASTER!$Z$5:$Z$1204,$Q152)&amp;"")</f>
        <v/>
      </c>
      <c r="Q152" s="67" t="str">
        <f>IFERROR(MATCH($C$2&amp;"|"&amp;145,TRANSACTIONS_MASTER!$AE$5:$AE$1204,0),"")</f>
        <v/>
      </c>
      <c r="S152" s="67" t="str">
        <f>IFERROR(MATCH(1,INDEX((TRANSACTIONS_MASTER!$C$5:$C$1204=$C$2)*(TRANSACTIONS_MASTER!$AJ$5:$AJ$1204=15),0),0),"")</f>
        <v/>
      </c>
      <c r="T152" s="29" t="str">
        <f>IF($S152="","",INDEX(TRANSACTIONS_MASTER!$I$5:$I$1204,$S152))</f>
        <v/>
      </c>
      <c r="U152" s="55" t="str">
        <f>IF($S152="","",INDEX(TRANSACTIONS_MASTER!$J$5:$J$1204,$S152))</f>
        <v/>
      </c>
      <c r="V152" s="25" t="str">
        <f>IF($S152="","",SUMIFS(TRANSACTIONS_MASTER!$L$5:$L$1204,TRANSACTIONS_MASTER!$I$5:$I$1204,$T152,TRANSACTIONS_MASTER!$C$5:$C$1204,$C$2,TRANSACTIONS_MASTER!$U$5:$U$1204,"&lt;&gt;Cancelled"))</f>
        <v/>
      </c>
      <c r="W152" s="26" t="str">
        <f>IF($S152="","",SUMIFS(TRANSACTIONS_MASTER!$Q$5:$Q$1204,TRANSACTIONS_MASTER!$I$5:$I$1204,$T152,TRANSACTIONS_MASTER!$C$5:$C$1204,$C$2))</f>
        <v/>
      </c>
    </row>
    <row r="153">
      <c r="A153" s="81" t="str">
        <f>IF($Q153="","",146)</f>
        <v/>
      </c>
      <c r="B153" s="57" t="str">
        <f>IF($Q153="","",INDEX(TRANSACTIONS_MASTER!$B$5:$B$1204,$Q153))</f>
        <v/>
      </c>
      <c r="C153" s="55" t="str">
        <f>IF($Q153="","",INDEX(TRANSACTIONS_MASTER!$F$5:$F$1204,$Q153))</f>
        <v/>
      </c>
      <c r="D153" s="55" t="str">
        <f>IF($Q153="","",INDEX(TRANSACTIONS_MASTER!$E$5:$E$1204,$Q153))</f>
        <v/>
      </c>
      <c r="E153" s="55" t="str">
        <f>IF($Q153="","",INDEX(TRANSACTIONS_MASTER!$G$5:$G$1204,$Q153)&amp;"")</f>
        <v/>
      </c>
      <c r="F153" s="29" t="str">
        <f>IF($Q153="","",INDEX(TRANSACTIONS_MASTER!$I$5:$I$1204,$Q153))</f>
        <v/>
      </c>
      <c r="G153" s="55" t="str">
        <f>IF($Q153="","",INDEX(TRANSACTIONS_MASTER!$K$5:$K$1204,$Q153))</f>
        <v/>
      </c>
      <c r="H153" s="25" t="str">
        <f>IF($Q153="","",INDEX(TRANSACTIONS_MASTER!$L$5:$L$1204,$Q153))</f>
        <v/>
      </c>
      <c r="I153" s="56" t="str">
        <f>IF($Q153="","",INDEX(TRANSACTIONS_MASTER!$N$5:$N$1204,$Q153))</f>
        <v/>
      </c>
      <c r="J153" s="25" t="str">
        <f>IF($Q153="","",INDEX(TRANSACTIONS_MASTER!$O$5:$O$1204,$Q153))</f>
        <v/>
      </c>
      <c r="K153" s="26" t="str">
        <f>IF($Q153="","",INDEX(TRANSACTIONS_MASTER!$Q$5:$Q$1204,$Q153))</f>
        <v/>
      </c>
      <c r="L153" s="25" t="str">
        <f>IF($Q153="","",INDEX(TRANSACTIONS_MASTER!$P$5:$P$1204,$Q153))</f>
        <v/>
      </c>
      <c r="M153" s="25" t="str">
        <f>IF($Q153="","",INDEX(TRANSACTIONS_MASTER!$AA$5:$AA$1204,$Q153))</f>
        <v/>
      </c>
      <c r="N153" s="25" t="str">
        <f>IF($Q153="","",INDEX(TRANSACTIONS_MASTER!$R$5:$R$1204,$Q153))</f>
        <v/>
      </c>
      <c r="O153" s="28" t="str">
        <f>IF($Q153="","",INDEX(TRANSACTIONS_MASTER!$AB$5:$AB$1204,$Q153))</f>
        <v/>
      </c>
      <c r="P153" s="55" t="str">
        <f>IF($Q153="","",INDEX(TRANSACTIONS_MASTER!$Z$5:$Z$1204,$Q153)&amp;"")</f>
        <v/>
      </c>
      <c r="Q153" s="67" t="str">
        <f>IFERROR(MATCH($C$2&amp;"|"&amp;146,TRANSACTIONS_MASTER!$AE$5:$AE$1204,0),"")</f>
        <v/>
      </c>
      <c r="T153" s="45" t="n"/>
      <c r="U153" s="82" t="inlineStr">
        <is>
          <t>Khác (ngoài danh sách)</t>
        </is>
      </c>
      <c r="V153" s="48">
        <f>MAX(0,SUMIFS(TRANSACTIONS_MASTER!$L$5:$L$1204,TRANSACTIONS_MASTER!$C$5:$C$1204,$C$2,TRANSACTIONS_MASTER!$U$5:$U$1204,"&lt;&gt;Cancelled")-SUM(V138:V152))</f>
        <v>0</v>
      </c>
      <c r="W153" s="48">
        <f>MAX(0,SUMIFS(TRANSACTIONS_MASTER!$Q$5:$Q$1204,TRANSACTIONS_MASTER!$C$5:$C$1204,$C$2)-SUM(W138:W152))</f>
        <v>0</v>
      </c>
    </row>
    <row r="154">
      <c r="A154" s="81" t="str">
        <f>IF($Q154="","",147)</f>
        <v/>
      </c>
      <c r="B154" s="57" t="str">
        <f>IF($Q154="","",INDEX(TRANSACTIONS_MASTER!$B$5:$B$1204,$Q154))</f>
        <v/>
      </c>
      <c r="C154" s="55" t="str">
        <f>IF($Q154="","",INDEX(TRANSACTIONS_MASTER!$F$5:$F$1204,$Q154))</f>
        <v/>
      </c>
      <c r="D154" s="55" t="str">
        <f>IF($Q154="","",INDEX(TRANSACTIONS_MASTER!$E$5:$E$1204,$Q154))</f>
        <v/>
      </c>
      <c r="E154" s="55" t="str">
        <f>IF($Q154="","",INDEX(TRANSACTIONS_MASTER!$G$5:$G$1204,$Q154)&amp;"")</f>
        <v/>
      </c>
      <c r="F154" s="29" t="str">
        <f>IF($Q154="","",INDEX(TRANSACTIONS_MASTER!$I$5:$I$1204,$Q154))</f>
        <v/>
      </c>
      <c r="G154" s="55" t="str">
        <f>IF($Q154="","",INDEX(TRANSACTIONS_MASTER!$K$5:$K$1204,$Q154))</f>
        <v/>
      </c>
      <c r="H154" s="25" t="str">
        <f>IF($Q154="","",INDEX(TRANSACTIONS_MASTER!$L$5:$L$1204,$Q154))</f>
        <v/>
      </c>
      <c r="I154" s="56" t="str">
        <f>IF($Q154="","",INDEX(TRANSACTIONS_MASTER!$N$5:$N$1204,$Q154))</f>
        <v/>
      </c>
      <c r="J154" s="25" t="str">
        <f>IF($Q154="","",INDEX(TRANSACTIONS_MASTER!$O$5:$O$1204,$Q154))</f>
        <v/>
      </c>
      <c r="K154" s="26" t="str">
        <f>IF($Q154="","",INDEX(TRANSACTIONS_MASTER!$Q$5:$Q$1204,$Q154))</f>
        <v/>
      </c>
      <c r="L154" s="25" t="str">
        <f>IF($Q154="","",INDEX(TRANSACTIONS_MASTER!$P$5:$P$1204,$Q154))</f>
        <v/>
      </c>
      <c r="M154" s="25" t="str">
        <f>IF($Q154="","",INDEX(TRANSACTIONS_MASTER!$AA$5:$AA$1204,$Q154))</f>
        <v/>
      </c>
      <c r="N154" s="25" t="str">
        <f>IF($Q154="","",INDEX(TRANSACTIONS_MASTER!$R$5:$R$1204,$Q154))</f>
        <v/>
      </c>
      <c r="O154" s="28" t="str">
        <f>IF($Q154="","",INDEX(TRANSACTIONS_MASTER!$AB$5:$AB$1204,$Q154))</f>
        <v/>
      </c>
      <c r="P154" s="55" t="str">
        <f>IF($Q154="","",INDEX(TRANSACTIONS_MASTER!$Z$5:$Z$1204,$Q154)&amp;"")</f>
        <v/>
      </c>
      <c r="Q154" s="67" t="str">
        <f>IFERROR(MATCH($C$2&amp;"|"&amp;147,TRANSACTIONS_MASTER!$AE$5:$AE$1204,0),"")</f>
        <v/>
      </c>
      <c r="T154" s="68" t="n"/>
      <c r="U154" s="69" t="inlineStr">
        <is>
          <t>TỔNG</t>
        </is>
      </c>
      <c r="V154" s="31">
        <f>SUM(V138:V153)</f>
        <v>0</v>
      </c>
      <c r="W154" s="31">
        <f>SUM(W138:W153)</f>
        <v>0</v>
      </c>
    </row>
    <row r="155">
      <c r="A155" s="81" t="str">
        <f>IF($Q155="","",148)</f>
        <v/>
      </c>
      <c r="B155" s="57" t="str">
        <f>IF($Q155="","",INDEX(TRANSACTIONS_MASTER!$B$5:$B$1204,$Q155))</f>
        <v/>
      </c>
      <c r="C155" s="55" t="str">
        <f>IF($Q155="","",INDEX(TRANSACTIONS_MASTER!$F$5:$F$1204,$Q155))</f>
        <v/>
      </c>
      <c r="D155" s="55" t="str">
        <f>IF($Q155="","",INDEX(TRANSACTIONS_MASTER!$E$5:$E$1204,$Q155))</f>
        <v/>
      </c>
      <c r="E155" s="55" t="str">
        <f>IF($Q155="","",INDEX(TRANSACTIONS_MASTER!$G$5:$G$1204,$Q155)&amp;"")</f>
        <v/>
      </c>
      <c r="F155" s="29" t="str">
        <f>IF($Q155="","",INDEX(TRANSACTIONS_MASTER!$I$5:$I$1204,$Q155))</f>
        <v/>
      </c>
      <c r="G155" s="55" t="str">
        <f>IF($Q155="","",INDEX(TRANSACTIONS_MASTER!$K$5:$K$1204,$Q155))</f>
        <v/>
      </c>
      <c r="H155" s="25" t="str">
        <f>IF($Q155="","",INDEX(TRANSACTIONS_MASTER!$L$5:$L$1204,$Q155))</f>
        <v/>
      </c>
      <c r="I155" s="56" t="str">
        <f>IF($Q155="","",INDEX(TRANSACTIONS_MASTER!$N$5:$N$1204,$Q155))</f>
        <v/>
      </c>
      <c r="J155" s="25" t="str">
        <f>IF($Q155="","",INDEX(TRANSACTIONS_MASTER!$O$5:$O$1204,$Q155))</f>
        <v/>
      </c>
      <c r="K155" s="26" t="str">
        <f>IF($Q155="","",INDEX(TRANSACTIONS_MASTER!$Q$5:$Q$1204,$Q155))</f>
        <v/>
      </c>
      <c r="L155" s="25" t="str">
        <f>IF($Q155="","",INDEX(TRANSACTIONS_MASTER!$P$5:$P$1204,$Q155))</f>
        <v/>
      </c>
      <c r="M155" s="25" t="str">
        <f>IF($Q155="","",INDEX(TRANSACTIONS_MASTER!$AA$5:$AA$1204,$Q155))</f>
        <v/>
      </c>
      <c r="N155" s="25" t="str">
        <f>IF($Q155="","",INDEX(TRANSACTIONS_MASTER!$R$5:$R$1204,$Q155))</f>
        <v/>
      </c>
      <c r="O155" s="28" t="str">
        <f>IF($Q155="","",INDEX(TRANSACTIONS_MASTER!$AB$5:$AB$1204,$Q155))</f>
        <v/>
      </c>
      <c r="P155" s="55" t="str">
        <f>IF($Q155="","",INDEX(TRANSACTIONS_MASTER!$Z$5:$Z$1204,$Q155)&amp;"")</f>
        <v/>
      </c>
      <c r="Q155" s="67" t="str">
        <f>IFERROR(MATCH($C$2&amp;"|"&amp;148,TRANSACTIONS_MASTER!$AE$5:$AE$1204,0),"")</f>
        <v/>
      </c>
    </row>
    <row r="156">
      <c r="A156" s="81" t="str">
        <f>IF($Q156="","",149)</f>
        <v/>
      </c>
      <c r="B156" s="57" t="str">
        <f>IF($Q156="","",INDEX(TRANSACTIONS_MASTER!$B$5:$B$1204,$Q156))</f>
        <v/>
      </c>
      <c r="C156" s="55" t="str">
        <f>IF($Q156="","",INDEX(TRANSACTIONS_MASTER!$F$5:$F$1204,$Q156))</f>
        <v/>
      </c>
      <c r="D156" s="55" t="str">
        <f>IF($Q156="","",INDEX(TRANSACTIONS_MASTER!$E$5:$E$1204,$Q156))</f>
        <v/>
      </c>
      <c r="E156" s="55" t="str">
        <f>IF($Q156="","",INDEX(TRANSACTIONS_MASTER!$G$5:$G$1204,$Q156)&amp;"")</f>
        <v/>
      </c>
      <c r="F156" s="29" t="str">
        <f>IF($Q156="","",INDEX(TRANSACTIONS_MASTER!$I$5:$I$1204,$Q156))</f>
        <v/>
      </c>
      <c r="G156" s="55" t="str">
        <f>IF($Q156="","",INDEX(TRANSACTIONS_MASTER!$K$5:$K$1204,$Q156))</f>
        <v/>
      </c>
      <c r="H156" s="25" t="str">
        <f>IF($Q156="","",INDEX(TRANSACTIONS_MASTER!$L$5:$L$1204,$Q156))</f>
        <v/>
      </c>
      <c r="I156" s="56" t="str">
        <f>IF($Q156="","",INDEX(TRANSACTIONS_MASTER!$N$5:$N$1204,$Q156))</f>
        <v/>
      </c>
      <c r="J156" s="25" t="str">
        <f>IF($Q156="","",INDEX(TRANSACTIONS_MASTER!$O$5:$O$1204,$Q156))</f>
        <v/>
      </c>
      <c r="K156" s="26" t="str">
        <f>IF($Q156="","",INDEX(TRANSACTIONS_MASTER!$Q$5:$Q$1204,$Q156))</f>
        <v/>
      </c>
      <c r="L156" s="25" t="str">
        <f>IF($Q156="","",INDEX(TRANSACTIONS_MASTER!$P$5:$P$1204,$Q156))</f>
        <v/>
      </c>
      <c r="M156" s="25" t="str">
        <f>IF($Q156="","",INDEX(TRANSACTIONS_MASTER!$AA$5:$AA$1204,$Q156))</f>
        <v/>
      </c>
      <c r="N156" s="25" t="str">
        <f>IF($Q156="","",INDEX(TRANSACTIONS_MASTER!$R$5:$R$1204,$Q156))</f>
        <v/>
      </c>
      <c r="O156" s="28" t="str">
        <f>IF($Q156="","",INDEX(TRANSACTIONS_MASTER!$AB$5:$AB$1204,$Q156))</f>
        <v/>
      </c>
      <c r="P156" s="55" t="str">
        <f>IF($Q156="","",INDEX(TRANSACTIONS_MASTER!$Z$5:$Z$1204,$Q156)&amp;"")</f>
        <v/>
      </c>
      <c r="Q156" s="67" t="str">
        <f>IFERROR(MATCH($C$2&amp;"|"&amp;149,TRANSACTIONS_MASTER!$AE$5:$AE$1204,0),"")</f>
        <v/>
      </c>
    </row>
    <row r="157" ht="22" customHeight="1">
      <c r="A157" s="81" t="str">
        <f>IF($Q157="","",150)</f>
        <v/>
      </c>
      <c r="B157" s="57" t="str">
        <f>IF($Q157="","",INDEX(TRANSACTIONS_MASTER!$B$5:$B$1204,$Q157))</f>
        <v/>
      </c>
      <c r="C157" s="55" t="str">
        <f>IF($Q157="","",INDEX(TRANSACTIONS_MASTER!$F$5:$F$1204,$Q157))</f>
        <v/>
      </c>
      <c r="D157" s="55" t="str">
        <f>IF($Q157="","",INDEX(TRANSACTIONS_MASTER!$E$5:$E$1204,$Q157))</f>
        <v/>
      </c>
      <c r="E157" s="55" t="str">
        <f>IF($Q157="","",INDEX(TRANSACTIONS_MASTER!$G$5:$G$1204,$Q157)&amp;"")</f>
        <v/>
      </c>
      <c r="F157" s="29" t="str">
        <f>IF($Q157="","",INDEX(TRANSACTIONS_MASTER!$I$5:$I$1204,$Q157))</f>
        <v/>
      </c>
      <c r="G157" s="55" t="str">
        <f>IF($Q157="","",INDEX(TRANSACTIONS_MASTER!$K$5:$K$1204,$Q157))</f>
        <v/>
      </c>
      <c r="H157" s="25" t="str">
        <f>IF($Q157="","",INDEX(TRANSACTIONS_MASTER!$L$5:$L$1204,$Q157))</f>
        <v/>
      </c>
      <c r="I157" s="56" t="str">
        <f>IF($Q157="","",INDEX(TRANSACTIONS_MASTER!$N$5:$N$1204,$Q157))</f>
        <v/>
      </c>
      <c r="J157" s="25" t="str">
        <f>IF($Q157="","",INDEX(TRANSACTIONS_MASTER!$O$5:$O$1204,$Q157))</f>
        <v/>
      </c>
      <c r="K157" s="26" t="str">
        <f>IF($Q157="","",INDEX(TRANSACTIONS_MASTER!$Q$5:$Q$1204,$Q157))</f>
        <v/>
      </c>
      <c r="L157" s="25" t="str">
        <f>IF($Q157="","",INDEX(TRANSACTIONS_MASTER!$P$5:$P$1204,$Q157))</f>
        <v/>
      </c>
      <c r="M157" s="25" t="str">
        <f>IF($Q157="","",INDEX(TRANSACTIONS_MASTER!$AA$5:$AA$1204,$Q157))</f>
        <v/>
      </c>
      <c r="N157" s="25" t="str">
        <f>IF($Q157="","",INDEX(TRANSACTIONS_MASTER!$R$5:$R$1204,$Q157))</f>
        <v/>
      </c>
      <c r="O157" s="28" t="str">
        <f>IF($Q157="","",INDEX(TRANSACTIONS_MASTER!$AB$5:$AB$1204,$Q157))</f>
        <v/>
      </c>
      <c r="P157" s="55" t="str">
        <f>IF($Q157="","",INDEX(TRANSACTIONS_MASTER!$Z$5:$Z$1204,$Q157)&amp;"")</f>
        <v/>
      </c>
      <c r="Q157" s="67" t="str">
        <f>IFERROR(MATCH($C$2&amp;"|"&amp;150,TRANSACTIONS_MASTER!$AE$5:$AE$1204,0),"")</f>
        <v/>
      </c>
      <c r="T157" s="19" t="inlineStr">
        <is>
          <t>THEO MERCHANT</t>
        </is>
      </c>
      <c r="U157" s="20" t="n"/>
      <c r="V157" s="20" t="n"/>
      <c r="W157" s="20" t="n"/>
      <c r="X157" s="20" t="n"/>
      <c r="Y157" s="20" t="n"/>
      <c r="Z157" s="20" t="n"/>
      <c r="AA157" s="20" t="n"/>
    </row>
    <row r="158" ht="28" customHeight="1">
      <c r="A158" s="81" t="str">
        <f>IF($Q158="","",151)</f>
        <v/>
      </c>
      <c r="B158" s="57" t="str">
        <f>IF($Q158="","",INDEX(TRANSACTIONS_MASTER!$B$5:$B$1204,$Q158))</f>
        <v/>
      </c>
      <c r="C158" s="55" t="str">
        <f>IF($Q158="","",INDEX(TRANSACTIONS_MASTER!$F$5:$F$1204,$Q158))</f>
        <v/>
      </c>
      <c r="D158" s="55" t="str">
        <f>IF($Q158="","",INDEX(TRANSACTIONS_MASTER!$E$5:$E$1204,$Q158))</f>
        <v/>
      </c>
      <c r="E158" s="55" t="str">
        <f>IF($Q158="","",INDEX(TRANSACTIONS_MASTER!$G$5:$G$1204,$Q158)&amp;"")</f>
        <v/>
      </c>
      <c r="F158" s="29" t="str">
        <f>IF($Q158="","",INDEX(TRANSACTIONS_MASTER!$I$5:$I$1204,$Q158))</f>
        <v/>
      </c>
      <c r="G158" s="55" t="str">
        <f>IF($Q158="","",INDEX(TRANSACTIONS_MASTER!$K$5:$K$1204,$Q158))</f>
        <v/>
      </c>
      <c r="H158" s="25" t="str">
        <f>IF($Q158="","",INDEX(TRANSACTIONS_MASTER!$L$5:$L$1204,$Q158))</f>
        <v/>
      </c>
      <c r="I158" s="56" t="str">
        <f>IF($Q158="","",INDEX(TRANSACTIONS_MASTER!$N$5:$N$1204,$Q158))</f>
        <v/>
      </c>
      <c r="J158" s="25" t="str">
        <f>IF($Q158="","",INDEX(TRANSACTIONS_MASTER!$O$5:$O$1204,$Q158))</f>
        <v/>
      </c>
      <c r="K158" s="26" t="str">
        <f>IF($Q158="","",INDEX(TRANSACTIONS_MASTER!$Q$5:$Q$1204,$Q158))</f>
        <v/>
      </c>
      <c r="L158" s="25" t="str">
        <f>IF($Q158="","",INDEX(TRANSACTIONS_MASTER!$P$5:$P$1204,$Q158))</f>
        <v/>
      </c>
      <c r="M158" s="25" t="str">
        <f>IF($Q158="","",INDEX(TRANSACTIONS_MASTER!$AA$5:$AA$1204,$Q158))</f>
        <v/>
      </c>
      <c r="N158" s="25" t="str">
        <f>IF($Q158="","",INDEX(TRANSACTIONS_MASTER!$R$5:$R$1204,$Q158))</f>
        <v/>
      </c>
      <c r="O158" s="28" t="str">
        <f>IF($Q158="","",INDEX(TRANSACTIONS_MASTER!$AB$5:$AB$1204,$Q158))</f>
        <v/>
      </c>
      <c r="P158" s="55" t="str">
        <f>IF($Q158="","",INDEX(TRANSACTIONS_MASTER!$Z$5:$Z$1204,$Q158)&amp;"")</f>
        <v/>
      </c>
      <c r="Q158" s="67" t="str">
        <f>IFERROR(MATCH($C$2&amp;"|"&amp;151,TRANSACTIONS_MASTER!$AE$5:$AE$1204,0),"")</f>
        <v/>
      </c>
      <c r="S158" s="21" t="inlineStr">
        <is>
          <t>#</t>
        </is>
      </c>
      <c r="T158" s="21" t="inlineStr"/>
      <c r="U158" s="21" t="inlineStr">
        <is>
          <t>Merchant</t>
        </is>
      </c>
      <c r="V158" s="21" t="inlineStr">
        <is>
          <t>Chi tiêu</t>
        </is>
      </c>
      <c r="W158" s="21" t="inlineStr">
        <is>
          <t>Cashback</t>
        </is>
      </c>
    </row>
    <row r="159">
      <c r="A159" s="81" t="str">
        <f>IF($Q159="","",152)</f>
        <v/>
      </c>
      <c r="B159" s="57" t="str">
        <f>IF($Q159="","",INDEX(TRANSACTIONS_MASTER!$B$5:$B$1204,$Q159))</f>
        <v/>
      </c>
      <c r="C159" s="55" t="str">
        <f>IF($Q159="","",INDEX(TRANSACTIONS_MASTER!$F$5:$F$1204,$Q159))</f>
        <v/>
      </c>
      <c r="D159" s="55" t="str">
        <f>IF($Q159="","",INDEX(TRANSACTIONS_MASTER!$E$5:$E$1204,$Q159))</f>
        <v/>
      </c>
      <c r="E159" s="55" t="str">
        <f>IF($Q159="","",INDEX(TRANSACTIONS_MASTER!$G$5:$G$1204,$Q159)&amp;"")</f>
        <v/>
      </c>
      <c r="F159" s="29" t="str">
        <f>IF($Q159="","",INDEX(TRANSACTIONS_MASTER!$I$5:$I$1204,$Q159))</f>
        <v/>
      </c>
      <c r="G159" s="55" t="str">
        <f>IF($Q159="","",INDEX(TRANSACTIONS_MASTER!$K$5:$K$1204,$Q159))</f>
        <v/>
      </c>
      <c r="H159" s="25" t="str">
        <f>IF($Q159="","",INDEX(TRANSACTIONS_MASTER!$L$5:$L$1204,$Q159))</f>
        <v/>
      </c>
      <c r="I159" s="56" t="str">
        <f>IF($Q159="","",INDEX(TRANSACTIONS_MASTER!$N$5:$N$1204,$Q159))</f>
        <v/>
      </c>
      <c r="J159" s="25" t="str">
        <f>IF($Q159="","",INDEX(TRANSACTIONS_MASTER!$O$5:$O$1204,$Q159))</f>
        <v/>
      </c>
      <c r="K159" s="26" t="str">
        <f>IF($Q159="","",INDEX(TRANSACTIONS_MASTER!$Q$5:$Q$1204,$Q159))</f>
        <v/>
      </c>
      <c r="L159" s="25" t="str">
        <f>IF($Q159="","",INDEX(TRANSACTIONS_MASTER!$P$5:$P$1204,$Q159))</f>
        <v/>
      </c>
      <c r="M159" s="25" t="str">
        <f>IF($Q159="","",INDEX(TRANSACTIONS_MASTER!$AA$5:$AA$1204,$Q159))</f>
        <v/>
      </c>
      <c r="N159" s="25" t="str">
        <f>IF($Q159="","",INDEX(TRANSACTIONS_MASTER!$R$5:$R$1204,$Q159))</f>
        <v/>
      </c>
      <c r="O159" s="28" t="str">
        <f>IF($Q159="","",INDEX(TRANSACTIONS_MASTER!$AB$5:$AB$1204,$Q159))</f>
        <v/>
      </c>
      <c r="P159" s="55" t="str">
        <f>IF($Q159="","",INDEX(TRANSACTIONS_MASTER!$Z$5:$Z$1204,$Q159)&amp;"")</f>
        <v/>
      </c>
      <c r="Q159" s="67" t="str">
        <f>IFERROR(MATCH($C$2&amp;"|"&amp;152,TRANSACTIONS_MASTER!$AE$5:$AE$1204,0),"")</f>
        <v/>
      </c>
      <c r="S159" s="67" t="str">
        <f>IFERROR(MATCH(1,INDEX((TRANSACTIONS_MASTER!$C$5:$C$1204=$C$2)*(TRANSACTIONS_MASTER!$AN$5:$AN$1204=1),0),0),"")</f>
        <v/>
      </c>
      <c r="T159" s="55" t="n"/>
      <c r="U159" s="55" t="str">
        <f>IF($S159="","",INDEX(TRANSACTIONS_MASTER!$G$5:$G$1204,$S159)&amp;"")</f>
        <v/>
      </c>
      <c r="V159" s="25" t="str">
        <f>IF($S159="","",SUMIFS(TRANSACTIONS_MASTER!$L$5:$L$1204,TRANSACTIONS_MASTER!$G$5:$G$1204,$U159,TRANSACTIONS_MASTER!$C$5:$C$1204,$C$2,TRANSACTIONS_MASTER!$U$5:$U$1204,"&lt;&gt;Cancelled"))</f>
        <v/>
      </c>
      <c r="W159" s="26" t="str">
        <f>IF($S159="","",SUMIFS(TRANSACTIONS_MASTER!$Q$5:$Q$1204,TRANSACTIONS_MASTER!$G$5:$G$1204,$U159,TRANSACTIONS_MASTER!$C$5:$C$1204,$C$2))</f>
        <v/>
      </c>
    </row>
    <row r="160">
      <c r="A160" s="81" t="str">
        <f>IF($Q160="","",153)</f>
        <v/>
      </c>
      <c r="B160" s="57" t="str">
        <f>IF($Q160="","",INDEX(TRANSACTIONS_MASTER!$B$5:$B$1204,$Q160))</f>
        <v/>
      </c>
      <c r="C160" s="55" t="str">
        <f>IF($Q160="","",INDEX(TRANSACTIONS_MASTER!$F$5:$F$1204,$Q160))</f>
        <v/>
      </c>
      <c r="D160" s="55" t="str">
        <f>IF($Q160="","",INDEX(TRANSACTIONS_MASTER!$E$5:$E$1204,$Q160))</f>
        <v/>
      </c>
      <c r="E160" s="55" t="str">
        <f>IF($Q160="","",INDEX(TRANSACTIONS_MASTER!$G$5:$G$1204,$Q160)&amp;"")</f>
        <v/>
      </c>
      <c r="F160" s="29" t="str">
        <f>IF($Q160="","",INDEX(TRANSACTIONS_MASTER!$I$5:$I$1204,$Q160))</f>
        <v/>
      </c>
      <c r="G160" s="55" t="str">
        <f>IF($Q160="","",INDEX(TRANSACTIONS_MASTER!$K$5:$K$1204,$Q160))</f>
        <v/>
      </c>
      <c r="H160" s="25" t="str">
        <f>IF($Q160="","",INDEX(TRANSACTIONS_MASTER!$L$5:$L$1204,$Q160))</f>
        <v/>
      </c>
      <c r="I160" s="56" t="str">
        <f>IF($Q160="","",INDEX(TRANSACTIONS_MASTER!$N$5:$N$1204,$Q160))</f>
        <v/>
      </c>
      <c r="J160" s="25" t="str">
        <f>IF($Q160="","",INDEX(TRANSACTIONS_MASTER!$O$5:$O$1204,$Q160))</f>
        <v/>
      </c>
      <c r="K160" s="26" t="str">
        <f>IF($Q160="","",INDEX(TRANSACTIONS_MASTER!$Q$5:$Q$1204,$Q160))</f>
        <v/>
      </c>
      <c r="L160" s="25" t="str">
        <f>IF($Q160="","",INDEX(TRANSACTIONS_MASTER!$P$5:$P$1204,$Q160))</f>
        <v/>
      </c>
      <c r="M160" s="25" t="str">
        <f>IF($Q160="","",INDEX(TRANSACTIONS_MASTER!$AA$5:$AA$1204,$Q160))</f>
        <v/>
      </c>
      <c r="N160" s="25" t="str">
        <f>IF($Q160="","",INDEX(TRANSACTIONS_MASTER!$R$5:$R$1204,$Q160))</f>
        <v/>
      </c>
      <c r="O160" s="28" t="str">
        <f>IF($Q160="","",INDEX(TRANSACTIONS_MASTER!$AB$5:$AB$1204,$Q160))</f>
        <v/>
      </c>
      <c r="P160" s="55" t="str">
        <f>IF($Q160="","",INDEX(TRANSACTIONS_MASTER!$Z$5:$Z$1204,$Q160)&amp;"")</f>
        <v/>
      </c>
      <c r="Q160" s="67" t="str">
        <f>IFERROR(MATCH($C$2&amp;"|"&amp;153,TRANSACTIONS_MASTER!$AE$5:$AE$1204,0),"")</f>
        <v/>
      </c>
      <c r="S160" s="67" t="str">
        <f>IFERROR(MATCH(1,INDEX((TRANSACTIONS_MASTER!$C$5:$C$1204=$C$2)*(TRANSACTIONS_MASTER!$AN$5:$AN$1204=2),0),0),"")</f>
        <v/>
      </c>
      <c r="T160" s="55" t="n"/>
      <c r="U160" s="55" t="str">
        <f>IF($S160="","",INDEX(TRANSACTIONS_MASTER!$G$5:$G$1204,$S160)&amp;"")</f>
        <v/>
      </c>
      <c r="V160" s="25" t="str">
        <f>IF($S160="","",SUMIFS(TRANSACTIONS_MASTER!$L$5:$L$1204,TRANSACTIONS_MASTER!$G$5:$G$1204,$U160,TRANSACTIONS_MASTER!$C$5:$C$1204,$C$2,TRANSACTIONS_MASTER!$U$5:$U$1204,"&lt;&gt;Cancelled"))</f>
        <v/>
      </c>
      <c r="W160" s="26" t="str">
        <f>IF($S160="","",SUMIFS(TRANSACTIONS_MASTER!$Q$5:$Q$1204,TRANSACTIONS_MASTER!$G$5:$G$1204,$U160,TRANSACTIONS_MASTER!$C$5:$C$1204,$C$2))</f>
        <v/>
      </c>
    </row>
    <row r="161">
      <c r="A161" s="81" t="str">
        <f>IF($Q161="","",154)</f>
        <v/>
      </c>
      <c r="B161" s="57" t="str">
        <f>IF($Q161="","",INDEX(TRANSACTIONS_MASTER!$B$5:$B$1204,$Q161))</f>
        <v/>
      </c>
      <c r="C161" s="55" t="str">
        <f>IF($Q161="","",INDEX(TRANSACTIONS_MASTER!$F$5:$F$1204,$Q161))</f>
        <v/>
      </c>
      <c r="D161" s="55" t="str">
        <f>IF($Q161="","",INDEX(TRANSACTIONS_MASTER!$E$5:$E$1204,$Q161))</f>
        <v/>
      </c>
      <c r="E161" s="55" t="str">
        <f>IF($Q161="","",INDEX(TRANSACTIONS_MASTER!$G$5:$G$1204,$Q161)&amp;"")</f>
        <v/>
      </c>
      <c r="F161" s="29" t="str">
        <f>IF($Q161="","",INDEX(TRANSACTIONS_MASTER!$I$5:$I$1204,$Q161))</f>
        <v/>
      </c>
      <c r="G161" s="55" t="str">
        <f>IF($Q161="","",INDEX(TRANSACTIONS_MASTER!$K$5:$K$1204,$Q161))</f>
        <v/>
      </c>
      <c r="H161" s="25" t="str">
        <f>IF($Q161="","",INDEX(TRANSACTIONS_MASTER!$L$5:$L$1204,$Q161))</f>
        <v/>
      </c>
      <c r="I161" s="56" t="str">
        <f>IF($Q161="","",INDEX(TRANSACTIONS_MASTER!$N$5:$N$1204,$Q161))</f>
        <v/>
      </c>
      <c r="J161" s="25" t="str">
        <f>IF($Q161="","",INDEX(TRANSACTIONS_MASTER!$O$5:$O$1204,$Q161))</f>
        <v/>
      </c>
      <c r="K161" s="26" t="str">
        <f>IF($Q161="","",INDEX(TRANSACTIONS_MASTER!$Q$5:$Q$1204,$Q161))</f>
        <v/>
      </c>
      <c r="L161" s="25" t="str">
        <f>IF($Q161="","",INDEX(TRANSACTIONS_MASTER!$P$5:$P$1204,$Q161))</f>
        <v/>
      </c>
      <c r="M161" s="25" t="str">
        <f>IF($Q161="","",INDEX(TRANSACTIONS_MASTER!$AA$5:$AA$1204,$Q161))</f>
        <v/>
      </c>
      <c r="N161" s="25" t="str">
        <f>IF($Q161="","",INDEX(TRANSACTIONS_MASTER!$R$5:$R$1204,$Q161))</f>
        <v/>
      </c>
      <c r="O161" s="28" t="str">
        <f>IF($Q161="","",INDEX(TRANSACTIONS_MASTER!$AB$5:$AB$1204,$Q161))</f>
        <v/>
      </c>
      <c r="P161" s="55" t="str">
        <f>IF($Q161="","",INDEX(TRANSACTIONS_MASTER!$Z$5:$Z$1204,$Q161)&amp;"")</f>
        <v/>
      </c>
      <c r="Q161" s="67" t="str">
        <f>IFERROR(MATCH($C$2&amp;"|"&amp;154,TRANSACTIONS_MASTER!$AE$5:$AE$1204,0),"")</f>
        <v/>
      </c>
      <c r="S161" s="67" t="str">
        <f>IFERROR(MATCH(1,INDEX((TRANSACTIONS_MASTER!$C$5:$C$1204=$C$2)*(TRANSACTIONS_MASTER!$AN$5:$AN$1204=3),0),0),"")</f>
        <v/>
      </c>
      <c r="T161" s="55" t="n"/>
      <c r="U161" s="55" t="str">
        <f>IF($S161="","",INDEX(TRANSACTIONS_MASTER!$G$5:$G$1204,$S161)&amp;"")</f>
        <v/>
      </c>
      <c r="V161" s="25" t="str">
        <f>IF($S161="","",SUMIFS(TRANSACTIONS_MASTER!$L$5:$L$1204,TRANSACTIONS_MASTER!$G$5:$G$1204,$U161,TRANSACTIONS_MASTER!$C$5:$C$1204,$C$2,TRANSACTIONS_MASTER!$U$5:$U$1204,"&lt;&gt;Cancelled"))</f>
        <v/>
      </c>
      <c r="W161" s="26" t="str">
        <f>IF($S161="","",SUMIFS(TRANSACTIONS_MASTER!$Q$5:$Q$1204,TRANSACTIONS_MASTER!$G$5:$G$1204,$U161,TRANSACTIONS_MASTER!$C$5:$C$1204,$C$2))</f>
        <v/>
      </c>
    </row>
    <row r="162">
      <c r="A162" s="81" t="str">
        <f>IF($Q162="","",155)</f>
        <v/>
      </c>
      <c r="B162" s="57" t="str">
        <f>IF($Q162="","",INDEX(TRANSACTIONS_MASTER!$B$5:$B$1204,$Q162))</f>
        <v/>
      </c>
      <c r="C162" s="55" t="str">
        <f>IF($Q162="","",INDEX(TRANSACTIONS_MASTER!$F$5:$F$1204,$Q162))</f>
        <v/>
      </c>
      <c r="D162" s="55" t="str">
        <f>IF($Q162="","",INDEX(TRANSACTIONS_MASTER!$E$5:$E$1204,$Q162))</f>
        <v/>
      </c>
      <c r="E162" s="55" t="str">
        <f>IF($Q162="","",INDEX(TRANSACTIONS_MASTER!$G$5:$G$1204,$Q162)&amp;"")</f>
        <v/>
      </c>
      <c r="F162" s="29" t="str">
        <f>IF($Q162="","",INDEX(TRANSACTIONS_MASTER!$I$5:$I$1204,$Q162))</f>
        <v/>
      </c>
      <c r="G162" s="55" t="str">
        <f>IF($Q162="","",INDEX(TRANSACTIONS_MASTER!$K$5:$K$1204,$Q162))</f>
        <v/>
      </c>
      <c r="H162" s="25" t="str">
        <f>IF($Q162="","",INDEX(TRANSACTIONS_MASTER!$L$5:$L$1204,$Q162))</f>
        <v/>
      </c>
      <c r="I162" s="56" t="str">
        <f>IF($Q162="","",INDEX(TRANSACTIONS_MASTER!$N$5:$N$1204,$Q162))</f>
        <v/>
      </c>
      <c r="J162" s="25" t="str">
        <f>IF($Q162="","",INDEX(TRANSACTIONS_MASTER!$O$5:$O$1204,$Q162))</f>
        <v/>
      </c>
      <c r="K162" s="26" t="str">
        <f>IF($Q162="","",INDEX(TRANSACTIONS_MASTER!$Q$5:$Q$1204,$Q162))</f>
        <v/>
      </c>
      <c r="L162" s="25" t="str">
        <f>IF($Q162="","",INDEX(TRANSACTIONS_MASTER!$P$5:$P$1204,$Q162))</f>
        <v/>
      </c>
      <c r="M162" s="25" t="str">
        <f>IF($Q162="","",INDEX(TRANSACTIONS_MASTER!$AA$5:$AA$1204,$Q162))</f>
        <v/>
      </c>
      <c r="N162" s="25" t="str">
        <f>IF($Q162="","",INDEX(TRANSACTIONS_MASTER!$R$5:$R$1204,$Q162))</f>
        <v/>
      </c>
      <c r="O162" s="28" t="str">
        <f>IF($Q162="","",INDEX(TRANSACTIONS_MASTER!$AB$5:$AB$1204,$Q162))</f>
        <v/>
      </c>
      <c r="P162" s="55" t="str">
        <f>IF($Q162="","",INDEX(TRANSACTIONS_MASTER!$Z$5:$Z$1204,$Q162)&amp;"")</f>
        <v/>
      </c>
      <c r="Q162" s="67" t="str">
        <f>IFERROR(MATCH($C$2&amp;"|"&amp;155,TRANSACTIONS_MASTER!$AE$5:$AE$1204,0),"")</f>
        <v/>
      </c>
      <c r="S162" s="67" t="str">
        <f>IFERROR(MATCH(1,INDEX((TRANSACTIONS_MASTER!$C$5:$C$1204=$C$2)*(TRANSACTIONS_MASTER!$AN$5:$AN$1204=4),0),0),"")</f>
        <v/>
      </c>
      <c r="T162" s="55" t="n"/>
      <c r="U162" s="55" t="str">
        <f>IF($S162="","",INDEX(TRANSACTIONS_MASTER!$G$5:$G$1204,$S162)&amp;"")</f>
        <v/>
      </c>
      <c r="V162" s="25" t="str">
        <f>IF($S162="","",SUMIFS(TRANSACTIONS_MASTER!$L$5:$L$1204,TRANSACTIONS_MASTER!$G$5:$G$1204,$U162,TRANSACTIONS_MASTER!$C$5:$C$1204,$C$2,TRANSACTIONS_MASTER!$U$5:$U$1204,"&lt;&gt;Cancelled"))</f>
        <v/>
      </c>
      <c r="W162" s="26" t="str">
        <f>IF($S162="","",SUMIFS(TRANSACTIONS_MASTER!$Q$5:$Q$1204,TRANSACTIONS_MASTER!$G$5:$G$1204,$U162,TRANSACTIONS_MASTER!$C$5:$C$1204,$C$2))</f>
        <v/>
      </c>
    </row>
    <row r="163">
      <c r="A163" s="81" t="str">
        <f>IF($Q163="","",156)</f>
        <v/>
      </c>
      <c r="B163" s="57" t="str">
        <f>IF($Q163="","",INDEX(TRANSACTIONS_MASTER!$B$5:$B$1204,$Q163))</f>
        <v/>
      </c>
      <c r="C163" s="55" t="str">
        <f>IF($Q163="","",INDEX(TRANSACTIONS_MASTER!$F$5:$F$1204,$Q163))</f>
        <v/>
      </c>
      <c r="D163" s="55" t="str">
        <f>IF($Q163="","",INDEX(TRANSACTIONS_MASTER!$E$5:$E$1204,$Q163))</f>
        <v/>
      </c>
      <c r="E163" s="55" t="str">
        <f>IF($Q163="","",INDEX(TRANSACTIONS_MASTER!$G$5:$G$1204,$Q163)&amp;"")</f>
        <v/>
      </c>
      <c r="F163" s="29" t="str">
        <f>IF($Q163="","",INDEX(TRANSACTIONS_MASTER!$I$5:$I$1204,$Q163))</f>
        <v/>
      </c>
      <c r="G163" s="55" t="str">
        <f>IF($Q163="","",INDEX(TRANSACTIONS_MASTER!$K$5:$K$1204,$Q163))</f>
        <v/>
      </c>
      <c r="H163" s="25" t="str">
        <f>IF($Q163="","",INDEX(TRANSACTIONS_MASTER!$L$5:$L$1204,$Q163))</f>
        <v/>
      </c>
      <c r="I163" s="56" t="str">
        <f>IF($Q163="","",INDEX(TRANSACTIONS_MASTER!$N$5:$N$1204,$Q163))</f>
        <v/>
      </c>
      <c r="J163" s="25" t="str">
        <f>IF($Q163="","",INDEX(TRANSACTIONS_MASTER!$O$5:$O$1204,$Q163))</f>
        <v/>
      </c>
      <c r="K163" s="26" t="str">
        <f>IF($Q163="","",INDEX(TRANSACTIONS_MASTER!$Q$5:$Q$1204,$Q163))</f>
        <v/>
      </c>
      <c r="L163" s="25" t="str">
        <f>IF($Q163="","",INDEX(TRANSACTIONS_MASTER!$P$5:$P$1204,$Q163))</f>
        <v/>
      </c>
      <c r="M163" s="25" t="str">
        <f>IF($Q163="","",INDEX(TRANSACTIONS_MASTER!$AA$5:$AA$1204,$Q163))</f>
        <v/>
      </c>
      <c r="N163" s="25" t="str">
        <f>IF($Q163="","",INDEX(TRANSACTIONS_MASTER!$R$5:$R$1204,$Q163))</f>
        <v/>
      </c>
      <c r="O163" s="28" t="str">
        <f>IF($Q163="","",INDEX(TRANSACTIONS_MASTER!$AB$5:$AB$1204,$Q163))</f>
        <v/>
      </c>
      <c r="P163" s="55" t="str">
        <f>IF($Q163="","",INDEX(TRANSACTIONS_MASTER!$Z$5:$Z$1204,$Q163)&amp;"")</f>
        <v/>
      </c>
      <c r="Q163" s="67" t="str">
        <f>IFERROR(MATCH($C$2&amp;"|"&amp;156,TRANSACTIONS_MASTER!$AE$5:$AE$1204,0),"")</f>
        <v/>
      </c>
      <c r="S163" s="67" t="str">
        <f>IFERROR(MATCH(1,INDEX((TRANSACTIONS_MASTER!$C$5:$C$1204=$C$2)*(TRANSACTIONS_MASTER!$AN$5:$AN$1204=5),0),0),"")</f>
        <v/>
      </c>
      <c r="T163" s="55" t="n"/>
      <c r="U163" s="55" t="str">
        <f>IF($S163="","",INDEX(TRANSACTIONS_MASTER!$G$5:$G$1204,$S163)&amp;"")</f>
        <v/>
      </c>
      <c r="V163" s="25" t="str">
        <f>IF($S163="","",SUMIFS(TRANSACTIONS_MASTER!$L$5:$L$1204,TRANSACTIONS_MASTER!$G$5:$G$1204,$U163,TRANSACTIONS_MASTER!$C$5:$C$1204,$C$2,TRANSACTIONS_MASTER!$U$5:$U$1204,"&lt;&gt;Cancelled"))</f>
        <v/>
      </c>
      <c r="W163" s="26" t="str">
        <f>IF($S163="","",SUMIFS(TRANSACTIONS_MASTER!$Q$5:$Q$1204,TRANSACTIONS_MASTER!$G$5:$G$1204,$U163,TRANSACTIONS_MASTER!$C$5:$C$1204,$C$2))</f>
        <v/>
      </c>
    </row>
    <row r="164">
      <c r="A164" s="81" t="str">
        <f>IF($Q164="","",157)</f>
        <v/>
      </c>
      <c r="B164" s="57" t="str">
        <f>IF($Q164="","",INDEX(TRANSACTIONS_MASTER!$B$5:$B$1204,$Q164))</f>
        <v/>
      </c>
      <c r="C164" s="55" t="str">
        <f>IF($Q164="","",INDEX(TRANSACTIONS_MASTER!$F$5:$F$1204,$Q164))</f>
        <v/>
      </c>
      <c r="D164" s="55" t="str">
        <f>IF($Q164="","",INDEX(TRANSACTIONS_MASTER!$E$5:$E$1204,$Q164))</f>
        <v/>
      </c>
      <c r="E164" s="55" t="str">
        <f>IF($Q164="","",INDEX(TRANSACTIONS_MASTER!$G$5:$G$1204,$Q164)&amp;"")</f>
        <v/>
      </c>
      <c r="F164" s="29" t="str">
        <f>IF($Q164="","",INDEX(TRANSACTIONS_MASTER!$I$5:$I$1204,$Q164))</f>
        <v/>
      </c>
      <c r="G164" s="55" t="str">
        <f>IF($Q164="","",INDEX(TRANSACTIONS_MASTER!$K$5:$K$1204,$Q164))</f>
        <v/>
      </c>
      <c r="H164" s="25" t="str">
        <f>IF($Q164="","",INDEX(TRANSACTIONS_MASTER!$L$5:$L$1204,$Q164))</f>
        <v/>
      </c>
      <c r="I164" s="56" t="str">
        <f>IF($Q164="","",INDEX(TRANSACTIONS_MASTER!$N$5:$N$1204,$Q164))</f>
        <v/>
      </c>
      <c r="J164" s="25" t="str">
        <f>IF($Q164="","",INDEX(TRANSACTIONS_MASTER!$O$5:$O$1204,$Q164))</f>
        <v/>
      </c>
      <c r="K164" s="26" t="str">
        <f>IF($Q164="","",INDEX(TRANSACTIONS_MASTER!$Q$5:$Q$1204,$Q164))</f>
        <v/>
      </c>
      <c r="L164" s="25" t="str">
        <f>IF($Q164="","",INDEX(TRANSACTIONS_MASTER!$P$5:$P$1204,$Q164))</f>
        <v/>
      </c>
      <c r="M164" s="25" t="str">
        <f>IF($Q164="","",INDEX(TRANSACTIONS_MASTER!$AA$5:$AA$1204,$Q164))</f>
        <v/>
      </c>
      <c r="N164" s="25" t="str">
        <f>IF($Q164="","",INDEX(TRANSACTIONS_MASTER!$R$5:$R$1204,$Q164))</f>
        <v/>
      </c>
      <c r="O164" s="28" t="str">
        <f>IF($Q164="","",INDEX(TRANSACTIONS_MASTER!$AB$5:$AB$1204,$Q164))</f>
        <v/>
      </c>
      <c r="P164" s="55" t="str">
        <f>IF($Q164="","",INDEX(TRANSACTIONS_MASTER!$Z$5:$Z$1204,$Q164)&amp;"")</f>
        <v/>
      </c>
      <c r="Q164" s="67" t="str">
        <f>IFERROR(MATCH($C$2&amp;"|"&amp;157,TRANSACTIONS_MASTER!$AE$5:$AE$1204,0),"")</f>
        <v/>
      </c>
      <c r="S164" s="67" t="str">
        <f>IFERROR(MATCH(1,INDEX((TRANSACTIONS_MASTER!$C$5:$C$1204=$C$2)*(TRANSACTIONS_MASTER!$AN$5:$AN$1204=6),0),0),"")</f>
        <v/>
      </c>
      <c r="T164" s="55" t="n"/>
      <c r="U164" s="55" t="str">
        <f>IF($S164="","",INDEX(TRANSACTIONS_MASTER!$G$5:$G$1204,$S164)&amp;"")</f>
        <v/>
      </c>
      <c r="V164" s="25" t="str">
        <f>IF($S164="","",SUMIFS(TRANSACTIONS_MASTER!$L$5:$L$1204,TRANSACTIONS_MASTER!$G$5:$G$1204,$U164,TRANSACTIONS_MASTER!$C$5:$C$1204,$C$2,TRANSACTIONS_MASTER!$U$5:$U$1204,"&lt;&gt;Cancelled"))</f>
        <v/>
      </c>
      <c r="W164" s="26" t="str">
        <f>IF($S164="","",SUMIFS(TRANSACTIONS_MASTER!$Q$5:$Q$1204,TRANSACTIONS_MASTER!$G$5:$G$1204,$U164,TRANSACTIONS_MASTER!$C$5:$C$1204,$C$2))</f>
        <v/>
      </c>
    </row>
    <row r="165">
      <c r="A165" s="81" t="str">
        <f>IF($Q165="","",158)</f>
        <v/>
      </c>
      <c r="B165" s="57" t="str">
        <f>IF($Q165="","",INDEX(TRANSACTIONS_MASTER!$B$5:$B$1204,$Q165))</f>
        <v/>
      </c>
      <c r="C165" s="55" t="str">
        <f>IF($Q165="","",INDEX(TRANSACTIONS_MASTER!$F$5:$F$1204,$Q165))</f>
        <v/>
      </c>
      <c r="D165" s="55" t="str">
        <f>IF($Q165="","",INDEX(TRANSACTIONS_MASTER!$E$5:$E$1204,$Q165))</f>
        <v/>
      </c>
      <c r="E165" s="55" t="str">
        <f>IF($Q165="","",INDEX(TRANSACTIONS_MASTER!$G$5:$G$1204,$Q165)&amp;"")</f>
        <v/>
      </c>
      <c r="F165" s="29" t="str">
        <f>IF($Q165="","",INDEX(TRANSACTIONS_MASTER!$I$5:$I$1204,$Q165))</f>
        <v/>
      </c>
      <c r="G165" s="55" t="str">
        <f>IF($Q165="","",INDEX(TRANSACTIONS_MASTER!$K$5:$K$1204,$Q165))</f>
        <v/>
      </c>
      <c r="H165" s="25" t="str">
        <f>IF($Q165="","",INDEX(TRANSACTIONS_MASTER!$L$5:$L$1204,$Q165))</f>
        <v/>
      </c>
      <c r="I165" s="56" t="str">
        <f>IF($Q165="","",INDEX(TRANSACTIONS_MASTER!$N$5:$N$1204,$Q165))</f>
        <v/>
      </c>
      <c r="J165" s="25" t="str">
        <f>IF($Q165="","",INDEX(TRANSACTIONS_MASTER!$O$5:$O$1204,$Q165))</f>
        <v/>
      </c>
      <c r="K165" s="26" t="str">
        <f>IF($Q165="","",INDEX(TRANSACTIONS_MASTER!$Q$5:$Q$1204,$Q165))</f>
        <v/>
      </c>
      <c r="L165" s="25" t="str">
        <f>IF($Q165="","",INDEX(TRANSACTIONS_MASTER!$P$5:$P$1204,$Q165))</f>
        <v/>
      </c>
      <c r="M165" s="25" t="str">
        <f>IF($Q165="","",INDEX(TRANSACTIONS_MASTER!$AA$5:$AA$1204,$Q165))</f>
        <v/>
      </c>
      <c r="N165" s="25" t="str">
        <f>IF($Q165="","",INDEX(TRANSACTIONS_MASTER!$R$5:$R$1204,$Q165))</f>
        <v/>
      </c>
      <c r="O165" s="28" t="str">
        <f>IF($Q165="","",INDEX(TRANSACTIONS_MASTER!$AB$5:$AB$1204,$Q165))</f>
        <v/>
      </c>
      <c r="P165" s="55" t="str">
        <f>IF($Q165="","",INDEX(TRANSACTIONS_MASTER!$Z$5:$Z$1204,$Q165)&amp;"")</f>
        <v/>
      </c>
      <c r="Q165" s="67" t="str">
        <f>IFERROR(MATCH($C$2&amp;"|"&amp;158,TRANSACTIONS_MASTER!$AE$5:$AE$1204,0),"")</f>
        <v/>
      </c>
      <c r="S165" s="67" t="str">
        <f>IFERROR(MATCH(1,INDEX((TRANSACTIONS_MASTER!$C$5:$C$1204=$C$2)*(TRANSACTIONS_MASTER!$AN$5:$AN$1204=7),0),0),"")</f>
        <v/>
      </c>
      <c r="T165" s="55" t="n"/>
      <c r="U165" s="55" t="str">
        <f>IF($S165="","",INDEX(TRANSACTIONS_MASTER!$G$5:$G$1204,$S165)&amp;"")</f>
        <v/>
      </c>
      <c r="V165" s="25" t="str">
        <f>IF($S165="","",SUMIFS(TRANSACTIONS_MASTER!$L$5:$L$1204,TRANSACTIONS_MASTER!$G$5:$G$1204,$U165,TRANSACTIONS_MASTER!$C$5:$C$1204,$C$2,TRANSACTIONS_MASTER!$U$5:$U$1204,"&lt;&gt;Cancelled"))</f>
        <v/>
      </c>
      <c r="W165" s="26" t="str">
        <f>IF($S165="","",SUMIFS(TRANSACTIONS_MASTER!$Q$5:$Q$1204,TRANSACTIONS_MASTER!$G$5:$G$1204,$U165,TRANSACTIONS_MASTER!$C$5:$C$1204,$C$2))</f>
        <v/>
      </c>
    </row>
    <row r="166">
      <c r="A166" s="81" t="str">
        <f>IF($Q166="","",159)</f>
        <v/>
      </c>
      <c r="B166" s="57" t="str">
        <f>IF($Q166="","",INDEX(TRANSACTIONS_MASTER!$B$5:$B$1204,$Q166))</f>
        <v/>
      </c>
      <c r="C166" s="55" t="str">
        <f>IF($Q166="","",INDEX(TRANSACTIONS_MASTER!$F$5:$F$1204,$Q166))</f>
        <v/>
      </c>
      <c r="D166" s="55" t="str">
        <f>IF($Q166="","",INDEX(TRANSACTIONS_MASTER!$E$5:$E$1204,$Q166))</f>
        <v/>
      </c>
      <c r="E166" s="55" t="str">
        <f>IF($Q166="","",INDEX(TRANSACTIONS_MASTER!$G$5:$G$1204,$Q166)&amp;"")</f>
        <v/>
      </c>
      <c r="F166" s="29" t="str">
        <f>IF($Q166="","",INDEX(TRANSACTIONS_MASTER!$I$5:$I$1204,$Q166))</f>
        <v/>
      </c>
      <c r="G166" s="55" t="str">
        <f>IF($Q166="","",INDEX(TRANSACTIONS_MASTER!$K$5:$K$1204,$Q166))</f>
        <v/>
      </c>
      <c r="H166" s="25" t="str">
        <f>IF($Q166="","",INDEX(TRANSACTIONS_MASTER!$L$5:$L$1204,$Q166))</f>
        <v/>
      </c>
      <c r="I166" s="56" t="str">
        <f>IF($Q166="","",INDEX(TRANSACTIONS_MASTER!$N$5:$N$1204,$Q166))</f>
        <v/>
      </c>
      <c r="J166" s="25" t="str">
        <f>IF($Q166="","",INDEX(TRANSACTIONS_MASTER!$O$5:$O$1204,$Q166))</f>
        <v/>
      </c>
      <c r="K166" s="26" t="str">
        <f>IF($Q166="","",INDEX(TRANSACTIONS_MASTER!$Q$5:$Q$1204,$Q166))</f>
        <v/>
      </c>
      <c r="L166" s="25" t="str">
        <f>IF($Q166="","",INDEX(TRANSACTIONS_MASTER!$P$5:$P$1204,$Q166))</f>
        <v/>
      </c>
      <c r="M166" s="25" t="str">
        <f>IF($Q166="","",INDEX(TRANSACTIONS_MASTER!$AA$5:$AA$1204,$Q166))</f>
        <v/>
      </c>
      <c r="N166" s="25" t="str">
        <f>IF($Q166="","",INDEX(TRANSACTIONS_MASTER!$R$5:$R$1204,$Q166))</f>
        <v/>
      </c>
      <c r="O166" s="28" t="str">
        <f>IF($Q166="","",INDEX(TRANSACTIONS_MASTER!$AB$5:$AB$1204,$Q166))</f>
        <v/>
      </c>
      <c r="P166" s="55" t="str">
        <f>IF($Q166="","",INDEX(TRANSACTIONS_MASTER!$Z$5:$Z$1204,$Q166)&amp;"")</f>
        <v/>
      </c>
      <c r="Q166" s="67" t="str">
        <f>IFERROR(MATCH($C$2&amp;"|"&amp;159,TRANSACTIONS_MASTER!$AE$5:$AE$1204,0),"")</f>
        <v/>
      </c>
      <c r="S166" s="67" t="str">
        <f>IFERROR(MATCH(1,INDEX((TRANSACTIONS_MASTER!$C$5:$C$1204=$C$2)*(TRANSACTIONS_MASTER!$AN$5:$AN$1204=8),0),0),"")</f>
        <v/>
      </c>
      <c r="T166" s="55" t="n"/>
      <c r="U166" s="55" t="str">
        <f>IF($S166="","",INDEX(TRANSACTIONS_MASTER!$G$5:$G$1204,$S166)&amp;"")</f>
        <v/>
      </c>
      <c r="V166" s="25" t="str">
        <f>IF($S166="","",SUMIFS(TRANSACTIONS_MASTER!$L$5:$L$1204,TRANSACTIONS_MASTER!$G$5:$G$1204,$U166,TRANSACTIONS_MASTER!$C$5:$C$1204,$C$2,TRANSACTIONS_MASTER!$U$5:$U$1204,"&lt;&gt;Cancelled"))</f>
        <v/>
      </c>
      <c r="W166" s="26" t="str">
        <f>IF($S166="","",SUMIFS(TRANSACTIONS_MASTER!$Q$5:$Q$1204,TRANSACTIONS_MASTER!$G$5:$G$1204,$U166,TRANSACTIONS_MASTER!$C$5:$C$1204,$C$2))</f>
        <v/>
      </c>
    </row>
    <row r="167">
      <c r="A167" s="81" t="str">
        <f>IF($Q167="","",160)</f>
        <v/>
      </c>
      <c r="B167" s="57" t="str">
        <f>IF($Q167="","",INDEX(TRANSACTIONS_MASTER!$B$5:$B$1204,$Q167))</f>
        <v/>
      </c>
      <c r="C167" s="55" t="str">
        <f>IF($Q167="","",INDEX(TRANSACTIONS_MASTER!$F$5:$F$1204,$Q167))</f>
        <v/>
      </c>
      <c r="D167" s="55" t="str">
        <f>IF($Q167="","",INDEX(TRANSACTIONS_MASTER!$E$5:$E$1204,$Q167))</f>
        <v/>
      </c>
      <c r="E167" s="55" t="str">
        <f>IF($Q167="","",INDEX(TRANSACTIONS_MASTER!$G$5:$G$1204,$Q167)&amp;"")</f>
        <v/>
      </c>
      <c r="F167" s="29" t="str">
        <f>IF($Q167="","",INDEX(TRANSACTIONS_MASTER!$I$5:$I$1204,$Q167))</f>
        <v/>
      </c>
      <c r="G167" s="55" t="str">
        <f>IF($Q167="","",INDEX(TRANSACTIONS_MASTER!$K$5:$K$1204,$Q167))</f>
        <v/>
      </c>
      <c r="H167" s="25" t="str">
        <f>IF($Q167="","",INDEX(TRANSACTIONS_MASTER!$L$5:$L$1204,$Q167))</f>
        <v/>
      </c>
      <c r="I167" s="56" t="str">
        <f>IF($Q167="","",INDEX(TRANSACTIONS_MASTER!$N$5:$N$1204,$Q167))</f>
        <v/>
      </c>
      <c r="J167" s="25" t="str">
        <f>IF($Q167="","",INDEX(TRANSACTIONS_MASTER!$O$5:$O$1204,$Q167))</f>
        <v/>
      </c>
      <c r="K167" s="26" t="str">
        <f>IF($Q167="","",INDEX(TRANSACTIONS_MASTER!$Q$5:$Q$1204,$Q167))</f>
        <v/>
      </c>
      <c r="L167" s="25" t="str">
        <f>IF($Q167="","",INDEX(TRANSACTIONS_MASTER!$P$5:$P$1204,$Q167))</f>
        <v/>
      </c>
      <c r="M167" s="25" t="str">
        <f>IF($Q167="","",INDEX(TRANSACTIONS_MASTER!$AA$5:$AA$1204,$Q167))</f>
        <v/>
      </c>
      <c r="N167" s="25" t="str">
        <f>IF($Q167="","",INDEX(TRANSACTIONS_MASTER!$R$5:$R$1204,$Q167))</f>
        <v/>
      </c>
      <c r="O167" s="28" t="str">
        <f>IF($Q167="","",INDEX(TRANSACTIONS_MASTER!$AB$5:$AB$1204,$Q167))</f>
        <v/>
      </c>
      <c r="P167" s="55" t="str">
        <f>IF($Q167="","",INDEX(TRANSACTIONS_MASTER!$Z$5:$Z$1204,$Q167)&amp;"")</f>
        <v/>
      </c>
      <c r="Q167" s="67" t="str">
        <f>IFERROR(MATCH($C$2&amp;"|"&amp;160,TRANSACTIONS_MASTER!$AE$5:$AE$1204,0),"")</f>
        <v/>
      </c>
      <c r="S167" s="67" t="str">
        <f>IFERROR(MATCH(1,INDEX((TRANSACTIONS_MASTER!$C$5:$C$1204=$C$2)*(TRANSACTIONS_MASTER!$AN$5:$AN$1204=9),0),0),"")</f>
        <v/>
      </c>
      <c r="T167" s="55" t="n"/>
      <c r="U167" s="55" t="str">
        <f>IF($S167="","",INDEX(TRANSACTIONS_MASTER!$G$5:$G$1204,$S167)&amp;"")</f>
        <v/>
      </c>
      <c r="V167" s="25" t="str">
        <f>IF($S167="","",SUMIFS(TRANSACTIONS_MASTER!$L$5:$L$1204,TRANSACTIONS_MASTER!$G$5:$G$1204,$U167,TRANSACTIONS_MASTER!$C$5:$C$1204,$C$2,TRANSACTIONS_MASTER!$U$5:$U$1204,"&lt;&gt;Cancelled"))</f>
        <v/>
      </c>
      <c r="W167" s="26" t="str">
        <f>IF($S167="","",SUMIFS(TRANSACTIONS_MASTER!$Q$5:$Q$1204,TRANSACTIONS_MASTER!$G$5:$G$1204,$U167,TRANSACTIONS_MASTER!$C$5:$C$1204,$C$2))</f>
        <v/>
      </c>
    </row>
    <row r="168">
      <c r="A168" s="81" t="str">
        <f>IF($Q168="","",161)</f>
        <v/>
      </c>
      <c r="B168" s="57" t="str">
        <f>IF($Q168="","",INDEX(TRANSACTIONS_MASTER!$B$5:$B$1204,$Q168))</f>
        <v/>
      </c>
      <c r="C168" s="55" t="str">
        <f>IF($Q168="","",INDEX(TRANSACTIONS_MASTER!$F$5:$F$1204,$Q168))</f>
        <v/>
      </c>
      <c r="D168" s="55" t="str">
        <f>IF($Q168="","",INDEX(TRANSACTIONS_MASTER!$E$5:$E$1204,$Q168))</f>
        <v/>
      </c>
      <c r="E168" s="55" t="str">
        <f>IF($Q168="","",INDEX(TRANSACTIONS_MASTER!$G$5:$G$1204,$Q168)&amp;"")</f>
        <v/>
      </c>
      <c r="F168" s="29" t="str">
        <f>IF($Q168="","",INDEX(TRANSACTIONS_MASTER!$I$5:$I$1204,$Q168))</f>
        <v/>
      </c>
      <c r="G168" s="55" t="str">
        <f>IF($Q168="","",INDEX(TRANSACTIONS_MASTER!$K$5:$K$1204,$Q168))</f>
        <v/>
      </c>
      <c r="H168" s="25" t="str">
        <f>IF($Q168="","",INDEX(TRANSACTIONS_MASTER!$L$5:$L$1204,$Q168))</f>
        <v/>
      </c>
      <c r="I168" s="56" t="str">
        <f>IF($Q168="","",INDEX(TRANSACTIONS_MASTER!$N$5:$N$1204,$Q168))</f>
        <v/>
      </c>
      <c r="J168" s="25" t="str">
        <f>IF($Q168="","",INDEX(TRANSACTIONS_MASTER!$O$5:$O$1204,$Q168))</f>
        <v/>
      </c>
      <c r="K168" s="26" t="str">
        <f>IF($Q168="","",INDEX(TRANSACTIONS_MASTER!$Q$5:$Q$1204,$Q168))</f>
        <v/>
      </c>
      <c r="L168" s="25" t="str">
        <f>IF($Q168="","",INDEX(TRANSACTIONS_MASTER!$P$5:$P$1204,$Q168))</f>
        <v/>
      </c>
      <c r="M168" s="25" t="str">
        <f>IF($Q168="","",INDEX(TRANSACTIONS_MASTER!$AA$5:$AA$1204,$Q168))</f>
        <v/>
      </c>
      <c r="N168" s="25" t="str">
        <f>IF($Q168="","",INDEX(TRANSACTIONS_MASTER!$R$5:$R$1204,$Q168))</f>
        <v/>
      </c>
      <c r="O168" s="28" t="str">
        <f>IF($Q168="","",INDEX(TRANSACTIONS_MASTER!$AB$5:$AB$1204,$Q168))</f>
        <v/>
      </c>
      <c r="P168" s="55" t="str">
        <f>IF($Q168="","",INDEX(TRANSACTIONS_MASTER!$Z$5:$Z$1204,$Q168)&amp;"")</f>
        <v/>
      </c>
      <c r="Q168" s="67" t="str">
        <f>IFERROR(MATCH($C$2&amp;"|"&amp;161,TRANSACTIONS_MASTER!$AE$5:$AE$1204,0),"")</f>
        <v/>
      </c>
      <c r="S168" s="67" t="str">
        <f>IFERROR(MATCH(1,INDEX((TRANSACTIONS_MASTER!$C$5:$C$1204=$C$2)*(TRANSACTIONS_MASTER!$AN$5:$AN$1204=10),0),0),"")</f>
        <v/>
      </c>
      <c r="T168" s="55" t="n"/>
      <c r="U168" s="55" t="str">
        <f>IF($S168="","",INDEX(TRANSACTIONS_MASTER!$G$5:$G$1204,$S168)&amp;"")</f>
        <v/>
      </c>
      <c r="V168" s="25" t="str">
        <f>IF($S168="","",SUMIFS(TRANSACTIONS_MASTER!$L$5:$L$1204,TRANSACTIONS_MASTER!$G$5:$G$1204,$U168,TRANSACTIONS_MASTER!$C$5:$C$1204,$C$2,TRANSACTIONS_MASTER!$U$5:$U$1204,"&lt;&gt;Cancelled"))</f>
        <v/>
      </c>
      <c r="W168" s="26" t="str">
        <f>IF($S168="","",SUMIFS(TRANSACTIONS_MASTER!$Q$5:$Q$1204,TRANSACTIONS_MASTER!$G$5:$G$1204,$U168,TRANSACTIONS_MASTER!$C$5:$C$1204,$C$2))</f>
        <v/>
      </c>
    </row>
    <row r="169">
      <c r="A169" s="81" t="str">
        <f>IF($Q169="","",162)</f>
        <v/>
      </c>
      <c r="B169" s="57" t="str">
        <f>IF($Q169="","",INDEX(TRANSACTIONS_MASTER!$B$5:$B$1204,$Q169))</f>
        <v/>
      </c>
      <c r="C169" s="55" t="str">
        <f>IF($Q169="","",INDEX(TRANSACTIONS_MASTER!$F$5:$F$1204,$Q169))</f>
        <v/>
      </c>
      <c r="D169" s="55" t="str">
        <f>IF($Q169="","",INDEX(TRANSACTIONS_MASTER!$E$5:$E$1204,$Q169))</f>
        <v/>
      </c>
      <c r="E169" s="55" t="str">
        <f>IF($Q169="","",INDEX(TRANSACTIONS_MASTER!$G$5:$G$1204,$Q169)&amp;"")</f>
        <v/>
      </c>
      <c r="F169" s="29" t="str">
        <f>IF($Q169="","",INDEX(TRANSACTIONS_MASTER!$I$5:$I$1204,$Q169))</f>
        <v/>
      </c>
      <c r="G169" s="55" t="str">
        <f>IF($Q169="","",INDEX(TRANSACTIONS_MASTER!$K$5:$K$1204,$Q169))</f>
        <v/>
      </c>
      <c r="H169" s="25" t="str">
        <f>IF($Q169="","",INDEX(TRANSACTIONS_MASTER!$L$5:$L$1204,$Q169))</f>
        <v/>
      </c>
      <c r="I169" s="56" t="str">
        <f>IF($Q169="","",INDEX(TRANSACTIONS_MASTER!$N$5:$N$1204,$Q169))</f>
        <v/>
      </c>
      <c r="J169" s="25" t="str">
        <f>IF($Q169="","",INDEX(TRANSACTIONS_MASTER!$O$5:$O$1204,$Q169))</f>
        <v/>
      </c>
      <c r="K169" s="26" t="str">
        <f>IF($Q169="","",INDEX(TRANSACTIONS_MASTER!$Q$5:$Q$1204,$Q169))</f>
        <v/>
      </c>
      <c r="L169" s="25" t="str">
        <f>IF($Q169="","",INDEX(TRANSACTIONS_MASTER!$P$5:$P$1204,$Q169))</f>
        <v/>
      </c>
      <c r="M169" s="25" t="str">
        <f>IF($Q169="","",INDEX(TRANSACTIONS_MASTER!$AA$5:$AA$1204,$Q169))</f>
        <v/>
      </c>
      <c r="N169" s="25" t="str">
        <f>IF($Q169="","",INDEX(TRANSACTIONS_MASTER!$R$5:$R$1204,$Q169))</f>
        <v/>
      </c>
      <c r="O169" s="28" t="str">
        <f>IF($Q169="","",INDEX(TRANSACTIONS_MASTER!$AB$5:$AB$1204,$Q169))</f>
        <v/>
      </c>
      <c r="P169" s="55" t="str">
        <f>IF($Q169="","",INDEX(TRANSACTIONS_MASTER!$Z$5:$Z$1204,$Q169)&amp;"")</f>
        <v/>
      </c>
      <c r="Q169" s="67" t="str">
        <f>IFERROR(MATCH($C$2&amp;"|"&amp;162,TRANSACTIONS_MASTER!$AE$5:$AE$1204,0),"")</f>
        <v/>
      </c>
      <c r="S169" s="67" t="str">
        <f>IFERROR(MATCH(1,INDEX((TRANSACTIONS_MASTER!$C$5:$C$1204=$C$2)*(TRANSACTIONS_MASTER!$AN$5:$AN$1204=11),0),0),"")</f>
        <v/>
      </c>
      <c r="T169" s="55" t="n"/>
      <c r="U169" s="55" t="str">
        <f>IF($S169="","",INDEX(TRANSACTIONS_MASTER!$G$5:$G$1204,$S169)&amp;"")</f>
        <v/>
      </c>
      <c r="V169" s="25" t="str">
        <f>IF($S169="","",SUMIFS(TRANSACTIONS_MASTER!$L$5:$L$1204,TRANSACTIONS_MASTER!$G$5:$G$1204,$U169,TRANSACTIONS_MASTER!$C$5:$C$1204,$C$2,TRANSACTIONS_MASTER!$U$5:$U$1204,"&lt;&gt;Cancelled"))</f>
        <v/>
      </c>
      <c r="W169" s="26" t="str">
        <f>IF($S169="","",SUMIFS(TRANSACTIONS_MASTER!$Q$5:$Q$1204,TRANSACTIONS_MASTER!$G$5:$G$1204,$U169,TRANSACTIONS_MASTER!$C$5:$C$1204,$C$2))</f>
        <v/>
      </c>
    </row>
    <row r="170">
      <c r="A170" s="81" t="str">
        <f>IF($Q170="","",163)</f>
        <v/>
      </c>
      <c r="B170" s="57" t="str">
        <f>IF($Q170="","",INDEX(TRANSACTIONS_MASTER!$B$5:$B$1204,$Q170))</f>
        <v/>
      </c>
      <c r="C170" s="55" t="str">
        <f>IF($Q170="","",INDEX(TRANSACTIONS_MASTER!$F$5:$F$1204,$Q170))</f>
        <v/>
      </c>
      <c r="D170" s="55" t="str">
        <f>IF($Q170="","",INDEX(TRANSACTIONS_MASTER!$E$5:$E$1204,$Q170))</f>
        <v/>
      </c>
      <c r="E170" s="55" t="str">
        <f>IF($Q170="","",INDEX(TRANSACTIONS_MASTER!$G$5:$G$1204,$Q170)&amp;"")</f>
        <v/>
      </c>
      <c r="F170" s="29" t="str">
        <f>IF($Q170="","",INDEX(TRANSACTIONS_MASTER!$I$5:$I$1204,$Q170))</f>
        <v/>
      </c>
      <c r="G170" s="55" t="str">
        <f>IF($Q170="","",INDEX(TRANSACTIONS_MASTER!$K$5:$K$1204,$Q170))</f>
        <v/>
      </c>
      <c r="H170" s="25" t="str">
        <f>IF($Q170="","",INDEX(TRANSACTIONS_MASTER!$L$5:$L$1204,$Q170))</f>
        <v/>
      </c>
      <c r="I170" s="56" t="str">
        <f>IF($Q170="","",INDEX(TRANSACTIONS_MASTER!$N$5:$N$1204,$Q170))</f>
        <v/>
      </c>
      <c r="J170" s="25" t="str">
        <f>IF($Q170="","",INDEX(TRANSACTIONS_MASTER!$O$5:$O$1204,$Q170))</f>
        <v/>
      </c>
      <c r="K170" s="26" t="str">
        <f>IF($Q170="","",INDEX(TRANSACTIONS_MASTER!$Q$5:$Q$1204,$Q170))</f>
        <v/>
      </c>
      <c r="L170" s="25" t="str">
        <f>IF($Q170="","",INDEX(TRANSACTIONS_MASTER!$P$5:$P$1204,$Q170))</f>
        <v/>
      </c>
      <c r="M170" s="25" t="str">
        <f>IF($Q170="","",INDEX(TRANSACTIONS_MASTER!$AA$5:$AA$1204,$Q170))</f>
        <v/>
      </c>
      <c r="N170" s="25" t="str">
        <f>IF($Q170="","",INDEX(TRANSACTIONS_MASTER!$R$5:$R$1204,$Q170))</f>
        <v/>
      </c>
      <c r="O170" s="28" t="str">
        <f>IF($Q170="","",INDEX(TRANSACTIONS_MASTER!$AB$5:$AB$1204,$Q170))</f>
        <v/>
      </c>
      <c r="P170" s="55" t="str">
        <f>IF($Q170="","",INDEX(TRANSACTIONS_MASTER!$Z$5:$Z$1204,$Q170)&amp;"")</f>
        <v/>
      </c>
      <c r="Q170" s="67" t="str">
        <f>IFERROR(MATCH($C$2&amp;"|"&amp;163,TRANSACTIONS_MASTER!$AE$5:$AE$1204,0),"")</f>
        <v/>
      </c>
      <c r="S170" s="67" t="str">
        <f>IFERROR(MATCH(1,INDEX((TRANSACTIONS_MASTER!$C$5:$C$1204=$C$2)*(TRANSACTIONS_MASTER!$AN$5:$AN$1204=12),0),0),"")</f>
        <v/>
      </c>
      <c r="T170" s="55" t="n"/>
      <c r="U170" s="55" t="str">
        <f>IF($S170="","",INDEX(TRANSACTIONS_MASTER!$G$5:$G$1204,$S170)&amp;"")</f>
        <v/>
      </c>
      <c r="V170" s="25" t="str">
        <f>IF($S170="","",SUMIFS(TRANSACTIONS_MASTER!$L$5:$L$1204,TRANSACTIONS_MASTER!$G$5:$G$1204,$U170,TRANSACTIONS_MASTER!$C$5:$C$1204,$C$2,TRANSACTIONS_MASTER!$U$5:$U$1204,"&lt;&gt;Cancelled"))</f>
        <v/>
      </c>
      <c r="W170" s="26" t="str">
        <f>IF($S170="","",SUMIFS(TRANSACTIONS_MASTER!$Q$5:$Q$1204,TRANSACTIONS_MASTER!$G$5:$G$1204,$U170,TRANSACTIONS_MASTER!$C$5:$C$1204,$C$2))</f>
        <v/>
      </c>
    </row>
    <row r="171">
      <c r="A171" s="81" t="str">
        <f>IF($Q171="","",164)</f>
        <v/>
      </c>
      <c r="B171" s="57" t="str">
        <f>IF($Q171="","",INDEX(TRANSACTIONS_MASTER!$B$5:$B$1204,$Q171))</f>
        <v/>
      </c>
      <c r="C171" s="55" t="str">
        <f>IF($Q171="","",INDEX(TRANSACTIONS_MASTER!$F$5:$F$1204,$Q171))</f>
        <v/>
      </c>
      <c r="D171" s="55" t="str">
        <f>IF($Q171="","",INDEX(TRANSACTIONS_MASTER!$E$5:$E$1204,$Q171))</f>
        <v/>
      </c>
      <c r="E171" s="55" t="str">
        <f>IF($Q171="","",INDEX(TRANSACTIONS_MASTER!$G$5:$G$1204,$Q171)&amp;"")</f>
        <v/>
      </c>
      <c r="F171" s="29" t="str">
        <f>IF($Q171="","",INDEX(TRANSACTIONS_MASTER!$I$5:$I$1204,$Q171))</f>
        <v/>
      </c>
      <c r="G171" s="55" t="str">
        <f>IF($Q171="","",INDEX(TRANSACTIONS_MASTER!$K$5:$K$1204,$Q171))</f>
        <v/>
      </c>
      <c r="H171" s="25" t="str">
        <f>IF($Q171="","",INDEX(TRANSACTIONS_MASTER!$L$5:$L$1204,$Q171))</f>
        <v/>
      </c>
      <c r="I171" s="56" t="str">
        <f>IF($Q171="","",INDEX(TRANSACTIONS_MASTER!$N$5:$N$1204,$Q171))</f>
        <v/>
      </c>
      <c r="J171" s="25" t="str">
        <f>IF($Q171="","",INDEX(TRANSACTIONS_MASTER!$O$5:$O$1204,$Q171))</f>
        <v/>
      </c>
      <c r="K171" s="26" t="str">
        <f>IF($Q171="","",INDEX(TRANSACTIONS_MASTER!$Q$5:$Q$1204,$Q171))</f>
        <v/>
      </c>
      <c r="L171" s="25" t="str">
        <f>IF($Q171="","",INDEX(TRANSACTIONS_MASTER!$P$5:$P$1204,$Q171))</f>
        <v/>
      </c>
      <c r="M171" s="25" t="str">
        <f>IF($Q171="","",INDEX(TRANSACTIONS_MASTER!$AA$5:$AA$1204,$Q171))</f>
        <v/>
      </c>
      <c r="N171" s="25" t="str">
        <f>IF($Q171="","",INDEX(TRANSACTIONS_MASTER!$R$5:$R$1204,$Q171))</f>
        <v/>
      </c>
      <c r="O171" s="28" t="str">
        <f>IF($Q171="","",INDEX(TRANSACTIONS_MASTER!$AB$5:$AB$1204,$Q171))</f>
        <v/>
      </c>
      <c r="P171" s="55" t="str">
        <f>IF($Q171="","",INDEX(TRANSACTIONS_MASTER!$Z$5:$Z$1204,$Q171)&amp;"")</f>
        <v/>
      </c>
      <c r="Q171" s="67" t="str">
        <f>IFERROR(MATCH($C$2&amp;"|"&amp;164,TRANSACTIONS_MASTER!$AE$5:$AE$1204,0),"")</f>
        <v/>
      </c>
      <c r="S171" s="67" t="str">
        <f>IFERROR(MATCH(1,INDEX((TRANSACTIONS_MASTER!$C$5:$C$1204=$C$2)*(TRANSACTIONS_MASTER!$AN$5:$AN$1204=13),0),0),"")</f>
        <v/>
      </c>
      <c r="T171" s="55" t="n"/>
      <c r="U171" s="55" t="str">
        <f>IF($S171="","",INDEX(TRANSACTIONS_MASTER!$G$5:$G$1204,$S171)&amp;"")</f>
        <v/>
      </c>
      <c r="V171" s="25" t="str">
        <f>IF($S171="","",SUMIFS(TRANSACTIONS_MASTER!$L$5:$L$1204,TRANSACTIONS_MASTER!$G$5:$G$1204,$U171,TRANSACTIONS_MASTER!$C$5:$C$1204,$C$2,TRANSACTIONS_MASTER!$U$5:$U$1204,"&lt;&gt;Cancelled"))</f>
        <v/>
      </c>
      <c r="W171" s="26" t="str">
        <f>IF($S171="","",SUMIFS(TRANSACTIONS_MASTER!$Q$5:$Q$1204,TRANSACTIONS_MASTER!$G$5:$G$1204,$U171,TRANSACTIONS_MASTER!$C$5:$C$1204,$C$2))</f>
        <v/>
      </c>
    </row>
    <row r="172">
      <c r="A172" s="81" t="str">
        <f>IF($Q172="","",165)</f>
        <v/>
      </c>
      <c r="B172" s="57" t="str">
        <f>IF($Q172="","",INDEX(TRANSACTIONS_MASTER!$B$5:$B$1204,$Q172))</f>
        <v/>
      </c>
      <c r="C172" s="55" t="str">
        <f>IF($Q172="","",INDEX(TRANSACTIONS_MASTER!$F$5:$F$1204,$Q172))</f>
        <v/>
      </c>
      <c r="D172" s="55" t="str">
        <f>IF($Q172="","",INDEX(TRANSACTIONS_MASTER!$E$5:$E$1204,$Q172))</f>
        <v/>
      </c>
      <c r="E172" s="55" t="str">
        <f>IF($Q172="","",INDEX(TRANSACTIONS_MASTER!$G$5:$G$1204,$Q172)&amp;"")</f>
        <v/>
      </c>
      <c r="F172" s="29" t="str">
        <f>IF($Q172="","",INDEX(TRANSACTIONS_MASTER!$I$5:$I$1204,$Q172))</f>
        <v/>
      </c>
      <c r="G172" s="55" t="str">
        <f>IF($Q172="","",INDEX(TRANSACTIONS_MASTER!$K$5:$K$1204,$Q172))</f>
        <v/>
      </c>
      <c r="H172" s="25" t="str">
        <f>IF($Q172="","",INDEX(TRANSACTIONS_MASTER!$L$5:$L$1204,$Q172))</f>
        <v/>
      </c>
      <c r="I172" s="56" t="str">
        <f>IF($Q172="","",INDEX(TRANSACTIONS_MASTER!$N$5:$N$1204,$Q172))</f>
        <v/>
      </c>
      <c r="J172" s="25" t="str">
        <f>IF($Q172="","",INDEX(TRANSACTIONS_MASTER!$O$5:$O$1204,$Q172))</f>
        <v/>
      </c>
      <c r="K172" s="26" t="str">
        <f>IF($Q172="","",INDEX(TRANSACTIONS_MASTER!$Q$5:$Q$1204,$Q172))</f>
        <v/>
      </c>
      <c r="L172" s="25" t="str">
        <f>IF($Q172="","",INDEX(TRANSACTIONS_MASTER!$P$5:$P$1204,$Q172))</f>
        <v/>
      </c>
      <c r="M172" s="25" t="str">
        <f>IF($Q172="","",INDEX(TRANSACTIONS_MASTER!$AA$5:$AA$1204,$Q172))</f>
        <v/>
      </c>
      <c r="N172" s="25" t="str">
        <f>IF($Q172="","",INDEX(TRANSACTIONS_MASTER!$R$5:$R$1204,$Q172))</f>
        <v/>
      </c>
      <c r="O172" s="28" t="str">
        <f>IF($Q172="","",INDEX(TRANSACTIONS_MASTER!$AB$5:$AB$1204,$Q172))</f>
        <v/>
      </c>
      <c r="P172" s="55" t="str">
        <f>IF($Q172="","",INDEX(TRANSACTIONS_MASTER!$Z$5:$Z$1204,$Q172)&amp;"")</f>
        <v/>
      </c>
      <c r="Q172" s="67" t="str">
        <f>IFERROR(MATCH($C$2&amp;"|"&amp;165,TRANSACTIONS_MASTER!$AE$5:$AE$1204,0),"")</f>
        <v/>
      </c>
      <c r="S172" s="67" t="str">
        <f>IFERROR(MATCH(1,INDEX((TRANSACTIONS_MASTER!$C$5:$C$1204=$C$2)*(TRANSACTIONS_MASTER!$AN$5:$AN$1204=14),0),0),"")</f>
        <v/>
      </c>
      <c r="T172" s="55" t="n"/>
      <c r="U172" s="55" t="str">
        <f>IF($S172="","",INDEX(TRANSACTIONS_MASTER!$G$5:$G$1204,$S172)&amp;"")</f>
        <v/>
      </c>
      <c r="V172" s="25" t="str">
        <f>IF($S172="","",SUMIFS(TRANSACTIONS_MASTER!$L$5:$L$1204,TRANSACTIONS_MASTER!$G$5:$G$1204,$U172,TRANSACTIONS_MASTER!$C$5:$C$1204,$C$2,TRANSACTIONS_MASTER!$U$5:$U$1204,"&lt;&gt;Cancelled"))</f>
        <v/>
      </c>
      <c r="W172" s="26" t="str">
        <f>IF($S172="","",SUMIFS(TRANSACTIONS_MASTER!$Q$5:$Q$1204,TRANSACTIONS_MASTER!$G$5:$G$1204,$U172,TRANSACTIONS_MASTER!$C$5:$C$1204,$C$2))</f>
        <v/>
      </c>
    </row>
    <row r="173">
      <c r="A173" s="81" t="str">
        <f>IF($Q173="","",166)</f>
        <v/>
      </c>
      <c r="B173" s="57" t="str">
        <f>IF($Q173="","",INDEX(TRANSACTIONS_MASTER!$B$5:$B$1204,$Q173))</f>
        <v/>
      </c>
      <c r="C173" s="55" t="str">
        <f>IF($Q173="","",INDEX(TRANSACTIONS_MASTER!$F$5:$F$1204,$Q173))</f>
        <v/>
      </c>
      <c r="D173" s="55" t="str">
        <f>IF($Q173="","",INDEX(TRANSACTIONS_MASTER!$E$5:$E$1204,$Q173))</f>
        <v/>
      </c>
      <c r="E173" s="55" t="str">
        <f>IF($Q173="","",INDEX(TRANSACTIONS_MASTER!$G$5:$G$1204,$Q173)&amp;"")</f>
        <v/>
      </c>
      <c r="F173" s="29" t="str">
        <f>IF($Q173="","",INDEX(TRANSACTIONS_MASTER!$I$5:$I$1204,$Q173))</f>
        <v/>
      </c>
      <c r="G173" s="55" t="str">
        <f>IF($Q173="","",INDEX(TRANSACTIONS_MASTER!$K$5:$K$1204,$Q173))</f>
        <v/>
      </c>
      <c r="H173" s="25" t="str">
        <f>IF($Q173="","",INDEX(TRANSACTIONS_MASTER!$L$5:$L$1204,$Q173))</f>
        <v/>
      </c>
      <c r="I173" s="56" t="str">
        <f>IF($Q173="","",INDEX(TRANSACTIONS_MASTER!$N$5:$N$1204,$Q173))</f>
        <v/>
      </c>
      <c r="J173" s="25" t="str">
        <f>IF($Q173="","",INDEX(TRANSACTIONS_MASTER!$O$5:$O$1204,$Q173))</f>
        <v/>
      </c>
      <c r="K173" s="26" t="str">
        <f>IF($Q173="","",INDEX(TRANSACTIONS_MASTER!$Q$5:$Q$1204,$Q173))</f>
        <v/>
      </c>
      <c r="L173" s="25" t="str">
        <f>IF($Q173="","",INDEX(TRANSACTIONS_MASTER!$P$5:$P$1204,$Q173))</f>
        <v/>
      </c>
      <c r="M173" s="25" t="str">
        <f>IF($Q173="","",INDEX(TRANSACTIONS_MASTER!$AA$5:$AA$1204,$Q173))</f>
        <v/>
      </c>
      <c r="N173" s="25" t="str">
        <f>IF($Q173="","",INDEX(TRANSACTIONS_MASTER!$R$5:$R$1204,$Q173))</f>
        <v/>
      </c>
      <c r="O173" s="28" t="str">
        <f>IF($Q173="","",INDEX(TRANSACTIONS_MASTER!$AB$5:$AB$1204,$Q173))</f>
        <v/>
      </c>
      <c r="P173" s="55" t="str">
        <f>IF($Q173="","",INDEX(TRANSACTIONS_MASTER!$Z$5:$Z$1204,$Q173)&amp;"")</f>
        <v/>
      </c>
      <c r="Q173" s="67" t="str">
        <f>IFERROR(MATCH($C$2&amp;"|"&amp;166,TRANSACTIONS_MASTER!$AE$5:$AE$1204,0),"")</f>
        <v/>
      </c>
      <c r="S173" s="67" t="str">
        <f>IFERROR(MATCH(1,INDEX((TRANSACTIONS_MASTER!$C$5:$C$1204=$C$2)*(TRANSACTIONS_MASTER!$AN$5:$AN$1204=15),0),0),"")</f>
        <v/>
      </c>
      <c r="T173" s="55" t="n"/>
      <c r="U173" s="55" t="str">
        <f>IF($S173="","",INDEX(TRANSACTIONS_MASTER!$G$5:$G$1204,$S173)&amp;"")</f>
        <v/>
      </c>
      <c r="V173" s="25" t="str">
        <f>IF($S173="","",SUMIFS(TRANSACTIONS_MASTER!$L$5:$L$1204,TRANSACTIONS_MASTER!$G$5:$G$1204,$U173,TRANSACTIONS_MASTER!$C$5:$C$1204,$C$2,TRANSACTIONS_MASTER!$U$5:$U$1204,"&lt;&gt;Cancelled"))</f>
        <v/>
      </c>
      <c r="W173" s="26" t="str">
        <f>IF($S173="","",SUMIFS(TRANSACTIONS_MASTER!$Q$5:$Q$1204,TRANSACTIONS_MASTER!$G$5:$G$1204,$U173,TRANSACTIONS_MASTER!$C$5:$C$1204,$C$2))</f>
        <v/>
      </c>
    </row>
    <row r="174">
      <c r="A174" s="81" t="str">
        <f>IF($Q174="","",167)</f>
        <v/>
      </c>
      <c r="B174" s="57" t="str">
        <f>IF($Q174="","",INDEX(TRANSACTIONS_MASTER!$B$5:$B$1204,$Q174))</f>
        <v/>
      </c>
      <c r="C174" s="55" t="str">
        <f>IF($Q174="","",INDEX(TRANSACTIONS_MASTER!$F$5:$F$1204,$Q174))</f>
        <v/>
      </c>
      <c r="D174" s="55" t="str">
        <f>IF($Q174="","",INDEX(TRANSACTIONS_MASTER!$E$5:$E$1204,$Q174))</f>
        <v/>
      </c>
      <c r="E174" s="55" t="str">
        <f>IF($Q174="","",INDEX(TRANSACTIONS_MASTER!$G$5:$G$1204,$Q174)&amp;"")</f>
        <v/>
      </c>
      <c r="F174" s="29" t="str">
        <f>IF($Q174="","",INDEX(TRANSACTIONS_MASTER!$I$5:$I$1204,$Q174))</f>
        <v/>
      </c>
      <c r="G174" s="55" t="str">
        <f>IF($Q174="","",INDEX(TRANSACTIONS_MASTER!$K$5:$K$1204,$Q174))</f>
        <v/>
      </c>
      <c r="H174" s="25" t="str">
        <f>IF($Q174="","",INDEX(TRANSACTIONS_MASTER!$L$5:$L$1204,$Q174))</f>
        <v/>
      </c>
      <c r="I174" s="56" t="str">
        <f>IF($Q174="","",INDEX(TRANSACTIONS_MASTER!$N$5:$N$1204,$Q174))</f>
        <v/>
      </c>
      <c r="J174" s="25" t="str">
        <f>IF($Q174="","",INDEX(TRANSACTIONS_MASTER!$O$5:$O$1204,$Q174))</f>
        <v/>
      </c>
      <c r="K174" s="26" t="str">
        <f>IF($Q174="","",INDEX(TRANSACTIONS_MASTER!$Q$5:$Q$1204,$Q174))</f>
        <v/>
      </c>
      <c r="L174" s="25" t="str">
        <f>IF($Q174="","",INDEX(TRANSACTIONS_MASTER!$P$5:$P$1204,$Q174))</f>
        <v/>
      </c>
      <c r="M174" s="25" t="str">
        <f>IF($Q174="","",INDEX(TRANSACTIONS_MASTER!$AA$5:$AA$1204,$Q174))</f>
        <v/>
      </c>
      <c r="N174" s="25" t="str">
        <f>IF($Q174="","",INDEX(TRANSACTIONS_MASTER!$R$5:$R$1204,$Q174))</f>
        <v/>
      </c>
      <c r="O174" s="28" t="str">
        <f>IF($Q174="","",INDEX(TRANSACTIONS_MASTER!$AB$5:$AB$1204,$Q174))</f>
        <v/>
      </c>
      <c r="P174" s="55" t="str">
        <f>IF($Q174="","",INDEX(TRANSACTIONS_MASTER!$Z$5:$Z$1204,$Q174)&amp;"")</f>
        <v/>
      </c>
      <c r="Q174" s="67" t="str">
        <f>IFERROR(MATCH($C$2&amp;"|"&amp;167,TRANSACTIONS_MASTER!$AE$5:$AE$1204,0),"")</f>
        <v/>
      </c>
      <c r="S174" s="67" t="str">
        <f>IFERROR(MATCH(1,INDEX((TRANSACTIONS_MASTER!$C$5:$C$1204=$C$2)*(TRANSACTIONS_MASTER!$AN$5:$AN$1204=16),0),0),"")</f>
        <v/>
      </c>
      <c r="T174" s="55" t="n"/>
      <c r="U174" s="55" t="str">
        <f>IF($S174="","",INDEX(TRANSACTIONS_MASTER!$G$5:$G$1204,$S174)&amp;"")</f>
        <v/>
      </c>
      <c r="V174" s="25" t="str">
        <f>IF($S174="","",SUMIFS(TRANSACTIONS_MASTER!$L$5:$L$1204,TRANSACTIONS_MASTER!$G$5:$G$1204,$U174,TRANSACTIONS_MASTER!$C$5:$C$1204,$C$2,TRANSACTIONS_MASTER!$U$5:$U$1204,"&lt;&gt;Cancelled"))</f>
        <v/>
      </c>
      <c r="W174" s="26" t="str">
        <f>IF($S174="","",SUMIFS(TRANSACTIONS_MASTER!$Q$5:$Q$1204,TRANSACTIONS_MASTER!$G$5:$G$1204,$U174,TRANSACTIONS_MASTER!$C$5:$C$1204,$C$2))</f>
        <v/>
      </c>
    </row>
    <row r="175">
      <c r="A175" s="81" t="str">
        <f>IF($Q175="","",168)</f>
        <v/>
      </c>
      <c r="B175" s="57" t="str">
        <f>IF($Q175="","",INDEX(TRANSACTIONS_MASTER!$B$5:$B$1204,$Q175))</f>
        <v/>
      </c>
      <c r="C175" s="55" t="str">
        <f>IF($Q175="","",INDEX(TRANSACTIONS_MASTER!$F$5:$F$1204,$Q175))</f>
        <v/>
      </c>
      <c r="D175" s="55" t="str">
        <f>IF($Q175="","",INDEX(TRANSACTIONS_MASTER!$E$5:$E$1204,$Q175))</f>
        <v/>
      </c>
      <c r="E175" s="55" t="str">
        <f>IF($Q175="","",INDEX(TRANSACTIONS_MASTER!$G$5:$G$1204,$Q175)&amp;"")</f>
        <v/>
      </c>
      <c r="F175" s="29" t="str">
        <f>IF($Q175="","",INDEX(TRANSACTIONS_MASTER!$I$5:$I$1204,$Q175))</f>
        <v/>
      </c>
      <c r="G175" s="55" t="str">
        <f>IF($Q175="","",INDEX(TRANSACTIONS_MASTER!$K$5:$K$1204,$Q175))</f>
        <v/>
      </c>
      <c r="H175" s="25" t="str">
        <f>IF($Q175="","",INDEX(TRANSACTIONS_MASTER!$L$5:$L$1204,$Q175))</f>
        <v/>
      </c>
      <c r="I175" s="56" t="str">
        <f>IF($Q175="","",INDEX(TRANSACTIONS_MASTER!$N$5:$N$1204,$Q175))</f>
        <v/>
      </c>
      <c r="J175" s="25" t="str">
        <f>IF($Q175="","",INDEX(TRANSACTIONS_MASTER!$O$5:$O$1204,$Q175))</f>
        <v/>
      </c>
      <c r="K175" s="26" t="str">
        <f>IF($Q175="","",INDEX(TRANSACTIONS_MASTER!$Q$5:$Q$1204,$Q175))</f>
        <v/>
      </c>
      <c r="L175" s="25" t="str">
        <f>IF($Q175="","",INDEX(TRANSACTIONS_MASTER!$P$5:$P$1204,$Q175))</f>
        <v/>
      </c>
      <c r="M175" s="25" t="str">
        <f>IF($Q175="","",INDEX(TRANSACTIONS_MASTER!$AA$5:$AA$1204,$Q175))</f>
        <v/>
      </c>
      <c r="N175" s="25" t="str">
        <f>IF($Q175="","",INDEX(TRANSACTIONS_MASTER!$R$5:$R$1204,$Q175))</f>
        <v/>
      </c>
      <c r="O175" s="28" t="str">
        <f>IF($Q175="","",INDEX(TRANSACTIONS_MASTER!$AB$5:$AB$1204,$Q175))</f>
        <v/>
      </c>
      <c r="P175" s="55" t="str">
        <f>IF($Q175="","",INDEX(TRANSACTIONS_MASTER!$Z$5:$Z$1204,$Q175)&amp;"")</f>
        <v/>
      </c>
      <c r="Q175" s="67" t="str">
        <f>IFERROR(MATCH($C$2&amp;"|"&amp;168,TRANSACTIONS_MASTER!$AE$5:$AE$1204,0),"")</f>
        <v/>
      </c>
      <c r="S175" s="67" t="str">
        <f>IFERROR(MATCH(1,INDEX((TRANSACTIONS_MASTER!$C$5:$C$1204=$C$2)*(TRANSACTIONS_MASTER!$AN$5:$AN$1204=17),0),0),"")</f>
        <v/>
      </c>
      <c r="T175" s="55" t="n"/>
      <c r="U175" s="55" t="str">
        <f>IF($S175="","",INDEX(TRANSACTIONS_MASTER!$G$5:$G$1204,$S175)&amp;"")</f>
        <v/>
      </c>
      <c r="V175" s="25" t="str">
        <f>IF($S175="","",SUMIFS(TRANSACTIONS_MASTER!$L$5:$L$1204,TRANSACTIONS_MASTER!$G$5:$G$1204,$U175,TRANSACTIONS_MASTER!$C$5:$C$1204,$C$2,TRANSACTIONS_MASTER!$U$5:$U$1204,"&lt;&gt;Cancelled"))</f>
        <v/>
      </c>
      <c r="W175" s="26" t="str">
        <f>IF($S175="","",SUMIFS(TRANSACTIONS_MASTER!$Q$5:$Q$1204,TRANSACTIONS_MASTER!$G$5:$G$1204,$U175,TRANSACTIONS_MASTER!$C$5:$C$1204,$C$2))</f>
        <v/>
      </c>
    </row>
    <row r="176">
      <c r="A176" s="81" t="str">
        <f>IF($Q176="","",169)</f>
        <v/>
      </c>
      <c r="B176" s="57" t="str">
        <f>IF($Q176="","",INDEX(TRANSACTIONS_MASTER!$B$5:$B$1204,$Q176))</f>
        <v/>
      </c>
      <c r="C176" s="55" t="str">
        <f>IF($Q176="","",INDEX(TRANSACTIONS_MASTER!$F$5:$F$1204,$Q176))</f>
        <v/>
      </c>
      <c r="D176" s="55" t="str">
        <f>IF($Q176="","",INDEX(TRANSACTIONS_MASTER!$E$5:$E$1204,$Q176))</f>
        <v/>
      </c>
      <c r="E176" s="55" t="str">
        <f>IF($Q176="","",INDEX(TRANSACTIONS_MASTER!$G$5:$G$1204,$Q176)&amp;"")</f>
        <v/>
      </c>
      <c r="F176" s="29" t="str">
        <f>IF($Q176="","",INDEX(TRANSACTIONS_MASTER!$I$5:$I$1204,$Q176))</f>
        <v/>
      </c>
      <c r="G176" s="55" t="str">
        <f>IF($Q176="","",INDEX(TRANSACTIONS_MASTER!$K$5:$K$1204,$Q176))</f>
        <v/>
      </c>
      <c r="H176" s="25" t="str">
        <f>IF($Q176="","",INDEX(TRANSACTIONS_MASTER!$L$5:$L$1204,$Q176))</f>
        <v/>
      </c>
      <c r="I176" s="56" t="str">
        <f>IF($Q176="","",INDEX(TRANSACTIONS_MASTER!$N$5:$N$1204,$Q176))</f>
        <v/>
      </c>
      <c r="J176" s="25" t="str">
        <f>IF($Q176="","",INDEX(TRANSACTIONS_MASTER!$O$5:$O$1204,$Q176))</f>
        <v/>
      </c>
      <c r="K176" s="26" t="str">
        <f>IF($Q176="","",INDEX(TRANSACTIONS_MASTER!$Q$5:$Q$1204,$Q176))</f>
        <v/>
      </c>
      <c r="L176" s="25" t="str">
        <f>IF($Q176="","",INDEX(TRANSACTIONS_MASTER!$P$5:$P$1204,$Q176))</f>
        <v/>
      </c>
      <c r="M176" s="25" t="str">
        <f>IF($Q176="","",INDEX(TRANSACTIONS_MASTER!$AA$5:$AA$1204,$Q176))</f>
        <v/>
      </c>
      <c r="N176" s="25" t="str">
        <f>IF($Q176="","",INDEX(TRANSACTIONS_MASTER!$R$5:$R$1204,$Q176))</f>
        <v/>
      </c>
      <c r="O176" s="28" t="str">
        <f>IF($Q176="","",INDEX(TRANSACTIONS_MASTER!$AB$5:$AB$1204,$Q176))</f>
        <v/>
      </c>
      <c r="P176" s="55" t="str">
        <f>IF($Q176="","",INDEX(TRANSACTIONS_MASTER!$Z$5:$Z$1204,$Q176)&amp;"")</f>
        <v/>
      </c>
      <c r="Q176" s="67" t="str">
        <f>IFERROR(MATCH($C$2&amp;"|"&amp;169,TRANSACTIONS_MASTER!$AE$5:$AE$1204,0),"")</f>
        <v/>
      </c>
      <c r="S176" s="67" t="str">
        <f>IFERROR(MATCH(1,INDEX((TRANSACTIONS_MASTER!$C$5:$C$1204=$C$2)*(TRANSACTIONS_MASTER!$AN$5:$AN$1204=18),0),0),"")</f>
        <v/>
      </c>
      <c r="T176" s="55" t="n"/>
      <c r="U176" s="55" t="str">
        <f>IF($S176="","",INDEX(TRANSACTIONS_MASTER!$G$5:$G$1204,$S176)&amp;"")</f>
        <v/>
      </c>
      <c r="V176" s="25" t="str">
        <f>IF($S176="","",SUMIFS(TRANSACTIONS_MASTER!$L$5:$L$1204,TRANSACTIONS_MASTER!$G$5:$G$1204,$U176,TRANSACTIONS_MASTER!$C$5:$C$1204,$C$2,TRANSACTIONS_MASTER!$U$5:$U$1204,"&lt;&gt;Cancelled"))</f>
        <v/>
      </c>
      <c r="W176" s="26" t="str">
        <f>IF($S176="","",SUMIFS(TRANSACTIONS_MASTER!$Q$5:$Q$1204,TRANSACTIONS_MASTER!$G$5:$G$1204,$U176,TRANSACTIONS_MASTER!$C$5:$C$1204,$C$2))</f>
        <v/>
      </c>
    </row>
    <row r="177">
      <c r="A177" s="81" t="str">
        <f>IF($Q177="","",170)</f>
        <v/>
      </c>
      <c r="B177" s="57" t="str">
        <f>IF($Q177="","",INDEX(TRANSACTIONS_MASTER!$B$5:$B$1204,$Q177))</f>
        <v/>
      </c>
      <c r="C177" s="55" t="str">
        <f>IF($Q177="","",INDEX(TRANSACTIONS_MASTER!$F$5:$F$1204,$Q177))</f>
        <v/>
      </c>
      <c r="D177" s="55" t="str">
        <f>IF($Q177="","",INDEX(TRANSACTIONS_MASTER!$E$5:$E$1204,$Q177))</f>
        <v/>
      </c>
      <c r="E177" s="55" t="str">
        <f>IF($Q177="","",INDEX(TRANSACTIONS_MASTER!$G$5:$G$1204,$Q177)&amp;"")</f>
        <v/>
      </c>
      <c r="F177" s="29" t="str">
        <f>IF($Q177="","",INDEX(TRANSACTIONS_MASTER!$I$5:$I$1204,$Q177))</f>
        <v/>
      </c>
      <c r="G177" s="55" t="str">
        <f>IF($Q177="","",INDEX(TRANSACTIONS_MASTER!$K$5:$K$1204,$Q177))</f>
        <v/>
      </c>
      <c r="H177" s="25" t="str">
        <f>IF($Q177="","",INDEX(TRANSACTIONS_MASTER!$L$5:$L$1204,$Q177))</f>
        <v/>
      </c>
      <c r="I177" s="56" t="str">
        <f>IF($Q177="","",INDEX(TRANSACTIONS_MASTER!$N$5:$N$1204,$Q177))</f>
        <v/>
      </c>
      <c r="J177" s="25" t="str">
        <f>IF($Q177="","",INDEX(TRANSACTIONS_MASTER!$O$5:$O$1204,$Q177))</f>
        <v/>
      </c>
      <c r="K177" s="26" t="str">
        <f>IF($Q177="","",INDEX(TRANSACTIONS_MASTER!$Q$5:$Q$1204,$Q177))</f>
        <v/>
      </c>
      <c r="L177" s="25" t="str">
        <f>IF($Q177="","",INDEX(TRANSACTIONS_MASTER!$P$5:$P$1204,$Q177))</f>
        <v/>
      </c>
      <c r="M177" s="25" t="str">
        <f>IF($Q177="","",INDEX(TRANSACTIONS_MASTER!$AA$5:$AA$1204,$Q177))</f>
        <v/>
      </c>
      <c r="N177" s="25" t="str">
        <f>IF($Q177="","",INDEX(TRANSACTIONS_MASTER!$R$5:$R$1204,$Q177))</f>
        <v/>
      </c>
      <c r="O177" s="28" t="str">
        <f>IF($Q177="","",INDEX(TRANSACTIONS_MASTER!$AB$5:$AB$1204,$Q177))</f>
        <v/>
      </c>
      <c r="P177" s="55" t="str">
        <f>IF($Q177="","",INDEX(TRANSACTIONS_MASTER!$Z$5:$Z$1204,$Q177)&amp;"")</f>
        <v/>
      </c>
      <c r="Q177" s="67" t="str">
        <f>IFERROR(MATCH($C$2&amp;"|"&amp;170,TRANSACTIONS_MASTER!$AE$5:$AE$1204,0),"")</f>
        <v/>
      </c>
      <c r="S177" s="67" t="str">
        <f>IFERROR(MATCH(1,INDEX((TRANSACTIONS_MASTER!$C$5:$C$1204=$C$2)*(TRANSACTIONS_MASTER!$AN$5:$AN$1204=19),0),0),"")</f>
        <v/>
      </c>
      <c r="T177" s="55" t="n"/>
      <c r="U177" s="55" t="str">
        <f>IF($S177="","",INDEX(TRANSACTIONS_MASTER!$G$5:$G$1204,$S177)&amp;"")</f>
        <v/>
      </c>
      <c r="V177" s="25" t="str">
        <f>IF($S177="","",SUMIFS(TRANSACTIONS_MASTER!$L$5:$L$1204,TRANSACTIONS_MASTER!$G$5:$G$1204,$U177,TRANSACTIONS_MASTER!$C$5:$C$1204,$C$2,TRANSACTIONS_MASTER!$U$5:$U$1204,"&lt;&gt;Cancelled"))</f>
        <v/>
      </c>
      <c r="W177" s="26" t="str">
        <f>IF($S177="","",SUMIFS(TRANSACTIONS_MASTER!$Q$5:$Q$1204,TRANSACTIONS_MASTER!$G$5:$G$1204,$U177,TRANSACTIONS_MASTER!$C$5:$C$1204,$C$2))</f>
        <v/>
      </c>
    </row>
    <row r="178">
      <c r="A178" s="81" t="str">
        <f>IF($Q178="","",171)</f>
        <v/>
      </c>
      <c r="B178" s="57" t="str">
        <f>IF($Q178="","",INDEX(TRANSACTIONS_MASTER!$B$5:$B$1204,$Q178))</f>
        <v/>
      </c>
      <c r="C178" s="55" t="str">
        <f>IF($Q178="","",INDEX(TRANSACTIONS_MASTER!$F$5:$F$1204,$Q178))</f>
        <v/>
      </c>
      <c r="D178" s="55" t="str">
        <f>IF($Q178="","",INDEX(TRANSACTIONS_MASTER!$E$5:$E$1204,$Q178))</f>
        <v/>
      </c>
      <c r="E178" s="55" t="str">
        <f>IF($Q178="","",INDEX(TRANSACTIONS_MASTER!$G$5:$G$1204,$Q178)&amp;"")</f>
        <v/>
      </c>
      <c r="F178" s="29" t="str">
        <f>IF($Q178="","",INDEX(TRANSACTIONS_MASTER!$I$5:$I$1204,$Q178))</f>
        <v/>
      </c>
      <c r="G178" s="55" t="str">
        <f>IF($Q178="","",INDEX(TRANSACTIONS_MASTER!$K$5:$K$1204,$Q178))</f>
        <v/>
      </c>
      <c r="H178" s="25" t="str">
        <f>IF($Q178="","",INDEX(TRANSACTIONS_MASTER!$L$5:$L$1204,$Q178))</f>
        <v/>
      </c>
      <c r="I178" s="56" t="str">
        <f>IF($Q178="","",INDEX(TRANSACTIONS_MASTER!$N$5:$N$1204,$Q178))</f>
        <v/>
      </c>
      <c r="J178" s="25" t="str">
        <f>IF($Q178="","",INDEX(TRANSACTIONS_MASTER!$O$5:$O$1204,$Q178))</f>
        <v/>
      </c>
      <c r="K178" s="26" t="str">
        <f>IF($Q178="","",INDEX(TRANSACTIONS_MASTER!$Q$5:$Q$1204,$Q178))</f>
        <v/>
      </c>
      <c r="L178" s="25" t="str">
        <f>IF($Q178="","",INDEX(TRANSACTIONS_MASTER!$P$5:$P$1204,$Q178))</f>
        <v/>
      </c>
      <c r="M178" s="25" t="str">
        <f>IF($Q178="","",INDEX(TRANSACTIONS_MASTER!$AA$5:$AA$1204,$Q178))</f>
        <v/>
      </c>
      <c r="N178" s="25" t="str">
        <f>IF($Q178="","",INDEX(TRANSACTIONS_MASTER!$R$5:$R$1204,$Q178))</f>
        <v/>
      </c>
      <c r="O178" s="28" t="str">
        <f>IF($Q178="","",INDEX(TRANSACTIONS_MASTER!$AB$5:$AB$1204,$Q178))</f>
        <v/>
      </c>
      <c r="P178" s="55" t="str">
        <f>IF($Q178="","",INDEX(TRANSACTIONS_MASTER!$Z$5:$Z$1204,$Q178)&amp;"")</f>
        <v/>
      </c>
      <c r="Q178" s="67" t="str">
        <f>IFERROR(MATCH($C$2&amp;"|"&amp;171,TRANSACTIONS_MASTER!$AE$5:$AE$1204,0),"")</f>
        <v/>
      </c>
      <c r="S178" s="67" t="str">
        <f>IFERROR(MATCH(1,INDEX((TRANSACTIONS_MASTER!$C$5:$C$1204=$C$2)*(TRANSACTIONS_MASTER!$AN$5:$AN$1204=20),0),0),"")</f>
        <v/>
      </c>
      <c r="T178" s="55" t="n"/>
      <c r="U178" s="55" t="str">
        <f>IF($S178="","",INDEX(TRANSACTIONS_MASTER!$G$5:$G$1204,$S178)&amp;"")</f>
        <v/>
      </c>
      <c r="V178" s="25" t="str">
        <f>IF($S178="","",SUMIFS(TRANSACTIONS_MASTER!$L$5:$L$1204,TRANSACTIONS_MASTER!$G$5:$G$1204,$U178,TRANSACTIONS_MASTER!$C$5:$C$1204,$C$2,TRANSACTIONS_MASTER!$U$5:$U$1204,"&lt;&gt;Cancelled"))</f>
        <v/>
      </c>
      <c r="W178" s="26" t="str">
        <f>IF($S178="","",SUMIFS(TRANSACTIONS_MASTER!$Q$5:$Q$1204,TRANSACTIONS_MASTER!$G$5:$G$1204,$U178,TRANSACTIONS_MASTER!$C$5:$C$1204,$C$2))</f>
        <v/>
      </c>
    </row>
    <row r="179">
      <c r="A179" s="81" t="str">
        <f>IF($Q179="","",172)</f>
        <v/>
      </c>
      <c r="B179" s="57" t="str">
        <f>IF($Q179="","",INDEX(TRANSACTIONS_MASTER!$B$5:$B$1204,$Q179))</f>
        <v/>
      </c>
      <c r="C179" s="55" t="str">
        <f>IF($Q179="","",INDEX(TRANSACTIONS_MASTER!$F$5:$F$1204,$Q179))</f>
        <v/>
      </c>
      <c r="D179" s="55" t="str">
        <f>IF($Q179="","",INDEX(TRANSACTIONS_MASTER!$E$5:$E$1204,$Q179))</f>
        <v/>
      </c>
      <c r="E179" s="55" t="str">
        <f>IF($Q179="","",INDEX(TRANSACTIONS_MASTER!$G$5:$G$1204,$Q179)&amp;"")</f>
        <v/>
      </c>
      <c r="F179" s="29" t="str">
        <f>IF($Q179="","",INDEX(TRANSACTIONS_MASTER!$I$5:$I$1204,$Q179))</f>
        <v/>
      </c>
      <c r="G179" s="55" t="str">
        <f>IF($Q179="","",INDEX(TRANSACTIONS_MASTER!$K$5:$K$1204,$Q179))</f>
        <v/>
      </c>
      <c r="H179" s="25" t="str">
        <f>IF($Q179="","",INDEX(TRANSACTIONS_MASTER!$L$5:$L$1204,$Q179))</f>
        <v/>
      </c>
      <c r="I179" s="56" t="str">
        <f>IF($Q179="","",INDEX(TRANSACTIONS_MASTER!$N$5:$N$1204,$Q179))</f>
        <v/>
      </c>
      <c r="J179" s="25" t="str">
        <f>IF($Q179="","",INDEX(TRANSACTIONS_MASTER!$O$5:$O$1204,$Q179))</f>
        <v/>
      </c>
      <c r="K179" s="26" t="str">
        <f>IF($Q179="","",INDEX(TRANSACTIONS_MASTER!$Q$5:$Q$1204,$Q179))</f>
        <v/>
      </c>
      <c r="L179" s="25" t="str">
        <f>IF($Q179="","",INDEX(TRANSACTIONS_MASTER!$P$5:$P$1204,$Q179))</f>
        <v/>
      </c>
      <c r="M179" s="25" t="str">
        <f>IF($Q179="","",INDEX(TRANSACTIONS_MASTER!$AA$5:$AA$1204,$Q179))</f>
        <v/>
      </c>
      <c r="N179" s="25" t="str">
        <f>IF($Q179="","",INDEX(TRANSACTIONS_MASTER!$R$5:$R$1204,$Q179))</f>
        <v/>
      </c>
      <c r="O179" s="28" t="str">
        <f>IF($Q179="","",INDEX(TRANSACTIONS_MASTER!$AB$5:$AB$1204,$Q179))</f>
        <v/>
      </c>
      <c r="P179" s="55" t="str">
        <f>IF($Q179="","",INDEX(TRANSACTIONS_MASTER!$Z$5:$Z$1204,$Q179)&amp;"")</f>
        <v/>
      </c>
      <c r="Q179" s="67" t="str">
        <f>IFERROR(MATCH($C$2&amp;"|"&amp;172,TRANSACTIONS_MASTER!$AE$5:$AE$1204,0),"")</f>
        <v/>
      </c>
      <c r="T179" s="45" t="n"/>
      <c r="U179" s="82" t="inlineStr">
        <is>
          <t>Khác (ngoài danh sách)</t>
        </is>
      </c>
      <c r="V179" s="48">
        <f>MAX(0,SUMIFS(TRANSACTIONS_MASTER!$L$5:$L$1204,TRANSACTIONS_MASTER!$C$5:$C$1204,$C$2,TRANSACTIONS_MASTER!$U$5:$U$1204,"&lt;&gt;Cancelled")-SUM(V159:V178))</f>
        <v>0</v>
      </c>
      <c r="W179" s="48">
        <f>MAX(0,SUMIFS(TRANSACTIONS_MASTER!$Q$5:$Q$1204,TRANSACTIONS_MASTER!$C$5:$C$1204,$C$2)-SUM(W159:W178))</f>
        <v>0</v>
      </c>
    </row>
    <row r="180">
      <c r="A180" s="81" t="str">
        <f>IF($Q180="","",173)</f>
        <v/>
      </c>
      <c r="B180" s="57" t="str">
        <f>IF($Q180="","",INDEX(TRANSACTIONS_MASTER!$B$5:$B$1204,$Q180))</f>
        <v/>
      </c>
      <c r="C180" s="55" t="str">
        <f>IF($Q180="","",INDEX(TRANSACTIONS_MASTER!$F$5:$F$1204,$Q180))</f>
        <v/>
      </c>
      <c r="D180" s="55" t="str">
        <f>IF($Q180="","",INDEX(TRANSACTIONS_MASTER!$E$5:$E$1204,$Q180))</f>
        <v/>
      </c>
      <c r="E180" s="55" t="str">
        <f>IF($Q180="","",INDEX(TRANSACTIONS_MASTER!$G$5:$G$1204,$Q180)&amp;"")</f>
        <v/>
      </c>
      <c r="F180" s="29" t="str">
        <f>IF($Q180="","",INDEX(TRANSACTIONS_MASTER!$I$5:$I$1204,$Q180))</f>
        <v/>
      </c>
      <c r="G180" s="55" t="str">
        <f>IF($Q180="","",INDEX(TRANSACTIONS_MASTER!$K$5:$K$1204,$Q180))</f>
        <v/>
      </c>
      <c r="H180" s="25" t="str">
        <f>IF($Q180="","",INDEX(TRANSACTIONS_MASTER!$L$5:$L$1204,$Q180))</f>
        <v/>
      </c>
      <c r="I180" s="56" t="str">
        <f>IF($Q180="","",INDEX(TRANSACTIONS_MASTER!$N$5:$N$1204,$Q180))</f>
        <v/>
      </c>
      <c r="J180" s="25" t="str">
        <f>IF($Q180="","",INDEX(TRANSACTIONS_MASTER!$O$5:$O$1204,$Q180))</f>
        <v/>
      </c>
      <c r="K180" s="26" t="str">
        <f>IF($Q180="","",INDEX(TRANSACTIONS_MASTER!$Q$5:$Q$1204,$Q180))</f>
        <v/>
      </c>
      <c r="L180" s="25" t="str">
        <f>IF($Q180="","",INDEX(TRANSACTIONS_MASTER!$P$5:$P$1204,$Q180))</f>
        <v/>
      </c>
      <c r="M180" s="25" t="str">
        <f>IF($Q180="","",INDEX(TRANSACTIONS_MASTER!$AA$5:$AA$1204,$Q180))</f>
        <v/>
      </c>
      <c r="N180" s="25" t="str">
        <f>IF($Q180="","",INDEX(TRANSACTIONS_MASTER!$R$5:$R$1204,$Q180))</f>
        <v/>
      </c>
      <c r="O180" s="28" t="str">
        <f>IF($Q180="","",INDEX(TRANSACTIONS_MASTER!$AB$5:$AB$1204,$Q180))</f>
        <v/>
      </c>
      <c r="P180" s="55" t="str">
        <f>IF($Q180="","",INDEX(TRANSACTIONS_MASTER!$Z$5:$Z$1204,$Q180)&amp;"")</f>
        <v/>
      </c>
      <c r="Q180" s="67" t="str">
        <f>IFERROR(MATCH($C$2&amp;"|"&amp;173,TRANSACTIONS_MASTER!$AE$5:$AE$1204,0),"")</f>
        <v/>
      </c>
      <c r="T180" s="68" t="n"/>
      <c r="U180" s="69" t="inlineStr">
        <is>
          <t>TỔNG</t>
        </is>
      </c>
      <c r="V180" s="31">
        <f>SUM(V159:V179)</f>
        <v>0</v>
      </c>
      <c r="W180" s="31">
        <f>SUM(W159:W179)</f>
        <v>0</v>
      </c>
    </row>
    <row r="181">
      <c r="A181" s="81" t="str">
        <f>IF($Q181="","",174)</f>
        <v/>
      </c>
      <c r="B181" s="57" t="str">
        <f>IF($Q181="","",INDEX(TRANSACTIONS_MASTER!$B$5:$B$1204,$Q181))</f>
        <v/>
      </c>
      <c r="C181" s="55" t="str">
        <f>IF($Q181="","",INDEX(TRANSACTIONS_MASTER!$F$5:$F$1204,$Q181))</f>
        <v/>
      </c>
      <c r="D181" s="55" t="str">
        <f>IF($Q181="","",INDEX(TRANSACTIONS_MASTER!$E$5:$E$1204,$Q181))</f>
        <v/>
      </c>
      <c r="E181" s="55" t="str">
        <f>IF($Q181="","",INDEX(TRANSACTIONS_MASTER!$G$5:$G$1204,$Q181)&amp;"")</f>
        <v/>
      </c>
      <c r="F181" s="29" t="str">
        <f>IF($Q181="","",INDEX(TRANSACTIONS_MASTER!$I$5:$I$1204,$Q181))</f>
        <v/>
      </c>
      <c r="G181" s="55" t="str">
        <f>IF($Q181="","",INDEX(TRANSACTIONS_MASTER!$K$5:$K$1204,$Q181))</f>
        <v/>
      </c>
      <c r="H181" s="25" t="str">
        <f>IF($Q181="","",INDEX(TRANSACTIONS_MASTER!$L$5:$L$1204,$Q181))</f>
        <v/>
      </c>
      <c r="I181" s="56" t="str">
        <f>IF($Q181="","",INDEX(TRANSACTIONS_MASTER!$N$5:$N$1204,$Q181))</f>
        <v/>
      </c>
      <c r="J181" s="25" t="str">
        <f>IF($Q181="","",INDEX(TRANSACTIONS_MASTER!$O$5:$O$1204,$Q181))</f>
        <v/>
      </c>
      <c r="K181" s="26" t="str">
        <f>IF($Q181="","",INDEX(TRANSACTIONS_MASTER!$Q$5:$Q$1204,$Q181))</f>
        <v/>
      </c>
      <c r="L181" s="25" t="str">
        <f>IF($Q181="","",INDEX(TRANSACTIONS_MASTER!$P$5:$P$1204,$Q181))</f>
        <v/>
      </c>
      <c r="M181" s="25" t="str">
        <f>IF($Q181="","",INDEX(TRANSACTIONS_MASTER!$AA$5:$AA$1204,$Q181))</f>
        <v/>
      </c>
      <c r="N181" s="25" t="str">
        <f>IF($Q181="","",INDEX(TRANSACTIONS_MASTER!$R$5:$R$1204,$Q181))</f>
        <v/>
      </c>
      <c r="O181" s="28" t="str">
        <f>IF($Q181="","",INDEX(TRANSACTIONS_MASTER!$AB$5:$AB$1204,$Q181))</f>
        <v/>
      </c>
      <c r="P181" s="55" t="str">
        <f>IF($Q181="","",INDEX(TRANSACTIONS_MASTER!$Z$5:$Z$1204,$Q181)&amp;"")</f>
        <v/>
      </c>
      <c r="Q181" s="67" t="str">
        <f>IFERROR(MATCH($C$2&amp;"|"&amp;174,TRANSACTIONS_MASTER!$AE$5:$AE$1204,0),"")</f>
        <v/>
      </c>
    </row>
    <row r="182">
      <c r="A182" s="81" t="str">
        <f>IF($Q182="","",175)</f>
        <v/>
      </c>
      <c r="B182" s="57" t="str">
        <f>IF($Q182="","",INDEX(TRANSACTIONS_MASTER!$B$5:$B$1204,$Q182))</f>
        <v/>
      </c>
      <c r="C182" s="55" t="str">
        <f>IF($Q182="","",INDEX(TRANSACTIONS_MASTER!$F$5:$F$1204,$Q182))</f>
        <v/>
      </c>
      <c r="D182" s="55" t="str">
        <f>IF($Q182="","",INDEX(TRANSACTIONS_MASTER!$E$5:$E$1204,$Q182))</f>
        <v/>
      </c>
      <c r="E182" s="55" t="str">
        <f>IF($Q182="","",INDEX(TRANSACTIONS_MASTER!$G$5:$G$1204,$Q182)&amp;"")</f>
        <v/>
      </c>
      <c r="F182" s="29" t="str">
        <f>IF($Q182="","",INDEX(TRANSACTIONS_MASTER!$I$5:$I$1204,$Q182))</f>
        <v/>
      </c>
      <c r="G182" s="55" t="str">
        <f>IF($Q182="","",INDEX(TRANSACTIONS_MASTER!$K$5:$K$1204,$Q182))</f>
        <v/>
      </c>
      <c r="H182" s="25" t="str">
        <f>IF($Q182="","",INDEX(TRANSACTIONS_MASTER!$L$5:$L$1204,$Q182))</f>
        <v/>
      </c>
      <c r="I182" s="56" t="str">
        <f>IF($Q182="","",INDEX(TRANSACTIONS_MASTER!$N$5:$N$1204,$Q182))</f>
        <v/>
      </c>
      <c r="J182" s="25" t="str">
        <f>IF($Q182="","",INDEX(TRANSACTIONS_MASTER!$O$5:$O$1204,$Q182))</f>
        <v/>
      </c>
      <c r="K182" s="26" t="str">
        <f>IF($Q182="","",INDEX(TRANSACTIONS_MASTER!$Q$5:$Q$1204,$Q182))</f>
        <v/>
      </c>
      <c r="L182" s="25" t="str">
        <f>IF($Q182="","",INDEX(TRANSACTIONS_MASTER!$P$5:$P$1204,$Q182))</f>
        <v/>
      </c>
      <c r="M182" s="25" t="str">
        <f>IF($Q182="","",INDEX(TRANSACTIONS_MASTER!$AA$5:$AA$1204,$Q182))</f>
        <v/>
      </c>
      <c r="N182" s="25" t="str">
        <f>IF($Q182="","",INDEX(TRANSACTIONS_MASTER!$R$5:$R$1204,$Q182))</f>
        <v/>
      </c>
      <c r="O182" s="28" t="str">
        <f>IF($Q182="","",INDEX(TRANSACTIONS_MASTER!$AB$5:$AB$1204,$Q182))</f>
        <v/>
      </c>
      <c r="P182" s="55" t="str">
        <f>IF($Q182="","",INDEX(TRANSACTIONS_MASTER!$Z$5:$Z$1204,$Q182)&amp;"")</f>
        <v/>
      </c>
      <c r="Q182" s="67" t="str">
        <f>IFERROR(MATCH($C$2&amp;"|"&amp;175,TRANSACTIONS_MASTER!$AE$5:$AE$1204,0),"")</f>
        <v/>
      </c>
    </row>
    <row r="183">
      <c r="A183" s="81" t="str">
        <f>IF($Q183="","",176)</f>
        <v/>
      </c>
      <c r="B183" s="57" t="str">
        <f>IF($Q183="","",INDEX(TRANSACTIONS_MASTER!$B$5:$B$1204,$Q183))</f>
        <v/>
      </c>
      <c r="C183" s="55" t="str">
        <f>IF($Q183="","",INDEX(TRANSACTIONS_MASTER!$F$5:$F$1204,$Q183))</f>
        <v/>
      </c>
      <c r="D183" s="55" t="str">
        <f>IF($Q183="","",INDEX(TRANSACTIONS_MASTER!$E$5:$E$1204,$Q183))</f>
        <v/>
      </c>
      <c r="E183" s="55" t="str">
        <f>IF($Q183="","",INDEX(TRANSACTIONS_MASTER!$G$5:$G$1204,$Q183)&amp;"")</f>
        <v/>
      </c>
      <c r="F183" s="29" t="str">
        <f>IF($Q183="","",INDEX(TRANSACTIONS_MASTER!$I$5:$I$1204,$Q183))</f>
        <v/>
      </c>
      <c r="G183" s="55" t="str">
        <f>IF($Q183="","",INDEX(TRANSACTIONS_MASTER!$K$5:$K$1204,$Q183))</f>
        <v/>
      </c>
      <c r="H183" s="25" t="str">
        <f>IF($Q183="","",INDEX(TRANSACTIONS_MASTER!$L$5:$L$1204,$Q183))</f>
        <v/>
      </c>
      <c r="I183" s="56" t="str">
        <f>IF($Q183="","",INDEX(TRANSACTIONS_MASTER!$N$5:$N$1204,$Q183))</f>
        <v/>
      </c>
      <c r="J183" s="25" t="str">
        <f>IF($Q183="","",INDEX(TRANSACTIONS_MASTER!$O$5:$O$1204,$Q183))</f>
        <v/>
      </c>
      <c r="K183" s="26" t="str">
        <f>IF($Q183="","",INDEX(TRANSACTIONS_MASTER!$Q$5:$Q$1204,$Q183))</f>
        <v/>
      </c>
      <c r="L183" s="25" t="str">
        <f>IF($Q183="","",INDEX(TRANSACTIONS_MASTER!$P$5:$P$1204,$Q183))</f>
        <v/>
      </c>
      <c r="M183" s="25" t="str">
        <f>IF($Q183="","",INDEX(TRANSACTIONS_MASTER!$AA$5:$AA$1204,$Q183))</f>
        <v/>
      </c>
      <c r="N183" s="25" t="str">
        <f>IF($Q183="","",INDEX(TRANSACTIONS_MASTER!$R$5:$R$1204,$Q183))</f>
        <v/>
      </c>
      <c r="O183" s="28" t="str">
        <f>IF($Q183="","",INDEX(TRANSACTIONS_MASTER!$AB$5:$AB$1204,$Q183))</f>
        <v/>
      </c>
      <c r="P183" s="55" t="str">
        <f>IF($Q183="","",INDEX(TRANSACTIONS_MASTER!$Z$5:$Z$1204,$Q183)&amp;"")</f>
        <v/>
      </c>
      <c r="Q183" s="67" t="str">
        <f>IFERROR(MATCH($C$2&amp;"|"&amp;176,TRANSACTIONS_MASTER!$AE$5:$AE$1204,0),"")</f>
        <v/>
      </c>
    </row>
    <row r="184">
      <c r="A184" s="81" t="str">
        <f>IF($Q184="","",177)</f>
        <v/>
      </c>
      <c r="B184" s="57" t="str">
        <f>IF($Q184="","",INDEX(TRANSACTIONS_MASTER!$B$5:$B$1204,$Q184))</f>
        <v/>
      </c>
      <c r="C184" s="55" t="str">
        <f>IF($Q184="","",INDEX(TRANSACTIONS_MASTER!$F$5:$F$1204,$Q184))</f>
        <v/>
      </c>
      <c r="D184" s="55" t="str">
        <f>IF($Q184="","",INDEX(TRANSACTIONS_MASTER!$E$5:$E$1204,$Q184))</f>
        <v/>
      </c>
      <c r="E184" s="55" t="str">
        <f>IF($Q184="","",INDEX(TRANSACTIONS_MASTER!$G$5:$G$1204,$Q184)&amp;"")</f>
        <v/>
      </c>
      <c r="F184" s="29" t="str">
        <f>IF($Q184="","",INDEX(TRANSACTIONS_MASTER!$I$5:$I$1204,$Q184))</f>
        <v/>
      </c>
      <c r="G184" s="55" t="str">
        <f>IF($Q184="","",INDEX(TRANSACTIONS_MASTER!$K$5:$K$1204,$Q184))</f>
        <v/>
      </c>
      <c r="H184" s="25" t="str">
        <f>IF($Q184="","",INDEX(TRANSACTIONS_MASTER!$L$5:$L$1204,$Q184))</f>
        <v/>
      </c>
      <c r="I184" s="56" t="str">
        <f>IF($Q184="","",INDEX(TRANSACTIONS_MASTER!$N$5:$N$1204,$Q184))</f>
        <v/>
      </c>
      <c r="J184" s="25" t="str">
        <f>IF($Q184="","",INDEX(TRANSACTIONS_MASTER!$O$5:$O$1204,$Q184))</f>
        <v/>
      </c>
      <c r="K184" s="26" t="str">
        <f>IF($Q184="","",INDEX(TRANSACTIONS_MASTER!$Q$5:$Q$1204,$Q184))</f>
        <v/>
      </c>
      <c r="L184" s="25" t="str">
        <f>IF($Q184="","",INDEX(TRANSACTIONS_MASTER!$P$5:$P$1204,$Q184))</f>
        <v/>
      </c>
      <c r="M184" s="25" t="str">
        <f>IF($Q184="","",INDEX(TRANSACTIONS_MASTER!$AA$5:$AA$1204,$Q184))</f>
        <v/>
      </c>
      <c r="N184" s="25" t="str">
        <f>IF($Q184="","",INDEX(TRANSACTIONS_MASTER!$R$5:$R$1204,$Q184))</f>
        <v/>
      </c>
      <c r="O184" s="28" t="str">
        <f>IF($Q184="","",INDEX(TRANSACTIONS_MASTER!$AB$5:$AB$1204,$Q184))</f>
        <v/>
      </c>
      <c r="P184" s="55" t="str">
        <f>IF($Q184="","",INDEX(TRANSACTIONS_MASTER!$Z$5:$Z$1204,$Q184)&amp;"")</f>
        <v/>
      </c>
      <c r="Q184" s="67" t="str">
        <f>IFERROR(MATCH($C$2&amp;"|"&amp;177,TRANSACTIONS_MASTER!$AE$5:$AE$1204,0),"")</f>
        <v/>
      </c>
    </row>
    <row r="185">
      <c r="A185" s="81" t="str">
        <f>IF($Q185="","",178)</f>
        <v/>
      </c>
      <c r="B185" s="57" t="str">
        <f>IF($Q185="","",INDEX(TRANSACTIONS_MASTER!$B$5:$B$1204,$Q185))</f>
        <v/>
      </c>
      <c r="C185" s="55" t="str">
        <f>IF($Q185="","",INDEX(TRANSACTIONS_MASTER!$F$5:$F$1204,$Q185))</f>
        <v/>
      </c>
      <c r="D185" s="55" t="str">
        <f>IF($Q185="","",INDEX(TRANSACTIONS_MASTER!$E$5:$E$1204,$Q185))</f>
        <v/>
      </c>
      <c r="E185" s="55" t="str">
        <f>IF($Q185="","",INDEX(TRANSACTIONS_MASTER!$G$5:$G$1204,$Q185)&amp;"")</f>
        <v/>
      </c>
      <c r="F185" s="29" t="str">
        <f>IF($Q185="","",INDEX(TRANSACTIONS_MASTER!$I$5:$I$1204,$Q185))</f>
        <v/>
      </c>
      <c r="G185" s="55" t="str">
        <f>IF($Q185="","",INDEX(TRANSACTIONS_MASTER!$K$5:$K$1204,$Q185))</f>
        <v/>
      </c>
      <c r="H185" s="25" t="str">
        <f>IF($Q185="","",INDEX(TRANSACTIONS_MASTER!$L$5:$L$1204,$Q185))</f>
        <v/>
      </c>
      <c r="I185" s="56" t="str">
        <f>IF($Q185="","",INDEX(TRANSACTIONS_MASTER!$N$5:$N$1204,$Q185))</f>
        <v/>
      </c>
      <c r="J185" s="25" t="str">
        <f>IF($Q185="","",INDEX(TRANSACTIONS_MASTER!$O$5:$O$1204,$Q185))</f>
        <v/>
      </c>
      <c r="K185" s="26" t="str">
        <f>IF($Q185="","",INDEX(TRANSACTIONS_MASTER!$Q$5:$Q$1204,$Q185))</f>
        <v/>
      </c>
      <c r="L185" s="25" t="str">
        <f>IF($Q185="","",INDEX(TRANSACTIONS_MASTER!$P$5:$P$1204,$Q185))</f>
        <v/>
      </c>
      <c r="M185" s="25" t="str">
        <f>IF($Q185="","",INDEX(TRANSACTIONS_MASTER!$AA$5:$AA$1204,$Q185))</f>
        <v/>
      </c>
      <c r="N185" s="25" t="str">
        <f>IF($Q185="","",INDEX(TRANSACTIONS_MASTER!$R$5:$R$1204,$Q185))</f>
        <v/>
      </c>
      <c r="O185" s="28" t="str">
        <f>IF($Q185="","",INDEX(TRANSACTIONS_MASTER!$AB$5:$AB$1204,$Q185))</f>
        <v/>
      </c>
      <c r="P185" s="55" t="str">
        <f>IF($Q185="","",INDEX(TRANSACTIONS_MASTER!$Z$5:$Z$1204,$Q185)&amp;"")</f>
        <v/>
      </c>
      <c r="Q185" s="67" t="str">
        <f>IFERROR(MATCH($C$2&amp;"|"&amp;178,TRANSACTIONS_MASTER!$AE$5:$AE$1204,0),"")</f>
        <v/>
      </c>
    </row>
    <row r="186">
      <c r="A186" s="81" t="str">
        <f>IF($Q186="","",179)</f>
        <v/>
      </c>
      <c r="B186" s="57" t="str">
        <f>IF($Q186="","",INDEX(TRANSACTIONS_MASTER!$B$5:$B$1204,$Q186))</f>
        <v/>
      </c>
      <c r="C186" s="55" t="str">
        <f>IF($Q186="","",INDEX(TRANSACTIONS_MASTER!$F$5:$F$1204,$Q186))</f>
        <v/>
      </c>
      <c r="D186" s="55" t="str">
        <f>IF($Q186="","",INDEX(TRANSACTIONS_MASTER!$E$5:$E$1204,$Q186))</f>
        <v/>
      </c>
      <c r="E186" s="55" t="str">
        <f>IF($Q186="","",INDEX(TRANSACTIONS_MASTER!$G$5:$G$1204,$Q186)&amp;"")</f>
        <v/>
      </c>
      <c r="F186" s="29" t="str">
        <f>IF($Q186="","",INDEX(TRANSACTIONS_MASTER!$I$5:$I$1204,$Q186))</f>
        <v/>
      </c>
      <c r="G186" s="55" t="str">
        <f>IF($Q186="","",INDEX(TRANSACTIONS_MASTER!$K$5:$K$1204,$Q186))</f>
        <v/>
      </c>
      <c r="H186" s="25" t="str">
        <f>IF($Q186="","",INDEX(TRANSACTIONS_MASTER!$L$5:$L$1204,$Q186))</f>
        <v/>
      </c>
      <c r="I186" s="56" t="str">
        <f>IF($Q186="","",INDEX(TRANSACTIONS_MASTER!$N$5:$N$1204,$Q186))</f>
        <v/>
      </c>
      <c r="J186" s="25" t="str">
        <f>IF($Q186="","",INDEX(TRANSACTIONS_MASTER!$O$5:$O$1204,$Q186))</f>
        <v/>
      </c>
      <c r="K186" s="26" t="str">
        <f>IF($Q186="","",INDEX(TRANSACTIONS_MASTER!$Q$5:$Q$1204,$Q186))</f>
        <v/>
      </c>
      <c r="L186" s="25" t="str">
        <f>IF($Q186="","",INDEX(TRANSACTIONS_MASTER!$P$5:$P$1204,$Q186))</f>
        <v/>
      </c>
      <c r="M186" s="25" t="str">
        <f>IF($Q186="","",INDEX(TRANSACTIONS_MASTER!$AA$5:$AA$1204,$Q186))</f>
        <v/>
      </c>
      <c r="N186" s="25" t="str">
        <f>IF($Q186="","",INDEX(TRANSACTIONS_MASTER!$R$5:$R$1204,$Q186))</f>
        <v/>
      </c>
      <c r="O186" s="28" t="str">
        <f>IF($Q186="","",INDEX(TRANSACTIONS_MASTER!$AB$5:$AB$1204,$Q186))</f>
        <v/>
      </c>
      <c r="P186" s="55" t="str">
        <f>IF($Q186="","",INDEX(TRANSACTIONS_MASTER!$Z$5:$Z$1204,$Q186)&amp;"")</f>
        <v/>
      </c>
      <c r="Q186" s="67" t="str">
        <f>IFERROR(MATCH($C$2&amp;"|"&amp;179,TRANSACTIONS_MASTER!$AE$5:$AE$1204,0),"")</f>
        <v/>
      </c>
    </row>
    <row r="187">
      <c r="A187" s="81" t="str">
        <f>IF($Q187="","",180)</f>
        <v/>
      </c>
      <c r="B187" s="57" t="str">
        <f>IF($Q187="","",INDEX(TRANSACTIONS_MASTER!$B$5:$B$1204,$Q187))</f>
        <v/>
      </c>
      <c r="C187" s="55" t="str">
        <f>IF($Q187="","",INDEX(TRANSACTIONS_MASTER!$F$5:$F$1204,$Q187))</f>
        <v/>
      </c>
      <c r="D187" s="55" t="str">
        <f>IF($Q187="","",INDEX(TRANSACTIONS_MASTER!$E$5:$E$1204,$Q187))</f>
        <v/>
      </c>
      <c r="E187" s="55" t="str">
        <f>IF($Q187="","",INDEX(TRANSACTIONS_MASTER!$G$5:$G$1204,$Q187)&amp;"")</f>
        <v/>
      </c>
      <c r="F187" s="29" t="str">
        <f>IF($Q187="","",INDEX(TRANSACTIONS_MASTER!$I$5:$I$1204,$Q187))</f>
        <v/>
      </c>
      <c r="G187" s="55" t="str">
        <f>IF($Q187="","",INDEX(TRANSACTIONS_MASTER!$K$5:$K$1204,$Q187))</f>
        <v/>
      </c>
      <c r="H187" s="25" t="str">
        <f>IF($Q187="","",INDEX(TRANSACTIONS_MASTER!$L$5:$L$1204,$Q187))</f>
        <v/>
      </c>
      <c r="I187" s="56" t="str">
        <f>IF($Q187="","",INDEX(TRANSACTIONS_MASTER!$N$5:$N$1204,$Q187))</f>
        <v/>
      </c>
      <c r="J187" s="25" t="str">
        <f>IF($Q187="","",INDEX(TRANSACTIONS_MASTER!$O$5:$O$1204,$Q187))</f>
        <v/>
      </c>
      <c r="K187" s="26" t="str">
        <f>IF($Q187="","",INDEX(TRANSACTIONS_MASTER!$Q$5:$Q$1204,$Q187))</f>
        <v/>
      </c>
      <c r="L187" s="25" t="str">
        <f>IF($Q187="","",INDEX(TRANSACTIONS_MASTER!$P$5:$P$1204,$Q187))</f>
        <v/>
      </c>
      <c r="M187" s="25" t="str">
        <f>IF($Q187="","",INDEX(TRANSACTIONS_MASTER!$AA$5:$AA$1204,$Q187))</f>
        <v/>
      </c>
      <c r="N187" s="25" t="str">
        <f>IF($Q187="","",INDEX(TRANSACTIONS_MASTER!$R$5:$R$1204,$Q187))</f>
        <v/>
      </c>
      <c r="O187" s="28" t="str">
        <f>IF($Q187="","",INDEX(TRANSACTIONS_MASTER!$AB$5:$AB$1204,$Q187))</f>
        <v/>
      </c>
      <c r="P187" s="55" t="str">
        <f>IF($Q187="","",INDEX(TRANSACTIONS_MASTER!$Z$5:$Z$1204,$Q187)&amp;"")</f>
        <v/>
      </c>
      <c r="Q187" s="67" t="str">
        <f>IFERROR(MATCH($C$2&amp;"|"&amp;180,TRANSACTIONS_MASTER!$AE$5:$AE$1204,0),"")</f>
        <v/>
      </c>
    </row>
    <row r="188">
      <c r="A188" s="81" t="str">
        <f>IF($Q188="","",181)</f>
        <v/>
      </c>
      <c r="B188" s="57" t="str">
        <f>IF($Q188="","",INDEX(TRANSACTIONS_MASTER!$B$5:$B$1204,$Q188))</f>
        <v/>
      </c>
      <c r="C188" s="55" t="str">
        <f>IF($Q188="","",INDEX(TRANSACTIONS_MASTER!$F$5:$F$1204,$Q188))</f>
        <v/>
      </c>
      <c r="D188" s="55" t="str">
        <f>IF($Q188="","",INDEX(TRANSACTIONS_MASTER!$E$5:$E$1204,$Q188))</f>
        <v/>
      </c>
      <c r="E188" s="55" t="str">
        <f>IF($Q188="","",INDEX(TRANSACTIONS_MASTER!$G$5:$G$1204,$Q188)&amp;"")</f>
        <v/>
      </c>
      <c r="F188" s="29" t="str">
        <f>IF($Q188="","",INDEX(TRANSACTIONS_MASTER!$I$5:$I$1204,$Q188))</f>
        <v/>
      </c>
      <c r="G188" s="55" t="str">
        <f>IF($Q188="","",INDEX(TRANSACTIONS_MASTER!$K$5:$K$1204,$Q188))</f>
        <v/>
      </c>
      <c r="H188" s="25" t="str">
        <f>IF($Q188="","",INDEX(TRANSACTIONS_MASTER!$L$5:$L$1204,$Q188))</f>
        <v/>
      </c>
      <c r="I188" s="56" t="str">
        <f>IF($Q188="","",INDEX(TRANSACTIONS_MASTER!$N$5:$N$1204,$Q188))</f>
        <v/>
      </c>
      <c r="J188" s="25" t="str">
        <f>IF($Q188="","",INDEX(TRANSACTIONS_MASTER!$O$5:$O$1204,$Q188))</f>
        <v/>
      </c>
      <c r="K188" s="26" t="str">
        <f>IF($Q188="","",INDEX(TRANSACTIONS_MASTER!$Q$5:$Q$1204,$Q188))</f>
        <v/>
      </c>
      <c r="L188" s="25" t="str">
        <f>IF($Q188="","",INDEX(TRANSACTIONS_MASTER!$P$5:$P$1204,$Q188))</f>
        <v/>
      </c>
      <c r="M188" s="25" t="str">
        <f>IF($Q188="","",INDEX(TRANSACTIONS_MASTER!$AA$5:$AA$1204,$Q188))</f>
        <v/>
      </c>
      <c r="N188" s="25" t="str">
        <f>IF($Q188="","",INDEX(TRANSACTIONS_MASTER!$R$5:$R$1204,$Q188))</f>
        <v/>
      </c>
      <c r="O188" s="28" t="str">
        <f>IF($Q188="","",INDEX(TRANSACTIONS_MASTER!$AB$5:$AB$1204,$Q188))</f>
        <v/>
      </c>
      <c r="P188" s="55" t="str">
        <f>IF($Q188="","",INDEX(TRANSACTIONS_MASTER!$Z$5:$Z$1204,$Q188)&amp;"")</f>
        <v/>
      </c>
      <c r="Q188" s="67" t="str">
        <f>IFERROR(MATCH($C$2&amp;"|"&amp;181,TRANSACTIONS_MASTER!$AE$5:$AE$1204,0),"")</f>
        <v/>
      </c>
    </row>
    <row r="189">
      <c r="A189" s="81" t="str">
        <f>IF($Q189="","",182)</f>
        <v/>
      </c>
      <c r="B189" s="57" t="str">
        <f>IF($Q189="","",INDEX(TRANSACTIONS_MASTER!$B$5:$B$1204,$Q189))</f>
        <v/>
      </c>
      <c r="C189" s="55" t="str">
        <f>IF($Q189="","",INDEX(TRANSACTIONS_MASTER!$F$5:$F$1204,$Q189))</f>
        <v/>
      </c>
      <c r="D189" s="55" t="str">
        <f>IF($Q189="","",INDEX(TRANSACTIONS_MASTER!$E$5:$E$1204,$Q189))</f>
        <v/>
      </c>
      <c r="E189" s="55" t="str">
        <f>IF($Q189="","",INDEX(TRANSACTIONS_MASTER!$G$5:$G$1204,$Q189)&amp;"")</f>
        <v/>
      </c>
      <c r="F189" s="29" t="str">
        <f>IF($Q189="","",INDEX(TRANSACTIONS_MASTER!$I$5:$I$1204,$Q189))</f>
        <v/>
      </c>
      <c r="G189" s="55" t="str">
        <f>IF($Q189="","",INDEX(TRANSACTIONS_MASTER!$K$5:$K$1204,$Q189))</f>
        <v/>
      </c>
      <c r="H189" s="25" t="str">
        <f>IF($Q189="","",INDEX(TRANSACTIONS_MASTER!$L$5:$L$1204,$Q189))</f>
        <v/>
      </c>
      <c r="I189" s="56" t="str">
        <f>IF($Q189="","",INDEX(TRANSACTIONS_MASTER!$N$5:$N$1204,$Q189))</f>
        <v/>
      </c>
      <c r="J189" s="25" t="str">
        <f>IF($Q189="","",INDEX(TRANSACTIONS_MASTER!$O$5:$O$1204,$Q189))</f>
        <v/>
      </c>
      <c r="K189" s="26" t="str">
        <f>IF($Q189="","",INDEX(TRANSACTIONS_MASTER!$Q$5:$Q$1204,$Q189))</f>
        <v/>
      </c>
      <c r="L189" s="25" t="str">
        <f>IF($Q189="","",INDEX(TRANSACTIONS_MASTER!$P$5:$P$1204,$Q189))</f>
        <v/>
      </c>
      <c r="M189" s="25" t="str">
        <f>IF($Q189="","",INDEX(TRANSACTIONS_MASTER!$AA$5:$AA$1204,$Q189))</f>
        <v/>
      </c>
      <c r="N189" s="25" t="str">
        <f>IF($Q189="","",INDEX(TRANSACTIONS_MASTER!$R$5:$R$1204,$Q189))</f>
        <v/>
      </c>
      <c r="O189" s="28" t="str">
        <f>IF($Q189="","",INDEX(TRANSACTIONS_MASTER!$AB$5:$AB$1204,$Q189))</f>
        <v/>
      </c>
      <c r="P189" s="55" t="str">
        <f>IF($Q189="","",INDEX(TRANSACTIONS_MASTER!$Z$5:$Z$1204,$Q189)&amp;"")</f>
        <v/>
      </c>
      <c r="Q189" s="67" t="str">
        <f>IFERROR(MATCH($C$2&amp;"|"&amp;182,TRANSACTIONS_MASTER!$AE$5:$AE$1204,0),"")</f>
        <v/>
      </c>
    </row>
    <row r="190">
      <c r="A190" s="81" t="str">
        <f>IF($Q190="","",183)</f>
        <v/>
      </c>
      <c r="B190" s="57" t="str">
        <f>IF($Q190="","",INDEX(TRANSACTIONS_MASTER!$B$5:$B$1204,$Q190))</f>
        <v/>
      </c>
      <c r="C190" s="55" t="str">
        <f>IF($Q190="","",INDEX(TRANSACTIONS_MASTER!$F$5:$F$1204,$Q190))</f>
        <v/>
      </c>
      <c r="D190" s="55" t="str">
        <f>IF($Q190="","",INDEX(TRANSACTIONS_MASTER!$E$5:$E$1204,$Q190))</f>
        <v/>
      </c>
      <c r="E190" s="55" t="str">
        <f>IF($Q190="","",INDEX(TRANSACTIONS_MASTER!$G$5:$G$1204,$Q190)&amp;"")</f>
        <v/>
      </c>
      <c r="F190" s="29" t="str">
        <f>IF($Q190="","",INDEX(TRANSACTIONS_MASTER!$I$5:$I$1204,$Q190))</f>
        <v/>
      </c>
      <c r="G190" s="55" t="str">
        <f>IF($Q190="","",INDEX(TRANSACTIONS_MASTER!$K$5:$K$1204,$Q190))</f>
        <v/>
      </c>
      <c r="H190" s="25" t="str">
        <f>IF($Q190="","",INDEX(TRANSACTIONS_MASTER!$L$5:$L$1204,$Q190))</f>
        <v/>
      </c>
      <c r="I190" s="56" t="str">
        <f>IF($Q190="","",INDEX(TRANSACTIONS_MASTER!$N$5:$N$1204,$Q190))</f>
        <v/>
      </c>
      <c r="J190" s="25" t="str">
        <f>IF($Q190="","",INDEX(TRANSACTIONS_MASTER!$O$5:$O$1204,$Q190))</f>
        <v/>
      </c>
      <c r="K190" s="26" t="str">
        <f>IF($Q190="","",INDEX(TRANSACTIONS_MASTER!$Q$5:$Q$1204,$Q190))</f>
        <v/>
      </c>
      <c r="L190" s="25" t="str">
        <f>IF($Q190="","",INDEX(TRANSACTIONS_MASTER!$P$5:$P$1204,$Q190))</f>
        <v/>
      </c>
      <c r="M190" s="25" t="str">
        <f>IF($Q190="","",INDEX(TRANSACTIONS_MASTER!$AA$5:$AA$1204,$Q190))</f>
        <v/>
      </c>
      <c r="N190" s="25" t="str">
        <f>IF($Q190="","",INDEX(TRANSACTIONS_MASTER!$R$5:$R$1204,$Q190))</f>
        <v/>
      </c>
      <c r="O190" s="28" t="str">
        <f>IF($Q190="","",INDEX(TRANSACTIONS_MASTER!$AB$5:$AB$1204,$Q190))</f>
        <v/>
      </c>
      <c r="P190" s="55" t="str">
        <f>IF($Q190="","",INDEX(TRANSACTIONS_MASTER!$Z$5:$Z$1204,$Q190)&amp;"")</f>
        <v/>
      </c>
      <c r="Q190" s="67" t="str">
        <f>IFERROR(MATCH($C$2&amp;"|"&amp;183,TRANSACTIONS_MASTER!$AE$5:$AE$1204,0),"")</f>
        <v/>
      </c>
    </row>
    <row r="191">
      <c r="A191" s="81" t="str">
        <f>IF($Q191="","",184)</f>
        <v/>
      </c>
      <c r="B191" s="57" t="str">
        <f>IF($Q191="","",INDEX(TRANSACTIONS_MASTER!$B$5:$B$1204,$Q191))</f>
        <v/>
      </c>
      <c r="C191" s="55" t="str">
        <f>IF($Q191="","",INDEX(TRANSACTIONS_MASTER!$F$5:$F$1204,$Q191))</f>
        <v/>
      </c>
      <c r="D191" s="55" t="str">
        <f>IF($Q191="","",INDEX(TRANSACTIONS_MASTER!$E$5:$E$1204,$Q191))</f>
        <v/>
      </c>
      <c r="E191" s="55" t="str">
        <f>IF($Q191="","",INDEX(TRANSACTIONS_MASTER!$G$5:$G$1204,$Q191)&amp;"")</f>
        <v/>
      </c>
      <c r="F191" s="29" t="str">
        <f>IF($Q191="","",INDEX(TRANSACTIONS_MASTER!$I$5:$I$1204,$Q191))</f>
        <v/>
      </c>
      <c r="G191" s="55" t="str">
        <f>IF($Q191="","",INDEX(TRANSACTIONS_MASTER!$K$5:$K$1204,$Q191))</f>
        <v/>
      </c>
      <c r="H191" s="25" t="str">
        <f>IF($Q191="","",INDEX(TRANSACTIONS_MASTER!$L$5:$L$1204,$Q191))</f>
        <v/>
      </c>
      <c r="I191" s="56" t="str">
        <f>IF($Q191="","",INDEX(TRANSACTIONS_MASTER!$N$5:$N$1204,$Q191))</f>
        <v/>
      </c>
      <c r="J191" s="25" t="str">
        <f>IF($Q191="","",INDEX(TRANSACTIONS_MASTER!$O$5:$O$1204,$Q191))</f>
        <v/>
      </c>
      <c r="K191" s="26" t="str">
        <f>IF($Q191="","",INDEX(TRANSACTIONS_MASTER!$Q$5:$Q$1204,$Q191))</f>
        <v/>
      </c>
      <c r="L191" s="25" t="str">
        <f>IF($Q191="","",INDEX(TRANSACTIONS_MASTER!$P$5:$P$1204,$Q191))</f>
        <v/>
      </c>
      <c r="M191" s="25" t="str">
        <f>IF($Q191="","",INDEX(TRANSACTIONS_MASTER!$AA$5:$AA$1204,$Q191))</f>
        <v/>
      </c>
      <c r="N191" s="25" t="str">
        <f>IF($Q191="","",INDEX(TRANSACTIONS_MASTER!$R$5:$R$1204,$Q191))</f>
        <v/>
      </c>
      <c r="O191" s="28" t="str">
        <f>IF($Q191="","",INDEX(TRANSACTIONS_MASTER!$AB$5:$AB$1204,$Q191))</f>
        <v/>
      </c>
      <c r="P191" s="55" t="str">
        <f>IF($Q191="","",INDEX(TRANSACTIONS_MASTER!$Z$5:$Z$1204,$Q191)&amp;"")</f>
        <v/>
      </c>
      <c r="Q191" s="67" t="str">
        <f>IFERROR(MATCH($C$2&amp;"|"&amp;184,TRANSACTIONS_MASTER!$AE$5:$AE$1204,0),"")</f>
        <v/>
      </c>
    </row>
    <row r="192">
      <c r="A192" s="81" t="str">
        <f>IF($Q192="","",185)</f>
        <v/>
      </c>
      <c r="B192" s="57" t="str">
        <f>IF($Q192="","",INDEX(TRANSACTIONS_MASTER!$B$5:$B$1204,$Q192))</f>
        <v/>
      </c>
      <c r="C192" s="55" t="str">
        <f>IF($Q192="","",INDEX(TRANSACTIONS_MASTER!$F$5:$F$1204,$Q192))</f>
        <v/>
      </c>
      <c r="D192" s="55" t="str">
        <f>IF($Q192="","",INDEX(TRANSACTIONS_MASTER!$E$5:$E$1204,$Q192))</f>
        <v/>
      </c>
      <c r="E192" s="55" t="str">
        <f>IF($Q192="","",INDEX(TRANSACTIONS_MASTER!$G$5:$G$1204,$Q192)&amp;"")</f>
        <v/>
      </c>
      <c r="F192" s="29" t="str">
        <f>IF($Q192="","",INDEX(TRANSACTIONS_MASTER!$I$5:$I$1204,$Q192))</f>
        <v/>
      </c>
      <c r="G192" s="55" t="str">
        <f>IF($Q192="","",INDEX(TRANSACTIONS_MASTER!$K$5:$K$1204,$Q192))</f>
        <v/>
      </c>
      <c r="H192" s="25" t="str">
        <f>IF($Q192="","",INDEX(TRANSACTIONS_MASTER!$L$5:$L$1204,$Q192))</f>
        <v/>
      </c>
      <c r="I192" s="56" t="str">
        <f>IF($Q192="","",INDEX(TRANSACTIONS_MASTER!$N$5:$N$1204,$Q192))</f>
        <v/>
      </c>
      <c r="J192" s="25" t="str">
        <f>IF($Q192="","",INDEX(TRANSACTIONS_MASTER!$O$5:$O$1204,$Q192))</f>
        <v/>
      </c>
      <c r="K192" s="26" t="str">
        <f>IF($Q192="","",INDEX(TRANSACTIONS_MASTER!$Q$5:$Q$1204,$Q192))</f>
        <v/>
      </c>
      <c r="L192" s="25" t="str">
        <f>IF($Q192="","",INDEX(TRANSACTIONS_MASTER!$P$5:$P$1204,$Q192))</f>
        <v/>
      </c>
      <c r="M192" s="25" t="str">
        <f>IF($Q192="","",INDEX(TRANSACTIONS_MASTER!$AA$5:$AA$1204,$Q192))</f>
        <v/>
      </c>
      <c r="N192" s="25" t="str">
        <f>IF($Q192="","",INDEX(TRANSACTIONS_MASTER!$R$5:$R$1204,$Q192))</f>
        <v/>
      </c>
      <c r="O192" s="28" t="str">
        <f>IF($Q192="","",INDEX(TRANSACTIONS_MASTER!$AB$5:$AB$1204,$Q192))</f>
        <v/>
      </c>
      <c r="P192" s="55" t="str">
        <f>IF($Q192="","",INDEX(TRANSACTIONS_MASTER!$Z$5:$Z$1204,$Q192)&amp;"")</f>
        <v/>
      </c>
      <c r="Q192" s="67" t="str">
        <f>IFERROR(MATCH($C$2&amp;"|"&amp;185,TRANSACTIONS_MASTER!$AE$5:$AE$1204,0),"")</f>
        <v/>
      </c>
    </row>
    <row r="193">
      <c r="A193" s="81" t="str">
        <f>IF($Q193="","",186)</f>
        <v/>
      </c>
      <c r="B193" s="57" t="str">
        <f>IF($Q193="","",INDEX(TRANSACTIONS_MASTER!$B$5:$B$1204,$Q193))</f>
        <v/>
      </c>
      <c r="C193" s="55" t="str">
        <f>IF($Q193="","",INDEX(TRANSACTIONS_MASTER!$F$5:$F$1204,$Q193))</f>
        <v/>
      </c>
      <c r="D193" s="55" t="str">
        <f>IF($Q193="","",INDEX(TRANSACTIONS_MASTER!$E$5:$E$1204,$Q193))</f>
        <v/>
      </c>
      <c r="E193" s="55" t="str">
        <f>IF($Q193="","",INDEX(TRANSACTIONS_MASTER!$G$5:$G$1204,$Q193)&amp;"")</f>
        <v/>
      </c>
      <c r="F193" s="29" t="str">
        <f>IF($Q193="","",INDEX(TRANSACTIONS_MASTER!$I$5:$I$1204,$Q193))</f>
        <v/>
      </c>
      <c r="G193" s="55" t="str">
        <f>IF($Q193="","",INDEX(TRANSACTIONS_MASTER!$K$5:$K$1204,$Q193))</f>
        <v/>
      </c>
      <c r="H193" s="25" t="str">
        <f>IF($Q193="","",INDEX(TRANSACTIONS_MASTER!$L$5:$L$1204,$Q193))</f>
        <v/>
      </c>
      <c r="I193" s="56" t="str">
        <f>IF($Q193="","",INDEX(TRANSACTIONS_MASTER!$N$5:$N$1204,$Q193))</f>
        <v/>
      </c>
      <c r="J193" s="25" t="str">
        <f>IF($Q193="","",INDEX(TRANSACTIONS_MASTER!$O$5:$O$1204,$Q193))</f>
        <v/>
      </c>
      <c r="K193" s="26" t="str">
        <f>IF($Q193="","",INDEX(TRANSACTIONS_MASTER!$Q$5:$Q$1204,$Q193))</f>
        <v/>
      </c>
      <c r="L193" s="25" t="str">
        <f>IF($Q193="","",INDEX(TRANSACTIONS_MASTER!$P$5:$P$1204,$Q193))</f>
        <v/>
      </c>
      <c r="M193" s="25" t="str">
        <f>IF($Q193="","",INDEX(TRANSACTIONS_MASTER!$AA$5:$AA$1204,$Q193))</f>
        <v/>
      </c>
      <c r="N193" s="25" t="str">
        <f>IF($Q193="","",INDEX(TRANSACTIONS_MASTER!$R$5:$R$1204,$Q193))</f>
        <v/>
      </c>
      <c r="O193" s="28" t="str">
        <f>IF($Q193="","",INDEX(TRANSACTIONS_MASTER!$AB$5:$AB$1204,$Q193))</f>
        <v/>
      </c>
      <c r="P193" s="55" t="str">
        <f>IF($Q193="","",INDEX(TRANSACTIONS_MASTER!$Z$5:$Z$1204,$Q193)&amp;"")</f>
        <v/>
      </c>
      <c r="Q193" s="67" t="str">
        <f>IFERROR(MATCH($C$2&amp;"|"&amp;186,TRANSACTIONS_MASTER!$AE$5:$AE$1204,0),"")</f>
        <v/>
      </c>
    </row>
    <row r="194">
      <c r="A194" s="81" t="str">
        <f>IF($Q194="","",187)</f>
        <v/>
      </c>
      <c r="B194" s="57" t="str">
        <f>IF($Q194="","",INDEX(TRANSACTIONS_MASTER!$B$5:$B$1204,$Q194))</f>
        <v/>
      </c>
      <c r="C194" s="55" t="str">
        <f>IF($Q194="","",INDEX(TRANSACTIONS_MASTER!$F$5:$F$1204,$Q194))</f>
        <v/>
      </c>
      <c r="D194" s="55" t="str">
        <f>IF($Q194="","",INDEX(TRANSACTIONS_MASTER!$E$5:$E$1204,$Q194))</f>
        <v/>
      </c>
      <c r="E194" s="55" t="str">
        <f>IF($Q194="","",INDEX(TRANSACTIONS_MASTER!$G$5:$G$1204,$Q194)&amp;"")</f>
        <v/>
      </c>
      <c r="F194" s="29" t="str">
        <f>IF($Q194="","",INDEX(TRANSACTIONS_MASTER!$I$5:$I$1204,$Q194))</f>
        <v/>
      </c>
      <c r="G194" s="55" t="str">
        <f>IF($Q194="","",INDEX(TRANSACTIONS_MASTER!$K$5:$K$1204,$Q194))</f>
        <v/>
      </c>
      <c r="H194" s="25" t="str">
        <f>IF($Q194="","",INDEX(TRANSACTIONS_MASTER!$L$5:$L$1204,$Q194))</f>
        <v/>
      </c>
      <c r="I194" s="56" t="str">
        <f>IF($Q194="","",INDEX(TRANSACTIONS_MASTER!$N$5:$N$1204,$Q194))</f>
        <v/>
      </c>
      <c r="J194" s="25" t="str">
        <f>IF($Q194="","",INDEX(TRANSACTIONS_MASTER!$O$5:$O$1204,$Q194))</f>
        <v/>
      </c>
      <c r="K194" s="26" t="str">
        <f>IF($Q194="","",INDEX(TRANSACTIONS_MASTER!$Q$5:$Q$1204,$Q194))</f>
        <v/>
      </c>
      <c r="L194" s="25" t="str">
        <f>IF($Q194="","",INDEX(TRANSACTIONS_MASTER!$P$5:$P$1204,$Q194))</f>
        <v/>
      </c>
      <c r="M194" s="25" t="str">
        <f>IF($Q194="","",INDEX(TRANSACTIONS_MASTER!$AA$5:$AA$1204,$Q194))</f>
        <v/>
      </c>
      <c r="N194" s="25" t="str">
        <f>IF($Q194="","",INDEX(TRANSACTIONS_MASTER!$R$5:$R$1204,$Q194))</f>
        <v/>
      </c>
      <c r="O194" s="28" t="str">
        <f>IF($Q194="","",INDEX(TRANSACTIONS_MASTER!$AB$5:$AB$1204,$Q194))</f>
        <v/>
      </c>
      <c r="P194" s="55" t="str">
        <f>IF($Q194="","",INDEX(TRANSACTIONS_MASTER!$Z$5:$Z$1204,$Q194)&amp;"")</f>
        <v/>
      </c>
      <c r="Q194" s="67" t="str">
        <f>IFERROR(MATCH($C$2&amp;"|"&amp;187,TRANSACTIONS_MASTER!$AE$5:$AE$1204,0),"")</f>
        <v/>
      </c>
    </row>
    <row r="195">
      <c r="A195" s="81" t="str">
        <f>IF($Q195="","",188)</f>
        <v/>
      </c>
      <c r="B195" s="57" t="str">
        <f>IF($Q195="","",INDEX(TRANSACTIONS_MASTER!$B$5:$B$1204,$Q195))</f>
        <v/>
      </c>
      <c r="C195" s="55" t="str">
        <f>IF($Q195="","",INDEX(TRANSACTIONS_MASTER!$F$5:$F$1204,$Q195))</f>
        <v/>
      </c>
      <c r="D195" s="55" t="str">
        <f>IF($Q195="","",INDEX(TRANSACTIONS_MASTER!$E$5:$E$1204,$Q195))</f>
        <v/>
      </c>
      <c r="E195" s="55" t="str">
        <f>IF($Q195="","",INDEX(TRANSACTIONS_MASTER!$G$5:$G$1204,$Q195)&amp;"")</f>
        <v/>
      </c>
      <c r="F195" s="29" t="str">
        <f>IF($Q195="","",INDEX(TRANSACTIONS_MASTER!$I$5:$I$1204,$Q195))</f>
        <v/>
      </c>
      <c r="G195" s="55" t="str">
        <f>IF($Q195="","",INDEX(TRANSACTIONS_MASTER!$K$5:$K$1204,$Q195))</f>
        <v/>
      </c>
      <c r="H195" s="25" t="str">
        <f>IF($Q195="","",INDEX(TRANSACTIONS_MASTER!$L$5:$L$1204,$Q195))</f>
        <v/>
      </c>
      <c r="I195" s="56" t="str">
        <f>IF($Q195="","",INDEX(TRANSACTIONS_MASTER!$N$5:$N$1204,$Q195))</f>
        <v/>
      </c>
      <c r="J195" s="25" t="str">
        <f>IF($Q195="","",INDEX(TRANSACTIONS_MASTER!$O$5:$O$1204,$Q195))</f>
        <v/>
      </c>
      <c r="K195" s="26" t="str">
        <f>IF($Q195="","",INDEX(TRANSACTIONS_MASTER!$Q$5:$Q$1204,$Q195))</f>
        <v/>
      </c>
      <c r="L195" s="25" t="str">
        <f>IF($Q195="","",INDEX(TRANSACTIONS_MASTER!$P$5:$P$1204,$Q195))</f>
        <v/>
      </c>
      <c r="M195" s="25" t="str">
        <f>IF($Q195="","",INDEX(TRANSACTIONS_MASTER!$AA$5:$AA$1204,$Q195))</f>
        <v/>
      </c>
      <c r="N195" s="25" t="str">
        <f>IF($Q195="","",INDEX(TRANSACTIONS_MASTER!$R$5:$R$1204,$Q195))</f>
        <v/>
      </c>
      <c r="O195" s="28" t="str">
        <f>IF($Q195="","",INDEX(TRANSACTIONS_MASTER!$AB$5:$AB$1204,$Q195))</f>
        <v/>
      </c>
      <c r="P195" s="55" t="str">
        <f>IF($Q195="","",INDEX(TRANSACTIONS_MASTER!$Z$5:$Z$1204,$Q195)&amp;"")</f>
        <v/>
      </c>
      <c r="Q195" s="67" t="str">
        <f>IFERROR(MATCH($C$2&amp;"|"&amp;188,TRANSACTIONS_MASTER!$AE$5:$AE$1204,0),"")</f>
        <v/>
      </c>
    </row>
    <row r="196">
      <c r="A196" s="81" t="str">
        <f>IF($Q196="","",189)</f>
        <v/>
      </c>
      <c r="B196" s="57" t="str">
        <f>IF($Q196="","",INDEX(TRANSACTIONS_MASTER!$B$5:$B$1204,$Q196))</f>
        <v/>
      </c>
      <c r="C196" s="55" t="str">
        <f>IF($Q196="","",INDEX(TRANSACTIONS_MASTER!$F$5:$F$1204,$Q196))</f>
        <v/>
      </c>
      <c r="D196" s="55" t="str">
        <f>IF($Q196="","",INDEX(TRANSACTIONS_MASTER!$E$5:$E$1204,$Q196))</f>
        <v/>
      </c>
      <c r="E196" s="55" t="str">
        <f>IF($Q196="","",INDEX(TRANSACTIONS_MASTER!$G$5:$G$1204,$Q196)&amp;"")</f>
        <v/>
      </c>
      <c r="F196" s="29" t="str">
        <f>IF($Q196="","",INDEX(TRANSACTIONS_MASTER!$I$5:$I$1204,$Q196))</f>
        <v/>
      </c>
      <c r="G196" s="55" t="str">
        <f>IF($Q196="","",INDEX(TRANSACTIONS_MASTER!$K$5:$K$1204,$Q196))</f>
        <v/>
      </c>
      <c r="H196" s="25" t="str">
        <f>IF($Q196="","",INDEX(TRANSACTIONS_MASTER!$L$5:$L$1204,$Q196))</f>
        <v/>
      </c>
      <c r="I196" s="56" t="str">
        <f>IF($Q196="","",INDEX(TRANSACTIONS_MASTER!$N$5:$N$1204,$Q196))</f>
        <v/>
      </c>
      <c r="J196" s="25" t="str">
        <f>IF($Q196="","",INDEX(TRANSACTIONS_MASTER!$O$5:$O$1204,$Q196))</f>
        <v/>
      </c>
      <c r="K196" s="26" t="str">
        <f>IF($Q196="","",INDEX(TRANSACTIONS_MASTER!$Q$5:$Q$1204,$Q196))</f>
        <v/>
      </c>
      <c r="L196" s="25" t="str">
        <f>IF($Q196="","",INDEX(TRANSACTIONS_MASTER!$P$5:$P$1204,$Q196))</f>
        <v/>
      </c>
      <c r="M196" s="25" t="str">
        <f>IF($Q196="","",INDEX(TRANSACTIONS_MASTER!$AA$5:$AA$1204,$Q196))</f>
        <v/>
      </c>
      <c r="N196" s="25" t="str">
        <f>IF($Q196="","",INDEX(TRANSACTIONS_MASTER!$R$5:$R$1204,$Q196))</f>
        <v/>
      </c>
      <c r="O196" s="28" t="str">
        <f>IF($Q196="","",INDEX(TRANSACTIONS_MASTER!$AB$5:$AB$1204,$Q196))</f>
        <v/>
      </c>
      <c r="P196" s="55" t="str">
        <f>IF($Q196="","",INDEX(TRANSACTIONS_MASTER!$Z$5:$Z$1204,$Q196)&amp;"")</f>
        <v/>
      </c>
      <c r="Q196" s="67" t="str">
        <f>IFERROR(MATCH($C$2&amp;"|"&amp;189,TRANSACTIONS_MASTER!$AE$5:$AE$1204,0),"")</f>
        <v/>
      </c>
    </row>
    <row r="197">
      <c r="A197" s="81" t="str">
        <f>IF($Q197="","",190)</f>
        <v/>
      </c>
      <c r="B197" s="57" t="str">
        <f>IF($Q197="","",INDEX(TRANSACTIONS_MASTER!$B$5:$B$1204,$Q197))</f>
        <v/>
      </c>
      <c r="C197" s="55" t="str">
        <f>IF($Q197="","",INDEX(TRANSACTIONS_MASTER!$F$5:$F$1204,$Q197))</f>
        <v/>
      </c>
      <c r="D197" s="55" t="str">
        <f>IF($Q197="","",INDEX(TRANSACTIONS_MASTER!$E$5:$E$1204,$Q197))</f>
        <v/>
      </c>
      <c r="E197" s="55" t="str">
        <f>IF($Q197="","",INDEX(TRANSACTIONS_MASTER!$G$5:$G$1204,$Q197)&amp;"")</f>
        <v/>
      </c>
      <c r="F197" s="29" t="str">
        <f>IF($Q197="","",INDEX(TRANSACTIONS_MASTER!$I$5:$I$1204,$Q197))</f>
        <v/>
      </c>
      <c r="G197" s="55" t="str">
        <f>IF($Q197="","",INDEX(TRANSACTIONS_MASTER!$K$5:$K$1204,$Q197))</f>
        <v/>
      </c>
      <c r="H197" s="25" t="str">
        <f>IF($Q197="","",INDEX(TRANSACTIONS_MASTER!$L$5:$L$1204,$Q197))</f>
        <v/>
      </c>
      <c r="I197" s="56" t="str">
        <f>IF($Q197="","",INDEX(TRANSACTIONS_MASTER!$N$5:$N$1204,$Q197))</f>
        <v/>
      </c>
      <c r="J197" s="25" t="str">
        <f>IF($Q197="","",INDEX(TRANSACTIONS_MASTER!$O$5:$O$1204,$Q197))</f>
        <v/>
      </c>
      <c r="K197" s="26" t="str">
        <f>IF($Q197="","",INDEX(TRANSACTIONS_MASTER!$Q$5:$Q$1204,$Q197))</f>
        <v/>
      </c>
      <c r="L197" s="25" t="str">
        <f>IF($Q197="","",INDEX(TRANSACTIONS_MASTER!$P$5:$P$1204,$Q197))</f>
        <v/>
      </c>
      <c r="M197" s="25" t="str">
        <f>IF($Q197="","",INDEX(TRANSACTIONS_MASTER!$AA$5:$AA$1204,$Q197))</f>
        <v/>
      </c>
      <c r="N197" s="25" t="str">
        <f>IF($Q197="","",INDEX(TRANSACTIONS_MASTER!$R$5:$R$1204,$Q197))</f>
        <v/>
      </c>
      <c r="O197" s="28" t="str">
        <f>IF($Q197="","",INDEX(TRANSACTIONS_MASTER!$AB$5:$AB$1204,$Q197))</f>
        <v/>
      </c>
      <c r="P197" s="55" t="str">
        <f>IF($Q197="","",INDEX(TRANSACTIONS_MASTER!$Z$5:$Z$1204,$Q197)&amp;"")</f>
        <v/>
      </c>
      <c r="Q197" s="67" t="str">
        <f>IFERROR(MATCH($C$2&amp;"|"&amp;190,TRANSACTIONS_MASTER!$AE$5:$AE$1204,0),"")</f>
        <v/>
      </c>
    </row>
    <row r="198">
      <c r="A198" s="81" t="str">
        <f>IF($Q198="","",191)</f>
        <v/>
      </c>
      <c r="B198" s="57" t="str">
        <f>IF($Q198="","",INDEX(TRANSACTIONS_MASTER!$B$5:$B$1204,$Q198))</f>
        <v/>
      </c>
      <c r="C198" s="55" t="str">
        <f>IF($Q198="","",INDEX(TRANSACTIONS_MASTER!$F$5:$F$1204,$Q198))</f>
        <v/>
      </c>
      <c r="D198" s="55" t="str">
        <f>IF($Q198="","",INDEX(TRANSACTIONS_MASTER!$E$5:$E$1204,$Q198))</f>
        <v/>
      </c>
      <c r="E198" s="55" t="str">
        <f>IF($Q198="","",INDEX(TRANSACTIONS_MASTER!$G$5:$G$1204,$Q198)&amp;"")</f>
        <v/>
      </c>
      <c r="F198" s="29" t="str">
        <f>IF($Q198="","",INDEX(TRANSACTIONS_MASTER!$I$5:$I$1204,$Q198))</f>
        <v/>
      </c>
      <c r="G198" s="55" t="str">
        <f>IF($Q198="","",INDEX(TRANSACTIONS_MASTER!$K$5:$K$1204,$Q198))</f>
        <v/>
      </c>
      <c r="H198" s="25" t="str">
        <f>IF($Q198="","",INDEX(TRANSACTIONS_MASTER!$L$5:$L$1204,$Q198))</f>
        <v/>
      </c>
      <c r="I198" s="56" t="str">
        <f>IF($Q198="","",INDEX(TRANSACTIONS_MASTER!$N$5:$N$1204,$Q198))</f>
        <v/>
      </c>
      <c r="J198" s="25" t="str">
        <f>IF($Q198="","",INDEX(TRANSACTIONS_MASTER!$O$5:$O$1204,$Q198))</f>
        <v/>
      </c>
      <c r="K198" s="26" t="str">
        <f>IF($Q198="","",INDEX(TRANSACTIONS_MASTER!$Q$5:$Q$1204,$Q198))</f>
        <v/>
      </c>
      <c r="L198" s="25" t="str">
        <f>IF($Q198="","",INDEX(TRANSACTIONS_MASTER!$P$5:$P$1204,$Q198))</f>
        <v/>
      </c>
      <c r="M198" s="25" t="str">
        <f>IF($Q198="","",INDEX(TRANSACTIONS_MASTER!$AA$5:$AA$1204,$Q198))</f>
        <v/>
      </c>
      <c r="N198" s="25" t="str">
        <f>IF($Q198="","",INDEX(TRANSACTIONS_MASTER!$R$5:$R$1204,$Q198))</f>
        <v/>
      </c>
      <c r="O198" s="28" t="str">
        <f>IF($Q198="","",INDEX(TRANSACTIONS_MASTER!$AB$5:$AB$1204,$Q198))</f>
        <v/>
      </c>
      <c r="P198" s="55" t="str">
        <f>IF($Q198="","",INDEX(TRANSACTIONS_MASTER!$Z$5:$Z$1204,$Q198)&amp;"")</f>
        <v/>
      </c>
      <c r="Q198" s="67" t="str">
        <f>IFERROR(MATCH($C$2&amp;"|"&amp;191,TRANSACTIONS_MASTER!$AE$5:$AE$1204,0),"")</f>
        <v/>
      </c>
    </row>
    <row r="199">
      <c r="A199" s="81" t="str">
        <f>IF($Q199="","",192)</f>
        <v/>
      </c>
      <c r="B199" s="57" t="str">
        <f>IF($Q199="","",INDEX(TRANSACTIONS_MASTER!$B$5:$B$1204,$Q199))</f>
        <v/>
      </c>
      <c r="C199" s="55" t="str">
        <f>IF($Q199="","",INDEX(TRANSACTIONS_MASTER!$F$5:$F$1204,$Q199))</f>
        <v/>
      </c>
      <c r="D199" s="55" t="str">
        <f>IF($Q199="","",INDEX(TRANSACTIONS_MASTER!$E$5:$E$1204,$Q199))</f>
        <v/>
      </c>
      <c r="E199" s="55" t="str">
        <f>IF($Q199="","",INDEX(TRANSACTIONS_MASTER!$G$5:$G$1204,$Q199)&amp;"")</f>
        <v/>
      </c>
      <c r="F199" s="29" t="str">
        <f>IF($Q199="","",INDEX(TRANSACTIONS_MASTER!$I$5:$I$1204,$Q199))</f>
        <v/>
      </c>
      <c r="G199" s="55" t="str">
        <f>IF($Q199="","",INDEX(TRANSACTIONS_MASTER!$K$5:$K$1204,$Q199))</f>
        <v/>
      </c>
      <c r="H199" s="25" t="str">
        <f>IF($Q199="","",INDEX(TRANSACTIONS_MASTER!$L$5:$L$1204,$Q199))</f>
        <v/>
      </c>
      <c r="I199" s="56" t="str">
        <f>IF($Q199="","",INDEX(TRANSACTIONS_MASTER!$N$5:$N$1204,$Q199))</f>
        <v/>
      </c>
      <c r="J199" s="25" t="str">
        <f>IF($Q199="","",INDEX(TRANSACTIONS_MASTER!$O$5:$O$1204,$Q199))</f>
        <v/>
      </c>
      <c r="K199" s="26" t="str">
        <f>IF($Q199="","",INDEX(TRANSACTIONS_MASTER!$Q$5:$Q$1204,$Q199))</f>
        <v/>
      </c>
      <c r="L199" s="25" t="str">
        <f>IF($Q199="","",INDEX(TRANSACTIONS_MASTER!$P$5:$P$1204,$Q199))</f>
        <v/>
      </c>
      <c r="M199" s="25" t="str">
        <f>IF($Q199="","",INDEX(TRANSACTIONS_MASTER!$AA$5:$AA$1204,$Q199))</f>
        <v/>
      </c>
      <c r="N199" s="25" t="str">
        <f>IF($Q199="","",INDEX(TRANSACTIONS_MASTER!$R$5:$R$1204,$Q199))</f>
        <v/>
      </c>
      <c r="O199" s="28" t="str">
        <f>IF($Q199="","",INDEX(TRANSACTIONS_MASTER!$AB$5:$AB$1204,$Q199))</f>
        <v/>
      </c>
      <c r="P199" s="55" t="str">
        <f>IF($Q199="","",INDEX(TRANSACTIONS_MASTER!$Z$5:$Z$1204,$Q199)&amp;"")</f>
        <v/>
      </c>
      <c r="Q199" s="67" t="str">
        <f>IFERROR(MATCH($C$2&amp;"|"&amp;192,TRANSACTIONS_MASTER!$AE$5:$AE$1204,0),"")</f>
        <v/>
      </c>
    </row>
    <row r="200">
      <c r="A200" s="81" t="str">
        <f>IF($Q200="","",193)</f>
        <v/>
      </c>
      <c r="B200" s="57" t="str">
        <f>IF($Q200="","",INDEX(TRANSACTIONS_MASTER!$B$5:$B$1204,$Q200))</f>
        <v/>
      </c>
      <c r="C200" s="55" t="str">
        <f>IF($Q200="","",INDEX(TRANSACTIONS_MASTER!$F$5:$F$1204,$Q200))</f>
        <v/>
      </c>
      <c r="D200" s="55" t="str">
        <f>IF($Q200="","",INDEX(TRANSACTIONS_MASTER!$E$5:$E$1204,$Q200))</f>
        <v/>
      </c>
      <c r="E200" s="55" t="str">
        <f>IF($Q200="","",INDEX(TRANSACTIONS_MASTER!$G$5:$G$1204,$Q200)&amp;"")</f>
        <v/>
      </c>
      <c r="F200" s="29" t="str">
        <f>IF($Q200="","",INDEX(TRANSACTIONS_MASTER!$I$5:$I$1204,$Q200))</f>
        <v/>
      </c>
      <c r="G200" s="55" t="str">
        <f>IF($Q200="","",INDEX(TRANSACTIONS_MASTER!$K$5:$K$1204,$Q200))</f>
        <v/>
      </c>
      <c r="H200" s="25" t="str">
        <f>IF($Q200="","",INDEX(TRANSACTIONS_MASTER!$L$5:$L$1204,$Q200))</f>
        <v/>
      </c>
      <c r="I200" s="56" t="str">
        <f>IF($Q200="","",INDEX(TRANSACTIONS_MASTER!$N$5:$N$1204,$Q200))</f>
        <v/>
      </c>
      <c r="J200" s="25" t="str">
        <f>IF($Q200="","",INDEX(TRANSACTIONS_MASTER!$O$5:$O$1204,$Q200))</f>
        <v/>
      </c>
      <c r="K200" s="26" t="str">
        <f>IF($Q200="","",INDEX(TRANSACTIONS_MASTER!$Q$5:$Q$1204,$Q200))</f>
        <v/>
      </c>
      <c r="L200" s="25" t="str">
        <f>IF($Q200="","",INDEX(TRANSACTIONS_MASTER!$P$5:$P$1204,$Q200))</f>
        <v/>
      </c>
      <c r="M200" s="25" t="str">
        <f>IF($Q200="","",INDEX(TRANSACTIONS_MASTER!$AA$5:$AA$1204,$Q200))</f>
        <v/>
      </c>
      <c r="N200" s="25" t="str">
        <f>IF($Q200="","",INDEX(TRANSACTIONS_MASTER!$R$5:$R$1204,$Q200))</f>
        <v/>
      </c>
      <c r="O200" s="28" t="str">
        <f>IF($Q200="","",INDEX(TRANSACTIONS_MASTER!$AB$5:$AB$1204,$Q200))</f>
        <v/>
      </c>
      <c r="P200" s="55" t="str">
        <f>IF($Q200="","",INDEX(TRANSACTIONS_MASTER!$Z$5:$Z$1204,$Q200)&amp;"")</f>
        <v/>
      </c>
      <c r="Q200" s="67" t="str">
        <f>IFERROR(MATCH($C$2&amp;"|"&amp;193,TRANSACTIONS_MASTER!$AE$5:$AE$1204,0),"")</f>
        <v/>
      </c>
    </row>
    <row r="201">
      <c r="A201" s="81" t="str">
        <f>IF($Q201="","",194)</f>
        <v/>
      </c>
      <c r="B201" s="57" t="str">
        <f>IF($Q201="","",INDEX(TRANSACTIONS_MASTER!$B$5:$B$1204,$Q201))</f>
        <v/>
      </c>
      <c r="C201" s="55" t="str">
        <f>IF($Q201="","",INDEX(TRANSACTIONS_MASTER!$F$5:$F$1204,$Q201))</f>
        <v/>
      </c>
      <c r="D201" s="55" t="str">
        <f>IF($Q201="","",INDEX(TRANSACTIONS_MASTER!$E$5:$E$1204,$Q201))</f>
        <v/>
      </c>
      <c r="E201" s="55" t="str">
        <f>IF($Q201="","",INDEX(TRANSACTIONS_MASTER!$G$5:$G$1204,$Q201)&amp;"")</f>
        <v/>
      </c>
      <c r="F201" s="29" t="str">
        <f>IF($Q201="","",INDEX(TRANSACTIONS_MASTER!$I$5:$I$1204,$Q201))</f>
        <v/>
      </c>
      <c r="G201" s="55" t="str">
        <f>IF($Q201="","",INDEX(TRANSACTIONS_MASTER!$K$5:$K$1204,$Q201))</f>
        <v/>
      </c>
      <c r="H201" s="25" t="str">
        <f>IF($Q201="","",INDEX(TRANSACTIONS_MASTER!$L$5:$L$1204,$Q201))</f>
        <v/>
      </c>
      <c r="I201" s="56" t="str">
        <f>IF($Q201="","",INDEX(TRANSACTIONS_MASTER!$N$5:$N$1204,$Q201))</f>
        <v/>
      </c>
      <c r="J201" s="25" t="str">
        <f>IF($Q201="","",INDEX(TRANSACTIONS_MASTER!$O$5:$O$1204,$Q201))</f>
        <v/>
      </c>
      <c r="K201" s="26" t="str">
        <f>IF($Q201="","",INDEX(TRANSACTIONS_MASTER!$Q$5:$Q$1204,$Q201))</f>
        <v/>
      </c>
      <c r="L201" s="25" t="str">
        <f>IF($Q201="","",INDEX(TRANSACTIONS_MASTER!$P$5:$P$1204,$Q201))</f>
        <v/>
      </c>
      <c r="M201" s="25" t="str">
        <f>IF($Q201="","",INDEX(TRANSACTIONS_MASTER!$AA$5:$AA$1204,$Q201))</f>
        <v/>
      </c>
      <c r="N201" s="25" t="str">
        <f>IF($Q201="","",INDEX(TRANSACTIONS_MASTER!$R$5:$R$1204,$Q201))</f>
        <v/>
      </c>
      <c r="O201" s="28" t="str">
        <f>IF($Q201="","",INDEX(TRANSACTIONS_MASTER!$AB$5:$AB$1204,$Q201))</f>
        <v/>
      </c>
      <c r="P201" s="55" t="str">
        <f>IF($Q201="","",INDEX(TRANSACTIONS_MASTER!$Z$5:$Z$1204,$Q201)&amp;"")</f>
        <v/>
      </c>
      <c r="Q201" s="67" t="str">
        <f>IFERROR(MATCH($C$2&amp;"|"&amp;194,TRANSACTIONS_MASTER!$AE$5:$AE$1204,0),"")</f>
        <v/>
      </c>
    </row>
    <row r="202">
      <c r="A202" s="81" t="str">
        <f>IF($Q202="","",195)</f>
        <v/>
      </c>
      <c r="B202" s="57" t="str">
        <f>IF($Q202="","",INDEX(TRANSACTIONS_MASTER!$B$5:$B$1204,$Q202))</f>
        <v/>
      </c>
      <c r="C202" s="55" t="str">
        <f>IF($Q202="","",INDEX(TRANSACTIONS_MASTER!$F$5:$F$1204,$Q202))</f>
        <v/>
      </c>
      <c r="D202" s="55" t="str">
        <f>IF($Q202="","",INDEX(TRANSACTIONS_MASTER!$E$5:$E$1204,$Q202))</f>
        <v/>
      </c>
      <c r="E202" s="55" t="str">
        <f>IF($Q202="","",INDEX(TRANSACTIONS_MASTER!$G$5:$G$1204,$Q202)&amp;"")</f>
        <v/>
      </c>
      <c r="F202" s="29" t="str">
        <f>IF($Q202="","",INDEX(TRANSACTIONS_MASTER!$I$5:$I$1204,$Q202))</f>
        <v/>
      </c>
      <c r="G202" s="55" t="str">
        <f>IF($Q202="","",INDEX(TRANSACTIONS_MASTER!$K$5:$K$1204,$Q202))</f>
        <v/>
      </c>
      <c r="H202" s="25" t="str">
        <f>IF($Q202="","",INDEX(TRANSACTIONS_MASTER!$L$5:$L$1204,$Q202))</f>
        <v/>
      </c>
      <c r="I202" s="56" t="str">
        <f>IF($Q202="","",INDEX(TRANSACTIONS_MASTER!$N$5:$N$1204,$Q202))</f>
        <v/>
      </c>
      <c r="J202" s="25" t="str">
        <f>IF($Q202="","",INDEX(TRANSACTIONS_MASTER!$O$5:$O$1204,$Q202))</f>
        <v/>
      </c>
      <c r="K202" s="26" t="str">
        <f>IF($Q202="","",INDEX(TRANSACTIONS_MASTER!$Q$5:$Q$1204,$Q202))</f>
        <v/>
      </c>
      <c r="L202" s="25" t="str">
        <f>IF($Q202="","",INDEX(TRANSACTIONS_MASTER!$P$5:$P$1204,$Q202))</f>
        <v/>
      </c>
      <c r="M202" s="25" t="str">
        <f>IF($Q202="","",INDEX(TRANSACTIONS_MASTER!$AA$5:$AA$1204,$Q202))</f>
        <v/>
      </c>
      <c r="N202" s="25" t="str">
        <f>IF($Q202="","",INDEX(TRANSACTIONS_MASTER!$R$5:$R$1204,$Q202))</f>
        <v/>
      </c>
      <c r="O202" s="28" t="str">
        <f>IF($Q202="","",INDEX(TRANSACTIONS_MASTER!$AB$5:$AB$1204,$Q202))</f>
        <v/>
      </c>
      <c r="P202" s="55" t="str">
        <f>IF($Q202="","",INDEX(TRANSACTIONS_MASTER!$Z$5:$Z$1204,$Q202)&amp;"")</f>
        <v/>
      </c>
      <c r="Q202" s="67" t="str">
        <f>IFERROR(MATCH($C$2&amp;"|"&amp;195,TRANSACTIONS_MASTER!$AE$5:$AE$1204,0),"")</f>
        <v/>
      </c>
    </row>
    <row r="203">
      <c r="A203" s="81" t="str">
        <f>IF($Q203="","",196)</f>
        <v/>
      </c>
      <c r="B203" s="57" t="str">
        <f>IF($Q203="","",INDEX(TRANSACTIONS_MASTER!$B$5:$B$1204,$Q203))</f>
        <v/>
      </c>
      <c r="C203" s="55" t="str">
        <f>IF($Q203="","",INDEX(TRANSACTIONS_MASTER!$F$5:$F$1204,$Q203))</f>
        <v/>
      </c>
      <c r="D203" s="55" t="str">
        <f>IF($Q203="","",INDEX(TRANSACTIONS_MASTER!$E$5:$E$1204,$Q203))</f>
        <v/>
      </c>
      <c r="E203" s="55" t="str">
        <f>IF($Q203="","",INDEX(TRANSACTIONS_MASTER!$G$5:$G$1204,$Q203)&amp;"")</f>
        <v/>
      </c>
      <c r="F203" s="29" t="str">
        <f>IF($Q203="","",INDEX(TRANSACTIONS_MASTER!$I$5:$I$1204,$Q203))</f>
        <v/>
      </c>
      <c r="G203" s="55" t="str">
        <f>IF($Q203="","",INDEX(TRANSACTIONS_MASTER!$K$5:$K$1204,$Q203))</f>
        <v/>
      </c>
      <c r="H203" s="25" t="str">
        <f>IF($Q203="","",INDEX(TRANSACTIONS_MASTER!$L$5:$L$1204,$Q203))</f>
        <v/>
      </c>
      <c r="I203" s="56" t="str">
        <f>IF($Q203="","",INDEX(TRANSACTIONS_MASTER!$N$5:$N$1204,$Q203))</f>
        <v/>
      </c>
      <c r="J203" s="25" t="str">
        <f>IF($Q203="","",INDEX(TRANSACTIONS_MASTER!$O$5:$O$1204,$Q203))</f>
        <v/>
      </c>
      <c r="K203" s="26" t="str">
        <f>IF($Q203="","",INDEX(TRANSACTIONS_MASTER!$Q$5:$Q$1204,$Q203))</f>
        <v/>
      </c>
      <c r="L203" s="25" t="str">
        <f>IF($Q203="","",INDEX(TRANSACTIONS_MASTER!$P$5:$P$1204,$Q203))</f>
        <v/>
      </c>
      <c r="M203" s="25" t="str">
        <f>IF($Q203="","",INDEX(TRANSACTIONS_MASTER!$AA$5:$AA$1204,$Q203))</f>
        <v/>
      </c>
      <c r="N203" s="25" t="str">
        <f>IF($Q203="","",INDEX(TRANSACTIONS_MASTER!$R$5:$R$1204,$Q203))</f>
        <v/>
      </c>
      <c r="O203" s="28" t="str">
        <f>IF($Q203="","",INDEX(TRANSACTIONS_MASTER!$AB$5:$AB$1204,$Q203))</f>
        <v/>
      </c>
      <c r="P203" s="55" t="str">
        <f>IF($Q203="","",INDEX(TRANSACTIONS_MASTER!$Z$5:$Z$1204,$Q203)&amp;"")</f>
        <v/>
      </c>
      <c r="Q203" s="67" t="str">
        <f>IFERROR(MATCH($C$2&amp;"|"&amp;196,TRANSACTIONS_MASTER!$AE$5:$AE$1204,0),"")</f>
        <v/>
      </c>
    </row>
    <row r="204">
      <c r="A204" s="81" t="str">
        <f>IF($Q204="","",197)</f>
        <v/>
      </c>
      <c r="B204" s="57" t="str">
        <f>IF($Q204="","",INDEX(TRANSACTIONS_MASTER!$B$5:$B$1204,$Q204))</f>
        <v/>
      </c>
      <c r="C204" s="55" t="str">
        <f>IF($Q204="","",INDEX(TRANSACTIONS_MASTER!$F$5:$F$1204,$Q204))</f>
        <v/>
      </c>
      <c r="D204" s="55" t="str">
        <f>IF($Q204="","",INDEX(TRANSACTIONS_MASTER!$E$5:$E$1204,$Q204))</f>
        <v/>
      </c>
      <c r="E204" s="55" t="str">
        <f>IF($Q204="","",INDEX(TRANSACTIONS_MASTER!$G$5:$G$1204,$Q204)&amp;"")</f>
        <v/>
      </c>
      <c r="F204" s="29" t="str">
        <f>IF($Q204="","",INDEX(TRANSACTIONS_MASTER!$I$5:$I$1204,$Q204))</f>
        <v/>
      </c>
      <c r="G204" s="55" t="str">
        <f>IF($Q204="","",INDEX(TRANSACTIONS_MASTER!$K$5:$K$1204,$Q204))</f>
        <v/>
      </c>
      <c r="H204" s="25" t="str">
        <f>IF($Q204="","",INDEX(TRANSACTIONS_MASTER!$L$5:$L$1204,$Q204))</f>
        <v/>
      </c>
      <c r="I204" s="56" t="str">
        <f>IF($Q204="","",INDEX(TRANSACTIONS_MASTER!$N$5:$N$1204,$Q204))</f>
        <v/>
      </c>
      <c r="J204" s="25" t="str">
        <f>IF($Q204="","",INDEX(TRANSACTIONS_MASTER!$O$5:$O$1204,$Q204))</f>
        <v/>
      </c>
      <c r="K204" s="26" t="str">
        <f>IF($Q204="","",INDEX(TRANSACTIONS_MASTER!$Q$5:$Q$1204,$Q204))</f>
        <v/>
      </c>
      <c r="L204" s="25" t="str">
        <f>IF($Q204="","",INDEX(TRANSACTIONS_MASTER!$P$5:$P$1204,$Q204))</f>
        <v/>
      </c>
      <c r="M204" s="25" t="str">
        <f>IF($Q204="","",INDEX(TRANSACTIONS_MASTER!$AA$5:$AA$1204,$Q204))</f>
        <v/>
      </c>
      <c r="N204" s="25" t="str">
        <f>IF($Q204="","",INDEX(TRANSACTIONS_MASTER!$R$5:$R$1204,$Q204))</f>
        <v/>
      </c>
      <c r="O204" s="28" t="str">
        <f>IF($Q204="","",INDEX(TRANSACTIONS_MASTER!$AB$5:$AB$1204,$Q204))</f>
        <v/>
      </c>
      <c r="P204" s="55" t="str">
        <f>IF($Q204="","",INDEX(TRANSACTIONS_MASTER!$Z$5:$Z$1204,$Q204)&amp;"")</f>
        <v/>
      </c>
      <c r="Q204" s="67" t="str">
        <f>IFERROR(MATCH($C$2&amp;"|"&amp;197,TRANSACTIONS_MASTER!$AE$5:$AE$1204,0),"")</f>
        <v/>
      </c>
    </row>
    <row r="205">
      <c r="A205" s="81" t="str">
        <f>IF($Q205="","",198)</f>
        <v/>
      </c>
      <c r="B205" s="57" t="str">
        <f>IF($Q205="","",INDEX(TRANSACTIONS_MASTER!$B$5:$B$1204,$Q205))</f>
        <v/>
      </c>
      <c r="C205" s="55" t="str">
        <f>IF($Q205="","",INDEX(TRANSACTIONS_MASTER!$F$5:$F$1204,$Q205))</f>
        <v/>
      </c>
      <c r="D205" s="55" t="str">
        <f>IF($Q205="","",INDEX(TRANSACTIONS_MASTER!$E$5:$E$1204,$Q205))</f>
        <v/>
      </c>
      <c r="E205" s="55" t="str">
        <f>IF($Q205="","",INDEX(TRANSACTIONS_MASTER!$G$5:$G$1204,$Q205)&amp;"")</f>
        <v/>
      </c>
      <c r="F205" s="29" t="str">
        <f>IF($Q205="","",INDEX(TRANSACTIONS_MASTER!$I$5:$I$1204,$Q205))</f>
        <v/>
      </c>
      <c r="G205" s="55" t="str">
        <f>IF($Q205="","",INDEX(TRANSACTIONS_MASTER!$K$5:$K$1204,$Q205))</f>
        <v/>
      </c>
      <c r="H205" s="25" t="str">
        <f>IF($Q205="","",INDEX(TRANSACTIONS_MASTER!$L$5:$L$1204,$Q205))</f>
        <v/>
      </c>
      <c r="I205" s="56" t="str">
        <f>IF($Q205="","",INDEX(TRANSACTIONS_MASTER!$N$5:$N$1204,$Q205))</f>
        <v/>
      </c>
      <c r="J205" s="25" t="str">
        <f>IF($Q205="","",INDEX(TRANSACTIONS_MASTER!$O$5:$O$1204,$Q205))</f>
        <v/>
      </c>
      <c r="K205" s="26" t="str">
        <f>IF($Q205="","",INDEX(TRANSACTIONS_MASTER!$Q$5:$Q$1204,$Q205))</f>
        <v/>
      </c>
      <c r="L205" s="25" t="str">
        <f>IF($Q205="","",INDEX(TRANSACTIONS_MASTER!$P$5:$P$1204,$Q205))</f>
        <v/>
      </c>
      <c r="M205" s="25" t="str">
        <f>IF($Q205="","",INDEX(TRANSACTIONS_MASTER!$AA$5:$AA$1204,$Q205))</f>
        <v/>
      </c>
      <c r="N205" s="25" t="str">
        <f>IF($Q205="","",INDEX(TRANSACTIONS_MASTER!$R$5:$R$1204,$Q205))</f>
        <v/>
      </c>
      <c r="O205" s="28" t="str">
        <f>IF($Q205="","",INDEX(TRANSACTIONS_MASTER!$AB$5:$AB$1204,$Q205))</f>
        <v/>
      </c>
      <c r="P205" s="55" t="str">
        <f>IF($Q205="","",INDEX(TRANSACTIONS_MASTER!$Z$5:$Z$1204,$Q205)&amp;"")</f>
        <v/>
      </c>
      <c r="Q205" s="67" t="str">
        <f>IFERROR(MATCH($C$2&amp;"|"&amp;198,TRANSACTIONS_MASTER!$AE$5:$AE$1204,0),"")</f>
        <v/>
      </c>
    </row>
    <row r="206">
      <c r="A206" s="81" t="str">
        <f>IF($Q206="","",199)</f>
        <v/>
      </c>
      <c r="B206" s="57" t="str">
        <f>IF($Q206="","",INDEX(TRANSACTIONS_MASTER!$B$5:$B$1204,$Q206))</f>
        <v/>
      </c>
      <c r="C206" s="55" t="str">
        <f>IF($Q206="","",INDEX(TRANSACTIONS_MASTER!$F$5:$F$1204,$Q206))</f>
        <v/>
      </c>
      <c r="D206" s="55" t="str">
        <f>IF($Q206="","",INDEX(TRANSACTIONS_MASTER!$E$5:$E$1204,$Q206))</f>
        <v/>
      </c>
      <c r="E206" s="55" t="str">
        <f>IF($Q206="","",INDEX(TRANSACTIONS_MASTER!$G$5:$G$1204,$Q206)&amp;"")</f>
        <v/>
      </c>
      <c r="F206" s="29" t="str">
        <f>IF($Q206="","",INDEX(TRANSACTIONS_MASTER!$I$5:$I$1204,$Q206))</f>
        <v/>
      </c>
      <c r="G206" s="55" t="str">
        <f>IF($Q206="","",INDEX(TRANSACTIONS_MASTER!$K$5:$K$1204,$Q206))</f>
        <v/>
      </c>
      <c r="H206" s="25" t="str">
        <f>IF($Q206="","",INDEX(TRANSACTIONS_MASTER!$L$5:$L$1204,$Q206))</f>
        <v/>
      </c>
      <c r="I206" s="56" t="str">
        <f>IF($Q206="","",INDEX(TRANSACTIONS_MASTER!$N$5:$N$1204,$Q206))</f>
        <v/>
      </c>
      <c r="J206" s="25" t="str">
        <f>IF($Q206="","",INDEX(TRANSACTIONS_MASTER!$O$5:$O$1204,$Q206))</f>
        <v/>
      </c>
      <c r="K206" s="26" t="str">
        <f>IF($Q206="","",INDEX(TRANSACTIONS_MASTER!$Q$5:$Q$1204,$Q206))</f>
        <v/>
      </c>
      <c r="L206" s="25" t="str">
        <f>IF($Q206="","",INDEX(TRANSACTIONS_MASTER!$P$5:$P$1204,$Q206))</f>
        <v/>
      </c>
      <c r="M206" s="25" t="str">
        <f>IF($Q206="","",INDEX(TRANSACTIONS_MASTER!$AA$5:$AA$1204,$Q206))</f>
        <v/>
      </c>
      <c r="N206" s="25" t="str">
        <f>IF($Q206="","",INDEX(TRANSACTIONS_MASTER!$R$5:$R$1204,$Q206))</f>
        <v/>
      </c>
      <c r="O206" s="28" t="str">
        <f>IF($Q206="","",INDEX(TRANSACTIONS_MASTER!$AB$5:$AB$1204,$Q206))</f>
        <v/>
      </c>
      <c r="P206" s="55" t="str">
        <f>IF($Q206="","",INDEX(TRANSACTIONS_MASTER!$Z$5:$Z$1204,$Q206)&amp;"")</f>
        <v/>
      </c>
      <c r="Q206" s="67" t="str">
        <f>IFERROR(MATCH($C$2&amp;"|"&amp;199,TRANSACTIONS_MASTER!$AE$5:$AE$1204,0),"")</f>
        <v/>
      </c>
    </row>
    <row r="207">
      <c r="A207" s="81" t="str">
        <f>IF($Q207="","",200)</f>
        <v/>
      </c>
      <c r="B207" s="57" t="str">
        <f>IF($Q207="","",INDEX(TRANSACTIONS_MASTER!$B$5:$B$1204,$Q207))</f>
        <v/>
      </c>
      <c r="C207" s="55" t="str">
        <f>IF($Q207="","",INDEX(TRANSACTIONS_MASTER!$F$5:$F$1204,$Q207))</f>
        <v/>
      </c>
      <c r="D207" s="55" t="str">
        <f>IF($Q207="","",INDEX(TRANSACTIONS_MASTER!$E$5:$E$1204,$Q207))</f>
        <v/>
      </c>
      <c r="E207" s="55" t="str">
        <f>IF($Q207="","",INDEX(TRANSACTIONS_MASTER!$G$5:$G$1204,$Q207)&amp;"")</f>
        <v/>
      </c>
      <c r="F207" s="29" t="str">
        <f>IF($Q207="","",INDEX(TRANSACTIONS_MASTER!$I$5:$I$1204,$Q207))</f>
        <v/>
      </c>
      <c r="G207" s="55" t="str">
        <f>IF($Q207="","",INDEX(TRANSACTIONS_MASTER!$K$5:$K$1204,$Q207))</f>
        <v/>
      </c>
      <c r="H207" s="25" t="str">
        <f>IF($Q207="","",INDEX(TRANSACTIONS_MASTER!$L$5:$L$1204,$Q207))</f>
        <v/>
      </c>
      <c r="I207" s="56" t="str">
        <f>IF($Q207="","",INDEX(TRANSACTIONS_MASTER!$N$5:$N$1204,$Q207))</f>
        <v/>
      </c>
      <c r="J207" s="25" t="str">
        <f>IF($Q207="","",INDEX(TRANSACTIONS_MASTER!$O$5:$O$1204,$Q207))</f>
        <v/>
      </c>
      <c r="K207" s="26" t="str">
        <f>IF($Q207="","",INDEX(TRANSACTIONS_MASTER!$Q$5:$Q$1204,$Q207))</f>
        <v/>
      </c>
      <c r="L207" s="25" t="str">
        <f>IF($Q207="","",INDEX(TRANSACTIONS_MASTER!$P$5:$P$1204,$Q207))</f>
        <v/>
      </c>
      <c r="M207" s="25" t="str">
        <f>IF($Q207="","",INDEX(TRANSACTIONS_MASTER!$AA$5:$AA$1204,$Q207))</f>
        <v/>
      </c>
      <c r="N207" s="25" t="str">
        <f>IF($Q207="","",INDEX(TRANSACTIONS_MASTER!$R$5:$R$1204,$Q207))</f>
        <v/>
      </c>
      <c r="O207" s="28" t="str">
        <f>IF($Q207="","",INDEX(TRANSACTIONS_MASTER!$AB$5:$AB$1204,$Q207))</f>
        <v/>
      </c>
      <c r="P207" s="55" t="str">
        <f>IF($Q207="","",INDEX(TRANSACTIONS_MASTER!$Z$5:$Z$1204,$Q207)&amp;"")</f>
        <v/>
      </c>
      <c r="Q207" s="67" t="str">
        <f>IFERROR(MATCH($C$2&amp;"|"&amp;200,TRANSACTIONS_MASTER!$AE$5:$AE$1204,0),"")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autoFilter ref="A7:P207"/>
  <mergeCells count="14">
    <mergeCell ref="I4:J4"/>
    <mergeCell ref="T3:W3"/>
    <mergeCell ref="B3:C3"/>
    <mergeCell ref="T4:W4"/>
    <mergeCell ref="M4:O4"/>
    <mergeCell ref="M3:O3"/>
    <mergeCell ref="F4:H4"/>
    <mergeCell ref="D4:E4"/>
    <mergeCell ref="K4:L4"/>
    <mergeCell ref="F3:H3"/>
    <mergeCell ref="D3:E3"/>
    <mergeCell ref="B4:C4"/>
    <mergeCell ref="K3:L3"/>
    <mergeCell ref="I3:J3"/>
  </mergeCells>
  <conditionalFormatting sqref="AA8:AA57">
    <cfRule type="dataBar" priority="1">
      <dataBar showValue="1">
        <cfvo type="num" val="0"/>
        <cfvo type="num" val="1"/>
        <color rgb="00F2A1BF"/>
      </dataBar>
    </cfRule>
    <cfRule type="expression" priority="2" dxfId="8">
      <formula>AND(ISNUMBER(AA8),AA8&gt;=1)</formula>
    </cfRule>
  </conditionalFormatting>
  <conditionalFormatting sqref="Z8:Z57">
    <cfRule type="cellIs" priority="3" operator="equal" dxfId="1">
      <formula>0</formula>
    </cfRule>
  </conditionalFormatting>
  <conditionalFormatting sqref="Z62:Z91">
    <cfRule type="dataBar" priority="4">
      <dataBar showValue="1">
        <cfvo type="num" val="0"/>
        <cfvo type="num" val="1"/>
        <color rgb="00F2A1BF"/>
      </dataBar>
    </cfRule>
    <cfRule type="expression" priority="5" dxfId="8">
      <formula>AND(ISNUMBER(Z62),Z62&gt;=1)</formula>
    </cfRule>
  </conditionalFormatting>
  <conditionalFormatting sqref="Y62:Y91">
    <cfRule type="cellIs" priority="6" operator="equal" dxfId="1">
      <formula>0</formula>
    </cfRule>
  </conditionalFormatting>
  <conditionalFormatting sqref="A8:P207">
    <cfRule type="expression" priority="7" dxfId="5" stopIfTrue="0">
      <formula>MOD(ROW(),2)=0</formula>
    </cfRule>
  </conditionalFormatting>
  <conditionalFormatting sqref="O8:O207">
    <cfRule type="cellIs" priority="8" operator="equal" dxfId="3">
      <formula>"Được hoàn"</formula>
    </cfRule>
    <cfRule type="cellIs" priority="9" operator="equal" dxfId="2">
      <formula>"Hoàn một phần"</formula>
    </cfRule>
    <cfRule type="cellIs" priority="10" operator="equal" dxfId="1">
      <formula>"Đã đạt cap"</formula>
    </cfRule>
    <cfRule type="cellIs" priority="11" operator="equal" dxfId="4">
      <formula>"Không được hoàn"</formula>
    </cfRule>
    <cfRule type="cellIs" priority="12" operator="equal" dxfId="0">
      <formula>"Đã hủy"</formula>
    </cfRule>
  </conditionalFormatting>
  <conditionalFormatting sqref="K8:K207">
    <cfRule type="expression" priority="13" dxfId="7">
      <formula>AND(ISNUMBER($K8),$K8&gt;0)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F8C8DC"/>
    <outlinePr summaryBelow="1" summaryRight="1"/>
    <pageSetUpPr/>
  </sheetPr>
  <dimension ref="A1:AA20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13" customWidth="1" min="4" max="4"/>
    <col width="22" customWidth="1" min="5" max="5"/>
    <col width="8" customWidth="1" min="6" max="6"/>
    <col width="17" customWidth="1" min="7" max="7"/>
    <col width="14" customWidth="1" min="8" max="8"/>
    <col width="10" customWidth="1" min="9" max="9"/>
    <col width="15" customWidth="1" min="10" max="10"/>
    <col width="15" customWidth="1" min="11" max="11"/>
    <col width="14" customWidth="1" min="12" max="12"/>
    <col width="14" customWidth="1" min="13" max="13"/>
    <col width="15" customWidth="1" min="14" max="14"/>
    <col width="16" customWidth="1" min="15" max="15"/>
    <col width="14" customWidth="1" min="16" max="16"/>
    <col width="3" customWidth="1" min="17" max="17"/>
    <col width="3" customWidth="1" min="18" max="18"/>
    <col width="4" customWidth="1" min="19" max="19"/>
    <col width="12" customWidth="1" min="20" max="20"/>
    <col width="30" customWidth="1" min="21" max="21"/>
    <col width="15" customWidth="1" min="22" max="22"/>
    <col width="17" customWidth="1" min="23" max="23"/>
    <col width="15" customWidth="1" min="24" max="24"/>
    <col width="15" customWidth="1" min="25" max="25"/>
    <col width="15" customWidth="1" min="26" max="26"/>
    <col width="12" customWidth="1" min="27" max="27"/>
  </cols>
  <sheetData>
    <row r="1" ht="28" customHeight="1">
      <c r="B1" s="70" t="str">
        <f>"THÁNG "&amp;MOD($C$2,100)&amp;"/"&amp;INT($C$2/100)&amp;"   ♥"</f>
        <v>THÁNG 4/2026   ♥</v>
      </c>
    </row>
    <row r="2" ht="20" customHeight="1">
      <c r="B2" s="71" t="inlineStr">
        <is>
          <t>Mã tháng</t>
        </is>
      </c>
      <c r="C2" s="72" t="n">
        <v>202604</v>
      </c>
      <c r="E2" s="66" t="str">
        <f>HYPERLINK("#Dashboard!A1","← Dashboard")</f>
        <v>← Dashboard</v>
      </c>
      <c r="G2" s="66" t="str">
        <f>HYPERLINK("#TRANSACTIONS_MASTER!A1","Giao dịch (nhập ở đây) →")</f>
        <v>Giao dịch (nhập ở đây) →</v>
      </c>
      <c r="J2" s="66" t="str">
        <f>HYPERLINK("#'2026-04'!S6","Cap &amp; thẻ →")</f>
        <v>Cap &amp; thẻ →</v>
      </c>
      <c r="L2" s="66" t="str">
        <f>HYPERLINK("#'2026-04'!S95","Phân tích →")</f>
        <v>Phân tích →</v>
      </c>
      <c r="N2" s="66" t="str">
        <f>HYPERLINK("#'2026-04'!A1","↑ Đầu trang")</f>
        <v>↑ Đầu trang</v>
      </c>
      <c r="O2" s="73" t="inlineStr">
        <is>
          <t>Sheet này là bản xem tự động — nhập giao dịch ở TRANSACTIONS_MASTER</t>
        </is>
      </c>
    </row>
    <row r="3" ht="17" customHeight="1">
      <c r="B3" s="74" t="inlineStr">
        <is>
          <t>💰 Tổng chi tiêu</t>
        </is>
      </c>
      <c r="C3" s="75" t="n"/>
      <c r="D3" s="74" t="inlineStr">
        <is>
          <t>★ Tổng cashback (thực nhận)</t>
        </is>
      </c>
      <c r="E3" s="75" t="n"/>
      <c r="F3" s="74" t="inlineStr">
        <is>
          <t>Cashback còn có thể nhận</t>
        </is>
      </c>
      <c r="G3" s="75" t="n"/>
      <c r="H3" s="75" t="n"/>
      <c r="I3" s="74" t="inlineStr">
        <is>
          <t>Số giao dịch</t>
        </is>
      </c>
      <c r="J3" s="75" t="n"/>
      <c r="K3" s="74" t="inlineStr">
        <is>
          <t>Số thẻ sử dụng</t>
        </is>
      </c>
      <c r="L3" s="75" t="n"/>
      <c r="M3" s="74" t="inlineStr">
        <is>
          <t>Thẻ có cashback cao nhất</t>
        </is>
      </c>
      <c r="N3" s="75" t="n"/>
      <c r="O3" s="75" t="n"/>
      <c r="T3" s="74" t="inlineStr">
        <is>
          <t>Danh mục chi tiêu nhiều nhất</t>
        </is>
      </c>
      <c r="U3" s="75" t="n"/>
      <c r="V3" s="75" t="n"/>
      <c r="W3" s="75" t="n"/>
    </row>
    <row r="4" ht="30" customHeight="1">
      <c r="B4" s="76">
        <f>SUMIFS(TRANSACTIONS_MASTER!$L$5:$L$1204,TRANSACTIONS_MASTER!$C$5:$C$1204,$C$2,TRANSACTIONS_MASTER!$U$5:$U$1204,"&lt;&gt;Cancelled")</f>
        <v>0</v>
      </c>
      <c r="C4" s="77" t="n"/>
      <c r="D4" s="76">
        <f>SUMIFS(TRANSACTIONS_MASTER!$Q$5:$Q$1204,TRANSACTIONS_MASTER!$C$5:$C$1204,$C$2)</f>
        <v>0</v>
      </c>
      <c r="E4" s="77" t="n"/>
      <c r="F4" s="76">
        <f>SUM($Y$62:$Y$91)</f>
        <v>4500000</v>
      </c>
      <c r="G4" s="77" t="n"/>
      <c r="H4" s="77" t="n"/>
      <c r="I4" s="78">
        <f>COUNTIFS(TRANSACTIONS_MASTER!$C$5:$C$1204,$C$2,TRANSACTIONS_MASTER!$U$5:$U$1204,"&lt;&gt;Cancelled")</f>
        <v>0</v>
      </c>
      <c r="J4" s="77" t="n"/>
      <c r="K4" s="78">
        <f>COUNTIF($AA$62:$AA$91,"&gt;0")</f>
        <v>0</v>
      </c>
      <c r="L4" s="77" t="n"/>
      <c r="M4" s="79" t="str">
        <f>IF(MAX($W$62:$W$91)&gt;0,INDEX($U$62:$U$91,MATCH(MAX($W$62:$W$91),$W$62:$W$91,0)),"—")</f>
        <v>—</v>
      </c>
      <c r="N4" s="77" t="n"/>
      <c r="O4" s="77" t="n"/>
      <c r="T4" s="79" t="str">
        <f>IF(MAX($V$117:$V$131)&gt;0,INDEX($U$117:$U$131,MATCH(MAX($V$117:$V$131),$V$117:$V$131,0)),"—")</f>
        <v>—</v>
      </c>
      <c r="U4" s="77" t="n"/>
      <c r="V4" s="77" t="n"/>
      <c r="W4" s="77" t="n"/>
    </row>
    <row r="5" ht="6" customHeight="1"/>
    <row r="6" ht="22" customHeight="1">
      <c r="A6" s="19" t="inlineStr">
        <is>
          <t>GIAO DỊCH TRONG THÁNG</t>
        </is>
      </c>
      <c r="B6" s="20" t="n"/>
      <c r="C6" s="20" t="n"/>
      <c r="D6" s="20" t="n"/>
      <c r="E6" s="20" t="n"/>
      <c r="F6" s="20" t="n"/>
      <c r="G6" s="20" t="n"/>
      <c r="H6" s="80" t="str">
        <f>IF(COUNTIFS(TRANSACTIONS_MASTER!$C$5:$C$1204,$C$2)&gt;200,"⚠ Còn "&amp;(COUNTIFS(TRANSACTIONS_MASTER!$C$5:$C$1204,$C$2)-200)&amp;" giao dịch chưa hiển thị — xem TRANSACTIONS_MASTER","")</f>
        <v/>
      </c>
      <c r="I6" s="20" t="n"/>
      <c r="J6" s="20" t="n"/>
      <c r="K6" s="20" t="n"/>
      <c r="L6" s="20" t="n"/>
      <c r="M6" s="20" t="n"/>
      <c r="N6" s="20" t="n"/>
      <c r="O6" s="20" t="n"/>
      <c r="P6" s="20" t="n"/>
      <c r="T6" s="19" t="inlineStr">
        <is>
          <t>THEO DÕI CAP — TỪNG NHÓM CASHBACK (progress bar)</t>
        </is>
      </c>
      <c r="U6" s="20" t="n"/>
      <c r="V6" s="20" t="n"/>
      <c r="W6" s="20" t="n"/>
      <c r="X6" s="20" t="n"/>
      <c r="Y6" s="20" t="n"/>
      <c r="Z6" s="20" t="n"/>
      <c r="AA6" s="20" t="n"/>
    </row>
    <row r="7" ht="30" customHeight="1">
      <c r="A7" s="21" t="inlineStr">
        <is>
          <t>#</t>
        </is>
      </c>
      <c r="B7" s="21" t="inlineStr">
        <is>
          <t>Ngày</t>
        </is>
      </c>
      <c r="C7" s="21" t="inlineStr">
        <is>
          <t>Thẻ</t>
        </is>
      </c>
      <c r="D7" s="21" t="inlineStr">
        <is>
          <t>Ngân hàng</t>
        </is>
      </c>
      <c r="E7" s="21" t="inlineStr">
        <is>
          <t>Merchant</t>
        </is>
      </c>
      <c r="F7" s="21" t="inlineStr">
        <is>
          <t>MCC</t>
        </is>
      </c>
      <c r="G7" s="21" t="inlineStr">
        <is>
          <t>Danh mục</t>
        </is>
      </c>
      <c r="H7" s="21" t="inlineStr">
        <is>
          <t>Số tiền</t>
        </is>
      </c>
      <c r="I7" s="21" t="inlineStr">
        <is>
          <t>Cashback %</t>
        </is>
      </c>
      <c r="J7" s="21" t="inlineStr">
        <is>
          <t>Cashback tính toán</t>
        </is>
      </c>
      <c r="K7" s="21" t="inlineStr">
        <is>
          <t>Cashback thực nhận</t>
        </is>
      </c>
      <c r="L7" s="21" t="inlineStr">
        <is>
          <t>Cap danh mục</t>
        </is>
      </c>
      <c r="M7" s="21" t="inlineStr">
        <is>
          <t>Cap thẻ</t>
        </is>
      </c>
      <c r="N7" s="21" t="inlineStr">
        <is>
          <t>Cashback còn lại</t>
        </is>
      </c>
      <c r="O7" s="21" t="inlineStr">
        <is>
          <t>Trạng thái hoàn</t>
        </is>
      </c>
      <c r="P7" s="21" t="inlineStr">
        <is>
          <t>Nhóm cashback</t>
        </is>
      </c>
      <c r="Q7" s="21" t="inlineStr">
        <is>
          <t>⚙</t>
        </is>
      </c>
      <c r="S7" s="21" t="inlineStr">
        <is>
          <t>#</t>
        </is>
      </c>
      <c r="T7" s="21" t="inlineStr">
        <is>
          <t>Card ID</t>
        </is>
      </c>
      <c r="U7" s="21" t="inlineStr">
        <is>
          <t>Thẻ</t>
        </is>
      </c>
      <c r="V7" s="21" t="inlineStr">
        <is>
          <t>Nhóm</t>
        </is>
      </c>
      <c r="W7" s="21" t="inlineStr">
        <is>
          <t>Danh mục</t>
        </is>
      </c>
      <c r="X7" s="21" t="inlineStr">
        <is>
          <t>Đã cashback</t>
        </is>
      </c>
      <c r="Y7" s="21" t="inlineStr">
        <is>
          <t>Cap nhóm</t>
        </is>
      </c>
      <c r="Z7" s="21" t="inlineStr">
        <is>
          <t>Còn lại</t>
        </is>
      </c>
      <c r="AA7" s="21" t="inlineStr">
        <is>
          <t>Progress</t>
        </is>
      </c>
    </row>
    <row r="8" ht="20" customHeight="1">
      <c r="A8" s="81" t="str">
        <f>IF($Q8="","",1)</f>
        <v/>
      </c>
      <c r="B8" s="57" t="str">
        <f>IF($Q8="","",INDEX(TRANSACTIONS_MASTER!$B$5:$B$1204,$Q8))</f>
        <v/>
      </c>
      <c r="C8" s="55" t="str">
        <f>IF($Q8="","",INDEX(TRANSACTIONS_MASTER!$F$5:$F$1204,$Q8))</f>
        <v/>
      </c>
      <c r="D8" s="55" t="str">
        <f>IF($Q8="","",INDEX(TRANSACTIONS_MASTER!$E$5:$E$1204,$Q8))</f>
        <v/>
      </c>
      <c r="E8" s="55" t="str">
        <f>IF($Q8="","",INDEX(TRANSACTIONS_MASTER!$G$5:$G$1204,$Q8)&amp;"")</f>
        <v/>
      </c>
      <c r="F8" s="29" t="str">
        <f>IF($Q8="","",INDEX(TRANSACTIONS_MASTER!$I$5:$I$1204,$Q8))</f>
        <v/>
      </c>
      <c r="G8" s="55" t="str">
        <f>IF($Q8="","",INDEX(TRANSACTIONS_MASTER!$K$5:$K$1204,$Q8))</f>
        <v/>
      </c>
      <c r="H8" s="25" t="str">
        <f>IF($Q8="","",INDEX(TRANSACTIONS_MASTER!$L$5:$L$1204,$Q8))</f>
        <v/>
      </c>
      <c r="I8" s="56" t="str">
        <f>IF($Q8="","",INDEX(TRANSACTIONS_MASTER!$N$5:$N$1204,$Q8))</f>
        <v/>
      </c>
      <c r="J8" s="25" t="str">
        <f>IF($Q8="","",INDEX(TRANSACTIONS_MASTER!$O$5:$O$1204,$Q8))</f>
        <v/>
      </c>
      <c r="K8" s="26" t="str">
        <f>IF($Q8="","",INDEX(TRANSACTIONS_MASTER!$Q$5:$Q$1204,$Q8))</f>
        <v/>
      </c>
      <c r="L8" s="25" t="str">
        <f>IF($Q8="","",INDEX(TRANSACTIONS_MASTER!$P$5:$P$1204,$Q8))</f>
        <v/>
      </c>
      <c r="M8" s="25" t="str">
        <f>IF($Q8="","",INDEX(TRANSACTIONS_MASTER!$AA$5:$AA$1204,$Q8))</f>
        <v/>
      </c>
      <c r="N8" s="25" t="str">
        <f>IF($Q8="","",INDEX(TRANSACTIONS_MASTER!$R$5:$R$1204,$Q8))</f>
        <v/>
      </c>
      <c r="O8" s="28" t="str">
        <f>IF($Q8="","",INDEX(TRANSACTIONS_MASTER!$AB$5:$AB$1204,$Q8))</f>
        <v/>
      </c>
      <c r="P8" s="55" t="str">
        <f>IF($Q8="","",INDEX(TRANSACTIONS_MASTER!$Z$5:$Z$1204,$Q8)&amp;"")</f>
        <v/>
      </c>
      <c r="Q8" s="67" t="str">
        <f>IFERROR(MATCH($C$2&amp;"|"&amp;1,TRANSACTIONS_MASTER!$AE$5:$AE$1204,0),"")</f>
        <v/>
      </c>
      <c r="S8" s="67">
        <f>IFERROR(MATCH(1,CASHBACK_RULES!$S$5:$S$304,0),"")</f>
        <v>1</v>
      </c>
      <c r="T8" s="55" t="str">
        <f>IF($S8="","",INDEX(CASHBACK_RULES!$B$5:$B$304,$S8))</f>
        <v>VPB-JCBZ</v>
      </c>
      <c r="U8" s="55" t="str">
        <f>IF($S8="","",INDEX(CASHBACK_RULES!$C$5:$C$304,$S8)&amp;" "&amp;INDEX(CASHBACK_RULES!$D$5:$D$304,$S8))</f>
        <v>VPBank JCB Z Card</v>
      </c>
      <c r="V8" s="55" t="str">
        <f>IF($S8="","",INDEX(CASHBACK_RULES!$E$5:$E$304,$S8)&amp;"")</f>
        <v>Group 1</v>
      </c>
      <c r="W8" s="55" t="str">
        <f>IF($S8="","",INDEX(CASHBACK_RULES!$F$5:$F$304,$S8)&amp;"")</f>
        <v>Dining</v>
      </c>
      <c r="X8" s="26">
        <f>IF($S8="","",SUMIFS(TRANSACTIONS_MASTER!$Q$5:$Q$1204,TRANSACTIONS_MASTER!$D$5:$D$1204,$T8,TRANSACTIONS_MASTER!$Z$5:$Z$1204,$V8,TRANSACTIONS_MASTER!$C$5:$C$1204,$C$2))</f>
        <v>0</v>
      </c>
      <c r="Y8" s="25">
        <f>IF($S8="","",IF(ISNUMBER(INDEX(CASHBACK_RULES!$J$5:$J$304,$S8)),INDEX(CASHBACK_RULES!$J$5:$J$304,$S8),"∞"))</f>
        <v>500000</v>
      </c>
      <c r="Z8" s="25">
        <f>IF($S8="","",IF(ISNUMBER($Y8),MAX(0,$Y8-$X8),"∞"))</f>
        <v>500000</v>
      </c>
      <c r="AA8" s="27">
        <f>IF($S8="","",IF(ISNUMBER($Y8),IF($Y8=0,0,$X8/$Y8),""))</f>
        <v>0</v>
      </c>
    </row>
    <row r="9" ht="20" customHeight="1">
      <c r="A9" s="81" t="str">
        <f>IF($Q9="","",2)</f>
        <v/>
      </c>
      <c r="B9" s="57" t="str">
        <f>IF($Q9="","",INDEX(TRANSACTIONS_MASTER!$B$5:$B$1204,$Q9))</f>
        <v/>
      </c>
      <c r="C9" s="55" t="str">
        <f>IF($Q9="","",INDEX(TRANSACTIONS_MASTER!$F$5:$F$1204,$Q9))</f>
        <v/>
      </c>
      <c r="D9" s="55" t="str">
        <f>IF($Q9="","",INDEX(TRANSACTIONS_MASTER!$E$5:$E$1204,$Q9))</f>
        <v/>
      </c>
      <c r="E9" s="55" t="str">
        <f>IF($Q9="","",INDEX(TRANSACTIONS_MASTER!$G$5:$G$1204,$Q9)&amp;"")</f>
        <v/>
      </c>
      <c r="F9" s="29" t="str">
        <f>IF($Q9="","",INDEX(TRANSACTIONS_MASTER!$I$5:$I$1204,$Q9))</f>
        <v/>
      </c>
      <c r="G9" s="55" t="str">
        <f>IF($Q9="","",INDEX(TRANSACTIONS_MASTER!$K$5:$K$1204,$Q9))</f>
        <v/>
      </c>
      <c r="H9" s="25" t="str">
        <f>IF($Q9="","",INDEX(TRANSACTIONS_MASTER!$L$5:$L$1204,$Q9))</f>
        <v/>
      </c>
      <c r="I9" s="56" t="str">
        <f>IF($Q9="","",INDEX(TRANSACTIONS_MASTER!$N$5:$N$1204,$Q9))</f>
        <v/>
      </c>
      <c r="J9" s="25" t="str">
        <f>IF($Q9="","",INDEX(TRANSACTIONS_MASTER!$O$5:$O$1204,$Q9))</f>
        <v/>
      </c>
      <c r="K9" s="26" t="str">
        <f>IF($Q9="","",INDEX(TRANSACTIONS_MASTER!$Q$5:$Q$1204,$Q9))</f>
        <v/>
      </c>
      <c r="L9" s="25" t="str">
        <f>IF($Q9="","",INDEX(TRANSACTIONS_MASTER!$P$5:$P$1204,$Q9))</f>
        <v/>
      </c>
      <c r="M9" s="25" t="str">
        <f>IF($Q9="","",INDEX(TRANSACTIONS_MASTER!$AA$5:$AA$1204,$Q9))</f>
        <v/>
      </c>
      <c r="N9" s="25" t="str">
        <f>IF($Q9="","",INDEX(TRANSACTIONS_MASTER!$R$5:$R$1204,$Q9))</f>
        <v/>
      </c>
      <c r="O9" s="28" t="str">
        <f>IF($Q9="","",INDEX(TRANSACTIONS_MASTER!$AB$5:$AB$1204,$Q9))</f>
        <v/>
      </c>
      <c r="P9" s="55" t="str">
        <f>IF($Q9="","",INDEX(TRANSACTIONS_MASTER!$Z$5:$Z$1204,$Q9)&amp;"")</f>
        <v/>
      </c>
      <c r="Q9" s="67" t="str">
        <f>IFERROR(MATCH($C$2&amp;"|"&amp;2,TRANSACTIONS_MASTER!$AE$5:$AE$1204,0),"")</f>
        <v/>
      </c>
      <c r="S9" s="67">
        <f>IFERROR(MATCH(2,CASHBACK_RULES!$S$5:$S$304,0),"")</f>
        <v>5</v>
      </c>
      <c r="T9" s="55" t="str">
        <f>IF($S9="","",INDEX(CASHBACK_RULES!$B$5:$B$304,$S9))</f>
        <v>VPB-JCBZ</v>
      </c>
      <c r="U9" s="55" t="str">
        <f>IF($S9="","",INDEX(CASHBACK_RULES!$C$5:$C$304,$S9)&amp;" "&amp;INDEX(CASHBACK_RULES!$D$5:$D$304,$S9))</f>
        <v>VPBank JCB Z Card</v>
      </c>
      <c r="V9" s="55" t="str">
        <f>IF($S9="","",INDEX(CASHBACK_RULES!$E$5:$E$304,$S9)&amp;"")</f>
        <v>Group 2</v>
      </c>
      <c r="W9" s="55" t="str">
        <f>IF($S9="","",INDEX(CASHBACK_RULES!$F$5:$F$304,$S9)&amp;"")</f>
        <v>Entertainment / Fitness</v>
      </c>
      <c r="X9" s="26">
        <f>IF($S9="","",SUMIFS(TRANSACTIONS_MASTER!$Q$5:$Q$1204,TRANSACTIONS_MASTER!$D$5:$D$1204,$T9,TRANSACTIONS_MASTER!$Z$5:$Z$1204,$V9,TRANSACTIONS_MASTER!$C$5:$C$1204,$C$2))</f>
        <v>0</v>
      </c>
      <c r="Y9" s="25">
        <f>IF($S9="","",IF(ISNUMBER(INDEX(CASHBACK_RULES!$J$5:$J$304,$S9)),INDEX(CASHBACK_RULES!$J$5:$J$304,$S9),"∞"))</f>
        <v>500000</v>
      </c>
      <c r="Z9" s="25">
        <f>IF($S9="","",IF(ISNUMBER($Y9),MAX(0,$Y9-$X9),"∞"))</f>
        <v>500000</v>
      </c>
      <c r="AA9" s="27">
        <f>IF($S9="","",IF(ISNUMBER($Y9),IF($Y9=0,0,$X9/$Y9),""))</f>
        <v>0</v>
      </c>
    </row>
    <row r="10" ht="20" customHeight="1">
      <c r="A10" s="81" t="str">
        <f>IF($Q10="","",3)</f>
        <v/>
      </c>
      <c r="B10" s="57" t="str">
        <f>IF($Q10="","",INDEX(TRANSACTIONS_MASTER!$B$5:$B$1204,$Q10))</f>
        <v/>
      </c>
      <c r="C10" s="55" t="str">
        <f>IF($Q10="","",INDEX(TRANSACTIONS_MASTER!$F$5:$F$1204,$Q10))</f>
        <v/>
      </c>
      <c r="D10" s="55" t="str">
        <f>IF($Q10="","",INDEX(TRANSACTIONS_MASTER!$E$5:$E$1204,$Q10))</f>
        <v/>
      </c>
      <c r="E10" s="55" t="str">
        <f>IF($Q10="","",INDEX(TRANSACTIONS_MASTER!$G$5:$G$1204,$Q10)&amp;"")</f>
        <v/>
      </c>
      <c r="F10" s="29" t="str">
        <f>IF($Q10="","",INDEX(TRANSACTIONS_MASTER!$I$5:$I$1204,$Q10))</f>
        <v/>
      </c>
      <c r="G10" s="55" t="str">
        <f>IF($Q10="","",INDEX(TRANSACTIONS_MASTER!$K$5:$K$1204,$Q10))</f>
        <v/>
      </c>
      <c r="H10" s="25" t="str">
        <f>IF($Q10="","",INDEX(TRANSACTIONS_MASTER!$L$5:$L$1204,$Q10))</f>
        <v/>
      </c>
      <c r="I10" s="56" t="str">
        <f>IF($Q10="","",INDEX(TRANSACTIONS_MASTER!$N$5:$N$1204,$Q10))</f>
        <v/>
      </c>
      <c r="J10" s="25" t="str">
        <f>IF($Q10="","",INDEX(TRANSACTIONS_MASTER!$O$5:$O$1204,$Q10))</f>
        <v/>
      </c>
      <c r="K10" s="26" t="str">
        <f>IF($Q10="","",INDEX(TRANSACTIONS_MASTER!$Q$5:$Q$1204,$Q10))</f>
        <v/>
      </c>
      <c r="L10" s="25" t="str">
        <f>IF($Q10="","",INDEX(TRANSACTIONS_MASTER!$P$5:$P$1204,$Q10))</f>
        <v/>
      </c>
      <c r="M10" s="25" t="str">
        <f>IF($Q10="","",INDEX(TRANSACTIONS_MASTER!$AA$5:$AA$1204,$Q10))</f>
        <v/>
      </c>
      <c r="N10" s="25" t="str">
        <f>IF($Q10="","",INDEX(TRANSACTIONS_MASTER!$R$5:$R$1204,$Q10))</f>
        <v/>
      </c>
      <c r="O10" s="28" t="str">
        <f>IF($Q10="","",INDEX(TRANSACTIONS_MASTER!$AB$5:$AB$1204,$Q10))</f>
        <v/>
      </c>
      <c r="P10" s="55" t="str">
        <f>IF($Q10="","",INDEX(TRANSACTIONS_MASTER!$Z$5:$Z$1204,$Q10)&amp;"")</f>
        <v/>
      </c>
      <c r="Q10" s="67" t="str">
        <f>IFERROR(MATCH($C$2&amp;"|"&amp;3,TRANSACTIONS_MASTER!$AE$5:$AE$1204,0),"")</f>
        <v/>
      </c>
      <c r="S10" s="67">
        <f>IFERROR(MATCH(3,CASHBACK_RULES!$S$5:$S$304,0),"")</f>
        <v>9</v>
      </c>
      <c r="T10" s="55" t="str">
        <f>IF($S10="","",INDEX(CASHBACK_RULES!$B$5:$B$304,$S10))</f>
        <v>VPB-JCBZ</v>
      </c>
      <c r="U10" s="55" t="str">
        <f>IF($S10="","",INDEX(CASHBACK_RULES!$C$5:$C$304,$S10)&amp;" "&amp;INDEX(CASHBACK_RULES!$D$5:$D$304,$S10))</f>
        <v>VPBank JCB Z Card</v>
      </c>
      <c r="V10" s="55" t="str">
        <f>IF($S10="","",INDEX(CASHBACK_RULES!$E$5:$E$304,$S10)&amp;"")</f>
        <v>Group 3</v>
      </c>
      <c r="W10" s="55" t="str">
        <f>IF($S10="","",INDEX(CASHBACK_RULES!$F$5:$F$304,$S10)&amp;"")</f>
        <v>Transport / Food Delivery</v>
      </c>
      <c r="X10" s="26">
        <f>IF($S10="","",SUMIFS(TRANSACTIONS_MASTER!$Q$5:$Q$1204,TRANSACTIONS_MASTER!$D$5:$D$1204,$T10,TRANSACTIONS_MASTER!$Z$5:$Z$1204,$V10,TRANSACTIONS_MASTER!$C$5:$C$1204,$C$2))</f>
        <v>0</v>
      </c>
      <c r="Y10" s="25">
        <f>IF($S10="","",IF(ISNUMBER(INDEX(CASHBACK_RULES!$J$5:$J$304,$S10)),INDEX(CASHBACK_RULES!$J$5:$J$304,$S10),"∞"))</f>
        <v>500000</v>
      </c>
      <c r="Z10" s="25">
        <f>IF($S10="","",IF(ISNUMBER($Y10),MAX(0,$Y10-$X10),"∞"))</f>
        <v>500000</v>
      </c>
      <c r="AA10" s="27">
        <f>IF($S10="","",IF(ISNUMBER($Y10),IF($Y10=0,0,$X10/$Y10),""))</f>
        <v>0</v>
      </c>
    </row>
    <row r="11" ht="20" customHeight="1">
      <c r="A11" s="81" t="str">
        <f>IF($Q11="","",4)</f>
        <v/>
      </c>
      <c r="B11" s="57" t="str">
        <f>IF($Q11="","",INDEX(TRANSACTIONS_MASTER!$B$5:$B$1204,$Q11))</f>
        <v/>
      </c>
      <c r="C11" s="55" t="str">
        <f>IF($Q11="","",INDEX(TRANSACTIONS_MASTER!$F$5:$F$1204,$Q11))</f>
        <v/>
      </c>
      <c r="D11" s="55" t="str">
        <f>IF($Q11="","",INDEX(TRANSACTIONS_MASTER!$E$5:$E$1204,$Q11))</f>
        <v/>
      </c>
      <c r="E11" s="55" t="str">
        <f>IF($Q11="","",INDEX(TRANSACTIONS_MASTER!$G$5:$G$1204,$Q11)&amp;"")</f>
        <v/>
      </c>
      <c r="F11" s="29" t="str">
        <f>IF($Q11="","",INDEX(TRANSACTIONS_MASTER!$I$5:$I$1204,$Q11))</f>
        <v/>
      </c>
      <c r="G11" s="55" t="str">
        <f>IF($Q11="","",INDEX(TRANSACTIONS_MASTER!$K$5:$K$1204,$Q11))</f>
        <v/>
      </c>
      <c r="H11" s="25" t="str">
        <f>IF($Q11="","",INDEX(TRANSACTIONS_MASTER!$L$5:$L$1204,$Q11))</f>
        <v/>
      </c>
      <c r="I11" s="56" t="str">
        <f>IF($Q11="","",INDEX(TRANSACTIONS_MASTER!$N$5:$N$1204,$Q11))</f>
        <v/>
      </c>
      <c r="J11" s="25" t="str">
        <f>IF($Q11="","",INDEX(TRANSACTIONS_MASTER!$O$5:$O$1204,$Q11))</f>
        <v/>
      </c>
      <c r="K11" s="26" t="str">
        <f>IF($Q11="","",INDEX(TRANSACTIONS_MASTER!$Q$5:$Q$1204,$Q11))</f>
        <v/>
      </c>
      <c r="L11" s="25" t="str">
        <f>IF($Q11="","",INDEX(TRANSACTIONS_MASTER!$P$5:$P$1204,$Q11))</f>
        <v/>
      </c>
      <c r="M11" s="25" t="str">
        <f>IF($Q11="","",INDEX(TRANSACTIONS_MASTER!$AA$5:$AA$1204,$Q11))</f>
        <v/>
      </c>
      <c r="N11" s="25" t="str">
        <f>IF($Q11="","",INDEX(TRANSACTIONS_MASTER!$R$5:$R$1204,$Q11))</f>
        <v/>
      </c>
      <c r="O11" s="28" t="str">
        <f>IF($Q11="","",INDEX(TRANSACTIONS_MASTER!$AB$5:$AB$1204,$Q11))</f>
        <v/>
      </c>
      <c r="P11" s="55" t="str">
        <f>IF($Q11="","",INDEX(TRANSACTIONS_MASTER!$Z$5:$Z$1204,$Q11)&amp;"")</f>
        <v/>
      </c>
      <c r="Q11" s="67" t="str">
        <f>IFERROR(MATCH($C$2&amp;"|"&amp;4,TRANSACTIONS_MASTER!$AE$5:$AE$1204,0),"")</f>
        <v/>
      </c>
      <c r="S11" s="67">
        <f>IFERROR(MATCH(4,CASHBACK_RULES!$S$5:$S$304,0),"")</f>
        <v>11</v>
      </c>
      <c r="T11" s="55" t="str">
        <f>IF($S11="","",INDEX(CASHBACK_RULES!$B$5:$B$304,$S11))</f>
        <v>VIB-A</v>
      </c>
      <c r="U11" s="55" t="str">
        <f>IF($S11="","",INDEX(CASHBACK_RULES!$C$5:$C$304,$S11)&amp;" "&amp;INDEX(CASHBACK_RULES!$D$5:$D$304,$S11))</f>
        <v>VIB Cashback Demo A</v>
      </c>
      <c r="V11" s="55" t="str">
        <f>IF($S11="","",INDEX(CASHBACK_RULES!$E$5:$E$304,$S11)&amp;"")</f>
        <v>Group 1</v>
      </c>
      <c r="W11" s="55" t="str">
        <f>IF($S11="","",INDEX(CASHBACK_RULES!$F$5:$F$304,$S11)&amp;"")</f>
        <v>Groceries</v>
      </c>
      <c r="X11" s="26">
        <f>IF($S11="","",SUMIFS(TRANSACTIONS_MASTER!$Q$5:$Q$1204,TRANSACTIONS_MASTER!$D$5:$D$1204,$T11,TRANSACTIONS_MASTER!$Z$5:$Z$1204,$V11,TRANSACTIONS_MASTER!$C$5:$C$1204,$C$2))</f>
        <v>0</v>
      </c>
      <c r="Y11" s="25">
        <f>IF($S11="","",IF(ISNUMBER(INDEX(CASHBACK_RULES!$J$5:$J$304,$S11)),INDEX(CASHBACK_RULES!$J$5:$J$304,$S11),"∞"))</f>
        <v>500000</v>
      </c>
      <c r="Z11" s="25">
        <f>IF($S11="","",IF(ISNUMBER($Y11),MAX(0,$Y11-$X11),"∞"))</f>
        <v>500000</v>
      </c>
      <c r="AA11" s="27">
        <f>IF($S11="","",IF(ISNUMBER($Y11),IF($Y11=0,0,$X11/$Y11),""))</f>
        <v>0</v>
      </c>
    </row>
    <row r="12" ht="20" customHeight="1">
      <c r="A12" s="81" t="str">
        <f>IF($Q12="","",5)</f>
        <v/>
      </c>
      <c r="B12" s="57" t="str">
        <f>IF($Q12="","",INDEX(TRANSACTIONS_MASTER!$B$5:$B$1204,$Q12))</f>
        <v/>
      </c>
      <c r="C12" s="55" t="str">
        <f>IF($Q12="","",INDEX(TRANSACTIONS_MASTER!$F$5:$F$1204,$Q12))</f>
        <v/>
      </c>
      <c r="D12" s="55" t="str">
        <f>IF($Q12="","",INDEX(TRANSACTIONS_MASTER!$E$5:$E$1204,$Q12))</f>
        <v/>
      </c>
      <c r="E12" s="55" t="str">
        <f>IF($Q12="","",INDEX(TRANSACTIONS_MASTER!$G$5:$G$1204,$Q12)&amp;"")</f>
        <v/>
      </c>
      <c r="F12" s="29" t="str">
        <f>IF($Q12="","",INDEX(TRANSACTIONS_MASTER!$I$5:$I$1204,$Q12))</f>
        <v/>
      </c>
      <c r="G12" s="55" t="str">
        <f>IF($Q12="","",INDEX(TRANSACTIONS_MASTER!$K$5:$K$1204,$Q12))</f>
        <v/>
      </c>
      <c r="H12" s="25" t="str">
        <f>IF($Q12="","",INDEX(TRANSACTIONS_MASTER!$L$5:$L$1204,$Q12))</f>
        <v/>
      </c>
      <c r="I12" s="56" t="str">
        <f>IF($Q12="","",INDEX(TRANSACTIONS_MASTER!$N$5:$N$1204,$Q12))</f>
        <v/>
      </c>
      <c r="J12" s="25" t="str">
        <f>IF($Q12="","",INDEX(TRANSACTIONS_MASTER!$O$5:$O$1204,$Q12))</f>
        <v/>
      </c>
      <c r="K12" s="26" t="str">
        <f>IF($Q12="","",INDEX(TRANSACTIONS_MASTER!$Q$5:$Q$1204,$Q12))</f>
        <v/>
      </c>
      <c r="L12" s="25" t="str">
        <f>IF($Q12="","",INDEX(TRANSACTIONS_MASTER!$P$5:$P$1204,$Q12))</f>
        <v/>
      </c>
      <c r="M12" s="25" t="str">
        <f>IF($Q12="","",INDEX(TRANSACTIONS_MASTER!$AA$5:$AA$1204,$Q12))</f>
        <v/>
      </c>
      <c r="N12" s="25" t="str">
        <f>IF($Q12="","",INDEX(TRANSACTIONS_MASTER!$R$5:$R$1204,$Q12))</f>
        <v/>
      </c>
      <c r="O12" s="28" t="str">
        <f>IF($Q12="","",INDEX(TRANSACTIONS_MASTER!$AB$5:$AB$1204,$Q12))</f>
        <v/>
      </c>
      <c r="P12" s="55" t="str">
        <f>IF($Q12="","",INDEX(TRANSACTIONS_MASTER!$Z$5:$Z$1204,$Q12)&amp;"")</f>
        <v/>
      </c>
      <c r="Q12" s="67" t="str">
        <f>IFERROR(MATCH($C$2&amp;"|"&amp;5,TRANSACTIONS_MASTER!$AE$5:$AE$1204,0),"")</f>
        <v/>
      </c>
      <c r="S12" s="67">
        <f>IFERROR(MATCH(5,CASHBACK_RULES!$S$5:$S$304,0),"")</f>
        <v>13</v>
      </c>
      <c r="T12" s="55" t="str">
        <f>IF($S12="","",INDEX(CASHBACK_RULES!$B$5:$B$304,$S12))</f>
        <v>VIB-A</v>
      </c>
      <c r="U12" s="55" t="str">
        <f>IF($S12="","",INDEX(CASHBACK_RULES!$C$5:$C$304,$S12)&amp;" "&amp;INDEX(CASHBACK_RULES!$D$5:$D$304,$S12))</f>
        <v>VIB Cashback Demo A</v>
      </c>
      <c r="V12" s="55" t="str">
        <f>IF($S12="","",INDEX(CASHBACK_RULES!$E$5:$E$304,$S12)&amp;"")</f>
        <v>Group 2</v>
      </c>
      <c r="W12" s="55" t="str">
        <f>IF($S12="","",INDEX(CASHBACK_RULES!$F$5:$F$304,$S12)&amp;"")</f>
        <v>Shopping</v>
      </c>
      <c r="X12" s="26">
        <f>IF($S12="","",SUMIFS(TRANSACTIONS_MASTER!$Q$5:$Q$1204,TRANSACTIONS_MASTER!$D$5:$D$1204,$T12,TRANSACTIONS_MASTER!$Z$5:$Z$1204,$V12,TRANSACTIONS_MASTER!$C$5:$C$1204,$C$2))</f>
        <v>0</v>
      </c>
      <c r="Y12" s="25">
        <f>IF($S12="","",IF(ISNUMBER(INDEX(CASHBACK_RULES!$J$5:$J$304,$S12)),INDEX(CASHBACK_RULES!$J$5:$J$304,$S12),"∞"))</f>
        <v>500000</v>
      </c>
      <c r="Z12" s="25">
        <f>IF($S12="","",IF(ISNUMBER($Y12),MAX(0,$Y12-$X12),"∞"))</f>
        <v>500000</v>
      </c>
      <c r="AA12" s="27">
        <f>IF($S12="","",IF(ISNUMBER($Y12),IF($Y12=0,0,$X12/$Y12),""))</f>
        <v>0</v>
      </c>
    </row>
    <row r="13" ht="20" customHeight="1">
      <c r="A13" s="81" t="str">
        <f>IF($Q13="","",6)</f>
        <v/>
      </c>
      <c r="B13" s="57" t="str">
        <f>IF($Q13="","",INDEX(TRANSACTIONS_MASTER!$B$5:$B$1204,$Q13))</f>
        <v/>
      </c>
      <c r="C13" s="55" t="str">
        <f>IF($Q13="","",INDEX(TRANSACTIONS_MASTER!$F$5:$F$1204,$Q13))</f>
        <v/>
      </c>
      <c r="D13" s="55" t="str">
        <f>IF($Q13="","",INDEX(TRANSACTIONS_MASTER!$E$5:$E$1204,$Q13))</f>
        <v/>
      </c>
      <c r="E13" s="55" t="str">
        <f>IF($Q13="","",INDEX(TRANSACTIONS_MASTER!$G$5:$G$1204,$Q13)&amp;"")</f>
        <v/>
      </c>
      <c r="F13" s="29" t="str">
        <f>IF($Q13="","",INDEX(TRANSACTIONS_MASTER!$I$5:$I$1204,$Q13))</f>
        <v/>
      </c>
      <c r="G13" s="55" t="str">
        <f>IF($Q13="","",INDEX(TRANSACTIONS_MASTER!$K$5:$K$1204,$Q13))</f>
        <v/>
      </c>
      <c r="H13" s="25" t="str">
        <f>IF($Q13="","",INDEX(TRANSACTIONS_MASTER!$L$5:$L$1204,$Q13))</f>
        <v/>
      </c>
      <c r="I13" s="56" t="str">
        <f>IF($Q13="","",INDEX(TRANSACTIONS_MASTER!$N$5:$N$1204,$Q13))</f>
        <v/>
      </c>
      <c r="J13" s="25" t="str">
        <f>IF($Q13="","",INDEX(TRANSACTIONS_MASTER!$O$5:$O$1204,$Q13))</f>
        <v/>
      </c>
      <c r="K13" s="26" t="str">
        <f>IF($Q13="","",INDEX(TRANSACTIONS_MASTER!$Q$5:$Q$1204,$Q13))</f>
        <v/>
      </c>
      <c r="L13" s="25" t="str">
        <f>IF($Q13="","",INDEX(TRANSACTIONS_MASTER!$P$5:$P$1204,$Q13))</f>
        <v/>
      </c>
      <c r="M13" s="25" t="str">
        <f>IF($Q13="","",INDEX(TRANSACTIONS_MASTER!$AA$5:$AA$1204,$Q13))</f>
        <v/>
      </c>
      <c r="N13" s="25" t="str">
        <f>IF($Q13="","",INDEX(TRANSACTIONS_MASTER!$R$5:$R$1204,$Q13))</f>
        <v/>
      </c>
      <c r="O13" s="28" t="str">
        <f>IF($Q13="","",INDEX(TRANSACTIONS_MASTER!$AB$5:$AB$1204,$Q13))</f>
        <v/>
      </c>
      <c r="P13" s="55" t="str">
        <f>IF($Q13="","",INDEX(TRANSACTIONS_MASTER!$Z$5:$Z$1204,$Q13)&amp;"")</f>
        <v/>
      </c>
      <c r="Q13" s="67" t="str">
        <f>IFERROR(MATCH($C$2&amp;"|"&amp;6,TRANSACTIONS_MASTER!$AE$5:$AE$1204,0),"")</f>
        <v/>
      </c>
      <c r="S13" s="67">
        <f>IFERROR(MATCH(6,CASHBACK_RULES!$S$5:$S$304,0),"")</f>
        <v>15</v>
      </c>
      <c r="T13" s="55" t="str">
        <f>IF($S13="","",INDEX(CASHBACK_RULES!$B$5:$B$304,$S13))</f>
        <v>TCB-B</v>
      </c>
      <c r="U13" s="55" t="str">
        <f>IF($S13="","",INDEX(CASHBACK_RULES!$C$5:$C$304,$S13)&amp;" "&amp;INDEX(CASHBACK_RULES!$D$5:$D$304,$S13))</f>
        <v>Techcombank Cashback Demo B</v>
      </c>
      <c r="V13" s="55" t="str">
        <f>IF($S13="","",INDEX(CASHBACK_RULES!$E$5:$E$304,$S13)&amp;"")</f>
        <v>Group 1</v>
      </c>
      <c r="W13" s="55" t="str">
        <f>IF($S13="","",INDEX(CASHBACK_RULES!$F$5:$F$304,$S13)&amp;"")</f>
        <v>Fuel &amp; Transport</v>
      </c>
      <c r="X13" s="26">
        <f>IF($S13="","",SUMIFS(TRANSACTIONS_MASTER!$Q$5:$Q$1204,TRANSACTIONS_MASTER!$D$5:$D$1204,$T13,TRANSACTIONS_MASTER!$Z$5:$Z$1204,$V13,TRANSACTIONS_MASTER!$C$5:$C$1204,$C$2))</f>
        <v>0</v>
      </c>
      <c r="Y13" s="25">
        <f>IF($S13="","",IF(ISNUMBER(INDEX(CASHBACK_RULES!$J$5:$J$304,$S13)),INDEX(CASHBACK_RULES!$J$5:$J$304,$S13),"∞"))</f>
        <v>300000</v>
      </c>
      <c r="Z13" s="25">
        <f>IF($S13="","",IF(ISNUMBER($Y13),MAX(0,$Y13-$X13),"∞"))</f>
        <v>300000</v>
      </c>
      <c r="AA13" s="27">
        <f>IF($S13="","",IF(ISNUMBER($Y13),IF($Y13=0,0,$X13/$Y13),""))</f>
        <v>0</v>
      </c>
    </row>
    <row r="14" ht="20" customHeight="1">
      <c r="A14" s="81" t="str">
        <f>IF($Q14="","",7)</f>
        <v/>
      </c>
      <c r="B14" s="57" t="str">
        <f>IF($Q14="","",INDEX(TRANSACTIONS_MASTER!$B$5:$B$1204,$Q14))</f>
        <v/>
      </c>
      <c r="C14" s="55" t="str">
        <f>IF($Q14="","",INDEX(TRANSACTIONS_MASTER!$F$5:$F$1204,$Q14))</f>
        <v/>
      </c>
      <c r="D14" s="55" t="str">
        <f>IF($Q14="","",INDEX(TRANSACTIONS_MASTER!$E$5:$E$1204,$Q14))</f>
        <v/>
      </c>
      <c r="E14" s="55" t="str">
        <f>IF($Q14="","",INDEX(TRANSACTIONS_MASTER!$G$5:$G$1204,$Q14)&amp;"")</f>
        <v/>
      </c>
      <c r="F14" s="29" t="str">
        <f>IF($Q14="","",INDEX(TRANSACTIONS_MASTER!$I$5:$I$1204,$Q14))</f>
        <v/>
      </c>
      <c r="G14" s="55" t="str">
        <f>IF($Q14="","",INDEX(TRANSACTIONS_MASTER!$K$5:$K$1204,$Q14))</f>
        <v/>
      </c>
      <c r="H14" s="25" t="str">
        <f>IF($Q14="","",INDEX(TRANSACTIONS_MASTER!$L$5:$L$1204,$Q14))</f>
        <v/>
      </c>
      <c r="I14" s="56" t="str">
        <f>IF($Q14="","",INDEX(TRANSACTIONS_MASTER!$N$5:$N$1204,$Q14))</f>
        <v/>
      </c>
      <c r="J14" s="25" t="str">
        <f>IF($Q14="","",INDEX(TRANSACTIONS_MASTER!$O$5:$O$1204,$Q14))</f>
        <v/>
      </c>
      <c r="K14" s="26" t="str">
        <f>IF($Q14="","",INDEX(TRANSACTIONS_MASTER!$Q$5:$Q$1204,$Q14))</f>
        <v/>
      </c>
      <c r="L14" s="25" t="str">
        <f>IF($Q14="","",INDEX(TRANSACTIONS_MASTER!$P$5:$P$1204,$Q14))</f>
        <v/>
      </c>
      <c r="M14" s="25" t="str">
        <f>IF($Q14="","",INDEX(TRANSACTIONS_MASTER!$AA$5:$AA$1204,$Q14))</f>
        <v/>
      </c>
      <c r="N14" s="25" t="str">
        <f>IF($Q14="","",INDEX(TRANSACTIONS_MASTER!$R$5:$R$1204,$Q14))</f>
        <v/>
      </c>
      <c r="O14" s="28" t="str">
        <f>IF($Q14="","",INDEX(TRANSACTIONS_MASTER!$AB$5:$AB$1204,$Q14))</f>
        <v/>
      </c>
      <c r="P14" s="55" t="str">
        <f>IF($Q14="","",INDEX(TRANSACTIONS_MASTER!$Z$5:$Z$1204,$Q14)&amp;"")</f>
        <v/>
      </c>
      <c r="Q14" s="67" t="str">
        <f>IFERROR(MATCH($C$2&amp;"|"&amp;7,TRANSACTIONS_MASTER!$AE$5:$AE$1204,0),"")</f>
        <v/>
      </c>
      <c r="S14" s="67">
        <f>IFERROR(MATCH(7,CASHBACK_RULES!$S$5:$S$304,0),"")</f>
        <v>18</v>
      </c>
      <c r="T14" s="55" t="str">
        <f>IF($S14="","",INDEX(CASHBACK_RULES!$B$5:$B$304,$S14))</f>
        <v>TCB-B</v>
      </c>
      <c r="U14" s="55" t="str">
        <f>IF($S14="","",INDEX(CASHBACK_RULES!$C$5:$C$304,$S14)&amp;" "&amp;INDEX(CASHBACK_RULES!$D$5:$D$304,$S14))</f>
        <v>Techcombank Cashback Demo B</v>
      </c>
      <c r="V14" s="55" t="str">
        <f>IF($S14="","",INDEX(CASHBACK_RULES!$E$5:$E$304,$S14)&amp;"")</f>
        <v>Group 2</v>
      </c>
      <c r="W14" s="55" t="str">
        <f>IF($S14="","",INDEX(CASHBACK_RULES!$F$5:$F$304,$S14)&amp;"")</f>
        <v>Healthcare</v>
      </c>
      <c r="X14" s="26">
        <f>IF($S14="","",SUMIFS(TRANSACTIONS_MASTER!$Q$5:$Q$1204,TRANSACTIONS_MASTER!$D$5:$D$1204,$T14,TRANSACTIONS_MASTER!$Z$5:$Z$1204,$V14,TRANSACTIONS_MASTER!$C$5:$C$1204,$C$2))</f>
        <v>0</v>
      </c>
      <c r="Y14" s="25">
        <f>IF($S14="","",IF(ISNUMBER(INDEX(CASHBACK_RULES!$J$5:$J$304,$S14)),INDEX(CASHBACK_RULES!$J$5:$J$304,$S14),"∞"))</f>
        <v>300000</v>
      </c>
      <c r="Z14" s="25">
        <f>IF($S14="","",IF(ISNUMBER($Y14),MAX(0,$Y14-$X14),"∞"))</f>
        <v>300000</v>
      </c>
      <c r="AA14" s="27">
        <f>IF($S14="","",IF(ISNUMBER($Y14),IF($Y14=0,0,$X14/$Y14),""))</f>
        <v>0</v>
      </c>
    </row>
    <row r="15" ht="20" customHeight="1">
      <c r="A15" s="81" t="str">
        <f>IF($Q15="","",8)</f>
        <v/>
      </c>
      <c r="B15" s="57" t="str">
        <f>IF($Q15="","",INDEX(TRANSACTIONS_MASTER!$B$5:$B$1204,$Q15))</f>
        <v/>
      </c>
      <c r="C15" s="55" t="str">
        <f>IF($Q15="","",INDEX(TRANSACTIONS_MASTER!$F$5:$F$1204,$Q15))</f>
        <v/>
      </c>
      <c r="D15" s="55" t="str">
        <f>IF($Q15="","",INDEX(TRANSACTIONS_MASTER!$E$5:$E$1204,$Q15))</f>
        <v/>
      </c>
      <c r="E15" s="55" t="str">
        <f>IF($Q15="","",INDEX(TRANSACTIONS_MASTER!$G$5:$G$1204,$Q15)&amp;"")</f>
        <v/>
      </c>
      <c r="F15" s="29" t="str">
        <f>IF($Q15="","",INDEX(TRANSACTIONS_MASTER!$I$5:$I$1204,$Q15))</f>
        <v/>
      </c>
      <c r="G15" s="55" t="str">
        <f>IF($Q15="","",INDEX(TRANSACTIONS_MASTER!$K$5:$K$1204,$Q15))</f>
        <v/>
      </c>
      <c r="H15" s="25" t="str">
        <f>IF($Q15="","",INDEX(TRANSACTIONS_MASTER!$L$5:$L$1204,$Q15))</f>
        <v/>
      </c>
      <c r="I15" s="56" t="str">
        <f>IF($Q15="","",INDEX(TRANSACTIONS_MASTER!$N$5:$N$1204,$Q15))</f>
        <v/>
      </c>
      <c r="J15" s="25" t="str">
        <f>IF($Q15="","",INDEX(TRANSACTIONS_MASTER!$O$5:$O$1204,$Q15))</f>
        <v/>
      </c>
      <c r="K15" s="26" t="str">
        <f>IF($Q15="","",INDEX(TRANSACTIONS_MASTER!$Q$5:$Q$1204,$Q15))</f>
        <v/>
      </c>
      <c r="L15" s="25" t="str">
        <f>IF($Q15="","",INDEX(TRANSACTIONS_MASTER!$P$5:$P$1204,$Q15))</f>
        <v/>
      </c>
      <c r="M15" s="25" t="str">
        <f>IF($Q15="","",INDEX(TRANSACTIONS_MASTER!$AA$5:$AA$1204,$Q15))</f>
        <v/>
      </c>
      <c r="N15" s="25" t="str">
        <f>IF($Q15="","",INDEX(TRANSACTIONS_MASTER!$R$5:$R$1204,$Q15))</f>
        <v/>
      </c>
      <c r="O15" s="28" t="str">
        <f>IF($Q15="","",INDEX(TRANSACTIONS_MASTER!$AB$5:$AB$1204,$Q15))</f>
        <v/>
      </c>
      <c r="P15" s="55" t="str">
        <f>IF($Q15="","",INDEX(TRANSACTIONS_MASTER!$Z$5:$Z$1204,$Q15)&amp;"")</f>
        <v/>
      </c>
      <c r="Q15" s="67" t="str">
        <f>IFERROR(MATCH($C$2&amp;"|"&amp;8,TRANSACTIONS_MASTER!$AE$5:$AE$1204,0),"")</f>
        <v/>
      </c>
      <c r="S15" s="67">
        <f>IFERROR(MATCH(8,CASHBACK_RULES!$S$5:$S$304,0),"")</f>
        <v>20</v>
      </c>
      <c r="T15" s="55" t="str">
        <f>IF($S15="","",INDEX(CASHBACK_RULES!$B$5:$B$304,$S15))</f>
        <v>TCB-B</v>
      </c>
      <c r="U15" s="55" t="str">
        <f>IF($S15="","",INDEX(CASHBACK_RULES!$C$5:$C$304,$S15)&amp;" "&amp;INDEX(CASHBACK_RULES!$D$5:$D$304,$S15))</f>
        <v>Techcombank Cashback Demo B</v>
      </c>
      <c r="V15" s="55" t="str">
        <f>IF($S15="","",INDEX(CASHBACK_RULES!$E$5:$E$304,$S15)&amp;"")</f>
        <v>Group 3</v>
      </c>
      <c r="W15" s="55" t="str">
        <f>IF($S15="","",INDEX(CASHBACK_RULES!$F$5:$F$304,$S15)&amp;"")</f>
        <v>Utilities &amp; Telecom</v>
      </c>
      <c r="X15" s="26">
        <f>IF($S15="","",SUMIFS(TRANSACTIONS_MASTER!$Q$5:$Q$1204,TRANSACTIONS_MASTER!$D$5:$D$1204,$T15,TRANSACTIONS_MASTER!$Z$5:$Z$1204,$V15,TRANSACTIONS_MASTER!$C$5:$C$1204,$C$2))</f>
        <v>0</v>
      </c>
      <c r="Y15" s="25">
        <f>IF($S15="","",IF(ISNUMBER(INDEX(CASHBACK_RULES!$J$5:$J$304,$S15)),INDEX(CASHBACK_RULES!$J$5:$J$304,$S15),"∞"))</f>
        <v>300000</v>
      </c>
      <c r="Z15" s="25">
        <f>IF($S15="","",IF(ISNUMBER($Y15),MAX(0,$Y15-$X15),"∞"))</f>
        <v>300000</v>
      </c>
      <c r="AA15" s="27">
        <f>IF($S15="","",IF(ISNUMBER($Y15),IF($Y15=0,0,$X15/$Y15),""))</f>
        <v>0</v>
      </c>
    </row>
    <row r="16" ht="20" customHeight="1">
      <c r="A16" s="81" t="str">
        <f>IF($Q16="","",9)</f>
        <v/>
      </c>
      <c r="B16" s="57" t="str">
        <f>IF($Q16="","",INDEX(TRANSACTIONS_MASTER!$B$5:$B$1204,$Q16))</f>
        <v/>
      </c>
      <c r="C16" s="55" t="str">
        <f>IF($Q16="","",INDEX(TRANSACTIONS_MASTER!$F$5:$F$1204,$Q16))</f>
        <v/>
      </c>
      <c r="D16" s="55" t="str">
        <f>IF($Q16="","",INDEX(TRANSACTIONS_MASTER!$E$5:$E$1204,$Q16))</f>
        <v/>
      </c>
      <c r="E16" s="55" t="str">
        <f>IF($Q16="","",INDEX(TRANSACTIONS_MASTER!$G$5:$G$1204,$Q16)&amp;"")</f>
        <v/>
      </c>
      <c r="F16" s="29" t="str">
        <f>IF($Q16="","",INDEX(TRANSACTIONS_MASTER!$I$5:$I$1204,$Q16))</f>
        <v/>
      </c>
      <c r="G16" s="55" t="str">
        <f>IF($Q16="","",INDEX(TRANSACTIONS_MASTER!$K$5:$K$1204,$Q16))</f>
        <v/>
      </c>
      <c r="H16" s="25" t="str">
        <f>IF($Q16="","",INDEX(TRANSACTIONS_MASTER!$L$5:$L$1204,$Q16))</f>
        <v/>
      </c>
      <c r="I16" s="56" t="str">
        <f>IF($Q16="","",INDEX(TRANSACTIONS_MASTER!$N$5:$N$1204,$Q16))</f>
        <v/>
      </c>
      <c r="J16" s="25" t="str">
        <f>IF($Q16="","",INDEX(TRANSACTIONS_MASTER!$O$5:$O$1204,$Q16))</f>
        <v/>
      </c>
      <c r="K16" s="26" t="str">
        <f>IF($Q16="","",INDEX(TRANSACTIONS_MASTER!$Q$5:$Q$1204,$Q16))</f>
        <v/>
      </c>
      <c r="L16" s="25" t="str">
        <f>IF($Q16="","",INDEX(TRANSACTIONS_MASTER!$P$5:$P$1204,$Q16))</f>
        <v/>
      </c>
      <c r="M16" s="25" t="str">
        <f>IF($Q16="","",INDEX(TRANSACTIONS_MASTER!$AA$5:$AA$1204,$Q16))</f>
        <v/>
      </c>
      <c r="N16" s="25" t="str">
        <f>IF($Q16="","",INDEX(TRANSACTIONS_MASTER!$R$5:$R$1204,$Q16))</f>
        <v/>
      </c>
      <c r="O16" s="28" t="str">
        <f>IF($Q16="","",INDEX(TRANSACTIONS_MASTER!$AB$5:$AB$1204,$Q16))</f>
        <v/>
      </c>
      <c r="P16" s="55" t="str">
        <f>IF($Q16="","",INDEX(TRANSACTIONS_MASTER!$Z$5:$Z$1204,$Q16)&amp;"")</f>
        <v/>
      </c>
      <c r="Q16" s="67" t="str">
        <f>IFERROR(MATCH($C$2&amp;"|"&amp;9,TRANSACTIONS_MASTER!$AE$5:$AE$1204,0),"")</f>
        <v/>
      </c>
      <c r="S16" s="67">
        <f>IFERROR(MATCH(9,CASHBACK_RULES!$S$5:$S$304,0),"")</f>
        <v>22</v>
      </c>
      <c r="T16" s="55" t="str">
        <f>IF($S16="","",INDEX(CASHBACK_RULES!$B$5:$B$304,$S16))</f>
        <v>UOB-C</v>
      </c>
      <c r="U16" s="55" t="str">
        <f>IF($S16="","",INDEX(CASHBACK_RULES!$C$5:$C$304,$S16)&amp;" "&amp;INDEX(CASHBACK_RULES!$D$5:$D$304,$S16))</f>
        <v>UOB Cashback Demo C</v>
      </c>
      <c r="V16" s="55" t="str">
        <f>IF($S16="","",INDEX(CASHBACK_RULES!$E$5:$E$304,$S16)&amp;"")</f>
        <v>Group 1</v>
      </c>
      <c r="W16" s="55" t="str">
        <f>IF($S16="","",INDEX(CASHBACK_RULES!$F$5:$F$304,$S16)&amp;"")</f>
        <v>Dining</v>
      </c>
      <c r="X16" s="26">
        <f>IF($S16="","",SUMIFS(TRANSACTIONS_MASTER!$Q$5:$Q$1204,TRANSACTIONS_MASTER!$D$5:$D$1204,$T16,TRANSACTIONS_MASTER!$Z$5:$Z$1204,$V16,TRANSACTIONS_MASTER!$C$5:$C$1204,$C$2))</f>
        <v>0</v>
      </c>
      <c r="Y16" s="25">
        <f>IF($S16="","",IF(ISNUMBER(INDEX(CASHBACK_RULES!$J$5:$J$304,$S16)),INDEX(CASHBACK_RULES!$J$5:$J$304,$S16),"∞"))</f>
        <v>1000000</v>
      </c>
      <c r="Z16" s="25">
        <f>IF($S16="","",IF(ISNUMBER($Y16),MAX(0,$Y16-$X16),"∞"))</f>
        <v>1000000</v>
      </c>
      <c r="AA16" s="27">
        <f>IF($S16="","",IF(ISNUMBER($Y16),IF($Y16=0,0,$X16/$Y16),""))</f>
        <v>0</v>
      </c>
    </row>
    <row r="17" ht="20" customHeight="1">
      <c r="A17" s="81" t="str">
        <f>IF($Q17="","",10)</f>
        <v/>
      </c>
      <c r="B17" s="57" t="str">
        <f>IF($Q17="","",INDEX(TRANSACTIONS_MASTER!$B$5:$B$1204,$Q17))</f>
        <v/>
      </c>
      <c r="C17" s="55" t="str">
        <f>IF($Q17="","",INDEX(TRANSACTIONS_MASTER!$F$5:$F$1204,$Q17))</f>
        <v/>
      </c>
      <c r="D17" s="55" t="str">
        <f>IF($Q17="","",INDEX(TRANSACTIONS_MASTER!$E$5:$E$1204,$Q17))</f>
        <v/>
      </c>
      <c r="E17" s="55" t="str">
        <f>IF($Q17="","",INDEX(TRANSACTIONS_MASTER!$G$5:$G$1204,$Q17)&amp;"")</f>
        <v/>
      </c>
      <c r="F17" s="29" t="str">
        <f>IF($Q17="","",INDEX(TRANSACTIONS_MASTER!$I$5:$I$1204,$Q17))</f>
        <v/>
      </c>
      <c r="G17" s="55" t="str">
        <f>IF($Q17="","",INDEX(TRANSACTIONS_MASTER!$K$5:$K$1204,$Q17))</f>
        <v/>
      </c>
      <c r="H17" s="25" t="str">
        <f>IF($Q17="","",INDEX(TRANSACTIONS_MASTER!$L$5:$L$1204,$Q17))</f>
        <v/>
      </c>
      <c r="I17" s="56" t="str">
        <f>IF($Q17="","",INDEX(TRANSACTIONS_MASTER!$N$5:$N$1204,$Q17))</f>
        <v/>
      </c>
      <c r="J17" s="25" t="str">
        <f>IF($Q17="","",INDEX(TRANSACTIONS_MASTER!$O$5:$O$1204,$Q17))</f>
        <v/>
      </c>
      <c r="K17" s="26" t="str">
        <f>IF($Q17="","",INDEX(TRANSACTIONS_MASTER!$Q$5:$Q$1204,$Q17))</f>
        <v/>
      </c>
      <c r="L17" s="25" t="str">
        <f>IF($Q17="","",INDEX(TRANSACTIONS_MASTER!$P$5:$P$1204,$Q17))</f>
        <v/>
      </c>
      <c r="M17" s="25" t="str">
        <f>IF($Q17="","",INDEX(TRANSACTIONS_MASTER!$AA$5:$AA$1204,$Q17))</f>
        <v/>
      </c>
      <c r="N17" s="25" t="str">
        <f>IF($Q17="","",INDEX(TRANSACTIONS_MASTER!$R$5:$R$1204,$Q17))</f>
        <v/>
      </c>
      <c r="O17" s="28" t="str">
        <f>IF($Q17="","",INDEX(TRANSACTIONS_MASTER!$AB$5:$AB$1204,$Q17))</f>
        <v/>
      </c>
      <c r="P17" s="55" t="str">
        <f>IF($Q17="","",INDEX(TRANSACTIONS_MASTER!$Z$5:$Z$1204,$Q17)&amp;"")</f>
        <v/>
      </c>
      <c r="Q17" s="67" t="str">
        <f>IFERROR(MATCH($C$2&amp;"|"&amp;10,TRANSACTIONS_MASTER!$AE$5:$AE$1204,0),"")</f>
        <v/>
      </c>
      <c r="S17" s="67">
        <f>IFERROR(MATCH(10,CASHBACK_RULES!$S$5:$S$304,0),"")</f>
        <v>24</v>
      </c>
      <c r="T17" s="55" t="str">
        <f>IF($S17="","",INDEX(CASHBACK_RULES!$B$5:$B$304,$S17))</f>
        <v>MB-D</v>
      </c>
      <c r="U17" s="55" t="str">
        <f>IF($S17="","",INDEX(CASHBACK_RULES!$C$5:$C$304,$S17)&amp;" "&amp;INDEX(CASHBACK_RULES!$D$5:$D$304,$S17))</f>
        <v>MB Cashback Demo D</v>
      </c>
      <c r="V17" s="55" t="str">
        <f>IF($S17="","",INDEX(CASHBACK_RULES!$E$5:$E$304,$S17)&amp;"")</f>
        <v>Dining</v>
      </c>
      <c r="W17" s="55" t="str">
        <f>IF($S17="","",INDEX(CASHBACK_RULES!$F$5:$F$304,$S17)&amp;"")</f>
        <v>Dining</v>
      </c>
      <c r="X17" s="26">
        <f>IF($S17="","",SUMIFS(TRANSACTIONS_MASTER!$Q$5:$Q$1204,TRANSACTIONS_MASTER!$D$5:$D$1204,$T17,TRANSACTIONS_MASTER!$Z$5:$Z$1204,$V17,TRANSACTIONS_MASTER!$C$5:$C$1204,$C$2))</f>
        <v>0</v>
      </c>
      <c r="Y17" s="25">
        <f>IF($S17="","",IF(ISNUMBER(INDEX(CASHBACK_RULES!$J$5:$J$304,$S17)),INDEX(CASHBACK_RULES!$J$5:$J$304,$S17),"∞"))</f>
        <v>500000</v>
      </c>
      <c r="Z17" s="25">
        <f>IF($S17="","",IF(ISNUMBER($Y17),MAX(0,$Y17-$X17),"∞"))</f>
        <v>500000</v>
      </c>
      <c r="AA17" s="27">
        <f>IF($S17="","",IF(ISNUMBER($Y17),IF($Y17=0,0,$X17/$Y17),""))</f>
        <v>0</v>
      </c>
    </row>
    <row r="18" ht="20" customHeight="1">
      <c r="A18" s="81" t="str">
        <f>IF($Q18="","",11)</f>
        <v/>
      </c>
      <c r="B18" s="57" t="str">
        <f>IF($Q18="","",INDEX(TRANSACTIONS_MASTER!$B$5:$B$1204,$Q18))</f>
        <v/>
      </c>
      <c r="C18" s="55" t="str">
        <f>IF($Q18="","",INDEX(TRANSACTIONS_MASTER!$F$5:$F$1204,$Q18))</f>
        <v/>
      </c>
      <c r="D18" s="55" t="str">
        <f>IF($Q18="","",INDEX(TRANSACTIONS_MASTER!$E$5:$E$1204,$Q18))</f>
        <v/>
      </c>
      <c r="E18" s="55" t="str">
        <f>IF($Q18="","",INDEX(TRANSACTIONS_MASTER!$G$5:$G$1204,$Q18)&amp;"")</f>
        <v/>
      </c>
      <c r="F18" s="29" t="str">
        <f>IF($Q18="","",INDEX(TRANSACTIONS_MASTER!$I$5:$I$1204,$Q18))</f>
        <v/>
      </c>
      <c r="G18" s="55" t="str">
        <f>IF($Q18="","",INDEX(TRANSACTIONS_MASTER!$K$5:$K$1204,$Q18))</f>
        <v/>
      </c>
      <c r="H18" s="25" t="str">
        <f>IF($Q18="","",INDEX(TRANSACTIONS_MASTER!$L$5:$L$1204,$Q18))</f>
        <v/>
      </c>
      <c r="I18" s="56" t="str">
        <f>IF($Q18="","",INDEX(TRANSACTIONS_MASTER!$N$5:$N$1204,$Q18))</f>
        <v/>
      </c>
      <c r="J18" s="25" t="str">
        <f>IF($Q18="","",INDEX(TRANSACTIONS_MASTER!$O$5:$O$1204,$Q18))</f>
        <v/>
      </c>
      <c r="K18" s="26" t="str">
        <f>IF($Q18="","",INDEX(TRANSACTIONS_MASTER!$Q$5:$Q$1204,$Q18))</f>
        <v/>
      </c>
      <c r="L18" s="25" t="str">
        <f>IF($Q18="","",INDEX(TRANSACTIONS_MASTER!$P$5:$P$1204,$Q18))</f>
        <v/>
      </c>
      <c r="M18" s="25" t="str">
        <f>IF($Q18="","",INDEX(TRANSACTIONS_MASTER!$AA$5:$AA$1204,$Q18))</f>
        <v/>
      </c>
      <c r="N18" s="25" t="str">
        <f>IF($Q18="","",INDEX(TRANSACTIONS_MASTER!$R$5:$R$1204,$Q18))</f>
        <v/>
      </c>
      <c r="O18" s="28" t="str">
        <f>IF($Q18="","",INDEX(TRANSACTIONS_MASTER!$AB$5:$AB$1204,$Q18))</f>
        <v/>
      </c>
      <c r="P18" s="55" t="str">
        <f>IF($Q18="","",INDEX(TRANSACTIONS_MASTER!$Z$5:$Z$1204,$Q18)&amp;"")</f>
        <v/>
      </c>
      <c r="Q18" s="67" t="str">
        <f>IFERROR(MATCH($C$2&amp;"|"&amp;11,TRANSACTIONS_MASTER!$AE$5:$AE$1204,0),"")</f>
        <v/>
      </c>
      <c r="S18" s="67">
        <f>IFERROR(MATCH(11,CASHBACK_RULES!$S$5:$S$304,0),"")</f>
        <v>25</v>
      </c>
      <c r="T18" s="55" t="str">
        <f>IF($S18="","",INDEX(CASHBACK_RULES!$B$5:$B$304,$S18))</f>
        <v>MB-D</v>
      </c>
      <c r="U18" s="55" t="str">
        <f>IF($S18="","",INDEX(CASHBACK_RULES!$C$5:$C$304,$S18)&amp;" "&amp;INDEX(CASHBACK_RULES!$D$5:$D$304,$S18))</f>
        <v>MB Cashback Demo D</v>
      </c>
      <c r="V18" s="55" t="str">
        <f>IF($S18="","",INDEX(CASHBACK_RULES!$E$5:$E$304,$S18)&amp;"")</f>
        <v>Fuel</v>
      </c>
      <c r="W18" s="55" t="str">
        <f>IF($S18="","",INDEX(CASHBACK_RULES!$F$5:$F$304,$S18)&amp;"")</f>
        <v>Fuel</v>
      </c>
      <c r="X18" s="26">
        <f>IF($S18="","",SUMIFS(TRANSACTIONS_MASTER!$Q$5:$Q$1204,TRANSACTIONS_MASTER!$D$5:$D$1204,$T18,TRANSACTIONS_MASTER!$Z$5:$Z$1204,$V18,TRANSACTIONS_MASTER!$C$5:$C$1204,$C$2))</f>
        <v>0</v>
      </c>
      <c r="Y18" s="25">
        <f>IF($S18="","",IF(ISNUMBER(INDEX(CASHBACK_RULES!$J$5:$J$304,$S18)),INDEX(CASHBACK_RULES!$J$5:$J$304,$S18),"∞"))</f>
        <v>200000</v>
      </c>
      <c r="Z18" s="25">
        <f>IF($S18="","",IF(ISNUMBER($Y18),MAX(0,$Y18-$X18),"∞"))</f>
        <v>200000</v>
      </c>
      <c r="AA18" s="27">
        <f>IF($S18="","",IF(ISNUMBER($Y18),IF($Y18=0,0,$X18/$Y18),""))</f>
        <v>0</v>
      </c>
    </row>
    <row r="19" ht="20" customHeight="1">
      <c r="A19" s="81" t="str">
        <f>IF($Q19="","",12)</f>
        <v/>
      </c>
      <c r="B19" s="57" t="str">
        <f>IF($Q19="","",INDEX(TRANSACTIONS_MASTER!$B$5:$B$1204,$Q19))</f>
        <v/>
      </c>
      <c r="C19" s="55" t="str">
        <f>IF($Q19="","",INDEX(TRANSACTIONS_MASTER!$F$5:$F$1204,$Q19))</f>
        <v/>
      </c>
      <c r="D19" s="55" t="str">
        <f>IF($Q19="","",INDEX(TRANSACTIONS_MASTER!$E$5:$E$1204,$Q19))</f>
        <v/>
      </c>
      <c r="E19" s="55" t="str">
        <f>IF($Q19="","",INDEX(TRANSACTIONS_MASTER!$G$5:$G$1204,$Q19)&amp;"")</f>
        <v/>
      </c>
      <c r="F19" s="29" t="str">
        <f>IF($Q19="","",INDEX(TRANSACTIONS_MASTER!$I$5:$I$1204,$Q19))</f>
        <v/>
      </c>
      <c r="G19" s="55" t="str">
        <f>IF($Q19="","",INDEX(TRANSACTIONS_MASTER!$K$5:$K$1204,$Q19))</f>
        <v/>
      </c>
      <c r="H19" s="25" t="str">
        <f>IF($Q19="","",INDEX(TRANSACTIONS_MASTER!$L$5:$L$1204,$Q19))</f>
        <v/>
      </c>
      <c r="I19" s="56" t="str">
        <f>IF($Q19="","",INDEX(TRANSACTIONS_MASTER!$N$5:$N$1204,$Q19))</f>
        <v/>
      </c>
      <c r="J19" s="25" t="str">
        <f>IF($Q19="","",INDEX(TRANSACTIONS_MASTER!$O$5:$O$1204,$Q19))</f>
        <v/>
      </c>
      <c r="K19" s="26" t="str">
        <f>IF($Q19="","",INDEX(TRANSACTIONS_MASTER!$Q$5:$Q$1204,$Q19))</f>
        <v/>
      </c>
      <c r="L19" s="25" t="str">
        <f>IF($Q19="","",INDEX(TRANSACTIONS_MASTER!$P$5:$P$1204,$Q19))</f>
        <v/>
      </c>
      <c r="M19" s="25" t="str">
        <f>IF($Q19="","",INDEX(TRANSACTIONS_MASTER!$AA$5:$AA$1204,$Q19))</f>
        <v/>
      </c>
      <c r="N19" s="25" t="str">
        <f>IF($Q19="","",INDEX(TRANSACTIONS_MASTER!$R$5:$R$1204,$Q19))</f>
        <v/>
      </c>
      <c r="O19" s="28" t="str">
        <f>IF($Q19="","",INDEX(TRANSACTIONS_MASTER!$AB$5:$AB$1204,$Q19))</f>
        <v/>
      </c>
      <c r="P19" s="55" t="str">
        <f>IF($Q19="","",INDEX(TRANSACTIONS_MASTER!$Z$5:$Z$1204,$Q19)&amp;"")</f>
        <v/>
      </c>
      <c r="Q19" s="67" t="str">
        <f>IFERROR(MATCH($C$2&amp;"|"&amp;12,TRANSACTIONS_MASTER!$AE$5:$AE$1204,0),"")</f>
        <v/>
      </c>
      <c r="S19" s="67">
        <f>IFERROR(MATCH(12,CASHBACK_RULES!$S$5:$S$304,0),"")</f>
        <v>26</v>
      </c>
      <c r="T19" s="55" t="str">
        <f>IF($S19="","",INDEX(CASHBACK_RULES!$B$5:$B$304,$S19))</f>
        <v>MB-D</v>
      </c>
      <c r="U19" s="55" t="str">
        <f>IF($S19="","",INDEX(CASHBACK_RULES!$C$5:$C$304,$S19)&amp;" "&amp;INDEX(CASHBACK_RULES!$D$5:$D$304,$S19))</f>
        <v>MB Cashback Demo D</v>
      </c>
      <c r="V19" s="55" t="str">
        <f>IF($S19="","",INDEX(CASHBACK_RULES!$E$5:$E$304,$S19)&amp;"")</f>
        <v>Groceries</v>
      </c>
      <c r="W19" s="55" t="str">
        <f>IF($S19="","",INDEX(CASHBACK_RULES!$F$5:$F$304,$S19)&amp;"")</f>
        <v>Groceries</v>
      </c>
      <c r="X19" s="26">
        <f>IF($S19="","",SUMIFS(TRANSACTIONS_MASTER!$Q$5:$Q$1204,TRANSACTIONS_MASTER!$D$5:$D$1204,$T19,TRANSACTIONS_MASTER!$Z$5:$Z$1204,$V19,TRANSACTIONS_MASTER!$C$5:$C$1204,$C$2))</f>
        <v>0</v>
      </c>
      <c r="Y19" s="25">
        <f>IF($S19="","",IF(ISNUMBER(INDEX(CASHBACK_RULES!$J$5:$J$304,$S19)),INDEX(CASHBACK_RULES!$J$5:$J$304,$S19),"∞"))</f>
        <v>100000</v>
      </c>
      <c r="Z19" s="25">
        <f>IF($S19="","",IF(ISNUMBER($Y19),MAX(0,$Y19-$X19),"∞"))</f>
        <v>100000</v>
      </c>
      <c r="AA19" s="27">
        <f>IF($S19="","",IF(ISNUMBER($Y19),IF($Y19=0,0,$X19/$Y19),""))</f>
        <v>0</v>
      </c>
    </row>
    <row r="20" ht="20" customHeight="1">
      <c r="A20" s="81" t="str">
        <f>IF($Q20="","",13)</f>
        <v/>
      </c>
      <c r="B20" s="57" t="str">
        <f>IF($Q20="","",INDEX(TRANSACTIONS_MASTER!$B$5:$B$1204,$Q20))</f>
        <v/>
      </c>
      <c r="C20" s="55" t="str">
        <f>IF($Q20="","",INDEX(TRANSACTIONS_MASTER!$F$5:$F$1204,$Q20))</f>
        <v/>
      </c>
      <c r="D20" s="55" t="str">
        <f>IF($Q20="","",INDEX(TRANSACTIONS_MASTER!$E$5:$E$1204,$Q20))</f>
        <v/>
      </c>
      <c r="E20" s="55" t="str">
        <f>IF($Q20="","",INDEX(TRANSACTIONS_MASTER!$G$5:$G$1204,$Q20)&amp;"")</f>
        <v/>
      </c>
      <c r="F20" s="29" t="str">
        <f>IF($Q20="","",INDEX(TRANSACTIONS_MASTER!$I$5:$I$1204,$Q20))</f>
        <v/>
      </c>
      <c r="G20" s="55" t="str">
        <f>IF($Q20="","",INDEX(TRANSACTIONS_MASTER!$K$5:$K$1204,$Q20))</f>
        <v/>
      </c>
      <c r="H20" s="25" t="str">
        <f>IF($Q20="","",INDEX(TRANSACTIONS_MASTER!$L$5:$L$1204,$Q20))</f>
        <v/>
      </c>
      <c r="I20" s="56" t="str">
        <f>IF($Q20="","",INDEX(TRANSACTIONS_MASTER!$N$5:$N$1204,$Q20))</f>
        <v/>
      </c>
      <c r="J20" s="25" t="str">
        <f>IF($Q20="","",INDEX(TRANSACTIONS_MASTER!$O$5:$O$1204,$Q20))</f>
        <v/>
      </c>
      <c r="K20" s="26" t="str">
        <f>IF($Q20="","",INDEX(TRANSACTIONS_MASTER!$Q$5:$Q$1204,$Q20))</f>
        <v/>
      </c>
      <c r="L20" s="25" t="str">
        <f>IF($Q20="","",INDEX(TRANSACTIONS_MASTER!$P$5:$P$1204,$Q20))</f>
        <v/>
      </c>
      <c r="M20" s="25" t="str">
        <f>IF($Q20="","",INDEX(TRANSACTIONS_MASTER!$AA$5:$AA$1204,$Q20))</f>
        <v/>
      </c>
      <c r="N20" s="25" t="str">
        <f>IF($Q20="","",INDEX(TRANSACTIONS_MASTER!$R$5:$R$1204,$Q20))</f>
        <v/>
      </c>
      <c r="O20" s="28" t="str">
        <f>IF($Q20="","",INDEX(TRANSACTIONS_MASTER!$AB$5:$AB$1204,$Q20))</f>
        <v/>
      </c>
      <c r="P20" s="55" t="str">
        <f>IF($Q20="","",INDEX(TRANSACTIONS_MASTER!$Z$5:$Z$1204,$Q20)&amp;"")</f>
        <v/>
      </c>
      <c r="Q20" s="67" t="str">
        <f>IFERROR(MATCH($C$2&amp;"|"&amp;13,TRANSACTIONS_MASTER!$AE$5:$AE$1204,0),"")</f>
        <v/>
      </c>
      <c r="S20" s="67">
        <f>IFERROR(MATCH(13,CASHBACK_RULES!$S$5:$S$304,0),"")</f>
        <v>27</v>
      </c>
      <c r="T20" s="55" t="str">
        <f>IF($S20="","",INDEX(CASHBACK_RULES!$B$5:$B$304,$S20))</f>
        <v>MB-D</v>
      </c>
      <c r="U20" s="55" t="str">
        <f>IF($S20="","",INDEX(CASHBACK_RULES!$C$5:$C$304,$S20)&amp;" "&amp;INDEX(CASHBACK_RULES!$D$5:$D$304,$S20))</f>
        <v>MB Cashback Demo D</v>
      </c>
      <c r="V20" s="55" t="str">
        <f>IF($S20="","",INDEX(CASHBACK_RULES!$E$5:$E$304,$S20)&amp;"")</f>
        <v>Shopping</v>
      </c>
      <c r="W20" s="55" t="str">
        <f>IF($S20="","",INDEX(CASHBACK_RULES!$F$5:$F$304,$S20)&amp;"")</f>
        <v>Shopping</v>
      </c>
      <c r="X20" s="26">
        <f>IF($S20="","",SUMIFS(TRANSACTIONS_MASTER!$Q$5:$Q$1204,TRANSACTIONS_MASTER!$D$5:$D$1204,$T20,TRANSACTIONS_MASTER!$Z$5:$Z$1204,$V20,TRANSACTIONS_MASTER!$C$5:$C$1204,$C$2))</f>
        <v>0</v>
      </c>
      <c r="Y20" s="25">
        <f>IF($S20="","",IF(ISNUMBER(INDEX(CASHBACK_RULES!$J$5:$J$304,$S20)),INDEX(CASHBACK_RULES!$J$5:$J$304,$S20),"∞"))</f>
        <v>100000</v>
      </c>
      <c r="Z20" s="25">
        <f>IF($S20="","",IF(ISNUMBER($Y20),MAX(0,$Y20-$X20),"∞"))</f>
        <v>100000</v>
      </c>
      <c r="AA20" s="27">
        <f>IF($S20="","",IF(ISNUMBER($Y20),IF($Y20=0,0,$X20/$Y20),""))</f>
        <v>0</v>
      </c>
    </row>
    <row r="21" ht="20" customHeight="1">
      <c r="A21" s="81" t="str">
        <f>IF($Q21="","",14)</f>
        <v/>
      </c>
      <c r="B21" s="57" t="str">
        <f>IF($Q21="","",INDEX(TRANSACTIONS_MASTER!$B$5:$B$1204,$Q21))</f>
        <v/>
      </c>
      <c r="C21" s="55" t="str">
        <f>IF($Q21="","",INDEX(TRANSACTIONS_MASTER!$F$5:$F$1204,$Q21))</f>
        <v/>
      </c>
      <c r="D21" s="55" t="str">
        <f>IF($Q21="","",INDEX(TRANSACTIONS_MASTER!$E$5:$E$1204,$Q21))</f>
        <v/>
      </c>
      <c r="E21" s="55" t="str">
        <f>IF($Q21="","",INDEX(TRANSACTIONS_MASTER!$G$5:$G$1204,$Q21)&amp;"")</f>
        <v/>
      </c>
      <c r="F21" s="29" t="str">
        <f>IF($Q21="","",INDEX(TRANSACTIONS_MASTER!$I$5:$I$1204,$Q21))</f>
        <v/>
      </c>
      <c r="G21" s="55" t="str">
        <f>IF($Q21="","",INDEX(TRANSACTIONS_MASTER!$K$5:$K$1204,$Q21))</f>
        <v/>
      </c>
      <c r="H21" s="25" t="str">
        <f>IF($Q21="","",INDEX(TRANSACTIONS_MASTER!$L$5:$L$1204,$Q21))</f>
        <v/>
      </c>
      <c r="I21" s="56" t="str">
        <f>IF($Q21="","",INDEX(TRANSACTIONS_MASTER!$N$5:$N$1204,$Q21))</f>
        <v/>
      </c>
      <c r="J21" s="25" t="str">
        <f>IF($Q21="","",INDEX(TRANSACTIONS_MASTER!$O$5:$O$1204,$Q21))</f>
        <v/>
      </c>
      <c r="K21" s="26" t="str">
        <f>IF($Q21="","",INDEX(TRANSACTIONS_MASTER!$Q$5:$Q$1204,$Q21))</f>
        <v/>
      </c>
      <c r="L21" s="25" t="str">
        <f>IF($Q21="","",INDEX(TRANSACTIONS_MASTER!$P$5:$P$1204,$Q21))</f>
        <v/>
      </c>
      <c r="M21" s="25" t="str">
        <f>IF($Q21="","",INDEX(TRANSACTIONS_MASTER!$AA$5:$AA$1204,$Q21))</f>
        <v/>
      </c>
      <c r="N21" s="25" t="str">
        <f>IF($Q21="","",INDEX(TRANSACTIONS_MASTER!$R$5:$R$1204,$Q21))</f>
        <v/>
      </c>
      <c r="O21" s="28" t="str">
        <f>IF($Q21="","",INDEX(TRANSACTIONS_MASTER!$AB$5:$AB$1204,$Q21))</f>
        <v/>
      </c>
      <c r="P21" s="55" t="str">
        <f>IF($Q21="","",INDEX(TRANSACTIONS_MASTER!$Z$5:$Z$1204,$Q21)&amp;"")</f>
        <v/>
      </c>
      <c r="Q21" s="67" t="str">
        <f>IFERROR(MATCH($C$2&amp;"|"&amp;14,TRANSACTIONS_MASTER!$AE$5:$AE$1204,0),"")</f>
        <v/>
      </c>
      <c r="S21" s="67" t="str">
        <f>IFERROR(MATCH(14,CASHBACK_RULES!$S$5:$S$304,0),"")</f>
        <v/>
      </c>
      <c r="T21" s="55" t="str">
        <f>IF($S21="","",INDEX(CASHBACK_RULES!$B$5:$B$304,$S21))</f>
        <v/>
      </c>
      <c r="U21" s="55" t="str">
        <f>IF($S21="","",INDEX(CASHBACK_RULES!$C$5:$C$304,$S21)&amp;" "&amp;INDEX(CASHBACK_RULES!$D$5:$D$304,$S21))</f>
        <v/>
      </c>
      <c r="V21" s="55" t="str">
        <f>IF($S21="","",INDEX(CASHBACK_RULES!$E$5:$E$304,$S21)&amp;"")</f>
        <v/>
      </c>
      <c r="W21" s="55" t="str">
        <f>IF($S21="","",INDEX(CASHBACK_RULES!$F$5:$F$304,$S21)&amp;"")</f>
        <v/>
      </c>
      <c r="X21" s="26" t="str">
        <f>IF($S21="","",SUMIFS(TRANSACTIONS_MASTER!$Q$5:$Q$1204,TRANSACTIONS_MASTER!$D$5:$D$1204,$T21,TRANSACTIONS_MASTER!$Z$5:$Z$1204,$V21,TRANSACTIONS_MASTER!$C$5:$C$1204,$C$2))</f>
        <v/>
      </c>
      <c r="Y21" s="25" t="str">
        <f>IF($S21="","",IF(ISNUMBER(INDEX(CASHBACK_RULES!$J$5:$J$304,$S21)),INDEX(CASHBACK_RULES!$J$5:$J$304,$S21),"∞"))</f>
        <v/>
      </c>
      <c r="Z21" s="25" t="str">
        <f>IF($S21="","",IF(ISNUMBER($Y21),MAX(0,$Y21-$X21),"∞"))</f>
        <v/>
      </c>
      <c r="AA21" s="27" t="str">
        <f>IF($S21="","",IF(ISNUMBER($Y21),IF($Y21=0,0,$X21/$Y21),""))</f>
        <v/>
      </c>
    </row>
    <row r="22" ht="20" customHeight="1">
      <c r="A22" s="81" t="str">
        <f>IF($Q22="","",15)</f>
        <v/>
      </c>
      <c r="B22" s="57" t="str">
        <f>IF($Q22="","",INDEX(TRANSACTIONS_MASTER!$B$5:$B$1204,$Q22))</f>
        <v/>
      </c>
      <c r="C22" s="55" t="str">
        <f>IF($Q22="","",INDEX(TRANSACTIONS_MASTER!$F$5:$F$1204,$Q22))</f>
        <v/>
      </c>
      <c r="D22" s="55" t="str">
        <f>IF($Q22="","",INDEX(TRANSACTIONS_MASTER!$E$5:$E$1204,$Q22))</f>
        <v/>
      </c>
      <c r="E22" s="55" t="str">
        <f>IF($Q22="","",INDEX(TRANSACTIONS_MASTER!$G$5:$G$1204,$Q22)&amp;"")</f>
        <v/>
      </c>
      <c r="F22" s="29" t="str">
        <f>IF($Q22="","",INDEX(TRANSACTIONS_MASTER!$I$5:$I$1204,$Q22))</f>
        <v/>
      </c>
      <c r="G22" s="55" t="str">
        <f>IF($Q22="","",INDEX(TRANSACTIONS_MASTER!$K$5:$K$1204,$Q22))</f>
        <v/>
      </c>
      <c r="H22" s="25" t="str">
        <f>IF($Q22="","",INDEX(TRANSACTIONS_MASTER!$L$5:$L$1204,$Q22))</f>
        <v/>
      </c>
      <c r="I22" s="56" t="str">
        <f>IF($Q22="","",INDEX(TRANSACTIONS_MASTER!$N$5:$N$1204,$Q22))</f>
        <v/>
      </c>
      <c r="J22" s="25" t="str">
        <f>IF($Q22="","",INDEX(TRANSACTIONS_MASTER!$O$5:$O$1204,$Q22))</f>
        <v/>
      </c>
      <c r="K22" s="26" t="str">
        <f>IF($Q22="","",INDEX(TRANSACTIONS_MASTER!$Q$5:$Q$1204,$Q22))</f>
        <v/>
      </c>
      <c r="L22" s="25" t="str">
        <f>IF($Q22="","",INDEX(TRANSACTIONS_MASTER!$P$5:$P$1204,$Q22))</f>
        <v/>
      </c>
      <c r="M22" s="25" t="str">
        <f>IF($Q22="","",INDEX(TRANSACTIONS_MASTER!$AA$5:$AA$1204,$Q22))</f>
        <v/>
      </c>
      <c r="N22" s="25" t="str">
        <f>IF($Q22="","",INDEX(TRANSACTIONS_MASTER!$R$5:$R$1204,$Q22))</f>
        <v/>
      </c>
      <c r="O22" s="28" t="str">
        <f>IF($Q22="","",INDEX(TRANSACTIONS_MASTER!$AB$5:$AB$1204,$Q22))</f>
        <v/>
      </c>
      <c r="P22" s="55" t="str">
        <f>IF($Q22="","",INDEX(TRANSACTIONS_MASTER!$Z$5:$Z$1204,$Q22)&amp;"")</f>
        <v/>
      </c>
      <c r="Q22" s="67" t="str">
        <f>IFERROR(MATCH($C$2&amp;"|"&amp;15,TRANSACTIONS_MASTER!$AE$5:$AE$1204,0),"")</f>
        <v/>
      </c>
      <c r="S22" s="67" t="str">
        <f>IFERROR(MATCH(15,CASHBACK_RULES!$S$5:$S$304,0),"")</f>
        <v/>
      </c>
      <c r="T22" s="55" t="str">
        <f>IF($S22="","",INDEX(CASHBACK_RULES!$B$5:$B$304,$S22))</f>
        <v/>
      </c>
      <c r="U22" s="55" t="str">
        <f>IF($S22="","",INDEX(CASHBACK_RULES!$C$5:$C$304,$S22)&amp;" "&amp;INDEX(CASHBACK_RULES!$D$5:$D$304,$S22))</f>
        <v/>
      </c>
      <c r="V22" s="55" t="str">
        <f>IF($S22="","",INDEX(CASHBACK_RULES!$E$5:$E$304,$S22)&amp;"")</f>
        <v/>
      </c>
      <c r="W22" s="55" t="str">
        <f>IF($S22="","",INDEX(CASHBACK_RULES!$F$5:$F$304,$S22)&amp;"")</f>
        <v/>
      </c>
      <c r="X22" s="26" t="str">
        <f>IF($S22="","",SUMIFS(TRANSACTIONS_MASTER!$Q$5:$Q$1204,TRANSACTIONS_MASTER!$D$5:$D$1204,$T22,TRANSACTIONS_MASTER!$Z$5:$Z$1204,$V22,TRANSACTIONS_MASTER!$C$5:$C$1204,$C$2))</f>
        <v/>
      </c>
      <c r="Y22" s="25" t="str">
        <f>IF($S22="","",IF(ISNUMBER(INDEX(CASHBACK_RULES!$J$5:$J$304,$S22)),INDEX(CASHBACK_RULES!$J$5:$J$304,$S22),"∞"))</f>
        <v/>
      </c>
      <c r="Z22" s="25" t="str">
        <f>IF($S22="","",IF(ISNUMBER($Y22),MAX(0,$Y22-$X22),"∞"))</f>
        <v/>
      </c>
      <c r="AA22" s="27" t="str">
        <f>IF($S22="","",IF(ISNUMBER($Y22),IF($Y22=0,0,$X22/$Y22),""))</f>
        <v/>
      </c>
    </row>
    <row r="23" ht="20" customHeight="1">
      <c r="A23" s="81" t="str">
        <f>IF($Q23="","",16)</f>
        <v/>
      </c>
      <c r="B23" s="57" t="str">
        <f>IF($Q23="","",INDEX(TRANSACTIONS_MASTER!$B$5:$B$1204,$Q23))</f>
        <v/>
      </c>
      <c r="C23" s="55" t="str">
        <f>IF($Q23="","",INDEX(TRANSACTIONS_MASTER!$F$5:$F$1204,$Q23))</f>
        <v/>
      </c>
      <c r="D23" s="55" t="str">
        <f>IF($Q23="","",INDEX(TRANSACTIONS_MASTER!$E$5:$E$1204,$Q23))</f>
        <v/>
      </c>
      <c r="E23" s="55" t="str">
        <f>IF($Q23="","",INDEX(TRANSACTIONS_MASTER!$G$5:$G$1204,$Q23)&amp;"")</f>
        <v/>
      </c>
      <c r="F23" s="29" t="str">
        <f>IF($Q23="","",INDEX(TRANSACTIONS_MASTER!$I$5:$I$1204,$Q23))</f>
        <v/>
      </c>
      <c r="G23" s="55" t="str">
        <f>IF($Q23="","",INDEX(TRANSACTIONS_MASTER!$K$5:$K$1204,$Q23))</f>
        <v/>
      </c>
      <c r="H23" s="25" t="str">
        <f>IF($Q23="","",INDEX(TRANSACTIONS_MASTER!$L$5:$L$1204,$Q23))</f>
        <v/>
      </c>
      <c r="I23" s="56" t="str">
        <f>IF($Q23="","",INDEX(TRANSACTIONS_MASTER!$N$5:$N$1204,$Q23))</f>
        <v/>
      </c>
      <c r="J23" s="25" t="str">
        <f>IF($Q23="","",INDEX(TRANSACTIONS_MASTER!$O$5:$O$1204,$Q23))</f>
        <v/>
      </c>
      <c r="K23" s="26" t="str">
        <f>IF($Q23="","",INDEX(TRANSACTIONS_MASTER!$Q$5:$Q$1204,$Q23))</f>
        <v/>
      </c>
      <c r="L23" s="25" t="str">
        <f>IF($Q23="","",INDEX(TRANSACTIONS_MASTER!$P$5:$P$1204,$Q23))</f>
        <v/>
      </c>
      <c r="M23" s="25" t="str">
        <f>IF($Q23="","",INDEX(TRANSACTIONS_MASTER!$AA$5:$AA$1204,$Q23))</f>
        <v/>
      </c>
      <c r="N23" s="25" t="str">
        <f>IF($Q23="","",INDEX(TRANSACTIONS_MASTER!$R$5:$R$1204,$Q23))</f>
        <v/>
      </c>
      <c r="O23" s="28" t="str">
        <f>IF($Q23="","",INDEX(TRANSACTIONS_MASTER!$AB$5:$AB$1204,$Q23))</f>
        <v/>
      </c>
      <c r="P23" s="55" t="str">
        <f>IF($Q23="","",INDEX(TRANSACTIONS_MASTER!$Z$5:$Z$1204,$Q23)&amp;"")</f>
        <v/>
      </c>
      <c r="Q23" s="67" t="str">
        <f>IFERROR(MATCH($C$2&amp;"|"&amp;16,TRANSACTIONS_MASTER!$AE$5:$AE$1204,0),"")</f>
        <v/>
      </c>
      <c r="S23" s="67" t="str">
        <f>IFERROR(MATCH(16,CASHBACK_RULES!$S$5:$S$304,0),"")</f>
        <v/>
      </c>
      <c r="T23" s="55" t="str">
        <f>IF($S23="","",INDEX(CASHBACK_RULES!$B$5:$B$304,$S23))</f>
        <v/>
      </c>
      <c r="U23" s="55" t="str">
        <f>IF($S23="","",INDEX(CASHBACK_RULES!$C$5:$C$304,$S23)&amp;" "&amp;INDEX(CASHBACK_RULES!$D$5:$D$304,$S23))</f>
        <v/>
      </c>
      <c r="V23" s="55" t="str">
        <f>IF($S23="","",INDEX(CASHBACK_RULES!$E$5:$E$304,$S23)&amp;"")</f>
        <v/>
      </c>
      <c r="W23" s="55" t="str">
        <f>IF($S23="","",INDEX(CASHBACK_RULES!$F$5:$F$304,$S23)&amp;"")</f>
        <v/>
      </c>
      <c r="X23" s="26" t="str">
        <f>IF($S23="","",SUMIFS(TRANSACTIONS_MASTER!$Q$5:$Q$1204,TRANSACTIONS_MASTER!$D$5:$D$1204,$T23,TRANSACTIONS_MASTER!$Z$5:$Z$1204,$V23,TRANSACTIONS_MASTER!$C$5:$C$1204,$C$2))</f>
        <v/>
      </c>
      <c r="Y23" s="25" t="str">
        <f>IF($S23="","",IF(ISNUMBER(INDEX(CASHBACK_RULES!$J$5:$J$304,$S23)),INDEX(CASHBACK_RULES!$J$5:$J$304,$S23),"∞"))</f>
        <v/>
      </c>
      <c r="Z23" s="25" t="str">
        <f>IF($S23="","",IF(ISNUMBER($Y23),MAX(0,$Y23-$X23),"∞"))</f>
        <v/>
      </c>
      <c r="AA23" s="27" t="str">
        <f>IF($S23="","",IF(ISNUMBER($Y23),IF($Y23=0,0,$X23/$Y23),""))</f>
        <v/>
      </c>
    </row>
    <row r="24" ht="20" customHeight="1">
      <c r="A24" s="81" t="str">
        <f>IF($Q24="","",17)</f>
        <v/>
      </c>
      <c r="B24" s="57" t="str">
        <f>IF($Q24="","",INDEX(TRANSACTIONS_MASTER!$B$5:$B$1204,$Q24))</f>
        <v/>
      </c>
      <c r="C24" s="55" t="str">
        <f>IF($Q24="","",INDEX(TRANSACTIONS_MASTER!$F$5:$F$1204,$Q24))</f>
        <v/>
      </c>
      <c r="D24" s="55" t="str">
        <f>IF($Q24="","",INDEX(TRANSACTIONS_MASTER!$E$5:$E$1204,$Q24))</f>
        <v/>
      </c>
      <c r="E24" s="55" t="str">
        <f>IF($Q24="","",INDEX(TRANSACTIONS_MASTER!$G$5:$G$1204,$Q24)&amp;"")</f>
        <v/>
      </c>
      <c r="F24" s="29" t="str">
        <f>IF($Q24="","",INDEX(TRANSACTIONS_MASTER!$I$5:$I$1204,$Q24))</f>
        <v/>
      </c>
      <c r="G24" s="55" t="str">
        <f>IF($Q24="","",INDEX(TRANSACTIONS_MASTER!$K$5:$K$1204,$Q24))</f>
        <v/>
      </c>
      <c r="H24" s="25" t="str">
        <f>IF($Q24="","",INDEX(TRANSACTIONS_MASTER!$L$5:$L$1204,$Q24))</f>
        <v/>
      </c>
      <c r="I24" s="56" t="str">
        <f>IF($Q24="","",INDEX(TRANSACTIONS_MASTER!$N$5:$N$1204,$Q24))</f>
        <v/>
      </c>
      <c r="J24" s="25" t="str">
        <f>IF($Q24="","",INDEX(TRANSACTIONS_MASTER!$O$5:$O$1204,$Q24))</f>
        <v/>
      </c>
      <c r="K24" s="26" t="str">
        <f>IF($Q24="","",INDEX(TRANSACTIONS_MASTER!$Q$5:$Q$1204,$Q24))</f>
        <v/>
      </c>
      <c r="L24" s="25" t="str">
        <f>IF($Q24="","",INDEX(TRANSACTIONS_MASTER!$P$5:$P$1204,$Q24))</f>
        <v/>
      </c>
      <c r="M24" s="25" t="str">
        <f>IF($Q24="","",INDEX(TRANSACTIONS_MASTER!$AA$5:$AA$1204,$Q24))</f>
        <v/>
      </c>
      <c r="N24" s="25" t="str">
        <f>IF($Q24="","",INDEX(TRANSACTIONS_MASTER!$R$5:$R$1204,$Q24))</f>
        <v/>
      </c>
      <c r="O24" s="28" t="str">
        <f>IF($Q24="","",INDEX(TRANSACTIONS_MASTER!$AB$5:$AB$1204,$Q24))</f>
        <v/>
      </c>
      <c r="P24" s="55" t="str">
        <f>IF($Q24="","",INDEX(TRANSACTIONS_MASTER!$Z$5:$Z$1204,$Q24)&amp;"")</f>
        <v/>
      </c>
      <c r="Q24" s="67" t="str">
        <f>IFERROR(MATCH($C$2&amp;"|"&amp;17,TRANSACTIONS_MASTER!$AE$5:$AE$1204,0),"")</f>
        <v/>
      </c>
      <c r="S24" s="67" t="str">
        <f>IFERROR(MATCH(17,CASHBACK_RULES!$S$5:$S$304,0),"")</f>
        <v/>
      </c>
      <c r="T24" s="55" t="str">
        <f>IF($S24="","",INDEX(CASHBACK_RULES!$B$5:$B$304,$S24))</f>
        <v/>
      </c>
      <c r="U24" s="55" t="str">
        <f>IF($S24="","",INDEX(CASHBACK_RULES!$C$5:$C$304,$S24)&amp;" "&amp;INDEX(CASHBACK_RULES!$D$5:$D$304,$S24))</f>
        <v/>
      </c>
      <c r="V24" s="55" t="str">
        <f>IF($S24="","",INDEX(CASHBACK_RULES!$E$5:$E$304,$S24)&amp;"")</f>
        <v/>
      </c>
      <c r="W24" s="55" t="str">
        <f>IF($S24="","",INDEX(CASHBACK_RULES!$F$5:$F$304,$S24)&amp;"")</f>
        <v/>
      </c>
      <c r="X24" s="26" t="str">
        <f>IF($S24="","",SUMIFS(TRANSACTIONS_MASTER!$Q$5:$Q$1204,TRANSACTIONS_MASTER!$D$5:$D$1204,$T24,TRANSACTIONS_MASTER!$Z$5:$Z$1204,$V24,TRANSACTIONS_MASTER!$C$5:$C$1204,$C$2))</f>
        <v/>
      </c>
      <c r="Y24" s="25" t="str">
        <f>IF($S24="","",IF(ISNUMBER(INDEX(CASHBACK_RULES!$J$5:$J$304,$S24)),INDEX(CASHBACK_RULES!$J$5:$J$304,$S24),"∞"))</f>
        <v/>
      </c>
      <c r="Z24" s="25" t="str">
        <f>IF($S24="","",IF(ISNUMBER($Y24),MAX(0,$Y24-$X24),"∞"))</f>
        <v/>
      </c>
      <c r="AA24" s="27" t="str">
        <f>IF($S24="","",IF(ISNUMBER($Y24),IF($Y24=0,0,$X24/$Y24),""))</f>
        <v/>
      </c>
    </row>
    <row r="25" ht="20" customHeight="1">
      <c r="A25" s="81" t="str">
        <f>IF($Q25="","",18)</f>
        <v/>
      </c>
      <c r="B25" s="57" t="str">
        <f>IF($Q25="","",INDEX(TRANSACTIONS_MASTER!$B$5:$B$1204,$Q25))</f>
        <v/>
      </c>
      <c r="C25" s="55" t="str">
        <f>IF($Q25="","",INDEX(TRANSACTIONS_MASTER!$F$5:$F$1204,$Q25))</f>
        <v/>
      </c>
      <c r="D25" s="55" t="str">
        <f>IF($Q25="","",INDEX(TRANSACTIONS_MASTER!$E$5:$E$1204,$Q25))</f>
        <v/>
      </c>
      <c r="E25" s="55" t="str">
        <f>IF($Q25="","",INDEX(TRANSACTIONS_MASTER!$G$5:$G$1204,$Q25)&amp;"")</f>
        <v/>
      </c>
      <c r="F25" s="29" t="str">
        <f>IF($Q25="","",INDEX(TRANSACTIONS_MASTER!$I$5:$I$1204,$Q25))</f>
        <v/>
      </c>
      <c r="G25" s="55" t="str">
        <f>IF($Q25="","",INDEX(TRANSACTIONS_MASTER!$K$5:$K$1204,$Q25))</f>
        <v/>
      </c>
      <c r="H25" s="25" t="str">
        <f>IF($Q25="","",INDEX(TRANSACTIONS_MASTER!$L$5:$L$1204,$Q25))</f>
        <v/>
      </c>
      <c r="I25" s="56" t="str">
        <f>IF($Q25="","",INDEX(TRANSACTIONS_MASTER!$N$5:$N$1204,$Q25))</f>
        <v/>
      </c>
      <c r="J25" s="25" t="str">
        <f>IF($Q25="","",INDEX(TRANSACTIONS_MASTER!$O$5:$O$1204,$Q25))</f>
        <v/>
      </c>
      <c r="K25" s="26" t="str">
        <f>IF($Q25="","",INDEX(TRANSACTIONS_MASTER!$Q$5:$Q$1204,$Q25))</f>
        <v/>
      </c>
      <c r="L25" s="25" t="str">
        <f>IF($Q25="","",INDEX(TRANSACTIONS_MASTER!$P$5:$P$1204,$Q25))</f>
        <v/>
      </c>
      <c r="M25" s="25" t="str">
        <f>IF($Q25="","",INDEX(TRANSACTIONS_MASTER!$AA$5:$AA$1204,$Q25))</f>
        <v/>
      </c>
      <c r="N25" s="25" t="str">
        <f>IF($Q25="","",INDEX(TRANSACTIONS_MASTER!$R$5:$R$1204,$Q25))</f>
        <v/>
      </c>
      <c r="O25" s="28" t="str">
        <f>IF($Q25="","",INDEX(TRANSACTIONS_MASTER!$AB$5:$AB$1204,$Q25))</f>
        <v/>
      </c>
      <c r="P25" s="55" t="str">
        <f>IF($Q25="","",INDEX(TRANSACTIONS_MASTER!$Z$5:$Z$1204,$Q25)&amp;"")</f>
        <v/>
      </c>
      <c r="Q25" s="67" t="str">
        <f>IFERROR(MATCH($C$2&amp;"|"&amp;18,TRANSACTIONS_MASTER!$AE$5:$AE$1204,0),"")</f>
        <v/>
      </c>
      <c r="S25" s="67" t="str">
        <f>IFERROR(MATCH(18,CASHBACK_RULES!$S$5:$S$304,0),"")</f>
        <v/>
      </c>
      <c r="T25" s="55" t="str">
        <f>IF($S25="","",INDEX(CASHBACK_RULES!$B$5:$B$304,$S25))</f>
        <v/>
      </c>
      <c r="U25" s="55" t="str">
        <f>IF($S25="","",INDEX(CASHBACK_RULES!$C$5:$C$304,$S25)&amp;" "&amp;INDEX(CASHBACK_RULES!$D$5:$D$304,$S25))</f>
        <v/>
      </c>
      <c r="V25" s="55" t="str">
        <f>IF($S25="","",INDEX(CASHBACK_RULES!$E$5:$E$304,$S25)&amp;"")</f>
        <v/>
      </c>
      <c r="W25" s="55" t="str">
        <f>IF($S25="","",INDEX(CASHBACK_RULES!$F$5:$F$304,$S25)&amp;"")</f>
        <v/>
      </c>
      <c r="X25" s="26" t="str">
        <f>IF($S25="","",SUMIFS(TRANSACTIONS_MASTER!$Q$5:$Q$1204,TRANSACTIONS_MASTER!$D$5:$D$1204,$T25,TRANSACTIONS_MASTER!$Z$5:$Z$1204,$V25,TRANSACTIONS_MASTER!$C$5:$C$1204,$C$2))</f>
        <v/>
      </c>
      <c r="Y25" s="25" t="str">
        <f>IF($S25="","",IF(ISNUMBER(INDEX(CASHBACK_RULES!$J$5:$J$304,$S25)),INDEX(CASHBACK_RULES!$J$5:$J$304,$S25),"∞"))</f>
        <v/>
      </c>
      <c r="Z25" s="25" t="str">
        <f>IF($S25="","",IF(ISNUMBER($Y25),MAX(0,$Y25-$X25),"∞"))</f>
        <v/>
      </c>
      <c r="AA25" s="27" t="str">
        <f>IF($S25="","",IF(ISNUMBER($Y25),IF($Y25=0,0,$X25/$Y25),""))</f>
        <v/>
      </c>
    </row>
    <row r="26" ht="20" customHeight="1">
      <c r="A26" s="81" t="str">
        <f>IF($Q26="","",19)</f>
        <v/>
      </c>
      <c r="B26" s="57" t="str">
        <f>IF($Q26="","",INDEX(TRANSACTIONS_MASTER!$B$5:$B$1204,$Q26))</f>
        <v/>
      </c>
      <c r="C26" s="55" t="str">
        <f>IF($Q26="","",INDEX(TRANSACTIONS_MASTER!$F$5:$F$1204,$Q26))</f>
        <v/>
      </c>
      <c r="D26" s="55" t="str">
        <f>IF($Q26="","",INDEX(TRANSACTIONS_MASTER!$E$5:$E$1204,$Q26))</f>
        <v/>
      </c>
      <c r="E26" s="55" t="str">
        <f>IF($Q26="","",INDEX(TRANSACTIONS_MASTER!$G$5:$G$1204,$Q26)&amp;"")</f>
        <v/>
      </c>
      <c r="F26" s="29" t="str">
        <f>IF($Q26="","",INDEX(TRANSACTIONS_MASTER!$I$5:$I$1204,$Q26))</f>
        <v/>
      </c>
      <c r="G26" s="55" t="str">
        <f>IF($Q26="","",INDEX(TRANSACTIONS_MASTER!$K$5:$K$1204,$Q26))</f>
        <v/>
      </c>
      <c r="H26" s="25" t="str">
        <f>IF($Q26="","",INDEX(TRANSACTIONS_MASTER!$L$5:$L$1204,$Q26))</f>
        <v/>
      </c>
      <c r="I26" s="56" t="str">
        <f>IF($Q26="","",INDEX(TRANSACTIONS_MASTER!$N$5:$N$1204,$Q26))</f>
        <v/>
      </c>
      <c r="J26" s="25" t="str">
        <f>IF($Q26="","",INDEX(TRANSACTIONS_MASTER!$O$5:$O$1204,$Q26))</f>
        <v/>
      </c>
      <c r="K26" s="26" t="str">
        <f>IF($Q26="","",INDEX(TRANSACTIONS_MASTER!$Q$5:$Q$1204,$Q26))</f>
        <v/>
      </c>
      <c r="L26" s="25" t="str">
        <f>IF($Q26="","",INDEX(TRANSACTIONS_MASTER!$P$5:$P$1204,$Q26))</f>
        <v/>
      </c>
      <c r="M26" s="25" t="str">
        <f>IF($Q26="","",INDEX(TRANSACTIONS_MASTER!$AA$5:$AA$1204,$Q26))</f>
        <v/>
      </c>
      <c r="N26" s="25" t="str">
        <f>IF($Q26="","",INDEX(TRANSACTIONS_MASTER!$R$5:$R$1204,$Q26))</f>
        <v/>
      </c>
      <c r="O26" s="28" t="str">
        <f>IF($Q26="","",INDEX(TRANSACTIONS_MASTER!$AB$5:$AB$1204,$Q26))</f>
        <v/>
      </c>
      <c r="P26" s="55" t="str">
        <f>IF($Q26="","",INDEX(TRANSACTIONS_MASTER!$Z$5:$Z$1204,$Q26)&amp;"")</f>
        <v/>
      </c>
      <c r="Q26" s="67" t="str">
        <f>IFERROR(MATCH($C$2&amp;"|"&amp;19,TRANSACTIONS_MASTER!$AE$5:$AE$1204,0),"")</f>
        <v/>
      </c>
      <c r="S26" s="67" t="str">
        <f>IFERROR(MATCH(19,CASHBACK_RULES!$S$5:$S$304,0),"")</f>
        <v/>
      </c>
      <c r="T26" s="55" t="str">
        <f>IF($S26="","",INDEX(CASHBACK_RULES!$B$5:$B$304,$S26))</f>
        <v/>
      </c>
      <c r="U26" s="55" t="str">
        <f>IF($S26="","",INDEX(CASHBACK_RULES!$C$5:$C$304,$S26)&amp;" "&amp;INDEX(CASHBACK_RULES!$D$5:$D$304,$S26))</f>
        <v/>
      </c>
      <c r="V26" s="55" t="str">
        <f>IF($S26="","",INDEX(CASHBACK_RULES!$E$5:$E$304,$S26)&amp;"")</f>
        <v/>
      </c>
      <c r="W26" s="55" t="str">
        <f>IF($S26="","",INDEX(CASHBACK_RULES!$F$5:$F$304,$S26)&amp;"")</f>
        <v/>
      </c>
      <c r="X26" s="26" t="str">
        <f>IF($S26="","",SUMIFS(TRANSACTIONS_MASTER!$Q$5:$Q$1204,TRANSACTIONS_MASTER!$D$5:$D$1204,$T26,TRANSACTIONS_MASTER!$Z$5:$Z$1204,$V26,TRANSACTIONS_MASTER!$C$5:$C$1204,$C$2))</f>
        <v/>
      </c>
      <c r="Y26" s="25" t="str">
        <f>IF($S26="","",IF(ISNUMBER(INDEX(CASHBACK_RULES!$J$5:$J$304,$S26)),INDEX(CASHBACK_RULES!$J$5:$J$304,$S26),"∞"))</f>
        <v/>
      </c>
      <c r="Z26" s="25" t="str">
        <f>IF($S26="","",IF(ISNUMBER($Y26),MAX(0,$Y26-$X26),"∞"))</f>
        <v/>
      </c>
      <c r="AA26" s="27" t="str">
        <f>IF($S26="","",IF(ISNUMBER($Y26),IF($Y26=0,0,$X26/$Y26),""))</f>
        <v/>
      </c>
    </row>
    <row r="27" ht="20" customHeight="1">
      <c r="A27" s="81" t="str">
        <f>IF($Q27="","",20)</f>
        <v/>
      </c>
      <c r="B27" s="57" t="str">
        <f>IF($Q27="","",INDEX(TRANSACTIONS_MASTER!$B$5:$B$1204,$Q27))</f>
        <v/>
      </c>
      <c r="C27" s="55" t="str">
        <f>IF($Q27="","",INDEX(TRANSACTIONS_MASTER!$F$5:$F$1204,$Q27))</f>
        <v/>
      </c>
      <c r="D27" s="55" t="str">
        <f>IF($Q27="","",INDEX(TRANSACTIONS_MASTER!$E$5:$E$1204,$Q27))</f>
        <v/>
      </c>
      <c r="E27" s="55" t="str">
        <f>IF($Q27="","",INDEX(TRANSACTIONS_MASTER!$G$5:$G$1204,$Q27)&amp;"")</f>
        <v/>
      </c>
      <c r="F27" s="29" t="str">
        <f>IF($Q27="","",INDEX(TRANSACTIONS_MASTER!$I$5:$I$1204,$Q27))</f>
        <v/>
      </c>
      <c r="G27" s="55" t="str">
        <f>IF($Q27="","",INDEX(TRANSACTIONS_MASTER!$K$5:$K$1204,$Q27))</f>
        <v/>
      </c>
      <c r="H27" s="25" t="str">
        <f>IF($Q27="","",INDEX(TRANSACTIONS_MASTER!$L$5:$L$1204,$Q27))</f>
        <v/>
      </c>
      <c r="I27" s="56" t="str">
        <f>IF($Q27="","",INDEX(TRANSACTIONS_MASTER!$N$5:$N$1204,$Q27))</f>
        <v/>
      </c>
      <c r="J27" s="25" t="str">
        <f>IF($Q27="","",INDEX(TRANSACTIONS_MASTER!$O$5:$O$1204,$Q27))</f>
        <v/>
      </c>
      <c r="K27" s="26" t="str">
        <f>IF($Q27="","",INDEX(TRANSACTIONS_MASTER!$Q$5:$Q$1204,$Q27))</f>
        <v/>
      </c>
      <c r="L27" s="25" t="str">
        <f>IF($Q27="","",INDEX(TRANSACTIONS_MASTER!$P$5:$P$1204,$Q27))</f>
        <v/>
      </c>
      <c r="M27" s="25" t="str">
        <f>IF($Q27="","",INDEX(TRANSACTIONS_MASTER!$AA$5:$AA$1204,$Q27))</f>
        <v/>
      </c>
      <c r="N27" s="25" t="str">
        <f>IF($Q27="","",INDEX(TRANSACTIONS_MASTER!$R$5:$R$1204,$Q27))</f>
        <v/>
      </c>
      <c r="O27" s="28" t="str">
        <f>IF($Q27="","",INDEX(TRANSACTIONS_MASTER!$AB$5:$AB$1204,$Q27))</f>
        <v/>
      </c>
      <c r="P27" s="55" t="str">
        <f>IF($Q27="","",INDEX(TRANSACTIONS_MASTER!$Z$5:$Z$1204,$Q27)&amp;"")</f>
        <v/>
      </c>
      <c r="Q27" s="67" t="str">
        <f>IFERROR(MATCH($C$2&amp;"|"&amp;20,TRANSACTIONS_MASTER!$AE$5:$AE$1204,0),"")</f>
        <v/>
      </c>
      <c r="S27" s="67" t="str">
        <f>IFERROR(MATCH(20,CASHBACK_RULES!$S$5:$S$304,0),"")</f>
        <v/>
      </c>
      <c r="T27" s="55" t="str">
        <f>IF($S27="","",INDEX(CASHBACK_RULES!$B$5:$B$304,$S27))</f>
        <v/>
      </c>
      <c r="U27" s="55" t="str">
        <f>IF($S27="","",INDEX(CASHBACK_RULES!$C$5:$C$304,$S27)&amp;" "&amp;INDEX(CASHBACK_RULES!$D$5:$D$304,$S27))</f>
        <v/>
      </c>
      <c r="V27" s="55" t="str">
        <f>IF($S27="","",INDEX(CASHBACK_RULES!$E$5:$E$304,$S27)&amp;"")</f>
        <v/>
      </c>
      <c r="W27" s="55" t="str">
        <f>IF($S27="","",INDEX(CASHBACK_RULES!$F$5:$F$304,$S27)&amp;"")</f>
        <v/>
      </c>
      <c r="X27" s="26" t="str">
        <f>IF($S27="","",SUMIFS(TRANSACTIONS_MASTER!$Q$5:$Q$1204,TRANSACTIONS_MASTER!$D$5:$D$1204,$T27,TRANSACTIONS_MASTER!$Z$5:$Z$1204,$V27,TRANSACTIONS_MASTER!$C$5:$C$1204,$C$2))</f>
        <v/>
      </c>
      <c r="Y27" s="25" t="str">
        <f>IF($S27="","",IF(ISNUMBER(INDEX(CASHBACK_RULES!$J$5:$J$304,$S27)),INDEX(CASHBACK_RULES!$J$5:$J$304,$S27),"∞"))</f>
        <v/>
      </c>
      <c r="Z27" s="25" t="str">
        <f>IF($S27="","",IF(ISNUMBER($Y27),MAX(0,$Y27-$X27),"∞"))</f>
        <v/>
      </c>
      <c r="AA27" s="27" t="str">
        <f>IF($S27="","",IF(ISNUMBER($Y27),IF($Y27=0,0,$X27/$Y27),""))</f>
        <v/>
      </c>
    </row>
    <row r="28" ht="20" customHeight="1">
      <c r="A28" s="81" t="str">
        <f>IF($Q28="","",21)</f>
        <v/>
      </c>
      <c r="B28" s="57" t="str">
        <f>IF($Q28="","",INDEX(TRANSACTIONS_MASTER!$B$5:$B$1204,$Q28))</f>
        <v/>
      </c>
      <c r="C28" s="55" t="str">
        <f>IF($Q28="","",INDEX(TRANSACTIONS_MASTER!$F$5:$F$1204,$Q28))</f>
        <v/>
      </c>
      <c r="D28" s="55" t="str">
        <f>IF($Q28="","",INDEX(TRANSACTIONS_MASTER!$E$5:$E$1204,$Q28))</f>
        <v/>
      </c>
      <c r="E28" s="55" t="str">
        <f>IF($Q28="","",INDEX(TRANSACTIONS_MASTER!$G$5:$G$1204,$Q28)&amp;"")</f>
        <v/>
      </c>
      <c r="F28" s="29" t="str">
        <f>IF($Q28="","",INDEX(TRANSACTIONS_MASTER!$I$5:$I$1204,$Q28))</f>
        <v/>
      </c>
      <c r="G28" s="55" t="str">
        <f>IF($Q28="","",INDEX(TRANSACTIONS_MASTER!$K$5:$K$1204,$Q28))</f>
        <v/>
      </c>
      <c r="H28" s="25" t="str">
        <f>IF($Q28="","",INDEX(TRANSACTIONS_MASTER!$L$5:$L$1204,$Q28))</f>
        <v/>
      </c>
      <c r="I28" s="56" t="str">
        <f>IF($Q28="","",INDEX(TRANSACTIONS_MASTER!$N$5:$N$1204,$Q28))</f>
        <v/>
      </c>
      <c r="J28" s="25" t="str">
        <f>IF($Q28="","",INDEX(TRANSACTIONS_MASTER!$O$5:$O$1204,$Q28))</f>
        <v/>
      </c>
      <c r="K28" s="26" t="str">
        <f>IF($Q28="","",INDEX(TRANSACTIONS_MASTER!$Q$5:$Q$1204,$Q28))</f>
        <v/>
      </c>
      <c r="L28" s="25" t="str">
        <f>IF($Q28="","",INDEX(TRANSACTIONS_MASTER!$P$5:$P$1204,$Q28))</f>
        <v/>
      </c>
      <c r="M28" s="25" t="str">
        <f>IF($Q28="","",INDEX(TRANSACTIONS_MASTER!$AA$5:$AA$1204,$Q28))</f>
        <v/>
      </c>
      <c r="N28" s="25" t="str">
        <f>IF($Q28="","",INDEX(TRANSACTIONS_MASTER!$R$5:$R$1204,$Q28))</f>
        <v/>
      </c>
      <c r="O28" s="28" t="str">
        <f>IF($Q28="","",INDEX(TRANSACTIONS_MASTER!$AB$5:$AB$1204,$Q28))</f>
        <v/>
      </c>
      <c r="P28" s="55" t="str">
        <f>IF($Q28="","",INDEX(TRANSACTIONS_MASTER!$Z$5:$Z$1204,$Q28)&amp;"")</f>
        <v/>
      </c>
      <c r="Q28" s="67" t="str">
        <f>IFERROR(MATCH($C$2&amp;"|"&amp;21,TRANSACTIONS_MASTER!$AE$5:$AE$1204,0),"")</f>
        <v/>
      </c>
      <c r="S28" s="67" t="str">
        <f>IFERROR(MATCH(21,CASHBACK_RULES!$S$5:$S$304,0),"")</f>
        <v/>
      </c>
      <c r="T28" s="55" t="str">
        <f>IF($S28="","",INDEX(CASHBACK_RULES!$B$5:$B$304,$S28))</f>
        <v/>
      </c>
      <c r="U28" s="55" t="str">
        <f>IF($S28="","",INDEX(CASHBACK_RULES!$C$5:$C$304,$S28)&amp;" "&amp;INDEX(CASHBACK_RULES!$D$5:$D$304,$S28))</f>
        <v/>
      </c>
      <c r="V28" s="55" t="str">
        <f>IF($S28="","",INDEX(CASHBACK_RULES!$E$5:$E$304,$S28)&amp;"")</f>
        <v/>
      </c>
      <c r="W28" s="55" t="str">
        <f>IF($S28="","",INDEX(CASHBACK_RULES!$F$5:$F$304,$S28)&amp;"")</f>
        <v/>
      </c>
      <c r="X28" s="26" t="str">
        <f>IF($S28="","",SUMIFS(TRANSACTIONS_MASTER!$Q$5:$Q$1204,TRANSACTIONS_MASTER!$D$5:$D$1204,$T28,TRANSACTIONS_MASTER!$Z$5:$Z$1204,$V28,TRANSACTIONS_MASTER!$C$5:$C$1204,$C$2))</f>
        <v/>
      </c>
      <c r="Y28" s="25" t="str">
        <f>IF($S28="","",IF(ISNUMBER(INDEX(CASHBACK_RULES!$J$5:$J$304,$S28)),INDEX(CASHBACK_RULES!$J$5:$J$304,$S28),"∞"))</f>
        <v/>
      </c>
      <c r="Z28" s="25" t="str">
        <f>IF($S28="","",IF(ISNUMBER($Y28),MAX(0,$Y28-$X28),"∞"))</f>
        <v/>
      </c>
      <c r="AA28" s="27" t="str">
        <f>IF($S28="","",IF(ISNUMBER($Y28),IF($Y28=0,0,$X28/$Y28),""))</f>
        <v/>
      </c>
    </row>
    <row r="29" ht="20" customHeight="1">
      <c r="A29" s="81" t="str">
        <f>IF($Q29="","",22)</f>
        <v/>
      </c>
      <c r="B29" s="57" t="str">
        <f>IF($Q29="","",INDEX(TRANSACTIONS_MASTER!$B$5:$B$1204,$Q29))</f>
        <v/>
      </c>
      <c r="C29" s="55" t="str">
        <f>IF($Q29="","",INDEX(TRANSACTIONS_MASTER!$F$5:$F$1204,$Q29))</f>
        <v/>
      </c>
      <c r="D29" s="55" t="str">
        <f>IF($Q29="","",INDEX(TRANSACTIONS_MASTER!$E$5:$E$1204,$Q29))</f>
        <v/>
      </c>
      <c r="E29" s="55" t="str">
        <f>IF($Q29="","",INDEX(TRANSACTIONS_MASTER!$G$5:$G$1204,$Q29)&amp;"")</f>
        <v/>
      </c>
      <c r="F29" s="29" t="str">
        <f>IF($Q29="","",INDEX(TRANSACTIONS_MASTER!$I$5:$I$1204,$Q29))</f>
        <v/>
      </c>
      <c r="G29" s="55" t="str">
        <f>IF($Q29="","",INDEX(TRANSACTIONS_MASTER!$K$5:$K$1204,$Q29))</f>
        <v/>
      </c>
      <c r="H29" s="25" t="str">
        <f>IF($Q29="","",INDEX(TRANSACTIONS_MASTER!$L$5:$L$1204,$Q29))</f>
        <v/>
      </c>
      <c r="I29" s="56" t="str">
        <f>IF($Q29="","",INDEX(TRANSACTIONS_MASTER!$N$5:$N$1204,$Q29))</f>
        <v/>
      </c>
      <c r="J29" s="25" t="str">
        <f>IF($Q29="","",INDEX(TRANSACTIONS_MASTER!$O$5:$O$1204,$Q29))</f>
        <v/>
      </c>
      <c r="K29" s="26" t="str">
        <f>IF($Q29="","",INDEX(TRANSACTIONS_MASTER!$Q$5:$Q$1204,$Q29))</f>
        <v/>
      </c>
      <c r="L29" s="25" t="str">
        <f>IF($Q29="","",INDEX(TRANSACTIONS_MASTER!$P$5:$P$1204,$Q29))</f>
        <v/>
      </c>
      <c r="M29" s="25" t="str">
        <f>IF($Q29="","",INDEX(TRANSACTIONS_MASTER!$AA$5:$AA$1204,$Q29))</f>
        <v/>
      </c>
      <c r="N29" s="25" t="str">
        <f>IF($Q29="","",INDEX(TRANSACTIONS_MASTER!$R$5:$R$1204,$Q29))</f>
        <v/>
      </c>
      <c r="O29" s="28" t="str">
        <f>IF($Q29="","",INDEX(TRANSACTIONS_MASTER!$AB$5:$AB$1204,$Q29))</f>
        <v/>
      </c>
      <c r="P29" s="55" t="str">
        <f>IF($Q29="","",INDEX(TRANSACTIONS_MASTER!$Z$5:$Z$1204,$Q29)&amp;"")</f>
        <v/>
      </c>
      <c r="Q29" s="67" t="str">
        <f>IFERROR(MATCH($C$2&amp;"|"&amp;22,TRANSACTIONS_MASTER!$AE$5:$AE$1204,0),"")</f>
        <v/>
      </c>
      <c r="S29" s="67" t="str">
        <f>IFERROR(MATCH(22,CASHBACK_RULES!$S$5:$S$304,0),"")</f>
        <v/>
      </c>
      <c r="T29" s="55" t="str">
        <f>IF($S29="","",INDEX(CASHBACK_RULES!$B$5:$B$304,$S29))</f>
        <v/>
      </c>
      <c r="U29" s="55" t="str">
        <f>IF($S29="","",INDEX(CASHBACK_RULES!$C$5:$C$304,$S29)&amp;" "&amp;INDEX(CASHBACK_RULES!$D$5:$D$304,$S29))</f>
        <v/>
      </c>
      <c r="V29" s="55" t="str">
        <f>IF($S29="","",INDEX(CASHBACK_RULES!$E$5:$E$304,$S29)&amp;"")</f>
        <v/>
      </c>
      <c r="W29" s="55" t="str">
        <f>IF($S29="","",INDEX(CASHBACK_RULES!$F$5:$F$304,$S29)&amp;"")</f>
        <v/>
      </c>
      <c r="X29" s="26" t="str">
        <f>IF($S29="","",SUMIFS(TRANSACTIONS_MASTER!$Q$5:$Q$1204,TRANSACTIONS_MASTER!$D$5:$D$1204,$T29,TRANSACTIONS_MASTER!$Z$5:$Z$1204,$V29,TRANSACTIONS_MASTER!$C$5:$C$1204,$C$2))</f>
        <v/>
      </c>
      <c r="Y29" s="25" t="str">
        <f>IF($S29="","",IF(ISNUMBER(INDEX(CASHBACK_RULES!$J$5:$J$304,$S29)),INDEX(CASHBACK_RULES!$J$5:$J$304,$S29),"∞"))</f>
        <v/>
      </c>
      <c r="Z29" s="25" t="str">
        <f>IF($S29="","",IF(ISNUMBER($Y29),MAX(0,$Y29-$X29),"∞"))</f>
        <v/>
      </c>
      <c r="AA29" s="27" t="str">
        <f>IF($S29="","",IF(ISNUMBER($Y29),IF($Y29=0,0,$X29/$Y29),""))</f>
        <v/>
      </c>
    </row>
    <row r="30" ht="20" customHeight="1">
      <c r="A30" s="81" t="str">
        <f>IF($Q30="","",23)</f>
        <v/>
      </c>
      <c r="B30" s="57" t="str">
        <f>IF($Q30="","",INDEX(TRANSACTIONS_MASTER!$B$5:$B$1204,$Q30))</f>
        <v/>
      </c>
      <c r="C30" s="55" t="str">
        <f>IF($Q30="","",INDEX(TRANSACTIONS_MASTER!$F$5:$F$1204,$Q30))</f>
        <v/>
      </c>
      <c r="D30" s="55" t="str">
        <f>IF($Q30="","",INDEX(TRANSACTIONS_MASTER!$E$5:$E$1204,$Q30))</f>
        <v/>
      </c>
      <c r="E30" s="55" t="str">
        <f>IF($Q30="","",INDEX(TRANSACTIONS_MASTER!$G$5:$G$1204,$Q30)&amp;"")</f>
        <v/>
      </c>
      <c r="F30" s="29" t="str">
        <f>IF($Q30="","",INDEX(TRANSACTIONS_MASTER!$I$5:$I$1204,$Q30))</f>
        <v/>
      </c>
      <c r="G30" s="55" t="str">
        <f>IF($Q30="","",INDEX(TRANSACTIONS_MASTER!$K$5:$K$1204,$Q30))</f>
        <v/>
      </c>
      <c r="H30" s="25" t="str">
        <f>IF($Q30="","",INDEX(TRANSACTIONS_MASTER!$L$5:$L$1204,$Q30))</f>
        <v/>
      </c>
      <c r="I30" s="56" t="str">
        <f>IF($Q30="","",INDEX(TRANSACTIONS_MASTER!$N$5:$N$1204,$Q30))</f>
        <v/>
      </c>
      <c r="J30" s="25" t="str">
        <f>IF($Q30="","",INDEX(TRANSACTIONS_MASTER!$O$5:$O$1204,$Q30))</f>
        <v/>
      </c>
      <c r="K30" s="26" t="str">
        <f>IF($Q30="","",INDEX(TRANSACTIONS_MASTER!$Q$5:$Q$1204,$Q30))</f>
        <v/>
      </c>
      <c r="L30" s="25" t="str">
        <f>IF($Q30="","",INDEX(TRANSACTIONS_MASTER!$P$5:$P$1204,$Q30))</f>
        <v/>
      </c>
      <c r="M30" s="25" t="str">
        <f>IF($Q30="","",INDEX(TRANSACTIONS_MASTER!$AA$5:$AA$1204,$Q30))</f>
        <v/>
      </c>
      <c r="N30" s="25" t="str">
        <f>IF($Q30="","",INDEX(TRANSACTIONS_MASTER!$R$5:$R$1204,$Q30))</f>
        <v/>
      </c>
      <c r="O30" s="28" t="str">
        <f>IF($Q30="","",INDEX(TRANSACTIONS_MASTER!$AB$5:$AB$1204,$Q30))</f>
        <v/>
      </c>
      <c r="P30" s="55" t="str">
        <f>IF($Q30="","",INDEX(TRANSACTIONS_MASTER!$Z$5:$Z$1204,$Q30)&amp;"")</f>
        <v/>
      </c>
      <c r="Q30" s="67" t="str">
        <f>IFERROR(MATCH($C$2&amp;"|"&amp;23,TRANSACTIONS_MASTER!$AE$5:$AE$1204,0),"")</f>
        <v/>
      </c>
      <c r="S30" s="67" t="str">
        <f>IFERROR(MATCH(23,CASHBACK_RULES!$S$5:$S$304,0),"")</f>
        <v/>
      </c>
      <c r="T30" s="55" t="str">
        <f>IF($S30="","",INDEX(CASHBACK_RULES!$B$5:$B$304,$S30))</f>
        <v/>
      </c>
      <c r="U30" s="55" t="str">
        <f>IF($S30="","",INDEX(CASHBACK_RULES!$C$5:$C$304,$S30)&amp;" "&amp;INDEX(CASHBACK_RULES!$D$5:$D$304,$S30))</f>
        <v/>
      </c>
      <c r="V30" s="55" t="str">
        <f>IF($S30="","",INDEX(CASHBACK_RULES!$E$5:$E$304,$S30)&amp;"")</f>
        <v/>
      </c>
      <c r="W30" s="55" t="str">
        <f>IF($S30="","",INDEX(CASHBACK_RULES!$F$5:$F$304,$S30)&amp;"")</f>
        <v/>
      </c>
      <c r="X30" s="26" t="str">
        <f>IF($S30="","",SUMIFS(TRANSACTIONS_MASTER!$Q$5:$Q$1204,TRANSACTIONS_MASTER!$D$5:$D$1204,$T30,TRANSACTIONS_MASTER!$Z$5:$Z$1204,$V30,TRANSACTIONS_MASTER!$C$5:$C$1204,$C$2))</f>
        <v/>
      </c>
      <c r="Y30" s="25" t="str">
        <f>IF($S30="","",IF(ISNUMBER(INDEX(CASHBACK_RULES!$J$5:$J$304,$S30)),INDEX(CASHBACK_RULES!$J$5:$J$304,$S30),"∞"))</f>
        <v/>
      </c>
      <c r="Z30" s="25" t="str">
        <f>IF($S30="","",IF(ISNUMBER($Y30),MAX(0,$Y30-$X30),"∞"))</f>
        <v/>
      </c>
      <c r="AA30" s="27" t="str">
        <f>IF($S30="","",IF(ISNUMBER($Y30),IF($Y30=0,0,$X30/$Y30),""))</f>
        <v/>
      </c>
    </row>
    <row r="31" ht="20" customHeight="1">
      <c r="A31" s="81" t="str">
        <f>IF($Q31="","",24)</f>
        <v/>
      </c>
      <c r="B31" s="57" t="str">
        <f>IF($Q31="","",INDEX(TRANSACTIONS_MASTER!$B$5:$B$1204,$Q31))</f>
        <v/>
      </c>
      <c r="C31" s="55" t="str">
        <f>IF($Q31="","",INDEX(TRANSACTIONS_MASTER!$F$5:$F$1204,$Q31))</f>
        <v/>
      </c>
      <c r="D31" s="55" t="str">
        <f>IF($Q31="","",INDEX(TRANSACTIONS_MASTER!$E$5:$E$1204,$Q31))</f>
        <v/>
      </c>
      <c r="E31" s="55" t="str">
        <f>IF($Q31="","",INDEX(TRANSACTIONS_MASTER!$G$5:$G$1204,$Q31)&amp;"")</f>
        <v/>
      </c>
      <c r="F31" s="29" t="str">
        <f>IF($Q31="","",INDEX(TRANSACTIONS_MASTER!$I$5:$I$1204,$Q31))</f>
        <v/>
      </c>
      <c r="G31" s="55" t="str">
        <f>IF($Q31="","",INDEX(TRANSACTIONS_MASTER!$K$5:$K$1204,$Q31))</f>
        <v/>
      </c>
      <c r="H31" s="25" t="str">
        <f>IF($Q31="","",INDEX(TRANSACTIONS_MASTER!$L$5:$L$1204,$Q31))</f>
        <v/>
      </c>
      <c r="I31" s="56" t="str">
        <f>IF($Q31="","",INDEX(TRANSACTIONS_MASTER!$N$5:$N$1204,$Q31))</f>
        <v/>
      </c>
      <c r="J31" s="25" t="str">
        <f>IF($Q31="","",INDEX(TRANSACTIONS_MASTER!$O$5:$O$1204,$Q31))</f>
        <v/>
      </c>
      <c r="K31" s="26" t="str">
        <f>IF($Q31="","",INDEX(TRANSACTIONS_MASTER!$Q$5:$Q$1204,$Q31))</f>
        <v/>
      </c>
      <c r="L31" s="25" t="str">
        <f>IF($Q31="","",INDEX(TRANSACTIONS_MASTER!$P$5:$P$1204,$Q31))</f>
        <v/>
      </c>
      <c r="M31" s="25" t="str">
        <f>IF($Q31="","",INDEX(TRANSACTIONS_MASTER!$AA$5:$AA$1204,$Q31))</f>
        <v/>
      </c>
      <c r="N31" s="25" t="str">
        <f>IF($Q31="","",INDEX(TRANSACTIONS_MASTER!$R$5:$R$1204,$Q31))</f>
        <v/>
      </c>
      <c r="O31" s="28" t="str">
        <f>IF($Q31="","",INDEX(TRANSACTIONS_MASTER!$AB$5:$AB$1204,$Q31))</f>
        <v/>
      </c>
      <c r="P31" s="55" t="str">
        <f>IF($Q31="","",INDEX(TRANSACTIONS_MASTER!$Z$5:$Z$1204,$Q31)&amp;"")</f>
        <v/>
      </c>
      <c r="Q31" s="67" t="str">
        <f>IFERROR(MATCH($C$2&amp;"|"&amp;24,TRANSACTIONS_MASTER!$AE$5:$AE$1204,0),"")</f>
        <v/>
      </c>
      <c r="S31" s="67" t="str">
        <f>IFERROR(MATCH(24,CASHBACK_RULES!$S$5:$S$304,0),"")</f>
        <v/>
      </c>
      <c r="T31" s="55" t="str">
        <f>IF($S31="","",INDEX(CASHBACK_RULES!$B$5:$B$304,$S31))</f>
        <v/>
      </c>
      <c r="U31" s="55" t="str">
        <f>IF($S31="","",INDEX(CASHBACK_RULES!$C$5:$C$304,$S31)&amp;" "&amp;INDEX(CASHBACK_RULES!$D$5:$D$304,$S31))</f>
        <v/>
      </c>
      <c r="V31" s="55" t="str">
        <f>IF($S31="","",INDEX(CASHBACK_RULES!$E$5:$E$304,$S31)&amp;"")</f>
        <v/>
      </c>
      <c r="W31" s="55" t="str">
        <f>IF($S31="","",INDEX(CASHBACK_RULES!$F$5:$F$304,$S31)&amp;"")</f>
        <v/>
      </c>
      <c r="X31" s="26" t="str">
        <f>IF($S31="","",SUMIFS(TRANSACTIONS_MASTER!$Q$5:$Q$1204,TRANSACTIONS_MASTER!$D$5:$D$1204,$T31,TRANSACTIONS_MASTER!$Z$5:$Z$1204,$V31,TRANSACTIONS_MASTER!$C$5:$C$1204,$C$2))</f>
        <v/>
      </c>
      <c r="Y31" s="25" t="str">
        <f>IF($S31="","",IF(ISNUMBER(INDEX(CASHBACK_RULES!$J$5:$J$304,$S31)),INDEX(CASHBACK_RULES!$J$5:$J$304,$S31),"∞"))</f>
        <v/>
      </c>
      <c r="Z31" s="25" t="str">
        <f>IF($S31="","",IF(ISNUMBER($Y31),MAX(0,$Y31-$X31),"∞"))</f>
        <v/>
      </c>
      <c r="AA31" s="27" t="str">
        <f>IF($S31="","",IF(ISNUMBER($Y31),IF($Y31=0,0,$X31/$Y31),""))</f>
        <v/>
      </c>
    </row>
    <row r="32" ht="20" customHeight="1">
      <c r="A32" s="81" t="str">
        <f>IF($Q32="","",25)</f>
        <v/>
      </c>
      <c r="B32" s="57" t="str">
        <f>IF($Q32="","",INDEX(TRANSACTIONS_MASTER!$B$5:$B$1204,$Q32))</f>
        <v/>
      </c>
      <c r="C32" s="55" t="str">
        <f>IF($Q32="","",INDEX(TRANSACTIONS_MASTER!$F$5:$F$1204,$Q32))</f>
        <v/>
      </c>
      <c r="D32" s="55" t="str">
        <f>IF($Q32="","",INDEX(TRANSACTIONS_MASTER!$E$5:$E$1204,$Q32))</f>
        <v/>
      </c>
      <c r="E32" s="55" t="str">
        <f>IF($Q32="","",INDEX(TRANSACTIONS_MASTER!$G$5:$G$1204,$Q32)&amp;"")</f>
        <v/>
      </c>
      <c r="F32" s="29" t="str">
        <f>IF($Q32="","",INDEX(TRANSACTIONS_MASTER!$I$5:$I$1204,$Q32))</f>
        <v/>
      </c>
      <c r="G32" s="55" t="str">
        <f>IF($Q32="","",INDEX(TRANSACTIONS_MASTER!$K$5:$K$1204,$Q32))</f>
        <v/>
      </c>
      <c r="H32" s="25" t="str">
        <f>IF($Q32="","",INDEX(TRANSACTIONS_MASTER!$L$5:$L$1204,$Q32))</f>
        <v/>
      </c>
      <c r="I32" s="56" t="str">
        <f>IF($Q32="","",INDEX(TRANSACTIONS_MASTER!$N$5:$N$1204,$Q32))</f>
        <v/>
      </c>
      <c r="J32" s="25" t="str">
        <f>IF($Q32="","",INDEX(TRANSACTIONS_MASTER!$O$5:$O$1204,$Q32))</f>
        <v/>
      </c>
      <c r="K32" s="26" t="str">
        <f>IF($Q32="","",INDEX(TRANSACTIONS_MASTER!$Q$5:$Q$1204,$Q32))</f>
        <v/>
      </c>
      <c r="L32" s="25" t="str">
        <f>IF($Q32="","",INDEX(TRANSACTIONS_MASTER!$P$5:$P$1204,$Q32))</f>
        <v/>
      </c>
      <c r="M32" s="25" t="str">
        <f>IF($Q32="","",INDEX(TRANSACTIONS_MASTER!$AA$5:$AA$1204,$Q32))</f>
        <v/>
      </c>
      <c r="N32" s="25" t="str">
        <f>IF($Q32="","",INDEX(TRANSACTIONS_MASTER!$R$5:$R$1204,$Q32))</f>
        <v/>
      </c>
      <c r="O32" s="28" t="str">
        <f>IF($Q32="","",INDEX(TRANSACTIONS_MASTER!$AB$5:$AB$1204,$Q32))</f>
        <v/>
      </c>
      <c r="P32" s="55" t="str">
        <f>IF($Q32="","",INDEX(TRANSACTIONS_MASTER!$Z$5:$Z$1204,$Q32)&amp;"")</f>
        <v/>
      </c>
      <c r="Q32" s="67" t="str">
        <f>IFERROR(MATCH($C$2&amp;"|"&amp;25,TRANSACTIONS_MASTER!$AE$5:$AE$1204,0),"")</f>
        <v/>
      </c>
      <c r="S32" s="67" t="str">
        <f>IFERROR(MATCH(25,CASHBACK_RULES!$S$5:$S$304,0),"")</f>
        <v/>
      </c>
      <c r="T32" s="55" t="str">
        <f>IF($S32="","",INDEX(CASHBACK_RULES!$B$5:$B$304,$S32))</f>
        <v/>
      </c>
      <c r="U32" s="55" t="str">
        <f>IF($S32="","",INDEX(CASHBACK_RULES!$C$5:$C$304,$S32)&amp;" "&amp;INDEX(CASHBACK_RULES!$D$5:$D$304,$S32))</f>
        <v/>
      </c>
      <c r="V32" s="55" t="str">
        <f>IF($S32="","",INDEX(CASHBACK_RULES!$E$5:$E$304,$S32)&amp;"")</f>
        <v/>
      </c>
      <c r="W32" s="55" t="str">
        <f>IF($S32="","",INDEX(CASHBACK_RULES!$F$5:$F$304,$S32)&amp;"")</f>
        <v/>
      </c>
      <c r="X32" s="26" t="str">
        <f>IF($S32="","",SUMIFS(TRANSACTIONS_MASTER!$Q$5:$Q$1204,TRANSACTIONS_MASTER!$D$5:$D$1204,$T32,TRANSACTIONS_MASTER!$Z$5:$Z$1204,$V32,TRANSACTIONS_MASTER!$C$5:$C$1204,$C$2))</f>
        <v/>
      </c>
      <c r="Y32" s="25" t="str">
        <f>IF($S32="","",IF(ISNUMBER(INDEX(CASHBACK_RULES!$J$5:$J$304,$S32)),INDEX(CASHBACK_RULES!$J$5:$J$304,$S32),"∞"))</f>
        <v/>
      </c>
      <c r="Z32" s="25" t="str">
        <f>IF($S32="","",IF(ISNUMBER($Y32),MAX(0,$Y32-$X32),"∞"))</f>
        <v/>
      </c>
      <c r="AA32" s="27" t="str">
        <f>IF($S32="","",IF(ISNUMBER($Y32),IF($Y32=0,0,$X32/$Y32),""))</f>
        <v/>
      </c>
    </row>
    <row r="33" ht="20" customHeight="1">
      <c r="A33" s="81" t="str">
        <f>IF($Q33="","",26)</f>
        <v/>
      </c>
      <c r="B33" s="57" t="str">
        <f>IF($Q33="","",INDEX(TRANSACTIONS_MASTER!$B$5:$B$1204,$Q33))</f>
        <v/>
      </c>
      <c r="C33" s="55" t="str">
        <f>IF($Q33="","",INDEX(TRANSACTIONS_MASTER!$F$5:$F$1204,$Q33))</f>
        <v/>
      </c>
      <c r="D33" s="55" t="str">
        <f>IF($Q33="","",INDEX(TRANSACTIONS_MASTER!$E$5:$E$1204,$Q33))</f>
        <v/>
      </c>
      <c r="E33" s="55" t="str">
        <f>IF($Q33="","",INDEX(TRANSACTIONS_MASTER!$G$5:$G$1204,$Q33)&amp;"")</f>
        <v/>
      </c>
      <c r="F33" s="29" t="str">
        <f>IF($Q33="","",INDEX(TRANSACTIONS_MASTER!$I$5:$I$1204,$Q33))</f>
        <v/>
      </c>
      <c r="G33" s="55" t="str">
        <f>IF($Q33="","",INDEX(TRANSACTIONS_MASTER!$K$5:$K$1204,$Q33))</f>
        <v/>
      </c>
      <c r="H33" s="25" t="str">
        <f>IF($Q33="","",INDEX(TRANSACTIONS_MASTER!$L$5:$L$1204,$Q33))</f>
        <v/>
      </c>
      <c r="I33" s="56" t="str">
        <f>IF($Q33="","",INDEX(TRANSACTIONS_MASTER!$N$5:$N$1204,$Q33))</f>
        <v/>
      </c>
      <c r="J33" s="25" t="str">
        <f>IF($Q33="","",INDEX(TRANSACTIONS_MASTER!$O$5:$O$1204,$Q33))</f>
        <v/>
      </c>
      <c r="K33" s="26" t="str">
        <f>IF($Q33="","",INDEX(TRANSACTIONS_MASTER!$Q$5:$Q$1204,$Q33))</f>
        <v/>
      </c>
      <c r="L33" s="25" t="str">
        <f>IF($Q33="","",INDEX(TRANSACTIONS_MASTER!$P$5:$P$1204,$Q33))</f>
        <v/>
      </c>
      <c r="M33" s="25" t="str">
        <f>IF($Q33="","",INDEX(TRANSACTIONS_MASTER!$AA$5:$AA$1204,$Q33))</f>
        <v/>
      </c>
      <c r="N33" s="25" t="str">
        <f>IF($Q33="","",INDEX(TRANSACTIONS_MASTER!$R$5:$R$1204,$Q33))</f>
        <v/>
      </c>
      <c r="O33" s="28" t="str">
        <f>IF($Q33="","",INDEX(TRANSACTIONS_MASTER!$AB$5:$AB$1204,$Q33))</f>
        <v/>
      </c>
      <c r="P33" s="55" t="str">
        <f>IF($Q33="","",INDEX(TRANSACTIONS_MASTER!$Z$5:$Z$1204,$Q33)&amp;"")</f>
        <v/>
      </c>
      <c r="Q33" s="67" t="str">
        <f>IFERROR(MATCH($C$2&amp;"|"&amp;26,TRANSACTIONS_MASTER!$AE$5:$AE$1204,0),"")</f>
        <v/>
      </c>
      <c r="S33" s="67" t="str">
        <f>IFERROR(MATCH(26,CASHBACK_RULES!$S$5:$S$304,0),"")</f>
        <v/>
      </c>
      <c r="T33" s="55" t="str">
        <f>IF($S33="","",INDEX(CASHBACK_RULES!$B$5:$B$304,$S33))</f>
        <v/>
      </c>
      <c r="U33" s="55" t="str">
        <f>IF($S33="","",INDEX(CASHBACK_RULES!$C$5:$C$304,$S33)&amp;" "&amp;INDEX(CASHBACK_RULES!$D$5:$D$304,$S33))</f>
        <v/>
      </c>
      <c r="V33" s="55" t="str">
        <f>IF($S33="","",INDEX(CASHBACK_RULES!$E$5:$E$304,$S33)&amp;"")</f>
        <v/>
      </c>
      <c r="W33" s="55" t="str">
        <f>IF($S33="","",INDEX(CASHBACK_RULES!$F$5:$F$304,$S33)&amp;"")</f>
        <v/>
      </c>
      <c r="X33" s="26" t="str">
        <f>IF($S33="","",SUMIFS(TRANSACTIONS_MASTER!$Q$5:$Q$1204,TRANSACTIONS_MASTER!$D$5:$D$1204,$T33,TRANSACTIONS_MASTER!$Z$5:$Z$1204,$V33,TRANSACTIONS_MASTER!$C$5:$C$1204,$C$2))</f>
        <v/>
      </c>
      <c r="Y33" s="25" t="str">
        <f>IF($S33="","",IF(ISNUMBER(INDEX(CASHBACK_RULES!$J$5:$J$304,$S33)),INDEX(CASHBACK_RULES!$J$5:$J$304,$S33),"∞"))</f>
        <v/>
      </c>
      <c r="Z33" s="25" t="str">
        <f>IF($S33="","",IF(ISNUMBER($Y33),MAX(0,$Y33-$X33),"∞"))</f>
        <v/>
      </c>
      <c r="AA33" s="27" t="str">
        <f>IF($S33="","",IF(ISNUMBER($Y33),IF($Y33=0,0,$X33/$Y33),""))</f>
        <v/>
      </c>
    </row>
    <row r="34" ht="20" customHeight="1">
      <c r="A34" s="81" t="str">
        <f>IF($Q34="","",27)</f>
        <v/>
      </c>
      <c r="B34" s="57" t="str">
        <f>IF($Q34="","",INDEX(TRANSACTIONS_MASTER!$B$5:$B$1204,$Q34))</f>
        <v/>
      </c>
      <c r="C34" s="55" t="str">
        <f>IF($Q34="","",INDEX(TRANSACTIONS_MASTER!$F$5:$F$1204,$Q34))</f>
        <v/>
      </c>
      <c r="D34" s="55" t="str">
        <f>IF($Q34="","",INDEX(TRANSACTIONS_MASTER!$E$5:$E$1204,$Q34))</f>
        <v/>
      </c>
      <c r="E34" s="55" t="str">
        <f>IF($Q34="","",INDEX(TRANSACTIONS_MASTER!$G$5:$G$1204,$Q34)&amp;"")</f>
        <v/>
      </c>
      <c r="F34" s="29" t="str">
        <f>IF($Q34="","",INDEX(TRANSACTIONS_MASTER!$I$5:$I$1204,$Q34))</f>
        <v/>
      </c>
      <c r="G34" s="55" t="str">
        <f>IF($Q34="","",INDEX(TRANSACTIONS_MASTER!$K$5:$K$1204,$Q34))</f>
        <v/>
      </c>
      <c r="H34" s="25" t="str">
        <f>IF($Q34="","",INDEX(TRANSACTIONS_MASTER!$L$5:$L$1204,$Q34))</f>
        <v/>
      </c>
      <c r="I34" s="56" t="str">
        <f>IF($Q34="","",INDEX(TRANSACTIONS_MASTER!$N$5:$N$1204,$Q34))</f>
        <v/>
      </c>
      <c r="J34" s="25" t="str">
        <f>IF($Q34="","",INDEX(TRANSACTIONS_MASTER!$O$5:$O$1204,$Q34))</f>
        <v/>
      </c>
      <c r="K34" s="26" t="str">
        <f>IF($Q34="","",INDEX(TRANSACTIONS_MASTER!$Q$5:$Q$1204,$Q34))</f>
        <v/>
      </c>
      <c r="L34" s="25" t="str">
        <f>IF($Q34="","",INDEX(TRANSACTIONS_MASTER!$P$5:$P$1204,$Q34))</f>
        <v/>
      </c>
      <c r="M34" s="25" t="str">
        <f>IF($Q34="","",INDEX(TRANSACTIONS_MASTER!$AA$5:$AA$1204,$Q34))</f>
        <v/>
      </c>
      <c r="N34" s="25" t="str">
        <f>IF($Q34="","",INDEX(TRANSACTIONS_MASTER!$R$5:$R$1204,$Q34))</f>
        <v/>
      </c>
      <c r="O34" s="28" t="str">
        <f>IF($Q34="","",INDEX(TRANSACTIONS_MASTER!$AB$5:$AB$1204,$Q34))</f>
        <v/>
      </c>
      <c r="P34" s="55" t="str">
        <f>IF($Q34="","",INDEX(TRANSACTIONS_MASTER!$Z$5:$Z$1204,$Q34)&amp;"")</f>
        <v/>
      </c>
      <c r="Q34" s="67" t="str">
        <f>IFERROR(MATCH($C$2&amp;"|"&amp;27,TRANSACTIONS_MASTER!$AE$5:$AE$1204,0),"")</f>
        <v/>
      </c>
      <c r="S34" s="67" t="str">
        <f>IFERROR(MATCH(27,CASHBACK_RULES!$S$5:$S$304,0),"")</f>
        <v/>
      </c>
      <c r="T34" s="55" t="str">
        <f>IF($S34="","",INDEX(CASHBACK_RULES!$B$5:$B$304,$S34))</f>
        <v/>
      </c>
      <c r="U34" s="55" t="str">
        <f>IF($S34="","",INDEX(CASHBACK_RULES!$C$5:$C$304,$S34)&amp;" "&amp;INDEX(CASHBACK_RULES!$D$5:$D$304,$S34))</f>
        <v/>
      </c>
      <c r="V34" s="55" t="str">
        <f>IF($S34="","",INDEX(CASHBACK_RULES!$E$5:$E$304,$S34)&amp;"")</f>
        <v/>
      </c>
      <c r="W34" s="55" t="str">
        <f>IF($S34="","",INDEX(CASHBACK_RULES!$F$5:$F$304,$S34)&amp;"")</f>
        <v/>
      </c>
      <c r="X34" s="26" t="str">
        <f>IF($S34="","",SUMIFS(TRANSACTIONS_MASTER!$Q$5:$Q$1204,TRANSACTIONS_MASTER!$D$5:$D$1204,$T34,TRANSACTIONS_MASTER!$Z$5:$Z$1204,$V34,TRANSACTIONS_MASTER!$C$5:$C$1204,$C$2))</f>
        <v/>
      </c>
      <c r="Y34" s="25" t="str">
        <f>IF($S34="","",IF(ISNUMBER(INDEX(CASHBACK_RULES!$J$5:$J$304,$S34)),INDEX(CASHBACK_RULES!$J$5:$J$304,$S34),"∞"))</f>
        <v/>
      </c>
      <c r="Z34" s="25" t="str">
        <f>IF($S34="","",IF(ISNUMBER($Y34),MAX(0,$Y34-$X34),"∞"))</f>
        <v/>
      </c>
      <c r="AA34" s="27" t="str">
        <f>IF($S34="","",IF(ISNUMBER($Y34),IF($Y34=0,0,$X34/$Y34),""))</f>
        <v/>
      </c>
    </row>
    <row r="35" ht="20" customHeight="1">
      <c r="A35" s="81" t="str">
        <f>IF($Q35="","",28)</f>
        <v/>
      </c>
      <c r="B35" s="57" t="str">
        <f>IF($Q35="","",INDEX(TRANSACTIONS_MASTER!$B$5:$B$1204,$Q35))</f>
        <v/>
      </c>
      <c r="C35" s="55" t="str">
        <f>IF($Q35="","",INDEX(TRANSACTIONS_MASTER!$F$5:$F$1204,$Q35))</f>
        <v/>
      </c>
      <c r="D35" s="55" t="str">
        <f>IF($Q35="","",INDEX(TRANSACTIONS_MASTER!$E$5:$E$1204,$Q35))</f>
        <v/>
      </c>
      <c r="E35" s="55" t="str">
        <f>IF($Q35="","",INDEX(TRANSACTIONS_MASTER!$G$5:$G$1204,$Q35)&amp;"")</f>
        <v/>
      </c>
      <c r="F35" s="29" t="str">
        <f>IF($Q35="","",INDEX(TRANSACTIONS_MASTER!$I$5:$I$1204,$Q35))</f>
        <v/>
      </c>
      <c r="G35" s="55" t="str">
        <f>IF($Q35="","",INDEX(TRANSACTIONS_MASTER!$K$5:$K$1204,$Q35))</f>
        <v/>
      </c>
      <c r="H35" s="25" t="str">
        <f>IF($Q35="","",INDEX(TRANSACTIONS_MASTER!$L$5:$L$1204,$Q35))</f>
        <v/>
      </c>
      <c r="I35" s="56" t="str">
        <f>IF($Q35="","",INDEX(TRANSACTIONS_MASTER!$N$5:$N$1204,$Q35))</f>
        <v/>
      </c>
      <c r="J35" s="25" t="str">
        <f>IF($Q35="","",INDEX(TRANSACTIONS_MASTER!$O$5:$O$1204,$Q35))</f>
        <v/>
      </c>
      <c r="K35" s="26" t="str">
        <f>IF($Q35="","",INDEX(TRANSACTIONS_MASTER!$Q$5:$Q$1204,$Q35))</f>
        <v/>
      </c>
      <c r="L35" s="25" t="str">
        <f>IF($Q35="","",INDEX(TRANSACTIONS_MASTER!$P$5:$P$1204,$Q35))</f>
        <v/>
      </c>
      <c r="M35" s="25" t="str">
        <f>IF($Q35="","",INDEX(TRANSACTIONS_MASTER!$AA$5:$AA$1204,$Q35))</f>
        <v/>
      </c>
      <c r="N35" s="25" t="str">
        <f>IF($Q35="","",INDEX(TRANSACTIONS_MASTER!$R$5:$R$1204,$Q35))</f>
        <v/>
      </c>
      <c r="O35" s="28" t="str">
        <f>IF($Q35="","",INDEX(TRANSACTIONS_MASTER!$AB$5:$AB$1204,$Q35))</f>
        <v/>
      </c>
      <c r="P35" s="55" t="str">
        <f>IF($Q35="","",INDEX(TRANSACTIONS_MASTER!$Z$5:$Z$1204,$Q35)&amp;"")</f>
        <v/>
      </c>
      <c r="Q35" s="67" t="str">
        <f>IFERROR(MATCH($C$2&amp;"|"&amp;28,TRANSACTIONS_MASTER!$AE$5:$AE$1204,0),"")</f>
        <v/>
      </c>
      <c r="S35" s="67" t="str">
        <f>IFERROR(MATCH(28,CASHBACK_RULES!$S$5:$S$304,0),"")</f>
        <v/>
      </c>
      <c r="T35" s="55" t="str">
        <f>IF($S35="","",INDEX(CASHBACK_RULES!$B$5:$B$304,$S35))</f>
        <v/>
      </c>
      <c r="U35" s="55" t="str">
        <f>IF($S35="","",INDEX(CASHBACK_RULES!$C$5:$C$304,$S35)&amp;" "&amp;INDEX(CASHBACK_RULES!$D$5:$D$304,$S35))</f>
        <v/>
      </c>
      <c r="V35" s="55" t="str">
        <f>IF($S35="","",INDEX(CASHBACK_RULES!$E$5:$E$304,$S35)&amp;"")</f>
        <v/>
      </c>
      <c r="W35" s="55" t="str">
        <f>IF($S35="","",INDEX(CASHBACK_RULES!$F$5:$F$304,$S35)&amp;"")</f>
        <v/>
      </c>
      <c r="X35" s="26" t="str">
        <f>IF($S35="","",SUMIFS(TRANSACTIONS_MASTER!$Q$5:$Q$1204,TRANSACTIONS_MASTER!$D$5:$D$1204,$T35,TRANSACTIONS_MASTER!$Z$5:$Z$1204,$V35,TRANSACTIONS_MASTER!$C$5:$C$1204,$C$2))</f>
        <v/>
      </c>
      <c r="Y35" s="25" t="str">
        <f>IF($S35="","",IF(ISNUMBER(INDEX(CASHBACK_RULES!$J$5:$J$304,$S35)),INDEX(CASHBACK_RULES!$J$5:$J$304,$S35),"∞"))</f>
        <v/>
      </c>
      <c r="Z35" s="25" t="str">
        <f>IF($S35="","",IF(ISNUMBER($Y35),MAX(0,$Y35-$X35),"∞"))</f>
        <v/>
      </c>
      <c r="AA35" s="27" t="str">
        <f>IF($S35="","",IF(ISNUMBER($Y35),IF($Y35=0,0,$X35/$Y35),""))</f>
        <v/>
      </c>
    </row>
    <row r="36" ht="20" customHeight="1">
      <c r="A36" s="81" t="str">
        <f>IF($Q36="","",29)</f>
        <v/>
      </c>
      <c r="B36" s="57" t="str">
        <f>IF($Q36="","",INDEX(TRANSACTIONS_MASTER!$B$5:$B$1204,$Q36))</f>
        <v/>
      </c>
      <c r="C36" s="55" t="str">
        <f>IF($Q36="","",INDEX(TRANSACTIONS_MASTER!$F$5:$F$1204,$Q36))</f>
        <v/>
      </c>
      <c r="D36" s="55" t="str">
        <f>IF($Q36="","",INDEX(TRANSACTIONS_MASTER!$E$5:$E$1204,$Q36))</f>
        <v/>
      </c>
      <c r="E36" s="55" t="str">
        <f>IF($Q36="","",INDEX(TRANSACTIONS_MASTER!$G$5:$G$1204,$Q36)&amp;"")</f>
        <v/>
      </c>
      <c r="F36" s="29" t="str">
        <f>IF($Q36="","",INDEX(TRANSACTIONS_MASTER!$I$5:$I$1204,$Q36))</f>
        <v/>
      </c>
      <c r="G36" s="55" t="str">
        <f>IF($Q36="","",INDEX(TRANSACTIONS_MASTER!$K$5:$K$1204,$Q36))</f>
        <v/>
      </c>
      <c r="H36" s="25" t="str">
        <f>IF($Q36="","",INDEX(TRANSACTIONS_MASTER!$L$5:$L$1204,$Q36))</f>
        <v/>
      </c>
      <c r="I36" s="56" t="str">
        <f>IF($Q36="","",INDEX(TRANSACTIONS_MASTER!$N$5:$N$1204,$Q36))</f>
        <v/>
      </c>
      <c r="J36" s="25" t="str">
        <f>IF($Q36="","",INDEX(TRANSACTIONS_MASTER!$O$5:$O$1204,$Q36))</f>
        <v/>
      </c>
      <c r="K36" s="26" t="str">
        <f>IF($Q36="","",INDEX(TRANSACTIONS_MASTER!$Q$5:$Q$1204,$Q36))</f>
        <v/>
      </c>
      <c r="L36" s="25" t="str">
        <f>IF($Q36="","",INDEX(TRANSACTIONS_MASTER!$P$5:$P$1204,$Q36))</f>
        <v/>
      </c>
      <c r="M36" s="25" t="str">
        <f>IF($Q36="","",INDEX(TRANSACTIONS_MASTER!$AA$5:$AA$1204,$Q36))</f>
        <v/>
      </c>
      <c r="N36" s="25" t="str">
        <f>IF($Q36="","",INDEX(TRANSACTIONS_MASTER!$R$5:$R$1204,$Q36))</f>
        <v/>
      </c>
      <c r="O36" s="28" t="str">
        <f>IF($Q36="","",INDEX(TRANSACTIONS_MASTER!$AB$5:$AB$1204,$Q36))</f>
        <v/>
      </c>
      <c r="P36" s="55" t="str">
        <f>IF($Q36="","",INDEX(TRANSACTIONS_MASTER!$Z$5:$Z$1204,$Q36)&amp;"")</f>
        <v/>
      </c>
      <c r="Q36" s="67" t="str">
        <f>IFERROR(MATCH($C$2&amp;"|"&amp;29,TRANSACTIONS_MASTER!$AE$5:$AE$1204,0),"")</f>
        <v/>
      </c>
      <c r="S36" s="67" t="str">
        <f>IFERROR(MATCH(29,CASHBACK_RULES!$S$5:$S$304,0),"")</f>
        <v/>
      </c>
      <c r="T36" s="55" t="str">
        <f>IF($S36="","",INDEX(CASHBACK_RULES!$B$5:$B$304,$S36))</f>
        <v/>
      </c>
      <c r="U36" s="55" t="str">
        <f>IF($S36="","",INDEX(CASHBACK_RULES!$C$5:$C$304,$S36)&amp;" "&amp;INDEX(CASHBACK_RULES!$D$5:$D$304,$S36))</f>
        <v/>
      </c>
      <c r="V36" s="55" t="str">
        <f>IF($S36="","",INDEX(CASHBACK_RULES!$E$5:$E$304,$S36)&amp;"")</f>
        <v/>
      </c>
      <c r="W36" s="55" t="str">
        <f>IF($S36="","",INDEX(CASHBACK_RULES!$F$5:$F$304,$S36)&amp;"")</f>
        <v/>
      </c>
      <c r="X36" s="26" t="str">
        <f>IF($S36="","",SUMIFS(TRANSACTIONS_MASTER!$Q$5:$Q$1204,TRANSACTIONS_MASTER!$D$5:$D$1204,$T36,TRANSACTIONS_MASTER!$Z$5:$Z$1204,$V36,TRANSACTIONS_MASTER!$C$5:$C$1204,$C$2))</f>
        <v/>
      </c>
      <c r="Y36" s="25" t="str">
        <f>IF($S36="","",IF(ISNUMBER(INDEX(CASHBACK_RULES!$J$5:$J$304,$S36)),INDEX(CASHBACK_RULES!$J$5:$J$304,$S36),"∞"))</f>
        <v/>
      </c>
      <c r="Z36" s="25" t="str">
        <f>IF($S36="","",IF(ISNUMBER($Y36),MAX(0,$Y36-$X36),"∞"))</f>
        <v/>
      </c>
      <c r="AA36" s="27" t="str">
        <f>IF($S36="","",IF(ISNUMBER($Y36),IF($Y36=0,0,$X36/$Y36),""))</f>
        <v/>
      </c>
    </row>
    <row r="37" ht="20" customHeight="1">
      <c r="A37" s="81" t="str">
        <f>IF($Q37="","",30)</f>
        <v/>
      </c>
      <c r="B37" s="57" t="str">
        <f>IF($Q37="","",INDEX(TRANSACTIONS_MASTER!$B$5:$B$1204,$Q37))</f>
        <v/>
      </c>
      <c r="C37" s="55" t="str">
        <f>IF($Q37="","",INDEX(TRANSACTIONS_MASTER!$F$5:$F$1204,$Q37))</f>
        <v/>
      </c>
      <c r="D37" s="55" t="str">
        <f>IF($Q37="","",INDEX(TRANSACTIONS_MASTER!$E$5:$E$1204,$Q37))</f>
        <v/>
      </c>
      <c r="E37" s="55" t="str">
        <f>IF($Q37="","",INDEX(TRANSACTIONS_MASTER!$G$5:$G$1204,$Q37)&amp;"")</f>
        <v/>
      </c>
      <c r="F37" s="29" t="str">
        <f>IF($Q37="","",INDEX(TRANSACTIONS_MASTER!$I$5:$I$1204,$Q37))</f>
        <v/>
      </c>
      <c r="G37" s="55" t="str">
        <f>IF($Q37="","",INDEX(TRANSACTIONS_MASTER!$K$5:$K$1204,$Q37))</f>
        <v/>
      </c>
      <c r="H37" s="25" t="str">
        <f>IF($Q37="","",INDEX(TRANSACTIONS_MASTER!$L$5:$L$1204,$Q37))</f>
        <v/>
      </c>
      <c r="I37" s="56" t="str">
        <f>IF($Q37="","",INDEX(TRANSACTIONS_MASTER!$N$5:$N$1204,$Q37))</f>
        <v/>
      </c>
      <c r="J37" s="25" t="str">
        <f>IF($Q37="","",INDEX(TRANSACTIONS_MASTER!$O$5:$O$1204,$Q37))</f>
        <v/>
      </c>
      <c r="K37" s="26" t="str">
        <f>IF($Q37="","",INDEX(TRANSACTIONS_MASTER!$Q$5:$Q$1204,$Q37))</f>
        <v/>
      </c>
      <c r="L37" s="25" t="str">
        <f>IF($Q37="","",INDEX(TRANSACTIONS_MASTER!$P$5:$P$1204,$Q37))</f>
        <v/>
      </c>
      <c r="M37" s="25" t="str">
        <f>IF($Q37="","",INDEX(TRANSACTIONS_MASTER!$AA$5:$AA$1204,$Q37))</f>
        <v/>
      </c>
      <c r="N37" s="25" t="str">
        <f>IF($Q37="","",INDEX(TRANSACTIONS_MASTER!$R$5:$R$1204,$Q37))</f>
        <v/>
      </c>
      <c r="O37" s="28" t="str">
        <f>IF($Q37="","",INDEX(TRANSACTIONS_MASTER!$AB$5:$AB$1204,$Q37))</f>
        <v/>
      </c>
      <c r="P37" s="55" t="str">
        <f>IF($Q37="","",INDEX(TRANSACTIONS_MASTER!$Z$5:$Z$1204,$Q37)&amp;"")</f>
        <v/>
      </c>
      <c r="Q37" s="67" t="str">
        <f>IFERROR(MATCH($C$2&amp;"|"&amp;30,TRANSACTIONS_MASTER!$AE$5:$AE$1204,0),"")</f>
        <v/>
      </c>
      <c r="S37" s="67" t="str">
        <f>IFERROR(MATCH(30,CASHBACK_RULES!$S$5:$S$304,0),"")</f>
        <v/>
      </c>
      <c r="T37" s="55" t="str">
        <f>IF($S37="","",INDEX(CASHBACK_RULES!$B$5:$B$304,$S37))</f>
        <v/>
      </c>
      <c r="U37" s="55" t="str">
        <f>IF($S37="","",INDEX(CASHBACK_RULES!$C$5:$C$304,$S37)&amp;" "&amp;INDEX(CASHBACK_RULES!$D$5:$D$304,$S37))</f>
        <v/>
      </c>
      <c r="V37" s="55" t="str">
        <f>IF($S37="","",INDEX(CASHBACK_RULES!$E$5:$E$304,$S37)&amp;"")</f>
        <v/>
      </c>
      <c r="W37" s="55" t="str">
        <f>IF($S37="","",INDEX(CASHBACK_RULES!$F$5:$F$304,$S37)&amp;"")</f>
        <v/>
      </c>
      <c r="X37" s="26" t="str">
        <f>IF($S37="","",SUMIFS(TRANSACTIONS_MASTER!$Q$5:$Q$1204,TRANSACTIONS_MASTER!$D$5:$D$1204,$T37,TRANSACTIONS_MASTER!$Z$5:$Z$1204,$V37,TRANSACTIONS_MASTER!$C$5:$C$1204,$C$2))</f>
        <v/>
      </c>
      <c r="Y37" s="25" t="str">
        <f>IF($S37="","",IF(ISNUMBER(INDEX(CASHBACK_RULES!$J$5:$J$304,$S37)),INDEX(CASHBACK_RULES!$J$5:$J$304,$S37),"∞"))</f>
        <v/>
      </c>
      <c r="Z37" s="25" t="str">
        <f>IF($S37="","",IF(ISNUMBER($Y37),MAX(0,$Y37-$X37),"∞"))</f>
        <v/>
      </c>
      <c r="AA37" s="27" t="str">
        <f>IF($S37="","",IF(ISNUMBER($Y37),IF($Y37=0,0,$X37/$Y37),""))</f>
        <v/>
      </c>
    </row>
    <row r="38" ht="20" customHeight="1">
      <c r="A38" s="81" t="str">
        <f>IF($Q38="","",31)</f>
        <v/>
      </c>
      <c r="B38" s="57" t="str">
        <f>IF($Q38="","",INDEX(TRANSACTIONS_MASTER!$B$5:$B$1204,$Q38))</f>
        <v/>
      </c>
      <c r="C38" s="55" t="str">
        <f>IF($Q38="","",INDEX(TRANSACTIONS_MASTER!$F$5:$F$1204,$Q38))</f>
        <v/>
      </c>
      <c r="D38" s="55" t="str">
        <f>IF($Q38="","",INDEX(TRANSACTIONS_MASTER!$E$5:$E$1204,$Q38))</f>
        <v/>
      </c>
      <c r="E38" s="55" t="str">
        <f>IF($Q38="","",INDEX(TRANSACTIONS_MASTER!$G$5:$G$1204,$Q38)&amp;"")</f>
        <v/>
      </c>
      <c r="F38" s="29" t="str">
        <f>IF($Q38="","",INDEX(TRANSACTIONS_MASTER!$I$5:$I$1204,$Q38))</f>
        <v/>
      </c>
      <c r="G38" s="55" t="str">
        <f>IF($Q38="","",INDEX(TRANSACTIONS_MASTER!$K$5:$K$1204,$Q38))</f>
        <v/>
      </c>
      <c r="H38" s="25" t="str">
        <f>IF($Q38="","",INDEX(TRANSACTIONS_MASTER!$L$5:$L$1204,$Q38))</f>
        <v/>
      </c>
      <c r="I38" s="56" t="str">
        <f>IF($Q38="","",INDEX(TRANSACTIONS_MASTER!$N$5:$N$1204,$Q38))</f>
        <v/>
      </c>
      <c r="J38" s="25" t="str">
        <f>IF($Q38="","",INDEX(TRANSACTIONS_MASTER!$O$5:$O$1204,$Q38))</f>
        <v/>
      </c>
      <c r="K38" s="26" t="str">
        <f>IF($Q38="","",INDEX(TRANSACTIONS_MASTER!$Q$5:$Q$1204,$Q38))</f>
        <v/>
      </c>
      <c r="L38" s="25" t="str">
        <f>IF($Q38="","",INDEX(TRANSACTIONS_MASTER!$P$5:$P$1204,$Q38))</f>
        <v/>
      </c>
      <c r="M38" s="25" t="str">
        <f>IF($Q38="","",INDEX(TRANSACTIONS_MASTER!$AA$5:$AA$1204,$Q38))</f>
        <v/>
      </c>
      <c r="N38" s="25" t="str">
        <f>IF($Q38="","",INDEX(TRANSACTIONS_MASTER!$R$5:$R$1204,$Q38))</f>
        <v/>
      </c>
      <c r="O38" s="28" t="str">
        <f>IF($Q38="","",INDEX(TRANSACTIONS_MASTER!$AB$5:$AB$1204,$Q38))</f>
        <v/>
      </c>
      <c r="P38" s="55" t="str">
        <f>IF($Q38="","",INDEX(TRANSACTIONS_MASTER!$Z$5:$Z$1204,$Q38)&amp;"")</f>
        <v/>
      </c>
      <c r="Q38" s="67" t="str">
        <f>IFERROR(MATCH($C$2&amp;"|"&amp;31,TRANSACTIONS_MASTER!$AE$5:$AE$1204,0),"")</f>
        <v/>
      </c>
      <c r="S38" s="67" t="str">
        <f>IFERROR(MATCH(31,CASHBACK_RULES!$S$5:$S$304,0),"")</f>
        <v/>
      </c>
      <c r="T38" s="55" t="str">
        <f>IF($S38="","",INDEX(CASHBACK_RULES!$B$5:$B$304,$S38))</f>
        <v/>
      </c>
      <c r="U38" s="55" t="str">
        <f>IF($S38="","",INDEX(CASHBACK_RULES!$C$5:$C$304,$S38)&amp;" "&amp;INDEX(CASHBACK_RULES!$D$5:$D$304,$S38))</f>
        <v/>
      </c>
      <c r="V38" s="55" t="str">
        <f>IF($S38="","",INDEX(CASHBACK_RULES!$E$5:$E$304,$S38)&amp;"")</f>
        <v/>
      </c>
      <c r="W38" s="55" t="str">
        <f>IF($S38="","",INDEX(CASHBACK_RULES!$F$5:$F$304,$S38)&amp;"")</f>
        <v/>
      </c>
      <c r="X38" s="26" t="str">
        <f>IF($S38="","",SUMIFS(TRANSACTIONS_MASTER!$Q$5:$Q$1204,TRANSACTIONS_MASTER!$D$5:$D$1204,$T38,TRANSACTIONS_MASTER!$Z$5:$Z$1204,$V38,TRANSACTIONS_MASTER!$C$5:$C$1204,$C$2))</f>
        <v/>
      </c>
      <c r="Y38" s="25" t="str">
        <f>IF($S38="","",IF(ISNUMBER(INDEX(CASHBACK_RULES!$J$5:$J$304,$S38)),INDEX(CASHBACK_RULES!$J$5:$J$304,$S38),"∞"))</f>
        <v/>
      </c>
      <c r="Z38" s="25" t="str">
        <f>IF($S38="","",IF(ISNUMBER($Y38),MAX(0,$Y38-$X38),"∞"))</f>
        <v/>
      </c>
      <c r="AA38" s="27" t="str">
        <f>IF($S38="","",IF(ISNUMBER($Y38),IF($Y38=0,0,$X38/$Y38),""))</f>
        <v/>
      </c>
    </row>
    <row r="39" ht="20" customHeight="1">
      <c r="A39" s="81" t="str">
        <f>IF($Q39="","",32)</f>
        <v/>
      </c>
      <c r="B39" s="57" t="str">
        <f>IF($Q39="","",INDEX(TRANSACTIONS_MASTER!$B$5:$B$1204,$Q39))</f>
        <v/>
      </c>
      <c r="C39" s="55" t="str">
        <f>IF($Q39="","",INDEX(TRANSACTIONS_MASTER!$F$5:$F$1204,$Q39))</f>
        <v/>
      </c>
      <c r="D39" s="55" t="str">
        <f>IF($Q39="","",INDEX(TRANSACTIONS_MASTER!$E$5:$E$1204,$Q39))</f>
        <v/>
      </c>
      <c r="E39" s="55" t="str">
        <f>IF($Q39="","",INDEX(TRANSACTIONS_MASTER!$G$5:$G$1204,$Q39)&amp;"")</f>
        <v/>
      </c>
      <c r="F39" s="29" t="str">
        <f>IF($Q39="","",INDEX(TRANSACTIONS_MASTER!$I$5:$I$1204,$Q39))</f>
        <v/>
      </c>
      <c r="G39" s="55" t="str">
        <f>IF($Q39="","",INDEX(TRANSACTIONS_MASTER!$K$5:$K$1204,$Q39))</f>
        <v/>
      </c>
      <c r="H39" s="25" t="str">
        <f>IF($Q39="","",INDEX(TRANSACTIONS_MASTER!$L$5:$L$1204,$Q39))</f>
        <v/>
      </c>
      <c r="I39" s="56" t="str">
        <f>IF($Q39="","",INDEX(TRANSACTIONS_MASTER!$N$5:$N$1204,$Q39))</f>
        <v/>
      </c>
      <c r="J39" s="25" t="str">
        <f>IF($Q39="","",INDEX(TRANSACTIONS_MASTER!$O$5:$O$1204,$Q39))</f>
        <v/>
      </c>
      <c r="K39" s="26" t="str">
        <f>IF($Q39="","",INDEX(TRANSACTIONS_MASTER!$Q$5:$Q$1204,$Q39))</f>
        <v/>
      </c>
      <c r="L39" s="25" t="str">
        <f>IF($Q39="","",INDEX(TRANSACTIONS_MASTER!$P$5:$P$1204,$Q39))</f>
        <v/>
      </c>
      <c r="M39" s="25" t="str">
        <f>IF($Q39="","",INDEX(TRANSACTIONS_MASTER!$AA$5:$AA$1204,$Q39))</f>
        <v/>
      </c>
      <c r="N39" s="25" t="str">
        <f>IF($Q39="","",INDEX(TRANSACTIONS_MASTER!$R$5:$R$1204,$Q39))</f>
        <v/>
      </c>
      <c r="O39" s="28" t="str">
        <f>IF($Q39="","",INDEX(TRANSACTIONS_MASTER!$AB$5:$AB$1204,$Q39))</f>
        <v/>
      </c>
      <c r="P39" s="55" t="str">
        <f>IF($Q39="","",INDEX(TRANSACTIONS_MASTER!$Z$5:$Z$1204,$Q39)&amp;"")</f>
        <v/>
      </c>
      <c r="Q39" s="67" t="str">
        <f>IFERROR(MATCH($C$2&amp;"|"&amp;32,TRANSACTIONS_MASTER!$AE$5:$AE$1204,0),"")</f>
        <v/>
      </c>
      <c r="S39" s="67" t="str">
        <f>IFERROR(MATCH(32,CASHBACK_RULES!$S$5:$S$304,0),"")</f>
        <v/>
      </c>
      <c r="T39" s="55" t="str">
        <f>IF($S39="","",INDEX(CASHBACK_RULES!$B$5:$B$304,$S39))</f>
        <v/>
      </c>
      <c r="U39" s="55" t="str">
        <f>IF($S39="","",INDEX(CASHBACK_RULES!$C$5:$C$304,$S39)&amp;" "&amp;INDEX(CASHBACK_RULES!$D$5:$D$304,$S39))</f>
        <v/>
      </c>
      <c r="V39" s="55" t="str">
        <f>IF($S39="","",INDEX(CASHBACK_RULES!$E$5:$E$304,$S39)&amp;"")</f>
        <v/>
      </c>
      <c r="W39" s="55" t="str">
        <f>IF($S39="","",INDEX(CASHBACK_RULES!$F$5:$F$304,$S39)&amp;"")</f>
        <v/>
      </c>
      <c r="X39" s="26" t="str">
        <f>IF($S39="","",SUMIFS(TRANSACTIONS_MASTER!$Q$5:$Q$1204,TRANSACTIONS_MASTER!$D$5:$D$1204,$T39,TRANSACTIONS_MASTER!$Z$5:$Z$1204,$V39,TRANSACTIONS_MASTER!$C$5:$C$1204,$C$2))</f>
        <v/>
      </c>
      <c r="Y39" s="25" t="str">
        <f>IF($S39="","",IF(ISNUMBER(INDEX(CASHBACK_RULES!$J$5:$J$304,$S39)),INDEX(CASHBACK_RULES!$J$5:$J$304,$S39),"∞"))</f>
        <v/>
      </c>
      <c r="Z39" s="25" t="str">
        <f>IF($S39="","",IF(ISNUMBER($Y39),MAX(0,$Y39-$X39),"∞"))</f>
        <v/>
      </c>
      <c r="AA39" s="27" t="str">
        <f>IF($S39="","",IF(ISNUMBER($Y39),IF($Y39=0,0,$X39/$Y39),""))</f>
        <v/>
      </c>
    </row>
    <row r="40" ht="20" customHeight="1">
      <c r="A40" s="81" t="str">
        <f>IF($Q40="","",33)</f>
        <v/>
      </c>
      <c r="B40" s="57" t="str">
        <f>IF($Q40="","",INDEX(TRANSACTIONS_MASTER!$B$5:$B$1204,$Q40))</f>
        <v/>
      </c>
      <c r="C40" s="55" t="str">
        <f>IF($Q40="","",INDEX(TRANSACTIONS_MASTER!$F$5:$F$1204,$Q40))</f>
        <v/>
      </c>
      <c r="D40" s="55" t="str">
        <f>IF($Q40="","",INDEX(TRANSACTIONS_MASTER!$E$5:$E$1204,$Q40))</f>
        <v/>
      </c>
      <c r="E40" s="55" t="str">
        <f>IF($Q40="","",INDEX(TRANSACTIONS_MASTER!$G$5:$G$1204,$Q40)&amp;"")</f>
        <v/>
      </c>
      <c r="F40" s="29" t="str">
        <f>IF($Q40="","",INDEX(TRANSACTIONS_MASTER!$I$5:$I$1204,$Q40))</f>
        <v/>
      </c>
      <c r="G40" s="55" t="str">
        <f>IF($Q40="","",INDEX(TRANSACTIONS_MASTER!$K$5:$K$1204,$Q40))</f>
        <v/>
      </c>
      <c r="H40" s="25" t="str">
        <f>IF($Q40="","",INDEX(TRANSACTIONS_MASTER!$L$5:$L$1204,$Q40))</f>
        <v/>
      </c>
      <c r="I40" s="56" t="str">
        <f>IF($Q40="","",INDEX(TRANSACTIONS_MASTER!$N$5:$N$1204,$Q40))</f>
        <v/>
      </c>
      <c r="J40" s="25" t="str">
        <f>IF($Q40="","",INDEX(TRANSACTIONS_MASTER!$O$5:$O$1204,$Q40))</f>
        <v/>
      </c>
      <c r="K40" s="26" t="str">
        <f>IF($Q40="","",INDEX(TRANSACTIONS_MASTER!$Q$5:$Q$1204,$Q40))</f>
        <v/>
      </c>
      <c r="L40" s="25" t="str">
        <f>IF($Q40="","",INDEX(TRANSACTIONS_MASTER!$P$5:$P$1204,$Q40))</f>
        <v/>
      </c>
      <c r="M40" s="25" t="str">
        <f>IF($Q40="","",INDEX(TRANSACTIONS_MASTER!$AA$5:$AA$1204,$Q40))</f>
        <v/>
      </c>
      <c r="N40" s="25" t="str">
        <f>IF($Q40="","",INDEX(TRANSACTIONS_MASTER!$R$5:$R$1204,$Q40))</f>
        <v/>
      </c>
      <c r="O40" s="28" t="str">
        <f>IF($Q40="","",INDEX(TRANSACTIONS_MASTER!$AB$5:$AB$1204,$Q40))</f>
        <v/>
      </c>
      <c r="P40" s="55" t="str">
        <f>IF($Q40="","",INDEX(TRANSACTIONS_MASTER!$Z$5:$Z$1204,$Q40)&amp;"")</f>
        <v/>
      </c>
      <c r="Q40" s="67" t="str">
        <f>IFERROR(MATCH($C$2&amp;"|"&amp;33,TRANSACTIONS_MASTER!$AE$5:$AE$1204,0),"")</f>
        <v/>
      </c>
      <c r="S40" s="67" t="str">
        <f>IFERROR(MATCH(33,CASHBACK_RULES!$S$5:$S$304,0),"")</f>
        <v/>
      </c>
      <c r="T40" s="55" t="str">
        <f>IF($S40="","",INDEX(CASHBACK_RULES!$B$5:$B$304,$S40))</f>
        <v/>
      </c>
      <c r="U40" s="55" t="str">
        <f>IF($S40="","",INDEX(CASHBACK_RULES!$C$5:$C$304,$S40)&amp;" "&amp;INDEX(CASHBACK_RULES!$D$5:$D$304,$S40))</f>
        <v/>
      </c>
      <c r="V40" s="55" t="str">
        <f>IF($S40="","",INDEX(CASHBACK_RULES!$E$5:$E$304,$S40)&amp;"")</f>
        <v/>
      </c>
      <c r="W40" s="55" t="str">
        <f>IF($S40="","",INDEX(CASHBACK_RULES!$F$5:$F$304,$S40)&amp;"")</f>
        <v/>
      </c>
      <c r="X40" s="26" t="str">
        <f>IF($S40="","",SUMIFS(TRANSACTIONS_MASTER!$Q$5:$Q$1204,TRANSACTIONS_MASTER!$D$5:$D$1204,$T40,TRANSACTIONS_MASTER!$Z$5:$Z$1204,$V40,TRANSACTIONS_MASTER!$C$5:$C$1204,$C$2))</f>
        <v/>
      </c>
      <c r="Y40" s="25" t="str">
        <f>IF($S40="","",IF(ISNUMBER(INDEX(CASHBACK_RULES!$J$5:$J$304,$S40)),INDEX(CASHBACK_RULES!$J$5:$J$304,$S40),"∞"))</f>
        <v/>
      </c>
      <c r="Z40" s="25" t="str">
        <f>IF($S40="","",IF(ISNUMBER($Y40),MAX(0,$Y40-$X40),"∞"))</f>
        <v/>
      </c>
      <c r="AA40" s="27" t="str">
        <f>IF($S40="","",IF(ISNUMBER($Y40),IF($Y40=0,0,$X40/$Y40),""))</f>
        <v/>
      </c>
    </row>
    <row r="41" ht="20" customHeight="1">
      <c r="A41" s="81" t="str">
        <f>IF($Q41="","",34)</f>
        <v/>
      </c>
      <c r="B41" s="57" t="str">
        <f>IF($Q41="","",INDEX(TRANSACTIONS_MASTER!$B$5:$B$1204,$Q41))</f>
        <v/>
      </c>
      <c r="C41" s="55" t="str">
        <f>IF($Q41="","",INDEX(TRANSACTIONS_MASTER!$F$5:$F$1204,$Q41))</f>
        <v/>
      </c>
      <c r="D41" s="55" t="str">
        <f>IF($Q41="","",INDEX(TRANSACTIONS_MASTER!$E$5:$E$1204,$Q41))</f>
        <v/>
      </c>
      <c r="E41" s="55" t="str">
        <f>IF($Q41="","",INDEX(TRANSACTIONS_MASTER!$G$5:$G$1204,$Q41)&amp;"")</f>
        <v/>
      </c>
      <c r="F41" s="29" t="str">
        <f>IF($Q41="","",INDEX(TRANSACTIONS_MASTER!$I$5:$I$1204,$Q41))</f>
        <v/>
      </c>
      <c r="G41" s="55" t="str">
        <f>IF($Q41="","",INDEX(TRANSACTIONS_MASTER!$K$5:$K$1204,$Q41))</f>
        <v/>
      </c>
      <c r="H41" s="25" t="str">
        <f>IF($Q41="","",INDEX(TRANSACTIONS_MASTER!$L$5:$L$1204,$Q41))</f>
        <v/>
      </c>
      <c r="I41" s="56" t="str">
        <f>IF($Q41="","",INDEX(TRANSACTIONS_MASTER!$N$5:$N$1204,$Q41))</f>
        <v/>
      </c>
      <c r="J41" s="25" t="str">
        <f>IF($Q41="","",INDEX(TRANSACTIONS_MASTER!$O$5:$O$1204,$Q41))</f>
        <v/>
      </c>
      <c r="K41" s="26" t="str">
        <f>IF($Q41="","",INDEX(TRANSACTIONS_MASTER!$Q$5:$Q$1204,$Q41))</f>
        <v/>
      </c>
      <c r="L41" s="25" t="str">
        <f>IF($Q41="","",INDEX(TRANSACTIONS_MASTER!$P$5:$P$1204,$Q41))</f>
        <v/>
      </c>
      <c r="M41" s="25" t="str">
        <f>IF($Q41="","",INDEX(TRANSACTIONS_MASTER!$AA$5:$AA$1204,$Q41))</f>
        <v/>
      </c>
      <c r="N41" s="25" t="str">
        <f>IF($Q41="","",INDEX(TRANSACTIONS_MASTER!$R$5:$R$1204,$Q41))</f>
        <v/>
      </c>
      <c r="O41" s="28" t="str">
        <f>IF($Q41="","",INDEX(TRANSACTIONS_MASTER!$AB$5:$AB$1204,$Q41))</f>
        <v/>
      </c>
      <c r="P41" s="55" t="str">
        <f>IF($Q41="","",INDEX(TRANSACTIONS_MASTER!$Z$5:$Z$1204,$Q41)&amp;"")</f>
        <v/>
      </c>
      <c r="Q41" s="67" t="str">
        <f>IFERROR(MATCH($C$2&amp;"|"&amp;34,TRANSACTIONS_MASTER!$AE$5:$AE$1204,0),"")</f>
        <v/>
      </c>
      <c r="S41" s="67" t="str">
        <f>IFERROR(MATCH(34,CASHBACK_RULES!$S$5:$S$304,0),"")</f>
        <v/>
      </c>
      <c r="T41" s="55" t="str">
        <f>IF($S41="","",INDEX(CASHBACK_RULES!$B$5:$B$304,$S41))</f>
        <v/>
      </c>
      <c r="U41" s="55" t="str">
        <f>IF($S41="","",INDEX(CASHBACK_RULES!$C$5:$C$304,$S41)&amp;" "&amp;INDEX(CASHBACK_RULES!$D$5:$D$304,$S41))</f>
        <v/>
      </c>
      <c r="V41" s="55" t="str">
        <f>IF($S41="","",INDEX(CASHBACK_RULES!$E$5:$E$304,$S41)&amp;"")</f>
        <v/>
      </c>
      <c r="W41" s="55" t="str">
        <f>IF($S41="","",INDEX(CASHBACK_RULES!$F$5:$F$304,$S41)&amp;"")</f>
        <v/>
      </c>
      <c r="X41" s="26" t="str">
        <f>IF($S41="","",SUMIFS(TRANSACTIONS_MASTER!$Q$5:$Q$1204,TRANSACTIONS_MASTER!$D$5:$D$1204,$T41,TRANSACTIONS_MASTER!$Z$5:$Z$1204,$V41,TRANSACTIONS_MASTER!$C$5:$C$1204,$C$2))</f>
        <v/>
      </c>
      <c r="Y41" s="25" t="str">
        <f>IF($S41="","",IF(ISNUMBER(INDEX(CASHBACK_RULES!$J$5:$J$304,$S41)),INDEX(CASHBACK_RULES!$J$5:$J$304,$S41),"∞"))</f>
        <v/>
      </c>
      <c r="Z41" s="25" t="str">
        <f>IF($S41="","",IF(ISNUMBER($Y41),MAX(0,$Y41-$X41),"∞"))</f>
        <v/>
      </c>
      <c r="AA41" s="27" t="str">
        <f>IF($S41="","",IF(ISNUMBER($Y41),IF($Y41=0,0,$X41/$Y41),""))</f>
        <v/>
      </c>
    </row>
    <row r="42" ht="20" customHeight="1">
      <c r="A42" s="81" t="str">
        <f>IF($Q42="","",35)</f>
        <v/>
      </c>
      <c r="B42" s="57" t="str">
        <f>IF($Q42="","",INDEX(TRANSACTIONS_MASTER!$B$5:$B$1204,$Q42))</f>
        <v/>
      </c>
      <c r="C42" s="55" t="str">
        <f>IF($Q42="","",INDEX(TRANSACTIONS_MASTER!$F$5:$F$1204,$Q42))</f>
        <v/>
      </c>
      <c r="D42" s="55" t="str">
        <f>IF($Q42="","",INDEX(TRANSACTIONS_MASTER!$E$5:$E$1204,$Q42))</f>
        <v/>
      </c>
      <c r="E42" s="55" t="str">
        <f>IF($Q42="","",INDEX(TRANSACTIONS_MASTER!$G$5:$G$1204,$Q42)&amp;"")</f>
        <v/>
      </c>
      <c r="F42" s="29" t="str">
        <f>IF($Q42="","",INDEX(TRANSACTIONS_MASTER!$I$5:$I$1204,$Q42))</f>
        <v/>
      </c>
      <c r="G42" s="55" t="str">
        <f>IF($Q42="","",INDEX(TRANSACTIONS_MASTER!$K$5:$K$1204,$Q42))</f>
        <v/>
      </c>
      <c r="H42" s="25" t="str">
        <f>IF($Q42="","",INDEX(TRANSACTIONS_MASTER!$L$5:$L$1204,$Q42))</f>
        <v/>
      </c>
      <c r="I42" s="56" t="str">
        <f>IF($Q42="","",INDEX(TRANSACTIONS_MASTER!$N$5:$N$1204,$Q42))</f>
        <v/>
      </c>
      <c r="J42" s="25" t="str">
        <f>IF($Q42="","",INDEX(TRANSACTIONS_MASTER!$O$5:$O$1204,$Q42))</f>
        <v/>
      </c>
      <c r="K42" s="26" t="str">
        <f>IF($Q42="","",INDEX(TRANSACTIONS_MASTER!$Q$5:$Q$1204,$Q42))</f>
        <v/>
      </c>
      <c r="L42" s="25" t="str">
        <f>IF($Q42="","",INDEX(TRANSACTIONS_MASTER!$P$5:$P$1204,$Q42))</f>
        <v/>
      </c>
      <c r="M42" s="25" t="str">
        <f>IF($Q42="","",INDEX(TRANSACTIONS_MASTER!$AA$5:$AA$1204,$Q42))</f>
        <v/>
      </c>
      <c r="N42" s="25" t="str">
        <f>IF($Q42="","",INDEX(TRANSACTIONS_MASTER!$R$5:$R$1204,$Q42))</f>
        <v/>
      </c>
      <c r="O42" s="28" t="str">
        <f>IF($Q42="","",INDEX(TRANSACTIONS_MASTER!$AB$5:$AB$1204,$Q42))</f>
        <v/>
      </c>
      <c r="P42" s="55" t="str">
        <f>IF($Q42="","",INDEX(TRANSACTIONS_MASTER!$Z$5:$Z$1204,$Q42)&amp;"")</f>
        <v/>
      </c>
      <c r="Q42" s="67" t="str">
        <f>IFERROR(MATCH($C$2&amp;"|"&amp;35,TRANSACTIONS_MASTER!$AE$5:$AE$1204,0),"")</f>
        <v/>
      </c>
      <c r="S42" s="67" t="str">
        <f>IFERROR(MATCH(35,CASHBACK_RULES!$S$5:$S$304,0),"")</f>
        <v/>
      </c>
      <c r="T42" s="55" t="str">
        <f>IF($S42="","",INDEX(CASHBACK_RULES!$B$5:$B$304,$S42))</f>
        <v/>
      </c>
      <c r="U42" s="55" t="str">
        <f>IF($S42="","",INDEX(CASHBACK_RULES!$C$5:$C$304,$S42)&amp;" "&amp;INDEX(CASHBACK_RULES!$D$5:$D$304,$S42))</f>
        <v/>
      </c>
      <c r="V42" s="55" t="str">
        <f>IF($S42="","",INDEX(CASHBACK_RULES!$E$5:$E$304,$S42)&amp;"")</f>
        <v/>
      </c>
      <c r="W42" s="55" t="str">
        <f>IF($S42="","",INDEX(CASHBACK_RULES!$F$5:$F$304,$S42)&amp;"")</f>
        <v/>
      </c>
      <c r="X42" s="26" t="str">
        <f>IF($S42="","",SUMIFS(TRANSACTIONS_MASTER!$Q$5:$Q$1204,TRANSACTIONS_MASTER!$D$5:$D$1204,$T42,TRANSACTIONS_MASTER!$Z$5:$Z$1204,$V42,TRANSACTIONS_MASTER!$C$5:$C$1204,$C$2))</f>
        <v/>
      </c>
      <c r="Y42" s="25" t="str">
        <f>IF($S42="","",IF(ISNUMBER(INDEX(CASHBACK_RULES!$J$5:$J$304,$S42)),INDEX(CASHBACK_RULES!$J$5:$J$304,$S42),"∞"))</f>
        <v/>
      </c>
      <c r="Z42" s="25" t="str">
        <f>IF($S42="","",IF(ISNUMBER($Y42),MAX(0,$Y42-$X42),"∞"))</f>
        <v/>
      </c>
      <c r="AA42" s="27" t="str">
        <f>IF($S42="","",IF(ISNUMBER($Y42),IF($Y42=0,0,$X42/$Y42),""))</f>
        <v/>
      </c>
    </row>
    <row r="43" ht="20" customHeight="1">
      <c r="A43" s="81" t="str">
        <f>IF($Q43="","",36)</f>
        <v/>
      </c>
      <c r="B43" s="57" t="str">
        <f>IF($Q43="","",INDEX(TRANSACTIONS_MASTER!$B$5:$B$1204,$Q43))</f>
        <v/>
      </c>
      <c r="C43" s="55" t="str">
        <f>IF($Q43="","",INDEX(TRANSACTIONS_MASTER!$F$5:$F$1204,$Q43))</f>
        <v/>
      </c>
      <c r="D43" s="55" t="str">
        <f>IF($Q43="","",INDEX(TRANSACTIONS_MASTER!$E$5:$E$1204,$Q43))</f>
        <v/>
      </c>
      <c r="E43" s="55" t="str">
        <f>IF($Q43="","",INDEX(TRANSACTIONS_MASTER!$G$5:$G$1204,$Q43)&amp;"")</f>
        <v/>
      </c>
      <c r="F43" s="29" t="str">
        <f>IF($Q43="","",INDEX(TRANSACTIONS_MASTER!$I$5:$I$1204,$Q43))</f>
        <v/>
      </c>
      <c r="G43" s="55" t="str">
        <f>IF($Q43="","",INDEX(TRANSACTIONS_MASTER!$K$5:$K$1204,$Q43))</f>
        <v/>
      </c>
      <c r="H43" s="25" t="str">
        <f>IF($Q43="","",INDEX(TRANSACTIONS_MASTER!$L$5:$L$1204,$Q43))</f>
        <v/>
      </c>
      <c r="I43" s="56" t="str">
        <f>IF($Q43="","",INDEX(TRANSACTIONS_MASTER!$N$5:$N$1204,$Q43))</f>
        <v/>
      </c>
      <c r="J43" s="25" t="str">
        <f>IF($Q43="","",INDEX(TRANSACTIONS_MASTER!$O$5:$O$1204,$Q43))</f>
        <v/>
      </c>
      <c r="K43" s="26" t="str">
        <f>IF($Q43="","",INDEX(TRANSACTIONS_MASTER!$Q$5:$Q$1204,$Q43))</f>
        <v/>
      </c>
      <c r="L43" s="25" t="str">
        <f>IF($Q43="","",INDEX(TRANSACTIONS_MASTER!$P$5:$P$1204,$Q43))</f>
        <v/>
      </c>
      <c r="M43" s="25" t="str">
        <f>IF($Q43="","",INDEX(TRANSACTIONS_MASTER!$AA$5:$AA$1204,$Q43))</f>
        <v/>
      </c>
      <c r="N43" s="25" t="str">
        <f>IF($Q43="","",INDEX(TRANSACTIONS_MASTER!$R$5:$R$1204,$Q43))</f>
        <v/>
      </c>
      <c r="O43" s="28" t="str">
        <f>IF($Q43="","",INDEX(TRANSACTIONS_MASTER!$AB$5:$AB$1204,$Q43))</f>
        <v/>
      </c>
      <c r="P43" s="55" t="str">
        <f>IF($Q43="","",INDEX(TRANSACTIONS_MASTER!$Z$5:$Z$1204,$Q43)&amp;"")</f>
        <v/>
      </c>
      <c r="Q43" s="67" t="str">
        <f>IFERROR(MATCH($C$2&amp;"|"&amp;36,TRANSACTIONS_MASTER!$AE$5:$AE$1204,0),"")</f>
        <v/>
      </c>
      <c r="S43" s="67" t="str">
        <f>IFERROR(MATCH(36,CASHBACK_RULES!$S$5:$S$304,0),"")</f>
        <v/>
      </c>
      <c r="T43" s="55" t="str">
        <f>IF($S43="","",INDEX(CASHBACK_RULES!$B$5:$B$304,$S43))</f>
        <v/>
      </c>
      <c r="U43" s="55" t="str">
        <f>IF($S43="","",INDEX(CASHBACK_RULES!$C$5:$C$304,$S43)&amp;" "&amp;INDEX(CASHBACK_RULES!$D$5:$D$304,$S43))</f>
        <v/>
      </c>
      <c r="V43" s="55" t="str">
        <f>IF($S43="","",INDEX(CASHBACK_RULES!$E$5:$E$304,$S43)&amp;"")</f>
        <v/>
      </c>
      <c r="W43" s="55" t="str">
        <f>IF($S43="","",INDEX(CASHBACK_RULES!$F$5:$F$304,$S43)&amp;"")</f>
        <v/>
      </c>
      <c r="X43" s="26" t="str">
        <f>IF($S43="","",SUMIFS(TRANSACTIONS_MASTER!$Q$5:$Q$1204,TRANSACTIONS_MASTER!$D$5:$D$1204,$T43,TRANSACTIONS_MASTER!$Z$5:$Z$1204,$V43,TRANSACTIONS_MASTER!$C$5:$C$1204,$C$2))</f>
        <v/>
      </c>
      <c r="Y43" s="25" t="str">
        <f>IF($S43="","",IF(ISNUMBER(INDEX(CASHBACK_RULES!$J$5:$J$304,$S43)),INDEX(CASHBACK_RULES!$J$5:$J$304,$S43),"∞"))</f>
        <v/>
      </c>
      <c r="Z43" s="25" t="str">
        <f>IF($S43="","",IF(ISNUMBER($Y43),MAX(0,$Y43-$X43),"∞"))</f>
        <v/>
      </c>
      <c r="AA43" s="27" t="str">
        <f>IF($S43="","",IF(ISNUMBER($Y43),IF($Y43=0,0,$X43/$Y43),""))</f>
        <v/>
      </c>
    </row>
    <row r="44" ht="20" customHeight="1">
      <c r="A44" s="81" t="str">
        <f>IF($Q44="","",37)</f>
        <v/>
      </c>
      <c r="B44" s="57" t="str">
        <f>IF($Q44="","",INDEX(TRANSACTIONS_MASTER!$B$5:$B$1204,$Q44))</f>
        <v/>
      </c>
      <c r="C44" s="55" t="str">
        <f>IF($Q44="","",INDEX(TRANSACTIONS_MASTER!$F$5:$F$1204,$Q44))</f>
        <v/>
      </c>
      <c r="D44" s="55" t="str">
        <f>IF($Q44="","",INDEX(TRANSACTIONS_MASTER!$E$5:$E$1204,$Q44))</f>
        <v/>
      </c>
      <c r="E44" s="55" t="str">
        <f>IF($Q44="","",INDEX(TRANSACTIONS_MASTER!$G$5:$G$1204,$Q44)&amp;"")</f>
        <v/>
      </c>
      <c r="F44" s="29" t="str">
        <f>IF($Q44="","",INDEX(TRANSACTIONS_MASTER!$I$5:$I$1204,$Q44))</f>
        <v/>
      </c>
      <c r="G44" s="55" t="str">
        <f>IF($Q44="","",INDEX(TRANSACTIONS_MASTER!$K$5:$K$1204,$Q44))</f>
        <v/>
      </c>
      <c r="H44" s="25" t="str">
        <f>IF($Q44="","",INDEX(TRANSACTIONS_MASTER!$L$5:$L$1204,$Q44))</f>
        <v/>
      </c>
      <c r="I44" s="56" t="str">
        <f>IF($Q44="","",INDEX(TRANSACTIONS_MASTER!$N$5:$N$1204,$Q44))</f>
        <v/>
      </c>
      <c r="J44" s="25" t="str">
        <f>IF($Q44="","",INDEX(TRANSACTIONS_MASTER!$O$5:$O$1204,$Q44))</f>
        <v/>
      </c>
      <c r="K44" s="26" t="str">
        <f>IF($Q44="","",INDEX(TRANSACTIONS_MASTER!$Q$5:$Q$1204,$Q44))</f>
        <v/>
      </c>
      <c r="L44" s="25" t="str">
        <f>IF($Q44="","",INDEX(TRANSACTIONS_MASTER!$P$5:$P$1204,$Q44))</f>
        <v/>
      </c>
      <c r="M44" s="25" t="str">
        <f>IF($Q44="","",INDEX(TRANSACTIONS_MASTER!$AA$5:$AA$1204,$Q44))</f>
        <v/>
      </c>
      <c r="N44" s="25" t="str">
        <f>IF($Q44="","",INDEX(TRANSACTIONS_MASTER!$R$5:$R$1204,$Q44))</f>
        <v/>
      </c>
      <c r="O44" s="28" t="str">
        <f>IF($Q44="","",INDEX(TRANSACTIONS_MASTER!$AB$5:$AB$1204,$Q44))</f>
        <v/>
      </c>
      <c r="P44" s="55" t="str">
        <f>IF($Q44="","",INDEX(TRANSACTIONS_MASTER!$Z$5:$Z$1204,$Q44)&amp;"")</f>
        <v/>
      </c>
      <c r="Q44" s="67" t="str">
        <f>IFERROR(MATCH($C$2&amp;"|"&amp;37,TRANSACTIONS_MASTER!$AE$5:$AE$1204,0),"")</f>
        <v/>
      </c>
      <c r="S44" s="67" t="str">
        <f>IFERROR(MATCH(37,CASHBACK_RULES!$S$5:$S$304,0),"")</f>
        <v/>
      </c>
      <c r="T44" s="55" t="str">
        <f>IF($S44="","",INDEX(CASHBACK_RULES!$B$5:$B$304,$S44))</f>
        <v/>
      </c>
      <c r="U44" s="55" t="str">
        <f>IF($S44="","",INDEX(CASHBACK_RULES!$C$5:$C$304,$S44)&amp;" "&amp;INDEX(CASHBACK_RULES!$D$5:$D$304,$S44))</f>
        <v/>
      </c>
      <c r="V44" s="55" t="str">
        <f>IF($S44="","",INDEX(CASHBACK_RULES!$E$5:$E$304,$S44)&amp;"")</f>
        <v/>
      </c>
      <c r="W44" s="55" t="str">
        <f>IF($S44="","",INDEX(CASHBACK_RULES!$F$5:$F$304,$S44)&amp;"")</f>
        <v/>
      </c>
      <c r="X44" s="26" t="str">
        <f>IF($S44="","",SUMIFS(TRANSACTIONS_MASTER!$Q$5:$Q$1204,TRANSACTIONS_MASTER!$D$5:$D$1204,$T44,TRANSACTIONS_MASTER!$Z$5:$Z$1204,$V44,TRANSACTIONS_MASTER!$C$5:$C$1204,$C$2))</f>
        <v/>
      </c>
      <c r="Y44" s="25" t="str">
        <f>IF($S44="","",IF(ISNUMBER(INDEX(CASHBACK_RULES!$J$5:$J$304,$S44)),INDEX(CASHBACK_RULES!$J$5:$J$304,$S44),"∞"))</f>
        <v/>
      </c>
      <c r="Z44" s="25" t="str">
        <f>IF($S44="","",IF(ISNUMBER($Y44),MAX(0,$Y44-$X44),"∞"))</f>
        <v/>
      </c>
      <c r="AA44" s="27" t="str">
        <f>IF($S44="","",IF(ISNUMBER($Y44),IF($Y44=0,0,$X44/$Y44),""))</f>
        <v/>
      </c>
    </row>
    <row r="45" ht="20" customHeight="1">
      <c r="A45" s="81" t="str">
        <f>IF($Q45="","",38)</f>
        <v/>
      </c>
      <c r="B45" s="57" t="str">
        <f>IF($Q45="","",INDEX(TRANSACTIONS_MASTER!$B$5:$B$1204,$Q45))</f>
        <v/>
      </c>
      <c r="C45" s="55" t="str">
        <f>IF($Q45="","",INDEX(TRANSACTIONS_MASTER!$F$5:$F$1204,$Q45))</f>
        <v/>
      </c>
      <c r="D45" s="55" t="str">
        <f>IF($Q45="","",INDEX(TRANSACTIONS_MASTER!$E$5:$E$1204,$Q45))</f>
        <v/>
      </c>
      <c r="E45" s="55" t="str">
        <f>IF($Q45="","",INDEX(TRANSACTIONS_MASTER!$G$5:$G$1204,$Q45)&amp;"")</f>
        <v/>
      </c>
      <c r="F45" s="29" t="str">
        <f>IF($Q45="","",INDEX(TRANSACTIONS_MASTER!$I$5:$I$1204,$Q45))</f>
        <v/>
      </c>
      <c r="G45" s="55" t="str">
        <f>IF($Q45="","",INDEX(TRANSACTIONS_MASTER!$K$5:$K$1204,$Q45))</f>
        <v/>
      </c>
      <c r="H45" s="25" t="str">
        <f>IF($Q45="","",INDEX(TRANSACTIONS_MASTER!$L$5:$L$1204,$Q45))</f>
        <v/>
      </c>
      <c r="I45" s="56" t="str">
        <f>IF($Q45="","",INDEX(TRANSACTIONS_MASTER!$N$5:$N$1204,$Q45))</f>
        <v/>
      </c>
      <c r="J45" s="25" t="str">
        <f>IF($Q45="","",INDEX(TRANSACTIONS_MASTER!$O$5:$O$1204,$Q45))</f>
        <v/>
      </c>
      <c r="K45" s="26" t="str">
        <f>IF($Q45="","",INDEX(TRANSACTIONS_MASTER!$Q$5:$Q$1204,$Q45))</f>
        <v/>
      </c>
      <c r="L45" s="25" t="str">
        <f>IF($Q45="","",INDEX(TRANSACTIONS_MASTER!$P$5:$P$1204,$Q45))</f>
        <v/>
      </c>
      <c r="M45" s="25" t="str">
        <f>IF($Q45="","",INDEX(TRANSACTIONS_MASTER!$AA$5:$AA$1204,$Q45))</f>
        <v/>
      </c>
      <c r="N45" s="25" t="str">
        <f>IF($Q45="","",INDEX(TRANSACTIONS_MASTER!$R$5:$R$1204,$Q45))</f>
        <v/>
      </c>
      <c r="O45" s="28" t="str">
        <f>IF($Q45="","",INDEX(TRANSACTIONS_MASTER!$AB$5:$AB$1204,$Q45))</f>
        <v/>
      </c>
      <c r="P45" s="55" t="str">
        <f>IF($Q45="","",INDEX(TRANSACTIONS_MASTER!$Z$5:$Z$1204,$Q45)&amp;"")</f>
        <v/>
      </c>
      <c r="Q45" s="67" t="str">
        <f>IFERROR(MATCH($C$2&amp;"|"&amp;38,TRANSACTIONS_MASTER!$AE$5:$AE$1204,0),"")</f>
        <v/>
      </c>
      <c r="S45" s="67" t="str">
        <f>IFERROR(MATCH(38,CASHBACK_RULES!$S$5:$S$304,0),"")</f>
        <v/>
      </c>
      <c r="T45" s="55" t="str">
        <f>IF($S45="","",INDEX(CASHBACK_RULES!$B$5:$B$304,$S45))</f>
        <v/>
      </c>
      <c r="U45" s="55" t="str">
        <f>IF($S45="","",INDEX(CASHBACK_RULES!$C$5:$C$304,$S45)&amp;" "&amp;INDEX(CASHBACK_RULES!$D$5:$D$304,$S45))</f>
        <v/>
      </c>
      <c r="V45" s="55" t="str">
        <f>IF($S45="","",INDEX(CASHBACK_RULES!$E$5:$E$304,$S45)&amp;"")</f>
        <v/>
      </c>
      <c r="W45" s="55" t="str">
        <f>IF($S45="","",INDEX(CASHBACK_RULES!$F$5:$F$304,$S45)&amp;"")</f>
        <v/>
      </c>
      <c r="X45" s="26" t="str">
        <f>IF($S45="","",SUMIFS(TRANSACTIONS_MASTER!$Q$5:$Q$1204,TRANSACTIONS_MASTER!$D$5:$D$1204,$T45,TRANSACTIONS_MASTER!$Z$5:$Z$1204,$V45,TRANSACTIONS_MASTER!$C$5:$C$1204,$C$2))</f>
        <v/>
      </c>
      <c r="Y45" s="25" t="str">
        <f>IF($S45="","",IF(ISNUMBER(INDEX(CASHBACK_RULES!$J$5:$J$304,$S45)),INDEX(CASHBACK_RULES!$J$5:$J$304,$S45),"∞"))</f>
        <v/>
      </c>
      <c r="Z45" s="25" t="str">
        <f>IF($S45="","",IF(ISNUMBER($Y45),MAX(0,$Y45-$X45),"∞"))</f>
        <v/>
      </c>
      <c r="AA45" s="27" t="str">
        <f>IF($S45="","",IF(ISNUMBER($Y45),IF($Y45=0,0,$X45/$Y45),""))</f>
        <v/>
      </c>
    </row>
    <row r="46" ht="20" customHeight="1">
      <c r="A46" s="81" t="str">
        <f>IF($Q46="","",39)</f>
        <v/>
      </c>
      <c r="B46" s="57" t="str">
        <f>IF($Q46="","",INDEX(TRANSACTIONS_MASTER!$B$5:$B$1204,$Q46))</f>
        <v/>
      </c>
      <c r="C46" s="55" t="str">
        <f>IF($Q46="","",INDEX(TRANSACTIONS_MASTER!$F$5:$F$1204,$Q46))</f>
        <v/>
      </c>
      <c r="D46" s="55" t="str">
        <f>IF($Q46="","",INDEX(TRANSACTIONS_MASTER!$E$5:$E$1204,$Q46))</f>
        <v/>
      </c>
      <c r="E46" s="55" t="str">
        <f>IF($Q46="","",INDEX(TRANSACTIONS_MASTER!$G$5:$G$1204,$Q46)&amp;"")</f>
        <v/>
      </c>
      <c r="F46" s="29" t="str">
        <f>IF($Q46="","",INDEX(TRANSACTIONS_MASTER!$I$5:$I$1204,$Q46))</f>
        <v/>
      </c>
      <c r="G46" s="55" t="str">
        <f>IF($Q46="","",INDEX(TRANSACTIONS_MASTER!$K$5:$K$1204,$Q46))</f>
        <v/>
      </c>
      <c r="H46" s="25" t="str">
        <f>IF($Q46="","",INDEX(TRANSACTIONS_MASTER!$L$5:$L$1204,$Q46))</f>
        <v/>
      </c>
      <c r="I46" s="56" t="str">
        <f>IF($Q46="","",INDEX(TRANSACTIONS_MASTER!$N$5:$N$1204,$Q46))</f>
        <v/>
      </c>
      <c r="J46" s="25" t="str">
        <f>IF($Q46="","",INDEX(TRANSACTIONS_MASTER!$O$5:$O$1204,$Q46))</f>
        <v/>
      </c>
      <c r="K46" s="26" t="str">
        <f>IF($Q46="","",INDEX(TRANSACTIONS_MASTER!$Q$5:$Q$1204,$Q46))</f>
        <v/>
      </c>
      <c r="L46" s="25" t="str">
        <f>IF($Q46="","",INDEX(TRANSACTIONS_MASTER!$P$5:$P$1204,$Q46))</f>
        <v/>
      </c>
      <c r="M46" s="25" t="str">
        <f>IF($Q46="","",INDEX(TRANSACTIONS_MASTER!$AA$5:$AA$1204,$Q46))</f>
        <v/>
      </c>
      <c r="N46" s="25" t="str">
        <f>IF($Q46="","",INDEX(TRANSACTIONS_MASTER!$R$5:$R$1204,$Q46))</f>
        <v/>
      </c>
      <c r="O46" s="28" t="str">
        <f>IF($Q46="","",INDEX(TRANSACTIONS_MASTER!$AB$5:$AB$1204,$Q46))</f>
        <v/>
      </c>
      <c r="P46" s="55" t="str">
        <f>IF($Q46="","",INDEX(TRANSACTIONS_MASTER!$Z$5:$Z$1204,$Q46)&amp;"")</f>
        <v/>
      </c>
      <c r="Q46" s="67" t="str">
        <f>IFERROR(MATCH($C$2&amp;"|"&amp;39,TRANSACTIONS_MASTER!$AE$5:$AE$1204,0),"")</f>
        <v/>
      </c>
      <c r="S46" s="67" t="str">
        <f>IFERROR(MATCH(39,CASHBACK_RULES!$S$5:$S$304,0),"")</f>
        <v/>
      </c>
      <c r="T46" s="55" t="str">
        <f>IF($S46="","",INDEX(CASHBACK_RULES!$B$5:$B$304,$S46))</f>
        <v/>
      </c>
      <c r="U46" s="55" t="str">
        <f>IF($S46="","",INDEX(CASHBACK_RULES!$C$5:$C$304,$S46)&amp;" "&amp;INDEX(CASHBACK_RULES!$D$5:$D$304,$S46))</f>
        <v/>
      </c>
      <c r="V46" s="55" t="str">
        <f>IF($S46="","",INDEX(CASHBACK_RULES!$E$5:$E$304,$S46)&amp;"")</f>
        <v/>
      </c>
      <c r="W46" s="55" t="str">
        <f>IF($S46="","",INDEX(CASHBACK_RULES!$F$5:$F$304,$S46)&amp;"")</f>
        <v/>
      </c>
      <c r="X46" s="26" t="str">
        <f>IF($S46="","",SUMIFS(TRANSACTIONS_MASTER!$Q$5:$Q$1204,TRANSACTIONS_MASTER!$D$5:$D$1204,$T46,TRANSACTIONS_MASTER!$Z$5:$Z$1204,$V46,TRANSACTIONS_MASTER!$C$5:$C$1204,$C$2))</f>
        <v/>
      </c>
      <c r="Y46" s="25" t="str">
        <f>IF($S46="","",IF(ISNUMBER(INDEX(CASHBACK_RULES!$J$5:$J$304,$S46)),INDEX(CASHBACK_RULES!$J$5:$J$304,$S46),"∞"))</f>
        <v/>
      </c>
      <c r="Z46" s="25" t="str">
        <f>IF($S46="","",IF(ISNUMBER($Y46),MAX(0,$Y46-$X46),"∞"))</f>
        <v/>
      </c>
      <c r="AA46" s="27" t="str">
        <f>IF($S46="","",IF(ISNUMBER($Y46),IF($Y46=0,0,$X46/$Y46),""))</f>
        <v/>
      </c>
    </row>
    <row r="47" ht="20" customHeight="1">
      <c r="A47" s="81" t="str">
        <f>IF($Q47="","",40)</f>
        <v/>
      </c>
      <c r="B47" s="57" t="str">
        <f>IF($Q47="","",INDEX(TRANSACTIONS_MASTER!$B$5:$B$1204,$Q47))</f>
        <v/>
      </c>
      <c r="C47" s="55" t="str">
        <f>IF($Q47="","",INDEX(TRANSACTIONS_MASTER!$F$5:$F$1204,$Q47))</f>
        <v/>
      </c>
      <c r="D47" s="55" t="str">
        <f>IF($Q47="","",INDEX(TRANSACTIONS_MASTER!$E$5:$E$1204,$Q47))</f>
        <v/>
      </c>
      <c r="E47" s="55" t="str">
        <f>IF($Q47="","",INDEX(TRANSACTIONS_MASTER!$G$5:$G$1204,$Q47)&amp;"")</f>
        <v/>
      </c>
      <c r="F47" s="29" t="str">
        <f>IF($Q47="","",INDEX(TRANSACTIONS_MASTER!$I$5:$I$1204,$Q47))</f>
        <v/>
      </c>
      <c r="G47" s="55" t="str">
        <f>IF($Q47="","",INDEX(TRANSACTIONS_MASTER!$K$5:$K$1204,$Q47))</f>
        <v/>
      </c>
      <c r="H47" s="25" t="str">
        <f>IF($Q47="","",INDEX(TRANSACTIONS_MASTER!$L$5:$L$1204,$Q47))</f>
        <v/>
      </c>
      <c r="I47" s="56" t="str">
        <f>IF($Q47="","",INDEX(TRANSACTIONS_MASTER!$N$5:$N$1204,$Q47))</f>
        <v/>
      </c>
      <c r="J47" s="25" t="str">
        <f>IF($Q47="","",INDEX(TRANSACTIONS_MASTER!$O$5:$O$1204,$Q47))</f>
        <v/>
      </c>
      <c r="K47" s="26" t="str">
        <f>IF($Q47="","",INDEX(TRANSACTIONS_MASTER!$Q$5:$Q$1204,$Q47))</f>
        <v/>
      </c>
      <c r="L47" s="25" t="str">
        <f>IF($Q47="","",INDEX(TRANSACTIONS_MASTER!$P$5:$P$1204,$Q47))</f>
        <v/>
      </c>
      <c r="M47" s="25" t="str">
        <f>IF($Q47="","",INDEX(TRANSACTIONS_MASTER!$AA$5:$AA$1204,$Q47))</f>
        <v/>
      </c>
      <c r="N47" s="25" t="str">
        <f>IF($Q47="","",INDEX(TRANSACTIONS_MASTER!$R$5:$R$1204,$Q47))</f>
        <v/>
      </c>
      <c r="O47" s="28" t="str">
        <f>IF($Q47="","",INDEX(TRANSACTIONS_MASTER!$AB$5:$AB$1204,$Q47))</f>
        <v/>
      </c>
      <c r="P47" s="55" t="str">
        <f>IF($Q47="","",INDEX(TRANSACTIONS_MASTER!$Z$5:$Z$1204,$Q47)&amp;"")</f>
        <v/>
      </c>
      <c r="Q47" s="67" t="str">
        <f>IFERROR(MATCH($C$2&amp;"|"&amp;40,TRANSACTIONS_MASTER!$AE$5:$AE$1204,0),"")</f>
        <v/>
      </c>
      <c r="S47" s="67" t="str">
        <f>IFERROR(MATCH(40,CASHBACK_RULES!$S$5:$S$304,0),"")</f>
        <v/>
      </c>
      <c r="T47" s="55" t="str">
        <f>IF($S47="","",INDEX(CASHBACK_RULES!$B$5:$B$304,$S47))</f>
        <v/>
      </c>
      <c r="U47" s="55" t="str">
        <f>IF($S47="","",INDEX(CASHBACK_RULES!$C$5:$C$304,$S47)&amp;" "&amp;INDEX(CASHBACK_RULES!$D$5:$D$304,$S47))</f>
        <v/>
      </c>
      <c r="V47" s="55" t="str">
        <f>IF($S47="","",INDEX(CASHBACK_RULES!$E$5:$E$304,$S47)&amp;"")</f>
        <v/>
      </c>
      <c r="W47" s="55" t="str">
        <f>IF($S47="","",INDEX(CASHBACK_RULES!$F$5:$F$304,$S47)&amp;"")</f>
        <v/>
      </c>
      <c r="X47" s="26" t="str">
        <f>IF($S47="","",SUMIFS(TRANSACTIONS_MASTER!$Q$5:$Q$1204,TRANSACTIONS_MASTER!$D$5:$D$1204,$T47,TRANSACTIONS_MASTER!$Z$5:$Z$1204,$V47,TRANSACTIONS_MASTER!$C$5:$C$1204,$C$2))</f>
        <v/>
      </c>
      <c r="Y47" s="25" t="str">
        <f>IF($S47="","",IF(ISNUMBER(INDEX(CASHBACK_RULES!$J$5:$J$304,$S47)),INDEX(CASHBACK_RULES!$J$5:$J$304,$S47),"∞"))</f>
        <v/>
      </c>
      <c r="Z47" s="25" t="str">
        <f>IF($S47="","",IF(ISNUMBER($Y47),MAX(0,$Y47-$X47),"∞"))</f>
        <v/>
      </c>
      <c r="AA47" s="27" t="str">
        <f>IF($S47="","",IF(ISNUMBER($Y47),IF($Y47=0,0,$X47/$Y47),""))</f>
        <v/>
      </c>
    </row>
    <row r="48" ht="20" customHeight="1">
      <c r="A48" s="81" t="str">
        <f>IF($Q48="","",41)</f>
        <v/>
      </c>
      <c r="B48" s="57" t="str">
        <f>IF($Q48="","",INDEX(TRANSACTIONS_MASTER!$B$5:$B$1204,$Q48))</f>
        <v/>
      </c>
      <c r="C48" s="55" t="str">
        <f>IF($Q48="","",INDEX(TRANSACTIONS_MASTER!$F$5:$F$1204,$Q48))</f>
        <v/>
      </c>
      <c r="D48" s="55" t="str">
        <f>IF($Q48="","",INDEX(TRANSACTIONS_MASTER!$E$5:$E$1204,$Q48))</f>
        <v/>
      </c>
      <c r="E48" s="55" t="str">
        <f>IF($Q48="","",INDEX(TRANSACTIONS_MASTER!$G$5:$G$1204,$Q48)&amp;"")</f>
        <v/>
      </c>
      <c r="F48" s="29" t="str">
        <f>IF($Q48="","",INDEX(TRANSACTIONS_MASTER!$I$5:$I$1204,$Q48))</f>
        <v/>
      </c>
      <c r="G48" s="55" t="str">
        <f>IF($Q48="","",INDEX(TRANSACTIONS_MASTER!$K$5:$K$1204,$Q48))</f>
        <v/>
      </c>
      <c r="H48" s="25" t="str">
        <f>IF($Q48="","",INDEX(TRANSACTIONS_MASTER!$L$5:$L$1204,$Q48))</f>
        <v/>
      </c>
      <c r="I48" s="56" t="str">
        <f>IF($Q48="","",INDEX(TRANSACTIONS_MASTER!$N$5:$N$1204,$Q48))</f>
        <v/>
      </c>
      <c r="J48" s="25" t="str">
        <f>IF($Q48="","",INDEX(TRANSACTIONS_MASTER!$O$5:$O$1204,$Q48))</f>
        <v/>
      </c>
      <c r="K48" s="26" t="str">
        <f>IF($Q48="","",INDEX(TRANSACTIONS_MASTER!$Q$5:$Q$1204,$Q48))</f>
        <v/>
      </c>
      <c r="L48" s="25" t="str">
        <f>IF($Q48="","",INDEX(TRANSACTIONS_MASTER!$P$5:$P$1204,$Q48))</f>
        <v/>
      </c>
      <c r="M48" s="25" t="str">
        <f>IF($Q48="","",INDEX(TRANSACTIONS_MASTER!$AA$5:$AA$1204,$Q48))</f>
        <v/>
      </c>
      <c r="N48" s="25" t="str">
        <f>IF($Q48="","",INDEX(TRANSACTIONS_MASTER!$R$5:$R$1204,$Q48))</f>
        <v/>
      </c>
      <c r="O48" s="28" t="str">
        <f>IF($Q48="","",INDEX(TRANSACTIONS_MASTER!$AB$5:$AB$1204,$Q48))</f>
        <v/>
      </c>
      <c r="P48" s="55" t="str">
        <f>IF($Q48="","",INDEX(TRANSACTIONS_MASTER!$Z$5:$Z$1204,$Q48)&amp;"")</f>
        <v/>
      </c>
      <c r="Q48" s="67" t="str">
        <f>IFERROR(MATCH($C$2&amp;"|"&amp;41,TRANSACTIONS_MASTER!$AE$5:$AE$1204,0),"")</f>
        <v/>
      </c>
      <c r="S48" s="67" t="str">
        <f>IFERROR(MATCH(41,CASHBACK_RULES!$S$5:$S$304,0),"")</f>
        <v/>
      </c>
      <c r="T48" s="55" t="str">
        <f>IF($S48="","",INDEX(CASHBACK_RULES!$B$5:$B$304,$S48))</f>
        <v/>
      </c>
      <c r="U48" s="55" t="str">
        <f>IF($S48="","",INDEX(CASHBACK_RULES!$C$5:$C$304,$S48)&amp;" "&amp;INDEX(CASHBACK_RULES!$D$5:$D$304,$S48))</f>
        <v/>
      </c>
      <c r="V48" s="55" t="str">
        <f>IF($S48="","",INDEX(CASHBACK_RULES!$E$5:$E$304,$S48)&amp;"")</f>
        <v/>
      </c>
      <c r="W48" s="55" t="str">
        <f>IF($S48="","",INDEX(CASHBACK_RULES!$F$5:$F$304,$S48)&amp;"")</f>
        <v/>
      </c>
      <c r="X48" s="26" t="str">
        <f>IF($S48="","",SUMIFS(TRANSACTIONS_MASTER!$Q$5:$Q$1204,TRANSACTIONS_MASTER!$D$5:$D$1204,$T48,TRANSACTIONS_MASTER!$Z$5:$Z$1204,$V48,TRANSACTIONS_MASTER!$C$5:$C$1204,$C$2))</f>
        <v/>
      </c>
      <c r="Y48" s="25" t="str">
        <f>IF($S48="","",IF(ISNUMBER(INDEX(CASHBACK_RULES!$J$5:$J$304,$S48)),INDEX(CASHBACK_RULES!$J$5:$J$304,$S48),"∞"))</f>
        <v/>
      </c>
      <c r="Z48" s="25" t="str">
        <f>IF($S48="","",IF(ISNUMBER($Y48),MAX(0,$Y48-$X48),"∞"))</f>
        <v/>
      </c>
      <c r="AA48" s="27" t="str">
        <f>IF($S48="","",IF(ISNUMBER($Y48),IF($Y48=0,0,$X48/$Y48),""))</f>
        <v/>
      </c>
    </row>
    <row r="49" ht="20" customHeight="1">
      <c r="A49" s="81" t="str">
        <f>IF($Q49="","",42)</f>
        <v/>
      </c>
      <c r="B49" s="57" t="str">
        <f>IF($Q49="","",INDEX(TRANSACTIONS_MASTER!$B$5:$B$1204,$Q49))</f>
        <v/>
      </c>
      <c r="C49" s="55" t="str">
        <f>IF($Q49="","",INDEX(TRANSACTIONS_MASTER!$F$5:$F$1204,$Q49))</f>
        <v/>
      </c>
      <c r="D49" s="55" t="str">
        <f>IF($Q49="","",INDEX(TRANSACTIONS_MASTER!$E$5:$E$1204,$Q49))</f>
        <v/>
      </c>
      <c r="E49" s="55" t="str">
        <f>IF($Q49="","",INDEX(TRANSACTIONS_MASTER!$G$5:$G$1204,$Q49)&amp;"")</f>
        <v/>
      </c>
      <c r="F49" s="29" t="str">
        <f>IF($Q49="","",INDEX(TRANSACTIONS_MASTER!$I$5:$I$1204,$Q49))</f>
        <v/>
      </c>
      <c r="G49" s="55" t="str">
        <f>IF($Q49="","",INDEX(TRANSACTIONS_MASTER!$K$5:$K$1204,$Q49))</f>
        <v/>
      </c>
      <c r="H49" s="25" t="str">
        <f>IF($Q49="","",INDEX(TRANSACTIONS_MASTER!$L$5:$L$1204,$Q49))</f>
        <v/>
      </c>
      <c r="I49" s="56" t="str">
        <f>IF($Q49="","",INDEX(TRANSACTIONS_MASTER!$N$5:$N$1204,$Q49))</f>
        <v/>
      </c>
      <c r="J49" s="25" t="str">
        <f>IF($Q49="","",INDEX(TRANSACTIONS_MASTER!$O$5:$O$1204,$Q49))</f>
        <v/>
      </c>
      <c r="K49" s="26" t="str">
        <f>IF($Q49="","",INDEX(TRANSACTIONS_MASTER!$Q$5:$Q$1204,$Q49))</f>
        <v/>
      </c>
      <c r="L49" s="25" t="str">
        <f>IF($Q49="","",INDEX(TRANSACTIONS_MASTER!$P$5:$P$1204,$Q49))</f>
        <v/>
      </c>
      <c r="M49" s="25" t="str">
        <f>IF($Q49="","",INDEX(TRANSACTIONS_MASTER!$AA$5:$AA$1204,$Q49))</f>
        <v/>
      </c>
      <c r="N49" s="25" t="str">
        <f>IF($Q49="","",INDEX(TRANSACTIONS_MASTER!$R$5:$R$1204,$Q49))</f>
        <v/>
      </c>
      <c r="O49" s="28" t="str">
        <f>IF($Q49="","",INDEX(TRANSACTIONS_MASTER!$AB$5:$AB$1204,$Q49))</f>
        <v/>
      </c>
      <c r="P49" s="55" t="str">
        <f>IF($Q49="","",INDEX(TRANSACTIONS_MASTER!$Z$5:$Z$1204,$Q49)&amp;"")</f>
        <v/>
      </c>
      <c r="Q49" s="67" t="str">
        <f>IFERROR(MATCH($C$2&amp;"|"&amp;42,TRANSACTIONS_MASTER!$AE$5:$AE$1204,0),"")</f>
        <v/>
      </c>
      <c r="S49" s="67" t="str">
        <f>IFERROR(MATCH(42,CASHBACK_RULES!$S$5:$S$304,0),"")</f>
        <v/>
      </c>
      <c r="T49" s="55" t="str">
        <f>IF($S49="","",INDEX(CASHBACK_RULES!$B$5:$B$304,$S49))</f>
        <v/>
      </c>
      <c r="U49" s="55" t="str">
        <f>IF($S49="","",INDEX(CASHBACK_RULES!$C$5:$C$304,$S49)&amp;" "&amp;INDEX(CASHBACK_RULES!$D$5:$D$304,$S49))</f>
        <v/>
      </c>
      <c r="V49" s="55" t="str">
        <f>IF($S49="","",INDEX(CASHBACK_RULES!$E$5:$E$304,$S49)&amp;"")</f>
        <v/>
      </c>
      <c r="W49" s="55" t="str">
        <f>IF($S49="","",INDEX(CASHBACK_RULES!$F$5:$F$304,$S49)&amp;"")</f>
        <v/>
      </c>
      <c r="X49" s="26" t="str">
        <f>IF($S49="","",SUMIFS(TRANSACTIONS_MASTER!$Q$5:$Q$1204,TRANSACTIONS_MASTER!$D$5:$D$1204,$T49,TRANSACTIONS_MASTER!$Z$5:$Z$1204,$V49,TRANSACTIONS_MASTER!$C$5:$C$1204,$C$2))</f>
        <v/>
      </c>
      <c r="Y49" s="25" t="str">
        <f>IF($S49="","",IF(ISNUMBER(INDEX(CASHBACK_RULES!$J$5:$J$304,$S49)),INDEX(CASHBACK_RULES!$J$5:$J$304,$S49),"∞"))</f>
        <v/>
      </c>
      <c r="Z49" s="25" t="str">
        <f>IF($S49="","",IF(ISNUMBER($Y49),MAX(0,$Y49-$X49),"∞"))</f>
        <v/>
      </c>
      <c r="AA49" s="27" t="str">
        <f>IF($S49="","",IF(ISNUMBER($Y49),IF($Y49=0,0,$X49/$Y49),""))</f>
        <v/>
      </c>
    </row>
    <row r="50" ht="20" customHeight="1">
      <c r="A50" s="81" t="str">
        <f>IF($Q50="","",43)</f>
        <v/>
      </c>
      <c r="B50" s="57" t="str">
        <f>IF($Q50="","",INDEX(TRANSACTIONS_MASTER!$B$5:$B$1204,$Q50))</f>
        <v/>
      </c>
      <c r="C50" s="55" t="str">
        <f>IF($Q50="","",INDEX(TRANSACTIONS_MASTER!$F$5:$F$1204,$Q50))</f>
        <v/>
      </c>
      <c r="D50" s="55" t="str">
        <f>IF($Q50="","",INDEX(TRANSACTIONS_MASTER!$E$5:$E$1204,$Q50))</f>
        <v/>
      </c>
      <c r="E50" s="55" t="str">
        <f>IF($Q50="","",INDEX(TRANSACTIONS_MASTER!$G$5:$G$1204,$Q50)&amp;"")</f>
        <v/>
      </c>
      <c r="F50" s="29" t="str">
        <f>IF($Q50="","",INDEX(TRANSACTIONS_MASTER!$I$5:$I$1204,$Q50))</f>
        <v/>
      </c>
      <c r="G50" s="55" t="str">
        <f>IF($Q50="","",INDEX(TRANSACTIONS_MASTER!$K$5:$K$1204,$Q50))</f>
        <v/>
      </c>
      <c r="H50" s="25" t="str">
        <f>IF($Q50="","",INDEX(TRANSACTIONS_MASTER!$L$5:$L$1204,$Q50))</f>
        <v/>
      </c>
      <c r="I50" s="56" t="str">
        <f>IF($Q50="","",INDEX(TRANSACTIONS_MASTER!$N$5:$N$1204,$Q50))</f>
        <v/>
      </c>
      <c r="J50" s="25" t="str">
        <f>IF($Q50="","",INDEX(TRANSACTIONS_MASTER!$O$5:$O$1204,$Q50))</f>
        <v/>
      </c>
      <c r="K50" s="26" t="str">
        <f>IF($Q50="","",INDEX(TRANSACTIONS_MASTER!$Q$5:$Q$1204,$Q50))</f>
        <v/>
      </c>
      <c r="L50" s="25" t="str">
        <f>IF($Q50="","",INDEX(TRANSACTIONS_MASTER!$P$5:$P$1204,$Q50))</f>
        <v/>
      </c>
      <c r="M50" s="25" t="str">
        <f>IF($Q50="","",INDEX(TRANSACTIONS_MASTER!$AA$5:$AA$1204,$Q50))</f>
        <v/>
      </c>
      <c r="N50" s="25" t="str">
        <f>IF($Q50="","",INDEX(TRANSACTIONS_MASTER!$R$5:$R$1204,$Q50))</f>
        <v/>
      </c>
      <c r="O50" s="28" t="str">
        <f>IF($Q50="","",INDEX(TRANSACTIONS_MASTER!$AB$5:$AB$1204,$Q50))</f>
        <v/>
      </c>
      <c r="P50" s="55" t="str">
        <f>IF($Q50="","",INDEX(TRANSACTIONS_MASTER!$Z$5:$Z$1204,$Q50)&amp;"")</f>
        <v/>
      </c>
      <c r="Q50" s="67" t="str">
        <f>IFERROR(MATCH($C$2&amp;"|"&amp;43,TRANSACTIONS_MASTER!$AE$5:$AE$1204,0),"")</f>
        <v/>
      </c>
      <c r="S50" s="67" t="str">
        <f>IFERROR(MATCH(43,CASHBACK_RULES!$S$5:$S$304,0),"")</f>
        <v/>
      </c>
      <c r="T50" s="55" t="str">
        <f>IF($S50="","",INDEX(CASHBACK_RULES!$B$5:$B$304,$S50))</f>
        <v/>
      </c>
      <c r="U50" s="55" t="str">
        <f>IF($S50="","",INDEX(CASHBACK_RULES!$C$5:$C$304,$S50)&amp;" "&amp;INDEX(CASHBACK_RULES!$D$5:$D$304,$S50))</f>
        <v/>
      </c>
      <c r="V50" s="55" t="str">
        <f>IF($S50="","",INDEX(CASHBACK_RULES!$E$5:$E$304,$S50)&amp;"")</f>
        <v/>
      </c>
      <c r="W50" s="55" t="str">
        <f>IF($S50="","",INDEX(CASHBACK_RULES!$F$5:$F$304,$S50)&amp;"")</f>
        <v/>
      </c>
      <c r="X50" s="26" t="str">
        <f>IF($S50="","",SUMIFS(TRANSACTIONS_MASTER!$Q$5:$Q$1204,TRANSACTIONS_MASTER!$D$5:$D$1204,$T50,TRANSACTIONS_MASTER!$Z$5:$Z$1204,$V50,TRANSACTIONS_MASTER!$C$5:$C$1204,$C$2))</f>
        <v/>
      </c>
      <c r="Y50" s="25" t="str">
        <f>IF($S50="","",IF(ISNUMBER(INDEX(CASHBACK_RULES!$J$5:$J$304,$S50)),INDEX(CASHBACK_RULES!$J$5:$J$304,$S50),"∞"))</f>
        <v/>
      </c>
      <c r="Z50" s="25" t="str">
        <f>IF($S50="","",IF(ISNUMBER($Y50),MAX(0,$Y50-$X50),"∞"))</f>
        <v/>
      </c>
      <c r="AA50" s="27" t="str">
        <f>IF($S50="","",IF(ISNUMBER($Y50),IF($Y50=0,0,$X50/$Y50),""))</f>
        <v/>
      </c>
    </row>
    <row r="51" ht="20" customHeight="1">
      <c r="A51" s="81" t="str">
        <f>IF($Q51="","",44)</f>
        <v/>
      </c>
      <c r="B51" s="57" t="str">
        <f>IF($Q51="","",INDEX(TRANSACTIONS_MASTER!$B$5:$B$1204,$Q51))</f>
        <v/>
      </c>
      <c r="C51" s="55" t="str">
        <f>IF($Q51="","",INDEX(TRANSACTIONS_MASTER!$F$5:$F$1204,$Q51))</f>
        <v/>
      </c>
      <c r="D51" s="55" t="str">
        <f>IF($Q51="","",INDEX(TRANSACTIONS_MASTER!$E$5:$E$1204,$Q51))</f>
        <v/>
      </c>
      <c r="E51" s="55" t="str">
        <f>IF($Q51="","",INDEX(TRANSACTIONS_MASTER!$G$5:$G$1204,$Q51)&amp;"")</f>
        <v/>
      </c>
      <c r="F51" s="29" t="str">
        <f>IF($Q51="","",INDEX(TRANSACTIONS_MASTER!$I$5:$I$1204,$Q51))</f>
        <v/>
      </c>
      <c r="G51" s="55" t="str">
        <f>IF($Q51="","",INDEX(TRANSACTIONS_MASTER!$K$5:$K$1204,$Q51))</f>
        <v/>
      </c>
      <c r="H51" s="25" t="str">
        <f>IF($Q51="","",INDEX(TRANSACTIONS_MASTER!$L$5:$L$1204,$Q51))</f>
        <v/>
      </c>
      <c r="I51" s="56" t="str">
        <f>IF($Q51="","",INDEX(TRANSACTIONS_MASTER!$N$5:$N$1204,$Q51))</f>
        <v/>
      </c>
      <c r="J51" s="25" t="str">
        <f>IF($Q51="","",INDEX(TRANSACTIONS_MASTER!$O$5:$O$1204,$Q51))</f>
        <v/>
      </c>
      <c r="K51" s="26" t="str">
        <f>IF($Q51="","",INDEX(TRANSACTIONS_MASTER!$Q$5:$Q$1204,$Q51))</f>
        <v/>
      </c>
      <c r="L51" s="25" t="str">
        <f>IF($Q51="","",INDEX(TRANSACTIONS_MASTER!$P$5:$P$1204,$Q51))</f>
        <v/>
      </c>
      <c r="M51" s="25" t="str">
        <f>IF($Q51="","",INDEX(TRANSACTIONS_MASTER!$AA$5:$AA$1204,$Q51))</f>
        <v/>
      </c>
      <c r="N51" s="25" t="str">
        <f>IF($Q51="","",INDEX(TRANSACTIONS_MASTER!$R$5:$R$1204,$Q51))</f>
        <v/>
      </c>
      <c r="O51" s="28" t="str">
        <f>IF($Q51="","",INDEX(TRANSACTIONS_MASTER!$AB$5:$AB$1204,$Q51))</f>
        <v/>
      </c>
      <c r="P51" s="55" t="str">
        <f>IF($Q51="","",INDEX(TRANSACTIONS_MASTER!$Z$5:$Z$1204,$Q51)&amp;"")</f>
        <v/>
      </c>
      <c r="Q51" s="67" t="str">
        <f>IFERROR(MATCH($C$2&amp;"|"&amp;44,TRANSACTIONS_MASTER!$AE$5:$AE$1204,0),"")</f>
        <v/>
      </c>
      <c r="S51" s="67" t="str">
        <f>IFERROR(MATCH(44,CASHBACK_RULES!$S$5:$S$304,0),"")</f>
        <v/>
      </c>
      <c r="T51" s="55" t="str">
        <f>IF($S51="","",INDEX(CASHBACK_RULES!$B$5:$B$304,$S51))</f>
        <v/>
      </c>
      <c r="U51" s="55" t="str">
        <f>IF($S51="","",INDEX(CASHBACK_RULES!$C$5:$C$304,$S51)&amp;" "&amp;INDEX(CASHBACK_RULES!$D$5:$D$304,$S51))</f>
        <v/>
      </c>
      <c r="V51" s="55" t="str">
        <f>IF($S51="","",INDEX(CASHBACK_RULES!$E$5:$E$304,$S51)&amp;"")</f>
        <v/>
      </c>
      <c r="W51" s="55" t="str">
        <f>IF($S51="","",INDEX(CASHBACK_RULES!$F$5:$F$304,$S51)&amp;"")</f>
        <v/>
      </c>
      <c r="X51" s="26" t="str">
        <f>IF($S51="","",SUMIFS(TRANSACTIONS_MASTER!$Q$5:$Q$1204,TRANSACTIONS_MASTER!$D$5:$D$1204,$T51,TRANSACTIONS_MASTER!$Z$5:$Z$1204,$V51,TRANSACTIONS_MASTER!$C$5:$C$1204,$C$2))</f>
        <v/>
      </c>
      <c r="Y51" s="25" t="str">
        <f>IF($S51="","",IF(ISNUMBER(INDEX(CASHBACK_RULES!$J$5:$J$304,$S51)),INDEX(CASHBACK_RULES!$J$5:$J$304,$S51),"∞"))</f>
        <v/>
      </c>
      <c r="Z51" s="25" t="str">
        <f>IF($S51="","",IF(ISNUMBER($Y51),MAX(0,$Y51-$X51),"∞"))</f>
        <v/>
      </c>
      <c r="AA51" s="27" t="str">
        <f>IF($S51="","",IF(ISNUMBER($Y51),IF($Y51=0,0,$X51/$Y51),""))</f>
        <v/>
      </c>
    </row>
    <row r="52" ht="20" customHeight="1">
      <c r="A52" s="81" t="str">
        <f>IF($Q52="","",45)</f>
        <v/>
      </c>
      <c r="B52" s="57" t="str">
        <f>IF($Q52="","",INDEX(TRANSACTIONS_MASTER!$B$5:$B$1204,$Q52))</f>
        <v/>
      </c>
      <c r="C52" s="55" t="str">
        <f>IF($Q52="","",INDEX(TRANSACTIONS_MASTER!$F$5:$F$1204,$Q52))</f>
        <v/>
      </c>
      <c r="D52" s="55" t="str">
        <f>IF($Q52="","",INDEX(TRANSACTIONS_MASTER!$E$5:$E$1204,$Q52))</f>
        <v/>
      </c>
      <c r="E52" s="55" t="str">
        <f>IF($Q52="","",INDEX(TRANSACTIONS_MASTER!$G$5:$G$1204,$Q52)&amp;"")</f>
        <v/>
      </c>
      <c r="F52" s="29" t="str">
        <f>IF($Q52="","",INDEX(TRANSACTIONS_MASTER!$I$5:$I$1204,$Q52))</f>
        <v/>
      </c>
      <c r="G52" s="55" t="str">
        <f>IF($Q52="","",INDEX(TRANSACTIONS_MASTER!$K$5:$K$1204,$Q52))</f>
        <v/>
      </c>
      <c r="H52" s="25" t="str">
        <f>IF($Q52="","",INDEX(TRANSACTIONS_MASTER!$L$5:$L$1204,$Q52))</f>
        <v/>
      </c>
      <c r="I52" s="56" t="str">
        <f>IF($Q52="","",INDEX(TRANSACTIONS_MASTER!$N$5:$N$1204,$Q52))</f>
        <v/>
      </c>
      <c r="J52" s="25" t="str">
        <f>IF($Q52="","",INDEX(TRANSACTIONS_MASTER!$O$5:$O$1204,$Q52))</f>
        <v/>
      </c>
      <c r="K52" s="26" t="str">
        <f>IF($Q52="","",INDEX(TRANSACTIONS_MASTER!$Q$5:$Q$1204,$Q52))</f>
        <v/>
      </c>
      <c r="L52" s="25" t="str">
        <f>IF($Q52="","",INDEX(TRANSACTIONS_MASTER!$P$5:$P$1204,$Q52))</f>
        <v/>
      </c>
      <c r="M52" s="25" t="str">
        <f>IF($Q52="","",INDEX(TRANSACTIONS_MASTER!$AA$5:$AA$1204,$Q52))</f>
        <v/>
      </c>
      <c r="N52" s="25" t="str">
        <f>IF($Q52="","",INDEX(TRANSACTIONS_MASTER!$R$5:$R$1204,$Q52))</f>
        <v/>
      </c>
      <c r="O52" s="28" t="str">
        <f>IF($Q52="","",INDEX(TRANSACTIONS_MASTER!$AB$5:$AB$1204,$Q52))</f>
        <v/>
      </c>
      <c r="P52" s="55" t="str">
        <f>IF($Q52="","",INDEX(TRANSACTIONS_MASTER!$Z$5:$Z$1204,$Q52)&amp;"")</f>
        <v/>
      </c>
      <c r="Q52" s="67" t="str">
        <f>IFERROR(MATCH($C$2&amp;"|"&amp;45,TRANSACTIONS_MASTER!$AE$5:$AE$1204,0),"")</f>
        <v/>
      </c>
      <c r="S52" s="67" t="str">
        <f>IFERROR(MATCH(45,CASHBACK_RULES!$S$5:$S$304,0),"")</f>
        <v/>
      </c>
      <c r="T52" s="55" t="str">
        <f>IF($S52="","",INDEX(CASHBACK_RULES!$B$5:$B$304,$S52))</f>
        <v/>
      </c>
      <c r="U52" s="55" t="str">
        <f>IF($S52="","",INDEX(CASHBACK_RULES!$C$5:$C$304,$S52)&amp;" "&amp;INDEX(CASHBACK_RULES!$D$5:$D$304,$S52))</f>
        <v/>
      </c>
      <c r="V52" s="55" t="str">
        <f>IF($S52="","",INDEX(CASHBACK_RULES!$E$5:$E$304,$S52)&amp;"")</f>
        <v/>
      </c>
      <c r="W52" s="55" t="str">
        <f>IF($S52="","",INDEX(CASHBACK_RULES!$F$5:$F$304,$S52)&amp;"")</f>
        <v/>
      </c>
      <c r="X52" s="26" t="str">
        <f>IF($S52="","",SUMIFS(TRANSACTIONS_MASTER!$Q$5:$Q$1204,TRANSACTIONS_MASTER!$D$5:$D$1204,$T52,TRANSACTIONS_MASTER!$Z$5:$Z$1204,$V52,TRANSACTIONS_MASTER!$C$5:$C$1204,$C$2))</f>
        <v/>
      </c>
      <c r="Y52" s="25" t="str">
        <f>IF($S52="","",IF(ISNUMBER(INDEX(CASHBACK_RULES!$J$5:$J$304,$S52)),INDEX(CASHBACK_RULES!$J$5:$J$304,$S52),"∞"))</f>
        <v/>
      </c>
      <c r="Z52" s="25" t="str">
        <f>IF($S52="","",IF(ISNUMBER($Y52),MAX(0,$Y52-$X52),"∞"))</f>
        <v/>
      </c>
      <c r="AA52" s="27" t="str">
        <f>IF($S52="","",IF(ISNUMBER($Y52),IF($Y52=0,0,$X52/$Y52),""))</f>
        <v/>
      </c>
    </row>
    <row r="53" ht="20" customHeight="1">
      <c r="A53" s="81" t="str">
        <f>IF($Q53="","",46)</f>
        <v/>
      </c>
      <c r="B53" s="57" t="str">
        <f>IF($Q53="","",INDEX(TRANSACTIONS_MASTER!$B$5:$B$1204,$Q53))</f>
        <v/>
      </c>
      <c r="C53" s="55" t="str">
        <f>IF($Q53="","",INDEX(TRANSACTIONS_MASTER!$F$5:$F$1204,$Q53))</f>
        <v/>
      </c>
      <c r="D53" s="55" t="str">
        <f>IF($Q53="","",INDEX(TRANSACTIONS_MASTER!$E$5:$E$1204,$Q53))</f>
        <v/>
      </c>
      <c r="E53" s="55" t="str">
        <f>IF($Q53="","",INDEX(TRANSACTIONS_MASTER!$G$5:$G$1204,$Q53)&amp;"")</f>
        <v/>
      </c>
      <c r="F53" s="29" t="str">
        <f>IF($Q53="","",INDEX(TRANSACTIONS_MASTER!$I$5:$I$1204,$Q53))</f>
        <v/>
      </c>
      <c r="G53" s="55" t="str">
        <f>IF($Q53="","",INDEX(TRANSACTIONS_MASTER!$K$5:$K$1204,$Q53))</f>
        <v/>
      </c>
      <c r="H53" s="25" t="str">
        <f>IF($Q53="","",INDEX(TRANSACTIONS_MASTER!$L$5:$L$1204,$Q53))</f>
        <v/>
      </c>
      <c r="I53" s="56" t="str">
        <f>IF($Q53="","",INDEX(TRANSACTIONS_MASTER!$N$5:$N$1204,$Q53))</f>
        <v/>
      </c>
      <c r="J53" s="25" t="str">
        <f>IF($Q53="","",INDEX(TRANSACTIONS_MASTER!$O$5:$O$1204,$Q53))</f>
        <v/>
      </c>
      <c r="K53" s="26" t="str">
        <f>IF($Q53="","",INDEX(TRANSACTIONS_MASTER!$Q$5:$Q$1204,$Q53))</f>
        <v/>
      </c>
      <c r="L53" s="25" t="str">
        <f>IF($Q53="","",INDEX(TRANSACTIONS_MASTER!$P$5:$P$1204,$Q53))</f>
        <v/>
      </c>
      <c r="M53" s="25" t="str">
        <f>IF($Q53="","",INDEX(TRANSACTIONS_MASTER!$AA$5:$AA$1204,$Q53))</f>
        <v/>
      </c>
      <c r="N53" s="25" t="str">
        <f>IF($Q53="","",INDEX(TRANSACTIONS_MASTER!$R$5:$R$1204,$Q53))</f>
        <v/>
      </c>
      <c r="O53" s="28" t="str">
        <f>IF($Q53="","",INDEX(TRANSACTIONS_MASTER!$AB$5:$AB$1204,$Q53))</f>
        <v/>
      </c>
      <c r="P53" s="55" t="str">
        <f>IF($Q53="","",INDEX(TRANSACTIONS_MASTER!$Z$5:$Z$1204,$Q53)&amp;"")</f>
        <v/>
      </c>
      <c r="Q53" s="67" t="str">
        <f>IFERROR(MATCH($C$2&amp;"|"&amp;46,TRANSACTIONS_MASTER!$AE$5:$AE$1204,0),"")</f>
        <v/>
      </c>
      <c r="S53" s="67" t="str">
        <f>IFERROR(MATCH(46,CASHBACK_RULES!$S$5:$S$304,0),"")</f>
        <v/>
      </c>
      <c r="T53" s="55" t="str">
        <f>IF($S53="","",INDEX(CASHBACK_RULES!$B$5:$B$304,$S53))</f>
        <v/>
      </c>
      <c r="U53" s="55" t="str">
        <f>IF($S53="","",INDEX(CASHBACK_RULES!$C$5:$C$304,$S53)&amp;" "&amp;INDEX(CASHBACK_RULES!$D$5:$D$304,$S53))</f>
        <v/>
      </c>
      <c r="V53" s="55" t="str">
        <f>IF($S53="","",INDEX(CASHBACK_RULES!$E$5:$E$304,$S53)&amp;"")</f>
        <v/>
      </c>
      <c r="W53" s="55" t="str">
        <f>IF($S53="","",INDEX(CASHBACK_RULES!$F$5:$F$304,$S53)&amp;"")</f>
        <v/>
      </c>
      <c r="X53" s="26" t="str">
        <f>IF($S53="","",SUMIFS(TRANSACTIONS_MASTER!$Q$5:$Q$1204,TRANSACTIONS_MASTER!$D$5:$D$1204,$T53,TRANSACTIONS_MASTER!$Z$5:$Z$1204,$V53,TRANSACTIONS_MASTER!$C$5:$C$1204,$C$2))</f>
        <v/>
      </c>
      <c r="Y53" s="25" t="str">
        <f>IF($S53="","",IF(ISNUMBER(INDEX(CASHBACK_RULES!$J$5:$J$304,$S53)),INDEX(CASHBACK_RULES!$J$5:$J$304,$S53),"∞"))</f>
        <v/>
      </c>
      <c r="Z53" s="25" t="str">
        <f>IF($S53="","",IF(ISNUMBER($Y53),MAX(0,$Y53-$X53),"∞"))</f>
        <v/>
      </c>
      <c r="AA53" s="27" t="str">
        <f>IF($S53="","",IF(ISNUMBER($Y53),IF($Y53=0,0,$X53/$Y53),""))</f>
        <v/>
      </c>
    </row>
    <row r="54" ht="20" customHeight="1">
      <c r="A54" s="81" t="str">
        <f>IF($Q54="","",47)</f>
        <v/>
      </c>
      <c r="B54" s="57" t="str">
        <f>IF($Q54="","",INDEX(TRANSACTIONS_MASTER!$B$5:$B$1204,$Q54))</f>
        <v/>
      </c>
      <c r="C54" s="55" t="str">
        <f>IF($Q54="","",INDEX(TRANSACTIONS_MASTER!$F$5:$F$1204,$Q54))</f>
        <v/>
      </c>
      <c r="D54" s="55" t="str">
        <f>IF($Q54="","",INDEX(TRANSACTIONS_MASTER!$E$5:$E$1204,$Q54))</f>
        <v/>
      </c>
      <c r="E54" s="55" t="str">
        <f>IF($Q54="","",INDEX(TRANSACTIONS_MASTER!$G$5:$G$1204,$Q54)&amp;"")</f>
        <v/>
      </c>
      <c r="F54" s="29" t="str">
        <f>IF($Q54="","",INDEX(TRANSACTIONS_MASTER!$I$5:$I$1204,$Q54))</f>
        <v/>
      </c>
      <c r="G54" s="55" t="str">
        <f>IF($Q54="","",INDEX(TRANSACTIONS_MASTER!$K$5:$K$1204,$Q54))</f>
        <v/>
      </c>
      <c r="H54" s="25" t="str">
        <f>IF($Q54="","",INDEX(TRANSACTIONS_MASTER!$L$5:$L$1204,$Q54))</f>
        <v/>
      </c>
      <c r="I54" s="56" t="str">
        <f>IF($Q54="","",INDEX(TRANSACTIONS_MASTER!$N$5:$N$1204,$Q54))</f>
        <v/>
      </c>
      <c r="J54" s="25" t="str">
        <f>IF($Q54="","",INDEX(TRANSACTIONS_MASTER!$O$5:$O$1204,$Q54))</f>
        <v/>
      </c>
      <c r="K54" s="26" t="str">
        <f>IF($Q54="","",INDEX(TRANSACTIONS_MASTER!$Q$5:$Q$1204,$Q54))</f>
        <v/>
      </c>
      <c r="L54" s="25" t="str">
        <f>IF($Q54="","",INDEX(TRANSACTIONS_MASTER!$P$5:$P$1204,$Q54))</f>
        <v/>
      </c>
      <c r="M54" s="25" t="str">
        <f>IF($Q54="","",INDEX(TRANSACTIONS_MASTER!$AA$5:$AA$1204,$Q54))</f>
        <v/>
      </c>
      <c r="N54" s="25" t="str">
        <f>IF($Q54="","",INDEX(TRANSACTIONS_MASTER!$R$5:$R$1204,$Q54))</f>
        <v/>
      </c>
      <c r="O54" s="28" t="str">
        <f>IF($Q54="","",INDEX(TRANSACTIONS_MASTER!$AB$5:$AB$1204,$Q54))</f>
        <v/>
      </c>
      <c r="P54" s="55" t="str">
        <f>IF($Q54="","",INDEX(TRANSACTIONS_MASTER!$Z$5:$Z$1204,$Q54)&amp;"")</f>
        <v/>
      </c>
      <c r="Q54" s="67" t="str">
        <f>IFERROR(MATCH($C$2&amp;"|"&amp;47,TRANSACTIONS_MASTER!$AE$5:$AE$1204,0),"")</f>
        <v/>
      </c>
      <c r="S54" s="67" t="str">
        <f>IFERROR(MATCH(47,CASHBACK_RULES!$S$5:$S$304,0),"")</f>
        <v/>
      </c>
      <c r="T54" s="55" t="str">
        <f>IF($S54="","",INDEX(CASHBACK_RULES!$B$5:$B$304,$S54))</f>
        <v/>
      </c>
      <c r="U54" s="55" t="str">
        <f>IF($S54="","",INDEX(CASHBACK_RULES!$C$5:$C$304,$S54)&amp;" "&amp;INDEX(CASHBACK_RULES!$D$5:$D$304,$S54))</f>
        <v/>
      </c>
      <c r="V54" s="55" t="str">
        <f>IF($S54="","",INDEX(CASHBACK_RULES!$E$5:$E$304,$S54)&amp;"")</f>
        <v/>
      </c>
      <c r="W54" s="55" t="str">
        <f>IF($S54="","",INDEX(CASHBACK_RULES!$F$5:$F$304,$S54)&amp;"")</f>
        <v/>
      </c>
      <c r="X54" s="26" t="str">
        <f>IF($S54="","",SUMIFS(TRANSACTIONS_MASTER!$Q$5:$Q$1204,TRANSACTIONS_MASTER!$D$5:$D$1204,$T54,TRANSACTIONS_MASTER!$Z$5:$Z$1204,$V54,TRANSACTIONS_MASTER!$C$5:$C$1204,$C$2))</f>
        <v/>
      </c>
      <c r="Y54" s="25" t="str">
        <f>IF($S54="","",IF(ISNUMBER(INDEX(CASHBACK_RULES!$J$5:$J$304,$S54)),INDEX(CASHBACK_RULES!$J$5:$J$304,$S54),"∞"))</f>
        <v/>
      </c>
      <c r="Z54" s="25" t="str">
        <f>IF($S54="","",IF(ISNUMBER($Y54),MAX(0,$Y54-$X54),"∞"))</f>
        <v/>
      </c>
      <c r="AA54" s="27" t="str">
        <f>IF($S54="","",IF(ISNUMBER($Y54),IF($Y54=0,0,$X54/$Y54),""))</f>
        <v/>
      </c>
    </row>
    <row r="55" ht="20" customHeight="1">
      <c r="A55" s="81" t="str">
        <f>IF($Q55="","",48)</f>
        <v/>
      </c>
      <c r="B55" s="57" t="str">
        <f>IF($Q55="","",INDEX(TRANSACTIONS_MASTER!$B$5:$B$1204,$Q55))</f>
        <v/>
      </c>
      <c r="C55" s="55" t="str">
        <f>IF($Q55="","",INDEX(TRANSACTIONS_MASTER!$F$5:$F$1204,$Q55))</f>
        <v/>
      </c>
      <c r="D55" s="55" t="str">
        <f>IF($Q55="","",INDEX(TRANSACTIONS_MASTER!$E$5:$E$1204,$Q55))</f>
        <v/>
      </c>
      <c r="E55" s="55" t="str">
        <f>IF($Q55="","",INDEX(TRANSACTIONS_MASTER!$G$5:$G$1204,$Q55)&amp;"")</f>
        <v/>
      </c>
      <c r="F55" s="29" t="str">
        <f>IF($Q55="","",INDEX(TRANSACTIONS_MASTER!$I$5:$I$1204,$Q55))</f>
        <v/>
      </c>
      <c r="G55" s="55" t="str">
        <f>IF($Q55="","",INDEX(TRANSACTIONS_MASTER!$K$5:$K$1204,$Q55))</f>
        <v/>
      </c>
      <c r="H55" s="25" t="str">
        <f>IF($Q55="","",INDEX(TRANSACTIONS_MASTER!$L$5:$L$1204,$Q55))</f>
        <v/>
      </c>
      <c r="I55" s="56" t="str">
        <f>IF($Q55="","",INDEX(TRANSACTIONS_MASTER!$N$5:$N$1204,$Q55))</f>
        <v/>
      </c>
      <c r="J55" s="25" t="str">
        <f>IF($Q55="","",INDEX(TRANSACTIONS_MASTER!$O$5:$O$1204,$Q55))</f>
        <v/>
      </c>
      <c r="K55" s="26" t="str">
        <f>IF($Q55="","",INDEX(TRANSACTIONS_MASTER!$Q$5:$Q$1204,$Q55))</f>
        <v/>
      </c>
      <c r="L55" s="25" t="str">
        <f>IF($Q55="","",INDEX(TRANSACTIONS_MASTER!$P$5:$P$1204,$Q55))</f>
        <v/>
      </c>
      <c r="M55" s="25" t="str">
        <f>IF($Q55="","",INDEX(TRANSACTIONS_MASTER!$AA$5:$AA$1204,$Q55))</f>
        <v/>
      </c>
      <c r="N55" s="25" t="str">
        <f>IF($Q55="","",INDEX(TRANSACTIONS_MASTER!$R$5:$R$1204,$Q55))</f>
        <v/>
      </c>
      <c r="O55" s="28" t="str">
        <f>IF($Q55="","",INDEX(TRANSACTIONS_MASTER!$AB$5:$AB$1204,$Q55))</f>
        <v/>
      </c>
      <c r="P55" s="55" t="str">
        <f>IF($Q55="","",INDEX(TRANSACTIONS_MASTER!$Z$5:$Z$1204,$Q55)&amp;"")</f>
        <v/>
      </c>
      <c r="Q55" s="67" t="str">
        <f>IFERROR(MATCH($C$2&amp;"|"&amp;48,TRANSACTIONS_MASTER!$AE$5:$AE$1204,0),"")</f>
        <v/>
      </c>
      <c r="S55" s="67" t="str">
        <f>IFERROR(MATCH(48,CASHBACK_RULES!$S$5:$S$304,0),"")</f>
        <v/>
      </c>
      <c r="T55" s="55" t="str">
        <f>IF($S55="","",INDEX(CASHBACK_RULES!$B$5:$B$304,$S55))</f>
        <v/>
      </c>
      <c r="U55" s="55" t="str">
        <f>IF($S55="","",INDEX(CASHBACK_RULES!$C$5:$C$304,$S55)&amp;" "&amp;INDEX(CASHBACK_RULES!$D$5:$D$304,$S55))</f>
        <v/>
      </c>
      <c r="V55" s="55" t="str">
        <f>IF($S55="","",INDEX(CASHBACK_RULES!$E$5:$E$304,$S55)&amp;"")</f>
        <v/>
      </c>
      <c r="W55" s="55" t="str">
        <f>IF($S55="","",INDEX(CASHBACK_RULES!$F$5:$F$304,$S55)&amp;"")</f>
        <v/>
      </c>
      <c r="X55" s="26" t="str">
        <f>IF($S55="","",SUMIFS(TRANSACTIONS_MASTER!$Q$5:$Q$1204,TRANSACTIONS_MASTER!$D$5:$D$1204,$T55,TRANSACTIONS_MASTER!$Z$5:$Z$1204,$V55,TRANSACTIONS_MASTER!$C$5:$C$1204,$C$2))</f>
        <v/>
      </c>
      <c r="Y55" s="25" t="str">
        <f>IF($S55="","",IF(ISNUMBER(INDEX(CASHBACK_RULES!$J$5:$J$304,$S55)),INDEX(CASHBACK_RULES!$J$5:$J$304,$S55),"∞"))</f>
        <v/>
      </c>
      <c r="Z55" s="25" t="str">
        <f>IF($S55="","",IF(ISNUMBER($Y55),MAX(0,$Y55-$X55),"∞"))</f>
        <v/>
      </c>
      <c r="AA55" s="27" t="str">
        <f>IF($S55="","",IF(ISNUMBER($Y55),IF($Y55=0,0,$X55/$Y55),""))</f>
        <v/>
      </c>
    </row>
    <row r="56" ht="20" customHeight="1">
      <c r="A56" s="81" t="str">
        <f>IF($Q56="","",49)</f>
        <v/>
      </c>
      <c r="B56" s="57" t="str">
        <f>IF($Q56="","",INDEX(TRANSACTIONS_MASTER!$B$5:$B$1204,$Q56))</f>
        <v/>
      </c>
      <c r="C56" s="55" t="str">
        <f>IF($Q56="","",INDEX(TRANSACTIONS_MASTER!$F$5:$F$1204,$Q56))</f>
        <v/>
      </c>
      <c r="D56" s="55" t="str">
        <f>IF($Q56="","",INDEX(TRANSACTIONS_MASTER!$E$5:$E$1204,$Q56))</f>
        <v/>
      </c>
      <c r="E56" s="55" t="str">
        <f>IF($Q56="","",INDEX(TRANSACTIONS_MASTER!$G$5:$G$1204,$Q56)&amp;"")</f>
        <v/>
      </c>
      <c r="F56" s="29" t="str">
        <f>IF($Q56="","",INDEX(TRANSACTIONS_MASTER!$I$5:$I$1204,$Q56))</f>
        <v/>
      </c>
      <c r="G56" s="55" t="str">
        <f>IF($Q56="","",INDEX(TRANSACTIONS_MASTER!$K$5:$K$1204,$Q56))</f>
        <v/>
      </c>
      <c r="H56" s="25" t="str">
        <f>IF($Q56="","",INDEX(TRANSACTIONS_MASTER!$L$5:$L$1204,$Q56))</f>
        <v/>
      </c>
      <c r="I56" s="56" t="str">
        <f>IF($Q56="","",INDEX(TRANSACTIONS_MASTER!$N$5:$N$1204,$Q56))</f>
        <v/>
      </c>
      <c r="J56" s="25" t="str">
        <f>IF($Q56="","",INDEX(TRANSACTIONS_MASTER!$O$5:$O$1204,$Q56))</f>
        <v/>
      </c>
      <c r="K56" s="26" t="str">
        <f>IF($Q56="","",INDEX(TRANSACTIONS_MASTER!$Q$5:$Q$1204,$Q56))</f>
        <v/>
      </c>
      <c r="L56" s="25" t="str">
        <f>IF($Q56="","",INDEX(TRANSACTIONS_MASTER!$P$5:$P$1204,$Q56))</f>
        <v/>
      </c>
      <c r="M56" s="25" t="str">
        <f>IF($Q56="","",INDEX(TRANSACTIONS_MASTER!$AA$5:$AA$1204,$Q56))</f>
        <v/>
      </c>
      <c r="N56" s="25" t="str">
        <f>IF($Q56="","",INDEX(TRANSACTIONS_MASTER!$R$5:$R$1204,$Q56))</f>
        <v/>
      </c>
      <c r="O56" s="28" t="str">
        <f>IF($Q56="","",INDEX(TRANSACTIONS_MASTER!$AB$5:$AB$1204,$Q56))</f>
        <v/>
      </c>
      <c r="P56" s="55" t="str">
        <f>IF($Q56="","",INDEX(TRANSACTIONS_MASTER!$Z$5:$Z$1204,$Q56)&amp;"")</f>
        <v/>
      </c>
      <c r="Q56" s="67" t="str">
        <f>IFERROR(MATCH($C$2&amp;"|"&amp;49,TRANSACTIONS_MASTER!$AE$5:$AE$1204,0),"")</f>
        <v/>
      </c>
      <c r="S56" s="67" t="str">
        <f>IFERROR(MATCH(49,CASHBACK_RULES!$S$5:$S$304,0),"")</f>
        <v/>
      </c>
      <c r="T56" s="55" t="str">
        <f>IF($S56="","",INDEX(CASHBACK_RULES!$B$5:$B$304,$S56))</f>
        <v/>
      </c>
      <c r="U56" s="55" t="str">
        <f>IF($S56="","",INDEX(CASHBACK_RULES!$C$5:$C$304,$S56)&amp;" "&amp;INDEX(CASHBACK_RULES!$D$5:$D$304,$S56))</f>
        <v/>
      </c>
      <c r="V56" s="55" t="str">
        <f>IF($S56="","",INDEX(CASHBACK_RULES!$E$5:$E$304,$S56)&amp;"")</f>
        <v/>
      </c>
      <c r="W56" s="55" t="str">
        <f>IF($S56="","",INDEX(CASHBACK_RULES!$F$5:$F$304,$S56)&amp;"")</f>
        <v/>
      </c>
      <c r="X56" s="26" t="str">
        <f>IF($S56="","",SUMIFS(TRANSACTIONS_MASTER!$Q$5:$Q$1204,TRANSACTIONS_MASTER!$D$5:$D$1204,$T56,TRANSACTIONS_MASTER!$Z$5:$Z$1204,$V56,TRANSACTIONS_MASTER!$C$5:$C$1204,$C$2))</f>
        <v/>
      </c>
      <c r="Y56" s="25" t="str">
        <f>IF($S56="","",IF(ISNUMBER(INDEX(CASHBACK_RULES!$J$5:$J$304,$S56)),INDEX(CASHBACK_RULES!$J$5:$J$304,$S56),"∞"))</f>
        <v/>
      </c>
      <c r="Z56" s="25" t="str">
        <f>IF($S56="","",IF(ISNUMBER($Y56),MAX(0,$Y56-$X56),"∞"))</f>
        <v/>
      </c>
      <c r="AA56" s="27" t="str">
        <f>IF($S56="","",IF(ISNUMBER($Y56),IF($Y56=0,0,$X56/$Y56),""))</f>
        <v/>
      </c>
    </row>
    <row r="57" ht="20" customHeight="1">
      <c r="A57" s="81" t="str">
        <f>IF($Q57="","",50)</f>
        <v/>
      </c>
      <c r="B57" s="57" t="str">
        <f>IF($Q57="","",INDEX(TRANSACTIONS_MASTER!$B$5:$B$1204,$Q57))</f>
        <v/>
      </c>
      <c r="C57" s="55" t="str">
        <f>IF($Q57="","",INDEX(TRANSACTIONS_MASTER!$F$5:$F$1204,$Q57))</f>
        <v/>
      </c>
      <c r="D57" s="55" t="str">
        <f>IF($Q57="","",INDEX(TRANSACTIONS_MASTER!$E$5:$E$1204,$Q57))</f>
        <v/>
      </c>
      <c r="E57" s="55" t="str">
        <f>IF($Q57="","",INDEX(TRANSACTIONS_MASTER!$G$5:$G$1204,$Q57)&amp;"")</f>
        <v/>
      </c>
      <c r="F57" s="29" t="str">
        <f>IF($Q57="","",INDEX(TRANSACTIONS_MASTER!$I$5:$I$1204,$Q57))</f>
        <v/>
      </c>
      <c r="G57" s="55" t="str">
        <f>IF($Q57="","",INDEX(TRANSACTIONS_MASTER!$K$5:$K$1204,$Q57))</f>
        <v/>
      </c>
      <c r="H57" s="25" t="str">
        <f>IF($Q57="","",INDEX(TRANSACTIONS_MASTER!$L$5:$L$1204,$Q57))</f>
        <v/>
      </c>
      <c r="I57" s="56" t="str">
        <f>IF($Q57="","",INDEX(TRANSACTIONS_MASTER!$N$5:$N$1204,$Q57))</f>
        <v/>
      </c>
      <c r="J57" s="25" t="str">
        <f>IF($Q57="","",INDEX(TRANSACTIONS_MASTER!$O$5:$O$1204,$Q57))</f>
        <v/>
      </c>
      <c r="K57" s="26" t="str">
        <f>IF($Q57="","",INDEX(TRANSACTIONS_MASTER!$Q$5:$Q$1204,$Q57))</f>
        <v/>
      </c>
      <c r="L57" s="25" t="str">
        <f>IF($Q57="","",INDEX(TRANSACTIONS_MASTER!$P$5:$P$1204,$Q57))</f>
        <v/>
      </c>
      <c r="M57" s="25" t="str">
        <f>IF($Q57="","",INDEX(TRANSACTIONS_MASTER!$AA$5:$AA$1204,$Q57))</f>
        <v/>
      </c>
      <c r="N57" s="25" t="str">
        <f>IF($Q57="","",INDEX(TRANSACTIONS_MASTER!$R$5:$R$1204,$Q57))</f>
        <v/>
      </c>
      <c r="O57" s="28" t="str">
        <f>IF($Q57="","",INDEX(TRANSACTIONS_MASTER!$AB$5:$AB$1204,$Q57))</f>
        <v/>
      </c>
      <c r="P57" s="55" t="str">
        <f>IF($Q57="","",INDEX(TRANSACTIONS_MASTER!$Z$5:$Z$1204,$Q57)&amp;"")</f>
        <v/>
      </c>
      <c r="Q57" s="67" t="str">
        <f>IFERROR(MATCH($C$2&amp;"|"&amp;50,TRANSACTIONS_MASTER!$AE$5:$AE$1204,0),"")</f>
        <v/>
      </c>
      <c r="S57" s="67" t="str">
        <f>IFERROR(MATCH(50,CASHBACK_RULES!$S$5:$S$304,0),"")</f>
        <v/>
      </c>
      <c r="T57" s="55" t="str">
        <f>IF($S57="","",INDEX(CASHBACK_RULES!$B$5:$B$304,$S57))</f>
        <v/>
      </c>
      <c r="U57" s="55" t="str">
        <f>IF($S57="","",INDEX(CASHBACK_RULES!$C$5:$C$304,$S57)&amp;" "&amp;INDEX(CASHBACK_RULES!$D$5:$D$304,$S57))</f>
        <v/>
      </c>
      <c r="V57" s="55" t="str">
        <f>IF($S57="","",INDEX(CASHBACK_RULES!$E$5:$E$304,$S57)&amp;"")</f>
        <v/>
      </c>
      <c r="W57" s="55" t="str">
        <f>IF($S57="","",INDEX(CASHBACK_RULES!$F$5:$F$304,$S57)&amp;"")</f>
        <v/>
      </c>
      <c r="X57" s="26" t="str">
        <f>IF($S57="","",SUMIFS(TRANSACTIONS_MASTER!$Q$5:$Q$1204,TRANSACTIONS_MASTER!$D$5:$D$1204,$T57,TRANSACTIONS_MASTER!$Z$5:$Z$1204,$V57,TRANSACTIONS_MASTER!$C$5:$C$1204,$C$2))</f>
        <v/>
      </c>
      <c r="Y57" s="25" t="str">
        <f>IF($S57="","",IF(ISNUMBER(INDEX(CASHBACK_RULES!$J$5:$J$304,$S57)),INDEX(CASHBACK_RULES!$J$5:$J$304,$S57),"∞"))</f>
        <v/>
      </c>
      <c r="Z57" s="25" t="str">
        <f>IF($S57="","",IF(ISNUMBER($Y57),MAX(0,$Y57-$X57),"∞"))</f>
        <v/>
      </c>
      <c r="AA57" s="27" t="str">
        <f>IF($S57="","",IF(ISNUMBER($Y57),IF($Y57=0,0,$X57/$Y57),""))</f>
        <v/>
      </c>
    </row>
    <row r="58">
      <c r="A58" s="81" t="str">
        <f>IF($Q58="","",51)</f>
        <v/>
      </c>
      <c r="B58" s="57" t="str">
        <f>IF($Q58="","",INDEX(TRANSACTIONS_MASTER!$B$5:$B$1204,$Q58))</f>
        <v/>
      </c>
      <c r="C58" s="55" t="str">
        <f>IF($Q58="","",INDEX(TRANSACTIONS_MASTER!$F$5:$F$1204,$Q58))</f>
        <v/>
      </c>
      <c r="D58" s="55" t="str">
        <f>IF($Q58="","",INDEX(TRANSACTIONS_MASTER!$E$5:$E$1204,$Q58))</f>
        <v/>
      </c>
      <c r="E58" s="55" t="str">
        <f>IF($Q58="","",INDEX(TRANSACTIONS_MASTER!$G$5:$G$1204,$Q58)&amp;"")</f>
        <v/>
      </c>
      <c r="F58" s="29" t="str">
        <f>IF($Q58="","",INDEX(TRANSACTIONS_MASTER!$I$5:$I$1204,$Q58))</f>
        <v/>
      </c>
      <c r="G58" s="55" t="str">
        <f>IF($Q58="","",INDEX(TRANSACTIONS_MASTER!$K$5:$K$1204,$Q58))</f>
        <v/>
      </c>
      <c r="H58" s="25" t="str">
        <f>IF($Q58="","",INDEX(TRANSACTIONS_MASTER!$L$5:$L$1204,$Q58))</f>
        <v/>
      </c>
      <c r="I58" s="56" t="str">
        <f>IF($Q58="","",INDEX(TRANSACTIONS_MASTER!$N$5:$N$1204,$Q58))</f>
        <v/>
      </c>
      <c r="J58" s="25" t="str">
        <f>IF($Q58="","",INDEX(TRANSACTIONS_MASTER!$O$5:$O$1204,$Q58))</f>
        <v/>
      </c>
      <c r="K58" s="26" t="str">
        <f>IF($Q58="","",INDEX(TRANSACTIONS_MASTER!$Q$5:$Q$1204,$Q58))</f>
        <v/>
      </c>
      <c r="L58" s="25" t="str">
        <f>IF($Q58="","",INDEX(TRANSACTIONS_MASTER!$P$5:$P$1204,$Q58))</f>
        <v/>
      </c>
      <c r="M58" s="25" t="str">
        <f>IF($Q58="","",INDEX(TRANSACTIONS_MASTER!$AA$5:$AA$1204,$Q58))</f>
        <v/>
      </c>
      <c r="N58" s="25" t="str">
        <f>IF($Q58="","",INDEX(TRANSACTIONS_MASTER!$R$5:$R$1204,$Q58))</f>
        <v/>
      </c>
      <c r="O58" s="28" t="str">
        <f>IF($Q58="","",INDEX(TRANSACTIONS_MASTER!$AB$5:$AB$1204,$Q58))</f>
        <v/>
      </c>
      <c r="P58" s="55" t="str">
        <f>IF($Q58="","",INDEX(TRANSACTIONS_MASTER!$Z$5:$Z$1204,$Q58)&amp;"")</f>
        <v/>
      </c>
      <c r="Q58" s="67" t="str">
        <f>IFERROR(MATCH($C$2&amp;"|"&amp;51,TRANSACTIONS_MASTER!$AE$5:$AE$1204,0),"")</f>
        <v/>
      </c>
    </row>
    <row r="59">
      <c r="A59" s="81" t="str">
        <f>IF($Q59="","",52)</f>
        <v/>
      </c>
      <c r="B59" s="57" t="str">
        <f>IF($Q59="","",INDEX(TRANSACTIONS_MASTER!$B$5:$B$1204,$Q59))</f>
        <v/>
      </c>
      <c r="C59" s="55" t="str">
        <f>IF($Q59="","",INDEX(TRANSACTIONS_MASTER!$F$5:$F$1204,$Q59))</f>
        <v/>
      </c>
      <c r="D59" s="55" t="str">
        <f>IF($Q59="","",INDEX(TRANSACTIONS_MASTER!$E$5:$E$1204,$Q59))</f>
        <v/>
      </c>
      <c r="E59" s="55" t="str">
        <f>IF($Q59="","",INDEX(TRANSACTIONS_MASTER!$G$5:$G$1204,$Q59)&amp;"")</f>
        <v/>
      </c>
      <c r="F59" s="29" t="str">
        <f>IF($Q59="","",INDEX(TRANSACTIONS_MASTER!$I$5:$I$1204,$Q59))</f>
        <v/>
      </c>
      <c r="G59" s="55" t="str">
        <f>IF($Q59="","",INDEX(TRANSACTIONS_MASTER!$K$5:$K$1204,$Q59))</f>
        <v/>
      </c>
      <c r="H59" s="25" t="str">
        <f>IF($Q59="","",INDEX(TRANSACTIONS_MASTER!$L$5:$L$1204,$Q59))</f>
        <v/>
      </c>
      <c r="I59" s="56" t="str">
        <f>IF($Q59="","",INDEX(TRANSACTIONS_MASTER!$N$5:$N$1204,$Q59))</f>
        <v/>
      </c>
      <c r="J59" s="25" t="str">
        <f>IF($Q59="","",INDEX(TRANSACTIONS_MASTER!$O$5:$O$1204,$Q59))</f>
        <v/>
      </c>
      <c r="K59" s="26" t="str">
        <f>IF($Q59="","",INDEX(TRANSACTIONS_MASTER!$Q$5:$Q$1204,$Q59))</f>
        <v/>
      </c>
      <c r="L59" s="25" t="str">
        <f>IF($Q59="","",INDEX(TRANSACTIONS_MASTER!$P$5:$P$1204,$Q59))</f>
        <v/>
      </c>
      <c r="M59" s="25" t="str">
        <f>IF($Q59="","",INDEX(TRANSACTIONS_MASTER!$AA$5:$AA$1204,$Q59))</f>
        <v/>
      </c>
      <c r="N59" s="25" t="str">
        <f>IF($Q59="","",INDEX(TRANSACTIONS_MASTER!$R$5:$R$1204,$Q59))</f>
        <v/>
      </c>
      <c r="O59" s="28" t="str">
        <f>IF($Q59="","",INDEX(TRANSACTIONS_MASTER!$AB$5:$AB$1204,$Q59))</f>
        <v/>
      </c>
      <c r="P59" s="55" t="str">
        <f>IF($Q59="","",INDEX(TRANSACTIONS_MASTER!$Z$5:$Z$1204,$Q59)&amp;"")</f>
        <v/>
      </c>
      <c r="Q59" s="67" t="str">
        <f>IFERROR(MATCH($C$2&amp;"|"&amp;52,TRANSACTIONS_MASTER!$AE$5:$AE$1204,0),"")</f>
        <v/>
      </c>
    </row>
    <row r="60" ht="22" customHeight="1">
      <c r="A60" s="81" t="str">
        <f>IF($Q60="","",53)</f>
        <v/>
      </c>
      <c r="B60" s="57" t="str">
        <f>IF($Q60="","",INDEX(TRANSACTIONS_MASTER!$B$5:$B$1204,$Q60))</f>
        <v/>
      </c>
      <c r="C60" s="55" t="str">
        <f>IF($Q60="","",INDEX(TRANSACTIONS_MASTER!$F$5:$F$1204,$Q60))</f>
        <v/>
      </c>
      <c r="D60" s="55" t="str">
        <f>IF($Q60="","",INDEX(TRANSACTIONS_MASTER!$E$5:$E$1204,$Q60))</f>
        <v/>
      </c>
      <c r="E60" s="55" t="str">
        <f>IF($Q60="","",INDEX(TRANSACTIONS_MASTER!$G$5:$G$1204,$Q60)&amp;"")</f>
        <v/>
      </c>
      <c r="F60" s="29" t="str">
        <f>IF($Q60="","",INDEX(TRANSACTIONS_MASTER!$I$5:$I$1204,$Q60))</f>
        <v/>
      </c>
      <c r="G60" s="55" t="str">
        <f>IF($Q60="","",INDEX(TRANSACTIONS_MASTER!$K$5:$K$1204,$Q60))</f>
        <v/>
      </c>
      <c r="H60" s="25" t="str">
        <f>IF($Q60="","",INDEX(TRANSACTIONS_MASTER!$L$5:$L$1204,$Q60))</f>
        <v/>
      </c>
      <c r="I60" s="56" t="str">
        <f>IF($Q60="","",INDEX(TRANSACTIONS_MASTER!$N$5:$N$1204,$Q60))</f>
        <v/>
      </c>
      <c r="J60" s="25" t="str">
        <f>IF($Q60="","",INDEX(TRANSACTIONS_MASTER!$O$5:$O$1204,$Q60))</f>
        <v/>
      </c>
      <c r="K60" s="26" t="str">
        <f>IF($Q60="","",INDEX(TRANSACTIONS_MASTER!$Q$5:$Q$1204,$Q60))</f>
        <v/>
      </c>
      <c r="L60" s="25" t="str">
        <f>IF($Q60="","",INDEX(TRANSACTIONS_MASTER!$P$5:$P$1204,$Q60))</f>
        <v/>
      </c>
      <c r="M60" s="25" t="str">
        <f>IF($Q60="","",INDEX(TRANSACTIONS_MASTER!$AA$5:$AA$1204,$Q60))</f>
        <v/>
      </c>
      <c r="N60" s="25" t="str">
        <f>IF($Q60="","",INDEX(TRANSACTIONS_MASTER!$R$5:$R$1204,$Q60))</f>
        <v/>
      </c>
      <c r="O60" s="28" t="str">
        <f>IF($Q60="","",INDEX(TRANSACTIONS_MASTER!$AB$5:$AB$1204,$Q60))</f>
        <v/>
      </c>
      <c r="P60" s="55" t="str">
        <f>IF($Q60="","",INDEX(TRANSACTIONS_MASTER!$Z$5:$Z$1204,$Q60)&amp;"")</f>
        <v/>
      </c>
      <c r="Q60" s="67" t="str">
        <f>IFERROR(MATCH($C$2&amp;"|"&amp;53,TRANSACTIONS_MASTER!$AE$5:$AE$1204,0),"")</f>
        <v/>
      </c>
      <c r="T60" s="19" t="inlineStr">
        <is>
          <t>TỔNG THEO THẺ — chi tiêu · cashback · cap thẻ / tháng</t>
        </is>
      </c>
      <c r="U60" s="20" t="n"/>
      <c r="V60" s="20" t="n"/>
      <c r="W60" s="20" t="n"/>
      <c r="X60" s="20" t="n"/>
      <c r="Y60" s="20" t="n"/>
      <c r="Z60" s="20" t="n"/>
      <c r="AA60" s="20" t="n"/>
    </row>
    <row r="61" ht="30" customHeight="1">
      <c r="A61" s="81" t="str">
        <f>IF($Q61="","",54)</f>
        <v/>
      </c>
      <c r="B61" s="57" t="str">
        <f>IF($Q61="","",INDEX(TRANSACTIONS_MASTER!$B$5:$B$1204,$Q61))</f>
        <v/>
      </c>
      <c r="C61" s="55" t="str">
        <f>IF($Q61="","",INDEX(TRANSACTIONS_MASTER!$F$5:$F$1204,$Q61))</f>
        <v/>
      </c>
      <c r="D61" s="55" t="str">
        <f>IF($Q61="","",INDEX(TRANSACTIONS_MASTER!$E$5:$E$1204,$Q61))</f>
        <v/>
      </c>
      <c r="E61" s="55" t="str">
        <f>IF($Q61="","",INDEX(TRANSACTIONS_MASTER!$G$5:$G$1204,$Q61)&amp;"")</f>
        <v/>
      </c>
      <c r="F61" s="29" t="str">
        <f>IF($Q61="","",INDEX(TRANSACTIONS_MASTER!$I$5:$I$1204,$Q61))</f>
        <v/>
      </c>
      <c r="G61" s="55" t="str">
        <f>IF($Q61="","",INDEX(TRANSACTIONS_MASTER!$K$5:$K$1204,$Q61))</f>
        <v/>
      </c>
      <c r="H61" s="25" t="str">
        <f>IF($Q61="","",INDEX(TRANSACTIONS_MASTER!$L$5:$L$1204,$Q61))</f>
        <v/>
      </c>
      <c r="I61" s="56" t="str">
        <f>IF($Q61="","",INDEX(TRANSACTIONS_MASTER!$N$5:$N$1204,$Q61))</f>
        <v/>
      </c>
      <c r="J61" s="25" t="str">
        <f>IF($Q61="","",INDEX(TRANSACTIONS_MASTER!$O$5:$O$1204,$Q61))</f>
        <v/>
      </c>
      <c r="K61" s="26" t="str">
        <f>IF($Q61="","",INDEX(TRANSACTIONS_MASTER!$Q$5:$Q$1204,$Q61))</f>
        <v/>
      </c>
      <c r="L61" s="25" t="str">
        <f>IF($Q61="","",INDEX(TRANSACTIONS_MASTER!$P$5:$P$1204,$Q61))</f>
        <v/>
      </c>
      <c r="M61" s="25" t="str">
        <f>IF($Q61="","",INDEX(TRANSACTIONS_MASTER!$AA$5:$AA$1204,$Q61))</f>
        <v/>
      </c>
      <c r="N61" s="25" t="str">
        <f>IF($Q61="","",INDEX(TRANSACTIONS_MASTER!$R$5:$R$1204,$Q61))</f>
        <v/>
      </c>
      <c r="O61" s="28" t="str">
        <f>IF($Q61="","",INDEX(TRANSACTIONS_MASTER!$AB$5:$AB$1204,$Q61))</f>
        <v/>
      </c>
      <c r="P61" s="55" t="str">
        <f>IF($Q61="","",INDEX(TRANSACTIONS_MASTER!$Z$5:$Z$1204,$Q61)&amp;"")</f>
        <v/>
      </c>
      <c r="Q61" s="67" t="str">
        <f>IFERROR(MATCH($C$2&amp;"|"&amp;54,TRANSACTIONS_MASTER!$AE$5:$AE$1204,0),"")</f>
        <v/>
      </c>
      <c r="S61" s="21" t="inlineStr">
        <is>
          <t>#</t>
        </is>
      </c>
      <c r="T61" s="21" t="inlineStr">
        <is>
          <t>Card ID</t>
        </is>
      </c>
      <c r="U61" s="21" t="inlineStr">
        <is>
          <t>Thẻ</t>
        </is>
      </c>
      <c r="V61" s="21" t="inlineStr">
        <is>
          <t>Chi tiêu</t>
        </is>
      </c>
      <c r="W61" s="21" t="inlineStr">
        <is>
          <t>Cashback</t>
        </is>
      </c>
      <c r="X61" s="21" t="inlineStr">
        <is>
          <t>Cap thẻ / tháng</t>
        </is>
      </c>
      <c r="Y61" s="21" t="inlineStr">
        <is>
          <t>Còn lại (tối đa)</t>
        </is>
      </c>
      <c r="Z61" s="21" t="inlineStr">
        <is>
          <t>Progress</t>
        </is>
      </c>
      <c r="AA61" s="21" t="inlineStr">
        <is>
          <t>Số GD</t>
        </is>
      </c>
    </row>
    <row r="62">
      <c r="A62" s="81" t="str">
        <f>IF($Q62="","",55)</f>
        <v/>
      </c>
      <c r="B62" s="57" t="str">
        <f>IF($Q62="","",INDEX(TRANSACTIONS_MASTER!$B$5:$B$1204,$Q62))</f>
        <v/>
      </c>
      <c r="C62" s="55" t="str">
        <f>IF($Q62="","",INDEX(TRANSACTIONS_MASTER!$F$5:$F$1204,$Q62))</f>
        <v/>
      </c>
      <c r="D62" s="55" t="str">
        <f>IF($Q62="","",INDEX(TRANSACTIONS_MASTER!$E$5:$E$1204,$Q62))</f>
        <v/>
      </c>
      <c r="E62" s="55" t="str">
        <f>IF($Q62="","",INDEX(TRANSACTIONS_MASTER!$G$5:$G$1204,$Q62)&amp;"")</f>
        <v/>
      </c>
      <c r="F62" s="29" t="str">
        <f>IF($Q62="","",INDEX(TRANSACTIONS_MASTER!$I$5:$I$1204,$Q62))</f>
        <v/>
      </c>
      <c r="G62" s="55" t="str">
        <f>IF($Q62="","",INDEX(TRANSACTIONS_MASTER!$K$5:$K$1204,$Q62))</f>
        <v/>
      </c>
      <c r="H62" s="25" t="str">
        <f>IF($Q62="","",INDEX(TRANSACTIONS_MASTER!$L$5:$L$1204,$Q62))</f>
        <v/>
      </c>
      <c r="I62" s="56" t="str">
        <f>IF($Q62="","",INDEX(TRANSACTIONS_MASTER!$N$5:$N$1204,$Q62))</f>
        <v/>
      </c>
      <c r="J62" s="25" t="str">
        <f>IF($Q62="","",INDEX(TRANSACTIONS_MASTER!$O$5:$O$1204,$Q62))</f>
        <v/>
      </c>
      <c r="K62" s="26" t="str">
        <f>IF($Q62="","",INDEX(TRANSACTIONS_MASTER!$Q$5:$Q$1204,$Q62))</f>
        <v/>
      </c>
      <c r="L62" s="25" t="str">
        <f>IF($Q62="","",INDEX(TRANSACTIONS_MASTER!$P$5:$P$1204,$Q62))</f>
        <v/>
      </c>
      <c r="M62" s="25" t="str">
        <f>IF($Q62="","",INDEX(TRANSACTIONS_MASTER!$AA$5:$AA$1204,$Q62))</f>
        <v/>
      </c>
      <c r="N62" s="25" t="str">
        <f>IF($Q62="","",INDEX(TRANSACTIONS_MASTER!$R$5:$R$1204,$Q62))</f>
        <v/>
      </c>
      <c r="O62" s="28" t="str">
        <f>IF($Q62="","",INDEX(TRANSACTIONS_MASTER!$AB$5:$AB$1204,$Q62))</f>
        <v/>
      </c>
      <c r="P62" s="55" t="str">
        <f>IF($Q62="","",INDEX(TRANSACTIONS_MASTER!$Z$5:$Z$1204,$Q62)&amp;"")</f>
        <v/>
      </c>
      <c r="Q62" s="67" t="str">
        <f>IFERROR(MATCH($C$2&amp;"|"&amp;55,TRANSACTIONS_MASTER!$AE$5:$AE$1204,0),"")</f>
        <v/>
      </c>
      <c r="S62" s="67" t="n">
        <v>1</v>
      </c>
      <c r="T62" s="55" t="str">
        <f>IF(CARDS!$A5="","",CARDS!$A5)</f>
        <v>VPB-JCBZ</v>
      </c>
      <c r="U62" s="55" t="str">
        <f>IF($T62="","",CARDS!$B5&amp;" "&amp;CARDS!$C5)</f>
        <v>VPBank JCB Z Card</v>
      </c>
      <c r="V62" s="25">
        <f>IF($T62="","",SUMIFS(TRANSACTIONS_MASTER!$L$5:$L$1204,TRANSACTIONS_MASTER!$D$5:$D$1204,$T62,TRANSACTIONS_MASTER!$C$5:$C$1204,$C$2,TRANSACTIONS_MASTER!$U$5:$U$1204,"&lt;&gt;Cancelled"))</f>
        <v>0</v>
      </c>
      <c r="W62" s="26">
        <f>IF($T62="","",SUMIFS(TRANSACTIONS_MASTER!$Q$5:$Q$1204,TRANSACTIONS_MASTER!$D$5:$D$1204,$T62,TRANSACTIONS_MASTER!$C$5:$C$1204,$C$2))</f>
        <v>0</v>
      </c>
      <c r="X62" s="25">
        <f>IF($T62="","",IFERROR(IF(ISNUMBER(INDEX(CASHBACK_RULES!$K$5:$K$304,MATCH($T62,CASHBACK_RULES!$B$5:$B$304,0))),INDEX(CASHBACK_RULES!$K$5:$K$304,MATCH($T62,CASHBACK_RULES!$B$5:$B$304,0)),"∞"),"—"))</f>
        <v>1000000</v>
      </c>
      <c r="Y62" s="25">
        <f>IF($T62="","",IF($X62="—","—",IF(COUNTIFS($T$8:$T$57,$T62,$Z$8:$Z$57,"∞")&gt;0,IF(ISNUMBER($X62),MAX(0,$X62-$W62),"∞"),IF(ISNUMBER($X62),MAX(0,MIN($X62-$W62,SUMIFS($Z$8:$Z$57,$T$8:$T$57,$T62))),SUMIFS($Z$8:$Z$57,$T$8:$T$57,$T62)))))</f>
        <v>1000000</v>
      </c>
      <c r="Z62" s="27">
        <f>IF($T62="","",IF(ISNUMBER($X62),IF($X62=0,0,$W62/$X62),IF(ISNUMBER($Y62),IF($W62+$Y62=0,0,$W62/($W62+$Y62)),"")))</f>
        <v>0</v>
      </c>
      <c r="AA62" s="29">
        <f>IF($T62="","",COUNTIFS(TRANSACTIONS_MASTER!$D$5:$D$1204,$T62,TRANSACTIONS_MASTER!$C$5:$C$1204,$C$2,TRANSACTIONS_MASTER!$U$5:$U$1204,"&lt;&gt;Cancelled"))</f>
        <v>0</v>
      </c>
    </row>
    <row r="63">
      <c r="A63" s="81" t="str">
        <f>IF($Q63="","",56)</f>
        <v/>
      </c>
      <c r="B63" s="57" t="str">
        <f>IF($Q63="","",INDEX(TRANSACTIONS_MASTER!$B$5:$B$1204,$Q63))</f>
        <v/>
      </c>
      <c r="C63" s="55" t="str">
        <f>IF($Q63="","",INDEX(TRANSACTIONS_MASTER!$F$5:$F$1204,$Q63))</f>
        <v/>
      </c>
      <c r="D63" s="55" t="str">
        <f>IF($Q63="","",INDEX(TRANSACTIONS_MASTER!$E$5:$E$1204,$Q63))</f>
        <v/>
      </c>
      <c r="E63" s="55" t="str">
        <f>IF($Q63="","",INDEX(TRANSACTIONS_MASTER!$G$5:$G$1204,$Q63)&amp;"")</f>
        <v/>
      </c>
      <c r="F63" s="29" t="str">
        <f>IF($Q63="","",INDEX(TRANSACTIONS_MASTER!$I$5:$I$1204,$Q63))</f>
        <v/>
      </c>
      <c r="G63" s="55" t="str">
        <f>IF($Q63="","",INDEX(TRANSACTIONS_MASTER!$K$5:$K$1204,$Q63))</f>
        <v/>
      </c>
      <c r="H63" s="25" t="str">
        <f>IF($Q63="","",INDEX(TRANSACTIONS_MASTER!$L$5:$L$1204,$Q63))</f>
        <v/>
      </c>
      <c r="I63" s="56" t="str">
        <f>IF($Q63="","",INDEX(TRANSACTIONS_MASTER!$N$5:$N$1204,$Q63))</f>
        <v/>
      </c>
      <c r="J63" s="25" t="str">
        <f>IF($Q63="","",INDEX(TRANSACTIONS_MASTER!$O$5:$O$1204,$Q63))</f>
        <v/>
      </c>
      <c r="K63" s="26" t="str">
        <f>IF($Q63="","",INDEX(TRANSACTIONS_MASTER!$Q$5:$Q$1204,$Q63))</f>
        <v/>
      </c>
      <c r="L63" s="25" t="str">
        <f>IF($Q63="","",INDEX(TRANSACTIONS_MASTER!$P$5:$P$1204,$Q63))</f>
        <v/>
      </c>
      <c r="M63" s="25" t="str">
        <f>IF($Q63="","",INDEX(TRANSACTIONS_MASTER!$AA$5:$AA$1204,$Q63))</f>
        <v/>
      </c>
      <c r="N63" s="25" t="str">
        <f>IF($Q63="","",INDEX(TRANSACTIONS_MASTER!$R$5:$R$1204,$Q63))</f>
        <v/>
      </c>
      <c r="O63" s="28" t="str">
        <f>IF($Q63="","",INDEX(TRANSACTIONS_MASTER!$AB$5:$AB$1204,$Q63))</f>
        <v/>
      </c>
      <c r="P63" s="55" t="str">
        <f>IF($Q63="","",INDEX(TRANSACTIONS_MASTER!$Z$5:$Z$1204,$Q63)&amp;"")</f>
        <v/>
      </c>
      <c r="Q63" s="67" t="str">
        <f>IFERROR(MATCH($C$2&amp;"|"&amp;56,TRANSACTIONS_MASTER!$AE$5:$AE$1204,0),"")</f>
        <v/>
      </c>
      <c r="S63" s="67" t="n">
        <v>2</v>
      </c>
      <c r="T63" s="55" t="str">
        <f>IF(CARDS!$A6="","",CARDS!$A6)</f>
        <v>VIB-A</v>
      </c>
      <c r="U63" s="55" t="str">
        <f>IF($T63="","",CARDS!$B6&amp;" "&amp;CARDS!$C6)</f>
        <v>VIB Cashback Demo A</v>
      </c>
      <c r="V63" s="25">
        <f>IF($T63="","",SUMIFS(TRANSACTIONS_MASTER!$L$5:$L$1204,TRANSACTIONS_MASTER!$D$5:$D$1204,$T63,TRANSACTIONS_MASTER!$C$5:$C$1204,$C$2,TRANSACTIONS_MASTER!$U$5:$U$1204,"&lt;&gt;Cancelled"))</f>
        <v>0</v>
      </c>
      <c r="W63" s="26">
        <f>IF($T63="","",SUMIFS(TRANSACTIONS_MASTER!$Q$5:$Q$1204,TRANSACTIONS_MASTER!$D$5:$D$1204,$T63,TRANSACTIONS_MASTER!$C$5:$C$1204,$C$2))</f>
        <v>0</v>
      </c>
      <c r="X63" s="25">
        <f>IF($T63="","",IFERROR(IF(ISNUMBER(INDEX(CASHBACK_RULES!$K$5:$K$304,MATCH($T63,CASHBACK_RULES!$B$5:$B$304,0))),INDEX(CASHBACK_RULES!$K$5:$K$304,MATCH($T63,CASHBACK_RULES!$B$5:$B$304,0)),"∞"),"—"))</f>
        <v>1000000</v>
      </c>
      <c r="Y63" s="25">
        <f>IF($T63="","",IF($X63="—","—",IF(COUNTIFS($T$8:$T$57,$T63,$Z$8:$Z$57,"∞")&gt;0,IF(ISNUMBER($X63),MAX(0,$X63-$W63),"∞"),IF(ISNUMBER($X63),MAX(0,MIN($X63-$W63,SUMIFS($Z$8:$Z$57,$T$8:$T$57,$T63))),SUMIFS($Z$8:$Z$57,$T$8:$T$57,$T63)))))</f>
        <v>1000000</v>
      </c>
      <c r="Z63" s="27">
        <f>IF($T63="","",IF(ISNUMBER($X63),IF($X63=0,0,$W63/$X63),IF(ISNUMBER($Y63),IF($W63+$Y63=0,0,$W63/($W63+$Y63)),"")))</f>
        <v>0</v>
      </c>
      <c r="AA63" s="29">
        <f>IF($T63="","",COUNTIFS(TRANSACTIONS_MASTER!$D$5:$D$1204,$T63,TRANSACTIONS_MASTER!$C$5:$C$1204,$C$2,TRANSACTIONS_MASTER!$U$5:$U$1204,"&lt;&gt;Cancelled"))</f>
        <v>0</v>
      </c>
    </row>
    <row r="64">
      <c r="A64" s="81" t="str">
        <f>IF($Q64="","",57)</f>
        <v/>
      </c>
      <c r="B64" s="57" t="str">
        <f>IF($Q64="","",INDEX(TRANSACTIONS_MASTER!$B$5:$B$1204,$Q64))</f>
        <v/>
      </c>
      <c r="C64" s="55" t="str">
        <f>IF($Q64="","",INDEX(TRANSACTIONS_MASTER!$F$5:$F$1204,$Q64))</f>
        <v/>
      </c>
      <c r="D64" s="55" t="str">
        <f>IF($Q64="","",INDEX(TRANSACTIONS_MASTER!$E$5:$E$1204,$Q64))</f>
        <v/>
      </c>
      <c r="E64" s="55" t="str">
        <f>IF($Q64="","",INDEX(TRANSACTIONS_MASTER!$G$5:$G$1204,$Q64)&amp;"")</f>
        <v/>
      </c>
      <c r="F64" s="29" t="str">
        <f>IF($Q64="","",INDEX(TRANSACTIONS_MASTER!$I$5:$I$1204,$Q64))</f>
        <v/>
      </c>
      <c r="G64" s="55" t="str">
        <f>IF($Q64="","",INDEX(TRANSACTIONS_MASTER!$K$5:$K$1204,$Q64))</f>
        <v/>
      </c>
      <c r="H64" s="25" t="str">
        <f>IF($Q64="","",INDEX(TRANSACTIONS_MASTER!$L$5:$L$1204,$Q64))</f>
        <v/>
      </c>
      <c r="I64" s="56" t="str">
        <f>IF($Q64="","",INDEX(TRANSACTIONS_MASTER!$N$5:$N$1204,$Q64))</f>
        <v/>
      </c>
      <c r="J64" s="25" t="str">
        <f>IF($Q64="","",INDEX(TRANSACTIONS_MASTER!$O$5:$O$1204,$Q64))</f>
        <v/>
      </c>
      <c r="K64" s="26" t="str">
        <f>IF($Q64="","",INDEX(TRANSACTIONS_MASTER!$Q$5:$Q$1204,$Q64))</f>
        <v/>
      </c>
      <c r="L64" s="25" t="str">
        <f>IF($Q64="","",INDEX(TRANSACTIONS_MASTER!$P$5:$P$1204,$Q64))</f>
        <v/>
      </c>
      <c r="M64" s="25" t="str">
        <f>IF($Q64="","",INDEX(TRANSACTIONS_MASTER!$AA$5:$AA$1204,$Q64))</f>
        <v/>
      </c>
      <c r="N64" s="25" t="str">
        <f>IF($Q64="","",INDEX(TRANSACTIONS_MASTER!$R$5:$R$1204,$Q64))</f>
        <v/>
      </c>
      <c r="O64" s="28" t="str">
        <f>IF($Q64="","",INDEX(TRANSACTIONS_MASTER!$AB$5:$AB$1204,$Q64))</f>
        <v/>
      </c>
      <c r="P64" s="55" t="str">
        <f>IF($Q64="","",INDEX(TRANSACTIONS_MASTER!$Z$5:$Z$1204,$Q64)&amp;"")</f>
        <v/>
      </c>
      <c r="Q64" s="67" t="str">
        <f>IFERROR(MATCH($C$2&amp;"|"&amp;57,TRANSACTIONS_MASTER!$AE$5:$AE$1204,0),"")</f>
        <v/>
      </c>
      <c r="S64" s="67" t="n">
        <v>3</v>
      </c>
      <c r="T64" s="55" t="str">
        <f>IF(CARDS!$A7="","",CARDS!$A7)</f>
        <v>TCB-B</v>
      </c>
      <c r="U64" s="55" t="str">
        <f>IF($T64="","",CARDS!$B7&amp;" "&amp;CARDS!$C7)</f>
        <v>Techcombank Cashback Demo B</v>
      </c>
      <c r="V64" s="25">
        <f>IF($T64="","",SUMIFS(TRANSACTIONS_MASTER!$L$5:$L$1204,TRANSACTIONS_MASTER!$D$5:$D$1204,$T64,TRANSACTIONS_MASTER!$C$5:$C$1204,$C$2,TRANSACTIONS_MASTER!$U$5:$U$1204,"&lt;&gt;Cancelled"))</f>
        <v>0</v>
      </c>
      <c r="W64" s="26">
        <f>IF($T64="","",SUMIFS(TRANSACTIONS_MASTER!$Q$5:$Q$1204,TRANSACTIONS_MASTER!$D$5:$D$1204,$T64,TRANSACTIONS_MASTER!$C$5:$C$1204,$C$2))</f>
        <v>0</v>
      </c>
      <c r="X64" s="25">
        <f>IF($T64="","",IFERROR(IF(ISNUMBER(INDEX(CASHBACK_RULES!$K$5:$K$304,MATCH($T64,CASHBACK_RULES!$B$5:$B$304,0))),INDEX(CASHBACK_RULES!$K$5:$K$304,MATCH($T64,CASHBACK_RULES!$B$5:$B$304,0)),"∞"),"—"))</f>
        <v>2000000</v>
      </c>
      <c r="Y64" s="25">
        <f>IF($T64="","",IF($X64="—","—",IF(COUNTIFS($T$8:$T$57,$T64,$Z$8:$Z$57,"∞")&gt;0,IF(ISNUMBER($X64),MAX(0,$X64-$W64),"∞"),IF(ISNUMBER($X64),MAX(0,MIN($X64-$W64,SUMIFS($Z$8:$Z$57,$T$8:$T$57,$T64))),SUMIFS($Z$8:$Z$57,$T$8:$T$57,$T64)))))</f>
        <v>900000</v>
      </c>
      <c r="Z64" s="27">
        <f>IF($T64="","",IF(ISNUMBER($X64),IF($X64=0,0,$W64/$X64),IF(ISNUMBER($Y64),IF($W64+$Y64=0,0,$W64/($W64+$Y64)),"")))</f>
        <v>0</v>
      </c>
      <c r="AA64" s="29">
        <f>IF($T64="","",COUNTIFS(TRANSACTIONS_MASTER!$D$5:$D$1204,$T64,TRANSACTIONS_MASTER!$C$5:$C$1204,$C$2,TRANSACTIONS_MASTER!$U$5:$U$1204,"&lt;&gt;Cancelled"))</f>
        <v>0</v>
      </c>
    </row>
    <row r="65">
      <c r="A65" s="81" t="str">
        <f>IF($Q65="","",58)</f>
        <v/>
      </c>
      <c r="B65" s="57" t="str">
        <f>IF($Q65="","",INDEX(TRANSACTIONS_MASTER!$B$5:$B$1204,$Q65))</f>
        <v/>
      </c>
      <c r="C65" s="55" t="str">
        <f>IF($Q65="","",INDEX(TRANSACTIONS_MASTER!$F$5:$F$1204,$Q65))</f>
        <v/>
      </c>
      <c r="D65" s="55" t="str">
        <f>IF($Q65="","",INDEX(TRANSACTIONS_MASTER!$E$5:$E$1204,$Q65))</f>
        <v/>
      </c>
      <c r="E65" s="55" t="str">
        <f>IF($Q65="","",INDEX(TRANSACTIONS_MASTER!$G$5:$G$1204,$Q65)&amp;"")</f>
        <v/>
      </c>
      <c r="F65" s="29" t="str">
        <f>IF($Q65="","",INDEX(TRANSACTIONS_MASTER!$I$5:$I$1204,$Q65))</f>
        <v/>
      </c>
      <c r="G65" s="55" t="str">
        <f>IF($Q65="","",INDEX(TRANSACTIONS_MASTER!$K$5:$K$1204,$Q65))</f>
        <v/>
      </c>
      <c r="H65" s="25" t="str">
        <f>IF($Q65="","",INDEX(TRANSACTIONS_MASTER!$L$5:$L$1204,$Q65))</f>
        <v/>
      </c>
      <c r="I65" s="56" t="str">
        <f>IF($Q65="","",INDEX(TRANSACTIONS_MASTER!$N$5:$N$1204,$Q65))</f>
        <v/>
      </c>
      <c r="J65" s="25" t="str">
        <f>IF($Q65="","",INDEX(TRANSACTIONS_MASTER!$O$5:$O$1204,$Q65))</f>
        <v/>
      </c>
      <c r="K65" s="26" t="str">
        <f>IF($Q65="","",INDEX(TRANSACTIONS_MASTER!$Q$5:$Q$1204,$Q65))</f>
        <v/>
      </c>
      <c r="L65" s="25" t="str">
        <f>IF($Q65="","",INDEX(TRANSACTIONS_MASTER!$P$5:$P$1204,$Q65))</f>
        <v/>
      </c>
      <c r="M65" s="25" t="str">
        <f>IF($Q65="","",INDEX(TRANSACTIONS_MASTER!$AA$5:$AA$1204,$Q65))</f>
        <v/>
      </c>
      <c r="N65" s="25" t="str">
        <f>IF($Q65="","",INDEX(TRANSACTIONS_MASTER!$R$5:$R$1204,$Q65))</f>
        <v/>
      </c>
      <c r="O65" s="28" t="str">
        <f>IF($Q65="","",INDEX(TRANSACTIONS_MASTER!$AB$5:$AB$1204,$Q65))</f>
        <v/>
      </c>
      <c r="P65" s="55" t="str">
        <f>IF($Q65="","",INDEX(TRANSACTIONS_MASTER!$Z$5:$Z$1204,$Q65)&amp;"")</f>
        <v/>
      </c>
      <c r="Q65" s="67" t="str">
        <f>IFERROR(MATCH($C$2&amp;"|"&amp;58,TRANSACTIONS_MASTER!$AE$5:$AE$1204,0),"")</f>
        <v/>
      </c>
      <c r="S65" s="67" t="n">
        <v>4</v>
      </c>
      <c r="T65" s="55" t="str">
        <f>IF(CARDS!$A8="","",CARDS!$A8)</f>
        <v>UOB-C</v>
      </c>
      <c r="U65" s="55" t="str">
        <f>IF($T65="","",CARDS!$B8&amp;" "&amp;CARDS!$C8)</f>
        <v>UOB Cashback Demo C</v>
      </c>
      <c r="V65" s="25">
        <f>IF($T65="","",SUMIFS(TRANSACTIONS_MASTER!$L$5:$L$1204,TRANSACTIONS_MASTER!$D$5:$D$1204,$T65,TRANSACTIONS_MASTER!$C$5:$C$1204,$C$2,TRANSACTIONS_MASTER!$U$5:$U$1204,"&lt;&gt;Cancelled"))</f>
        <v>0</v>
      </c>
      <c r="W65" s="26">
        <f>IF($T65="","",SUMIFS(TRANSACTIONS_MASTER!$Q$5:$Q$1204,TRANSACTIONS_MASTER!$D$5:$D$1204,$T65,TRANSACTIONS_MASTER!$C$5:$C$1204,$C$2))</f>
        <v>0</v>
      </c>
      <c r="X65" s="25" t="str">
        <f>IF($T65="","",IFERROR(IF(ISNUMBER(INDEX(CASHBACK_RULES!$K$5:$K$304,MATCH($T65,CASHBACK_RULES!$B$5:$B$304,0))),INDEX(CASHBACK_RULES!$K$5:$K$304,MATCH($T65,CASHBACK_RULES!$B$5:$B$304,0)),"∞"),"—"))</f>
        <v>∞</v>
      </c>
      <c r="Y65" s="25">
        <f>IF($T65="","",IF($X65="—","—",IF(COUNTIFS($T$8:$T$57,$T65,$Z$8:$Z$57,"∞")&gt;0,IF(ISNUMBER($X65),MAX(0,$X65-$W65),"∞"),IF(ISNUMBER($X65),MAX(0,MIN($X65-$W65,SUMIFS($Z$8:$Z$57,$T$8:$T$57,$T65))),SUMIFS($Z$8:$Z$57,$T$8:$T$57,$T65)))))</f>
        <v>1000000</v>
      </c>
      <c r="Z65" s="27">
        <f>IF($T65="","",IF(ISNUMBER($X65),IF($X65=0,0,$W65/$X65),IF(ISNUMBER($Y65),IF($W65+$Y65=0,0,$W65/($W65+$Y65)),"")))</f>
        <v>0</v>
      </c>
      <c r="AA65" s="29">
        <f>IF($T65="","",COUNTIFS(TRANSACTIONS_MASTER!$D$5:$D$1204,$T65,TRANSACTIONS_MASTER!$C$5:$C$1204,$C$2,TRANSACTIONS_MASTER!$U$5:$U$1204,"&lt;&gt;Cancelled"))</f>
        <v>0</v>
      </c>
    </row>
    <row r="66">
      <c r="A66" s="81" t="str">
        <f>IF($Q66="","",59)</f>
        <v/>
      </c>
      <c r="B66" s="57" t="str">
        <f>IF($Q66="","",INDEX(TRANSACTIONS_MASTER!$B$5:$B$1204,$Q66))</f>
        <v/>
      </c>
      <c r="C66" s="55" t="str">
        <f>IF($Q66="","",INDEX(TRANSACTIONS_MASTER!$F$5:$F$1204,$Q66))</f>
        <v/>
      </c>
      <c r="D66" s="55" t="str">
        <f>IF($Q66="","",INDEX(TRANSACTIONS_MASTER!$E$5:$E$1204,$Q66))</f>
        <v/>
      </c>
      <c r="E66" s="55" t="str">
        <f>IF($Q66="","",INDEX(TRANSACTIONS_MASTER!$G$5:$G$1204,$Q66)&amp;"")</f>
        <v/>
      </c>
      <c r="F66" s="29" t="str">
        <f>IF($Q66="","",INDEX(TRANSACTIONS_MASTER!$I$5:$I$1204,$Q66))</f>
        <v/>
      </c>
      <c r="G66" s="55" t="str">
        <f>IF($Q66="","",INDEX(TRANSACTIONS_MASTER!$K$5:$K$1204,$Q66))</f>
        <v/>
      </c>
      <c r="H66" s="25" t="str">
        <f>IF($Q66="","",INDEX(TRANSACTIONS_MASTER!$L$5:$L$1204,$Q66))</f>
        <v/>
      </c>
      <c r="I66" s="56" t="str">
        <f>IF($Q66="","",INDEX(TRANSACTIONS_MASTER!$N$5:$N$1204,$Q66))</f>
        <v/>
      </c>
      <c r="J66" s="25" t="str">
        <f>IF($Q66="","",INDEX(TRANSACTIONS_MASTER!$O$5:$O$1204,$Q66))</f>
        <v/>
      </c>
      <c r="K66" s="26" t="str">
        <f>IF($Q66="","",INDEX(TRANSACTIONS_MASTER!$Q$5:$Q$1204,$Q66))</f>
        <v/>
      </c>
      <c r="L66" s="25" t="str">
        <f>IF($Q66="","",INDEX(TRANSACTIONS_MASTER!$P$5:$P$1204,$Q66))</f>
        <v/>
      </c>
      <c r="M66" s="25" t="str">
        <f>IF($Q66="","",INDEX(TRANSACTIONS_MASTER!$AA$5:$AA$1204,$Q66))</f>
        <v/>
      </c>
      <c r="N66" s="25" t="str">
        <f>IF($Q66="","",INDEX(TRANSACTIONS_MASTER!$R$5:$R$1204,$Q66))</f>
        <v/>
      </c>
      <c r="O66" s="28" t="str">
        <f>IF($Q66="","",INDEX(TRANSACTIONS_MASTER!$AB$5:$AB$1204,$Q66))</f>
        <v/>
      </c>
      <c r="P66" s="55" t="str">
        <f>IF($Q66="","",INDEX(TRANSACTIONS_MASTER!$Z$5:$Z$1204,$Q66)&amp;"")</f>
        <v/>
      </c>
      <c r="Q66" s="67" t="str">
        <f>IFERROR(MATCH($C$2&amp;"|"&amp;59,TRANSACTIONS_MASTER!$AE$5:$AE$1204,0),"")</f>
        <v/>
      </c>
      <c r="S66" s="67" t="n">
        <v>5</v>
      </c>
      <c r="T66" s="55" t="str">
        <f>IF(CARDS!$A9="","",CARDS!$A9)</f>
        <v>MB-D</v>
      </c>
      <c r="U66" s="55" t="str">
        <f>IF($T66="","",CARDS!$B9&amp;" "&amp;CARDS!$C9)</f>
        <v>MB Cashback Demo D</v>
      </c>
      <c r="V66" s="25">
        <f>IF($T66="","",SUMIFS(TRANSACTIONS_MASTER!$L$5:$L$1204,TRANSACTIONS_MASTER!$D$5:$D$1204,$T66,TRANSACTIONS_MASTER!$C$5:$C$1204,$C$2,TRANSACTIONS_MASTER!$U$5:$U$1204,"&lt;&gt;Cancelled"))</f>
        <v>0</v>
      </c>
      <c r="W66" s="26">
        <f>IF($T66="","",SUMIFS(TRANSACTIONS_MASTER!$Q$5:$Q$1204,TRANSACTIONS_MASTER!$D$5:$D$1204,$T66,TRANSACTIONS_MASTER!$C$5:$C$1204,$C$2))</f>
        <v>0</v>
      </c>
      <c r="X66" s="25">
        <f>IF($T66="","",IFERROR(IF(ISNUMBER(INDEX(CASHBACK_RULES!$K$5:$K$304,MATCH($T66,CASHBACK_RULES!$B$5:$B$304,0))),INDEX(CASHBACK_RULES!$K$5:$K$304,MATCH($T66,CASHBACK_RULES!$B$5:$B$304,0)),"∞"),"—"))</f>
        <v>600000</v>
      </c>
      <c r="Y66" s="25">
        <f>IF($T66="","",IF($X66="—","—",IF(COUNTIFS($T$8:$T$57,$T66,$Z$8:$Z$57,"∞")&gt;0,IF(ISNUMBER($X66),MAX(0,$X66-$W66),"∞"),IF(ISNUMBER($X66),MAX(0,MIN($X66-$W66,SUMIFS($Z$8:$Z$57,$T$8:$T$57,$T66))),SUMIFS($Z$8:$Z$57,$T$8:$T$57,$T66)))))</f>
        <v>600000</v>
      </c>
      <c r="Z66" s="27">
        <f>IF($T66="","",IF(ISNUMBER($X66),IF($X66=0,0,$W66/$X66),IF(ISNUMBER($Y66),IF($W66+$Y66=0,0,$W66/($W66+$Y66)),"")))</f>
        <v>0</v>
      </c>
      <c r="AA66" s="29">
        <f>IF($T66="","",COUNTIFS(TRANSACTIONS_MASTER!$D$5:$D$1204,$T66,TRANSACTIONS_MASTER!$C$5:$C$1204,$C$2,TRANSACTIONS_MASTER!$U$5:$U$1204,"&lt;&gt;Cancelled"))</f>
        <v>0</v>
      </c>
    </row>
    <row r="67">
      <c r="A67" s="81" t="str">
        <f>IF($Q67="","",60)</f>
        <v/>
      </c>
      <c r="B67" s="57" t="str">
        <f>IF($Q67="","",INDEX(TRANSACTIONS_MASTER!$B$5:$B$1204,$Q67))</f>
        <v/>
      </c>
      <c r="C67" s="55" t="str">
        <f>IF($Q67="","",INDEX(TRANSACTIONS_MASTER!$F$5:$F$1204,$Q67))</f>
        <v/>
      </c>
      <c r="D67" s="55" t="str">
        <f>IF($Q67="","",INDEX(TRANSACTIONS_MASTER!$E$5:$E$1204,$Q67))</f>
        <v/>
      </c>
      <c r="E67" s="55" t="str">
        <f>IF($Q67="","",INDEX(TRANSACTIONS_MASTER!$G$5:$G$1204,$Q67)&amp;"")</f>
        <v/>
      </c>
      <c r="F67" s="29" t="str">
        <f>IF($Q67="","",INDEX(TRANSACTIONS_MASTER!$I$5:$I$1204,$Q67))</f>
        <v/>
      </c>
      <c r="G67" s="55" t="str">
        <f>IF($Q67="","",INDEX(TRANSACTIONS_MASTER!$K$5:$K$1204,$Q67))</f>
        <v/>
      </c>
      <c r="H67" s="25" t="str">
        <f>IF($Q67="","",INDEX(TRANSACTIONS_MASTER!$L$5:$L$1204,$Q67))</f>
        <v/>
      </c>
      <c r="I67" s="56" t="str">
        <f>IF($Q67="","",INDEX(TRANSACTIONS_MASTER!$N$5:$N$1204,$Q67))</f>
        <v/>
      </c>
      <c r="J67" s="25" t="str">
        <f>IF($Q67="","",INDEX(TRANSACTIONS_MASTER!$O$5:$O$1204,$Q67))</f>
        <v/>
      </c>
      <c r="K67" s="26" t="str">
        <f>IF($Q67="","",INDEX(TRANSACTIONS_MASTER!$Q$5:$Q$1204,$Q67))</f>
        <v/>
      </c>
      <c r="L67" s="25" t="str">
        <f>IF($Q67="","",INDEX(TRANSACTIONS_MASTER!$P$5:$P$1204,$Q67))</f>
        <v/>
      </c>
      <c r="M67" s="25" t="str">
        <f>IF($Q67="","",INDEX(TRANSACTIONS_MASTER!$AA$5:$AA$1204,$Q67))</f>
        <v/>
      </c>
      <c r="N67" s="25" t="str">
        <f>IF($Q67="","",INDEX(TRANSACTIONS_MASTER!$R$5:$R$1204,$Q67))</f>
        <v/>
      </c>
      <c r="O67" s="28" t="str">
        <f>IF($Q67="","",INDEX(TRANSACTIONS_MASTER!$AB$5:$AB$1204,$Q67))</f>
        <v/>
      </c>
      <c r="P67" s="55" t="str">
        <f>IF($Q67="","",INDEX(TRANSACTIONS_MASTER!$Z$5:$Z$1204,$Q67)&amp;"")</f>
        <v/>
      </c>
      <c r="Q67" s="67" t="str">
        <f>IFERROR(MATCH($C$2&amp;"|"&amp;60,TRANSACTIONS_MASTER!$AE$5:$AE$1204,0),"")</f>
        <v/>
      </c>
      <c r="S67" s="67" t="n">
        <v>6</v>
      </c>
      <c r="T67" s="55" t="str">
        <f>IF(CARDS!$A10="","",CARDS!$A10)</f>
        <v>ACB-E</v>
      </c>
      <c r="U67" s="55" t="str">
        <f>IF($T67="","",CARDS!$B10&amp;" "&amp;CARDS!$C10)</f>
        <v>ACB Demo E (không cashback)</v>
      </c>
      <c r="V67" s="25">
        <f>IF($T67="","",SUMIFS(TRANSACTIONS_MASTER!$L$5:$L$1204,TRANSACTIONS_MASTER!$D$5:$D$1204,$T67,TRANSACTIONS_MASTER!$C$5:$C$1204,$C$2,TRANSACTIONS_MASTER!$U$5:$U$1204,"&lt;&gt;Cancelled"))</f>
        <v>0</v>
      </c>
      <c r="W67" s="26">
        <f>IF($T67="","",SUMIFS(TRANSACTIONS_MASTER!$Q$5:$Q$1204,TRANSACTIONS_MASTER!$D$5:$D$1204,$T67,TRANSACTIONS_MASTER!$C$5:$C$1204,$C$2))</f>
        <v>0</v>
      </c>
      <c r="X67" s="25" t="str">
        <f>IF($T67="","",IFERROR(IF(ISNUMBER(INDEX(CASHBACK_RULES!$K$5:$K$304,MATCH($T67,CASHBACK_RULES!$B$5:$B$304,0))),INDEX(CASHBACK_RULES!$K$5:$K$304,MATCH($T67,CASHBACK_RULES!$B$5:$B$304,0)),"∞"),"—"))</f>
        <v>∞</v>
      </c>
      <c r="Y67" s="25">
        <f>IF($T67="","",IF($X67="—","—",IF(COUNTIFS($T$8:$T$57,$T67,$Z$8:$Z$57,"∞")&gt;0,IF(ISNUMBER($X67),MAX(0,$X67-$W67),"∞"),IF(ISNUMBER($X67),MAX(0,MIN($X67-$W67,SUMIFS($Z$8:$Z$57,$T$8:$T$57,$T67))),SUMIFS($Z$8:$Z$57,$T$8:$T$57,$T67)))))</f>
        <v>0</v>
      </c>
      <c r="Z67" s="27">
        <f>IF($T67="","",IF(ISNUMBER($X67),IF($X67=0,0,$W67/$X67),IF(ISNUMBER($Y67),IF($W67+$Y67=0,0,$W67/($W67+$Y67)),"")))</f>
        <v>0</v>
      </c>
      <c r="AA67" s="29">
        <f>IF($T67="","",COUNTIFS(TRANSACTIONS_MASTER!$D$5:$D$1204,$T67,TRANSACTIONS_MASTER!$C$5:$C$1204,$C$2,TRANSACTIONS_MASTER!$U$5:$U$1204,"&lt;&gt;Cancelled"))</f>
        <v>0</v>
      </c>
    </row>
    <row r="68">
      <c r="A68" s="81" t="str">
        <f>IF($Q68="","",61)</f>
        <v/>
      </c>
      <c r="B68" s="57" t="str">
        <f>IF($Q68="","",INDEX(TRANSACTIONS_MASTER!$B$5:$B$1204,$Q68))</f>
        <v/>
      </c>
      <c r="C68" s="55" t="str">
        <f>IF($Q68="","",INDEX(TRANSACTIONS_MASTER!$F$5:$F$1204,$Q68))</f>
        <v/>
      </c>
      <c r="D68" s="55" t="str">
        <f>IF($Q68="","",INDEX(TRANSACTIONS_MASTER!$E$5:$E$1204,$Q68))</f>
        <v/>
      </c>
      <c r="E68" s="55" t="str">
        <f>IF($Q68="","",INDEX(TRANSACTIONS_MASTER!$G$5:$G$1204,$Q68)&amp;"")</f>
        <v/>
      </c>
      <c r="F68" s="29" t="str">
        <f>IF($Q68="","",INDEX(TRANSACTIONS_MASTER!$I$5:$I$1204,$Q68))</f>
        <v/>
      </c>
      <c r="G68" s="55" t="str">
        <f>IF($Q68="","",INDEX(TRANSACTIONS_MASTER!$K$5:$K$1204,$Q68))</f>
        <v/>
      </c>
      <c r="H68" s="25" t="str">
        <f>IF($Q68="","",INDEX(TRANSACTIONS_MASTER!$L$5:$L$1204,$Q68))</f>
        <v/>
      </c>
      <c r="I68" s="56" t="str">
        <f>IF($Q68="","",INDEX(TRANSACTIONS_MASTER!$N$5:$N$1204,$Q68))</f>
        <v/>
      </c>
      <c r="J68" s="25" t="str">
        <f>IF($Q68="","",INDEX(TRANSACTIONS_MASTER!$O$5:$O$1204,$Q68))</f>
        <v/>
      </c>
      <c r="K68" s="26" t="str">
        <f>IF($Q68="","",INDEX(TRANSACTIONS_MASTER!$Q$5:$Q$1204,$Q68))</f>
        <v/>
      </c>
      <c r="L68" s="25" t="str">
        <f>IF($Q68="","",INDEX(TRANSACTIONS_MASTER!$P$5:$P$1204,$Q68))</f>
        <v/>
      </c>
      <c r="M68" s="25" t="str">
        <f>IF($Q68="","",INDEX(TRANSACTIONS_MASTER!$AA$5:$AA$1204,$Q68))</f>
        <v/>
      </c>
      <c r="N68" s="25" t="str">
        <f>IF($Q68="","",INDEX(TRANSACTIONS_MASTER!$R$5:$R$1204,$Q68))</f>
        <v/>
      </c>
      <c r="O68" s="28" t="str">
        <f>IF($Q68="","",INDEX(TRANSACTIONS_MASTER!$AB$5:$AB$1204,$Q68))</f>
        <v/>
      </c>
      <c r="P68" s="55" t="str">
        <f>IF($Q68="","",INDEX(TRANSACTIONS_MASTER!$Z$5:$Z$1204,$Q68)&amp;"")</f>
        <v/>
      </c>
      <c r="Q68" s="67" t="str">
        <f>IFERROR(MATCH($C$2&amp;"|"&amp;61,TRANSACTIONS_MASTER!$AE$5:$AE$1204,0),"")</f>
        <v/>
      </c>
      <c r="S68" s="67" t="n">
        <v>7</v>
      </c>
      <c r="T68" s="55" t="str">
        <f>IF(CARDS!$A11="","",CARDS!$A11)</f>
        <v/>
      </c>
      <c r="U68" s="55" t="str">
        <f>IF($T68="","",CARDS!$B11&amp;" "&amp;CARDS!$C11)</f>
        <v/>
      </c>
      <c r="V68" s="25" t="str">
        <f>IF($T68="","",SUMIFS(TRANSACTIONS_MASTER!$L$5:$L$1204,TRANSACTIONS_MASTER!$D$5:$D$1204,$T68,TRANSACTIONS_MASTER!$C$5:$C$1204,$C$2,TRANSACTIONS_MASTER!$U$5:$U$1204,"&lt;&gt;Cancelled"))</f>
        <v/>
      </c>
      <c r="W68" s="26" t="str">
        <f>IF($T68="","",SUMIFS(TRANSACTIONS_MASTER!$Q$5:$Q$1204,TRANSACTIONS_MASTER!$D$5:$D$1204,$T68,TRANSACTIONS_MASTER!$C$5:$C$1204,$C$2))</f>
        <v/>
      </c>
      <c r="X68" s="25" t="str">
        <f>IF($T68="","",IFERROR(IF(ISNUMBER(INDEX(CASHBACK_RULES!$K$5:$K$304,MATCH($T68,CASHBACK_RULES!$B$5:$B$304,0))),INDEX(CASHBACK_RULES!$K$5:$K$304,MATCH($T68,CASHBACK_RULES!$B$5:$B$304,0)),"∞"),"—"))</f>
        <v/>
      </c>
      <c r="Y68" s="25" t="str">
        <f>IF($T68="","",IF($X68="—","—",IF(COUNTIFS($T$8:$T$57,$T68,$Z$8:$Z$57,"∞")&gt;0,IF(ISNUMBER($X68),MAX(0,$X68-$W68),"∞"),IF(ISNUMBER($X68),MAX(0,MIN($X68-$W68,SUMIFS($Z$8:$Z$57,$T$8:$T$57,$T68))),SUMIFS($Z$8:$Z$57,$T$8:$T$57,$T68)))))</f>
        <v/>
      </c>
      <c r="Z68" s="27" t="str">
        <f>IF($T68="","",IF(ISNUMBER($X68),IF($X68=0,0,$W68/$X68),IF(ISNUMBER($Y68),IF($W68+$Y68=0,0,$W68/($W68+$Y68)),"")))</f>
        <v/>
      </c>
      <c r="AA68" s="29" t="str">
        <f>IF($T68="","",COUNTIFS(TRANSACTIONS_MASTER!$D$5:$D$1204,$T68,TRANSACTIONS_MASTER!$C$5:$C$1204,$C$2,TRANSACTIONS_MASTER!$U$5:$U$1204,"&lt;&gt;Cancelled"))</f>
        <v/>
      </c>
    </row>
    <row r="69">
      <c r="A69" s="81" t="str">
        <f>IF($Q69="","",62)</f>
        <v/>
      </c>
      <c r="B69" s="57" t="str">
        <f>IF($Q69="","",INDEX(TRANSACTIONS_MASTER!$B$5:$B$1204,$Q69))</f>
        <v/>
      </c>
      <c r="C69" s="55" t="str">
        <f>IF($Q69="","",INDEX(TRANSACTIONS_MASTER!$F$5:$F$1204,$Q69))</f>
        <v/>
      </c>
      <c r="D69" s="55" t="str">
        <f>IF($Q69="","",INDEX(TRANSACTIONS_MASTER!$E$5:$E$1204,$Q69))</f>
        <v/>
      </c>
      <c r="E69" s="55" t="str">
        <f>IF($Q69="","",INDEX(TRANSACTIONS_MASTER!$G$5:$G$1204,$Q69)&amp;"")</f>
        <v/>
      </c>
      <c r="F69" s="29" t="str">
        <f>IF($Q69="","",INDEX(TRANSACTIONS_MASTER!$I$5:$I$1204,$Q69))</f>
        <v/>
      </c>
      <c r="G69" s="55" t="str">
        <f>IF($Q69="","",INDEX(TRANSACTIONS_MASTER!$K$5:$K$1204,$Q69))</f>
        <v/>
      </c>
      <c r="H69" s="25" t="str">
        <f>IF($Q69="","",INDEX(TRANSACTIONS_MASTER!$L$5:$L$1204,$Q69))</f>
        <v/>
      </c>
      <c r="I69" s="56" t="str">
        <f>IF($Q69="","",INDEX(TRANSACTIONS_MASTER!$N$5:$N$1204,$Q69))</f>
        <v/>
      </c>
      <c r="J69" s="25" t="str">
        <f>IF($Q69="","",INDEX(TRANSACTIONS_MASTER!$O$5:$O$1204,$Q69))</f>
        <v/>
      </c>
      <c r="K69" s="26" t="str">
        <f>IF($Q69="","",INDEX(TRANSACTIONS_MASTER!$Q$5:$Q$1204,$Q69))</f>
        <v/>
      </c>
      <c r="L69" s="25" t="str">
        <f>IF($Q69="","",INDEX(TRANSACTIONS_MASTER!$P$5:$P$1204,$Q69))</f>
        <v/>
      </c>
      <c r="M69" s="25" t="str">
        <f>IF($Q69="","",INDEX(TRANSACTIONS_MASTER!$AA$5:$AA$1204,$Q69))</f>
        <v/>
      </c>
      <c r="N69" s="25" t="str">
        <f>IF($Q69="","",INDEX(TRANSACTIONS_MASTER!$R$5:$R$1204,$Q69))</f>
        <v/>
      </c>
      <c r="O69" s="28" t="str">
        <f>IF($Q69="","",INDEX(TRANSACTIONS_MASTER!$AB$5:$AB$1204,$Q69))</f>
        <v/>
      </c>
      <c r="P69" s="55" t="str">
        <f>IF($Q69="","",INDEX(TRANSACTIONS_MASTER!$Z$5:$Z$1204,$Q69)&amp;"")</f>
        <v/>
      </c>
      <c r="Q69" s="67" t="str">
        <f>IFERROR(MATCH($C$2&amp;"|"&amp;62,TRANSACTIONS_MASTER!$AE$5:$AE$1204,0),"")</f>
        <v/>
      </c>
      <c r="S69" s="67" t="n">
        <v>8</v>
      </c>
      <c r="T69" s="55" t="str">
        <f>IF(CARDS!$A12="","",CARDS!$A12)</f>
        <v/>
      </c>
      <c r="U69" s="55" t="str">
        <f>IF($T69="","",CARDS!$B12&amp;" "&amp;CARDS!$C12)</f>
        <v/>
      </c>
      <c r="V69" s="25" t="str">
        <f>IF($T69="","",SUMIFS(TRANSACTIONS_MASTER!$L$5:$L$1204,TRANSACTIONS_MASTER!$D$5:$D$1204,$T69,TRANSACTIONS_MASTER!$C$5:$C$1204,$C$2,TRANSACTIONS_MASTER!$U$5:$U$1204,"&lt;&gt;Cancelled"))</f>
        <v/>
      </c>
      <c r="W69" s="26" t="str">
        <f>IF($T69="","",SUMIFS(TRANSACTIONS_MASTER!$Q$5:$Q$1204,TRANSACTIONS_MASTER!$D$5:$D$1204,$T69,TRANSACTIONS_MASTER!$C$5:$C$1204,$C$2))</f>
        <v/>
      </c>
      <c r="X69" s="25" t="str">
        <f>IF($T69="","",IFERROR(IF(ISNUMBER(INDEX(CASHBACK_RULES!$K$5:$K$304,MATCH($T69,CASHBACK_RULES!$B$5:$B$304,0))),INDEX(CASHBACK_RULES!$K$5:$K$304,MATCH($T69,CASHBACK_RULES!$B$5:$B$304,0)),"∞"),"—"))</f>
        <v/>
      </c>
      <c r="Y69" s="25" t="str">
        <f>IF($T69="","",IF($X69="—","—",IF(COUNTIFS($T$8:$T$57,$T69,$Z$8:$Z$57,"∞")&gt;0,IF(ISNUMBER($X69),MAX(0,$X69-$W69),"∞"),IF(ISNUMBER($X69),MAX(0,MIN($X69-$W69,SUMIFS($Z$8:$Z$57,$T$8:$T$57,$T69))),SUMIFS($Z$8:$Z$57,$T$8:$T$57,$T69)))))</f>
        <v/>
      </c>
      <c r="Z69" s="27" t="str">
        <f>IF($T69="","",IF(ISNUMBER($X69),IF($X69=0,0,$W69/$X69),IF(ISNUMBER($Y69),IF($W69+$Y69=0,0,$W69/($W69+$Y69)),"")))</f>
        <v/>
      </c>
      <c r="AA69" s="29" t="str">
        <f>IF($T69="","",COUNTIFS(TRANSACTIONS_MASTER!$D$5:$D$1204,$T69,TRANSACTIONS_MASTER!$C$5:$C$1204,$C$2,TRANSACTIONS_MASTER!$U$5:$U$1204,"&lt;&gt;Cancelled"))</f>
        <v/>
      </c>
    </row>
    <row r="70">
      <c r="A70" s="81" t="str">
        <f>IF($Q70="","",63)</f>
        <v/>
      </c>
      <c r="B70" s="57" t="str">
        <f>IF($Q70="","",INDEX(TRANSACTIONS_MASTER!$B$5:$B$1204,$Q70))</f>
        <v/>
      </c>
      <c r="C70" s="55" t="str">
        <f>IF($Q70="","",INDEX(TRANSACTIONS_MASTER!$F$5:$F$1204,$Q70))</f>
        <v/>
      </c>
      <c r="D70" s="55" t="str">
        <f>IF($Q70="","",INDEX(TRANSACTIONS_MASTER!$E$5:$E$1204,$Q70))</f>
        <v/>
      </c>
      <c r="E70" s="55" t="str">
        <f>IF($Q70="","",INDEX(TRANSACTIONS_MASTER!$G$5:$G$1204,$Q70)&amp;"")</f>
        <v/>
      </c>
      <c r="F70" s="29" t="str">
        <f>IF($Q70="","",INDEX(TRANSACTIONS_MASTER!$I$5:$I$1204,$Q70))</f>
        <v/>
      </c>
      <c r="G70" s="55" t="str">
        <f>IF($Q70="","",INDEX(TRANSACTIONS_MASTER!$K$5:$K$1204,$Q70))</f>
        <v/>
      </c>
      <c r="H70" s="25" t="str">
        <f>IF($Q70="","",INDEX(TRANSACTIONS_MASTER!$L$5:$L$1204,$Q70))</f>
        <v/>
      </c>
      <c r="I70" s="56" t="str">
        <f>IF($Q70="","",INDEX(TRANSACTIONS_MASTER!$N$5:$N$1204,$Q70))</f>
        <v/>
      </c>
      <c r="J70" s="25" t="str">
        <f>IF($Q70="","",INDEX(TRANSACTIONS_MASTER!$O$5:$O$1204,$Q70))</f>
        <v/>
      </c>
      <c r="K70" s="26" t="str">
        <f>IF($Q70="","",INDEX(TRANSACTIONS_MASTER!$Q$5:$Q$1204,$Q70))</f>
        <v/>
      </c>
      <c r="L70" s="25" t="str">
        <f>IF($Q70="","",INDEX(TRANSACTIONS_MASTER!$P$5:$P$1204,$Q70))</f>
        <v/>
      </c>
      <c r="M70" s="25" t="str">
        <f>IF($Q70="","",INDEX(TRANSACTIONS_MASTER!$AA$5:$AA$1204,$Q70))</f>
        <v/>
      </c>
      <c r="N70" s="25" t="str">
        <f>IF($Q70="","",INDEX(TRANSACTIONS_MASTER!$R$5:$R$1204,$Q70))</f>
        <v/>
      </c>
      <c r="O70" s="28" t="str">
        <f>IF($Q70="","",INDEX(TRANSACTIONS_MASTER!$AB$5:$AB$1204,$Q70))</f>
        <v/>
      </c>
      <c r="P70" s="55" t="str">
        <f>IF($Q70="","",INDEX(TRANSACTIONS_MASTER!$Z$5:$Z$1204,$Q70)&amp;"")</f>
        <v/>
      </c>
      <c r="Q70" s="67" t="str">
        <f>IFERROR(MATCH($C$2&amp;"|"&amp;63,TRANSACTIONS_MASTER!$AE$5:$AE$1204,0),"")</f>
        <v/>
      </c>
      <c r="S70" s="67" t="n">
        <v>9</v>
      </c>
      <c r="T70" s="55" t="str">
        <f>IF(CARDS!$A13="","",CARDS!$A13)</f>
        <v/>
      </c>
      <c r="U70" s="55" t="str">
        <f>IF($T70="","",CARDS!$B13&amp;" "&amp;CARDS!$C13)</f>
        <v/>
      </c>
      <c r="V70" s="25" t="str">
        <f>IF($T70="","",SUMIFS(TRANSACTIONS_MASTER!$L$5:$L$1204,TRANSACTIONS_MASTER!$D$5:$D$1204,$T70,TRANSACTIONS_MASTER!$C$5:$C$1204,$C$2,TRANSACTIONS_MASTER!$U$5:$U$1204,"&lt;&gt;Cancelled"))</f>
        <v/>
      </c>
      <c r="W70" s="26" t="str">
        <f>IF($T70="","",SUMIFS(TRANSACTIONS_MASTER!$Q$5:$Q$1204,TRANSACTIONS_MASTER!$D$5:$D$1204,$T70,TRANSACTIONS_MASTER!$C$5:$C$1204,$C$2))</f>
        <v/>
      </c>
      <c r="X70" s="25" t="str">
        <f>IF($T70="","",IFERROR(IF(ISNUMBER(INDEX(CASHBACK_RULES!$K$5:$K$304,MATCH($T70,CASHBACK_RULES!$B$5:$B$304,0))),INDEX(CASHBACK_RULES!$K$5:$K$304,MATCH($T70,CASHBACK_RULES!$B$5:$B$304,0)),"∞"),"—"))</f>
        <v/>
      </c>
      <c r="Y70" s="25" t="str">
        <f>IF($T70="","",IF($X70="—","—",IF(COUNTIFS($T$8:$T$57,$T70,$Z$8:$Z$57,"∞")&gt;0,IF(ISNUMBER($X70),MAX(0,$X70-$W70),"∞"),IF(ISNUMBER($X70),MAX(0,MIN($X70-$W70,SUMIFS($Z$8:$Z$57,$T$8:$T$57,$T70))),SUMIFS($Z$8:$Z$57,$T$8:$T$57,$T70)))))</f>
        <v/>
      </c>
      <c r="Z70" s="27" t="str">
        <f>IF($T70="","",IF(ISNUMBER($X70),IF($X70=0,0,$W70/$X70),IF(ISNUMBER($Y70),IF($W70+$Y70=0,0,$W70/($W70+$Y70)),"")))</f>
        <v/>
      </c>
      <c r="AA70" s="29" t="str">
        <f>IF($T70="","",COUNTIFS(TRANSACTIONS_MASTER!$D$5:$D$1204,$T70,TRANSACTIONS_MASTER!$C$5:$C$1204,$C$2,TRANSACTIONS_MASTER!$U$5:$U$1204,"&lt;&gt;Cancelled"))</f>
        <v/>
      </c>
    </row>
    <row r="71">
      <c r="A71" s="81" t="str">
        <f>IF($Q71="","",64)</f>
        <v/>
      </c>
      <c r="B71" s="57" t="str">
        <f>IF($Q71="","",INDEX(TRANSACTIONS_MASTER!$B$5:$B$1204,$Q71))</f>
        <v/>
      </c>
      <c r="C71" s="55" t="str">
        <f>IF($Q71="","",INDEX(TRANSACTIONS_MASTER!$F$5:$F$1204,$Q71))</f>
        <v/>
      </c>
      <c r="D71" s="55" t="str">
        <f>IF($Q71="","",INDEX(TRANSACTIONS_MASTER!$E$5:$E$1204,$Q71))</f>
        <v/>
      </c>
      <c r="E71" s="55" t="str">
        <f>IF($Q71="","",INDEX(TRANSACTIONS_MASTER!$G$5:$G$1204,$Q71)&amp;"")</f>
        <v/>
      </c>
      <c r="F71" s="29" t="str">
        <f>IF($Q71="","",INDEX(TRANSACTIONS_MASTER!$I$5:$I$1204,$Q71))</f>
        <v/>
      </c>
      <c r="G71" s="55" t="str">
        <f>IF($Q71="","",INDEX(TRANSACTIONS_MASTER!$K$5:$K$1204,$Q71))</f>
        <v/>
      </c>
      <c r="H71" s="25" t="str">
        <f>IF($Q71="","",INDEX(TRANSACTIONS_MASTER!$L$5:$L$1204,$Q71))</f>
        <v/>
      </c>
      <c r="I71" s="56" t="str">
        <f>IF($Q71="","",INDEX(TRANSACTIONS_MASTER!$N$5:$N$1204,$Q71))</f>
        <v/>
      </c>
      <c r="J71" s="25" t="str">
        <f>IF($Q71="","",INDEX(TRANSACTIONS_MASTER!$O$5:$O$1204,$Q71))</f>
        <v/>
      </c>
      <c r="K71" s="26" t="str">
        <f>IF($Q71="","",INDEX(TRANSACTIONS_MASTER!$Q$5:$Q$1204,$Q71))</f>
        <v/>
      </c>
      <c r="L71" s="25" t="str">
        <f>IF($Q71="","",INDEX(TRANSACTIONS_MASTER!$P$5:$P$1204,$Q71))</f>
        <v/>
      </c>
      <c r="M71" s="25" t="str">
        <f>IF($Q71="","",INDEX(TRANSACTIONS_MASTER!$AA$5:$AA$1204,$Q71))</f>
        <v/>
      </c>
      <c r="N71" s="25" t="str">
        <f>IF($Q71="","",INDEX(TRANSACTIONS_MASTER!$R$5:$R$1204,$Q71))</f>
        <v/>
      </c>
      <c r="O71" s="28" t="str">
        <f>IF($Q71="","",INDEX(TRANSACTIONS_MASTER!$AB$5:$AB$1204,$Q71))</f>
        <v/>
      </c>
      <c r="P71" s="55" t="str">
        <f>IF($Q71="","",INDEX(TRANSACTIONS_MASTER!$Z$5:$Z$1204,$Q71)&amp;"")</f>
        <v/>
      </c>
      <c r="Q71" s="67" t="str">
        <f>IFERROR(MATCH($C$2&amp;"|"&amp;64,TRANSACTIONS_MASTER!$AE$5:$AE$1204,0),"")</f>
        <v/>
      </c>
      <c r="S71" s="67" t="n">
        <v>10</v>
      </c>
      <c r="T71" s="55" t="str">
        <f>IF(CARDS!$A14="","",CARDS!$A14)</f>
        <v/>
      </c>
      <c r="U71" s="55" t="str">
        <f>IF($T71="","",CARDS!$B14&amp;" "&amp;CARDS!$C14)</f>
        <v/>
      </c>
      <c r="V71" s="25" t="str">
        <f>IF($T71="","",SUMIFS(TRANSACTIONS_MASTER!$L$5:$L$1204,TRANSACTIONS_MASTER!$D$5:$D$1204,$T71,TRANSACTIONS_MASTER!$C$5:$C$1204,$C$2,TRANSACTIONS_MASTER!$U$5:$U$1204,"&lt;&gt;Cancelled"))</f>
        <v/>
      </c>
      <c r="W71" s="26" t="str">
        <f>IF($T71="","",SUMIFS(TRANSACTIONS_MASTER!$Q$5:$Q$1204,TRANSACTIONS_MASTER!$D$5:$D$1204,$T71,TRANSACTIONS_MASTER!$C$5:$C$1204,$C$2))</f>
        <v/>
      </c>
      <c r="X71" s="25" t="str">
        <f>IF($T71="","",IFERROR(IF(ISNUMBER(INDEX(CASHBACK_RULES!$K$5:$K$304,MATCH($T71,CASHBACK_RULES!$B$5:$B$304,0))),INDEX(CASHBACK_RULES!$K$5:$K$304,MATCH($T71,CASHBACK_RULES!$B$5:$B$304,0)),"∞"),"—"))</f>
        <v/>
      </c>
      <c r="Y71" s="25" t="str">
        <f>IF($T71="","",IF($X71="—","—",IF(COUNTIFS($T$8:$T$57,$T71,$Z$8:$Z$57,"∞")&gt;0,IF(ISNUMBER($X71),MAX(0,$X71-$W71),"∞"),IF(ISNUMBER($X71),MAX(0,MIN($X71-$W71,SUMIFS($Z$8:$Z$57,$T$8:$T$57,$T71))),SUMIFS($Z$8:$Z$57,$T$8:$T$57,$T71)))))</f>
        <v/>
      </c>
      <c r="Z71" s="27" t="str">
        <f>IF($T71="","",IF(ISNUMBER($X71),IF($X71=0,0,$W71/$X71),IF(ISNUMBER($Y71),IF($W71+$Y71=0,0,$W71/($W71+$Y71)),"")))</f>
        <v/>
      </c>
      <c r="AA71" s="29" t="str">
        <f>IF($T71="","",COUNTIFS(TRANSACTIONS_MASTER!$D$5:$D$1204,$T71,TRANSACTIONS_MASTER!$C$5:$C$1204,$C$2,TRANSACTIONS_MASTER!$U$5:$U$1204,"&lt;&gt;Cancelled"))</f>
        <v/>
      </c>
    </row>
    <row r="72">
      <c r="A72" s="81" t="str">
        <f>IF($Q72="","",65)</f>
        <v/>
      </c>
      <c r="B72" s="57" t="str">
        <f>IF($Q72="","",INDEX(TRANSACTIONS_MASTER!$B$5:$B$1204,$Q72))</f>
        <v/>
      </c>
      <c r="C72" s="55" t="str">
        <f>IF($Q72="","",INDEX(TRANSACTIONS_MASTER!$F$5:$F$1204,$Q72))</f>
        <v/>
      </c>
      <c r="D72" s="55" t="str">
        <f>IF($Q72="","",INDEX(TRANSACTIONS_MASTER!$E$5:$E$1204,$Q72))</f>
        <v/>
      </c>
      <c r="E72" s="55" t="str">
        <f>IF($Q72="","",INDEX(TRANSACTIONS_MASTER!$G$5:$G$1204,$Q72)&amp;"")</f>
        <v/>
      </c>
      <c r="F72" s="29" t="str">
        <f>IF($Q72="","",INDEX(TRANSACTIONS_MASTER!$I$5:$I$1204,$Q72))</f>
        <v/>
      </c>
      <c r="G72" s="55" t="str">
        <f>IF($Q72="","",INDEX(TRANSACTIONS_MASTER!$K$5:$K$1204,$Q72))</f>
        <v/>
      </c>
      <c r="H72" s="25" t="str">
        <f>IF($Q72="","",INDEX(TRANSACTIONS_MASTER!$L$5:$L$1204,$Q72))</f>
        <v/>
      </c>
      <c r="I72" s="56" t="str">
        <f>IF($Q72="","",INDEX(TRANSACTIONS_MASTER!$N$5:$N$1204,$Q72))</f>
        <v/>
      </c>
      <c r="J72" s="25" t="str">
        <f>IF($Q72="","",INDEX(TRANSACTIONS_MASTER!$O$5:$O$1204,$Q72))</f>
        <v/>
      </c>
      <c r="K72" s="26" t="str">
        <f>IF($Q72="","",INDEX(TRANSACTIONS_MASTER!$Q$5:$Q$1204,$Q72))</f>
        <v/>
      </c>
      <c r="L72" s="25" t="str">
        <f>IF($Q72="","",INDEX(TRANSACTIONS_MASTER!$P$5:$P$1204,$Q72))</f>
        <v/>
      </c>
      <c r="M72" s="25" t="str">
        <f>IF($Q72="","",INDEX(TRANSACTIONS_MASTER!$AA$5:$AA$1204,$Q72))</f>
        <v/>
      </c>
      <c r="N72" s="25" t="str">
        <f>IF($Q72="","",INDEX(TRANSACTIONS_MASTER!$R$5:$R$1204,$Q72))</f>
        <v/>
      </c>
      <c r="O72" s="28" t="str">
        <f>IF($Q72="","",INDEX(TRANSACTIONS_MASTER!$AB$5:$AB$1204,$Q72))</f>
        <v/>
      </c>
      <c r="P72" s="55" t="str">
        <f>IF($Q72="","",INDEX(TRANSACTIONS_MASTER!$Z$5:$Z$1204,$Q72)&amp;"")</f>
        <v/>
      </c>
      <c r="Q72" s="67" t="str">
        <f>IFERROR(MATCH($C$2&amp;"|"&amp;65,TRANSACTIONS_MASTER!$AE$5:$AE$1204,0),"")</f>
        <v/>
      </c>
      <c r="S72" s="67" t="n">
        <v>11</v>
      </c>
      <c r="T72" s="55" t="str">
        <f>IF(CARDS!$A15="","",CARDS!$A15)</f>
        <v/>
      </c>
      <c r="U72" s="55" t="str">
        <f>IF($T72="","",CARDS!$B15&amp;" "&amp;CARDS!$C15)</f>
        <v/>
      </c>
      <c r="V72" s="25" t="str">
        <f>IF($T72="","",SUMIFS(TRANSACTIONS_MASTER!$L$5:$L$1204,TRANSACTIONS_MASTER!$D$5:$D$1204,$T72,TRANSACTIONS_MASTER!$C$5:$C$1204,$C$2,TRANSACTIONS_MASTER!$U$5:$U$1204,"&lt;&gt;Cancelled"))</f>
        <v/>
      </c>
      <c r="W72" s="26" t="str">
        <f>IF($T72="","",SUMIFS(TRANSACTIONS_MASTER!$Q$5:$Q$1204,TRANSACTIONS_MASTER!$D$5:$D$1204,$T72,TRANSACTIONS_MASTER!$C$5:$C$1204,$C$2))</f>
        <v/>
      </c>
      <c r="X72" s="25" t="str">
        <f>IF($T72="","",IFERROR(IF(ISNUMBER(INDEX(CASHBACK_RULES!$K$5:$K$304,MATCH($T72,CASHBACK_RULES!$B$5:$B$304,0))),INDEX(CASHBACK_RULES!$K$5:$K$304,MATCH($T72,CASHBACK_RULES!$B$5:$B$304,0)),"∞"),"—"))</f>
        <v/>
      </c>
      <c r="Y72" s="25" t="str">
        <f>IF($T72="","",IF($X72="—","—",IF(COUNTIFS($T$8:$T$57,$T72,$Z$8:$Z$57,"∞")&gt;0,IF(ISNUMBER($X72),MAX(0,$X72-$W72),"∞"),IF(ISNUMBER($X72),MAX(0,MIN($X72-$W72,SUMIFS($Z$8:$Z$57,$T$8:$T$57,$T72))),SUMIFS($Z$8:$Z$57,$T$8:$T$57,$T72)))))</f>
        <v/>
      </c>
      <c r="Z72" s="27" t="str">
        <f>IF($T72="","",IF(ISNUMBER($X72),IF($X72=0,0,$W72/$X72),IF(ISNUMBER($Y72),IF($W72+$Y72=0,0,$W72/($W72+$Y72)),"")))</f>
        <v/>
      </c>
      <c r="AA72" s="29" t="str">
        <f>IF($T72="","",COUNTIFS(TRANSACTIONS_MASTER!$D$5:$D$1204,$T72,TRANSACTIONS_MASTER!$C$5:$C$1204,$C$2,TRANSACTIONS_MASTER!$U$5:$U$1204,"&lt;&gt;Cancelled"))</f>
        <v/>
      </c>
    </row>
    <row r="73">
      <c r="A73" s="81" t="str">
        <f>IF($Q73="","",66)</f>
        <v/>
      </c>
      <c r="B73" s="57" t="str">
        <f>IF($Q73="","",INDEX(TRANSACTIONS_MASTER!$B$5:$B$1204,$Q73))</f>
        <v/>
      </c>
      <c r="C73" s="55" t="str">
        <f>IF($Q73="","",INDEX(TRANSACTIONS_MASTER!$F$5:$F$1204,$Q73))</f>
        <v/>
      </c>
      <c r="D73" s="55" t="str">
        <f>IF($Q73="","",INDEX(TRANSACTIONS_MASTER!$E$5:$E$1204,$Q73))</f>
        <v/>
      </c>
      <c r="E73" s="55" t="str">
        <f>IF($Q73="","",INDEX(TRANSACTIONS_MASTER!$G$5:$G$1204,$Q73)&amp;"")</f>
        <v/>
      </c>
      <c r="F73" s="29" t="str">
        <f>IF($Q73="","",INDEX(TRANSACTIONS_MASTER!$I$5:$I$1204,$Q73))</f>
        <v/>
      </c>
      <c r="G73" s="55" t="str">
        <f>IF($Q73="","",INDEX(TRANSACTIONS_MASTER!$K$5:$K$1204,$Q73))</f>
        <v/>
      </c>
      <c r="H73" s="25" t="str">
        <f>IF($Q73="","",INDEX(TRANSACTIONS_MASTER!$L$5:$L$1204,$Q73))</f>
        <v/>
      </c>
      <c r="I73" s="56" t="str">
        <f>IF($Q73="","",INDEX(TRANSACTIONS_MASTER!$N$5:$N$1204,$Q73))</f>
        <v/>
      </c>
      <c r="J73" s="25" t="str">
        <f>IF($Q73="","",INDEX(TRANSACTIONS_MASTER!$O$5:$O$1204,$Q73))</f>
        <v/>
      </c>
      <c r="K73" s="26" t="str">
        <f>IF($Q73="","",INDEX(TRANSACTIONS_MASTER!$Q$5:$Q$1204,$Q73))</f>
        <v/>
      </c>
      <c r="L73" s="25" t="str">
        <f>IF($Q73="","",INDEX(TRANSACTIONS_MASTER!$P$5:$P$1204,$Q73))</f>
        <v/>
      </c>
      <c r="M73" s="25" t="str">
        <f>IF($Q73="","",INDEX(TRANSACTIONS_MASTER!$AA$5:$AA$1204,$Q73))</f>
        <v/>
      </c>
      <c r="N73" s="25" t="str">
        <f>IF($Q73="","",INDEX(TRANSACTIONS_MASTER!$R$5:$R$1204,$Q73))</f>
        <v/>
      </c>
      <c r="O73" s="28" t="str">
        <f>IF($Q73="","",INDEX(TRANSACTIONS_MASTER!$AB$5:$AB$1204,$Q73))</f>
        <v/>
      </c>
      <c r="P73" s="55" t="str">
        <f>IF($Q73="","",INDEX(TRANSACTIONS_MASTER!$Z$5:$Z$1204,$Q73)&amp;"")</f>
        <v/>
      </c>
      <c r="Q73" s="67" t="str">
        <f>IFERROR(MATCH($C$2&amp;"|"&amp;66,TRANSACTIONS_MASTER!$AE$5:$AE$1204,0),"")</f>
        <v/>
      </c>
      <c r="S73" s="67" t="n">
        <v>12</v>
      </c>
      <c r="T73" s="55" t="str">
        <f>IF(CARDS!$A16="","",CARDS!$A16)</f>
        <v/>
      </c>
      <c r="U73" s="55" t="str">
        <f>IF($T73="","",CARDS!$B16&amp;" "&amp;CARDS!$C16)</f>
        <v/>
      </c>
      <c r="V73" s="25" t="str">
        <f>IF($T73="","",SUMIFS(TRANSACTIONS_MASTER!$L$5:$L$1204,TRANSACTIONS_MASTER!$D$5:$D$1204,$T73,TRANSACTIONS_MASTER!$C$5:$C$1204,$C$2,TRANSACTIONS_MASTER!$U$5:$U$1204,"&lt;&gt;Cancelled"))</f>
        <v/>
      </c>
      <c r="W73" s="26" t="str">
        <f>IF($T73="","",SUMIFS(TRANSACTIONS_MASTER!$Q$5:$Q$1204,TRANSACTIONS_MASTER!$D$5:$D$1204,$T73,TRANSACTIONS_MASTER!$C$5:$C$1204,$C$2))</f>
        <v/>
      </c>
      <c r="X73" s="25" t="str">
        <f>IF($T73="","",IFERROR(IF(ISNUMBER(INDEX(CASHBACK_RULES!$K$5:$K$304,MATCH($T73,CASHBACK_RULES!$B$5:$B$304,0))),INDEX(CASHBACK_RULES!$K$5:$K$304,MATCH($T73,CASHBACK_RULES!$B$5:$B$304,0)),"∞"),"—"))</f>
        <v/>
      </c>
      <c r="Y73" s="25" t="str">
        <f>IF($T73="","",IF($X73="—","—",IF(COUNTIFS($T$8:$T$57,$T73,$Z$8:$Z$57,"∞")&gt;0,IF(ISNUMBER($X73),MAX(0,$X73-$W73),"∞"),IF(ISNUMBER($X73),MAX(0,MIN($X73-$W73,SUMIFS($Z$8:$Z$57,$T$8:$T$57,$T73))),SUMIFS($Z$8:$Z$57,$T$8:$T$57,$T73)))))</f>
        <v/>
      </c>
      <c r="Z73" s="27" t="str">
        <f>IF($T73="","",IF(ISNUMBER($X73),IF($X73=0,0,$W73/$X73),IF(ISNUMBER($Y73),IF($W73+$Y73=0,0,$W73/($W73+$Y73)),"")))</f>
        <v/>
      </c>
      <c r="AA73" s="29" t="str">
        <f>IF($T73="","",COUNTIFS(TRANSACTIONS_MASTER!$D$5:$D$1204,$T73,TRANSACTIONS_MASTER!$C$5:$C$1204,$C$2,TRANSACTIONS_MASTER!$U$5:$U$1204,"&lt;&gt;Cancelled"))</f>
        <v/>
      </c>
    </row>
    <row r="74">
      <c r="A74" s="81" t="str">
        <f>IF($Q74="","",67)</f>
        <v/>
      </c>
      <c r="B74" s="57" t="str">
        <f>IF($Q74="","",INDEX(TRANSACTIONS_MASTER!$B$5:$B$1204,$Q74))</f>
        <v/>
      </c>
      <c r="C74" s="55" t="str">
        <f>IF($Q74="","",INDEX(TRANSACTIONS_MASTER!$F$5:$F$1204,$Q74))</f>
        <v/>
      </c>
      <c r="D74" s="55" t="str">
        <f>IF($Q74="","",INDEX(TRANSACTIONS_MASTER!$E$5:$E$1204,$Q74))</f>
        <v/>
      </c>
      <c r="E74" s="55" t="str">
        <f>IF($Q74="","",INDEX(TRANSACTIONS_MASTER!$G$5:$G$1204,$Q74)&amp;"")</f>
        <v/>
      </c>
      <c r="F74" s="29" t="str">
        <f>IF($Q74="","",INDEX(TRANSACTIONS_MASTER!$I$5:$I$1204,$Q74))</f>
        <v/>
      </c>
      <c r="G74" s="55" t="str">
        <f>IF($Q74="","",INDEX(TRANSACTIONS_MASTER!$K$5:$K$1204,$Q74))</f>
        <v/>
      </c>
      <c r="H74" s="25" t="str">
        <f>IF($Q74="","",INDEX(TRANSACTIONS_MASTER!$L$5:$L$1204,$Q74))</f>
        <v/>
      </c>
      <c r="I74" s="56" t="str">
        <f>IF($Q74="","",INDEX(TRANSACTIONS_MASTER!$N$5:$N$1204,$Q74))</f>
        <v/>
      </c>
      <c r="J74" s="25" t="str">
        <f>IF($Q74="","",INDEX(TRANSACTIONS_MASTER!$O$5:$O$1204,$Q74))</f>
        <v/>
      </c>
      <c r="K74" s="26" t="str">
        <f>IF($Q74="","",INDEX(TRANSACTIONS_MASTER!$Q$5:$Q$1204,$Q74))</f>
        <v/>
      </c>
      <c r="L74" s="25" t="str">
        <f>IF($Q74="","",INDEX(TRANSACTIONS_MASTER!$P$5:$P$1204,$Q74))</f>
        <v/>
      </c>
      <c r="M74" s="25" t="str">
        <f>IF($Q74="","",INDEX(TRANSACTIONS_MASTER!$AA$5:$AA$1204,$Q74))</f>
        <v/>
      </c>
      <c r="N74" s="25" t="str">
        <f>IF($Q74="","",INDEX(TRANSACTIONS_MASTER!$R$5:$R$1204,$Q74))</f>
        <v/>
      </c>
      <c r="O74" s="28" t="str">
        <f>IF($Q74="","",INDEX(TRANSACTIONS_MASTER!$AB$5:$AB$1204,$Q74))</f>
        <v/>
      </c>
      <c r="P74" s="55" t="str">
        <f>IF($Q74="","",INDEX(TRANSACTIONS_MASTER!$Z$5:$Z$1204,$Q74)&amp;"")</f>
        <v/>
      </c>
      <c r="Q74" s="67" t="str">
        <f>IFERROR(MATCH($C$2&amp;"|"&amp;67,TRANSACTIONS_MASTER!$AE$5:$AE$1204,0),"")</f>
        <v/>
      </c>
      <c r="S74" s="67" t="n">
        <v>13</v>
      </c>
      <c r="T74" s="55" t="str">
        <f>IF(CARDS!$A17="","",CARDS!$A17)</f>
        <v/>
      </c>
      <c r="U74" s="55" t="str">
        <f>IF($T74="","",CARDS!$B17&amp;" "&amp;CARDS!$C17)</f>
        <v/>
      </c>
      <c r="V74" s="25" t="str">
        <f>IF($T74="","",SUMIFS(TRANSACTIONS_MASTER!$L$5:$L$1204,TRANSACTIONS_MASTER!$D$5:$D$1204,$T74,TRANSACTIONS_MASTER!$C$5:$C$1204,$C$2,TRANSACTIONS_MASTER!$U$5:$U$1204,"&lt;&gt;Cancelled"))</f>
        <v/>
      </c>
      <c r="W74" s="26" t="str">
        <f>IF($T74="","",SUMIFS(TRANSACTIONS_MASTER!$Q$5:$Q$1204,TRANSACTIONS_MASTER!$D$5:$D$1204,$T74,TRANSACTIONS_MASTER!$C$5:$C$1204,$C$2))</f>
        <v/>
      </c>
      <c r="X74" s="25" t="str">
        <f>IF($T74="","",IFERROR(IF(ISNUMBER(INDEX(CASHBACK_RULES!$K$5:$K$304,MATCH($T74,CASHBACK_RULES!$B$5:$B$304,0))),INDEX(CASHBACK_RULES!$K$5:$K$304,MATCH($T74,CASHBACK_RULES!$B$5:$B$304,0)),"∞"),"—"))</f>
        <v/>
      </c>
      <c r="Y74" s="25" t="str">
        <f>IF($T74="","",IF($X74="—","—",IF(COUNTIFS($T$8:$T$57,$T74,$Z$8:$Z$57,"∞")&gt;0,IF(ISNUMBER($X74),MAX(0,$X74-$W74),"∞"),IF(ISNUMBER($X74),MAX(0,MIN($X74-$W74,SUMIFS($Z$8:$Z$57,$T$8:$T$57,$T74))),SUMIFS($Z$8:$Z$57,$T$8:$T$57,$T74)))))</f>
        <v/>
      </c>
      <c r="Z74" s="27" t="str">
        <f>IF($T74="","",IF(ISNUMBER($X74),IF($X74=0,0,$W74/$X74),IF(ISNUMBER($Y74),IF($W74+$Y74=0,0,$W74/($W74+$Y74)),"")))</f>
        <v/>
      </c>
      <c r="AA74" s="29" t="str">
        <f>IF($T74="","",COUNTIFS(TRANSACTIONS_MASTER!$D$5:$D$1204,$T74,TRANSACTIONS_MASTER!$C$5:$C$1204,$C$2,TRANSACTIONS_MASTER!$U$5:$U$1204,"&lt;&gt;Cancelled"))</f>
        <v/>
      </c>
    </row>
    <row r="75">
      <c r="A75" s="81" t="str">
        <f>IF($Q75="","",68)</f>
        <v/>
      </c>
      <c r="B75" s="57" t="str">
        <f>IF($Q75="","",INDEX(TRANSACTIONS_MASTER!$B$5:$B$1204,$Q75))</f>
        <v/>
      </c>
      <c r="C75" s="55" t="str">
        <f>IF($Q75="","",INDEX(TRANSACTIONS_MASTER!$F$5:$F$1204,$Q75))</f>
        <v/>
      </c>
      <c r="D75" s="55" t="str">
        <f>IF($Q75="","",INDEX(TRANSACTIONS_MASTER!$E$5:$E$1204,$Q75))</f>
        <v/>
      </c>
      <c r="E75" s="55" t="str">
        <f>IF($Q75="","",INDEX(TRANSACTIONS_MASTER!$G$5:$G$1204,$Q75)&amp;"")</f>
        <v/>
      </c>
      <c r="F75" s="29" t="str">
        <f>IF($Q75="","",INDEX(TRANSACTIONS_MASTER!$I$5:$I$1204,$Q75))</f>
        <v/>
      </c>
      <c r="G75" s="55" t="str">
        <f>IF($Q75="","",INDEX(TRANSACTIONS_MASTER!$K$5:$K$1204,$Q75))</f>
        <v/>
      </c>
      <c r="H75" s="25" t="str">
        <f>IF($Q75="","",INDEX(TRANSACTIONS_MASTER!$L$5:$L$1204,$Q75))</f>
        <v/>
      </c>
      <c r="I75" s="56" t="str">
        <f>IF($Q75="","",INDEX(TRANSACTIONS_MASTER!$N$5:$N$1204,$Q75))</f>
        <v/>
      </c>
      <c r="J75" s="25" t="str">
        <f>IF($Q75="","",INDEX(TRANSACTIONS_MASTER!$O$5:$O$1204,$Q75))</f>
        <v/>
      </c>
      <c r="K75" s="26" t="str">
        <f>IF($Q75="","",INDEX(TRANSACTIONS_MASTER!$Q$5:$Q$1204,$Q75))</f>
        <v/>
      </c>
      <c r="L75" s="25" t="str">
        <f>IF($Q75="","",INDEX(TRANSACTIONS_MASTER!$P$5:$P$1204,$Q75))</f>
        <v/>
      </c>
      <c r="M75" s="25" t="str">
        <f>IF($Q75="","",INDEX(TRANSACTIONS_MASTER!$AA$5:$AA$1204,$Q75))</f>
        <v/>
      </c>
      <c r="N75" s="25" t="str">
        <f>IF($Q75="","",INDEX(TRANSACTIONS_MASTER!$R$5:$R$1204,$Q75))</f>
        <v/>
      </c>
      <c r="O75" s="28" t="str">
        <f>IF($Q75="","",INDEX(TRANSACTIONS_MASTER!$AB$5:$AB$1204,$Q75))</f>
        <v/>
      </c>
      <c r="P75" s="55" t="str">
        <f>IF($Q75="","",INDEX(TRANSACTIONS_MASTER!$Z$5:$Z$1204,$Q75)&amp;"")</f>
        <v/>
      </c>
      <c r="Q75" s="67" t="str">
        <f>IFERROR(MATCH($C$2&amp;"|"&amp;68,TRANSACTIONS_MASTER!$AE$5:$AE$1204,0),"")</f>
        <v/>
      </c>
      <c r="S75" s="67" t="n">
        <v>14</v>
      </c>
      <c r="T75" s="55" t="str">
        <f>IF(CARDS!$A18="","",CARDS!$A18)</f>
        <v/>
      </c>
      <c r="U75" s="55" t="str">
        <f>IF($T75="","",CARDS!$B18&amp;" "&amp;CARDS!$C18)</f>
        <v/>
      </c>
      <c r="V75" s="25" t="str">
        <f>IF($T75="","",SUMIFS(TRANSACTIONS_MASTER!$L$5:$L$1204,TRANSACTIONS_MASTER!$D$5:$D$1204,$T75,TRANSACTIONS_MASTER!$C$5:$C$1204,$C$2,TRANSACTIONS_MASTER!$U$5:$U$1204,"&lt;&gt;Cancelled"))</f>
        <v/>
      </c>
      <c r="W75" s="26" t="str">
        <f>IF($T75="","",SUMIFS(TRANSACTIONS_MASTER!$Q$5:$Q$1204,TRANSACTIONS_MASTER!$D$5:$D$1204,$T75,TRANSACTIONS_MASTER!$C$5:$C$1204,$C$2))</f>
        <v/>
      </c>
      <c r="X75" s="25" t="str">
        <f>IF($T75="","",IFERROR(IF(ISNUMBER(INDEX(CASHBACK_RULES!$K$5:$K$304,MATCH($T75,CASHBACK_RULES!$B$5:$B$304,0))),INDEX(CASHBACK_RULES!$K$5:$K$304,MATCH($T75,CASHBACK_RULES!$B$5:$B$304,0)),"∞"),"—"))</f>
        <v/>
      </c>
      <c r="Y75" s="25" t="str">
        <f>IF($T75="","",IF($X75="—","—",IF(COUNTIFS($T$8:$T$57,$T75,$Z$8:$Z$57,"∞")&gt;0,IF(ISNUMBER($X75),MAX(0,$X75-$W75),"∞"),IF(ISNUMBER($X75),MAX(0,MIN($X75-$W75,SUMIFS($Z$8:$Z$57,$T$8:$T$57,$T75))),SUMIFS($Z$8:$Z$57,$T$8:$T$57,$T75)))))</f>
        <v/>
      </c>
      <c r="Z75" s="27" t="str">
        <f>IF($T75="","",IF(ISNUMBER($X75),IF($X75=0,0,$W75/$X75),IF(ISNUMBER($Y75),IF($W75+$Y75=0,0,$W75/($W75+$Y75)),"")))</f>
        <v/>
      </c>
      <c r="AA75" s="29" t="str">
        <f>IF($T75="","",COUNTIFS(TRANSACTIONS_MASTER!$D$5:$D$1204,$T75,TRANSACTIONS_MASTER!$C$5:$C$1204,$C$2,TRANSACTIONS_MASTER!$U$5:$U$1204,"&lt;&gt;Cancelled"))</f>
        <v/>
      </c>
    </row>
    <row r="76">
      <c r="A76" s="81" t="str">
        <f>IF($Q76="","",69)</f>
        <v/>
      </c>
      <c r="B76" s="57" t="str">
        <f>IF($Q76="","",INDEX(TRANSACTIONS_MASTER!$B$5:$B$1204,$Q76))</f>
        <v/>
      </c>
      <c r="C76" s="55" t="str">
        <f>IF($Q76="","",INDEX(TRANSACTIONS_MASTER!$F$5:$F$1204,$Q76))</f>
        <v/>
      </c>
      <c r="D76" s="55" t="str">
        <f>IF($Q76="","",INDEX(TRANSACTIONS_MASTER!$E$5:$E$1204,$Q76))</f>
        <v/>
      </c>
      <c r="E76" s="55" t="str">
        <f>IF($Q76="","",INDEX(TRANSACTIONS_MASTER!$G$5:$G$1204,$Q76)&amp;"")</f>
        <v/>
      </c>
      <c r="F76" s="29" t="str">
        <f>IF($Q76="","",INDEX(TRANSACTIONS_MASTER!$I$5:$I$1204,$Q76))</f>
        <v/>
      </c>
      <c r="G76" s="55" t="str">
        <f>IF($Q76="","",INDEX(TRANSACTIONS_MASTER!$K$5:$K$1204,$Q76))</f>
        <v/>
      </c>
      <c r="H76" s="25" t="str">
        <f>IF($Q76="","",INDEX(TRANSACTIONS_MASTER!$L$5:$L$1204,$Q76))</f>
        <v/>
      </c>
      <c r="I76" s="56" t="str">
        <f>IF($Q76="","",INDEX(TRANSACTIONS_MASTER!$N$5:$N$1204,$Q76))</f>
        <v/>
      </c>
      <c r="J76" s="25" t="str">
        <f>IF($Q76="","",INDEX(TRANSACTIONS_MASTER!$O$5:$O$1204,$Q76))</f>
        <v/>
      </c>
      <c r="K76" s="26" t="str">
        <f>IF($Q76="","",INDEX(TRANSACTIONS_MASTER!$Q$5:$Q$1204,$Q76))</f>
        <v/>
      </c>
      <c r="L76" s="25" t="str">
        <f>IF($Q76="","",INDEX(TRANSACTIONS_MASTER!$P$5:$P$1204,$Q76))</f>
        <v/>
      </c>
      <c r="M76" s="25" t="str">
        <f>IF($Q76="","",INDEX(TRANSACTIONS_MASTER!$AA$5:$AA$1204,$Q76))</f>
        <v/>
      </c>
      <c r="N76" s="25" t="str">
        <f>IF($Q76="","",INDEX(TRANSACTIONS_MASTER!$R$5:$R$1204,$Q76))</f>
        <v/>
      </c>
      <c r="O76" s="28" t="str">
        <f>IF($Q76="","",INDEX(TRANSACTIONS_MASTER!$AB$5:$AB$1204,$Q76))</f>
        <v/>
      </c>
      <c r="P76" s="55" t="str">
        <f>IF($Q76="","",INDEX(TRANSACTIONS_MASTER!$Z$5:$Z$1204,$Q76)&amp;"")</f>
        <v/>
      </c>
      <c r="Q76" s="67" t="str">
        <f>IFERROR(MATCH($C$2&amp;"|"&amp;69,TRANSACTIONS_MASTER!$AE$5:$AE$1204,0),"")</f>
        <v/>
      </c>
      <c r="S76" s="67" t="n">
        <v>15</v>
      </c>
      <c r="T76" s="55" t="str">
        <f>IF(CARDS!$A19="","",CARDS!$A19)</f>
        <v/>
      </c>
      <c r="U76" s="55" t="str">
        <f>IF($T76="","",CARDS!$B19&amp;" "&amp;CARDS!$C19)</f>
        <v/>
      </c>
      <c r="V76" s="25" t="str">
        <f>IF($T76="","",SUMIFS(TRANSACTIONS_MASTER!$L$5:$L$1204,TRANSACTIONS_MASTER!$D$5:$D$1204,$T76,TRANSACTIONS_MASTER!$C$5:$C$1204,$C$2,TRANSACTIONS_MASTER!$U$5:$U$1204,"&lt;&gt;Cancelled"))</f>
        <v/>
      </c>
      <c r="W76" s="26" t="str">
        <f>IF($T76="","",SUMIFS(TRANSACTIONS_MASTER!$Q$5:$Q$1204,TRANSACTIONS_MASTER!$D$5:$D$1204,$T76,TRANSACTIONS_MASTER!$C$5:$C$1204,$C$2))</f>
        <v/>
      </c>
      <c r="X76" s="25" t="str">
        <f>IF($T76="","",IFERROR(IF(ISNUMBER(INDEX(CASHBACK_RULES!$K$5:$K$304,MATCH($T76,CASHBACK_RULES!$B$5:$B$304,0))),INDEX(CASHBACK_RULES!$K$5:$K$304,MATCH($T76,CASHBACK_RULES!$B$5:$B$304,0)),"∞"),"—"))</f>
        <v/>
      </c>
      <c r="Y76" s="25" t="str">
        <f>IF($T76="","",IF($X76="—","—",IF(COUNTIFS($T$8:$T$57,$T76,$Z$8:$Z$57,"∞")&gt;0,IF(ISNUMBER($X76),MAX(0,$X76-$W76),"∞"),IF(ISNUMBER($X76),MAX(0,MIN($X76-$W76,SUMIFS($Z$8:$Z$57,$T$8:$T$57,$T76))),SUMIFS($Z$8:$Z$57,$T$8:$T$57,$T76)))))</f>
        <v/>
      </c>
      <c r="Z76" s="27" t="str">
        <f>IF($T76="","",IF(ISNUMBER($X76),IF($X76=0,0,$W76/$X76),IF(ISNUMBER($Y76),IF($W76+$Y76=0,0,$W76/($W76+$Y76)),"")))</f>
        <v/>
      </c>
      <c r="AA76" s="29" t="str">
        <f>IF($T76="","",COUNTIFS(TRANSACTIONS_MASTER!$D$5:$D$1204,$T76,TRANSACTIONS_MASTER!$C$5:$C$1204,$C$2,TRANSACTIONS_MASTER!$U$5:$U$1204,"&lt;&gt;Cancelled"))</f>
        <v/>
      </c>
    </row>
    <row r="77">
      <c r="A77" s="81" t="str">
        <f>IF($Q77="","",70)</f>
        <v/>
      </c>
      <c r="B77" s="57" t="str">
        <f>IF($Q77="","",INDEX(TRANSACTIONS_MASTER!$B$5:$B$1204,$Q77))</f>
        <v/>
      </c>
      <c r="C77" s="55" t="str">
        <f>IF($Q77="","",INDEX(TRANSACTIONS_MASTER!$F$5:$F$1204,$Q77))</f>
        <v/>
      </c>
      <c r="D77" s="55" t="str">
        <f>IF($Q77="","",INDEX(TRANSACTIONS_MASTER!$E$5:$E$1204,$Q77))</f>
        <v/>
      </c>
      <c r="E77" s="55" t="str">
        <f>IF($Q77="","",INDEX(TRANSACTIONS_MASTER!$G$5:$G$1204,$Q77)&amp;"")</f>
        <v/>
      </c>
      <c r="F77" s="29" t="str">
        <f>IF($Q77="","",INDEX(TRANSACTIONS_MASTER!$I$5:$I$1204,$Q77))</f>
        <v/>
      </c>
      <c r="G77" s="55" t="str">
        <f>IF($Q77="","",INDEX(TRANSACTIONS_MASTER!$K$5:$K$1204,$Q77))</f>
        <v/>
      </c>
      <c r="H77" s="25" t="str">
        <f>IF($Q77="","",INDEX(TRANSACTIONS_MASTER!$L$5:$L$1204,$Q77))</f>
        <v/>
      </c>
      <c r="I77" s="56" t="str">
        <f>IF($Q77="","",INDEX(TRANSACTIONS_MASTER!$N$5:$N$1204,$Q77))</f>
        <v/>
      </c>
      <c r="J77" s="25" t="str">
        <f>IF($Q77="","",INDEX(TRANSACTIONS_MASTER!$O$5:$O$1204,$Q77))</f>
        <v/>
      </c>
      <c r="K77" s="26" t="str">
        <f>IF($Q77="","",INDEX(TRANSACTIONS_MASTER!$Q$5:$Q$1204,$Q77))</f>
        <v/>
      </c>
      <c r="L77" s="25" t="str">
        <f>IF($Q77="","",INDEX(TRANSACTIONS_MASTER!$P$5:$P$1204,$Q77))</f>
        <v/>
      </c>
      <c r="M77" s="25" t="str">
        <f>IF($Q77="","",INDEX(TRANSACTIONS_MASTER!$AA$5:$AA$1204,$Q77))</f>
        <v/>
      </c>
      <c r="N77" s="25" t="str">
        <f>IF($Q77="","",INDEX(TRANSACTIONS_MASTER!$R$5:$R$1204,$Q77))</f>
        <v/>
      </c>
      <c r="O77" s="28" t="str">
        <f>IF($Q77="","",INDEX(TRANSACTIONS_MASTER!$AB$5:$AB$1204,$Q77))</f>
        <v/>
      </c>
      <c r="P77" s="55" t="str">
        <f>IF($Q77="","",INDEX(TRANSACTIONS_MASTER!$Z$5:$Z$1204,$Q77)&amp;"")</f>
        <v/>
      </c>
      <c r="Q77" s="67" t="str">
        <f>IFERROR(MATCH($C$2&amp;"|"&amp;70,TRANSACTIONS_MASTER!$AE$5:$AE$1204,0),"")</f>
        <v/>
      </c>
      <c r="S77" s="67" t="n">
        <v>16</v>
      </c>
      <c r="T77" s="55" t="str">
        <f>IF(CARDS!$A20="","",CARDS!$A20)</f>
        <v/>
      </c>
      <c r="U77" s="55" t="str">
        <f>IF($T77="","",CARDS!$B20&amp;" "&amp;CARDS!$C20)</f>
        <v/>
      </c>
      <c r="V77" s="25" t="str">
        <f>IF($T77="","",SUMIFS(TRANSACTIONS_MASTER!$L$5:$L$1204,TRANSACTIONS_MASTER!$D$5:$D$1204,$T77,TRANSACTIONS_MASTER!$C$5:$C$1204,$C$2,TRANSACTIONS_MASTER!$U$5:$U$1204,"&lt;&gt;Cancelled"))</f>
        <v/>
      </c>
      <c r="W77" s="26" t="str">
        <f>IF($T77="","",SUMIFS(TRANSACTIONS_MASTER!$Q$5:$Q$1204,TRANSACTIONS_MASTER!$D$5:$D$1204,$T77,TRANSACTIONS_MASTER!$C$5:$C$1204,$C$2))</f>
        <v/>
      </c>
      <c r="X77" s="25" t="str">
        <f>IF($T77="","",IFERROR(IF(ISNUMBER(INDEX(CASHBACK_RULES!$K$5:$K$304,MATCH($T77,CASHBACK_RULES!$B$5:$B$304,0))),INDEX(CASHBACK_RULES!$K$5:$K$304,MATCH($T77,CASHBACK_RULES!$B$5:$B$304,0)),"∞"),"—"))</f>
        <v/>
      </c>
      <c r="Y77" s="25" t="str">
        <f>IF($T77="","",IF($X77="—","—",IF(COUNTIFS($T$8:$T$57,$T77,$Z$8:$Z$57,"∞")&gt;0,IF(ISNUMBER($X77),MAX(0,$X77-$W77),"∞"),IF(ISNUMBER($X77),MAX(0,MIN($X77-$W77,SUMIFS($Z$8:$Z$57,$T$8:$T$57,$T77))),SUMIFS($Z$8:$Z$57,$T$8:$T$57,$T77)))))</f>
        <v/>
      </c>
      <c r="Z77" s="27" t="str">
        <f>IF($T77="","",IF(ISNUMBER($X77),IF($X77=0,0,$W77/$X77),IF(ISNUMBER($Y77),IF($W77+$Y77=0,0,$W77/($W77+$Y77)),"")))</f>
        <v/>
      </c>
      <c r="AA77" s="29" t="str">
        <f>IF($T77="","",COUNTIFS(TRANSACTIONS_MASTER!$D$5:$D$1204,$T77,TRANSACTIONS_MASTER!$C$5:$C$1204,$C$2,TRANSACTIONS_MASTER!$U$5:$U$1204,"&lt;&gt;Cancelled"))</f>
        <v/>
      </c>
    </row>
    <row r="78">
      <c r="A78" s="81" t="str">
        <f>IF($Q78="","",71)</f>
        <v/>
      </c>
      <c r="B78" s="57" t="str">
        <f>IF($Q78="","",INDEX(TRANSACTIONS_MASTER!$B$5:$B$1204,$Q78))</f>
        <v/>
      </c>
      <c r="C78" s="55" t="str">
        <f>IF($Q78="","",INDEX(TRANSACTIONS_MASTER!$F$5:$F$1204,$Q78))</f>
        <v/>
      </c>
      <c r="D78" s="55" t="str">
        <f>IF($Q78="","",INDEX(TRANSACTIONS_MASTER!$E$5:$E$1204,$Q78))</f>
        <v/>
      </c>
      <c r="E78" s="55" t="str">
        <f>IF($Q78="","",INDEX(TRANSACTIONS_MASTER!$G$5:$G$1204,$Q78)&amp;"")</f>
        <v/>
      </c>
      <c r="F78" s="29" t="str">
        <f>IF($Q78="","",INDEX(TRANSACTIONS_MASTER!$I$5:$I$1204,$Q78))</f>
        <v/>
      </c>
      <c r="G78" s="55" t="str">
        <f>IF($Q78="","",INDEX(TRANSACTIONS_MASTER!$K$5:$K$1204,$Q78))</f>
        <v/>
      </c>
      <c r="H78" s="25" t="str">
        <f>IF($Q78="","",INDEX(TRANSACTIONS_MASTER!$L$5:$L$1204,$Q78))</f>
        <v/>
      </c>
      <c r="I78" s="56" t="str">
        <f>IF($Q78="","",INDEX(TRANSACTIONS_MASTER!$N$5:$N$1204,$Q78))</f>
        <v/>
      </c>
      <c r="J78" s="25" t="str">
        <f>IF($Q78="","",INDEX(TRANSACTIONS_MASTER!$O$5:$O$1204,$Q78))</f>
        <v/>
      </c>
      <c r="K78" s="26" t="str">
        <f>IF($Q78="","",INDEX(TRANSACTIONS_MASTER!$Q$5:$Q$1204,$Q78))</f>
        <v/>
      </c>
      <c r="L78" s="25" t="str">
        <f>IF($Q78="","",INDEX(TRANSACTIONS_MASTER!$P$5:$P$1204,$Q78))</f>
        <v/>
      </c>
      <c r="M78" s="25" t="str">
        <f>IF($Q78="","",INDEX(TRANSACTIONS_MASTER!$AA$5:$AA$1204,$Q78))</f>
        <v/>
      </c>
      <c r="N78" s="25" t="str">
        <f>IF($Q78="","",INDEX(TRANSACTIONS_MASTER!$R$5:$R$1204,$Q78))</f>
        <v/>
      </c>
      <c r="O78" s="28" t="str">
        <f>IF($Q78="","",INDEX(TRANSACTIONS_MASTER!$AB$5:$AB$1204,$Q78))</f>
        <v/>
      </c>
      <c r="P78" s="55" t="str">
        <f>IF($Q78="","",INDEX(TRANSACTIONS_MASTER!$Z$5:$Z$1204,$Q78)&amp;"")</f>
        <v/>
      </c>
      <c r="Q78" s="67" t="str">
        <f>IFERROR(MATCH($C$2&amp;"|"&amp;71,TRANSACTIONS_MASTER!$AE$5:$AE$1204,0),"")</f>
        <v/>
      </c>
      <c r="S78" s="67" t="n">
        <v>17</v>
      </c>
      <c r="T78" s="55" t="str">
        <f>IF(CARDS!$A21="","",CARDS!$A21)</f>
        <v/>
      </c>
      <c r="U78" s="55" t="str">
        <f>IF($T78="","",CARDS!$B21&amp;" "&amp;CARDS!$C21)</f>
        <v/>
      </c>
      <c r="V78" s="25" t="str">
        <f>IF($T78="","",SUMIFS(TRANSACTIONS_MASTER!$L$5:$L$1204,TRANSACTIONS_MASTER!$D$5:$D$1204,$T78,TRANSACTIONS_MASTER!$C$5:$C$1204,$C$2,TRANSACTIONS_MASTER!$U$5:$U$1204,"&lt;&gt;Cancelled"))</f>
        <v/>
      </c>
      <c r="W78" s="26" t="str">
        <f>IF($T78="","",SUMIFS(TRANSACTIONS_MASTER!$Q$5:$Q$1204,TRANSACTIONS_MASTER!$D$5:$D$1204,$T78,TRANSACTIONS_MASTER!$C$5:$C$1204,$C$2))</f>
        <v/>
      </c>
      <c r="X78" s="25" t="str">
        <f>IF($T78="","",IFERROR(IF(ISNUMBER(INDEX(CASHBACK_RULES!$K$5:$K$304,MATCH($T78,CASHBACK_RULES!$B$5:$B$304,0))),INDEX(CASHBACK_RULES!$K$5:$K$304,MATCH($T78,CASHBACK_RULES!$B$5:$B$304,0)),"∞"),"—"))</f>
        <v/>
      </c>
      <c r="Y78" s="25" t="str">
        <f>IF($T78="","",IF($X78="—","—",IF(COUNTIFS($T$8:$T$57,$T78,$Z$8:$Z$57,"∞")&gt;0,IF(ISNUMBER($X78),MAX(0,$X78-$W78),"∞"),IF(ISNUMBER($X78),MAX(0,MIN($X78-$W78,SUMIFS($Z$8:$Z$57,$T$8:$T$57,$T78))),SUMIFS($Z$8:$Z$57,$T$8:$T$57,$T78)))))</f>
        <v/>
      </c>
      <c r="Z78" s="27" t="str">
        <f>IF($T78="","",IF(ISNUMBER($X78),IF($X78=0,0,$W78/$X78),IF(ISNUMBER($Y78),IF($W78+$Y78=0,0,$W78/($W78+$Y78)),"")))</f>
        <v/>
      </c>
      <c r="AA78" s="29" t="str">
        <f>IF($T78="","",COUNTIFS(TRANSACTIONS_MASTER!$D$5:$D$1204,$T78,TRANSACTIONS_MASTER!$C$5:$C$1204,$C$2,TRANSACTIONS_MASTER!$U$5:$U$1204,"&lt;&gt;Cancelled"))</f>
        <v/>
      </c>
    </row>
    <row r="79">
      <c r="A79" s="81" t="str">
        <f>IF($Q79="","",72)</f>
        <v/>
      </c>
      <c r="B79" s="57" t="str">
        <f>IF($Q79="","",INDEX(TRANSACTIONS_MASTER!$B$5:$B$1204,$Q79))</f>
        <v/>
      </c>
      <c r="C79" s="55" t="str">
        <f>IF($Q79="","",INDEX(TRANSACTIONS_MASTER!$F$5:$F$1204,$Q79))</f>
        <v/>
      </c>
      <c r="D79" s="55" t="str">
        <f>IF($Q79="","",INDEX(TRANSACTIONS_MASTER!$E$5:$E$1204,$Q79))</f>
        <v/>
      </c>
      <c r="E79" s="55" t="str">
        <f>IF($Q79="","",INDEX(TRANSACTIONS_MASTER!$G$5:$G$1204,$Q79)&amp;"")</f>
        <v/>
      </c>
      <c r="F79" s="29" t="str">
        <f>IF($Q79="","",INDEX(TRANSACTIONS_MASTER!$I$5:$I$1204,$Q79))</f>
        <v/>
      </c>
      <c r="G79" s="55" t="str">
        <f>IF($Q79="","",INDEX(TRANSACTIONS_MASTER!$K$5:$K$1204,$Q79))</f>
        <v/>
      </c>
      <c r="H79" s="25" t="str">
        <f>IF($Q79="","",INDEX(TRANSACTIONS_MASTER!$L$5:$L$1204,$Q79))</f>
        <v/>
      </c>
      <c r="I79" s="56" t="str">
        <f>IF($Q79="","",INDEX(TRANSACTIONS_MASTER!$N$5:$N$1204,$Q79))</f>
        <v/>
      </c>
      <c r="J79" s="25" t="str">
        <f>IF($Q79="","",INDEX(TRANSACTIONS_MASTER!$O$5:$O$1204,$Q79))</f>
        <v/>
      </c>
      <c r="K79" s="26" t="str">
        <f>IF($Q79="","",INDEX(TRANSACTIONS_MASTER!$Q$5:$Q$1204,$Q79))</f>
        <v/>
      </c>
      <c r="L79" s="25" t="str">
        <f>IF($Q79="","",INDEX(TRANSACTIONS_MASTER!$P$5:$P$1204,$Q79))</f>
        <v/>
      </c>
      <c r="M79" s="25" t="str">
        <f>IF($Q79="","",INDEX(TRANSACTIONS_MASTER!$AA$5:$AA$1204,$Q79))</f>
        <v/>
      </c>
      <c r="N79" s="25" t="str">
        <f>IF($Q79="","",INDEX(TRANSACTIONS_MASTER!$R$5:$R$1204,$Q79))</f>
        <v/>
      </c>
      <c r="O79" s="28" t="str">
        <f>IF($Q79="","",INDEX(TRANSACTIONS_MASTER!$AB$5:$AB$1204,$Q79))</f>
        <v/>
      </c>
      <c r="P79" s="55" t="str">
        <f>IF($Q79="","",INDEX(TRANSACTIONS_MASTER!$Z$5:$Z$1204,$Q79)&amp;"")</f>
        <v/>
      </c>
      <c r="Q79" s="67" t="str">
        <f>IFERROR(MATCH($C$2&amp;"|"&amp;72,TRANSACTIONS_MASTER!$AE$5:$AE$1204,0),"")</f>
        <v/>
      </c>
      <c r="S79" s="67" t="n">
        <v>18</v>
      </c>
      <c r="T79" s="55" t="str">
        <f>IF(CARDS!$A22="","",CARDS!$A22)</f>
        <v/>
      </c>
      <c r="U79" s="55" t="str">
        <f>IF($T79="","",CARDS!$B22&amp;" "&amp;CARDS!$C22)</f>
        <v/>
      </c>
      <c r="V79" s="25" t="str">
        <f>IF($T79="","",SUMIFS(TRANSACTIONS_MASTER!$L$5:$L$1204,TRANSACTIONS_MASTER!$D$5:$D$1204,$T79,TRANSACTIONS_MASTER!$C$5:$C$1204,$C$2,TRANSACTIONS_MASTER!$U$5:$U$1204,"&lt;&gt;Cancelled"))</f>
        <v/>
      </c>
      <c r="W79" s="26" t="str">
        <f>IF($T79="","",SUMIFS(TRANSACTIONS_MASTER!$Q$5:$Q$1204,TRANSACTIONS_MASTER!$D$5:$D$1204,$T79,TRANSACTIONS_MASTER!$C$5:$C$1204,$C$2))</f>
        <v/>
      </c>
      <c r="X79" s="25" t="str">
        <f>IF($T79="","",IFERROR(IF(ISNUMBER(INDEX(CASHBACK_RULES!$K$5:$K$304,MATCH($T79,CASHBACK_RULES!$B$5:$B$304,0))),INDEX(CASHBACK_RULES!$K$5:$K$304,MATCH($T79,CASHBACK_RULES!$B$5:$B$304,0)),"∞"),"—"))</f>
        <v/>
      </c>
      <c r="Y79" s="25" t="str">
        <f>IF($T79="","",IF($X79="—","—",IF(COUNTIFS($T$8:$T$57,$T79,$Z$8:$Z$57,"∞")&gt;0,IF(ISNUMBER($X79),MAX(0,$X79-$W79),"∞"),IF(ISNUMBER($X79),MAX(0,MIN($X79-$W79,SUMIFS($Z$8:$Z$57,$T$8:$T$57,$T79))),SUMIFS($Z$8:$Z$57,$T$8:$T$57,$T79)))))</f>
        <v/>
      </c>
      <c r="Z79" s="27" t="str">
        <f>IF($T79="","",IF(ISNUMBER($X79),IF($X79=0,0,$W79/$X79),IF(ISNUMBER($Y79),IF($W79+$Y79=0,0,$W79/($W79+$Y79)),"")))</f>
        <v/>
      </c>
      <c r="AA79" s="29" t="str">
        <f>IF($T79="","",COUNTIFS(TRANSACTIONS_MASTER!$D$5:$D$1204,$T79,TRANSACTIONS_MASTER!$C$5:$C$1204,$C$2,TRANSACTIONS_MASTER!$U$5:$U$1204,"&lt;&gt;Cancelled"))</f>
        <v/>
      </c>
    </row>
    <row r="80">
      <c r="A80" s="81" t="str">
        <f>IF($Q80="","",73)</f>
        <v/>
      </c>
      <c r="B80" s="57" t="str">
        <f>IF($Q80="","",INDEX(TRANSACTIONS_MASTER!$B$5:$B$1204,$Q80))</f>
        <v/>
      </c>
      <c r="C80" s="55" t="str">
        <f>IF($Q80="","",INDEX(TRANSACTIONS_MASTER!$F$5:$F$1204,$Q80))</f>
        <v/>
      </c>
      <c r="D80" s="55" t="str">
        <f>IF($Q80="","",INDEX(TRANSACTIONS_MASTER!$E$5:$E$1204,$Q80))</f>
        <v/>
      </c>
      <c r="E80" s="55" t="str">
        <f>IF($Q80="","",INDEX(TRANSACTIONS_MASTER!$G$5:$G$1204,$Q80)&amp;"")</f>
        <v/>
      </c>
      <c r="F80" s="29" t="str">
        <f>IF($Q80="","",INDEX(TRANSACTIONS_MASTER!$I$5:$I$1204,$Q80))</f>
        <v/>
      </c>
      <c r="G80" s="55" t="str">
        <f>IF($Q80="","",INDEX(TRANSACTIONS_MASTER!$K$5:$K$1204,$Q80))</f>
        <v/>
      </c>
      <c r="H80" s="25" t="str">
        <f>IF($Q80="","",INDEX(TRANSACTIONS_MASTER!$L$5:$L$1204,$Q80))</f>
        <v/>
      </c>
      <c r="I80" s="56" t="str">
        <f>IF($Q80="","",INDEX(TRANSACTIONS_MASTER!$N$5:$N$1204,$Q80))</f>
        <v/>
      </c>
      <c r="J80" s="25" t="str">
        <f>IF($Q80="","",INDEX(TRANSACTIONS_MASTER!$O$5:$O$1204,$Q80))</f>
        <v/>
      </c>
      <c r="K80" s="26" t="str">
        <f>IF($Q80="","",INDEX(TRANSACTIONS_MASTER!$Q$5:$Q$1204,$Q80))</f>
        <v/>
      </c>
      <c r="L80" s="25" t="str">
        <f>IF($Q80="","",INDEX(TRANSACTIONS_MASTER!$P$5:$P$1204,$Q80))</f>
        <v/>
      </c>
      <c r="M80" s="25" t="str">
        <f>IF($Q80="","",INDEX(TRANSACTIONS_MASTER!$AA$5:$AA$1204,$Q80))</f>
        <v/>
      </c>
      <c r="N80" s="25" t="str">
        <f>IF($Q80="","",INDEX(TRANSACTIONS_MASTER!$R$5:$R$1204,$Q80))</f>
        <v/>
      </c>
      <c r="O80" s="28" t="str">
        <f>IF($Q80="","",INDEX(TRANSACTIONS_MASTER!$AB$5:$AB$1204,$Q80))</f>
        <v/>
      </c>
      <c r="P80" s="55" t="str">
        <f>IF($Q80="","",INDEX(TRANSACTIONS_MASTER!$Z$5:$Z$1204,$Q80)&amp;"")</f>
        <v/>
      </c>
      <c r="Q80" s="67" t="str">
        <f>IFERROR(MATCH($C$2&amp;"|"&amp;73,TRANSACTIONS_MASTER!$AE$5:$AE$1204,0),"")</f>
        <v/>
      </c>
      <c r="S80" s="67" t="n">
        <v>19</v>
      </c>
      <c r="T80" s="55" t="str">
        <f>IF(CARDS!$A23="","",CARDS!$A23)</f>
        <v/>
      </c>
      <c r="U80" s="55" t="str">
        <f>IF($T80="","",CARDS!$B23&amp;" "&amp;CARDS!$C23)</f>
        <v/>
      </c>
      <c r="V80" s="25" t="str">
        <f>IF($T80="","",SUMIFS(TRANSACTIONS_MASTER!$L$5:$L$1204,TRANSACTIONS_MASTER!$D$5:$D$1204,$T80,TRANSACTIONS_MASTER!$C$5:$C$1204,$C$2,TRANSACTIONS_MASTER!$U$5:$U$1204,"&lt;&gt;Cancelled"))</f>
        <v/>
      </c>
      <c r="W80" s="26" t="str">
        <f>IF($T80="","",SUMIFS(TRANSACTIONS_MASTER!$Q$5:$Q$1204,TRANSACTIONS_MASTER!$D$5:$D$1204,$T80,TRANSACTIONS_MASTER!$C$5:$C$1204,$C$2))</f>
        <v/>
      </c>
      <c r="X80" s="25" t="str">
        <f>IF($T80="","",IFERROR(IF(ISNUMBER(INDEX(CASHBACK_RULES!$K$5:$K$304,MATCH($T80,CASHBACK_RULES!$B$5:$B$304,0))),INDEX(CASHBACK_RULES!$K$5:$K$304,MATCH($T80,CASHBACK_RULES!$B$5:$B$304,0)),"∞"),"—"))</f>
        <v/>
      </c>
      <c r="Y80" s="25" t="str">
        <f>IF($T80="","",IF($X80="—","—",IF(COUNTIFS($T$8:$T$57,$T80,$Z$8:$Z$57,"∞")&gt;0,IF(ISNUMBER($X80),MAX(0,$X80-$W80),"∞"),IF(ISNUMBER($X80),MAX(0,MIN($X80-$W80,SUMIFS($Z$8:$Z$57,$T$8:$T$57,$T80))),SUMIFS($Z$8:$Z$57,$T$8:$T$57,$T80)))))</f>
        <v/>
      </c>
      <c r="Z80" s="27" t="str">
        <f>IF($T80="","",IF(ISNUMBER($X80),IF($X80=0,0,$W80/$X80),IF(ISNUMBER($Y80),IF($W80+$Y80=0,0,$W80/($W80+$Y80)),"")))</f>
        <v/>
      </c>
      <c r="AA80" s="29" t="str">
        <f>IF($T80="","",COUNTIFS(TRANSACTIONS_MASTER!$D$5:$D$1204,$T80,TRANSACTIONS_MASTER!$C$5:$C$1204,$C$2,TRANSACTIONS_MASTER!$U$5:$U$1204,"&lt;&gt;Cancelled"))</f>
        <v/>
      </c>
    </row>
    <row r="81">
      <c r="A81" s="81" t="str">
        <f>IF($Q81="","",74)</f>
        <v/>
      </c>
      <c r="B81" s="57" t="str">
        <f>IF($Q81="","",INDEX(TRANSACTIONS_MASTER!$B$5:$B$1204,$Q81))</f>
        <v/>
      </c>
      <c r="C81" s="55" t="str">
        <f>IF($Q81="","",INDEX(TRANSACTIONS_MASTER!$F$5:$F$1204,$Q81))</f>
        <v/>
      </c>
      <c r="D81" s="55" t="str">
        <f>IF($Q81="","",INDEX(TRANSACTIONS_MASTER!$E$5:$E$1204,$Q81))</f>
        <v/>
      </c>
      <c r="E81" s="55" t="str">
        <f>IF($Q81="","",INDEX(TRANSACTIONS_MASTER!$G$5:$G$1204,$Q81)&amp;"")</f>
        <v/>
      </c>
      <c r="F81" s="29" t="str">
        <f>IF($Q81="","",INDEX(TRANSACTIONS_MASTER!$I$5:$I$1204,$Q81))</f>
        <v/>
      </c>
      <c r="G81" s="55" t="str">
        <f>IF($Q81="","",INDEX(TRANSACTIONS_MASTER!$K$5:$K$1204,$Q81))</f>
        <v/>
      </c>
      <c r="H81" s="25" t="str">
        <f>IF($Q81="","",INDEX(TRANSACTIONS_MASTER!$L$5:$L$1204,$Q81))</f>
        <v/>
      </c>
      <c r="I81" s="56" t="str">
        <f>IF($Q81="","",INDEX(TRANSACTIONS_MASTER!$N$5:$N$1204,$Q81))</f>
        <v/>
      </c>
      <c r="J81" s="25" t="str">
        <f>IF($Q81="","",INDEX(TRANSACTIONS_MASTER!$O$5:$O$1204,$Q81))</f>
        <v/>
      </c>
      <c r="K81" s="26" t="str">
        <f>IF($Q81="","",INDEX(TRANSACTIONS_MASTER!$Q$5:$Q$1204,$Q81))</f>
        <v/>
      </c>
      <c r="L81" s="25" t="str">
        <f>IF($Q81="","",INDEX(TRANSACTIONS_MASTER!$P$5:$P$1204,$Q81))</f>
        <v/>
      </c>
      <c r="M81" s="25" t="str">
        <f>IF($Q81="","",INDEX(TRANSACTIONS_MASTER!$AA$5:$AA$1204,$Q81))</f>
        <v/>
      </c>
      <c r="N81" s="25" t="str">
        <f>IF($Q81="","",INDEX(TRANSACTIONS_MASTER!$R$5:$R$1204,$Q81))</f>
        <v/>
      </c>
      <c r="O81" s="28" t="str">
        <f>IF($Q81="","",INDEX(TRANSACTIONS_MASTER!$AB$5:$AB$1204,$Q81))</f>
        <v/>
      </c>
      <c r="P81" s="55" t="str">
        <f>IF($Q81="","",INDEX(TRANSACTIONS_MASTER!$Z$5:$Z$1204,$Q81)&amp;"")</f>
        <v/>
      </c>
      <c r="Q81" s="67" t="str">
        <f>IFERROR(MATCH($C$2&amp;"|"&amp;74,TRANSACTIONS_MASTER!$AE$5:$AE$1204,0),"")</f>
        <v/>
      </c>
      <c r="S81" s="67" t="n">
        <v>20</v>
      </c>
      <c r="T81" s="55" t="str">
        <f>IF(CARDS!$A24="","",CARDS!$A24)</f>
        <v/>
      </c>
      <c r="U81" s="55" t="str">
        <f>IF($T81="","",CARDS!$B24&amp;" "&amp;CARDS!$C24)</f>
        <v/>
      </c>
      <c r="V81" s="25" t="str">
        <f>IF($T81="","",SUMIFS(TRANSACTIONS_MASTER!$L$5:$L$1204,TRANSACTIONS_MASTER!$D$5:$D$1204,$T81,TRANSACTIONS_MASTER!$C$5:$C$1204,$C$2,TRANSACTIONS_MASTER!$U$5:$U$1204,"&lt;&gt;Cancelled"))</f>
        <v/>
      </c>
      <c r="W81" s="26" t="str">
        <f>IF($T81="","",SUMIFS(TRANSACTIONS_MASTER!$Q$5:$Q$1204,TRANSACTIONS_MASTER!$D$5:$D$1204,$T81,TRANSACTIONS_MASTER!$C$5:$C$1204,$C$2))</f>
        <v/>
      </c>
      <c r="X81" s="25" t="str">
        <f>IF($T81="","",IFERROR(IF(ISNUMBER(INDEX(CASHBACK_RULES!$K$5:$K$304,MATCH($T81,CASHBACK_RULES!$B$5:$B$304,0))),INDEX(CASHBACK_RULES!$K$5:$K$304,MATCH($T81,CASHBACK_RULES!$B$5:$B$304,0)),"∞"),"—"))</f>
        <v/>
      </c>
      <c r="Y81" s="25" t="str">
        <f>IF($T81="","",IF($X81="—","—",IF(COUNTIFS($T$8:$T$57,$T81,$Z$8:$Z$57,"∞")&gt;0,IF(ISNUMBER($X81),MAX(0,$X81-$W81),"∞"),IF(ISNUMBER($X81),MAX(0,MIN($X81-$W81,SUMIFS($Z$8:$Z$57,$T$8:$T$57,$T81))),SUMIFS($Z$8:$Z$57,$T$8:$T$57,$T81)))))</f>
        <v/>
      </c>
      <c r="Z81" s="27" t="str">
        <f>IF($T81="","",IF(ISNUMBER($X81),IF($X81=0,0,$W81/$X81),IF(ISNUMBER($Y81),IF($W81+$Y81=0,0,$W81/($W81+$Y81)),"")))</f>
        <v/>
      </c>
      <c r="AA81" s="29" t="str">
        <f>IF($T81="","",COUNTIFS(TRANSACTIONS_MASTER!$D$5:$D$1204,$T81,TRANSACTIONS_MASTER!$C$5:$C$1204,$C$2,TRANSACTIONS_MASTER!$U$5:$U$1204,"&lt;&gt;Cancelled"))</f>
        <v/>
      </c>
    </row>
    <row r="82">
      <c r="A82" s="81" t="str">
        <f>IF($Q82="","",75)</f>
        <v/>
      </c>
      <c r="B82" s="57" t="str">
        <f>IF($Q82="","",INDEX(TRANSACTIONS_MASTER!$B$5:$B$1204,$Q82))</f>
        <v/>
      </c>
      <c r="C82" s="55" t="str">
        <f>IF($Q82="","",INDEX(TRANSACTIONS_MASTER!$F$5:$F$1204,$Q82))</f>
        <v/>
      </c>
      <c r="D82" s="55" t="str">
        <f>IF($Q82="","",INDEX(TRANSACTIONS_MASTER!$E$5:$E$1204,$Q82))</f>
        <v/>
      </c>
      <c r="E82" s="55" t="str">
        <f>IF($Q82="","",INDEX(TRANSACTIONS_MASTER!$G$5:$G$1204,$Q82)&amp;"")</f>
        <v/>
      </c>
      <c r="F82" s="29" t="str">
        <f>IF($Q82="","",INDEX(TRANSACTIONS_MASTER!$I$5:$I$1204,$Q82))</f>
        <v/>
      </c>
      <c r="G82" s="55" t="str">
        <f>IF($Q82="","",INDEX(TRANSACTIONS_MASTER!$K$5:$K$1204,$Q82))</f>
        <v/>
      </c>
      <c r="H82" s="25" t="str">
        <f>IF($Q82="","",INDEX(TRANSACTIONS_MASTER!$L$5:$L$1204,$Q82))</f>
        <v/>
      </c>
      <c r="I82" s="56" t="str">
        <f>IF($Q82="","",INDEX(TRANSACTIONS_MASTER!$N$5:$N$1204,$Q82))</f>
        <v/>
      </c>
      <c r="J82" s="25" t="str">
        <f>IF($Q82="","",INDEX(TRANSACTIONS_MASTER!$O$5:$O$1204,$Q82))</f>
        <v/>
      </c>
      <c r="K82" s="26" t="str">
        <f>IF($Q82="","",INDEX(TRANSACTIONS_MASTER!$Q$5:$Q$1204,$Q82))</f>
        <v/>
      </c>
      <c r="L82" s="25" t="str">
        <f>IF($Q82="","",INDEX(TRANSACTIONS_MASTER!$P$5:$P$1204,$Q82))</f>
        <v/>
      </c>
      <c r="M82" s="25" t="str">
        <f>IF($Q82="","",INDEX(TRANSACTIONS_MASTER!$AA$5:$AA$1204,$Q82))</f>
        <v/>
      </c>
      <c r="N82" s="25" t="str">
        <f>IF($Q82="","",INDEX(TRANSACTIONS_MASTER!$R$5:$R$1204,$Q82))</f>
        <v/>
      </c>
      <c r="O82" s="28" t="str">
        <f>IF($Q82="","",INDEX(TRANSACTIONS_MASTER!$AB$5:$AB$1204,$Q82))</f>
        <v/>
      </c>
      <c r="P82" s="55" t="str">
        <f>IF($Q82="","",INDEX(TRANSACTIONS_MASTER!$Z$5:$Z$1204,$Q82)&amp;"")</f>
        <v/>
      </c>
      <c r="Q82" s="67" t="str">
        <f>IFERROR(MATCH($C$2&amp;"|"&amp;75,TRANSACTIONS_MASTER!$AE$5:$AE$1204,0),"")</f>
        <v/>
      </c>
      <c r="S82" s="67" t="n">
        <v>21</v>
      </c>
      <c r="T82" s="55" t="str">
        <f>IF(CARDS!$A25="","",CARDS!$A25)</f>
        <v/>
      </c>
      <c r="U82" s="55" t="str">
        <f>IF($T82="","",CARDS!$B25&amp;" "&amp;CARDS!$C25)</f>
        <v/>
      </c>
      <c r="V82" s="25" t="str">
        <f>IF($T82="","",SUMIFS(TRANSACTIONS_MASTER!$L$5:$L$1204,TRANSACTIONS_MASTER!$D$5:$D$1204,$T82,TRANSACTIONS_MASTER!$C$5:$C$1204,$C$2,TRANSACTIONS_MASTER!$U$5:$U$1204,"&lt;&gt;Cancelled"))</f>
        <v/>
      </c>
      <c r="W82" s="26" t="str">
        <f>IF($T82="","",SUMIFS(TRANSACTIONS_MASTER!$Q$5:$Q$1204,TRANSACTIONS_MASTER!$D$5:$D$1204,$T82,TRANSACTIONS_MASTER!$C$5:$C$1204,$C$2))</f>
        <v/>
      </c>
      <c r="X82" s="25" t="str">
        <f>IF($T82="","",IFERROR(IF(ISNUMBER(INDEX(CASHBACK_RULES!$K$5:$K$304,MATCH($T82,CASHBACK_RULES!$B$5:$B$304,0))),INDEX(CASHBACK_RULES!$K$5:$K$304,MATCH($T82,CASHBACK_RULES!$B$5:$B$304,0)),"∞"),"—"))</f>
        <v/>
      </c>
      <c r="Y82" s="25" t="str">
        <f>IF($T82="","",IF($X82="—","—",IF(COUNTIFS($T$8:$T$57,$T82,$Z$8:$Z$57,"∞")&gt;0,IF(ISNUMBER($X82),MAX(0,$X82-$W82),"∞"),IF(ISNUMBER($X82),MAX(0,MIN($X82-$W82,SUMIFS($Z$8:$Z$57,$T$8:$T$57,$T82))),SUMIFS($Z$8:$Z$57,$T$8:$T$57,$T82)))))</f>
        <v/>
      </c>
      <c r="Z82" s="27" t="str">
        <f>IF($T82="","",IF(ISNUMBER($X82),IF($X82=0,0,$W82/$X82),IF(ISNUMBER($Y82),IF($W82+$Y82=0,0,$W82/($W82+$Y82)),"")))</f>
        <v/>
      </c>
      <c r="AA82" s="29" t="str">
        <f>IF($T82="","",COUNTIFS(TRANSACTIONS_MASTER!$D$5:$D$1204,$T82,TRANSACTIONS_MASTER!$C$5:$C$1204,$C$2,TRANSACTIONS_MASTER!$U$5:$U$1204,"&lt;&gt;Cancelled"))</f>
        <v/>
      </c>
    </row>
    <row r="83">
      <c r="A83" s="81" t="str">
        <f>IF($Q83="","",76)</f>
        <v/>
      </c>
      <c r="B83" s="57" t="str">
        <f>IF($Q83="","",INDEX(TRANSACTIONS_MASTER!$B$5:$B$1204,$Q83))</f>
        <v/>
      </c>
      <c r="C83" s="55" t="str">
        <f>IF($Q83="","",INDEX(TRANSACTIONS_MASTER!$F$5:$F$1204,$Q83))</f>
        <v/>
      </c>
      <c r="D83" s="55" t="str">
        <f>IF($Q83="","",INDEX(TRANSACTIONS_MASTER!$E$5:$E$1204,$Q83))</f>
        <v/>
      </c>
      <c r="E83" s="55" t="str">
        <f>IF($Q83="","",INDEX(TRANSACTIONS_MASTER!$G$5:$G$1204,$Q83)&amp;"")</f>
        <v/>
      </c>
      <c r="F83" s="29" t="str">
        <f>IF($Q83="","",INDEX(TRANSACTIONS_MASTER!$I$5:$I$1204,$Q83))</f>
        <v/>
      </c>
      <c r="G83" s="55" t="str">
        <f>IF($Q83="","",INDEX(TRANSACTIONS_MASTER!$K$5:$K$1204,$Q83))</f>
        <v/>
      </c>
      <c r="H83" s="25" t="str">
        <f>IF($Q83="","",INDEX(TRANSACTIONS_MASTER!$L$5:$L$1204,$Q83))</f>
        <v/>
      </c>
      <c r="I83" s="56" t="str">
        <f>IF($Q83="","",INDEX(TRANSACTIONS_MASTER!$N$5:$N$1204,$Q83))</f>
        <v/>
      </c>
      <c r="J83" s="25" t="str">
        <f>IF($Q83="","",INDEX(TRANSACTIONS_MASTER!$O$5:$O$1204,$Q83))</f>
        <v/>
      </c>
      <c r="K83" s="26" t="str">
        <f>IF($Q83="","",INDEX(TRANSACTIONS_MASTER!$Q$5:$Q$1204,$Q83))</f>
        <v/>
      </c>
      <c r="L83" s="25" t="str">
        <f>IF($Q83="","",INDEX(TRANSACTIONS_MASTER!$P$5:$P$1204,$Q83))</f>
        <v/>
      </c>
      <c r="M83" s="25" t="str">
        <f>IF($Q83="","",INDEX(TRANSACTIONS_MASTER!$AA$5:$AA$1204,$Q83))</f>
        <v/>
      </c>
      <c r="N83" s="25" t="str">
        <f>IF($Q83="","",INDEX(TRANSACTIONS_MASTER!$R$5:$R$1204,$Q83))</f>
        <v/>
      </c>
      <c r="O83" s="28" t="str">
        <f>IF($Q83="","",INDEX(TRANSACTIONS_MASTER!$AB$5:$AB$1204,$Q83))</f>
        <v/>
      </c>
      <c r="P83" s="55" t="str">
        <f>IF($Q83="","",INDEX(TRANSACTIONS_MASTER!$Z$5:$Z$1204,$Q83)&amp;"")</f>
        <v/>
      </c>
      <c r="Q83" s="67" t="str">
        <f>IFERROR(MATCH($C$2&amp;"|"&amp;76,TRANSACTIONS_MASTER!$AE$5:$AE$1204,0),"")</f>
        <v/>
      </c>
      <c r="S83" s="67" t="n">
        <v>22</v>
      </c>
      <c r="T83" s="55" t="str">
        <f>IF(CARDS!$A26="","",CARDS!$A26)</f>
        <v/>
      </c>
      <c r="U83" s="55" t="str">
        <f>IF($T83="","",CARDS!$B26&amp;" "&amp;CARDS!$C26)</f>
        <v/>
      </c>
      <c r="V83" s="25" t="str">
        <f>IF($T83="","",SUMIFS(TRANSACTIONS_MASTER!$L$5:$L$1204,TRANSACTIONS_MASTER!$D$5:$D$1204,$T83,TRANSACTIONS_MASTER!$C$5:$C$1204,$C$2,TRANSACTIONS_MASTER!$U$5:$U$1204,"&lt;&gt;Cancelled"))</f>
        <v/>
      </c>
      <c r="W83" s="26" t="str">
        <f>IF($T83="","",SUMIFS(TRANSACTIONS_MASTER!$Q$5:$Q$1204,TRANSACTIONS_MASTER!$D$5:$D$1204,$T83,TRANSACTIONS_MASTER!$C$5:$C$1204,$C$2))</f>
        <v/>
      </c>
      <c r="X83" s="25" t="str">
        <f>IF($T83="","",IFERROR(IF(ISNUMBER(INDEX(CASHBACK_RULES!$K$5:$K$304,MATCH($T83,CASHBACK_RULES!$B$5:$B$304,0))),INDEX(CASHBACK_RULES!$K$5:$K$304,MATCH($T83,CASHBACK_RULES!$B$5:$B$304,0)),"∞"),"—"))</f>
        <v/>
      </c>
      <c r="Y83" s="25" t="str">
        <f>IF($T83="","",IF($X83="—","—",IF(COUNTIFS($T$8:$T$57,$T83,$Z$8:$Z$57,"∞")&gt;0,IF(ISNUMBER($X83),MAX(0,$X83-$W83),"∞"),IF(ISNUMBER($X83),MAX(0,MIN($X83-$W83,SUMIFS($Z$8:$Z$57,$T$8:$T$57,$T83))),SUMIFS($Z$8:$Z$57,$T$8:$T$57,$T83)))))</f>
        <v/>
      </c>
      <c r="Z83" s="27" t="str">
        <f>IF($T83="","",IF(ISNUMBER($X83),IF($X83=0,0,$W83/$X83),IF(ISNUMBER($Y83),IF($W83+$Y83=0,0,$W83/($W83+$Y83)),"")))</f>
        <v/>
      </c>
      <c r="AA83" s="29" t="str">
        <f>IF($T83="","",COUNTIFS(TRANSACTIONS_MASTER!$D$5:$D$1204,$T83,TRANSACTIONS_MASTER!$C$5:$C$1204,$C$2,TRANSACTIONS_MASTER!$U$5:$U$1204,"&lt;&gt;Cancelled"))</f>
        <v/>
      </c>
    </row>
    <row r="84">
      <c r="A84" s="81" t="str">
        <f>IF($Q84="","",77)</f>
        <v/>
      </c>
      <c r="B84" s="57" t="str">
        <f>IF($Q84="","",INDEX(TRANSACTIONS_MASTER!$B$5:$B$1204,$Q84))</f>
        <v/>
      </c>
      <c r="C84" s="55" t="str">
        <f>IF($Q84="","",INDEX(TRANSACTIONS_MASTER!$F$5:$F$1204,$Q84))</f>
        <v/>
      </c>
      <c r="D84" s="55" t="str">
        <f>IF($Q84="","",INDEX(TRANSACTIONS_MASTER!$E$5:$E$1204,$Q84))</f>
        <v/>
      </c>
      <c r="E84" s="55" t="str">
        <f>IF($Q84="","",INDEX(TRANSACTIONS_MASTER!$G$5:$G$1204,$Q84)&amp;"")</f>
        <v/>
      </c>
      <c r="F84" s="29" t="str">
        <f>IF($Q84="","",INDEX(TRANSACTIONS_MASTER!$I$5:$I$1204,$Q84))</f>
        <v/>
      </c>
      <c r="G84" s="55" t="str">
        <f>IF($Q84="","",INDEX(TRANSACTIONS_MASTER!$K$5:$K$1204,$Q84))</f>
        <v/>
      </c>
      <c r="H84" s="25" t="str">
        <f>IF($Q84="","",INDEX(TRANSACTIONS_MASTER!$L$5:$L$1204,$Q84))</f>
        <v/>
      </c>
      <c r="I84" s="56" t="str">
        <f>IF($Q84="","",INDEX(TRANSACTIONS_MASTER!$N$5:$N$1204,$Q84))</f>
        <v/>
      </c>
      <c r="J84" s="25" t="str">
        <f>IF($Q84="","",INDEX(TRANSACTIONS_MASTER!$O$5:$O$1204,$Q84))</f>
        <v/>
      </c>
      <c r="K84" s="26" t="str">
        <f>IF($Q84="","",INDEX(TRANSACTIONS_MASTER!$Q$5:$Q$1204,$Q84))</f>
        <v/>
      </c>
      <c r="L84" s="25" t="str">
        <f>IF($Q84="","",INDEX(TRANSACTIONS_MASTER!$P$5:$P$1204,$Q84))</f>
        <v/>
      </c>
      <c r="M84" s="25" t="str">
        <f>IF($Q84="","",INDEX(TRANSACTIONS_MASTER!$AA$5:$AA$1204,$Q84))</f>
        <v/>
      </c>
      <c r="N84" s="25" t="str">
        <f>IF($Q84="","",INDEX(TRANSACTIONS_MASTER!$R$5:$R$1204,$Q84))</f>
        <v/>
      </c>
      <c r="O84" s="28" t="str">
        <f>IF($Q84="","",INDEX(TRANSACTIONS_MASTER!$AB$5:$AB$1204,$Q84))</f>
        <v/>
      </c>
      <c r="P84" s="55" t="str">
        <f>IF($Q84="","",INDEX(TRANSACTIONS_MASTER!$Z$5:$Z$1204,$Q84)&amp;"")</f>
        <v/>
      </c>
      <c r="Q84" s="67" t="str">
        <f>IFERROR(MATCH($C$2&amp;"|"&amp;77,TRANSACTIONS_MASTER!$AE$5:$AE$1204,0),"")</f>
        <v/>
      </c>
      <c r="S84" s="67" t="n">
        <v>23</v>
      </c>
      <c r="T84" s="55" t="str">
        <f>IF(CARDS!$A27="","",CARDS!$A27)</f>
        <v/>
      </c>
      <c r="U84" s="55" t="str">
        <f>IF($T84="","",CARDS!$B27&amp;" "&amp;CARDS!$C27)</f>
        <v/>
      </c>
      <c r="V84" s="25" t="str">
        <f>IF($T84="","",SUMIFS(TRANSACTIONS_MASTER!$L$5:$L$1204,TRANSACTIONS_MASTER!$D$5:$D$1204,$T84,TRANSACTIONS_MASTER!$C$5:$C$1204,$C$2,TRANSACTIONS_MASTER!$U$5:$U$1204,"&lt;&gt;Cancelled"))</f>
        <v/>
      </c>
      <c r="W84" s="26" t="str">
        <f>IF($T84="","",SUMIFS(TRANSACTIONS_MASTER!$Q$5:$Q$1204,TRANSACTIONS_MASTER!$D$5:$D$1204,$T84,TRANSACTIONS_MASTER!$C$5:$C$1204,$C$2))</f>
        <v/>
      </c>
      <c r="X84" s="25" t="str">
        <f>IF($T84="","",IFERROR(IF(ISNUMBER(INDEX(CASHBACK_RULES!$K$5:$K$304,MATCH($T84,CASHBACK_RULES!$B$5:$B$304,0))),INDEX(CASHBACK_RULES!$K$5:$K$304,MATCH($T84,CASHBACK_RULES!$B$5:$B$304,0)),"∞"),"—"))</f>
        <v/>
      </c>
      <c r="Y84" s="25" t="str">
        <f>IF($T84="","",IF($X84="—","—",IF(COUNTIFS($T$8:$T$57,$T84,$Z$8:$Z$57,"∞")&gt;0,IF(ISNUMBER($X84),MAX(0,$X84-$W84),"∞"),IF(ISNUMBER($X84),MAX(0,MIN($X84-$W84,SUMIFS($Z$8:$Z$57,$T$8:$T$57,$T84))),SUMIFS($Z$8:$Z$57,$T$8:$T$57,$T84)))))</f>
        <v/>
      </c>
      <c r="Z84" s="27" t="str">
        <f>IF($T84="","",IF(ISNUMBER($X84),IF($X84=0,0,$W84/$X84),IF(ISNUMBER($Y84),IF($W84+$Y84=0,0,$W84/($W84+$Y84)),"")))</f>
        <v/>
      </c>
      <c r="AA84" s="29" t="str">
        <f>IF($T84="","",COUNTIFS(TRANSACTIONS_MASTER!$D$5:$D$1204,$T84,TRANSACTIONS_MASTER!$C$5:$C$1204,$C$2,TRANSACTIONS_MASTER!$U$5:$U$1204,"&lt;&gt;Cancelled"))</f>
        <v/>
      </c>
    </row>
    <row r="85">
      <c r="A85" s="81" t="str">
        <f>IF($Q85="","",78)</f>
        <v/>
      </c>
      <c r="B85" s="57" t="str">
        <f>IF($Q85="","",INDEX(TRANSACTIONS_MASTER!$B$5:$B$1204,$Q85))</f>
        <v/>
      </c>
      <c r="C85" s="55" t="str">
        <f>IF($Q85="","",INDEX(TRANSACTIONS_MASTER!$F$5:$F$1204,$Q85))</f>
        <v/>
      </c>
      <c r="D85" s="55" t="str">
        <f>IF($Q85="","",INDEX(TRANSACTIONS_MASTER!$E$5:$E$1204,$Q85))</f>
        <v/>
      </c>
      <c r="E85" s="55" t="str">
        <f>IF($Q85="","",INDEX(TRANSACTIONS_MASTER!$G$5:$G$1204,$Q85)&amp;"")</f>
        <v/>
      </c>
      <c r="F85" s="29" t="str">
        <f>IF($Q85="","",INDEX(TRANSACTIONS_MASTER!$I$5:$I$1204,$Q85))</f>
        <v/>
      </c>
      <c r="G85" s="55" t="str">
        <f>IF($Q85="","",INDEX(TRANSACTIONS_MASTER!$K$5:$K$1204,$Q85))</f>
        <v/>
      </c>
      <c r="H85" s="25" t="str">
        <f>IF($Q85="","",INDEX(TRANSACTIONS_MASTER!$L$5:$L$1204,$Q85))</f>
        <v/>
      </c>
      <c r="I85" s="56" t="str">
        <f>IF($Q85="","",INDEX(TRANSACTIONS_MASTER!$N$5:$N$1204,$Q85))</f>
        <v/>
      </c>
      <c r="J85" s="25" t="str">
        <f>IF($Q85="","",INDEX(TRANSACTIONS_MASTER!$O$5:$O$1204,$Q85))</f>
        <v/>
      </c>
      <c r="K85" s="26" t="str">
        <f>IF($Q85="","",INDEX(TRANSACTIONS_MASTER!$Q$5:$Q$1204,$Q85))</f>
        <v/>
      </c>
      <c r="L85" s="25" t="str">
        <f>IF($Q85="","",INDEX(TRANSACTIONS_MASTER!$P$5:$P$1204,$Q85))</f>
        <v/>
      </c>
      <c r="M85" s="25" t="str">
        <f>IF($Q85="","",INDEX(TRANSACTIONS_MASTER!$AA$5:$AA$1204,$Q85))</f>
        <v/>
      </c>
      <c r="N85" s="25" t="str">
        <f>IF($Q85="","",INDEX(TRANSACTIONS_MASTER!$R$5:$R$1204,$Q85))</f>
        <v/>
      </c>
      <c r="O85" s="28" t="str">
        <f>IF($Q85="","",INDEX(TRANSACTIONS_MASTER!$AB$5:$AB$1204,$Q85))</f>
        <v/>
      </c>
      <c r="P85" s="55" t="str">
        <f>IF($Q85="","",INDEX(TRANSACTIONS_MASTER!$Z$5:$Z$1204,$Q85)&amp;"")</f>
        <v/>
      </c>
      <c r="Q85" s="67" t="str">
        <f>IFERROR(MATCH($C$2&amp;"|"&amp;78,TRANSACTIONS_MASTER!$AE$5:$AE$1204,0),"")</f>
        <v/>
      </c>
      <c r="S85" s="67" t="n">
        <v>24</v>
      </c>
      <c r="T85" s="55" t="str">
        <f>IF(CARDS!$A28="","",CARDS!$A28)</f>
        <v/>
      </c>
      <c r="U85" s="55" t="str">
        <f>IF($T85="","",CARDS!$B28&amp;" "&amp;CARDS!$C28)</f>
        <v/>
      </c>
      <c r="V85" s="25" t="str">
        <f>IF($T85="","",SUMIFS(TRANSACTIONS_MASTER!$L$5:$L$1204,TRANSACTIONS_MASTER!$D$5:$D$1204,$T85,TRANSACTIONS_MASTER!$C$5:$C$1204,$C$2,TRANSACTIONS_MASTER!$U$5:$U$1204,"&lt;&gt;Cancelled"))</f>
        <v/>
      </c>
      <c r="W85" s="26" t="str">
        <f>IF($T85="","",SUMIFS(TRANSACTIONS_MASTER!$Q$5:$Q$1204,TRANSACTIONS_MASTER!$D$5:$D$1204,$T85,TRANSACTIONS_MASTER!$C$5:$C$1204,$C$2))</f>
        <v/>
      </c>
      <c r="X85" s="25" t="str">
        <f>IF($T85="","",IFERROR(IF(ISNUMBER(INDEX(CASHBACK_RULES!$K$5:$K$304,MATCH($T85,CASHBACK_RULES!$B$5:$B$304,0))),INDEX(CASHBACK_RULES!$K$5:$K$304,MATCH($T85,CASHBACK_RULES!$B$5:$B$304,0)),"∞"),"—"))</f>
        <v/>
      </c>
      <c r="Y85" s="25" t="str">
        <f>IF($T85="","",IF($X85="—","—",IF(COUNTIFS($T$8:$T$57,$T85,$Z$8:$Z$57,"∞")&gt;0,IF(ISNUMBER($X85),MAX(0,$X85-$W85),"∞"),IF(ISNUMBER($X85),MAX(0,MIN($X85-$W85,SUMIFS($Z$8:$Z$57,$T$8:$T$57,$T85))),SUMIFS($Z$8:$Z$57,$T$8:$T$57,$T85)))))</f>
        <v/>
      </c>
      <c r="Z85" s="27" t="str">
        <f>IF($T85="","",IF(ISNUMBER($X85),IF($X85=0,0,$W85/$X85),IF(ISNUMBER($Y85),IF($W85+$Y85=0,0,$W85/($W85+$Y85)),"")))</f>
        <v/>
      </c>
      <c r="AA85" s="29" t="str">
        <f>IF($T85="","",COUNTIFS(TRANSACTIONS_MASTER!$D$5:$D$1204,$T85,TRANSACTIONS_MASTER!$C$5:$C$1204,$C$2,TRANSACTIONS_MASTER!$U$5:$U$1204,"&lt;&gt;Cancelled"))</f>
        <v/>
      </c>
    </row>
    <row r="86">
      <c r="A86" s="81" t="str">
        <f>IF($Q86="","",79)</f>
        <v/>
      </c>
      <c r="B86" s="57" t="str">
        <f>IF($Q86="","",INDEX(TRANSACTIONS_MASTER!$B$5:$B$1204,$Q86))</f>
        <v/>
      </c>
      <c r="C86" s="55" t="str">
        <f>IF($Q86="","",INDEX(TRANSACTIONS_MASTER!$F$5:$F$1204,$Q86))</f>
        <v/>
      </c>
      <c r="D86" s="55" t="str">
        <f>IF($Q86="","",INDEX(TRANSACTIONS_MASTER!$E$5:$E$1204,$Q86))</f>
        <v/>
      </c>
      <c r="E86" s="55" t="str">
        <f>IF($Q86="","",INDEX(TRANSACTIONS_MASTER!$G$5:$G$1204,$Q86)&amp;"")</f>
        <v/>
      </c>
      <c r="F86" s="29" t="str">
        <f>IF($Q86="","",INDEX(TRANSACTIONS_MASTER!$I$5:$I$1204,$Q86))</f>
        <v/>
      </c>
      <c r="G86" s="55" t="str">
        <f>IF($Q86="","",INDEX(TRANSACTIONS_MASTER!$K$5:$K$1204,$Q86))</f>
        <v/>
      </c>
      <c r="H86" s="25" t="str">
        <f>IF($Q86="","",INDEX(TRANSACTIONS_MASTER!$L$5:$L$1204,$Q86))</f>
        <v/>
      </c>
      <c r="I86" s="56" t="str">
        <f>IF($Q86="","",INDEX(TRANSACTIONS_MASTER!$N$5:$N$1204,$Q86))</f>
        <v/>
      </c>
      <c r="J86" s="25" t="str">
        <f>IF($Q86="","",INDEX(TRANSACTIONS_MASTER!$O$5:$O$1204,$Q86))</f>
        <v/>
      </c>
      <c r="K86" s="26" t="str">
        <f>IF($Q86="","",INDEX(TRANSACTIONS_MASTER!$Q$5:$Q$1204,$Q86))</f>
        <v/>
      </c>
      <c r="L86" s="25" t="str">
        <f>IF($Q86="","",INDEX(TRANSACTIONS_MASTER!$P$5:$P$1204,$Q86))</f>
        <v/>
      </c>
      <c r="M86" s="25" t="str">
        <f>IF($Q86="","",INDEX(TRANSACTIONS_MASTER!$AA$5:$AA$1204,$Q86))</f>
        <v/>
      </c>
      <c r="N86" s="25" t="str">
        <f>IF($Q86="","",INDEX(TRANSACTIONS_MASTER!$R$5:$R$1204,$Q86))</f>
        <v/>
      </c>
      <c r="O86" s="28" t="str">
        <f>IF($Q86="","",INDEX(TRANSACTIONS_MASTER!$AB$5:$AB$1204,$Q86))</f>
        <v/>
      </c>
      <c r="P86" s="55" t="str">
        <f>IF($Q86="","",INDEX(TRANSACTIONS_MASTER!$Z$5:$Z$1204,$Q86)&amp;"")</f>
        <v/>
      </c>
      <c r="Q86" s="67" t="str">
        <f>IFERROR(MATCH($C$2&amp;"|"&amp;79,TRANSACTIONS_MASTER!$AE$5:$AE$1204,0),"")</f>
        <v/>
      </c>
      <c r="S86" s="67" t="n">
        <v>25</v>
      </c>
      <c r="T86" s="55" t="str">
        <f>IF(CARDS!$A29="","",CARDS!$A29)</f>
        <v/>
      </c>
      <c r="U86" s="55" t="str">
        <f>IF($T86="","",CARDS!$B29&amp;" "&amp;CARDS!$C29)</f>
        <v/>
      </c>
      <c r="V86" s="25" t="str">
        <f>IF($T86="","",SUMIFS(TRANSACTIONS_MASTER!$L$5:$L$1204,TRANSACTIONS_MASTER!$D$5:$D$1204,$T86,TRANSACTIONS_MASTER!$C$5:$C$1204,$C$2,TRANSACTIONS_MASTER!$U$5:$U$1204,"&lt;&gt;Cancelled"))</f>
        <v/>
      </c>
      <c r="W86" s="26" t="str">
        <f>IF($T86="","",SUMIFS(TRANSACTIONS_MASTER!$Q$5:$Q$1204,TRANSACTIONS_MASTER!$D$5:$D$1204,$T86,TRANSACTIONS_MASTER!$C$5:$C$1204,$C$2))</f>
        <v/>
      </c>
      <c r="X86" s="25" t="str">
        <f>IF($T86="","",IFERROR(IF(ISNUMBER(INDEX(CASHBACK_RULES!$K$5:$K$304,MATCH($T86,CASHBACK_RULES!$B$5:$B$304,0))),INDEX(CASHBACK_RULES!$K$5:$K$304,MATCH($T86,CASHBACK_RULES!$B$5:$B$304,0)),"∞"),"—"))</f>
        <v/>
      </c>
      <c r="Y86" s="25" t="str">
        <f>IF($T86="","",IF($X86="—","—",IF(COUNTIFS($T$8:$T$57,$T86,$Z$8:$Z$57,"∞")&gt;0,IF(ISNUMBER($X86),MAX(0,$X86-$W86),"∞"),IF(ISNUMBER($X86),MAX(0,MIN($X86-$W86,SUMIFS($Z$8:$Z$57,$T$8:$T$57,$T86))),SUMIFS($Z$8:$Z$57,$T$8:$T$57,$T86)))))</f>
        <v/>
      </c>
      <c r="Z86" s="27" t="str">
        <f>IF($T86="","",IF(ISNUMBER($X86),IF($X86=0,0,$W86/$X86),IF(ISNUMBER($Y86),IF($W86+$Y86=0,0,$W86/($W86+$Y86)),"")))</f>
        <v/>
      </c>
      <c r="AA86" s="29" t="str">
        <f>IF($T86="","",COUNTIFS(TRANSACTIONS_MASTER!$D$5:$D$1204,$T86,TRANSACTIONS_MASTER!$C$5:$C$1204,$C$2,TRANSACTIONS_MASTER!$U$5:$U$1204,"&lt;&gt;Cancelled"))</f>
        <v/>
      </c>
    </row>
    <row r="87">
      <c r="A87" s="81" t="str">
        <f>IF($Q87="","",80)</f>
        <v/>
      </c>
      <c r="B87" s="57" t="str">
        <f>IF($Q87="","",INDEX(TRANSACTIONS_MASTER!$B$5:$B$1204,$Q87))</f>
        <v/>
      </c>
      <c r="C87" s="55" t="str">
        <f>IF($Q87="","",INDEX(TRANSACTIONS_MASTER!$F$5:$F$1204,$Q87))</f>
        <v/>
      </c>
      <c r="D87" s="55" t="str">
        <f>IF($Q87="","",INDEX(TRANSACTIONS_MASTER!$E$5:$E$1204,$Q87))</f>
        <v/>
      </c>
      <c r="E87" s="55" t="str">
        <f>IF($Q87="","",INDEX(TRANSACTIONS_MASTER!$G$5:$G$1204,$Q87)&amp;"")</f>
        <v/>
      </c>
      <c r="F87" s="29" t="str">
        <f>IF($Q87="","",INDEX(TRANSACTIONS_MASTER!$I$5:$I$1204,$Q87))</f>
        <v/>
      </c>
      <c r="G87" s="55" t="str">
        <f>IF($Q87="","",INDEX(TRANSACTIONS_MASTER!$K$5:$K$1204,$Q87))</f>
        <v/>
      </c>
      <c r="H87" s="25" t="str">
        <f>IF($Q87="","",INDEX(TRANSACTIONS_MASTER!$L$5:$L$1204,$Q87))</f>
        <v/>
      </c>
      <c r="I87" s="56" t="str">
        <f>IF($Q87="","",INDEX(TRANSACTIONS_MASTER!$N$5:$N$1204,$Q87))</f>
        <v/>
      </c>
      <c r="J87" s="25" t="str">
        <f>IF($Q87="","",INDEX(TRANSACTIONS_MASTER!$O$5:$O$1204,$Q87))</f>
        <v/>
      </c>
      <c r="K87" s="26" t="str">
        <f>IF($Q87="","",INDEX(TRANSACTIONS_MASTER!$Q$5:$Q$1204,$Q87))</f>
        <v/>
      </c>
      <c r="L87" s="25" t="str">
        <f>IF($Q87="","",INDEX(TRANSACTIONS_MASTER!$P$5:$P$1204,$Q87))</f>
        <v/>
      </c>
      <c r="M87" s="25" t="str">
        <f>IF($Q87="","",INDEX(TRANSACTIONS_MASTER!$AA$5:$AA$1204,$Q87))</f>
        <v/>
      </c>
      <c r="N87" s="25" t="str">
        <f>IF($Q87="","",INDEX(TRANSACTIONS_MASTER!$R$5:$R$1204,$Q87))</f>
        <v/>
      </c>
      <c r="O87" s="28" t="str">
        <f>IF($Q87="","",INDEX(TRANSACTIONS_MASTER!$AB$5:$AB$1204,$Q87))</f>
        <v/>
      </c>
      <c r="P87" s="55" t="str">
        <f>IF($Q87="","",INDEX(TRANSACTIONS_MASTER!$Z$5:$Z$1204,$Q87)&amp;"")</f>
        <v/>
      </c>
      <c r="Q87" s="67" t="str">
        <f>IFERROR(MATCH($C$2&amp;"|"&amp;80,TRANSACTIONS_MASTER!$AE$5:$AE$1204,0),"")</f>
        <v/>
      </c>
      <c r="S87" s="67" t="n">
        <v>26</v>
      </c>
      <c r="T87" s="55" t="str">
        <f>IF(CARDS!$A30="","",CARDS!$A30)</f>
        <v/>
      </c>
      <c r="U87" s="55" t="str">
        <f>IF($T87="","",CARDS!$B30&amp;" "&amp;CARDS!$C30)</f>
        <v/>
      </c>
      <c r="V87" s="25" t="str">
        <f>IF($T87="","",SUMIFS(TRANSACTIONS_MASTER!$L$5:$L$1204,TRANSACTIONS_MASTER!$D$5:$D$1204,$T87,TRANSACTIONS_MASTER!$C$5:$C$1204,$C$2,TRANSACTIONS_MASTER!$U$5:$U$1204,"&lt;&gt;Cancelled"))</f>
        <v/>
      </c>
      <c r="W87" s="26" t="str">
        <f>IF($T87="","",SUMIFS(TRANSACTIONS_MASTER!$Q$5:$Q$1204,TRANSACTIONS_MASTER!$D$5:$D$1204,$T87,TRANSACTIONS_MASTER!$C$5:$C$1204,$C$2))</f>
        <v/>
      </c>
      <c r="X87" s="25" t="str">
        <f>IF($T87="","",IFERROR(IF(ISNUMBER(INDEX(CASHBACK_RULES!$K$5:$K$304,MATCH($T87,CASHBACK_RULES!$B$5:$B$304,0))),INDEX(CASHBACK_RULES!$K$5:$K$304,MATCH($T87,CASHBACK_RULES!$B$5:$B$304,0)),"∞"),"—"))</f>
        <v/>
      </c>
      <c r="Y87" s="25" t="str">
        <f>IF($T87="","",IF($X87="—","—",IF(COUNTIFS($T$8:$T$57,$T87,$Z$8:$Z$57,"∞")&gt;0,IF(ISNUMBER($X87),MAX(0,$X87-$W87),"∞"),IF(ISNUMBER($X87),MAX(0,MIN($X87-$W87,SUMIFS($Z$8:$Z$57,$T$8:$T$57,$T87))),SUMIFS($Z$8:$Z$57,$T$8:$T$57,$T87)))))</f>
        <v/>
      </c>
      <c r="Z87" s="27" t="str">
        <f>IF($T87="","",IF(ISNUMBER($X87),IF($X87=0,0,$W87/$X87),IF(ISNUMBER($Y87),IF($W87+$Y87=0,0,$W87/($W87+$Y87)),"")))</f>
        <v/>
      </c>
      <c r="AA87" s="29" t="str">
        <f>IF($T87="","",COUNTIFS(TRANSACTIONS_MASTER!$D$5:$D$1204,$T87,TRANSACTIONS_MASTER!$C$5:$C$1204,$C$2,TRANSACTIONS_MASTER!$U$5:$U$1204,"&lt;&gt;Cancelled"))</f>
        <v/>
      </c>
    </row>
    <row r="88">
      <c r="A88" s="81" t="str">
        <f>IF($Q88="","",81)</f>
        <v/>
      </c>
      <c r="B88" s="57" t="str">
        <f>IF($Q88="","",INDEX(TRANSACTIONS_MASTER!$B$5:$B$1204,$Q88))</f>
        <v/>
      </c>
      <c r="C88" s="55" t="str">
        <f>IF($Q88="","",INDEX(TRANSACTIONS_MASTER!$F$5:$F$1204,$Q88))</f>
        <v/>
      </c>
      <c r="D88" s="55" t="str">
        <f>IF($Q88="","",INDEX(TRANSACTIONS_MASTER!$E$5:$E$1204,$Q88))</f>
        <v/>
      </c>
      <c r="E88" s="55" t="str">
        <f>IF($Q88="","",INDEX(TRANSACTIONS_MASTER!$G$5:$G$1204,$Q88)&amp;"")</f>
        <v/>
      </c>
      <c r="F88" s="29" t="str">
        <f>IF($Q88="","",INDEX(TRANSACTIONS_MASTER!$I$5:$I$1204,$Q88))</f>
        <v/>
      </c>
      <c r="G88" s="55" t="str">
        <f>IF($Q88="","",INDEX(TRANSACTIONS_MASTER!$K$5:$K$1204,$Q88))</f>
        <v/>
      </c>
      <c r="H88" s="25" t="str">
        <f>IF($Q88="","",INDEX(TRANSACTIONS_MASTER!$L$5:$L$1204,$Q88))</f>
        <v/>
      </c>
      <c r="I88" s="56" t="str">
        <f>IF($Q88="","",INDEX(TRANSACTIONS_MASTER!$N$5:$N$1204,$Q88))</f>
        <v/>
      </c>
      <c r="J88" s="25" t="str">
        <f>IF($Q88="","",INDEX(TRANSACTIONS_MASTER!$O$5:$O$1204,$Q88))</f>
        <v/>
      </c>
      <c r="K88" s="26" t="str">
        <f>IF($Q88="","",INDEX(TRANSACTIONS_MASTER!$Q$5:$Q$1204,$Q88))</f>
        <v/>
      </c>
      <c r="L88" s="25" t="str">
        <f>IF($Q88="","",INDEX(TRANSACTIONS_MASTER!$P$5:$P$1204,$Q88))</f>
        <v/>
      </c>
      <c r="M88" s="25" t="str">
        <f>IF($Q88="","",INDEX(TRANSACTIONS_MASTER!$AA$5:$AA$1204,$Q88))</f>
        <v/>
      </c>
      <c r="N88" s="25" t="str">
        <f>IF($Q88="","",INDEX(TRANSACTIONS_MASTER!$R$5:$R$1204,$Q88))</f>
        <v/>
      </c>
      <c r="O88" s="28" t="str">
        <f>IF($Q88="","",INDEX(TRANSACTIONS_MASTER!$AB$5:$AB$1204,$Q88))</f>
        <v/>
      </c>
      <c r="P88" s="55" t="str">
        <f>IF($Q88="","",INDEX(TRANSACTIONS_MASTER!$Z$5:$Z$1204,$Q88)&amp;"")</f>
        <v/>
      </c>
      <c r="Q88" s="67" t="str">
        <f>IFERROR(MATCH($C$2&amp;"|"&amp;81,TRANSACTIONS_MASTER!$AE$5:$AE$1204,0),"")</f>
        <v/>
      </c>
      <c r="S88" s="67" t="n">
        <v>27</v>
      </c>
      <c r="T88" s="55" t="str">
        <f>IF(CARDS!$A31="","",CARDS!$A31)</f>
        <v/>
      </c>
      <c r="U88" s="55" t="str">
        <f>IF($T88="","",CARDS!$B31&amp;" "&amp;CARDS!$C31)</f>
        <v/>
      </c>
      <c r="V88" s="25" t="str">
        <f>IF($T88="","",SUMIFS(TRANSACTIONS_MASTER!$L$5:$L$1204,TRANSACTIONS_MASTER!$D$5:$D$1204,$T88,TRANSACTIONS_MASTER!$C$5:$C$1204,$C$2,TRANSACTIONS_MASTER!$U$5:$U$1204,"&lt;&gt;Cancelled"))</f>
        <v/>
      </c>
      <c r="W88" s="26" t="str">
        <f>IF($T88="","",SUMIFS(TRANSACTIONS_MASTER!$Q$5:$Q$1204,TRANSACTIONS_MASTER!$D$5:$D$1204,$T88,TRANSACTIONS_MASTER!$C$5:$C$1204,$C$2))</f>
        <v/>
      </c>
      <c r="X88" s="25" t="str">
        <f>IF($T88="","",IFERROR(IF(ISNUMBER(INDEX(CASHBACK_RULES!$K$5:$K$304,MATCH($T88,CASHBACK_RULES!$B$5:$B$304,0))),INDEX(CASHBACK_RULES!$K$5:$K$304,MATCH($T88,CASHBACK_RULES!$B$5:$B$304,0)),"∞"),"—"))</f>
        <v/>
      </c>
      <c r="Y88" s="25" t="str">
        <f>IF($T88="","",IF($X88="—","—",IF(COUNTIFS($T$8:$T$57,$T88,$Z$8:$Z$57,"∞")&gt;0,IF(ISNUMBER($X88),MAX(0,$X88-$W88),"∞"),IF(ISNUMBER($X88),MAX(0,MIN($X88-$W88,SUMIFS($Z$8:$Z$57,$T$8:$T$57,$T88))),SUMIFS($Z$8:$Z$57,$T$8:$T$57,$T88)))))</f>
        <v/>
      </c>
      <c r="Z88" s="27" t="str">
        <f>IF($T88="","",IF(ISNUMBER($X88),IF($X88=0,0,$W88/$X88),IF(ISNUMBER($Y88),IF($W88+$Y88=0,0,$W88/($W88+$Y88)),"")))</f>
        <v/>
      </c>
      <c r="AA88" s="29" t="str">
        <f>IF($T88="","",COUNTIFS(TRANSACTIONS_MASTER!$D$5:$D$1204,$T88,TRANSACTIONS_MASTER!$C$5:$C$1204,$C$2,TRANSACTIONS_MASTER!$U$5:$U$1204,"&lt;&gt;Cancelled"))</f>
        <v/>
      </c>
    </row>
    <row r="89">
      <c r="A89" s="81" t="str">
        <f>IF($Q89="","",82)</f>
        <v/>
      </c>
      <c r="B89" s="57" t="str">
        <f>IF($Q89="","",INDEX(TRANSACTIONS_MASTER!$B$5:$B$1204,$Q89))</f>
        <v/>
      </c>
      <c r="C89" s="55" t="str">
        <f>IF($Q89="","",INDEX(TRANSACTIONS_MASTER!$F$5:$F$1204,$Q89))</f>
        <v/>
      </c>
      <c r="D89" s="55" t="str">
        <f>IF($Q89="","",INDEX(TRANSACTIONS_MASTER!$E$5:$E$1204,$Q89))</f>
        <v/>
      </c>
      <c r="E89" s="55" t="str">
        <f>IF($Q89="","",INDEX(TRANSACTIONS_MASTER!$G$5:$G$1204,$Q89)&amp;"")</f>
        <v/>
      </c>
      <c r="F89" s="29" t="str">
        <f>IF($Q89="","",INDEX(TRANSACTIONS_MASTER!$I$5:$I$1204,$Q89))</f>
        <v/>
      </c>
      <c r="G89" s="55" t="str">
        <f>IF($Q89="","",INDEX(TRANSACTIONS_MASTER!$K$5:$K$1204,$Q89))</f>
        <v/>
      </c>
      <c r="H89" s="25" t="str">
        <f>IF($Q89="","",INDEX(TRANSACTIONS_MASTER!$L$5:$L$1204,$Q89))</f>
        <v/>
      </c>
      <c r="I89" s="56" t="str">
        <f>IF($Q89="","",INDEX(TRANSACTIONS_MASTER!$N$5:$N$1204,$Q89))</f>
        <v/>
      </c>
      <c r="J89" s="25" t="str">
        <f>IF($Q89="","",INDEX(TRANSACTIONS_MASTER!$O$5:$O$1204,$Q89))</f>
        <v/>
      </c>
      <c r="K89" s="26" t="str">
        <f>IF($Q89="","",INDEX(TRANSACTIONS_MASTER!$Q$5:$Q$1204,$Q89))</f>
        <v/>
      </c>
      <c r="L89" s="25" t="str">
        <f>IF($Q89="","",INDEX(TRANSACTIONS_MASTER!$P$5:$P$1204,$Q89))</f>
        <v/>
      </c>
      <c r="M89" s="25" t="str">
        <f>IF($Q89="","",INDEX(TRANSACTIONS_MASTER!$AA$5:$AA$1204,$Q89))</f>
        <v/>
      </c>
      <c r="N89" s="25" t="str">
        <f>IF($Q89="","",INDEX(TRANSACTIONS_MASTER!$R$5:$R$1204,$Q89))</f>
        <v/>
      </c>
      <c r="O89" s="28" t="str">
        <f>IF($Q89="","",INDEX(TRANSACTIONS_MASTER!$AB$5:$AB$1204,$Q89))</f>
        <v/>
      </c>
      <c r="P89" s="55" t="str">
        <f>IF($Q89="","",INDEX(TRANSACTIONS_MASTER!$Z$5:$Z$1204,$Q89)&amp;"")</f>
        <v/>
      </c>
      <c r="Q89" s="67" t="str">
        <f>IFERROR(MATCH($C$2&amp;"|"&amp;82,TRANSACTIONS_MASTER!$AE$5:$AE$1204,0),"")</f>
        <v/>
      </c>
      <c r="S89" s="67" t="n">
        <v>28</v>
      </c>
      <c r="T89" s="55" t="str">
        <f>IF(CARDS!$A32="","",CARDS!$A32)</f>
        <v/>
      </c>
      <c r="U89" s="55" t="str">
        <f>IF($T89="","",CARDS!$B32&amp;" "&amp;CARDS!$C32)</f>
        <v/>
      </c>
      <c r="V89" s="25" t="str">
        <f>IF($T89="","",SUMIFS(TRANSACTIONS_MASTER!$L$5:$L$1204,TRANSACTIONS_MASTER!$D$5:$D$1204,$T89,TRANSACTIONS_MASTER!$C$5:$C$1204,$C$2,TRANSACTIONS_MASTER!$U$5:$U$1204,"&lt;&gt;Cancelled"))</f>
        <v/>
      </c>
      <c r="W89" s="26" t="str">
        <f>IF($T89="","",SUMIFS(TRANSACTIONS_MASTER!$Q$5:$Q$1204,TRANSACTIONS_MASTER!$D$5:$D$1204,$T89,TRANSACTIONS_MASTER!$C$5:$C$1204,$C$2))</f>
        <v/>
      </c>
      <c r="X89" s="25" t="str">
        <f>IF($T89="","",IFERROR(IF(ISNUMBER(INDEX(CASHBACK_RULES!$K$5:$K$304,MATCH($T89,CASHBACK_RULES!$B$5:$B$304,0))),INDEX(CASHBACK_RULES!$K$5:$K$304,MATCH($T89,CASHBACK_RULES!$B$5:$B$304,0)),"∞"),"—"))</f>
        <v/>
      </c>
      <c r="Y89" s="25" t="str">
        <f>IF($T89="","",IF($X89="—","—",IF(COUNTIFS($T$8:$T$57,$T89,$Z$8:$Z$57,"∞")&gt;0,IF(ISNUMBER($X89),MAX(0,$X89-$W89),"∞"),IF(ISNUMBER($X89),MAX(0,MIN($X89-$W89,SUMIFS($Z$8:$Z$57,$T$8:$T$57,$T89))),SUMIFS($Z$8:$Z$57,$T$8:$T$57,$T89)))))</f>
        <v/>
      </c>
      <c r="Z89" s="27" t="str">
        <f>IF($T89="","",IF(ISNUMBER($X89),IF($X89=0,0,$W89/$X89),IF(ISNUMBER($Y89),IF($W89+$Y89=0,0,$W89/($W89+$Y89)),"")))</f>
        <v/>
      </c>
      <c r="AA89" s="29" t="str">
        <f>IF($T89="","",COUNTIFS(TRANSACTIONS_MASTER!$D$5:$D$1204,$T89,TRANSACTIONS_MASTER!$C$5:$C$1204,$C$2,TRANSACTIONS_MASTER!$U$5:$U$1204,"&lt;&gt;Cancelled"))</f>
        <v/>
      </c>
    </row>
    <row r="90">
      <c r="A90" s="81" t="str">
        <f>IF($Q90="","",83)</f>
        <v/>
      </c>
      <c r="B90" s="57" t="str">
        <f>IF($Q90="","",INDEX(TRANSACTIONS_MASTER!$B$5:$B$1204,$Q90))</f>
        <v/>
      </c>
      <c r="C90" s="55" t="str">
        <f>IF($Q90="","",INDEX(TRANSACTIONS_MASTER!$F$5:$F$1204,$Q90))</f>
        <v/>
      </c>
      <c r="D90" s="55" t="str">
        <f>IF($Q90="","",INDEX(TRANSACTIONS_MASTER!$E$5:$E$1204,$Q90))</f>
        <v/>
      </c>
      <c r="E90" s="55" t="str">
        <f>IF($Q90="","",INDEX(TRANSACTIONS_MASTER!$G$5:$G$1204,$Q90)&amp;"")</f>
        <v/>
      </c>
      <c r="F90" s="29" t="str">
        <f>IF($Q90="","",INDEX(TRANSACTIONS_MASTER!$I$5:$I$1204,$Q90))</f>
        <v/>
      </c>
      <c r="G90" s="55" t="str">
        <f>IF($Q90="","",INDEX(TRANSACTIONS_MASTER!$K$5:$K$1204,$Q90))</f>
        <v/>
      </c>
      <c r="H90" s="25" t="str">
        <f>IF($Q90="","",INDEX(TRANSACTIONS_MASTER!$L$5:$L$1204,$Q90))</f>
        <v/>
      </c>
      <c r="I90" s="56" t="str">
        <f>IF($Q90="","",INDEX(TRANSACTIONS_MASTER!$N$5:$N$1204,$Q90))</f>
        <v/>
      </c>
      <c r="J90" s="25" t="str">
        <f>IF($Q90="","",INDEX(TRANSACTIONS_MASTER!$O$5:$O$1204,$Q90))</f>
        <v/>
      </c>
      <c r="K90" s="26" t="str">
        <f>IF($Q90="","",INDEX(TRANSACTIONS_MASTER!$Q$5:$Q$1204,$Q90))</f>
        <v/>
      </c>
      <c r="L90" s="25" t="str">
        <f>IF($Q90="","",INDEX(TRANSACTIONS_MASTER!$P$5:$P$1204,$Q90))</f>
        <v/>
      </c>
      <c r="M90" s="25" t="str">
        <f>IF($Q90="","",INDEX(TRANSACTIONS_MASTER!$AA$5:$AA$1204,$Q90))</f>
        <v/>
      </c>
      <c r="N90" s="25" t="str">
        <f>IF($Q90="","",INDEX(TRANSACTIONS_MASTER!$R$5:$R$1204,$Q90))</f>
        <v/>
      </c>
      <c r="O90" s="28" t="str">
        <f>IF($Q90="","",INDEX(TRANSACTIONS_MASTER!$AB$5:$AB$1204,$Q90))</f>
        <v/>
      </c>
      <c r="P90" s="55" t="str">
        <f>IF($Q90="","",INDEX(TRANSACTIONS_MASTER!$Z$5:$Z$1204,$Q90)&amp;"")</f>
        <v/>
      </c>
      <c r="Q90" s="67" t="str">
        <f>IFERROR(MATCH($C$2&amp;"|"&amp;83,TRANSACTIONS_MASTER!$AE$5:$AE$1204,0),"")</f>
        <v/>
      </c>
      <c r="S90" s="67" t="n">
        <v>29</v>
      </c>
      <c r="T90" s="55" t="str">
        <f>IF(CARDS!$A33="","",CARDS!$A33)</f>
        <v/>
      </c>
      <c r="U90" s="55" t="str">
        <f>IF($T90="","",CARDS!$B33&amp;" "&amp;CARDS!$C33)</f>
        <v/>
      </c>
      <c r="V90" s="25" t="str">
        <f>IF($T90="","",SUMIFS(TRANSACTIONS_MASTER!$L$5:$L$1204,TRANSACTIONS_MASTER!$D$5:$D$1204,$T90,TRANSACTIONS_MASTER!$C$5:$C$1204,$C$2,TRANSACTIONS_MASTER!$U$5:$U$1204,"&lt;&gt;Cancelled"))</f>
        <v/>
      </c>
      <c r="W90" s="26" t="str">
        <f>IF($T90="","",SUMIFS(TRANSACTIONS_MASTER!$Q$5:$Q$1204,TRANSACTIONS_MASTER!$D$5:$D$1204,$T90,TRANSACTIONS_MASTER!$C$5:$C$1204,$C$2))</f>
        <v/>
      </c>
      <c r="X90" s="25" t="str">
        <f>IF($T90="","",IFERROR(IF(ISNUMBER(INDEX(CASHBACK_RULES!$K$5:$K$304,MATCH($T90,CASHBACK_RULES!$B$5:$B$304,0))),INDEX(CASHBACK_RULES!$K$5:$K$304,MATCH($T90,CASHBACK_RULES!$B$5:$B$304,0)),"∞"),"—"))</f>
        <v/>
      </c>
      <c r="Y90" s="25" t="str">
        <f>IF($T90="","",IF($X90="—","—",IF(COUNTIFS($T$8:$T$57,$T90,$Z$8:$Z$57,"∞")&gt;0,IF(ISNUMBER($X90),MAX(0,$X90-$W90),"∞"),IF(ISNUMBER($X90),MAX(0,MIN($X90-$W90,SUMIFS($Z$8:$Z$57,$T$8:$T$57,$T90))),SUMIFS($Z$8:$Z$57,$T$8:$T$57,$T90)))))</f>
        <v/>
      </c>
      <c r="Z90" s="27" t="str">
        <f>IF($T90="","",IF(ISNUMBER($X90),IF($X90=0,0,$W90/$X90),IF(ISNUMBER($Y90),IF($W90+$Y90=0,0,$W90/($W90+$Y90)),"")))</f>
        <v/>
      </c>
      <c r="AA90" s="29" t="str">
        <f>IF($T90="","",COUNTIFS(TRANSACTIONS_MASTER!$D$5:$D$1204,$T90,TRANSACTIONS_MASTER!$C$5:$C$1204,$C$2,TRANSACTIONS_MASTER!$U$5:$U$1204,"&lt;&gt;Cancelled"))</f>
        <v/>
      </c>
    </row>
    <row r="91">
      <c r="A91" s="81" t="str">
        <f>IF($Q91="","",84)</f>
        <v/>
      </c>
      <c r="B91" s="57" t="str">
        <f>IF($Q91="","",INDEX(TRANSACTIONS_MASTER!$B$5:$B$1204,$Q91))</f>
        <v/>
      </c>
      <c r="C91" s="55" t="str">
        <f>IF($Q91="","",INDEX(TRANSACTIONS_MASTER!$F$5:$F$1204,$Q91))</f>
        <v/>
      </c>
      <c r="D91" s="55" t="str">
        <f>IF($Q91="","",INDEX(TRANSACTIONS_MASTER!$E$5:$E$1204,$Q91))</f>
        <v/>
      </c>
      <c r="E91" s="55" t="str">
        <f>IF($Q91="","",INDEX(TRANSACTIONS_MASTER!$G$5:$G$1204,$Q91)&amp;"")</f>
        <v/>
      </c>
      <c r="F91" s="29" t="str">
        <f>IF($Q91="","",INDEX(TRANSACTIONS_MASTER!$I$5:$I$1204,$Q91))</f>
        <v/>
      </c>
      <c r="G91" s="55" t="str">
        <f>IF($Q91="","",INDEX(TRANSACTIONS_MASTER!$K$5:$K$1204,$Q91))</f>
        <v/>
      </c>
      <c r="H91" s="25" t="str">
        <f>IF($Q91="","",INDEX(TRANSACTIONS_MASTER!$L$5:$L$1204,$Q91))</f>
        <v/>
      </c>
      <c r="I91" s="56" t="str">
        <f>IF($Q91="","",INDEX(TRANSACTIONS_MASTER!$N$5:$N$1204,$Q91))</f>
        <v/>
      </c>
      <c r="J91" s="25" t="str">
        <f>IF($Q91="","",INDEX(TRANSACTIONS_MASTER!$O$5:$O$1204,$Q91))</f>
        <v/>
      </c>
      <c r="K91" s="26" t="str">
        <f>IF($Q91="","",INDEX(TRANSACTIONS_MASTER!$Q$5:$Q$1204,$Q91))</f>
        <v/>
      </c>
      <c r="L91" s="25" t="str">
        <f>IF($Q91="","",INDEX(TRANSACTIONS_MASTER!$P$5:$P$1204,$Q91))</f>
        <v/>
      </c>
      <c r="M91" s="25" t="str">
        <f>IF($Q91="","",INDEX(TRANSACTIONS_MASTER!$AA$5:$AA$1204,$Q91))</f>
        <v/>
      </c>
      <c r="N91" s="25" t="str">
        <f>IF($Q91="","",INDEX(TRANSACTIONS_MASTER!$R$5:$R$1204,$Q91))</f>
        <v/>
      </c>
      <c r="O91" s="28" t="str">
        <f>IF($Q91="","",INDEX(TRANSACTIONS_MASTER!$AB$5:$AB$1204,$Q91))</f>
        <v/>
      </c>
      <c r="P91" s="55" t="str">
        <f>IF($Q91="","",INDEX(TRANSACTIONS_MASTER!$Z$5:$Z$1204,$Q91)&amp;"")</f>
        <v/>
      </c>
      <c r="Q91" s="67" t="str">
        <f>IFERROR(MATCH($C$2&amp;"|"&amp;84,TRANSACTIONS_MASTER!$AE$5:$AE$1204,0),"")</f>
        <v/>
      </c>
      <c r="S91" s="67" t="n">
        <v>30</v>
      </c>
      <c r="T91" s="55" t="str">
        <f>IF(CARDS!$A34="","",CARDS!$A34)</f>
        <v/>
      </c>
      <c r="U91" s="55" t="str">
        <f>IF($T91="","",CARDS!$B34&amp;" "&amp;CARDS!$C34)</f>
        <v/>
      </c>
      <c r="V91" s="25" t="str">
        <f>IF($T91="","",SUMIFS(TRANSACTIONS_MASTER!$L$5:$L$1204,TRANSACTIONS_MASTER!$D$5:$D$1204,$T91,TRANSACTIONS_MASTER!$C$5:$C$1204,$C$2,TRANSACTIONS_MASTER!$U$5:$U$1204,"&lt;&gt;Cancelled"))</f>
        <v/>
      </c>
      <c r="W91" s="26" t="str">
        <f>IF($T91="","",SUMIFS(TRANSACTIONS_MASTER!$Q$5:$Q$1204,TRANSACTIONS_MASTER!$D$5:$D$1204,$T91,TRANSACTIONS_MASTER!$C$5:$C$1204,$C$2))</f>
        <v/>
      </c>
      <c r="X91" s="25" t="str">
        <f>IF($T91="","",IFERROR(IF(ISNUMBER(INDEX(CASHBACK_RULES!$K$5:$K$304,MATCH($T91,CASHBACK_RULES!$B$5:$B$304,0))),INDEX(CASHBACK_RULES!$K$5:$K$304,MATCH($T91,CASHBACK_RULES!$B$5:$B$304,0)),"∞"),"—"))</f>
        <v/>
      </c>
      <c r="Y91" s="25" t="str">
        <f>IF($T91="","",IF($X91="—","—",IF(COUNTIFS($T$8:$T$57,$T91,$Z$8:$Z$57,"∞")&gt;0,IF(ISNUMBER($X91),MAX(0,$X91-$W91),"∞"),IF(ISNUMBER($X91),MAX(0,MIN($X91-$W91,SUMIFS($Z$8:$Z$57,$T$8:$T$57,$T91))),SUMIFS($Z$8:$Z$57,$T$8:$T$57,$T91)))))</f>
        <v/>
      </c>
      <c r="Z91" s="27" t="str">
        <f>IF($T91="","",IF(ISNUMBER($X91),IF($X91=0,0,$W91/$X91),IF(ISNUMBER($Y91),IF($W91+$Y91=0,0,$W91/($W91+$Y91)),"")))</f>
        <v/>
      </c>
      <c r="AA91" s="29" t="str">
        <f>IF($T91="","",COUNTIFS(TRANSACTIONS_MASTER!$D$5:$D$1204,$T91,TRANSACTIONS_MASTER!$C$5:$C$1204,$C$2,TRANSACTIONS_MASTER!$U$5:$U$1204,"&lt;&gt;Cancelled"))</f>
        <v/>
      </c>
    </row>
    <row r="92">
      <c r="A92" s="81" t="str">
        <f>IF($Q92="","",85)</f>
        <v/>
      </c>
      <c r="B92" s="57" t="str">
        <f>IF($Q92="","",INDEX(TRANSACTIONS_MASTER!$B$5:$B$1204,$Q92))</f>
        <v/>
      </c>
      <c r="C92" s="55" t="str">
        <f>IF($Q92="","",INDEX(TRANSACTIONS_MASTER!$F$5:$F$1204,$Q92))</f>
        <v/>
      </c>
      <c r="D92" s="55" t="str">
        <f>IF($Q92="","",INDEX(TRANSACTIONS_MASTER!$E$5:$E$1204,$Q92))</f>
        <v/>
      </c>
      <c r="E92" s="55" t="str">
        <f>IF($Q92="","",INDEX(TRANSACTIONS_MASTER!$G$5:$G$1204,$Q92)&amp;"")</f>
        <v/>
      </c>
      <c r="F92" s="29" t="str">
        <f>IF($Q92="","",INDEX(TRANSACTIONS_MASTER!$I$5:$I$1204,$Q92))</f>
        <v/>
      </c>
      <c r="G92" s="55" t="str">
        <f>IF($Q92="","",INDEX(TRANSACTIONS_MASTER!$K$5:$K$1204,$Q92))</f>
        <v/>
      </c>
      <c r="H92" s="25" t="str">
        <f>IF($Q92="","",INDEX(TRANSACTIONS_MASTER!$L$5:$L$1204,$Q92))</f>
        <v/>
      </c>
      <c r="I92" s="56" t="str">
        <f>IF($Q92="","",INDEX(TRANSACTIONS_MASTER!$N$5:$N$1204,$Q92))</f>
        <v/>
      </c>
      <c r="J92" s="25" t="str">
        <f>IF($Q92="","",INDEX(TRANSACTIONS_MASTER!$O$5:$O$1204,$Q92))</f>
        <v/>
      </c>
      <c r="K92" s="26" t="str">
        <f>IF($Q92="","",INDEX(TRANSACTIONS_MASTER!$Q$5:$Q$1204,$Q92))</f>
        <v/>
      </c>
      <c r="L92" s="25" t="str">
        <f>IF($Q92="","",INDEX(TRANSACTIONS_MASTER!$P$5:$P$1204,$Q92))</f>
        <v/>
      </c>
      <c r="M92" s="25" t="str">
        <f>IF($Q92="","",INDEX(TRANSACTIONS_MASTER!$AA$5:$AA$1204,$Q92))</f>
        <v/>
      </c>
      <c r="N92" s="25" t="str">
        <f>IF($Q92="","",INDEX(TRANSACTIONS_MASTER!$R$5:$R$1204,$Q92))</f>
        <v/>
      </c>
      <c r="O92" s="28" t="str">
        <f>IF($Q92="","",INDEX(TRANSACTIONS_MASTER!$AB$5:$AB$1204,$Q92))</f>
        <v/>
      </c>
      <c r="P92" s="55" t="str">
        <f>IF($Q92="","",INDEX(TRANSACTIONS_MASTER!$Z$5:$Z$1204,$Q92)&amp;"")</f>
        <v/>
      </c>
      <c r="Q92" s="67" t="str">
        <f>IFERROR(MATCH($C$2&amp;"|"&amp;85,TRANSACTIONS_MASTER!$AE$5:$AE$1204,0),"")</f>
        <v/>
      </c>
      <c r="T92" s="68" t="n"/>
      <c r="U92" s="69" t="inlineStr">
        <is>
          <t>TỔNG</t>
        </is>
      </c>
      <c r="V92" s="31">
        <f>SUM(V62:V91)</f>
        <v>0</v>
      </c>
      <c r="W92" s="31">
        <f>SUM(W62:W91)</f>
        <v>0</v>
      </c>
      <c r="X92" s="68" t="n"/>
      <c r="Y92" s="31">
        <f>SUM(Y62:Y91)</f>
        <v>4500000</v>
      </c>
      <c r="Z92" s="68" t="n"/>
      <c r="AA92" s="32">
        <f>SUM(AA62:AA91)</f>
        <v>0</v>
      </c>
    </row>
    <row r="93">
      <c r="A93" s="81" t="str">
        <f>IF($Q93="","",86)</f>
        <v/>
      </c>
      <c r="B93" s="57" t="str">
        <f>IF($Q93="","",INDEX(TRANSACTIONS_MASTER!$B$5:$B$1204,$Q93))</f>
        <v/>
      </c>
      <c r="C93" s="55" t="str">
        <f>IF($Q93="","",INDEX(TRANSACTIONS_MASTER!$F$5:$F$1204,$Q93))</f>
        <v/>
      </c>
      <c r="D93" s="55" t="str">
        <f>IF($Q93="","",INDEX(TRANSACTIONS_MASTER!$E$5:$E$1204,$Q93))</f>
        <v/>
      </c>
      <c r="E93" s="55" t="str">
        <f>IF($Q93="","",INDEX(TRANSACTIONS_MASTER!$G$5:$G$1204,$Q93)&amp;"")</f>
        <v/>
      </c>
      <c r="F93" s="29" t="str">
        <f>IF($Q93="","",INDEX(TRANSACTIONS_MASTER!$I$5:$I$1204,$Q93))</f>
        <v/>
      </c>
      <c r="G93" s="55" t="str">
        <f>IF($Q93="","",INDEX(TRANSACTIONS_MASTER!$K$5:$K$1204,$Q93))</f>
        <v/>
      </c>
      <c r="H93" s="25" t="str">
        <f>IF($Q93="","",INDEX(TRANSACTIONS_MASTER!$L$5:$L$1204,$Q93))</f>
        <v/>
      </c>
      <c r="I93" s="56" t="str">
        <f>IF($Q93="","",INDEX(TRANSACTIONS_MASTER!$N$5:$N$1204,$Q93))</f>
        <v/>
      </c>
      <c r="J93" s="25" t="str">
        <f>IF($Q93="","",INDEX(TRANSACTIONS_MASTER!$O$5:$O$1204,$Q93))</f>
        <v/>
      </c>
      <c r="K93" s="26" t="str">
        <f>IF($Q93="","",INDEX(TRANSACTIONS_MASTER!$Q$5:$Q$1204,$Q93))</f>
        <v/>
      </c>
      <c r="L93" s="25" t="str">
        <f>IF($Q93="","",INDEX(TRANSACTIONS_MASTER!$P$5:$P$1204,$Q93))</f>
        <v/>
      </c>
      <c r="M93" s="25" t="str">
        <f>IF($Q93="","",INDEX(TRANSACTIONS_MASTER!$AA$5:$AA$1204,$Q93))</f>
        <v/>
      </c>
      <c r="N93" s="25" t="str">
        <f>IF($Q93="","",INDEX(TRANSACTIONS_MASTER!$R$5:$R$1204,$Q93))</f>
        <v/>
      </c>
      <c r="O93" s="28" t="str">
        <f>IF($Q93="","",INDEX(TRANSACTIONS_MASTER!$AB$5:$AB$1204,$Q93))</f>
        <v/>
      </c>
      <c r="P93" s="55" t="str">
        <f>IF($Q93="","",INDEX(TRANSACTIONS_MASTER!$Z$5:$Z$1204,$Q93)&amp;"")</f>
        <v/>
      </c>
      <c r="Q93" s="67" t="str">
        <f>IFERROR(MATCH($C$2&amp;"|"&amp;86,TRANSACTIONS_MASTER!$AE$5:$AE$1204,0),"")</f>
        <v/>
      </c>
    </row>
    <row r="94">
      <c r="A94" s="81" t="str">
        <f>IF($Q94="","",87)</f>
        <v/>
      </c>
      <c r="B94" s="57" t="str">
        <f>IF($Q94="","",INDEX(TRANSACTIONS_MASTER!$B$5:$B$1204,$Q94))</f>
        <v/>
      </c>
      <c r="C94" s="55" t="str">
        <f>IF($Q94="","",INDEX(TRANSACTIONS_MASTER!$F$5:$F$1204,$Q94))</f>
        <v/>
      </c>
      <c r="D94" s="55" t="str">
        <f>IF($Q94="","",INDEX(TRANSACTIONS_MASTER!$E$5:$E$1204,$Q94))</f>
        <v/>
      </c>
      <c r="E94" s="55" t="str">
        <f>IF($Q94="","",INDEX(TRANSACTIONS_MASTER!$G$5:$G$1204,$Q94)&amp;"")</f>
        <v/>
      </c>
      <c r="F94" s="29" t="str">
        <f>IF($Q94="","",INDEX(TRANSACTIONS_MASTER!$I$5:$I$1204,$Q94))</f>
        <v/>
      </c>
      <c r="G94" s="55" t="str">
        <f>IF($Q94="","",INDEX(TRANSACTIONS_MASTER!$K$5:$K$1204,$Q94))</f>
        <v/>
      </c>
      <c r="H94" s="25" t="str">
        <f>IF($Q94="","",INDEX(TRANSACTIONS_MASTER!$L$5:$L$1204,$Q94))</f>
        <v/>
      </c>
      <c r="I94" s="56" t="str">
        <f>IF($Q94="","",INDEX(TRANSACTIONS_MASTER!$N$5:$N$1204,$Q94))</f>
        <v/>
      </c>
      <c r="J94" s="25" t="str">
        <f>IF($Q94="","",INDEX(TRANSACTIONS_MASTER!$O$5:$O$1204,$Q94))</f>
        <v/>
      </c>
      <c r="K94" s="26" t="str">
        <f>IF($Q94="","",INDEX(TRANSACTIONS_MASTER!$Q$5:$Q$1204,$Q94))</f>
        <v/>
      </c>
      <c r="L94" s="25" t="str">
        <f>IF($Q94="","",INDEX(TRANSACTIONS_MASTER!$P$5:$P$1204,$Q94))</f>
        <v/>
      </c>
      <c r="M94" s="25" t="str">
        <f>IF($Q94="","",INDEX(TRANSACTIONS_MASTER!$AA$5:$AA$1204,$Q94))</f>
        <v/>
      </c>
      <c r="N94" s="25" t="str">
        <f>IF($Q94="","",INDEX(TRANSACTIONS_MASTER!$R$5:$R$1204,$Q94))</f>
        <v/>
      </c>
      <c r="O94" s="28" t="str">
        <f>IF($Q94="","",INDEX(TRANSACTIONS_MASTER!$AB$5:$AB$1204,$Q94))</f>
        <v/>
      </c>
      <c r="P94" s="55" t="str">
        <f>IF($Q94="","",INDEX(TRANSACTIONS_MASTER!$Z$5:$Z$1204,$Q94)&amp;"")</f>
        <v/>
      </c>
      <c r="Q94" s="67" t="str">
        <f>IFERROR(MATCH($C$2&amp;"|"&amp;87,TRANSACTIONS_MASTER!$AE$5:$AE$1204,0),"")</f>
        <v/>
      </c>
    </row>
    <row r="95" ht="22" customHeight="1">
      <c r="A95" s="81" t="str">
        <f>IF($Q95="","",88)</f>
        <v/>
      </c>
      <c r="B95" s="57" t="str">
        <f>IF($Q95="","",INDEX(TRANSACTIONS_MASTER!$B$5:$B$1204,$Q95))</f>
        <v/>
      </c>
      <c r="C95" s="55" t="str">
        <f>IF($Q95="","",INDEX(TRANSACTIONS_MASTER!$F$5:$F$1204,$Q95))</f>
        <v/>
      </c>
      <c r="D95" s="55" t="str">
        <f>IF($Q95="","",INDEX(TRANSACTIONS_MASTER!$E$5:$E$1204,$Q95))</f>
        <v/>
      </c>
      <c r="E95" s="55" t="str">
        <f>IF($Q95="","",INDEX(TRANSACTIONS_MASTER!$G$5:$G$1204,$Q95)&amp;"")</f>
        <v/>
      </c>
      <c r="F95" s="29" t="str">
        <f>IF($Q95="","",INDEX(TRANSACTIONS_MASTER!$I$5:$I$1204,$Q95))</f>
        <v/>
      </c>
      <c r="G95" s="55" t="str">
        <f>IF($Q95="","",INDEX(TRANSACTIONS_MASTER!$K$5:$K$1204,$Q95))</f>
        <v/>
      </c>
      <c r="H95" s="25" t="str">
        <f>IF($Q95="","",INDEX(TRANSACTIONS_MASTER!$L$5:$L$1204,$Q95))</f>
        <v/>
      </c>
      <c r="I95" s="56" t="str">
        <f>IF($Q95="","",INDEX(TRANSACTIONS_MASTER!$N$5:$N$1204,$Q95))</f>
        <v/>
      </c>
      <c r="J95" s="25" t="str">
        <f>IF($Q95="","",INDEX(TRANSACTIONS_MASTER!$O$5:$O$1204,$Q95))</f>
        <v/>
      </c>
      <c r="K95" s="26" t="str">
        <f>IF($Q95="","",INDEX(TRANSACTIONS_MASTER!$Q$5:$Q$1204,$Q95))</f>
        <v/>
      </c>
      <c r="L95" s="25" t="str">
        <f>IF($Q95="","",INDEX(TRANSACTIONS_MASTER!$P$5:$P$1204,$Q95))</f>
        <v/>
      </c>
      <c r="M95" s="25" t="str">
        <f>IF($Q95="","",INDEX(TRANSACTIONS_MASTER!$AA$5:$AA$1204,$Q95))</f>
        <v/>
      </c>
      <c r="N95" s="25" t="str">
        <f>IF($Q95="","",INDEX(TRANSACTIONS_MASTER!$R$5:$R$1204,$Q95))</f>
        <v/>
      </c>
      <c r="O95" s="28" t="str">
        <f>IF($Q95="","",INDEX(TRANSACTIONS_MASTER!$AB$5:$AB$1204,$Q95))</f>
        <v/>
      </c>
      <c r="P95" s="55" t="str">
        <f>IF($Q95="","",INDEX(TRANSACTIONS_MASTER!$Z$5:$Z$1204,$Q95)&amp;"")</f>
        <v/>
      </c>
      <c r="Q95" s="67" t="str">
        <f>IFERROR(MATCH($C$2&amp;"|"&amp;88,TRANSACTIONS_MASTER!$AE$5:$AE$1204,0),"")</f>
        <v/>
      </c>
      <c r="T95" s="19" t="inlineStr">
        <is>
          <t>THEO NGÂN HÀNG</t>
        </is>
      </c>
      <c r="U95" s="20" t="n"/>
      <c r="V95" s="20" t="n"/>
      <c r="W95" s="20" t="n"/>
      <c r="X95" s="20" t="n"/>
      <c r="Y95" s="20" t="n"/>
      <c r="Z95" s="20" t="n"/>
      <c r="AA95" s="20" t="n"/>
    </row>
    <row r="96" ht="28" customHeight="1">
      <c r="A96" s="81" t="str">
        <f>IF($Q96="","",89)</f>
        <v/>
      </c>
      <c r="B96" s="57" t="str">
        <f>IF($Q96="","",INDEX(TRANSACTIONS_MASTER!$B$5:$B$1204,$Q96))</f>
        <v/>
      </c>
      <c r="C96" s="55" t="str">
        <f>IF($Q96="","",INDEX(TRANSACTIONS_MASTER!$F$5:$F$1204,$Q96))</f>
        <v/>
      </c>
      <c r="D96" s="55" t="str">
        <f>IF($Q96="","",INDEX(TRANSACTIONS_MASTER!$E$5:$E$1204,$Q96))</f>
        <v/>
      </c>
      <c r="E96" s="55" t="str">
        <f>IF($Q96="","",INDEX(TRANSACTIONS_MASTER!$G$5:$G$1204,$Q96)&amp;"")</f>
        <v/>
      </c>
      <c r="F96" s="29" t="str">
        <f>IF($Q96="","",INDEX(TRANSACTIONS_MASTER!$I$5:$I$1204,$Q96))</f>
        <v/>
      </c>
      <c r="G96" s="55" t="str">
        <f>IF($Q96="","",INDEX(TRANSACTIONS_MASTER!$K$5:$K$1204,$Q96))</f>
        <v/>
      </c>
      <c r="H96" s="25" t="str">
        <f>IF($Q96="","",INDEX(TRANSACTIONS_MASTER!$L$5:$L$1204,$Q96))</f>
        <v/>
      </c>
      <c r="I96" s="56" t="str">
        <f>IF($Q96="","",INDEX(TRANSACTIONS_MASTER!$N$5:$N$1204,$Q96))</f>
        <v/>
      </c>
      <c r="J96" s="25" t="str">
        <f>IF($Q96="","",INDEX(TRANSACTIONS_MASTER!$O$5:$O$1204,$Q96))</f>
        <v/>
      </c>
      <c r="K96" s="26" t="str">
        <f>IF($Q96="","",INDEX(TRANSACTIONS_MASTER!$Q$5:$Q$1204,$Q96))</f>
        <v/>
      </c>
      <c r="L96" s="25" t="str">
        <f>IF($Q96="","",INDEX(TRANSACTIONS_MASTER!$P$5:$P$1204,$Q96))</f>
        <v/>
      </c>
      <c r="M96" s="25" t="str">
        <f>IF($Q96="","",INDEX(TRANSACTIONS_MASTER!$AA$5:$AA$1204,$Q96))</f>
        <v/>
      </c>
      <c r="N96" s="25" t="str">
        <f>IF($Q96="","",INDEX(TRANSACTIONS_MASTER!$R$5:$R$1204,$Q96))</f>
        <v/>
      </c>
      <c r="O96" s="28" t="str">
        <f>IF($Q96="","",INDEX(TRANSACTIONS_MASTER!$AB$5:$AB$1204,$Q96))</f>
        <v/>
      </c>
      <c r="P96" s="55" t="str">
        <f>IF($Q96="","",INDEX(TRANSACTIONS_MASTER!$Z$5:$Z$1204,$Q96)&amp;"")</f>
        <v/>
      </c>
      <c r="Q96" s="67" t="str">
        <f>IFERROR(MATCH($C$2&amp;"|"&amp;89,TRANSACTIONS_MASTER!$AE$5:$AE$1204,0),"")</f>
        <v/>
      </c>
      <c r="S96" s="21" t="inlineStr">
        <is>
          <t>#</t>
        </is>
      </c>
      <c r="T96" s="21" t="inlineStr"/>
      <c r="U96" s="21" t="inlineStr">
        <is>
          <t>Ngân hàng</t>
        </is>
      </c>
      <c r="V96" s="21" t="inlineStr">
        <is>
          <t>Chi tiêu</t>
        </is>
      </c>
      <c r="W96" s="21" t="inlineStr">
        <is>
          <t>Cashback</t>
        </is>
      </c>
    </row>
    <row r="97">
      <c r="A97" s="81" t="str">
        <f>IF($Q97="","",90)</f>
        <v/>
      </c>
      <c r="B97" s="57" t="str">
        <f>IF($Q97="","",INDEX(TRANSACTIONS_MASTER!$B$5:$B$1204,$Q97))</f>
        <v/>
      </c>
      <c r="C97" s="55" t="str">
        <f>IF($Q97="","",INDEX(TRANSACTIONS_MASTER!$F$5:$F$1204,$Q97))</f>
        <v/>
      </c>
      <c r="D97" s="55" t="str">
        <f>IF($Q97="","",INDEX(TRANSACTIONS_MASTER!$E$5:$E$1204,$Q97))</f>
        <v/>
      </c>
      <c r="E97" s="55" t="str">
        <f>IF($Q97="","",INDEX(TRANSACTIONS_MASTER!$G$5:$G$1204,$Q97)&amp;"")</f>
        <v/>
      </c>
      <c r="F97" s="29" t="str">
        <f>IF($Q97="","",INDEX(TRANSACTIONS_MASTER!$I$5:$I$1204,$Q97))</f>
        <v/>
      </c>
      <c r="G97" s="55" t="str">
        <f>IF($Q97="","",INDEX(TRANSACTIONS_MASTER!$K$5:$K$1204,$Q97))</f>
        <v/>
      </c>
      <c r="H97" s="25" t="str">
        <f>IF($Q97="","",INDEX(TRANSACTIONS_MASTER!$L$5:$L$1204,$Q97))</f>
        <v/>
      </c>
      <c r="I97" s="56" t="str">
        <f>IF($Q97="","",INDEX(TRANSACTIONS_MASTER!$N$5:$N$1204,$Q97))</f>
        <v/>
      </c>
      <c r="J97" s="25" t="str">
        <f>IF($Q97="","",INDEX(TRANSACTIONS_MASTER!$O$5:$O$1204,$Q97))</f>
        <v/>
      </c>
      <c r="K97" s="26" t="str">
        <f>IF($Q97="","",INDEX(TRANSACTIONS_MASTER!$Q$5:$Q$1204,$Q97))</f>
        <v/>
      </c>
      <c r="L97" s="25" t="str">
        <f>IF($Q97="","",INDEX(TRANSACTIONS_MASTER!$P$5:$P$1204,$Q97))</f>
        <v/>
      </c>
      <c r="M97" s="25" t="str">
        <f>IF($Q97="","",INDEX(TRANSACTIONS_MASTER!$AA$5:$AA$1204,$Q97))</f>
        <v/>
      </c>
      <c r="N97" s="25" t="str">
        <f>IF($Q97="","",INDEX(TRANSACTIONS_MASTER!$R$5:$R$1204,$Q97))</f>
        <v/>
      </c>
      <c r="O97" s="28" t="str">
        <f>IF($Q97="","",INDEX(TRANSACTIONS_MASTER!$AB$5:$AB$1204,$Q97))</f>
        <v/>
      </c>
      <c r="P97" s="55" t="str">
        <f>IF($Q97="","",INDEX(TRANSACTIONS_MASTER!$Z$5:$Z$1204,$Q97)&amp;"")</f>
        <v/>
      </c>
      <c r="Q97" s="67" t="str">
        <f>IFERROR(MATCH($C$2&amp;"|"&amp;90,TRANSACTIONS_MASTER!$AE$5:$AE$1204,0),"")</f>
        <v/>
      </c>
      <c r="S97" s="67">
        <f>IFERROR(MATCH(1,CARDS!$O$5:$O$34,0),"")</f>
        <v>1</v>
      </c>
      <c r="T97" s="55" t="n"/>
      <c r="U97" s="55" t="str">
        <f>IF($S97="","",INDEX(CARDS!$B$5:$B$34,$S97))</f>
        <v>VPBank</v>
      </c>
      <c r="V97" s="25">
        <f>IF($S97="","",SUMIFS(TRANSACTIONS_MASTER!$L$5:$L$1204,TRANSACTIONS_MASTER!$E$5:$E$1204,$U97,TRANSACTIONS_MASTER!$C$5:$C$1204,$C$2,TRANSACTIONS_MASTER!$U$5:$U$1204,"&lt;&gt;Cancelled"))</f>
        <v>0</v>
      </c>
      <c r="W97" s="26">
        <f>IF($S97="","",SUMIFS(TRANSACTIONS_MASTER!$Q$5:$Q$1204,TRANSACTIONS_MASTER!$E$5:$E$1204,$U97,TRANSACTIONS_MASTER!$C$5:$C$1204,$C$2))</f>
        <v>0</v>
      </c>
    </row>
    <row r="98">
      <c r="A98" s="81" t="str">
        <f>IF($Q98="","",91)</f>
        <v/>
      </c>
      <c r="B98" s="57" t="str">
        <f>IF($Q98="","",INDEX(TRANSACTIONS_MASTER!$B$5:$B$1204,$Q98))</f>
        <v/>
      </c>
      <c r="C98" s="55" t="str">
        <f>IF($Q98="","",INDEX(TRANSACTIONS_MASTER!$F$5:$F$1204,$Q98))</f>
        <v/>
      </c>
      <c r="D98" s="55" t="str">
        <f>IF($Q98="","",INDEX(TRANSACTIONS_MASTER!$E$5:$E$1204,$Q98))</f>
        <v/>
      </c>
      <c r="E98" s="55" t="str">
        <f>IF($Q98="","",INDEX(TRANSACTIONS_MASTER!$G$5:$G$1204,$Q98)&amp;"")</f>
        <v/>
      </c>
      <c r="F98" s="29" t="str">
        <f>IF($Q98="","",INDEX(TRANSACTIONS_MASTER!$I$5:$I$1204,$Q98))</f>
        <v/>
      </c>
      <c r="G98" s="55" t="str">
        <f>IF($Q98="","",INDEX(TRANSACTIONS_MASTER!$K$5:$K$1204,$Q98))</f>
        <v/>
      </c>
      <c r="H98" s="25" t="str">
        <f>IF($Q98="","",INDEX(TRANSACTIONS_MASTER!$L$5:$L$1204,$Q98))</f>
        <v/>
      </c>
      <c r="I98" s="56" t="str">
        <f>IF($Q98="","",INDEX(TRANSACTIONS_MASTER!$N$5:$N$1204,$Q98))</f>
        <v/>
      </c>
      <c r="J98" s="25" t="str">
        <f>IF($Q98="","",INDEX(TRANSACTIONS_MASTER!$O$5:$O$1204,$Q98))</f>
        <v/>
      </c>
      <c r="K98" s="26" t="str">
        <f>IF($Q98="","",INDEX(TRANSACTIONS_MASTER!$Q$5:$Q$1204,$Q98))</f>
        <v/>
      </c>
      <c r="L98" s="25" t="str">
        <f>IF($Q98="","",INDEX(TRANSACTIONS_MASTER!$P$5:$P$1204,$Q98))</f>
        <v/>
      </c>
      <c r="M98" s="25" t="str">
        <f>IF($Q98="","",INDEX(TRANSACTIONS_MASTER!$AA$5:$AA$1204,$Q98))</f>
        <v/>
      </c>
      <c r="N98" s="25" t="str">
        <f>IF($Q98="","",INDEX(TRANSACTIONS_MASTER!$R$5:$R$1204,$Q98))</f>
        <v/>
      </c>
      <c r="O98" s="28" t="str">
        <f>IF($Q98="","",INDEX(TRANSACTIONS_MASTER!$AB$5:$AB$1204,$Q98))</f>
        <v/>
      </c>
      <c r="P98" s="55" t="str">
        <f>IF($Q98="","",INDEX(TRANSACTIONS_MASTER!$Z$5:$Z$1204,$Q98)&amp;"")</f>
        <v/>
      </c>
      <c r="Q98" s="67" t="str">
        <f>IFERROR(MATCH($C$2&amp;"|"&amp;91,TRANSACTIONS_MASTER!$AE$5:$AE$1204,0),"")</f>
        <v/>
      </c>
      <c r="S98" s="67">
        <f>IFERROR(MATCH(2,CARDS!$O$5:$O$34,0),"")</f>
        <v>2</v>
      </c>
      <c r="T98" s="55" t="n"/>
      <c r="U98" s="55" t="str">
        <f>IF($S98="","",INDEX(CARDS!$B$5:$B$34,$S98))</f>
        <v>VIB</v>
      </c>
      <c r="V98" s="25">
        <f>IF($S98="","",SUMIFS(TRANSACTIONS_MASTER!$L$5:$L$1204,TRANSACTIONS_MASTER!$E$5:$E$1204,$U98,TRANSACTIONS_MASTER!$C$5:$C$1204,$C$2,TRANSACTIONS_MASTER!$U$5:$U$1204,"&lt;&gt;Cancelled"))</f>
        <v>0</v>
      </c>
      <c r="W98" s="26">
        <f>IF($S98="","",SUMIFS(TRANSACTIONS_MASTER!$Q$5:$Q$1204,TRANSACTIONS_MASTER!$E$5:$E$1204,$U98,TRANSACTIONS_MASTER!$C$5:$C$1204,$C$2))</f>
        <v>0</v>
      </c>
    </row>
    <row r="99">
      <c r="A99" s="81" t="str">
        <f>IF($Q99="","",92)</f>
        <v/>
      </c>
      <c r="B99" s="57" t="str">
        <f>IF($Q99="","",INDEX(TRANSACTIONS_MASTER!$B$5:$B$1204,$Q99))</f>
        <v/>
      </c>
      <c r="C99" s="55" t="str">
        <f>IF($Q99="","",INDEX(TRANSACTIONS_MASTER!$F$5:$F$1204,$Q99))</f>
        <v/>
      </c>
      <c r="D99" s="55" t="str">
        <f>IF($Q99="","",INDEX(TRANSACTIONS_MASTER!$E$5:$E$1204,$Q99))</f>
        <v/>
      </c>
      <c r="E99" s="55" t="str">
        <f>IF($Q99="","",INDEX(TRANSACTIONS_MASTER!$G$5:$G$1204,$Q99)&amp;"")</f>
        <v/>
      </c>
      <c r="F99" s="29" t="str">
        <f>IF($Q99="","",INDEX(TRANSACTIONS_MASTER!$I$5:$I$1204,$Q99))</f>
        <v/>
      </c>
      <c r="G99" s="55" t="str">
        <f>IF($Q99="","",INDEX(TRANSACTIONS_MASTER!$K$5:$K$1204,$Q99))</f>
        <v/>
      </c>
      <c r="H99" s="25" t="str">
        <f>IF($Q99="","",INDEX(TRANSACTIONS_MASTER!$L$5:$L$1204,$Q99))</f>
        <v/>
      </c>
      <c r="I99" s="56" t="str">
        <f>IF($Q99="","",INDEX(TRANSACTIONS_MASTER!$N$5:$N$1204,$Q99))</f>
        <v/>
      </c>
      <c r="J99" s="25" t="str">
        <f>IF($Q99="","",INDEX(TRANSACTIONS_MASTER!$O$5:$O$1204,$Q99))</f>
        <v/>
      </c>
      <c r="K99" s="26" t="str">
        <f>IF($Q99="","",INDEX(TRANSACTIONS_MASTER!$Q$5:$Q$1204,$Q99))</f>
        <v/>
      </c>
      <c r="L99" s="25" t="str">
        <f>IF($Q99="","",INDEX(TRANSACTIONS_MASTER!$P$5:$P$1204,$Q99))</f>
        <v/>
      </c>
      <c r="M99" s="25" t="str">
        <f>IF($Q99="","",INDEX(TRANSACTIONS_MASTER!$AA$5:$AA$1204,$Q99))</f>
        <v/>
      </c>
      <c r="N99" s="25" t="str">
        <f>IF($Q99="","",INDEX(TRANSACTIONS_MASTER!$R$5:$R$1204,$Q99))</f>
        <v/>
      </c>
      <c r="O99" s="28" t="str">
        <f>IF($Q99="","",INDEX(TRANSACTIONS_MASTER!$AB$5:$AB$1204,$Q99))</f>
        <v/>
      </c>
      <c r="P99" s="55" t="str">
        <f>IF($Q99="","",INDEX(TRANSACTIONS_MASTER!$Z$5:$Z$1204,$Q99)&amp;"")</f>
        <v/>
      </c>
      <c r="Q99" s="67" t="str">
        <f>IFERROR(MATCH($C$2&amp;"|"&amp;92,TRANSACTIONS_MASTER!$AE$5:$AE$1204,0),"")</f>
        <v/>
      </c>
      <c r="S99" s="67">
        <f>IFERROR(MATCH(3,CARDS!$O$5:$O$34,0),"")</f>
        <v>3</v>
      </c>
      <c r="T99" s="55" t="n"/>
      <c r="U99" s="55" t="str">
        <f>IF($S99="","",INDEX(CARDS!$B$5:$B$34,$S99))</f>
        <v>Techcombank</v>
      </c>
      <c r="V99" s="25">
        <f>IF($S99="","",SUMIFS(TRANSACTIONS_MASTER!$L$5:$L$1204,TRANSACTIONS_MASTER!$E$5:$E$1204,$U99,TRANSACTIONS_MASTER!$C$5:$C$1204,$C$2,TRANSACTIONS_MASTER!$U$5:$U$1204,"&lt;&gt;Cancelled"))</f>
        <v>0</v>
      </c>
      <c r="W99" s="26">
        <f>IF($S99="","",SUMIFS(TRANSACTIONS_MASTER!$Q$5:$Q$1204,TRANSACTIONS_MASTER!$E$5:$E$1204,$U99,TRANSACTIONS_MASTER!$C$5:$C$1204,$C$2))</f>
        <v>0</v>
      </c>
    </row>
    <row r="100">
      <c r="A100" s="81" t="str">
        <f>IF($Q100="","",93)</f>
        <v/>
      </c>
      <c r="B100" s="57" t="str">
        <f>IF($Q100="","",INDEX(TRANSACTIONS_MASTER!$B$5:$B$1204,$Q100))</f>
        <v/>
      </c>
      <c r="C100" s="55" t="str">
        <f>IF($Q100="","",INDEX(TRANSACTIONS_MASTER!$F$5:$F$1204,$Q100))</f>
        <v/>
      </c>
      <c r="D100" s="55" t="str">
        <f>IF($Q100="","",INDEX(TRANSACTIONS_MASTER!$E$5:$E$1204,$Q100))</f>
        <v/>
      </c>
      <c r="E100" s="55" t="str">
        <f>IF($Q100="","",INDEX(TRANSACTIONS_MASTER!$G$5:$G$1204,$Q100)&amp;"")</f>
        <v/>
      </c>
      <c r="F100" s="29" t="str">
        <f>IF($Q100="","",INDEX(TRANSACTIONS_MASTER!$I$5:$I$1204,$Q100))</f>
        <v/>
      </c>
      <c r="G100" s="55" t="str">
        <f>IF($Q100="","",INDEX(TRANSACTIONS_MASTER!$K$5:$K$1204,$Q100))</f>
        <v/>
      </c>
      <c r="H100" s="25" t="str">
        <f>IF($Q100="","",INDEX(TRANSACTIONS_MASTER!$L$5:$L$1204,$Q100))</f>
        <v/>
      </c>
      <c r="I100" s="56" t="str">
        <f>IF($Q100="","",INDEX(TRANSACTIONS_MASTER!$N$5:$N$1204,$Q100))</f>
        <v/>
      </c>
      <c r="J100" s="25" t="str">
        <f>IF($Q100="","",INDEX(TRANSACTIONS_MASTER!$O$5:$O$1204,$Q100))</f>
        <v/>
      </c>
      <c r="K100" s="26" t="str">
        <f>IF($Q100="","",INDEX(TRANSACTIONS_MASTER!$Q$5:$Q$1204,$Q100))</f>
        <v/>
      </c>
      <c r="L100" s="25" t="str">
        <f>IF($Q100="","",INDEX(TRANSACTIONS_MASTER!$P$5:$P$1204,$Q100))</f>
        <v/>
      </c>
      <c r="M100" s="25" t="str">
        <f>IF($Q100="","",INDEX(TRANSACTIONS_MASTER!$AA$5:$AA$1204,$Q100))</f>
        <v/>
      </c>
      <c r="N100" s="25" t="str">
        <f>IF($Q100="","",INDEX(TRANSACTIONS_MASTER!$R$5:$R$1204,$Q100))</f>
        <v/>
      </c>
      <c r="O100" s="28" t="str">
        <f>IF($Q100="","",INDEX(TRANSACTIONS_MASTER!$AB$5:$AB$1204,$Q100))</f>
        <v/>
      </c>
      <c r="P100" s="55" t="str">
        <f>IF($Q100="","",INDEX(TRANSACTIONS_MASTER!$Z$5:$Z$1204,$Q100)&amp;"")</f>
        <v/>
      </c>
      <c r="Q100" s="67" t="str">
        <f>IFERROR(MATCH($C$2&amp;"|"&amp;93,TRANSACTIONS_MASTER!$AE$5:$AE$1204,0),"")</f>
        <v/>
      </c>
      <c r="S100" s="67">
        <f>IFERROR(MATCH(4,CARDS!$O$5:$O$34,0),"")</f>
        <v>4</v>
      </c>
      <c r="T100" s="55" t="n"/>
      <c r="U100" s="55" t="str">
        <f>IF($S100="","",INDEX(CARDS!$B$5:$B$34,$S100))</f>
        <v>UOB</v>
      </c>
      <c r="V100" s="25">
        <f>IF($S100="","",SUMIFS(TRANSACTIONS_MASTER!$L$5:$L$1204,TRANSACTIONS_MASTER!$E$5:$E$1204,$U100,TRANSACTIONS_MASTER!$C$5:$C$1204,$C$2,TRANSACTIONS_MASTER!$U$5:$U$1204,"&lt;&gt;Cancelled"))</f>
        <v>0</v>
      </c>
      <c r="W100" s="26">
        <f>IF($S100="","",SUMIFS(TRANSACTIONS_MASTER!$Q$5:$Q$1204,TRANSACTIONS_MASTER!$E$5:$E$1204,$U100,TRANSACTIONS_MASTER!$C$5:$C$1204,$C$2))</f>
        <v>0</v>
      </c>
    </row>
    <row r="101">
      <c r="A101" s="81" t="str">
        <f>IF($Q101="","",94)</f>
        <v/>
      </c>
      <c r="B101" s="57" t="str">
        <f>IF($Q101="","",INDEX(TRANSACTIONS_MASTER!$B$5:$B$1204,$Q101))</f>
        <v/>
      </c>
      <c r="C101" s="55" t="str">
        <f>IF($Q101="","",INDEX(TRANSACTIONS_MASTER!$F$5:$F$1204,$Q101))</f>
        <v/>
      </c>
      <c r="D101" s="55" t="str">
        <f>IF($Q101="","",INDEX(TRANSACTIONS_MASTER!$E$5:$E$1204,$Q101))</f>
        <v/>
      </c>
      <c r="E101" s="55" t="str">
        <f>IF($Q101="","",INDEX(TRANSACTIONS_MASTER!$G$5:$G$1204,$Q101)&amp;"")</f>
        <v/>
      </c>
      <c r="F101" s="29" t="str">
        <f>IF($Q101="","",INDEX(TRANSACTIONS_MASTER!$I$5:$I$1204,$Q101))</f>
        <v/>
      </c>
      <c r="G101" s="55" t="str">
        <f>IF($Q101="","",INDEX(TRANSACTIONS_MASTER!$K$5:$K$1204,$Q101))</f>
        <v/>
      </c>
      <c r="H101" s="25" t="str">
        <f>IF($Q101="","",INDEX(TRANSACTIONS_MASTER!$L$5:$L$1204,$Q101))</f>
        <v/>
      </c>
      <c r="I101" s="56" t="str">
        <f>IF($Q101="","",INDEX(TRANSACTIONS_MASTER!$N$5:$N$1204,$Q101))</f>
        <v/>
      </c>
      <c r="J101" s="25" t="str">
        <f>IF($Q101="","",INDEX(TRANSACTIONS_MASTER!$O$5:$O$1204,$Q101))</f>
        <v/>
      </c>
      <c r="K101" s="26" t="str">
        <f>IF($Q101="","",INDEX(TRANSACTIONS_MASTER!$Q$5:$Q$1204,$Q101))</f>
        <v/>
      </c>
      <c r="L101" s="25" t="str">
        <f>IF($Q101="","",INDEX(TRANSACTIONS_MASTER!$P$5:$P$1204,$Q101))</f>
        <v/>
      </c>
      <c r="M101" s="25" t="str">
        <f>IF($Q101="","",INDEX(TRANSACTIONS_MASTER!$AA$5:$AA$1204,$Q101))</f>
        <v/>
      </c>
      <c r="N101" s="25" t="str">
        <f>IF($Q101="","",INDEX(TRANSACTIONS_MASTER!$R$5:$R$1204,$Q101))</f>
        <v/>
      </c>
      <c r="O101" s="28" t="str">
        <f>IF($Q101="","",INDEX(TRANSACTIONS_MASTER!$AB$5:$AB$1204,$Q101))</f>
        <v/>
      </c>
      <c r="P101" s="55" t="str">
        <f>IF($Q101="","",INDEX(TRANSACTIONS_MASTER!$Z$5:$Z$1204,$Q101)&amp;"")</f>
        <v/>
      </c>
      <c r="Q101" s="67" t="str">
        <f>IFERROR(MATCH($C$2&amp;"|"&amp;94,TRANSACTIONS_MASTER!$AE$5:$AE$1204,0),"")</f>
        <v/>
      </c>
      <c r="S101" s="67">
        <f>IFERROR(MATCH(5,CARDS!$O$5:$O$34,0),"")</f>
        <v>5</v>
      </c>
      <c r="T101" s="55" t="n"/>
      <c r="U101" s="55" t="str">
        <f>IF($S101="","",INDEX(CARDS!$B$5:$B$34,$S101))</f>
        <v>MB</v>
      </c>
      <c r="V101" s="25">
        <f>IF($S101="","",SUMIFS(TRANSACTIONS_MASTER!$L$5:$L$1204,TRANSACTIONS_MASTER!$E$5:$E$1204,$U101,TRANSACTIONS_MASTER!$C$5:$C$1204,$C$2,TRANSACTIONS_MASTER!$U$5:$U$1204,"&lt;&gt;Cancelled"))</f>
        <v>0</v>
      </c>
      <c r="W101" s="26">
        <f>IF($S101="","",SUMIFS(TRANSACTIONS_MASTER!$Q$5:$Q$1204,TRANSACTIONS_MASTER!$E$5:$E$1204,$U101,TRANSACTIONS_MASTER!$C$5:$C$1204,$C$2))</f>
        <v>0</v>
      </c>
    </row>
    <row r="102">
      <c r="A102" s="81" t="str">
        <f>IF($Q102="","",95)</f>
        <v/>
      </c>
      <c r="B102" s="57" t="str">
        <f>IF($Q102="","",INDEX(TRANSACTIONS_MASTER!$B$5:$B$1204,$Q102))</f>
        <v/>
      </c>
      <c r="C102" s="55" t="str">
        <f>IF($Q102="","",INDEX(TRANSACTIONS_MASTER!$F$5:$F$1204,$Q102))</f>
        <v/>
      </c>
      <c r="D102" s="55" t="str">
        <f>IF($Q102="","",INDEX(TRANSACTIONS_MASTER!$E$5:$E$1204,$Q102))</f>
        <v/>
      </c>
      <c r="E102" s="55" t="str">
        <f>IF($Q102="","",INDEX(TRANSACTIONS_MASTER!$G$5:$G$1204,$Q102)&amp;"")</f>
        <v/>
      </c>
      <c r="F102" s="29" t="str">
        <f>IF($Q102="","",INDEX(TRANSACTIONS_MASTER!$I$5:$I$1204,$Q102))</f>
        <v/>
      </c>
      <c r="G102" s="55" t="str">
        <f>IF($Q102="","",INDEX(TRANSACTIONS_MASTER!$K$5:$K$1204,$Q102))</f>
        <v/>
      </c>
      <c r="H102" s="25" t="str">
        <f>IF($Q102="","",INDEX(TRANSACTIONS_MASTER!$L$5:$L$1204,$Q102))</f>
        <v/>
      </c>
      <c r="I102" s="56" t="str">
        <f>IF($Q102="","",INDEX(TRANSACTIONS_MASTER!$N$5:$N$1204,$Q102))</f>
        <v/>
      </c>
      <c r="J102" s="25" t="str">
        <f>IF($Q102="","",INDEX(TRANSACTIONS_MASTER!$O$5:$O$1204,$Q102))</f>
        <v/>
      </c>
      <c r="K102" s="26" t="str">
        <f>IF($Q102="","",INDEX(TRANSACTIONS_MASTER!$Q$5:$Q$1204,$Q102))</f>
        <v/>
      </c>
      <c r="L102" s="25" t="str">
        <f>IF($Q102="","",INDEX(TRANSACTIONS_MASTER!$P$5:$P$1204,$Q102))</f>
        <v/>
      </c>
      <c r="M102" s="25" t="str">
        <f>IF($Q102="","",INDEX(TRANSACTIONS_MASTER!$AA$5:$AA$1204,$Q102))</f>
        <v/>
      </c>
      <c r="N102" s="25" t="str">
        <f>IF($Q102="","",INDEX(TRANSACTIONS_MASTER!$R$5:$R$1204,$Q102))</f>
        <v/>
      </c>
      <c r="O102" s="28" t="str">
        <f>IF($Q102="","",INDEX(TRANSACTIONS_MASTER!$AB$5:$AB$1204,$Q102))</f>
        <v/>
      </c>
      <c r="P102" s="55" t="str">
        <f>IF($Q102="","",INDEX(TRANSACTIONS_MASTER!$Z$5:$Z$1204,$Q102)&amp;"")</f>
        <v/>
      </c>
      <c r="Q102" s="67" t="str">
        <f>IFERROR(MATCH($C$2&amp;"|"&amp;95,TRANSACTIONS_MASTER!$AE$5:$AE$1204,0),"")</f>
        <v/>
      </c>
      <c r="S102" s="67">
        <f>IFERROR(MATCH(6,CARDS!$O$5:$O$34,0),"")</f>
        <v>6</v>
      </c>
      <c r="T102" s="55" t="n"/>
      <c r="U102" s="55" t="str">
        <f>IF($S102="","",INDEX(CARDS!$B$5:$B$34,$S102))</f>
        <v>ACB</v>
      </c>
      <c r="V102" s="25">
        <f>IF($S102="","",SUMIFS(TRANSACTIONS_MASTER!$L$5:$L$1204,TRANSACTIONS_MASTER!$E$5:$E$1204,$U102,TRANSACTIONS_MASTER!$C$5:$C$1204,$C$2,TRANSACTIONS_MASTER!$U$5:$U$1204,"&lt;&gt;Cancelled"))</f>
        <v>0</v>
      </c>
      <c r="W102" s="26">
        <f>IF($S102="","",SUMIFS(TRANSACTIONS_MASTER!$Q$5:$Q$1204,TRANSACTIONS_MASTER!$E$5:$E$1204,$U102,TRANSACTIONS_MASTER!$C$5:$C$1204,$C$2))</f>
        <v>0</v>
      </c>
    </row>
    <row r="103">
      <c r="A103" s="81" t="str">
        <f>IF($Q103="","",96)</f>
        <v/>
      </c>
      <c r="B103" s="57" t="str">
        <f>IF($Q103="","",INDEX(TRANSACTIONS_MASTER!$B$5:$B$1204,$Q103))</f>
        <v/>
      </c>
      <c r="C103" s="55" t="str">
        <f>IF($Q103="","",INDEX(TRANSACTIONS_MASTER!$F$5:$F$1204,$Q103))</f>
        <v/>
      </c>
      <c r="D103" s="55" t="str">
        <f>IF($Q103="","",INDEX(TRANSACTIONS_MASTER!$E$5:$E$1204,$Q103))</f>
        <v/>
      </c>
      <c r="E103" s="55" t="str">
        <f>IF($Q103="","",INDEX(TRANSACTIONS_MASTER!$G$5:$G$1204,$Q103)&amp;"")</f>
        <v/>
      </c>
      <c r="F103" s="29" t="str">
        <f>IF($Q103="","",INDEX(TRANSACTIONS_MASTER!$I$5:$I$1204,$Q103))</f>
        <v/>
      </c>
      <c r="G103" s="55" t="str">
        <f>IF($Q103="","",INDEX(TRANSACTIONS_MASTER!$K$5:$K$1204,$Q103))</f>
        <v/>
      </c>
      <c r="H103" s="25" t="str">
        <f>IF($Q103="","",INDEX(TRANSACTIONS_MASTER!$L$5:$L$1204,$Q103))</f>
        <v/>
      </c>
      <c r="I103" s="56" t="str">
        <f>IF($Q103="","",INDEX(TRANSACTIONS_MASTER!$N$5:$N$1204,$Q103))</f>
        <v/>
      </c>
      <c r="J103" s="25" t="str">
        <f>IF($Q103="","",INDEX(TRANSACTIONS_MASTER!$O$5:$O$1204,$Q103))</f>
        <v/>
      </c>
      <c r="K103" s="26" t="str">
        <f>IF($Q103="","",INDEX(TRANSACTIONS_MASTER!$Q$5:$Q$1204,$Q103))</f>
        <v/>
      </c>
      <c r="L103" s="25" t="str">
        <f>IF($Q103="","",INDEX(TRANSACTIONS_MASTER!$P$5:$P$1204,$Q103))</f>
        <v/>
      </c>
      <c r="M103" s="25" t="str">
        <f>IF($Q103="","",INDEX(TRANSACTIONS_MASTER!$AA$5:$AA$1204,$Q103))</f>
        <v/>
      </c>
      <c r="N103" s="25" t="str">
        <f>IF($Q103="","",INDEX(TRANSACTIONS_MASTER!$R$5:$R$1204,$Q103))</f>
        <v/>
      </c>
      <c r="O103" s="28" t="str">
        <f>IF($Q103="","",INDEX(TRANSACTIONS_MASTER!$AB$5:$AB$1204,$Q103))</f>
        <v/>
      </c>
      <c r="P103" s="55" t="str">
        <f>IF($Q103="","",INDEX(TRANSACTIONS_MASTER!$Z$5:$Z$1204,$Q103)&amp;"")</f>
        <v/>
      </c>
      <c r="Q103" s="67" t="str">
        <f>IFERROR(MATCH($C$2&amp;"|"&amp;96,TRANSACTIONS_MASTER!$AE$5:$AE$1204,0),"")</f>
        <v/>
      </c>
      <c r="S103" s="67" t="str">
        <f>IFERROR(MATCH(7,CARDS!$O$5:$O$34,0),"")</f>
        <v/>
      </c>
      <c r="T103" s="55" t="n"/>
      <c r="U103" s="55" t="str">
        <f>IF($S103="","",INDEX(CARDS!$B$5:$B$34,$S103))</f>
        <v/>
      </c>
      <c r="V103" s="25" t="str">
        <f>IF($S103="","",SUMIFS(TRANSACTIONS_MASTER!$L$5:$L$1204,TRANSACTIONS_MASTER!$E$5:$E$1204,$U103,TRANSACTIONS_MASTER!$C$5:$C$1204,$C$2,TRANSACTIONS_MASTER!$U$5:$U$1204,"&lt;&gt;Cancelled"))</f>
        <v/>
      </c>
      <c r="W103" s="26" t="str">
        <f>IF($S103="","",SUMIFS(TRANSACTIONS_MASTER!$Q$5:$Q$1204,TRANSACTIONS_MASTER!$E$5:$E$1204,$U103,TRANSACTIONS_MASTER!$C$5:$C$1204,$C$2))</f>
        <v/>
      </c>
    </row>
    <row r="104">
      <c r="A104" s="81" t="str">
        <f>IF($Q104="","",97)</f>
        <v/>
      </c>
      <c r="B104" s="57" t="str">
        <f>IF($Q104="","",INDEX(TRANSACTIONS_MASTER!$B$5:$B$1204,$Q104))</f>
        <v/>
      </c>
      <c r="C104" s="55" t="str">
        <f>IF($Q104="","",INDEX(TRANSACTIONS_MASTER!$F$5:$F$1204,$Q104))</f>
        <v/>
      </c>
      <c r="D104" s="55" t="str">
        <f>IF($Q104="","",INDEX(TRANSACTIONS_MASTER!$E$5:$E$1204,$Q104))</f>
        <v/>
      </c>
      <c r="E104" s="55" t="str">
        <f>IF($Q104="","",INDEX(TRANSACTIONS_MASTER!$G$5:$G$1204,$Q104)&amp;"")</f>
        <v/>
      </c>
      <c r="F104" s="29" t="str">
        <f>IF($Q104="","",INDEX(TRANSACTIONS_MASTER!$I$5:$I$1204,$Q104))</f>
        <v/>
      </c>
      <c r="G104" s="55" t="str">
        <f>IF($Q104="","",INDEX(TRANSACTIONS_MASTER!$K$5:$K$1204,$Q104))</f>
        <v/>
      </c>
      <c r="H104" s="25" t="str">
        <f>IF($Q104="","",INDEX(TRANSACTIONS_MASTER!$L$5:$L$1204,$Q104))</f>
        <v/>
      </c>
      <c r="I104" s="56" t="str">
        <f>IF($Q104="","",INDEX(TRANSACTIONS_MASTER!$N$5:$N$1204,$Q104))</f>
        <v/>
      </c>
      <c r="J104" s="25" t="str">
        <f>IF($Q104="","",INDEX(TRANSACTIONS_MASTER!$O$5:$O$1204,$Q104))</f>
        <v/>
      </c>
      <c r="K104" s="26" t="str">
        <f>IF($Q104="","",INDEX(TRANSACTIONS_MASTER!$Q$5:$Q$1204,$Q104))</f>
        <v/>
      </c>
      <c r="L104" s="25" t="str">
        <f>IF($Q104="","",INDEX(TRANSACTIONS_MASTER!$P$5:$P$1204,$Q104))</f>
        <v/>
      </c>
      <c r="M104" s="25" t="str">
        <f>IF($Q104="","",INDEX(TRANSACTIONS_MASTER!$AA$5:$AA$1204,$Q104))</f>
        <v/>
      </c>
      <c r="N104" s="25" t="str">
        <f>IF($Q104="","",INDEX(TRANSACTIONS_MASTER!$R$5:$R$1204,$Q104))</f>
        <v/>
      </c>
      <c r="O104" s="28" t="str">
        <f>IF($Q104="","",INDEX(TRANSACTIONS_MASTER!$AB$5:$AB$1204,$Q104))</f>
        <v/>
      </c>
      <c r="P104" s="55" t="str">
        <f>IF($Q104="","",INDEX(TRANSACTIONS_MASTER!$Z$5:$Z$1204,$Q104)&amp;"")</f>
        <v/>
      </c>
      <c r="Q104" s="67" t="str">
        <f>IFERROR(MATCH($C$2&amp;"|"&amp;97,TRANSACTIONS_MASTER!$AE$5:$AE$1204,0),"")</f>
        <v/>
      </c>
      <c r="S104" s="67" t="str">
        <f>IFERROR(MATCH(8,CARDS!$O$5:$O$34,0),"")</f>
        <v/>
      </c>
      <c r="T104" s="55" t="n"/>
      <c r="U104" s="55" t="str">
        <f>IF($S104="","",INDEX(CARDS!$B$5:$B$34,$S104))</f>
        <v/>
      </c>
      <c r="V104" s="25" t="str">
        <f>IF($S104="","",SUMIFS(TRANSACTIONS_MASTER!$L$5:$L$1204,TRANSACTIONS_MASTER!$E$5:$E$1204,$U104,TRANSACTIONS_MASTER!$C$5:$C$1204,$C$2,TRANSACTIONS_MASTER!$U$5:$U$1204,"&lt;&gt;Cancelled"))</f>
        <v/>
      </c>
      <c r="W104" s="26" t="str">
        <f>IF($S104="","",SUMIFS(TRANSACTIONS_MASTER!$Q$5:$Q$1204,TRANSACTIONS_MASTER!$E$5:$E$1204,$U104,TRANSACTIONS_MASTER!$C$5:$C$1204,$C$2))</f>
        <v/>
      </c>
    </row>
    <row r="105">
      <c r="A105" s="81" t="str">
        <f>IF($Q105="","",98)</f>
        <v/>
      </c>
      <c r="B105" s="57" t="str">
        <f>IF($Q105="","",INDEX(TRANSACTIONS_MASTER!$B$5:$B$1204,$Q105))</f>
        <v/>
      </c>
      <c r="C105" s="55" t="str">
        <f>IF($Q105="","",INDEX(TRANSACTIONS_MASTER!$F$5:$F$1204,$Q105))</f>
        <v/>
      </c>
      <c r="D105" s="55" t="str">
        <f>IF($Q105="","",INDEX(TRANSACTIONS_MASTER!$E$5:$E$1204,$Q105))</f>
        <v/>
      </c>
      <c r="E105" s="55" t="str">
        <f>IF($Q105="","",INDEX(TRANSACTIONS_MASTER!$G$5:$G$1204,$Q105)&amp;"")</f>
        <v/>
      </c>
      <c r="F105" s="29" t="str">
        <f>IF($Q105="","",INDEX(TRANSACTIONS_MASTER!$I$5:$I$1204,$Q105))</f>
        <v/>
      </c>
      <c r="G105" s="55" t="str">
        <f>IF($Q105="","",INDEX(TRANSACTIONS_MASTER!$K$5:$K$1204,$Q105))</f>
        <v/>
      </c>
      <c r="H105" s="25" t="str">
        <f>IF($Q105="","",INDEX(TRANSACTIONS_MASTER!$L$5:$L$1204,$Q105))</f>
        <v/>
      </c>
      <c r="I105" s="56" t="str">
        <f>IF($Q105="","",INDEX(TRANSACTIONS_MASTER!$N$5:$N$1204,$Q105))</f>
        <v/>
      </c>
      <c r="J105" s="25" t="str">
        <f>IF($Q105="","",INDEX(TRANSACTIONS_MASTER!$O$5:$O$1204,$Q105))</f>
        <v/>
      </c>
      <c r="K105" s="26" t="str">
        <f>IF($Q105="","",INDEX(TRANSACTIONS_MASTER!$Q$5:$Q$1204,$Q105))</f>
        <v/>
      </c>
      <c r="L105" s="25" t="str">
        <f>IF($Q105="","",INDEX(TRANSACTIONS_MASTER!$P$5:$P$1204,$Q105))</f>
        <v/>
      </c>
      <c r="M105" s="25" t="str">
        <f>IF($Q105="","",INDEX(TRANSACTIONS_MASTER!$AA$5:$AA$1204,$Q105))</f>
        <v/>
      </c>
      <c r="N105" s="25" t="str">
        <f>IF($Q105="","",INDEX(TRANSACTIONS_MASTER!$R$5:$R$1204,$Q105))</f>
        <v/>
      </c>
      <c r="O105" s="28" t="str">
        <f>IF($Q105="","",INDEX(TRANSACTIONS_MASTER!$AB$5:$AB$1204,$Q105))</f>
        <v/>
      </c>
      <c r="P105" s="55" t="str">
        <f>IF($Q105="","",INDEX(TRANSACTIONS_MASTER!$Z$5:$Z$1204,$Q105)&amp;"")</f>
        <v/>
      </c>
      <c r="Q105" s="67" t="str">
        <f>IFERROR(MATCH($C$2&amp;"|"&amp;98,TRANSACTIONS_MASTER!$AE$5:$AE$1204,0),"")</f>
        <v/>
      </c>
      <c r="S105" s="67" t="str">
        <f>IFERROR(MATCH(9,CARDS!$O$5:$O$34,0),"")</f>
        <v/>
      </c>
      <c r="T105" s="55" t="n"/>
      <c r="U105" s="55" t="str">
        <f>IF($S105="","",INDEX(CARDS!$B$5:$B$34,$S105))</f>
        <v/>
      </c>
      <c r="V105" s="25" t="str">
        <f>IF($S105="","",SUMIFS(TRANSACTIONS_MASTER!$L$5:$L$1204,TRANSACTIONS_MASTER!$E$5:$E$1204,$U105,TRANSACTIONS_MASTER!$C$5:$C$1204,$C$2,TRANSACTIONS_MASTER!$U$5:$U$1204,"&lt;&gt;Cancelled"))</f>
        <v/>
      </c>
      <c r="W105" s="26" t="str">
        <f>IF($S105="","",SUMIFS(TRANSACTIONS_MASTER!$Q$5:$Q$1204,TRANSACTIONS_MASTER!$E$5:$E$1204,$U105,TRANSACTIONS_MASTER!$C$5:$C$1204,$C$2))</f>
        <v/>
      </c>
    </row>
    <row r="106">
      <c r="A106" s="81" t="str">
        <f>IF($Q106="","",99)</f>
        <v/>
      </c>
      <c r="B106" s="57" t="str">
        <f>IF($Q106="","",INDEX(TRANSACTIONS_MASTER!$B$5:$B$1204,$Q106))</f>
        <v/>
      </c>
      <c r="C106" s="55" t="str">
        <f>IF($Q106="","",INDEX(TRANSACTIONS_MASTER!$F$5:$F$1204,$Q106))</f>
        <v/>
      </c>
      <c r="D106" s="55" t="str">
        <f>IF($Q106="","",INDEX(TRANSACTIONS_MASTER!$E$5:$E$1204,$Q106))</f>
        <v/>
      </c>
      <c r="E106" s="55" t="str">
        <f>IF($Q106="","",INDEX(TRANSACTIONS_MASTER!$G$5:$G$1204,$Q106)&amp;"")</f>
        <v/>
      </c>
      <c r="F106" s="29" t="str">
        <f>IF($Q106="","",INDEX(TRANSACTIONS_MASTER!$I$5:$I$1204,$Q106))</f>
        <v/>
      </c>
      <c r="G106" s="55" t="str">
        <f>IF($Q106="","",INDEX(TRANSACTIONS_MASTER!$K$5:$K$1204,$Q106))</f>
        <v/>
      </c>
      <c r="H106" s="25" t="str">
        <f>IF($Q106="","",INDEX(TRANSACTIONS_MASTER!$L$5:$L$1204,$Q106))</f>
        <v/>
      </c>
      <c r="I106" s="56" t="str">
        <f>IF($Q106="","",INDEX(TRANSACTIONS_MASTER!$N$5:$N$1204,$Q106))</f>
        <v/>
      </c>
      <c r="J106" s="25" t="str">
        <f>IF($Q106="","",INDEX(TRANSACTIONS_MASTER!$O$5:$O$1204,$Q106))</f>
        <v/>
      </c>
      <c r="K106" s="26" t="str">
        <f>IF($Q106="","",INDEX(TRANSACTIONS_MASTER!$Q$5:$Q$1204,$Q106))</f>
        <v/>
      </c>
      <c r="L106" s="25" t="str">
        <f>IF($Q106="","",INDEX(TRANSACTIONS_MASTER!$P$5:$P$1204,$Q106))</f>
        <v/>
      </c>
      <c r="M106" s="25" t="str">
        <f>IF($Q106="","",INDEX(TRANSACTIONS_MASTER!$AA$5:$AA$1204,$Q106))</f>
        <v/>
      </c>
      <c r="N106" s="25" t="str">
        <f>IF($Q106="","",INDEX(TRANSACTIONS_MASTER!$R$5:$R$1204,$Q106))</f>
        <v/>
      </c>
      <c r="O106" s="28" t="str">
        <f>IF($Q106="","",INDEX(TRANSACTIONS_MASTER!$AB$5:$AB$1204,$Q106))</f>
        <v/>
      </c>
      <c r="P106" s="55" t="str">
        <f>IF($Q106="","",INDEX(TRANSACTIONS_MASTER!$Z$5:$Z$1204,$Q106)&amp;"")</f>
        <v/>
      </c>
      <c r="Q106" s="67" t="str">
        <f>IFERROR(MATCH($C$2&amp;"|"&amp;99,TRANSACTIONS_MASTER!$AE$5:$AE$1204,0),"")</f>
        <v/>
      </c>
      <c r="S106" s="67" t="str">
        <f>IFERROR(MATCH(10,CARDS!$O$5:$O$34,0),"")</f>
        <v/>
      </c>
      <c r="T106" s="55" t="n"/>
      <c r="U106" s="55" t="str">
        <f>IF($S106="","",INDEX(CARDS!$B$5:$B$34,$S106))</f>
        <v/>
      </c>
      <c r="V106" s="25" t="str">
        <f>IF($S106="","",SUMIFS(TRANSACTIONS_MASTER!$L$5:$L$1204,TRANSACTIONS_MASTER!$E$5:$E$1204,$U106,TRANSACTIONS_MASTER!$C$5:$C$1204,$C$2,TRANSACTIONS_MASTER!$U$5:$U$1204,"&lt;&gt;Cancelled"))</f>
        <v/>
      </c>
      <c r="W106" s="26" t="str">
        <f>IF($S106="","",SUMIFS(TRANSACTIONS_MASTER!$Q$5:$Q$1204,TRANSACTIONS_MASTER!$E$5:$E$1204,$U106,TRANSACTIONS_MASTER!$C$5:$C$1204,$C$2))</f>
        <v/>
      </c>
    </row>
    <row r="107">
      <c r="A107" s="81" t="str">
        <f>IF($Q107="","",100)</f>
        <v/>
      </c>
      <c r="B107" s="57" t="str">
        <f>IF($Q107="","",INDEX(TRANSACTIONS_MASTER!$B$5:$B$1204,$Q107))</f>
        <v/>
      </c>
      <c r="C107" s="55" t="str">
        <f>IF($Q107="","",INDEX(TRANSACTIONS_MASTER!$F$5:$F$1204,$Q107))</f>
        <v/>
      </c>
      <c r="D107" s="55" t="str">
        <f>IF($Q107="","",INDEX(TRANSACTIONS_MASTER!$E$5:$E$1204,$Q107))</f>
        <v/>
      </c>
      <c r="E107" s="55" t="str">
        <f>IF($Q107="","",INDEX(TRANSACTIONS_MASTER!$G$5:$G$1204,$Q107)&amp;"")</f>
        <v/>
      </c>
      <c r="F107" s="29" t="str">
        <f>IF($Q107="","",INDEX(TRANSACTIONS_MASTER!$I$5:$I$1204,$Q107))</f>
        <v/>
      </c>
      <c r="G107" s="55" t="str">
        <f>IF($Q107="","",INDEX(TRANSACTIONS_MASTER!$K$5:$K$1204,$Q107))</f>
        <v/>
      </c>
      <c r="H107" s="25" t="str">
        <f>IF($Q107="","",INDEX(TRANSACTIONS_MASTER!$L$5:$L$1204,$Q107))</f>
        <v/>
      </c>
      <c r="I107" s="56" t="str">
        <f>IF($Q107="","",INDEX(TRANSACTIONS_MASTER!$N$5:$N$1204,$Q107))</f>
        <v/>
      </c>
      <c r="J107" s="25" t="str">
        <f>IF($Q107="","",INDEX(TRANSACTIONS_MASTER!$O$5:$O$1204,$Q107))</f>
        <v/>
      </c>
      <c r="K107" s="26" t="str">
        <f>IF($Q107="","",INDEX(TRANSACTIONS_MASTER!$Q$5:$Q$1204,$Q107))</f>
        <v/>
      </c>
      <c r="L107" s="25" t="str">
        <f>IF($Q107="","",INDEX(TRANSACTIONS_MASTER!$P$5:$P$1204,$Q107))</f>
        <v/>
      </c>
      <c r="M107" s="25" t="str">
        <f>IF($Q107="","",INDEX(TRANSACTIONS_MASTER!$AA$5:$AA$1204,$Q107))</f>
        <v/>
      </c>
      <c r="N107" s="25" t="str">
        <f>IF($Q107="","",INDEX(TRANSACTIONS_MASTER!$R$5:$R$1204,$Q107))</f>
        <v/>
      </c>
      <c r="O107" s="28" t="str">
        <f>IF($Q107="","",INDEX(TRANSACTIONS_MASTER!$AB$5:$AB$1204,$Q107))</f>
        <v/>
      </c>
      <c r="P107" s="55" t="str">
        <f>IF($Q107="","",INDEX(TRANSACTIONS_MASTER!$Z$5:$Z$1204,$Q107)&amp;"")</f>
        <v/>
      </c>
      <c r="Q107" s="67" t="str">
        <f>IFERROR(MATCH($C$2&amp;"|"&amp;100,TRANSACTIONS_MASTER!$AE$5:$AE$1204,0),"")</f>
        <v/>
      </c>
      <c r="S107" s="67" t="str">
        <f>IFERROR(MATCH(11,CARDS!$O$5:$O$34,0),"")</f>
        <v/>
      </c>
      <c r="T107" s="55" t="n"/>
      <c r="U107" s="55" t="str">
        <f>IF($S107="","",INDEX(CARDS!$B$5:$B$34,$S107))</f>
        <v/>
      </c>
      <c r="V107" s="25" t="str">
        <f>IF($S107="","",SUMIFS(TRANSACTIONS_MASTER!$L$5:$L$1204,TRANSACTIONS_MASTER!$E$5:$E$1204,$U107,TRANSACTIONS_MASTER!$C$5:$C$1204,$C$2,TRANSACTIONS_MASTER!$U$5:$U$1204,"&lt;&gt;Cancelled"))</f>
        <v/>
      </c>
      <c r="W107" s="26" t="str">
        <f>IF($S107="","",SUMIFS(TRANSACTIONS_MASTER!$Q$5:$Q$1204,TRANSACTIONS_MASTER!$E$5:$E$1204,$U107,TRANSACTIONS_MASTER!$C$5:$C$1204,$C$2))</f>
        <v/>
      </c>
    </row>
    <row r="108">
      <c r="A108" s="81" t="str">
        <f>IF($Q108="","",101)</f>
        <v/>
      </c>
      <c r="B108" s="57" t="str">
        <f>IF($Q108="","",INDEX(TRANSACTIONS_MASTER!$B$5:$B$1204,$Q108))</f>
        <v/>
      </c>
      <c r="C108" s="55" t="str">
        <f>IF($Q108="","",INDEX(TRANSACTIONS_MASTER!$F$5:$F$1204,$Q108))</f>
        <v/>
      </c>
      <c r="D108" s="55" t="str">
        <f>IF($Q108="","",INDEX(TRANSACTIONS_MASTER!$E$5:$E$1204,$Q108))</f>
        <v/>
      </c>
      <c r="E108" s="55" t="str">
        <f>IF($Q108="","",INDEX(TRANSACTIONS_MASTER!$G$5:$G$1204,$Q108)&amp;"")</f>
        <v/>
      </c>
      <c r="F108" s="29" t="str">
        <f>IF($Q108="","",INDEX(TRANSACTIONS_MASTER!$I$5:$I$1204,$Q108))</f>
        <v/>
      </c>
      <c r="G108" s="55" t="str">
        <f>IF($Q108="","",INDEX(TRANSACTIONS_MASTER!$K$5:$K$1204,$Q108))</f>
        <v/>
      </c>
      <c r="H108" s="25" t="str">
        <f>IF($Q108="","",INDEX(TRANSACTIONS_MASTER!$L$5:$L$1204,$Q108))</f>
        <v/>
      </c>
      <c r="I108" s="56" t="str">
        <f>IF($Q108="","",INDEX(TRANSACTIONS_MASTER!$N$5:$N$1204,$Q108))</f>
        <v/>
      </c>
      <c r="J108" s="25" t="str">
        <f>IF($Q108="","",INDEX(TRANSACTIONS_MASTER!$O$5:$O$1204,$Q108))</f>
        <v/>
      </c>
      <c r="K108" s="26" t="str">
        <f>IF($Q108="","",INDEX(TRANSACTIONS_MASTER!$Q$5:$Q$1204,$Q108))</f>
        <v/>
      </c>
      <c r="L108" s="25" t="str">
        <f>IF($Q108="","",INDEX(TRANSACTIONS_MASTER!$P$5:$P$1204,$Q108))</f>
        <v/>
      </c>
      <c r="M108" s="25" t="str">
        <f>IF($Q108="","",INDEX(TRANSACTIONS_MASTER!$AA$5:$AA$1204,$Q108))</f>
        <v/>
      </c>
      <c r="N108" s="25" t="str">
        <f>IF($Q108="","",INDEX(TRANSACTIONS_MASTER!$R$5:$R$1204,$Q108))</f>
        <v/>
      </c>
      <c r="O108" s="28" t="str">
        <f>IF($Q108="","",INDEX(TRANSACTIONS_MASTER!$AB$5:$AB$1204,$Q108))</f>
        <v/>
      </c>
      <c r="P108" s="55" t="str">
        <f>IF($Q108="","",INDEX(TRANSACTIONS_MASTER!$Z$5:$Z$1204,$Q108)&amp;"")</f>
        <v/>
      </c>
      <c r="Q108" s="67" t="str">
        <f>IFERROR(MATCH($C$2&amp;"|"&amp;101,TRANSACTIONS_MASTER!$AE$5:$AE$1204,0),"")</f>
        <v/>
      </c>
      <c r="S108" s="67" t="str">
        <f>IFERROR(MATCH(12,CARDS!$O$5:$O$34,0),"")</f>
        <v/>
      </c>
      <c r="T108" s="55" t="n"/>
      <c r="U108" s="55" t="str">
        <f>IF($S108="","",INDEX(CARDS!$B$5:$B$34,$S108))</f>
        <v/>
      </c>
      <c r="V108" s="25" t="str">
        <f>IF($S108="","",SUMIFS(TRANSACTIONS_MASTER!$L$5:$L$1204,TRANSACTIONS_MASTER!$E$5:$E$1204,$U108,TRANSACTIONS_MASTER!$C$5:$C$1204,$C$2,TRANSACTIONS_MASTER!$U$5:$U$1204,"&lt;&gt;Cancelled"))</f>
        <v/>
      </c>
      <c r="W108" s="26" t="str">
        <f>IF($S108="","",SUMIFS(TRANSACTIONS_MASTER!$Q$5:$Q$1204,TRANSACTIONS_MASTER!$E$5:$E$1204,$U108,TRANSACTIONS_MASTER!$C$5:$C$1204,$C$2))</f>
        <v/>
      </c>
    </row>
    <row r="109">
      <c r="A109" s="81" t="str">
        <f>IF($Q109="","",102)</f>
        <v/>
      </c>
      <c r="B109" s="57" t="str">
        <f>IF($Q109="","",INDEX(TRANSACTIONS_MASTER!$B$5:$B$1204,$Q109))</f>
        <v/>
      </c>
      <c r="C109" s="55" t="str">
        <f>IF($Q109="","",INDEX(TRANSACTIONS_MASTER!$F$5:$F$1204,$Q109))</f>
        <v/>
      </c>
      <c r="D109" s="55" t="str">
        <f>IF($Q109="","",INDEX(TRANSACTIONS_MASTER!$E$5:$E$1204,$Q109))</f>
        <v/>
      </c>
      <c r="E109" s="55" t="str">
        <f>IF($Q109="","",INDEX(TRANSACTIONS_MASTER!$G$5:$G$1204,$Q109)&amp;"")</f>
        <v/>
      </c>
      <c r="F109" s="29" t="str">
        <f>IF($Q109="","",INDEX(TRANSACTIONS_MASTER!$I$5:$I$1204,$Q109))</f>
        <v/>
      </c>
      <c r="G109" s="55" t="str">
        <f>IF($Q109="","",INDEX(TRANSACTIONS_MASTER!$K$5:$K$1204,$Q109))</f>
        <v/>
      </c>
      <c r="H109" s="25" t="str">
        <f>IF($Q109="","",INDEX(TRANSACTIONS_MASTER!$L$5:$L$1204,$Q109))</f>
        <v/>
      </c>
      <c r="I109" s="56" t="str">
        <f>IF($Q109="","",INDEX(TRANSACTIONS_MASTER!$N$5:$N$1204,$Q109))</f>
        <v/>
      </c>
      <c r="J109" s="25" t="str">
        <f>IF($Q109="","",INDEX(TRANSACTIONS_MASTER!$O$5:$O$1204,$Q109))</f>
        <v/>
      </c>
      <c r="K109" s="26" t="str">
        <f>IF($Q109="","",INDEX(TRANSACTIONS_MASTER!$Q$5:$Q$1204,$Q109))</f>
        <v/>
      </c>
      <c r="L109" s="25" t="str">
        <f>IF($Q109="","",INDEX(TRANSACTIONS_MASTER!$P$5:$P$1204,$Q109))</f>
        <v/>
      </c>
      <c r="M109" s="25" t="str">
        <f>IF($Q109="","",INDEX(TRANSACTIONS_MASTER!$AA$5:$AA$1204,$Q109))</f>
        <v/>
      </c>
      <c r="N109" s="25" t="str">
        <f>IF($Q109="","",INDEX(TRANSACTIONS_MASTER!$R$5:$R$1204,$Q109))</f>
        <v/>
      </c>
      <c r="O109" s="28" t="str">
        <f>IF($Q109="","",INDEX(TRANSACTIONS_MASTER!$AB$5:$AB$1204,$Q109))</f>
        <v/>
      </c>
      <c r="P109" s="55" t="str">
        <f>IF($Q109="","",INDEX(TRANSACTIONS_MASTER!$Z$5:$Z$1204,$Q109)&amp;"")</f>
        <v/>
      </c>
      <c r="Q109" s="67" t="str">
        <f>IFERROR(MATCH($C$2&amp;"|"&amp;102,TRANSACTIONS_MASTER!$AE$5:$AE$1204,0),"")</f>
        <v/>
      </c>
      <c r="S109" s="67" t="str">
        <f>IFERROR(MATCH(13,CARDS!$O$5:$O$34,0),"")</f>
        <v/>
      </c>
      <c r="T109" s="55" t="n"/>
      <c r="U109" s="55" t="str">
        <f>IF($S109="","",INDEX(CARDS!$B$5:$B$34,$S109))</f>
        <v/>
      </c>
      <c r="V109" s="25" t="str">
        <f>IF($S109="","",SUMIFS(TRANSACTIONS_MASTER!$L$5:$L$1204,TRANSACTIONS_MASTER!$E$5:$E$1204,$U109,TRANSACTIONS_MASTER!$C$5:$C$1204,$C$2,TRANSACTIONS_MASTER!$U$5:$U$1204,"&lt;&gt;Cancelled"))</f>
        <v/>
      </c>
      <c r="W109" s="26" t="str">
        <f>IF($S109="","",SUMIFS(TRANSACTIONS_MASTER!$Q$5:$Q$1204,TRANSACTIONS_MASTER!$E$5:$E$1204,$U109,TRANSACTIONS_MASTER!$C$5:$C$1204,$C$2))</f>
        <v/>
      </c>
    </row>
    <row r="110">
      <c r="A110" s="81" t="str">
        <f>IF($Q110="","",103)</f>
        <v/>
      </c>
      <c r="B110" s="57" t="str">
        <f>IF($Q110="","",INDEX(TRANSACTIONS_MASTER!$B$5:$B$1204,$Q110))</f>
        <v/>
      </c>
      <c r="C110" s="55" t="str">
        <f>IF($Q110="","",INDEX(TRANSACTIONS_MASTER!$F$5:$F$1204,$Q110))</f>
        <v/>
      </c>
      <c r="D110" s="55" t="str">
        <f>IF($Q110="","",INDEX(TRANSACTIONS_MASTER!$E$5:$E$1204,$Q110))</f>
        <v/>
      </c>
      <c r="E110" s="55" t="str">
        <f>IF($Q110="","",INDEX(TRANSACTIONS_MASTER!$G$5:$G$1204,$Q110)&amp;"")</f>
        <v/>
      </c>
      <c r="F110" s="29" t="str">
        <f>IF($Q110="","",INDEX(TRANSACTIONS_MASTER!$I$5:$I$1204,$Q110))</f>
        <v/>
      </c>
      <c r="G110" s="55" t="str">
        <f>IF($Q110="","",INDEX(TRANSACTIONS_MASTER!$K$5:$K$1204,$Q110))</f>
        <v/>
      </c>
      <c r="H110" s="25" t="str">
        <f>IF($Q110="","",INDEX(TRANSACTIONS_MASTER!$L$5:$L$1204,$Q110))</f>
        <v/>
      </c>
      <c r="I110" s="56" t="str">
        <f>IF($Q110="","",INDEX(TRANSACTIONS_MASTER!$N$5:$N$1204,$Q110))</f>
        <v/>
      </c>
      <c r="J110" s="25" t="str">
        <f>IF($Q110="","",INDEX(TRANSACTIONS_MASTER!$O$5:$O$1204,$Q110))</f>
        <v/>
      </c>
      <c r="K110" s="26" t="str">
        <f>IF($Q110="","",INDEX(TRANSACTIONS_MASTER!$Q$5:$Q$1204,$Q110))</f>
        <v/>
      </c>
      <c r="L110" s="25" t="str">
        <f>IF($Q110="","",INDEX(TRANSACTIONS_MASTER!$P$5:$P$1204,$Q110))</f>
        <v/>
      </c>
      <c r="M110" s="25" t="str">
        <f>IF($Q110="","",INDEX(TRANSACTIONS_MASTER!$AA$5:$AA$1204,$Q110))</f>
        <v/>
      </c>
      <c r="N110" s="25" t="str">
        <f>IF($Q110="","",INDEX(TRANSACTIONS_MASTER!$R$5:$R$1204,$Q110))</f>
        <v/>
      </c>
      <c r="O110" s="28" t="str">
        <f>IF($Q110="","",INDEX(TRANSACTIONS_MASTER!$AB$5:$AB$1204,$Q110))</f>
        <v/>
      </c>
      <c r="P110" s="55" t="str">
        <f>IF($Q110="","",INDEX(TRANSACTIONS_MASTER!$Z$5:$Z$1204,$Q110)&amp;"")</f>
        <v/>
      </c>
      <c r="Q110" s="67" t="str">
        <f>IFERROR(MATCH($C$2&amp;"|"&amp;103,TRANSACTIONS_MASTER!$AE$5:$AE$1204,0),"")</f>
        <v/>
      </c>
      <c r="S110" s="67" t="str">
        <f>IFERROR(MATCH(14,CARDS!$O$5:$O$34,0),"")</f>
        <v/>
      </c>
      <c r="T110" s="55" t="n"/>
      <c r="U110" s="55" t="str">
        <f>IF($S110="","",INDEX(CARDS!$B$5:$B$34,$S110))</f>
        <v/>
      </c>
      <c r="V110" s="25" t="str">
        <f>IF($S110="","",SUMIFS(TRANSACTIONS_MASTER!$L$5:$L$1204,TRANSACTIONS_MASTER!$E$5:$E$1204,$U110,TRANSACTIONS_MASTER!$C$5:$C$1204,$C$2,TRANSACTIONS_MASTER!$U$5:$U$1204,"&lt;&gt;Cancelled"))</f>
        <v/>
      </c>
      <c r="W110" s="26" t="str">
        <f>IF($S110="","",SUMIFS(TRANSACTIONS_MASTER!$Q$5:$Q$1204,TRANSACTIONS_MASTER!$E$5:$E$1204,$U110,TRANSACTIONS_MASTER!$C$5:$C$1204,$C$2))</f>
        <v/>
      </c>
    </row>
    <row r="111">
      <c r="A111" s="81" t="str">
        <f>IF($Q111="","",104)</f>
        <v/>
      </c>
      <c r="B111" s="57" t="str">
        <f>IF($Q111="","",INDEX(TRANSACTIONS_MASTER!$B$5:$B$1204,$Q111))</f>
        <v/>
      </c>
      <c r="C111" s="55" t="str">
        <f>IF($Q111="","",INDEX(TRANSACTIONS_MASTER!$F$5:$F$1204,$Q111))</f>
        <v/>
      </c>
      <c r="D111" s="55" t="str">
        <f>IF($Q111="","",INDEX(TRANSACTIONS_MASTER!$E$5:$E$1204,$Q111))</f>
        <v/>
      </c>
      <c r="E111" s="55" t="str">
        <f>IF($Q111="","",INDEX(TRANSACTIONS_MASTER!$G$5:$G$1204,$Q111)&amp;"")</f>
        <v/>
      </c>
      <c r="F111" s="29" t="str">
        <f>IF($Q111="","",INDEX(TRANSACTIONS_MASTER!$I$5:$I$1204,$Q111))</f>
        <v/>
      </c>
      <c r="G111" s="55" t="str">
        <f>IF($Q111="","",INDEX(TRANSACTIONS_MASTER!$K$5:$K$1204,$Q111))</f>
        <v/>
      </c>
      <c r="H111" s="25" t="str">
        <f>IF($Q111="","",INDEX(TRANSACTIONS_MASTER!$L$5:$L$1204,$Q111))</f>
        <v/>
      </c>
      <c r="I111" s="56" t="str">
        <f>IF($Q111="","",INDEX(TRANSACTIONS_MASTER!$N$5:$N$1204,$Q111))</f>
        <v/>
      </c>
      <c r="J111" s="25" t="str">
        <f>IF($Q111="","",INDEX(TRANSACTIONS_MASTER!$O$5:$O$1204,$Q111))</f>
        <v/>
      </c>
      <c r="K111" s="26" t="str">
        <f>IF($Q111="","",INDEX(TRANSACTIONS_MASTER!$Q$5:$Q$1204,$Q111))</f>
        <v/>
      </c>
      <c r="L111" s="25" t="str">
        <f>IF($Q111="","",INDEX(TRANSACTIONS_MASTER!$P$5:$P$1204,$Q111))</f>
        <v/>
      </c>
      <c r="M111" s="25" t="str">
        <f>IF($Q111="","",INDEX(TRANSACTIONS_MASTER!$AA$5:$AA$1204,$Q111))</f>
        <v/>
      </c>
      <c r="N111" s="25" t="str">
        <f>IF($Q111="","",INDEX(TRANSACTIONS_MASTER!$R$5:$R$1204,$Q111))</f>
        <v/>
      </c>
      <c r="O111" s="28" t="str">
        <f>IF($Q111="","",INDEX(TRANSACTIONS_MASTER!$AB$5:$AB$1204,$Q111))</f>
        <v/>
      </c>
      <c r="P111" s="55" t="str">
        <f>IF($Q111="","",INDEX(TRANSACTIONS_MASTER!$Z$5:$Z$1204,$Q111)&amp;"")</f>
        <v/>
      </c>
      <c r="Q111" s="67" t="str">
        <f>IFERROR(MATCH($C$2&amp;"|"&amp;104,TRANSACTIONS_MASTER!$AE$5:$AE$1204,0),"")</f>
        <v/>
      </c>
      <c r="S111" s="67" t="str">
        <f>IFERROR(MATCH(15,CARDS!$O$5:$O$34,0),"")</f>
        <v/>
      </c>
      <c r="T111" s="55" t="n"/>
      <c r="U111" s="55" t="str">
        <f>IF($S111="","",INDEX(CARDS!$B$5:$B$34,$S111))</f>
        <v/>
      </c>
      <c r="V111" s="25" t="str">
        <f>IF($S111="","",SUMIFS(TRANSACTIONS_MASTER!$L$5:$L$1204,TRANSACTIONS_MASTER!$E$5:$E$1204,$U111,TRANSACTIONS_MASTER!$C$5:$C$1204,$C$2,TRANSACTIONS_MASTER!$U$5:$U$1204,"&lt;&gt;Cancelled"))</f>
        <v/>
      </c>
      <c r="W111" s="26" t="str">
        <f>IF($S111="","",SUMIFS(TRANSACTIONS_MASTER!$Q$5:$Q$1204,TRANSACTIONS_MASTER!$E$5:$E$1204,$U111,TRANSACTIONS_MASTER!$C$5:$C$1204,$C$2))</f>
        <v/>
      </c>
    </row>
    <row r="112">
      <c r="A112" s="81" t="str">
        <f>IF($Q112="","",105)</f>
        <v/>
      </c>
      <c r="B112" s="57" t="str">
        <f>IF($Q112="","",INDEX(TRANSACTIONS_MASTER!$B$5:$B$1204,$Q112))</f>
        <v/>
      </c>
      <c r="C112" s="55" t="str">
        <f>IF($Q112="","",INDEX(TRANSACTIONS_MASTER!$F$5:$F$1204,$Q112))</f>
        <v/>
      </c>
      <c r="D112" s="55" t="str">
        <f>IF($Q112="","",INDEX(TRANSACTIONS_MASTER!$E$5:$E$1204,$Q112))</f>
        <v/>
      </c>
      <c r="E112" s="55" t="str">
        <f>IF($Q112="","",INDEX(TRANSACTIONS_MASTER!$G$5:$G$1204,$Q112)&amp;"")</f>
        <v/>
      </c>
      <c r="F112" s="29" t="str">
        <f>IF($Q112="","",INDEX(TRANSACTIONS_MASTER!$I$5:$I$1204,$Q112))</f>
        <v/>
      </c>
      <c r="G112" s="55" t="str">
        <f>IF($Q112="","",INDEX(TRANSACTIONS_MASTER!$K$5:$K$1204,$Q112))</f>
        <v/>
      </c>
      <c r="H112" s="25" t="str">
        <f>IF($Q112="","",INDEX(TRANSACTIONS_MASTER!$L$5:$L$1204,$Q112))</f>
        <v/>
      </c>
      <c r="I112" s="56" t="str">
        <f>IF($Q112="","",INDEX(TRANSACTIONS_MASTER!$N$5:$N$1204,$Q112))</f>
        <v/>
      </c>
      <c r="J112" s="25" t="str">
        <f>IF($Q112="","",INDEX(TRANSACTIONS_MASTER!$O$5:$O$1204,$Q112))</f>
        <v/>
      </c>
      <c r="K112" s="26" t="str">
        <f>IF($Q112="","",INDEX(TRANSACTIONS_MASTER!$Q$5:$Q$1204,$Q112))</f>
        <v/>
      </c>
      <c r="L112" s="25" t="str">
        <f>IF($Q112="","",INDEX(TRANSACTIONS_MASTER!$P$5:$P$1204,$Q112))</f>
        <v/>
      </c>
      <c r="M112" s="25" t="str">
        <f>IF($Q112="","",INDEX(TRANSACTIONS_MASTER!$AA$5:$AA$1204,$Q112))</f>
        <v/>
      </c>
      <c r="N112" s="25" t="str">
        <f>IF($Q112="","",INDEX(TRANSACTIONS_MASTER!$R$5:$R$1204,$Q112))</f>
        <v/>
      </c>
      <c r="O112" s="28" t="str">
        <f>IF($Q112="","",INDEX(TRANSACTIONS_MASTER!$AB$5:$AB$1204,$Q112))</f>
        <v/>
      </c>
      <c r="P112" s="55" t="str">
        <f>IF($Q112="","",INDEX(TRANSACTIONS_MASTER!$Z$5:$Z$1204,$Q112)&amp;"")</f>
        <v/>
      </c>
      <c r="Q112" s="67" t="str">
        <f>IFERROR(MATCH($C$2&amp;"|"&amp;105,TRANSACTIONS_MASTER!$AE$5:$AE$1204,0),"")</f>
        <v/>
      </c>
      <c r="T112" s="68" t="n"/>
      <c r="U112" s="69" t="inlineStr">
        <is>
          <t>TỔNG</t>
        </is>
      </c>
      <c r="V112" s="31">
        <f>SUM(V97:V111)</f>
        <v>0</v>
      </c>
      <c r="W112" s="31">
        <f>SUM(W97:W111)</f>
        <v>0</v>
      </c>
    </row>
    <row r="113">
      <c r="A113" s="81" t="str">
        <f>IF($Q113="","",106)</f>
        <v/>
      </c>
      <c r="B113" s="57" t="str">
        <f>IF($Q113="","",INDEX(TRANSACTIONS_MASTER!$B$5:$B$1204,$Q113))</f>
        <v/>
      </c>
      <c r="C113" s="55" t="str">
        <f>IF($Q113="","",INDEX(TRANSACTIONS_MASTER!$F$5:$F$1204,$Q113))</f>
        <v/>
      </c>
      <c r="D113" s="55" t="str">
        <f>IF($Q113="","",INDEX(TRANSACTIONS_MASTER!$E$5:$E$1204,$Q113))</f>
        <v/>
      </c>
      <c r="E113" s="55" t="str">
        <f>IF($Q113="","",INDEX(TRANSACTIONS_MASTER!$G$5:$G$1204,$Q113)&amp;"")</f>
        <v/>
      </c>
      <c r="F113" s="29" t="str">
        <f>IF($Q113="","",INDEX(TRANSACTIONS_MASTER!$I$5:$I$1204,$Q113))</f>
        <v/>
      </c>
      <c r="G113" s="55" t="str">
        <f>IF($Q113="","",INDEX(TRANSACTIONS_MASTER!$K$5:$K$1204,$Q113))</f>
        <v/>
      </c>
      <c r="H113" s="25" t="str">
        <f>IF($Q113="","",INDEX(TRANSACTIONS_MASTER!$L$5:$L$1204,$Q113))</f>
        <v/>
      </c>
      <c r="I113" s="56" t="str">
        <f>IF($Q113="","",INDEX(TRANSACTIONS_MASTER!$N$5:$N$1204,$Q113))</f>
        <v/>
      </c>
      <c r="J113" s="25" t="str">
        <f>IF($Q113="","",INDEX(TRANSACTIONS_MASTER!$O$5:$O$1204,$Q113))</f>
        <v/>
      </c>
      <c r="K113" s="26" t="str">
        <f>IF($Q113="","",INDEX(TRANSACTIONS_MASTER!$Q$5:$Q$1204,$Q113))</f>
        <v/>
      </c>
      <c r="L113" s="25" t="str">
        <f>IF($Q113="","",INDEX(TRANSACTIONS_MASTER!$P$5:$P$1204,$Q113))</f>
        <v/>
      </c>
      <c r="M113" s="25" t="str">
        <f>IF($Q113="","",INDEX(TRANSACTIONS_MASTER!$AA$5:$AA$1204,$Q113))</f>
        <v/>
      </c>
      <c r="N113" s="25" t="str">
        <f>IF($Q113="","",INDEX(TRANSACTIONS_MASTER!$R$5:$R$1204,$Q113))</f>
        <v/>
      </c>
      <c r="O113" s="28" t="str">
        <f>IF($Q113="","",INDEX(TRANSACTIONS_MASTER!$AB$5:$AB$1204,$Q113))</f>
        <v/>
      </c>
      <c r="P113" s="55" t="str">
        <f>IF($Q113="","",INDEX(TRANSACTIONS_MASTER!$Z$5:$Z$1204,$Q113)&amp;"")</f>
        <v/>
      </c>
      <c r="Q113" s="67" t="str">
        <f>IFERROR(MATCH($C$2&amp;"|"&amp;106,TRANSACTIONS_MASTER!$AE$5:$AE$1204,0),"")</f>
        <v/>
      </c>
    </row>
    <row r="114">
      <c r="A114" s="81" t="str">
        <f>IF($Q114="","",107)</f>
        <v/>
      </c>
      <c r="B114" s="57" t="str">
        <f>IF($Q114="","",INDEX(TRANSACTIONS_MASTER!$B$5:$B$1204,$Q114))</f>
        <v/>
      </c>
      <c r="C114" s="55" t="str">
        <f>IF($Q114="","",INDEX(TRANSACTIONS_MASTER!$F$5:$F$1204,$Q114))</f>
        <v/>
      </c>
      <c r="D114" s="55" t="str">
        <f>IF($Q114="","",INDEX(TRANSACTIONS_MASTER!$E$5:$E$1204,$Q114))</f>
        <v/>
      </c>
      <c r="E114" s="55" t="str">
        <f>IF($Q114="","",INDEX(TRANSACTIONS_MASTER!$G$5:$G$1204,$Q114)&amp;"")</f>
        <v/>
      </c>
      <c r="F114" s="29" t="str">
        <f>IF($Q114="","",INDEX(TRANSACTIONS_MASTER!$I$5:$I$1204,$Q114))</f>
        <v/>
      </c>
      <c r="G114" s="55" t="str">
        <f>IF($Q114="","",INDEX(TRANSACTIONS_MASTER!$K$5:$K$1204,$Q114))</f>
        <v/>
      </c>
      <c r="H114" s="25" t="str">
        <f>IF($Q114="","",INDEX(TRANSACTIONS_MASTER!$L$5:$L$1204,$Q114))</f>
        <v/>
      </c>
      <c r="I114" s="56" t="str">
        <f>IF($Q114="","",INDEX(TRANSACTIONS_MASTER!$N$5:$N$1204,$Q114))</f>
        <v/>
      </c>
      <c r="J114" s="25" t="str">
        <f>IF($Q114="","",INDEX(TRANSACTIONS_MASTER!$O$5:$O$1204,$Q114))</f>
        <v/>
      </c>
      <c r="K114" s="26" t="str">
        <f>IF($Q114="","",INDEX(TRANSACTIONS_MASTER!$Q$5:$Q$1204,$Q114))</f>
        <v/>
      </c>
      <c r="L114" s="25" t="str">
        <f>IF($Q114="","",INDEX(TRANSACTIONS_MASTER!$P$5:$P$1204,$Q114))</f>
        <v/>
      </c>
      <c r="M114" s="25" t="str">
        <f>IF($Q114="","",INDEX(TRANSACTIONS_MASTER!$AA$5:$AA$1204,$Q114))</f>
        <v/>
      </c>
      <c r="N114" s="25" t="str">
        <f>IF($Q114="","",INDEX(TRANSACTIONS_MASTER!$R$5:$R$1204,$Q114))</f>
        <v/>
      </c>
      <c r="O114" s="28" t="str">
        <f>IF($Q114="","",INDEX(TRANSACTIONS_MASTER!$AB$5:$AB$1204,$Q114))</f>
        <v/>
      </c>
      <c r="P114" s="55" t="str">
        <f>IF($Q114="","",INDEX(TRANSACTIONS_MASTER!$Z$5:$Z$1204,$Q114)&amp;"")</f>
        <v/>
      </c>
      <c r="Q114" s="67" t="str">
        <f>IFERROR(MATCH($C$2&amp;"|"&amp;107,TRANSACTIONS_MASTER!$AE$5:$AE$1204,0),"")</f>
        <v/>
      </c>
    </row>
    <row r="115" ht="22" customHeight="1">
      <c r="A115" s="81" t="str">
        <f>IF($Q115="","",108)</f>
        <v/>
      </c>
      <c r="B115" s="57" t="str">
        <f>IF($Q115="","",INDEX(TRANSACTIONS_MASTER!$B$5:$B$1204,$Q115))</f>
        <v/>
      </c>
      <c r="C115" s="55" t="str">
        <f>IF($Q115="","",INDEX(TRANSACTIONS_MASTER!$F$5:$F$1204,$Q115))</f>
        <v/>
      </c>
      <c r="D115" s="55" t="str">
        <f>IF($Q115="","",INDEX(TRANSACTIONS_MASTER!$E$5:$E$1204,$Q115))</f>
        <v/>
      </c>
      <c r="E115" s="55" t="str">
        <f>IF($Q115="","",INDEX(TRANSACTIONS_MASTER!$G$5:$G$1204,$Q115)&amp;"")</f>
        <v/>
      </c>
      <c r="F115" s="29" t="str">
        <f>IF($Q115="","",INDEX(TRANSACTIONS_MASTER!$I$5:$I$1204,$Q115))</f>
        <v/>
      </c>
      <c r="G115" s="55" t="str">
        <f>IF($Q115="","",INDEX(TRANSACTIONS_MASTER!$K$5:$K$1204,$Q115))</f>
        <v/>
      </c>
      <c r="H115" s="25" t="str">
        <f>IF($Q115="","",INDEX(TRANSACTIONS_MASTER!$L$5:$L$1204,$Q115))</f>
        <v/>
      </c>
      <c r="I115" s="56" t="str">
        <f>IF($Q115="","",INDEX(TRANSACTIONS_MASTER!$N$5:$N$1204,$Q115))</f>
        <v/>
      </c>
      <c r="J115" s="25" t="str">
        <f>IF($Q115="","",INDEX(TRANSACTIONS_MASTER!$O$5:$O$1204,$Q115))</f>
        <v/>
      </c>
      <c r="K115" s="26" t="str">
        <f>IF($Q115="","",INDEX(TRANSACTIONS_MASTER!$Q$5:$Q$1204,$Q115))</f>
        <v/>
      </c>
      <c r="L115" s="25" t="str">
        <f>IF($Q115="","",INDEX(TRANSACTIONS_MASTER!$P$5:$P$1204,$Q115))</f>
        <v/>
      </c>
      <c r="M115" s="25" t="str">
        <f>IF($Q115="","",INDEX(TRANSACTIONS_MASTER!$AA$5:$AA$1204,$Q115))</f>
        <v/>
      </c>
      <c r="N115" s="25" t="str">
        <f>IF($Q115="","",INDEX(TRANSACTIONS_MASTER!$R$5:$R$1204,$Q115))</f>
        <v/>
      </c>
      <c r="O115" s="28" t="str">
        <f>IF($Q115="","",INDEX(TRANSACTIONS_MASTER!$AB$5:$AB$1204,$Q115))</f>
        <v/>
      </c>
      <c r="P115" s="55" t="str">
        <f>IF($Q115="","",INDEX(TRANSACTIONS_MASTER!$Z$5:$Z$1204,$Q115)&amp;"")</f>
        <v/>
      </c>
      <c r="Q115" s="67" t="str">
        <f>IFERROR(MATCH($C$2&amp;"|"&amp;108,TRANSACTIONS_MASTER!$AE$5:$AE$1204,0),"")</f>
        <v/>
      </c>
      <c r="T115" s="19" t="inlineStr">
        <is>
          <t>THEO DANH MỤC (Category)</t>
        </is>
      </c>
      <c r="U115" s="20" t="n"/>
      <c r="V115" s="20" t="n"/>
      <c r="W115" s="20" t="n"/>
      <c r="X115" s="20" t="n"/>
      <c r="Y115" s="20" t="n"/>
      <c r="Z115" s="20" t="n"/>
      <c r="AA115" s="20" t="n"/>
    </row>
    <row r="116" ht="28" customHeight="1">
      <c r="A116" s="81" t="str">
        <f>IF($Q116="","",109)</f>
        <v/>
      </c>
      <c r="B116" s="57" t="str">
        <f>IF($Q116="","",INDEX(TRANSACTIONS_MASTER!$B$5:$B$1204,$Q116))</f>
        <v/>
      </c>
      <c r="C116" s="55" t="str">
        <f>IF($Q116="","",INDEX(TRANSACTIONS_MASTER!$F$5:$F$1204,$Q116))</f>
        <v/>
      </c>
      <c r="D116" s="55" t="str">
        <f>IF($Q116="","",INDEX(TRANSACTIONS_MASTER!$E$5:$E$1204,$Q116))</f>
        <v/>
      </c>
      <c r="E116" s="55" t="str">
        <f>IF($Q116="","",INDEX(TRANSACTIONS_MASTER!$G$5:$G$1204,$Q116)&amp;"")</f>
        <v/>
      </c>
      <c r="F116" s="29" t="str">
        <f>IF($Q116="","",INDEX(TRANSACTIONS_MASTER!$I$5:$I$1204,$Q116))</f>
        <v/>
      </c>
      <c r="G116" s="55" t="str">
        <f>IF($Q116="","",INDEX(TRANSACTIONS_MASTER!$K$5:$K$1204,$Q116))</f>
        <v/>
      </c>
      <c r="H116" s="25" t="str">
        <f>IF($Q116="","",INDEX(TRANSACTIONS_MASTER!$L$5:$L$1204,$Q116))</f>
        <v/>
      </c>
      <c r="I116" s="56" t="str">
        <f>IF($Q116="","",INDEX(TRANSACTIONS_MASTER!$N$5:$N$1204,$Q116))</f>
        <v/>
      </c>
      <c r="J116" s="25" t="str">
        <f>IF($Q116="","",INDEX(TRANSACTIONS_MASTER!$O$5:$O$1204,$Q116))</f>
        <v/>
      </c>
      <c r="K116" s="26" t="str">
        <f>IF($Q116="","",INDEX(TRANSACTIONS_MASTER!$Q$5:$Q$1204,$Q116))</f>
        <v/>
      </c>
      <c r="L116" s="25" t="str">
        <f>IF($Q116="","",INDEX(TRANSACTIONS_MASTER!$P$5:$P$1204,$Q116))</f>
        <v/>
      </c>
      <c r="M116" s="25" t="str">
        <f>IF($Q116="","",INDEX(TRANSACTIONS_MASTER!$AA$5:$AA$1204,$Q116))</f>
        <v/>
      </c>
      <c r="N116" s="25" t="str">
        <f>IF($Q116="","",INDEX(TRANSACTIONS_MASTER!$R$5:$R$1204,$Q116))</f>
        <v/>
      </c>
      <c r="O116" s="28" t="str">
        <f>IF($Q116="","",INDEX(TRANSACTIONS_MASTER!$AB$5:$AB$1204,$Q116))</f>
        <v/>
      </c>
      <c r="P116" s="55" t="str">
        <f>IF($Q116="","",INDEX(TRANSACTIONS_MASTER!$Z$5:$Z$1204,$Q116)&amp;"")</f>
        <v/>
      </c>
      <c r="Q116" s="67" t="str">
        <f>IFERROR(MATCH($C$2&amp;"|"&amp;109,TRANSACTIONS_MASTER!$AE$5:$AE$1204,0),"")</f>
        <v/>
      </c>
      <c r="S116" s="21" t="inlineStr">
        <is>
          <t>#</t>
        </is>
      </c>
      <c r="T116" s="21" t="inlineStr"/>
      <c r="U116" s="21" t="inlineStr">
        <is>
          <t>Danh mục</t>
        </is>
      </c>
      <c r="V116" s="21" t="inlineStr">
        <is>
          <t>Chi tiêu</t>
        </is>
      </c>
      <c r="W116" s="21" t="inlineStr">
        <is>
          <t>Cashback</t>
        </is>
      </c>
    </row>
    <row r="117">
      <c r="A117" s="81" t="str">
        <f>IF($Q117="","",110)</f>
        <v/>
      </c>
      <c r="B117" s="57" t="str">
        <f>IF($Q117="","",INDEX(TRANSACTIONS_MASTER!$B$5:$B$1204,$Q117))</f>
        <v/>
      </c>
      <c r="C117" s="55" t="str">
        <f>IF($Q117="","",INDEX(TRANSACTIONS_MASTER!$F$5:$F$1204,$Q117))</f>
        <v/>
      </c>
      <c r="D117" s="55" t="str">
        <f>IF($Q117="","",INDEX(TRANSACTIONS_MASTER!$E$5:$E$1204,$Q117))</f>
        <v/>
      </c>
      <c r="E117" s="55" t="str">
        <f>IF($Q117="","",INDEX(TRANSACTIONS_MASTER!$G$5:$G$1204,$Q117)&amp;"")</f>
        <v/>
      </c>
      <c r="F117" s="29" t="str">
        <f>IF($Q117="","",INDEX(TRANSACTIONS_MASTER!$I$5:$I$1204,$Q117))</f>
        <v/>
      </c>
      <c r="G117" s="55" t="str">
        <f>IF($Q117="","",INDEX(TRANSACTIONS_MASTER!$K$5:$K$1204,$Q117))</f>
        <v/>
      </c>
      <c r="H117" s="25" t="str">
        <f>IF($Q117="","",INDEX(TRANSACTIONS_MASTER!$L$5:$L$1204,$Q117))</f>
        <v/>
      </c>
      <c r="I117" s="56" t="str">
        <f>IF($Q117="","",INDEX(TRANSACTIONS_MASTER!$N$5:$N$1204,$Q117))</f>
        <v/>
      </c>
      <c r="J117" s="25" t="str">
        <f>IF($Q117="","",INDEX(TRANSACTIONS_MASTER!$O$5:$O$1204,$Q117))</f>
        <v/>
      </c>
      <c r="K117" s="26" t="str">
        <f>IF($Q117="","",INDEX(TRANSACTIONS_MASTER!$Q$5:$Q$1204,$Q117))</f>
        <v/>
      </c>
      <c r="L117" s="25" t="str">
        <f>IF($Q117="","",INDEX(TRANSACTIONS_MASTER!$P$5:$P$1204,$Q117))</f>
        <v/>
      </c>
      <c r="M117" s="25" t="str">
        <f>IF($Q117="","",INDEX(TRANSACTIONS_MASTER!$AA$5:$AA$1204,$Q117))</f>
        <v/>
      </c>
      <c r="N117" s="25" t="str">
        <f>IF($Q117="","",INDEX(TRANSACTIONS_MASTER!$R$5:$R$1204,$Q117))</f>
        <v/>
      </c>
      <c r="O117" s="28" t="str">
        <f>IF($Q117="","",INDEX(TRANSACTIONS_MASTER!$AB$5:$AB$1204,$Q117))</f>
        <v/>
      </c>
      <c r="P117" s="55" t="str">
        <f>IF($Q117="","",INDEX(TRANSACTIONS_MASTER!$Z$5:$Z$1204,$Q117)&amp;"")</f>
        <v/>
      </c>
      <c r="Q117" s="67" t="str">
        <f>IFERROR(MATCH($C$2&amp;"|"&amp;110,TRANSACTIONS_MASTER!$AE$5:$AE$1204,0),"")</f>
        <v/>
      </c>
      <c r="S117" s="67" t="str">
        <f>IFERROR(MATCH(1,INDEX((TRANSACTIONS_MASTER!$C$5:$C$1204=$C$2)*(TRANSACTIONS_MASTER!$AL$5:$AL$1204=1),0),0),"")</f>
        <v/>
      </c>
      <c r="T117" s="55" t="n"/>
      <c r="U117" s="55" t="str">
        <f>IF($S117="","",INDEX(TRANSACTIONS_MASTER!$K$5:$K$1204,$S117))</f>
        <v/>
      </c>
      <c r="V117" s="25" t="str">
        <f>IF($S117="","",SUMIFS(TRANSACTIONS_MASTER!$L$5:$L$1204,TRANSACTIONS_MASTER!$K$5:$K$1204,$U117,TRANSACTIONS_MASTER!$C$5:$C$1204,$C$2,TRANSACTIONS_MASTER!$U$5:$U$1204,"&lt;&gt;Cancelled"))</f>
        <v/>
      </c>
      <c r="W117" s="26" t="str">
        <f>IF($S117="","",SUMIFS(TRANSACTIONS_MASTER!$Q$5:$Q$1204,TRANSACTIONS_MASTER!$K$5:$K$1204,$U117,TRANSACTIONS_MASTER!$C$5:$C$1204,$C$2))</f>
        <v/>
      </c>
    </row>
    <row r="118">
      <c r="A118" s="81" t="str">
        <f>IF($Q118="","",111)</f>
        <v/>
      </c>
      <c r="B118" s="57" t="str">
        <f>IF($Q118="","",INDEX(TRANSACTIONS_MASTER!$B$5:$B$1204,$Q118))</f>
        <v/>
      </c>
      <c r="C118" s="55" t="str">
        <f>IF($Q118="","",INDEX(TRANSACTIONS_MASTER!$F$5:$F$1204,$Q118))</f>
        <v/>
      </c>
      <c r="D118" s="55" t="str">
        <f>IF($Q118="","",INDEX(TRANSACTIONS_MASTER!$E$5:$E$1204,$Q118))</f>
        <v/>
      </c>
      <c r="E118" s="55" t="str">
        <f>IF($Q118="","",INDEX(TRANSACTIONS_MASTER!$G$5:$G$1204,$Q118)&amp;"")</f>
        <v/>
      </c>
      <c r="F118" s="29" t="str">
        <f>IF($Q118="","",INDEX(TRANSACTIONS_MASTER!$I$5:$I$1204,$Q118))</f>
        <v/>
      </c>
      <c r="G118" s="55" t="str">
        <f>IF($Q118="","",INDEX(TRANSACTIONS_MASTER!$K$5:$K$1204,$Q118))</f>
        <v/>
      </c>
      <c r="H118" s="25" t="str">
        <f>IF($Q118="","",INDEX(TRANSACTIONS_MASTER!$L$5:$L$1204,$Q118))</f>
        <v/>
      </c>
      <c r="I118" s="56" t="str">
        <f>IF($Q118="","",INDEX(TRANSACTIONS_MASTER!$N$5:$N$1204,$Q118))</f>
        <v/>
      </c>
      <c r="J118" s="25" t="str">
        <f>IF($Q118="","",INDEX(TRANSACTIONS_MASTER!$O$5:$O$1204,$Q118))</f>
        <v/>
      </c>
      <c r="K118" s="26" t="str">
        <f>IF($Q118="","",INDEX(TRANSACTIONS_MASTER!$Q$5:$Q$1204,$Q118))</f>
        <v/>
      </c>
      <c r="L118" s="25" t="str">
        <f>IF($Q118="","",INDEX(TRANSACTIONS_MASTER!$P$5:$P$1204,$Q118))</f>
        <v/>
      </c>
      <c r="M118" s="25" t="str">
        <f>IF($Q118="","",INDEX(TRANSACTIONS_MASTER!$AA$5:$AA$1204,$Q118))</f>
        <v/>
      </c>
      <c r="N118" s="25" t="str">
        <f>IF($Q118="","",INDEX(TRANSACTIONS_MASTER!$R$5:$R$1204,$Q118))</f>
        <v/>
      </c>
      <c r="O118" s="28" t="str">
        <f>IF($Q118="","",INDEX(TRANSACTIONS_MASTER!$AB$5:$AB$1204,$Q118))</f>
        <v/>
      </c>
      <c r="P118" s="55" t="str">
        <f>IF($Q118="","",INDEX(TRANSACTIONS_MASTER!$Z$5:$Z$1204,$Q118)&amp;"")</f>
        <v/>
      </c>
      <c r="Q118" s="67" t="str">
        <f>IFERROR(MATCH($C$2&amp;"|"&amp;111,TRANSACTIONS_MASTER!$AE$5:$AE$1204,0),"")</f>
        <v/>
      </c>
      <c r="S118" s="67" t="str">
        <f>IFERROR(MATCH(1,INDEX((TRANSACTIONS_MASTER!$C$5:$C$1204=$C$2)*(TRANSACTIONS_MASTER!$AL$5:$AL$1204=2),0),0),"")</f>
        <v/>
      </c>
      <c r="T118" s="55" t="n"/>
      <c r="U118" s="55" t="str">
        <f>IF($S118="","",INDEX(TRANSACTIONS_MASTER!$K$5:$K$1204,$S118))</f>
        <v/>
      </c>
      <c r="V118" s="25" t="str">
        <f>IF($S118="","",SUMIFS(TRANSACTIONS_MASTER!$L$5:$L$1204,TRANSACTIONS_MASTER!$K$5:$K$1204,$U118,TRANSACTIONS_MASTER!$C$5:$C$1204,$C$2,TRANSACTIONS_MASTER!$U$5:$U$1204,"&lt;&gt;Cancelled"))</f>
        <v/>
      </c>
      <c r="W118" s="26" t="str">
        <f>IF($S118="","",SUMIFS(TRANSACTIONS_MASTER!$Q$5:$Q$1204,TRANSACTIONS_MASTER!$K$5:$K$1204,$U118,TRANSACTIONS_MASTER!$C$5:$C$1204,$C$2))</f>
        <v/>
      </c>
    </row>
    <row r="119">
      <c r="A119" s="81" t="str">
        <f>IF($Q119="","",112)</f>
        <v/>
      </c>
      <c r="B119" s="57" t="str">
        <f>IF($Q119="","",INDEX(TRANSACTIONS_MASTER!$B$5:$B$1204,$Q119))</f>
        <v/>
      </c>
      <c r="C119" s="55" t="str">
        <f>IF($Q119="","",INDEX(TRANSACTIONS_MASTER!$F$5:$F$1204,$Q119))</f>
        <v/>
      </c>
      <c r="D119" s="55" t="str">
        <f>IF($Q119="","",INDEX(TRANSACTIONS_MASTER!$E$5:$E$1204,$Q119))</f>
        <v/>
      </c>
      <c r="E119" s="55" t="str">
        <f>IF($Q119="","",INDEX(TRANSACTIONS_MASTER!$G$5:$G$1204,$Q119)&amp;"")</f>
        <v/>
      </c>
      <c r="F119" s="29" t="str">
        <f>IF($Q119="","",INDEX(TRANSACTIONS_MASTER!$I$5:$I$1204,$Q119))</f>
        <v/>
      </c>
      <c r="G119" s="55" t="str">
        <f>IF($Q119="","",INDEX(TRANSACTIONS_MASTER!$K$5:$K$1204,$Q119))</f>
        <v/>
      </c>
      <c r="H119" s="25" t="str">
        <f>IF($Q119="","",INDEX(TRANSACTIONS_MASTER!$L$5:$L$1204,$Q119))</f>
        <v/>
      </c>
      <c r="I119" s="56" t="str">
        <f>IF($Q119="","",INDEX(TRANSACTIONS_MASTER!$N$5:$N$1204,$Q119))</f>
        <v/>
      </c>
      <c r="J119" s="25" t="str">
        <f>IF($Q119="","",INDEX(TRANSACTIONS_MASTER!$O$5:$O$1204,$Q119))</f>
        <v/>
      </c>
      <c r="K119" s="26" t="str">
        <f>IF($Q119="","",INDEX(TRANSACTIONS_MASTER!$Q$5:$Q$1204,$Q119))</f>
        <v/>
      </c>
      <c r="L119" s="25" t="str">
        <f>IF($Q119="","",INDEX(TRANSACTIONS_MASTER!$P$5:$P$1204,$Q119))</f>
        <v/>
      </c>
      <c r="M119" s="25" t="str">
        <f>IF($Q119="","",INDEX(TRANSACTIONS_MASTER!$AA$5:$AA$1204,$Q119))</f>
        <v/>
      </c>
      <c r="N119" s="25" t="str">
        <f>IF($Q119="","",INDEX(TRANSACTIONS_MASTER!$R$5:$R$1204,$Q119))</f>
        <v/>
      </c>
      <c r="O119" s="28" t="str">
        <f>IF($Q119="","",INDEX(TRANSACTIONS_MASTER!$AB$5:$AB$1204,$Q119))</f>
        <v/>
      </c>
      <c r="P119" s="55" t="str">
        <f>IF($Q119="","",INDEX(TRANSACTIONS_MASTER!$Z$5:$Z$1204,$Q119)&amp;"")</f>
        <v/>
      </c>
      <c r="Q119" s="67" t="str">
        <f>IFERROR(MATCH($C$2&amp;"|"&amp;112,TRANSACTIONS_MASTER!$AE$5:$AE$1204,0),"")</f>
        <v/>
      </c>
      <c r="S119" s="67" t="str">
        <f>IFERROR(MATCH(1,INDEX((TRANSACTIONS_MASTER!$C$5:$C$1204=$C$2)*(TRANSACTIONS_MASTER!$AL$5:$AL$1204=3),0),0),"")</f>
        <v/>
      </c>
      <c r="T119" s="55" t="n"/>
      <c r="U119" s="55" t="str">
        <f>IF($S119="","",INDEX(TRANSACTIONS_MASTER!$K$5:$K$1204,$S119))</f>
        <v/>
      </c>
      <c r="V119" s="25" t="str">
        <f>IF($S119="","",SUMIFS(TRANSACTIONS_MASTER!$L$5:$L$1204,TRANSACTIONS_MASTER!$K$5:$K$1204,$U119,TRANSACTIONS_MASTER!$C$5:$C$1204,$C$2,TRANSACTIONS_MASTER!$U$5:$U$1204,"&lt;&gt;Cancelled"))</f>
        <v/>
      </c>
      <c r="W119" s="26" t="str">
        <f>IF($S119="","",SUMIFS(TRANSACTIONS_MASTER!$Q$5:$Q$1204,TRANSACTIONS_MASTER!$K$5:$K$1204,$U119,TRANSACTIONS_MASTER!$C$5:$C$1204,$C$2))</f>
        <v/>
      </c>
    </row>
    <row r="120">
      <c r="A120" s="81" t="str">
        <f>IF($Q120="","",113)</f>
        <v/>
      </c>
      <c r="B120" s="57" t="str">
        <f>IF($Q120="","",INDEX(TRANSACTIONS_MASTER!$B$5:$B$1204,$Q120))</f>
        <v/>
      </c>
      <c r="C120" s="55" t="str">
        <f>IF($Q120="","",INDEX(TRANSACTIONS_MASTER!$F$5:$F$1204,$Q120))</f>
        <v/>
      </c>
      <c r="D120" s="55" t="str">
        <f>IF($Q120="","",INDEX(TRANSACTIONS_MASTER!$E$5:$E$1204,$Q120))</f>
        <v/>
      </c>
      <c r="E120" s="55" t="str">
        <f>IF($Q120="","",INDEX(TRANSACTIONS_MASTER!$G$5:$G$1204,$Q120)&amp;"")</f>
        <v/>
      </c>
      <c r="F120" s="29" t="str">
        <f>IF($Q120="","",INDEX(TRANSACTIONS_MASTER!$I$5:$I$1204,$Q120))</f>
        <v/>
      </c>
      <c r="G120" s="55" t="str">
        <f>IF($Q120="","",INDEX(TRANSACTIONS_MASTER!$K$5:$K$1204,$Q120))</f>
        <v/>
      </c>
      <c r="H120" s="25" t="str">
        <f>IF($Q120="","",INDEX(TRANSACTIONS_MASTER!$L$5:$L$1204,$Q120))</f>
        <v/>
      </c>
      <c r="I120" s="56" t="str">
        <f>IF($Q120="","",INDEX(TRANSACTIONS_MASTER!$N$5:$N$1204,$Q120))</f>
        <v/>
      </c>
      <c r="J120" s="25" t="str">
        <f>IF($Q120="","",INDEX(TRANSACTIONS_MASTER!$O$5:$O$1204,$Q120))</f>
        <v/>
      </c>
      <c r="K120" s="26" t="str">
        <f>IF($Q120="","",INDEX(TRANSACTIONS_MASTER!$Q$5:$Q$1204,$Q120))</f>
        <v/>
      </c>
      <c r="L120" s="25" t="str">
        <f>IF($Q120="","",INDEX(TRANSACTIONS_MASTER!$P$5:$P$1204,$Q120))</f>
        <v/>
      </c>
      <c r="M120" s="25" t="str">
        <f>IF($Q120="","",INDEX(TRANSACTIONS_MASTER!$AA$5:$AA$1204,$Q120))</f>
        <v/>
      </c>
      <c r="N120" s="25" t="str">
        <f>IF($Q120="","",INDEX(TRANSACTIONS_MASTER!$R$5:$R$1204,$Q120))</f>
        <v/>
      </c>
      <c r="O120" s="28" t="str">
        <f>IF($Q120="","",INDEX(TRANSACTIONS_MASTER!$AB$5:$AB$1204,$Q120))</f>
        <v/>
      </c>
      <c r="P120" s="55" t="str">
        <f>IF($Q120="","",INDEX(TRANSACTIONS_MASTER!$Z$5:$Z$1204,$Q120)&amp;"")</f>
        <v/>
      </c>
      <c r="Q120" s="67" t="str">
        <f>IFERROR(MATCH($C$2&amp;"|"&amp;113,TRANSACTIONS_MASTER!$AE$5:$AE$1204,0),"")</f>
        <v/>
      </c>
      <c r="S120" s="67" t="str">
        <f>IFERROR(MATCH(1,INDEX((TRANSACTIONS_MASTER!$C$5:$C$1204=$C$2)*(TRANSACTIONS_MASTER!$AL$5:$AL$1204=4),0),0),"")</f>
        <v/>
      </c>
      <c r="T120" s="55" t="n"/>
      <c r="U120" s="55" t="str">
        <f>IF($S120="","",INDEX(TRANSACTIONS_MASTER!$K$5:$K$1204,$S120))</f>
        <v/>
      </c>
      <c r="V120" s="25" t="str">
        <f>IF($S120="","",SUMIFS(TRANSACTIONS_MASTER!$L$5:$L$1204,TRANSACTIONS_MASTER!$K$5:$K$1204,$U120,TRANSACTIONS_MASTER!$C$5:$C$1204,$C$2,TRANSACTIONS_MASTER!$U$5:$U$1204,"&lt;&gt;Cancelled"))</f>
        <v/>
      </c>
      <c r="W120" s="26" t="str">
        <f>IF($S120="","",SUMIFS(TRANSACTIONS_MASTER!$Q$5:$Q$1204,TRANSACTIONS_MASTER!$K$5:$K$1204,$U120,TRANSACTIONS_MASTER!$C$5:$C$1204,$C$2))</f>
        <v/>
      </c>
    </row>
    <row r="121">
      <c r="A121" s="81" t="str">
        <f>IF($Q121="","",114)</f>
        <v/>
      </c>
      <c r="B121" s="57" t="str">
        <f>IF($Q121="","",INDEX(TRANSACTIONS_MASTER!$B$5:$B$1204,$Q121))</f>
        <v/>
      </c>
      <c r="C121" s="55" t="str">
        <f>IF($Q121="","",INDEX(TRANSACTIONS_MASTER!$F$5:$F$1204,$Q121))</f>
        <v/>
      </c>
      <c r="D121" s="55" t="str">
        <f>IF($Q121="","",INDEX(TRANSACTIONS_MASTER!$E$5:$E$1204,$Q121))</f>
        <v/>
      </c>
      <c r="E121" s="55" t="str">
        <f>IF($Q121="","",INDEX(TRANSACTIONS_MASTER!$G$5:$G$1204,$Q121)&amp;"")</f>
        <v/>
      </c>
      <c r="F121" s="29" t="str">
        <f>IF($Q121="","",INDEX(TRANSACTIONS_MASTER!$I$5:$I$1204,$Q121))</f>
        <v/>
      </c>
      <c r="G121" s="55" t="str">
        <f>IF($Q121="","",INDEX(TRANSACTIONS_MASTER!$K$5:$K$1204,$Q121))</f>
        <v/>
      </c>
      <c r="H121" s="25" t="str">
        <f>IF($Q121="","",INDEX(TRANSACTIONS_MASTER!$L$5:$L$1204,$Q121))</f>
        <v/>
      </c>
      <c r="I121" s="56" t="str">
        <f>IF($Q121="","",INDEX(TRANSACTIONS_MASTER!$N$5:$N$1204,$Q121))</f>
        <v/>
      </c>
      <c r="J121" s="25" t="str">
        <f>IF($Q121="","",INDEX(TRANSACTIONS_MASTER!$O$5:$O$1204,$Q121))</f>
        <v/>
      </c>
      <c r="K121" s="26" t="str">
        <f>IF($Q121="","",INDEX(TRANSACTIONS_MASTER!$Q$5:$Q$1204,$Q121))</f>
        <v/>
      </c>
      <c r="L121" s="25" t="str">
        <f>IF($Q121="","",INDEX(TRANSACTIONS_MASTER!$P$5:$P$1204,$Q121))</f>
        <v/>
      </c>
      <c r="M121" s="25" t="str">
        <f>IF($Q121="","",INDEX(TRANSACTIONS_MASTER!$AA$5:$AA$1204,$Q121))</f>
        <v/>
      </c>
      <c r="N121" s="25" t="str">
        <f>IF($Q121="","",INDEX(TRANSACTIONS_MASTER!$R$5:$R$1204,$Q121))</f>
        <v/>
      </c>
      <c r="O121" s="28" t="str">
        <f>IF($Q121="","",INDEX(TRANSACTIONS_MASTER!$AB$5:$AB$1204,$Q121))</f>
        <v/>
      </c>
      <c r="P121" s="55" t="str">
        <f>IF($Q121="","",INDEX(TRANSACTIONS_MASTER!$Z$5:$Z$1204,$Q121)&amp;"")</f>
        <v/>
      </c>
      <c r="Q121" s="67" t="str">
        <f>IFERROR(MATCH($C$2&amp;"|"&amp;114,TRANSACTIONS_MASTER!$AE$5:$AE$1204,0),"")</f>
        <v/>
      </c>
      <c r="S121" s="67" t="str">
        <f>IFERROR(MATCH(1,INDEX((TRANSACTIONS_MASTER!$C$5:$C$1204=$C$2)*(TRANSACTIONS_MASTER!$AL$5:$AL$1204=5),0),0),"")</f>
        <v/>
      </c>
      <c r="T121" s="55" t="n"/>
      <c r="U121" s="55" t="str">
        <f>IF($S121="","",INDEX(TRANSACTIONS_MASTER!$K$5:$K$1204,$S121))</f>
        <v/>
      </c>
      <c r="V121" s="25" t="str">
        <f>IF($S121="","",SUMIFS(TRANSACTIONS_MASTER!$L$5:$L$1204,TRANSACTIONS_MASTER!$K$5:$K$1204,$U121,TRANSACTIONS_MASTER!$C$5:$C$1204,$C$2,TRANSACTIONS_MASTER!$U$5:$U$1204,"&lt;&gt;Cancelled"))</f>
        <v/>
      </c>
      <c r="W121" s="26" t="str">
        <f>IF($S121="","",SUMIFS(TRANSACTIONS_MASTER!$Q$5:$Q$1204,TRANSACTIONS_MASTER!$K$5:$K$1204,$U121,TRANSACTIONS_MASTER!$C$5:$C$1204,$C$2))</f>
        <v/>
      </c>
    </row>
    <row r="122">
      <c r="A122" s="81" t="str">
        <f>IF($Q122="","",115)</f>
        <v/>
      </c>
      <c r="B122" s="57" t="str">
        <f>IF($Q122="","",INDEX(TRANSACTIONS_MASTER!$B$5:$B$1204,$Q122))</f>
        <v/>
      </c>
      <c r="C122" s="55" t="str">
        <f>IF($Q122="","",INDEX(TRANSACTIONS_MASTER!$F$5:$F$1204,$Q122))</f>
        <v/>
      </c>
      <c r="D122" s="55" t="str">
        <f>IF($Q122="","",INDEX(TRANSACTIONS_MASTER!$E$5:$E$1204,$Q122))</f>
        <v/>
      </c>
      <c r="E122" s="55" t="str">
        <f>IF($Q122="","",INDEX(TRANSACTIONS_MASTER!$G$5:$G$1204,$Q122)&amp;"")</f>
        <v/>
      </c>
      <c r="F122" s="29" t="str">
        <f>IF($Q122="","",INDEX(TRANSACTIONS_MASTER!$I$5:$I$1204,$Q122))</f>
        <v/>
      </c>
      <c r="G122" s="55" t="str">
        <f>IF($Q122="","",INDEX(TRANSACTIONS_MASTER!$K$5:$K$1204,$Q122))</f>
        <v/>
      </c>
      <c r="H122" s="25" t="str">
        <f>IF($Q122="","",INDEX(TRANSACTIONS_MASTER!$L$5:$L$1204,$Q122))</f>
        <v/>
      </c>
      <c r="I122" s="56" t="str">
        <f>IF($Q122="","",INDEX(TRANSACTIONS_MASTER!$N$5:$N$1204,$Q122))</f>
        <v/>
      </c>
      <c r="J122" s="25" t="str">
        <f>IF($Q122="","",INDEX(TRANSACTIONS_MASTER!$O$5:$O$1204,$Q122))</f>
        <v/>
      </c>
      <c r="K122" s="26" t="str">
        <f>IF($Q122="","",INDEX(TRANSACTIONS_MASTER!$Q$5:$Q$1204,$Q122))</f>
        <v/>
      </c>
      <c r="L122" s="25" t="str">
        <f>IF($Q122="","",INDEX(TRANSACTIONS_MASTER!$P$5:$P$1204,$Q122))</f>
        <v/>
      </c>
      <c r="M122" s="25" t="str">
        <f>IF($Q122="","",INDEX(TRANSACTIONS_MASTER!$AA$5:$AA$1204,$Q122))</f>
        <v/>
      </c>
      <c r="N122" s="25" t="str">
        <f>IF($Q122="","",INDEX(TRANSACTIONS_MASTER!$R$5:$R$1204,$Q122))</f>
        <v/>
      </c>
      <c r="O122" s="28" t="str">
        <f>IF($Q122="","",INDEX(TRANSACTIONS_MASTER!$AB$5:$AB$1204,$Q122))</f>
        <v/>
      </c>
      <c r="P122" s="55" t="str">
        <f>IF($Q122="","",INDEX(TRANSACTIONS_MASTER!$Z$5:$Z$1204,$Q122)&amp;"")</f>
        <v/>
      </c>
      <c r="Q122" s="67" t="str">
        <f>IFERROR(MATCH($C$2&amp;"|"&amp;115,TRANSACTIONS_MASTER!$AE$5:$AE$1204,0),"")</f>
        <v/>
      </c>
      <c r="S122" s="67" t="str">
        <f>IFERROR(MATCH(1,INDEX((TRANSACTIONS_MASTER!$C$5:$C$1204=$C$2)*(TRANSACTIONS_MASTER!$AL$5:$AL$1204=6),0),0),"")</f>
        <v/>
      </c>
      <c r="T122" s="55" t="n"/>
      <c r="U122" s="55" t="str">
        <f>IF($S122="","",INDEX(TRANSACTIONS_MASTER!$K$5:$K$1204,$S122))</f>
        <v/>
      </c>
      <c r="V122" s="25" t="str">
        <f>IF($S122="","",SUMIFS(TRANSACTIONS_MASTER!$L$5:$L$1204,TRANSACTIONS_MASTER!$K$5:$K$1204,$U122,TRANSACTIONS_MASTER!$C$5:$C$1204,$C$2,TRANSACTIONS_MASTER!$U$5:$U$1204,"&lt;&gt;Cancelled"))</f>
        <v/>
      </c>
      <c r="W122" s="26" t="str">
        <f>IF($S122="","",SUMIFS(TRANSACTIONS_MASTER!$Q$5:$Q$1204,TRANSACTIONS_MASTER!$K$5:$K$1204,$U122,TRANSACTIONS_MASTER!$C$5:$C$1204,$C$2))</f>
        <v/>
      </c>
    </row>
    <row r="123">
      <c r="A123" s="81" t="str">
        <f>IF($Q123="","",116)</f>
        <v/>
      </c>
      <c r="B123" s="57" t="str">
        <f>IF($Q123="","",INDEX(TRANSACTIONS_MASTER!$B$5:$B$1204,$Q123))</f>
        <v/>
      </c>
      <c r="C123" s="55" t="str">
        <f>IF($Q123="","",INDEX(TRANSACTIONS_MASTER!$F$5:$F$1204,$Q123))</f>
        <v/>
      </c>
      <c r="D123" s="55" t="str">
        <f>IF($Q123="","",INDEX(TRANSACTIONS_MASTER!$E$5:$E$1204,$Q123))</f>
        <v/>
      </c>
      <c r="E123" s="55" t="str">
        <f>IF($Q123="","",INDEX(TRANSACTIONS_MASTER!$G$5:$G$1204,$Q123)&amp;"")</f>
        <v/>
      </c>
      <c r="F123" s="29" t="str">
        <f>IF($Q123="","",INDEX(TRANSACTIONS_MASTER!$I$5:$I$1204,$Q123))</f>
        <v/>
      </c>
      <c r="G123" s="55" t="str">
        <f>IF($Q123="","",INDEX(TRANSACTIONS_MASTER!$K$5:$K$1204,$Q123))</f>
        <v/>
      </c>
      <c r="H123" s="25" t="str">
        <f>IF($Q123="","",INDEX(TRANSACTIONS_MASTER!$L$5:$L$1204,$Q123))</f>
        <v/>
      </c>
      <c r="I123" s="56" t="str">
        <f>IF($Q123="","",INDEX(TRANSACTIONS_MASTER!$N$5:$N$1204,$Q123))</f>
        <v/>
      </c>
      <c r="J123" s="25" t="str">
        <f>IF($Q123="","",INDEX(TRANSACTIONS_MASTER!$O$5:$O$1204,$Q123))</f>
        <v/>
      </c>
      <c r="K123" s="26" t="str">
        <f>IF($Q123="","",INDEX(TRANSACTIONS_MASTER!$Q$5:$Q$1204,$Q123))</f>
        <v/>
      </c>
      <c r="L123" s="25" t="str">
        <f>IF($Q123="","",INDEX(TRANSACTIONS_MASTER!$P$5:$P$1204,$Q123))</f>
        <v/>
      </c>
      <c r="M123" s="25" t="str">
        <f>IF($Q123="","",INDEX(TRANSACTIONS_MASTER!$AA$5:$AA$1204,$Q123))</f>
        <v/>
      </c>
      <c r="N123" s="25" t="str">
        <f>IF($Q123="","",INDEX(TRANSACTIONS_MASTER!$R$5:$R$1204,$Q123))</f>
        <v/>
      </c>
      <c r="O123" s="28" t="str">
        <f>IF($Q123="","",INDEX(TRANSACTIONS_MASTER!$AB$5:$AB$1204,$Q123))</f>
        <v/>
      </c>
      <c r="P123" s="55" t="str">
        <f>IF($Q123="","",INDEX(TRANSACTIONS_MASTER!$Z$5:$Z$1204,$Q123)&amp;"")</f>
        <v/>
      </c>
      <c r="Q123" s="67" t="str">
        <f>IFERROR(MATCH($C$2&amp;"|"&amp;116,TRANSACTIONS_MASTER!$AE$5:$AE$1204,0),"")</f>
        <v/>
      </c>
      <c r="S123" s="67" t="str">
        <f>IFERROR(MATCH(1,INDEX((TRANSACTIONS_MASTER!$C$5:$C$1204=$C$2)*(TRANSACTIONS_MASTER!$AL$5:$AL$1204=7),0),0),"")</f>
        <v/>
      </c>
      <c r="T123" s="55" t="n"/>
      <c r="U123" s="55" t="str">
        <f>IF($S123="","",INDEX(TRANSACTIONS_MASTER!$K$5:$K$1204,$S123))</f>
        <v/>
      </c>
      <c r="V123" s="25" t="str">
        <f>IF($S123="","",SUMIFS(TRANSACTIONS_MASTER!$L$5:$L$1204,TRANSACTIONS_MASTER!$K$5:$K$1204,$U123,TRANSACTIONS_MASTER!$C$5:$C$1204,$C$2,TRANSACTIONS_MASTER!$U$5:$U$1204,"&lt;&gt;Cancelled"))</f>
        <v/>
      </c>
      <c r="W123" s="26" t="str">
        <f>IF($S123="","",SUMIFS(TRANSACTIONS_MASTER!$Q$5:$Q$1204,TRANSACTIONS_MASTER!$K$5:$K$1204,$U123,TRANSACTIONS_MASTER!$C$5:$C$1204,$C$2))</f>
        <v/>
      </c>
    </row>
    <row r="124">
      <c r="A124" s="81" t="str">
        <f>IF($Q124="","",117)</f>
        <v/>
      </c>
      <c r="B124" s="57" t="str">
        <f>IF($Q124="","",INDEX(TRANSACTIONS_MASTER!$B$5:$B$1204,$Q124))</f>
        <v/>
      </c>
      <c r="C124" s="55" t="str">
        <f>IF($Q124="","",INDEX(TRANSACTIONS_MASTER!$F$5:$F$1204,$Q124))</f>
        <v/>
      </c>
      <c r="D124" s="55" t="str">
        <f>IF($Q124="","",INDEX(TRANSACTIONS_MASTER!$E$5:$E$1204,$Q124))</f>
        <v/>
      </c>
      <c r="E124" s="55" t="str">
        <f>IF($Q124="","",INDEX(TRANSACTIONS_MASTER!$G$5:$G$1204,$Q124)&amp;"")</f>
        <v/>
      </c>
      <c r="F124" s="29" t="str">
        <f>IF($Q124="","",INDEX(TRANSACTIONS_MASTER!$I$5:$I$1204,$Q124))</f>
        <v/>
      </c>
      <c r="G124" s="55" t="str">
        <f>IF($Q124="","",INDEX(TRANSACTIONS_MASTER!$K$5:$K$1204,$Q124))</f>
        <v/>
      </c>
      <c r="H124" s="25" t="str">
        <f>IF($Q124="","",INDEX(TRANSACTIONS_MASTER!$L$5:$L$1204,$Q124))</f>
        <v/>
      </c>
      <c r="I124" s="56" t="str">
        <f>IF($Q124="","",INDEX(TRANSACTIONS_MASTER!$N$5:$N$1204,$Q124))</f>
        <v/>
      </c>
      <c r="J124" s="25" t="str">
        <f>IF($Q124="","",INDEX(TRANSACTIONS_MASTER!$O$5:$O$1204,$Q124))</f>
        <v/>
      </c>
      <c r="K124" s="26" t="str">
        <f>IF($Q124="","",INDEX(TRANSACTIONS_MASTER!$Q$5:$Q$1204,$Q124))</f>
        <v/>
      </c>
      <c r="L124" s="25" t="str">
        <f>IF($Q124="","",INDEX(TRANSACTIONS_MASTER!$P$5:$P$1204,$Q124))</f>
        <v/>
      </c>
      <c r="M124" s="25" t="str">
        <f>IF($Q124="","",INDEX(TRANSACTIONS_MASTER!$AA$5:$AA$1204,$Q124))</f>
        <v/>
      </c>
      <c r="N124" s="25" t="str">
        <f>IF($Q124="","",INDEX(TRANSACTIONS_MASTER!$R$5:$R$1204,$Q124))</f>
        <v/>
      </c>
      <c r="O124" s="28" t="str">
        <f>IF($Q124="","",INDEX(TRANSACTIONS_MASTER!$AB$5:$AB$1204,$Q124))</f>
        <v/>
      </c>
      <c r="P124" s="55" t="str">
        <f>IF($Q124="","",INDEX(TRANSACTIONS_MASTER!$Z$5:$Z$1204,$Q124)&amp;"")</f>
        <v/>
      </c>
      <c r="Q124" s="67" t="str">
        <f>IFERROR(MATCH($C$2&amp;"|"&amp;117,TRANSACTIONS_MASTER!$AE$5:$AE$1204,0),"")</f>
        <v/>
      </c>
      <c r="S124" s="67" t="str">
        <f>IFERROR(MATCH(1,INDEX((TRANSACTIONS_MASTER!$C$5:$C$1204=$C$2)*(TRANSACTIONS_MASTER!$AL$5:$AL$1204=8),0),0),"")</f>
        <v/>
      </c>
      <c r="T124" s="55" t="n"/>
      <c r="U124" s="55" t="str">
        <f>IF($S124="","",INDEX(TRANSACTIONS_MASTER!$K$5:$K$1204,$S124))</f>
        <v/>
      </c>
      <c r="V124" s="25" t="str">
        <f>IF($S124="","",SUMIFS(TRANSACTIONS_MASTER!$L$5:$L$1204,TRANSACTIONS_MASTER!$K$5:$K$1204,$U124,TRANSACTIONS_MASTER!$C$5:$C$1204,$C$2,TRANSACTIONS_MASTER!$U$5:$U$1204,"&lt;&gt;Cancelled"))</f>
        <v/>
      </c>
      <c r="W124" s="26" t="str">
        <f>IF($S124="","",SUMIFS(TRANSACTIONS_MASTER!$Q$5:$Q$1204,TRANSACTIONS_MASTER!$K$5:$K$1204,$U124,TRANSACTIONS_MASTER!$C$5:$C$1204,$C$2))</f>
        <v/>
      </c>
    </row>
    <row r="125">
      <c r="A125" s="81" t="str">
        <f>IF($Q125="","",118)</f>
        <v/>
      </c>
      <c r="B125" s="57" t="str">
        <f>IF($Q125="","",INDEX(TRANSACTIONS_MASTER!$B$5:$B$1204,$Q125))</f>
        <v/>
      </c>
      <c r="C125" s="55" t="str">
        <f>IF($Q125="","",INDEX(TRANSACTIONS_MASTER!$F$5:$F$1204,$Q125))</f>
        <v/>
      </c>
      <c r="D125" s="55" t="str">
        <f>IF($Q125="","",INDEX(TRANSACTIONS_MASTER!$E$5:$E$1204,$Q125))</f>
        <v/>
      </c>
      <c r="E125" s="55" t="str">
        <f>IF($Q125="","",INDEX(TRANSACTIONS_MASTER!$G$5:$G$1204,$Q125)&amp;"")</f>
        <v/>
      </c>
      <c r="F125" s="29" t="str">
        <f>IF($Q125="","",INDEX(TRANSACTIONS_MASTER!$I$5:$I$1204,$Q125))</f>
        <v/>
      </c>
      <c r="G125" s="55" t="str">
        <f>IF($Q125="","",INDEX(TRANSACTIONS_MASTER!$K$5:$K$1204,$Q125))</f>
        <v/>
      </c>
      <c r="H125" s="25" t="str">
        <f>IF($Q125="","",INDEX(TRANSACTIONS_MASTER!$L$5:$L$1204,$Q125))</f>
        <v/>
      </c>
      <c r="I125" s="56" t="str">
        <f>IF($Q125="","",INDEX(TRANSACTIONS_MASTER!$N$5:$N$1204,$Q125))</f>
        <v/>
      </c>
      <c r="J125" s="25" t="str">
        <f>IF($Q125="","",INDEX(TRANSACTIONS_MASTER!$O$5:$O$1204,$Q125))</f>
        <v/>
      </c>
      <c r="K125" s="26" t="str">
        <f>IF($Q125="","",INDEX(TRANSACTIONS_MASTER!$Q$5:$Q$1204,$Q125))</f>
        <v/>
      </c>
      <c r="L125" s="25" t="str">
        <f>IF($Q125="","",INDEX(TRANSACTIONS_MASTER!$P$5:$P$1204,$Q125))</f>
        <v/>
      </c>
      <c r="M125" s="25" t="str">
        <f>IF($Q125="","",INDEX(TRANSACTIONS_MASTER!$AA$5:$AA$1204,$Q125))</f>
        <v/>
      </c>
      <c r="N125" s="25" t="str">
        <f>IF($Q125="","",INDEX(TRANSACTIONS_MASTER!$R$5:$R$1204,$Q125))</f>
        <v/>
      </c>
      <c r="O125" s="28" t="str">
        <f>IF($Q125="","",INDEX(TRANSACTIONS_MASTER!$AB$5:$AB$1204,$Q125))</f>
        <v/>
      </c>
      <c r="P125" s="55" t="str">
        <f>IF($Q125="","",INDEX(TRANSACTIONS_MASTER!$Z$5:$Z$1204,$Q125)&amp;"")</f>
        <v/>
      </c>
      <c r="Q125" s="67" t="str">
        <f>IFERROR(MATCH($C$2&amp;"|"&amp;118,TRANSACTIONS_MASTER!$AE$5:$AE$1204,0),"")</f>
        <v/>
      </c>
      <c r="S125" s="67" t="str">
        <f>IFERROR(MATCH(1,INDEX((TRANSACTIONS_MASTER!$C$5:$C$1204=$C$2)*(TRANSACTIONS_MASTER!$AL$5:$AL$1204=9),0),0),"")</f>
        <v/>
      </c>
      <c r="T125" s="55" t="n"/>
      <c r="U125" s="55" t="str">
        <f>IF($S125="","",INDEX(TRANSACTIONS_MASTER!$K$5:$K$1204,$S125))</f>
        <v/>
      </c>
      <c r="V125" s="25" t="str">
        <f>IF($S125="","",SUMIFS(TRANSACTIONS_MASTER!$L$5:$L$1204,TRANSACTIONS_MASTER!$K$5:$K$1204,$U125,TRANSACTIONS_MASTER!$C$5:$C$1204,$C$2,TRANSACTIONS_MASTER!$U$5:$U$1204,"&lt;&gt;Cancelled"))</f>
        <v/>
      </c>
      <c r="W125" s="26" t="str">
        <f>IF($S125="","",SUMIFS(TRANSACTIONS_MASTER!$Q$5:$Q$1204,TRANSACTIONS_MASTER!$K$5:$K$1204,$U125,TRANSACTIONS_MASTER!$C$5:$C$1204,$C$2))</f>
        <v/>
      </c>
    </row>
    <row r="126">
      <c r="A126" s="81" t="str">
        <f>IF($Q126="","",119)</f>
        <v/>
      </c>
      <c r="B126" s="57" t="str">
        <f>IF($Q126="","",INDEX(TRANSACTIONS_MASTER!$B$5:$B$1204,$Q126))</f>
        <v/>
      </c>
      <c r="C126" s="55" t="str">
        <f>IF($Q126="","",INDEX(TRANSACTIONS_MASTER!$F$5:$F$1204,$Q126))</f>
        <v/>
      </c>
      <c r="D126" s="55" t="str">
        <f>IF($Q126="","",INDEX(TRANSACTIONS_MASTER!$E$5:$E$1204,$Q126))</f>
        <v/>
      </c>
      <c r="E126" s="55" t="str">
        <f>IF($Q126="","",INDEX(TRANSACTIONS_MASTER!$G$5:$G$1204,$Q126)&amp;"")</f>
        <v/>
      </c>
      <c r="F126" s="29" t="str">
        <f>IF($Q126="","",INDEX(TRANSACTIONS_MASTER!$I$5:$I$1204,$Q126))</f>
        <v/>
      </c>
      <c r="G126" s="55" t="str">
        <f>IF($Q126="","",INDEX(TRANSACTIONS_MASTER!$K$5:$K$1204,$Q126))</f>
        <v/>
      </c>
      <c r="H126" s="25" t="str">
        <f>IF($Q126="","",INDEX(TRANSACTIONS_MASTER!$L$5:$L$1204,$Q126))</f>
        <v/>
      </c>
      <c r="I126" s="56" t="str">
        <f>IF($Q126="","",INDEX(TRANSACTIONS_MASTER!$N$5:$N$1204,$Q126))</f>
        <v/>
      </c>
      <c r="J126" s="25" t="str">
        <f>IF($Q126="","",INDEX(TRANSACTIONS_MASTER!$O$5:$O$1204,$Q126))</f>
        <v/>
      </c>
      <c r="K126" s="26" t="str">
        <f>IF($Q126="","",INDEX(TRANSACTIONS_MASTER!$Q$5:$Q$1204,$Q126))</f>
        <v/>
      </c>
      <c r="L126" s="25" t="str">
        <f>IF($Q126="","",INDEX(TRANSACTIONS_MASTER!$P$5:$P$1204,$Q126))</f>
        <v/>
      </c>
      <c r="M126" s="25" t="str">
        <f>IF($Q126="","",INDEX(TRANSACTIONS_MASTER!$AA$5:$AA$1204,$Q126))</f>
        <v/>
      </c>
      <c r="N126" s="25" t="str">
        <f>IF($Q126="","",INDEX(TRANSACTIONS_MASTER!$R$5:$R$1204,$Q126))</f>
        <v/>
      </c>
      <c r="O126" s="28" t="str">
        <f>IF($Q126="","",INDEX(TRANSACTIONS_MASTER!$AB$5:$AB$1204,$Q126))</f>
        <v/>
      </c>
      <c r="P126" s="55" t="str">
        <f>IF($Q126="","",INDEX(TRANSACTIONS_MASTER!$Z$5:$Z$1204,$Q126)&amp;"")</f>
        <v/>
      </c>
      <c r="Q126" s="67" t="str">
        <f>IFERROR(MATCH($C$2&amp;"|"&amp;119,TRANSACTIONS_MASTER!$AE$5:$AE$1204,0),"")</f>
        <v/>
      </c>
      <c r="S126" s="67" t="str">
        <f>IFERROR(MATCH(1,INDEX((TRANSACTIONS_MASTER!$C$5:$C$1204=$C$2)*(TRANSACTIONS_MASTER!$AL$5:$AL$1204=10),0),0),"")</f>
        <v/>
      </c>
      <c r="T126" s="55" t="n"/>
      <c r="U126" s="55" t="str">
        <f>IF($S126="","",INDEX(TRANSACTIONS_MASTER!$K$5:$K$1204,$S126))</f>
        <v/>
      </c>
      <c r="V126" s="25" t="str">
        <f>IF($S126="","",SUMIFS(TRANSACTIONS_MASTER!$L$5:$L$1204,TRANSACTIONS_MASTER!$K$5:$K$1204,$U126,TRANSACTIONS_MASTER!$C$5:$C$1204,$C$2,TRANSACTIONS_MASTER!$U$5:$U$1204,"&lt;&gt;Cancelled"))</f>
        <v/>
      </c>
      <c r="W126" s="26" t="str">
        <f>IF($S126="","",SUMIFS(TRANSACTIONS_MASTER!$Q$5:$Q$1204,TRANSACTIONS_MASTER!$K$5:$K$1204,$U126,TRANSACTIONS_MASTER!$C$5:$C$1204,$C$2))</f>
        <v/>
      </c>
    </row>
    <row r="127">
      <c r="A127" s="81" t="str">
        <f>IF($Q127="","",120)</f>
        <v/>
      </c>
      <c r="B127" s="57" t="str">
        <f>IF($Q127="","",INDEX(TRANSACTIONS_MASTER!$B$5:$B$1204,$Q127))</f>
        <v/>
      </c>
      <c r="C127" s="55" t="str">
        <f>IF($Q127="","",INDEX(TRANSACTIONS_MASTER!$F$5:$F$1204,$Q127))</f>
        <v/>
      </c>
      <c r="D127" s="55" t="str">
        <f>IF($Q127="","",INDEX(TRANSACTIONS_MASTER!$E$5:$E$1204,$Q127))</f>
        <v/>
      </c>
      <c r="E127" s="55" t="str">
        <f>IF($Q127="","",INDEX(TRANSACTIONS_MASTER!$G$5:$G$1204,$Q127)&amp;"")</f>
        <v/>
      </c>
      <c r="F127" s="29" t="str">
        <f>IF($Q127="","",INDEX(TRANSACTIONS_MASTER!$I$5:$I$1204,$Q127))</f>
        <v/>
      </c>
      <c r="G127" s="55" t="str">
        <f>IF($Q127="","",INDEX(TRANSACTIONS_MASTER!$K$5:$K$1204,$Q127))</f>
        <v/>
      </c>
      <c r="H127" s="25" t="str">
        <f>IF($Q127="","",INDEX(TRANSACTIONS_MASTER!$L$5:$L$1204,$Q127))</f>
        <v/>
      </c>
      <c r="I127" s="56" t="str">
        <f>IF($Q127="","",INDEX(TRANSACTIONS_MASTER!$N$5:$N$1204,$Q127))</f>
        <v/>
      </c>
      <c r="J127" s="25" t="str">
        <f>IF($Q127="","",INDEX(TRANSACTIONS_MASTER!$O$5:$O$1204,$Q127))</f>
        <v/>
      </c>
      <c r="K127" s="26" t="str">
        <f>IF($Q127="","",INDEX(TRANSACTIONS_MASTER!$Q$5:$Q$1204,$Q127))</f>
        <v/>
      </c>
      <c r="L127" s="25" t="str">
        <f>IF($Q127="","",INDEX(TRANSACTIONS_MASTER!$P$5:$P$1204,$Q127))</f>
        <v/>
      </c>
      <c r="M127" s="25" t="str">
        <f>IF($Q127="","",INDEX(TRANSACTIONS_MASTER!$AA$5:$AA$1204,$Q127))</f>
        <v/>
      </c>
      <c r="N127" s="25" t="str">
        <f>IF($Q127="","",INDEX(TRANSACTIONS_MASTER!$R$5:$R$1204,$Q127))</f>
        <v/>
      </c>
      <c r="O127" s="28" t="str">
        <f>IF($Q127="","",INDEX(TRANSACTIONS_MASTER!$AB$5:$AB$1204,$Q127))</f>
        <v/>
      </c>
      <c r="P127" s="55" t="str">
        <f>IF($Q127="","",INDEX(TRANSACTIONS_MASTER!$Z$5:$Z$1204,$Q127)&amp;"")</f>
        <v/>
      </c>
      <c r="Q127" s="67" t="str">
        <f>IFERROR(MATCH($C$2&amp;"|"&amp;120,TRANSACTIONS_MASTER!$AE$5:$AE$1204,0),"")</f>
        <v/>
      </c>
      <c r="S127" s="67" t="str">
        <f>IFERROR(MATCH(1,INDEX((TRANSACTIONS_MASTER!$C$5:$C$1204=$C$2)*(TRANSACTIONS_MASTER!$AL$5:$AL$1204=11),0),0),"")</f>
        <v/>
      </c>
      <c r="T127" s="55" t="n"/>
      <c r="U127" s="55" t="str">
        <f>IF($S127="","",INDEX(TRANSACTIONS_MASTER!$K$5:$K$1204,$S127))</f>
        <v/>
      </c>
      <c r="V127" s="25" t="str">
        <f>IF($S127="","",SUMIFS(TRANSACTIONS_MASTER!$L$5:$L$1204,TRANSACTIONS_MASTER!$K$5:$K$1204,$U127,TRANSACTIONS_MASTER!$C$5:$C$1204,$C$2,TRANSACTIONS_MASTER!$U$5:$U$1204,"&lt;&gt;Cancelled"))</f>
        <v/>
      </c>
      <c r="W127" s="26" t="str">
        <f>IF($S127="","",SUMIFS(TRANSACTIONS_MASTER!$Q$5:$Q$1204,TRANSACTIONS_MASTER!$K$5:$K$1204,$U127,TRANSACTIONS_MASTER!$C$5:$C$1204,$C$2))</f>
        <v/>
      </c>
    </row>
    <row r="128">
      <c r="A128" s="81" t="str">
        <f>IF($Q128="","",121)</f>
        <v/>
      </c>
      <c r="B128" s="57" t="str">
        <f>IF($Q128="","",INDEX(TRANSACTIONS_MASTER!$B$5:$B$1204,$Q128))</f>
        <v/>
      </c>
      <c r="C128" s="55" t="str">
        <f>IF($Q128="","",INDEX(TRANSACTIONS_MASTER!$F$5:$F$1204,$Q128))</f>
        <v/>
      </c>
      <c r="D128" s="55" t="str">
        <f>IF($Q128="","",INDEX(TRANSACTIONS_MASTER!$E$5:$E$1204,$Q128))</f>
        <v/>
      </c>
      <c r="E128" s="55" t="str">
        <f>IF($Q128="","",INDEX(TRANSACTIONS_MASTER!$G$5:$G$1204,$Q128)&amp;"")</f>
        <v/>
      </c>
      <c r="F128" s="29" t="str">
        <f>IF($Q128="","",INDEX(TRANSACTIONS_MASTER!$I$5:$I$1204,$Q128))</f>
        <v/>
      </c>
      <c r="G128" s="55" t="str">
        <f>IF($Q128="","",INDEX(TRANSACTIONS_MASTER!$K$5:$K$1204,$Q128))</f>
        <v/>
      </c>
      <c r="H128" s="25" t="str">
        <f>IF($Q128="","",INDEX(TRANSACTIONS_MASTER!$L$5:$L$1204,$Q128))</f>
        <v/>
      </c>
      <c r="I128" s="56" t="str">
        <f>IF($Q128="","",INDEX(TRANSACTIONS_MASTER!$N$5:$N$1204,$Q128))</f>
        <v/>
      </c>
      <c r="J128" s="25" t="str">
        <f>IF($Q128="","",INDEX(TRANSACTIONS_MASTER!$O$5:$O$1204,$Q128))</f>
        <v/>
      </c>
      <c r="K128" s="26" t="str">
        <f>IF($Q128="","",INDEX(TRANSACTIONS_MASTER!$Q$5:$Q$1204,$Q128))</f>
        <v/>
      </c>
      <c r="L128" s="25" t="str">
        <f>IF($Q128="","",INDEX(TRANSACTIONS_MASTER!$P$5:$P$1204,$Q128))</f>
        <v/>
      </c>
      <c r="M128" s="25" t="str">
        <f>IF($Q128="","",INDEX(TRANSACTIONS_MASTER!$AA$5:$AA$1204,$Q128))</f>
        <v/>
      </c>
      <c r="N128" s="25" t="str">
        <f>IF($Q128="","",INDEX(TRANSACTIONS_MASTER!$R$5:$R$1204,$Q128))</f>
        <v/>
      </c>
      <c r="O128" s="28" t="str">
        <f>IF($Q128="","",INDEX(TRANSACTIONS_MASTER!$AB$5:$AB$1204,$Q128))</f>
        <v/>
      </c>
      <c r="P128" s="55" t="str">
        <f>IF($Q128="","",INDEX(TRANSACTIONS_MASTER!$Z$5:$Z$1204,$Q128)&amp;"")</f>
        <v/>
      </c>
      <c r="Q128" s="67" t="str">
        <f>IFERROR(MATCH($C$2&amp;"|"&amp;121,TRANSACTIONS_MASTER!$AE$5:$AE$1204,0),"")</f>
        <v/>
      </c>
      <c r="S128" s="67" t="str">
        <f>IFERROR(MATCH(1,INDEX((TRANSACTIONS_MASTER!$C$5:$C$1204=$C$2)*(TRANSACTIONS_MASTER!$AL$5:$AL$1204=12),0),0),"")</f>
        <v/>
      </c>
      <c r="T128" s="55" t="n"/>
      <c r="U128" s="55" t="str">
        <f>IF($S128="","",INDEX(TRANSACTIONS_MASTER!$K$5:$K$1204,$S128))</f>
        <v/>
      </c>
      <c r="V128" s="25" t="str">
        <f>IF($S128="","",SUMIFS(TRANSACTIONS_MASTER!$L$5:$L$1204,TRANSACTIONS_MASTER!$K$5:$K$1204,$U128,TRANSACTIONS_MASTER!$C$5:$C$1204,$C$2,TRANSACTIONS_MASTER!$U$5:$U$1204,"&lt;&gt;Cancelled"))</f>
        <v/>
      </c>
      <c r="W128" s="26" t="str">
        <f>IF($S128="","",SUMIFS(TRANSACTIONS_MASTER!$Q$5:$Q$1204,TRANSACTIONS_MASTER!$K$5:$K$1204,$U128,TRANSACTIONS_MASTER!$C$5:$C$1204,$C$2))</f>
        <v/>
      </c>
    </row>
    <row r="129">
      <c r="A129" s="81" t="str">
        <f>IF($Q129="","",122)</f>
        <v/>
      </c>
      <c r="B129" s="57" t="str">
        <f>IF($Q129="","",INDEX(TRANSACTIONS_MASTER!$B$5:$B$1204,$Q129))</f>
        <v/>
      </c>
      <c r="C129" s="55" t="str">
        <f>IF($Q129="","",INDEX(TRANSACTIONS_MASTER!$F$5:$F$1204,$Q129))</f>
        <v/>
      </c>
      <c r="D129" s="55" t="str">
        <f>IF($Q129="","",INDEX(TRANSACTIONS_MASTER!$E$5:$E$1204,$Q129))</f>
        <v/>
      </c>
      <c r="E129" s="55" t="str">
        <f>IF($Q129="","",INDEX(TRANSACTIONS_MASTER!$G$5:$G$1204,$Q129)&amp;"")</f>
        <v/>
      </c>
      <c r="F129" s="29" t="str">
        <f>IF($Q129="","",INDEX(TRANSACTIONS_MASTER!$I$5:$I$1204,$Q129))</f>
        <v/>
      </c>
      <c r="G129" s="55" t="str">
        <f>IF($Q129="","",INDEX(TRANSACTIONS_MASTER!$K$5:$K$1204,$Q129))</f>
        <v/>
      </c>
      <c r="H129" s="25" t="str">
        <f>IF($Q129="","",INDEX(TRANSACTIONS_MASTER!$L$5:$L$1204,$Q129))</f>
        <v/>
      </c>
      <c r="I129" s="56" t="str">
        <f>IF($Q129="","",INDEX(TRANSACTIONS_MASTER!$N$5:$N$1204,$Q129))</f>
        <v/>
      </c>
      <c r="J129" s="25" t="str">
        <f>IF($Q129="","",INDEX(TRANSACTIONS_MASTER!$O$5:$O$1204,$Q129))</f>
        <v/>
      </c>
      <c r="K129" s="26" t="str">
        <f>IF($Q129="","",INDEX(TRANSACTIONS_MASTER!$Q$5:$Q$1204,$Q129))</f>
        <v/>
      </c>
      <c r="L129" s="25" t="str">
        <f>IF($Q129="","",INDEX(TRANSACTIONS_MASTER!$P$5:$P$1204,$Q129))</f>
        <v/>
      </c>
      <c r="M129" s="25" t="str">
        <f>IF($Q129="","",INDEX(TRANSACTIONS_MASTER!$AA$5:$AA$1204,$Q129))</f>
        <v/>
      </c>
      <c r="N129" s="25" t="str">
        <f>IF($Q129="","",INDEX(TRANSACTIONS_MASTER!$R$5:$R$1204,$Q129))</f>
        <v/>
      </c>
      <c r="O129" s="28" t="str">
        <f>IF($Q129="","",INDEX(TRANSACTIONS_MASTER!$AB$5:$AB$1204,$Q129))</f>
        <v/>
      </c>
      <c r="P129" s="55" t="str">
        <f>IF($Q129="","",INDEX(TRANSACTIONS_MASTER!$Z$5:$Z$1204,$Q129)&amp;"")</f>
        <v/>
      </c>
      <c r="Q129" s="67" t="str">
        <f>IFERROR(MATCH($C$2&amp;"|"&amp;122,TRANSACTIONS_MASTER!$AE$5:$AE$1204,0),"")</f>
        <v/>
      </c>
      <c r="S129" s="67" t="str">
        <f>IFERROR(MATCH(1,INDEX((TRANSACTIONS_MASTER!$C$5:$C$1204=$C$2)*(TRANSACTIONS_MASTER!$AL$5:$AL$1204=13),0),0),"")</f>
        <v/>
      </c>
      <c r="T129" s="55" t="n"/>
      <c r="U129" s="55" t="str">
        <f>IF($S129="","",INDEX(TRANSACTIONS_MASTER!$K$5:$K$1204,$S129))</f>
        <v/>
      </c>
      <c r="V129" s="25" t="str">
        <f>IF($S129="","",SUMIFS(TRANSACTIONS_MASTER!$L$5:$L$1204,TRANSACTIONS_MASTER!$K$5:$K$1204,$U129,TRANSACTIONS_MASTER!$C$5:$C$1204,$C$2,TRANSACTIONS_MASTER!$U$5:$U$1204,"&lt;&gt;Cancelled"))</f>
        <v/>
      </c>
      <c r="W129" s="26" t="str">
        <f>IF($S129="","",SUMIFS(TRANSACTIONS_MASTER!$Q$5:$Q$1204,TRANSACTIONS_MASTER!$K$5:$K$1204,$U129,TRANSACTIONS_MASTER!$C$5:$C$1204,$C$2))</f>
        <v/>
      </c>
    </row>
    <row r="130">
      <c r="A130" s="81" t="str">
        <f>IF($Q130="","",123)</f>
        <v/>
      </c>
      <c r="B130" s="57" t="str">
        <f>IF($Q130="","",INDEX(TRANSACTIONS_MASTER!$B$5:$B$1204,$Q130))</f>
        <v/>
      </c>
      <c r="C130" s="55" t="str">
        <f>IF($Q130="","",INDEX(TRANSACTIONS_MASTER!$F$5:$F$1204,$Q130))</f>
        <v/>
      </c>
      <c r="D130" s="55" t="str">
        <f>IF($Q130="","",INDEX(TRANSACTIONS_MASTER!$E$5:$E$1204,$Q130))</f>
        <v/>
      </c>
      <c r="E130" s="55" t="str">
        <f>IF($Q130="","",INDEX(TRANSACTIONS_MASTER!$G$5:$G$1204,$Q130)&amp;"")</f>
        <v/>
      </c>
      <c r="F130" s="29" t="str">
        <f>IF($Q130="","",INDEX(TRANSACTIONS_MASTER!$I$5:$I$1204,$Q130))</f>
        <v/>
      </c>
      <c r="G130" s="55" t="str">
        <f>IF($Q130="","",INDEX(TRANSACTIONS_MASTER!$K$5:$K$1204,$Q130))</f>
        <v/>
      </c>
      <c r="H130" s="25" t="str">
        <f>IF($Q130="","",INDEX(TRANSACTIONS_MASTER!$L$5:$L$1204,$Q130))</f>
        <v/>
      </c>
      <c r="I130" s="56" t="str">
        <f>IF($Q130="","",INDEX(TRANSACTIONS_MASTER!$N$5:$N$1204,$Q130))</f>
        <v/>
      </c>
      <c r="J130" s="25" t="str">
        <f>IF($Q130="","",INDEX(TRANSACTIONS_MASTER!$O$5:$O$1204,$Q130))</f>
        <v/>
      </c>
      <c r="K130" s="26" t="str">
        <f>IF($Q130="","",INDEX(TRANSACTIONS_MASTER!$Q$5:$Q$1204,$Q130))</f>
        <v/>
      </c>
      <c r="L130" s="25" t="str">
        <f>IF($Q130="","",INDEX(TRANSACTIONS_MASTER!$P$5:$P$1204,$Q130))</f>
        <v/>
      </c>
      <c r="M130" s="25" t="str">
        <f>IF($Q130="","",INDEX(TRANSACTIONS_MASTER!$AA$5:$AA$1204,$Q130))</f>
        <v/>
      </c>
      <c r="N130" s="25" t="str">
        <f>IF($Q130="","",INDEX(TRANSACTIONS_MASTER!$R$5:$R$1204,$Q130))</f>
        <v/>
      </c>
      <c r="O130" s="28" t="str">
        <f>IF($Q130="","",INDEX(TRANSACTIONS_MASTER!$AB$5:$AB$1204,$Q130))</f>
        <v/>
      </c>
      <c r="P130" s="55" t="str">
        <f>IF($Q130="","",INDEX(TRANSACTIONS_MASTER!$Z$5:$Z$1204,$Q130)&amp;"")</f>
        <v/>
      </c>
      <c r="Q130" s="67" t="str">
        <f>IFERROR(MATCH($C$2&amp;"|"&amp;123,TRANSACTIONS_MASTER!$AE$5:$AE$1204,0),"")</f>
        <v/>
      </c>
      <c r="S130" s="67" t="str">
        <f>IFERROR(MATCH(1,INDEX((TRANSACTIONS_MASTER!$C$5:$C$1204=$C$2)*(TRANSACTIONS_MASTER!$AL$5:$AL$1204=14),0),0),"")</f>
        <v/>
      </c>
      <c r="T130" s="55" t="n"/>
      <c r="U130" s="55" t="str">
        <f>IF($S130="","",INDEX(TRANSACTIONS_MASTER!$K$5:$K$1204,$S130))</f>
        <v/>
      </c>
      <c r="V130" s="25" t="str">
        <f>IF($S130="","",SUMIFS(TRANSACTIONS_MASTER!$L$5:$L$1204,TRANSACTIONS_MASTER!$K$5:$K$1204,$U130,TRANSACTIONS_MASTER!$C$5:$C$1204,$C$2,TRANSACTIONS_MASTER!$U$5:$U$1204,"&lt;&gt;Cancelled"))</f>
        <v/>
      </c>
      <c r="W130" s="26" t="str">
        <f>IF($S130="","",SUMIFS(TRANSACTIONS_MASTER!$Q$5:$Q$1204,TRANSACTIONS_MASTER!$K$5:$K$1204,$U130,TRANSACTIONS_MASTER!$C$5:$C$1204,$C$2))</f>
        <v/>
      </c>
    </row>
    <row r="131">
      <c r="A131" s="81" t="str">
        <f>IF($Q131="","",124)</f>
        <v/>
      </c>
      <c r="B131" s="57" t="str">
        <f>IF($Q131="","",INDEX(TRANSACTIONS_MASTER!$B$5:$B$1204,$Q131))</f>
        <v/>
      </c>
      <c r="C131" s="55" t="str">
        <f>IF($Q131="","",INDEX(TRANSACTIONS_MASTER!$F$5:$F$1204,$Q131))</f>
        <v/>
      </c>
      <c r="D131" s="55" t="str">
        <f>IF($Q131="","",INDEX(TRANSACTIONS_MASTER!$E$5:$E$1204,$Q131))</f>
        <v/>
      </c>
      <c r="E131" s="55" t="str">
        <f>IF($Q131="","",INDEX(TRANSACTIONS_MASTER!$G$5:$G$1204,$Q131)&amp;"")</f>
        <v/>
      </c>
      <c r="F131" s="29" t="str">
        <f>IF($Q131="","",INDEX(TRANSACTIONS_MASTER!$I$5:$I$1204,$Q131))</f>
        <v/>
      </c>
      <c r="G131" s="55" t="str">
        <f>IF($Q131="","",INDEX(TRANSACTIONS_MASTER!$K$5:$K$1204,$Q131))</f>
        <v/>
      </c>
      <c r="H131" s="25" t="str">
        <f>IF($Q131="","",INDEX(TRANSACTIONS_MASTER!$L$5:$L$1204,$Q131))</f>
        <v/>
      </c>
      <c r="I131" s="56" t="str">
        <f>IF($Q131="","",INDEX(TRANSACTIONS_MASTER!$N$5:$N$1204,$Q131))</f>
        <v/>
      </c>
      <c r="J131" s="25" t="str">
        <f>IF($Q131="","",INDEX(TRANSACTIONS_MASTER!$O$5:$O$1204,$Q131))</f>
        <v/>
      </c>
      <c r="K131" s="26" t="str">
        <f>IF($Q131="","",INDEX(TRANSACTIONS_MASTER!$Q$5:$Q$1204,$Q131))</f>
        <v/>
      </c>
      <c r="L131" s="25" t="str">
        <f>IF($Q131="","",INDEX(TRANSACTIONS_MASTER!$P$5:$P$1204,$Q131))</f>
        <v/>
      </c>
      <c r="M131" s="25" t="str">
        <f>IF($Q131="","",INDEX(TRANSACTIONS_MASTER!$AA$5:$AA$1204,$Q131))</f>
        <v/>
      </c>
      <c r="N131" s="25" t="str">
        <f>IF($Q131="","",INDEX(TRANSACTIONS_MASTER!$R$5:$R$1204,$Q131))</f>
        <v/>
      </c>
      <c r="O131" s="28" t="str">
        <f>IF($Q131="","",INDEX(TRANSACTIONS_MASTER!$AB$5:$AB$1204,$Q131))</f>
        <v/>
      </c>
      <c r="P131" s="55" t="str">
        <f>IF($Q131="","",INDEX(TRANSACTIONS_MASTER!$Z$5:$Z$1204,$Q131)&amp;"")</f>
        <v/>
      </c>
      <c r="Q131" s="67" t="str">
        <f>IFERROR(MATCH($C$2&amp;"|"&amp;124,TRANSACTIONS_MASTER!$AE$5:$AE$1204,0),"")</f>
        <v/>
      </c>
      <c r="S131" s="67" t="str">
        <f>IFERROR(MATCH(1,INDEX((TRANSACTIONS_MASTER!$C$5:$C$1204=$C$2)*(TRANSACTIONS_MASTER!$AL$5:$AL$1204=15),0),0),"")</f>
        <v/>
      </c>
      <c r="T131" s="55" t="n"/>
      <c r="U131" s="55" t="str">
        <f>IF($S131="","",INDEX(TRANSACTIONS_MASTER!$K$5:$K$1204,$S131))</f>
        <v/>
      </c>
      <c r="V131" s="25" t="str">
        <f>IF($S131="","",SUMIFS(TRANSACTIONS_MASTER!$L$5:$L$1204,TRANSACTIONS_MASTER!$K$5:$K$1204,$U131,TRANSACTIONS_MASTER!$C$5:$C$1204,$C$2,TRANSACTIONS_MASTER!$U$5:$U$1204,"&lt;&gt;Cancelled"))</f>
        <v/>
      </c>
      <c r="W131" s="26" t="str">
        <f>IF($S131="","",SUMIFS(TRANSACTIONS_MASTER!$Q$5:$Q$1204,TRANSACTIONS_MASTER!$K$5:$K$1204,$U131,TRANSACTIONS_MASTER!$C$5:$C$1204,$C$2))</f>
        <v/>
      </c>
    </row>
    <row r="132">
      <c r="A132" s="81" t="str">
        <f>IF($Q132="","",125)</f>
        <v/>
      </c>
      <c r="B132" s="57" t="str">
        <f>IF($Q132="","",INDEX(TRANSACTIONS_MASTER!$B$5:$B$1204,$Q132))</f>
        <v/>
      </c>
      <c r="C132" s="55" t="str">
        <f>IF($Q132="","",INDEX(TRANSACTIONS_MASTER!$F$5:$F$1204,$Q132))</f>
        <v/>
      </c>
      <c r="D132" s="55" t="str">
        <f>IF($Q132="","",INDEX(TRANSACTIONS_MASTER!$E$5:$E$1204,$Q132))</f>
        <v/>
      </c>
      <c r="E132" s="55" t="str">
        <f>IF($Q132="","",INDEX(TRANSACTIONS_MASTER!$G$5:$G$1204,$Q132)&amp;"")</f>
        <v/>
      </c>
      <c r="F132" s="29" t="str">
        <f>IF($Q132="","",INDEX(TRANSACTIONS_MASTER!$I$5:$I$1204,$Q132))</f>
        <v/>
      </c>
      <c r="G132" s="55" t="str">
        <f>IF($Q132="","",INDEX(TRANSACTIONS_MASTER!$K$5:$K$1204,$Q132))</f>
        <v/>
      </c>
      <c r="H132" s="25" t="str">
        <f>IF($Q132="","",INDEX(TRANSACTIONS_MASTER!$L$5:$L$1204,$Q132))</f>
        <v/>
      </c>
      <c r="I132" s="56" t="str">
        <f>IF($Q132="","",INDEX(TRANSACTIONS_MASTER!$N$5:$N$1204,$Q132))</f>
        <v/>
      </c>
      <c r="J132" s="25" t="str">
        <f>IF($Q132="","",INDEX(TRANSACTIONS_MASTER!$O$5:$O$1204,$Q132))</f>
        <v/>
      </c>
      <c r="K132" s="26" t="str">
        <f>IF($Q132="","",INDEX(TRANSACTIONS_MASTER!$Q$5:$Q$1204,$Q132))</f>
        <v/>
      </c>
      <c r="L132" s="25" t="str">
        <f>IF($Q132="","",INDEX(TRANSACTIONS_MASTER!$P$5:$P$1204,$Q132))</f>
        <v/>
      </c>
      <c r="M132" s="25" t="str">
        <f>IF($Q132="","",INDEX(TRANSACTIONS_MASTER!$AA$5:$AA$1204,$Q132))</f>
        <v/>
      </c>
      <c r="N132" s="25" t="str">
        <f>IF($Q132="","",INDEX(TRANSACTIONS_MASTER!$R$5:$R$1204,$Q132))</f>
        <v/>
      </c>
      <c r="O132" s="28" t="str">
        <f>IF($Q132="","",INDEX(TRANSACTIONS_MASTER!$AB$5:$AB$1204,$Q132))</f>
        <v/>
      </c>
      <c r="P132" s="55" t="str">
        <f>IF($Q132="","",INDEX(TRANSACTIONS_MASTER!$Z$5:$Z$1204,$Q132)&amp;"")</f>
        <v/>
      </c>
      <c r="Q132" s="67" t="str">
        <f>IFERROR(MATCH($C$2&amp;"|"&amp;125,TRANSACTIONS_MASTER!$AE$5:$AE$1204,0),"")</f>
        <v/>
      </c>
      <c r="T132" s="45" t="n"/>
      <c r="U132" s="82" t="inlineStr">
        <is>
          <t>Khác (ngoài danh sách)</t>
        </is>
      </c>
      <c r="V132" s="48">
        <f>MAX(0,SUMIFS(TRANSACTIONS_MASTER!$L$5:$L$1204,TRANSACTIONS_MASTER!$C$5:$C$1204,$C$2,TRANSACTIONS_MASTER!$U$5:$U$1204,"&lt;&gt;Cancelled")-SUM(V117:V131))</f>
        <v>0</v>
      </c>
      <c r="W132" s="48">
        <f>MAX(0,SUMIFS(TRANSACTIONS_MASTER!$Q$5:$Q$1204,TRANSACTIONS_MASTER!$C$5:$C$1204,$C$2)-SUM(W117:W131))</f>
        <v>0</v>
      </c>
    </row>
    <row r="133">
      <c r="A133" s="81" t="str">
        <f>IF($Q133="","",126)</f>
        <v/>
      </c>
      <c r="B133" s="57" t="str">
        <f>IF($Q133="","",INDEX(TRANSACTIONS_MASTER!$B$5:$B$1204,$Q133))</f>
        <v/>
      </c>
      <c r="C133" s="55" t="str">
        <f>IF($Q133="","",INDEX(TRANSACTIONS_MASTER!$F$5:$F$1204,$Q133))</f>
        <v/>
      </c>
      <c r="D133" s="55" t="str">
        <f>IF($Q133="","",INDEX(TRANSACTIONS_MASTER!$E$5:$E$1204,$Q133))</f>
        <v/>
      </c>
      <c r="E133" s="55" t="str">
        <f>IF($Q133="","",INDEX(TRANSACTIONS_MASTER!$G$5:$G$1204,$Q133)&amp;"")</f>
        <v/>
      </c>
      <c r="F133" s="29" t="str">
        <f>IF($Q133="","",INDEX(TRANSACTIONS_MASTER!$I$5:$I$1204,$Q133))</f>
        <v/>
      </c>
      <c r="G133" s="55" t="str">
        <f>IF($Q133="","",INDEX(TRANSACTIONS_MASTER!$K$5:$K$1204,$Q133))</f>
        <v/>
      </c>
      <c r="H133" s="25" t="str">
        <f>IF($Q133="","",INDEX(TRANSACTIONS_MASTER!$L$5:$L$1204,$Q133))</f>
        <v/>
      </c>
      <c r="I133" s="56" t="str">
        <f>IF($Q133="","",INDEX(TRANSACTIONS_MASTER!$N$5:$N$1204,$Q133))</f>
        <v/>
      </c>
      <c r="J133" s="25" t="str">
        <f>IF($Q133="","",INDEX(TRANSACTIONS_MASTER!$O$5:$O$1204,$Q133))</f>
        <v/>
      </c>
      <c r="K133" s="26" t="str">
        <f>IF($Q133="","",INDEX(TRANSACTIONS_MASTER!$Q$5:$Q$1204,$Q133))</f>
        <v/>
      </c>
      <c r="L133" s="25" t="str">
        <f>IF($Q133="","",INDEX(TRANSACTIONS_MASTER!$P$5:$P$1204,$Q133))</f>
        <v/>
      </c>
      <c r="M133" s="25" t="str">
        <f>IF($Q133="","",INDEX(TRANSACTIONS_MASTER!$AA$5:$AA$1204,$Q133))</f>
        <v/>
      </c>
      <c r="N133" s="25" t="str">
        <f>IF($Q133="","",INDEX(TRANSACTIONS_MASTER!$R$5:$R$1204,$Q133))</f>
        <v/>
      </c>
      <c r="O133" s="28" t="str">
        <f>IF($Q133="","",INDEX(TRANSACTIONS_MASTER!$AB$5:$AB$1204,$Q133))</f>
        <v/>
      </c>
      <c r="P133" s="55" t="str">
        <f>IF($Q133="","",INDEX(TRANSACTIONS_MASTER!$Z$5:$Z$1204,$Q133)&amp;"")</f>
        <v/>
      </c>
      <c r="Q133" s="67" t="str">
        <f>IFERROR(MATCH($C$2&amp;"|"&amp;126,TRANSACTIONS_MASTER!$AE$5:$AE$1204,0),"")</f>
        <v/>
      </c>
      <c r="T133" s="68" t="n"/>
      <c r="U133" s="69" t="inlineStr">
        <is>
          <t>TỔNG</t>
        </is>
      </c>
      <c r="V133" s="31">
        <f>SUM(V117:V132)</f>
        <v>0</v>
      </c>
      <c r="W133" s="31">
        <f>SUM(W117:W132)</f>
        <v>0</v>
      </c>
    </row>
    <row r="134">
      <c r="A134" s="81" t="str">
        <f>IF($Q134="","",127)</f>
        <v/>
      </c>
      <c r="B134" s="57" t="str">
        <f>IF($Q134="","",INDEX(TRANSACTIONS_MASTER!$B$5:$B$1204,$Q134))</f>
        <v/>
      </c>
      <c r="C134" s="55" t="str">
        <f>IF($Q134="","",INDEX(TRANSACTIONS_MASTER!$F$5:$F$1204,$Q134))</f>
        <v/>
      </c>
      <c r="D134" s="55" t="str">
        <f>IF($Q134="","",INDEX(TRANSACTIONS_MASTER!$E$5:$E$1204,$Q134))</f>
        <v/>
      </c>
      <c r="E134" s="55" t="str">
        <f>IF($Q134="","",INDEX(TRANSACTIONS_MASTER!$G$5:$G$1204,$Q134)&amp;"")</f>
        <v/>
      </c>
      <c r="F134" s="29" t="str">
        <f>IF($Q134="","",INDEX(TRANSACTIONS_MASTER!$I$5:$I$1204,$Q134))</f>
        <v/>
      </c>
      <c r="G134" s="55" t="str">
        <f>IF($Q134="","",INDEX(TRANSACTIONS_MASTER!$K$5:$K$1204,$Q134))</f>
        <v/>
      </c>
      <c r="H134" s="25" t="str">
        <f>IF($Q134="","",INDEX(TRANSACTIONS_MASTER!$L$5:$L$1204,$Q134))</f>
        <v/>
      </c>
      <c r="I134" s="56" t="str">
        <f>IF($Q134="","",INDEX(TRANSACTIONS_MASTER!$N$5:$N$1204,$Q134))</f>
        <v/>
      </c>
      <c r="J134" s="25" t="str">
        <f>IF($Q134="","",INDEX(TRANSACTIONS_MASTER!$O$5:$O$1204,$Q134))</f>
        <v/>
      </c>
      <c r="K134" s="26" t="str">
        <f>IF($Q134="","",INDEX(TRANSACTIONS_MASTER!$Q$5:$Q$1204,$Q134))</f>
        <v/>
      </c>
      <c r="L134" s="25" t="str">
        <f>IF($Q134="","",INDEX(TRANSACTIONS_MASTER!$P$5:$P$1204,$Q134))</f>
        <v/>
      </c>
      <c r="M134" s="25" t="str">
        <f>IF($Q134="","",INDEX(TRANSACTIONS_MASTER!$AA$5:$AA$1204,$Q134))</f>
        <v/>
      </c>
      <c r="N134" s="25" t="str">
        <f>IF($Q134="","",INDEX(TRANSACTIONS_MASTER!$R$5:$R$1204,$Q134))</f>
        <v/>
      </c>
      <c r="O134" s="28" t="str">
        <f>IF($Q134="","",INDEX(TRANSACTIONS_MASTER!$AB$5:$AB$1204,$Q134))</f>
        <v/>
      </c>
      <c r="P134" s="55" t="str">
        <f>IF($Q134="","",INDEX(TRANSACTIONS_MASTER!$Z$5:$Z$1204,$Q134)&amp;"")</f>
        <v/>
      </c>
      <c r="Q134" s="67" t="str">
        <f>IFERROR(MATCH($C$2&amp;"|"&amp;127,TRANSACTIONS_MASTER!$AE$5:$AE$1204,0),"")</f>
        <v/>
      </c>
    </row>
    <row r="135">
      <c r="A135" s="81" t="str">
        <f>IF($Q135="","",128)</f>
        <v/>
      </c>
      <c r="B135" s="57" t="str">
        <f>IF($Q135="","",INDEX(TRANSACTIONS_MASTER!$B$5:$B$1204,$Q135))</f>
        <v/>
      </c>
      <c r="C135" s="55" t="str">
        <f>IF($Q135="","",INDEX(TRANSACTIONS_MASTER!$F$5:$F$1204,$Q135))</f>
        <v/>
      </c>
      <c r="D135" s="55" t="str">
        <f>IF($Q135="","",INDEX(TRANSACTIONS_MASTER!$E$5:$E$1204,$Q135))</f>
        <v/>
      </c>
      <c r="E135" s="55" t="str">
        <f>IF($Q135="","",INDEX(TRANSACTIONS_MASTER!$G$5:$G$1204,$Q135)&amp;"")</f>
        <v/>
      </c>
      <c r="F135" s="29" t="str">
        <f>IF($Q135="","",INDEX(TRANSACTIONS_MASTER!$I$5:$I$1204,$Q135))</f>
        <v/>
      </c>
      <c r="G135" s="55" t="str">
        <f>IF($Q135="","",INDEX(TRANSACTIONS_MASTER!$K$5:$K$1204,$Q135))</f>
        <v/>
      </c>
      <c r="H135" s="25" t="str">
        <f>IF($Q135="","",INDEX(TRANSACTIONS_MASTER!$L$5:$L$1204,$Q135))</f>
        <v/>
      </c>
      <c r="I135" s="56" t="str">
        <f>IF($Q135="","",INDEX(TRANSACTIONS_MASTER!$N$5:$N$1204,$Q135))</f>
        <v/>
      </c>
      <c r="J135" s="25" t="str">
        <f>IF($Q135="","",INDEX(TRANSACTIONS_MASTER!$O$5:$O$1204,$Q135))</f>
        <v/>
      </c>
      <c r="K135" s="26" t="str">
        <f>IF($Q135="","",INDEX(TRANSACTIONS_MASTER!$Q$5:$Q$1204,$Q135))</f>
        <v/>
      </c>
      <c r="L135" s="25" t="str">
        <f>IF($Q135="","",INDEX(TRANSACTIONS_MASTER!$P$5:$P$1204,$Q135))</f>
        <v/>
      </c>
      <c r="M135" s="25" t="str">
        <f>IF($Q135="","",INDEX(TRANSACTIONS_MASTER!$AA$5:$AA$1204,$Q135))</f>
        <v/>
      </c>
      <c r="N135" s="25" t="str">
        <f>IF($Q135="","",INDEX(TRANSACTIONS_MASTER!$R$5:$R$1204,$Q135))</f>
        <v/>
      </c>
      <c r="O135" s="28" t="str">
        <f>IF($Q135="","",INDEX(TRANSACTIONS_MASTER!$AB$5:$AB$1204,$Q135))</f>
        <v/>
      </c>
      <c r="P135" s="55" t="str">
        <f>IF($Q135="","",INDEX(TRANSACTIONS_MASTER!$Z$5:$Z$1204,$Q135)&amp;"")</f>
        <v/>
      </c>
      <c r="Q135" s="67" t="str">
        <f>IFERROR(MATCH($C$2&amp;"|"&amp;128,TRANSACTIONS_MASTER!$AE$5:$AE$1204,0),"")</f>
        <v/>
      </c>
    </row>
    <row r="136" ht="22" customHeight="1">
      <c r="A136" s="81" t="str">
        <f>IF($Q136="","",129)</f>
        <v/>
      </c>
      <c r="B136" s="57" t="str">
        <f>IF($Q136="","",INDEX(TRANSACTIONS_MASTER!$B$5:$B$1204,$Q136))</f>
        <v/>
      </c>
      <c r="C136" s="55" t="str">
        <f>IF($Q136="","",INDEX(TRANSACTIONS_MASTER!$F$5:$F$1204,$Q136))</f>
        <v/>
      </c>
      <c r="D136" s="55" t="str">
        <f>IF($Q136="","",INDEX(TRANSACTIONS_MASTER!$E$5:$E$1204,$Q136))</f>
        <v/>
      </c>
      <c r="E136" s="55" t="str">
        <f>IF($Q136="","",INDEX(TRANSACTIONS_MASTER!$G$5:$G$1204,$Q136)&amp;"")</f>
        <v/>
      </c>
      <c r="F136" s="29" t="str">
        <f>IF($Q136="","",INDEX(TRANSACTIONS_MASTER!$I$5:$I$1204,$Q136))</f>
        <v/>
      </c>
      <c r="G136" s="55" t="str">
        <f>IF($Q136="","",INDEX(TRANSACTIONS_MASTER!$K$5:$K$1204,$Q136))</f>
        <v/>
      </c>
      <c r="H136" s="25" t="str">
        <f>IF($Q136="","",INDEX(TRANSACTIONS_MASTER!$L$5:$L$1204,$Q136))</f>
        <v/>
      </c>
      <c r="I136" s="56" t="str">
        <f>IF($Q136="","",INDEX(TRANSACTIONS_MASTER!$N$5:$N$1204,$Q136))</f>
        <v/>
      </c>
      <c r="J136" s="25" t="str">
        <f>IF($Q136="","",INDEX(TRANSACTIONS_MASTER!$O$5:$O$1204,$Q136))</f>
        <v/>
      </c>
      <c r="K136" s="26" t="str">
        <f>IF($Q136="","",INDEX(TRANSACTIONS_MASTER!$Q$5:$Q$1204,$Q136))</f>
        <v/>
      </c>
      <c r="L136" s="25" t="str">
        <f>IF($Q136="","",INDEX(TRANSACTIONS_MASTER!$P$5:$P$1204,$Q136))</f>
        <v/>
      </c>
      <c r="M136" s="25" t="str">
        <f>IF($Q136="","",INDEX(TRANSACTIONS_MASTER!$AA$5:$AA$1204,$Q136))</f>
        <v/>
      </c>
      <c r="N136" s="25" t="str">
        <f>IF($Q136="","",INDEX(TRANSACTIONS_MASTER!$R$5:$R$1204,$Q136))</f>
        <v/>
      </c>
      <c r="O136" s="28" t="str">
        <f>IF($Q136="","",INDEX(TRANSACTIONS_MASTER!$AB$5:$AB$1204,$Q136))</f>
        <v/>
      </c>
      <c r="P136" s="55" t="str">
        <f>IF($Q136="","",INDEX(TRANSACTIONS_MASTER!$Z$5:$Z$1204,$Q136)&amp;"")</f>
        <v/>
      </c>
      <c r="Q136" s="67" t="str">
        <f>IFERROR(MATCH($C$2&amp;"|"&amp;129,TRANSACTIONS_MASTER!$AE$5:$AE$1204,0),"")</f>
        <v/>
      </c>
      <c r="T136" s="19" t="inlineStr">
        <is>
          <t>THEO MCC</t>
        </is>
      </c>
      <c r="U136" s="20" t="n"/>
      <c r="V136" s="20" t="n"/>
      <c r="W136" s="20" t="n"/>
      <c r="X136" s="20" t="n"/>
      <c r="Y136" s="20" t="n"/>
      <c r="Z136" s="20" t="n"/>
      <c r="AA136" s="20" t="n"/>
    </row>
    <row r="137" ht="28" customHeight="1">
      <c r="A137" s="81" t="str">
        <f>IF($Q137="","",130)</f>
        <v/>
      </c>
      <c r="B137" s="57" t="str">
        <f>IF($Q137="","",INDEX(TRANSACTIONS_MASTER!$B$5:$B$1204,$Q137))</f>
        <v/>
      </c>
      <c r="C137" s="55" t="str">
        <f>IF($Q137="","",INDEX(TRANSACTIONS_MASTER!$F$5:$F$1204,$Q137))</f>
        <v/>
      </c>
      <c r="D137" s="55" t="str">
        <f>IF($Q137="","",INDEX(TRANSACTIONS_MASTER!$E$5:$E$1204,$Q137))</f>
        <v/>
      </c>
      <c r="E137" s="55" t="str">
        <f>IF($Q137="","",INDEX(TRANSACTIONS_MASTER!$G$5:$G$1204,$Q137)&amp;"")</f>
        <v/>
      </c>
      <c r="F137" s="29" t="str">
        <f>IF($Q137="","",INDEX(TRANSACTIONS_MASTER!$I$5:$I$1204,$Q137))</f>
        <v/>
      </c>
      <c r="G137" s="55" t="str">
        <f>IF($Q137="","",INDEX(TRANSACTIONS_MASTER!$K$5:$K$1204,$Q137))</f>
        <v/>
      </c>
      <c r="H137" s="25" t="str">
        <f>IF($Q137="","",INDEX(TRANSACTIONS_MASTER!$L$5:$L$1204,$Q137))</f>
        <v/>
      </c>
      <c r="I137" s="56" t="str">
        <f>IF($Q137="","",INDEX(TRANSACTIONS_MASTER!$N$5:$N$1204,$Q137))</f>
        <v/>
      </c>
      <c r="J137" s="25" t="str">
        <f>IF($Q137="","",INDEX(TRANSACTIONS_MASTER!$O$5:$O$1204,$Q137))</f>
        <v/>
      </c>
      <c r="K137" s="26" t="str">
        <f>IF($Q137="","",INDEX(TRANSACTIONS_MASTER!$Q$5:$Q$1204,$Q137))</f>
        <v/>
      </c>
      <c r="L137" s="25" t="str">
        <f>IF($Q137="","",INDEX(TRANSACTIONS_MASTER!$P$5:$P$1204,$Q137))</f>
        <v/>
      </c>
      <c r="M137" s="25" t="str">
        <f>IF($Q137="","",INDEX(TRANSACTIONS_MASTER!$AA$5:$AA$1204,$Q137))</f>
        <v/>
      </c>
      <c r="N137" s="25" t="str">
        <f>IF($Q137="","",INDEX(TRANSACTIONS_MASTER!$R$5:$R$1204,$Q137))</f>
        <v/>
      </c>
      <c r="O137" s="28" t="str">
        <f>IF($Q137="","",INDEX(TRANSACTIONS_MASTER!$AB$5:$AB$1204,$Q137))</f>
        <v/>
      </c>
      <c r="P137" s="55" t="str">
        <f>IF($Q137="","",INDEX(TRANSACTIONS_MASTER!$Z$5:$Z$1204,$Q137)&amp;"")</f>
        <v/>
      </c>
      <c r="Q137" s="67" t="str">
        <f>IFERROR(MATCH($C$2&amp;"|"&amp;130,TRANSACTIONS_MASTER!$AE$5:$AE$1204,0),"")</f>
        <v/>
      </c>
      <c r="S137" s="21" t="inlineStr">
        <is>
          <t>#</t>
        </is>
      </c>
      <c r="T137" s="21" t="inlineStr">
        <is>
          <t>MCC</t>
        </is>
      </c>
      <c r="U137" s="21" t="inlineStr">
        <is>
          <t>Tên MCC</t>
        </is>
      </c>
      <c r="V137" s="21" t="inlineStr">
        <is>
          <t>Chi tiêu</t>
        </is>
      </c>
      <c r="W137" s="21" t="inlineStr">
        <is>
          <t>Cashback</t>
        </is>
      </c>
    </row>
    <row r="138">
      <c r="A138" s="81" t="str">
        <f>IF($Q138="","",131)</f>
        <v/>
      </c>
      <c r="B138" s="57" t="str">
        <f>IF($Q138="","",INDEX(TRANSACTIONS_MASTER!$B$5:$B$1204,$Q138))</f>
        <v/>
      </c>
      <c r="C138" s="55" t="str">
        <f>IF($Q138="","",INDEX(TRANSACTIONS_MASTER!$F$5:$F$1204,$Q138))</f>
        <v/>
      </c>
      <c r="D138" s="55" t="str">
        <f>IF($Q138="","",INDEX(TRANSACTIONS_MASTER!$E$5:$E$1204,$Q138))</f>
        <v/>
      </c>
      <c r="E138" s="55" t="str">
        <f>IF($Q138="","",INDEX(TRANSACTIONS_MASTER!$G$5:$G$1204,$Q138)&amp;"")</f>
        <v/>
      </c>
      <c r="F138" s="29" t="str">
        <f>IF($Q138="","",INDEX(TRANSACTIONS_MASTER!$I$5:$I$1204,$Q138))</f>
        <v/>
      </c>
      <c r="G138" s="55" t="str">
        <f>IF($Q138="","",INDEX(TRANSACTIONS_MASTER!$K$5:$K$1204,$Q138))</f>
        <v/>
      </c>
      <c r="H138" s="25" t="str">
        <f>IF($Q138="","",INDEX(TRANSACTIONS_MASTER!$L$5:$L$1204,$Q138))</f>
        <v/>
      </c>
      <c r="I138" s="56" t="str">
        <f>IF($Q138="","",INDEX(TRANSACTIONS_MASTER!$N$5:$N$1204,$Q138))</f>
        <v/>
      </c>
      <c r="J138" s="25" t="str">
        <f>IF($Q138="","",INDEX(TRANSACTIONS_MASTER!$O$5:$O$1204,$Q138))</f>
        <v/>
      </c>
      <c r="K138" s="26" t="str">
        <f>IF($Q138="","",INDEX(TRANSACTIONS_MASTER!$Q$5:$Q$1204,$Q138))</f>
        <v/>
      </c>
      <c r="L138" s="25" t="str">
        <f>IF($Q138="","",INDEX(TRANSACTIONS_MASTER!$P$5:$P$1204,$Q138))</f>
        <v/>
      </c>
      <c r="M138" s="25" t="str">
        <f>IF($Q138="","",INDEX(TRANSACTIONS_MASTER!$AA$5:$AA$1204,$Q138))</f>
        <v/>
      </c>
      <c r="N138" s="25" t="str">
        <f>IF($Q138="","",INDEX(TRANSACTIONS_MASTER!$R$5:$R$1204,$Q138))</f>
        <v/>
      </c>
      <c r="O138" s="28" t="str">
        <f>IF($Q138="","",INDEX(TRANSACTIONS_MASTER!$AB$5:$AB$1204,$Q138))</f>
        <v/>
      </c>
      <c r="P138" s="55" t="str">
        <f>IF($Q138="","",INDEX(TRANSACTIONS_MASTER!$Z$5:$Z$1204,$Q138)&amp;"")</f>
        <v/>
      </c>
      <c r="Q138" s="67" t="str">
        <f>IFERROR(MATCH($C$2&amp;"|"&amp;131,TRANSACTIONS_MASTER!$AE$5:$AE$1204,0),"")</f>
        <v/>
      </c>
      <c r="S138" s="67" t="str">
        <f>IFERROR(MATCH(1,INDEX((TRANSACTIONS_MASTER!$C$5:$C$1204=$C$2)*(TRANSACTIONS_MASTER!$AJ$5:$AJ$1204=1),0),0),"")</f>
        <v/>
      </c>
      <c r="T138" s="29" t="str">
        <f>IF($S138="","",INDEX(TRANSACTIONS_MASTER!$I$5:$I$1204,$S138))</f>
        <v/>
      </c>
      <c r="U138" s="55" t="str">
        <f>IF($S138="","",INDEX(TRANSACTIONS_MASTER!$J$5:$J$1204,$S138))</f>
        <v/>
      </c>
      <c r="V138" s="25" t="str">
        <f>IF($S138="","",SUMIFS(TRANSACTIONS_MASTER!$L$5:$L$1204,TRANSACTIONS_MASTER!$I$5:$I$1204,$T138,TRANSACTIONS_MASTER!$C$5:$C$1204,$C$2,TRANSACTIONS_MASTER!$U$5:$U$1204,"&lt;&gt;Cancelled"))</f>
        <v/>
      </c>
      <c r="W138" s="26" t="str">
        <f>IF($S138="","",SUMIFS(TRANSACTIONS_MASTER!$Q$5:$Q$1204,TRANSACTIONS_MASTER!$I$5:$I$1204,$T138,TRANSACTIONS_MASTER!$C$5:$C$1204,$C$2))</f>
        <v/>
      </c>
    </row>
    <row r="139">
      <c r="A139" s="81" t="str">
        <f>IF($Q139="","",132)</f>
        <v/>
      </c>
      <c r="B139" s="57" t="str">
        <f>IF($Q139="","",INDEX(TRANSACTIONS_MASTER!$B$5:$B$1204,$Q139))</f>
        <v/>
      </c>
      <c r="C139" s="55" t="str">
        <f>IF($Q139="","",INDEX(TRANSACTIONS_MASTER!$F$5:$F$1204,$Q139))</f>
        <v/>
      </c>
      <c r="D139" s="55" t="str">
        <f>IF($Q139="","",INDEX(TRANSACTIONS_MASTER!$E$5:$E$1204,$Q139))</f>
        <v/>
      </c>
      <c r="E139" s="55" t="str">
        <f>IF($Q139="","",INDEX(TRANSACTIONS_MASTER!$G$5:$G$1204,$Q139)&amp;"")</f>
        <v/>
      </c>
      <c r="F139" s="29" t="str">
        <f>IF($Q139="","",INDEX(TRANSACTIONS_MASTER!$I$5:$I$1204,$Q139))</f>
        <v/>
      </c>
      <c r="G139" s="55" t="str">
        <f>IF($Q139="","",INDEX(TRANSACTIONS_MASTER!$K$5:$K$1204,$Q139))</f>
        <v/>
      </c>
      <c r="H139" s="25" t="str">
        <f>IF($Q139="","",INDEX(TRANSACTIONS_MASTER!$L$5:$L$1204,$Q139))</f>
        <v/>
      </c>
      <c r="I139" s="56" t="str">
        <f>IF($Q139="","",INDEX(TRANSACTIONS_MASTER!$N$5:$N$1204,$Q139))</f>
        <v/>
      </c>
      <c r="J139" s="25" t="str">
        <f>IF($Q139="","",INDEX(TRANSACTIONS_MASTER!$O$5:$O$1204,$Q139))</f>
        <v/>
      </c>
      <c r="K139" s="26" t="str">
        <f>IF($Q139="","",INDEX(TRANSACTIONS_MASTER!$Q$5:$Q$1204,$Q139))</f>
        <v/>
      </c>
      <c r="L139" s="25" t="str">
        <f>IF($Q139="","",INDEX(TRANSACTIONS_MASTER!$P$5:$P$1204,$Q139))</f>
        <v/>
      </c>
      <c r="M139" s="25" t="str">
        <f>IF($Q139="","",INDEX(TRANSACTIONS_MASTER!$AA$5:$AA$1204,$Q139))</f>
        <v/>
      </c>
      <c r="N139" s="25" t="str">
        <f>IF($Q139="","",INDEX(TRANSACTIONS_MASTER!$R$5:$R$1204,$Q139))</f>
        <v/>
      </c>
      <c r="O139" s="28" t="str">
        <f>IF($Q139="","",INDEX(TRANSACTIONS_MASTER!$AB$5:$AB$1204,$Q139))</f>
        <v/>
      </c>
      <c r="P139" s="55" t="str">
        <f>IF($Q139="","",INDEX(TRANSACTIONS_MASTER!$Z$5:$Z$1204,$Q139)&amp;"")</f>
        <v/>
      </c>
      <c r="Q139" s="67" t="str">
        <f>IFERROR(MATCH($C$2&amp;"|"&amp;132,TRANSACTIONS_MASTER!$AE$5:$AE$1204,0),"")</f>
        <v/>
      </c>
      <c r="S139" s="67" t="str">
        <f>IFERROR(MATCH(1,INDEX((TRANSACTIONS_MASTER!$C$5:$C$1204=$C$2)*(TRANSACTIONS_MASTER!$AJ$5:$AJ$1204=2),0),0),"")</f>
        <v/>
      </c>
      <c r="T139" s="29" t="str">
        <f>IF($S139="","",INDEX(TRANSACTIONS_MASTER!$I$5:$I$1204,$S139))</f>
        <v/>
      </c>
      <c r="U139" s="55" t="str">
        <f>IF($S139="","",INDEX(TRANSACTIONS_MASTER!$J$5:$J$1204,$S139))</f>
        <v/>
      </c>
      <c r="V139" s="25" t="str">
        <f>IF($S139="","",SUMIFS(TRANSACTIONS_MASTER!$L$5:$L$1204,TRANSACTIONS_MASTER!$I$5:$I$1204,$T139,TRANSACTIONS_MASTER!$C$5:$C$1204,$C$2,TRANSACTIONS_MASTER!$U$5:$U$1204,"&lt;&gt;Cancelled"))</f>
        <v/>
      </c>
      <c r="W139" s="26" t="str">
        <f>IF($S139="","",SUMIFS(TRANSACTIONS_MASTER!$Q$5:$Q$1204,TRANSACTIONS_MASTER!$I$5:$I$1204,$T139,TRANSACTIONS_MASTER!$C$5:$C$1204,$C$2))</f>
        <v/>
      </c>
    </row>
    <row r="140">
      <c r="A140" s="81" t="str">
        <f>IF($Q140="","",133)</f>
        <v/>
      </c>
      <c r="B140" s="57" t="str">
        <f>IF($Q140="","",INDEX(TRANSACTIONS_MASTER!$B$5:$B$1204,$Q140))</f>
        <v/>
      </c>
      <c r="C140" s="55" t="str">
        <f>IF($Q140="","",INDEX(TRANSACTIONS_MASTER!$F$5:$F$1204,$Q140))</f>
        <v/>
      </c>
      <c r="D140" s="55" t="str">
        <f>IF($Q140="","",INDEX(TRANSACTIONS_MASTER!$E$5:$E$1204,$Q140))</f>
        <v/>
      </c>
      <c r="E140" s="55" t="str">
        <f>IF($Q140="","",INDEX(TRANSACTIONS_MASTER!$G$5:$G$1204,$Q140)&amp;"")</f>
        <v/>
      </c>
      <c r="F140" s="29" t="str">
        <f>IF($Q140="","",INDEX(TRANSACTIONS_MASTER!$I$5:$I$1204,$Q140))</f>
        <v/>
      </c>
      <c r="G140" s="55" t="str">
        <f>IF($Q140="","",INDEX(TRANSACTIONS_MASTER!$K$5:$K$1204,$Q140))</f>
        <v/>
      </c>
      <c r="H140" s="25" t="str">
        <f>IF($Q140="","",INDEX(TRANSACTIONS_MASTER!$L$5:$L$1204,$Q140))</f>
        <v/>
      </c>
      <c r="I140" s="56" t="str">
        <f>IF($Q140="","",INDEX(TRANSACTIONS_MASTER!$N$5:$N$1204,$Q140))</f>
        <v/>
      </c>
      <c r="J140" s="25" t="str">
        <f>IF($Q140="","",INDEX(TRANSACTIONS_MASTER!$O$5:$O$1204,$Q140))</f>
        <v/>
      </c>
      <c r="K140" s="26" t="str">
        <f>IF($Q140="","",INDEX(TRANSACTIONS_MASTER!$Q$5:$Q$1204,$Q140))</f>
        <v/>
      </c>
      <c r="L140" s="25" t="str">
        <f>IF($Q140="","",INDEX(TRANSACTIONS_MASTER!$P$5:$P$1204,$Q140))</f>
        <v/>
      </c>
      <c r="M140" s="25" t="str">
        <f>IF($Q140="","",INDEX(TRANSACTIONS_MASTER!$AA$5:$AA$1204,$Q140))</f>
        <v/>
      </c>
      <c r="N140" s="25" t="str">
        <f>IF($Q140="","",INDEX(TRANSACTIONS_MASTER!$R$5:$R$1204,$Q140))</f>
        <v/>
      </c>
      <c r="O140" s="28" t="str">
        <f>IF($Q140="","",INDEX(TRANSACTIONS_MASTER!$AB$5:$AB$1204,$Q140))</f>
        <v/>
      </c>
      <c r="P140" s="55" t="str">
        <f>IF($Q140="","",INDEX(TRANSACTIONS_MASTER!$Z$5:$Z$1204,$Q140)&amp;"")</f>
        <v/>
      </c>
      <c r="Q140" s="67" t="str">
        <f>IFERROR(MATCH($C$2&amp;"|"&amp;133,TRANSACTIONS_MASTER!$AE$5:$AE$1204,0),"")</f>
        <v/>
      </c>
      <c r="S140" s="67" t="str">
        <f>IFERROR(MATCH(1,INDEX((TRANSACTIONS_MASTER!$C$5:$C$1204=$C$2)*(TRANSACTIONS_MASTER!$AJ$5:$AJ$1204=3),0),0),"")</f>
        <v/>
      </c>
      <c r="T140" s="29" t="str">
        <f>IF($S140="","",INDEX(TRANSACTIONS_MASTER!$I$5:$I$1204,$S140))</f>
        <v/>
      </c>
      <c r="U140" s="55" t="str">
        <f>IF($S140="","",INDEX(TRANSACTIONS_MASTER!$J$5:$J$1204,$S140))</f>
        <v/>
      </c>
      <c r="V140" s="25" t="str">
        <f>IF($S140="","",SUMIFS(TRANSACTIONS_MASTER!$L$5:$L$1204,TRANSACTIONS_MASTER!$I$5:$I$1204,$T140,TRANSACTIONS_MASTER!$C$5:$C$1204,$C$2,TRANSACTIONS_MASTER!$U$5:$U$1204,"&lt;&gt;Cancelled"))</f>
        <v/>
      </c>
      <c r="W140" s="26" t="str">
        <f>IF($S140="","",SUMIFS(TRANSACTIONS_MASTER!$Q$5:$Q$1204,TRANSACTIONS_MASTER!$I$5:$I$1204,$T140,TRANSACTIONS_MASTER!$C$5:$C$1204,$C$2))</f>
        <v/>
      </c>
    </row>
    <row r="141">
      <c r="A141" s="81" t="str">
        <f>IF($Q141="","",134)</f>
        <v/>
      </c>
      <c r="B141" s="57" t="str">
        <f>IF($Q141="","",INDEX(TRANSACTIONS_MASTER!$B$5:$B$1204,$Q141))</f>
        <v/>
      </c>
      <c r="C141" s="55" t="str">
        <f>IF($Q141="","",INDEX(TRANSACTIONS_MASTER!$F$5:$F$1204,$Q141))</f>
        <v/>
      </c>
      <c r="D141" s="55" t="str">
        <f>IF($Q141="","",INDEX(TRANSACTIONS_MASTER!$E$5:$E$1204,$Q141))</f>
        <v/>
      </c>
      <c r="E141" s="55" t="str">
        <f>IF($Q141="","",INDEX(TRANSACTIONS_MASTER!$G$5:$G$1204,$Q141)&amp;"")</f>
        <v/>
      </c>
      <c r="F141" s="29" t="str">
        <f>IF($Q141="","",INDEX(TRANSACTIONS_MASTER!$I$5:$I$1204,$Q141))</f>
        <v/>
      </c>
      <c r="G141" s="55" t="str">
        <f>IF($Q141="","",INDEX(TRANSACTIONS_MASTER!$K$5:$K$1204,$Q141))</f>
        <v/>
      </c>
      <c r="H141" s="25" t="str">
        <f>IF($Q141="","",INDEX(TRANSACTIONS_MASTER!$L$5:$L$1204,$Q141))</f>
        <v/>
      </c>
      <c r="I141" s="56" t="str">
        <f>IF($Q141="","",INDEX(TRANSACTIONS_MASTER!$N$5:$N$1204,$Q141))</f>
        <v/>
      </c>
      <c r="J141" s="25" t="str">
        <f>IF($Q141="","",INDEX(TRANSACTIONS_MASTER!$O$5:$O$1204,$Q141))</f>
        <v/>
      </c>
      <c r="K141" s="26" t="str">
        <f>IF($Q141="","",INDEX(TRANSACTIONS_MASTER!$Q$5:$Q$1204,$Q141))</f>
        <v/>
      </c>
      <c r="L141" s="25" t="str">
        <f>IF($Q141="","",INDEX(TRANSACTIONS_MASTER!$P$5:$P$1204,$Q141))</f>
        <v/>
      </c>
      <c r="M141" s="25" t="str">
        <f>IF($Q141="","",INDEX(TRANSACTIONS_MASTER!$AA$5:$AA$1204,$Q141))</f>
        <v/>
      </c>
      <c r="N141" s="25" t="str">
        <f>IF($Q141="","",INDEX(TRANSACTIONS_MASTER!$R$5:$R$1204,$Q141))</f>
        <v/>
      </c>
      <c r="O141" s="28" t="str">
        <f>IF($Q141="","",INDEX(TRANSACTIONS_MASTER!$AB$5:$AB$1204,$Q141))</f>
        <v/>
      </c>
      <c r="P141" s="55" t="str">
        <f>IF($Q141="","",INDEX(TRANSACTIONS_MASTER!$Z$5:$Z$1204,$Q141)&amp;"")</f>
        <v/>
      </c>
      <c r="Q141" s="67" t="str">
        <f>IFERROR(MATCH($C$2&amp;"|"&amp;134,TRANSACTIONS_MASTER!$AE$5:$AE$1204,0),"")</f>
        <v/>
      </c>
      <c r="S141" s="67" t="str">
        <f>IFERROR(MATCH(1,INDEX((TRANSACTIONS_MASTER!$C$5:$C$1204=$C$2)*(TRANSACTIONS_MASTER!$AJ$5:$AJ$1204=4),0),0),"")</f>
        <v/>
      </c>
      <c r="T141" s="29" t="str">
        <f>IF($S141="","",INDEX(TRANSACTIONS_MASTER!$I$5:$I$1204,$S141))</f>
        <v/>
      </c>
      <c r="U141" s="55" t="str">
        <f>IF($S141="","",INDEX(TRANSACTIONS_MASTER!$J$5:$J$1204,$S141))</f>
        <v/>
      </c>
      <c r="V141" s="25" t="str">
        <f>IF($S141="","",SUMIFS(TRANSACTIONS_MASTER!$L$5:$L$1204,TRANSACTIONS_MASTER!$I$5:$I$1204,$T141,TRANSACTIONS_MASTER!$C$5:$C$1204,$C$2,TRANSACTIONS_MASTER!$U$5:$U$1204,"&lt;&gt;Cancelled"))</f>
        <v/>
      </c>
      <c r="W141" s="26" t="str">
        <f>IF($S141="","",SUMIFS(TRANSACTIONS_MASTER!$Q$5:$Q$1204,TRANSACTIONS_MASTER!$I$5:$I$1204,$T141,TRANSACTIONS_MASTER!$C$5:$C$1204,$C$2))</f>
        <v/>
      </c>
    </row>
    <row r="142">
      <c r="A142" s="81" t="str">
        <f>IF($Q142="","",135)</f>
        <v/>
      </c>
      <c r="B142" s="57" t="str">
        <f>IF($Q142="","",INDEX(TRANSACTIONS_MASTER!$B$5:$B$1204,$Q142))</f>
        <v/>
      </c>
      <c r="C142" s="55" t="str">
        <f>IF($Q142="","",INDEX(TRANSACTIONS_MASTER!$F$5:$F$1204,$Q142))</f>
        <v/>
      </c>
      <c r="D142" s="55" t="str">
        <f>IF($Q142="","",INDEX(TRANSACTIONS_MASTER!$E$5:$E$1204,$Q142))</f>
        <v/>
      </c>
      <c r="E142" s="55" t="str">
        <f>IF($Q142="","",INDEX(TRANSACTIONS_MASTER!$G$5:$G$1204,$Q142)&amp;"")</f>
        <v/>
      </c>
      <c r="F142" s="29" t="str">
        <f>IF($Q142="","",INDEX(TRANSACTIONS_MASTER!$I$5:$I$1204,$Q142))</f>
        <v/>
      </c>
      <c r="G142" s="55" t="str">
        <f>IF($Q142="","",INDEX(TRANSACTIONS_MASTER!$K$5:$K$1204,$Q142))</f>
        <v/>
      </c>
      <c r="H142" s="25" t="str">
        <f>IF($Q142="","",INDEX(TRANSACTIONS_MASTER!$L$5:$L$1204,$Q142))</f>
        <v/>
      </c>
      <c r="I142" s="56" t="str">
        <f>IF($Q142="","",INDEX(TRANSACTIONS_MASTER!$N$5:$N$1204,$Q142))</f>
        <v/>
      </c>
      <c r="J142" s="25" t="str">
        <f>IF($Q142="","",INDEX(TRANSACTIONS_MASTER!$O$5:$O$1204,$Q142))</f>
        <v/>
      </c>
      <c r="K142" s="26" t="str">
        <f>IF($Q142="","",INDEX(TRANSACTIONS_MASTER!$Q$5:$Q$1204,$Q142))</f>
        <v/>
      </c>
      <c r="L142" s="25" t="str">
        <f>IF($Q142="","",INDEX(TRANSACTIONS_MASTER!$P$5:$P$1204,$Q142))</f>
        <v/>
      </c>
      <c r="M142" s="25" t="str">
        <f>IF($Q142="","",INDEX(TRANSACTIONS_MASTER!$AA$5:$AA$1204,$Q142))</f>
        <v/>
      </c>
      <c r="N142" s="25" t="str">
        <f>IF($Q142="","",INDEX(TRANSACTIONS_MASTER!$R$5:$R$1204,$Q142))</f>
        <v/>
      </c>
      <c r="O142" s="28" t="str">
        <f>IF($Q142="","",INDEX(TRANSACTIONS_MASTER!$AB$5:$AB$1204,$Q142))</f>
        <v/>
      </c>
      <c r="P142" s="55" t="str">
        <f>IF($Q142="","",INDEX(TRANSACTIONS_MASTER!$Z$5:$Z$1204,$Q142)&amp;"")</f>
        <v/>
      </c>
      <c r="Q142" s="67" t="str">
        <f>IFERROR(MATCH($C$2&amp;"|"&amp;135,TRANSACTIONS_MASTER!$AE$5:$AE$1204,0),"")</f>
        <v/>
      </c>
      <c r="S142" s="67" t="str">
        <f>IFERROR(MATCH(1,INDEX((TRANSACTIONS_MASTER!$C$5:$C$1204=$C$2)*(TRANSACTIONS_MASTER!$AJ$5:$AJ$1204=5),0),0),"")</f>
        <v/>
      </c>
      <c r="T142" s="29" t="str">
        <f>IF($S142="","",INDEX(TRANSACTIONS_MASTER!$I$5:$I$1204,$S142))</f>
        <v/>
      </c>
      <c r="U142" s="55" t="str">
        <f>IF($S142="","",INDEX(TRANSACTIONS_MASTER!$J$5:$J$1204,$S142))</f>
        <v/>
      </c>
      <c r="V142" s="25" t="str">
        <f>IF($S142="","",SUMIFS(TRANSACTIONS_MASTER!$L$5:$L$1204,TRANSACTIONS_MASTER!$I$5:$I$1204,$T142,TRANSACTIONS_MASTER!$C$5:$C$1204,$C$2,TRANSACTIONS_MASTER!$U$5:$U$1204,"&lt;&gt;Cancelled"))</f>
        <v/>
      </c>
      <c r="W142" s="26" t="str">
        <f>IF($S142="","",SUMIFS(TRANSACTIONS_MASTER!$Q$5:$Q$1204,TRANSACTIONS_MASTER!$I$5:$I$1204,$T142,TRANSACTIONS_MASTER!$C$5:$C$1204,$C$2))</f>
        <v/>
      </c>
    </row>
    <row r="143">
      <c r="A143" s="81" t="str">
        <f>IF($Q143="","",136)</f>
        <v/>
      </c>
      <c r="B143" s="57" t="str">
        <f>IF($Q143="","",INDEX(TRANSACTIONS_MASTER!$B$5:$B$1204,$Q143))</f>
        <v/>
      </c>
      <c r="C143" s="55" t="str">
        <f>IF($Q143="","",INDEX(TRANSACTIONS_MASTER!$F$5:$F$1204,$Q143))</f>
        <v/>
      </c>
      <c r="D143" s="55" t="str">
        <f>IF($Q143="","",INDEX(TRANSACTIONS_MASTER!$E$5:$E$1204,$Q143))</f>
        <v/>
      </c>
      <c r="E143" s="55" t="str">
        <f>IF($Q143="","",INDEX(TRANSACTIONS_MASTER!$G$5:$G$1204,$Q143)&amp;"")</f>
        <v/>
      </c>
      <c r="F143" s="29" t="str">
        <f>IF($Q143="","",INDEX(TRANSACTIONS_MASTER!$I$5:$I$1204,$Q143))</f>
        <v/>
      </c>
      <c r="G143" s="55" t="str">
        <f>IF($Q143="","",INDEX(TRANSACTIONS_MASTER!$K$5:$K$1204,$Q143))</f>
        <v/>
      </c>
      <c r="H143" s="25" t="str">
        <f>IF($Q143="","",INDEX(TRANSACTIONS_MASTER!$L$5:$L$1204,$Q143))</f>
        <v/>
      </c>
      <c r="I143" s="56" t="str">
        <f>IF($Q143="","",INDEX(TRANSACTIONS_MASTER!$N$5:$N$1204,$Q143))</f>
        <v/>
      </c>
      <c r="J143" s="25" t="str">
        <f>IF($Q143="","",INDEX(TRANSACTIONS_MASTER!$O$5:$O$1204,$Q143))</f>
        <v/>
      </c>
      <c r="K143" s="26" t="str">
        <f>IF($Q143="","",INDEX(TRANSACTIONS_MASTER!$Q$5:$Q$1204,$Q143))</f>
        <v/>
      </c>
      <c r="L143" s="25" t="str">
        <f>IF($Q143="","",INDEX(TRANSACTIONS_MASTER!$P$5:$P$1204,$Q143))</f>
        <v/>
      </c>
      <c r="M143" s="25" t="str">
        <f>IF($Q143="","",INDEX(TRANSACTIONS_MASTER!$AA$5:$AA$1204,$Q143))</f>
        <v/>
      </c>
      <c r="N143" s="25" t="str">
        <f>IF($Q143="","",INDEX(TRANSACTIONS_MASTER!$R$5:$R$1204,$Q143))</f>
        <v/>
      </c>
      <c r="O143" s="28" t="str">
        <f>IF($Q143="","",INDEX(TRANSACTIONS_MASTER!$AB$5:$AB$1204,$Q143))</f>
        <v/>
      </c>
      <c r="P143" s="55" t="str">
        <f>IF($Q143="","",INDEX(TRANSACTIONS_MASTER!$Z$5:$Z$1204,$Q143)&amp;"")</f>
        <v/>
      </c>
      <c r="Q143" s="67" t="str">
        <f>IFERROR(MATCH($C$2&amp;"|"&amp;136,TRANSACTIONS_MASTER!$AE$5:$AE$1204,0),"")</f>
        <v/>
      </c>
      <c r="S143" s="67" t="str">
        <f>IFERROR(MATCH(1,INDEX((TRANSACTIONS_MASTER!$C$5:$C$1204=$C$2)*(TRANSACTIONS_MASTER!$AJ$5:$AJ$1204=6),0),0),"")</f>
        <v/>
      </c>
      <c r="T143" s="29" t="str">
        <f>IF($S143="","",INDEX(TRANSACTIONS_MASTER!$I$5:$I$1204,$S143))</f>
        <v/>
      </c>
      <c r="U143" s="55" t="str">
        <f>IF($S143="","",INDEX(TRANSACTIONS_MASTER!$J$5:$J$1204,$S143))</f>
        <v/>
      </c>
      <c r="V143" s="25" t="str">
        <f>IF($S143="","",SUMIFS(TRANSACTIONS_MASTER!$L$5:$L$1204,TRANSACTIONS_MASTER!$I$5:$I$1204,$T143,TRANSACTIONS_MASTER!$C$5:$C$1204,$C$2,TRANSACTIONS_MASTER!$U$5:$U$1204,"&lt;&gt;Cancelled"))</f>
        <v/>
      </c>
      <c r="W143" s="26" t="str">
        <f>IF($S143="","",SUMIFS(TRANSACTIONS_MASTER!$Q$5:$Q$1204,TRANSACTIONS_MASTER!$I$5:$I$1204,$T143,TRANSACTIONS_MASTER!$C$5:$C$1204,$C$2))</f>
        <v/>
      </c>
    </row>
    <row r="144">
      <c r="A144" s="81" t="str">
        <f>IF($Q144="","",137)</f>
        <v/>
      </c>
      <c r="B144" s="57" t="str">
        <f>IF($Q144="","",INDEX(TRANSACTIONS_MASTER!$B$5:$B$1204,$Q144))</f>
        <v/>
      </c>
      <c r="C144" s="55" t="str">
        <f>IF($Q144="","",INDEX(TRANSACTIONS_MASTER!$F$5:$F$1204,$Q144))</f>
        <v/>
      </c>
      <c r="D144" s="55" t="str">
        <f>IF($Q144="","",INDEX(TRANSACTIONS_MASTER!$E$5:$E$1204,$Q144))</f>
        <v/>
      </c>
      <c r="E144" s="55" t="str">
        <f>IF($Q144="","",INDEX(TRANSACTIONS_MASTER!$G$5:$G$1204,$Q144)&amp;"")</f>
        <v/>
      </c>
      <c r="F144" s="29" t="str">
        <f>IF($Q144="","",INDEX(TRANSACTIONS_MASTER!$I$5:$I$1204,$Q144))</f>
        <v/>
      </c>
      <c r="G144" s="55" t="str">
        <f>IF($Q144="","",INDEX(TRANSACTIONS_MASTER!$K$5:$K$1204,$Q144))</f>
        <v/>
      </c>
      <c r="H144" s="25" t="str">
        <f>IF($Q144="","",INDEX(TRANSACTIONS_MASTER!$L$5:$L$1204,$Q144))</f>
        <v/>
      </c>
      <c r="I144" s="56" t="str">
        <f>IF($Q144="","",INDEX(TRANSACTIONS_MASTER!$N$5:$N$1204,$Q144))</f>
        <v/>
      </c>
      <c r="J144" s="25" t="str">
        <f>IF($Q144="","",INDEX(TRANSACTIONS_MASTER!$O$5:$O$1204,$Q144))</f>
        <v/>
      </c>
      <c r="K144" s="26" t="str">
        <f>IF($Q144="","",INDEX(TRANSACTIONS_MASTER!$Q$5:$Q$1204,$Q144))</f>
        <v/>
      </c>
      <c r="L144" s="25" t="str">
        <f>IF($Q144="","",INDEX(TRANSACTIONS_MASTER!$P$5:$P$1204,$Q144))</f>
        <v/>
      </c>
      <c r="M144" s="25" t="str">
        <f>IF($Q144="","",INDEX(TRANSACTIONS_MASTER!$AA$5:$AA$1204,$Q144))</f>
        <v/>
      </c>
      <c r="N144" s="25" t="str">
        <f>IF($Q144="","",INDEX(TRANSACTIONS_MASTER!$R$5:$R$1204,$Q144))</f>
        <v/>
      </c>
      <c r="O144" s="28" t="str">
        <f>IF($Q144="","",INDEX(TRANSACTIONS_MASTER!$AB$5:$AB$1204,$Q144))</f>
        <v/>
      </c>
      <c r="P144" s="55" t="str">
        <f>IF($Q144="","",INDEX(TRANSACTIONS_MASTER!$Z$5:$Z$1204,$Q144)&amp;"")</f>
        <v/>
      </c>
      <c r="Q144" s="67" t="str">
        <f>IFERROR(MATCH($C$2&amp;"|"&amp;137,TRANSACTIONS_MASTER!$AE$5:$AE$1204,0),"")</f>
        <v/>
      </c>
      <c r="S144" s="67" t="str">
        <f>IFERROR(MATCH(1,INDEX((TRANSACTIONS_MASTER!$C$5:$C$1204=$C$2)*(TRANSACTIONS_MASTER!$AJ$5:$AJ$1204=7),0),0),"")</f>
        <v/>
      </c>
      <c r="T144" s="29" t="str">
        <f>IF($S144="","",INDEX(TRANSACTIONS_MASTER!$I$5:$I$1204,$S144))</f>
        <v/>
      </c>
      <c r="U144" s="55" t="str">
        <f>IF($S144="","",INDEX(TRANSACTIONS_MASTER!$J$5:$J$1204,$S144))</f>
        <v/>
      </c>
      <c r="V144" s="25" t="str">
        <f>IF($S144="","",SUMIFS(TRANSACTIONS_MASTER!$L$5:$L$1204,TRANSACTIONS_MASTER!$I$5:$I$1204,$T144,TRANSACTIONS_MASTER!$C$5:$C$1204,$C$2,TRANSACTIONS_MASTER!$U$5:$U$1204,"&lt;&gt;Cancelled"))</f>
        <v/>
      </c>
      <c r="W144" s="26" t="str">
        <f>IF($S144="","",SUMIFS(TRANSACTIONS_MASTER!$Q$5:$Q$1204,TRANSACTIONS_MASTER!$I$5:$I$1204,$T144,TRANSACTIONS_MASTER!$C$5:$C$1204,$C$2))</f>
        <v/>
      </c>
    </row>
    <row r="145">
      <c r="A145" s="81" t="str">
        <f>IF($Q145="","",138)</f>
        <v/>
      </c>
      <c r="B145" s="57" t="str">
        <f>IF($Q145="","",INDEX(TRANSACTIONS_MASTER!$B$5:$B$1204,$Q145))</f>
        <v/>
      </c>
      <c r="C145" s="55" t="str">
        <f>IF($Q145="","",INDEX(TRANSACTIONS_MASTER!$F$5:$F$1204,$Q145))</f>
        <v/>
      </c>
      <c r="D145" s="55" t="str">
        <f>IF($Q145="","",INDEX(TRANSACTIONS_MASTER!$E$5:$E$1204,$Q145))</f>
        <v/>
      </c>
      <c r="E145" s="55" t="str">
        <f>IF($Q145="","",INDEX(TRANSACTIONS_MASTER!$G$5:$G$1204,$Q145)&amp;"")</f>
        <v/>
      </c>
      <c r="F145" s="29" t="str">
        <f>IF($Q145="","",INDEX(TRANSACTIONS_MASTER!$I$5:$I$1204,$Q145))</f>
        <v/>
      </c>
      <c r="G145" s="55" t="str">
        <f>IF($Q145="","",INDEX(TRANSACTIONS_MASTER!$K$5:$K$1204,$Q145))</f>
        <v/>
      </c>
      <c r="H145" s="25" t="str">
        <f>IF($Q145="","",INDEX(TRANSACTIONS_MASTER!$L$5:$L$1204,$Q145))</f>
        <v/>
      </c>
      <c r="I145" s="56" t="str">
        <f>IF($Q145="","",INDEX(TRANSACTIONS_MASTER!$N$5:$N$1204,$Q145))</f>
        <v/>
      </c>
      <c r="J145" s="25" t="str">
        <f>IF($Q145="","",INDEX(TRANSACTIONS_MASTER!$O$5:$O$1204,$Q145))</f>
        <v/>
      </c>
      <c r="K145" s="26" t="str">
        <f>IF($Q145="","",INDEX(TRANSACTIONS_MASTER!$Q$5:$Q$1204,$Q145))</f>
        <v/>
      </c>
      <c r="L145" s="25" t="str">
        <f>IF($Q145="","",INDEX(TRANSACTIONS_MASTER!$P$5:$P$1204,$Q145))</f>
        <v/>
      </c>
      <c r="M145" s="25" t="str">
        <f>IF($Q145="","",INDEX(TRANSACTIONS_MASTER!$AA$5:$AA$1204,$Q145))</f>
        <v/>
      </c>
      <c r="N145" s="25" t="str">
        <f>IF($Q145="","",INDEX(TRANSACTIONS_MASTER!$R$5:$R$1204,$Q145))</f>
        <v/>
      </c>
      <c r="O145" s="28" t="str">
        <f>IF($Q145="","",INDEX(TRANSACTIONS_MASTER!$AB$5:$AB$1204,$Q145))</f>
        <v/>
      </c>
      <c r="P145" s="55" t="str">
        <f>IF($Q145="","",INDEX(TRANSACTIONS_MASTER!$Z$5:$Z$1204,$Q145)&amp;"")</f>
        <v/>
      </c>
      <c r="Q145" s="67" t="str">
        <f>IFERROR(MATCH($C$2&amp;"|"&amp;138,TRANSACTIONS_MASTER!$AE$5:$AE$1204,0),"")</f>
        <v/>
      </c>
      <c r="S145" s="67" t="str">
        <f>IFERROR(MATCH(1,INDEX((TRANSACTIONS_MASTER!$C$5:$C$1204=$C$2)*(TRANSACTIONS_MASTER!$AJ$5:$AJ$1204=8),0),0),"")</f>
        <v/>
      </c>
      <c r="T145" s="29" t="str">
        <f>IF($S145="","",INDEX(TRANSACTIONS_MASTER!$I$5:$I$1204,$S145))</f>
        <v/>
      </c>
      <c r="U145" s="55" t="str">
        <f>IF($S145="","",INDEX(TRANSACTIONS_MASTER!$J$5:$J$1204,$S145))</f>
        <v/>
      </c>
      <c r="V145" s="25" t="str">
        <f>IF($S145="","",SUMIFS(TRANSACTIONS_MASTER!$L$5:$L$1204,TRANSACTIONS_MASTER!$I$5:$I$1204,$T145,TRANSACTIONS_MASTER!$C$5:$C$1204,$C$2,TRANSACTIONS_MASTER!$U$5:$U$1204,"&lt;&gt;Cancelled"))</f>
        <v/>
      </c>
      <c r="W145" s="26" t="str">
        <f>IF($S145="","",SUMIFS(TRANSACTIONS_MASTER!$Q$5:$Q$1204,TRANSACTIONS_MASTER!$I$5:$I$1204,$T145,TRANSACTIONS_MASTER!$C$5:$C$1204,$C$2))</f>
        <v/>
      </c>
    </row>
    <row r="146">
      <c r="A146" s="81" t="str">
        <f>IF($Q146="","",139)</f>
        <v/>
      </c>
      <c r="B146" s="57" t="str">
        <f>IF($Q146="","",INDEX(TRANSACTIONS_MASTER!$B$5:$B$1204,$Q146))</f>
        <v/>
      </c>
      <c r="C146" s="55" t="str">
        <f>IF($Q146="","",INDEX(TRANSACTIONS_MASTER!$F$5:$F$1204,$Q146))</f>
        <v/>
      </c>
      <c r="D146" s="55" t="str">
        <f>IF($Q146="","",INDEX(TRANSACTIONS_MASTER!$E$5:$E$1204,$Q146))</f>
        <v/>
      </c>
      <c r="E146" s="55" t="str">
        <f>IF($Q146="","",INDEX(TRANSACTIONS_MASTER!$G$5:$G$1204,$Q146)&amp;"")</f>
        <v/>
      </c>
      <c r="F146" s="29" t="str">
        <f>IF($Q146="","",INDEX(TRANSACTIONS_MASTER!$I$5:$I$1204,$Q146))</f>
        <v/>
      </c>
      <c r="G146" s="55" t="str">
        <f>IF($Q146="","",INDEX(TRANSACTIONS_MASTER!$K$5:$K$1204,$Q146))</f>
        <v/>
      </c>
      <c r="H146" s="25" t="str">
        <f>IF($Q146="","",INDEX(TRANSACTIONS_MASTER!$L$5:$L$1204,$Q146))</f>
        <v/>
      </c>
      <c r="I146" s="56" t="str">
        <f>IF($Q146="","",INDEX(TRANSACTIONS_MASTER!$N$5:$N$1204,$Q146))</f>
        <v/>
      </c>
      <c r="J146" s="25" t="str">
        <f>IF($Q146="","",INDEX(TRANSACTIONS_MASTER!$O$5:$O$1204,$Q146))</f>
        <v/>
      </c>
      <c r="K146" s="26" t="str">
        <f>IF($Q146="","",INDEX(TRANSACTIONS_MASTER!$Q$5:$Q$1204,$Q146))</f>
        <v/>
      </c>
      <c r="L146" s="25" t="str">
        <f>IF($Q146="","",INDEX(TRANSACTIONS_MASTER!$P$5:$P$1204,$Q146))</f>
        <v/>
      </c>
      <c r="M146" s="25" t="str">
        <f>IF($Q146="","",INDEX(TRANSACTIONS_MASTER!$AA$5:$AA$1204,$Q146))</f>
        <v/>
      </c>
      <c r="N146" s="25" t="str">
        <f>IF($Q146="","",INDEX(TRANSACTIONS_MASTER!$R$5:$R$1204,$Q146))</f>
        <v/>
      </c>
      <c r="O146" s="28" t="str">
        <f>IF($Q146="","",INDEX(TRANSACTIONS_MASTER!$AB$5:$AB$1204,$Q146))</f>
        <v/>
      </c>
      <c r="P146" s="55" t="str">
        <f>IF($Q146="","",INDEX(TRANSACTIONS_MASTER!$Z$5:$Z$1204,$Q146)&amp;"")</f>
        <v/>
      </c>
      <c r="Q146" s="67" t="str">
        <f>IFERROR(MATCH($C$2&amp;"|"&amp;139,TRANSACTIONS_MASTER!$AE$5:$AE$1204,0),"")</f>
        <v/>
      </c>
      <c r="S146" s="67" t="str">
        <f>IFERROR(MATCH(1,INDEX((TRANSACTIONS_MASTER!$C$5:$C$1204=$C$2)*(TRANSACTIONS_MASTER!$AJ$5:$AJ$1204=9),0),0),"")</f>
        <v/>
      </c>
      <c r="T146" s="29" t="str">
        <f>IF($S146="","",INDEX(TRANSACTIONS_MASTER!$I$5:$I$1204,$S146))</f>
        <v/>
      </c>
      <c r="U146" s="55" t="str">
        <f>IF($S146="","",INDEX(TRANSACTIONS_MASTER!$J$5:$J$1204,$S146))</f>
        <v/>
      </c>
      <c r="V146" s="25" t="str">
        <f>IF($S146="","",SUMIFS(TRANSACTIONS_MASTER!$L$5:$L$1204,TRANSACTIONS_MASTER!$I$5:$I$1204,$T146,TRANSACTIONS_MASTER!$C$5:$C$1204,$C$2,TRANSACTIONS_MASTER!$U$5:$U$1204,"&lt;&gt;Cancelled"))</f>
        <v/>
      </c>
      <c r="W146" s="26" t="str">
        <f>IF($S146="","",SUMIFS(TRANSACTIONS_MASTER!$Q$5:$Q$1204,TRANSACTIONS_MASTER!$I$5:$I$1204,$T146,TRANSACTIONS_MASTER!$C$5:$C$1204,$C$2))</f>
        <v/>
      </c>
    </row>
    <row r="147">
      <c r="A147" s="81" t="str">
        <f>IF($Q147="","",140)</f>
        <v/>
      </c>
      <c r="B147" s="57" t="str">
        <f>IF($Q147="","",INDEX(TRANSACTIONS_MASTER!$B$5:$B$1204,$Q147))</f>
        <v/>
      </c>
      <c r="C147" s="55" t="str">
        <f>IF($Q147="","",INDEX(TRANSACTIONS_MASTER!$F$5:$F$1204,$Q147))</f>
        <v/>
      </c>
      <c r="D147" s="55" t="str">
        <f>IF($Q147="","",INDEX(TRANSACTIONS_MASTER!$E$5:$E$1204,$Q147))</f>
        <v/>
      </c>
      <c r="E147" s="55" t="str">
        <f>IF($Q147="","",INDEX(TRANSACTIONS_MASTER!$G$5:$G$1204,$Q147)&amp;"")</f>
        <v/>
      </c>
      <c r="F147" s="29" t="str">
        <f>IF($Q147="","",INDEX(TRANSACTIONS_MASTER!$I$5:$I$1204,$Q147))</f>
        <v/>
      </c>
      <c r="G147" s="55" t="str">
        <f>IF($Q147="","",INDEX(TRANSACTIONS_MASTER!$K$5:$K$1204,$Q147))</f>
        <v/>
      </c>
      <c r="H147" s="25" t="str">
        <f>IF($Q147="","",INDEX(TRANSACTIONS_MASTER!$L$5:$L$1204,$Q147))</f>
        <v/>
      </c>
      <c r="I147" s="56" t="str">
        <f>IF($Q147="","",INDEX(TRANSACTIONS_MASTER!$N$5:$N$1204,$Q147))</f>
        <v/>
      </c>
      <c r="J147" s="25" t="str">
        <f>IF($Q147="","",INDEX(TRANSACTIONS_MASTER!$O$5:$O$1204,$Q147))</f>
        <v/>
      </c>
      <c r="K147" s="26" t="str">
        <f>IF($Q147="","",INDEX(TRANSACTIONS_MASTER!$Q$5:$Q$1204,$Q147))</f>
        <v/>
      </c>
      <c r="L147" s="25" t="str">
        <f>IF($Q147="","",INDEX(TRANSACTIONS_MASTER!$P$5:$P$1204,$Q147))</f>
        <v/>
      </c>
      <c r="M147" s="25" t="str">
        <f>IF($Q147="","",INDEX(TRANSACTIONS_MASTER!$AA$5:$AA$1204,$Q147))</f>
        <v/>
      </c>
      <c r="N147" s="25" t="str">
        <f>IF($Q147="","",INDEX(TRANSACTIONS_MASTER!$R$5:$R$1204,$Q147))</f>
        <v/>
      </c>
      <c r="O147" s="28" t="str">
        <f>IF($Q147="","",INDEX(TRANSACTIONS_MASTER!$AB$5:$AB$1204,$Q147))</f>
        <v/>
      </c>
      <c r="P147" s="55" t="str">
        <f>IF($Q147="","",INDEX(TRANSACTIONS_MASTER!$Z$5:$Z$1204,$Q147)&amp;"")</f>
        <v/>
      </c>
      <c r="Q147" s="67" t="str">
        <f>IFERROR(MATCH($C$2&amp;"|"&amp;140,TRANSACTIONS_MASTER!$AE$5:$AE$1204,0),"")</f>
        <v/>
      </c>
      <c r="S147" s="67" t="str">
        <f>IFERROR(MATCH(1,INDEX((TRANSACTIONS_MASTER!$C$5:$C$1204=$C$2)*(TRANSACTIONS_MASTER!$AJ$5:$AJ$1204=10),0),0),"")</f>
        <v/>
      </c>
      <c r="T147" s="29" t="str">
        <f>IF($S147="","",INDEX(TRANSACTIONS_MASTER!$I$5:$I$1204,$S147))</f>
        <v/>
      </c>
      <c r="U147" s="55" t="str">
        <f>IF($S147="","",INDEX(TRANSACTIONS_MASTER!$J$5:$J$1204,$S147))</f>
        <v/>
      </c>
      <c r="V147" s="25" t="str">
        <f>IF($S147="","",SUMIFS(TRANSACTIONS_MASTER!$L$5:$L$1204,TRANSACTIONS_MASTER!$I$5:$I$1204,$T147,TRANSACTIONS_MASTER!$C$5:$C$1204,$C$2,TRANSACTIONS_MASTER!$U$5:$U$1204,"&lt;&gt;Cancelled"))</f>
        <v/>
      </c>
      <c r="W147" s="26" t="str">
        <f>IF($S147="","",SUMIFS(TRANSACTIONS_MASTER!$Q$5:$Q$1204,TRANSACTIONS_MASTER!$I$5:$I$1204,$T147,TRANSACTIONS_MASTER!$C$5:$C$1204,$C$2))</f>
        <v/>
      </c>
    </row>
    <row r="148">
      <c r="A148" s="81" t="str">
        <f>IF($Q148="","",141)</f>
        <v/>
      </c>
      <c r="B148" s="57" t="str">
        <f>IF($Q148="","",INDEX(TRANSACTIONS_MASTER!$B$5:$B$1204,$Q148))</f>
        <v/>
      </c>
      <c r="C148" s="55" t="str">
        <f>IF($Q148="","",INDEX(TRANSACTIONS_MASTER!$F$5:$F$1204,$Q148))</f>
        <v/>
      </c>
      <c r="D148" s="55" t="str">
        <f>IF($Q148="","",INDEX(TRANSACTIONS_MASTER!$E$5:$E$1204,$Q148))</f>
        <v/>
      </c>
      <c r="E148" s="55" t="str">
        <f>IF($Q148="","",INDEX(TRANSACTIONS_MASTER!$G$5:$G$1204,$Q148)&amp;"")</f>
        <v/>
      </c>
      <c r="F148" s="29" t="str">
        <f>IF($Q148="","",INDEX(TRANSACTIONS_MASTER!$I$5:$I$1204,$Q148))</f>
        <v/>
      </c>
      <c r="G148" s="55" t="str">
        <f>IF($Q148="","",INDEX(TRANSACTIONS_MASTER!$K$5:$K$1204,$Q148))</f>
        <v/>
      </c>
      <c r="H148" s="25" t="str">
        <f>IF($Q148="","",INDEX(TRANSACTIONS_MASTER!$L$5:$L$1204,$Q148))</f>
        <v/>
      </c>
      <c r="I148" s="56" t="str">
        <f>IF($Q148="","",INDEX(TRANSACTIONS_MASTER!$N$5:$N$1204,$Q148))</f>
        <v/>
      </c>
      <c r="J148" s="25" t="str">
        <f>IF($Q148="","",INDEX(TRANSACTIONS_MASTER!$O$5:$O$1204,$Q148))</f>
        <v/>
      </c>
      <c r="K148" s="26" t="str">
        <f>IF($Q148="","",INDEX(TRANSACTIONS_MASTER!$Q$5:$Q$1204,$Q148))</f>
        <v/>
      </c>
      <c r="L148" s="25" t="str">
        <f>IF($Q148="","",INDEX(TRANSACTIONS_MASTER!$P$5:$P$1204,$Q148))</f>
        <v/>
      </c>
      <c r="M148" s="25" t="str">
        <f>IF($Q148="","",INDEX(TRANSACTIONS_MASTER!$AA$5:$AA$1204,$Q148))</f>
        <v/>
      </c>
      <c r="N148" s="25" t="str">
        <f>IF($Q148="","",INDEX(TRANSACTIONS_MASTER!$R$5:$R$1204,$Q148))</f>
        <v/>
      </c>
      <c r="O148" s="28" t="str">
        <f>IF($Q148="","",INDEX(TRANSACTIONS_MASTER!$AB$5:$AB$1204,$Q148))</f>
        <v/>
      </c>
      <c r="P148" s="55" t="str">
        <f>IF($Q148="","",INDEX(TRANSACTIONS_MASTER!$Z$5:$Z$1204,$Q148)&amp;"")</f>
        <v/>
      </c>
      <c r="Q148" s="67" t="str">
        <f>IFERROR(MATCH($C$2&amp;"|"&amp;141,TRANSACTIONS_MASTER!$AE$5:$AE$1204,0),"")</f>
        <v/>
      </c>
      <c r="S148" s="67" t="str">
        <f>IFERROR(MATCH(1,INDEX((TRANSACTIONS_MASTER!$C$5:$C$1204=$C$2)*(TRANSACTIONS_MASTER!$AJ$5:$AJ$1204=11),0),0),"")</f>
        <v/>
      </c>
      <c r="T148" s="29" t="str">
        <f>IF($S148="","",INDEX(TRANSACTIONS_MASTER!$I$5:$I$1204,$S148))</f>
        <v/>
      </c>
      <c r="U148" s="55" t="str">
        <f>IF($S148="","",INDEX(TRANSACTIONS_MASTER!$J$5:$J$1204,$S148))</f>
        <v/>
      </c>
      <c r="V148" s="25" t="str">
        <f>IF($S148="","",SUMIFS(TRANSACTIONS_MASTER!$L$5:$L$1204,TRANSACTIONS_MASTER!$I$5:$I$1204,$T148,TRANSACTIONS_MASTER!$C$5:$C$1204,$C$2,TRANSACTIONS_MASTER!$U$5:$U$1204,"&lt;&gt;Cancelled"))</f>
        <v/>
      </c>
      <c r="W148" s="26" t="str">
        <f>IF($S148="","",SUMIFS(TRANSACTIONS_MASTER!$Q$5:$Q$1204,TRANSACTIONS_MASTER!$I$5:$I$1204,$T148,TRANSACTIONS_MASTER!$C$5:$C$1204,$C$2))</f>
        <v/>
      </c>
    </row>
    <row r="149">
      <c r="A149" s="81" t="str">
        <f>IF($Q149="","",142)</f>
        <v/>
      </c>
      <c r="B149" s="57" t="str">
        <f>IF($Q149="","",INDEX(TRANSACTIONS_MASTER!$B$5:$B$1204,$Q149))</f>
        <v/>
      </c>
      <c r="C149" s="55" t="str">
        <f>IF($Q149="","",INDEX(TRANSACTIONS_MASTER!$F$5:$F$1204,$Q149))</f>
        <v/>
      </c>
      <c r="D149" s="55" t="str">
        <f>IF($Q149="","",INDEX(TRANSACTIONS_MASTER!$E$5:$E$1204,$Q149))</f>
        <v/>
      </c>
      <c r="E149" s="55" t="str">
        <f>IF($Q149="","",INDEX(TRANSACTIONS_MASTER!$G$5:$G$1204,$Q149)&amp;"")</f>
        <v/>
      </c>
      <c r="F149" s="29" t="str">
        <f>IF($Q149="","",INDEX(TRANSACTIONS_MASTER!$I$5:$I$1204,$Q149))</f>
        <v/>
      </c>
      <c r="G149" s="55" t="str">
        <f>IF($Q149="","",INDEX(TRANSACTIONS_MASTER!$K$5:$K$1204,$Q149))</f>
        <v/>
      </c>
      <c r="H149" s="25" t="str">
        <f>IF($Q149="","",INDEX(TRANSACTIONS_MASTER!$L$5:$L$1204,$Q149))</f>
        <v/>
      </c>
      <c r="I149" s="56" t="str">
        <f>IF($Q149="","",INDEX(TRANSACTIONS_MASTER!$N$5:$N$1204,$Q149))</f>
        <v/>
      </c>
      <c r="J149" s="25" t="str">
        <f>IF($Q149="","",INDEX(TRANSACTIONS_MASTER!$O$5:$O$1204,$Q149))</f>
        <v/>
      </c>
      <c r="K149" s="26" t="str">
        <f>IF($Q149="","",INDEX(TRANSACTIONS_MASTER!$Q$5:$Q$1204,$Q149))</f>
        <v/>
      </c>
      <c r="L149" s="25" t="str">
        <f>IF($Q149="","",INDEX(TRANSACTIONS_MASTER!$P$5:$P$1204,$Q149))</f>
        <v/>
      </c>
      <c r="M149" s="25" t="str">
        <f>IF($Q149="","",INDEX(TRANSACTIONS_MASTER!$AA$5:$AA$1204,$Q149))</f>
        <v/>
      </c>
      <c r="N149" s="25" t="str">
        <f>IF($Q149="","",INDEX(TRANSACTIONS_MASTER!$R$5:$R$1204,$Q149))</f>
        <v/>
      </c>
      <c r="O149" s="28" t="str">
        <f>IF($Q149="","",INDEX(TRANSACTIONS_MASTER!$AB$5:$AB$1204,$Q149))</f>
        <v/>
      </c>
      <c r="P149" s="55" t="str">
        <f>IF($Q149="","",INDEX(TRANSACTIONS_MASTER!$Z$5:$Z$1204,$Q149)&amp;"")</f>
        <v/>
      </c>
      <c r="Q149" s="67" t="str">
        <f>IFERROR(MATCH($C$2&amp;"|"&amp;142,TRANSACTIONS_MASTER!$AE$5:$AE$1204,0),"")</f>
        <v/>
      </c>
      <c r="S149" s="67" t="str">
        <f>IFERROR(MATCH(1,INDEX((TRANSACTIONS_MASTER!$C$5:$C$1204=$C$2)*(TRANSACTIONS_MASTER!$AJ$5:$AJ$1204=12),0),0),"")</f>
        <v/>
      </c>
      <c r="T149" s="29" t="str">
        <f>IF($S149="","",INDEX(TRANSACTIONS_MASTER!$I$5:$I$1204,$S149))</f>
        <v/>
      </c>
      <c r="U149" s="55" t="str">
        <f>IF($S149="","",INDEX(TRANSACTIONS_MASTER!$J$5:$J$1204,$S149))</f>
        <v/>
      </c>
      <c r="V149" s="25" t="str">
        <f>IF($S149="","",SUMIFS(TRANSACTIONS_MASTER!$L$5:$L$1204,TRANSACTIONS_MASTER!$I$5:$I$1204,$T149,TRANSACTIONS_MASTER!$C$5:$C$1204,$C$2,TRANSACTIONS_MASTER!$U$5:$U$1204,"&lt;&gt;Cancelled"))</f>
        <v/>
      </c>
      <c r="W149" s="26" t="str">
        <f>IF($S149="","",SUMIFS(TRANSACTIONS_MASTER!$Q$5:$Q$1204,TRANSACTIONS_MASTER!$I$5:$I$1204,$T149,TRANSACTIONS_MASTER!$C$5:$C$1204,$C$2))</f>
        <v/>
      </c>
    </row>
    <row r="150">
      <c r="A150" s="81" t="str">
        <f>IF($Q150="","",143)</f>
        <v/>
      </c>
      <c r="B150" s="57" t="str">
        <f>IF($Q150="","",INDEX(TRANSACTIONS_MASTER!$B$5:$B$1204,$Q150))</f>
        <v/>
      </c>
      <c r="C150" s="55" t="str">
        <f>IF($Q150="","",INDEX(TRANSACTIONS_MASTER!$F$5:$F$1204,$Q150))</f>
        <v/>
      </c>
      <c r="D150" s="55" t="str">
        <f>IF($Q150="","",INDEX(TRANSACTIONS_MASTER!$E$5:$E$1204,$Q150))</f>
        <v/>
      </c>
      <c r="E150" s="55" t="str">
        <f>IF($Q150="","",INDEX(TRANSACTIONS_MASTER!$G$5:$G$1204,$Q150)&amp;"")</f>
        <v/>
      </c>
      <c r="F150" s="29" t="str">
        <f>IF($Q150="","",INDEX(TRANSACTIONS_MASTER!$I$5:$I$1204,$Q150))</f>
        <v/>
      </c>
      <c r="G150" s="55" t="str">
        <f>IF($Q150="","",INDEX(TRANSACTIONS_MASTER!$K$5:$K$1204,$Q150))</f>
        <v/>
      </c>
      <c r="H150" s="25" t="str">
        <f>IF($Q150="","",INDEX(TRANSACTIONS_MASTER!$L$5:$L$1204,$Q150))</f>
        <v/>
      </c>
      <c r="I150" s="56" t="str">
        <f>IF($Q150="","",INDEX(TRANSACTIONS_MASTER!$N$5:$N$1204,$Q150))</f>
        <v/>
      </c>
      <c r="J150" s="25" t="str">
        <f>IF($Q150="","",INDEX(TRANSACTIONS_MASTER!$O$5:$O$1204,$Q150))</f>
        <v/>
      </c>
      <c r="K150" s="26" t="str">
        <f>IF($Q150="","",INDEX(TRANSACTIONS_MASTER!$Q$5:$Q$1204,$Q150))</f>
        <v/>
      </c>
      <c r="L150" s="25" t="str">
        <f>IF($Q150="","",INDEX(TRANSACTIONS_MASTER!$P$5:$P$1204,$Q150))</f>
        <v/>
      </c>
      <c r="M150" s="25" t="str">
        <f>IF($Q150="","",INDEX(TRANSACTIONS_MASTER!$AA$5:$AA$1204,$Q150))</f>
        <v/>
      </c>
      <c r="N150" s="25" t="str">
        <f>IF($Q150="","",INDEX(TRANSACTIONS_MASTER!$R$5:$R$1204,$Q150))</f>
        <v/>
      </c>
      <c r="O150" s="28" t="str">
        <f>IF($Q150="","",INDEX(TRANSACTIONS_MASTER!$AB$5:$AB$1204,$Q150))</f>
        <v/>
      </c>
      <c r="P150" s="55" t="str">
        <f>IF($Q150="","",INDEX(TRANSACTIONS_MASTER!$Z$5:$Z$1204,$Q150)&amp;"")</f>
        <v/>
      </c>
      <c r="Q150" s="67" t="str">
        <f>IFERROR(MATCH($C$2&amp;"|"&amp;143,TRANSACTIONS_MASTER!$AE$5:$AE$1204,0),"")</f>
        <v/>
      </c>
      <c r="S150" s="67" t="str">
        <f>IFERROR(MATCH(1,INDEX((TRANSACTIONS_MASTER!$C$5:$C$1204=$C$2)*(TRANSACTIONS_MASTER!$AJ$5:$AJ$1204=13),0),0),"")</f>
        <v/>
      </c>
      <c r="T150" s="29" t="str">
        <f>IF($S150="","",INDEX(TRANSACTIONS_MASTER!$I$5:$I$1204,$S150))</f>
        <v/>
      </c>
      <c r="U150" s="55" t="str">
        <f>IF($S150="","",INDEX(TRANSACTIONS_MASTER!$J$5:$J$1204,$S150))</f>
        <v/>
      </c>
      <c r="V150" s="25" t="str">
        <f>IF($S150="","",SUMIFS(TRANSACTIONS_MASTER!$L$5:$L$1204,TRANSACTIONS_MASTER!$I$5:$I$1204,$T150,TRANSACTIONS_MASTER!$C$5:$C$1204,$C$2,TRANSACTIONS_MASTER!$U$5:$U$1204,"&lt;&gt;Cancelled"))</f>
        <v/>
      </c>
      <c r="W150" s="26" t="str">
        <f>IF($S150="","",SUMIFS(TRANSACTIONS_MASTER!$Q$5:$Q$1204,TRANSACTIONS_MASTER!$I$5:$I$1204,$T150,TRANSACTIONS_MASTER!$C$5:$C$1204,$C$2))</f>
        <v/>
      </c>
    </row>
    <row r="151">
      <c r="A151" s="81" t="str">
        <f>IF($Q151="","",144)</f>
        <v/>
      </c>
      <c r="B151" s="57" t="str">
        <f>IF($Q151="","",INDEX(TRANSACTIONS_MASTER!$B$5:$B$1204,$Q151))</f>
        <v/>
      </c>
      <c r="C151" s="55" t="str">
        <f>IF($Q151="","",INDEX(TRANSACTIONS_MASTER!$F$5:$F$1204,$Q151))</f>
        <v/>
      </c>
      <c r="D151" s="55" t="str">
        <f>IF($Q151="","",INDEX(TRANSACTIONS_MASTER!$E$5:$E$1204,$Q151))</f>
        <v/>
      </c>
      <c r="E151" s="55" t="str">
        <f>IF($Q151="","",INDEX(TRANSACTIONS_MASTER!$G$5:$G$1204,$Q151)&amp;"")</f>
        <v/>
      </c>
      <c r="F151" s="29" t="str">
        <f>IF($Q151="","",INDEX(TRANSACTIONS_MASTER!$I$5:$I$1204,$Q151))</f>
        <v/>
      </c>
      <c r="G151" s="55" t="str">
        <f>IF($Q151="","",INDEX(TRANSACTIONS_MASTER!$K$5:$K$1204,$Q151))</f>
        <v/>
      </c>
      <c r="H151" s="25" t="str">
        <f>IF($Q151="","",INDEX(TRANSACTIONS_MASTER!$L$5:$L$1204,$Q151))</f>
        <v/>
      </c>
      <c r="I151" s="56" t="str">
        <f>IF($Q151="","",INDEX(TRANSACTIONS_MASTER!$N$5:$N$1204,$Q151))</f>
        <v/>
      </c>
      <c r="J151" s="25" t="str">
        <f>IF($Q151="","",INDEX(TRANSACTIONS_MASTER!$O$5:$O$1204,$Q151))</f>
        <v/>
      </c>
      <c r="K151" s="26" t="str">
        <f>IF($Q151="","",INDEX(TRANSACTIONS_MASTER!$Q$5:$Q$1204,$Q151))</f>
        <v/>
      </c>
      <c r="L151" s="25" t="str">
        <f>IF($Q151="","",INDEX(TRANSACTIONS_MASTER!$P$5:$P$1204,$Q151))</f>
        <v/>
      </c>
      <c r="M151" s="25" t="str">
        <f>IF($Q151="","",INDEX(TRANSACTIONS_MASTER!$AA$5:$AA$1204,$Q151))</f>
        <v/>
      </c>
      <c r="N151" s="25" t="str">
        <f>IF($Q151="","",INDEX(TRANSACTIONS_MASTER!$R$5:$R$1204,$Q151))</f>
        <v/>
      </c>
      <c r="O151" s="28" t="str">
        <f>IF($Q151="","",INDEX(TRANSACTIONS_MASTER!$AB$5:$AB$1204,$Q151))</f>
        <v/>
      </c>
      <c r="P151" s="55" t="str">
        <f>IF($Q151="","",INDEX(TRANSACTIONS_MASTER!$Z$5:$Z$1204,$Q151)&amp;"")</f>
        <v/>
      </c>
      <c r="Q151" s="67" t="str">
        <f>IFERROR(MATCH($C$2&amp;"|"&amp;144,TRANSACTIONS_MASTER!$AE$5:$AE$1204,0),"")</f>
        <v/>
      </c>
      <c r="S151" s="67" t="str">
        <f>IFERROR(MATCH(1,INDEX((TRANSACTIONS_MASTER!$C$5:$C$1204=$C$2)*(TRANSACTIONS_MASTER!$AJ$5:$AJ$1204=14),0),0),"")</f>
        <v/>
      </c>
      <c r="T151" s="29" t="str">
        <f>IF($S151="","",INDEX(TRANSACTIONS_MASTER!$I$5:$I$1204,$S151))</f>
        <v/>
      </c>
      <c r="U151" s="55" t="str">
        <f>IF($S151="","",INDEX(TRANSACTIONS_MASTER!$J$5:$J$1204,$S151))</f>
        <v/>
      </c>
      <c r="V151" s="25" t="str">
        <f>IF($S151="","",SUMIFS(TRANSACTIONS_MASTER!$L$5:$L$1204,TRANSACTIONS_MASTER!$I$5:$I$1204,$T151,TRANSACTIONS_MASTER!$C$5:$C$1204,$C$2,TRANSACTIONS_MASTER!$U$5:$U$1204,"&lt;&gt;Cancelled"))</f>
        <v/>
      </c>
      <c r="W151" s="26" t="str">
        <f>IF($S151="","",SUMIFS(TRANSACTIONS_MASTER!$Q$5:$Q$1204,TRANSACTIONS_MASTER!$I$5:$I$1204,$T151,TRANSACTIONS_MASTER!$C$5:$C$1204,$C$2))</f>
        <v/>
      </c>
    </row>
    <row r="152">
      <c r="A152" s="81" t="str">
        <f>IF($Q152="","",145)</f>
        <v/>
      </c>
      <c r="B152" s="57" t="str">
        <f>IF($Q152="","",INDEX(TRANSACTIONS_MASTER!$B$5:$B$1204,$Q152))</f>
        <v/>
      </c>
      <c r="C152" s="55" t="str">
        <f>IF($Q152="","",INDEX(TRANSACTIONS_MASTER!$F$5:$F$1204,$Q152))</f>
        <v/>
      </c>
      <c r="D152" s="55" t="str">
        <f>IF($Q152="","",INDEX(TRANSACTIONS_MASTER!$E$5:$E$1204,$Q152))</f>
        <v/>
      </c>
      <c r="E152" s="55" t="str">
        <f>IF($Q152="","",INDEX(TRANSACTIONS_MASTER!$G$5:$G$1204,$Q152)&amp;"")</f>
        <v/>
      </c>
      <c r="F152" s="29" t="str">
        <f>IF($Q152="","",INDEX(TRANSACTIONS_MASTER!$I$5:$I$1204,$Q152))</f>
        <v/>
      </c>
      <c r="G152" s="55" t="str">
        <f>IF($Q152="","",INDEX(TRANSACTIONS_MASTER!$K$5:$K$1204,$Q152))</f>
        <v/>
      </c>
      <c r="H152" s="25" t="str">
        <f>IF($Q152="","",INDEX(TRANSACTIONS_MASTER!$L$5:$L$1204,$Q152))</f>
        <v/>
      </c>
      <c r="I152" s="56" t="str">
        <f>IF($Q152="","",INDEX(TRANSACTIONS_MASTER!$N$5:$N$1204,$Q152))</f>
        <v/>
      </c>
      <c r="J152" s="25" t="str">
        <f>IF($Q152="","",INDEX(TRANSACTIONS_MASTER!$O$5:$O$1204,$Q152))</f>
        <v/>
      </c>
      <c r="K152" s="26" t="str">
        <f>IF($Q152="","",INDEX(TRANSACTIONS_MASTER!$Q$5:$Q$1204,$Q152))</f>
        <v/>
      </c>
      <c r="L152" s="25" t="str">
        <f>IF($Q152="","",INDEX(TRANSACTIONS_MASTER!$P$5:$P$1204,$Q152))</f>
        <v/>
      </c>
      <c r="M152" s="25" t="str">
        <f>IF($Q152="","",INDEX(TRANSACTIONS_MASTER!$AA$5:$AA$1204,$Q152))</f>
        <v/>
      </c>
      <c r="N152" s="25" t="str">
        <f>IF($Q152="","",INDEX(TRANSACTIONS_MASTER!$R$5:$R$1204,$Q152))</f>
        <v/>
      </c>
      <c r="O152" s="28" t="str">
        <f>IF($Q152="","",INDEX(TRANSACTIONS_MASTER!$AB$5:$AB$1204,$Q152))</f>
        <v/>
      </c>
      <c r="P152" s="55" t="str">
        <f>IF($Q152="","",INDEX(TRANSACTIONS_MASTER!$Z$5:$Z$1204,$Q152)&amp;"")</f>
        <v/>
      </c>
      <c r="Q152" s="67" t="str">
        <f>IFERROR(MATCH($C$2&amp;"|"&amp;145,TRANSACTIONS_MASTER!$AE$5:$AE$1204,0),"")</f>
        <v/>
      </c>
      <c r="S152" s="67" t="str">
        <f>IFERROR(MATCH(1,INDEX((TRANSACTIONS_MASTER!$C$5:$C$1204=$C$2)*(TRANSACTIONS_MASTER!$AJ$5:$AJ$1204=15),0),0),"")</f>
        <v/>
      </c>
      <c r="T152" s="29" t="str">
        <f>IF($S152="","",INDEX(TRANSACTIONS_MASTER!$I$5:$I$1204,$S152))</f>
        <v/>
      </c>
      <c r="U152" s="55" t="str">
        <f>IF($S152="","",INDEX(TRANSACTIONS_MASTER!$J$5:$J$1204,$S152))</f>
        <v/>
      </c>
      <c r="V152" s="25" t="str">
        <f>IF($S152="","",SUMIFS(TRANSACTIONS_MASTER!$L$5:$L$1204,TRANSACTIONS_MASTER!$I$5:$I$1204,$T152,TRANSACTIONS_MASTER!$C$5:$C$1204,$C$2,TRANSACTIONS_MASTER!$U$5:$U$1204,"&lt;&gt;Cancelled"))</f>
        <v/>
      </c>
      <c r="W152" s="26" t="str">
        <f>IF($S152="","",SUMIFS(TRANSACTIONS_MASTER!$Q$5:$Q$1204,TRANSACTIONS_MASTER!$I$5:$I$1204,$T152,TRANSACTIONS_MASTER!$C$5:$C$1204,$C$2))</f>
        <v/>
      </c>
    </row>
    <row r="153">
      <c r="A153" s="81" t="str">
        <f>IF($Q153="","",146)</f>
        <v/>
      </c>
      <c r="B153" s="57" t="str">
        <f>IF($Q153="","",INDEX(TRANSACTIONS_MASTER!$B$5:$B$1204,$Q153))</f>
        <v/>
      </c>
      <c r="C153" s="55" t="str">
        <f>IF($Q153="","",INDEX(TRANSACTIONS_MASTER!$F$5:$F$1204,$Q153))</f>
        <v/>
      </c>
      <c r="D153" s="55" t="str">
        <f>IF($Q153="","",INDEX(TRANSACTIONS_MASTER!$E$5:$E$1204,$Q153))</f>
        <v/>
      </c>
      <c r="E153" s="55" t="str">
        <f>IF($Q153="","",INDEX(TRANSACTIONS_MASTER!$G$5:$G$1204,$Q153)&amp;"")</f>
        <v/>
      </c>
      <c r="F153" s="29" t="str">
        <f>IF($Q153="","",INDEX(TRANSACTIONS_MASTER!$I$5:$I$1204,$Q153))</f>
        <v/>
      </c>
      <c r="G153" s="55" t="str">
        <f>IF($Q153="","",INDEX(TRANSACTIONS_MASTER!$K$5:$K$1204,$Q153))</f>
        <v/>
      </c>
      <c r="H153" s="25" t="str">
        <f>IF($Q153="","",INDEX(TRANSACTIONS_MASTER!$L$5:$L$1204,$Q153))</f>
        <v/>
      </c>
      <c r="I153" s="56" t="str">
        <f>IF($Q153="","",INDEX(TRANSACTIONS_MASTER!$N$5:$N$1204,$Q153))</f>
        <v/>
      </c>
      <c r="J153" s="25" t="str">
        <f>IF($Q153="","",INDEX(TRANSACTIONS_MASTER!$O$5:$O$1204,$Q153))</f>
        <v/>
      </c>
      <c r="K153" s="26" t="str">
        <f>IF($Q153="","",INDEX(TRANSACTIONS_MASTER!$Q$5:$Q$1204,$Q153))</f>
        <v/>
      </c>
      <c r="L153" s="25" t="str">
        <f>IF($Q153="","",INDEX(TRANSACTIONS_MASTER!$P$5:$P$1204,$Q153))</f>
        <v/>
      </c>
      <c r="M153" s="25" t="str">
        <f>IF($Q153="","",INDEX(TRANSACTIONS_MASTER!$AA$5:$AA$1204,$Q153))</f>
        <v/>
      </c>
      <c r="N153" s="25" t="str">
        <f>IF($Q153="","",INDEX(TRANSACTIONS_MASTER!$R$5:$R$1204,$Q153))</f>
        <v/>
      </c>
      <c r="O153" s="28" t="str">
        <f>IF($Q153="","",INDEX(TRANSACTIONS_MASTER!$AB$5:$AB$1204,$Q153))</f>
        <v/>
      </c>
      <c r="P153" s="55" t="str">
        <f>IF($Q153="","",INDEX(TRANSACTIONS_MASTER!$Z$5:$Z$1204,$Q153)&amp;"")</f>
        <v/>
      </c>
      <c r="Q153" s="67" t="str">
        <f>IFERROR(MATCH($C$2&amp;"|"&amp;146,TRANSACTIONS_MASTER!$AE$5:$AE$1204,0),"")</f>
        <v/>
      </c>
      <c r="T153" s="45" t="n"/>
      <c r="U153" s="82" t="inlineStr">
        <is>
          <t>Khác (ngoài danh sách)</t>
        </is>
      </c>
      <c r="V153" s="48">
        <f>MAX(0,SUMIFS(TRANSACTIONS_MASTER!$L$5:$L$1204,TRANSACTIONS_MASTER!$C$5:$C$1204,$C$2,TRANSACTIONS_MASTER!$U$5:$U$1204,"&lt;&gt;Cancelled")-SUM(V138:V152))</f>
        <v>0</v>
      </c>
      <c r="W153" s="48">
        <f>MAX(0,SUMIFS(TRANSACTIONS_MASTER!$Q$5:$Q$1204,TRANSACTIONS_MASTER!$C$5:$C$1204,$C$2)-SUM(W138:W152))</f>
        <v>0</v>
      </c>
    </row>
    <row r="154">
      <c r="A154" s="81" t="str">
        <f>IF($Q154="","",147)</f>
        <v/>
      </c>
      <c r="B154" s="57" t="str">
        <f>IF($Q154="","",INDEX(TRANSACTIONS_MASTER!$B$5:$B$1204,$Q154))</f>
        <v/>
      </c>
      <c r="C154" s="55" t="str">
        <f>IF($Q154="","",INDEX(TRANSACTIONS_MASTER!$F$5:$F$1204,$Q154))</f>
        <v/>
      </c>
      <c r="D154" s="55" t="str">
        <f>IF($Q154="","",INDEX(TRANSACTIONS_MASTER!$E$5:$E$1204,$Q154))</f>
        <v/>
      </c>
      <c r="E154" s="55" t="str">
        <f>IF($Q154="","",INDEX(TRANSACTIONS_MASTER!$G$5:$G$1204,$Q154)&amp;"")</f>
        <v/>
      </c>
      <c r="F154" s="29" t="str">
        <f>IF($Q154="","",INDEX(TRANSACTIONS_MASTER!$I$5:$I$1204,$Q154))</f>
        <v/>
      </c>
      <c r="G154" s="55" t="str">
        <f>IF($Q154="","",INDEX(TRANSACTIONS_MASTER!$K$5:$K$1204,$Q154))</f>
        <v/>
      </c>
      <c r="H154" s="25" t="str">
        <f>IF($Q154="","",INDEX(TRANSACTIONS_MASTER!$L$5:$L$1204,$Q154))</f>
        <v/>
      </c>
      <c r="I154" s="56" t="str">
        <f>IF($Q154="","",INDEX(TRANSACTIONS_MASTER!$N$5:$N$1204,$Q154))</f>
        <v/>
      </c>
      <c r="J154" s="25" t="str">
        <f>IF($Q154="","",INDEX(TRANSACTIONS_MASTER!$O$5:$O$1204,$Q154))</f>
        <v/>
      </c>
      <c r="K154" s="26" t="str">
        <f>IF($Q154="","",INDEX(TRANSACTIONS_MASTER!$Q$5:$Q$1204,$Q154))</f>
        <v/>
      </c>
      <c r="L154" s="25" t="str">
        <f>IF($Q154="","",INDEX(TRANSACTIONS_MASTER!$P$5:$P$1204,$Q154))</f>
        <v/>
      </c>
      <c r="M154" s="25" t="str">
        <f>IF($Q154="","",INDEX(TRANSACTIONS_MASTER!$AA$5:$AA$1204,$Q154))</f>
        <v/>
      </c>
      <c r="N154" s="25" t="str">
        <f>IF($Q154="","",INDEX(TRANSACTIONS_MASTER!$R$5:$R$1204,$Q154))</f>
        <v/>
      </c>
      <c r="O154" s="28" t="str">
        <f>IF($Q154="","",INDEX(TRANSACTIONS_MASTER!$AB$5:$AB$1204,$Q154))</f>
        <v/>
      </c>
      <c r="P154" s="55" t="str">
        <f>IF($Q154="","",INDEX(TRANSACTIONS_MASTER!$Z$5:$Z$1204,$Q154)&amp;"")</f>
        <v/>
      </c>
      <c r="Q154" s="67" t="str">
        <f>IFERROR(MATCH($C$2&amp;"|"&amp;147,TRANSACTIONS_MASTER!$AE$5:$AE$1204,0),"")</f>
        <v/>
      </c>
      <c r="T154" s="68" t="n"/>
      <c r="U154" s="69" t="inlineStr">
        <is>
          <t>TỔNG</t>
        </is>
      </c>
      <c r="V154" s="31">
        <f>SUM(V138:V153)</f>
        <v>0</v>
      </c>
      <c r="W154" s="31">
        <f>SUM(W138:W153)</f>
        <v>0</v>
      </c>
    </row>
    <row r="155">
      <c r="A155" s="81" t="str">
        <f>IF($Q155="","",148)</f>
        <v/>
      </c>
      <c r="B155" s="57" t="str">
        <f>IF($Q155="","",INDEX(TRANSACTIONS_MASTER!$B$5:$B$1204,$Q155))</f>
        <v/>
      </c>
      <c r="C155" s="55" t="str">
        <f>IF($Q155="","",INDEX(TRANSACTIONS_MASTER!$F$5:$F$1204,$Q155))</f>
        <v/>
      </c>
      <c r="D155" s="55" t="str">
        <f>IF($Q155="","",INDEX(TRANSACTIONS_MASTER!$E$5:$E$1204,$Q155))</f>
        <v/>
      </c>
      <c r="E155" s="55" t="str">
        <f>IF($Q155="","",INDEX(TRANSACTIONS_MASTER!$G$5:$G$1204,$Q155)&amp;"")</f>
        <v/>
      </c>
      <c r="F155" s="29" t="str">
        <f>IF($Q155="","",INDEX(TRANSACTIONS_MASTER!$I$5:$I$1204,$Q155))</f>
        <v/>
      </c>
      <c r="G155" s="55" t="str">
        <f>IF($Q155="","",INDEX(TRANSACTIONS_MASTER!$K$5:$K$1204,$Q155))</f>
        <v/>
      </c>
      <c r="H155" s="25" t="str">
        <f>IF($Q155="","",INDEX(TRANSACTIONS_MASTER!$L$5:$L$1204,$Q155))</f>
        <v/>
      </c>
      <c r="I155" s="56" t="str">
        <f>IF($Q155="","",INDEX(TRANSACTIONS_MASTER!$N$5:$N$1204,$Q155))</f>
        <v/>
      </c>
      <c r="J155" s="25" t="str">
        <f>IF($Q155="","",INDEX(TRANSACTIONS_MASTER!$O$5:$O$1204,$Q155))</f>
        <v/>
      </c>
      <c r="K155" s="26" t="str">
        <f>IF($Q155="","",INDEX(TRANSACTIONS_MASTER!$Q$5:$Q$1204,$Q155))</f>
        <v/>
      </c>
      <c r="L155" s="25" t="str">
        <f>IF($Q155="","",INDEX(TRANSACTIONS_MASTER!$P$5:$P$1204,$Q155))</f>
        <v/>
      </c>
      <c r="M155" s="25" t="str">
        <f>IF($Q155="","",INDEX(TRANSACTIONS_MASTER!$AA$5:$AA$1204,$Q155))</f>
        <v/>
      </c>
      <c r="N155" s="25" t="str">
        <f>IF($Q155="","",INDEX(TRANSACTIONS_MASTER!$R$5:$R$1204,$Q155))</f>
        <v/>
      </c>
      <c r="O155" s="28" t="str">
        <f>IF($Q155="","",INDEX(TRANSACTIONS_MASTER!$AB$5:$AB$1204,$Q155))</f>
        <v/>
      </c>
      <c r="P155" s="55" t="str">
        <f>IF($Q155="","",INDEX(TRANSACTIONS_MASTER!$Z$5:$Z$1204,$Q155)&amp;"")</f>
        <v/>
      </c>
      <c r="Q155" s="67" t="str">
        <f>IFERROR(MATCH($C$2&amp;"|"&amp;148,TRANSACTIONS_MASTER!$AE$5:$AE$1204,0),"")</f>
        <v/>
      </c>
    </row>
    <row r="156">
      <c r="A156" s="81" t="str">
        <f>IF($Q156="","",149)</f>
        <v/>
      </c>
      <c r="B156" s="57" t="str">
        <f>IF($Q156="","",INDEX(TRANSACTIONS_MASTER!$B$5:$B$1204,$Q156))</f>
        <v/>
      </c>
      <c r="C156" s="55" t="str">
        <f>IF($Q156="","",INDEX(TRANSACTIONS_MASTER!$F$5:$F$1204,$Q156))</f>
        <v/>
      </c>
      <c r="D156" s="55" t="str">
        <f>IF($Q156="","",INDEX(TRANSACTIONS_MASTER!$E$5:$E$1204,$Q156))</f>
        <v/>
      </c>
      <c r="E156" s="55" t="str">
        <f>IF($Q156="","",INDEX(TRANSACTIONS_MASTER!$G$5:$G$1204,$Q156)&amp;"")</f>
        <v/>
      </c>
      <c r="F156" s="29" t="str">
        <f>IF($Q156="","",INDEX(TRANSACTIONS_MASTER!$I$5:$I$1204,$Q156))</f>
        <v/>
      </c>
      <c r="G156" s="55" t="str">
        <f>IF($Q156="","",INDEX(TRANSACTIONS_MASTER!$K$5:$K$1204,$Q156))</f>
        <v/>
      </c>
      <c r="H156" s="25" t="str">
        <f>IF($Q156="","",INDEX(TRANSACTIONS_MASTER!$L$5:$L$1204,$Q156))</f>
        <v/>
      </c>
      <c r="I156" s="56" t="str">
        <f>IF($Q156="","",INDEX(TRANSACTIONS_MASTER!$N$5:$N$1204,$Q156))</f>
        <v/>
      </c>
      <c r="J156" s="25" t="str">
        <f>IF($Q156="","",INDEX(TRANSACTIONS_MASTER!$O$5:$O$1204,$Q156))</f>
        <v/>
      </c>
      <c r="K156" s="26" t="str">
        <f>IF($Q156="","",INDEX(TRANSACTIONS_MASTER!$Q$5:$Q$1204,$Q156))</f>
        <v/>
      </c>
      <c r="L156" s="25" t="str">
        <f>IF($Q156="","",INDEX(TRANSACTIONS_MASTER!$P$5:$P$1204,$Q156))</f>
        <v/>
      </c>
      <c r="M156" s="25" t="str">
        <f>IF($Q156="","",INDEX(TRANSACTIONS_MASTER!$AA$5:$AA$1204,$Q156))</f>
        <v/>
      </c>
      <c r="N156" s="25" t="str">
        <f>IF($Q156="","",INDEX(TRANSACTIONS_MASTER!$R$5:$R$1204,$Q156))</f>
        <v/>
      </c>
      <c r="O156" s="28" t="str">
        <f>IF($Q156="","",INDEX(TRANSACTIONS_MASTER!$AB$5:$AB$1204,$Q156))</f>
        <v/>
      </c>
      <c r="P156" s="55" t="str">
        <f>IF($Q156="","",INDEX(TRANSACTIONS_MASTER!$Z$5:$Z$1204,$Q156)&amp;"")</f>
        <v/>
      </c>
      <c r="Q156" s="67" t="str">
        <f>IFERROR(MATCH($C$2&amp;"|"&amp;149,TRANSACTIONS_MASTER!$AE$5:$AE$1204,0),"")</f>
        <v/>
      </c>
    </row>
    <row r="157" ht="22" customHeight="1">
      <c r="A157" s="81" t="str">
        <f>IF($Q157="","",150)</f>
        <v/>
      </c>
      <c r="B157" s="57" t="str">
        <f>IF($Q157="","",INDEX(TRANSACTIONS_MASTER!$B$5:$B$1204,$Q157))</f>
        <v/>
      </c>
      <c r="C157" s="55" t="str">
        <f>IF($Q157="","",INDEX(TRANSACTIONS_MASTER!$F$5:$F$1204,$Q157))</f>
        <v/>
      </c>
      <c r="D157" s="55" t="str">
        <f>IF($Q157="","",INDEX(TRANSACTIONS_MASTER!$E$5:$E$1204,$Q157))</f>
        <v/>
      </c>
      <c r="E157" s="55" t="str">
        <f>IF($Q157="","",INDEX(TRANSACTIONS_MASTER!$G$5:$G$1204,$Q157)&amp;"")</f>
        <v/>
      </c>
      <c r="F157" s="29" t="str">
        <f>IF($Q157="","",INDEX(TRANSACTIONS_MASTER!$I$5:$I$1204,$Q157))</f>
        <v/>
      </c>
      <c r="G157" s="55" t="str">
        <f>IF($Q157="","",INDEX(TRANSACTIONS_MASTER!$K$5:$K$1204,$Q157))</f>
        <v/>
      </c>
      <c r="H157" s="25" t="str">
        <f>IF($Q157="","",INDEX(TRANSACTIONS_MASTER!$L$5:$L$1204,$Q157))</f>
        <v/>
      </c>
      <c r="I157" s="56" t="str">
        <f>IF($Q157="","",INDEX(TRANSACTIONS_MASTER!$N$5:$N$1204,$Q157))</f>
        <v/>
      </c>
      <c r="J157" s="25" t="str">
        <f>IF($Q157="","",INDEX(TRANSACTIONS_MASTER!$O$5:$O$1204,$Q157))</f>
        <v/>
      </c>
      <c r="K157" s="26" t="str">
        <f>IF($Q157="","",INDEX(TRANSACTIONS_MASTER!$Q$5:$Q$1204,$Q157))</f>
        <v/>
      </c>
      <c r="L157" s="25" t="str">
        <f>IF($Q157="","",INDEX(TRANSACTIONS_MASTER!$P$5:$P$1204,$Q157))</f>
        <v/>
      </c>
      <c r="M157" s="25" t="str">
        <f>IF($Q157="","",INDEX(TRANSACTIONS_MASTER!$AA$5:$AA$1204,$Q157))</f>
        <v/>
      </c>
      <c r="N157" s="25" t="str">
        <f>IF($Q157="","",INDEX(TRANSACTIONS_MASTER!$R$5:$R$1204,$Q157))</f>
        <v/>
      </c>
      <c r="O157" s="28" t="str">
        <f>IF($Q157="","",INDEX(TRANSACTIONS_MASTER!$AB$5:$AB$1204,$Q157))</f>
        <v/>
      </c>
      <c r="P157" s="55" t="str">
        <f>IF($Q157="","",INDEX(TRANSACTIONS_MASTER!$Z$5:$Z$1204,$Q157)&amp;"")</f>
        <v/>
      </c>
      <c r="Q157" s="67" t="str">
        <f>IFERROR(MATCH($C$2&amp;"|"&amp;150,TRANSACTIONS_MASTER!$AE$5:$AE$1204,0),"")</f>
        <v/>
      </c>
      <c r="T157" s="19" t="inlineStr">
        <is>
          <t>THEO MERCHANT</t>
        </is>
      </c>
      <c r="U157" s="20" t="n"/>
      <c r="V157" s="20" t="n"/>
      <c r="W157" s="20" t="n"/>
      <c r="X157" s="20" t="n"/>
      <c r="Y157" s="20" t="n"/>
      <c r="Z157" s="20" t="n"/>
      <c r="AA157" s="20" t="n"/>
    </row>
    <row r="158" ht="28" customHeight="1">
      <c r="A158" s="81" t="str">
        <f>IF($Q158="","",151)</f>
        <v/>
      </c>
      <c r="B158" s="57" t="str">
        <f>IF($Q158="","",INDEX(TRANSACTIONS_MASTER!$B$5:$B$1204,$Q158))</f>
        <v/>
      </c>
      <c r="C158" s="55" t="str">
        <f>IF($Q158="","",INDEX(TRANSACTIONS_MASTER!$F$5:$F$1204,$Q158))</f>
        <v/>
      </c>
      <c r="D158" s="55" t="str">
        <f>IF($Q158="","",INDEX(TRANSACTIONS_MASTER!$E$5:$E$1204,$Q158))</f>
        <v/>
      </c>
      <c r="E158" s="55" t="str">
        <f>IF($Q158="","",INDEX(TRANSACTIONS_MASTER!$G$5:$G$1204,$Q158)&amp;"")</f>
        <v/>
      </c>
      <c r="F158" s="29" t="str">
        <f>IF($Q158="","",INDEX(TRANSACTIONS_MASTER!$I$5:$I$1204,$Q158))</f>
        <v/>
      </c>
      <c r="G158" s="55" t="str">
        <f>IF($Q158="","",INDEX(TRANSACTIONS_MASTER!$K$5:$K$1204,$Q158))</f>
        <v/>
      </c>
      <c r="H158" s="25" t="str">
        <f>IF($Q158="","",INDEX(TRANSACTIONS_MASTER!$L$5:$L$1204,$Q158))</f>
        <v/>
      </c>
      <c r="I158" s="56" t="str">
        <f>IF($Q158="","",INDEX(TRANSACTIONS_MASTER!$N$5:$N$1204,$Q158))</f>
        <v/>
      </c>
      <c r="J158" s="25" t="str">
        <f>IF($Q158="","",INDEX(TRANSACTIONS_MASTER!$O$5:$O$1204,$Q158))</f>
        <v/>
      </c>
      <c r="K158" s="26" t="str">
        <f>IF($Q158="","",INDEX(TRANSACTIONS_MASTER!$Q$5:$Q$1204,$Q158))</f>
        <v/>
      </c>
      <c r="L158" s="25" t="str">
        <f>IF($Q158="","",INDEX(TRANSACTIONS_MASTER!$P$5:$P$1204,$Q158))</f>
        <v/>
      </c>
      <c r="M158" s="25" t="str">
        <f>IF($Q158="","",INDEX(TRANSACTIONS_MASTER!$AA$5:$AA$1204,$Q158))</f>
        <v/>
      </c>
      <c r="N158" s="25" t="str">
        <f>IF($Q158="","",INDEX(TRANSACTIONS_MASTER!$R$5:$R$1204,$Q158))</f>
        <v/>
      </c>
      <c r="O158" s="28" t="str">
        <f>IF($Q158="","",INDEX(TRANSACTIONS_MASTER!$AB$5:$AB$1204,$Q158))</f>
        <v/>
      </c>
      <c r="P158" s="55" t="str">
        <f>IF($Q158="","",INDEX(TRANSACTIONS_MASTER!$Z$5:$Z$1204,$Q158)&amp;"")</f>
        <v/>
      </c>
      <c r="Q158" s="67" t="str">
        <f>IFERROR(MATCH($C$2&amp;"|"&amp;151,TRANSACTIONS_MASTER!$AE$5:$AE$1204,0),"")</f>
        <v/>
      </c>
      <c r="S158" s="21" t="inlineStr">
        <is>
          <t>#</t>
        </is>
      </c>
      <c r="T158" s="21" t="inlineStr"/>
      <c r="U158" s="21" t="inlineStr">
        <is>
          <t>Merchant</t>
        </is>
      </c>
      <c r="V158" s="21" t="inlineStr">
        <is>
          <t>Chi tiêu</t>
        </is>
      </c>
      <c r="W158" s="21" t="inlineStr">
        <is>
          <t>Cashback</t>
        </is>
      </c>
    </row>
    <row r="159">
      <c r="A159" s="81" t="str">
        <f>IF($Q159="","",152)</f>
        <v/>
      </c>
      <c r="B159" s="57" t="str">
        <f>IF($Q159="","",INDEX(TRANSACTIONS_MASTER!$B$5:$B$1204,$Q159))</f>
        <v/>
      </c>
      <c r="C159" s="55" t="str">
        <f>IF($Q159="","",INDEX(TRANSACTIONS_MASTER!$F$5:$F$1204,$Q159))</f>
        <v/>
      </c>
      <c r="D159" s="55" t="str">
        <f>IF($Q159="","",INDEX(TRANSACTIONS_MASTER!$E$5:$E$1204,$Q159))</f>
        <v/>
      </c>
      <c r="E159" s="55" t="str">
        <f>IF($Q159="","",INDEX(TRANSACTIONS_MASTER!$G$5:$G$1204,$Q159)&amp;"")</f>
        <v/>
      </c>
      <c r="F159" s="29" t="str">
        <f>IF($Q159="","",INDEX(TRANSACTIONS_MASTER!$I$5:$I$1204,$Q159))</f>
        <v/>
      </c>
      <c r="G159" s="55" t="str">
        <f>IF($Q159="","",INDEX(TRANSACTIONS_MASTER!$K$5:$K$1204,$Q159))</f>
        <v/>
      </c>
      <c r="H159" s="25" t="str">
        <f>IF($Q159="","",INDEX(TRANSACTIONS_MASTER!$L$5:$L$1204,$Q159))</f>
        <v/>
      </c>
      <c r="I159" s="56" t="str">
        <f>IF($Q159="","",INDEX(TRANSACTIONS_MASTER!$N$5:$N$1204,$Q159))</f>
        <v/>
      </c>
      <c r="J159" s="25" t="str">
        <f>IF($Q159="","",INDEX(TRANSACTIONS_MASTER!$O$5:$O$1204,$Q159))</f>
        <v/>
      </c>
      <c r="K159" s="26" t="str">
        <f>IF($Q159="","",INDEX(TRANSACTIONS_MASTER!$Q$5:$Q$1204,$Q159))</f>
        <v/>
      </c>
      <c r="L159" s="25" t="str">
        <f>IF($Q159="","",INDEX(TRANSACTIONS_MASTER!$P$5:$P$1204,$Q159))</f>
        <v/>
      </c>
      <c r="M159" s="25" t="str">
        <f>IF($Q159="","",INDEX(TRANSACTIONS_MASTER!$AA$5:$AA$1204,$Q159))</f>
        <v/>
      </c>
      <c r="N159" s="25" t="str">
        <f>IF($Q159="","",INDEX(TRANSACTIONS_MASTER!$R$5:$R$1204,$Q159))</f>
        <v/>
      </c>
      <c r="O159" s="28" t="str">
        <f>IF($Q159="","",INDEX(TRANSACTIONS_MASTER!$AB$5:$AB$1204,$Q159))</f>
        <v/>
      </c>
      <c r="P159" s="55" t="str">
        <f>IF($Q159="","",INDEX(TRANSACTIONS_MASTER!$Z$5:$Z$1204,$Q159)&amp;"")</f>
        <v/>
      </c>
      <c r="Q159" s="67" t="str">
        <f>IFERROR(MATCH($C$2&amp;"|"&amp;152,TRANSACTIONS_MASTER!$AE$5:$AE$1204,0),"")</f>
        <v/>
      </c>
      <c r="S159" s="67" t="str">
        <f>IFERROR(MATCH(1,INDEX((TRANSACTIONS_MASTER!$C$5:$C$1204=$C$2)*(TRANSACTIONS_MASTER!$AN$5:$AN$1204=1),0),0),"")</f>
        <v/>
      </c>
      <c r="T159" s="55" t="n"/>
      <c r="U159" s="55" t="str">
        <f>IF($S159="","",INDEX(TRANSACTIONS_MASTER!$G$5:$G$1204,$S159)&amp;"")</f>
        <v/>
      </c>
      <c r="V159" s="25" t="str">
        <f>IF($S159="","",SUMIFS(TRANSACTIONS_MASTER!$L$5:$L$1204,TRANSACTIONS_MASTER!$G$5:$G$1204,$U159,TRANSACTIONS_MASTER!$C$5:$C$1204,$C$2,TRANSACTIONS_MASTER!$U$5:$U$1204,"&lt;&gt;Cancelled"))</f>
        <v/>
      </c>
      <c r="W159" s="26" t="str">
        <f>IF($S159="","",SUMIFS(TRANSACTIONS_MASTER!$Q$5:$Q$1204,TRANSACTIONS_MASTER!$G$5:$G$1204,$U159,TRANSACTIONS_MASTER!$C$5:$C$1204,$C$2))</f>
        <v/>
      </c>
    </row>
    <row r="160">
      <c r="A160" s="81" t="str">
        <f>IF($Q160="","",153)</f>
        <v/>
      </c>
      <c r="B160" s="57" t="str">
        <f>IF($Q160="","",INDEX(TRANSACTIONS_MASTER!$B$5:$B$1204,$Q160))</f>
        <v/>
      </c>
      <c r="C160" s="55" t="str">
        <f>IF($Q160="","",INDEX(TRANSACTIONS_MASTER!$F$5:$F$1204,$Q160))</f>
        <v/>
      </c>
      <c r="D160" s="55" t="str">
        <f>IF($Q160="","",INDEX(TRANSACTIONS_MASTER!$E$5:$E$1204,$Q160))</f>
        <v/>
      </c>
      <c r="E160" s="55" t="str">
        <f>IF($Q160="","",INDEX(TRANSACTIONS_MASTER!$G$5:$G$1204,$Q160)&amp;"")</f>
        <v/>
      </c>
      <c r="F160" s="29" t="str">
        <f>IF($Q160="","",INDEX(TRANSACTIONS_MASTER!$I$5:$I$1204,$Q160))</f>
        <v/>
      </c>
      <c r="G160" s="55" t="str">
        <f>IF($Q160="","",INDEX(TRANSACTIONS_MASTER!$K$5:$K$1204,$Q160))</f>
        <v/>
      </c>
      <c r="H160" s="25" t="str">
        <f>IF($Q160="","",INDEX(TRANSACTIONS_MASTER!$L$5:$L$1204,$Q160))</f>
        <v/>
      </c>
      <c r="I160" s="56" t="str">
        <f>IF($Q160="","",INDEX(TRANSACTIONS_MASTER!$N$5:$N$1204,$Q160))</f>
        <v/>
      </c>
      <c r="J160" s="25" t="str">
        <f>IF($Q160="","",INDEX(TRANSACTIONS_MASTER!$O$5:$O$1204,$Q160))</f>
        <v/>
      </c>
      <c r="K160" s="26" t="str">
        <f>IF($Q160="","",INDEX(TRANSACTIONS_MASTER!$Q$5:$Q$1204,$Q160))</f>
        <v/>
      </c>
      <c r="L160" s="25" t="str">
        <f>IF($Q160="","",INDEX(TRANSACTIONS_MASTER!$P$5:$P$1204,$Q160))</f>
        <v/>
      </c>
      <c r="M160" s="25" t="str">
        <f>IF($Q160="","",INDEX(TRANSACTIONS_MASTER!$AA$5:$AA$1204,$Q160))</f>
        <v/>
      </c>
      <c r="N160" s="25" t="str">
        <f>IF($Q160="","",INDEX(TRANSACTIONS_MASTER!$R$5:$R$1204,$Q160))</f>
        <v/>
      </c>
      <c r="O160" s="28" t="str">
        <f>IF($Q160="","",INDEX(TRANSACTIONS_MASTER!$AB$5:$AB$1204,$Q160))</f>
        <v/>
      </c>
      <c r="P160" s="55" t="str">
        <f>IF($Q160="","",INDEX(TRANSACTIONS_MASTER!$Z$5:$Z$1204,$Q160)&amp;"")</f>
        <v/>
      </c>
      <c r="Q160" s="67" t="str">
        <f>IFERROR(MATCH($C$2&amp;"|"&amp;153,TRANSACTIONS_MASTER!$AE$5:$AE$1204,0),"")</f>
        <v/>
      </c>
      <c r="S160" s="67" t="str">
        <f>IFERROR(MATCH(1,INDEX((TRANSACTIONS_MASTER!$C$5:$C$1204=$C$2)*(TRANSACTIONS_MASTER!$AN$5:$AN$1204=2),0),0),"")</f>
        <v/>
      </c>
      <c r="T160" s="55" t="n"/>
      <c r="U160" s="55" t="str">
        <f>IF($S160="","",INDEX(TRANSACTIONS_MASTER!$G$5:$G$1204,$S160)&amp;"")</f>
        <v/>
      </c>
      <c r="V160" s="25" t="str">
        <f>IF($S160="","",SUMIFS(TRANSACTIONS_MASTER!$L$5:$L$1204,TRANSACTIONS_MASTER!$G$5:$G$1204,$U160,TRANSACTIONS_MASTER!$C$5:$C$1204,$C$2,TRANSACTIONS_MASTER!$U$5:$U$1204,"&lt;&gt;Cancelled"))</f>
        <v/>
      </c>
      <c r="W160" s="26" t="str">
        <f>IF($S160="","",SUMIFS(TRANSACTIONS_MASTER!$Q$5:$Q$1204,TRANSACTIONS_MASTER!$G$5:$G$1204,$U160,TRANSACTIONS_MASTER!$C$5:$C$1204,$C$2))</f>
        <v/>
      </c>
    </row>
    <row r="161">
      <c r="A161" s="81" t="str">
        <f>IF($Q161="","",154)</f>
        <v/>
      </c>
      <c r="B161" s="57" t="str">
        <f>IF($Q161="","",INDEX(TRANSACTIONS_MASTER!$B$5:$B$1204,$Q161))</f>
        <v/>
      </c>
      <c r="C161" s="55" t="str">
        <f>IF($Q161="","",INDEX(TRANSACTIONS_MASTER!$F$5:$F$1204,$Q161))</f>
        <v/>
      </c>
      <c r="D161" s="55" t="str">
        <f>IF($Q161="","",INDEX(TRANSACTIONS_MASTER!$E$5:$E$1204,$Q161))</f>
        <v/>
      </c>
      <c r="E161" s="55" t="str">
        <f>IF($Q161="","",INDEX(TRANSACTIONS_MASTER!$G$5:$G$1204,$Q161)&amp;"")</f>
        <v/>
      </c>
      <c r="F161" s="29" t="str">
        <f>IF($Q161="","",INDEX(TRANSACTIONS_MASTER!$I$5:$I$1204,$Q161))</f>
        <v/>
      </c>
      <c r="G161" s="55" t="str">
        <f>IF($Q161="","",INDEX(TRANSACTIONS_MASTER!$K$5:$K$1204,$Q161))</f>
        <v/>
      </c>
      <c r="H161" s="25" t="str">
        <f>IF($Q161="","",INDEX(TRANSACTIONS_MASTER!$L$5:$L$1204,$Q161))</f>
        <v/>
      </c>
      <c r="I161" s="56" t="str">
        <f>IF($Q161="","",INDEX(TRANSACTIONS_MASTER!$N$5:$N$1204,$Q161))</f>
        <v/>
      </c>
      <c r="J161" s="25" t="str">
        <f>IF($Q161="","",INDEX(TRANSACTIONS_MASTER!$O$5:$O$1204,$Q161))</f>
        <v/>
      </c>
      <c r="K161" s="26" t="str">
        <f>IF($Q161="","",INDEX(TRANSACTIONS_MASTER!$Q$5:$Q$1204,$Q161))</f>
        <v/>
      </c>
      <c r="L161" s="25" t="str">
        <f>IF($Q161="","",INDEX(TRANSACTIONS_MASTER!$P$5:$P$1204,$Q161))</f>
        <v/>
      </c>
      <c r="M161" s="25" t="str">
        <f>IF($Q161="","",INDEX(TRANSACTIONS_MASTER!$AA$5:$AA$1204,$Q161))</f>
        <v/>
      </c>
      <c r="N161" s="25" t="str">
        <f>IF($Q161="","",INDEX(TRANSACTIONS_MASTER!$R$5:$R$1204,$Q161))</f>
        <v/>
      </c>
      <c r="O161" s="28" t="str">
        <f>IF($Q161="","",INDEX(TRANSACTIONS_MASTER!$AB$5:$AB$1204,$Q161))</f>
        <v/>
      </c>
      <c r="P161" s="55" t="str">
        <f>IF($Q161="","",INDEX(TRANSACTIONS_MASTER!$Z$5:$Z$1204,$Q161)&amp;"")</f>
        <v/>
      </c>
      <c r="Q161" s="67" t="str">
        <f>IFERROR(MATCH($C$2&amp;"|"&amp;154,TRANSACTIONS_MASTER!$AE$5:$AE$1204,0),"")</f>
        <v/>
      </c>
      <c r="S161" s="67" t="str">
        <f>IFERROR(MATCH(1,INDEX((TRANSACTIONS_MASTER!$C$5:$C$1204=$C$2)*(TRANSACTIONS_MASTER!$AN$5:$AN$1204=3),0),0),"")</f>
        <v/>
      </c>
      <c r="T161" s="55" t="n"/>
      <c r="U161" s="55" t="str">
        <f>IF($S161="","",INDEX(TRANSACTIONS_MASTER!$G$5:$G$1204,$S161)&amp;"")</f>
        <v/>
      </c>
      <c r="V161" s="25" t="str">
        <f>IF($S161="","",SUMIFS(TRANSACTIONS_MASTER!$L$5:$L$1204,TRANSACTIONS_MASTER!$G$5:$G$1204,$U161,TRANSACTIONS_MASTER!$C$5:$C$1204,$C$2,TRANSACTIONS_MASTER!$U$5:$U$1204,"&lt;&gt;Cancelled"))</f>
        <v/>
      </c>
      <c r="W161" s="26" t="str">
        <f>IF($S161="","",SUMIFS(TRANSACTIONS_MASTER!$Q$5:$Q$1204,TRANSACTIONS_MASTER!$G$5:$G$1204,$U161,TRANSACTIONS_MASTER!$C$5:$C$1204,$C$2))</f>
        <v/>
      </c>
    </row>
    <row r="162">
      <c r="A162" s="81" t="str">
        <f>IF($Q162="","",155)</f>
        <v/>
      </c>
      <c r="B162" s="57" t="str">
        <f>IF($Q162="","",INDEX(TRANSACTIONS_MASTER!$B$5:$B$1204,$Q162))</f>
        <v/>
      </c>
      <c r="C162" s="55" t="str">
        <f>IF($Q162="","",INDEX(TRANSACTIONS_MASTER!$F$5:$F$1204,$Q162))</f>
        <v/>
      </c>
      <c r="D162" s="55" t="str">
        <f>IF($Q162="","",INDEX(TRANSACTIONS_MASTER!$E$5:$E$1204,$Q162))</f>
        <v/>
      </c>
      <c r="E162" s="55" t="str">
        <f>IF($Q162="","",INDEX(TRANSACTIONS_MASTER!$G$5:$G$1204,$Q162)&amp;"")</f>
        <v/>
      </c>
      <c r="F162" s="29" t="str">
        <f>IF($Q162="","",INDEX(TRANSACTIONS_MASTER!$I$5:$I$1204,$Q162))</f>
        <v/>
      </c>
      <c r="G162" s="55" t="str">
        <f>IF($Q162="","",INDEX(TRANSACTIONS_MASTER!$K$5:$K$1204,$Q162))</f>
        <v/>
      </c>
      <c r="H162" s="25" t="str">
        <f>IF($Q162="","",INDEX(TRANSACTIONS_MASTER!$L$5:$L$1204,$Q162))</f>
        <v/>
      </c>
      <c r="I162" s="56" t="str">
        <f>IF($Q162="","",INDEX(TRANSACTIONS_MASTER!$N$5:$N$1204,$Q162))</f>
        <v/>
      </c>
      <c r="J162" s="25" t="str">
        <f>IF($Q162="","",INDEX(TRANSACTIONS_MASTER!$O$5:$O$1204,$Q162))</f>
        <v/>
      </c>
      <c r="K162" s="26" t="str">
        <f>IF($Q162="","",INDEX(TRANSACTIONS_MASTER!$Q$5:$Q$1204,$Q162))</f>
        <v/>
      </c>
      <c r="L162" s="25" t="str">
        <f>IF($Q162="","",INDEX(TRANSACTIONS_MASTER!$P$5:$P$1204,$Q162))</f>
        <v/>
      </c>
      <c r="M162" s="25" t="str">
        <f>IF($Q162="","",INDEX(TRANSACTIONS_MASTER!$AA$5:$AA$1204,$Q162))</f>
        <v/>
      </c>
      <c r="N162" s="25" t="str">
        <f>IF($Q162="","",INDEX(TRANSACTIONS_MASTER!$R$5:$R$1204,$Q162))</f>
        <v/>
      </c>
      <c r="O162" s="28" t="str">
        <f>IF($Q162="","",INDEX(TRANSACTIONS_MASTER!$AB$5:$AB$1204,$Q162))</f>
        <v/>
      </c>
      <c r="P162" s="55" t="str">
        <f>IF($Q162="","",INDEX(TRANSACTIONS_MASTER!$Z$5:$Z$1204,$Q162)&amp;"")</f>
        <v/>
      </c>
      <c r="Q162" s="67" t="str">
        <f>IFERROR(MATCH($C$2&amp;"|"&amp;155,TRANSACTIONS_MASTER!$AE$5:$AE$1204,0),"")</f>
        <v/>
      </c>
      <c r="S162" s="67" t="str">
        <f>IFERROR(MATCH(1,INDEX((TRANSACTIONS_MASTER!$C$5:$C$1204=$C$2)*(TRANSACTIONS_MASTER!$AN$5:$AN$1204=4),0),0),"")</f>
        <v/>
      </c>
      <c r="T162" s="55" t="n"/>
      <c r="U162" s="55" t="str">
        <f>IF($S162="","",INDEX(TRANSACTIONS_MASTER!$G$5:$G$1204,$S162)&amp;"")</f>
        <v/>
      </c>
      <c r="V162" s="25" t="str">
        <f>IF($S162="","",SUMIFS(TRANSACTIONS_MASTER!$L$5:$L$1204,TRANSACTIONS_MASTER!$G$5:$G$1204,$U162,TRANSACTIONS_MASTER!$C$5:$C$1204,$C$2,TRANSACTIONS_MASTER!$U$5:$U$1204,"&lt;&gt;Cancelled"))</f>
        <v/>
      </c>
      <c r="W162" s="26" t="str">
        <f>IF($S162="","",SUMIFS(TRANSACTIONS_MASTER!$Q$5:$Q$1204,TRANSACTIONS_MASTER!$G$5:$G$1204,$U162,TRANSACTIONS_MASTER!$C$5:$C$1204,$C$2))</f>
        <v/>
      </c>
    </row>
    <row r="163">
      <c r="A163" s="81" t="str">
        <f>IF($Q163="","",156)</f>
        <v/>
      </c>
      <c r="B163" s="57" t="str">
        <f>IF($Q163="","",INDEX(TRANSACTIONS_MASTER!$B$5:$B$1204,$Q163))</f>
        <v/>
      </c>
      <c r="C163" s="55" t="str">
        <f>IF($Q163="","",INDEX(TRANSACTIONS_MASTER!$F$5:$F$1204,$Q163))</f>
        <v/>
      </c>
      <c r="D163" s="55" t="str">
        <f>IF($Q163="","",INDEX(TRANSACTIONS_MASTER!$E$5:$E$1204,$Q163))</f>
        <v/>
      </c>
      <c r="E163" s="55" t="str">
        <f>IF($Q163="","",INDEX(TRANSACTIONS_MASTER!$G$5:$G$1204,$Q163)&amp;"")</f>
        <v/>
      </c>
      <c r="F163" s="29" t="str">
        <f>IF($Q163="","",INDEX(TRANSACTIONS_MASTER!$I$5:$I$1204,$Q163))</f>
        <v/>
      </c>
      <c r="G163" s="55" t="str">
        <f>IF($Q163="","",INDEX(TRANSACTIONS_MASTER!$K$5:$K$1204,$Q163))</f>
        <v/>
      </c>
      <c r="H163" s="25" t="str">
        <f>IF($Q163="","",INDEX(TRANSACTIONS_MASTER!$L$5:$L$1204,$Q163))</f>
        <v/>
      </c>
      <c r="I163" s="56" t="str">
        <f>IF($Q163="","",INDEX(TRANSACTIONS_MASTER!$N$5:$N$1204,$Q163))</f>
        <v/>
      </c>
      <c r="J163" s="25" t="str">
        <f>IF($Q163="","",INDEX(TRANSACTIONS_MASTER!$O$5:$O$1204,$Q163))</f>
        <v/>
      </c>
      <c r="K163" s="26" t="str">
        <f>IF($Q163="","",INDEX(TRANSACTIONS_MASTER!$Q$5:$Q$1204,$Q163))</f>
        <v/>
      </c>
      <c r="L163" s="25" t="str">
        <f>IF($Q163="","",INDEX(TRANSACTIONS_MASTER!$P$5:$P$1204,$Q163))</f>
        <v/>
      </c>
      <c r="M163" s="25" t="str">
        <f>IF($Q163="","",INDEX(TRANSACTIONS_MASTER!$AA$5:$AA$1204,$Q163))</f>
        <v/>
      </c>
      <c r="N163" s="25" t="str">
        <f>IF($Q163="","",INDEX(TRANSACTIONS_MASTER!$R$5:$R$1204,$Q163))</f>
        <v/>
      </c>
      <c r="O163" s="28" t="str">
        <f>IF($Q163="","",INDEX(TRANSACTIONS_MASTER!$AB$5:$AB$1204,$Q163))</f>
        <v/>
      </c>
      <c r="P163" s="55" t="str">
        <f>IF($Q163="","",INDEX(TRANSACTIONS_MASTER!$Z$5:$Z$1204,$Q163)&amp;"")</f>
        <v/>
      </c>
      <c r="Q163" s="67" t="str">
        <f>IFERROR(MATCH($C$2&amp;"|"&amp;156,TRANSACTIONS_MASTER!$AE$5:$AE$1204,0),"")</f>
        <v/>
      </c>
      <c r="S163" s="67" t="str">
        <f>IFERROR(MATCH(1,INDEX((TRANSACTIONS_MASTER!$C$5:$C$1204=$C$2)*(TRANSACTIONS_MASTER!$AN$5:$AN$1204=5),0),0),"")</f>
        <v/>
      </c>
      <c r="T163" s="55" t="n"/>
      <c r="U163" s="55" t="str">
        <f>IF($S163="","",INDEX(TRANSACTIONS_MASTER!$G$5:$G$1204,$S163)&amp;"")</f>
        <v/>
      </c>
      <c r="V163" s="25" t="str">
        <f>IF($S163="","",SUMIFS(TRANSACTIONS_MASTER!$L$5:$L$1204,TRANSACTIONS_MASTER!$G$5:$G$1204,$U163,TRANSACTIONS_MASTER!$C$5:$C$1204,$C$2,TRANSACTIONS_MASTER!$U$5:$U$1204,"&lt;&gt;Cancelled"))</f>
        <v/>
      </c>
      <c r="W163" s="26" t="str">
        <f>IF($S163="","",SUMIFS(TRANSACTIONS_MASTER!$Q$5:$Q$1204,TRANSACTIONS_MASTER!$G$5:$G$1204,$U163,TRANSACTIONS_MASTER!$C$5:$C$1204,$C$2))</f>
        <v/>
      </c>
    </row>
    <row r="164">
      <c r="A164" s="81" t="str">
        <f>IF($Q164="","",157)</f>
        <v/>
      </c>
      <c r="B164" s="57" t="str">
        <f>IF($Q164="","",INDEX(TRANSACTIONS_MASTER!$B$5:$B$1204,$Q164))</f>
        <v/>
      </c>
      <c r="C164" s="55" t="str">
        <f>IF($Q164="","",INDEX(TRANSACTIONS_MASTER!$F$5:$F$1204,$Q164))</f>
        <v/>
      </c>
      <c r="D164" s="55" t="str">
        <f>IF($Q164="","",INDEX(TRANSACTIONS_MASTER!$E$5:$E$1204,$Q164))</f>
        <v/>
      </c>
      <c r="E164" s="55" t="str">
        <f>IF($Q164="","",INDEX(TRANSACTIONS_MASTER!$G$5:$G$1204,$Q164)&amp;"")</f>
        <v/>
      </c>
      <c r="F164" s="29" t="str">
        <f>IF($Q164="","",INDEX(TRANSACTIONS_MASTER!$I$5:$I$1204,$Q164))</f>
        <v/>
      </c>
      <c r="G164" s="55" t="str">
        <f>IF($Q164="","",INDEX(TRANSACTIONS_MASTER!$K$5:$K$1204,$Q164))</f>
        <v/>
      </c>
      <c r="H164" s="25" t="str">
        <f>IF($Q164="","",INDEX(TRANSACTIONS_MASTER!$L$5:$L$1204,$Q164))</f>
        <v/>
      </c>
      <c r="I164" s="56" t="str">
        <f>IF($Q164="","",INDEX(TRANSACTIONS_MASTER!$N$5:$N$1204,$Q164))</f>
        <v/>
      </c>
      <c r="J164" s="25" t="str">
        <f>IF($Q164="","",INDEX(TRANSACTIONS_MASTER!$O$5:$O$1204,$Q164))</f>
        <v/>
      </c>
      <c r="K164" s="26" t="str">
        <f>IF($Q164="","",INDEX(TRANSACTIONS_MASTER!$Q$5:$Q$1204,$Q164))</f>
        <v/>
      </c>
      <c r="L164" s="25" t="str">
        <f>IF($Q164="","",INDEX(TRANSACTIONS_MASTER!$P$5:$P$1204,$Q164))</f>
        <v/>
      </c>
      <c r="M164" s="25" t="str">
        <f>IF($Q164="","",INDEX(TRANSACTIONS_MASTER!$AA$5:$AA$1204,$Q164))</f>
        <v/>
      </c>
      <c r="N164" s="25" t="str">
        <f>IF($Q164="","",INDEX(TRANSACTIONS_MASTER!$R$5:$R$1204,$Q164))</f>
        <v/>
      </c>
      <c r="O164" s="28" t="str">
        <f>IF($Q164="","",INDEX(TRANSACTIONS_MASTER!$AB$5:$AB$1204,$Q164))</f>
        <v/>
      </c>
      <c r="P164" s="55" t="str">
        <f>IF($Q164="","",INDEX(TRANSACTIONS_MASTER!$Z$5:$Z$1204,$Q164)&amp;"")</f>
        <v/>
      </c>
      <c r="Q164" s="67" t="str">
        <f>IFERROR(MATCH($C$2&amp;"|"&amp;157,TRANSACTIONS_MASTER!$AE$5:$AE$1204,0),"")</f>
        <v/>
      </c>
      <c r="S164" s="67" t="str">
        <f>IFERROR(MATCH(1,INDEX((TRANSACTIONS_MASTER!$C$5:$C$1204=$C$2)*(TRANSACTIONS_MASTER!$AN$5:$AN$1204=6),0),0),"")</f>
        <v/>
      </c>
      <c r="T164" s="55" t="n"/>
      <c r="U164" s="55" t="str">
        <f>IF($S164="","",INDEX(TRANSACTIONS_MASTER!$G$5:$G$1204,$S164)&amp;"")</f>
        <v/>
      </c>
      <c r="V164" s="25" t="str">
        <f>IF($S164="","",SUMIFS(TRANSACTIONS_MASTER!$L$5:$L$1204,TRANSACTIONS_MASTER!$G$5:$G$1204,$U164,TRANSACTIONS_MASTER!$C$5:$C$1204,$C$2,TRANSACTIONS_MASTER!$U$5:$U$1204,"&lt;&gt;Cancelled"))</f>
        <v/>
      </c>
      <c r="W164" s="26" t="str">
        <f>IF($S164="","",SUMIFS(TRANSACTIONS_MASTER!$Q$5:$Q$1204,TRANSACTIONS_MASTER!$G$5:$G$1204,$U164,TRANSACTIONS_MASTER!$C$5:$C$1204,$C$2))</f>
        <v/>
      </c>
    </row>
    <row r="165">
      <c r="A165" s="81" t="str">
        <f>IF($Q165="","",158)</f>
        <v/>
      </c>
      <c r="B165" s="57" t="str">
        <f>IF($Q165="","",INDEX(TRANSACTIONS_MASTER!$B$5:$B$1204,$Q165))</f>
        <v/>
      </c>
      <c r="C165" s="55" t="str">
        <f>IF($Q165="","",INDEX(TRANSACTIONS_MASTER!$F$5:$F$1204,$Q165))</f>
        <v/>
      </c>
      <c r="D165" s="55" t="str">
        <f>IF($Q165="","",INDEX(TRANSACTIONS_MASTER!$E$5:$E$1204,$Q165))</f>
        <v/>
      </c>
      <c r="E165" s="55" t="str">
        <f>IF($Q165="","",INDEX(TRANSACTIONS_MASTER!$G$5:$G$1204,$Q165)&amp;"")</f>
        <v/>
      </c>
      <c r="F165" s="29" t="str">
        <f>IF($Q165="","",INDEX(TRANSACTIONS_MASTER!$I$5:$I$1204,$Q165))</f>
        <v/>
      </c>
      <c r="G165" s="55" t="str">
        <f>IF($Q165="","",INDEX(TRANSACTIONS_MASTER!$K$5:$K$1204,$Q165))</f>
        <v/>
      </c>
      <c r="H165" s="25" t="str">
        <f>IF($Q165="","",INDEX(TRANSACTIONS_MASTER!$L$5:$L$1204,$Q165))</f>
        <v/>
      </c>
      <c r="I165" s="56" t="str">
        <f>IF($Q165="","",INDEX(TRANSACTIONS_MASTER!$N$5:$N$1204,$Q165))</f>
        <v/>
      </c>
      <c r="J165" s="25" t="str">
        <f>IF($Q165="","",INDEX(TRANSACTIONS_MASTER!$O$5:$O$1204,$Q165))</f>
        <v/>
      </c>
      <c r="K165" s="26" t="str">
        <f>IF($Q165="","",INDEX(TRANSACTIONS_MASTER!$Q$5:$Q$1204,$Q165))</f>
        <v/>
      </c>
      <c r="L165" s="25" t="str">
        <f>IF($Q165="","",INDEX(TRANSACTIONS_MASTER!$P$5:$P$1204,$Q165))</f>
        <v/>
      </c>
      <c r="M165" s="25" t="str">
        <f>IF($Q165="","",INDEX(TRANSACTIONS_MASTER!$AA$5:$AA$1204,$Q165))</f>
        <v/>
      </c>
      <c r="N165" s="25" t="str">
        <f>IF($Q165="","",INDEX(TRANSACTIONS_MASTER!$R$5:$R$1204,$Q165))</f>
        <v/>
      </c>
      <c r="O165" s="28" t="str">
        <f>IF($Q165="","",INDEX(TRANSACTIONS_MASTER!$AB$5:$AB$1204,$Q165))</f>
        <v/>
      </c>
      <c r="P165" s="55" t="str">
        <f>IF($Q165="","",INDEX(TRANSACTIONS_MASTER!$Z$5:$Z$1204,$Q165)&amp;"")</f>
        <v/>
      </c>
      <c r="Q165" s="67" t="str">
        <f>IFERROR(MATCH($C$2&amp;"|"&amp;158,TRANSACTIONS_MASTER!$AE$5:$AE$1204,0),"")</f>
        <v/>
      </c>
      <c r="S165" s="67" t="str">
        <f>IFERROR(MATCH(1,INDEX((TRANSACTIONS_MASTER!$C$5:$C$1204=$C$2)*(TRANSACTIONS_MASTER!$AN$5:$AN$1204=7),0),0),"")</f>
        <v/>
      </c>
      <c r="T165" s="55" t="n"/>
      <c r="U165" s="55" t="str">
        <f>IF($S165="","",INDEX(TRANSACTIONS_MASTER!$G$5:$G$1204,$S165)&amp;"")</f>
        <v/>
      </c>
      <c r="V165" s="25" t="str">
        <f>IF($S165="","",SUMIFS(TRANSACTIONS_MASTER!$L$5:$L$1204,TRANSACTIONS_MASTER!$G$5:$G$1204,$U165,TRANSACTIONS_MASTER!$C$5:$C$1204,$C$2,TRANSACTIONS_MASTER!$U$5:$U$1204,"&lt;&gt;Cancelled"))</f>
        <v/>
      </c>
      <c r="W165" s="26" t="str">
        <f>IF($S165="","",SUMIFS(TRANSACTIONS_MASTER!$Q$5:$Q$1204,TRANSACTIONS_MASTER!$G$5:$G$1204,$U165,TRANSACTIONS_MASTER!$C$5:$C$1204,$C$2))</f>
        <v/>
      </c>
    </row>
    <row r="166">
      <c r="A166" s="81" t="str">
        <f>IF($Q166="","",159)</f>
        <v/>
      </c>
      <c r="B166" s="57" t="str">
        <f>IF($Q166="","",INDEX(TRANSACTIONS_MASTER!$B$5:$B$1204,$Q166))</f>
        <v/>
      </c>
      <c r="C166" s="55" t="str">
        <f>IF($Q166="","",INDEX(TRANSACTIONS_MASTER!$F$5:$F$1204,$Q166))</f>
        <v/>
      </c>
      <c r="D166" s="55" t="str">
        <f>IF($Q166="","",INDEX(TRANSACTIONS_MASTER!$E$5:$E$1204,$Q166))</f>
        <v/>
      </c>
      <c r="E166" s="55" t="str">
        <f>IF($Q166="","",INDEX(TRANSACTIONS_MASTER!$G$5:$G$1204,$Q166)&amp;"")</f>
        <v/>
      </c>
      <c r="F166" s="29" t="str">
        <f>IF($Q166="","",INDEX(TRANSACTIONS_MASTER!$I$5:$I$1204,$Q166))</f>
        <v/>
      </c>
      <c r="G166" s="55" t="str">
        <f>IF($Q166="","",INDEX(TRANSACTIONS_MASTER!$K$5:$K$1204,$Q166))</f>
        <v/>
      </c>
      <c r="H166" s="25" t="str">
        <f>IF($Q166="","",INDEX(TRANSACTIONS_MASTER!$L$5:$L$1204,$Q166))</f>
        <v/>
      </c>
      <c r="I166" s="56" t="str">
        <f>IF($Q166="","",INDEX(TRANSACTIONS_MASTER!$N$5:$N$1204,$Q166))</f>
        <v/>
      </c>
      <c r="J166" s="25" t="str">
        <f>IF($Q166="","",INDEX(TRANSACTIONS_MASTER!$O$5:$O$1204,$Q166))</f>
        <v/>
      </c>
      <c r="K166" s="26" t="str">
        <f>IF($Q166="","",INDEX(TRANSACTIONS_MASTER!$Q$5:$Q$1204,$Q166))</f>
        <v/>
      </c>
      <c r="L166" s="25" t="str">
        <f>IF($Q166="","",INDEX(TRANSACTIONS_MASTER!$P$5:$P$1204,$Q166))</f>
        <v/>
      </c>
      <c r="M166" s="25" t="str">
        <f>IF($Q166="","",INDEX(TRANSACTIONS_MASTER!$AA$5:$AA$1204,$Q166))</f>
        <v/>
      </c>
      <c r="N166" s="25" t="str">
        <f>IF($Q166="","",INDEX(TRANSACTIONS_MASTER!$R$5:$R$1204,$Q166))</f>
        <v/>
      </c>
      <c r="O166" s="28" t="str">
        <f>IF($Q166="","",INDEX(TRANSACTIONS_MASTER!$AB$5:$AB$1204,$Q166))</f>
        <v/>
      </c>
      <c r="P166" s="55" t="str">
        <f>IF($Q166="","",INDEX(TRANSACTIONS_MASTER!$Z$5:$Z$1204,$Q166)&amp;"")</f>
        <v/>
      </c>
      <c r="Q166" s="67" t="str">
        <f>IFERROR(MATCH($C$2&amp;"|"&amp;159,TRANSACTIONS_MASTER!$AE$5:$AE$1204,0),"")</f>
        <v/>
      </c>
      <c r="S166" s="67" t="str">
        <f>IFERROR(MATCH(1,INDEX((TRANSACTIONS_MASTER!$C$5:$C$1204=$C$2)*(TRANSACTIONS_MASTER!$AN$5:$AN$1204=8),0),0),"")</f>
        <v/>
      </c>
      <c r="T166" s="55" t="n"/>
      <c r="U166" s="55" t="str">
        <f>IF($S166="","",INDEX(TRANSACTIONS_MASTER!$G$5:$G$1204,$S166)&amp;"")</f>
        <v/>
      </c>
      <c r="V166" s="25" t="str">
        <f>IF($S166="","",SUMIFS(TRANSACTIONS_MASTER!$L$5:$L$1204,TRANSACTIONS_MASTER!$G$5:$G$1204,$U166,TRANSACTIONS_MASTER!$C$5:$C$1204,$C$2,TRANSACTIONS_MASTER!$U$5:$U$1204,"&lt;&gt;Cancelled"))</f>
        <v/>
      </c>
      <c r="W166" s="26" t="str">
        <f>IF($S166="","",SUMIFS(TRANSACTIONS_MASTER!$Q$5:$Q$1204,TRANSACTIONS_MASTER!$G$5:$G$1204,$U166,TRANSACTIONS_MASTER!$C$5:$C$1204,$C$2))</f>
        <v/>
      </c>
    </row>
    <row r="167">
      <c r="A167" s="81" t="str">
        <f>IF($Q167="","",160)</f>
        <v/>
      </c>
      <c r="B167" s="57" t="str">
        <f>IF($Q167="","",INDEX(TRANSACTIONS_MASTER!$B$5:$B$1204,$Q167))</f>
        <v/>
      </c>
      <c r="C167" s="55" t="str">
        <f>IF($Q167="","",INDEX(TRANSACTIONS_MASTER!$F$5:$F$1204,$Q167))</f>
        <v/>
      </c>
      <c r="D167" s="55" t="str">
        <f>IF($Q167="","",INDEX(TRANSACTIONS_MASTER!$E$5:$E$1204,$Q167))</f>
        <v/>
      </c>
      <c r="E167" s="55" t="str">
        <f>IF($Q167="","",INDEX(TRANSACTIONS_MASTER!$G$5:$G$1204,$Q167)&amp;"")</f>
        <v/>
      </c>
      <c r="F167" s="29" t="str">
        <f>IF($Q167="","",INDEX(TRANSACTIONS_MASTER!$I$5:$I$1204,$Q167))</f>
        <v/>
      </c>
      <c r="G167" s="55" t="str">
        <f>IF($Q167="","",INDEX(TRANSACTIONS_MASTER!$K$5:$K$1204,$Q167))</f>
        <v/>
      </c>
      <c r="H167" s="25" t="str">
        <f>IF($Q167="","",INDEX(TRANSACTIONS_MASTER!$L$5:$L$1204,$Q167))</f>
        <v/>
      </c>
      <c r="I167" s="56" t="str">
        <f>IF($Q167="","",INDEX(TRANSACTIONS_MASTER!$N$5:$N$1204,$Q167))</f>
        <v/>
      </c>
      <c r="J167" s="25" t="str">
        <f>IF($Q167="","",INDEX(TRANSACTIONS_MASTER!$O$5:$O$1204,$Q167))</f>
        <v/>
      </c>
      <c r="K167" s="26" t="str">
        <f>IF($Q167="","",INDEX(TRANSACTIONS_MASTER!$Q$5:$Q$1204,$Q167))</f>
        <v/>
      </c>
      <c r="L167" s="25" t="str">
        <f>IF($Q167="","",INDEX(TRANSACTIONS_MASTER!$P$5:$P$1204,$Q167))</f>
        <v/>
      </c>
      <c r="M167" s="25" t="str">
        <f>IF($Q167="","",INDEX(TRANSACTIONS_MASTER!$AA$5:$AA$1204,$Q167))</f>
        <v/>
      </c>
      <c r="N167" s="25" t="str">
        <f>IF($Q167="","",INDEX(TRANSACTIONS_MASTER!$R$5:$R$1204,$Q167))</f>
        <v/>
      </c>
      <c r="O167" s="28" t="str">
        <f>IF($Q167="","",INDEX(TRANSACTIONS_MASTER!$AB$5:$AB$1204,$Q167))</f>
        <v/>
      </c>
      <c r="P167" s="55" t="str">
        <f>IF($Q167="","",INDEX(TRANSACTIONS_MASTER!$Z$5:$Z$1204,$Q167)&amp;"")</f>
        <v/>
      </c>
      <c r="Q167" s="67" t="str">
        <f>IFERROR(MATCH($C$2&amp;"|"&amp;160,TRANSACTIONS_MASTER!$AE$5:$AE$1204,0),"")</f>
        <v/>
      </c>
      <c r="S167" s="67" t="str">
        <f>IFERROR(MATCH(1,INDEX((TRANSACTIONS_MASTER!$C$5:$C$1204=$C$2)*(TRANSACTIONS_MASTER!$AN$5:$AN$1204=9),0),0),"")</f>
        <v/>
      </c>
      <c r="T167" s="55" t="n"/>
      <c r="U167" s="55" t="str">
        <f>IF($S167="","",INDEX(TRANSACTIONS_MASTER!$G$5:$G$1204,$S167)&amp;"")</f>
        <v/>
      </c>
      <c r="V167" s="25" t="str">
        <f>IF($S167="","",SUMIFS(TRANSACTIONS_MASTER!$L$5:$L$1204,TRANSACTIONS_MASTER!$G$5:$G$1204,$U167,TRANSACTIONS_MASTER!$C$5:$C$1204,$C$2,TRANSACTIONS_MASTER!$U$5:$U$1204,"&lt;&gt;Cancelled"))</f>
        <v/>
      </c>
      <c r="W167" s="26" t="str">
        <f>IF($S167="","",SUMIFS(TRANSACTIONS_MASTER!$Q$5:$Q$1204,TRANSACTIONS_MASTER!$G$5:$G$1204,$U167,TRANSACTIONS_MASTER!$C$5:$C$1204,$C$2))</f>
        <v/>
      </c>
    </row>
    <row r="168">
      <c r="A168" s="81" t="str">
        <f>IF($Q168="","",161)</f>
        <v/>
      </c>
      <c r="B168" s="57" t="str">
        <f>IF($Q168="","",INDEX(TRANSACTIONS_MASTER!$B$5:$B$1204,$Q168))</f>
        <v/>
      </c>
      <c r="C168" s="55" t="str">
        <f>IF($Q168="","",INDEX(TRANSACTIONS_MASTER!$F$5:$F$1204,$Q168))</f>
        <v/>
      </c>
      <c r="D168" s="55" t="str">
        <f>IF($Q168="","",INDEX(TRANSACTIONS_MASTER!$E$5:$E$1204,$Q168))</f>
        <v/>
      </c>
      <c r="E168" s="55" t="str">
        <f>IF($Q168="","",INDEX(TRANSACTIONS_MASTER!$G$5:$G$1204,$Q168)&amp;"")</f>
        <v/>
      </c>
      <c r="F168" s="29" t="str">
        <f>IF($Q168="","",INDEX(TRANSACTIONS_MASTER!$I$5:$I$1204,$Q168))</f>
        <v/>
      </c>
      <c r="G168" s="55" t="str">
        <f>IF($Q168="","",INDEX(TRANSACTIONS_MASTER!$K$5:$K$1204,$Q168))</f>
        <v/>
      </c>
      <c r="H168" s="25" t="str">
        <f>IF($Q168="","",INDEX(TRANSACTIONS_MASTER!$L$5:$L$1204,$Q168))</f>
        <v/>
      </c>
      <c r="I168" s="56" t="str">
        <f>IF($Q168="","",INDEX(TRANSACTIONS_MASTER!$N$5:$N$1204,$Q168))</f>
        <v/>
      </c>
      <c r="J168" s="25" t="str">
        <f>IF($Q168="","",INDEX(TRANSACTIONS_MASTER!$O$5:$O$1204,$Q168))</f>
        <v/>
      </c>
      <c r="K168" s="26" t="str">
        <f>IF($Q168="","",INDEX(TRANSACTIONS_MASTER!$Q$5:$Q$1204,$Q168))</f>
        <v/>
      </c>
      <c r="L168" s="25" t="str">
        <f>IF($Q168="","",INDEX(TRANSACTIONS_MASTER!$P$5:$P$1204,$Q168))</f>
        <v/>
      </c>
      <c r="M168" s="25" t="str">
        <f>IF($Q168="","",INDEX(TRANSACTIONS_MASTER!$AA$5:$AA$1204,$Q168))</f>
        <v/>
      </c>
      <c r="N168" s="25" t="str">
        <f>IF($Q168="","",INDEX(TRANSACTIONS_MASTER!$R$5:$R$1204,$Q168))</f>
        <v/>
      </c>
      <c r="O168" s="28" t="str">
        <f>IF($Q168="","",INDEX(TRANSACTIONS_MASTER!$AB$5:$AB$1204,$Q168))</f>
        <v/>
      </c>
      <c r="P168" s="55" t="str">
        <f>IF($Q168="","",INDEX(TRANSACTIONS_MASTER!$Z$5:$Z$1204,$Q168)&amp;"")</f>
        <v/>
      </c>
      <c r="Q168" s="67" t="str">
        <f>IFERROR(MATCH($C$2&amp;"|"&amp;161,TRANSACTIONS_MASTER!$AE$5:$AE$1204,0),"")</f>
        <v/>
      </c>
      <c r="S168" s="67" t="str">
        <f>IFERROR(MATCH(1,INDEX((TRANSACTIONS_MASTER!$C$5:$C$1204=$C$2)*(TRANSACTIONS_MASTER!$AN$5:$AN$1204=10),0),0),"")</f>
        <v/>
      </c>
      <c r="T168" s="55" t="n"/>
      <c r="U168" s="55" t="str">
        <f>IF($S168="","",INDEX(TRANSACTIONS_MASTER!$G$5:$G$1204,$S168)&amp;"")</f>
        <v/>
      </c>
      <c r="V168" s="25" t="str">
        <f>IF($S168="","",SUMIFS(TRANSACTIONS_MASTER!$L$5:$L$1204,TRANSACTIONS_MASTER!$G$5:$G$1204,$U168,TRANSACTIONS_MASTER!$C$5:$C$1204,$C$2,TRANSACTIONS_MASTER!$U$5:$U$1204,"&lt;&gt;Cancelled"))</f>
        <v/>
      </c>
      <c r="W168" s="26" t="str">
        <f>IF($S168="","",SUMIFS(TRANSACTIONS_MASTER!$Q$5:$Q$1204,TRANSACTIONS_MASTER!$G$5:$G$1204,$U168,TRANSACTIONS_MASTER!$C$5:$C$1204,$C$2))</f>
        <v/>
      </c>
    </row>
    <row r="169">
      <c r="A169" s="81" t="str">
        <f>IF($Q169="","",162)</f>
        <v/>
      </c>
      <c r="B169" s="57" t="str">
        <f>IF($Q169="","",INDEX(TRANSACTIONS_MASTER!$B$5:$B$1204,$Q169))</f>
        <v/>
      </c>
      <c r="C169" s="55" t="str">
        <f>IF($Q169="","",INDEX(TRANSACTIONS_MASTER!$F$5:$F$1204,$Q169))</f>
        <v/>
      </c>
      <c r="D169" s="55" t="str">
        <f>IF($Q169="","",INDEX(TRANSACTIONS_MASTER!$E$5:$E$1204,$Q169))</f>
        <v/>
      </c>
      <c r="E169" s="55" t="str">
        <f>IF($Q169="","",INDEX(TRANSACTIONS_MASTER!$G$5:$G$1204,$Q169)&amp;"")</f>
        <v/>
      </c>
      <c r="F169" s="29" t="str">
        <f>IF($Q169="","",INDEX(TRANSACTIONS_MASTER!$I$5:$I$1204,$Q169))</f>
        <v/>
      </c>
      <c r="G169" s="55" t="str">
        <f>IF($Q169="","",INDEX(TRANSACTIONS_MASTER!$K$5:$K$1204,$Q169))</f>
        <v/>
      </c>
      <c r="H169" s="25" t="str">
        <f>IF($Q169="","",INDEX(TRANSACTIONS_MASTER!$L$5:$L$1204,$Q169))</f>
        <v/>
      </c>
      <c r="I169" s="56" t="str">
        <f>IF($Q169="","",INDEX(TRANSACTIONS_MASTER!$N$5:$N$1204,$Q169))</f>
        <v/>
      </c>
      <c r="J169" s="25" t="str">
        <f>IF($Q169="","",INDEX(TRANSACTIONS_MASTER!$O$5:$O$1204,$Q169))</f>
        <v/>
      </c>
      <c r="K169" s="26" t="str">
        <f>IF($Q169="","",INDEX(TRANSACTIONS_MASTER!$Q$5:$Q$1204,$Q169))</f>
        <v/>
      </c>
      <c r="L169" s="25" t="str">
        <f>IF($Q169="","",INDEX(TRANSACTIONS_MASTER!$P$5:$P$1204,$Q169))</f>
        <v/>
      </c>
      <c r="M169" s="25" t="str">
        <f>IF($Q169="","",INDEX(TRANSACTIONS_MASTER!$AA$5:$AA$1204,$Q169))</f>
        <v/>
      </c>
      <c r="N169" s="25" t="str">
        <f>IF($Q169="","",INDEX(TRANSACTIONS_MASTER!$R$5:$R$1204,$Q169))</f>
        <v/>
      </c>
      <c r="O169" s="28" t="str">
        <f>IF($Q169="","",INDEX(TRANSACTIONS_MASTER!$AB$5:$AB$1204,$Q169))</f>
        <v/>
      </c>
      <c r="P169" s="55" t="str">
        <f>IF($Q169="","",INDEX(TRANSACTIONS_MASTER!$Z$5:$Z$1204,$Q169)&amp;"")</f>
        <v/>
      </c>
      <c r="Q169" s="67" t="str">
        <f>IFERROR(MATCH($C$2&amp;"|"&amp;162,TRANSACTIONS_MASTER!$AE$5:$AE$1204,0),"")</f>
        <v/>
      </c>
      <c r="S169" s="67" t="str">
        <f>IFERROR(MATCH(1,INDEX((TRANSACTIONS_MASTER!$C$5:$C$1204=$C$2)*(TRANSACTIONS_MASTER!$AN$5:$AN$1204=11),0),0),"")</f>
        <v/>
      </c>
      <c r="T169" s="55" t="n"/>
      <c r="U169" s="55" t="str">
        <f>IF($S169="","",INDEX(TRANSACTIONS_MASTER!$G$5:$G$1204,$S169)&amp;"")</f>
        <v/>
      </c>
      <c r="V169" s="25" t="str">
        <f>IF($S169="","",SUMIFS(TRANSACTIONS_MASTER!$L$5:$L$1204,TRANSACTIONS_MASTER!$G$5:$G$1204,$U169,TRANSACTIONS_MASTER!$C$5:$C$1204,$C$2,TRANSACTIONS_MASTER!$U$5:$U$1204,"&lt;&gt;Cancelled"))</f>
        <v/>
      </c>
      <c r="W169" s="26" t="str">
        <f>IF($S169="","",SUMIFS(TRANSACTIONS_MASTER!$Q$5:$Q$1204,TRANSACTIONS_MASTER!$G$5:$G$1204,$U169,TRANSACTIONS_MASTER!$C$5:$C$1204,$C$2))</f>
        <v/>
      </c>
    </row>
    <row r="170">
      <c r="A170" s="81" t="str">
        <f>IF($Q170="","",163)</f>
        <v/>
      </c>
      <c r="B170" s="57" t="str">
        <f>IF($Q170="","",INDEX(TRANSACTIONS_MASTER!$B$5:$B$1204,$Q170))</f>
        <v/>
      </c>
      <c r="C170" s="55" t="str">
        <f>IF($Q170="","",INDEX(TRANSACTIONS_MASTER!$F$5:$F$1204,$Q170))</f>
        <v/>
      </c>
      <c r="D170" s="55" t="str">
        <f>IF($Q170="","",INDEX(TRANSACTIONS_MASTER!$E$5:$E$1204,$Q170))</f>
        <v/>
      </c>
      <c r="E170" s="55" t="str">
        <f>IF($Q170="","",INDEX(TRANSACTIONS_MASTER!$G$5:$G$1204,$Q170)&amp;"")</f>
        <v/>
      </c>
      <c r="F170" s="29" t="str">
        <f>IF($Q170="","",INDEX(TRANSACTIONS_MASTER!$I$5:$I$1204,$Q170))</f>
        <v/>
      </c>
      <c r="G170" s="55" t="str">
        <f>IF($Q170="","",INDEX(TRANSACTIONS_MASTER!$K$5:$K$1204,$Q170))</f>
        <v/>
      </c>
      <c r="H170" s="25" t="str">
        <f>IF($Q170="","",INDEX(TRANSACTIONS_MASTER!$L$5:$L$1204,$Q170))</f>
        <v/>
      </c>
      <c r="I170" s="56" t="str">
        <f>IF($Q170="","",INDEX(TRANSACTIONS_MASTER!$N$5:$N$1204,$Q170))</f>
        <v/>
      </c>
      <c r="J170" s="25" t="str">
        <f>IF($Q170="","",INDEX(TRANSACTIONS_MASTER!$O$5:$O$1204,$Q170))</f>
        <v/>
      </c>
      <c r="K170" s="26" t="str">
        <f>IF($Q170="","",INDEX(TRANSACTIONS_MASTER!$Q$5:$Q$1204,$Q170))</f>
        <v/>
      </c>
      <c r="L170" s="25" t="str">
        <f>IF($Q170="","",INDEX(TRANSACTIONS_MASTER!$P$5:$P$1204,$Q170))</f>
        <v/>
      </c>
      <c r="M170" s="25" t="str">
        <f>IF($Q170="","",INDEX(TRANSACTIONS_MASTER!$AA$5:$AA$1204,$Q170))</f>
        <v/>
      </c>
      <c r="N170" s="25" t="str">
        <f>IF($Q170="","",INDEX(TRANSACTIONS_MASTER!$R$5:$R$1204,$Q170))</f>
        <v/>
      </c>
      <c r="O170" s="28" t="str">
        <f>IF($Q170="","",INDEX(TRANSACTIONS_MASTER!$AB$5:$AB$1204,$Q170))</f>
        <v/>
      </c>
      <c r="P170" s="55" t="str">
        <f>IF($Q170="","",INDEX(TRANSACTIONS_MASTER!$Z$5:$Z$1204,$Q170)&amp;"")</f>
        <v/>
      </c>
      <c r="Q170" s="67" t="str">
        <f>IFERROR(MATCH($C$2&amp;"|"&amp;163,TRANSACTIONS_MASTER!$AE$5:$AE$1204,0),"")</f>
        <v/>
      </c>
      <c r="S170" s="67" t="str">
        <f>IFERROR(MATCH(1,INDEX((TRANSACTIONS_MASTER!$C$5:$C$1204=$C$2)*(TRANSACTIONS_MASTER!$AN$5:$AN$1204=12),0),0),"")</f>
        <v/>
      </c>
      <c r="T170" s="55" t="n"/>
      <c r="U170" s="55" t="str">
        <f>IF($S170="","",INDEX(TRANSACTIONS_MASTER!$G$5:$G$1204,$S170)&amp;"")</f>
        <v/>
      </c>
      <c r="V170" s="25" t="str">
        <f>IF($S170="","",SUMIFS(TRANSACTIONS_MASTER!$L$5:$L$1204,TRANSACTIONS_MASTER!$G$5:$G$1204,$U170,TRANSACTIONS_MASTER!$C$5:$C$1204,$C$2,TRANSACTIONS_MASTER!$U$5:$U$1204,"&lt;&gt;Cancelled"))</f>
        <v/>
      </c>
      <c r="W170" s="26" t="str">
        <f>IF($S170="","",SUMIFS(TRANSACTIONS_MASTER!$Q$5:$Q$1204,TRANSACTIONS_MASTER!$G$5:$G$1204,$U170,TRANSACTIONS_MASTER!$C$5:$C$1204,$C$2))</f>
        <v/>
      </c>
    </row>
    <row r="171">
      <c r="A171" s="81" t="str">
        <f>IF($Q171="","",164)</f>
        <v/>
      </c>
      <c r="B171" s="57" t="str">
        <f>IF($Q171="","",INDEX(TRANSACTIONS_MASTER!$B$5:$B$1204,$Q171))</f>
        <v/>
      </c>
      <c r="C171" s="55" t="str">
        <f>IF($Q171="","",INDEX(TRANSACTIONS_MASTER!$F$5:$F$1204,$Q171))</f>
        <v/>
      </c>
      <c r="D171" s="55" t="str">
        <f>IF($Q171="","",INDEX(TRANSACTIONS_MASTER!$E$5:$E$1204,$Q171))</f>
        <v/>
      </c>
      <c r="E171" s="55" t="str">
        <f>IF($Q171="","",INDEX(TRANSACTIONS_MASTER!$G$5:$G$1204,$Q171)&amp;"")</f>
        <v/>
      </c>
      <c r="F171" s="29" t="str">
        <f>IF($Q171="","",INDEX(TRANSACTIONS_MASTER!$I$5:$I$1204,$Q171))</f>
        <v/>
      </c>
      <c r="G171" s="55" t="str">
        <f>IF($Q171="","",INDEX(TRANSACTIONS_MASTER!$K$5:$K$1204,$Q171))</f>
        <v/>
      </c>
      <c r="H171" s="25" t="str">
        <f>IF($Q171="","",INDEX(TRANSACTIONS_MASTER!$L$5:$L$1204,$Q171))</f>
        <v/>
      </c>
      <c r="I171" s="56" t="str">
        <f>IF($Q171="","",INDEX(TRANSACTIONS_MASTER!$N$5:$N$1204,$Q171))</f>
        <v/>
      </c>
      <c r="J171" s="25" t="str">
        <f>IF($Q171="","",INDEX(TRANSACTIONS_MASTER!$O$5:$O$1204,$Q171))</f>
        <v/>
      </c>
      <c r="K171" s="26" t="str">
        <f>IF($Q171="","",INDEX(TRANSACTIONS_MASTER!$Q$5:$Q$1204,$Q171))</f>
        <v/>
      </c>
      <c r="L171" s="25" t="str">
        <f>IF($Q171="","",INDEX(TRANSACTIONS_MASTER!$P$5:$P$1204,$Q171))</f>
        <v/>
      </c>
      <c r="M171" s="25" t="str">
        <f>IF($Q171="","",INDEX(TRANSACTIONS_MASTER!$AA$5:$AA$1204,$Q171))</f>
        <v/>
      </c>
      <c r="N171" s="25" t="str">
        <f>IF($Q171="","",INDEX(TRANSACTIONS_MASTER!$R$5:$R$1204,$Q171))</f>
        <v/>
      </c>
      <c r="O171" s="28" t="str">
        <f>IF($Q171="","",INDEX(TRANSACTIONS_MASTER!$AB$5:$AB$1204,$Q171))</f>
        <v/>
      </c>
      <c r="P171" s="55" t="str">
        <f>IF($Q171="","",INDEX(TRANSACTIONS_MASTER!$Z$5:$Z$1204,$Q171)&amp;"")</f>
        <v/>
      </c>
      <c r="Q171" s="67" t="str">
        <f>IFERROR(MATCH($C$2&amp;"|"&amp;164,TRANSACTIONS_MASTER!$AE$5:$AE$1204,0),"")</f>
        <v/>
      </c>
      <c r="S171" s="67" t="str">
        <f>IFERROR(MATCH(1,INDEX((TRANSACTIONS_MASTER!$C$5:$C$1204=$C$2)*(TRANSACTIONS_MASTER!$AN$5:$AN$1204=13),0),0),"")</f>
        <v/>
      </c>
      <c r="T171" s="55" t="n"/>
      <c r="U171" s="55" t="str">
        <f>IF($S171="","",INDEX(TRANSACTIONS_MASTER!$G$5:$G$1204,$S171)&amp;"")</f>
        <v/>
      </c>
      <c r="V171" s="25" t="str">
        <f>IF($S171="","",SUMIFS(TRANSACTIONS_MASTER!$L$5:$L$1204,TRANSACTIONS_MASTER!$G$5:$G$1204,$U171,TRANSACTIONS_MASTER!$C$5:$C$1204,$C$2,TRANSACTIONS_MASTER!$U$5:$U$1204,"&lt;&gt;Cancelled"))</f>
        <v/>
      </c>
      <c r="W171" s="26" t="str">
        <f>IF($S171="","",SUMIFS(TRANSACTIONS_MASTER!$Q$5:$Q$1204,TRANSACTIONS_MASTER!$G$5:$G$1204,$U171,TRANSACTIONS_MASTER!$C$5:$C$1204,$C$2))</f>
        <v/>
      </c>
    </row>
    <row r="172">
      <c r="A172" s="81" t="str">
        <f>IF($Q172="","",165)</f>
        <v/>
      </c>
      <c r="B172" s="57" t="str">
        <f>IF($Q172="","",INDEX(TRANSACTIONS_MASTER!$B$5:$B$1204,$Q172))</f>
        <v/>
      </c>
      <c r="C172" s="55" t="str">
        <f>IF($Q172="","",INDEX(TRANSACTIONS_MASTER!$F$5:$F$1204,$Q172))</f>
        <v/>
      </c>
      <c r="D172" s="55" t="str">
        <f>IF($Q172="","",INDEX(TRANSACTIONS_MASTER!$E$5:$E$1204,$Q172))</f>
        <v/>
      </c>
      <c r="E172" s="55" t="str">
        <f>IF($Q172="","",INDEX(TRANSACTIONS_MASTER!$G$5:$G$1204,$Q172)&amp;"")</f>
        <v/>
      </c>
      <c r="F172" s="29" t="str">
        <f>IF($Q172="","",INDEX(TRANSACTIONS_MASTER!$I$5:$I$1204,$Q172))</f>
        <v/>
      </c>
      <c r="G172" s="55" t="str">
        <f>IF($Q172="","",INDEX(TRANSACTIONS_MASTER!$K$5:$K$1204,$Q172))</f>
        <v/>
      </c>
      <c r="H172" s="25" t="str">
        <f>IF($Q172="","",INDEX(TRANSACTIONS_MASTER!$L$5:$L$1204,$Q172))</f>
        <v/>
      </c>
      <c r="I172" s="56" t="str">
        <f>IF($Q172="","",INDEX(TRANSACTIONS_MASTER!$N$5:$N$1204,$Q172))</f>
        <v/>
      </c>
      <c r="J172" s="25" t="str">
        <f>IF($Q172="","",INDEX(TRANSACTIONS_MASTER!$O$5:$O$1204,$Q172))</f>
        <v/>
      </c>
      <c r="K172" s="26" t="str">
        <f>IF($Q172="","",INDEX(TRANSACTIONS_MASTER!$Q$5:$Q$1204,$Q172))</f>
        <v/>
      </c>
      <c r="L172" s="25" t="str">
        <f>IF($Q172="","",INDEX(TRANSACTIONS_MASTER!$P$5:$P$1204,$Q172))</f>
        <v/>
      </c>
      <c r="M172" s="25" t="str">
        <f>IF($Q172="","",INDEX(TRANSACTIONS_MASTER!$AA$5:$AA$1204,$Q172))</f>
        <v/>
      </c>
      <c r="N172" s="25" t="str">
        <f>IF($Q172="","",INDEX(TRANSACTIONS_MASTER!$R$5:$R$1204,$Q172))</f>
        <v/>
      </c>
      <c r="O172" s="28" t="str">
        <f>IF($Q172="","",INDEX(TRANSACTIONS_MASTER!$AB$5:$AB$1204,$Q172))</f>
        <v/>
      </c>
      <c r="P172" s="55" t="str">
        <f>IF($Q172="","",INDEX(TRANSACTIONS_MASTER!$Z$5:$Z$1204,$Q172)&amp;"")</f>
        <v/>
      </c>
      <c r="Q172" s="67" t="str">
        <f>IFERROR(MATCH($C$2&amp;"|"&amp;165,TRANSACTIONS_MASTER!$AE$5:$AE$1204,0),"")</f>
        <v/>
      </c>
      <c r="S172" s="67" t="str">
        <f>IFERROR(MATCH(1,INDEX((TRANSACTIONS_MASTER!$C$5:$C$1204=$C$2)*(TRANSACTIONS_MASTER!$AN$5:$AN$1204=14),0),0),"")</f>
        <v/>
      </c>
      <c r="T172" s="55" t="n"/>
      <c r="U172" s="55" t="str">
        <f>IF($S172="","",INDEX(TRANSACTIONS_MASTER!$G$5:$G$1204,$S172)&amp;"")</f>
        <v/>
      </c>
      <c r="V172" s="25" t="str">
        <f>IF($S172="","",SUMIFS(TRANSACTIONS_MASTER!$L$5:$L$1204,TRANSACTIONS_MASTER!$G$5:$G$1204,$U172,TRANSACTIONS_MASTER!$C$5:$C$1204,$C$2,TRANSACTIONS_MASTER!$U$5:$U$1204,"&lt;&gt;Cancelled"))</f>
        <v/>
      </c>
      <c r="W172" s="26" t="str">
        <f>IF($S172="","",SUMIFS(TRANSACTIONS_MASTER!$Q$5:$Q$1204,TRANSACTIONS_MASTER!$G$5:$G$1204,$U172,TRANSACTIONS_MASTER!$C$5:$C$1204,$C$2))</f>
        <v/>
      </c>
    </row>
    <row r="173">
      <c r="A173" s="81" t="str">
        <f>IF($Q173="","",166)</f>
        <v/>
      </c>
      <c r="B173" s="57" t="str">
        <f>IF($Q173="","",INDEX(TRANSACTIONS_MASTER!$B$5:$B$1204,$Q173))</f>
        <v/>
      </c>
      <c r="C173" s="55" t="str">
        <f>IF($Q173="","",INDEX(TRANSACTIONS_MASTER!$F$5:$F$1204,$Q173))</f>
        <v/>
      </c>
      <c r="D173" s="55" t="str">
        <f>IF($Q173="","",INDEX(TRANSACTIONS_MASTER!$E$5:$E$1204,$Q173))</f>
        <v/>
      </c>
      <c r="E173" s="55" t="str">
        <f>IF($Q173="","",INDEX(TRANSACTIONS_MASTER!$G$5:$G$1204,$Q173)&amp;"")</f>
        <v/>
      </c>
      <c r="F173" s="29" t="str">
        <f>IF($Q173="","",INDEX(TRANSACTIONS_MASTER!$I$5:$I$1204,$Q173))</f>
        <v/>
      </c>
      <c r="G173" s="55" t="str">
        <f>IF($Q173="","",INDEX(TRANSACTIONS_MASTER!$K$5:$K$1204,$Q173))</f>
        <v/>
      </c>
      <c r="H173" s="25" t="str">
        <f>IF($Q173="","",INDEX(TRANSACTIONS_MASTER!$L$5:$L$1204,$Q173))</f>
        <v/>
      </c>
      <c r="I173" s="56" t="str">
        <f>IF($Q173="","",INDEX(TRANSACTIONS_MASTER!$N$5:$N$1204,$Q173))</f>
        <v/>
      </c>
      <c r="J173" s="25" t="str">
        <f>IF($Q173="","",INDEX(TRANSACTIONS_MASTER!$O$5:$O$1204,$Q173))</f>
        <v/>
      </c>
      <c r="K173" s="26" t="str">
        <f>IF($Q173="","",INDEX(TRANSACTIONS_MASTER!$Q$5:$Q$1204,$Q173))</f>
        <v/>
      </c>
      <c r="L173" s="25" t="str">
        <f>IF($Q173="","",INDEX(TRANSACTIONS_MASTER!$P$5:$P$1204,$Q173))</f>
        <v/>
      </c>
      <c r="M173" s="25" t="str">
        <f>IF($Q173="","",INDEX(TRANSACTIONS_MASTER!$AA$5:$AA$1204,$Q173))</f>
        <v/>
      </c>
      <c r="N173" s="25" t="str">
        <f>IF($Q173="","",INDEX(TRANSACTIONS_MASTER!$R$5:$R$1204,$Q173))</f>
        <v/>
      </c>
      <c r="O173" s="28" t="str">
        <f>IF($Q173="","",INDEX(TRANSACTIONS_MASTER!$AB$5:$AB$1204,$Q173))</f>
        <v/>
      </c>
      <c r="P173" s="55" t="str">
        <f>IF($Q173="","",INDEX(TRANSACTIONS_MASTER!$Z$5:$Z$1204,$Q173)&amp;"")</f>
        <v/>
      </c>
      <c r="Q173" s="67" t="str">
        <f>IFERROR(MATCH($C$2&amp;"|"&amp;166,TRANSACTIONS_MASTER!$AE$5:$AE$1204,0),"")</f>
        <v/>
      </c>
      <c r="S173" s="67" t="str">
        <f>IFERROR(MATCH(1,INDEX((TRANSACTIONS_MASTER!$C$5:$C$1204=$C$2)*(TRANSACTIONS_MASTER!$AN$5:$AN$1204=15),0),0),"")</f>
        <v/>
      </c>
      <c r="T173" s="55" t="n"/>
      <c r="U173" s="55" t="str">
        <f>IF($S173="","",INDEX(TRANSACTIONS_MASTER!$G$5:$G$1204,$S173)&amp;"")</f>
        <v/>
      </c>
      <c r="V173" s="25" t="str">
        <f>IF($S173="","",SUMIFS(TRANSACTIONS_MASTER!$L$5:$L$1204,TRANSACTIONS_MASTER!$G$5:$G$1204,$U173,TRANSACTIONS_MASTER!$C$5:$C$1204,$C$2,TRANSACTIONS_MASTER!$U$5:$U$1204,"&lt;&gt;Cancelled"))</f>
        <v/>
      </c>
      <c r="W173" s="26" t="str">
        <f>IF($S173="","",SUMIFS(TRANSACTIONS_MASTER!$Q$5:$Q$1204,TRANSACTIONS_MASTER!$G$5:$G$1204,$U173,TRANSACTIONS_MASTER!$C$5:$C$1204,$C$2))</f>
        <v/>
      </c>
    </row>
    <row r="174">
      <c r="A174" s="81" t="str">
        <f>IF($Q174="","",167)</f>
        <v/>
      </c>
      <c r="B174" s="57" t="str">
        <f>IF($Q174="","",INDEX(TRANSACTIONS_MASTER!$B$5:$B$1204,$Q174))</f>
        <v/>
      </c>
      <c r="C174" s="55" t="str">
        <f>IF($Q174="","",INDEX(TRANSACTIONS_MASTER!$F$5:$F$1204,$Q174))</f>
        <v/>
      </c>
      <c r="D174" s="55" t="str">
        <f>IF($Q174="","",INDEX(TRANSACTIONS_MASTER!$E$5:$E$1204,$Q174))</f>
        <v/>
      </c>
      <c r="E174" s="55" t="str">
        <f>IF($Q174="","",INDEX(TRANSACTIONS_MASTER!$G$5:$G$1204,$Q174)&amp;"")</f>
        <v/>
      </c>
      <c r="F174" s="29" t="str">
        <f>IF($Q174="","",INDEX(TRANSACTIONS_MASTER!$I$5:$I$1204,$Q174))</f>
        <v/>
      </c>
      <c r="G174" s="55" t="str">
        <f>IF($Q174="","",INDEX(TRANSACTIONS_MASTER!$K$5:$K$1204,$Q174))</f>
        <v/>
      </c>
      <c r="H174" s="25" t="str">
        <f>IF($Q174="","",INDEX(TRANSACTIONS_MASTER!$L$5:$L$1204,$Q174))</f>
        <v/>
      </c>
      <c r="I174" s="56" t="str">
        <f>IF($Q174="","",INDEX(TRANSACTIONS_MASTER!$N$5:$N$1204,$Q174))</f>
        <v/>
      </c>
      <c r="J174" s="25" t="str">
        <f>IF($Q174="","",INDEX(TRANSACTIONS_MASTER!$O$5:$O$1204,$Q174))</f>
        <v/>
      </c>
      <c r="K174" s="26" t="str">
        <f>IF($Q174="","",INDEX(TRANSACTIONS_MASTER!$Q$5:$Q$1204,$Q174))</f>
        <v/>
      </c>
      <c r="L174" s="25" t="str">
        <f>IF($Q174="","",INDEX(TRANSACTIONS_MASTER!$P$5:$P$1204,$Q174))</f>
        <v/>
      </c>
      <c r="M174" s="25" t="str">
        <f>IF($Q174="","",INDEX(TRANSACTIONS_MASTER!$AA$5:$AA$1204,$Q174))</f>
        <v/>
      </c>
      <c r="N174" s="25" t="str">
        <f>IF($Q174="","",INDEX(TRANSACTIONS_MASTER!$R$5:$R$1204,$Q174))</f>
        <v/>
      </c>
      <c r="O174" s="28" t="str">
        <f>IF($Q174="","",INDEX(TRANSACTIONS_MASTER!$AB$5:$AB$1204,$Q174))</f>
        <v/>
      </c>
      <c r="P174" s="55" t="str">
        <f>IF($Q174="","",INDEX(TRANSACTIONS_MASTER!$Z$5:$Z$1204,$Q174)&amp;"")</f>
        <v/>
      </c>
      <c r="Q174" s="67" t="str">
        <f>IFERROR(MATCH($C$2&amp;"|"&amp;167,TRANSACTIONS_MASTER!$AE$5:$AE$1204,0),"")</f>
        <v/>
      </c>
      <c r="S174" s="67" t="str">
        <f>IFERROR(MATCH(1,INDEX((TRANSACTIONS_MASTER!$C$5:$C$1204=$C$2)*(TRANSACTIONS_MASTER!$AN$5:$AN$1204=16),0),0),"")</f>
        <v/>
      </c>
      <c r="T174" s="55" t="n"/>
      <c r="U174" s="55" t="str">
        <f>IF($S174="","",INDEX(TRANSACTIONS_MASTER!$G$5:$G$1204,$S174)&amp;"")</f>
        <v/>
      </c>
      <c r="V174" s="25" t="str">
        <f>IF($S174="","",SUMIFS(TRANSACTIONS_MASTER!$L$5:$L$1204,TRANSACTIONS_MASTER!$G$5:$G$1204,$U174,TRANSACTIONS_MASTER!$C$5:$C$1204,$C$2,TRANSACTIONS_MASTER!$U$5:$U$1204,"&lt;&gt;Cancelled"))</f>
        <v/>
      </c>
      <c r="W174" s="26" t="str">
        <f>IF($S174="","",SUMIFS(TRANSACTIONS_MASTER!$Q$5:$Q$1204,TRANSACTIONS_MASTER!$G$5:$G$1204,$U174,TRANSACTIONS_MASTER!$C$5:$C$1204,$C$2))</f>
        <v/>
      </c>
    </row>
    <row r="175">
      <c r="A175" s="81" t="str">
        <f>IF($Q175="","",168)</f>
        <v/>
      </c>
      <c r="B175" s="57" t="str">
        <f>IF($Q175="","",INDEX(TRANSACTIONS_MASTER!$B$5:$B$1204,$Q175))</f>
        <v/>
      </c>
      <c r="C175" s="55" t="str">
        <f>IF($Q175="","",INDEX(TRANSACTIONS_MASTER!$F$5:$F$1204,$Q175))</f>
        <v/>
      </c>
      <c r="D175" s="55" t="str">
        <f>IF($Q175="","",INDEX(TRANSACTIONS_MASTER!$E$5:$E$1204,$Q175))</f>
        <v/>
      </c>
      <c r="E175" s="55" t="str">
        <f>IF($Q175="","",INDEX(TRANSACTIONS_MASTER!$G$5:$G$1204,$Q175)&amp;"")</f>
        <v/>
      </c>
      <c r="F175" s="29" t="str">
        <f>IF($Q175="","",INDEX(TRANSACTIONS_MASTER!$I$5:$I$1204,$Q175))</f>
        <v/>
      </c>
      <c r="G175" s="55" t="str">
        <f>IF($Q175="","",INDEX(TRANSACTIONS_MASTER!$K$5:$K$1204,$Q175))</f>
        <v/>
      </c>
      <c r="H175" s="25" t="str">
        <f>IF($Q175="","",INDEX(TRANSACTIONS_MASTER!$L$5:$L$1204,$Q175))</f>
        <v/>
      </c>
      <c r="I175" s="56" t="str">
        <f>IF($Q175="","",INDEX(TRANSACTIONS_MASTER!$N$5:$N$1204,$Q175))</f>
        <v/>
      </c>
      <c r="J175" s="25" t="str">
        <f>IF($Q175="","",INDEX(TRANSACTIONS_MASTER!$O$5:$O$1204,$Q175))</f>
        <v/>
      </c>
      <c r="K175" s="26" t="str">
        <f>IF($Q175="","",INDEX(TRANSACTIONS_MASTER!$Q$5:$Q$1204,$Q175))</f>
        <v/>
      </c>
      <c r="L175" s="25" t="str">
        <f>IF($Q175="","",INDEX(TRANSACTIONS_MASTER!$P$5:$P$1204,$Q175))</f>
        <v/>
      </c>
      <c r="M175" s="25" t="str">
        <f>IF($Q175="","",INDEX(TRANSACTIONS_MASTER!$AA$5:$AA$1204,$Q175))</f>
        <v/>
      </c>
      <c r="N175" s="25" t="str">
        <f>IF($Q175="","",INDEX(TRANSACTIONS_MASTER!$R$5:$R$1204,$Q175))</f>
        <v/>
      </c>
      <c r="O175" s="28" t="str">
        <f>IF($Q175="","",INDEX(TRANSACTIONS_MASTER!$AB$5:$AB$1204,$Q175))</f>
        <v/>
      </c>
      <c r="P175" s="55" t="str">
        <f>IF($Q175="","",INDEX(TRANSACTIONS_MASTER!$Z$5:$Z$1204,$Q175)&amp;"")</f>
        <v/>
      </c>
      <c r="Q175" s="67" t="str">
        <f>IFERROR(MATCH($C$2&amp;"|"&amp;168,TRANSACTIONS_MASTER!$AE$5:$AE$1204,0),"")</f>
        <v/>
      </c>
      <c r="S175" s="67" t="str">
        <f>IFERROR(MATCH(1,INDEX((TRANSACTIONS_MASTER!$C$5:$C$1204=$C$2)*(TRANSACTIONS_MASTER!$AN$5:$AN$1204=17),0),0),"")</f>
        <v/>
      </c>
      <c r="T175" s="55" t="n"/>
      <c r="U175" s="55" t="str">
        <f>IF($S175="","",INDEX(TRANSACTIONS_MASTER!$G$5:$G$1204,$S175)&amp;"")</f>
        <v/>
      </c>
      <c r="V175" s="25" t="str">
        <f>IF($S175="","",SUMIFS(TRANSACTIONS_MASTER!$L$5:$L$1204,TRANSACTIONS_MASTER!$G$5:$G$1204,$U175,TRANSACTIONS_MASTER!$C$5:$C$1204,$C$2,TRANSACTIONS_MASTER!$U$5:$U$1204,"&lt;&gt;Cancelled"))</f>
        <v/>
      </c>
      <c r="W175" s="26" t="str">
        <f>IF($S175="","",SUMIFS(TRANSACTIONS_MASTER!$Q$5:$Q$1204,TRANSACTIONS_MASTER!$G$5:$G$1204,$U175,TRANSACTIONS_MASTER!$C$5:$C$1204,$C$2))</f>
        <v/>
      </c>
    </row>
    <row r="176">
      <c r="A176" s="81" t="str">
        <f>IF($Q176="","",169)</f>
        <v/>
      </c>
      <c r="B176" s="57" t="str">
        <f>IF($Q176="","",INDEX(TRANSACTIONS_MASTER!$B$5:$B$1204,$Q176))</f>
        <v/>
      </c>
      <c r="C176" s="55" t="str">
        <f>IF($Q176="","",INDEX(TRANSACTIONS_MASTER!$F$5:$F$1204,$Q176))</f>
        <v/>
      </c>
      <c r="D176" s="55" t="str">
        <f>IF($Q176="","",INDEX(TRANSACTIONS_MASTER!$E$5:$E$1204,$Q176))</f>
        <v/>
      </c>
      <c r="E176" s="55" t="str">
        <f>IF($Q176="","",INDEX(TRANSACTIONS_MASTER!$G$5:$G$1204,$Q176)&amp;"")</f>
        <v/>
      </c>
      <c r="F176" s="29" t="str">
        <f>IF($Q176="","",INDEX(TRANSACTIONS_MASTER!$I$5:$I$1204,$Q176))</f>
        <v/>
      </c>
      <c r="G176" s="55" t="str">
        <f>IF($Q176="","",INDEX(TRANSACTIONS_MASTER!$K$5:$K$1204,$Q176))</f>
        <v/>
      </c>
      <c r="H176" s="25" t="str">
        <f>IF($Q176="","",INDEX(TRANSACTIONS_MASTER!$L$5:$L$1204,$Q176))</f>
        <v/>
      </c>
      <c r="I176" s="56" t="str">
        <f>IF($Q176="","",INDEX(TRANSACTIONS_MASTER!$N$5:$N$1204,$Q176))</f>
        <v/>
      </c>
      <c r="J176" s="25" t="str">
        <f>IF($Q176="","",INDEX(TRANSACTIONS_MASTER!$O$5:$O$1204,$Q176))</f>
        <v/>
      </c>
      <c r="K176" s="26" t="str">
        <f>IF($Q176="","",INDEX(TRANSACTIONS_MASTER!$Q$5:$Q$1204,$Q176))</f>
        <v/>
      </c>
      <c r="L176" s="25" t="str">
        <f>IF($Q176="","",INDEX(TRANSACTIONS_MASTER!$P$5:$P$1204,$Q176))</f>
        <v/>
      </c>
      <c r="M176" s="25" t="str">
        <f>IF($Q176="","",INDEX(TRANSACTIONS_MASTER!$AA$5:$AA$1204,$Q176))</f>
        <v/>
      </c>
      <c r="N176" s="25" t="str">
        <f>IF($Q176="","",INDEX(TRANSACTIONS_MASTER!$R$5:$R$1204,$Q176))</f>
        <v/>
      </c>
      <c r="O176" s="28" t="str">
        <f>IF($Q176="","",INDEX(TRANSACTIONS_MASTER!$AB$5:$AB$1204,$Q176))</f>
        <v/>
      </c>
      <c r="P176" s="55" t="str">
        <f>IF($Q176="","",INDEX(TRANSACTIONS_MASTER!$Z$5:$Z$1204,$Q176)&amp;"")</f>
        <v/>
      </c>
      <c r="Q176" s="67" t="str">
        <f>IFERROR(MATCH($C$2&amp;"|"&amp;169,TRANSACTIONS_MASTER!$AE$5:$AE$1204,0),"")</f>
        <v/>
      </c>
      <c r="S176" s="67" t="str">
        <f>IFERROR(MATCH(1,INDEX((TRANSACTIONS_MASTER!$C$5:$C$1204=$C$2)*(TRANSACTIONS_MASTER!$AN$5:$AN$1204=18),0),0),"")</f>
        <v/>
      </c>
      <c r="T176" s="55" t="n"/>
      <c r="U176" s="55" t="str">
        <f>IF($S176="","",INDEX(TRANSACTIONS_MASTER!$G$5:$G$1204,$S176)&amp;"")</f>
        <v/>
      </c>
      <c r="V176" s="25" t="str">
        <f>IF($S176="","",SUMIFS(TRANSACTIONS_MASTER!$L$5:$L$1204,TRANSACTIONS_MASTER!$G$5:$G$1204,$U176,TRANSACTIONS_MASTER!$C$5:$C$1204,$C$2,TRANSACTIONS_MASTER!$U$5:$U$1204,"&lt;&gt;Cancelled"))</f>
        <v/>
      </c>
      <c r="W176" s="26" t="str">
        <f>IF($S176="","",SUMIFS(TRANSACTIONS_MASTER!$Q$5:$Q$1204,TRANSACTIONS_MASTER!$G$5:$G$1204,$U176,TRANSACTIONS_MASTER!$C$5:$C$1204,$C$2))</f>
        <v/>
      </c>
    </row>
    <row r="177">
      <c r="A177" s="81" t="str">
        <f>IF($Q177="","",170)</f>
        <v/>
      </c>
      <c r="B177" s="57" t="str">
        <f>IF($Q177="","",INDEX(TRANSACTIONS_MASTER!$B$5:$B$1204,$Q177))</f>
        <v/>
      </c>
      <c r="C177" s="55" t="str">
        <f>IF($Q177="","",INDEX(TRANSACTIONS_MASTER!$F$5:$F$1204,$Q177))</f>
        <v/>
      </c>
      <c r="D177" s="55" t="str">
        <f>IF($Q177="","",INDEX(TRANSACTIONS_MASTER!$E$5:$E$1204,$Q177))</f>
        <v/>
      </c>
      <c r="E177" s="55" t="str">
        <f>IF($Q177="","",INDEX(TRANSACTIONS_MASTER!$G$5:$G$1204,$Q177)&amp;"")</f>
        <v/>
      </c>
      <c r="F177" s="29" t="str">
        <f>IF($Q177="","",INDEX(TRANSACTIONS_MASTER!$I$5:$I$1204,$Q177))</f>
        <v/>
      </c>
      <c r="G177" s="55" t="str">
        <f>IF($Q177="","",INDEX(TRANSACTIONS_MASTER!$K$5:$K$1204,$Q177))</f>
        <v/>
      </c>
      <c r="H177" s="25" t="str">
        <f>IF($Q177="","",INDEX(TRANSACTIONS_MASTER!$L$5:$L$1204,$Q177))</f>
        <v/>
      </c>
      <c r="I177" s="56" t="str">
        <f>IF($Q177="","",INDEX(TRANSACTIONS_MASTER!$N$5:$N$1204,$Q177))</f>
        <v/>
      </c>
      <c r="J177" s="25" t="str">
        <f>IF($Q177="","",INDEX(TRANSACTIONS_MASTER!$O$5:$O$1204,$Q177))</f>
        <v/>
      </c>
      <c r="K177" s="26" t="str">
        <f>IF($Q177="","",INDEX(TRANSACTIONS_MASTER!$Q$5:$Q$1204,$Q177))</f>
        <v/>
      </c>
      <c r="L177" s="25" t="str">
        <f>IF($Q177="","",INDEX(TRANSACTIONS_MASTER!$P$5:$P$1204,$Q177))</f>
        <v/>
      </c>
      <c r="M177" s="25" t="str">
        <f>IF($Q177="","",INDEX(TRANSACTIONS_MASTER!$AA$5:$AA$1204,$Q177))</f>
        <v/>
      </c>
      <c r="N177" s="25" t="str">
        <f>IF($Q177="","",INDEX(TRANSACTIONS_MASTER!$R$5:$R$1204,$Q177))</f>
        <v/>
      </c>
      <c r="O177" s="28" t="str">
        <f>IF($Q177="","",INDEX(TRANSACTIONS_MASTER!$AB$5:$AB$1204,$Q177))</f>
        <v/>
      </c>
      <c r="P177" s="55" t="str">
        <f>IF($Q177="","",INDEX(TRANSACTIONS_MASTER!$Z$5:$Z$1204,$Q177)&amp;"")</f>
        <v/>
      </c>
      <c r="Q177" s="67" t="str">
        <f>IFERROR(MATCH($C$2&amp;"|"&amp;170,TRANSACTIONS_MASTER!$AE$5:$AE$1204,0),"")</f>
        <v/>
      </c>
      <c r="S177" s="67" t="str">
        <f>IFERROR(MATCH(1,INDEX((TRANSACTIONS_MASTER!$C$5:$C$1204=$C$2)*(TRANSACTIONS_MASTER!$AN$5:$AN$1204=19),0),0),"")</f>
        <v/>
      </c>
      <c r="T177" s="55" t="n"/>
      <c r="U177" s="55" t="str">
        <f>IF($S177="","",INDEX(TRANSACTIONS_MASTER!$G$5:$G$1204,$S177)&amp;"")</f>
        <v/>
      </c>
      <c r="V177" s="25" t="str">
        <f>IF($S177="","",SUMIFS(TRANSACTIONS_MASTER!$L$5:$L$1204,TRANSACTIONS_MASTER!$G$5:$G$1204,$U177,TRANSACTIONS_MASTER!$C$5:$C$1204,$C$2,TRANSACTIONS_MASTER!$U$5:$U$1204,"&lt;&gt;Cancelled"))</f>
        <v/>
      </c>
      <c r="W177" s="26" t="str">
        <f>IF($S177="","",SUMIFS(TRANSACTIONS_MASTER!$Q$5:$Q$1204,TRANSACTIONS_MASTER!$G$5:$G$1204,$U177,TRANSACTIONS_MASTER!$C$5:$C$1204,$C$2))</f>
        <v/>
      </c>
    </row>
    <row r="178">
      <c r="A178" s="81" t="str">
        <f>IF($Q178="","",171)</f>
        <v/>
      </c>
      <c r="B178" s="57" t="str">
        <f>IF($Q178="","",INDEX(TRANSACTIONS_MASTER!$B$5:$B$1204,$Q178))</f>
        <v/>
      </c>
      <c r="C178" s="55" t="str">
        <f>IF($Q178="","",INDEX(TRANSACTIONS_MASTER!$F$5:$F$1204,$Q178))</f>
        <v/>
      </c>
      <c r="D178" s="55" t="str">
        <f>IF($Q178="","",INDEX(TRANSACTIONS_MASTER!$E$5:$E$1204,$Q178))</f>
        <v/>
      </c>
      <c r="E178" s="55" t="str">
        <f>IF($Q178="","",INDEX(TRANSACTIONS_MASTER!$G$5:$G$1204,$Q178)&amp;"")</f>
        <v/>
      </c>
      <c r="F178" s="29" t="str">
        <f>IF($Q178="","",INDEX(TRANSACTIONS_MASTER!$I$5:$I$1204,$Q178))</f>
        <v/>
      </c>
      <c r="G178" s="55" t="str">
        <f>IF($Q178="","",INDEX(TRANSACTIONS_MASTER!$K$5:$K$1204,$Q178))</f>
        <v/>
      </c>
      <c r="H178" s="25" t="str">
        <f>IF($Q178="","",INDEX(TRANSACTIONS_MASTER!$L$5:$L$1204,$Q178))</f>
        <v/>
      </c>
      <c r="I178" s="56" t="str">
        <f>IF($Q178="","",INDEX(TRANSACTIONS_MASTER!$N$5:$N$1204,$Q178))</f>
        <v/>
      </c>
      <c r="J178" s="25" t="str">
        <f>IF($Q178="","",INDEX(TRANSACTIONS_MASTER!$O$5:$O$1204,$Q178))</f>
        <v/>
      </c>
      <c r="K178" s="26" t="str">
        <f>IF($Q178="","",INDEX(TRANSACTIONS_MASTER!$Q$5:$Q$1204,$Q178))</f>
        <v/>
      </c>
      <c r="L178" s="25" t="str">
        <f>IF($Q178="","",INDEX(TRANSACTIONS_MASTER!$P$5:$P$1204,$Q178))</f>
        <v/>
      </c>
      <c r="M178" s="25" t="str">
        <f>IF($Q178="","",INDEX(TRANSACTIONS_MASTER!$AA$5:$AA$1204,$Q178))</f>
        <v/>
      </c>
      <c r="N178" s="25" t="str">
        <f>IF($Q178="","",INDEX(TRANSACTIONS_MASTER!$R$5:$R$1204,$Q178))</f>
        <v/>
      </c>
      <c r="O178" s="28" t="str">
        <f>IF($Q178="","",INDEX(TRANSACTIONS_MASTER!$AB$5:$AB$1204,$Q178))</f>
        <v/>
      </c>
      <c r="P178" s="55" t="str">
        <f>IF($Q178="","",INDEX(TRANSACTIONS_MASTER!$Z$5:$Z$1204,$Q178)&amp;"")</f>
        <v/>
      </c>
      <c r="Q178" s="67" t="str">
        <f>IFERROR(MATCH($C$2&amp;"|"&amp;171,TRANSACTIONS_MASTER!$AE$5:$AE$1204,0),"")</f>
        <v/>
      </c>
      <c r="S178" s="67" t="str">
        <f>IFERROR(MATCH(1,INDEX((TRANSACTIONS_MASTER!$C$5:$C$1204=$C$2)*(TRANSACTIONS_MASTER!$AN$5:$AN$1204=20),0),0),"")</f>
        <v/>
      </c>
      <c r="T178" s="55" t="n"/>
      <c r="U178" s="55" t="str">
        <f>IF($S178="","",INDEX(TRANSACTIONS_MASTER!$G$5:$G$1204,$S178)&amp;"")</f>
        <v/>
      </c>
      <c r="V178" s="25" t="str">
        <f>IF($S178="","",SUMIFS(TRANSACTIONS_MASTER!$L$5:$L$1204,TRANSACTIONS_MASTER!$G$5:$G$1204,$U178,TRANSACTIONS_MASTER!$C$5:$C$1204,$C$2,TRANSACTIONS_MASTER!$U$5:$U$1204,"&lt;&gt;Cancelled"))</f>
        <v/>
      </c>
      <c r="W178" s="26" t="str">
        <f>IF($S178="","",SUMIFS(TRANSACTIONS_MASTER!$Q$5:$Q$1204,TRANSACTIONS_MASTER!$G$5:$G$1204,$U178,TRANSACTIONS_MASTER!$C$5:$C$1204,$C$2))</f>
        <v/>
      </c>
    </row>
    <row r="179">
      <c r="A179" s="81" t="str">
        <f>IF($Q179="","",172)</f>
        <v/>
      </c>
      <c r="B179" s="57" t="str">
        <f>IF($Q179="","",INDEX(TRANSACTIONS_MASTER!$B$5:$B$1204,$Q179))</f>
        <v/>
      </c>
      <c r="C179" s="55" t="str">
        <f>IF($Q179="","",INDEX(TRANSACTIONS_MASTER!$F$5:$F$1204,$Q179))</f>
        <v/>
      </c>
      <c r="D179" s="55" t="str">
        <f>IF($Q179="","",INDEX(TRANSACTIONS_MASTER!$E$5:$E$1204,$Q179))</f>
        <v/>
      </c>
      <c r="E179" s="55" t="str">
        <f>IF($Q179="","",INDEX(TRANSACTIONS_MASTER!$G$5:$G$1204,$Q179)&amp;"")</f>
        <v/>
      </c>
      <c r="F179" s="29" t="str">
        <f>IF($Q179="","",INDEX(TRANSACTIONS_MASTER!$I$5:$I$1204,$Q179))</f>
        <v/>
      </c>
      <c r="G179" s="55" t="str">
        <f>IF($Q179="","",INDEX(TRANSACTIONS_MASTER!$K$5:$K$1204,$Q179))</f>
        <v/>
      </c>
      <c r="H179" s="25" t="str">
        <f>IF($Q179="","",INDEX(TRANSACTIONS_MASTER!$L$5:$L$1204,$Q179))</f>
        <v/>
      </c>
      <c r="I179" s="56" t="str">
        <f>IF($Q179="","",INDEX(TRANSACTIONS_MASTER!$N$5:$N$1204,$Q179))</f>
        <v/>
      </c>
      <c r="J179" s="25" t="str">
        <f>IF($Q179="","",INDEX(TRANSACTIONS_MASTER!$O$5:$O$1204,$Q179))</f>
        <v/>
      </c>
      <c r="K179" s="26" t="str">
        <f>IF($Q179="","",INDEX(TRANSACTIONS_MASTER!$Q$5:$Q$1204,$Q179))</f>
        <v/>
      </c>
      <c r="L179" s="25" t="str">
        <f>IF($Q179="","",INDEX(TRANSACTIONS_MASTER!$P$5:$P$1204,$Q179))</f>
        <v/>
      </c>
      <c r="M179" s="25" t="str">
        <f>IF($Q179="","",INDEX(TRANSACTIONS_MASTER!$AA$5:$AA$1204,$Q179))</f>
        <v/>
      </c>
      <c r="N179" s="25" t="str">
        <f>IF($Q179="","",INDEX(TRANSACTIONS_MASTER!$R$5:$R$1204,$Q179))</f>
        <v/>
      </c>
      <c r="O179" s="28" t="str">
        <f>IF($Q179="","",INDEX(TRANSACTIONS_MASTER!$AB$5:$AB$1204,$Q179))</f>
        <v/>
      </c>
      <c r="P179" s="55" t="str">
        <f>IF($Q179="","",INDEX(TRANSACTIONS_MASTER!$Z$5:$Z$1204,$Q179)&amp;"")</f>
        <v/>
      </c>
      <c r="Q179" s="67" t="str">
        <f>IFERROR(MATCH($C$2&amp;"|"&amp;172,TRANSACTIONS_MASTER!$AE$5:$AE$1204,0),"")</f>
        <v/>
      </c>
      <c r="T179" s="45" t="n"/>
      <c r="U179" s="82" t="inlineStr">
        <is>
          <t>Khác (ngoài danh sách)</t>
        </is>
      </c>
      <c r="V179" s="48">
        <f>MAX(0,SUMIFS(TRANSACTIONS_MASTER!$L$5:$L$1204,TRANSACTIONS_MASTER!$C$5:$C$1204,$C$2,TRANSACTIONS_MASTER!$U$5:$U$1204,"&lt;&gt;Cancelled")-SUM(V159:V178))</f>
        <v>0</v>
      </c>
      <c r="W179" s="48">
        <f>MAX(0,SUMIFS(TRANSACTIONS_MASTER!$Q$5:$Q$1204,TRANSACTIONS_MASTER!$C$5:$C$1204,$C$2)-SUM(W159:W178))</f>
        <v>0</v>
      </c>
    </row>
    <row r="180">
      <c r="A180" s="81" t="str">
        <f>IF($Q180="","",173)</f>
        <v/>
      </c>
      <c r="B180" s="57" t="str">
        <f>IF($Q180="","",INDEX(TRANSACTIONS_MASTER!$B$5:$B$1204,$Q180))</f>
        <v/>
      </c>
      <c r="C180" s="55" t="str">
        <f>IF($Q180="","",INDEX(TRANSACTIONS_MASTER!$F$5:$F$1204,$Q180))</f>
        <v/>
      </c>
      <c r="D180" s="55" t="str">
        <f>IF($Q180="","",INDEX(TRANSACTIONS_MASTER!$E$5:$E$1204,$Q180))</f>
        <v/>
      </c>
      <c r="E180" s="55" t="str">
        <f>IF($Q180="","",INDEX(TRANSACTIONS_MASTER!$G$5:$G$1204,$Q180)&amp;"")</f>
        <v/>
      </c>
      <c r="F180" s="29" t="str">
        <f>IF($Q180="","",INDEX(TRANSACTIONS_MASTER!$I$5:$I$1204,$Q180))</f>
        <v/>
      </c>
      <c r="G180" s="55" t="str">
        <f>IF($Q180="","",INDEX(TRANSACTIONS_MASTER!$K$5:$K$1204,$Q180))</f>
        <v/>
      </c>
      <c r="H180" s="25" t="str">
        <f>IF($Q180="","",INDEX(TRANSACTIONS_MASTER!$L$5:$L$1204,$Q180))</f>
        <v/>
      </c>
      <c r="I180" s="56" t="str">
        <f>IF($Q180="","",INDEX(TRANSACTIONS_MASTER!$N$5:$N$1204,$Q180))</f>
        <v/>
      </c>
      <c r="J180" s="25" t="str">
        <f>IF($Q180="","",INDEX(TRANSACTIONS_MASTER!$O$5:$O$1204,$Q180))</f>
        <v/>
      </c>
      <c r="K180" s="26" t="str">
        <f>IF($Q180="","",INDEX(TRANSACTIONS_MASTER!$Q$5:$Q$1204,$Q180))</f>
        <v/>
      </c>
      <c r="L180" s="25" t="str">
        <f>IF($Q180="","",INDEX(TRANSACTIONS_MASTER!$P$5:$P$1204,$Q180))</f>
        <v/>
      </c>
      <c r="M180" s="25" t="str">
        <f>IF($Q180="","",INDEX(TRANSACTIONS_MASTER!$AA$5:$AA$1204,$Q180))</f>
        <v/>
      </c>
      <c r="N180" s="25" t="str">
        <f>IF($Q180="","",INDEX(TRANSACTIONS_MASTER!$R$5:$R$1204,$Q180))</f>
        <v/>
      </c>
      <c r="O180" s="28" t="str">
        <f>IF($Q180="","",INDEX(TRANSACTIONS_MASTER!$AB$5:$AB$1204,$Q180))</f>
        <v/>
      </c>
      <c r="P180" s="55" t="str">
        <f>IF($Q180="","",INDEX(TRANSACTIONS_MASTER!$Z$5:$Z$1204,$Q180)&amp;"")</f>
        <v/>
      </c>
      <c r="Q180" s="67" t="str">
        <f>IFERROR(MATCH($C$2&amp;"|"&amp;173,TRANSACTIONS_MASTER!$AE$5:$AE$1204,0),"")</f>
        <v/>
      </c>
      <c r="T180" s="68" t="n"/>
      <c r="U180" s="69" t="inlineStr">
        <is>
          <t>TỔNG</t>
        </is>
      </c>
      <c r="V180" s="31">
        <f>SUM(V159:V179)</f>
        <v>0</v>
      </c>
      <c r="W180" s="31">
        <f>SUM(W159:W179)</f>
        <v>0</v>
      </c>
    </row>
    <row r="181">
      <c r="A181" s="81" t="str">
        <f>IF($Q181="","",174)</f>
        <v/>
      </c>
      <c r="B181" s="57" t="str">
        <f>IF($Q181="","",INDEX(TRANSACTIONS_MASTER!$B$5:$B$1204,$Q181))</f>
        <v/>
      </c>
      <c r="C181" s="55" t="str">
        <f>IF($Q181="","",INDEX(TRANSACTIONS_MASTER!$F$5:$F$1204,$Q181))</f>
        <v/>
      </c>
      <c r="D181" s="55" t="str">
        <f>IF($Q181="","",INDEX(TRANSACTIONS_MASTER!$E$5:$E$1204,$Q181))</f>
        <v/>
      </c>
      <c r="E181" s="55" t="str">
        <f>IF($Q181="","",INDEX(TRANSACTIONS_MASTER!$G$5:$G$1204,$Q181)&amp;"")</f>
        <v/>
      </c>
      <c r="F181" s="29" t="str">
        <f>IF($Q181="","",INDEX(TRANSACTIONS_MASTER!$I$5:$I$1204,$Q181))</f>
        <v/>
      </c>
      <c r="G181" s="55" t="str">
        <f>IF($Q181="","",INDEX(TRANSACTIONS_MASTER!$K$5:$K$1204,$Q181))</f>
        <v/>
      </c>
      <c r="H181" s="25" t="str">
        <f>IF($Q181="","",INDEX(TRANSACTIONS_MASTER!$L$5:$L$1204,$Q181))</f>
        <v/>
      </c>
      <c r="I181" s="56" t="str">
        <f>IF($Q181="","",INDEX(TRANSACTIONS_MASTER!$N$5:$N$1204,$Q181))</f>
        <v/>
      </c>
      <c r="J181" s="25" t="str">
        <f>IF($Q181="","",INDEX(TRANSACTIONS_MASTER!$O$5:$O$1204,$Q181))</f>
        <v/>
      </c>
      <c r="K181" s="26" t="str">
        <f>IF($Q181="","",INDEX(TRANSACTIONS_MASTER!$Q$5:$Q$1204,$Q181))</f>
        <v/>
      </c>
      <c r="L181" s="25" t="str">
        <f>IF($Q181="","",INDEX(TRANSACTIONS_MASTER!$P$5:$P$1204,$Q181))</f>
        <v/>
      </c>
      <c r="M181" s="25" t="str">
        <f>IF($Q181="","",INDEX(TRANSACTIONS_MASTER!$AA$5:$AA$1204,$Q181))</f>
        <v/>
      </c>
      <c r="N181" s="25" t="str">
        <f>IF($Q181="","",INDEX(TRANSACTIONS_MASTER!$R$5:$R$1204,$Q181))</f>
        <v/>
      </c>
      <c r="O181" s="28" t="str">
        <f>IF($Q181="","",INDEX(TRANSACTIONS_MASTER!$AB$5:$AB$1204,$Q181))</f>
        <v/>
      </c>
      <c r="P181" s="55" t="str">
        <f>IF($Q181="","",INDEX(TRANSACTIONS_MASTER!$Z$5:$Z$1204,$Q181)&amp;"")</f>
        <v/>
      </c>
      <c r="Q181" s="67" t="str">
        <f>IFERROR(MATCH($C$2&amp;"|"&amp;174,TRANSACTIONS_MASTER!$AE$5:$AE$1204,0),"")</f>
        <v/>
      </c>
    </row>
    <row r="182">
      <c r="A182" s="81" t="str">
        <f>IF($Q182="","",175)</f>
        <v/>
      </c>
      <c r="B182" s="57" t="str">
        <f>IF($Q182="","",INDEX(TRANSACTIONS_MASTER!$B$5:$B$1204,$Q182))</f>
        <v/>
      </c>
      <c r="C182" s="55" t="str">
        <f>IF($Q182="","",INDEX(TRANSACTIONS_MASTER!$F$5:$F$1204,$Q182))</f>
        <v/>
      </c>
      <c r="D182" s="55" t="str">
        <f>IF($Q182="","",INDEX(TRANSACTIONS_MASTER!$E$5:$E$1204,$Q182))</f>
        <v/>
      </c>
      <c r="E182" s="55" t="str">
        <f>IF($Q182="","",INDEX(TRANSACTIONS_MASTER!$G$5:$G$1204,$Q182)&amp;"")</f>
        <v/>
      </c>
      <c r="F182" s="29" t="str">
        <f>IF($Q182="","",INDEX(TRANSACTIONS_MASTER!$I$5:$I$1204,$Q182))</f>
        <v/>
      </c>
      <c r="G182" s="55" t="str">
        <f>IF($Q182="","",INDEX(TRANSACTIONS_MASTER!$K$5:$K$1204,$Q182))</f>
        <v/>
      </c>
      <c r="H182" s="25" t="str">
        <f>IF($Q182="","",INDEX(TRANSACTIONS_MASTER!$L$5:$L$1204,$Q182))</f>
        <v/>
      </c>
      <c r="I182" s="56" t="str">
        <f>IF($Q182="","",INDEX(TRANSACTIONS_MASTER!$N$5:$N$1204,$Q182))</f>
        <v/>
      </c>
      <c r="J182" s="25" t="str">
        <f>IF($Q182="","",INDEX(TRANSACTIONS_MASTER!$O$5:$O$1204,$Q182))</f>
        <v/>
      </c>
      <c r="K182" s="26" t="str">
        <f>IF($Q182="","",INDEX(TRANSACTIONS_MASTER!$Q$5:$Q$1204,$Q182))</f>
        <v/>
      </c>
      <c r="L182" s="25" t="str">
        <f>IF($Q182="","",INDEX(TRANSACTIONS_MASTER!$P$5:$P$1204,$Q182))</f>
        <v/>
      </c>
      <c r="M182" s="25" t="str">
        <f>IF($Q182="","",INDEX(TRANSACTIONS_MASTER!$AA$5:$AA$1204,$Q182))</f>
        <v/>
      </c>
      <c r="N182" s="25" t="str">
        <f>IF($Q182="","",INDEX(TRANSACTIONS_MASTER!$R$5:$R$1204,$Q182))</f>
        <v/>
      </c>
      <c r="O182" s="28" t="str">
        <f>IF($Q182="","",INDEX(TRANSACTIONS_MASTER!$AB$5:$AB$1204,$Q182))</f>
        <v/>
      </c>
      <c r="P182" s="55" t="str">
        <f>IF($Q182="","",INDEX(TRANSACTIONS_MASTER!$Z$5:$Z$1204,$Q182)&amp;"")</f>
        <v/>
      </c>
      <c r="Q182" s="67" t="str">
        <f>IFERROR(MATCH($C$2&amp;"|"&amp;175,TRANSACTIONS_MASTER!$AE$5:$AE$1204,0),"")</f>
        <v/>
      </c>
    </row>
    <row r="183">
      <c r="A183" s="81" t="str">
        <f>IF($Q183="","",176)</f>
        <v/>
      </c>
      <c r="B183" s="57" t="str">
        <f>IF($Q183="","",INDEX(TRANSACTIONS_MASTER!$B$5:$B$1204,$Q183))</f>
        <v/>
      </c>
      <c r="C183" s="55" t="str">
        <f>IF($Q183="","",INDEX(TRANSACTIONS_MASTER!$F$5:$F$1204,$Q183))</f>
        <v/>
      </c>
      <c r="D183" s="55" t="str">
        <f>IF($Q183="","",INDEX(TRANSACTIONS_MASTER!$E$5:$E$1204,$Q183))</f>
        <v/>
      </c>
      <c r="E183" s="55" t="str">
        <f>IF($Q183="","",INDEX(TRANSACTIONS_MASTER!$G$5:$G$1204,$Q183)&amp;"")</f>
        <v/>
      </c>
      <c r="F183" s="29" t="str">
        <f>IF($Q183="","",INDEX(TRANSACTIONS_MASTER!$I$5:$I$1204,$Q183))</f>
        <v/>
      </c>
      <c r="G183" s="55" t="str">
        <f>IF($Q183="","",INDEX(TRANSACTIONS_MASTER!$K$5:$K$1204,$Q183))</f>
        <v/>
      </c>
      <c r="H183" s="25" t="str">
        <f>IF($Q183="","",INDEX(TRANSACTIONS_MASTER!$L$5:$L$1204,$Q183))</f>
        <v/>
      </c>
      <c r="I183" s="56" t="str">
        <f>IF($Q183="","",INDEX(TRANSACTIONS_MASTER!$N$5:$N$1204,$Q183))</f>
        <v/>
      </c>
      <c r="J183" s="25" t="str">
        <f>IF($Q183="","",INDEX(TRANSACTIONS_MASTER!$O$5:$O$1204,$Q183))</f>
        <v/>
      </c>
      <c r="K183" s="26" t="str">
        <f>IF($Q183="","",INDEX(TRANSACTIONS_MASTER!$Q$5:$Q$1204,$Q183))</f>
        <v/>
      </c>
      <c r="L183" s="25" t="str">
        <f>IF($Q183="","",INDEX(TRANSACTIONS_MASTER!$P$5:$P$1204,$Q183))</f>
        <v/>
      </c>
      <c r="M183" s="25" t="str">
        <f>IF($Q183="","",INDEX(TRANSACTIONS_MASTER!$AA$5:$AA$1204,$Q183))</f>
        <v/>
      </c>
      <c r="N183" s="25" t="str">
        <f>IF($Q183="","",INDEX(TRANSACTIONS_MASTER!$R$5:$R$1204,$Q183))</f>
        <v/>
      </c>
      <c r="O183" s="28" t="str">
        <f>IF($Q183="","",INDEX(TRANSACTIONS_MASTER!$AB$5:$AB$1204,$Q183))</f>
        <v/>
      </c>
      <c r="P183" s="55" t="str">
        <f>IF($Q183="","",INDEX(TRANSACTIONS_MASTER!$Z$5:$Z$1204,$Q183)&amp;"")</f>
        <v/>
      </c>
      <c r="Q183" s="67" t="str">
        <f>IFERROR(MATCH($C$2&amp;"|"&amp;176,TRANSACTIONS_MASTER!$AE$5:$AE$1204,0),"")</f>
        <v/>
      </c>
    </row>
    <row r="184">
      <c r="A184" s="81" t="str">
        <f>IF($Q184="","",177)</f>
        <v/>
      </c>
      <c r="B184" s="57" t="str">
        <f>IF($Q184="","",INDEX(TRANSACTIONS_MASTER!$B$5:$B$1204,$Q184))</f>
        <v/>
      </c>
      <c r="C184" s="55" t="str">
        <f>IF($Q184="","",INDEX(TRANSACTIONS_MASTER!$F$5:$F$1204,$Q184))</f>
        <v/>
      </c>
      <c r="D184" s="55" t="str">
        <f>IF($Q184="","",INDEX(TRANSACTIONS_MASTER!$E$5:$E$1204,$Q184))</f>
        <v/>
      </c>
      <c r="E184" s="55" t="str">
        <f>IF($Q184="","",INDEX(TRANSACTIONS_MASTER!$G$5:$G$1204,$Q184)&amp;"")</f>
        <v/>
      </c>
      <c r="F184" s="29" t="str">
        <f>IF($Q184="","",INDEX(TRANSACTIONS_MASTER!$I$5:$I$1204,$Q184))</f>
        <v/>
      </c>
      <c r="G184" s="55" t="str">
        <f>IF($Q184="","",INDEX(TRANSACTIONS_MASTER!$K$5:$K$1204,$Q184))</f>
        <v/>
      </c>
      <c r="H184" s="25" t="str">
        <f>IF($Q184="","",INDEX(TRANSACTIONS_MASTER!$L$5:$L$1204,$Q184))</f>
        <v/>
      </c>
      <c r="I184" s="56" t="str">
        <f>IF($Q184="","",INDEX(TRANSACTIONS_MASTER!$N$5:$N$1204,$Q184))</f>
        <v/>
      </c>
      <c r="J184" s="25" t="str">
        <f>IF($Q184="","",INDEX(TRANSACTIONS_MASTER!$O$5:$O$1204,$Q184))</f>
        <v/>
      </c>
      <c r="K184" s="26" t="str">
        <f>IF($Q184="","",INDEX(TRANSACTIONS_MASTER!$Q$5:$Q$1204,$Q184))</f>
        <v/>
      </c>
      <c r="L184" s="25" t="str">
        <f>IF($Q184="","",INDEX(TRANSACTIONS_MASTER!$P$5:$P$1204,$Q184))</f>
        <v/>
      </c>
      <c r="M184" s="25" t="str">
        <f>IF($Q184="","",INDEX(TRANSACTIONS_MASTER!$AA$5:$AA$1204,$Q184))</f>
        <v/>
      </c>
      <c r="N184" s="25" t="str">
        <f>IF($Q184="","",INDEX(TRANSACTIONS_MASTER!$R$5:$R$1204,$Q184))</f>
        <v/>
      </c>
      <c r="O184" s="28" t="str">
        <f>IF($Q184="","",INDEX(TRANSACTIONS_MASTER!$AB$5:$AB$1204,$Q184))</f>
        <v/>
      </c>
      <c r="P184" s="55" t="str">
        <f>IF($Q184="","",INDEX(TRANSACTIONS_MASTER!$Z$5:$Z$1204,$Q184)&amp;"")</f>
        <v/>
      </c>
      <c r="Q184" s="67" t="str">
        <f>IFERROR(MATCH($C$2&amp;"|"&amp;177,TRANSACTIONS_MASTER!$AE$5:$AE$1204,0),"")</f>
        <v/>
      </c>
    </row>
    <row r="185">
      <c r="A185" s="81" t="str">
        <f>IF($Q185="","",178)</f>
        <v/>
      </c>
      <c r="B185" s="57" t="str">
        <f>IF($Q185="","",INDEX(TRANSACTIONS_MASTER!$B$5:$B$1204,$Q185))</f>
        <v/>
      </c>
      <c r="C185" s="55" t="str">
        <f>IF($Q185="","",INDEX(TRANSACTIONS_MASTER!$F$5:$F$1204,$Q185))</f>
        <v/>
      </c>
      <c r="D185" s="55" t="str">
        <f>IF($Q185="","",INDEX(TRANSACTIONS_MASTER!$E$5:$E$1204,$Q185))</f>
        <v/>
      </c>
      <c r="E185" s="55" t="str">
        <f>IF($Q185="","",INDEX(TRANSACTIONS_MASTER!$G$5:$G$1204,$Q185)&amp;"")</f>
        <v/>
      </c>
      <c r="F185" s="29" t="str">
        <f>IF($Q185="","",INDEX(TRANSACTIONS_MASTER!$I$5:$I$1204,$Q185))</f>
        <v/>
      </c>
      <c r="G185" s="55" t="str">
        <f>IF($Q185="","",INDEX(TRANSACTIONS_MASTER!$K$5:$K$1204,$Q185))</f>
        <v/>
      </c>
      <c r="H185" s="25" t="str">
        <f>IF($Q185="","",INDEX(TRANSACTIONS_MASTER!$L$5:$L$1204,$Q185))</f>
        <v/>
      </c>
      <c r="I185" s="56" t="str">
        <f>IF($Q185="","",INDEX(TRANSACTIONS_MASTER!$N$5:$N$1204,$Q185))</f>
        <v/>
      </c>
      <c r="J185" s="25" t="str">
        <f>IF($Q185="","",INDEX(TRANSACTIONS_MASTER!$O$5:$O$1204,$Q185))</f>
        <v/>
      </c>
      <c r="K185" s="26" t="str">
        <f>IF($Q185="","",INDEX(TRANSACTIONS_MASTER!$Q$5:$Q$1204,$Q185))</f>
        <v/>
      </c>
      <c r="L185" s="25" t="str">
        <f>IF($Q185="","",INDEX(TRANSACTIONS_MASTER!$P$5:$P$1204,$Q185))</f>
        <v/>
      </c>
      <c r="M185" s="25" t="str">
        <f>IF($Q185="","",INDEX(TRANSACTIONS_MASTER!$AA$5:$AA$1204,$Q185))</f>
        <v/>
      </c>
      <c r="N185" s="25" t="str">
        <f>IF($Q185="","",INDEX(TRANSACTIONS_MASTER!$R$5:$R$1204,$Q185))</f>
        <v/>
      </c>
      <c r="O185" s="28" t="str">
        <f>IF($Q185="","",INDEX(TRANSACTIONS_MASTER!$AB$5:$AB$1204,$Q185))</f>
        <v/>
      </c>
      <c r="P185" s="55" t="str">
        <f>IF($Q185="","",INDEX(TRANSACTIONS_MASTER!$Z$5:$Z$1204,$Q185)&amp;"")</f>
        <v/>
      </c>
      <c r="Q185" s="67" t="str">
        <f>IFERROR(MATCH($C$2&amp;"|"&amp;178,TRANSACTIONS_MASTER!$AE$5:$AE$1204,0),"")</f>
        <v/>
      </c>
    </row>
    <row r="186">
      <c r="A186" s="81" t="str">
        <f>IF($Q186="","",179)</f>
        <v/>
      </c>
      <c r="B186" s="57" t="str">
        <f>IF($Q186="","",INDEX(TRANSACTIONS_MASTER!$B$5:$B$1204,$Q186))</f>
        <v/>
      </c>
      <c r="C186" s="55" t="str">
        <f>IF($Q186="","",INDEX(TRANSACTIONS_MASTER!$F$5:$F$1204,$Q186))</f>
        <v/>
      </c>
      <c r="D186" s="55" t="str">
        <f>IF($Q186="","",INDEX(TRANSACTIONS_MASTER!$E$5:$E$1204,$Q186))</f>
        <v/>
      </c>
      <c r="E186" s="55" t="str">
        <f>IF($Q186="","",INDEX(TRANSACTIONS_MASTER!$G$5:$G$1204,$Q186)&amp;"")</f>
        <v/>
      </c>
      <c r="F186" s="29" t="str">
        <f>IF($Q186="","",INDEX(TRANSACTIONS_MASTER!$I$5:$I$1204,$Q186))</f>
        <v/>
      </c>
      <c r="G186" s="55" t="str">
        <f>IF($Q186="","",INDEX(TRANSACTIONS_MASTER!$K$5:$K$1204,$Q186))</f>
        <v/>
      </c>
      <c r="H186" s="25" t="str">
        <f>IF($Q186="","",INDEX(TRANSACTIONS_MASTER!$L$5:$L$1204,$Q186))</f>
        <v/>
      </c>
      <c r="I186" s="56" t="str">
        <f>IF($Q186="","",INDEX(TRANSACTIONS_MASTER!$N$5:$N$1204,$Q186))</f>
        <v/>
      </c>
      <c r="J186" s="25" t="str">
        <f>IF($Q186="","",INDEX(TRANSACTIONS_MASTER!$O$5:$O$1204,$Q186))</f>
        <v/>
      </c>
      <c r="K186" s="26" t="str">
        <f>IF($Q186="","",INDEX(TRANSACTIONS_MASTER!$Q$5:$Q$1204,$Q186))</f>
        <v/>
      </c>
      <c r="L186" s="25" t="str">
        <f>IF($Q186="","",INDEX(TRANSACTIONS_MASTER!$P$5:$P$1204,$Q186))</f>
        <v/>
      </c>
      <c r="M186" s="25" t="str">
        <f>IF($Q186="","",INDEX(TRANSACTIONS_MASTER!$AA$5:$AA$1204,$Q186))</f>
        <v/>
      </c>
      <c r="N186" s="25" t="str">
        <f>IF($Q186="","",INDEX(TRANSACTIONS_MASTER!$R$5:$R$1204,$Q186))</f>
        <v/>
      </c>
      <c r="O186" s="28" t="str">
        <f>IF($Q186="","",INDEX(TRANSACTIONS_MASTER!$AB$5:$AB$1204,$Q186))</f>
        <v/>
      </c>
      <c r="P186" s="55" t="str">
        <f>IF($Q186="","",INDEX(TRANSACTIONS_MASTER!$Z$5:$Z$1204,$Q186)&amp;"")</f>
        <v/>
      </c>
      <c r="Q186" s="67" t="str">
        <f>IFERROR(MATCH($C$2&amp;"|"&amp;179,TRANSACTIONS_MASTER!$AE$5:$AE$1204,0),"")</f>
        <v/>
      </c>
    </row>
    <row r="187">
      <c r="A187" s="81" t="str">
        <f>IF($Q187="","",180)</f>
        <v/>
      </c>
      <c r="B187" s="57" t="str">
        <f>IF($Q187="","",INDEX(TRANSACTIONS_MASTER!$B$5:$B$1204,$Q187))</f>
        <v/>
      </c>
      <c r="C187" s="55" t="str">
        <f>IF($Q187="","",INDEX(TRANSACTIONS_MASTER!$F$5:$F$1204,$Q187))</f>
        <v/>
      </c>
      <c r="D187" s="55" t="str">
        <f>IF($Q187="","",INDEX(TRANSACTIONS_MASTER!$E$5:$E$1204,$Q187))</f>
        <v/>
      </c>
      <c r="E187" s="55" t="str">
        <f>IF($Q187="","",INDEX(TRANSACTIONS_MASTER!$G$5:$G$1204,$Q187)&amp;"")</f>
        <v/>
      </c>
      <c r="F187" s="29" t="str">
        <f>IF($Q187="","",INDEX(TRANSACTIONS_MASTER!$I$5:$I$1204,$Q187))</f>
        <v/>
      </c>
      <c r="G187" s="55" t="str">
        <f>IF($Q187="","",INDEX(TRANSACTIONS_MASTER!$K$5:$K$1204,$Q187))</f>
        <v/>
      </c>
      <c r="H187" s="25" t="str">
        <f>IF($Q187="","",INDEX(TRANSACTIONS_MASTER!$L$5:$L$1204,$Q187))</f>
        <v/>
      </c>
      <c r="I187" s="56" t="str">
        <f>IF($Q187="","",INDEX(TRANSACTIONS_MASTER!$N$5:$N$1204,$Q187))</f>
        <v/>
      </c>
      <c r="J187" s="25" t="str">
        <f>IF($Q187="","",INDEX(TRANSACTIONS_MASTER!$O$5:$O$1204,$Q187))</f>
        <v/>
      </c>
      <c r="K187" s="26" t="str">
        <f>IF($Q187="","",INDEX(TRANSACTIONS_MASTER!$Q$5:$Q$1204,$Q187))</f>
        <v/>
      </c>
      <c r="L187" s="25" t="str">
        <f>IF($Q187="","",INDEX(TRANSACTIONS_MASTER!$P$5:$P$1204,$Q187))</f>
        <v/>
      </c>
      <c r="M187" s="25" t="str">
        <f>IF($Q187="","",INDEX(TRANSACTIONS_MASTER!$AA$5:$AA$1204,$Q187))</f>
        <v/>
      </c>
      <c r="N187" s="25" t="str">
        <f>IF($Q187="","",INDEX(TRANSACTIONS_MASTER!$R$5:$R$1204,$Q187))</f>
        <v/>
      </c>
      <c r="O187" s="28" t="str">
        <f>IF($Q187="","",INDEX(TRANSACTIONS_MASTER!$AB$5:$AB$1204,$Q187))</f>
        <v/>
      </c>
      <c r="P187" s="55" t="str">
        <f>IF($Q187="","",INDEX(TRANSACTIONS_MASTER!$Z$5:$Z$1204,$Q187)&amp;"")</f>
        <v/>
      </c>
      <c r="Q187" s="67" t="str">
        <f>IFERROR(MATCH($C$2&amp;"|"&amp;180,TRANSACTIONS_MASTER!$AE$5:$AE$1204,0),"")</f>
        <v/>
      </c>
    </row>
    <row r="188">
      <c r="A188" s="81" t="str">
        <f>IF($Q188="","",181)</f>
        <v/>
      </c>
      <c r="B188" s="57" t="str">
        <f>IF($Q188="","",INDEX(TRANSACTIONS_MASTER!$B$5:$B$1204,$Q188))</f>
        <v/>
      </c>
      <c r="C188" s="55" t="str">
        <f>IF($Q188="","",INDEX(TRANSACTIONS_MASTER!$F$5:$F$1204,$Q188))</f>
        <v/>
      </c>
      <c r="D188" s="55" t="str">
        <f>IF($Q188="","",INDEX(TRANSACTIONS_MASTER!$E$5:$E$1204,$Q188))</f>
        <v/>
      </c>
      <c r="E188" s="55" t="str">
        <f>IF($Q188="","",INDEX(TRANSACTIONS_MASTER!$G$5:$G$1204,$Q188)&amp;"")</f>
        <v/>
      </c>
      <c r="F188" s="29" t="str">
        <f>IF($Q188="","",INDEX(TRANSACTIONS_MASTER!$I$5:$I$1204,$Q188))</f>
        <v/>
      </c>
      <c r="G188" s="55" t="str">
        <f>IF($Q188="","",INDEX(TRANSACTIONS_MASTER!$K$5:$K$1204,$Q188))</f>
        <v/>
      </c>
      <c r="H188" s="25" t="str">
        <f>IF($Q188="","",INDEX(TRANSACTIONS_MASTER!$L$5:$L$1204,$Q188))</f>
        <v/>
      </c>
      <c r="I188" s="56" t="str">
        <f>IF($Q188="","",INDEX(TRANSACTIONS_MASTER!$N$5:$N$1204,$Q188))</f>
        <v/>
      </c>
      <c r="J188" s="25" t="str">
        <f>IF($Q188="","",INDEX(TRANSACTIONS_MASTER!$O$5:$O$1204,$Q188))</f>
        <v/>
      </c>
      <c r="K188" s="26" t="str">
        <f>IF($Q188="","",INDEX(TRANSACTIONS_MASTER!$Q$5:$Q$1204,$Q188))</f>
        <v/>
      </c>
      <c r="L188" s="25" t="str">
        <f>IF($Q188="","",INDEX(TRANSACTIONS_MASTER!$P$5:$P$1204,$Q188))</f>
        <v/>
      </c>
      <c r="M188" s="25" t="str">
        <f>IF($Q188="","",INDEX(TRANSACTIONS_MASTER!$AA$5:$AA$1204,$Q188))</f>
        <v/>
      </c>
      <c r="N188" s="25" t="str">
        <f>IF($Q188="","",INDEX(TRANSACTIONS_MASTER!$R$5:$R$1204,$Q188))</f>
        <v/>
      </c>
      <c r="O188" s="28" t="str">
        <f>IF($Q188="","",INDEX(TRANSACTIONS_MASTER!$AB$5:$AB$1204,$Q188))</f>
        <v/>
      </c>
      <c r="P188" s="55" t="str">
        <f>IF($Q188="","",INDEX(TRANSACTIONS_MASTER!$Z$5:$Z$1204,$Q188)&amp;"")</f>
        <v/>
      </c>
      <c r="Q188" s="67" t="str">
        <f>IFERROR(MATCH($C$2&amp;"|"&amp;181,TRANSACTIONS_MASTER!$AE$5:$AE$1204,0),"")</f>
        <v/>
      </c>
    </row>
    <row r="189">
      <c r="A189" s="81" t="str">
        <f>IF($Q189="","",182)</f>
        <v/>
      </c>
      <c r="B189" s="57" t="str">
        <f>IF($Q189="","",INDEX(TRANSACTIONS_MASTER!$B$5:$B$1204,$Q189))</f>
        <v/>
      </c>
      <c r="C189" s="55" t="str">
        <f>IF($Q189="","",INDEX(TRANSACTIONS_MASTER!$F$5:$F$1204,$Q189))</f>
        <v/>
      </c>
      <c r="D189" s="55" t="str">
        <f>IF($Q189="","",INDEX(TRANSACTIONS_MASTER!$E$5:$E$1204,$Q189))</f>
        <v/>
      </c>
      <c r="E189" s="55" t="str">
        <f>IF($Q189="","",INDEX(TRANSACTIONS_MASTER!$G$5:$G$1204,$Q189)&amp;"")</f>
        <v/>
      </c>
      <c r="F189" s="29" t="str">
        <f>IF($Q189="","",INDEX(TRANSACTIONS_MASTER!$I$5:$I$1204,$Q189))</f>
        <v/>
      </c>
      <c r="G189" s="55" t="str">
        <f>IF($Q189="","",INDEX(TRANSACTIONS_MASTER!$K$5:$K$1204,$Q189))</f>
        <v/>
      </c>
      <c r="H189" s="25" t="str">
        <f>IF($Q189="","",INDEX(TRANSACTIONS_MASTER!$L$5:$L$1204,$Q189))</f>
        <v/>
      </c>
      <c r="I189" s="56" t="str">
        <f>IF($Q189="","",INDEX(TRANSACTIONS_MASTER!$N$5:$N$1204,$Q189))</f>
        <v/>
      </c>
      <c r="J189" s="25" t="str">
        <f>IF($Q189="","",INDEX(TRANSACTIONS_MASTER!$O$5:$O$1204,$Q189))</f>
        <v/>
      </c>
      <c r="K189" s="26" t="str">
        <f>IF($Q189="","",INDEX(TRANSACTIONS_MASTER!$Q$5:$Q$1204,$Q189))</f>
        <v/>
      </c>
      <c r="L189" s="25" t="str">
        <f>IF($Q189="","",INDEX(TRANSACTIONS_MASTER!$P$5:$P$1204,$Q189))</f>
        <v/>
      </c>
      <c r="M189" s="25" t="str">
        <f>IF($Q189="","",INDEX(TRANSACTIONS_MASTER!$AA$5:$AA$1204,$Q189))</f>
        <v/>
      </c>
      <c r="N189" s="25" t="str">
        <f>IF($Q189="","",INDEX(TRANSACTIONS_MASTER!$R$5:$R$1204,$Q189))</f>
        <v/>
      </c>
      <c r="O189" s="28" t="str">
        <f>IF($Q189="","",INDEX(TRANSACTIONS_MASTER!$AB$5:$AB$1204,$Q189))</f>
        <v/>
      </c>
      <c r="P189" s="55" t="str">
        <f>IF($Q189="","",INDEX(TRANSACTIONS_MASTER!$Z$5:$Z$1204,$Q189)&amp;"")</f>
        <v/>
      </c>
      <c r="Q189" s="67" t="str">
        <f>IFERROR(MATCH($C$2&amp;"|"&amp;182,TRANSACTIONS_MASTER!$AE$5:$AE$1204,0),"")</f>
        <v/>
      </c>
    </row>
    <row r="190">
      <c r="A190" s="81" t="str">
        <f>IF($Q190="","",183)</f>
        <v/>
      </c>
      <c r="B190" s="57" t="str">
        <f>IF($Q190="","",INDEX(TRANSACTIONS_MASTER!$B$5:$B$1204,$Q190))</f>
        <v/>
      </c>
      <c r="C190" s="55" t="str">
        <f>IF($Q190="","",INDEX(TRANSACTIONS_MASTER!$F$5:$F$1204,$Q190))</f>
        <v/>
      </c>
      <c r="D190" s="55" t="str">
        <f>IF($Q190="","",INDEX(TRANSACTIONS_MASTER!$E$5:$E$1204,$Q190))</f>
        <v/>
      </c>
      <c r="E190" s="55" t="str">
        <f>IF($Q190="","",INDEX(TRANSACTIONS_MASTER!$G$5:$G$1204,$Q190)&amp;"")</f>
        <v/>
      </c>
      <c r="F190" s="29" t="str">
        <f>IF($Q190="","",INDEX(TRANSACTIONS_MASTER!$I$5:$I$1204,$Q190))</f>
        <v/>
      </c>
      <c r="G190" s="55" t="str">
        <f>IF($Q190="","",INDEX(TRANSACTIONS_MASTER!$K$5:$K$1204,$Q190))</f>
        <v/>
      </c>
      <c r="H190" s="25" t="str">
        <f>IF($Q190="","",INDEX(TRANSACTIONS_MASTER!$L$5:$L$1204,$Q190))</f>
        <v/>
      </c>
      <c r="I190" s="56" t="str">
        <f>IF($Q190="","",INDEX(TRANSACTIONS_MASTER!$N$5:$N$1204,$Q190))</f>
        <v/>
      </c>
      <c r="J190" s="25" t="str">
        <f>IF($Q190="","",INDEX(TRANSACTIONS_MASTER!$O$5:$O$1204,$Q190))</f>
        <v/>
      </c>
      <c r="K190" s="26" t="str">
        <f>IF($Q190="","",INDEX(TRANSACTIONS_MASTER!$Q$5:$Q$1204,$Q190))</f>
        <v/>
      </c>
      <c r="L190" s="25" t="str">
        <f>IF($Q190="","",INDEX(TRANSACTIONS_MASTER!$P$5:$P$1204,$Q190))</f>
        <v/>
      </c>
      <c r="M190" s="25" t="str">
        <f>IF($Q190="","",INDEX(TRANSACTIONS_MASTER!$AA$5:$AA$1204,$Q190))</f>
        <v/>
      </c>
      <c r="N190" s="25" t="str">
        <f>IF($Q190="","",INDEX(TRANSACTIONS_MASTER!$R$5:$R$1204,$Q190))</f>
        <v/>
      </c>
      <c r="O190" s="28" t="str">
        <f>IF($Q190="","",INDEX(TRANSACTIONS_MASTER!$AB$5:$AB$1204,$Q190))</f>
        <v/>
      </c>
      <c r="P190" s="55" t="str">
        <f>IF($Q190="","",INDEX(TRANSACTIONS_MASTER!$Z$5:$Z$1204,$Q190)&amp;"")</f>
        <v/>
      </c>
      <c r="Q190" s="67" t="str">
        <f>IFERROR(MATCH($C$2&amp;"|"&amp;183,TRANSACTIONS_MASTER!$AE$5:$AE$1204,0),"")</f>
        <v/>
      </c>
    </row>
    <row r="191">
      <c r="A191" s="81" t="str">
        <f>IF($Q191="","",184)</f>
        <v/>
      </c>
      <c r="B191" s="57" t="str">
        <f>IF($Q191="","",INDEX(TRANSACTIONS_MASTER!$B$5:$B$1204,$Q191))</f>
        <v/>
      </c>
      <c r="C191" s="55" t="str">
        <f>IF($Q191="","",INDEX(TRANSACTIONS_MASTER!$F$5:$F$1204,$Q191))</f>
        <v/>
      </c>
      <c r="D191" s="55" t="str">
        <f>IF($Q191="","",INDEX(TRANSACTIONS_MASTER!$E$5:$E$1204,$Q191))</f>
        <v/>
      </c>
      <c r="E191" s="55" t="str">
        <f>IF($Q191="","",INDEX(TRANSACTIONS_MASTER!$G$5:$G$1204,$Q191)&amp;"")</f>
        <v/>
      </c>
      <c r="F191" s="29" t="str">
        <f>IF($Q191="","",INDEX(TRANSACTIONS_MASTER!$I$5:$I$1204,$Q191))</f>
        <v/>
      </c>
      <c r="G191" s="55" t="str">
        <f>IF($Q191="","",INDEX(TRANSACTIONS_MASTER!$K$5:$K$1204,$Q191))</f>
        <v/>
      </c>
      <c r="H191" s="25" t="str">
        <f>IF($Q191="","",INDEX(TRANSACTIONS_MASTER!$L$5:$L$1204,$Q191))</f>
        <v/>
      </c>
      <c r="I191" s="56" t="str">
        <f>IF($Q191="","",INDEX(TRANSACTIONS_MASTER!$N$5:$N$1204,$Q191))</f>
        <v/>
      </c>
      <c r="J191" s="25" t="str">
        <f>IF($Q191="","",INDEX(TRANSACTIONS_MASTER!$O$5:$O$1204,$Q191))</f>
        <v/>
      </c>
      <c r="K191" s="26" t="str">
        <f>IF($Q191="","",INDEX(TRANSACTIONS_MASTER!$Q$5:$Q$1204,$Q191))</f>
        <v/>
      </c>
      <c r="L191" s="25" t="str">
        <f>IF($Q191="","",INDEX(TRANSACTIONS_MASTER!$P$5:$P$1204,$Q191))</f>
        <v/>
      </c>
      <c r="M191" s="25" t="str">
        <f>IF($Q191="","",INDEX(TRANSACTIONS_MASTER!$AA$5:$AA$1204,$Q191))</f>
        <v/>
      </c>
      <c r="N191" s="25" t="str">
        <f>IF($Q191="","",INDEX(TRANSACTIONS_MASTER!$R$5:$R$1204,$Q191))</f>
        <v/>
      </c>
      <c r="O191" s="28" t="str">
        <f>IF($Q191="","",INDEX(TRANSACTIONS_MASTER!$AB$5:$AB$1204,$Q191))</f>
        <v/>
      </c>
      <c r="P191" s="55" t="str">
        <f>IF($Q191="","",INDEX(TRANSACTIONS_MASTER!$Z$5:$Z$1204,$Q191)&amp;"")</f>
        <v/>
      </c>
      <c r="Q191" s="67" t="str">
        <f>IFERROR(MATCH($C$2&amp;"|"&amp;184,TRANSACTIONS_MASTER!$AE$5:$AE$1204,0),"")</f>
        <v/>
      </c>
    </row>
    <row r="192">
      <c r="A192" s="81" t="str">
        <f>IF($Q192="","",185)</f>
        <v/>
      </c>
      <c r="B192" s="57" t="str">
        <f>IF($Q192="","",INDEX(TRANSACTIONS_MASTER!$B$5:$B$1204,$Q192))</f>
        <v/>
      </c>
      <c r="C192" s="55" t="str">
        <f>IF($Q192="","",INDEX(TRANSACTIONS_MASTER!$F$5:$F$1204,$Q192))</f>
        <v/>
      </c>
      <c r="D192" s="55" t="str">
        <f>IF($Q192="","",INDEX(TRANSACTIONS_MASTER!$E$5:$E$1204,$Q192))</f>
        <v/>
      </c>
      <c r="E192" s="55" t="str">
        <f>IF($Q192="","",INDEX(TRANSACTIONS_MASTER!$G$5:$G$1204,$Q192)&amp;"")</f>
        <v/>
      </c>
      <c r="F192" s="29" t="str">
        <f>IF($Q192="","",INDEX(TRANSACTIONS_MASTER!$I$5:$I$1204,$Q192))</f>
        <v/>
      </c>
      <c r="G192" s="55" t="str">
        <f>IF($Q192="","",INDEX(TRANSACTIONS_MASTER!$K$5:$K$1204,$Q192))</f>
        <v/>
      </c>
      <c r="H192" s="25" t="str">
        <f>IF($Q192="","",INDEX(TRANSACTIONS_MASTER!$L$5:$L$1204,$Q192))</f>
        <v/>
      </c>
      <c r="I192" s="56" t="str">
        <f>IF($Q192="","",INDEX(TRANSACTIONS_MASTER!$N$5:$N$1204,$Q192))</f>
        <v/>
      </c>
      <c r="J192" s="25" t="str">
        <f>IF($Q192="","",INDEX(TRANSACTIONS_MASTER!$O$5:$O$1204,$Q192))</f>
        <v/>
      </c>
      <c r="K192" s="26" t="str">
        <f>IF($Q192="","",INDEX(TRANSACTIONS_MASTER!$Q$5:$Q$1204,$Q192))</f>
        <v/>
      </c>
      <c r="L192" s="25" t="str">
        <f>IF($Q192="","",INDEX(TRANSACTIONS_MASTER!$P$5:$P$1204,$Q192))</f>
        <v/>
      </c>
      <c r="M192" s="25" t="str">
        <f>IF($Q192="","",INDEX(TRANSACTIONS_MASTER!$AA$5:$AA$1204,$Q192))</f>
        <v/>
      </c>
      <c r="N192" s="25" t="str">
        <f>IF($Q192="","",INDEX(TRANSACTIONS_MASTER!$R$5:$R$1204,$Q192))</f>
        <v/>
      </c>
      <c r="O192" s="28" t="str">
        <f>IF($Q192="","",INDEX(TRANSACTIONS_MASTER!$AB$5:$AB$1204,$Q192))</f>
        <v/>
      </c>
      <c r="P192" s="55" t="str">
        <f>IF($Q192="","",INDEX(TRANSACTIONS_MASTER!$Z$5:$Z$1204,$Q192)&amp;"")</f>
        <v/>
      </c>
      <c r="Q192" s="67" t="str">
        <f>IFERROR(MATCH($C$2&amp;"|"&amp;185,TRANSACTIONS_MASTER!$AE$5:$AE$1204,0),"")</f>
        <v/>
      </c>
    </row>
    <row r="193">
      <c r="A193" s="81" t="str">
        <f>IF($Q193="","",186)</f>
        <v/>
      </c>
      <c r="B193" s="57" t="str">
        <f>IF($Q193="","",INDEX(TRANSACTIONS_MASTER!$B$5:$B$1204,$Q193))</f>
        <v/>
      </c>
      <c r="C193" s="55" t="str">
        <f>IF($Q193="","",INDEX(TRANSACTIONS_MASTER!$F$5:$F$1204,$Q193))</f>
        <v/>
      </c>
      <c r="D193" s="55" t="str">
        <f>IF($Q193="","",INDEX(TRANSACTIONS_MASTER!$E$5:$E$1204,$Q193))</f>
        <v/>
      </c>
      <c r="E193" s="55" t="str">
        <f>IF($Q193="","",INDEX(TRANSACTIONS_MASTER!$G$5:$G$1204,$Q193)&amp;"")</f>
        <v/>
      </c>
      <c r="F193" s="29" t="str">
        <f>IF($Q193="","",INDEX(TRANSACTIONS_MASTER!$I$5:$I$1204,$Q193))</f>
        <v/>
      </c>
      <c r="G193" s="55" t="str">
        <f>IF($Q193="","",INDEX(TRANSACTIONS_MASTER!$K$5:$K$1204,$Q193))</f>
        <v/>
      </c>
      <c r="H193" s="25" t="str">
        <f>IF($Q193="","",INDEX(TRANSACTIONS_MASTER!$L$5:$L$1204,$Q193))</f>
        <v/>
      </c>
      <c r="I193" s="56" t="str">
        <f>IF($Q193="","",INDEX(TRANSACTIONS_MASTER!$N$5:$N$1204,$Q193))</f>
        <v/>
      </c>
      <c r="J193" s="25" t="str">
        <f>IF($Q193="","",INDEX(TRANSACTIONS_MASTER!$O$5:$O$1204,$Q193))</f>
        <v/>
      </c>
      <c r="K193" s="26" t="str">
        <f>IF($Q193="","",INDEX(TRANSACTIONS_MASTER!$Q$5:$Q$1204,$Q193))</f>
        <v/>
      </c>
      <c r="L193" s="25" t="str">
        <f>IF($Q193="","",INDEX(TRANSACTIONS_MASTER!$P$5:$P$1204,$Q193))</f>
        <v/>
      </c>
      <c r="M193" s="25" t="str">
        <f>IF($Q193="","",INDEX(TRANSACTIONS_MASTER!$AA$5:$AA$1204,$Q193))</f>
        <v/>
      </c>
      <c r="N193" s="25" t="str">
        <f>IF($Q193="","",INDEX(TRANSACTIONS_MASTER!$R$5:$R$1204,$Q193))</f>
        <v/>
      </c>
      <c r="O193" s="28" t="str">
        <f>IF($Q193="","",INDEX(TRANSACTIONS_MASTER!$AB$5:$AB$1204,$Q193))</f>
        <v/>
      </c>
      <c r="P193" s="55" t="str">
        <f>IF($Q193="","",INDEX(TRANSACTIONS_MASTER!$Z$5:$Z$1204,$Q193)&amp;"")</f>
        <v/>
      </c>
      <c r="Q193" s="67" t="str">
        <f>IFERROR(MATCH($C$2&amp;"|"&amp;186,TRANSACTIONS_MASTER!$AE$5:$AE$1204,0),"")</f>
        <v/>
      </c>
    </row>
    <row r="194">
      <c r="A194" s="81" t="str">
        <f>IF($Q194="","",187)</f>
        <v/>
      </c>
      <c r="B194" s="57" t="str">
        <f>IF($Q194="","",INDEX(TRANSACTIONS_MASTER!$B$5:$B$1204,$Q194))</f>
        <v/>
      </c>
      <c r="C194" s="55" t="str">
        <f>IF($Q194="","",INDEX(TRANSACTIONS_MASTER!$F$5:$F$1204,$Q194))</f>
        <v/>
      </c>
      <c r="D194" s="55" t="str">
        <f>IF($Q194="","",INDEX(TRANSACTIONS_MASTER!$E$5:$E$1204,$Q194))</f>
        <v/>
      </c>
      <c r="E194" s="55" t="str">
        <f>IF($Q194="","",INDEX(TRANSACTIONS_MASTER!$G$5:$G$1204,$Q194)&amp;"")</f>
        <v/>
      </c>
      <c r="F194" s="29" t="str">
        <f>IF($Q194="","",INDEX(TRANSACTIONS_MASTER!$I$5:$I$1204,$Q194))</f>
        <v/>
      </c>
      <c r="G194" s="55" t="str">
        <f>IF($Q194="","",INDEX(TRANSACTIONS_MASTER!$K$5:$K$1204,$Q194))</f>
        <v/>
      </c>
      <c r="H194" s="25" t="str">
        <f>IF($Q194="","",INDEX(TRANSACTIONS_MASTER!$L$5:$L$1204,$Q194))</f>
        <v/>
      </c>
      <c r="I194" s="56" t="str">
        <f>IF($Q194="","",INDEX(TRANSACTIONS_MASTER!$N$5:$N$1204,$Q194))</f>
        <v/>
      </c>
      <c r="J194" s="25" t="str">
        <f>IF($Q194="","",INDEX(TRANSACTIONS_MASTER!$O$5:$O$1204,$Q194))</f>
        <v/>
      </c>
      <c r="K194" s="26" t="str">
        <f>IF($Q194="","",INDEX(TRANSACTIONS_MASTER!$Q$5:$Q$1204,$Q194))</f>
        <v/>
      </c>
      <c r="L194" s="25" t="str">
        <f>IF($Q194="","",INDEX(TRANSACTIONS_MASTER!$P$5:$P$1204,$Q194))</f>
        <v/>
      </c>
      <c r="M194" s="25" t="str">
        <f>IF($Q194="","",INDEX(TRANSACTIONS_MASTER!$AA$5:$AA$1204,$Q194))</f>
        <v/>
      </c>
      <c r="N194" s="25" t="str">
        <f>IF($Q194="","",INDEX(TRANSACTIONS_MASTER!$R$5:$R$1204,$Q194))</f>
        <v/>
      </c>
      <c r="O194" s="28" t="str">
        <f>IF($Q194="","",INDEX(TRANSACTIONS_MASTER!$AB$5:$AB$1204,$Q194))</f>
        <v/>
      </c>
      <c r="P194" s="55" t="str">
        <f>IF($Q194="","",INDEX(TRANSACTIONS_MASTER!$Z$5:$Z$1204,$Q194)&amp;"")</f>
        <v/>
      </c>
      <c r="Q194" s="67" t="str">
        <f>IFERROR(MATCH($C$2&amp;"|"&amp;187,TRANSACTIONS_MASTER!$AE$5:$AE$1204,0),"")</f>
        <v/>
      </c>
    </row>
    <row r="195">
      <c r="A195" s="81" t="str">
        <f>IF($Q195="","",188)</f>
        <v/>
      </c>
      <c r="B195" s="57" t="str">
        <f>IF($Q195="","",INDEX(TRANSACTIONS_MASTER!$B$5:$B$1204,$Q195))</f>
        <v/>
      </c>
      <c r="C195" s="55" t="str">
        <f>IF($Q195="","",INDEX(TRANSACTIONS_MASTER!$F$5:$F$1204,$Q195))</f>
        <v/>
      </c>
      <c r="D195" s="55" t="str">
        <f>IF($Q195="","",INDEX(TRANSACTIONS_MASTER!$E$5:$E$1204,$Q195))</f>
        <v/>
      </c>
      <c r="E195" s="55" t="str">
        <f>IF($Q195="","",INDEX(TRANSACTIONS_MASTER!$G$5:$G$1204,$Q195)&amp;"")</f>
        <v/>
      </c>
      <c r="F195" s="29" t="str">
        <f>IF($Q195="","",INDEX(TRANSACTIONS_MASTER!$I$5:$I$1204,$Q195))</f>
        <v/>
      </c>
      <c r="G195" s="55" t="str">
        <f>IF($Q195="","",INDEX(TRANSACTIONS_MASTER!$K$5:$K$1204,$Q195))</f>
        <v/>
      </c>
      <c r="H195" s="25" t="str">
        <f>IF($Q195="","",INDEX(TRANSACTIONS_MASTER!$L$5:$L$1204,$Q195))</f>
        <v/>
      </c>
      <c r="I195" s="56" t="str">
        <f>IF($Q195="","",INDEX(TRANSACTIONS_MASTER!$N$5:$N$1204,$Q195))</f>
        <v/>
      </c>
      <c r="J195" s="25" t="str">
        <f>IF($Q195="","",INDEX(TRANSACTIONS_MASTER!$O$5:$O$1204,$Q195))</f>
        <v/>
      </c>
      <c r="K195" s="26" t="str">
        <f>IF($Q195="","",INDEX(TRANSACTIONS_MASTER!$Q$5:$Q$1204,$Q195))</f>
        <v/>
      </c>
      <c r="L195" s="25" t="str">
        <f>IF($Q195="","",INDEX(TRANSACTIONS_MASTER!$P$5:$P$1204,$Q195))</f>
        <v/>
      </c>
      <c r="M195" s="25" t="str">
        <f>IF($Q195="","",INDEX(TRANSACTIONS_MASTER!$AA$5:$AA$1204,$Q195))</f>
        <v/>
      </c>
      <c r="N195" s="25" t="str">
        <f>IF($Q195="","",INDEX(TRANSACTIONS_MASTER!$R$5:$R$1204,$Q195))</f>
        <v/>
      </c>
      <c r="O195" s="28" t="str">
        <f>IF($Q195="","",INDEX(TRANSACTIONS_MASTER!$AB$5:$AB$1204,$Q195))</f>
        <v/>
      </c>
      <c r="P195" s="55" t="str">
        <f>IF($Q195="","",INDEX(TRANSACTIONS_MASTER!$Z$5:$Z$1204,$Q195)&amp;"")</f>
        <v/>
      </c>
      <c r="Q195" s="67" t="str">
        <f>IFERROR(MATCH($C$2&amp;"|"&amp;188,TRANSACTIONS_MASTER!$AE$5:$AE$1204,0),"")</f>
        <v/>
      </c>
    </row>
    <row r="196">
      <c r="A196" s="81" t="str">
        <f>IF($Q196="","",189)</f>
        <v/>
      </c>
      <c r="B196" s="57" t="str">
        <f>IF($Q196="","",INDEX(TRANSACTIONS_MASTER!$B$5:$B$1204,$Q196))</f>
        <v/>
      </c>
      <c r="C196" s="55" t="str">
        <f>IF($Q196="","",INDEX(TRANSACTIONS_MASTER!$F$5:$F$1204,$Q196))</f>
        <v/>
      </c>
      <c r="D196" s="55" t="str">
        <f>IF($Q196="","",INDEX(TRANSACTIONS_MASTER!$E$5:$E$1204,$Q196))</f>
        <v/>
      </c>
      <c r="E196" s="55" t="str">
        <f>IF($Q196="","",INDEX(TRANSACTIONS_MASTER!$G$5:$G$1204,$Q196)&amp;"")</f>
        <v/>
      </c>
      <c r="F196" s="29" t="str">
        <f>IF($Q196="","",INDEX(TRANSACTIONS_MASTER!$I$5:$I$1204,$Q196))</f>
        <v/>
      </c>
      <c r="G196" s="55" t="str">
        <f>IF($Q196="","",INDEX(TRANSACTIONS_MASTER!$K$5:$K$1204,$Q196))</f>
        <v/>
      </c>
      <c r="H196" s="25" t="str">
        <f>IF($Q196="","",INDEX(TRANSACTIONS_MASTER!$L$5:$L$1204,$Q196))</f>
        <v/>
      </c>
      <c r="I196" s="56" t="str">
        <f>IF($Q196="","",INDEX(TRANSACTIONS_MASTER!$N$5:$N$1204,$Q196))</f>
        <v/>
      </c>
      <c r="J196" s="25" t="str">
        <f>IF($Q196="","",INDEX(TRANSACTIONS_MASTER!$O$5:$O$1204,$Q196))</f>
        <v/>
      </c>
      <c r="K196" s="26" t="str">
        <f>IF($Q196="","",INDEX(TRANSACTIONS_MASTER!$Q$5:$Q$1204,$Q196))</f>
        <v/>
      </c>
      <c r="L196" s="25" t="str">
        <f>IF($Q196="","",INDEX(TRANSACTIONS_MASTER!$P$5:$P$1204,$Q196))</f>
        <v/>
      </c>
      <c r="M196" s="25" t="str">
        <f>IF($Q196="","",INDEX(TRANSACTIONS_MASTER!$AA$5:$AA$1204,$Q196))</f>
        <v/>
      </c>
      <c r="N196" s="25" t="str">
        <f>IF($Q196="","",INDEX(TRANSACTIONS_MASTER!$R$5:$R$1204,$Q196))</f>
        <v/>
      </c>
      <c r="O196" s="28" t="str">
        <f>IF($Q196="","",INDEX(TRANSACTIONS_MASTER!$AB$5:$AB$1204,$Q196))</f>
        <v/>
      </c>
      <c r="P196" s="55" t="str">
        <f>IF($Q196="","",INDEX(TRANSACTIONS_MASTER!$Z$5:$Z$1204,$Q196)&amp;"")</f>
        <v/>
      </c>
      <c r="Q196" s="67" t="str">
        <f>IFERROR(MATCH($C$2&amp;"|"&amp;189,TRANSACTIONS_MASTER!$AE$5:$AE$1204,0),"")</f>
        <v/>
      </c>
    </row>
    <row r="197">
      <c r="A197" s="81" t="str">
        <f>IF($Q197="","",190)</f>
        <v/>
      </c>
      <c r="B197" s="57" t="str">
        <f>IF($Q197="","",INDEX(TRANSACTIONS_MASTER!$B$5:$B$1204,$Q197))</f>
        <v/>
      </c>
      <c r="C197" s="55" t="str">
        <f>IF($Q197="","",INDEX(TRANSACTIONS_MASTER!$F$5:$F$1204,$Q197))</f>
        <v/>
      </c>
      <c r="D197" s="55" t="str">
        <f>IF($Q197="","",INDEX(TRANSACTIONS_MASTER!$E$5:$E$1204,$Q197))</f>
        <v/>
      </c>
      <c r="E197" s="55" t="str">
        <f>IF($Q197="","",INDEX(TRANSACTIONS_MASTER!$G$5:$G$1204,$Q197)&amp;"")</f>
        <v/>
      </c>
      <c r="F197" s="29" t="str">
        <f>IF($Q197="","",INDEX(TRANSACTIONS_MASTER!$I$5:$I$1204,$Q197))</f>
        <v/>
      </c>
      <c r="G197" s="55" t="str">
        <f>IF($Q197="","",INDEX(TRANSACTIONS_MASTER!$K$5:$K$1204,$Q197))</f>
        <v/>
      </c>
      <c r="H197" s="25" t="str">
        <f>IF($Q197="","",INDEX(TRANSACTIONS_MASTER!$L$5:$L$1204,$Q197))</f>
        <v/>
      </c>
      <c r="I197" s="56" t="str">
        <f>IF($Q197="","",INDEX(TRANSACTIONS_MASTER!$N$5:$N$1204,$Q197))</f>
        <v/>
      </c>
      <c r="J197" s="25" t="str">
        <f>IF($Q197="","",INDEX(TRANSACTIONS_MASTER!$O$5:$O$1204,$Q197))</f>
        <v/>
      </c>
      <c r="K197" s="26" t="str">
        <f>IF($Q197="","",INDEX(TRANSACTIONS_MASTER!$Q$5:$Q$1204,$Q197))</f>
        <v/>
      </c>
      <c r="L197" s="25" t="str">
        <f>IF($Q197="","",INDEX(TRANSACTIONS_MASTER!$P$5:$P$1204,$Q197))</f>
        <v/>
      </c>
      <c r="M197" s="25" t="str">
        <f>IF($Q197="","",INDEX(TRANSACTIONS_MASTER!$AA$5:$AA$1204,$Q197))</f>
        <v/>
      </c>
      <c r="N197" s="25" t="str">
        <f>IF($Q197="","",INDEX(TRANSACTIONS_MASTER!$R$5:$R$1204,$Q197))</f>
        <v/>
      </c>
      <c r="O197" s="28" t="str">
        <f>IF($Q197="","",INDEX(TRANSACTIONS_MASTER!$AB$5:$AB$1204,$Q197))</f>
        <v/>
      </c>
      <c r="P197" s="55" t="str">
        <f>IF($Q197="","",INDEX(TRANSACTIONS_MASTER!$Z$5:$Z$1204,$Q197)&amp;"")</f>
        <v/>
      </c>
      <c r="Q197" s="67" t="str">
        <f>IFERROR(MATCH($C$2&amp;"|"&amp;190,TRANSACTIONS_MASTER!$AE$5:$AE$1204,0),"")</f>
        <v/>
      </c>
    </row>
    <row r="198">
      <c r="A198" s="81" t="str">
        <f>IF($Q198="","",191)</f>
        <v/>
      </c>
      <c r="B198" s="57" t="str">
        <f>IF($Q198="","",INDEX(TRANSACTIONS_MASTER!$B$5:$B$1204,$Q198))</f>
        <v/>
      </c>
      <c r="C198" s="55" t="str">
        <f>IF($Q198="","",INDEX(TRANSACTIONS_MASTER!$F$5:$F$1204,$Q198))</f>
        <v/>
      </c>
      <c r="D198" s="55" t="str">
        <f>IF($Q198="","",INDEX(TRANSACTIONS_MASTER!$E$5:$E$1204,$Q198))</f>
        <v/>
      </c>
      <c r="E198" s="55" t="str">
        <f>IF($Q198="","",INDEX(TRANSACTIONS_MASTER!$G$5:$G$1204,$Q198)&amp;"")</f>
        <v/>
      </c>
      <c r="F198" s="29" t="str">
        <f>IF($Q198="","",INDEX(TRANSACTIONS_MASTER!$I$5:$I$1204,$Q198))</f>
        <v/>
      </c>
      <c r="G198" s="55" t="str">
        <f>IF($Q198="","",INDEX(TRANSACTIONS_MASTER!$K$5:$K$1204,$Q198))</f>
        <v/>
      </c>
      <c r="H198" s="25" t="str">
        <f>IF($Q198="","",INDEX(TRANSACTIONS_MASTER!$L$5:$L$1204,$Q198))</f>
        <v/>
      </c>
      <c r="I198" s="56" t="str">
        <f>IF($Q198="","",INDEX(TRANSACTIONS_MASTER!$N$5:$N$1204,$Q198))</f>
        <v/>
      </c>
      <c r="J198" s="25" t="str">
        <f>IF($Q198="","",INDEX(TRANSACTIONS_MASTER!$O$5:$O$1204,$Q198))</f>
        <v/>
      </c>
      <c r="K198" s="26" t="str">
        <f>IF($Q198="","",INDEX(TRANSACTIONS_MASTER!$Q$5:$Q$1204,$Q198))</f>
        <v/>
      </c>
      <c r="L198" s="25" t="str">
        <f>IF($Q198="","",INDEX(TRANSACTIONS_MASTER!$P$5:$P$1204,$Q198))</f>
        <v/>
      </c>
      <c r="M198" s="25" t="str">
        <f>IF($Q198="","",INDEX(TRANSACTIONS_MASTER!$AA$5:$AA$1204,$Q198))</f>
        <v/>
      </c>
      <c r="N198" s="25" t="str">
        <f>IF($Q198="","",INDEX(TRANSACTIONS_MASTER!$R$5:$R$1204,$Q198))</f>
        <v/>
      </c>
      <c r="O198" s="28" t="str">
        <f>IF($Q198="","",INDEX(TRANSACTIONS_MASTER!$AB$5:$AB$1204,$Q198))</f>
        <v/>
      </c>
      <c r="P198" s="55" t="str">
        <f>IF($Q198="","",INDEX(TRANSACTIONS_MASTER!$Z$5:$Z$1204,$Q198)&amp;"")</f>
        <v/>
      </c>
      <c r="Q198" s="67" t="str">
        <f>IFERROR(MATCH($C$2&amp;"|"&amp;191,TRANSACTIONS_MASTER!$AE$5:$AE$1204,0),"")</f>
        <v/>
      </c>
    </row>
    <row r="199">
      <c r="A199" s="81" t="str">
        <f>IF($Q199="","",192)</f>
        <v/>
      </c>
      <c r="B199" s="57" t="str">
        <f>IF($Q199="","",INDEX(TRANSACTIONS_MASTER!$B$5:$B$1204,$Q199))</f>
        <v/>
      </c>
      <c r="C199" s="55" t="str">
        <f>IF($Q199="","",INDEX(TRANSACTIONS_MASTER!$F$5:$F$1204,$Q199))</f>
        <v/>
      </c>
      <c r="D199" s="55" t="str">
        <f>IF($Q199="","",INDEX(TRANSACTIONS_MASTER!$E$5:$E$1204,$Q199))</f>
        <v/>
      </c>
      <c r="E199" s="55" t="str">
        <f>IF($Q199="","",INDEX(TRANSACTIONS_MASTER!$G$5:$G$1204,$Q199)&amp;"")</f>
        <v/>
      </c>
      <c r="F199" s="29" t="str">
        <f>IF($Q199="","",INDEX(TRANSACTIONS_MASTER!$I$5:$I$1204,$Q199))</f>
        <v/>
      </c>
      <c r="G199" s="55" t="str">
        <f>IF($Q199="","",INDEX(TRANSACTIONS_MASTER!$K$5:$K$1204,$Q199))</f>
        <v/>
      </c>
      <c r="H199" s="25" t="str">
        <f>IF($Q199="","",INDEX(TRANSACTIONS_MASTER!$L$5:$L$1204,$Q199))</f>
        <v/>
      </c>
      <c r="I199" s="56" t="str">
        <f>IF($Q199="","",INDEX(TRANSACTIONS_MASTER!$N$5:$N$1204,$Q199))</f>
        <v/>
      </c>
      <c r="J199" s="25" t="str">
        <f>IF($Q199="","",INDEX(TRANSACTIONS_MASTER!$O$5:$O$1204,$Q199))</f>
        <v/>
      </c>
      <c r="K199" s="26" t="str">
        <f>IF($Q199="","",INDEX(TRANSACTIONS_MASTER!$Q$5:$Q$1204,$Q199))</f>
        <v/>
      </c>
      <c r="L199" s="25" t="str">
        <f>IF($Q199="","",INDEX(TRANSACTIONS_MASTER!$P$5:$P$1204,$Q199))</f>
        <v/>
      </c>
      <c r="M199" s="25" t="str">
        <f>IF($Q199="","",INDEX(TRANSACTIONS_MASTER!$AA$5:$AA$1204,$Q199))</f>
        <v/>
      </c>
      <c r="N199" s="25" t="str">
        <f>IF($Q199="","",INDEX(TRANSACTIONS_MASTER!$R$5:$R$1204,$Q199))</f>
        <v/>
      </c>
      <c r="O199" s="28" t="str">
        <f>IF($Q199="","",INDEX(TRANSACTIONS_MASTER!$AB$5:$AB$1204,$Q199))</f>
        <v/>
      </c>
      <c r="P199" s="55" t="str">
        <f>IF($Q199="","",INDEX(TRANSACTIONS_MASTER!$Z$5:$Z$1204,$Q199)&amp;"")</f>
        <v/>
      </c>
      <c r="Q199" s="67" t="str">
        <f>IFERROR(MATCH($C$2&amp;"|"&amp;192,TRANSACTIONS_MASTER!$AE$5:$AE$1204,0),"")</f>
        <v/>
      </c>
    </row>
    <row r="200">
      <c r="A200" s="81" t="str">
        <f>IF($Q200="","",193)</f>
        <v/>
      </c>
      <c r="B200" s="57" t="str">
        <f>IF($Q200="","",INDEX(TRANSACTIONS_MASTER!$B$5:$B$1204,$Q200))</f>
        <v/>
      </c>
      <c r="C200" s="55" t="str">
        <f>IF($Q200="","",INDEX(TRANSACTIONS_MASTER!$F$5:$F$1204,$Q200))</f>
        <v/>
      </c>
      <c r="D200" s="55" t="str">
        <f>IF($Q200="","",INDEX(TRANSACTIONS_MASTER!$E$5:$E$1204,$Q200))</f>
        <v/>
      </c>
      <c r="E200" s="55" t="str">
        <f>IF($Q200="","",INDEX(TRANSACTIONS_MASTER!$G$5:$G$1204,$Q200)&amp;"")</f>
        <v/>
      </c>
      <c r="F200" s="29" t="str">
        <f>IF($Q200="","",INDEX(TRANSACTIONS_MASTER!$I$5:$I$1204,$Q200))</f>
        <v/>
      </c>
      <c r="G200" s="55" t="str">
        <f>IF($Q200="","",INDEX(TRANSACTIONS_MASTER!$K$5:$K$1204,$Q200))</f>
        <v/>
      </c>
      <c r="H200" s="25" t="str">
        <f>IF($Q200="","",INDEX(TRANSACTIONS_MASTER!$L$5:$L$1204,$Q200))</f>
        <v/>
      </c>
      <c r="I200" s="56" t="str">
        <f>IF($Q200="","",INDEX(TRANSACTIONS_MASTER!$N$5:$N$1204,$Q200))</f>
        <v/>
      </c>
      <c r="J200" s="25" t="str">
        <f>IF($Q200="","",INDEX(TRANSACTIONS_MASTER!$O$5:$O$1204,$Q200))</f>
        <v/>
      </c>
      <c r="K200" s="26" t="str">
        <f>IF($Q200="","",INDEX(TRANSACTIONS_MASTER!$Q$5:$Q$1204,$Q200))</f>
        <v/>
      </c>
      <c r="L200" s="25" t="str">
        <f>IF($Q200="","",INDEX(TRANSACTIONS_MASTER!$P$5:$P$1204,$Q200))</f>
        <v/>
      </c>
      <c r="M200" s="25" t="str">
        <f>IF($Q200="","",INDEX(TRANSACTIONS_MASTER!$AA$5:$AA$1204,$Q200))</f>
        <v/>
      </c>
      <c r="N200" s="25" t="str">
        <f>IF($Q200="","",INDEX(TRANSACTIONS_MASTER!$R$5:$R$1204,$Q200))</f>
        <v/>
      </c>
      <c r="O200" s="28" t="str">
        <f>IF($Q200="","",INDEX(TRANSACTIONS_MASTER!$AB$5:$AB$1204,$Q200))</f>
        <v/>
      </c>
      <c r="P200" s="55" t="str">
        <f>IF($Q200="","",INDEX(TRANSACTIONS_MASTER!$Z$5:$Z$1204,$Q200)&amp;"")</f>
        <v/>
      </c>
      <c r="Q200" s="67" t="str">
        <f>IFERROR(MATCH($C$2&amp;"|"&amp;193,TRANSACTIONS_MASTER!$AE$5:$AE$1204,0),"")</f>
        <v/>
      </c>
    </row>
    <row r="201">
      <c r="A201" s="81" t="str">
        <f>IF($Q201="","",194)</f>
        <v/>
      </c>
      <c r="B201" s="57" t="str">
        <f>IF($Q201="","",INDEX(TRANSACTIONS_MASTER!$B$5:$B$1204,$Q201))</f>
        <v/>
      </c>
      <c r="C201" s="55" t="str">
        <f>IF($Q201="","",INDEX(TRANSACTIONS_MASTER!$F$5:$F$1204,$Q201))</f>
        <v/>
      </c>
      <c r="D201" s="55" t="str">
        <f>IF($Q201="","",INDEX(TRANSACTIONS_MASTER!$E$5:$E$1204,$Q201))</f>
        <v/>
      </c>
      <c r="E201" s="55" t="str">
        <f>IF($Q201="","",INDEX(TRANSACTIONS_MASTER!$G$5:$G$1204,$Q201)&amp;"")</f>
        <v/>
      </c>
      <c r="F201" s="29" t="str">
        <f>IF($Q201="","",INDEX(TRANSACTIONS_MASTER!$I$5:$I$1204,$Q201))</f>
        <v/>
      </c>
      <c r="G201" s="55" t="str">
        <f>IF($Q201="","",INDEX(TRANSACTIONS_MASTER!$K$5:$K$1204,$Q201))</f>
        <v/>
      </c>
      <c r="H201" s="25" t="str">
        <f>IF($Q201="","",INDEX(TRANSACTIONS_MASTER!$L$5:$L$1204,$Q201))</f>
        <v/>
      </c>
      <c r="I201" s="56" t="str">
        <f>IF($Q201="","",INDEX(TRANSACTIONS_MASTER!$N$5:$N$1204,$Q201))</f>
        <v/>
      </c>
      <c r="J201" s="25" t="str">
        <f>IF($Q201="","",INDEX(TRANSACTIONS_MASTER!$O$5:$O$1204,$Q201))</f>
        <v/>
      </c>
      <c r="K201" s="26" t="str">
        <f>IF($Q201="","",INDEX(TRANSACTIONS_MASTER!$Q$5:$Q$1204,$Q201))</f>
        <v/>
      </c>
      <c r="L201" s="25" t="str">
        <f>IF($Q201="","",INDEX(TRANSACTIONS_MASTER!$P$5:$P$1204,$Q201))</f>
        <v/>
      </c>
      <c r="M201" s="25" t="str">
        <f>IF($Q201="","",INDEX(TRANSACTIONS_MASTER!$AA$5:$AA$1204,$Q201))</f>
        <v/>
      </c>
      <c r="N201" s="25" t="str">
        <f>IF($Q201="","",INDEX(TRANSACTIONS_MASTER!$R$5:$R$1204,$Q201))</f>
        <v/>
      </c>
      <c r="O201" s="28" t="str">
        <f>IF($Q201="","",INDEX(TRANSACTIONS_MASTER!$AB$5:$AB$1204,$Q201))</f>
        <v/>
      </c>
      <c r="P201" s="55" t="str">
        <f>IF($Q201="","",INDEX(TRANSACTIONS_MASTER!$Z$5:$Z$1204,$Q201)&amp;"")</f>
        <v/>
      </c>
      <c r="Q201" s="67" t="str">
        <f>IFERROR(MATCH($C$2&amp;"|"&amp;194,TRANSACTIONS_MASTER!$AE$5:$AE$1204,0),"")</f>
        <v/>
      </c>
    </row>
    <row r="202">
      <c r="A202" s="81" t="str">
        <f>IF($Q202="","",195)</f>
        <v/>
      </c>
      <c r="B202" s="57" t="str">
        <f>IF($Q202="","",INDEX(TRANSACTIONS_MASTER!$B$5:$B$1204,$Q202))</f>
        <v/>
      </c>
      <c r="C202" s="55" t="str">
        <f>IF($Q202="","",INDEX(TRANSACTIONS_MASTER!$F$5:$F$1204,$Q202))</f>
        <v/>
      </c>
      <c r="D202" s="55" t="str">
        <f>IF($Q202="","",INDEX(TRANSACTIONS_MASTER!$E$5:$E$1204,$Q202))</f>
        <v/>
      </c>
      <c r="E202" s="55" t="str">
        <f>IF($Q202="","",INDEX(TRANSACTIONS_MASTER!$G$5:$G$1204,$Q202)&amp;"")</f>
        <v/>
      </c>
      <c r="F202" s="29" t="str">
        <f>IF($Q202="","",INDEX(TRANSACTIONS_MASTER!$I$5:$I$1204,$Q202))</f>
        <v/>
      </c>
      <c r="G202" s="55" t="str">
        <f>IF($Q202="","",INDEX(TRANSACTIONS_MASTER!$K$5:$K$1204,$Q202))</f>
        <v/>
      </c>
      <c r="H202" s="25" t="str">
        <f>IF($Q202="","",INDEX(TRANSACTIONS_MASTER!$L$5:$L$1204,$Q202))</f>
        <v/>
      </c>
      <c r="I202" s="56" t="str">
        <f>IF($Q202="","",INDEX(TRANSACTIONS_MASTER!$N$5:$N$1204,$Q202))</f>
        <v/>
      </c>
      <c r="J202" s="25" t="str">
        <f>IF($Q202="","",INDEX(TRANSACTIONS_MASTER!$O$5:$O$1204,$Q202))</f>
        <v/>
      </c>
      <c r="K202" s="26" t="str">
        <f>IF($Q202="","",INDEX(TRANSACTIONS_MASTER!$Q$5:$Q$1204,$Q202))</f>
        <v/>
      </c>
      <c r="L202" s="25" t="str">
        <f>IF($Q202="","",INDEX(TRANSACTIONS_MASTER!$P$5:$P$1204,$Q202))</f>
        <v/>
      </c>
      <c r="M202" s="25" t="str">
        <f>IF($Q202="","",INDEX(TRANSACTIONS_MASTER!$AA$5:$AA$1204,$Q202))</f>
        <v/>
      </c>
      <c r="N202" s="25" t="str">
        <f>IF($Q202="","",INDEX(TRANSACTIONS_MASTER!$R$5:$R$1204,$Q202))</f>
        <v/>
      </c>
      <c r="O202" s="28" t="str">
        <f>IF($Q202="","",INDEX(TRANSACTIONS_MASTER!$AB$5:$AB$1204,$Q202))</f>
        <v/>
      </c>
      <c r="P202" s="55" t="str">
        <f>IF($Q202="","",INDEX(TRANSACTIONS_MASTER!$Z$5:$Z$1204,$Q202)&amp;"")</f>
        <v/>
      </c>
      <c r="Q202" s="67" t="str">
        <f>IFERROR(MATCH($C$2&amp;"|"&amp;195,TRANSACTIONS_MASTER!$AE$5:$AE$1204,0),"")</f>
        <v/>
      </c>
    </row>
    <row r="203">
      <c r="A203" s="81" t="str">
        <f>IF($Q203="","",196)</f>
        <v/>
      </c>
      <c r="B203" s="57" t="str">
        <f>IF($Q203="","",INDEX(TRANSACTIONS_MASTER!$B$5:$B$1204,$Q203))</f>
        <v/>
      </c>
      <c r="C203" s="55" t="str">
        <f>IF($Q203="","",INDEX(TRANSACTIONS_MASTER!$F$5:$F$1204,$Q203))</f>
        <v/>
      </c>
      <c r="D203" s="55" t="str">
        <f>IF($Q203="","",INDEX(TRANSACTIONS_MASTER!$E$5:$E$1204,$Q203))</f>
        <v/>
      </c>
      <c r="E203" s="55" t="str">
        <f>IF($Q203="","",INDEX(TRANSACTIONS_MASTER!$G$5:$G$1204,$Q203)&amp;"")</f>
        <v/>
      </c>
      <c r="F203" s="29" t="str">
        <f>IF($Q203="","",INDEX(TRANSACTIONS_MASTER!$I$5:$I$1204,$Q203))</f>
        <v/>
      </c>
      <c r="G203" s="55" t="str">
        <f>IF($Q203="","",INDEX(TRANSACTIONS_MASTER!$K$5:$K$1204,$Q203))</f>
        <v/>
      </c>
      <c r="H203" s="25" t="str">
        <f>IF($Q203="","",INDEX(TRANSACTIONS_MASTER!$L$5:$L$1204,$Q203))</f>
        <v/>
      </c>
      <c r="I203" s="56" t="str">
        <f>IF($Q203="","",INDEX(TRANSACTIONS_MASTER!$N$5:$N$1204,$Q203))</f>
        <v/>
      </c>
      <c r="J203" s="25" t="str">
        <f>IF($Q203="","",INDEX(TRANSACTIONS_MASTER!$O$5:$O$1204,$Q203))</f>
        <v/>
      </c>
      <c r="K203" s="26" t="str">
        <f>IF($Q203="","",INDEX(TRANSACTIONS_MASTER!$Q$5:$Q$1204,$Q203))</f>
        <v/>
      </c>
      <c r="L203" s="25" t="str">
        <f>IF($Q203="","",INDEX(TRANSACTIONS_MASTER!$P$5:$P$1204,$Q203))</f>
        <v/>
      </c>
      <c r="M203" s="25" t="str">
        <f>IF($Q203="","",INDEX(TRANSACTIONS_MASTER!$AA$5:$AA$1204,$Q203))</f>
        <v/>
      </c>
      <c r="N203" s="25" t="str">
        <f>IF($Q203="","",INDEX(TRANSACTIONS_MASTER!$R$5:$R$1204,$Q203))</f>
        <v/>
      </c>
      <c r="O203" s="28" t="str">
        <f>IF($Q203="","",INDEX(TRANSACTIONS_MASTER!$AB$5:$AB$1204,$Q203))</f>
        <v/>
      </c>
      <c r="P203" s="55" t="str">
        <f>IF($Q203="","",INDEX(TRANSACTIONS_MASTER!$Z$5:$Z$1204,$Q203)&amp;"")</f>
        <v/>
      </c>
      <c r="Q203" s="67" t="str">
        <f>IFERROR(MATCH($C$2&amp;"|"&amp;196,TRANSACTIONS_MASTER!$AE$5:$AE$1204,0),"")</f>
        <v/>
      </c>
    </row>
    <row r="204">
      <c r="A204" s="81" t="str">
        <f>IF($Q204="","",197)</f>
        <v/>
      </c>
      <c r="B204" s="57" t="str">
        <f>IF($Q204="","",INDEX(TRANSACTIONS_MASTER!$B$5:$B$1204,$Q204))</f>
        <v/>
      </c>
      <c r="C204" s="55" t="str">
        <f>IF($Q204="","",INDEX(TRANSACTIONS_MASTER!$F$5:$F$1204,$Q204))</f>
        <v/>
      </c>
      <c r="D204" s="55" t="str">
        <f>IF($Q204="","",INDEX(TRANSACTIONS_MASTER!$E$5:$E$1204,$Q204))</f>
        <v/>
      </c>
      <c r="E204" s="55" t="str">
        <f>IF($Q204="","",INDEX(TRANSACTIONS_MASTER!$G$5:$G$1204,$Q204)&amp;"")</f>
        <v/>
      </c>
      <c r="F204" s="29" t="str">
        <f>IF($Q204="","",INDEX(TRANSACTIONS_MASTER!$I$5:$I$1204,$Q204))</f>
        <v/>
      </c>
      <c r="G204" s="55" t="str">
        <f>IF($Q204="","",INDEX(TRANSACTIONS_MASTER!$K$5:$K$1204,$Q204))</f>
        <v/>
      </c>
      <c r="H204" s="25" t="str">
        <f>IF($Q204="","",INDEX(TRANSACTIONS_MASTER!$L$5:$L$1204,$Q204))</f>
        <v/>
      </c>
      <c r="I204" s="56" t="str">
        <f>IF($Q204="","",INDEX(TRANSACTIONS_MASTER!$N$5:$N$1204,$Q204))</f>
        <v/>
      </c>
      <c r="J204" s="25" t="str">
        <f>IF($Q204="","",INDEX(TRANSACTIONS_MASTER!$O$5:$O$1204,$Q204))</f>
        <v/>
      </c>
      <c r="K204" s="26" t="str">
        <f>IF($Q204="","",INDEX(TRANSACTIONS_MASTER!$Q$5:$Q$1204,$Q204))</f>
        <v/>
      </c>
      <c r="L204" s="25" t="str">
        <f>IF($Q204="","",INDEX(TRANSACTIONS_MASTER!$P$5:$P$1204,$Q204))</f>
        <v/>
      </c>
      <c r="M204" s="25" t="str">
        <f>IF($Q204="","",INDEX(TRANSACTIONS_MASTER!$AA$5:$AA$1204,$Q204))</f>
        <v/>
      </c>
      <c r="N204" s="25" t="str">
        <f>IF($Q204="","",INDEX(TRANSACTIONS_MASTER!$R$5:$R$1204,$Q204))</f>
        <v/>
      </c>
      <c r="O204" s="28" t="str">
        <f>IF($Q204="","",INDEX(TRANSACTIONS_MASTER!$AB$5:$AB$1204,$Q204))</f>
        <v/>
      </c>
      <c r="P204" s="55" t="str">
        <f>IF($Q204="","",INDEX(TRANSACTIONS_MASTER!$Z$5:$Z$1204,$Q204)&amp;"")</f>
        <v/>
      </c>
      <c r="Q204" s="67" t="str">
        <f>IFERROR(MATCH($C$2&amp;"|"&amp;197,TRANSACTIONS_MASTER!$AE$5:$AE$1204,0),"")</f>
        <v/>
      </c>
    </row>
    <row r="205">
      <c r="A205" s="81" t="str">
        <f>IF($Q205="","",198)</f>
        <v/>
      </c>
      <c r="B205" s="57" t="str">
        <f>IF($Q205="","",INDEX(TRANSACTIONS_MASTER!$B$5:$B$1204,$Q205))</f>
        <v/>
      </c>
      <c r="C205" s="55" t="str">
        <f>IF($Q205="","",INDEX(TRANSACTIONS_MASTER!$F$5:$F$1204,$Q205))</f>
        <v/>
      </c>
      <c r="D205" s="55" t="str">
        <f>IF($Q205="","",INDEX(TRANSACTIONS_MASTER!$E$5:$E$1204,$Q205))</f>
        <v/>
      </c>
      <c r="E205" s="55" t="str">
        <f>IF($Q205="","",INDEX(TRANSACTIONS_MASTER!$G$5:$G$1204,$Q205)&amp;"")</f>
        <v/>
      </c>
      <c r="F205" s="29" t="str">
        <f>IF($Q205="","",INDEX(TRANSACTIONS_MASTER!$I$5:$I$1204,$Q205))</f>
        <v/>
      </c>
      <c r="G205" s="55" t="str">
        <f>IF($Q205="","",INDEX(TRANSACTIONS_MASTER!$K$5:$K$1204,$Q205))</f>
        <v/>
      </c>
      <c r="H205" s="25" t="str">
        <f>IF($Q205="","",INDEX(TRANSACTIONS_MASTER!$L$5:$L$1204,$Q205))</f>
        <v/>
      </c>
      <c r="I205" s="56" t="str">
        <f>IF($Q205="","",INDEX(TRANSACTIONS_MASTER!$N$5:$N$1204,$Q205))</f>
        <v/>
      </c>
      <c r="J205" s="25" t="str">
        <f>IF($Q205="","",INDEX(TRANSACTIONS_MASTER!$O$5:$O$1204,$Q205))</f>
        <v/>
      </c>
      <c r="K205" s="26" t="str">
        <f>IF($Q205="","",INDEX(TRANSACTIONS_MASTER!$Q$5:$Q$1204,$Q205))</f>
        <v/>
      </c>
      <c r="L205" s="25" t="str">
        <f>IF($Q205="","",INDEX(TRANSACTIONS_MASTER!$P$5:$P$1204,$Q205))</f>
        <v/>
      </c>
      <c r="M205" s="25" t="str">
        <f>IF($Q205="","",INDEX(TRANSACTIONS_MASTER!$AA$5:$AA$1204,$Q205))</f>
        <v/>
      </c>
      <c r="N205" s="25" t="str">
        <f>IF($Q205="","",INDEX(TRANSACTIONS_MASTER!$R$5:$R$1204,$Q205))</f>
        <v/>
      </c>
      <c r="O205" s="28" t="str">
        <f>IF($Q205="","",INDEX(TRANSACTIONS_MASTER!$AB$5:$AB$1204,$Q205))</f>
        <v/>
      </c>
      <c r="P205" s="55" t="str">
        <f>IF($Q205="","",INDEX(TRANSACTIONS_MASTER!$Z$5:$Z$1204,$Q205)&amp;"")</f>
        <v/>
      </c>
      <c r="Q205" s="67" t="str">
        <f>IFERROR(MATCH($C$2&amp;"|"&amp;198,TRANSACTIONS_MASTER!$AE$5:$AE$1204,0),"")</f>
        <v/>
      </c>
    </row>
    <row r="206">
      <c r="A206" s="81" t="str">
        <f>IF($Q206="","",199)</f>
        <v/>
      </c>
      <c r="B206" s="57" t="str">
        <f>IF($Q206="","",INDEX(TRANSACTIONS_MASTER!$B$5:$B$1204,$Q206))</f>
        <v/>
      </c>
      <c r="C206" s="55" t="str">
        <f>IF($Q206="","",INDEX(TRANSACTIONS_MASTER!$F$5:$F$1204,$Q206))</f>
        <v/>
      </c>
      <c r="D206" s="55" t="str">
        <f>IF($Q206="","",INDEX(TRANSACTIONS_MASTER!$E$5:$E$1204,$Q206))</f>
        <v/>
      </c>
      <c r="E206" s="55" t="str">
        <f>IF($Q206="","",INDEX(TRANSACTIONS_MASTER!$G$5:$G$1204,$Q206)&amp;"")</f>
        <v/>
      </c>
      <c r="F206" s="29" t="str">
        <f>IF($Q206="","",INDEX(TRANSACTIONS_MASTER!$I$5:$I$1204,$Q206))</f>
        <v/>
      </c>
      <c r="G206" s="55" t="str">
        <f>IF($Q206="","",INDEX(TRANSACTIONS_MASTER!$K$5:$K$1204,$Q206))</f>
        <v/>
      </c>
      <c r="H206" s="25" t="str">
        <f>IF($Q206="","",INDEX(TRANSACTIONS_MASTER!$L$5:$L$1204,$Q206))</f>
        <v/>
      </c>
      <c r="I206" s="56" t="str">
        <f>IF($Q206="","",INDEX(TRANSACTIONS_MASTER!$N$5:$N$1204,$Q206))</f>
        <v/>
      </c>
      <c r="J206" s="25" t="str">
        <f>IF($Q206="","",INDEX(TRANSACTIONS_MASTER!$O$5:$O$1204,$Q206))</f>
        <v/>
      </c>
      <c r="K206" s="26" t="str">
        <f>IF($Q206="","",INDEX(TRANSACTIONS_MASTER!$Q$5:$Q$1204,$Q206))</f>
        <v/>
      </c>
      <c r="L206" s="25" t="str">
        <f>IF($Q206="","",INDEX(TRANSACTIONS_MASTER!$P$5:$P$1204,$Q206))</f>
        <v/>
      </c>
      <c r="M206" s="25" t="str">
        <f>IF($Q206="","",INDEX(TRANSACTIONS_MASTER!$AA$5:$AA$1204,$Q206))</f>
        <v/>
      </c>
      <c r="N206" s="25" t="str">
        <f>IF($Q206="","",INDEX(TRANSACTIONS_MASTER!$R$5:$R$1204,$Q206))</f>
        <v/>
      </c>
      <c r="O206" s="28" t="str">
        <f>IF($Q206="","",INDEX(TRANSACTIONS_MASTER!$AB$5:$AB$1204,$Q206))</f>
        <v/>
      </c>
      <c r="P206" s="55" t="str">
        <f>IF($Q206="","",INDEX(TRANSACTIONS_MASTER!$Z$5:$Z$1204,$Q206)&amp;"")</f>
        <v/>
      </c>
      <c r="Q206" s="67" t="str">
        <f>IFERROR(MATCH($C$2&amp;"|"&amp;199,TRANSACTIONS_MASTER!$AE$5:$AE$1204,0),"")</f>
        <v/>
      </c>
    </row>
    <row r="207">
      <c r="A207" s="81" t="str">
        <f>IF($Q207="","",200)</f>
        <v/>
      </c>
      <c r="B207" s="57" t="str">
        <f>IF($Q207="","",INDEX(TRANSACTIONS_MASTER!$B$5:$B$1204,$Q207))</f>
        <v/>
      </c>
      <c r="C207" s="55" t="str">
        <f>IF($Q207="","",INDEX(TRANSACTIONS_MASTER!$F$5:$F$1204,$Q207))</f>
        <v/>
      </c>
      <c r="D207" s="55" t="str">
        <f>IF($Q207="","",INDEX(TRANSACTIONS_MASTER!$E$5:$E$1204,$Q207))</f>
        <v/>
      </c>
      <c r="E207" s="55" t="str">
        <f>IF($Q207="","",INDEX(TRANSACTIONS_MASTER!$G$5:$G$1204,$Q207)&amp;"")</f>
        <v/>
      </c>
      <c r="F207" s="29" t="str">
        <f>IF($Q207="","",INDEX(TRANSACTIONS_MASTER!$I$5:$I$1204,$Q207))</f>
        <v/>
      </c>
      <c r="G207" s="55" t="str">
        <f>IF($Q207="","",INDEX(TRANSACTIONS_MASTER!$K$5:$K$1204,$Q207))</f>
        <v/>
      </c>
      <c r="H207" s="25" t="str">
        <f>IF($Q207="","",INDEX(TRANSACTIONS_MASTER!$L$5:$L$1204,$Q207))</f>
        <v/>
      </c>
      <c r="I207" s="56" t="str">
        <f>IF($Q207="","",INDEX(TRANSACTIONS_MASTER!$N$5:$N$1204,$Q207))</f>
        <v/>
      </c>
      <c r="J207" s="25" t="str">
        <f>IF($Q207="","",INDEX(TRANSACTIONS_MASTER!$O$5:$O$1204,$Q207))</f>
        <v/>
      </c>
      <c r="K207" s="26" t="str">
        <f>IF($Q207="","",INDEX(TRANSACTIONS_MASTER!$Q$5:$Q$1204,$Q207))</f>
        <v/>
      </c>
      <c r="L207" s="25" t="str">
        <f>IF($Q207="","",INDEX(TRANSACTIONS_MASTER!$P$5:$P$1204,$Q207))</f>
        <v/>
      </c>
      <c r="M207" s="25" t="str">
        <f>IF($Q207="","",INDEX(TRANSACTIONS_MASTER!$AA$5:$AA$1204,$Q207))</f>
        <v/>
      </c>
      <c r="N207" s="25" t="str">
        <f>IF($Q207="","",INDEX(TRANSACTIONS_MASTER!$R$5:$R$1204,$Q207))</f>
        <v/>
      </c>
      <c r="O207" s="28" t="str">
        <f>IF($Q207="","",INDEX(TRANSACTIONS_MASTER!$AB$5:$AB$1204,$Q207))</f>
        <v/>
      </c>
      <c r="P207" s="55" t="str">
        <f>IF($Q207="","",INDEX(TRANSACTIONS_MASTER!$Z$5:$Z$1204,$Q207)&amp;"")</f>
        <v/>
      </c>
      <c r="Q207" s="67" t="str">
        <f>IFERROR(MATCH($C$2&amp;"|"&amp;200,TRANSACTIONS_MASTER!$AE$5:$AE$1204,0),"")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autoFilter ref="A7:P207"/>
  <mergeCells count="14">
    <mergeCell ref="I4:J4"/>
    <mergeCell ref="T3:W3"/>
    <mergeCell ref="B3:C3"/>
    <mergeCell ref="T4:W4"/>
    <mergeCell ref="M4:O4"/>
    <mergeCell ref="M3:O3"/>
    <mergeCell ref="F4:H4"/>
    <mergeCell ref="D4:E4"/>
    <mergeCell ref="K4:L4"/>
    <mergeCell ref="F3:H3"/>
    <mergeCell ref="D3:E3"/>
    <mergeCell ref="B4:C4"/>
    <mergeCell ref="K3:L3"/>
    <mergeCell ref="I3:J3"/>
  </mergeCells>
  <conditionalFormatting sqref="AA8:AA57">
    <cfRule type="dataBar" priority="1">
      <dataBar showValue="1">
        <cfvo type="num" val="0"/>
        <cfvo type="num" val="1"/>
        <color rgb="00F2A1BF"/>
      </dataBar>
    </cfRule>
    <cfRule type="expression" priority="2" dxfId="8">
      <formula>AND(ISNUMBER(AA8),AA8&gt;=1)</formula>
    </cfRule>
  </conditionalFormatting>
  <conditionalFormatting sqref="Z8:Z57">
    <cfRule type="cellIs" priority="3" operator="equal" dxfId="1">
      <formula>0</formula>
    </cfRule>
  </conditionalFormatting>
  <conditionalFormatting sqref="Z62:Z91">
    <cfRule type="dataBar" priority="4">
      <dataBar showValue="1">
        <cfvo type="num" val="0"/>
        <cfvo type="num" val="1"/>
        <color rgb="00F2A1BF"/>
      </dataBar>
    </cfRule>
    <cfRule type="expression" priority="5" dxfId="8">
      <formula>AND(ISNUMBER(Z62),Z62&gt;=1)</formula>
    </cfRule>
  </conditionalFormatting>
  <conditionalFormatting sqref="Y62:Y91">
    <cfRule type="cellIs" priority="6" operator="equal" dxfId="1">
      <formula>0</formula>
    </cfRule>
  </conditionalFormatting>
  <conditionalFormatting sqref="A8:P207">
    <cfRule type="expression" priority="7" dxfId="5" stopIfTrue="0">
      <formula>MOD(ROW(),2)=0</formula>
    </cfRule>
  </conditionalFormatting>
  <conditionalFormatting sqref="O8:O207">
    <cfRule type="cellIs" priority="8" operator="equal" dxfId="3">
      <formula>"Được hoàn"</formula>
    </cfRule>
    <cfRule type="cellIs" priority="9" operator="equal" dxfId="2">
      <formula>"Hoàn một phần"</formula>
    </cfRule>
    <cfRule type="cellIs" priority="10" operator="equal" dxfId="1">
      <formula>"Đã đạt cap"</formula>
    </cfRule>
    <cfRule type="cellIs" priority="11" operator="equal" dxfId="4">
      <formula>"Không được hoàn"</formula>
    </cfRule>
    <cfRule type="cellIs" priority="12" operator="equal" dxfId="0">
      <formula>"Đã hủy"</formula>
    </cfRule>
  </conditionalFormatting>
  <conditionalFormatting sqref="K8:K207">
    <cfRule type="expression" priority="13" dxfId="7">
      <formula>AND(ISNUMBER($K8),$K8&gt;0)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F8C8DC"/>
    <outlinePr summaryBelow="1" summaryRight="1"/>
    <pageSetUpPr/>
  </sheetPr>
  <dimension ref="A1:AA20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13" customWidth="1" min="4" max="4"/>
    <col width="22" customWidth="1" min="5" max="5"/>
    <col width="8" customWidth="1" min="6" max="6"/>
    <col width="17" customWidth="1" min="7" max="7"/>
    <col width="14" customWidth="1" min="8" max="8"/>
    <col width="10" customWidth="1" min="9" max="9"/>
    <col width="15" customWidth="1" min="10" max="10"/>
    <col width="15" customWidth="1" min="11" max="11"/>
    <col width="14" customWidth="1" min="12" max="12"/>
    <col width="14" customWidth="1" min="13" max="13"/>
    <col width="15" customWidth="1" min="14" max="14"/>
    <col width="16" customWidth="1" min="15" max="15"/>
    <col width="14" customWidth="1" min="16" max="16"/>
    <col width="3" customWidth="1" min="17" max="17"/>
    <col width="3" customWidth="1" min="18" max="18"/>
    <col width="4" customWidth="1" min="19" max="19"/>
    <col width="12" customWidth="1" min="20" max="20"/>
    <col width="30" customWidth="1" min="21" max="21"/>
    <col width="15" customWidth="1" min="22" max="22"/>
    <col width="17" customWidth="1" min="23" max="23"/>
    <col width="15" customWidth="1" min="24" max="24"/>
    <col width="15" customWidth="1" min="25" max="25"/>
    <col width="15" customWidth="1" min="26" max="26"/>
    <col width="12" customWidth="1" min="27" max="27"/>
  </cols>
  <sheetData>
    <row r="1" ht="28" customHeight="1">
      <c r="B1" s="70" t="str">
        <f>"THÁNG "&amp;MOD($C$2,100)&amp;"/"&amp;INT($C$2/100)&amp;"   ♥"</f>
        <v>THÁNG 5/2026   ♥</v>
      </c>
    </row>
    <row r="2" ht="20" customHeight="1">
      <c r="B2" s="71" t="inlineStr">
        <is>
          <t>Mã tháng</t>
        </is>
      </c>
      <c r="C2" s="72" t="n">
        <v>202605</v>
      </c>
      <c r="E2" s="66" t="str">
        <f>HYPERLINK("#Dashboard!A1","← Dashboard")</f>
        <v>← Dashboard</v>
      </c>
      <c r="G2" s="66" t="str">
        <f>HYPERLINK("#TRANSACTIONS_MASTER!A1","Giao dịch (nhập ở đây) →")</f>
        <v>Giao dịch (nhập ở đây) →</v>
      </c>
      <c r="J2" s="66" t="str">
        <f>HYPERLINK("#'2026-05'!S6","Cap &amp; thẻ →")</f>
        <v>Cap &amp; thẻ →</v>
      </c>
      <c r="L2" s="66" t="str">
        <f>HYPERLINK("#'2026-05'!S95","Phân tích →")</f>
        <v>Phân tích →</v>
      </c>
      <c r="N2" s="66" t="str">
        <f>HYPERLINK("#'2026-05'!A1","↑ Đầu trang")</f>
        <v>↑ Đầu trang</v>
      </c>
      <c r="O2" s="73" t="inlineStr">
        <is>
          <t>Sheet này là bản xem tự động — nhập giao dịch ở TRANSACTIONS_MASTER</t>
        </is>
      </c>
    </row>
    <row r="3" ht="17" customHeight="1">
      <c r="B3" s="74" t="inlineStr">
        <is>
          <t>💰 Tổng chi tiêu</t>
        </is>
      </c>
      <c r="C3" s="75" t="n"/>
      <c r="D3" s="74" t="inlineStr">
        <is>
          <t>★ Tổng cashback (thực nhận)</t>
        </is>
      </c>
      <c r="E3" s="75" t="n"/>
      <c r="F3" s="74" t="inlineStr">
        <is>
          <t>Cashback còn có thể nhận</t>
        </is>
      </c>
      <c r="G3" s="75" t="n"/>
      <c r="H3" s="75" t="n"/>
      <c r="I3" s="74" t="inlineStr">
        <is>
          <t>Số giao dịch</t>
        </is>
      </c>
      <c r="J3" s="75" t="n"/>
      <c r="K3" s="74" t="inlineStr">
        <is>
          <t>Số thẻ sử dụng</t>
        </is>
      </c>
      <c r="L3" s="75" t="n"/>
      <c r="M3" s="74" t="inlineStr">
        <is>
          <t>Thẻ có cashback cao nhất</t>
        </is>
      </c>
      <c r="N3" s="75" t="n"/>
      <c r="O3" s="75" t="n"/>
      <c r="T3" s="74" t="inlineStr">
        <is>
          <t>Danh mục chi tiêu nhiều nhất</t>
        </is>
      </c>
      <c r="U3" s="75" t="n"/>
      <c r="V3" s="75" t="n"/>
      <c r="W3" s="75" t="n"/>
    </row>
    <row r="4" ht="30" customHeight="1">
      <c r="B4" s="76">
        <f>SUMIFS(TRANSACTIONS_MASTER!$L$5:$L$1204,TRANSACTIONS_MASTER!$C$5:$C$1204,$C$2,TRANSACTIONS_MASTER!$U$5:$U$1204,"&lt;&gt;Cancelled")</f>
        <v>0</v>
      </c>
      <c r="C4" s="77" t="n"/>
      <c r="D4" s="76">
        <f>SUMIFS(TRANSACTIONS_MASTER!$Q$5:$Q$1204,TRANSACTIONS_MASTER!$C$5:$C$1204,$C$2)</f>
        <v>0</v>
      </c>
      <c r="E4" s="77" t="n"/>
      <c r="F4" s="76">
        <f>SUM($Y$62:$Y$91)</f>
        <v>4500000</v>
      </c>
      <c r="G4" s="77" t="n"/>
      <c r="H4" s="77" t="n"/>
      <c r="I4" s="78">
        <f>COUNTIFS(TRANSACTIONS_MASTER!$C$5:$C$1204,$C$2,TRANSACTIONS_MASTER!$U$5:$U$1204,"&lt;&gt;Cancelled")</f>
        <v>0</v>
      </c>
      <c r="J4" s="77" t="n"/>
      <c r="K4" s="78">
        <f>COUNTIF($AA$62:$AA$91,"&gt;0")</f>
        <v>0</v>
      </c>
      <c r="L4" s="77" t="n"/>
      <c r="M4" s="79" t="str">
        <f>IF(MAX($W$62:$W$91)&gt;0,INDEX($U$62:$U$91,MATCH(MAX($W$62:$W$91),$W$62:$W$91,0)),"—")</f>
        <v>—</v>
      </c>
      <c r="N4" s="77" t="n"/>
      <c r="O4" s="77" t="n"/>
      <c r="T4" s="79" t="str">
        <f>IF(MAX($V$117:$V$131)&gt;0,INDEX($U$117:$U$131,MATCH(MAX($V$117:$V$131),$V$117:$V$131,0)),"—")</f>
        <v>—</v>
      </c>
      <c r="U4" s="77" t="n"/>
      <c r="V4" s="77" t="n"/>
      <c r="W4" s="77" t="n"/>
    </row>
    <row r="5" ht="6" customHeight="1"/>
    <row r="6" ht="22" customHeight="1">
      <c r="A6" s="19" t="inlineStr">
        <is>
          <t>GIAO DỊCH TRONG THÁNG</t>
        </is>
      </c>
      <c r="B6" s="20" t="n"/>
      <c r="C6" s="20" t="n"/>
      <c r="D6" s="20" t="n"/>
      <c r="E6" s="20" t="n"/>
      <c r="F6" s="20" t="n"/>
      <c r="G6" s="20" t="n"/>
      <c r="H6" s="80" t="str">
        <f>IF(COUNTIFS(TRANSACTIONS_MASTER!$C$5:$C$1204,$C$2)&gt;200,"⚠ Còn "&amp;(COUNTIFS(TRANSACTIONS_MASTER!$C$5:$C$1204,$C$2)-200)&amp;" giao dịch chưa hiển thị — xem TRANSACTIONS_MASTER","")</f>
        <v/>
      </c>
      <c r="I6" s="20" t="n"/>
      <c r="J6" s="20" t="n"/>
      <c r="K6" s="20" t="n"/>
      <c r="L6" s="20" t="n"/>
      <c r="M6" s="20" t="n"/>
      <c r="N6" s="20" t="n"/>
      <c r="O6" s="20" t="n"/>
      <c r="P6" s="20" t="n"/>
      <c r="T6" s="19" t="inlineStr">
        <is>
          <t>THEO DÕI CAP — TỪNG NHÓM CASHBACK (progress bar)</t>
        </is>
      </c>
      <c r="U6" s="20" t="n"/>
      <c r="V6" s="20" t="n"/>
      <c r="W6" s="20" t="n"/>
      <c r="X6" s="20" t="n"/>
      <c r="Y6" s="20" t="n"/>
      <c r="Z6" s="20" t="n"/>
      <c r="AA6" s="20" t="n"/>
    </row>
    <row r="7" ht="30" customHeight="1">
      <c r="A7" s="21" t="inlineStr">
        <is>
          <t>#</t>
        </is>
      </c>
      <c r="B7" s="21" t="inlineStr">
        <is>
          <t>Ngày</t>
        </is>
      </c>
      <c r="C7" s="21" t="inlineStr">
        <is>
          <t>Thẻ</t>
        </is>
      </c>
      <c r="D7" s="21" t="inlineStr">
        <is>
          <t>Ngân hàng</t>
        </is>
      </c>
      <c r="E7" s="21" t="inlineStr">
        <is>
          <t>Merchant</t>
        </is>
      </c>
      <c r="F7" s="21" t="inlineStr">
        <is>
          <t>MCC</t>
        </is>
      </c>
      <c r="G7" s="21" t="inlineStr">
        <is>
          <t>Danh mục</t>
        </is>
      </c>
      <c r="H7" s="21" t="inlineStr">
        <is>
          <t>Số tiền</t>
        </is>
      </c>
      <c r="I7" s="21" t="inlineStr">
        <is>
          <t>Cashback %</t>
        </is>
      </c>
      <c r="J7" s="21" t="inlineStr">
        <is>
          <t>Cashback tính toán</t>
        </is>
      </c>
      <c r="K7" s="21" t="inlineStr">
        <is>
          <t>Cashback thực nhận</t>
        </is>
      </c>
      <c r="L7" s="21" t="inlineStr">
        <is>
          <t>Cap danh mục</t>
        </is>
      </c>
      <c r="M7" s="21" t="inlineStr">
        <is>
          <t>Cap thẻ</t>
        </is>
      </c>
      <c r="N7" s="21" t="inlineStr">
        <is>
          <t>Cashback còn lại</t>
        </is>
      </c>
      <c r="O7" s="21" t="inlineStr">
        <is>
          <t>Trạng thái hoàn</t>
        </is>
      </c>
      <c r="P7" s="21" t="inlineStr">
        <is>
          <t>Nhóm cashback</t>
        </is>
      </c>
      <c r="Q7" s="21" t="inlineStr">
        <is>
          <t>⚙</t>
        </is>
      </c>
      <c r="S7" s="21" t="inlineStr">
        <is>
          <t>#</t>
        </is>
      </c>
      <c r="T7" s="21" t="inlineStr">
        <is>
          <t>Card ID</t>
        </is>
      </c>
      <c r="U7" s="21" t="inlineStr">
        <is>
          <t>Thẻ</t>
        </is>
      </c>
      <c r="V7" s="21" t="inlineStr">
        <is>
          <t>Nhóm</t>
        </is>
      </c>
      <c r="W7" s="21" t="inlineStr">
        <is>
          <t>Danh mục</t>
        </is>
      </c>
      <c r="X7" s="21" t="inlineStr">
        <is>
          <t>Đã cashback</t>
        </is>
      </c>
      <c r="Y7" s="21" t="inlineStr">
        <is>
          <t>Cap nhóm</t>
        </is>
      </c>
      <c r="Z7" s="21" t="inlineStr">
        <is>
          <t>Còn lại</t>
        </is>
      </c>
      <c r="AA7" s="21" t="inlineStr">
        <is>
          <t>Progress</t>
        </is>
      </c>
    </row>
    <row r="8" ht="20" customHeight="1">
      <c r="A8" s="81" t="str">
        <f>IF($Q8="","",1)</f>
        <v/>
      </c>
      <c r="B8" s="57" t="str">
        <f>IF($Q8="","",INDEX(TRANSACTIONS_MASTER!$B$5:$B$1204,$Q8))</f>
        <v/>
      </c>
      <c r="C8" s="55" t="str">
        <f>IF($Q8="","",INDEX(TRANSACTIONS_MASTER!$F$5:$F$1204,$Q8))</f>
        <v/>
      </c>
      <c r="D8" s="55" t="str">
        <f>IF($Q8="","",INDEX(TRANSACTIONS_MASTER!$E$5:$E$1204,$Q8))</f>
        <v/>
      </c>
      <c r="E8" s="55" t="str">
        <f>IF($Q8="","",INDEX(TRANSACTIONS_MASTER!$G$5:$G$1204,$Q8)&amp;"")</f>
        <v/>
      </c>
      <c r="F8" s="29" t="str">
        <f>IF($Q8="","",INDEX(TRANSACTIONS_MASTER!$I$5:$I$1204,$Q8))</f>
        <v/>
      </c>
      <c r="G8" s="55" t="str">
        <f>IF($Q8="","",INDEX(TRANSACTIONS_MASTER!$K$5:$K$1204,$Q8))</f>
        <v/>
      </c>
      <c r="H8" s="25" t="str">
        <f>IF($Q8="","",INDEX(TRANSACTIONS_MASTER!$L$5:$L$1204,$Q8))</f>
        <v/>
      </c>
      <c r="I8" s="56" t="str">
        <f>IF($Q8="","",INDEX(TRANSACTIONS_MASTER!$N$5:$N$1204,$Q8))</f>
        <v/>
      </c>
      <c r="J8" s="25" t="str">
        <f>IF($Q8="","",INDEX(TRANSACTIONS_MASTER!$O$5:$O$1204,$Q8))</f>
        <v/>
      </c>
      <c r="K8" s="26" t="str">
        <f>IF($Q8="","",INDEX(TRANSACTIONS_MASTER!$Q$5:$Q$1204,$Q8))</f>
        <v/>
      </c>
      <c r="L8" s="25" t="str">
        <f>IF($Q8="","",INDEX(TRANSACTIONS_MASTER!$P$5:$P$1204,$Q8))</f>
        <v/>
      </c>
      <c r="M8" s="25" t="str">
        <f>IF($Q8="","",INDEX(TRANSACTIONS_MASTER!$AA$5:$AA$1204,$Q8))</f>
        <v/>
      </c>
      <c r="N8" s="25" t="str">
        <f>IF($Q8="","",INDEX(TRANSACTIONS_MASTER!$R$5:$R$1204,$Q8))</f>
        <v/>
      </c>
      <c r="O8" s="28" t="str">
        <f>IF($Q8="","",INDEX(TRANSACTIONS_MASTER!$AB$5:$AB$1204,$Q8))</f>
        <v/>
      </c>
      <c r="P8" s="55" t="str">
        <f>IF($Q8="","",INDEX(TRANSACTIONS_MASTER!$Z$5:$Z$1204,$Q8)&amp;"")</f>
        <v/>
      </c>
      <c r="Q8" s="67" t="str">
        <f>IFERROR(MATCH($C$2&amp;"|"&amp;1,TRANSACTIONS_MASTER!$AE$5:$AE$1204,0),"")</f>
        <v/>
      </c>
      <c r="S8" s="67">
        <f>IFERROR(MATCH(1,CASHBACK_RULES!$S$5:$S$304,0),"")</f>
        <v>1</v>
      </c>
      <c r="T8" s="55" t="str">
        <f>IF($S8="","",INDEX(CASHBACK_RULES!$B$5:$B$304,$S8))</f>
        <v>VPB-JCBZ</v>
      </c>
      <c r="U8" s="55" t="str">
        <f>IF($S8="","",INDEX(CASHBACK_RULES!$C$5:$C$304,$S8)&amp;" "&amp;INDEX(CASHBACK_RULES!$D$5:$D$304,$S8))</f>
        <v>VPBank JCB Z Card</v>
      </c>
      <c r="V8" s="55" t="str">
        <f>IF($S8="","",INDEX(CASHBACK_RULES!$E$5:$E$304,$S8)&amp;"")</f>
        <v>Group 1</v>
      </c>
      <c r="W8" s="55" t="str">
        <f>IF($S8="","",INDEX(CASHBACK_RULES!$F$5:$F$304,$S8)&amp;"")</f>
        <v>Dining</v>
      </c>
      <c r="X8" s="26">
        <f>IF($S8="","",SUMIFS(TRANSACTIONS_MASTER!$Q$5:$Q$1204,TRANSACTIONS_MASTER!$D$5:$D$1204,$T8,TRANSACTIONS_MASTER!$Z$5:$Z$1204,$V8,TRANSACTIONS_MASTER!$C$5:$C$1204,$C$2))</f>
        <v>0</v>
      </c>
      <c r="Y8" s="25">
        <f>IF($S8="","",IF(ISNUMBER(INDEX(CASHBACK_RULES!$J$5:$J$304,$S8)),INDEX(CASHBACK_RULES!$J$5:$J$304,$S8),"∞"))</f>
        <v>500000</v>
      </c>
      <c r="Z8" s="25">
        <f>IF($S8="","",IF(ISNUMBER($Y8),MAX(0,$Y8-$X8),"∞"))</f>
        <v>500000</v>
      </c>
      <c r="AA8" s="27">
        <f>IF($S8="","",IF(ISNUMBER($Y8),IF($Y8=0,0,$X8/$Y8),""))</f>
        <v>0</v>
      </c>
    </row>
    <row r="9" ht="20" customHeight="1">
      <c r="A9" s="81" t="str">
        <f>IF($Q9="","",2)</f>
        <v/>
      </c>
      <c r="B9" s="57" t="str">
        <f>IF($Q9="","",INDEX(TRANSACTIONS_MASTER!$B$5:$B$1204,$Q9))</f>
        <v/>
      </c>
      <c r="C9" s="55" t="str">
        <f>IF($Q9="","",INDEX(TRANSACTIONS_MASTER!$F$5:$F$1204,$Q9))</f>
        <v/>
      </c>
      <c r="D9" s="55" t="str">
        <f>IF($Q9="","",INDEX(TRANSACTIONS_MASTER!$E$5:$E$1204,$Q9))</f>
        <v/>
      </c>
      <c r="E9" s="55" t="str">
        <f>IF($Q9="","",INDEX(TRANSACTIONS_MASTER!$G$5:$G$1204,$Q9)&amp;"")</f>
        <v/>
      </c>
      <c r="F9" s="29" t="str">
        <f>IF($Q9="","",INDEX(TRANSACTIONS_MASTER!$I$5:$I$1204,$Q9))</f>
        <v/>
      </c>
      <c r="G9" s="55" t="str">
        <f>IF($Q9="","",INDEX(TRANSACTIONS_MASTER!$K$5:$K$1204,$Q9))</f>
        <v/>
      </c>
      <c r="H9" s="25" t="str">
        <f>IF($Q9="","",INDEX(TRANSACTIONS_MASTER!$L$5:$L$1204,$Q9))</f>
        <v/>
      </c>
      <c r="I9" s="56" t="str">
        <f>IF($Q9="","",INDEX(TRANSACTIONS_MASTER!$N$5:$N$1204,$Q9))</f>
        <v/>
      </c>
      <c r="J9" s="25" t="str">
        <f>IF($Q9="","",INDEX(TRANSACTIONS_MASTER!$O$5:$O$1204,$Q9))</f>
        <v/>
      </c>
      <c r="K9" s="26" t="str">
        <f>IF($Q9="","",INDEX(TRANSACTIONS_MASTER!$Q$5:$Q$1204,$Q9))</f>
        <v/>
      </c>
      <c r="L9" s="25" t="str">
        <f>IF($Q9="","",INDEX(TRANSACTIONS_MASTER!$P$5:$P$1204,$Q9))</f>
        <v/>
      </c>
      <c r="M9" s="25" t="str">
        <f>IF($Q9="","",INDEX(TRANSACTIONS_MASTER!$AA$5:$AA$1204,$Q9))</f>
        <v/>
      </c>
      <c r="N9" s="25" t="str">
        <f>IF($Q9="","",INDEX(TRANSACTIONS_MASTER!$R$5:$R$1204,$Q9))</f>
        <v/>
      </c>
      <c r="O9" s="28" t="str">
        <f>IF($Q9="","",INDEX(TRANSACTIONS_MASTER!$AB$5:$AB$1204,$Q9))</f>
        <v/>
      </c>
      <c r="P9" s="55" t="str">
        <f>IF($Q9="","",INDEX(TRANSACTIONS_MASTER!$Z$5:$Z$1204,$Q9)&amp;"")</f>
        <v/>
      </c>
      <c r="Q9" s="67" t="str">
        <f>IFERROR(MATCH($C$2&amp;"|"&amp;2,TRANSACTIONS_MASTER!$AE$5:$AE$1204,0),"")</f>
        <v/>
      </c>
      <c r="S9" s="67">
        <f>IFERROR(MATCH(2,CASHBACK_RULES!$S$5:$S$304,0),"")</f>
        <v>5</v>
      </c>
      <c r="T9" s="55" t="str">
        <f>IF($S9="","",INDEX(CASHBACK_RULES!$B$5:$B$304,$S9))</f>
        <v>VPB-JCBZ</v>
      </c>
      <c r="U9" s="55" t="str">
        <f>IF($S9="","",INDEX(CASHBACK_RULES!$C$5:$C$304,$S9)&amp;" "&amp;INDEX(CASHBACK_RULES!$D$5:$D$304,$S9))</f>
        <v>VPBank JCB Z Card</v>
      </c>
      <c r="V9" s="55" t="str">
        <f>IF($S9="","",INDEX(CASHBACK_RULES!$E$5:$E$304,$S9)&amp;"")</f>
        <v>Group 2</v>
      </c>
      <c r="W9" s="55" t="str">
        <f>IF($S9="","",INDEX(CASHBACK_RULES!$F$5:$F$304,$S9)&amp;"")</f>
        <v>Entertainment / Fitness</v>
      </c>
      <c r="X9" s="26">
        <f>IF($S9="","",SUMIFS(TRANSACTIONS_MASTER!$Q$5:$Q$1204,TRANSACTIONS_MASTER!$D$5:$D$1204,$T9,TRANSACTIONS_MASTER!$Z$5:$Z$1204,$V9,TRANSACTIONS_MASTER!$C$5:$C$1204,$C$2))</f>
        <v>0</v>
      </c>
      <c r="Y9" s="25">
        <f>IF($S9="","",IF(ISNUMBER(INDEX(CASHBACK_RULES!$J$5:$J$304,$S9)),INDEX(CASHBACK_RULES!$J$5:$J$304,$S9),"∞"))</f>
        <v>500000</v>
      </c>
      <c r="Z9" s="25">
        <f>IF($S9="","",IF(ISNUMBER($Y9),MAX(0,$Y9-$X9),"∞"))</f>
        <v>500000</v>
      </c>
      <c r="AA9" s="27">
        <f>IF($S9="","",IF(ISNUMBER($Y9),IF($Y9=0,0,$X9/$Y9),""))</f>
        <v>0</v>
      </c>
    </row>
    <row r="10" ht="20" customHeight="1">
      <c r="A10" s="81" t="str">
        <f>IF($Q10="","",3)</f>
        <v/>
      </c>
      <c r="B10" s="57" t="str">
        <f>IF($Q10="","",INDEX(TRANSACTIONS_MASTER!$B$5:$B$1204,$Q10))</f>
        <v/>
      </c>
      <c r="C10" s="55" t="str">
        <f>IF($Q10="","",INDEX(TRANSACTIONS_MASTER!$F$5:$F$1204,$Q10))</f>
        <v/>
      </c>
      <c r="D10" s="55" t="str">
        <f>IF($Q10="","",INDEX(TRANSACTIONS_MASTER!$E$5:$E$1204,$Q10))</f>
        <v/>
      </c>
      <c r="E10" s="55" t="str">
        <f>IF($Q10="","",INDEX(TRANSACTIONS_MASTER!$G$5:$G$1204,$Q10)&amp;"")</f>
        <v/>
      </c>
      <c r="F10" s="29" t="str">
        <f>IF($Q10="","",INDEX(TRANSACTIONS_MASTER!$I$5:$I$1204,$Q10))</f>
        <v/>
      </c>
      <c r="G10" s="55" t="str">
        <f>IF($Q10="","",INDEX(TRANSACTIONS_MASTER!$K$5:$K$1204,$Q10))</f>
        <v/>
      </c>
      <c r="H10" s="25" t="str">
        <f>IF($Q10="","",INDEX(TRANSACTIONS_MASTER!$L$5:$L$1204,$Q10))</f>
        <v/>
      </c>
      <c r="I10" s="56" t="str">
        <f>IF($Q10="","",INDEX(TRANSACTIONS_MASTER!$N$5:$N$1204,$Q10))</f>
        <v/>
      </c>
      <c r="J10" s="25" t="str">
        <f>IF($Q10="","",INDEX(TRANSACTIONS_MASTER!$O$5:$O$1204,$Q10))</f>
        <v/>
      </c>
      <c r="K10" s="26" t="str">
        <f>IF($Q10="","",INDEX(TRANSACTIONS_MASTER!$Q$5:$Q$1204,$Q10))</f>
        <v/>
      </c>
      <c r="L10" s="25" t="str">
        <f>IF($Q10="","",INDEX(TRANSACTIONS_MASTER!$P$5:$P$1204,$Q10))</f>
        <v/>
      </c>
      <c r="M10" s="25" t="str">
        <f>IF($Q10="","",INDEX(TRANSACTIONS_MASTER!$AA$5:$AA$1204,$Q10))</f>
        <v/>
      </c>
      <c r="N10" s="25" t="str">
        <f>IF($Q10="","",INDEX(TRANSACTIONS_MASTER!$R$5:$R$1204,$Q10))</f>
        <v/>
      </c>
      <c r="O10" s="28" t="str">
        <f>IF($Q10="","",INDEX(TRANSACTIONS_MASTER!$AB$5:$AB$1204,$Q10))</f>
        <v/>
      </c>
      <c r="P10" s="55" t="str">
        <f>IF($Q10="","",INDEX(TRANSACTIONS_MASTER!$Z$5:$Z$1204,$Q10)&amp;"")</f>
        <v/>
      </c>
      <c r="Q10" s="67" t="str">
        <f>IFERROR(MATCH($C$2&amp;"|"&amp;3,TRANSACTIONS_MASTER!$AE$5:$AE$1204,0),"")</f>
        <v/>
      </c>
      <c r="S10" s="67">
        <f>IFERROR(MATCH(3,CASHBACK_RULES!$S$5:$S$304,0),"")</f>
        <v>9</v>
      </c>
      <c r="T10" s="55" t="str">
        <f>IF($S10="","",INDEX(CASHBACK_RULES!$B$5:$B$304,$S10))</f>
        <v>VPB-JCBZ</v>
      </c>
      <c r="U10" s="55" t="str">
        <f>IF($S10="","",INDEX(CASHBACK_RULES!$C$5:$C$304,$S10)&amp;" "&amp;INDEX(CASHBACK_RULES!$D$5:$D$304,$S10))</f>
        <v>VPBank JCB Z Card</v>
      </c>
      <c r="V10" s="55" t="str">
        <f>IF($S10="","",INDEX(CASHBACK_RULES!$E$5:$E$304,$S10)&amp;"")</f>
        <v>Group 3</v>
      </c>
      <c r="W10" s="55" t="str">
        <f>IF($S10="","",INDEX(CASHBACK_RULES!$F$5:$F$304,$S10)&amp;"")</f>
        <v>Transport / Food Delivery</v>
      </c>
      <c r="X10" s="26">
        <f>IF($S10="","",SUMIFS(TRANSACTIONS_MASTER!$Q$5:$Q$1204,TRANSACTIONS_MASTER!$D$5:$D$1204,$T10,TRANSACTIONS_MASTER!$Z$5:$Z$1204,$V10,TRANSACTIONS_MASTER!$C$5:$C$1204,$C$2))</f>
        <v>0</v>
      </c>
      <c r="Y10" s="25">
        <f>IF($S10="","",IF(ISNUMBER(INDEX(CASHBACK_RULES!$J$5:$J$304,$S10)),INDEX(CASHBACK_RULES!$J$5:$J$304,$S10),"∞"))</f>
        <v>500000</v>
      </c>
      <c r="Z10" s="25">
        <f>IF($S10="","",IF(ISNUMBER($Y10),MAX(0,$Y10-$X10),"∞"))</f>
        <v>500000</v>
      </c>
      <c r="AA10" s="27">
        <f>IF($S10="","",IF(ISNUMBER($Y10),IF($Y10=0,0,$X10/$Y10),""))</f>
        <v>0</v>
      </c>
    </row>
    <row r="11" ht="20" customHeight="1">
      <c r="A11" s="81" t="str">
        <f>IF($Q11="","",4)</f>
        <v/>
      </c>
      <c r="B11" s="57" t="str">
        <f>IF($Q11="","",INDEX(TRANSACTIONS_MASTER!$B$5:$B$1204,$Q11))</f>
        <v/>
      </c>
      <c r="C11" s="55" t="str">
        <f>IF($Q11="","",INDEX(TRANSACTIONS_MASTER!$F$5:$F$1204,$Q11))</f>
        <v/>
      </c>
      <c r="D11" s="55" t="str">
        <f>IF($Q11="","",INDEX(TRANSACTIONS_MASTER!$E$5:$E$1204,$Q11))</f>
        <v/>
      </c>
      <c r="E11" s="55" t="str">
        <f>IF($Q11="","",INDEX(TRANSACTIONS_MASTER!$G$5:$G$1204,$Q11)&amp;"")</f>
        <v/>
      </c>
      <c r="F11" s="29" t="str">
        <f>IF($Q11="","",INDEX(TRANSACTIONS_MASTER!$I$5:$I$1204,$Q11))</f>
        <v/>
      </c>
      <c r="G11" s="55" t="str">
        <f>IF($Q11="","",INDEX(TRANSACTIONS_MASTER!$K$5:$K$1204,$Q11))</f>
        <v/>
      </c>
      <c r="H11" s="25" t="str">
        <f>IF($Q11="","",INDEX(TRANSACTIONS_MASTER!$L$5:$L$1204,$Q11))</f>
        <v/>
      </c>
      <c r="I11" s="56" t="str">
        <f>IF($Q11="","",INDEX(TRANSACTIONS_MASTER!$N$5:$N$1204,$Q11))</f>
        <v/>
      </c>
      <c r="J11" s="25" t="str">
        <f>IF($Q11="","",INDEX(TRANSACTIONS_MASTER!$O$5:$O$1204,$Q11))</f>
        <v/>
      </c>
      <c r="K11" s="26" t="str">
        <f>IF($Q11="","",INDEX(TRANSACTIONS_MASTER!$Q$5:$Q$1204,$Q11))</f>
        <v/>
      </c>
      <c r="L11" s="25" t="str">
        <f>IF($Q11="","",INDEX(TRANSACTIONS_MASTER!$P$5:$P$1204,$Q11))</f>
        <v/>
      </c>
      <c r="M11" s="25" t="str">
        <f>IF($Q11="","",INDEX(TRANSACTIONS_MASTER!$AA$5:$AA$1204,$Q11))</f>
        <v/>
      </c>
      <c r="N11" s="25" t="str">
        <f>IF($Q11="","",INDEX(TRANSACTIONS_MASTER!$R$5:$R$1204,$Q11))</f>
        <v/>
      </c>
      <c r="O11" s="28" t="str">
        <f>IF($Q11="","",INDEX(TRANSACTIONS_MASTER!$AB$5:$AB$1204,$Q11))</f>
        <v/>
      </c>
      <c r="P11" s="55" t="str">
        <f>IF($Q11="","",INDEX(TRANSACTIONS_MASTER!$Z$5:$Z$1204,$Q11)&amp;"")</f>
        <v/>
      </c>
      <c r="Q11" s="67" t="str">
        <f>IFERROR(MATCH($C$2&amp;"|"&amp;4,TRANSACTIONS_MASTER!$AE$5:$AE$1204,0),"")</f>
        <v/>
      </c>
      <c r="S11" s="67">
        <f>IFERROR(MATCH(4,CASHBACK_RULES!$S$5:$S$304,0),"")</f>
        <v>11</v>
      </c>
      <c r="T11" s="55" t="str">
        <f>IF($S11="","",INDEX(CASHBACK_RULES!$B$5:$B$304,$S11))</f>
        <v>VIB-A</v>
      </c>
      <c r="U11" s="55" t="str">
        <f>IF($S11="","",INDEX(CASHBACK_RULES!$C$5:$C$304,$S11)&amp;" "&amp;INDEX(CASHBACK_RULES!$D$5:$D$304,$S11))</f>
        <v>VIB Cashback Demo A</v>
      </c>
      <c r="V11" s="55" t="str">
        <f>IF($S11="","",INDEX(CASHBACK_RULES!$E$5:$E$304,$S11)&amp;"")</f>
        <v>Group 1</v>
      </c>
      <c r="W11" s="55" t="str">
        <f>IF($S11="","",INDEX(CASHBACK_RULES!$F$5:$F$304,$S11)&amp;"")</f>
        <v>Groceries</v>
      </c>
      <c r="X11" s="26">
        <f>IF($S11="","",SUMIFS(TRANSACTIONS_MASTER!$Q$5:$Q$1204,TRANSACTIONS_MASTER!$D$5:$D$1204,$T11,TRANSACTIONS_MASTER!$Z$5:$Z$1204,$V11,TRANSACTIONS_MASTER!$C$5:$C$1204,$C$2))</f>
        <v>0</v>
      </c>
      <c r="Y11" s="25">
        <f>IF($S11="","",IF(ISNUMBER(INDEX(CASHBACK_RULES!$J$5:$J$304,$S11)),INDEX(CASHBACK_RULES!$J$5:$J$304,$S11),"∞"))</f>
        <v>500000</v>
      </c>
      <c r="Z11" s="25">
        <f>IF($S11="","",IF(ISNUMBER($Y11),MAX(0,$Y11-$X11),"∞"))</f>
        <v>500000</v>
      </c>
      <c r="AA11" s="27">
        <f>IF($S11="","",IF(ISNUMBER($Y11),IF($Y11=0,0,$X11/$Y11),""))</f>
        <v>0</v>
      </c>
    </row>
    <row r="12" ht="20" customHeight="1">
      <c r="A12" s="81" t="str">
        <f>IF($Q12="","",5)</f>
        <v/>
      </c>
      <c r="B12" s="57" t="str">
        <f>IF($Q12="","",INDEX(TRANSACTIONS_MASTER!$B$5:$B$1204,$Q12))</f>
        <v/>
      </c>
      <c r="C12" s="55" t="str">
        <f>IF($Q12="","",INDEX(TRANSACTIONS_MASTER!$F$5:$F$1204,$Q12))</f>
        <v/>
      </c>
      <c r="D12" s="55" t="str">
        <f>IF($Q12="","",INDEX(TRANSACTIONS_MASTER!$E$5:$E$1204,$Q12))</f>
        <v/>
      </c>
      <c r="E12" s="55" t="str">
        <f>IF($Q12="","",INDEX(TRANSACTIONS_MASTER!$G$5:$G$1204,$Q12)&amp;"")</f>
        <v/>
      </c>
      <c r="F12" s="29" t="str">
        <f>IF($Q12="","",INDEX(TRANSACTIONS_MASTER!$I$5:$I$1204,$Q12))</f>
        <v/>
      </c>
      <c r="G12" s="55" t="str">
        <f>IF($Q12="","",INDEX(TRANSACTIONS_MASTER!$K$5:$K$1204,$Q12))</f>
        <v/>
      </c>
      <c r="H12" s="25" t="str">
        <f>IF($Q12="","",INDEX(TRANSACTIONS_MASTER!$L$5:$L$1204,$Q12))</f>
        <v/>
      </c>
      <c r="I12" s="56" t="str">
        <f>IF($Q12="","",INDEX(TRANSACTIONS_MASTER!$N$5:$N$1204,$Q12))</f>
        <v/>
      </c>
      <c r="J12" s="25" t="str">
        <f>IF($Q12="","",INDEX(TRANSACTIONS_MASTER!$O$5:$O$1204,$Q12))</f>
        <v/>
      </c>
      <c r="K12" s="26" t="str">
        <f>IF($Q12="","",INDEX(TRANSACTIONS_MASTER!$Q$5:$Q$1204,$Q12))</f>
        <v/>
      </c>
      <c r="L12" s="25" t="str">
        <f>IF($Q12="","",INDEX(TRANSACTIONS_MASTER!$P$5:$P$1204,$Q12))</f>
        <v/>
      </c>
      <c r="M12" s="25" t="str">
        <f>IF($Q12="","",INDEX(TRANSACTIONS_MASTER!$AA$5:$AA$1204,$Q12))</f>
        <v/>
      </c>
      <c r="N12" s="25" t="str">
        <f>IF($Q12="","",INDEX(TRANSACTIONS_MASTER!$R$5:$R$1204,$Q12))</f>
        <v/>
      </c>
      <c r="O12" s="28" t="str">
        <f>IF($Q12="","",INDEX(TRANSACTIONS_MASTER!$AB$5:$AB$1204,$Q12))</f>
        <v/>
      </c>
      <c r="P12" s="55" t="str">
        <f>IF($Q12="","",INDEX(TRANSACTIONS_MASTER!$Z$5:$Z$1204,$Q12)&amp;"")</f>
        <v/>
      </c>
      <c r="Q12" s="67" t="str">
        <f>IFERROR(MATCH($C$2&amp;"|"&amp;5,TRANSACTIONS_MASTER!$AE$5:$AE$1204,0),"")</f>
        <v/>
      </c>
      <c r="S12" s="67">
        <f>IFERROR(MATCH(5,CASHBACK_RULES!$S$5:$S$304,0),"")</f>
        <v>13</v>
      </c>
      <c r="T12" s="55" t="str">
        <f>IF($S12="","",INDEX(CASHBACK_RULES!$B$5:$B$304,$S12))</f>
        <v>VIB-A</v>
      </c>
      <c r="U12" s="55" t="str">
        <f>IF($S12="","",INDEX(CASHBACK_RULES!$C$5:$C$304,$S12)&amp;" "&amp;INDEX(CASHBACK_RULES!$D$5:$D$304,$S12))</f>
        <v>VIB Cashback Demo A</v>
      </c>
      <c r="V12" s="55" t="str">
        <f>IF($S12="","",INDEX(CASHBACK_RULES!$E$5:$E$304,$S12)&amp;"")</f>
        <v>Group 2</v>
      </c>
      <c r="W12" s="55" t="str">
        <f>IF($S12="","",INDEX(CASHBACK_RULES!$F$5:$F$304,$S12)&amp;"")</f>
        <v>Shopping</v>
      </c>
      <c r="X12" s="26">
        <f>IF($S12="","",SUMIFS(TRANSACTIONS_MASTER!$Q$5:$Q$1204,TRANSACTIONS_MASTER!$D$5:$D$1204,$T12,TRANSACTIONS_MASTER!$Z$5:$Z$1204,$V12,TRANSACTIONS_MASTER!$C$5:$C$1204,$C$2))</f>
        <v>0</v>
      </c>
      <c r="Y12" s="25">
        <f>IF($S12="","",IF(ISNUMBER(INDEX(CASHBACK_RULES!$J$5:$J$304,$S12)),INDEX(CASHBACK_RULES!$J$5:$J$304,$S12),"∞"))</f>
        <v>500000</v>
      </c>
      <c r="Z12" s="25">
        <f>IF($S12="","",IF(ISNUMBER($Y12),MAX(0,$Y12-$X12),"∞"))</f>
        <v>500000</v>
      </c>
      <c r="AA12" s="27">
        <f>IF($S12="","",IF(ISNUMBER($Y12),IF($Y12=0,0,$X12/$Y12),""))</f>
        <v>0</v>
      </c>
    </row>
    <row r="13" ht="20" customHeight="1">
      <c r="A13" s="81" t="str">
        <f>IF($Q13="","",6)</f>
        <v/>
      </c>
      <c r="B13" s="57" t="str">
        <f>IF($Q13="","",INDEX(TRANSACTIONS_MASTER!$B$5:$B$1204,$Q13))</f>
        <v/>
      </c>
      <c r="C13" s="55" t="str">
        <f>IF($Q13="","",INDEX(TRANSACTIONS_MASTER!$F$5:$F$1204,$Q13))</f>
        <v/>
      </c>
      <c r="D13" s="55" t="str">
        <f>IF($Q13="","",INDEX(TRANSACTIONS_MASTER!$E$5:$E$1204,$Q13))</f>
        <v/>
      </c>
      <c r="E13" s="55" t="str">
        <f>IF($Q13="","",INDEX(TRANSACTIONS_MASTER!$G$5:$G$1204,$Q13)&amp;"")</f>
        <v/>
      </c>
      <c r="F13" s="29" t="str">
        <f>IF($Q13="","",INDEX(TRANSACTIONS_MASTER!$I$5:$I$1204,$Q13))</f>
        <v/>
      </c>
      <c r="G13" s="55" t="str">
        <f>IF($Q13="","",INDEX(TRANSACTIONS_MASTER!$K$5:$K$1204,$Q13))</f>
        <v/>
      </c>
      <c r="H13" s="25" t="str">
        <f>IF($Q13="","",INDEX(TRANSACTIONS_MASTER!$L$5:$L$1204,$Q13))</f>
        <v/>
      </c>
      <c r="I13" s="56" t="str">
        <f>IF($Q13="","",INDEX(TRANSACTIONS_MASTER!$N$5:$N$1204,$Q13))</f>
        <v/>
      </c>
      <c r="J13" s="25" t="str">
        <f>IF($Q13="","",INDEX(TRANSACTIONS_MASTER!$O$5:$O$1204,$Q13))</f>
        <v/>
      </c>
      <c r="K13" s="26" t="str">
        <f>IF($Q13="","",INDEX(TRANSACTIONS_MASTER!$Q$5:$Q$1204,$Q13))</f>
        <v/>
      </c>
      <c r="L13" s="25" t="str">
        <f>IF($Q13="","",INDEX(TRANSACTIONS_MASTER!$P$5:$P$1204,$Q13))</f>
        <v/>
      </c>
      <c r="M13" s="25" t="str">
        <f>IF($Q13="","",INDEX(TRANSACTIONS_MASTER!$AA$5:$AA$1204,$Q13))</f>
        <v/>
      </c>
      <c r="N13" s="25" t="str">
        <f>IF($Q13="","",INDEX(TRANSACTIONS_MASTER!$R$5:$R$1204,$Q13))</f>
        <v/>
      </c>
      <c r="O13" s="28" t="str">
        <f>IF($Q13="","",INDEX(TRANSACTIONS_MASTER!$AB$5:$AB$1204,$Q13))</f>
        <v/>
      </c>
      <c r="P13" s="55" t="str">
        <f>IF($Q13="","",INDEX(TRANSACTIONS_MASTER!$Z$5:$Z$1204,$Q13)&amp;"")</f>
        <v/>
      </c>
      <c r="Q13" s="67" t="str">
        <f>IFERROR(MATCH($C$2&amp;"|"&amp;6,TRANSACTIONS_MASTER!$AE$5:$AE$1204,0),"")</f>
        <v/>
      </c>
      <c r="S13" s="67">
        <f>IFERROR(MATCH(6,CASHBACK_RULES!$S$5:$S$304,0),"")</f>
        <v>15</v>
      </c>
      <c r="T13" s="55" t="str">
        <f>IF($S13="","",INDEX(CASHBACK_RULES!$B$5:$B$304,$S13))</f>
        <v>TCB-B</v>
      </c>
      <c r="U13" s="55" t="str">
        <f>IF($S13="","",INDEX(CASHBACK_RULES!$C$5:$C$304,$S13)&amp;" "&amp;INDEX(CASHBACK_RULES!$D$5:$D$304,$S13))</f>
        <v>Techcombank Cashback Demo B</v>
      </c>
      <c r="V13" s="55" t="str">
        <f>IF($S13="","",INDEX(CASHBACK_RULES!$E$5:$E$304,$S13)&amp;"")</f>
        <v>Group 1</v>
      </c>
      <c r="W13" s="55" t="str">
        <f>IF($S13="","",INDEX(CASHBACK_RULES!$F$5:$F$304,$S13)&amp;"")</f>
        <v>Fuel &amp; Transport</v>
      </c>
      <c r="X13" s="26">
        <f>IF($S13="","",SUMIFS(TRANSACTIONS_MASTER!$Q$5:$Q$1204,TRANSACTIONS_MASTER!$D$5:$D$1204,$T13,TRANSACTIONS_MASTER!$Z$5:$Z$1204,$V13,TRANSACTIONS_MASTER!$C$5:$C$1204,$C$2))</f>
        <v>0</v>
      </c>
      <c r="Y13" s="25">
        <f>IF($S13="","",IF(ISNUMBER(INDEX(CASHBACK_RULES!$J$5:$J$304,$S13)),INDEX(CASHBACK_RULES!$J$5:$J$304,$S13),"∞"))</f>
        <v>300000</v>
      </c>
      <c r="Z13" s="25">
        <f>IF($S13="","",IF(ISNUMBER($Y13),MAX(0,$Y13-$X13),"∞"))</f>
        <v>300000</v>
      </c>
      <c r="AA13" s="27">
        <f>IF($S13="","",IF(ISNUMBER($Y13),IF($Y13=0,0,$X13/$Y13),""))</f>
        <v>0</v>
      </c>
    </row>
    <row r="14" ht="20" customHeight="1">
      <c r="A14" s="81" t="str">
        <f>IF($Q14="","",7)</f>
        <v/>
      </c>
      <c r="B14" s="57" t="str">
        <f>IF($Q14="","",INDEX(TRANSACTIONS_MASTER!$B$5:$B$1204,$Q14))</f>
        <v/>
      </c>
      <c r="C14" s="55" t="str">
        <f>IF($Q14="","",INDEX(TRANSACTIONS_MASTER!$F$5:$F$1204,$Q14))</f>
        <v/>
      </c>
      <c r="D14" s="55" t="str">
        <f>IF($Q14="","",INDEX(TRANSACTIONS_MASTER!$E$5:$E$1204,$Q14))</f>
        <v/>
      </c>
      <c r="E14" s="55" t="str">
        <f>IF($Q14="","",INDEX(TRANSACTIONS_MASTER!$G$5:$G$1204,$Q14)&amp;"")</f>
        <v/>
      </c>
      <c r="F14" s="29" t="str">
        <f>IF($Q14="","",INDEX(TRANSACTIONS_MASTER!$I$5:$I$1204,$Q14))</f>
        <v/>
      </c>
      <c r="G14" s="55" t="str">
        <f>IF($Q14="","",INDEX(TRANSACTIONS_MASTER!$K$5:$K$1204,$Q14))</f>
        <v/>
      </c>
      <c r="H14" s="25" t="str">
        <f>IF($Q14="","",INDEX(TRANSACTIONS_MASTER!$L$5:$L$1204,$Q14))</f>
        <v/>
      </c>
      <c r="I14" s="56" t="str">
        <f>IF($Q14="","",INDEX(TRANSACTIONS_MASTER!$N$5:$N$1204,$Q14))</f>
        <v/>
      </c>
      <c r="J14" s="25" t="str">
        <f>IF($Q14="","",INDEX(TRANSACTIONS_MASTER!$O$5:$O$1204,$Q14))</f>
        <v/>
      </c>
      <c r="K14" s="26" t="str">
        <f>IF($Q14="","",INDEX(TRANSACTIONS_MASTER!$Q$5:$Q$1204,$Q14))</f>
        <v/>
      </c>
      <c r="L14" s="25" t="str">
        <f>IF($Q14="","",INDEX(TRANSACTIONS_MASTER!$P$5:$P$1204,$Q14))</f>
        <v/>
      </c>
      <c r="M14" s="25" t="str">
        <f>IF($Q14="","",INDEX(TRANSACTIONS_MASTER!$AA$5:$AA$1204,$Q14))</f>
        <v/>
      </c>
      <c r="N14" s="25" t="str">
        <f>IF($Q14="","",INDEX(TRANSACTIONS_MASTER!$R$5:$R$1204,$Q14))</f>
        <v/>
      </c>
      <c r="O14" s="28" t="str">
        <f>IF($Q14="","",INDEX(TRANSACTIONS_MASTER!$AB$5:$AB$1204,$Q14))</f>
        <v/>
      </c>
      <c r="P14" s="55" t="str">
        <f>IF($Q14="","",INDEX(TRANSACTIONS_MASTER!$Z$5:$Z$1204,$Q14)&amp;"")</f>
        <v/>
      </c>
      <c r="Q14" s="67" t="str">
        <f>IFERROR(MATCH($C$2&amp;"|"&amp;7,TRANSACTIONS_MASTER!$AE$5:$AE$1204,0),"")</f>
        <v/>
      </c>
      <c r="S14" s="67">
        <f>IFERROR(MATCH(7,CASHBACK_RULES!$S$5:$S$304,0),"")</f>
        <v>18</v>
      </c>
      <c r="T14" s="55" t="str">
        <f>IF($S14="","",INDEX(CASHBACK_RULES!$B$5:$B$304,$S14))</f>
        <v>TCB-B</v>
      </c>
      <c r="U14" s="55" t="str">
        <f>IF($S14="","",INDEX(CASHBACK_RULES!$C$5:$C$304,$S14)&amp;" "&amp;INDEX(CASHBACK_RULES!$D$5:$D$304,$S14))</f>
        <v>Techcombank Cashback Demo B</v>
      </c>
      <c r="V14" s="55" t="str">
        <f>IF($S14="","",INDEX(CASHBACK_RULES!$E$5:$E$304,$S14)&amp;"")</f>
        <v>Group 2</v>
      </c>
      <c r="W14" s="55" t="str">
        <f>IF($S14="","",INDEX(CASHBACK_RULES!$F$5:$F$304,$S14)&amp;"")</f>
        <v>Healthcare</v>
      </c>
      <c r="X14" s="26">
        <f>IF($S14="","",SUMIFS(TRANSACTIONS_MASTER!$Q$5:$Q$1204,TRANSACTIONS_MASTER!$D$5:$D$1204,$T14,TRANSACTIONS_MASTER!$Z$5:$Z$1204,$V14,TRANSACTIONS_MASTER!$C$5:$C$1204,$C$2))</f>
        <v>0</v>
      </c>
      <c r="Y14" s="25">
        <f>IF($S14="","",IF(ISNUMBER(INDEX(CASHBACK_RULES!$J$5:$J$304,$S14)),INDEX(CASHBACK_RULES!$J$5:$J$304,$S14),"∞"))</f>
        <v>300000</v>
      </c>
      <c r="Z14" s="25">
        <f>IF($S14="","",IF(ISNUMBER($Y14),MAX(0,$Y14-$X14),"∞"))</f>
        <v>300000</v>
      </c>
      <c r="AA14" s="27">
        <f>IF($S14="","",IF(ISNUMBER($Y14),IF($Y14=0,0,$X14/$Y14),""))</f>
        <v>0</v>
      </c>
    </row>
    <row r="15" ht="20" customHeight="1">
      <c r="A15" s="81" t="str">
        <f>IF($Q15="","",8)</f>
        <v/>
      </c>
      <c r="B15" s="57" t="str">
        <f>IF($Q15="","",INDEX(TRANSACTIONS_MASTER!$B$5:$B$1204,$Q15))</f>
        <v/>
      </c>
      <c r="C15" s="55" t="str">
        <f>IF($Q15="","",INDEX(TRANSACTIONS_MASTER!$F$5:$F$1204,$Q15))</f>
        <v/>
      </c>
      <c r="D15" s="55" t="str">
        <f>IF($Q15="","",INDEX(TRANSACTIONS_MASTER!$E$5:$E$1204,$Q15))</f>
        <v/>
      </c>
      <c r="E15" s="55" t="str">
        <f>IF($Q15="","",INDEX(TRANSACTIONS_MASTER!$G$5:$G$1204,$Q15)&amp;"")</f>
        <v/>
      </c>
      <c r="F15" s="29" t="str">
        <f>IF($Q15="","",INDEX(TRANSACTIONS_MASTER!$I$5:$I$1204,$Q15))</f>
        <v/>
      </c>
      <c r="G15" s="55" t="str">
        <f>IF($Q15="","",INDEX(TRANSACTIONS_MASTER!$K$5:$K$1204,$Q15))</f>
        <v/>
      </c>
      <c r="H15" s="25" t="str">
        <f>IF($Q15="","",INDEX(TRANSACTIONS_MASTER!$L$5:$L$1204,$Q15))</f>
        <v/>
      </c>
      <c r="I15" s="56" t="str">
        <f>IF($Q15="","",INDEX(TRANSACTIONS_MASTER!$N$5:$N$1204,$Q15))</f>
        <v/>
      </c>
      <c r="J15" s="25" t="str">
        <f>IF($Q15="","",INDEX(TRANSACTIONS_MASTER!$O$5:$O$1204,$Q15))</f>
        <v/>
      </c>
      <c r="K15" s="26" t="str">
        <f>IF($Q15="","",INDEX(TRANSACTIONS_MASTER!$Q$5:$Q$1204,$Q15))</f>
        <v/>
      </c>
      <c r="L15" s="25" t="str">
        <f>IF($Q15="","",INDEX(TRANSACTIONS_MASTER!$P$5:$P$1204,$Q15))</f>
        <v/>
      </c>
      <c r="M15" s="25" t="str">
        <f>IF($Q15="","",INDEX(TRANSACTIONS_MASTER!$AA$5:$AA$1204,$Q15))</f>
        <v/>
      </c>
      <c r="N15" s="25" t="str">
        <f>IF($Q15="","",INDEX(TRANSACTIONS_MASTER!$R$5:$R$1204,$Q15))</f>
        <v/>
      </c>
      <c r="O15" s="28" t="str">
        <f>IF($Q15="","",INDEX(TRANSACTIONS_MASTER!$AB$5:$AB$1204,$Q15))</f>
        <v/>
      </c>
      <c r="P15" s="55" t="str">
        <f>IF($Q15="","",INDEX(TRANSACTIONS_MASTER!$Z$5:$Z$1204,$Q15)&amp;"")</f>
        <v/>
      </c>
      <c r="Q15" s="67" t="str">
        <f>IFERROR(MATCH($C$2&amp;"|"&amp;8,TRANSACTIONS_MASTER!$AE$5:$AE$1204,0),"")</f>
        <v/>
      </c>
      <c r="S15" s="67">
        <f>IFERROR(MATCH(8,CASHBACK_RULES!$S$5:$S$304,0),"")</f>
        <v>20</v>
      </c>
      <c r="T15" s="55" t="str">
        <f>IF($S15="","",INDEX(CASHBACK_RULES!$B$5:$B$304,$S15))</f>
        <v>TCB-B</v>
      </c>
      <c r="U15" s="55" t="str">
        <f>IF($S15="","",INDEX(CASHBACK_RULES!$C$5:$C$304,$S15)&amp;" "&amp;INDEX(CASHBACK_RULES!$D$5:$D$304,$S15))</f>
        <v>Techcombank Cashback Demo B</v>
      </c>
      <c r="V15" s="55" t="str">
        <f>IF($S15="","",INDEX(CASHBACK_RULES!$E$5:$E$304,$S15)&amp;"")</f>
        <v>Group 3</v>
      </c>
      <c r="W15" s="55" t="str">
        <f>IF($S15="","",INDEX(CASHBACK_RULES!$F$5:$F$304,$S15)&amp;"")</f>
        <v>Utilities &amp; Telecom</v>
      </c>
      <c r="X15" s="26">
        <f>IF($S15="","",SUMIFS(TRANSACTIONS_MASTER!$Q$5:$Q$1204,TRANSACTIONS_MASTER!$D$5:$D$1204,$T15,TRANSACTIONS_MASTER!$Z$5:$Z$1204,$V15,TRANSACTIONS_MASTER!$C$5:$C$1204,$C$2))</f>
        <v>0</v>
      </c>
      <c r="Y15" s="25">
        <f>IF($S15="","",IF(ISNUMBER(INDEX(CASHBACK_RULES!$J$5:$J$304,$S15)),INDEX(CASHBACK_RULES!$J$5:$J$304,$S15),"∞"))</f>
        <v>300000</v>
      </c>
      <c r="Z15" s="25">
        <f>IF($S15="","",IF(ISNUMBER($Y15),MAX(0,$Y15-$X15),"∞"))</f>
        <v>300000</v>
      </c>
      <c r="AA15" s="27">
        <f>IF($S15="","",IF(ISNUMBER($Y15),IF($Y15=0,0,$X15/$Y15),""))</f>
        <v>0</v>
      </c>
    </row>
    <row r="16" ht="20" customHeight="1">
      <c r="A16" s="81" t="str">
        <f>IF($Q16="","",9)</f>
        <v/>
      </c>
      <c r="B16" s="57" t="str">
        <f>IF($Q16="","",INDEX(TRANSACTIONS_MASTER!$B$5:$B$1204,$Q16))</f>
        <v/>
      </c>
      <c r="C16" s="55" t="str">
        <f>IF($Q16="","",INDEX(TRANSACTIONS_MASTER!$F$5:$F$1204,$Q16))</f>
        <v/>
      </c>
      <c r="D16" s="55" t="str">
        <f>IF($Q16="","",INDEX(TRANSACTIONS_MASTER!$E$5:$E$1204,$Q16))</f>
        <v/>
      </c>
      <c r="E16" s="55" t="str">
        <f>IF($Q16="","",INDEX(TRANSACTIONS_MASTER!$G$5:$G$1204,$Q16)&amp;"")</f>
        <v/>
      </c>
      <c r="F16" s="29" t="str">
        <f>IF($Q16="","",INDEX(TRANSACTIONS_MASTER!$I$5:$I$1204,$Q16))</f>
        <v/>
      </c>
      <c r="G16" s="55" t="str">
        <f>IF($Q16="","",INDEX(TRANSACTIONS_MASTER!$K$5:$K$1204,$Q16))</f>
        <v/>
      </c>
      <c r="H16" s="25" t="str">
        <f>IF($Q16="","",INDEX(TRANSACTIONS_MASTER!$L$5:$L$1204,$Q16))</f>
        <v/>
      </c>
      <c r="I16" s="56" t="str">
        <f>IF($Q16="","",INDEX(TRANSACTIONS_MASTER!$N$5:$N$1204,$Q16))</f>
        <v/>
      </c>
      <c r="J16" s="25" t="str">
        <f>IF($Q16="","",INDEX(TRANSACTIONS_MASTER!$O$5:$O$1204,$Q16))</f>
        <v/>
      </c>
      <c r="K16" s="26" t="str">
        <f>IF($Q16="","",INDEX(TRANSACTIONS_MASTER!$Q$5:$Q$1204,$Q16))</f>
        <v/>
      </c>
      <c r="L16" s="25" t="str">
        <f>IF($Q16="","",INDEX(TRANSACTIONS_MASTER!$P$5:$P$1204,$Q16))</f>
        <v/>
      </c>
      <c r="M16" s="25" t="str">
        <f>IF($Q16="","",INDEX(TRANSACTIONS_MASTER!$AA$5:$AA$1204,$Q16))</f>
        <v/>
      </c>
      <c r="N16" s="25" t="str">
        <f>IF($Q16="","",INDEX(TRANSACTIONS_MASTER!$R$5:$R$1204,$Q16))</f>
        <v/>
      </c>
      <c r="O16" s="28" t="str">
        <f>IF($Q16="","",INDEX(TRANSACTIONS_MASTER!$AB$5:$AB$1204,$Q16))</f>
        <v/>
      </c>
      <c r="P16" s="55" t="str">
        <f>IF($Q16="","",INDEX(TRANSACTIONS_MASTER!$Z$5:$Z$1204,$Q16)&amp;"")</f>
        <v/>
      </c>
      <c r="Q16" s="67" t="str">
        <f>IFERROR(MATCH($C$2&amp;"|"&amp;9,TRANSACTIONS_MASTER!$AE$5:$AE$1204,0),"")</f>
        <v/>
      </c>
      <c r="S16" s="67">
        <f>IFERROR(MATCH(9,CASHBACK_RULES!$S$5:$S$304,0),"")</f>
        <v>22</v>
      </c>
      <c r="T16" s="55" t="str">
        <f>IF($S16="","",INDEX(CASHBACK_RULES!$B$5:$B$304,$S16))</f>
        <v>UOB-C</v>
      </c>
      <c r="U16" s="55" t="str">
        <f>IF($S16="","",INDEX(CASHBACK_RULES!$C$5:$C$304,$S16)&amp;" "&amp;INDEX(CASHBACK_RULES!$D$5:$D$304,$S16))</f>
        <v>UOB Cashback Demo C</v>
      </c>
      <c r="V16" s="55" t="str">
        <f>IF($S16="","",INDEX(CASHBACK_RULES!$E$5:$E$304,$S16)&amp;"")</f>
        <v>Group 1</v>
      </c>
      <c r="W16" s="55" t="str">
        <f>IF($S16="","",INDEX(CASHBACK_RULES!$F$5:$F$304,$S16)&amp;"")</f>
        <v>Dining</v>
      </c>
      <c r="X16" s="26">
        <f>IF($S16="","",SUMIFS(TRANSACTIONS_MASTER!$Q$5:$Q$1204,TRANSACTIONS_MASTER!$D$5:$D$1204,$T16,TRANSACTIONS_MASTER!$Z$5:$Z$1204,$V16,TRANSACTIONS_MASTER!$C$5:$C$1204,$C$2))</f>
        <v>0</v>
      </c>
      <c r="Y16" s="25">
        <f>IF($S16="","",IF(ISNUMBER(INDEX(CASHBACK_RULES!$J$5:$J$304,$S16)),INDEX(CASHBACK_RULES!$J$5:$J$304,$S16),"∞"))</f>
        <v>1000000</v>
      </c>
      <c r="Z16" s="25">
        <f>IF($S16="","",IF(ISNUMBER($Y16),MAX(0,$Y16-$X16),"∞"))</f>
        <v>1000000</v>
      </c>
      <c r="AA16" s="27">
        <f>IF($S16="","",IF(ISNUMBER($Y16),IF($Y16=0,0,$X16/$Y16),""))</f>
        <v>0</v>
      </c>
    </row>
    <row r="17" ht="20" customHeight="1">
      <c r="A17" s="81" t="str">
        <f>IF($Q17="","",10)</f>
        <v/>
      </c>
      <c r="B17" s="57" t="str">
        <f>IF($Q17="","",INDEX(TRANSACTIONS_MASTER!$B$5:$B$1204,$Q17))</f>
        <v/>
      </c>
      <c r="C17" s="55" t="str">
        <f>IF($Q17="","",INDEX(TRANSACTIONS_MASTER!$F$5:$F$1204,$Q17))</f>
        <v/>
      </c>
      <c r="D17" s="55" t="str">
        <f>IF($Q17="","",INDEX(TRANSACTIONS_MASTER!$E$5:$E$1204,$Q17))</f>
        <v/>
      </c>
      <c r="E17" s="55" t="str">
        <f>IF($Q17="","",INDEX(TRANSACTIONS_MASTER!$G$5:$G$1204,$Q17)&amp;"")</f>
        <v/>
      </c>
      <c r="F17" s="29" t="str">
        <f>IF($Q17="","",INDEX(TRANSACTIONS_MASTER!$I$5:$I$1204,$Q17))</f>
        <v/>
      </c>
      <c r="G17" s="55" t="str">
        <f>IF($Q17="","",INDEX(TRANSACTIONS_MASTER!$K$5:$K$1204,$Q17))</f>
        <v/>
      </c>
      <c r="H17" s="25" t="str">
        <f>IF($Q17="","",INDEX(TRANSACTIONS_MASTER!$L$5:$L$1204,$Q17))</f>
        <v/>
      </c>
      <c r="I17" s="56" t="str">
        <f>IF($Q17="","",INDEX(TRANSACTIONS_MASTER!$N$5:$N$1204,$Q17))</f>
        <v/>
      </c>
      <c r="J17" s="25" t="str">
        <f>IF($Q17="","",INDEX(TRANSACTIONS_MASTER!$O$5:$O$1204,$Q17))</f>
        <v/>
      </c>
      <c r="K17" s="26" t="str">
        <f>IF($Q17="","",INDEX(TRANSACTIONS_MASTER!$Q$5:$Q$1204,$Q17))</f>
        <v/>
      </c>
      <c r="L17" s="25" t="str">
        <f>IF($Q17="","",INDEX(TRANSACTIONS_MASTER!$P$5:$P$1204,$Q17))</f>
        <v/>
      </c>
      <c r="M17" s="25" t="str">
        <f>IF($Q17="","",INDEX(TRANSACTIONS_MASTER!$AA$5:$AA$1204,$Q17))</f>
        <v/>
      </c>
      <c r="N17" s="25" t="str">
        <f>IF($Q17="","",INDEX(TRANSACTIONS_MASTER!$R$5:$R$1204,$Q17))</f>
        <v/>
      </c>
      <c r="O17" s="28" t="str">
        <f>IF($Q17="","",INDEX(TRANSACTIONS_MASTER!$AB$5:$AB$1204,$Q17))</f>
        <v/>
      </c>
      <c r="P17" s="55" t="str">
        <f>IF($Q17="","",INDEX(TRANSACTIONS_MASTER!$Z$5:$Z$1204,$Q17)&amp;"")</f>
        <v/>
      </c>
      <c r="Q17" s="67" t="str">
        <f>IFERROR(MATCH($C$2&amp;"|"&amp;10,TRANSACTIONS_MASTER!$AE$5:$AE$1204,0),"")</f>
        <v/>
      </c>
      <c r="S17" s="67">
        <f>IFERROR(MATCH(10,CASHBACK_RULES!$S$5:$S$304,0),"")</f>
        <v>24</v>
      </c>
      <c r="T17" s="55" t="str">
        <f>IF($S17="","",INDEX(CASHBACK_RULES!$B$5:$B$304,$S17))</f>
        <v>MB-D</v>
      </c>
      <c r="U17" s="55" t="str">
        <f>IF($S17="","",INDEX(CASHBACK_RULES!$C$5:$C$304,$S17)&amp;" "&amp;INDEX(CASHBACK_RULES!$D$5:$D$304,$S17))</f>
        <v>MB Cashback Demo D</v>
      </c>
      <c r="V17" s="55" t="str">
        <f>IF($S17="","",INDEX(CASHBACK_RULES!$E$5:$E$304,$S17)&amp;"")</f>
        <v>Dining</v>
      </c>
      <c r="W17" s="55" t="str">
        <f>IF($S17="","",INDEX(CASHBACK_RULES!$F$5:$F$304,$S17)&amp;"")</f>
        <v>Dining</v>
      </c>
      <c r="X17" s="26">
        <f>IF($S17="","",SUMIFS(TRANSACTIONS_MASTER!$Q$5:$Q$1204,TRANSACTIONS_MASTER!$D$5:$D$1204,$T17,TRANSACTIONS_MASTER!$Z$5:$Z$1204,$V17,TRANSACTIONS_MASTER!$C$5:$C$1204,$C$2))</f>
        <v>0</v>
      </c>
      <c r="Y17" s="25">
        <f>IF($S17="","",IF(ISNUMBER(INDEX(CASHBACK_RULES!$J$5:$J$304,$S17)),INDEX(CASHBACK_RULES!$J$5:$J$304,$S17),"∞"))</f>
        <v>500000</v>
      </c>
      <c r="Z17" s="25">
        <f>IF($S17="","",IF(ISNUMBER($Y17),MAX(0,$Y17-$X17),"∞"))</f>
        <v>500000</v>
      </c>
      <c r="AA17" s="27">
        <f>IF($S17="","",IF(ISNUMBER($Y17),IF($Y17=0,0,$X17/$Y17),""))</f>
        <v>0</v>
      </c>
    </row>
    <row r="18" ht="20" customHeight="1">
      <c r="A18" s="81" t="str">
        <f>IF($Q18="","",11)</f>
        <v/>
      </c>
      <c r="B18" s="57" t="str">
        <f>IF($Q18="","",INDEX(TRANSACTIONS_MASTER!$B$5:$B$1204,$Q18))</f>
        <v/>
      </c>
      <c r="C18" s="55" t="str">
        <f>IF($Q18="","",INDEX(TRANSACTIONS_MASTER!$F$5:$F$1204,$Q18))</f>
        <v/>
      </c>
      <c r="D18" s="55" t="str">
        <f>IF($Q18="","",INDEX(TRANSACTIONS_MASTER!$E$5:$E$1204,$Q18))</f>
        <v/>
      </c>
      <c r="E18" s="55" t="str">
        <f>IF($Q18="","",INDEX(TRANSACTIONS_MASTER!$G$5:$G$1204,$Q18)&amp;"")</f>
        <v/>
      </c>
      <c r="F18" s="29" t="str">
        <f>IF($Q18="","",INDEX(TRANSACTIONS_MASTER!$I$5:$I$1204,$Q18))</f>
        <v/>
      </c>
      <c r="G18" s="55" t="str">
        <f>IF($Q18="","",INDEX(TRANSACTIONS_MASTER!$K$5:$K$1204,$Q18))</f>
        <v/>
      </c>
      <c r="H18" s="25" t="str">
        <f>IF($Q18="","",INDEX(TRANSACTIONS_MASTER!$L$5:$L$1204,$Q18))</f>
        <v/>
      </c>
      <c r="I18" s="56" t="str">
        <f>IF($Q18="","",INDEX(TRANSACTIONS_MASTER!$N$5:$N$1204,$Q18))</f>
        <v/>
      </c>
      <c r="J18" s="25" t="str">
        <f>IF($Q18="","",INDEX(TRANSACTIONS_MASTER!$O$5:$O$1204,$Q18))</f>
        <v/>
      </c>
      <c r="K18" s="26" t="str">
        <f>IF($Q18="","",INDEX(TRANSACTIONS_MASTER!$Q$5:$Q$1204,$Q18))</f>
        <v/>
      </c>
      <c r="L18" s="25" t="str">
        <f>IF($Q18="","",INDEX(TRANSACTIONS_MASTER!$P$5:$P$1204,$Q18))</f>
        <v/>
      </c>
      <c r="M18" s="25" t="str">
        <f>IF($Q18="","",INDEX(TRANSACTIONS_MASTER!$AA$5:$AA$1204,$Q18))</f>
        <v/>
      </c>
      <c r="N18" s="25" t="str">
        <f>IF($Q18="","",INDEX(TRANSACTIONS_MASTER!$R$5:$R$1204,$Q18))</f>
        <v/>
      </c>
      <c r="O18" s="28" t="str">
        <f>IF($Q18="","",INDEX(TRANSACTIONS_MASTER!$AB$5:$AB$1204,$Q18))</f>
        <v/>
      </c>
      <c r="P18" s="55" t="str">
        <f>IF($Q18="","",INDEX(TRANSACTIONS_MASTER!$Z$5:$Z$1204,$Q18)&amp;"")</f>
        <v/>
      </c>
      <c r="Q18" s="67" t="str">
        <f>IFERROR(MATCH($C$2&amp;"|"&amp;11,TRANSACTIONS_MASTER!$AE$5:$AE$1204,0),"")</f>
        <v/>
      </c>
      <c r="S18" s="67">
        <f>IFERROR(MATCH(11,CASHBACK_RULES!$S$5:$S$304,0),"")</f>
        <v>25</v>
      </c>
      <c r="T18" s="55" t="str">
        <f>IF($S18="","",INDEX(CASHBACK_RULES!$B$5:$B$304,$S18))</f>
        <v>MB-D</v>
      </c>
      <c r="U18" s="55" t="str">
        <f>IF($S18="","",INDEX(CASHBACK_RULES!$C$5:$C$304,$S18)&amp;" "&amp;INDEX(CASHBACK_RULES!$D$5:$D$304,$S18))</f>
        <v>MB Cashback Demo D</v>
      </c>
      <c r="V18" s="55" t="str">
        <f>IF($S18="","",INDEX(CASHBACK_RULES!$E$5:$E$304,$S18)&amp;"")</f>
        <v>Fuel</v>
      </c>
      <c r="W18" s="55" t="str">
        <f>IF($S18="","",INDEX(CASHBACK_RULES!$F$5:$F$304,$S18)&amp;"")</f>
        <v>Fuel</v>
      </c>
      <c r="X18" s="26">
        <f>IF($S18="","",SUMIFS(TRANSACTIONS_MASTER!$Q$5:$Q$1204,TRANSACTIONS_MASTER!$D$5:$D$1204,$T18,TRANSACTIONS_MASTER!$Z$5:$Z$1204,$V18,TRANSACTIONS_MASTER!$C$5:$C$1204,$C$2))</f>
        <v>0</v>
      </c>
      <c r="Y18" s="25">
        <f>IF($S18="","",IF(ISNUMBER(INDEX(CASHBACK_RULES!$J$5:$J$304,$S18)),INDEX(CASHBACK_RULES!$J$5:$J$304,$S18),"∞"))</f>
        <v>200000</v>
      </c>
      <c r="Z18" s="25">
        <f>IF($S18="","",IF(ISNUMBER($Y18),MAX(0,$Y18-$X18),"∞"))</f>
        <v>200000</v>
      </c>
      <c r="AA18" s="27">
        <f>IF($S18="","",IF(ISNUMBER($Y18),IF($Y18=0,0,$X18/$Y18),""))</f>
        <v>0</v>
      </c>
    </row>
    <row r="19" ht="20" customHeight="1">
      <c r="A19" s="81" t="str">
        <f>IF($Q19="","",12)</f>
        <v/>
      </c>
      <c r="B19" s="57" t="str">
        <f>IF($Q19="","",INDEX(TRANSACTIONS_MASTER!$B$5:$B$1204,$Q19))</f>
        <v/>
      </c>
      <c r="C19" s="55" t="str">
        <f>IF($Q19="","",INDEX(TRANSACTIONS_MASTER!$F$5:$F$1204,$Q19))</f>
        <v/>
      </c>
      <c r="D19" s="55" t="str">
        <f>IF($Q19="","",INDEX(TRANSACTIONS_MASTER!$E$5:$E$1204,$Q19))</f>
        <v/>
      </c>
      <c r="E19" s="55" t="str">
        <f>IF($Q19="","",INDEX(TRANSACTIONS_MASTER!$G$5:$G$1204,$Q19)&amp;"")</f>
        <v/>
      </c>
      <c r="F19" s="29" t="str">
        <f>IF($Q19="","",INDEX(TRANSACTIONS_MASTER!$I$5:$I$1204,$Q19))</f>
        <v/>
      </c>
      <c r="G19" s="55" t="str">
        <f>IF($Q19="","",INDEX(TRANSACTIONS_MASTER!$K$5:$K$1204,$Q19))</f>
        <v/>
      </c>
      <c r="H19" s="25" t="str">
        <f>IF($Q19="","",INDEX(TRANSACTIONS_MASTER!$L$5:$L$1204,$Q19))</f>
        <v/>
      </c>
      <c r="I19" s="56" t="str">
        <f>IF($Q19="","",INDEX(TRANSACTIONS_MASTER!$N$5:$N$1204,$Q19))</f>
        <v/>
      </c>
      <c r="J19" s="25" t="str">
        <f>IF($Q19="","",INDEX(TRANSACTIONS_MASTER!$O$5:$O$1204,$Q19))</f>
        <v/>
      </c>
      <c r="K19" s="26" t="str">
        <f>IF($Q19="","",INDEX(TRANSACTIONS_MASTER!$Q$5:$Q$1204,$Q19))</f>
        <v/>
      </c>
      <c r="L19" s="25" t="str">
        <f>IF($Q19="","",INDEX(TRANSACTIONS_MASTER!$P$5:$P$1204,$Q19))</f>
        <v/>
      </c>
      <c r="M19" s="25" t="str">
        <f>IF($Q19="","",INDEX(TRANSACTIONS_MASTER!$AA$5:$AA$1204,$Q19))</f>
        <v/>
      </c>
      <c r="N19" s="25" t="str">
        <f>IF($Q19="","",INDEX(TRANSACTIONS_MASTER!$R$5:$R$1204,$Q19))</f>
        <v/>
      </c>
      <c r="O19" s="28" t="str">
        <f>IF($Q19="","",INDEX(TRANSACTIONS_MASTER!$AB$5:$AB$1204,$Q19))</f>
        <v/>
      </c>
      <c r="P19" s="55" t="str">
        <f>IF($Q19="","",INDEX(TRANSACTIONS_MASTER!$Z$5:$Z$1204,$Q19)&amp;"")</f>
        <v/>
      </c>
      <c r="Q19" s="67" t="str">
        <f>IFERROR(MATCH($C$2&amp;"|"&amp;12,TRANSACTIONS_MASTER!$AE$5:$AE$1204,0),"")</f>
        <v/>
      </c>
      <c r="S19" s="67">
        <f>IFERROR(MATCH(12,CASHBACK_RULES!$S$5:$S$304,0),"")</f>
        <v>26</v>
      </c>
      <c r="T19" s="55" t="str">
        <f>IF($S19="","",INDEX(CASHBACK_RULES!$B$5:$B$304,$S19))</f>
        <v>MB-D</v>
      </c>
      <c r="U19" s="55" t="str">
        <f>IF($S19="","",INDEX(CASHBACK_RULES!$C$5:$C$304,$S19)&amp;" "&amp;INDEX(CASHBACK_RULES!$D$5:$D$304,$S19))</f>
        <v>MB Cashback Demo D</v>
      </c>
      <c r="V19" s="55" t="str">
        <f>IF($S19="","",INDEX(CASHBACK_RULES!$E$5:$E$304,$S19)&amp;"")</f>
        <v>Groceries</v>
      </c>
      <c r="W19" s="55" t="str">
        <f>IF($S19="","",INDEX(CASHBACK_RULES!$F$5:$F$304,$S19)&amp;"")</f>
        <v>Groceries</v>
      </c>
      <c r="X19" s="26">
        <f>IF($S19="","",SUMIFS(TRANSACTIONS_MASTER!$Q$5:$Q$1204,TRANSACTIONS_MASTER!$D$5:$D$1204,$T19,TRANSACTIONS_MASTER!$Z$5:$Z$1204,$V19,TRANSACTIONS_MASTER!$C$5:$C$1204,$C$2))</f>
        <v>0</v>
      </c>
      <c r="Y19" s="25">
        <f>IF($S19="","",IF(ISNUMBER(INDEX(CASHBACK_RULES!$J$5:$J$304,$S19)),INDEX(CASHBACK_RULES!$J$5:$J$304,$S19),"∞"))</f>
        <v>100000</v>
      </c>
      <c r="Z19" s="25">
        <f>IF($S19="","",IF(ISNUMBER($Y19),MAX(0,$Y19-$X19),"∞"))</f>
        <v>100000</v>
      </c>
      <c r="AA19" s="27">
        <f>IF($S19="","",IF(ISNUMBER($Y19),IF($Y19=0,0,$X19/$Y19),""))</f>
        <v>0</v>
      </c>
    </row>
    <row r="20" ht="20" customHeight="1">
      <c r="A20" s="81" t="str">
        <f>IF($Q20="","",13)</f>
        <v/>
      </c>
      <c r="B20" s="57" t="str">
        <f>IF($Q20="","",INDEX(TRANSACTIONS_MASTER!$B$5:$B$1204,$Q20))</f>
        <v/>
      </c>
      <c r="C20" s="55" t="str">
        <f>IF($Q20="","",INDEX(TRANSACTIONS_MASTER!$F$5:$F$1204,$Q20))</f>
        <v/>
      </c>
      <c r="D20" s="55" t="str">
        <f>IF($Q20="","",INDEX(TRANSACTIONS_MASTER!$E$5:$E$1204,$Q20))</f>
        <v/>
      </c>
      <c r="E20" s="55" t="str">
        <f>IF($Q20="","",INDEX(TRANSACTIONS_MASTER!$G$5:$G$1204,$Q20)&amp;"")</f>
        <v/>
      </c>
      <c r="F20" s="29" t="str">
        <f>IF($Q20="","",INDEX(TRANSACTIONS_MASTER!$I$5:$I$1204,$Q20))</f>
        <v/>
      </c>
      <c r="G20" s="55" t="str">
        <f>IF($Q20="","",INDEX(TRANSACTIONS_MASTER!$K$5:$K$1204,$Q20))</f>
        <v/>
      </c>
      <c r="H20" s="25" t="str">
        <f>IF($Q20="","",INDEX(TRANSACTIONS_MASTER!$L$5:$L$1204,$Q20))</f>
        <v/>
      </c>
      <c r="I20" s="56" t="str">
        <f>IF($Q20="","",INDEX(TRANSACTIONS_MASTER!$N$5:$N$1204,$Q20))</f>
        <v/>
      </c>
      <c r="J20" s="25" t="str">
        <f>IF($Q20="","",INDEX(TRANSACTIONS_MASTER!$O$5:$O$1204,$Q20))</f>
        <v/>
      </c>
      <c r="K20" s="26" t="str">
        <f>IF($Q20="","",INDEX(TRANSACTIONS_MASTER!$Q$5:$Q$1204,$Q20))</f>
        <v/>
      </c>
      <c r="L20" s="25" t="str">
        <f>IF($Q20="","",INDEX(TRANSACTIONS_MASTER!$P$5:$P$1204,$Q20))</f>
        <v/>
      </c>
      <c r="M20" s="25" t="str">
        <f>IF($Q20="","",INDEX(TRANSACTIONS_MASTER!$AA$5:$AA$1204,$Q20))</f>
        <v/>
      </c>
      <c r="N20" s="25" t="str">
        <f>IF($Q20="","",INDEX(TRANSACTIONS_MASTER!$R$5:$R$1204,$Q20))</f>
        <v/>
      </c>
      <c r="O20" s="28" t="str">
        <f>IF($Q20="","",INDEX(TRANSACTIONS_MASTER!$AB$5:$AB$1204,$Q20))</f>
        <v/>
      </c>
      <c r="P20" s="55" t="str">
        <f>IF($Q20="","",INDEX(TRANSACTIONS_MASTER!$Z$5:$Z$1204,$Q20)&amp;"")</f>
        <v/>
      </c>
      <c r="Q20" s="67" t="str">
        <f>IFERROR(MATCH($C$2&amp;"|"&amp;13,TRANSACTIONS_MASTER!$AE$5:$AE$1204,0),"")</f>
        <v/>
      </c>
      <c r="S20" s="67">
        <f>IFERROR(MATCH(13,CASHBACK_RULES!$S$5:$S$304,0),"")</f>
        <v>27</v>
      </c>
      <c r="T20" s="55" t="str">
        <f>IF($S20="","",INDEX(CASHBACK_RULES!$B$5:$B$304,$S20))</f>
        <v>MB-D</v>
      </c>
      <c r="U20" s="55" t="str">
        <f>IF($S20="","",INDEX(CASHBACK_RULES!$C$5:$C$304,$S20)&amp;" "&amp;INDEX(CASHBACK_RULES!$D$5:$D$304,$S20))</f>
        <v>MB Cashback Demo D</v>
      </c>
      <c r="V20" s="55" t="str">
        <f>IF($S20="","",INDEX(CASHBACK_RULES!$E$5:$E$304,$S20)&amp;"")</f>
        <v>Shopping</v>
      </c>
      <c r="W20" s="55" t="str">
        <f>IF($S20="","",INDEX(CASHBACK_RULES!$F$5:$F$304,$S20)&amp;"")</f>
        <v>Shopping</v>
      </c>
      <c r="X20" s="26">
        <f>IF($S20="","",SUMIFS(TRANSACTIONS_MASTER!$Q$5:$Q$1204,TRANSACTIONS_MASTER!$D$5:$D$1204,$T20,TRANSACTIONS_MASTER!$Z$5:$Z$1204,$V20,TRANSACTIONS_MASTER!$C$5:$C$1204,$C$2))</f>
        <v>0</v>
      </c>
      <c r="Y20" s="25">
        <f>IF($S20="","",IF(ISNUMBER(INDEX(CASHBACK_RULES!$J$5:$J$304,$S20)),INDEX(CASHBACK_RULES!$J$5:$J$304,$S20),"∞"))</f>
        <v>100000</v>
      </c>
      <c r="Z20" s="25">
        <f>IF($S20="","",IF(ISNUMBER($Y20),MAX(0,$Y20-$X20),"∞"))</f>
        <v>100000</v>
      </c>
      <c r="AA20" s="27">
        <f>IF($S20="","",IF(ISNUMBER($Y20),IF($Y20=0,0,$X20/$Y20),""))</f>
        <v>0</v>
      </c>
    </row>
    <row r="21" ht="20" customHeight="1">
      <c r="A21" s="81" t="str">
        <f>IF($Q21="","",14)</f>
        <v/>
      </c>
      <c r="B21" s="57" t="str">
        <f>IF($Q21="","",INDEX(TRANSACTIONS_MASTER!$B$5:$B$1204,$Q21))</f>
        <v/>
      </c>
      <c r="C21" s="55" t="str">
        <f>IF($Q21="","",INDEX(TRANSACTIONS_MASTER!$F$5:$F$1204,$Q21))</f>
        <v/>
      </c>
      <c r="D21" s="55" t="str">
        <f>IF($Q21="","",INDEX(TRANSACTIONS_MASTER!$E$5:$E$1204,$Q21))</f>
        <v/>
      </c>
      <c r="E21" s="55" t="str">
        <f>IF($Q21="","",INDEX(TRANSACTIONS_MASTER!$G$5:$G$1204,$Q21)&amp;"")</f>
        <v/>
      </c>
      <c r="F21" s="29" t="str">
        <f>IF($Q21="","",INDEX(TRANSACTIONS_MASTER!$I$5:$I$1204,$Q21))</f>
        <v/>
      </c>
      <c r="G21" s="55" t="str">
        <f>IF($Q21="","",INDEX(TRANSACTIONS_MASTER!$K$5:$K$1204,$Q21))</f>
        <v/>
      </c>
      <c r="H21" s="25" t="str">
        <f>IF($Q21="","",INDEX(TRANSACTIONS_MASTER!$L$5:$L$1204,$Q21))</f>
        <v/>
      </c>
      <c r="I21" s="56" t="str">
        <f>IF($Q21="","",INDEX(TRANSACTIONS_MASTER!$N$5:$N$1204,$Q21))</f>
        <v/>
      </c>
      <c r="J21" s="25" t="str">
        <f>IF($Q21="","",INDEX(TRANSACTIONS_MASTER!$O$5:$O$1204,$Q21))</f>
        <v/>
      </c>
      <c r="K21" s="26" t="str">
        <f>IF($Q21="","",INDEX(TRANSACTIONS_MASTER!$Q$5:$Q$1204,$Q21))</f>
        <v/>
      </c>
      <c r="L21" s="25" t="str">
        <f>IF($Q21="","",INDEX(TRANSACTIONS_MASTER!$P$5:$P$1204,$Q21))</f>
        <v/>
      </c>
      <c r="M21" s="25" t="str">
        <f>IF($Q21="","",INDEX(TRANSACTIONS_MASTER!$AA$5:$AA$1204,$Q21))</f>
        <v/>
      </c>
      <c r="N21" s="25" t="str">
        <f>IF($Q21="","",INDEX(TRANSACTIONS_MASTER!$R$5:$R$1204,$Q21))</f>
        <v/>
      </c>
      <c r="O21" s="28" t="str">
        <f>IF($Q21="","",INDEX(TRANSACTIONS_MASTER!$AB$5:$AB$1204,$Q21))</f>
        <v/>
      </c>
      <c r="P21" s="55" t="str">
        <f>IF($Q21="","",INDEX(TRANSACTIONS_MASTER!$Z$5:$Z$1204,$Q21)&amp;"")</f>
        <v/>
      </c>
      <c r="Q21" s="67" t="str">
        <f>IFERROR(MATCH($C$2&amp;"|"&amp;14,TRANSACTIONS_MASTER!$AE$5:$AE$1204,0),"")</f>
        <v/>
      </c>
      <c r="S21" s="67" t="str">
        <f>IFERROR(MATCH(14,CASHBACK_RULES!$S$5:$S$304,0),"")</f>
        <v/>
      </c>
      <c r="T21" s="55" t="str">
        <f>IF($S21="","",INDEX(CASHBACK_RULES!$B$5:$B$304,$S21))</f>
        <v/>
      </c>
      <c r="U21" s="55" t="str">
        <f>IF($S21="","",INDEX(CASHBACK_RULES!$C$5:$C$304,$S21)&amp;" "&amp;INDEX(CASHBACK_RULES!$D$5:$D$304,$S21))</f>
        <v/>
      </c>
      <c r="V21" s="55" t="str">
        <f>IF($S21="","",INDEX(CASHBACK_RULES!$E$5:$E$304,$S21)&amp;"")</f>
        <v/>
      </c>
      <c r="W21" s="55" t="str">
        <f>IF($S21="","",INDEX(CASHBACK_RULES!$F$5:$F$304,$S21)&amp;"")</f>
        <v/>
      </c>
      <c r="X21" s="26" t="str">
        <f>IF($S21="","",SUMIFS(TRANSACTIONS_MASTER!$Q$5:$Q$1204,TRANSACTIONS_MASTER!$D$5:$D$1204,$T21,TRANSACTIONS_MASTER!$Z$5:$Z$1204,$V21,TRANSACTIONS_MASTER!$C$5:$C$1204,$C$2))</f>
        <v/>
      </c>
      <c r="Y21" s="25" t="str">
        <f>IF($S21="","",IF(ISNUMBER(INDEX(CASHBACK_RULES!$J$5:$J$304,$S21)),INDEX(CASHBACK_RULES!$J$5:$J$304,$S21),"∞"))</f>
        <v/>
      </c>
      <c r="Z21" s="25" t="str">
        <f>IF($S21="","",IF(ISNUMBER($Y21),MAX(0,$Y21-$X21),"∞"))</f>
        <v/>
      </c>
      <c r="AA21" s="27" t="str">
        <f>IF($S21="","",IF(ISNUMBER($Y21),IF($Y21=0,0,$X21/$Y21),""))</f>
        <v/>
      </c>
    </row>
    <row r="22" ht="20" customHeight="1">
      <c r="A22" s="81" t="str">
        <f>IF($Q22="","",15)</f>
        <v/>
      </c>
      <c r="B22" s="57" t="str">
        <f>IF($Q22="","",INDEX(TRANSACTIONS_MASTER!$B$5:$B$1204,$Q22))</f>
        <v/>
      </c>
      <c r="C22" s="55" t="str">
        <f>IF($Q22="","",INDEX(TRANSACTIONS_MASTER!$F$5:$F$1204,$Q22))</f>
        <v/>
      </c>
      <c r="D22" s="55" t="str">
        <f>IF($Q22="","",INDEX(TRANSACTIONS_MASTER!$E$5:$E$1204,$Q22))</f>
        <v/>
      </c>
      <c r="E22" s="55" t="str">
        <f>IF($Q22="","",INDEX(TRANSACTIONS_MASTER!$G$5:$G$1204,$Q22)&amp;"")</f>
        <v/>
      </c>
      <c r="F22" s="29" t="str">
        <f>IF($Q22="","",INDEX(TRANSACTIONS_MASTER!$I$5:$I$1204,$Q22))</f>
        <v/>
      </c>
      <c r="G22" s="55" t="str">
        <f>IF($Q22="","",INDEX(TRANSACTIONS_MASTER!$K$5:$K$1204,$Q22))</f>
        <v/>
      </c>
      <c r="H22" s="25" t="str">
        <f>IF($Q22="","",INDEX(TRANSACTIONS_MASTER!$L$5:$L$1204,$Q22))</f>
        <v/>
      </c>
      <c r="I22" s="56" t="str">
        <f>IF($Q22="","",INDEX(TRANSACTIONS_MASTER!$N$5:$N$1204,$Q22))</f>
        <v/>
      </c>
      <c r="J22" s="25" t="str">
        <f>IF($Q22="","",INDEX(TRANSACTIONS_MASTER!$O$5:$O$1204,$Q22))</f>
        <v/>
      </c>
      <c r="K22" s="26" t="str">
        <f>IF($Q22="","",INDEX(TRANSACTIONS_MASTER!$Q$5:$Q$1204,$Q22))</f>
        <v/>
      </c>
      <c r="L22" s="25" t="str">
        <f>IF($Q22="","",INDEX(TRANSACTIONS_MASTER!$P$5:$P$1204,$Q22))</f>
        <v/>
      </c>
      <c r="M22" s="25" t="str">
        <f>IF($Q22="","",INDEX(TRANSACTIONS_MASTER!$AA$5:$AA$1204,$Q22))</f>
        <v/>
      </c>
      <c r="N22" s="25" t="str">
        <f>IF($Q22="","",INDEX(TRANSACTIONS_MASTER!$R$5:$R$1204,$Q22))</f>
        <v/>
      </c>
      <c r="O22" s="28" t="str">
        <f>IF($Q22="","",INDEX(TRANSACTIONS_MASTER!$AB$5:$AB$1204,$Q22))</f>
        <v/>
      </c>
      <c r="P22" s="55" t="str">
        <f>IF($Q22="","",INDEX(TRANSACTIONS_MASTER!$Z$5:$Z$1204,$Q22)&amp;"")</f>
        <v/>
      </c>
      <c r="Q22" s="67" t="str">
        <f>IFERROR(MATCH($C$2&amp;"|"&amp;15,TRANSACTIONS_MASTER!$AE$5:$AE$1204,0),"")</f>
        <v/>
      </c>
      <c r="S22" s="67" t="str">
        <f>IFERROR(MATCH(15,CASHBACK_RULES!$S$5:$S$304,0),"")</f>
        <v/>
      </c>
      <c r="T22" s="55" t="str">
        <f>IF($S22="","",INDEX(CASHBACK_RULES!$B$5:$B$304,$S22))</f>
        <v/>
      </c>
      <c r="U22" s="55" t="str">
        <f>IF($S22="","",INDEX(CASHBACK_RULES!$C$5:$C$304,$S22)&amp;" "&amp;INDEX(CASHBACK_RULES!$D$5:$D$304,$S22))</f>
        <v/>
      </c>
      <c r="V22" s="55" t="str">
        <f>IF($S22="","",INDEX(CASHBACK_RULES!$E$5:$E$304,$S22)&amp;"")</f>
        <v/>
      </c>
      <c r="W22" s="55" t="str">
        <f>IF($S22="","",INDEX(CASHBACK_RULES!$F$5:$F$304,$S22)&amp;"")</f>
        <v/>
      </c>
      <c r="X22" s="26" t="str">
        <f>IF($S22="","",SUMIFS(TRANSACTIONS_MASTER!$Q$5:$Q$1204,TRANSACTIONS_MASTER!$D$5:$D$1204,$T22,TRANSACTIONS_MASTER!$Z$5:$Z$1204,$V22,TRANSACTIONS_MASTER!$C$5:$C$1204,$C$2))</f>
        <v/>
      </c>
      <c r="Y22" s="25" t="str">
        <f>IF($S22="","",IF(ISNUMBER(INDEX(CASHBACK_RULES!$J$5:$J$304,$S22)),INDEX(CASHBACK_RULES!$J$5:$J$304,$S22),"∞"))</f>
        <v/>
      </c>
      <c r="Z22" s="25" t="str">
        <f>IF($S22="","",IF(ISNUMBER($Y22),MAX(0,$Y22-$X22),"∞"))</f>
        <v/>
      </c>
      <c r="AA22" s="27" t="str">
        <f>IF($S22="","",IF(ISNUMBER($Y22),IF($Y22=0,0,$X22/$Y22),""))</f>
        <v/>
      </c>
    </row>
    <row r="23" ht="20" customHeight="1">
      <c r="A23" s="81" t="str">
        <f>IF($Q23="","",16)</f>
        <v/>
      </c>
      <c r="B23" s="57" t="str">
        <f>IF($Q23="","",INDEX(TRANSACTIONS_MASTER!$B$5:$B$1204,$Q23))</f>
        <v/>
      </c>
      <c r="C23" s="55" t="str">
        <f>IF($Q23="","",INDEX(TRANSACTIONS_MASTER!$F$5:$F$1204,$Q23))</f>
        <v/>
      </c>
      <c r="D23" s="55" t="str">
        <f>IF($Q23="","",INDEX(TRANSACTIONS_MASTER!$E$5:$E$1204,$Q23))</f>
        <v/>
      </c>
      <c r="E23" s="55" t="str">
        <f>IF($Q23="","",INDEX(TRANSACTIONS_MASTER!$G$5:$G$1204,$Q23)&amp;"")</f>
        <v/>
      </c>
      <c r="F23" s="29" t="str">
        <f>IF($Q23="","",INDEX(TRANSACTIONS_MASTER!$I$5:$I$1204,$Q23))</f>
        <v/>
      </c>
      <c r="G23" s="55" t="str">
        <f>IF($Q23="","",INDEX(TRANSACTIONS_MASTER!$K$5:$K$1204,$Q23))</f>
        <v/>
      </c>
      <c r="H23" s="25" t="str">
        <f>IF($Q23="","",INDEX(TRANSACTIONS_MASTER!$L$5:$L$1204,$Q23))</f>
        <v/>
      </c>
      <c r="I23" s="56" t="str">
        <f>IF($Q23="","",INDEX(TRANSACTIONS_MASTER!$N$5:$N$1204,$Q23))</f>
        <v/>
      </c>
      <c r="J23" s="25" t="str">
        <f>IF($Q23="","",INDEX(TRANSACTIONS_MASTER!$O$5:$O$1204,$Q23))</f>
        <v/>
      </c>
      <c r="K23" s="26" t="str">
        <f>IF($Q23="","",INDEX(TRANSACTIONS_MASTER!$Q$5:$Q$1204,$Q23))</f>
        <v/>
      </c>
      <c r="L23" s="25" t="str">
        <f>IF($Q23="","",INDEX(TRANSACTIONS_MASTER!$P$5:$P$1204,$Q23))</f>
        <v/>
      </c>
      <c r="M23" s="25" t="str">
        <f>IF($Q23="","",INDEX(TRANSACTIONS_MASTER!$AA$5:$AA$1204,$Q23))</f>
        <v/>
      </c>
      <c r="N23" s="25" t="str">
        <f>IF($Q23="","",INDEX(TRANSACTIONS_MASTER!$R$5:$R$1204,$Q23))</f>
        <v/>
      </c>
      <c r="O23" s="28" t="str">
        <f>IF($Q23="","",INDEX(TRANSACTIONS_MASTER!$AB$5:$AB$1204,$Q23))</f>
        <v/>
      </c>
      <c r="P23" s="55" t="str">
        <f>IF($Q23="","",INDEX(TRANSACTIONS_MASTER!$Z$5:$Z$1204,$Q23)&amp;"")</f>
        <v/>
      </c>
      <c r="Q23" s="67" t="str">
        <f>IFERROR(MATCH($C$2&amp;"|"&amp;16,TRANSACTIONS_MASTER!$AE$5:$AE$1204,0),"")</f>
        <v/>
      </c>
      <c r="S23" s="67" t="str">
        <f>IFERROR(MATCH(16,CASHBACK_RULES!$S$5:$S$304,0),"")</f>
        <v/>
      </c>
      <c r="T23" s="55" t="str">
        <f>IF($S23="","",INDEX(CASHBACK_RULES!$B$5:$B$304,$S23))</f>
        <v/>
      </c>
      <c r="U23" s="55" t="str">
        <f>IF($S23="","",INDEX(CASHBACK_RULES!$C$5:$C$304,$S23)&amp;" "&amp;INDEX(CASHBACK_RULES!$D$5:$D$304,$S23))</f>
        <v/>
      </c>
      <c r="V23" s="55" t="str">
        <f>IF($S23="","",INDEX(CASHBACK_RULES!$E$5:$E$304,$S23)&amp;"")</f>
        <v/>
      </c>
      <c r="W23" s="55" t="str">
        <f>IF($S23="","",INDEX(CASHBACK_RULES!$F$5:$F$304,$S23)&amp;"")</f>
        <v/>
      </c>
      <c r="X23" s="26" t="str">
        <f>IF($S23="","",SUMIFS(TRANSACTIONS_MASTER!$Q$5:$Q$1204,TRANSACTIONS_MASTER!$D$5:$D$1204,$T23,TRANSACTIONS_MASTER!$Z$5:$Z$1204,$V23,TRANSACTIONS_MASTER!$C$5:$C$1204,$C$2))</f>
        <v/>
      </c>
      <c r="Y23" s="25" t="str">
        <f>IF($S23="","",IF(ISNUMBER(INDEX(CASHBACK_RULES!$J$5:$J$304,$S23)),INDEX(CASHBACK_RULES!$J$5:$J$304,$S23),"∞"))</f>
        <v/>
      </c>
      <c r="Z23" s="25" t="str">
        <f>IF($S23="","",IF(ISNUMBER($Y23),MAX(0,$Y23-$X23),"∞"))</f>
        <v/>
      </c>
      <c r="AA23" s="27" t="str">
        <f>IF($S23="","",IF(ISNUMBER($Y23),IF($Y23=0,0,$X23/$Y23),""))</f>
        <v/>
      </c>
    </row>
    <row r="24" ht="20" customHeight="1">
      <c r="A24" s="81" t="str">
        <f>IF($Q24="","",17)</f>
        <v/>
      </c>
      <c r="B24" s="57" t="str">
        <f>IF($Q24="","",INDEX(TRANSACTIONS_MASTER!$B$5:$B$1204,$Q24))</f>
        <v/>
      </c>
      <c r="C24" s="55" t="str">
        <f>IF($Q24="","",INDEX(TRANSACTIONS_MASTER!$F$5:$F$1204,$Q24))</f>
        <v/>
      </c>
      <c r="D24" s="55" t="str">
        <f>IF($Q24="","",INDEX(TRANSACTIONS_MASTER!$E$5:$E$1204,$Q24))</f>
        <v/>
      </c>
      <c r="E24" s="55" t="str">
        <f>IF($Q24="","",INDEX(TRANSACTIONS_MASTER!$G$5:$G$1204,$Q24)&amp;"")</f>
        <v/>
      </c>
      <c r="F24" s="29" t="str">
        <f>IF($Q24="","",INDEX(TRANSACTIONS_MASTER!$I$5:$I$1204,$Q24))</f>
        <v/>
      </c>
      <c r="G24" s="55" t="str">
        <f>IF($Q24="","",INDEX(TRANSACTIONS_MASTER!$K$5:$K$1204,$Q24))</f>
        <v/>
      </c>
      <c r="H24" s="25" t="str">
        <f>IF($Q24="","",INDEX(TRANSACTIONS_MASTER!$L$5:$L$1204,$Q24))</f>
        <v/>
      </c>
      <c r="I24" s="56" t="str">
        <f>IF($Q24="","",INDEX(TRANSACTIONS_MASTER!$N$5:$N$1204,$Q24))</f>
        <v/>
      </c>
      <c r="J24" s="25" t="str">
        <f>IF($Q24="","",INDEX(TRANSACTIONS_MASTER!$O$5:$O$1204,$Q24))</f>
        <v/>
      </c>
      <c r="K24" s="26" t="str">
        <f>IF($Q24="","",INDEX(TRANSACTIONS_MASTER!$Q$5:$Q$1204,$Q24))</f>
        <v/>
      </c>
      <c r="L24" s="25" t="str">
        <f>IF($Q24="","",INDEX(TRANSACTIONS_MASTER!$P$5:$P$1204,$Q24))</f>
        <v/>
      </c>
      <c r="M24" s="25" t="str">
        <f>IF($Q24="","",INDEX(TRANSACTIONS_MASTER!$AA$5:$AA$1204,$Q24))</f>
        <v/>
      </c>
      <c r="N24" s="25" t="str">
        <f>IF($Q24="","",INDEX(TRANSACTIONS_MASTER!$R$5:$R$1204,$Q24))</f>
        <v/>
      </c>
      <c r="O24" s="28" t="str">
        <f>IF($Q24="","",INDEX(TRANSACTIONS_MASTER!$AB$5:$AB$1204,$Q24))</f>
        <v/>
      </c>
      <c r="P24" s="55" t="str">
        <f>IF($Q24="","",INDEX(TRANSACTIONS_MASTER!$Z$5:$Z$1204,$Q24)&amp;"")</f>
        <v/>
      </c>
      <c r="Q24" s="67" t="str">
        <f>IFERROR(MATCH($C$2&amp;"|"&amp;17,TRANSACTIONS_MASTER!$AE$5:$AE$1204,0),"")</f>
        <v/>
      </c>
      <c r="S24" s="67" t="str">
        <f>IFERROR(MATCH(17,CASHBACK_RULES!$S$5:$S$304,0),"")</f>
        <v/>
      </c>
      <c r="T24" s="55" t="str">
        <f>IF($S24="","",INDEX(CASHBACK_RULES!$B$5:$B$304,$S24))</f>
        <v/>
      </c>
      <c r="U24" s="55" t="str">
        <f>IF($S24="","",INDEX(CASHBACK_RULES!$C$5:$C$304,$S24)&amp;" "&amp;INDEX(CASHBACK_RULES!$D$5:$D$304,$S24))</f>
        <v/>
      </c>
      <c r="V24" s="55" t="str">
        <f>IF($S24="","",INDEX(CASHBACK_RULES!$E$5:$E$304,$S24)&amp;"")</f>
        <v/>
      </c>
      <c r="W24" s="55" t="str">
        <f>IF($S24="","",INDEX(CASHBACK_RULES!$F$5:$F$304,$S24)&amp;"")</f>
        <v/>
      </c>
      <c r="X24" s="26" t="str">
        <f>IF($S24="","",SUMIFS(TRANSACTIONS_MASTER!$Q$5:$Q$1204,TRANSACTIONS_MASTER!$D$5:$D$1204,$T24,TRANSACTIONS_MASTER!$Z$5:$Z$1204,$V24,TRANSACTIONS_MASTER!$C$5:$C$1204,$C$2))</f>
        <v/>
      </c>
      <c r="Y24" s="25" t="str">
        <f>IF($S24="","",IF(ISNUMBER(INDEX(CASHBACK_RULES!$J$5:$J$304,$S24)),INDEX(CASHBACK_RULES!$J$5:$J$304,$S24),"∞"))</f>
        <v/>
      </c>
      <c r="Z24" s="25" t="str">
        <f>IF($S24="","",IF(ISNUMBER($Y24),MAX(0,$Y24-$X24),"∞"))</f>
        <v/>
      </c>
      <c r="AA24" s="27" t="str">
        <f>IF($S24="","",IF(ISNUMBER($Y24),IF($Y24=0,0,$X24/$Y24),""))</f>
        <v/>
      </c>
    </row>
    <row r="25" ht="20" customHeight="1">
      <c r="A25" s="81" t="str">
        <f>IF($Q25="","",18)</f>
        <v/>
      </c>
      <c r="B25" s="57" t="str">
        <f>IF($Q25="","",INDEX(TRANSACTIONS_MASTER!$B$5:$B$1204,$Q25))</f>
        <v/>
      </c>
      <c r="C25" s="55" t="str">
        <f>IF($Q25="","",INDEX(TRANSACTIONS_MASTER!$F$5:$F$1204,$Q25))</f>
        <v/>
      </c>
      <c r="D25" s="55" t="str">
        <f>IF($Q25="","",INDEX(TRANSACTIONS_MASTER!$E$5:$E$1204,$Q25))</f>
        <v/>
      </c>
      <c r="E25" s="55" t="str">
        <f>IF($Q25="","",INDEX(TRANSACTIONS_MASTER!$G$5:$G$1204,$Q25)&amp;"")</f>
        <v/>
      </c>
      <c r="F25" s="29" t="str">
        <f>IF($Q25="","",INDEX(TRANSACTIONS_MASTER!$I$5:$I$1204,$Q25))</f>
        <v/>
      </c>
      <c r="G25" s="55" t="str">
        <f>IF($Q25="","",INDEX(TRANSACTIONS_MASTER!$K$5:$K$1204,$Q25))</f>
        <v/>
      </c>
      <c r="H25" s="25" t="str">
        <f>IF($Q25="","",INDEX(TRANSACTIONS_MASTER!$L$5:$L$1204,$Q25))</f>
        <v/>
      </c>
      <c r="I25" s="56" t="str">
        <f>IF($Q25="","",INDEX(TRANSACTIONS_MASTER!$N$5:$N$1204,$Q25))</f>
        <v/>
      </c>
      <c r="J25" s="25" t="str">
        <f>IF($Q25="","",INDEX(TRANSACTIONS_MASTER!$O$5:$O$1204,$Q25))</f>
        <v/>
      </c>
      <c r="K25" s="26" t="str">
        <f>IF($Q25="","",INDEX(TRANSACTIONS_MASTER!$Q$5:$Q$1204,$Q25))</f>
        <v/>
      </c>
      <c r="L25" s="25" t="str">
        <f>IF($Q25="","",INDEX(TRANSACTIONS_MASTER!$P$5:$P$1204,$Q25))</f>
        <v/>
      </c>
      <c r="M25" s="25" t="str">
        <f>IF($Q25="","",INDEX(TRANSACTIONS_MASTER!$AA$5:$AA$1204,$Q25))</f>
        <v/>
      </c>
      <c r="N25" s="25" t="str">
        <f>IF($Q25="","",INDEX(TRANSACTIONS_MASTER!$R$5:$R$1204,$Q25))</f>
        <v/>
      </c>
      <c r="O25" s="28" t="str">
        <f>IF($Q25="","",INDEX(TRANSACTIONS_MASTER!$AB$5:$AB$1204,$Q25))</f>
        <v/>
      </c>
      <c r="P25" s="55" t="str">
        <f>IF($Q25="","",INDEX(TRANSACTIONS_MASTER!$Z$5:$Z$1204,$Q25)&amp;"")</f>
        <v/>
      </c>
      <c r="Q25" s="67" t="str">
        <f>IFERROR(MATCH($C$2&amp;"|"&amp;18,TRANSACTIONS_MASTER!$AE$5:$AE$1204,0),"")</f>
        <v/>
      </c>
      <c r="S25" s="67" t="str">
        <f>IFERROR(MATCH(18,CASHBACK_RULES!$S$5:$S$304,0),"")</f>
        <v/>
      </c>
      <c r="T25" s="55" t="str">
        <f>IF($S25="","",INDEX(CASHBACK_RULES!$B$5:$B$304,$S25))</f>
        <v/>
      </c>
      <c r="U25" s="55" t="str">
        <f>IF($S25="","",INDEX(CASHBACK_RULES!$C$5:$C$304,$S25)&amp;" "&amp;INDEX(CASHBACK_RULES!$D$5:$D$304,$S25))</f>
        <v/>
      </c>
      <c r="V25" s="55" t="str">
        <f>IF($S25="","",INDEX(CASHBACK_RULES!$E$5:$E$304,$S25)&amp;"")</f>
        <v/>
      </c>
      <c r="W25" s="55" t="str">
        <f>IF($S25="","",INDEX(CASHBACK_RULES!$F$5:$F$304,$S25)&amp;"")</f>
        <v/>
      </c>
      <c r="X25" s="26" t="str">
        <f>IF($S25="","",SUMIFS(TRANSACTIONS_MASTER!$Q$5:$Q$1204,TRANSACTIONS_MASTER!$D$5:$D$1204,$T25,TRANSACTIONS_MASTER!$Z$5:$Z$1204,$V25,TRANSACTIONS_MASTER!$C$5:$C$1204,$C$2))</f>
        <v/>
      </c>
      <c r="Y25" s="25" t="str">
        <f>IF($S25="","",IF(ISNUMBER(INDEX(CASHBACK_RULES!$J$5:$J$304,$S25)),INDEX(CASHBACK_RULES!$J$5:$J$304,$S25),"∞"))</f>
        <v/>
      </c>
      <c r="Z25" s="25" t="str">
        <f>IF($S25="","",IF(ISNUMBER($Y25),MAX(0,$Y25-$X25),"∞"))</f>
        <v/>
      </c>
      <c r="AA25" s="27" t="str">
        <f>IF($S25="","",IF(ISNUMBER($Y25),IF($Y25=0,0,$X25/$Y25),""))</f>
        <v/>
      </c>
    </row>
    <row r="26" ht="20" customHeight="1">
      <c r="A26" s="81" t="str">
        <f>IF($Q26="","",19)</f>
        <v/>
      </c>
      <c r="B26" s="57" t="str">
        <f>IF($Q26="","",INDEX(TRANSACTIONS_MASTER!$B$5:$B$1204,$Q26))</f>
        <v/>
      </c>
      <c r="C26" s="55" t="str">
        <f>IF($Q26="","",INDEX(TRANSACTIONS_MASTER!$F$5:$F$1204,$Q26))</f>
        <v/>
      </c>
      <c r="D26" s="55" t="str">
        <f>IF($Q26="","",INDEX(TRANSACTIONS_MASTER!$E$5:$E$1204,$Q26))</f>
        <v/>
      </c>
      <c r="E26" s="55" t="str">
        <f>IF($Q26="","",INDEX(TRANSACTIONS_MASTER!$G$5:$G$1204,$Q26)&amp;"")</f>
        <v/>
      </c>
      <c r="F26" s="29" t="str">
        <f>IF($Q26="","",INDEX(TRANSACTIONS_MASTER!$I$5:$I$1204,$Q26))</f>
        <v/>
      </c>
      <c r="G26" s="55" t="str">
        <f>IF($Q26="","",INDEX(TRANSACTIONS_MASTER!$K$5:$K$1204,$Q26))</f>
        <v/>
      </c>
      <c r="H26" s="25" t="str">
        <f>IF($Q26="","",INDEX(TRANSACTIONS_MASTER!$L$5:$L$1204,$Q26))</f>
        <v/>
      </c>
      <c r="I26" s="56" t="str">
        <f>IF($Q26="","",INDEX(TRANSACTIONS_MASTER!$N$5:$N$1204,$Q26))</f>
        <v/>
      </c>
      <c r="J26" s="25" t="str">
        <f>IF($Q26="","",INDEX(TRANSACTIONS_MASTER!$O$5:$O$1204,$Q26))</f>
        <v/>
      </c>
      <c r="K26" s="26" t="str">
        <f>IF($Q26="","",INDEX(TRANSACTIONS_MASTER!$Q$5:$Q$1204,$Q26))</f>
        <v/>
      </c>
      <c r="L26" s="25" t="str">
        <f>IF($Q26="","",INDEX(TRANSACTIONS_MASTER!$P$5:$P$1204,$Q26))</f>
        <v/>
      </c>
      <c r="M26" s="25" t="str">
        <f>IF($Q26="","",INDEX(TRANSACTIONS_MASTER!$AA$5:$AA$1204,$Q26))</f>
        <v/>
      </c>
      <c r="N26" s="25" t="str">
        <f>IF($Q26="","",INDEX(TRANSACTIONS_MASTER!$R$5:$R$1204,$Q26))</f>
        <v/>
      </c>
      <c r="O26" s="28" t="str">
        <f>IF($Q26="","",INDEX(TRANSACTIONS_MASTER!$AB$5:$AB$1204,$Q26))</f>
        <v/>
      </c>
      <c r="P26" s="55" t="str">
        <f>IF($Q26="","",INDEX(TRANSACTIONS_MASTER!$Z$5:$Z$1204,$Q26)&amp;"")</f>
        <v/>
      </c>
      <c r="Q26" s="67" t="str">
        <f>IFERROR(MATCH($C$2&amp;"|"&amp;19,TRANSACTIONS_MASTER!$AE$5:$AE$1204,0),"")</f>
        <v/>
      </c>
      <c r="S26" s="67" t="str">
        <f>IFERROR(MATCH(19,CASHBACK_RULES!$S$5:$S$304,0),"")</f>
        <v/>
      </c>
      <c r="T26" s="55" t="str">
        <f>IF($S26="","",INDEX(CASHBACK_RULES!$B$5:$B$304,$S26))</f>
        <v/>
      </c>
      <c r="U26" s="55" t="str">
        <f>IF($S26="","",INDEX(CASHBACK_RULES!$C$5:$C$304,$S26)&amp;" "&amp;INDEX(CASHBACK_RULES!$D$5:$D$304,$S26))</f>
        <v/>
      </c>
      <c r="V26" s="55" t="str">
        <f>IF($S26="","",INDEX(CASHBACK_RULES!$E$5:$E$304,$S26)&amp;"")</f>
        <v/>
      </c>
      <c r="W26" s="55" t="str">
        <f>IF($S26="","",INDEX(CASHBACK_RULES!$F$5:$F$304,$S26)&amp;"")</f>
        <v/>
      </c>
      <c r="X26" s="26" t="str">
        <f>IF($S26="","",SUMIFS(TRANSACTIONS_MASTER!$Q$5:$Q$1204,TRANSACTIONS_MASTER!$D$5:$D$1204,$T26,TRANSACTIONS_MASTER!$Z$5:$Z$1204,$V26,TRANSACTIONS_MASTER!$C$5:$C$1204,$C$2))</f>
        <v/>
      </c>
      <c r="Y26" s="25" t="str">
        <f>IF($S26="","",IF(ISNUMBER(INDEX(CASHBACK_RULES!$J$5:$J$304,$S26)),INDEX(CASHBACK_RULES!$J$5:$J$304,$S26),"∞"))</f>
        <v/>
      </c>
      <c r="Z26" s="25" t="str">
        <f>IF($S26="","",IF(ISNUMBER($Y26),MAX(0,$Y26-$X26),"∞"))</f>
        <v/>
      </c>
      <c r="AA26" s="27" t="str">
        <f>IF($S26="","",IF(ISNUMBER($Y26),IF($Y26=0,0,$X26/$Y26),""))</f>
        <v/>
      </c>
    </row>
    <row r="27" ht="20" customHeight="1">
      <c r="A27" s="81" t="str">
        <f>IF($Q27="","",20)</f>
        <v/>
      </c>
      <c r="B27" s="57" t="str">
        <f>IF($Q27="","",INDEX(TRANSACTIONS_MASTER!$B$5:$B$1204,$Q27))</f>
        <v/>
      </c>
      <c r="C27" s="55" t="str">
        <f>IF($Q27="","",INDEX(TRANSACTIONS_MASTER!$F$5:$F$1204,$Q27))</f>
        <v/>
      </c>
      <c r="D27" s="55" t="str">
        <f>IF($Q27="","",INDEX(TRANSACTIONS_MASTER!$E$5:$E$1204,$Q27))</f>
        <v/>
      </c>
      <c r="E27" s="55" t="str">
        <f>IF($Q27="","",INDEX(TRANSACTIONS_MASTER!$G$5:$G$1204,$Q27)&amp;"")</f>
        <v/>
      </c>
      <c r="F27" s="29" t="str">
        <f>IF($Q27="","",INDEX(TRANSACTIONS_MASTER!$I$5:$I$1204,$Q27))</f>
        <v/>
      </c>
      <c r="G27" s="55" t="str">
        <f>IF($Q27="","",INDEX(TRANSACTIONS_MASTER!$K$5:$K$1204,$Q27))</f>
        <v/>
      </c>
      <c r="H27" s="25" t="str">
        <f>IF($Q27="","",INDEX(TRANSACTIONS_MASTER!$L$5:$L$1204,$Q27))</f>
        <v/>
      </c>
      <c r="I27" s="56" t="str">
        <f>IF($Q27="","",INDEX(TRANSACTIONS_MASTER!$N$5:$N$1204,$Q27))</f>
        <v/>
      </c>
      <c r="J27" s="25" t="str">
        <f>IF($Q27="","",INDEX(TRANSACTIONS_MASTER!$O$5:$O$1204,$Q27))</f>
        <v/>
      </c>
      <c r="K27" s="26" t="str">
        <f>IF($Q27="","",INDEX(TRANSACTIONS_MASTER!$Q$5:$Q$1204,$Q27))</f>
        <v/>
      </c>
      <c r="L27" s="25" t="str">
        <f>IF($Q27="","",INDEX(TRANSACTIONS_MASTER!$P$5:$P$1204,$Q27))</f>
        <v/>
      </c>
      <c r="M27" s="25" t="str">
        <f>IF($Q27="","",INDEX(TRANSACTIONS_MASTER!$AA$5:$AA$1204,$Q27))</f>
        <v/>
      </c>
      <c r="N27" s="25" t="str">
        <f>IF($Q27="","",INDEX(TRANSACTIONS_MASTER!$R$5:$R$1204,$Q27))</f>
        <v/>
      </c>
      <c r="O27" s="28" t="str">
        <f>IF($Q27="","",INDEX(TRANSACTIONS_MASTER!$AB$5:$AB$1204,$Q27))</f>
        <v/>
      </c>
      <c r="P27" s="55" t="str">
        <f>IF($Q27="","",INDEX(TRANSACTIONS_MASTER!$Z$5:$Z$1204,$Q27)&amp;"")</f>
        <v/>
      </c>
      <c r="Q27" s="67" t="str">
        <f>IFERROR(MATCH($C$2&amp;"|"&amp;20,TRANSACTIONS_MASTER!$AE$5:$AE$1204,0),"")</f>
        <v/>
      </c>
      <c r="S27" s="67" t="str">
        <f>IFERROR(MATCH(20,CASHBACK_RULES!$S$5:$S$304,0),"")</f>
        <v/>
      </c>
      <c r="T27" s="55" t="str">
        <f>IF($S27="","",INDEX(CASHBACK_RULES!$B$5:$B$304,$S27))</f>
        <v/>
      </c>
      <c r="U27" s="55" t="str">
        <f>IF($S27="","",INDEX(CASHBACK_RULES!$C$5:$C$304,$S27)&amp;" "&amp;INDEX(CASHBACK_RULES!$D$5:$D$304,$S27))</f>
        <v/>
      </c>
      <c r="V27" s="55" t="str">
        <f>IF($S27="","",INDEX(CASHBACK_RULES!$E$5:$E$304,$S27)&amp;"")</f>
        <v/>
      </c>
      <c r="W27" s="55" t="str">
        <f>IF($S27="","",INDEX(CASHBACK_RULES!$F$5:$F$304,$S27)&amp;"")</f>
        <v/>
      </c>
      <c r="X27" s="26" t="str">
        <f>IF($S27="","",SUMIFS(TRANSACTIONS_MASTER!$Q$5:$Q$1204,TRANSACTIONS_MASTER!$D$5:$D$1204,$T27,TRANSACTIONS_MASTER!$Z$5:$Z$1204,$V27,TRANSACTIONS_MASTER!$C$5:$C$1204,$C$2))</f>
        <v/>
      </c>
      <c r="Y27" s="25" t="str">
        <f>IF($S27="","",IF(ISNUMBER(INDEX(CASHBACK_RULES!$J$5:$J$304,$S27)),INDEX(CASHBACK_RULES!$J$5:$J$304,$S27),"∞"))</f>
        <v/>
      </c>
      <c r="Z27" s="25" t="str">
        <f>IF($S27="","",IF(ISNUMBER($Y27),MAX(0,$Y27-$X27),"∞"))</f>
        <v/>
      </c>
      <c r="AA27" s="27" t="str">
        <f>IF($S27="","",IF(ISNUMBER($Y27),IF($Y27=0,0,$X27/$Y27),""))</f>
        <v/>
      </c>
    </row>
    <row r="28" ht="20" customHeight="1">
      <c r="A28" s="81" t="str">
        <f>IF($Q28="","",21)</f>
        <v/>
      </c>
      <c r="B28" s="57" t="str">
        <f>IF($Q28="","",INDEX(TRANSACTIONS_MASTER!$B$5:$B$1204,$Q28))</f>
        <v/>
      </c>
      <c r="C28" s="55" t="str">
        <f>IF($Q28="","",INDEX(TRANSACTIONS_MASTER!$F$5:$F$1204,$Q28))</f>
        <v/>
      </c>
      <c r="D28" s="55" t="str">
        <f>IF($Q28="","",INDEX(TRANSACTIONS_MASTER!$E$5:$E$1204,$Q28))</f>
        <v/>
      </c>
      <c r="E28" s="55" t="str">
        <f>IF($Q28="","",INDEX(TRANSACTIONS_MASTER!$G$5:$G$1204,$Q28)&amp;"")</f>
        <v/>
      </c>
      <c r="F28" s="29" t="str">
        <f>IF($Q28="","",INDEX(TRANSACTIONS_MASTER!$I$5:$I$1204,$Q28))</f>
        <v/>
      </c>
      <c r="G28" s="55" t="str">
        <f>IF($Q28="","",INDEX(TRANSACTIONS_MASTER!$K$5:$K$1204,$Q28))</f>
        <v/>
      </c>
      <c r="H28" s="25" t="str">
        <f>IF($Q28="","",INDEX(TRANSACTIONS_MASTER!$L$5:$L$1204,$Q28))</f>
        <v/>
      </c>
      <c r="I28" s="56" t="str">
        <f>IF($Q28="","",INDEX(TRANSACTIONS_MASTER!$N$5:$N$1204,$Q28))</f>
        <v/>
      </c>
      <c r="J28" s="25" t="str">
        <f>IF($Q28="","",INDEX(TRANSACTIONS_MASTER!$O$5:$O$1204,$Q28))</f>
        <v/>
      </c>
      <c r="K28" s="26" t="str">
        <f>IF($Q28="","",INDEX(TRANSACTIONS_MASTER!$Q$5:$Q$1204,$Q28))</f>
        <v/>
      </c>
      <c r="L28" s="25" t="str">
        <f>IF($Q28="","",INDEX(TRANSACTIONS_MASTER!$P$5:$P$1204,$Q28))</f>
        <v/>
      </c>
      <c r="M28" s="25" t="str">
        <f>IF($Q28="","",INDEX(TRANSACTIONS_MASTER!$AA$5:$AA$1204,$Q28))</f>
        <v/>
      </c>
      <c r="N28" s="25" t="str">
        <f>IF($Q28="","",INDEX(TRANSACTIONS_MASTER!$R$5:$R$1204,$Q28))</f>
        <v/>
      </c>
      <c r="O28" s="28" t="str">
        <f>IF($Q28="","",INDEX(TRANSACTIONS_MASTER!$AB$5:$AB$1204,$Q28))</f>
        <v/>
      </c>
      <c r="P28" s="55" t="str">
        <f>IF($Q28="","",INDEX(TRANSACTIONS_MASTER!$Z$5:$Z$1204,$Q28)&amp;"")</f>
        <v/>
      </c>
      <c r="Q28" s="67" t="str">
        <f>IFERROR(MATCH($C$2&amp;"|"&amp;21,TRANSACTIONS_MASTER!$AE$5:$AE$1204,0),"")</f>
        <v/>
      </c>
      <c r="S28" s="67" t="str">
        <f>IFERROR(MATCH(21,CASHBACK_RULES!$S$5:$S$304,0),"")</f>
        <v/>
      </c>
      <c r="T28" s="55" t="str">
        <f>IF($S28="","",INDEX(CASHBACK_RULES!$B$5:$B$304,$S28))</f>
        <v/>
      </c>
      <c r="U28" s="55" t="str">
        <f>IF($S28="","",INDEX(CASHBACK_RULES!$C$5:$C$304,$S28)&amp;" "&amp;INDEX(CASHBACK_RULES!$D$5:$D$304,$S28))</f>
        <v/>
      </c>
      <c r="V28" s="55" t="str">
        <f>IF($S28="","",INDEX(CASHBACK_RULES!$E$5:$E$304,$S28)&amp;"")</f>
        <v/>
      </c>
      <c r="W28" s="55" t="str">
        <f>IF($S28="","",INDEX(CASHBACK_RULES!$F$5:$F$304,$S28)&amp;"")</f>
        <v/>
      </c>
      <c r="X28" s="26" t="str">
        <f>IF($S28="","",SUMIFS(TRANSACTIONS_MASTER!$Q$5:$Q$1204,TRANSACTIONS_MASTER!$D$5:$D$1204,$T28,TRANSACTIONS_MASTER!$Z$5:$Z$1204,$V28,TRANSACTIONS_MASTER!$C$5:$C$1204,$C$2))</f>
        <v/>
      </c>
      <c r="Y28" s="25" t="str">
        <f>IF($S28="","",IF(ISNUMBER(INDEX(CASHBACK_RULES!$J$5:$J$304,$S28)),INDEX(CASHBACK_RULES!$J$5:$J$304,$S28),"∞"))</f>
        <v/>
      </c>
      <c r="Z28" s="25" t="str">
        <f>IF($S28="","",IF(ISNUMBER($Y28),MAX(0,$Y28-$X28),"∞"))</f>
        <v/>
      </c>
      <c r="AA28" s="27" t="str">
        <f>IF($S28="","",IF(ISNUMBER($Y28),IF($Y28=0,0,$X28/$Y28),""))</f>
        <v/>
      </c>
    </row>
    <row r="29" ht="20" customHeight="1">
      <c r="A29" s="81" t="str">
        <f>IF($Q29="","",22)</f>
        <v/>
      </c>
      <c r="B29" s="57" t="str">
        <f>IF($Q29="","",INDEX(TRANSACTIONS_MASTER!$B$5:$B$1204,$Q29))</f>
        <v/>
      </c>
      <c r="C29" s="55" t="str">
        <f>IF($Q29="","",INDEX(TRANSACTIONS_MASTER!$F$5:$F$1204,$Q29))</f>
        <v/>
      </c>
      <c r="D29" s="55" t="str">
        <f>IF($Q29="","",INDEX(TRANSACTIONS_MASTER!$E$5:$E$1204,$Q29))</f>
        <v/>
      </c>
      <c r="E29" s="55" t="str">
        <f>IF($Q29="","",INDEX(TRANSACTIONS_MASTER!$G$5:$G$1204,$Q29)&amp;"")</f>
        <v/>
      </c>
      <c r="F29" s="29" t="str">
        <f>IF($Q29="","",INDEX(TRANSACTIONS_MASTER!$I$5:$I$1204,$Q29))</f>
        <v/>
      </c>
      <c r="G29" s="55" t="str">
        <f>IF($Q29="","",INDEX(TRANSACTIONS_MASTER!$K$5:$K$1204,$Q29))</f>
        <v/>
      </c>
      <c r="H29" s="25" t="str">
        <f>IF($Q29="","",INDEX(TRANSACTIONS_MASTER!$L$5:$L$1204,$Q29))</f>
        <v/>
      </c>
      <c r="I29" s="56" t="str">
        <f>IF($Q29="","",INDEX(TRANSACTIONS_MASTER!$N$5:$N$1204,$Q29))</f>
        <v/>
      </c>
      <c r="J29" s="25" t="str">
        <f>IF($Q29="","",INDEX(TRANSACTIONS_MASTER!$O$5:$O$1204,$Q29))</f>
        <v/>
      </c>
      <c r="K29" s="26" t="str">
        <f>IF($Q29="","",INDEX(TRANSACTIONS_MASTER!$Q$5:$Q$1204,$Q29))</f>
        <v/>
      </c>
      <c r="L29" s="25" t="str">
        <f>IF($Q29="","",INDEX(TRANSACTIONS_MASTER!$P$5:$P$1204,$Q29))</f>
        <v/>
      </c>
      <c r="M29" s="25" t="str">
        <f>IF($Q29="","",INDEX(TRANSACTIONS_MASTER!$AA$5:$AA$1204,$Q29))</f>
        <v/>
      </c>
      <c r="N29" s="25" t="str">
        <f>IF($Q29="","",INDEX(TRANSACTIONS_MASTER!$R$5:$R$1204,$Q29))</f>
        <v/>
      </c>
      <c r="O29" s="28" t="str">
        <f>IF($Q29="","",INDEX(TRANSACTIONS_MASTER!$AB$5:$AB$1204,$Q29))</f>
        <v/>
      </c>
      <c r="P29" s="55" t="str">
        <f>IF($Q29="","",INDEX(TRANSACTIONS_MASTER!$Z$5:$Z$1204,$Q29)&amp;"")</f>
        <v/>
      </c>
      <c r="Q29" s="67" t="str">
        <f>IFERROR(MATCH($C$2&amp;"|"&amp;22,TRANSACTIONS_MASTER!$AE$5:$AE$1204,0),"")</f>
        <v/>
      </c>
      <c r="S29" s="67" t="str">
        <f>IFERROR(MATCH(22,CASHBACK_RULES!$S$5:$S$304,0),"")</f>
        <v/>
      </c>
      <c r="T29" s="55" t="str">
        <f>IF($S29="","",INDEX(CASHBACK_RULES!$B$5:$B$304,$S29))</f>
        <v/>
      </c>
      <c r="U29" s="55" t="str">
        <f>IF($S29="","",INDEX(CASHBACK_RULES!$C$5:$C$304,$S29)&amp;" "&amp;INDEX(CASHBACK_RULES!$D$5:$D$304,$S29))</f>
        <v/>
      </c>
      <c r="V29" s="55" t="str">
        <f>IF($S29="","",INDEX(CASHBACK_RULES!$E$5:$E$304,$S29)&amp;"")</f>
        <v/>
      </c>
      <c r="W29" s="55" t="str">
        <f>IF($S29="","",INDEX(CASHBACK_RULES!$F$5:$F$304,$S29)&amp;"")</f>
        <v/>
      </c>
      <c r="X29" s="26" t="str">
        <f>IF($S29="","",SUMIFS(TRANSACTIONS_MASTER!$Q$5:$Q$1204,TRANSACTIONS_MASTER!$D$5:$D$1204,$T29,TRANSACTIONS_MASTER!$Z$5:$Z$1204,$V29,TRANSACTIONS_MASTER!$C$5:$C$1204,$C$2))</f>
        <v/>
      </c>
      <c r="Y29" s="25" t="str">
        <f>IF($S29="","",IF(ISNUMBER(INDEX(CASHBACK_RULES!$J$5:$J$304,$S29)),INDEX(CASHBACK_RULES!$J$5:$J$304,$S29),"∞"))</f>
        <v/>
      </c>
      <c r="Z29" s="25" t="str">
        <f>IF($S29="","",IF(ISNUMBER($Y29),MAX(0,$Y29-$X29),"∞"))</f>
        <v/>
      </c>
      <c r="AA29" s="27" t="str">
        <f>IF($S29="","",IF(ISNUMBER($Y29),IF($Y29=0,0,$X29/$Y29),""))</f>
        <v/>
      </c>
    </row>
    <row r="30" ht="20" customHeight="1">
      <c r="A30" s="81" t="str">
        <f>IF($Q30="","",23)</f>
        <v/>
      </c>
      <c r="B30" s="57" t="str">
        <f>IF($Q30="","",INDEX(TRANSACTIONS_MASTER!$B$5:$B$1204,$Q30))</f>
        <v/>
      </c>
      <c r="C30" s="55" t="str">
        <f>IF($Q30="","",INDEX(TRANSACTIONS_MASTER!$F$5:$F$1204,$Q30))</f>
        <v/>
      </c>
      <c r="D30" s="55" t="str">
        <f>IF($Q30="","",INDEX(TRANSACTIONS_MASTER!$E$5:$E$1204,$Q30))</f>
        <v/>
      </c>
      <c r="E30" s="55" t="str">
        <f>IF($Q30="","",INDEX(TRANSACTIONS_MASTER!$G$5:$G$1204,$Q30)&amp;"")</f>
        <v/>
      </c>
      <c r="F30" s="29" t="str">
        <f>IF($Q30="","",INDEX(TRANSACTIONS_MASTER!$I$5:$I$1204,$Q30))</f>
        <v/>
      </c>
      <c r="G30" s="55" t="str">
        <f>IF($Q30="","",INDEX(TRANSACTIONS_MASTER!$K$5:$K$1204,$Q30))</f>
        <v/>
      </c>
      <c r="H30" s="25" t="str">
        <f>IF($Q30="","",INDEX(TRANSACTIONS_MASTER!$L$5:$L$1204,$Q30))</f>
        <v/>
      </c>
      <c r="I30" s="56" t="str">
        <f>IF($Q30="","",INDEX(TRANSACTIONS_MASTER!$N$5:$N$1204,$Q30))</f>
        <v/>
      </c>
      <c r="J30" s="25" t="str">
        <f>IF($Q30="","",INDEX(TRANSACTIONS_MASTER!$O$5:$O$1204,$Q30))</f>
        <v/>
      </c>
      <c r="K30" s="26" t="str">
        <f>IF($Q30="","",INDEX(TRANSACTIONS_MASTER!$Q$5:$Q$1204,$Q30))</f>
        <v/>
      </c>
      <c r="L30" s="25" t="str">
        <f>IF($Q30="","",INDEX(TRANSACTIONS_MASTER!$P$5:$P$1204,$Q30))</f>
        <v/>
      </c>
      <c r="M30" s="25" t="str">
        <f>IF($Q30="","",INDEX(TRANSACTIONS_MASTER!$AA$5:$AA$1204,$Q30))</f>
        <v/>
      </c>
      <c r="N30" s="25" t="str">
        <f>IF($Q30="","",INDEX(TRANSACTIONS_MASTER!$R$5:$R$1204,$Q30))</f>
        <v/>
      </c>
      <c r="O30" s="28" t="str">
        <f>IF($Q30="","",INDEX(TRANSACTIONS_MASTER!$AB$5:$AB$1204,$Q30))</f>
        <v/>
      </c>
      <c r="P30" s="55" t="str">
        <f>IF($Q30="","",INDEX(TRANSACTIONS_MASTER!$Z$5:$Z$1204,$Q30)&amp;"")</f>
        <v/>
      </c>
      <c r="Q30" s="67" t="str">
        <f>IFERROR(MATCH($C$2&amp;"|"&amp;23,TRANSACTIONS_MASTER!$AE$5:$AE$1204,0),"")</f>
        <v/>
      </c>
      <c r="S30" s="67" t="str">
        <f>IFERROR(MATCH(23,CASHBACK_RULES!$S$5:$S$304,0),"")</f>
        <v/>
      </c>
      <c r="T30" s="55" t="str">
        <f>IF($S30="","",INDEX(CASHBACK_RULES!$B$5:$B$304,$S30))</f>
        <v/>
      </c>
      <c r="U30" s="55" t="str">
        <f>IF($S30="","",INDEX(CASHBACK_RULES!$C$5:$C$304,$S30)&amp;" "&amp;INDEX(CASHBACK_RULES!$D$5:$D$304,$S30))</f>
        <v/>
      </c>
      <c r="V30" s="55" t="str">
        <f>IF($S30="","",INDEX(CASHBACK_RULES!$E$5:$E$304,$S30)&amp;"")</f>
        <v/>
      </c>
      <c r="W30" s="55" t="str">
        <f>IF($S30="","",INDEX(CASHBACK_RULES!$F$5:$F$304,$S30)&amp;"")</f>
        <v/>
      </c>
      <c r="X30" s="26" t="str">
        <f>IF($S30="","",SUMIFS(TRANSACTIONS_MASTER!$Q$5:$Q$1204,TRANSACTIONS_MASTER!$D$5:$D$1204,$T30,TRANSACTIONS_MASTER!$Z$5:$Z$1204,$V30,TRANSACTIONS_MASTER!$C$5:$C$1204,$C$2))</f>
        <v/>
      </c>
      <c r="Y30" s="25" t="str">
        <f>IF($S30="","",IF(ISNUMBER(INDEX(CASHBACK_RULES!$J$5:$J$304,$S30)),INDEX(CASHBACK_RULES!$J$5:$J$304,$S30),"∞"))</f>
        <v/>
      </c>
      <c r="Z30" s="25" t="str">
        <f>IF($S30="","",IF(ISNUMBER($Y30),MAX(0,$Y30-$X30),"∞"))</f>
        <v/>
      </c>
      <c r="AA30" s="27" t="str">
        <f>IF($S30="","",IF(ISNUMBER($Y30),IF($Y30=0,0,$X30/$Y30),""))</f>
        <v/>
      </c>
    </row>
    <row r="31" ht="20" customHeight="1">
      <c r="A31" s="81" t="str">
        <f>IF($Q31="","",24)</f>
        <v/>
      </c>
      <c r="B31" s="57" t="str">
        <f>IF($Q31="","",INDEX(TRANSACTIONS_MASTER!$B$5:$B$1204,$Q31))</f>
        <v/>
      </c>
      <c r="C31" s="55" t="str">
        <f>IF($Q31="","",INDEX(TRANSACTIONS_MASTER!$F$5:$F$1204,$Q31))</f>
        <v/>
      </c>
      <c r="D31" s="55" t="str">
        <f>IF($Q31="","",INDEX(TRANSACTIONS_MASTER!$E$5:$E$1204,$Q31))</f>
        <v/>
      </c>
      <c r="E31" s="55" t="str">
        <f>IF($Q31="","",INDEX(TRANSACTIONS_MASTER!$G$5:$G$1204,$Q31)&amp;"")</f>
        <v/>
      </c>
      <c r="F31" s="29" t="str">
        <f>IF($Q31="","",INDEX(TRANSACTIONS_MASTER!$I$5:$I$1204,$Q31))</f>
        <v/>
      </c>
      <c r="G31" s="55" t="str">
        <f>IF($Q31="","",INDEX(TRANSACTIONS_MASTER!$K$5:$K$1204,$Q31))</f>
        <v/>
      </c>
      <c r="H31" s="25" t="str">
        <f>IF($Q31="","",INDEX(TRANSACTIONS_MASTER!$L$5:$L$1204,$Q31))</f>
        <v/>
      </c>
      <c r="I31" s="56" t="str">
        <f>IF($Q31="","",INDEX(TRANSACTIONS_MASTER!$N$5:$N$1204,$Q31))</f>
        <v/>
      </c>
      <c r="J31" s="25" t="str">
        <f>IF($Q31="","",INDEX(TRANSACTIONS_MASTER!$O$5:$O$1204,$Q31))</f>
        <v/>
      </c>
      <c r="K31" s="26" t="str">
        <f>IF($Q31="","",INDEX(TRANSACTIONS_MASTER!$Q$5:$Q$1204,$Q31))</f>
        <v/>
      </c>
      <c r="L31" s="25" t="str">
        <f>IF($Q31="","",INDEX(TRANSACTIONS_MASTER!$P$5:$P$1204,$Q31))</f>
        <v/>
      </c>
      <c r="M31" s="25" t="str">
        <f>IF($Q31="","",INDEX(TRANSACTIONS_MASTER!$AA$5:$AA$1204,$Q31))</f>
        <v/>
      </c>
      <c r="N31" s="25" t="str">
        <f>IF($Q31="","",INDEX(TRANSACTIONS_MASTER!$R$5:$R$1204,$Q31))</f>
        <v/>
      </c>
      <c r="O31" s="28" t="str">
        <f>IF($Q31="","",INDEX(TRANSACTIONS_MASTER!$AB$5:$AB$1204,$Q31))</f>
        <v/>
      </c>
      <c r="P31" s="55" t="str">
        <f>IF($Q31="","",INDEX(TRANSACTIONS_MASTER!$Z$5:$Z$1204,$Q31)&amp;"")</f>
        <v/>
      </c>
      <c r="Q31" s="67" t="str">
        <f>IFERROR(MATCH($C$2&amp;"|"&amp;24,TRANSACTIONS_MASTER!$AE$5:$AE$1204,0),"")</f>
        <v/>
      </c>
      <c r="S31" s="67" t="str">
        <f>IFERROR(MATCH(24,CASHBACK_RULES!$S$5:$S$304,0),"")</f>
        <v/>
      </c>
      <c r="T31" s="55" t="str">
        <f>IF($S31="","",INDEX(CASHBACK_RULES!$B$5:$B$304,$S31))</f>
        <v/>
      </c>
      <c r="U31" s="55" t="str">
        <f>IF($S31="","",INDEX(CASHBACK_RULES!$C$5:$C$304,$S31)&amp;" "&amp;INDEX(CASHBACK_RULES!$D$5:$D$304,$S31))</f>
        <v/>
      </c>
      <c r="V31" s="55" t="str">
        <f>IF($S31="","",INDEX(CASHBACK_RULES!$E$5:$E$304,$S31)&amp;"")</f>
        <v/>
      </c>
      <c r="W31" s="55" t="str">
        <f>IF($S31="","",INDEX(CASHBACK_RULES!$F$5:$F$304,$S31)&amp;"")</f>
        <v/>
      </c>
      <c r="X31" s="26" t="str">
        <f>IF($S31="","",SUMIFS(TRANSACTIONS_MASTER!$Q$5:$Q$1204,TRANSACTIONS_MASTER!$D$5:$D$1204,$T31,TRANSACTIONS_MASTER!$Z$5:$Z$1204,$V31,TRANSACTIONS_MASTER!$C$5:$C$1204,$C$2))</f>
        <v/>
      </c>
      <c r="Y31" s="25" t="str">
        <f>IF($S31="","",IF(ISNUMBER(INDEX(CASHBACK_RULES!$J$5:$J$304,$S31)),INDEX(CASHBACK_RULES!$J$5:$J$304,$S31),"∞"))</f>
        <v/>
      </c>
      <c r="Z31" s="25" t="str">
        <f>IF($S31="","",IF(ISNUMBER($Y31),MAX(0,$Y31-$X31),"∞"))</f>
        <v/>
      </c>
      <c r="AA31" s="27" t="str">
        <f>IF($S31="","",IF(ISNUMBER($Y31),IF($Y31=0,0,$X31/$Y31),""))</f>
        <v/>
      </c>
    </row>
    <row r="32" ht="20" customHeight="1">
      <c r="A32" s="81" t="str">
        <f>IF($Q32="","",25)</f>
        <v/>
      </c>
      <c r="B32" s="57" t="str">
        <f>IF($Q32="","",INDEX(TRANSACTIONS_MASTER!$B$5:$B$1204,$Q32))</f>
        <v/>
      </c>
      <c r="C32" s="55" t="str">
        <f>IF($Q32="","",INDEX(TRANSACTIONS_MASTER!$F$5:$F$1204,$Q32))</f>
        <v/>
      </c>
      <c r="D32" s="55" t="str">
        <f>IF($Q32="","",INDEX(TRANSACTIONS_MASTER!$E$5:$E$1204,$Q32))</f>
        <v/>
      </c>
      <c r="E32" s="55" t="str">
        <f>IF($Q32="","",INDEX(TRANSACTIONS_MASTER!$G$5:$G$1204,$Q32)&amp;"")</f>
        <v/>
      </c>
      <c r="F32" s="29" t="str">
        <f>IF($Q32="","",INDEX(TRANSACTIONS_MASTER!$I$5:$I$1204,$Q32))</f>
        <v/>
      </c>
      <c r="G32" s="55" t="str">
        <f>IF($Q32="","",INDEX(TRANSACTIONS_MASTER!$K$5:$K$1204,$Q32))</f>
        <v/>
      </c>
      <c r="H32" s="25" t="str">
        <f>IF($Q32="","",INDEX(TRANSACTIONS_MASTER!$L$5:$L$1204,$Q32))</f>
        <v/>
      </c>
      <c r="I32" s="56" t="str">
        <f>IF($Q32="","",INDEX(TRANSACTIONS_MASTER!$N$5:$N$1204,$Q32))</f>
        <v/>
      </c>
      <c r="J32" s="25" t="str">
        <f>IF($Q32="","",INDEX(TRANSACTIONS_MASTER!$O$5:$O$1204,$Q32))</f>
        <v/>
      </c>
      <c r="K32" s="26" t="str">
        <f>IF($Q32="","",INDEX(TRANSACTIONS_MASTER!$Q$5:$Q$1204,$Q32))</f>
        <v/>
      </c>
      <c r="L32" s="25" t="str">
        <f>IF($Q32="","",INDEX(TRANSACTIONS_MASTER!$P$5:$P$1204,$Q32))</f>
        <v/>
      </c>
      <c r="M32" s="25" t="str">
        <f>IF($Q32="","",INDEX(TRANSACTIONS_MASTER!$AA$5:$AA$1204,$Q32))</f>
        <v/>
      </c>
      <c r="N32" s="25" t="str">
        <f>IF($Q32="","",INDEX(TRANSACTIONS_MASTER!$R$5:$R$1204,$Q32))</f>
        <v/>
      </c>
      <c r="O32" s="28" t="str">
        <f>IF($Q32="","",INDEX(TRANSACTIONS_MASTER!$AB$5:$AB$1204,$Q32))</f>
        <v/>
      </c>
      <c r="P32" s="55" t="str">
        <f>IF($Q32="","",INDEX(TRANSACTIONS_MASTER!$Z$5:$Z$1204,$Q32)&amp;"")</f>
        <v/>
      </c>
      <c r="Q32" s="67" t="str">
        <f>IFERROR(MATCH($C$2&amp;"|"&amp;25,TRANSACTIONS_MASTER!$AE$5:$AE$1204,0),"")</f>
        <v/>
      </c>
      <c r="S32" s="67" t="str">
        <f>IFERROR(MATCH(25,CASHBACK_RULES!$S$5:$S$304,0),"")</f>
        <v/>
      </c>
      <c r="T32" s="55" t="str">
        <f>IF($S32="","",INDEX(CASHBACK_RULES!$B$5:$B$304,$S32))</f>
        <v/>
      </c>
      <c r="U32" s="55" t="str">
        <f>IF($S32="","",INDEX(CASHBACK_RULES!$C$5:$C$304,$S32)&amp;" "&amp;INDEX(CASHBACK_RULES!$D$5:$D$304,$S32))</f>
        <v/>
      </c>
      <c r="V32" s="55" t="str">
        <f>IF($S32="","",INDEX(CASHBACK_RULES!$E$5:$E$304,$S32)&amp;"")</f>
        <v/>
      </c>
      <c r="W32" s="55" t="str">
        <f>IF($S32="","",INDEX(CASHBACK_RULES!$F$5:$F$304,$S32)&amp;"")</f>
        <v/>
      </c>
      <c r="X32" s="26" t="str">
        <f>IF($S32="","",SUMIFS(TRANSACTIONS_MASTER!$Q$5:$Q$1204,TRANSACTIONS_MASTER!$D$5:$D$1204,$T32,TRANSACTIONS_MASTER!$Z$5:$Z$1204,$V32,TRANSACTIONS_MASTER!$C$5:$C$1204,$C$2))</f>
        <v/>
      </c>
      <c r="Y32" s="25" t="str">
        <f>IF($S32="","",IF(ISNUMBER(INDEX(CASHBACK_RULES!$J$5:$J$304,$S32)),INDEX(CASHBACK_RULES!$J$5:$J$304,$S32),"∞"))</f>
        <v/>
      </c>
      <c r="Z32" s="25" t="str">
        <f>IF($S32="","",IF(ISNUMBER($Y32),MAX(0,$Y32-$X32),"∞"))</f>
        <v/>
      </c>
      <c r="AA32" s="27" t="str">
        <f>IF($S32="","",IF(ISNUMBER($Y32),IF($Y32=0,0,$X32/$Y32),""))</f>
        <v/>
      </c>
    </row>
    <row r="33" ht="20" customHeight="1">
      <c r="A33" s="81" t="str">
        <f>IF($Q33="","",26)</f>
        <v/>
      </c>
      <c r="B33" s="57" t="str">
        <f>IF($Q33="","",INDEX(TRANSACTIONS_MASTER!$B$5:$B$1204,$Q33))</f>
        <v/>
      </c>
      <c r="C33" s="55" t="str">
        <f>IF($Q33="","",INDEX(TRANSACTIONS_MASTER!$F$5:$F$1204,$Q33))</f>
        <v/>
      </c>
      <c r="D33" s="55" t="str">
        <f>IF($Q33="","",INDEX(TRANSACTIONS_MASTER!$E$5:$E$1204,$Q33))</f>
        <v/>
      </c>
      <c r="E33" s="55" t="str">
        <f>IF($Q33="","",INDEX(TRANSACTIONS_MASTER!$G$5:$G$1204,$Q33)&amp;"")</f>
        <v/>
      </c>
      <c r="F33" s="29" t="str">
        <f>IF($Q33="","",INDEX(TRANSACTIONS_MASTER!$I$5:$I$1204,$Q33))</f>
        <v/>
      </c>
      <c r="G33" s="55" t="str">
        <f>IF($Q33="","",INDEX(TRANSACTIONS_MASTER!$K$5:$K$1204,$Q33))</f>
        <v/>
      </c>
      <c r="H33" s="25" t="str">
        <f>IF($Q33="","",INDEX(TRANSACTIONS_MASTER!$L$5:$L$1204,$Q33))</f>
        <v/>
      </c>
      <c r="I33" s="56" t="str">
        <f>IF($Q33="","",INDEX(TRANSACTIONS_MASTER!$N$5:$N$1204,$Q33))</f>
        <v/>
      </c>
      <c r="J33" s="25" t="str">
        <f>IF($Q33="","",INDEX(TRANSACTIONS_MASTER!$O$5:$O$1204,$Q33))</f>
        <v/>
      </c>
      <c r="K33" s="26" t="str">
        <f>IF($Q33="","",INDEX(TRANSACTIONS_MASTER!$Q$5:$Q$1204,$Q33))</f>
        <v/>
      </c>
      <c r="L33" s="25" t="str">
        <f>IF($Q33="","",INDEX(TRANSACTIONS_MASTER!$P$5:$P$1204,$Q33))</f>
        <v/>
      </c>
      <c r="M33" s="25" t="str">
        <f>IF($Q33="","",INDEX(TRANSACTIONS_MASTER!$AA$5:$AA$1204,$Q33))</f>
        <v/>
      </c>
      <c r="N33" s="25" t="str">
        <f>IF($Q33="","",INDEX(TRANSACTIONS_MASTER!$R$5:$R$1204,$Q33))</f>
        <v/>
      </c>
      <c r="O33" s="28" t="str">
        <f>IF($Q33="","",INDEX(TRANSACTIONS_MASTER!$AB$5:$AB$1204,$Q33))</f>
        <v/>
      </c>
      <c r="P33" s="55" t="str">
        <f>IF($Q33="","",INDEX(TRANSACTIONS_MASTER!$Z$5:$Z$1204,$Q33)&amp;"")</f>
        <v/>
      </c>
      <c r="Q33" s="67" t="str">
        <f>IFERROR(MATCH($C$2&amp;"|"&amp;26,TRANSACTIONS_MASTER!$AE$5:$AE$1204,0),"")</f>
        <v/>
      </c>
      <c r="S33" s="67" t="str">
        <f>IFERROR(MATCH(26,CASHBACK_RULES!$S$5:$S$304,0),"")</f>
        <v/>
      </c>
      <c r="T33" s="55" t="str">
        <f>IF($S33="","",INDEX(CASHBACK_RULES!$B$5:$B$304,$S33))</f>
        <v/>
      </c>
      <c r="U33" s="55" t="str">
        <f>IF($S33="","",INDEX(CASHBACK_RULES!$C$5:$C$304,$S33)&amp;" "&amp;INDEX(CASHBACK_RULES!$D$5:$D$304,$S33))</f>
        <v/>
      </c>
      <c r="V33" s="55" t="str">
        <f>IF($S33="","",INDEX(CASHBACK_RULES!$E$5:$E$304,$S33)&amp;"")</f>
        <v/>
      </c>
      <c r="W33" s="55" t="str">
        <f>IF($S33="","",INDEX(CASHBACK_RULES!$F$5:$F$304,$S33)&amp;"")</f>
        <v/>
      </c>
      <c r="X33" s="26" t="str">
        <f>IF($S33="","",SUMIFS(TRANSACTIONS_MASTER!$Q$5:$Q$1204,TRANSACTIONS_MASTER!$D$5:$D$1204,$T33,TRANSACTIONS_MASTER!$Z$5:$Z$1204,$V33,TRANSACTIONS_MASTER!$C$5:$C$1204,$C$2))</f>
        <v/>
      </c>
      <c r="Y33" s="25" t="str">
        <f>IF($S33="","",IF(ISNUMBER(INDEX(CASHBACK_RULES!$J$5:$J$304,$S33)),INDEX(CASHBACK_RULES!$J$5:$J$304,$S33),"∞"))</f>
        <v/>
      </c>
      <c r="Z33" s="25" t="str">
        <f>IF($S33="","",IF(ISNUMBER($Y33),MAX(0,$Y33-$X33),"∞"))</f>
        <v/>
      </c>
      <c r="AA33" s="27" t="str">
        <f>IF($S33="","",IF(ISNUMBER($Y33),IF($Y33=0,0,$X33/$Y33),""))</f>
        <v/>
      </c>
    </row>
    <row r="34" ht="20" customHeight="1">
      <c r="A34" s="81" t="str">
        <f>IF($Q34="","",27)</f>
        <v/>
      </c>
      <c r="B34" s="57" t="str">
        <f>IF($Q34="","",INDEX(TRANSACTIONS_MASTER!$B$5:$B$1204,$Q34))</f>
        <v/>
      </c>
      <c r="C34" s="55" t="str">
        <f>IF($Q34="","",INDEX(TRANSACTIONS_MASTER!$F$5:$F$1204,$Q34))</f>
        <v/>
      </c>
      <c r="D34" s="55" t="str">
        <f>IF($Q34="","",INDEX(TRANSACTIONS_MASTER!$E$5:$E$1204,$Q34))</f>
        <v/>
      </c>
      <c r="E34" s="55" t="str">
        <f>IF($Q34="","",INDEX(TRANSACTIONS_MASTER!$G$5:$G$1204,$Q34)&amp;"")</f>
        <v/>
      </c>
      <c r="F34" s="29" t="str">
        <f>IF($Q34="","",INDEX(TRANSACTIONS_MASTER!$I$5:$I$1204,$Q34))</f>
        <v/>
      </c>
      <c r="G34" s="55" t="str">
        <f>IF($Q34="","",INDEX(TRANSACTIONS_MASTER!$K$5:$K$1204,$Q34))</f>
        <v/>
      </c>
      <c r="H34" s="25" t="str">
        <f>IF($Q34="","",INDEX(TRANSACTIONS_MASTER!$L$5:$L$1204,$Q34))</f>
        <v/>
      </c>
      <c r="I34" s="56" t="str">
        <f>IF($Q34="","",INDEX(TRANSACTIONS_MASTER!$N$5:$N$1204,$Q34))</f>
        <v/>
      </c>
      <c r="J34" s="25" t="str">
        <f>IF($Q34="","",INDEX(TRANSACTIONS_MASTER!$O$5:$O$1204,$Q34))</f>
        <v/>
      </c>
      <c r="K34" s="26" t="str">
        <f>IF($Q34="","",INDEX(TRANSACTIONS_MASTER!$Q$5:$Q$1204,$Q34))</f>
        <v/>
      </c>
      <c r="L34" s="25" t="str">
        <f>IF($Q34="","",INDEX(TRANSACTIONS_MASTER!$P$5:$P$1204,$Q34))</f>
        <v/>
      </c>
      <c r="M34" s="25" t="str">
        <f>IF($Q34="","",INDEX(TRANSACTIONS_MASTER!$AA$5:$AA$1204,$Q34))</f>
        <v/>
      </c>
      <c r="N34" s="25" t="str">
        <f>IF($Q34="","",INDEX(TRANSACTIONS_MASTER!$R$5:$R$1204,$Q34))</f>
        <v/>
      </c>
      <c r="O34" s="28" t="str">
        <f>IF($Q34="","",INDEX(TRANSACTIONS_MASTER!$AB$5:$AB$1204,$Q34))</f>
        <v/>
      </c>
      <c r="P34" s="55" t="str">
        <f>IF($Q34="","",INDEX(TRANSACTIONS_MASTER!$Z$5:$Z$1204,$Q34)&amp;"")</f>
        <v/>
      </c>
      <c r="Q34" s="67" t="str">
        <f>IFERROR(MATCH($C$2&amp;"|"&amp;27,TRANSACTIONS_MASTER!$AE$5:$AE$1204,0),"")</f>
        <v/>
      </c>
      <c r="S34" s="67" t="str">
        <f>IFERROR(MATCH(27,CASHBACK_RULES!$S$5:$S$304,0),"")</f>
        <v/>
      </c>
      <c r="T34" s="55" t="str">
        <f>IF($S34="","",INDEX(CASHBACK_RULES!$B$5:$B$304,$S34))</f>
        <v/>
      </c>
      <c r="U34" s="55" t="str">
        <f>IF($S34="","",INDEX(CASHBACK_RULES!$C$5:$C$304,$S34)&amp;" "&amp;INDEX(CASHBACK_RULES!$D$5:$D$304,$S34))</f>
        <v/>
      </c>
      <c r="V34" s="55" t="str">
        <f>IF($S34="","",INDEX(CASHBACK_RULES!$E$5:$E$304,$S34)&amp;"")</f>
        <v/>
      </c>
      <c r="W34" s="55" t="str">
        <f>IF($S34="","",INDEX(CASHBACK_RULES!$F$5:$F$304,$S34)&amp;"")</f>
        <v/>
      </c>
      <c r="X34" s="26" t="str">
        <f>IF($S34="","",SUMIFS(TRANSACTIONS_MASTER!$Q$5:$Q$1204,TRANSACTIONS_MASTER!$D$5:$D$1204,$T34,TRANSACTIONS_MASTER!$Z$5:$Z$1204,$V34,TRANSACTIONS_MASTER!$C$5:$C$1204,$C$2))</f>
        <v/>
      </c>
      <c r="Y34" s="25" t="str">
        <f>IF($S34="","",IF(ISNUMBER(INDEX(CASHBACK_RULES!$J$5:$J$304,$S34)),INDEX(CASHBACK_RULES!$J$5:$J$304,$S34),"∞"))</f>
        <v/>
      </c>
      <c r="Z34" s="25" t="str">
        <f>IF($S34="","",IF(ISNUMBER($Y34),MAX(0,$Y34-$X34),"∞"))</f>
        <v/>
      </c>
      <c r="AA34" s="27" t="str">
        <f>IF($S34="","",IF(ISNUMBER($Y34),IF($Y34=0,0,$X34/$Y34),""))</f>
        <v/>
      </c>
    </row>
    <row r="35" ht="20" customHeight="1">
      <c r="A35" s="81" t="str">
        <f>IF($Q35="","",28)</f>
        <v/>
      </c>
      <c r="B35" s="57" t="str">
        <f>IF($Q35="","",INDEX(TRANSACTIONS_MASTER!$B$5:$B$1204,$Q35))</f>
        <v/>
      </c>
      <c r="C35" s="55" t="str">
        <f>IF($Q35="","",INDEX(TRANSACTIONS_MASTER!$F$5:$F$1204,$Q35))</f>
        <v/>
      </c>
      <c r="D35" s="55" t="str">
        <f>IF($Q35="","",INDEX(TRANSACTIONS_MASTER!$E$5:$E$1204,$Q35))</f>
        <v/>
      </c>
      <c r="E35" s="55" t="str">
        <f>IF($Q35="","",INDEX(TRANSACTIONS_MASTER!$G$5:$G$1204,$Q35)&amp;"")</f>
        <v/>
      </c>
      <c r="F35" s="29" t="str">
        <f>IF($Q35="","",INDEX(TRANSACTIONS_MASTER!$I$5:$I$1204,$Q35))</f>
        <v/>
      </c>
      <c r="G35" s="55" t="str">
        <f>IF($Q35="","",INDEX(TRANSACTIONS_MASTER!$K$5:$K$1204,$Q35))</f>
        <v/>
      </c>
      <c r="H35" s="25" t="str">
        <f>IF($Q35="","",INDEX(TRANSACTIONS_MASTER!$L$5:$L$1204,$Q35))</f>
        <v/>
      </c>
      <c r="I35" s="56" t="str">
        <f>IF($Q35="","",INDEX(TRANSACTIONS_MASTER!$N$5:$N$1204,$Q35))</f>
        <v/>
      </c>
      <c r="J35" s="25" t="str">
        <f>IF($Q35="","",INDEX(TRANSACTIONS_MASTER!$O$5:$O$1204,$Q35))</f>
        <v/>
      </c>
      <c r="K35" s="26" t="str">
        <f>IF($Q35="","",INDEX(TRANSACTIONS_MASTER!$Q$5:$Q$1204,$Q35))</f>
        <v/>
      </c>
      <c r="L35" s="25" t="str">
        <f>IF($Q35="","",INDEX(TRANSACTIONS_MASTER!$P$5:$P$1204,$Q35))</f>
        <v/>
      </c>
      <c r="M35" s="25" t="str">
        <f>IF($Q35="","",INDEX(TRANSACTIONS_MASTER!$AA$5:$AA$1204,$Q35))</f>
        <v/>
      </c>
      <c r="N35" s="25" t="str">
        <f>IF($Q35="","",INDEX(TRANSACTIONS_MASTER!$R$5:$R$1204,$Q35))</f>
        <v/>
      </c>
      <c r="O35" s="28" t="str">
        <f>IF($Q35="","",INDEX(TRANSACTIONS_MASTER!$AB$5:$AB$1204,$Q35))</f>
        <v/>
      </c>
      <c r="P35" s="55" t="str">
        <f>IF($Q35="","",INDEX(TRANSACTIONS_MASTER!$Z$5:$Z$1204,$Q35)&amp;"")</f>
        <v/>
      </c>
      <c r="Q35" s="67" t="str">
        <f>IFERROR(MATCH($C$2&amp;"|"&amp;28,TRANSACTIONS_MASTER!$AE$5:$AE$1204,0),"")</f>
        <v/>
      </c>
      <c r="S35" s="67" t="str">
        <f>IFERROR(MATCH(28,CASHBACK_RULES!$S$5:$S$304,0),"")</f>
        <v/>
      </c>
      <c r="T35" s="55" t="str">
        <f>IF($S35="","",INDEX(CASHBACK_RULES!$B$5:$B$304,$S35))</f>
        <v/>
      </c>
      <c r="U35" s="55" t="str">
        <f>IF($S35="","",INDEX(CASHBACK_RULES!$C$5:$C$304,$S35)&amp;" "&amp;INDEX(CASHBACK_RULES!$D$5:$D$304,$S35))</f>
        <v/>
      </c>
      <c r="V35" s="55" t="str">
        <f>IF($S35="","",INDEX(CASHBACK_RULES!$E$5:$E$304,$S35)&amp;"")</f>
        <v/>
      </c>
      <c r="W35" s="55" t="str">
        <f>IF($S35="","",INDEX(CASHBACK_RULES!$F$5:$F$304,$S35)&amp;"")</f>
        <v/>
      </c>
      <c r="X35" s="26" t="str">
        <f>IF($S35="","",SUMIFS(TRANSACTIONS_MASTER!$Q$5:$Q$1204,TRANSACTIONS_MASTER!$D$5:$D$1204,$T35,TRANSACTIONS_MASTER!$Z$5:$Z$1204,$V35,TRANSACTIONS_MASTER!$C$5:$C$1204,$C$2))</f>
        <v/>
      </c>
      <c r="Y35" s="25" t="str">
        <f>IF($S35="","",IF(ISNUMBER(INDEX(CASHBACK_RULES!$J$5:$J$304,$S35)),INDEX(CASHBACK_RULES!$J$5:$J$304,$S35),"∞"))</f>
        <v/>
      </c>
      <c r="Z35" s="25" t="str">
        <f>IF($S35="","",IF(ISNUMBER($Y35),MAX(0,$Y35-$X35),"∞"))</f>
        <v/>
      </c>
      <c r="AA35" s="27" t="str">
        <f>IF($S35="","",IF(ISNUMBER($Y35),IF($Y35=0,0,$X35/$Y35),""))</f>
        <v/>
      </c>
    </row>
    <row r="36" ht="20" customHeight="1">
      <c r="A36" s="81" t="str">
        <f>IF($Q36="","",29)</f>
        <v/>
      </c>
      <c r="B36" s="57" t="str">
        <f>IF($Q36="","",INDEX(TRANSACTIONS_MASTER!$B$5:$B$1204,$Q36))</f>
        <v/>
      </c>
      <c r="C36" s="55" t="str">
        <f>IF($Q36="","",INDEX(TRANSACTIONS_MASTER!$F$5:$F$1204,$Q36))</f>
        <v/>
      </c>
      <c r="D36" s="55" t="str">
        <f>IF($Q36="","",INDEX(TRANSACTIONS_MASTER!$E$5:$E$1204,$Q36))</f>
        <v/>
      </c>
      <c r="E36" s="55" t="str">
        <f>IF($Q36="","",INDEX(TRANSACTIONS_MASTER!$G$5:$G$1204,$Q36)&amp;"")</f>
        <v/>
      </c>
      <c r="F36" s="29" t="str">
        <f>IF($Q36="","",INDEX(TRANSACTIONS_MASTER!$I$5:$I$1204,$Q36))</f>
        <v/>
      </c>
      <c r="G36" s="55" t="str">
        <f>IF($Q36="","",INDEX(TRANSACTIONS_MASTER!$K$5:$K$1204,$Q36))</f>
        <v/>
      </c>
      <c r="H36" s="25" t="str">
        <f>IF($Q36="","",INDEX(TRANSACTIONS_MASTER!$L$5:$L$1204,$Q36))</f>
        <v/>
      </c>
      <c r="I36" s="56" t="str">
        <f>IF($Q36="","",INDEX(TRANSACTIONS_MASTER!$N$5:$N$1204,$Q36))</f>
        <v/>
      </c>
      <c r="J36" s="25" t="str">
        <f>IF($Q36="","",INDEX(TRANSACTIONS_MASTER!$O$5:$O$1204,$Q36))</f>
        <v/>
      </c>
      <c r="K36" s="26" t="str">
        <f>IF($Q36="","",INDEX(TRANSACTIONS_MASTER!$Q$5:$Q$1204,$Q36))</f>
        <v/>
      </c>
      <c r="L36" s="25" t="str">
        <f>IF($Q36="","",INDEX(TRANSACTIONS_MASTER!$P$5:$P$1204,$Q36))</f>
        <v/>
      </c>
      <c r="M36" s="25" t="str">
        <f>IF($Q36="","",INDEX(TRANSACTIONS_MASTER!$AA$5:$AA$1204,$Q36))</f>
        <v/>
      </c>
      <c r="N36" s="25" t="str">
        <f>IF($Q36="","",INDEX(TRANSACTIONS_MASTER!$R$5:$R$1204,$Q36))</f>
        <v/>
      </c>
      <c r="O36" s="28" t="str">
        <f>IF($Q36="","",INDEX(TRANSACTIONS_MASTER!$AB$5:$AB$1204,$Q36))</f>
        <v/>
      </c>
      <c r="P36" s="55" t="str">
        <f>IF($Q36="","",INDEX(TRANSACTIONS_MASTER!$Z$5:$Z$1204,$Q36)&amp;"")</f>
        <v/>
      </c>
      <c r="Q36" s="67" t="str">
        <f>IFERROR(MATCH($C$2&amp;"|"&amp;29,TRANSACTIONS_MASTER!$AE$5:$AE$1204,0),"")</f>
        <v/>
      </c>
      <c r="S36" s="67" t="str">
        <f>IFERROR(MATCH(29,CASHBACK_RULES!$S$5:$S$304,0),"")</f>
        <v/>
      </c>
      <c r="T36" s="55" t="str">
        <f>IF($S36="","",INDEX(CASHBACK_RULES!$B$5:$B$304,$S36))</f>
        <v/>
      </c>
      <c r="U36" s="55" t="str">
        <f>IF($S36="","",INDEX(CASHBACK_RULES!$C$5:$C$304,$S36)&amp;" "&amp;INDEX(CASHBACK_RULES!$D$5:$D$304,$S36))</f>
        <v/>
      </c>
      <c r="V36" s="55" t="str">
        <f>IF($S36="","",INDEX(CASHBACK_RULES!$E$5:$E$304,$S36)&amp;"")</f>
        <v/>
      </c>
      <c r="W36" s="55" t="str">
        <f>IF($S36="","",INDEX(CASHBACK_RULES!$F$5:$F$304,$S36)&amp;"")</f>
        <v/>
      </c>
      <c r="X36" s="26" t="str">
        <f>IF($S36="","",SUMIFS(TRANSACTIONS_MASTER!$Q$5:$Q$1204,TRANSACTIONS_MASTER!$D$5:$D$1204,$T36,TRANSACTIONS_MASTER!$Z$5:$Z$1204,$V36,TRANSACTIONS_MASTER!$C$5:$C$1204,$C$2))</f>
        <v/>
      </c>
      <c r="Y36" s="25" t="str">
        <f>IF($S36="","",IF(ISNUMBER(INDEX(CASHBACK_RULES!$J$5:$J$304,$S36)),INDEX(CASHBACK_RULES!$J$5:$J$304,$S36),"∞"))</f>
        <v/>
      </c>
      <c r="Z36" s="25" t="str">
        <f>IF($S36="","",IF(ISNUMBER($Y36),MAX(0,$Y36-$X36),"∞"))</f>
        <v/>
      </c>
      <c r="AA36" s="27" t="str">
        <f>IF($S36="","",IF(ISNUMBER($Y36),IF($Y36=0,0,$X36/$Y36),""))</f>
        <v/>
      </c>
    </row>
    <row r="37" ht="20" customHeight="1">
      <c r="A37" s="81" t="str">
        <f>IF($Q37="","",30)</f>
        <v/>
      </c>
      <c r="B37" s="57" t="str">
        <f>IF($Q37="","",INDEX(TRANSACTIONS_MASTER!$B$5:$B$1204,$Q37))</f>
        <v/>
      </c>
      <c r="C37" s="55" t="str">
        <f>IF($Q37="","",INDEX(TRANSACTIONS_MASTER!$F$5:$F$1204,$Q37))</f>
        <v/>
      </c>
      <c r="D37" s="55" t="str">
        <f>IF($Q37="","",INDEX(TRANSACTIONS_MASTER!$E$5:$E$1204,$Q37))</f>
        <v/>
      </c>
      <c r="E37" s="55" t="str">
        <f>IF($Q37="","",INDEX(TRANSACTIONS_MASTER!$G$5:$G$1204,$Q37)&amp;"")</f>
        <v/>
      </c>
      <c r="F37" s="29" t="str">
        <f>IF($Q37="","",INDEX(TRANSACTIONS_MASTER!$I$5:$I$1204,$Q37))</f>
        <v/>
      </c>
      <c r="G37" s="55" t="str">
        <f>IF($Q37="","",INDEX(TRANSACTIONS_MASTER!$K$5:$K$1204,$Q37))</f>
        <v/>
      </c>
      <c r="H37" s="25" t="str">
        <f>IF($Q37="","",INDEX(TRANSACTIONS_MASTER!$L$5:$L$1204,$Q37))</f>
        <v/>
      </c>
      <c r="I37" s="56" t="str">
        <f>IF($Q37="","",INDEX(TRANSACTIONS_MASTER!$N$5:$N$1204,$Q37))</f>
        <v/>
      </c>
      <c r="J37" s="25" t="str">
        <f>IF($Q37="","",INDEX(TRANSACTIONS_MASTER!$O$5:$O$1204,$Q37))</f>
        <v/>
      </c>
      <c r="K37" s="26" t="str">
        <f>IF($Q37="","",INDEX(TRANSACTIONS_MASTER!$Q$5:$Q$1204,$Q37))</f>
        <v/>
      </c>
      <c r="L37" s="25" t="str">
        <f>IF($Q37="","",INDEX(TRANSACTIONS_MASTER!$P$5:$P$1204,$Q37))</f>
        <v/>
      </c>
      <c r="M37" s="25" t="str">
        <f>IF($Q37="","",INDEX(TRANSACTIONS_MASTER!$AA$5:$AA$1204,$Q37))</f>
        <v/>
      </c>
      <c r="N37" s="25" t="str">
        <f>IF($Q37="","",INDEX(TRANSACTIONS_MASTER!$R$5:$R$1204,$Q37))</f>
        <v/>
      </c>
      <c r="O37" s="28" t="str">
        <f>IF($Q37="","",INDEX(TRANSACTIONS_MASTER!$AB$5:$AB$1204,$Q37))</f>
        <v/>
      </c>
      <c r="P37" s="55" t="str">
        <f>IF($Q37="","",INDEX(TRANSACTIONS_MASTER!$Z$5:$Z$1204,$Q37)&amp;"")</f>
        <v/>
      </c>
      <c r="Q37" s="67" t="str">
        <f>IFERROR(MATCH($C$2&amp;"|"&amp;30,TRANSACTIONS_MASTER!$AE$5:$AE$1204,0),"")</f>
        <v/>
      </c>
      <c r="S37" s="67" t="str">
        <f>IFERROR(MATCH(30,CASHBACK_RULES!$S$5:$S$304,0),"")</f>
        <v/>
      </c>
      <c r="T37" s="55" t="str">
        <f>IF($S37="","",INDEX(CASHBACK_RULES!$B$5:$B$304,$S37))</f>
        <v/>
      </c>
      <c r="U37" s="55" t="str">
        <f>IF($S37="","",INDEX(CASHBACK_RULES!$C$5:$C$304,$S37)&amp;" "&amp;INDEX(CASHBACK_RULES!$D$5:$D$304,$S37))</f>
        <v/>
      </c>
      <c r="V37" s="55" t="str">
        <f>IF($S37="","",INDEX(CASHBACK_RULES!$E$5:$E$304,$S37)&amp;"")</f>
        <v/>
      </c>
      <c r="W37" s="55" t="str">
        <f>IF($S37="","",INDEX(CASHBACK_RULES!$F$5:$F$304,$S37)&amp;"")</f>
        <v/>
      </c>
      <c r="X37" s="26" t="str">
        <f>IF($S37="","",SUMIFS(TRANSACTIONS_MASTER!$Q$5:$Q$1204,TRANSACTIONS_MASTER!$D$5:$D$1204,$T37,TRANSACTIONS_MASTER!$Z$5:$Z$1204,$V37,TRANSACTIONS_MASTER!$C$5:$C$1204,$C$2))</f>
        <v/>
      </c>
      <c r="Y37" s="25" t="str">
        <f>IF($S37="","",IF(ISNUMBER(INDEX(CASHBACK_RULES!$J$5:$J$304,$S37)),INDEX(CASHBACK_RULES!$J$5:$J$304,$S37),"∞"))</f>
        <v/>
      </c>
      <c r="Z37" s="25" t="str">
        <f>IF($S37="","",IF(ISNUMBER($Y37),MAX(0,$Y37-$X37),"∞"))</f>
        <v/>
      </c>
      <c r="AA37" s="27" t="str">
        <f>IF($S37="","",IF(ISNUMBER($Y37),IF($Y37=0,0,$X37/$Y37),""))</f>
        <v/>
      </c>
    </row>
    <row r="38" ht="20" customHeight="1">
      <c r="A38" s="81" t="str">
        <f>IF($Q38="","",31)</f>
        <v/>
      </c>
      <c r="B38" s="57" t="str">
        <f>IF($Q38="","",INDEX(TRANSACTIONS_MASTER!$B$5:$B$1204,$Q38))</f>
        <v/>
      </c>
      <c r="C38" s="55" t="str">
        <f>IF($Q38="","",INDEX(TRANSACTIONS_MASTER!$F$5:$F$1204,$Q38))</f>
        <v/>
      </c>
      <c r="D38" s="55" t="str">
        <f>IF($Q38="","",INDEX(TRANSACTIONS_MASTER!$E$5:$E$1204,$Q38))</f>
        <v/>
      </c>
      <c r="E38" s="55" t="str">
        <f>IF($Q38="","",INDEX(TRANSACTIONS_MASTER!$G$5:$G$1204,$Q38)&amp;"")</f>
        <v/>
      </c>
      <c r="F38" s="29" t="str">
        <f>IF($Q38="","",INDEX(TRANSACTIONS_MASTER!$I$5:$I$1204,$Q38))</f>
        <v/>
      </c>
      <c r="G38" s="55" t="str">
        <f>IF($Q38="","",INDEX(TRANSACTIONS_MASTER!$K$5:$K$1204,$Q38))</f>
        <v/>
      </c>
      <c r="H38" s="25" t="str">
        <f>IF($Q38="","",INDEX(TRANSACTIONS_MASTER!$L$5:$L$1204,$Q38))</f>
        <v/>
      </c>
      <c r="I38" s="56" t="str">
        <f>IF($Q38="","",INDEX(TRANSACTIONS_MASTER!$N$5:$N$1204,$Q38))</f>
        <v/>
      </c>
      <c r="J38" s="25" t="str">
        <f>IF($Q38="","",INDEX(TRANSACTIONS_MASTER!$O$5:$O$1204,$Q38))</f>
        <v/>
      </c>
      <c r="K38" s="26" t="str">
        <f>IF($Q38="","",INDEX(TRANSACTIONS_MASTER!$Q$5:$Q$1204,$Q38))</f>
        <v/>
      </c>
      <c r="L38" s="25" t="str">
        <f>IF($Q38="","",INDEX(TRANSACTIONS_MASTER!$P$5:$P$1204,$Q38))</f>
        <v/>
      </c>
      <c r="M38" s="25" t="str">
        <f>IF($Q38="","",INDEX(TRANSACTIONS_MASTER!$AA$5:$AA$1204,$Q38))</f>
        <v/>
      </c>
      <c r="N38" s="25" t="str">
        <f>IF($Q38="","",INDEX(TRANSACTIONS_MASTER!$R$5:$R$1204,$Q38))</f>
        <v/>
      </c>
      <c r="O38" s="28" t="str">
        <f>IF($Q38="","",INDEX(TRANSACTIONS_MASTER!$AB$5:$AB$1204,$Q38))</f>
        <v/>
      </c>
      <c r="P38" s="55" t="str">
        <f>IF($Q38="","",INDEX(TRANSACTIONS_MASTER!$Z$5:$Z$1204,$Q38)&amp;"")</f>
        <v/>
      </c>
      <c r="Q38" s="67" t="str">
        <f>IFERROR(MATCH($C$2&amp;"|"&amp;31,TRANSACTIONS_MASTER!$AE$5:$AE$1204,0),"")</f>
        <v/>
      </c>
      <c r="S38" s="67" t="str">
        <f>IFERROR(MATCH(31,CASHBACK_RULES!$S$5:$S$304,0),"")</f>
        <v/>
      </c>
      <c r="T38" s="55" t="str">
        <f>IF($S38="","",INDEX(CASHBACK_RULES!$B$5:$B$304,$S38))</f>
        <v/>
      </c>
      <c r="U38" s="55" t="str">
        <f>IF($S38="","",INDEX(CASHBACK_RULES!$C$5:$C$304,$S38)&amp;" "&amp;INDEX(CASHBACK_RULES!$D$5:$D$304,$S38))</f>
        <v/>
      </c>
      <c r="V38" s="55" t="str">
        <f>IF($S38="","",INDEX(CASHBACK_RULES!$E$5:$E$304,$S38)&amp;"")</f>
        <v/>
      </c>
      <c r="W38" s="55" t="str">
        <f>IF($S38="","",INDEX(CASHBACK_RULES!$F$5:$F$304,$S38)&amp;"")</f>
        <v/>
      </c>
      <c r="X38" s="26" t="str">
        <f>IF($S38="","",SUMIFS(TRANSACTIONS_MASTER!$Q$5:$Q$1204,TRANSACTIONS_MASTER!$D$5:$D$1204,$T38,TRANSACTIONS_MASTER!$Z$5:$Z$1204,$V38,TRANSACTIONS_MASTER!$C$5:$C$1204,$C$2))</f>
        <v/>
      </c>
      <c r="Y38" s="25" t="str">
        <f>IF($S38="","",IF(ISNUMBER(INDEX(CASHBACK_RULES!$J$5:$J$304,$S38)),INDEX(CASHBACK_RULES!$J$5:$J$304,$S38),"∞"))</f>
        <v/>
      </c>
      <c r="Z38" s="25" t="str">
        <f>IF($S38="","",IF(ISNUMBER($Y38),MAX(0,$Y38-$X38),"∞"))</f>
        <v/>
      </c>
      <c r="AA38" s="27" t="str">
        <f>IF($S38="","",IF(ISNUMBER($Y38),IF($Y38=0,0,$X38/$Y38),""))</f>
        <v/>
      </c>
    </row>
    <row r="39" ht="20" customHeight="1">
      <c r="A39" s="81" t="str">
        <f>IF($Q39="","",32)</f>
        <v/>
      </c>
      <c r="B39" s="57" t="str">
        <f>IF($Q39="","",INDEX(TRANSACTIONS_MASTER!$B$5:$B$1204,$Q39))</f>
        <v/>
      </c>
      <c r="C39" s="55" t="str">
        <f>IF($Q39="","",INDEX(TRANSACTIONS_MASTER!$F$5:$F$1204,$Q39))</f>
        <v/>
      </c>
      <c r="D39" s="55" t="str">
        <f>IF($Q39="","",INDEX(TRANSACTIONS_MASTER!$E$5:$E$1204,$Q39))</f>
        <v/>
      </c>
      <c r="E39" s="55" t="str">
        <f>IF($Q39="","",INDEX(TRANSACTIONS_MASTER!$G$5:$G$1204,$Q39)&amp;"")</f>
        <v/>
      </c>
      <c r="F39" s="29" t="str">
        <f>IF($Q39="","",INDEX(TRANSACTIONS_MASTER!$I$5:$I$1204,$Q39))</f>
        <v/>
      </c>
      <c r="G39" s="55" t="str">
        <f>IF($Q39="","",INDEX(TRANSACTIONS_MASTER!$K$5:$K$1204,$Q39))</f>
        <v/>
      </c>
      <c r="H39" s="25" t="str">
        <f>IF($Q39="","",INDEX(TRANSACTIONS_MASTER!$L$5:$L$1204,$Q39))</f>
        <v/>
      </c>
      <c r="I39" s="56" t="str">
        <f>IF($Q39="","",INDEX(TRANSACTIONS_MASTER!$N$5:$N$1204,$Q39))</f>
        <v/>
      </c>
      <c r="J39" s="25" t="str">
        <f>IF($Q39="","",INDEX(TRANSACTIONS_MASTER!$O$5:$O$1204,$Q39))</f>
        <v/>
      </c>
      <c r="K39" s="26" t="str">
        <f>IF($Q39="","",INDEX(TRANSACTIONS_MASTER!$Q$5:$Q$1204,$Q39))</f>
        <v/>
      </c>
      <c r="L39" s="25" t="str">
        <f>IF($Q39="","",INDEX(TRANSACTIONS_MASTER!$P$5:$P$1204,$Q39))</f>
        <v/>
      </c>
      <c r="M39" s="25" t="str">
        <f>IF($Q39="","",INDEX(TRANSACTIONS_MASTER!$AA$5:$AA$1204,$Q39))</f>
        <v/>
      </c>
      <c r="N39" s="25" t="str">
        <f>IF($Q39="","",INDEX(TRANSACTIONS_MASTER!$R$5:$R$1204,$Q39))</f>
        <v/>
      </c>
      <c r="O39" s="28" t="str">
        <f>IF($Q39="","",INDEX(TRANSACTIONS_MASTER!$AB$5:$AB$1204,$Q39))</f>
        <v/>
      </c>
      <c r="P39" s="55" t="str">
        <f>IF($Q39="","",INDEX(TRANSACTIONS_MASTER!$Z$5:$Z$1204,$Q39)&amp;"")</f>
        <v/>
      </c>
      <c r="Q39" s="67" t="str">
        <f>IFERROR(MATCH($C$2&amp;"|"&amp;32,TRANSACTIONS_MASTER!$AE$5:$AE$1204,0),"")</f>
        <v/>
      </c>
      <c r="S39" s="67" t="str">
        <f>IFERROR(MATCH(32,CASHBACK_RULES!$S$5:$S$304,0),"")</f>
        <v/>
      </c>
      <c r="T39" s="55" t="str">
        <f>IF($S39="","",INDEX(CASHBACK_RULES!$B$5:$B$304,$S39))</f>
        <v/>
      </c>
      <c r="U39" s="55" t="str">
        <f>IF($S39="","",INDEX(CASHBACK_RULES!$C$5:$C$304,$S39)&amp;" "&amp;INDEX(CASHBACK_RULES!$D$5:$D$304,$S39))</f>
        <v/>
      </c>
      <c r="V39" s="55" t="str">
        <f>IF($S39="","",INDEX(CASHBACK_RULES!$E$5:$E$304,$S39)&amp;"")</f>
        <v/>
      </c>
      <c r="W39" s="55" t="str">
        <f>IF($S39="","",INDEX(CASHBACK_RULES!$F$5:$F$304,$S39)&amp;"")</f>
        <v/>
      </c>
      <c r="X39" s="26" t="str">
        <f>IF($S39="","",SUMIFS(TRANSACTIONS_MASTER!$Q$5:$Q$1204,TRANSACTIONS_MASTER!$D$5:$D$1204,$T39,TRANSACTIONS_MASTER!$Z$5:$Z$1204,$V39,TRANSACTIONS_MASTER!$C$5:$C$1204,$C$2))</f>
        <v/>
      </c>
      <c r="Y39" s="25" t="str">
        <f>IF($S39="","",IF(ISNUMBER(INDEX(CASHBACK_RULES!$J$5:$J$304,$S39)),INDEX(CASHBACK_RULES!$J$5:$J$304,$S39),"∞"))</f>
        <v/>
      </c>
      <c r="Z39" s="25" t="str">
        <f>IF($S39="","",IF(ISNUMBER($Y39),MAX(0,$Y39-$X39),"∞"))</f>
        <v/>
      </c>
      <c r="AA39" s="27" t="str">
        <f>IF($S39="","",IF(ISNUMBER($Y39),IF($Y39=0,0,$X39/$Y39),""))</f>
        <v/>
      </c>
    </row>
    <row r="40" ht="20" customHeight="1">
      <c r="A40" s="81" t="str">
        <f>IF($Q40="","",33)</f>
        <v/>
      </c>
      <c r="B40" s="57" t="str">
        <f>IF($Q40="","",INDEX(TRANSACTIONS_MASTER!$B$5:$B$1204,$Q40))</f>
        <v/>
      </c>
      <c r="C40" s="55" t="str">
        <f>IF($Q40="","",INDEX(TRANSACTIONS_MASTER!$F$5:$F$1204,$Q40))</f>
        <v/>
      </c>
      <c r="D40" s="55" t="str">
        <f>IF($Q40="","",INDEX(TRANSACTIONS_MASTER!$E$5:$E$1204,$Q40))</f>
        <v/>
      </c>
      <c r="E40" s="55" t="str">
        <f>IF($Q40="","",INDEX(TRANSACTIONS_MASTER!$G$5:$G$1204,$Q40)&amp;"")</f>
        <v/>
      </c>
      <c r="F40" s="29" t="str">
        <f>IF($Q40="","",INDEX(TRANSACTIONS_MASTER!$I$5:$I$1204,$Q40))</f>
        <v/>
      </c>
      <c r="G40" s="55" t="str">
        <f>IF($Q40="","",INDEX(TRANSACTIONS_MASTER!$K$5:$K$1204,$Q40))</f>
        <v/>
      </c>
      <c r="H40" s="25" t="str">
        <f>IF($Q40="","",INDEX(TRANSACTIONS_MASTER!$L$5:$L$1204,$Q40))</f>
        <v/>
      </c>
      <c r="I40" s="56" t="str">
        <f>IF($Q40="","",INDEX(TRANSACTIONS_MASTER!$N$5:$N$1204,$Q40))</f>
        <v/>
      </c>
      <c r="J40" s="25" t="str">
        <f>IF($Q40="","",INDEX(TRANSACTIONS_MASTER!$O$5:$O$1204,$Q40))</f>
        <v/>
      </c>
      <c r="K40" s="26" t="str">
        <f>IF($Q40="","",INDEX(TRANSACTIONS_MASTER!$Q$5:$Q$1204,$Q40))</f>
        <v/>
      </c>
      <c r="L40" s="25" t="str">
        <f>IF($Q40="","",INDEX(TRANSACTIONS_MASTER!$P$5:$P$1204,$Q40))</f>
        <v/>
      </c>
      <c r="M40" s="25" t="str">
        <f>IF($Q40="","",INDEX(TRANSACTIONS_MASTER!$AA$5:$AA$1204,$Q40))</f>
        <v/>
      </c>
      <c r="N40" s="25" t="str">
        <f>IF($Q40="","",INDEX(TRANSACTIONS_MASTER!$R$5:$R$1204,$Q40))</f>
        <v/>
      </c>
      <c r="O40" s="28" t="str">
        <f>IF($Q40="","",INDEX(TRANSACTIONS_MASTER!$AB$5:$AB$1204,$Q40))</f>
        <v/>
      </c>
      <c r="P40" s="55" t="str">
        <f>IF($Q40="","",INDEX(TRANSACTIONS_MASTER!$Z$5:$Z$1204,$Q40)&amp;"")</f>
        <v/>
      </c>
      <c r="Q40" s="67" t="str">
        <f>IFERROR(MATCH($C$2&amp;"|"&amp;33,TRANSACTIONS_MASTER!$AE$5:$AE$1204,0),"")</f>
        <v/>
      </c>
      <c r="S40" s="67" t="str">
        <f>IFERROR(MATCH(33,CASHBACK_RULES!$S$5:$S$304,0),"")</f>
        <v/>
      </c>
      <c r="T40" s="55" t="str">
        <f>IF($S40="","",INDEX(CASHBACK_RULES!$B$5:$B$304,$S40))</f>
        <v/>
      </c>
      <c r="U40" s="55" t="str">
        <f>IF($S40="","",INDEX(CASHBACK_RULES!$C$5:$C$304,$S40)&amp;" "&amp;INDEX(CASHBACK_RULES!$D$5:$D$304,$S40))</f>
        <v/>
      </c>
      <c r="V40" s="55" t="str">
        <f>IF($S40="","",INDEX(CASHBACK_RULES!$E$5:$E$304,$S40)&amp;"")</f>
        <v/>
      </c>
      <c r="W40" s="55" t="str">
        <f>IF($S40="","",INDEX(CASHBACK_RULES!$F$5:$F$304,$S40)&amp;"")</f>
        <v/>
      </c>
      <c r="X40" s="26" t="str">
        <f>IF($S40="","",SUMIFS(TRANSACTIONS_MASTER!$Q$5:$Q$1204,TRANSACTIONS_MASTER!$D$5:$D$1204,$T40,TRANSACTIONS_MASTER!$Z$5:$Z$1204,$V40,TRANSACTIONS_MASTER!$C$5:$C$1204,$C$2))</f>
        <v/>
      </c>
      <c r="Y40" s="25" t="str">
        <f>IF($S40="","",IF(ISNUMBER(INDEX(CASHBACK_RULES!$J$5:$J$304,$S40)),INDEX(CASHBACK_RULES!$J$5:$J$304,$S40),"∞"))</f>
        <v/>
      </c>
      <c r="Z40" s="25" t="str">
        <f>IF($S40="","",IF(ISNUMBER($Y40),MAX(0,$Y40-$X40),"∞"))</f>
        <v/>
      </c>
      <c r="AA40" s="27" t="str">
        <f>IF($S40="","",IF(ISNUMBER($Y40),IF($Y40=0,0,$X40/$Y40),""))</f>
        <v/>
      </c>
    </row>
    <row r="41" ht="20" customHeight="1">
      <c r="A41" s="81" t="str">
        <f>IF($Q41="","",34)</f>
        <v/>
      </c>
      <c r="B41" s="57" t="str">
        <f>IF($Q41="","",INDEX(TRANSACTIONS_MASTER!$B$5:$B$1204,$Q41))</f>
        <v/>
      </c>
      <c r="C41" s="55" t="str">
        <f>IF($Q41="","",INDEX(TRANSACTIONS_MASTER!$F$5:$F$1204,$Q41))</f>
        <v/>
      </c>
      <c r="D41" s="55" t="str">
        <f>IF($Q41="","",INDEX(TRANSACTIONS_MASTER!$E$5:$E$1204,$Q41))</f>
        <v/>
      </c>
      <c r="E41" s="55" t="str">
        <f>IF($Q41="","",INDEX(TRANSACTIONS_MASTER!$G$5:$G$1204,$Q41)&amp;"")</f>
        <v/>
      </c>
      <c r="F41" s="29" t="str">
        <f>IF($Q41="","",INDEX(TRANSACTIONS_MASTER!$I$5:$I$1204,$Q41))</f>
        <v/>
      </c>
      <c r="G41" s="55" t="str">
        <f>IF($Q41="","",INDEX(TRANSACTIONS_MASTER!$K$5:$K$1204,$Q41))</f>
        <v/>
      </c>
      <c r="H41" s="25" t="str">
        <f>IF($Q41="","",INDEX(TRANSACTIONS_MASTER!$L$5:$L$1204,$Q41))</f>
        <v/>
      </c>
      <c r="I41" s="56" t="str">
        <f>IF($Q41="","",INDEX(TRANSACTIONS_MASTER!$N$5:$N$1204,$Q41))</f>
        <v/>
      </c>
      <c r="J41" s="25" t="str">
        <f>IF($Q41="","",INDEX(TRANSACTIONS_MASTER!$O$5:$O$1204,$Q41))</f>
        <v/>
      </c>
      <c r="K41" s="26" t="str">
        <f>IF($Q41="","",INDEX(TRANSACTIONS_MASTER!$Q$5:$Q$1204,$Q41))</f>
        <v/>
      </c>
      <c r="L41" s="25" t="str">
        <f>IF($Q41="","",INDEX(TRANSACTIONS_MASTER!$P$5:$P$1204,$Q41))</f>
        <v/>
      </c>
      <c r="M41" s="25" t="str">
        <f>IF($Q41="","",INDEX(TRANSACTIONS_MASTER!$AA$5:$AA$1204,$Q41))</f>
        <v/>
      </c>
      <c r="N41" s="25" t="str">
        <f>IF($Q41="","",INDEX(TRANSACTIONS_MASTER!$R$5:$R$1204,$Q41))</f>
        <v/>
      </c>
      <c r="O41" s="28" t="str">
        <f>IF($Q41="","",INDEX(TRANSACTIONS_MASTER!$AB$5:$AB$1204,$Q41))</f>
        <v/>
      </c>
      <c r="P41" s="55" t="str">
        <f>IF($Q41="","",INDEX(TRANSACTIONS_MASTER!$Z$5:$Z$1204,$Q41)&amp;"")</f>
        <v/>
      </c>
      <c r="Q41" s="67" t="str">
        <f>IFERROR(MATCH($C$2&amp;"|"&amp;34,TRANSACTIONS_MASTER!$AE$5:$AE$1204,0),"")</f>
        <v/>
      </c>
      <c r="S41" s="67" t="str">
        <f>IFERROR(MATCH(34,CASHBACK_RULES!$S$5:$S$304,0),"")</f>
        <v/>
      </c>
      <c r="T41" s="55" t="str">
        <f>IF($S41="","",INDEX(CASHBACK_RULES!$B$5:$B$304,$S41))</f>
        <v/>
      </c>
      <c r="U41" s="55" t="str">
        <f>IF($S41="","",INDEX(CASHBACK_RULES!$C$5:$C$304,$S41)&amp;" "&amp;INDEX(CASHBACK_RULES!$D$5:$D$304,$S41))</f>
        <v/>
      </c>
      <c r="V41" s="55" t="str">
        <f>IF($S41="","",INDEX(CASHBACK_RULES!$E$5:$E$304,$S41)&amp;"")</f>
        <v/>
      </c>
      <c r="W41" s="55" t="str">
        <f>IF($S41="","",INDEX(CASHBACK_RULES!$F$5:$F$304,$S41)&amp;"")</f>
        <v/>
      </c>
      <c r="X41" s="26" t="str">
        <f>IF($S41="","",SUMIFS(TRANSACTIONS_MASTER!$Q$5:$Q$1204,TRANSACTIONS_MASTER!$D$5:$D$1204,$T41,TRANSACTIONS_MASTER!$Z$5:$Z$1204,$V41,TRANSACTIONS_MASTER!$C$5:$C$1204,$C$2))</f>
        <v/>
      </c>
      <c r="Y41" s="25" t="str">
        <f>IF($S41="","",IF(ISNUMBER(INDEX(CASHBACK_RULES!$J$5:$J$304,$S41)),INDEX(CASHBACK_RULES!$J$5:$J$304,$S41),"∞"))</f>
        <v/>
      </c>
      <c r="Z41" s="25" t="str">
        <f>IF($S41="","",IF(ISNUMBER($Y41),MAX(0,$Y41-$X41),"∞"))</f>
        <v/>
      </c>
      <c r="AA41" s="27" t="str">
        <f>IF($S41="","",IF(ISNUMBER($Y41),IF($Y41=0,0,$X41/$Y41),""))</f>
        <v/>
      </c>
    </row>
    <row r="42" ht="20" customHeight="1">
      <c r="A42" s="81" t="str">
        <f>IF($Q42="","",35)</f>
        <v/>
      </c>
      <c r="B42" s="57" t="str">
        <f>IF($Q42="","",INDEX(TRANSACTIONS_MASTER!$B$5:$B$1204,$Q42))</f>
        <v/>
      </c>
      <c r="C42" s="55" t="str">
        <f>IF($Q42="","",INDEX(TRANSACTIONS_MASTER!$F$5:$F$1204,$Q42))</f>
        <v/>
      </c>
      <c r="D42" s="55" t="str">
        <f>IF($Q42="","",INDEX(TRANSACTIONS_MASTER!$E$5:$E$1204,$Q42))</f>
        <v/>
      </c>
      <c r="E42" s="55" t="str">
        <f>IF($Q42="","",INDEX(TRANSACTIONS_MASTER!$G$5:$G$1204,$Q42)&amp;"")</f>
        <v/>
      </c>
      <c r="F42" s="29" t="str">
        <f>IF($Q42="","",INDEX(TRANSACTIONS_MASTER!$I$5:$I$1204,$Q42))</f>
        <v/>
      </c>
      <c r="G42" s="55" t="str">
        <f>IF($Q42="","",INDEX(TRANSACTIONS_MASTER!$K$5:$K$1204,$Q42))</f>
        <v/>
      </c>
      <c r="H42" s="25" t="str">
        <f>IF($Q42="","",INDEX(TRANSACTIONS_MASTER!$L$5:$L$1204,$Q42))</f>
        <v/>
      </c>
      <c r="I42" s="56" t="str">
        <f>IF($Q42="","",INDEX(TRANSACTIONS_MASTER!$N$5:$N$1204,$Q42))</f>
        <v/>
      </c>
      <c r="J42" s="25" t="str">
        <f>IF($Q42="","",INDEX(TRANSACTIONS_MASTER!$O$5:$O$1204,$Q42))</f>
        <v/>
      </c>
      <c r="K42" s="26" t="str">
        <f>IF($Q42="","",INDEX(TRANSACTIONS_MASTER!$Q$5:$Q$1204,$Q42))</f>
        <v/>
      </c>
      <c r="L42" s="25" t="str">
        <f>IF($Q42="","",INDEX(TRANSACTIONS_MASTER!$P$5:$P$1204,$Q42))</f>
        <v/>
      </c>
      <c r="M42" s="25" t="str">
        <f>IF($Q42="","",INDEX(TRANSACTIONS_MASTER!$AA$5:$AA$1204,$Q42))</f>
        <v/>
      </c>
      <c r="N42" s="25" t="str">
        <f>IF($Q42="","",INDEX(TRANSACTIONS_MASTER!$R$5:$R$1204,$Q42))</f>
        <v/>
      </c>
      <c r="O42" s="28" t="str">
        <f>IF($Q42="","",INDEX(TRANSACTIONS_MASTER!$AB$5:$AB$1204,$Q42))</f>
        <v/>
      </c>
      <c r="P42" s="55" t="str">
        <f>IF($Q42="","",INDEX(TRANSACTIONS_MASTER!$Z$5:$Z$1204,$Q42)&amp;"")</f>
        <v/>
      </c>
      <c r="Q42" s="67" t="str">
        <f>IFERROR(MATCH($C$2&amp;"|"&amp;35,TRANSACTIONS_MASTER!$AE$5:$AE$1204,0),"")</f>
        <v/>
      </c>
      <c r="S42" s="67" t="str">
        <f>IFERROR(MATCH(35,CASHBACK_RULES!$S$5:$S$304,0),"")</f>
        <v/>
      </c>
      <c r="T42" s="55" t="str">
        <f>IF($S42="","",INDEX(CASHBACK_RULES!$B$5:$B$304,$S42))</f>
        <v/>
      </c>
      <c r="U42" s="55" t="str">
        <f>IF($S42="","",INDEX(CASHBACK_RULES!$C$5:$C$304,$S42)&amp;" "&amp;INDEX(CASHBACK_RULES!$D$5:$D$304,$S42))</f>
        <v/>
      </c>
      <c r="V42" s="55" t="str">
        <f>IF($S42="","",INDEX(CASHBACK_RULES!$E$5:$E$304,$S42)&amp;"")</f>
        <v/>
      </c>
      <c r="W42" s="55" t="str">
        <f>IF($S42="","",INDEX(CASHBACK_RULES!$F$5:$F$304,$S42)&amp;"")</f>
        <v/>
      </c>
      <c r="X42" s="26" t="str">
        <f>IF($S42="","",SUMIFS(TRANSACTIONS_MASTER!$Q$5:$Q$1204,TRANSACTIONS_MASTER!$D$5:$D$1204,$T42,TRANSACTIONS_MASTER!$Z$5:$Z$1204,$V42,TRANSACTIONS_MASTER!$C$5:$C$1204,$C$2))</f>
        <v/>
      </c>
      <c r="Y42" s="25" t="str">
        <f>IF($S42="","",IF(ISNUMBER(INDEX(CASHBACK_RULES!$J$5:$J$304,$S42)),INDEX(CASHBACK_RULES!$J$5:$J$304,$S42),"∞"))</f>
        <v/>
      </c>
      <c r="Z42" s="25" t="str">
        <f>IF($S42="","",IF(ISNUMBER($Y42),MAX(0,$Y42-$X42),"∞"))</f>
        <v/>
      </c>
      <c r="AA42" s="27" t="str">
        <f>IF($S42="","",IF(ISNUMBER($Y42),IF($Y42=0,0,$X42/$Y42),""))</f>
        <v/>
      </c>
    </row>
    <row r="43" ht="20" customHeight="1">
      <c r="A43" s="81" t="str">
        <f>IF($Q43="","",36)</f>
        <v/>
      </c>
      <c r="B43" s="57" t="str">
        <f>IF($Q43="","",INDEX(TRANSACTIONS_MASTER!$B$5:$B$1204,$Q43))</f>
        <v/>
      </c>
      <c r="C43" s="55" t="str">
        <f>IF($Q43="","",INDEX(TRANSACTIONS_MASTER!$F$5:$F$1204,$Q43))</f>
        <v/>
      </c>
      <c r="D43" s="55" t="str">
        <f>IF($Q43="","",INDEX(TRANSACTIONS_MASTER!$E$5:$E$1204,$Q43))</f>
        <v/>
      </c>
      <c r="E43" s="55" t="str">
        <f>IF($Q43="","",INDEX(TRANSACTIONS_MASTER!$G$5:$G$1204,$Q43)&amp;"")</f>
        <v/>
      </c>
      <c r="F43" s="29" t="str">
        <f>IF($Q43="","",INDEX(TRANSACTIONS_MASTER!$I$5:$I$1204,$Q43))</f>
        <v/>
      </c>
      <c r="G43" s="55" t="str">
        <f>IF($Q43="","",INDEX(TRANSACTIONS_MASTER!$K$5:$K$1204,$Q43))</f>
        <v/>
      </c>
      <c r="H43" s="25" t="str">
        <f>IF($Q43="","",INDEX(TRANSACTIONS_MASTER!$L$5:$L$1204,$Q43))</f>
        <v/>
      </c>
      <c r="I43" s="56" t="str">
        <f>IF($Q43="","",INDEX(TRANSACTIONS_MASTER!$N$5:$N$1204,$Q43))</f>
        <v/>
      </c>
      <c r="J43" s="25" t="str">
        <f>IF($Q43="","",INDEX(TRANSACTIONS_MASTER!$O$5:$O$1204,$Q43))</f>
        <v/>
      </c>
      <c r="K43" s="26" t="str">
        <f>IF($Q43="","",INDEX(TRANSACTIONS_MASTER!$Q$5:$Q$1204,$Q43))</f>
        <v/>
      </c>
      <c r="L43" s="25" t="str">
        <f>IF($Q43="","",INDEX(TRANSACTIONS_MASTER!$P$5:$P$1204,$Q43))</f>
        <v/>
      </c>
      <c r="M43" s="25" t="str">
        <f>IF($Q43="","",INDEX(TRANSACTIONS_MASTER!$AA$5:$AA$1204,$Q43))</f>
        <v/>
      </c>
      <c r="N43" s="25" t="str">
        <f>IF($Q43="","",INDEX(TRANSACTIONS_MASTER!$R$5:$R$1204,$Q43))</f>
        <v/>
      </c>
      <c r="O43" s="28" t="str">
        <f>IF($Q43="","",INDEX(TRANSACTIONS_MASTER!$AB$5:$AB$1204,$Q43))</f>
        <v/>
      </c>
      <c r="P43" s="55" t="str">
        <f>IF($Q43="","",INDEX(TRANSACTIONS_MASTER!$Z$5:$Z$1204,$Q43)&amp;"")</f>
        <v/>
      </c>
      <c r="Q43" s="67" t="str">
        <f>IFERROR(MATCH($C$2&amp;"|"&amp;36,TRANSACTIONS_MASTER!$AE$5:$AE$1204,0),"")</f>
        <v/>
      </c>
      <c r="S43" s="67" t="str">
        <f>IFERROR(MATCH(36,CASHBACK_RULES!$S$5:$S$304,0),"")</f>
        <v/>
      </c>
      <c r="T43" s="55" t="str">
        <f>IF($S43="","",INDEX(CASHBACK_RULES!$B$5:$B$304,$S43))</f>
        <v/>
      </c>
      <c r="U43" s="55" t="str">
        <f>IF($S43="","",INDEX(CASHBACK_RULES!$C$5:$C$304,$S43)&amp;" "&amp;INDEX(CASHBACK_RULES!$D$5:$D$304,$S43))</f>
        <v/>
      </c>
      <c r="V43" s="55" t="str">
        <f>IF($S43="","",INDEX(CASHBACK_RULES!$E$5:$E$304,$S43)&amp;"")</f>
        <v/>
      </c>
      <c r="W43" s="55" t="str">
        <f>IF($S43="","",INDEX(CASHBACK_RULES!$F$5:$F$304,$S43)&amp;"")</f>
        <v/>
      </c>
      <c r="X43" s="26" t="str">
        <f>IF($S43="","",SUMIFS(TRANSACTIONS_MASTER!$Q$5:$Q$1204,TRANSACTIONS_MASTER!$D$5:$D$1204,$T43,TRANSACTIONS_MASTER!$Z$5:$Z$1204,$V43,TRANSACTIONS_MASTER!$C$5:$C$1204,$C$2))</f>
        <v/>
      </c>
      <c r="Y43" s="25" t="str">
        <f>IF($S43="","",IF(ISNUMBER(INDEX(CASHBACK_RULES!$J$5:$J$304,$S43)),INDEX(CASHBACK_RULES!$J$5:$J$304,$S43),"∞"))</f>
        <v/>
      </c>
      <c r="Z43" s="25" t="str">
        <f>IF($S43="","",IF(ISNUMBER($Y43),MAX(0,$Y43-$X43),"∞"))</f>
        <v/>
      </c>
      <c r="AA43" s="27" t="str">
        <f>IF($S43="","",IF(ISNUMBER($Y43),IF($Y43=0,0,$X43/$Y43),""))</f>
        <v/>
      </c>
    </row>
    <row r="44" ht="20" customHeight="1">
      <c r="A44" s="81" t="str">
        <f>IF($Q44="","",37)</f>
        <v/>
      </c>
      <c r="B44" s="57" t="str">
        <f>IF($Q44="","",INDEX(TRANSACTIONS_MASTER!$B$5:$B$1204,$Q44))</f>
        <v/>
      </c>
      <c r="C44" s="55" t="str">
        <f>IF($Q44="","",INDEX(TRANSACTIONS_MASTER!$F$5:$F$1204,$Q44))</f>
        <v/>
      </c>
      <c r="D44" s="55" t="str">
        <f>IF($Q44="","",INDEX(TRANSACTIONS_MASTER!$E$5:$E$1204,$Q44))</f>
        <v/>
      </c>
      <c r="E44" s="55" t="str">
        <f>IF($Q44="","",INDEX(TRANSACTIONS_MASTER!$G$5:$G$1204,$Q44)&amp;"")</f>
        <v/>
      </c>
      <c r="F44" s="29" t="str">
        <f>IF($Q44="","",INDEX(TRANSACTIONS_MASTER!$I$5:$I$1204,$Q44))</f>
        <v/>
      </c>
      <c r="G44" s="55" t="str">
        <f>IF($Q44="","",INDEX(TRANSACTIONS_MASTER!$K$5:$K$1204,$Q44))</f>
        <v/>
      </c>
      <c r="H44" s="25" t="str">
        <f>IF($Q44="","",INDEX(TRANSACTIONS_MASTER!$L$5:$L$1204,$Q44))</f>
        <v/>
      </c>
      <c r="I44" s="56" t="str">
        <f>IF($Q44="","",INDEX(TRANSACTIONS_MASTER!$N$5:$N$1204,$Q44))</f>
        <v/>
      </c>
      <c r="J44" s="25" t="str">
        <f>IF($Q44="","",INDEX(TRANSACTIONS_MASTER!$O$5:$O$1204,$Q44))</f>
        <v/>
      </c>
      <c r="K44" s="26" t="str">
        <f>IF($Q44="","",INDEX(TRANSACTIONS_MASTER!$Q$5:$Q$1204,$Q44))</f>
        <v/>
      </c>
      <c r="L44" s="25" t="str">
        <f>IF($Q44="","",INDEX(TRANSACTIONS_MASTER!$P$5:$P$1204,$Q44))</f>
        <v/>
      </c>
      <c r="M44" s="25" t="str">
        <f>IF($Q44="","",INDEX(TRANSACTIONS_MASTER!$AA$5:$AA$1204,$Q44))</f>
        <v/>
      </c>
      <c r="N44" s="25" t="str">
        <f>IF($Q44="","",INDEX(TRANSACTIONS_MASTER!$R$5:$R$1204,$Q44))</f>
        <v/>
      </c>
      <c r="O44" s="28" t="str">
        <f>IF($Q44="","",INDEX(TRANSACTIONS_MASTER!$AB$5:$AB$1204,$Q44))</f>
        <v/>
      </c>
      <c r="P44" s="55" t="str">
        <f>IF($Q44="","",INDEX(TRANSACTIONS_MASTER!$Z$5:$Z$1204,$Q44)&amp;"")</f>
        <v/>
      </c>
      <c r="Q44" s="67" t="str">
        <f>IFERROR(MATCH($C$2&amp;"|"&amp;37,TRANSACTIONS_MASTER!$AE$5:$AE$1204,0),"")</f>
        <v/>
      </c>
      <c r="S44" s="67" t="str">
        <f>IFERROR(MATCH(37,CASHBACK_RULES!$S$5:$S$304,0),"")</f>
        <v/>
      </c>
      <c r="T44" s="55" t="str">
        <f>IF($S44="","",INDEX(CASHBACK_RULES!$B$5:$B$304,$S44))</f>
        <v/>
      </c>
      <c r="U44" s="55" t="str">
        <f>IF($S44="","",INDEX(CASHBACK_RULES!$C$5:$C$304,$S44)&amp;" "&amp;INDEX(CASHBACK_RULES!$D$5:$D$304,$S44))</f>
        <v/>
      </c>
      <c r="V44" s="55" t="str">
        <f>IF($S44="","",INDEX(CASHBACK_RULES!$E$5:$E$304,$S44)&amp;"")</f>
        <v/>
      </c>
      <c r="W44" s="55" t="str">
        <f>IF($S44="","",INDEX(CASHBACK_RULES!$F$5:$F$304,$S44)&amp;"")</f>
        <v/>
      </c>
      <c r="X44" s="26" t="str">
        <f>IF($S44="","",SUMIFS(TRANSACTIONS_MASTER!$Q$5:$Q$1204,TRANSACTIONS_MASTER!$D$5:$D$1204,$T44,TRANSACTIONS_MASTER!$Z$5:$Z$1204,$V44,TRANSACTIONS_MASTER!$C$5:$C$1204,$C$2))</f>
        <v/>
      </c>
      <c r="Y44" s="25" t="str">
        <f>IF($S44="","",IF(ISNUMBER(INDEX(CASHBACK_RULES!$J$5:$J$304,$S44)),INDEX(CASHBACK_RULES!$J$5:$J$304,$S44),"∞"))</f>
        <v/>
      </c>
      <c r="Z44" s="25" t="str">
        <f>IF($S44="","",IF(ISNUMBER($Y44),MAX(0,$Y44-$X44),"∞"))</f>
        <v/>
      </c>
      <c r="AA44" s="27" t="str">
        <f>IF($S44="","",IF(ISNUMBER($Y44),IF($Y44=0,0,$X44/$Y44),""))</f>
        <v/>
      </c>
    </row>
    <row r="45" ht="20" customHeight="1">
      <c r="A45" s="81" t="str">
        <f>IF($Q45="","",38)</f>
        <v/>
      </c>
      <c r="B45" s="57" t="str">
        <f>IF($Q45="","",INDEX(TRANSACTIONS_MASTER!$B$5:$B$1204,$Q45))</f>
        <v/>
      </c>
      <c r="C45" s="55" t="str">
        <f>IF($Q45="","",INDEX(TRANSACTIONS_MASTER!$F$5:$F$1204,$Q45))</f>
        <v/>
      </c>
      <c r="D45" s="55" t="str">
        <f>IF($Q45="","",INDEX(TRANSACTIONS_MASTER!$E$5:$E$1204,$Q45))</f>
        <v/>
      </c>
      <c r="E45" s="55" t="str">
        <f>IF($Q45="","",INDEX(TRANSACTIONS_MASTER!$G$5:$G$1204,$Q45)&amp;"")</f>
        <v/>
      </c>
      <c r="F45" s="29" t="str">
        <f>IF($Q45="","",INDEX(TRANSACTIONS_MASTER!$I$5:$I$1204,$Q45))</f>
        <v/>
      </c>
      <c r="G45" s="55" t="str">
        <f>IF($Q45="","",INDEX(TRANSACTIONS_MASTER!$K$5:$K$1204,$Q45))</f>
        <v/>
      </c>
      <c r="H45" s="25" t="str">
        <f>IF($Q45="","",INDEX(TRANSACTIONS_MASTER!$L$5:$L$1204,$Q45))</f>
        <v/>
      </c>
      <c r="I45" s="56" t="str">
        <f>IF($Q45="","",INDEX(TRANSACTIONS_MASTER!$N$5:$N$1204,$Q45))</f>
        <v/>
      </c>
      <c r="J45" s="25" t="str">
        <f>IF($Q45="","",INDEX(TRANSACTIONS_MASTER!$O$5:$O$1204,$Q45))</f>
        <v/>
      </c>
      <c r="K45" s="26" t="str">
        <f>IF($Q45="","",INDEX(TRANSACTIONS_MASTER!$Q$5:$Q$1204,$Q45))</f>
        <v/>
      </c>
      <c r="L45" s="25" t="str">
        <f>IF($Q45="","",INDEX(TRANSACTIONS_MASTER!$P$5:$P$1204,$Q45))</f>
        <v/>
      </c>
      <c r="M45" s="25" t="str">
        <f>IF($Q45="","",INDEX(TRANSACTIONS_MASTER!$AA$5:$AA$1204,$Q45))</f>
        <v/>
      </c>
      <c r="N45" s="25" t="str">
        <f>IF($Q45="","",INDEX(TRANSACTIONS_MASTER!$R$5:$R$1204,$Q45))</f>
        <v/>
      </c>
      <c r="O45" s="28" t="str">
        <f>IF($Q45="","",INDEX(TRANSACTIONS_MASTER!$AB$5:$AB$1204,$Q45))</f>
        <v/>
      </c>
      <c r="P45" s="55" t="str">
        <f>IF($Q45="","",INDEX(TRANSACTIONS_MASTER!$Z$5:$Z$1204,$Q45)&amp;"")</f>
        <v/>
      </c>
      <c r="Q45" s="67" t="str">
        <f>IFERROR(MATCH($C$2&amp;"|"&amp;38,TRANSACTIONS_MASTER!$AE$5:$AE$1204,0),"")</f>
        <v/>
      </c>
      <c r="S45" s="67" t="str">
        <f>IFERROR(MATCH(38,CASHBACK_RULES!$S$5:$S$304,0),"")</f>
        <v/>
      </c>
      <c r="T45" s="55" t="str">
        <f>IF($S45="","",INDEX(CASHBACK_RULES!$B$5:$B$304,$S45))</f>
        <v/>
      </c>
      <c r="U45" s="55" t="str">
        <f>IF($S45="","",INDEX(CASHBACK_RULES!$C$5:$C$304,$S45)&amp;" "&amp;INDEX(CASHBACK_RULES!$D$5:$D$304,$S45))</f>
        <v/>
      </c>
      <c r="V45" s="55" t="str">
        <f>IF($S45="","",INDEX(CASHBACK_RULES!$E$5:$E$304,$S45)&amp;"")</f>
        <v/>
      </c>
      <c r="W45" s="55" t="str">
        <f>IF($S45="","",INDEX(CASHBACK_RULES!$F$5:$F$304,$S45)&amp;"")</f>
        <v/>
      </c>
      <c r="X45" s="26" t="str">
        <f>IF($S45="","",SUMIFS(TRANSACTIONS_MASTER!$Q$5:$Q$1204,TRANSACTIONS_MASTER!$D$5:$D$1204,$T45,TRANSACTIONS_MASTER!$Z$5:$Z$1204,$V45,TRANSACTIONS_MASTER!$C$5:$C$1204,$C$2))</f>
        <v/>
      </c>
      <c r="Y45" s="25" t="str">
        <f>IF($S45="","",IF(ISNUMBER(INDEX(CASHBACK_RULES!$J$5:$J$304,$S45)),INDEX(CASHBACK_RULES!$J$5:$J$304,$S45),"∞"))</f>
        <v/>
      </c>
      <c r="Z45" s="25" t="str">
        <f>IF($S45="","",IF(ISNUMBER($Y45),MAX(0,$Y45-$X45),"∞"))</f>
        <v/>
      </c>
      <c r="AA45" s="27" t="str">
        <f>IF($S45="","",IF(ISNUMBER($Y45),IF($Y45=0,0,$X45/$Y45),""))</f>
        <v/>
      </c>
    </row>
    <row r="46" ht="20" customHeight="1">
      <c r="A46" s="81" t="str">
        <f>IF($Q46="","",39)</f>
        <v/>
      </c>
      <c r="B46" s="57" t="str">
        <f>IF($Q46="","",INDEX(TRANSACTIONS_MASTER!$B$5:$B$1204,$Q46))</f>
        <v/>
      </c>
      <c r="C46" s="55" t="str">
        <f>IF($Q46="","",INDEX(TRANSACTIONS_MASTER!$F$5:$F$1204,$Q46))</f>
        <v/>
      </c>
      <c r="D46" s="55" t="str">
        <f>IF($Q46="","",INDEX(TRANSACTIONS_MASTER!$E$5:$E$1204,$Q46))</f>
        <v/>
      </c>
      <c r="E46" s="55" t="str">
        <f>IF($Q46="","",INDEX(TRANSACTIONS_MASTER!$G$5:$G$1204,$Q46)&amp;"")</f>
        <v/>
      </c>
      <c r="F46" s="29" t="str">
        <f>IF($Q46="","",INDEX(TRANSACTIONS_MASTER!$I$5:$I$1204,$Q46))</f>
        <v/>
      </c>
      <c r="G46" s="55" t="str">
        <f>IF($Q46="","",INDEX(TRANSACTIONS_MASTER!$K$5:$K$1204,$Q46))</f>
        <v/>
      </c>
      <c r="H46" s="25" t="str">
        <f>IF($Q46="","",INDEX(TRANSACTIONS_MASTER!$L$5:$L$1204,$Q46))</f>
        <v/>
      </c>
      <c r="I46" s="56" t="str">
        <f>IF($Q46="","",INDEX(TRANSACTIONS_MASTER!$N$5:$N$1204,$Q46))</f>
        <v/>
      </c>
      <c r="J46" s="25" t="str">
        <f>IF($Q46="","",INDEX(TRANSACTIONS_MASTER!$O$5:$O$1204,$Q46))</f>
        <v/>
      </c>
      <c r="K46" s="26" t="str">
        <f>IF($Q46="","",INDEX(TRANSACTIONS_MASTER!$Q$5:$Q$1204,$Q46))</f>
        <v/>
      </c>
      <c r="L46" s="25" t="str">
        <f>IF($Q46="","",INDEX(TRANSACTIONS_MASTER!$P$5:$P$1204,$Q46))</f>
        <v/>
      </c>
      <c r="M46" s="25" t="str">
        <f>IF($Q46="","",INDEX(TRANSACTIONS_MASTER!$AA$5:$AA$1204,$Q46))</f>
        <v/>
      </c>
      <c r="N46" s="25" t="str">
        <f>IF($Q46="","",INDEX(TRANSACTIONS_MASTER!$R$5:$R$1204,$Q46))</f>
        <v/>
      </c>
      <c r="O46" s="28" t="str">
        <f>IF($Q46="","",INDEX(TRANSACTIONS_MASTER!$AB$5:$AB$1204,$Q46))</f>
        <v/>
      </c>
      <c r="P46" s="55" t="str">
        <f>IF($Q46="","",INDEX(TRANSACTIONS_MASTER!$Z$5:$Z$1204,$Q46)&amp;"")</f>
        <v/>
      </c>
      <c r="Q46" s="67" t="str">
        <f>IFERROR(MATCH($C$2&amp;"|"&amp;39,TRANSACTIONS_MASTER!$AE$5:$AE$1204,0),"")</f>
        <v/>
      </c>
      <c r="S46" s="67" t="str">
        <f>IFERROR(MATCH(39,CASHBACK_RULES!$S$5:$S$304,0),"")</f>
        <v/>
      </c>
      <c r="T46" s="55" t="str">
        <f>IF($S46="","",INDEX(CASHBACK_RULES!$B$5:$B$304,$S46))</f>
        <v/>
      </c>
      <c r="U46" s="55" t="str">
        <f>IF($S46="","",INDEX(CASHBACK_RULES!$C$5:$C$304,$S46)&amp;" "&amp;INDEX(CASHBACK_RULES!$D$5:$D$304,$S46))</f>
        <v/>
      </c>
      <c r="V46" s="55" t="str">
        <f>IF($S46="","",INDEX(CASHBACK_RULES!$E$5:$E$304,$S46)&amp;"")</f>
        <v/>
      </c>
      <c r="W46" s="55" t="str">
        <f>IF($S46="","",INDEX(CASHBACK_RULES!$F$5:$F$304,$S46)&amp;"")</f>
        <v/>
      </c>
      <c r="X46" s="26" t="str">
        <f>IF($S46="","",SUMIFS(TRANSACTIONS_MASTER!$Q$5:$Q$1204,TRANSACTIONS_MASTER!$D$5:$D$1204,$T46,TRANSACTIONS_MASTER!$Z$5:$Z$1204,$V46,TRANSACTIONS_MASTER!$C$5:$C$1204,$C$2))</f>
        <v/>
      </c>
      <c r="Y46" s="25" t="str">
        <f>IF($S46="","",IF(ISNUMBER(INDEX(CASHBACK_RULES!$J$5:$J$304,$S46)),INDEX(CASHBACK_RULES!$J$5:$J$304,$S46),"∞"))</f>
        <v/>
      </c>
      <c r="Z46" s="25" t="str">
        <f>IF($S46="","",IF(ISNUMBER($Y46),MAX(0,$Y46-$X46),"∞"))</f>
        <v/>
      </c>
      <c r="AA46" s="27" t="str">
        <f>IF($S46="","",IF(ISNUMBER($Y46),IF($Y46=0,0,$X46/$Y46),""))</f>
        <v/>
      </c>
    </row>
    <row r="47" ht="20" customHeight="1">
      <c r="A47" s="81" t="str">
        <f>IF($Q47="","",40)</f>
        <v/>
      </c>
      <c r="B47" s="57" t="str">
        <f>IF($Q47="","",INDEX(TRANSACTIONS_MASTER!$B$5:$B$1204,$Q47))</f>
        <v/>
      </c>
      <c r="C47" s="55" t="str">
        <f>IF($Q47="","",INDEX(TRANSACTIONS_MASTER!$F$5:$F$1204,$Q47))</f>
        <v/>
      </c>
      <c r="D47" s="55" t="str">
        <f>IF($Q47="","",INDEX(TRANSACTIONS_MASTER!$E$5:$E$1204,$Q47))</f>
        <v/>
      </c>
      <c r="E47" s="55" t="str">
        <f>IF($Q47="","",INDEX(TRANSACTIONS_MASTER!$G$5:$G$1204,$Q47)&amp;"")</f>
        <v/>
      </c>
      <c r="F47" s="29" t="str">
        <f>IF($Q47="","",INDEX(TRANSACTIONS_MASTER!$I$5:$I$1204,$Q47))</f>
        <v/>
      </c>
      <c r="G47" s="55" t="str">
        <f>IF($Q47="","",INDEX(TRANSACTIONS_MASTER!$K$5:$K$1204,$Q47))</f>
        <v/>
      </c>
      <c r="H47" s="25" t="str">
        <f>IF($Q47="","",INDEX(TRANSACTIONS_MASTER!$L$5:$L$1204,$Q47))</f>
        <v/>
      </c>
      <c r="I47" s="56" t="str">
        <f>IF($Q47="","",INDEX(TRANSACTIONS_MASTER!$N$5:$N$1204,$Q47))</f>
        <v/>
      </c>
      <c r="J47" s="25" t="str">
        <f>IF($Q47="","",INDEX(TRANSACTIONS_MASTER!$O$5:$O$1204,$Q47))</f>
        <v/>
      </c>
      <c r="K47" s="26" t="str">
        <f>IF($Q47="","",INDEX(TRANSACTIONS_MASTER!$Q$5:$Q$1204,$Q47))</f>
        <v/>
      </c>
      <c r="L47" s="25" t="str">
        <f>IF($Q47="","",INDEX(TRANSACTIONS_MASTER!$P$5:$P$1204,$Q47))</f>
        <v/>
      </c>
      <c r="M47" s="25" t="str">
        <f>IF($Q47="","",INDEX(TRANSACTIONS_MASTER!$AA$5:$AA$1204,$Q47))</f>
        <v/>
      </c>
      <c r="N47" s="25" t="str">
        <f>IF($Q47="","",INDEX(TRANSACTIONS_MASTER!$R$5:$R$1204,$Q47))</f>
        <v/>
      </c>
      <c r="O47" s="28" t="str">
        <f>IF($Q47="","",INDEX(TRANSACTIONS_MASTER!$AB$5:$AB$1204,$Q47))</f>
        <v/>
      </c>
      <c r="P47" s="55" t="str">
        <f>IF($Q47="","",INDEX(TRANSACTIONS_MASTER!$Z$5:$Z$1204,$Q47)&amp;"")</f>
        <v/>
      </c>
      <c r="Q47" s="67" t="str">
        <f>IFERROR(MATCH($C$2&amp;"|"&amp;40,TRANSACTIONS_MASTER!$AE$5:$AE$1204,0),"")</f>
        <v/>
      </c>
      <c r="S47" s="67" t="str">
        <f>IFERROR(MATCH(40,CASHBACK_RULES!$S$5:$S$304,0),"")</f>
        <v/>
      </c>
      <c r="T47" s="55" t="str">
        <f>IF($S47="","",INDEX(CASHBACK_RULES!$B$5:$B$304,$S47))</f>
        <v/>
      </c>
      <c r="U47" s="55" t="str">
        <f>IF($S47="","",INDEX(CASHBACK_RULES!$C$5:$C$304,$S47)&amp;" "&amp;INDEX(CASHBACK_RULES!$D$5:$D$304,$S47))</f>
        <v/>
      </c>
      <c r="V47" s="55" t="str">
        <f>IF($S47="","",INDEX(CASHBACK_RULES!$E$5:$E$304,$S47)&amp;"")</f>
        <v/>
      </c>
      <c r="W47" s="55" t="str">
        <f>IF($S47="","",INDEX(CASHBACK_RULES!$F$5:$F$304,$S47)&amp;"")</f>
        <v/>
      </c>
      <c r="X47" s="26" t="str">
        <f>IF($S47="","",SUMIFS(TRANSACTIONS_MASTER!$Q$5:$Q$1204,TRANSACTIONS_MASTER!$D$5:$D$1204,$T47,TRANSACTIONS_MASTER!$Z$5:$Z$1204,$V47,TRANSACTIONS_MASTER!$C$5:$C$1204,$C$2))</f>
        <v/>
      </c>
      <c r="Y47" s="25" t="str">
        <f>IF($S47="","",IF(ISNUMBER(INDEX(CASHBACK_RULES!$J$5:$J$304,$S47)),INDEX(CASHBACK_RULES!$J$5:$J$304,$S47),"∞"))</f>
        <v/>
      </c>
      <c r="Z47" s="25" t="str">
        <f>IF($S47="","",IF(ISNUMBER($Y47),MAX(0,$Y47-$X47),"∞"))</f>
        <v/>
      </c>
      <c r="AA47" s="27" t="str">
        <f>IF($S47="","",IF(ISNUMBER($Y47),IF($Y47=0,0,$X47/$Y47),""))</f>
        <v/>
      </c>
    </row>
    <row r="48" ht="20" customHeight="1">
      <c r="A48" s="81" t="str">
        <f>IF($Q48="","",41)</f>
        <v/>
      </c>
      <c r="B48" s="57" t="str">
        <f>IF($Q48="","",INDEX(TRANSACTIONS_MASTER!$B$5:$B$1204,$Q48))</f>
        <v/>
      </c>
      <c r="C48" s="55" t="str">
        <f>IF($Q48="","",INDEX(TRANSACTIONS_MASTER!$F$5:$F$1204,$Q48))</f>
        <v/>
      </c>
      <c r="D48" s="55" t="str">
        <f>IF($Q48="","",INDEX(TRANSACTIONS_MASTER!$E$5:$E$1204,$Q48))</f>
        <v/>
      </c>
      <c r="E48" s="55" t="str">
        <f>IF($Q48="","",INDEX(TRANSACTIONS_MASTER!$G$5:$G$1204,$Q48)&amp;"")</f>
        <v/>
      </c>
      <c r="F48" s="29" t="str">
        <f>IF($Q48="","",INDEX(TRANSACTIONS_MASTER!$I$5:$I$1204,$Q48))</f>
        <v/>
      </c>
      <c r="G48" s="55" t="str">
        <f>IF($Q48="","",INDEX(TRANSACTIONS_MASTER!$K$5:$K$1204,$Q48))</f>
        <v/>
      </c>
      <c r="H48" s="25" t="str">
        <f>IF($Q48="","",INDEX(TRANSACTIONS_MASTER!$L$5:$L$1204,$Q48))</f>
        <v/>
      </c>
      <c r="I48" s="56" t="str">
        <f>IF($Q48="","",INDEX(TRANSACTIONS_MASTER!$N$5:$N$1204,$Q48))</f>
        <v/>
      </c>
      <c r="J48" s="25" t="str">
        <f>IF($Q48="","",INDEX(TRANSACTIONS_MASTER!$O$5:$O$1204,$Q48))</f>
        <v/>
      </c>
      <c r="K48" s="26" t="str">
        <f>IF($Q48="","",INDEX(TRANSACTIONS_MASTER!$Q$5:$Q$1204,$Q48))</f>
        <v/>
      </c>
      <c r="L48" s="25" t="str">
        <f>IF($Q48="","",INDEX(TRANSACTIONS_MASTER!$P$5:$P$1204,$Q48))</f>
        <v/>
      </c>
      <c r="M48" s="25" t="str">
        <f>IF($Q48="","",INDEX(TRANSACTIONS_MASTER!$AA$5:$AA$1204,$Q48))</f>
        <v/>
      </c>
      <c r="N48" s="25" t="str">
        <f>IF($Q48="","",INDEX(TRANSACTIONS_MASTER!$R$5:$R$1204,$Q48))</f>
        <v/>
      </c>
      <c r="O48" s="28" t="str">
        <f>IF($Q48="","",INDEX(TRANSACTIONS_MASTER!$AB$5:$AB$1204,$Q48))</f>
        <v/>
      </c>
      <c r="P48" s="55" t="str">
        <f>IF($Q48="","",INDEX(TRANSACTIONS_MASTER!$Z$5:$Z$1204,$Q48)&amp;"")</f>
        <v/>
      </c>
      <c r="Q48" s="67" t="str">
        <f>IFERROR(MATCH($C$2&amp;"|"&amp;41,TRANSACTIONS_MASTER!$AE$5:$AE$1204,0),"")</f>
        <v/>
      </c>
      <c r="S48" s="67" t="str">
        <f>IFERROR(MATCH(41,CASHBACK_RULES!$S$5:$S$304,0),"")</f>
        <v/>
      </c>
      <c r="T48" s="55" t="str">
        <f>IF($S48="","",INDEX(CASHBACK_RULES!$B$5:$B$304,$S48))</f>
        <v/>
      </c>
      <c r="U48" s="55" t="str">
        <f>IF($S48="","",INDEX(CASHBACK_RULES!$C$5:$C$304,$S48)&amp;" "&amp;INDEX(CASHBACK_RULES!$D$5:$D$304,$S48))</f>
        <v/>
      </c>
      <c r="V48" s="55" t="str">
        <f>IF($S48="","",INDEX(CASHBACK_RULES!$E$5:$E$304,$S48)&amp;"")</f>
        <v/>
      </c>
      <c r="W48" s="55" t="str">
        <f>IF($S48="","",INDEX(CASHBACK_RULES!$F$5:$F$304,$S48)&amp;"")</f>
        <v/>
      </c>
      <c r="X48" s="26" t="str">
        <f>IF($S48="","",SUMIFS(TRANSACTIONS_MASTER!$Q$5:$Q$1204,TRANSACTIONS_MASTER!$D$5:$D$1204,$T48,TRANSACTIONS_MASTER!$Z$5:$Z$1204,$V48,TRANSACTIONS_MASTER!$C$5:$C$1204,$C$2))</f>
        <v/>
      </c>
      <c r="Y48" s="25" t="str">
        <f>IF($S48="","",IF(ISNUMBER(INDEX(CASHBACK_RULES!$J$5:$J$304,$S48)),INDEX(CASHBACK_RULES!$J$5:$J$304,$S48),"∞"))</f>
        <v/>
      </c>
      <c r="Z48" s="25" t="str">
        <f>IF($S48="","",IF(ISNUMBER($Y48),MAX(0,$Y48-$X48),"∞"))</f>
        <v/>
      </c>
      <c r="AA48" s="27" t="str">
        <f>IF($S48="","",IF(ISNUMBER($Y48),IF($Y48=0,0,$X48/$Y48),""))</f>
        <v/>
      </c>
    </row>
    <row r="49" ht="20" customHeight="1">
      <c r="A49" s="81" t="str">
        <f>IF($Q49="","",42)</f>
        <v/>
      </c>
      <c r="B49" s="57" t="str">
        <f>IF($Q49="","",INDEX(TRANSACTIONS_MASTER!$B$5:$B$1204,$Q49))</f>
        <v/>
      </c>
      <c r="C49" s="55" t="str">
        <f>IF($Q49="","",INDEX(TRANSACTIONS_MASTER!$F$5:$F$1204,$Q49))</f>
        <v/>
      </c>
      <c r="D49" s="55" t="str">
        <f>IF($Q49="","",INDEX(TRANSACTIONS_MASTER!$E$5:$E$1204,$Q49))</f>
        <v/>
      </c>
      <c r="E49" s="55" t="str">
        <f>IF($Q49="","",INDEX(TRANSACTIONS_MASTER!$G$5:$G$1204,$Q49)&amp;"")</f>
        <v/>
      </c>
      <c r="F49" s="29" t="str">
        <f>IF($Q49="","",INDEX(TRANSACTIONS_MASTER!$I$5:$I$1204,$Q49))</f>
        <v/>
      </c>
      <c r="G49" s="55" t="str">
        <f>IF($Q49="","",INDEX(TRANSACTIONS_MASTER!$K$5:$K$1204,$Q49))</f>
        <v/>
      </c>
      <c r="H49" s="25" t="str">
        <f>IF($Q49="","",INDEX(TRANSACTIONS_MASTER!$L$5:$L$1204,$Q49))</f>
        <v/>
      </c>
      <c r="I49" s="56" t="str">
        <f>IF($Q49="","",INDEX(TRANSACTIONS_MASTER!$N$5:$N$1204,$Q49))</f>
        <v/>
      </c>
      <c r="J49" s="25" t="str">
        <f>IF($Q49="","",INDEX(TRANSACTIONS_MASTER!$O$5:$O$1204,$Q49))</f>
        <v/>
      </c>
      <c r="K49" s="26" t="str">
        <f>IF($Q49="","",INDEX(TRANSACTIONS_MASTER!$Q$5:$Q$1204,$Q49))</f>
        <v/>
      </c>
      <c r="L49" s="25" t="str">
        <f>IF($Q49="","",INDEX(TRANSACTIONS_MASTER!$P$5:$P$1204,$Q49))</f>
        <v/>
      </c>
      <c r="M49" s="25" t="str">
        <f>IF($Q49="","",INDEX(TRANSACTIONS_MASTER!$AA$5:$AA$1204,$Q49))</f>
        <v/>
      </c>
      <c r="N49" s="25" t="str">
        <f>IF($Q49="","",INDEX(TRANSACTIONS_MASTER!$R$5:$R$1204,$Q49))</f>
        <v/>
      </c>
      <c r="O49" s="28" t="str">
        <f>IF($Q49="","",INDEX(TRANSACTIONS_MASTER!$AB$5:$AB$1204,$Q49))</f>
        <v/>
      </c>
      <c r="P49" s="55" t="str">
        <f>IF($Q49="","",INDEX(TRANSACTIONS_MASTER!$Z$5:$Z$1204,$Q49)&amp;"")</f>
        <v/>
      </c>
      <c r="Q49" s="67" t="str">
        <f>IFERROR(MATCH($C$2&amp;"|"&amp;42,TRANSACTIONS_MASTER!$AE$5:$AE$1204,0),"")</f>
        <v/>
      </c>
      <c r="S49" s="67" t="str">
        <f>IFERROR(MATCH(42,CASHBACK_RULES!$S$5:$S$304,0),"")</f>
        <v/>
      </c>
      <c r="T49" s="55" t="str">
        <f>IF($S49="","",INDEX(CASHBACK_RULES!$B$5:$B$304,$S49))</f>
        <v/>
      </c>
      <c r="U49" s="55" t="str">
        <f>IF($S49="","",INDEX(CASHBACK_RULES!$C$5:$C$304,$S49)&amp;" "&amp;INDEX(CASHBACK_RULES!$D$5:$D$304,$S49))</f>
        <v/>
      </c>
      <c r="V49" s="55" t="str">
        <f>IF($S49="","",INDEX(CASHBACK_RULES!$E$5:$E$304,$S49)&amp;"")</f>
        <v/>
      </c>
      <c r="W49" s="55" t="str">
        <f>IF($S49="","",INDEX(CASHBACK_RULES!$F$5:$F$304,$S49)&amp;"")</f>
        <v/>
      </c>
      <c r="X49" s="26" t="str">
        <f>IF($S49="","",SUMIFS(TRANSACTIONS_MASTER!$Q$5:$Q$1204,TRANSACTIONS_MASTER!$D$5:$D$1204,$T49,TRANSACTIONS_MASTER!$Z$5:$Z$1204,$V49,TRANSACTIONS_MASTER!$C$5:$C$1204,$C$2))</f>
        <v/>
      </c>
      <c r="Y49" s="25" t="str">
        <f>IF($S49="","",IF(ISNUMBER(INDEX(CASHBACK_RULES!$J$5:$J$304,$S49)),INDEX(CASHBACK_RULES!$J$5:$J$304,$S49),"∞"))</f>
        <v/>
      </c>
      <c r="Z49" s="25" t="str">
        <f>IF($S49="","",IF(ISNUMBER($Y49),MAX(0,$Y49-$X49),"∞"))</f>
        <v/>
      </c>
      <c r="AA49" s="27" t="str">
        <f>IF($S49="","",IF(ISNUMBER($Y49),IF($Y49=0,0,$X49/$Y49),""))</f>
        <v/>
      </c>
    </row>
    <row r="50" ht="20" customHeight="1">
      <c r="A50" s="81" t="str">
        <f>IF($Q50="","",43)</f>
        <v/>
      </c>
      <c r="B50" s="57" t="str">
        <f>IF($Q50="","",INDEX(TRANSACTIONS_MASTER!$B$5:$B$1204,$Q50))</f>
        <v/>
      </c>
      <c r="C50" s="55" t="str">
        <f>IF($Q50="","",INDEX(TRANSACTIONS_MASTER!$F$5:$F$1204,$Q50))</f>
        <v/>
      </c>
      <c r="D50" s="55" t="str">
        <f>IF($Q50="","",INDEX(TRANSACTIONS_MASTER!$E$5:$E$1204,$Q50))</f>
        <v/>
      </c>
      <c r="E50" s="55" t="str">
        <f>IF($Q50="","",INDEX(TRANSACTIONS_MASTER!$G$5:$G$1204,$Q50)&amp;"")</f>
        <v/>
      </c>
      <c r="F50" s="29" t="str">
        <f>IF($Q50="","",INDEX(TRANSACTIONS_MASTER!$I$5:$I$1204,$Q50))</f>
        <v/>
      </c>
      <c r="G50" s="55" t="str">
        <f>IF($Q50="","",INDEX(TRANSACTIONS_MASTER!$K$5:$K$1204,$Q50))</f>
        <v/>
      </c>
      <c r="H50" s="25" t="str">
        <f>IF($Q50="","",INDEX(TRANSACTIONS_MASTER!$L$5:$L$1204,$Q50))</f>
        <v/>
      </c>
      <c r="I50" s="56" t="str">
        <f>IF($Q50="","",INDEX(TRANSACTIONS_MASTER!$N$5:$N$1204,$Q50))</f>
        <v/>
      </c>
      <c r="J50" s="25" t="str">
        <f>IF($Q50="","",INDEX(TRANSACTIONS_MASTER!$O$5:$O$1204,$Q50))</f>
        <v/>
      </c>
      <c r="K50" s="26" t="str">
        <f>IF($Q50="","",INDEX(TRANSACTIONS_MASTER!$Q$5:$Q$1204,$Q50))</f>
        <v/>
      </c>
      <c r="L50" s="25" t="str">
        <f>IF($Q50="","",INDEX(TRANSACTIONS_MASTER!$P$5:$P$1204,$Q50))</f>
        <v/>
      </c>
      <c r="M50" s="25" t="str">
        <f>IF($Q50="","",INDEX(TRANSACTIONS_MASTER!$AA$5:$AA$1204,$Q50))</f>
        <v/>
      </c>
      <c r="N50" s="25" t="str">
        <f>IF($Q50="","",INDEX(TRANSACTIONS_MASTER!$R$5:$R$1204,$Q50))</f>
        <v/>
      </c>
      <c r="O50" s="28" t="str">
        <f>IF($Q50="","",INDEX(TRANSACTIONS_MASTER!$AB$5:$AB$1204,$Q50))</f>
        <v/>
      </c>
      <c r="P50" s="55" t="str">
        <f>IF($Q50="","",INDEX(TRANSACTIONS_MASTER!$Z$5:$Z$1204,$Q50)&amp;"")</f>
        <v/>
      </c>
      <c r="Q50" s="67" t="str">
        <f>IFERROR(MATCH($C$2&amp;"|"&amp;43,TRANSACTIONS_MASTER!$AE$5:$AE$1204,0),"")</f>
        <v/>
      </c>
      <c r="S50" s="67" t="str">
        <f>IFERROR(MATCH(43,CASHBACK_RULES!$S$5:$S$304,0),"")</f>
        <v/>
      </c>
      <c r="T50" s="55" t="str">
        <f>IF($S50="","",INDEX(CASHBACK_RULES!$B$5:$B$304,$S50))</f>
        <v/>
      </c>
      <c r="U50" s="55" t="str">
        <f>IF($S50="","",INDEX(CASHBACK_RULES!$C$5:$C$304,$S50)&amp;" "&amp;INDEX(CASHBACK_RULES!$D$5:$D$304,$S50))</f>
        <v/>
      </c>
      <c r="V50" s="55" t="str">
        <f>IF($S50="","",INDEX(CASHBACK_RULES!$E$5:$E$304,$S50)&amp;"")</f>
        <v/>
      </c>
      <c r="W50" s="55" t="str">
        <f>IF($S50="","",INDEX(CASHBACK_RULES!$F$5:$F$304,$S50)&amp;"")</f>
        <v/>
      </c>
      <c r="X50" s="26" t="str">
        <f>IF($S50="","",SUMIFS(TRANSACTIONS_MASTER!$Q$5:$Q$1204,TRANSACTIONS_MASTER!$D$5:$D$1204,$T50,TRANSACTIONS_MASTER!$Z$5:$Z$1204,$V50,TRANSACTIONS_MASTER!$C$5:$C$1204,$C$2))</f>
        <v/>
      </c>
      <c r="Y50" s="25" t="str">
        <f>IF($S50="","",IF(ISNUMBER(INDEX(CASHBACK_RULES!$J$5:$J$304,$S50)),INDEX(CASHBACK_RULES!$J$5:$J$304,$S50),"∞"))</f>
        <v/>
      </c>
      <c r="Z50" s="25" t="str">
        <f>IF($S50="","",IF(ISNUMBER($Y50),MAX(0,$Y50-$X50),"∞"))</f>
        <v/>
      </c>
      <c r="AA50" s="27" t="str">
        <f>IF($S50="","",IF(ISNUMBER($Y50),IF($Y50=0,0,$X50/$Y50),""))</f>
        <v/>
      </c>
    </row>
    <row r="51" ht="20" customHeight="1">
      <c r="A51" s="81" t="str">
        <f>IF($Q51="","",44)</f>
        <v/>
      </c>
      <c r="B51" s="57" t="str">
        <f>IF($Q51="","",INDEX(TRANSACTIONS_MASTER!$B$5:$B$1204,$Q51))</f>
        <v/>
      </c>
      <c r="C51" s="55" t="str">
        <f>IF($Q51="","",INDEX(TRANSACTIONS_MASTER!$F$5:$F$1204,$Q51))</f>
        <v/>
      </c>
      <c r="D51" s="55" t="str">
        <f>IF($Q51="","",INDEX(TRANSACTIONS_MASTER!$E$5:$E$1204,$Q51))</f>
        <v/>
      </c>
      <c r="E51" s="55" t="str">
        <f>IF($Q51="","",INDEX(TRANSACTIONS_MASTER!$G$5:$G$1204,$Q51)&amp;"")</f>
        <v/>
      </c>
      <c r="F51" s="29" t="str">
        <f>IF($Q51="","",INDEX(TRANSACTIONS_MASTER!$I$5:$I$1204,$Q51))</f>
        <v/>
      </c>
      <c r="G51" s="55" t="str">
        <f>IF($Q51="","",INDEX(TRANSACTIONS_MASTER!$K$5:$K$1204,$Q51))</f>
        <v/>
      </c>
      <c r="H51" s="25" t="str">
        <f>IF($Q51="","",INDEX(TRANSACTIONS_MASTER!$L$5:$L$1204,$Q51))</f>
        <v/>
      </c>
      <c r="I51" s="56" t="str">
        <f>IF($Q51="","",INDEX(TRANSACTIONS_MASTER!$N$5:$N$1204,$Q51))</f>
        <v/>
      </c>
      <c r="J51" s="25" t="str">
        <f>IF($Q51="","",INDEX(TRANSACTIONS_MASTER!$O$5:$O$1204,$Q51))</f>
        <v/>
      </c>
      <c r="K51" s="26" t="str">
        <f>IF($Q51="","",INDEX(TRANSACTIONS_MASTER!$Q$5:$Q$1204,$Q51))</f>
        <v/>
      </c>
      <c r="L51" s="25" t="str">
        <f>IF($Q51="","",INDEX(TRANSACTIONS_MASTER!$P$5:$P$1204,$Q51))</f>
        <v/>
      </c>
      <c r="M51" s="25" t="str">
        <f>IF($Q51="","",INDEX(TRANSACTIONS_MASTER!$AA$5:$AA$1204,$Q51))</f>
        <v/>
      </c>
      <c r="N51" s="25" t="str">
        <f>IF($Q51="","",INDEX(TRANSACTIONS_MASTER!$R$5:$R$1204,$Q51))</f>
        <v/>
      </c>
      <c r="O51" s="28" t="str">
        <f>IF($Q51="","",INDEX(TRANSACTIONS_MASTER!$AB$5:$AB$1204,$Q51))</f>
        <v/>
      </c>
      <c r="P51" s="55" t="str">
        <f>IF($Q51="","",INDEX(TRANSACTIONS_MASTER!$Z$5:$Z$1204,$Q51)&amp;"")</f>
        <v/>
      </c>
      <c r="Q51" s="67" t="str">
        <f>IFERROR(MATCH($C$2&amp;"|"&amp;44,TRANSACTIONS_MASTER!$AE$5:$AE$1204,0),"")</f>
        <v/>
      </c>
      <c r="S51" s="67" t="str">
        <f>IFERROR(MATCH(44,CASHBACK_RULES!$S$5:$S$304,0),"")</f>
        <v/>
      </c>
      <c r="T51" s="55" t="str">
        <f>IF($S51="","",INDEX(CASHBACK_RULES!$B$5:$B$304,$S51))</f>
        <v/>
      </c>
      <c r="U51" s="55" t="str">
        <f>IF($S51="","",INDEX(CASHBACK_RULES!$C$5:$C$304,$S51)&amp;" "&amp;INDEX(CASHBACK_RULES!$D$5:$D$304,$S51))</f>
        <v/>
      </c>
      <c r="V51" s="55" t="str">
        <f>IF($S51="","",INDEX(CASHBACK_RULES!$E$5:$E$304,$S51)&amp;"")</f>
        <v/>
      </c>
      <c r="W51" s="55" t="str">
        <f>IF($S51="","",INDEX(CASHBACK_RULES!$F$5:$F$304,$S51)&amp;"")</f>
        <v/>
      </c>
      <c r="X51" s="26" t="str">
        <f>IF($S51="","",SUMIFS(TRANSACTIONS_MASTER!$Q$5:$Q$1204,TRANSACTIONS_MASTER!$D$5:$D$1204,$T51,TRANSACTIONS_MASTER!$Z$5:$Z$1204,$V51,TRANSACTIONS_MASTER!$C$5:$C$1204,$C$2))</f>
        <v/>
      </c>
      <c r="Y51" s="25" t="str">
        <f>IF($S51="","",IF(ISNUMBER(INDEX(CASHBACK_RULES!$J$5:$J$304,$S51)),INDEX(CASHBACK_RULES!$J$5:$J$304,$S51),"∞"))</f>
        <v/>
      </c>
      <c r="Z51" s="25" t="str">
        <f>IF($S51="","",IF(ISNUMBER($Y51),MAX(0,$Y51-$X51),"∞"))</f>
        <v/>
      </c>
      <c r="AA51" s="27" t="str">
        <f>IF($S51="","",IF(ISNUMBER($Y51),IF($Y51=0,0,$X51/$Y51),""))</f>
        <v/>
      </c>
    </row>
    <row r="52" ht="20" customHeight="1">
      <c r="A52" s="81" t="str">
        <f>IF($Q52="","",45)</f>
        <v/>
      </c>
      <c r="B52" s="57" t="str">
        <f>IF($Q52="","",INDEX(TRANSACTIONS_MASTER!$B$5:$B$1204,$Q52))</f>
        <v/>
      </c>
      <c r="C52" s="55" t="str">
        <f>IF($Q52="","",INDEX(TRANSACTIONS_MASTER!$F$5:$F$1204,$Q52))</f>
        <v/>
      </c>
      <c r="D52" s="55" t="str">
        <f>IF($Q52="","",INDEX(TRANSACTIONS_MASTER!$E$5:$E$1204,$Q52))</f>
        <v/>
      </c>
      <c r="E52" s="55" t="str">
        <f>IF($Q52="","",INDEX(TRANSACTIONS_MASTER!$G$5:$G$1204,$Q52)&amp;"")</f>
        <v/>
      </c>
      <c r="F52" s="29" t="str">
        <f>IF($Q52="","",INDEX(TRANSACTIONS_MASTER!$I$5:$I$1204,$Q52))</f>
        <v/>
      </c>
      <c r="G52" s="55" t="str">
        <f>IF($Q52="","",INDEX(TRANSACTIONS_MASTER!$K$5:$K$1204,$Q52))</f>
        <v/>
      </c>
      <c r="H52" s="25" t="str">
        <f>IF($Q52="","",INDEX(TRANSACTIONS_MASTER!$L$5:$L$1204,$Q52))</f>
        <v/>
      </c>
      <c r="I52" s="56" t="str">
        <f>IF($Q52="","",INDEX(TRANSACTIONS_MASTER!$N$5:$N$1204,$Q52))</f>
        <v/>
      </c>
      <c r="J52" s="25" t="str">
        <f>IF($Q52="","",INDEX(TRANSACTIONS_MASTER!$O$5:$O$1204,$Q52))</f>
        <v/>
      </c>
      <c r="K52" s="26" t="str">
        <f>IF($Q52="","",INDEX(TRANSACTIONS_MASTER!$Q$5:$Q$1204,$Q52))</f>
        <v/>
      </c>
      <c r="L52" s="25" t="str">
        <f>IF($Q52="","",INDEX(TRANSACTIONS_MASTER!$P$5:$P$1204,$Q52))</f>
        <v/>
      </c>
      <c r="M52" s="25" t="str">
        <f>IF($Q52="","",INDEX(TRANSACTIONS_MASTER!$AA$5:$AA$1204,$Q52))</f>
        <v/>
      </c>
      <c r="N52" s="25" t="str">
        <f>IF($Q52="","",INDEX(TRANSACTIONS_MASTER!$R$5:$R$1204,$Q52))</f>
        <v/>
      </c>
      <c r="O52" s="28" t="str">
        <f>IF($Q52="","",INDEX(TRANSACTIONS_MASTER!$AB$5:$AB$1204,$Q52))</f>
        <v/>
      </c>
      <c r="P52" s="55" t="str">
        <f>IF($Q52="","",INDEX(TRANSACTIONS_MASTER!$Z$5:$Z$1204,$Q52)&amp;"")</f>
        <v/>
      </c>
      <c r="Q52" s="67" t="str">
        <f>IFERROR(MATCH($C$2&amp;"|"&amp;45,TRANSACTIONS_MASTER!$AE$5:$AE$1204,0),"")</f>
        <v/>
      </c>
      <c r="S52" s="67" t="str">
        <f>IFERROR(MATCH(45,CASHBACK_RULES!$S$5:$S$304,0),"")</f>
        <v/>
      </c>
      <c r="T52" s="55" t="str">
        <f>IF($S52="","",INDEX(CASHBACK_RULES!$B$5:$B$304,$S52))</f>
        <v/>
      </c>
      <c r="U52" s="55" t="str">
        <f>IF($S52="","",INDEX(CASHBACK_RULES!$C$5:$C$304,$S52)&amp;" "&amp;INDEX(CASHBACK_RULES!$D$5:$D$304,$S52))</f>
        <v/>
      </c>
      <c r="V52" s="55" t="str">
        <f>IF($S52="","",INDEX(CASHBACK_RULES!$E$5:$E$304,$S52)&amp;"")</f>
        <v/>
      </c>
      <c r="W52" s="55" t="str">
        <f>IF($S52="","",INDEX(CASHBACK_RULES!$F$5:$F$304,$S52)&amp;"")</f>
        <v/>
      </c>
      <c r="X52" s="26" t="str">
        <f>IF($S52="","",SUMIFS(TRANSACTIONS_MASTER!$Q$5:$Q$1204,TRANSACTIONS_MASTER!$D$5:$D$1204,$T52,TRANSACTIONS_MASTER!$Z$5:$Z$1204,$V52,TRANSACTIONS_MASTER!$C$5:$C$1204,$C$2))</f>
        <v/>
      </c>
      <c r="Y52" s="25" t="str">
        <f>IF($S52="","",IF(ISNUMBER(INDEX(CASHBACK_RULES!$J$5:$J$304,$S52)),INDEX(CASHBACK_RULES!$J$5:$J$304,$S52),"∞"))</f>
        <v/>
      </c>
      <c r="Z52" s="25" t="str">
        <f>IF($S52="","",IF(ISNUMBER($Y52),MAX(0,$Y52-$X52),"∞"))</f>
        <v/>
      </c>
      <c r="AA52" s="27" t="str">
        <f>IF($S52="","",IF(ISNUMBER($Y52),IF($Y52=0,0,$X52/$Y52),""))</f>
        <v/>
      </c>
    </row>
    <row r="53" ht="20" customHeight="1">
      <c r="A53" s="81" t="str">
        <f>IF($Q53="","",46)</f>
        <v/>
      </c>
      <c r="B53" s="57" t="str">
        <f>IF($Q53="","",INDEX(TRANSACTIONS_MASTER!$B$5:$B$1204,$Q53))</f>
        <v/>
      </c>
      <c r="C53" s="55" t="str">
        <f>IF($Q53="","",INDEX(TRANSACTIONS_MASTER!$F$5:$F$1204,$Q53))</f>
        <v/>
      </c>
      <c r="D53" s="55" t="str">
        <f>IF($Q53="","",INDEX(TRANSACTIONS_MASTER!$E$5:$E$1204,$Q53))</f>
        <v/>
      </c>
      <c r="E53" s="55" t="str">
        <f>IF($Q53="","",INDEX(TRANSACTIONS_MASTER!$G$5:$G$1204,$Q53)&amp;"")</f>
        <v/>
      </c>
      <c r="F53" s="29" t="str">
        <f>IF($Q53="","",INDEX(TRANSACTIONS_MASTER!$I$5:$I$1204,$Q53))</f>
        <v/>
      </c>
      <c r="G53" s="55" t="str">
        <f>IF($Q53="","",INDEX(TRANSACTIONS_MASTER!$K$5:$K$1204,$Q53))</f>
        <v/>
      </c>
      <c r="H53" s="25" t="str">
        <f>IF($Q53="","",INDEX(TRANSACTIONS_MASTER!$L$5:$L$1204,$Q53))</f>
        <v/>
      </c>
      <c r="I53" s="56" t="str">
        <f>IF($Q53="","",INDEX(TRANSACTIONS_MASTER!$N$5:$N$1204,$Q53))</f>
        <v/>
      </c>
      <c r="J53" s="25" t="str">
        <f>IF($Q53="","",INDEX(TRANSACTIONS_MASTER!$O$5:$O$1204,$Q53))</f>
        <v/>
      </c>
      <c r="K53" s="26" t="str">
        <f>IF($Q53="","",INDEX(TRANSACTIONS_MASTER!$Q$5:$Q$1204,$Q53))</f>
        <v/>
      </c>
      <c r="L53" s="25" t="str">
        <f>IF($Q53="","",INDEX(TRANSACTIONS_MASTER!$P$5:$P$1204,$Q53))</f>
        <v/>
      </c>
      <c r="M53" s="25" t="str">
        <f>IF($Q53="","",INDEX(TRANSACTIONS_MASTER!$AA$5:$AA$1204,$Q53))</f>
        <v/>
      </c>
      <c r="N53" s="25" t="str">
        <f>IF($Q53="","",INDEX(TRANSACTIONS_MASTER!$R$5:$R$1204,$Q53))</f>
        <v/>
      </c>
      <c r="O53" s="28" t="str">
        <f>IF($Q53="","",INDEX(TRANSACTIONS_MASTER!$AB$5:$AB$1204,$Q53))</f>
        <v/>
      </c>
      <c r="P53" s="55" t="str">
        <f>IF($Q53="","",INDEX(TRANSACTIONS_MASTER!$Z$5:$Z$1204,$Q53)&amp;"")</f>
        <v/>
      </c>
      <c r="Q53" s="67" t="str">
        <f>IFERROR(MATCH($C$2&amp;"|"&amp;46,TRANSACTIONS_MASTER!$AE$5:$AE$1204,0),"")</f>
        <v/>
      </c>
      <c r="S53" s="67" t="str">
        <f>IFERROR(MATCH(46,CASHBACK_RULES!$S$5:$S$304,0),"")</f>
        <v/>
      </c>
      <c r="T53" s="55" t="str">
        <f>IF($S53="","",INDEX(CASHBACK_RULES!$B$5:$B$304,$S53))</f>
        <v/>
      </c>
      <c r="U53" s="55" t="str">
        <f>IF($S53="","",INDEX(CASHBACK_RULES!$C$5:$C$304,$S53)&amp;" "&amp;INDEX(CASHBACK_RULES!$D$5:$D$304,$S53))</f>
        <v/>
      </c>
      <c r="V53" s="55" t="str">
        <f>IF($S53="","",INDEX(CASHBACK_RULES!$E$5:$E$304,$S53)&amp;"")</f>
        <v/>
      </c>
      <c r="W53" s="55" t="str">
        <f>IF($S53="","",INDEX(CASHBACK_RULES!$F$5:$F$304,$S53)&amp;"")</f>
        <v/>
      </c>
      <c r="X53" s="26" t="str">
        <f>IF($S53="","",SUMIFS(TRANSACTIONS_MASTER!$Q$5:$Q$1204,TRANSACTIONS_MASTER!$D$5:$D$1204,$T53,TRANSACTIONS_MASTER!$Z$5:$Z$1204,$V53,TRANSACTIONS_MASTER!$C$5:$C$1204,$C$2))</f>
        <v/>
      </c>
      <c r="Y53" s="25" t="str">
        <f>IF($S53="","",IF(ISNUMBER(INDEX(CASHBACK_RULES!$J$5:$J$304,$S53)),INDEX(CASHBACK_RULES!$J$5:$J$304,$S53),"∞"))</f>
        <v/>
      </c>
      <c r="Z53" s="25" t="str">
        <f>IF($S53="","",IF(ISNUMBER($Y53),MAX(0,$Y53-$X53),"∞"))</f>
        <v/>
      </c>
      <c r="AA53" s="27" t="str">
        <f>IF($S53="","",IF(ISNUMBER($Y53),IF($Y53=0,0,$X53/$Y53),""))</f>
        <v/>
      </c>
    </row>
    <row r="54" ht="20" customHeight="1">
      <c r="A54" s="81" t="str">
        <f>IF($Q54="","",47)</f>
        <v/>
      </c>
      <c r="B54" s="57" t="str">
        <f>IF($Q54="","",INDEX(TRANSACTIONS_MASTER!$B$5:$B$1204,$Q54))</f>
        <v/>
      </c>
      <c r="C54" s="55" t="str">
        <f>IF($Q54="","",INDEX(TRANSACTIONS_MASTER!$F$5:$F$1204,$Q54))</f>
        <v/>
      </c>
      <c r="D54" s="55" t="str">
        <f>IF($Q54="","",INDEX(TRANSACTIONS_MASTER!$E$5:$E$1204,$Q54))</f>
        <v/>
      </c>
      <c r="E54" s="55" t="str">
        <f>IF($Q54="","",INDEX(TRANSACTIONS_MASTER!$G$5:$G$1204,$Q54)&amp;"")</f>
        <v/>
      </c>
      <c r="F54" s="29" t="str">
        <f>IF($Q54="","",INDEX(TRANSACTIONS_MASTER!$I$5:$I$1204,$Q54))</f>
        <v/>
      </c>
      <c r="G54" s="55" t="str">
        <f>IF($Q54="","",INDEX(TRANSACTIONS_MASTER!$K$5:$K$1204,$Q54))</f>
        <v/>
      </c>
      <c r="H54" s="25" t="str">
        <f>IF($Q54="","",INDEX(TRANSACTIONS_MASTER!$L$5:$L$1204,$Q54))</f>
        <v/>
      </c>
      <c r="I54" s="56" t="str">
        <f>IF($Q54="","",INDEX(TRANSACTIONS_MASTER!$N$5:$N$1204,$Q54))</f>
        <v/>
      </c>
      <c r="J54" s="25" t="str">
        <f>IF($Q54="","",INDEX(TRANSACTIONS_MASTER!$O$5:$O$1204,$Q54))</f>
        <v/>
      </c>
      <c r="K54" s="26" t="str">
        <f>IF($Q54="","",INDEX(TRANSACTIONS_MASTER!$Q$5:$Q$1204,$Q54))</f>
        <v/>
      </c>
      <c r="L54" s="25" t="str">
        <f>IF($Q54="","",INDEX(TRANSACTIONS_MASTER!$P$5:$P$1204,$Q54))</f>
        <v/>
      </c>
      <c r="M54" s="25" t="str">
        <f>IF($Q54="","",INDEX(TRANSACTIONS_MASTER!$AA$5:$AA$1204,$Q54))</f>
        <v/>
      </c>
      <c r="N54" s="25" t="str">
        <f>IF($Q54="","",INDEX(TRANSACTIONS_MASTER!$R$5:$R$1204,$Q54))</f>
        <v/>
      </c>
      <c r="O54" s="28" t="str">
        <f>IF($Q54="","",INDEX(TRANSACTIONS_MASTER!$AB$5:$AB$1204,$Q54))</f>
        <v/>
      </c>
      <c r="P54" s="55" t="str">
        <f>IF($Q54="","",INDEX(TRANSACTIONS_MASTER!$Z$5:$Z$1204,$Q54)&amp;"")</f>
        <v/>
      </c>
      <c r="Q54" s="67" t="str">
        <f>IFERROR(MATCH($C$2&amp;"|"&amp;47,TRANSACTIONS_MASTER!$AE$5:$AE$1204,0),"")</f>
        <v/>
      </c>
      <c r="S54" s="67" t="str">
        <f>IFERROR(MATCH(47,CASHBACK_RULES!$S$5:$S$304,0),"")</f>
        <v/>
      </c>
      <c r="T54" s="55" t="str">
        <f>IF($S54="","",INDEX(CASHBACK_RULES!$B$5:$B$304,$S54))</f>
        <v/>
      </c>
      <c r="U54" s="55" t="str">
        <f>IF($S54="","",INDEX(CASHBACK_RULES!$C$5:$C$304,$S54)&amp;" "&amp;INDEX(CASHBACK_RULES!$D$5:$D$304,$S54))</f>
        <v/>
      </c>
      <c r="V54" s="55" t="str">
        <f>IF($S54="","",INDEX(CASHBACK_RULES!$E$5:$E$304,$S54)&amp;"")</f>
        <v/>
      </c>
      <c r="W54" s="55" t="str">
        <f>IF($S54="","",INDEX(CASHBACK_RULES!$F$5:$F$304,$S54)&amp;"")</f>
        <v/>
      </c>
      <c r="X54" s="26" t="str">
        <f>IF($S54="","",SUMIFS(TRANSACTIONS_MASTER!$Q$5:$Q$1204,TRANSACTIONS_MASTER!$D$5:$D$1204,$T54,TRANSACTIONS_MASTER!$Z$5:$Z$1204,$V54,TRANSACTIONS_MASTER!$C$5:$C$1204,$C$2))</f>
        <v/>
      </c>
      <c r="Y54" s="25" t="str">
        <f>IF($S54="","",IF(ISNUMBER(INDEX(CASHBACK_RULES!$J$5:$J$304,$S54)),INDEX(CASHBACK_RULES!$J$5:$J$304,$S54),"∞"))</f>
        <v/>
      </c>
      <c r="Z54" s="25" t="str">
        <f>IF($S54="","",IF(ISNUMBER($Y54),MAX(0,$Y54-$X54),"∞"))</f>
        <v/>
      </c>
      <c r="AA54" s="27" t="str">
        <f>IF($S54="","",IF(ISNUMBER($Y54),IF($Y54=0,0,$X54/$Y54),""))</f>
        <v/>
      </c>
    </row>
    <row r="55" ht="20" customHeight="1">
      <c r="A55" s="81" t="str">
        <f>IF($Q55="","",48)</f>
        <v/>
      </c>
      <c r="B55" s="57" t="str">
        <f>IF($Q55="","",INDEX(TRANSACTIONS_MASTER!$B$5:$B$1204,$Q55))</f>
        <v/>
      </c>
      <c r="C55" s="55" t="str">
        <f>IF($Q55="","",INDEX(TRANSACTIONS_MASTER!$F$5:$F$1204,$Q55))</f>
        <v/>
      </c>
      <c r="D55" s="55" t="str">
        <f>IF($Q55="","",INDEX(TRANSACTIONS_MASTER!$E$5:$E$1204,$Q55))</f>
        <v/>
      </c>
      <c r="E55" s="55" t="str">
        <f>IF($Q55="","",INDEX(TRANSACTIONS_MASTER!$G$5:$G$1204,$Q55)&amp;"")</f>
        <v/>
      </c>
      <c r="F55" s="29" t="str">
        <f>IF($Q55="","",INDEX(TRANSACTIONS_MASTER!$I$5:$I$1204,$Q55))</f>
        <v/>
      </c>
      <c r="G55" s="55" t="str">
        <f>IF($Q55="","",INDEX(TRANSACTIONS_MASTER!$K$5:$K$1204,$Q55))</f>
        <v/>
      </c>
      <c r="H55" s="25" t="str">
        <f>IF($Q55="","",INDEX(TRANSACTIONS_MASTER!$L$5:$L$1204,$Q55))</f>
        <v/>
      </c>
      <c r="I55" s="56" t="str">
        <f>IF($Q55="","",INDEX(TRANSACTIONS_MASTER!$N$5:$N$1204,$Q55))</f>
        <v/>
      </c>
      <c r="J55" s="25" t="str">
        <f>IF($Q55="","",INDEX(TRANSACTIONS_MASTER!$O$5:$O$1204,$Q55))</f>
        <v/>
      </c>
      <c r="K55" s="26" t="str">
        <f>IF($Q55="","",INDEX(TRANSACTIONS_MASTER!$Q$5:$Q$1204,$Q55))</f>
        <v/>
      </c>
      <c r="L55" s="25" t="str">
        <f>IF($Q55="","",INDEX(TRANSACTIONS_MASTER!$P$5:$P$1204,$Q55))</f>
        <v/>
      </c>
      <c r="M55" s="25" t="str">
        <f>IF($Q55="","",INDEX(TRANSACTIONS_MASTER!$AA$5:$AA$1204,$Q55))</f>
        <v/>
      </c>
      <c r="N55" s="25" t="str">
        <f>IF($Q55="","",INDEX(TRANSACTIONS_MASTER!$R$5:$R$1204,$Q55))</f>
        <v/>
      </c>
      <c r="O55" s="28" t="str">
        <f>IF($Q55="","",INDEX(TRANSACTIONS_MASTER!$AB$5:$AB$1204,$Q55))</f>
        <v/>
      </c>
      <c r="P55" s="55" t="str">
        <f>IF($Q55="","",INDEX(TRANSACTIONS_MASTER!$Z$5:$Z$1204,$Q55)&amp;"")</f>
        <v/>
      </c>
      <c r="Q55" s="67" t="str">
        <f>IFERROR(MATCH($C$2&amp;"|"&amp;48,TRANSACTIONS_MASTER!$AE$5:$AE$1204,0),"")</f>
        <v/>
      </c>
      <c r="S55" s="67" t="str">
        <f>IFERROR(MATCH(48,CASHBACK_RULES!$S$5:$S$304,0),"")</f>
        <v/>
      </c>
      <c r="T55" s="55" t="str">
        <f>IF($S55="","",INDEX(CASHBACK_RULES!$B$5:$B$304,$S55))</f>
        <v/>
      </c>
      <c r="U55" s="55" t="str">
        <f>IF($S55="","",INDEX(CASHBACK_RULES!$C$5:$C$304,$S55)&amp;" "&amp;INDEX(CASHBACK_RULES!$D$5:$D$304,$S55))</f>
        <v/>
      </c>
      <c r="V55" s="55" t="str">
        <f>IF($S55="","",INDEX(CASHBACK_RULES!$E$5:$E$304,$S55)&amp;"")</f>
        <v/>
      </c>
      <c r="W55" s="55" t="str">
        <f>IF($S55="","",INDEX(CASHBACK_RULES!$F$5:$F$304,$S55)&amp;"")</f>
        <v/>
      </c>
      <c r="X55" s="26" t="str">
        <f>IF($S55="","",SUMIFS(TRANSACTIONS_MASTER!$Q$5:$Q$1204,TRANSACTIONS_MASTER!$D$5:$D$1204,$T55,TRANSACTIONS_MASTER!$Z$5:$Z$1204,$V55,TRANSACTIONS_MASTER!$C$5:$C$1204,$C$2))</f>
        <v/>
      </c>
      <c r="Y55" s="25" t="str">
        <f>IF($S55="","",IF(ISNUMBER(INDEX(CASHBACK_RULES!$J$5:$J$304,$S55)),INDEX(CASHBACK_RULES!$J$5:$J$304,$S55),"∞"))</f>
        <v/>
      </c>
      <c r="Z55" s="25" t="str">
        <f>IF($S55="","",IF(ISNUMBER($Y55),MAX(0,$Y55-$X55),"∞"))</f>
        <v/>
      </c>
      <c r="AA55" s="27" t="str">
        <f>IF($S55="","",IF(ISNUMBER($Y55),IF($Y55=0,0,$X55/$Y55),""))</f>
        <v/>
      </c>
    </row>
    <row r="56" ht="20" customHeight="1">
      <c r="A56" s="81" t="str">
        <f>IF($Q56="","",49)</f>
        <v/>
      </c>
      <c r="B56" s="57" t="str">
        <f>IF($Q56="","",INDEX(TRANSACTIONS_MASTER!$B$5:$B$1204,$Q56))</f>
        <v/>
      </c>
      <c r="C56" s="55" t="str">
        <f>IF($Q56="","",INDEX(TRANSACTIONS_MASTER!$F$5:$F$1204,$Q56))</f>
        <v/>
      </c>
      <c r="D56" s="55" t="str">
        <f>IF($Q56="","",INDEX(TRANSACTIONS_MASTER!$E$5:$E$1204,$Q56))</f>
        <v/>
      </c>
      <c r="E56" s="55" t="str">
        <f>IF($Q56="","",INDEX(TRANSACTIONS_MASTER!$G$5:$G$1204,$Q56)&amp;"")</f>
        <v/>
      </c>
      <c r="F56" s="29" t="str">
        <f>IF($Q56="","",INDEX(TRANSACTIONS_MASTER!$I$5:$I$1204,$Q56))</f>
        <v/>
      </c>
      <c r="G56" s="55" t="str">
        <f>IF($Q56="","",INDEX(TRANSACTIONS_MASTER!$K$5:$K$1204,$Q56))</f>
        <v/>
      </c>
      <c r="H56" s="25" t="str">
        <f>IF($Q56="","",INDEX(TRANSACTIONS_MASTER!$L$5:$L$1204,$Q56))</f>
        <v/>
      </c>
      <c r="I56" s="56" t="str">
        <f>IF($Q56="","",INDEX(TRANSACTIONS_MASTER!$N$5:$N$1204,$Q56))</f>
        <v/>
      </c>
      <c r="J56" s="25" t="str">
        <f>IF($Q56="","",INDEX(TRANSACTIONS_MASTER!$O$5:$O$1204,$Q56))</f>
        <v/>
      </c>
      <c r="K56" s="26" t="str">
        <f>IF($Q56="","",INDEX(TRANSACTIONS_MASTER!$Q$5:$Q$1204,$Q56))</f>
        <v/>
      </c>
      <c r="L56" s="25" t="str">
        <f>IF($Q56="","",INDEX(TRANSACTIONS_MASTER!$P$5:$P$1204,$Q56))</f>
        <v/>
      </c>
      <c r="M56" s="25" t="str">
        <f>IF($Q56="","",INDEX(TRANSACTIONS_MASTER!$AA$5:$AA$1204,$Q56))</f>
        <v/>
      </c>
      <c r="N56" s="25" t="str">
        <f>IF($Q56="","",INDEX(TRANSACTIONS_MASTER!$R$5:$R$1204,$Q56))</f>
        <v/>
      </c>
      <c r="O56" s="28" t="str">
        <f>IF($Q56="","",INDEX(TRANSACTIONS_MASTER!$AB$5:$AB$1204,$Q56))</f>
        <v/>
      </c>
      <c r="P56" s="55" t="str">
        <f>IF($Q56="","",INDEX(TRANSACTIONS_MASTER!$Z$5:$Z$1204,$Q56)&amp;"")</f>
        <v/>
      </c>
      <c r="Q56" s="67" t="str">
        <f>IFERROR(MATCH($C$2&amp;"|"&amp;49,TRANSACTIONS_MASTER!$AE$5:$AE$1204,0),"")</f>
        <v/>
      </c>
      <c r="S56" s="67" t="str">
        <f>IFERROR(MATCH(49,CASHBACK_RULES!$S$5:$S$304,0),"")</f>
        <v/>
      </c>
      <c r="T56" s="55" t="str">
        <f>IF($S56="","",INDEX(CASHBACK_RULES!$B$5:$B$304,$S56))</f>
        <v/>
      </c>
      <c r="U56" s="55" t="str">
        <f>IF($S56="","",INDEX(CASHBACK_RULES!$C$5:$C$304,$S56)&amp;" "&amp;INDEX(CASHBACK_RULES!$D$5:$D$304,$S56))</f>
        <v/>
      </c>
      <c r="V56" s="55" t="str">
        <f>IF($S56="","",INDEX(CASHBACK_RULES!$E$5:$E$304,$S56)&amp;"")</f>
        <v/>
      </c>
      <c r="W56" s="55" t="str">
        <f>IF($S56="","",INDEX(CASHBACK_RULES!$F$5:$F$304,$S56)&amp;"")</f>
        <v/>
      </c>
      <c r="X56" s="26" t="str">
        <f>IF($S56="","",SUMIFS(TRANSACTIONS_MASTER!$Q$5:$Q$1204,TRANSACTIONS_MASTER!$D$5:$D$1204,$T56,TRANSACTIONS_MASTER!$Z$5:$Z$1204,$V56,TRANSACTIONS_MASTER!$C$5:$C$1204,$C$2))</f>
        <v/>
      </c>
      <c r="Y56" s="25" t="str">
        <f>IF($S56="","",IF(ISNUMBER(INDEX(CASHBACK_RULES!$J$5:$J$304,$S56)),INDEX(CASHBACK_RULES!$J$5:$J$304,$S56),"∞"))</f>
        <v/>
      </c>
      <c r="Z56" s="25" t="str">
        <f>IF($S56="","",IF(ISNUMBER($Y56),MAX(0,$Y56-$X56),"∞"))</f>
        <v/>
      </c>
      <c r="AA56" s="27" t="str">
        <f>IF($S56="","",IF(ISNUMBER($Y56),IF($Y56=0,0,$X56/$Y56),""))</f>
        <v/>
      </c>
    </row>
    <row r="57" ht="20" customHeight="1">
      <c r="A57" s="81" t="str">
        <f>IF($Q57="","",50)</f>
        <v/>
      </c>
      <c r="B57" s="57" t="str">
        <f>IF($Q57="","",INDEX(TRANSACTIONS_MASTER!$B$5:$B$1204,$Q57))</f>
        <v/>
      </c>
      <c r="C57" s="55" t="str">
        <f>IF($Q57="","",INDEX(TRANSACTIONS_MASTER!$F$5:$F$1204,$Q57))</f>
        <v/>
      </c>
      <c r="D57" s="55" t="str">
        <f>IF($Q57="","",INDEX(TRANSACTIONS_MASTER!$E$5:$E$1204,$Q57))</f>
        <v/>
      </c>
      <c r="E57" s="55" t="str">
        <f>IF($Q57="","",INDEX(TRANSACTIONS_MASTER!$G$5:$G$1204,$Q57)&amp;"")</f>
        <v/>
      </c>
      <c r="F57" s="29" t="str">
        <f>IF($Q57="","",INDEX(TRANSACTIONS_MASTER!$I$5:$I$1204,$Q57))</f>
        <v/>
      </c>
      <c r="G57" s="55" t="str">
        <f>IF($Q57="","",INDEX(TRANSACTIONS_MASTER!$K$5:$K$1204,$Q57))</f>
        <v/>
      </c>
      <c r="H57" s="25" t="str">
        <f>IF($Q57="","",INDEX(TRANSACTIONS_MASTER!$L$5:$L$1204,$Q57))</f>
        <v/>
      </c>
      <c r="I57" s="56" t="str">
        <f>IF($Q57="","",INDEX(TRANSACTIONS_MASTER!$N$5:$N$1204,$Q57))</f>
        <v/>
      </c>
      <c r="J57" s="25" t="str">
        <f>IF($Q57="","",INDEX(TRANSACTIONS_MASTER!$O$5:$O$1204,$Q57))</f>
        <v/>
      </c>
      <c r="K57" s="26" t="str">
        <f>IF($Q57="","",INDEX(TRANSACTIONS_MASTER!$Q$5:$Q$1204,$Q57))</f>
        <v/>
      </c>
      <c r="L57" s="25" t="str">
        <f>IF($Q57="","",INDEX(TRANSACTIONS_MASTER!$P$5:$P$1204,$Q57))</f>
        <v/>
      </c>
      <c r="M57" s="25" t="str">
        <f>IF($Q57="","",INDEX(TRANSACTIONS_MASTER!$AA$5:$AA$1204,$Q57))</f>
        <v/>
      </c>
      <c r="N57" s="25" t="str">
        <f>IF($Q57="","",INDEX(TRANSACTIONS_MASTER!$R$5:$R$1204,$Q57))</f>
        <v/>
      </c>
      <c r="O57" s="28" t="str">
        <f>IF($Q57="","",INDEX(TRANSACTIONS_MASTER!$AB$5:$AB$1204,$Q57))</f>
        <v/>
      </c>
      <c r="P57" s="55" t="str">
        <f>IF($Q57="","",INDEX(TRANSACTIONS_MASTER!$Z$5:$Z$1204,$Q57)&amp;"")</f>
        <v/>
      </c>
      <c r="Q57" s="67" t="str">
        <f>IFERROR(MATCH($C$2&amp;"|"&amp;50,TRANSACTIONS_MASTER!$AE$5:$AE$1204,0),"")</f>
        <v/>
      </c>
      <c r="S57" s="67" t="str">
        <f>IFERROR(MATCH(50,CASHBACK_RULES!$S$5:$S$304,0),"")</f>
        <v/>
      </c>
      <c r="T57" s="55" t="str">
        <f>IF($S57="","",INDEX(CASHBACK_RULES!$B$5:$B$304,$S57))</f>
        <v/>
      </c>
      <c r="U57" s="55" t="str">
        <f>IF($S57="","",INDEX(CASHBACK_RULES!$C$5:$C$304,$S57)&amp;" "&amp;INDEX(CASHBACK_RULES!$D$5:$D$304,$S57))</f>
        <v/>
      </c>
      <c r="V57" s="55" t="str">
        <f>IF($S57="","",INDEX(CASHBACK_RULES!$E$5:$E$304,$S57)&amp;"")</f>
        <v/>
      </c>
      <c r="W57" s="55" t="str">
        <f>IF($S57="","",INDEX(CASHBACK_RULES!$F$5:$F$304,$S57)&amp;"")</f>
        <v/>
      </c>
      <c r="X57" s="26" t="str">
        <f>IF($S57="","",SUMIFS(TRANSACTIONS_MASTER!$Q$5:$Q$1204,TRANSACTIONS_MASTER!$D$5:$D$1204,$T57,TRANSACTIONS_MASTER!$Z$5:$Z$1204,$V57,TRANSACTIONS_MASTER!$C$5:$C$1204,$C$2))</f>
        <v/>
      </c>
      <c r="Y57" s="25" t="str">
        <f>IF($S57="","",IF(ISNUMBER(INDEX(CASHBACK_RULES!$J$5:$J$304,$S57)),INDEX(CASHBACK_RULES!$J$5:$J$304,$S57),"∞"))</f>
        <v/>
      </c>
      <c r="Z57" s="25" t="str">
        <f>IF($S57="","",IF(ISNUMBER($Y57),MAX(0,$Y57-$X57),"∞"))</f>
        <v/>
      </c>
      <c r="AA57" s="27" t="str">
        <f>IF($S57="","",IF(ISNUMBER($Y57),IF($Y57=0,0,$X57/$Y57),""))</f>
        <v/>
      </c>
    </row>
    <row r="58">
      <c r="A58" s="81" t="str">
        <f>IF($Q58="","",51)</f>
        <v/>
      </c>
      <c r="B58" s="57" t="str">
        <f>IF($Q58="","",INDEX(TRANSACTIONS_MASTER!$B$5:$B$1204,$Q58))</f>
        <v/>
      </c>
      <c r="C58" s="55" t="str">
        <f>IF($Q58="","",INDEX(TRANSACTIONS_MASTER!$F$5:$F$1204,$Q58))</f>
        <v/>
      </c>
      <c r="D58" s="55" t="str">
        <f>IF($Q58="","",INDEX(TRANSACTIONS_MASTER!$E$5:$E$1204,$Q58))</f>
        <v/>
      </c>
      <c r="E58" s="55" t="str">
        <f>IF($Q58="","",INDEX(TRANSACTIONS_MASTER!$G$5:$G$1204,$Q58)&amp;"")</f>
        <v/>
      </c>
      <c r="F58" s="29" t="str">
        <f>IF($Q58="","",INDEX(TRANSACTIONS_MASTER!$I$5:$I$1204,$Q58))</f>
        <v/>
      </c>
      <c r="G58" s="55" t="str">
        <f>IF($Q58="","",INDEX(TRANSACTIONS_MASTER!$K$5:$K$1204,$Q58))</f>
        <v/>
      </c>
      <c r="H58" s="25" t="str">
        <f>IF($Q58="","",INDEX(TRANSACTIONS_MASTER!$L$5:$L$1204,$Q58))</f>
        <v/>
      </c>
      <c r="I58" s="56" t="str">
        <f>IF($Q58="","",INDEX(TRANSACTIONS_MASTER!$N$5:$N$1204,$Q58))</f>
        <v/>
      </c>
      <c r="J58" s="25" t="str">
        <f>IF($Q58="","",INDEX(TRANSACTIONS_MASTER!$O$5:$O$1204,$Q58))</f>
        <v/>
      </c>
      <c r="K58" s="26" t="str">
        <f>IF($Q58="","",INDEX(TRANSACTIONS_MASTER!$Q$5:$Q$1204,$Q58))</f>
        <v/>
      </c>
      <c r="L58" s="25" t="str">
        <f>IF($Q58="","",INDEX(TRANSACTIONS_MASTER!$P$5:$P$1204,$Q58))</f>
        <v/>
      </c>
      <c r="M58" s="25" t="str">
        <f>IF($Q58="","",INDEX(TRANSACTIONS_MASTER!$AA$5:$AA$1204,$Q58))</f>
        <v/>
      </c>
      <c r="N58" s="25" t="str">
        <f>IF($Q58="","",INDEX(TRANSACTIONS_MASTER!$R$5:$R$1204,$Q58))</f>
        <v/>
      </c>
      <c r="O58" s="28" t="str">
        <f>IF($Q58="","",INDEX(TRANSACTIONS_MASTER!$AB$5:$AB$1204,$Q58))</f>
        <v/>
      </c>
      <c r="P58" s="55" t="str">
        <f>IF($Q58="","",INDEX(TRANSACTIONS_MASTER!$Z$5:$Z$1204,$Q58)&amp;"")</f>
        <v/>
      </c>
      <c r="Q58" s="67" t="str">
        <f>IFERROR(MATCH($C$2&amp;"|"&amp;51,TRANSACTIONS_MASTER!$AE$5:$AE$1204,0),"")</f>
        <v/>
      </c>
    </row>
    <row r="59">
      <c r="A59" s="81" t="str">
        <f>IF($Q59="","",52)</f>
        <v/>
      </c>
      <c r="B59" s="57" t="str">
        <f>IF($Q59="","",INDEX(TRANSACTIONS_MASTER!$B$5:$B$1204,$Q59))</f>
        <v/>
      </c>
      <c r="C59" s="55" t="str">
        <f>IF($Q59="","",INDEX(TRANSACTIONS_MASTER!$F$5:$F$1204,$Q59))</f>
        <v/>
      </c>
      <c r="D59" s="55" t="str">
        <f>IF($Q59="","",INDEX(TRANSACTIONS_MASTER!$E$5:$E$1204,$Q59))</f>
        <v/>
      </c>
      <c r="E59" s="55" t="str">
        <f>IF($Q59="","",INDEX(TRANSACTIONS_MASTER!$G$5:$G$1204,$Q59)&amp;"")</f>
        <v/>
      </c>
      <c r="F59" s="29" t="str">
        <f>IF($Q59="","",INDEX(TRANSACTIONS_MASTER!$I$5:$I$1204,$Q59))</f>
        <v/>
      </c>
      <c r="G59" s="55" t="str">
        <f>IF($Q59="","",INDEX(TRANSACTIONS_MASTER!$K$5:$K$1204,$Q59))</f>
        <v/>
      </c>
      <c r="H59" s="25" t="str">
        <f>IF($Q59="","",INDEX(TRANSACTIONS_MASTER!$L$5:$L$1204,$Q59))</f>
        <v/>
      </c>
      <c r="I59" s="56" t="str">
        <f>IF($Q59="","",INDEX(TRANSACTIONS_MASTER!$N$5:$N$1204,$Q59))</f>
        <v/>
      </c>
      <c r="J59" s="25" t="str">
        <f>IF($Q59="","",INDEX(TRANSACTIONS_MASTER!$O$5:$O$1204,$Q59))</f>
        <v/>
      </c>
      <c r="K59" s="26" t="str">
        <f>IF($Q59="","",INDEX(TRANSACTIONS_MASTER!$Q$5:$Q$1204,$Q59))</f>
        <v/>
      </c>
      <c r="L59" s="25" t="str">
        <f>IF($Q59="","",INDEX(TRANSACTIONS_MASTER!$P$5:$P$1204,$Q59))</f>
        <v/>
      </c>
      <c r="M59" s="25" t="str">
        <f>IF($Q59="","",INDEX(TRANSACTIONS_MASTER!$AA$5:$AA$1204,$Q59))</f>
        <v/>
      </c>
      <c r="N59" s="25" t="str">
        <f>IF($Q59="","",INDEX(TRANSACTIONS_MASTER!$R$5:$R$1204,$Q59))</f>
        <v/>
      </c>
      <c r="O59" s="28" t="str">
        <f>IF($Q59="","",INDEX(TRANSACTIONS_MASTER!$AB$5:$AB$1204,$Q59))</f>
        <v/>
      </c>
      <c r="P59" s="55" t="str">
        <f>IF($Q59="","",INDEX(TRANSACTIONS_MASTER!$Z$5:$Z$1204,$Q59)&amp;"")</f>
        <v/>
      </c>
      <c r="Q59" s="67" t="str">
        <f>IFERROR(MATCH($C$2&amp;"|"&amp;52,TRANSACTIONS_MASTER!$AE$5:$AE$1204,0),"")</f>
        <v/>
      </c>
    </row>
    <row r="60" ht="22" customHeight="1">
      <c r="A60" s="81" t="str">
        <f>IF($Q60="","",53)</f>
        <v/>
      </c>
      <c r="B60" s="57" t="str">
        <f>IF($Q60="","",INDEX(TRANSACTIONS_MASTER!$B$5:$B$1204,$Q60))</f>
        <v/>
      </c>
      <c r="C60" s="55" t="str">
        <f>IF($Q60="","",INDEX(TRANSACTIONS_MASTER!$F$5:$F$1204,$Q60))</f>
        <v/>
      </c>
      <c r="D60" s="55" t="str">
        <f>IF($Q60="","",INDEX(TRANSACTIONS_MASTER!$E$5:$E$1204,$Q60))</f>
        <v/>
      </c>
      <c r="E60" s="55" t="str">
        <f>IF($Q60="","",INDEX(TRANSACTIONS_MASTER!$G$5:$G$1204,$Q60)&amp;"")</f>
        <v/>
      </c>
      <c r="F60" s="29" t="str">
        <f>IF($Q60="","",INDEX(TRANSACTIONS_MASTER!$I$5:$I$1204,$Q60))</f>
        <v/>
      </c>
      <c r="G60" s="55" t="str">
        <f>IF($Q60="","",INDEX(TRANSACTIONS_MASTER!$K$5:$K$1204,$Q60))</f>
        <v/>
      </c>
      <c r="H60" s="25" t="str">
        <f>IF($Q60="","",INDEX(TRANSACTIONS_MASTER!$L$5:$L$1204,$Q60))</f>
        <v/>
      </c>
      <c r="I60" s="56" t="str">
        <f>IF($Q60="","",INDEX(TRANSACTIONS_MASTER!$N$5:$N$1204,$Q60))</f>
        <v/>
      </c>
      <c r="J60" s="25" t="str">
        <f>IF($Q60="","",INDEX(TRANSACTIONS_MASTER!$O$5:$O$1204,$Q60))</f>
        <v/>
      </c>
      <c r="K60" s="26" t="str">
        <f>IF($Q60="","",INDEX(TRANSACTIONS_MASTER!$Q$5:$Q$1204,$Q60))</f>
        <v/>
      </c>
      <c r="L60" s="25" t="str">
        <f>IF($Q60="","",INDEX(TRANSACTIONS_MASTER!$P$5:$P$1204,$Q60))</f>
        <v/>
      </c>
      <c r="M60" s="25" t="str">
        <f>IF($Q60="","",INDEX(TRANSACTIONS_MASTER!$AA$5:$AA$1204,$Q60))</f>
        <v/>
      </c>
      <c r="N60" s="25" t="str">
        <f>IF($Q60="","",INDEX(TRANSACTIONS_MASTER!$R$5:$R$1204,$Q60))</f>
        <v/>
      </c>
      <c r="O60" s="28" t="str">
        <f>IF($Q60="","",INDEX(TRANSACTIONS_MASTER!$AB$5:$AB$1204,$Q60))</f>
        <v/>
      </c>
      <c r="P60" s="55" t="str">
        <f>IF($Q60="","",INDEX(TRANSACTIONS_MASTER!$Z$5:$Z$1204,$Q60)&amp;"")</f>
        <v/>
      </c>
      <c r="Q60" s="67" t="str">
        <f>IFERROR(MATCH($C$2&amp;"|"&amp;53,TRANSACTIONS_MASTER!$AE$5:$AE$1204,0),"")</f>
        <v/>
      </c>
      <c r="T60" s="19" t="inlineStr">
        <is>
          <t>TỔNG THEO THẺ — chi tiêu · cashback · cap thẻ / tháng</t>
        </is>
      </c>
      <c r="U60" s="20" t="n"/>
      <c r="V60" s="20" t="n"/>
      <c r="W60" s="20" t="n"/>
      <c r="X60" s="20" t="n"/>
      <c r="Y60" s="20" t="n"/>
      <c r="Z60" s="20" t="n"/>
      <c r="AA60" s="20" t="n"/>
    </row>
    <row r="61" ht="30" customHeight="1">
      <c r="A61" s="81" t="str">
        <f>IF($Q61="","",54)</f>
        <v/>
      </c>
      <c r="B61" s="57" t="str">
        <f>IF($Q61="","",INDEX(TRANSACTIONS_MASTER!$B$5:$B$1204,$Q61))</f>
        <v/>
      </c>
      <c r="C61" s="55" t="str">
        <f>IF($Q61="","",INDEX(TRANSACTIONS_MASTER!$F$5:$F$1204,$Q61))</f>
        <v/>
      </c>
      <c r="D61" s="55" t="str">
        <f>IF($Q61="","",INDEX(TRANSACTIONS_MASTER!$E$5:$E$1204,$Q61))</f>
        <v/>
      </c>
      <c r="E61" s="55" t="str">
        <f>IF($Q61="","",INDEX(TRANSACTIONS_MASTER!$G$5:$G$1204,$Q61)&amp;"")</f>
        <v/>
      </c>
      <c r="F61" s="29" t="str">
        <f>IF($Q61="","",INDEX(TRANSACTIONS_MASTER!$I$5:$I$1204,$Q61))</f>
        <v/>
      </c>
      <c r="G61" s="55" t="str">
        <f>IF($Q61="","",INDEX(TRANSACTIONS_MASTER!$K$5:$K$1204,$Q61))</f>
        <v/>
      </c>
      <c r="H61" s="25" t="str">
        <f>IF($Q61="","",INDEX(TRANSACTIONS_MASTER!$L$5:$L$1204,$Q61))</f>
        <v/>
      </c>
      <c r="I61" s="56" t="str">
        <f>IF($Q61="","",INDEX(TRANSACTIONS_MASTER!$N$5:$N$1204,$Q61))</f>
        <v/>
      </c>
      <c r="J61" s="25" t="str">
        <f>IF($Q61="","",INDEX(TRANSACTIONS_MASTER!$O$5:$O$1204,$Q61))</f>
        <v/>
      </c>
      <c r="K61" s="26" t="str">
        <f>IF($Q61="","",INDEX(TRANSACTIONS_MASTER!$Q$5:$Q$1204,$Q61))</f>
        <v/>
      </c>
      <c r="L61" s="25" t="str">
        <f>IF($Q61="","",INDEX(TRANSACTIONS_MASTER!$P$5:$P$1204,$Q61))</f>
        <v/>
      </c>
      <c r="M61" s="25" t="str">
        <f>IF($Q61="","",INDEX(TRANSACTIONS_MASTER!$AA$5:$AA$1204,$Q61))</f>
        <v/>
      </c>
      <c r="N61" s="25" t="str">
        <f>IF($Q61="","",INDEX(TRANSACTIONS_MASTER!$R$5:$R$1204,$Q61))</f>
        <v/>
      </c>
      <c r="O61" s="28" t="str">
        <f>IF($Q61="","",INDEX(TRANSACTIONS_MASTER!$AB$5:$AB$1204,$Q61))</f>
        <v/>
      </c>
      <c r="P61" s="55" t="str">
        <f>IF($Q61="","",INDEX(TRANSACTIONS_MASTER!$Z$5:$Z$1204,$Q61)&amp;"")</f>
        <v/>
      </c>
      <c r="Q61" s="67" t="str">
        <f>IFERROR(MATCH($C$2&amp;"|"&amp;54,TRANSACTIONS_MASTER!$AE$5:$AE$1204,0),"")</f>
        <v/>
      </c>
      <c r="S61" s="21" t="inlineStr">
        <is>
          <t>#</t>
        </is>
      </c>
      <c r="T61" s="21" t="inlineStr">
        <is>
          <t>Card ID</t>
        </is>
      </c>
      <c r="U61" s="21" t="inlineStr">
        <is>
          <t>Thẻ</t>
        </is>
      </c>
      <c r="V61" s="21" t="inlineStr">
        <is>
          <t>Chi tiêu</t>
        </is>
      </c>
      <c r="W61" s="21" t="inlineStr">
        <is>
          <t>Cashback</t>
        </is>
      </c>
      <c r="X61" s="21" t="inlineStr">
        <is>
          <t>Cap thẻ / tháng</t>
        </is>
      </c>
      <c r="Y61" s="21" t="inlineStr">
        <is>
          <t>Còn lại (tối đa)</t>
        </is>
      </c>
      <c r="Z61" s="21" t="inlineStr">
        <is>
          <t>Progress</t>
        </is>
      </c>
      <c r="AA61" s="21" t="inlineStr">
        <is>
          <t>Số GD</t>
        </is>
      </c>
    </row>
    <row r="62">
      <c r="A62" s="81" t="str">
        <f>IF($Q62="","",55)</f>
        <v/>
      </c>
      <c r="B62" s="57" t="str">
        <f>IF($Q62="","",INDEX(TRANSACTIONS_MASTER!$B$5:$B$1204,$Q62))</f>
        <v/>
      </c>
      <c r="C62" s="55" t="str">
        <f>IF($Q62="","",INDEX(TRANSACTIONS_MASTER!$F$5:$F$1204,$Q62))</f>
        <v/>
      </c>
      <c r="D62" s="55" t="str">
        <f>IF($Q62="","",INDEX(TRANSACTIONS_MASTER!$E$5:$E$1204,$Q62))</f>
        <v/>
      </c>
      <c r="E62" s="55" t="str">
        <f>IF($Q62="","",INDEX(TRANSACTIONS_MASTER!$G$5:$G$1204,$Q62)&amp;"")</f>
        <v/>
      </c>
      <c r="F62" s="29" t="str">
        <f>IF($Q62="","",INDEX(TRANSACTIONS_MASTER!$I$5:$I$1204,$Q62))</f>
        <v/>
      </c>
      <c r="G62" s="55" t="str">
        <f>IF($Q62="","",INDEX(TRANSACTIONS_MASTER!$K$5:$K$1204,$Q62))</f>
        <v/>
      </c>
      <c r="H62" s="25" t="str">
        <f>IF($Q62="","",INDEX(TRANSACTIONS_MASTER!$L$5:$L$1204,$Q62))</f>
        <v/>
      </c>
      <c r="I62" s="56" t="str">
        <f>IF($Q62="","",INDEX(TRANSACTIONS_MASTER!$N$5:$N$1204,$Q62))</f>
        <v/>
      </c>
      <c r="J62" s="25" t="str">
        <f>IF($Q62="","",INDEX(TRANSACTIONS_MASTER!$O$5:$O$1204,$Q62))</f>
        <v/>
      </c>
      <c r="K62" s="26" t="str">
        <f>IF($Q62="","",INDEX(TRANSACTIONS_MASTER!$Q$5:$Q$1204,$Q62))</f>
        <v/>
      </c>
      <c r="L62" s="25" t="str">
        <f>IF($Q62="","",INDEX(TRANSACTIONS_MASTER!$P$5:$P$1204,$Q62))</f>
        <v/>
      </c>
      <c r="M62" s="25" t="str">
        <f>IF($Q62="","",INDEX(TRANSACTIONS_MASTER!$AA$5:$AA$1204,$Q62))</f>
        <v/>
      </c>
      <c r="N62" s="25" t="str">
        <f>IF($Q62="","",INDEX(TRANSACTIONS_MASTER!$R$5:$R$1204,$Q62))</f>
        <v/>
      </c>
      <c r="O62" s="28" t="str">
        <f>IF($Q62="","",INDEX(TRANSACTIONS_MASTER!$AB$5:$AB$1204,$Q62))</f>
        <v/>
      </c>
      <c r="P62" s="55" t="str">
        <f>IF($Q62="","",INDEX(TRANSACTIONS_MASTER!$Z$5:$Z$1204,$Q62)&amp;"")</f>
        <v/>
      </c>
      <c r="Q62" s="67" t="str">
        <f>IFERROR(MATCH($C$2&amp;"|"&amp;55,TRANSACTIONS_MASTER!$AE$5:$AE$1204,0),"")</f>
        <v/>
      </c>
      <c r="S62" s="67" t="n">
        <v>1</v>
      </c>
      <c r="T62" s="55" t="str">
        <f>IF(CARDS!$A5="","",CARDS!$A5)</f>
        <v>VPB-JCBZ</v>
      </c>
      <c r="U62" s="55" t="str">
        <f>IF($T62="","",CARDS!$B5&amp;" "&amp;CARDS!$C5)</f>
        <v>VPBank JCB Z Card</v>
      </c>
      <c r="V62" s="25">
        <f>IF($T62="","",SUMIFS(TRANSACTIONS_MASTER!$L$5:$L$1204,TRANSACTIONS_MASTER!$D$5:$D$1204,$T62,TRANSACTIONS_MASTER!$C$5:$C$1204,$C$2,TRANSACTIONS_MASTER!$U$5:$U$1204,"&lt;&gt;Cancelled"))</f>
        <v>0</v>
      </c>
      <c r="W62" s="26">
        <f>IF($T62="","",SUMIFS(TRANSACTIONS_MASTER!$Q$5:$Q$1204,TRANSACTIONS_MASTER!$D$5:$D$1204,$T62,TRANSACTIONS_MASTER!$C$5:$C$1204,$C$2))</f>
        <v>0</v>
      </c>
      <c r="X62" s="25">
        <f>IF($T62="","",IFERROR(IF(ISNUMBER(INDEX(CASHBACK_RULES!$K$5:$K$304,MATCH($T62,CASHBACK_RULES!$B$5:$B$304,0))),INDEX(CASHBACK_RULES!$K$5:$K$304,MATCH($T62,CASHBACK_RULES!$B$5:$B$304,0)),"∞"),"—"))</f>
        <v>1000000</v>
      </c>
      <c r="Y62" s="25">
        <f>IF($T62="","",IF($X62="—","—",IF(COUNTIFS($T$8:$T$57,$T62,$Z$8:$Z$57,"∞")&gt;0,IF(ISNUMBER($X62),MAX(0,$X62-$W62),"∞"),IF(ISNUMBER($X62),MAX(0,MIN($X62-$W62,SUMIFS($Z$8:$Z$57,$T$8:$T$57,$T62))),SUMIFS($Z$8:$Z$57,$T$8:$T$57,$T62)))))</f>
        <v>1000000</v>
      </c>
      <c r="Z62" s="27">
        <f>IF($T62="","",IF(ISNUMBER($X62),IF($X62=0,0,$W62/$X62),IF(ISNUMBER($Y62),IF($W62+$Y62=0,0,$W62/($W62+$Y62)),"")))</f>
        <v>0</v>
      </c>
      <c r="AA62" s="29">
        <f>IF($T62="","",COUNTIFS(TRANSACTIONS_MASTER!$D$5:$D$1204,$T62,TRANSACTIONS_MASTER!$C$5:$C$1204,$C$2,TRANSACTIONS_MASTER!$U$5:$U$1204,"&lt;&gt;Cancelled"))</f>
        <v>0</v>
      </c>
    </row>
    <row r="63">
      <c r="A63" s="81" t="str">
        <f>IF($Q63="","",56)</f>
        <v/>
      </c>
      <c r="B63" s="57" t="str">
        <f>IF($Q63="","",INDEX(TRANSACTIONS_MASTER!$B$5:$B$1204,$Q63))</f>
        <v/>
      </c>
      <c r="C63" s="55" t="str">
        <f>IF($Q63="","",INDEX(TRANSACTIONS_MASTER!$F$5:$F$1204,$Q63))</f>
        <v/>
      </c>
      <c r="D63" s="55" t="str">
        <f>IF($Q63="","",INDEX(TRANSACTIONS_MASTER!$E$5:$E$1204,$Q63))</f>
        <v/>
      </c>
      <c r="E63" s="55" t="str">
        <f>IF($Q63="","",INDEX(TRANSACTIONS_MASTER!$G$5:$G$1204,$Q63)&amp;"")</f>
        <v/>
      </c>
      <c r="F63" s="29" t="str">
        <f>IF($Q63="","",INDEX(TRANSACTIONS_MASTER!$I$5:$I$1204,$Q63))</f>
        <v/>
      </c>
      <c r="G63" s="55" t="str">
        <f>IF($Q63="","",INDEX(TRANSACTIONS_MASTER!$K$5:$K$1204,$Q63))</f>
        <v/>
      </c>
      <c r="H63" s="25" t="str">
        <f>IF($Q63="","",INDEX(TRANSACTIONS_MASTER!$L$5:$L$1204,$Q63))</f>
        <v/>
      </c>
      <c r="I63" s="56" t="str">
        <f>IF($Q63="","",INDEX(TRANSACTIONS_MASTER!$N$5:$N$1204,$Q63))</f>
        <v/>
      </c>
      <c r="J63" s="25" t="str">
        <f>IF($Q63="","",INDEX(TRANSACTIONS_MASTER!$O$5:$O$1204,$Q63))</f>
        <v/>
      </c>
      <c r="K63" s="26" t="str">
        <f>IF($Q63="","",INDEX(TRANSACTIONS_MASTER!$Q$5:$Q$1204,$Q63))</f>
        <v/>
      </c>
      <c r="L63" s="25" t="str">
        <f>IF($Q63="","",INDEX(TRANSACTIONS_MASTER!$P$5:$P$1204,$Q63))</f>
        <v/>
      </c>
      <c r="M63" s="25" t="str">
        <f>IF($Q63="","",INDEX(TRANSACTIONS_MASTER!$AA$5:$AA$1204,$Q63))</f>
        <v/>
      </c>
      <c r="N63" s="25" t="str">
        <f>IF($Q63="","",INDEX(TRANSACTIONS_MASTER!$R$5:$R$1204,$Q63))</f>
        <v/>
      </c>
      <c r="O63" s="28" t="str">
        <f>IF($Q63="","",INDEX(TRANSACTIONS_MASTER!$AB$5:$AB$1204,$Q63))</f>
        <v/>
      </c>
      <c r="P63" s="55" t="str">
        <f>IF($Q63="","",INDEX(TRANSACTIONS_MASTER!$Z$5:$Z$1204,$Q63)&amp;"")</f>
        <v/>
      </c>
      <c r="Q63" s="67" t="str">
        <f>IFERROR(MATCH($C$2&amp;"|"&amp;56,TRANSACTIONS_MASTER!$AE$5:$AE$1204,0),"")</f>
        <v/>
      </c>
      <c r="S63" s="67" t="n">
        <v>2</v>
      </c>
      <c r="T63" s="55" t="str">
        <f>IF(CARDS!$A6="","",CARDS!$A6)</f>
        <v>VIB-A</v>
      </c>
      <c r="U63" s="55" t="str">
        <f>IF($T63="","",CARDS!$B6&amp;" "&amp;CARDS!$C6)</f>
        <v>VIB Cashback Demo A</v>
      </c>
      <c r="V63" s="25">
        <f>IF($T63="","",SUMIFS(TRANSACTIONS_MASTER!$L$5:$L$1204,TRANSACTIONS_MASTER!$D$5:$D$1204,$T63,TRANSACTIONS_MASTER!$C$5:$C$1204,$C$2,TRANSACTIONS_MASTER!$U$5:$U$1204,"&lt;&gt;Cancelled"))</f>
        <v>0</v>
      </c>
      <c r="W63" s="26">
        <f>IF($T63="","",SUMIFS(TRANSACTIONS_MASTER!$Q$5:$Q$1204,TRANSACTIONS_MASTER!$D$5:$D$1204,$T63,TRANSACTIONS_MASTER!$C$5:$C$1204,$C$2))</f>
        <v>0</v>
      </c>
      <c r="X63" s="25">
        <f>IF($T63="","",IFERROR(IF(ISNUMBER(INDEX(CASHBACK_RULES!$K$5:$K$304,MATCH($T63,CASHBACK_RULES!$B$5:$B$304,0))),INDEX(CASHBACK_RULES!$K$5:$K$304,MATCH($T63,CASHBACK_RULES!$B$5:$B$304,0)),"∞"),"—"))</f>
        <v>1000000</v>
      </c>
      <c r="Y63" s="25">
        <f>IF($T63="","",IF($X63="—","—",IF(COUNTIFS($T$8:$T$57,$T63,$Z$8:$Z$57,"∞")&gt;0,IF(ISNUMBER($X63),MAX(0,$X63-$W63),"∞"),IF(ISNUMBER($X63),MAX(0,MIN($X63-$W63,SUMIFS($Z$8:$Z$57,$T$8:$T$57,$T63))),SUMIFS($Z$8:$Z$57,$T$8:$T$57,$T63)))))</f>
        <v>1000000</v>
      </c>
      <c r="Z63" s="27">
        <f>IF($T63="","",IF(ISNUMBER($X63),IF($X63=0,0,$W63/$X63),IF(ISNUMBER($Y63),IF($W63+$Y63=0,0,$W63/($W63+$Y63)),"")))</f>
        <v>0</v>
      </c>
      <c r="AA63" s="29">
        <f>IF($T63="","",COUNTIFS(TRANSACTIONS_MASTER!$D$5:$D$1204,$T63,TRANSACTIONS_MASTER!$C$5:$C$1204,$C$2,TRANSACTIONS_MASTER!$U$5:$U$1204,"&lt;&gt;Cancelled"))</f>
        <v>0</v>
      </c>
    </row>
    <row r="64">
      <c r="A64" s="81" t="str">
        <f>IF($Q64="","",57)</f>
        <v/>
      </c>
      <c r="B64" s="57" t="str">
        <f>IF($Q64="","",INDEX(TRANSACTIONS_MASTER!$B$5:$B$1204,$Q64))</f>
        <v/>
      </c>
      <c r="C64" s="55" t="str">
        <f>IF($Q64="","",INDEX(TRANSACTIONS_MASTER!$F$5:$F$1204,$Q64))</f>
        <v/>
      </c>
      <c r="D64" s="55" t="str">
        <f>IF($Q64="","",INDEX(TRANSACTIONS_MASTER!$E$5:$E$1204,$Q64))</f>
        <v/>
      </c>
      <c r="E64" s="55" t="str">
        <f>IF($Q64="","",INDEX(TRANSACTIONS_MASTER!$G$5:$G$1204,$Q64)&amp;"")</f>
        <v/>
      </c>
      <c r="F64" s="29" t="str">
        <f>IF($Q64="","",INDEX(TRANSACTIONS_MASTER!$I$5:$I$1204,$Q64))</f>
        <v/>
      </c>
      <c r="G64" s="55" t="str">
        <f>IF($Q64="","",INDEX(TRANSACTIONS_MASTER!$K$5:$K$1204,$Q64))</f>
        <v/>
      </c>
      <c r="H64" s="25" t="str">
        <f>IF($Q64="","",INDEX(TRANSACTIONS_MASTER!$L$5:$L$1204,$Q64))</f>
        <v/>
      </c>
      <c r="I64" s="56" t="str">
        <f>IF($Q64="","",INDEX(TRANSACTIONS_MASTER!$N$5:$N$1204,$Q64))</f>
        <v/>
      </c>
      <c r="J64" s="25" t="str">
        <f>IF($Q64="","",INDEX(TRANSACTIONS_MASTER!$O$5:$O$1204,$Q64))</f>
        <v/>
      </c>
      <c r="K64" s="26" t="str">
        <f>IF($Q64="","",INDEX(TRANSACTIONS_MASTER!$Q$5:$Q$1204,$Q64))</f>
        <v/>
      </c>
      <c r="L64" s="25" t="str">
        <f>IF($Q64="","",INDEX(TRANSACTIONS_MASTER!$P$5:$P$1204,$Q64))</f>
        <v/>
      </c>
      <c r="M64" s="25" t="str">
        <f>IF($Q64="","",INDEX(TRANSACTIONS_MASTER!$AA$5:$AA$1204,$Q64))</f>
        <v/>
      </c>
      <c r="N64" s="25" t="str">
        <f>IF($Q64="","",INDEX(TRANSACTIONS_MASTER!$R$5:$R$1204,$Q64))</f>
        <v/>
      </c>
      <c r="O64" s="28" t="str">
        <f>IF($Q64="","",INDEX(TRANSACTIONS_MASTER!$AB$5:$AB$1204,$Q64))</f>
        <v/>
      </c>
      <c r="P64" s="55" t="str">
        <f>IF($Q64="","",INDEX(TRANSACTIONS_MASTER!$Z$5:$Z$1204,$Q64)&amp;"")</f>
        <v/>
      </c>
      <c r="Q64" s="67" t="str">
        <f>IFERROR(MATCH($C$2&amp;"|"&amp;57,TRANSACTIONS_MASTER!$AE$5:$AE$1204,0),"")</f>
        <v/>
      </c>
      <c r="S64" s="67" t="n">
        <v>3</v>
      </c>
      <c r="T64" s="55" t="str">
        <f>IF(CARDS!$A7="","",CARDS!$A7)</f>
        <v>TCB-B</v>
      </c>
      <c r="U64" s="55" t="str">
        <f>IF($T64="","",CARDS!$B7&amp;" "&amp;CARDS!$C7)</f>
        <v>Techcombank Cashback Demo B</v>
      </c>
      <c r="V64" s="25">
        <f>IF($T64="","",SUMIFS(TRANSACTIONS_MASTER!$L$5:$L$1204,TRANSACTIONS_MASTER!$D$5:$D$1204,$T64,TRANSACTIONS_MASTER!$C$5:$C$1204,$C$2,TRANSACTIONS_MASTER!$U$5:$U$1204,"&lt;&gt;Cancelled"))</f>
        <v>0</v>
      </c>
      <c r="W64" s="26">
        <f>IF($T64="","",SUMIFS(TRANSACTIONS_MASTER!$Q$5:$Q$1204,TRANSACTIONS_MASTER!$D$5:$D$1204,$T64,TRANSACTIONS_MASTER!$C$5:$C$1204,$C$2))</f>
        <v>0</v>
      </c>
      <c r="X64" s="25">
        <f>IF($T64="","",IFERROR(IF(ISNUMBER(INDEX(CASHBACK_RULES!$K$5:$K$304,MATCH($T64,CASHBACK_RULES!$B$5:$B$304,0))),INDEX(CASHBACK_RULES!$K$5:$K$304,MATCH($T64,CASHBACK_RULES!$B$5:$B$304,0)),"∞"),"—"))</f>
        <v>2000000</v>
      </c>
      <c r="Y64" s="25">
        <f>IF($T64="","",IF($X64="—","—",IF(COUNTIFS($T$8:$T$57,$T64,$Z$8:$Z$57,"∞")&gt;0,IF(ISNUMBER($X64),MAX(0,$X64-$W64),"∞"),IF(ISNUMBER($X64),MAX(0,MIN($X64-$W64,SUMIFS($Z$8:$Z$57,$T$8:$T$57,$T64))),SUMIFS($Z$8:$Z$57,$T$8:$T$57,$T64)))))</f>
        <v>900000</v>
      </c>
      <c r="Z64" s="27">
        <f>IF($T64="","",IF(ISNUMBER($X64),IF($X64=0,0,$W64/$X64),IF(ISNUMBER($Y64),IF($W64+$Y64=0,0,$W64/($W64+$Y64)),"")))</f>
        <v>0</v>
      </c>
      <c r="AA64" s="29">
        <f>IF($T64="","",COUNTIFS(TRANSACTIONS_MASTER!$D$5:$D$1204,$T64,TRANSACTIONS_MASTER!$C$5:$C$1204,$C$2,TRANSACTIONS_MASTER!$U$5:$U$1204,"&lt;&gt;Cancelled"))</f>
        <v>0</v>
      </c>
    </row>
    <row r="65">
      <c r="A65" s="81" t="str">
        <f>IF($Q65="","",58)</f>
        <v/>
      </c>
      <c r="B65" s="57" t="str">
        <f>IF($Q65="","",INDEX(TRANSACTIONS_MASTER!$B$5:$B$1204,$Q65))</f>
        <v/>
      </c>
      <c r="C65" s="55" t="str">
        <f>IF($Q65="","",INDEX(TRANSACTIONS_MASTER!$F$5:$F$1204,$Q65))</f>
        <v/>
      </c>
      <c r="D65" s="55" t="str">
        <f>IF($Q65="","",INDEX(TRANSACTIONS_MASTER!$E$5:$E$1204,$Q65))</f>
        <v/>
      </c>
      <c r="E65" s="55" t="str">
        <f>IF($Q65="","",INDEX(TRANSACTIONS_MASTER!$G$5:$G$1204,$Q65)&amp;"")</f>
        <v/>
      </c>
      <c r="F65" s="29" t="str">
        <f>IF($Q65="","",INDEX(TRANSACTIONS_MASTER!$I$5:$I$1204,$Q65))</f>
        <v/>
      </c>
      <c r="G65" s="55" t="str">
        <f>IF($Q65="","",INDEX(TRANSACTIONS_MASTER!$K$5:$K$1204,$Q65))</f>
        <v/>
      </c>
      <c r="H65" s="25" t="str">
        <f>IF($Q65="","",INDEX(TRANSACTIONS_MASTER!$L$5:$L$1204,$Q65))</f>
        <v/>
      </c>
      <c r="I65" s="56" t="str">
        <f>IF($Q65="","",INDEX(TRANSACTIONS_MASTER!$N$5:$N$1204,$Q65))</f>
        <v/>
      </c>
      <c r="J65" s="25" t="str">
        <f>IF($Q65="","",INDEX(TRANSACTIONS_MASTER!$O$5:$O$1204,$Q65))</f>
        <v/>
      </c>
      <c r="K65" s="26" t="str">
        <f>IF($Q65="","",INDEX(TRANSACTIONS_MASTER!$Q$5:$Q$1204,$Q65))</f>
        <v/>
      </c>
      <c r="L65" s="25" t="str">
        <f>IF($Q65="","",INDEX(TRANSACTIONS_MASTER!$P$5:$P$1204,$Q65))</f>
        <v/>
      </c>
      <c r="M65" s="25" t="str">
        <f>IF($Q65="","",INDEX(TRANSACTIONS_MASTER!$AA$5:$AA$1204,$Q65))</f>
        <v/>
      </c>
      <c r="N65" s="25" t="str">
        <f>IF($Q65="","",INDEX(TRANSACTIONS_MASTER!$R$5:$R$1204,$Q65))</f>
        <v/>
      </c>
      <c r="O65" s="28" t="str">
        <f>IF($Q65="","",INDEX(TRANSACTIONS_MASTER!$AB$5:$AB$1204,$Q65))</f>
        <v/>
      </c>
      <c r="P65" s="55" t="str">
        <f>IF($Q65="","",INDEX(TRANSACTIONS_MASTER!$Z$5:$Z$1204,$Q65)&amp;"")</f>
        <v/>
      </c>
      <c r="Q65" s="67" t="str">
        <f>IFERROR(MATCH($C$2&amp;"|"&amp;58,TRANSACTIONS_MASTER!$AE$5:$AE$1204,0),"")</f>
        <v/>
      </c>
      <c r="S65" s="67" t="n">
        <v>4</v>
      </c>
      <c r="T65" s="55" t="str">
        <f>IF(CARDS!$A8="","",CARDS!$A8)</f>
        <v>UOB-C</v>
      </c>
      <c r="U65" s="55" t="str">
        <f>IF($T65="","",CARDS!$B8&amp;" "&amp;CARDS!$C8)</f>
        <v>UOB Cashback Demo C</v>
      </c>
      <c r="V65" s="25">
        <f>IF($T65="","",SUMIFS(TRANSACTIONS_MASTER!$L$5:$L$1204,TRANSACTIONS_MASTER!$D$5:$D$1204,$T65,TRANSACTIONS_MASTER!$C$5:$C$1204,$C$2,TRANSACTIONS_MASTER!$U$5:$U$1204,"&lt;&gt;Cancelled"))</f>
        <v>0</v>
      </c>
      <c r="W65" s="26">
        <f>IF($T65="","",SUMIFS(TRANSACTIONS_MASTER!$Q$5:$Q$1204,TRANSACTIONS_MASTER!$D$5:$D$1204,$T65,TRANSACTIONS_MASTER!$C$5:$C$1204,$C$2))</f>
        <v>0</v>
      </c>
      <c r="X65" s="25" t="str">
        <f>IF($T65="","",IFERROR(IF(ISNUMBER(INDEX(CASHBACK_RULES!$K$5:$K$304,MATCH($T65,CASHBACK_RULES!$B$5:$B$304,0))),INDEX(CASHBACK_RULES!$K$5:$K$304,MATCH($T65,CASHBACK_RULES!$B$5:$B$304,0)),"∞"),"—"))</f>
        <v>∞</v>
      </c>
      <c r="Y65" s="25">
        <f>IF($T65="","",IF($X65="—","—",IF(COUNTIFS($T$8:$T$57,$T65,$Z$8:$Z$57,"∞")&gt;0,IF(ISNUMBER($X65),MAX(0,$X65-$W65),"∞"),IF(ISNUMBER($X65),MAX(0,MIN($X65-$W65,SUMIFS($Z$8:$Z$57,$T$8:$T$57,$T65))),SUMIFS($Z$8:$Z$57,$T$8:$T$57,$T65)))))</f>
        <v>1000000</v>
      </c>
      <c r="Z65" s="27">
        <f>IF($T65="","",IF(ISNUMBER($X65),IF($X65=0,0,$W65/$X65),IF(ISNUMBER($Y65),IF($W65+$Y65=0,0,$W65/($W65+$Y65)),"")))</f>
        <v>0</v>
      </c>
      <c r="AA65" s="29">
        <f>IF($T65="","",COUNTIFS(TRANSACTIONS_MASTER!$D$5:$D$1204,$T65,TRANSACTIONS_MASTER!$C$5:$C$1204,$C$2,TRANSACTIONS_MASTER!$U$5:$U$1204,"&lt;&gt;Cancelled"))</f>
        <v>0</v>
      </c>
    </row>
    <row r="66">
      <c r="A66" s="81" t="str">
        <f>IF($Q66="","",59)</f>
        <v/>
      </c>
      <c r="B66" s="57" t="str">
        <f>IF($Q66="","",INDEX(TRANSACTIONS_MASTER!$B$5:$B$1204,$Q66))</f>
        <v/>
      </c>
      <c r="C66" s="55" t="str">
        <f>IF($Q66="","",INDEX(TRANSACTIONS_MASTER!$F$5:$F$1204,$Q66))</f>
        <v/>
      </c>
      <c r="D66" s="55" t="str">
        <f>IF($Q66="","",INDEX(TRANSACTIONS_MASTER!$E$5:$E$1204,$Q66))</f>
        <v/>
      </c>
      <c r="E66" s="55" t="str">
        <f>IF($Q66="","",INDEX(TRANSACTIONS_MASTER!$G$5:$G$1204,$Q66)&amp;"")</f>
        <v/>
      </c>
      <c r="F66" s="29" t="str">
        <f>IF($Q66="","",INDEX(TRANSACTIONS_MASTER!$I$5:$I$1204,$Q66))</f>
        <v/>
      </c>
      <c r="G66" s="55" t="str">
        <f>IF($Q66="","",INDEX(TRANSACTIONS_MASTER!$K$5:$K$1204,$Q66))</f>
        <v/>
      </c>
      <c r="H66" s="25" t="str">
        <f>IF($Q66="","",INDEX(TRANSACTIONS_MASTER!$L$5:$L$1204,$Q66))</f>
        <v/>
      </c>
      <c r="I66" s="56" t="str">
        <f>IF($Q66="","",INDEX(TRANSACTIONS_MASTER!$N$5:$N$1204,$Q66))</f>
        <v/>
      </c>
      <c r="J66" s="25" t="str">
        <f>IF($Q66="","",INDEX(TRANSACTIONS_MASTER!$O$5:$O$1204,$Q66))</f>
        <v/>
      </c>
      <c r="K66" s="26" t="str">
        <f>IF($Q66="","",INDEX(TRANSACTIONS_MASTER!$Q$5:$Q$1204,$Q66))</f>
        <v/>
      </c>
      <c r="L66" s="25" t="str">
        <f>IF($Q66="","",INDEX(TRANSACTIONS_MASTER!$P$5:$P$1204,$Q66))</f>
        <v/>
      </c>
      <c r="M66" s="25" t="str">
        <f>IF($Q66="","",INDEX(TRANSACTIONS_MASTER!$AA$5:$AA$1204,$Q66))</f>
        <v/>
      </c>
      <c r="N66" s="25" t="str">
        <f>IF($Q66="","",INDEX(TRANSACTIONS_MASTER!$R$5:$R$1204,$Q66))</f>
        <v/>
      </c>
      <c r="O66" s="28" t="str">
        <f>IF($Q66="","",INDEX(TRANSACTIONS_MASTER!$AB$5:$AB$1204,$Q66))</f>
        <v/>
      </c>
      <c r="P66" s="55" t="str">
        <f>IF($Q66="","",INDEX(TRANSACTIONS_MASTER!$Z$5:$Z$1204,$Q66)&amp;"")</f>
        <v/>
      </c>
      <c r="Q66" s="67" t="str">
        <f>IFERROR(MATCH($C$2&amp;"|"&amp;59,TRANSACTIONS_MASTER!$AE$5:$AE$1204,0),"")</f>
        <v/>
      </c>
      <c r="S66" s="67" t="n">
        <v>5</v>
      </c>
      <c r="T66" s="55" t="str">
        <f>IF(CARDS!$A9="","",CARDS!$A9)</f>
        <v>MB-D</v>
      </c>
      <c r="U66" s="55" t="str">
        <f>IF($T66="","",CARDS!$B9&amp;" "&amp;CARDS!$C9)</f>
        <v>MB Cashback Demo D</v>
      </c>
      <c r="V66" s="25">
        <f>IF($T66="","",SUMIFS(TRANSACTIONS_MASTER!$L$5:$L$1204,TRANSACTIONS_MASTER!$D$5:$D$1204,$T66,TRANSACTIONS_MASTER!$C$5:$C$1204,$C$2,TRANSACTIONS_MASTER!$U$5:$U$1204,"&lt;&gt;Cancelled"))</f>
        <v>0</v>
      </c>
      <c r="W66" s="26">
        <f>IF($T66="","",SUMIFS(TRANSACTIONS_MASTER!$Q$5:$Q$1204,TRANSACTIONS_MASTER!$D$5:$D$1204,$T66,TRANSACTIONS_MASTER!$C$5:$C$1204,$C$2))</f>
        <v>0</v>
      </c>
      <c r="X66" s="25">
        <f>IF($T66="","",IFERROR(IF(ISNUMBER(INDEX(CASHBACK_RULES!$K$5:$K$304,MATCH($T66,CASHBACK_RULES!$B$5:$B$304,0))),INDEX(CASHBACK_RULES!$K$5:$K$304,MATCH($T66,CASHBACK_RULES!$B$5:$B$304,0)),"∞"),"—"))</f>
        <v>600000</v>
      </c>
      <c r="Y66" s="25">
        <f>IF($T66="","",IF($X66="—","—",IF(COUNTIFS($T$8:$T$57,$T66,$Z$8:$Z$57,"∞")&gt;0,IF(ISNUMBER($X66),MAX(0,$X66-$W66),"∞"),IF(ISNUMBER($X66),MAX(0,MIN($X66-$W66,SUMIFS($Z$8:$Z$57,$T$8:$T$57,$T66))),SUMIFS($Z$8:$Z$57,$T$8:$T$57,$T66)))))</f>
        <v>600000</v>
      </c>
      <c r="Z66" s="27">
        <f>IF($T66="","",IF(ISNUMBER($X66),IF($X66=0,0,$W66/$X66),IF(ISNUMBER($Y66),IF($W66+$Y66=0,0,$W66/($W66+$Y66)),"")))</f>
        <v>0</v>
      </c>
      <c r="AA66" s="29">
        <f>IF($T66="","",COUNTIFS(TRANSACTIONS_MASTER!$D$5:$D$1204,$T66,TRANSACTIONS_MASTER!$C$5:$C$1204,$C$2,TRANSACTIONS_MASTER!$U$5:$U$1204,"&lt;&gt;Cancelled"))</f>
        <v>0</v>
      </c>
    </row>
    <row r="67">
      <c r="A67" s="81" t="str">
        <f>IF($Q67="","",60)</f>
        <v/>
      </c>
      <c r="B67" s="57" t="str">
        <f>IF($Q67="","",INDEX(TRANSACTIONS_MASTER!$B$5:$B$1204,$Q67))</f>
        <v/>
      </c>
      <c r="C67" s="55" t="str">
        <f>IF($Q67="","",INDEX(TRANSACTIONS_MASTER!$F$5:$F$1204,$Q67))</f>
        <v/>
      </c>
      <c r="D67" s="55" t="str">
        <f>IF($Q67="","",INDEX(TRANSACTIONS_MASTER!$E$5:$E$1204,$Q67))</f>
        <v/>
      </c>
      <c r="E67" s="55" t="str">
        <f>IF($Q67="","",INDEX(TRANSACTIONS_MASTER!$G$5:$G$1204,$Q67)&amp;"")</f>
        <v/>
      </c>
      <c r="F67" s="29" t="str">
        <f>IF($Q67="","",INDEX(TRANSACTIONS_MASTER!$I$5:$I$1204,$Q67))</f>
        <v/>
      </c>
      <c r="G67" s="55" t="str">
        <f>IF($Q67="","",INDEX(TRANSACTIONS_MASTER!$K$5:$K$1204,$Q67))</f>
        <v/>
      </c>
      <c r="H67" s="25" t="str">
        <f>IF($Q67="","",INDEX(TRANSACTIONS_MASTER!$L$5:$L$1204,$Q67))</f>
        <v/>
      </c>
      <c r="I67" s="56" t="str">
        <f>IF($Q67="","",INDEX(TRANSACTIONS_MASTER!$N$5:$N$1204,$Q67))</f>
        <v/>
      </c>
      <c r="J67" s="25" t="str">
        <f>IF($Q67="","",INDEX(TRANSACTIONS_MASTER!$O$5:$O$1204,$Q67))</f>
        <v/>
      </c>
      <c r="K67" s="26" t="str">
        <f>IF($Q67="","",INDEX(TRANSACTIONS_MASTER!$Q$5:$Q$1204,$Q67))</f>
        <v/>
      </c>
      <c r="L67" s="25" t="str">
        <f>IF($Q67="","",INDEX(TRANSACTIONS_MASTER!$P$5:$P$1204,$Q67))</f>
        <v/>
      </c>
      <c r="M67" s="25" t="str">
        <f>IF($Q67="","",INDEX(TRANSACTIONS_MASTER!$AA$5:$AA$1204,$Q67))</f>
        <v/>
      </c>
      <c r="N67" s="25" t="str">
        <f>IF($Q67="","",INDEX(TRANSACTIONS_MASTER!$R$5:$R$1204,$Q67))</f>
        <v/>
      </c>
      <c r="O67" s="28" t="str">
        <f>IF($Q67="","",INDEX(TRANSACTIONS_MASTER!$AB$5:$AB$1204,$Q67))</f>
        <v/>
      </c>
      <c r="P67" s="55" t="str">
        <f>IF($Q67="","",INDEX(TRANSACTIONS_MASTER!$Z$5:$Z$1204,$Q67)&amp;"")</f>
        <v/>
      </c>
      <c r="Q67" s="67" t="str">
        <f>IFERROR(MATCH($C$2&amp;"|"&amp;60,TRANSACTIONS_MASTER!$AE$5:$AE$1204,0),"")</f>
        <v/>
      </c>
      <c r="S67" s="67" t="n">
        <v>6</v>
      </c>
      <c r="T67" s="55" t="str">
        <f>IF(CARDS!$A10="","",CARDS!$A10)</f>
        <v>ACB-E</v>
      </c>
      <c r="U67" s="55" t="str">
        <f>IF($T67="","",CARDS!$B10&amp;" "&amp;CARDS!$C10)</f>
        <v>ACB Demo E (không cashback)</v>
      </c>
      <c r="V67" s="25">
        <f>IF($T67="","",SUMIFS(TRANSACTIONS_MASTER!$L$5:$L$1204,TRANSACTIONS_MASTER!$D$5:$D$1204,$T67,TRANSACTIONS_MASTER!$C$5:$C$1204,$C$2,TRANSACTIONS_MASTER!$U$5:$U$1204,"&lt;&gt;Cancelled"))</f>
        <v>0</v>
      </c>
      <c r="W67" s="26">
        <f>IF($T67="","",SUMIFS(TRANSACTIONS_MASTER!$Q$5:$Q$1204,TRANSACTIONS_MASTER!$D$5:$D$1204,$T67,TRANSACTIONS_MASTER!$C$5:$C$1204,$C$2))</f>
        <v>0</v>
      </c>
      <c r="X67" s="25" t="str">
        <f>IF($T67="","",IFERROR(IF(ISNUMBER(INDEX(CASHBACK_RULES!$K$5:$K$304,MATCH($T67,CASHBACK_RULES!$B$5:$B$304,0))),INDEX(CASHBACK_RULES!$K$5:$K$304,MATCH($T67,CASHBACK_RULES!$B$5:$B$304,0)),"∞"),"—"))</f>
        <v>∞</v>
      </c>
      <c r="Y67" s="25">
        <f>IF($T67="","",IF($X67="—","—",IF(COUNTIFS($T$8:$T$57,$T67,$Z$8:$Z$57,"∞")&gt;0,IF(ISNUMBER($X67),MAX(0,$X67-$W67),"∞"),IF(ISNUMBER($X67),MAX(0,MIN($X67-$W67,SUMIFS($Z$8:$Z$57,$T$8:$T$57,$T67))),SUMIFS($Z$8:$Z$57,$T$8:$T$57,$T67)))))</f>
        <v>0</v>
      </c>
      <c r="Z67" s="27">
        <f>IF($T67="","",IF(ISNUMBER($X67),IF($X67=0,0,$W67/$X67),IF(ISNUMBER($Y67),IF($W67+$Y67=0,0,$W67/($W67+$Y67)),"")))</f>
        <v>0</v>
      </c>
      <c r="AA67" s="29">
        <f>IF($T67="","",COUNTIFS(TRANSACTIONS_MASTER!$D$5:$D$1204,$T67,TRANSACTIONS_MASTER!$C$5:$C$1204,$C$2,TRANSACTIONS_MASTER!$U$5:$U$1204,"&lt;&gt;Cancelled"))</f>
        <v>0</v>
      </c>
    </row>
    <row r="68">
      <c r="A68" s="81" t="str">
        <f>IF($Q68="","",61)</f>
        <v/>
      </c>
      <c r="B68" s="57" t="str">
        <f>IF($Q68="","",INDEX(TRANSACTIONS_MASTER!$B$5:$B$1204,$Q68))</f>
        <v/>
      </c>
      <c r="C68" s="55" t="str">
        <f>IF($Q68="","",INDEX(TRANSACTIONS_MASTER!$F$5:$F$1204,$Q68))</f>
        <v/>
      </c>
      <c r="D68" s="55" t="str">
        <f>IF($Q68="","",INDEX(TRANSACTIONS_MASTER!$E$5:$E$1204,$Q68))</f>
        <v/>
      </c>
      <c r="E68" s="55" t="str">
        <f>IF($Q68="","",INDEX(TRANSACTIONS_MASTER!$G$5:$G$1204,$Q68)&amp;"")</f>
        <v/>
      </c>
      <c r="F68" s="29" t="str">
        <f>IF($Q68="","",INDEX(TRANSACTIONS_MASTER!$I$5:$I$1204,$Q68))</f>
        <v/>
      </c>
      <c r="G68" s="55" t="str">
        <f>IF($Q68="","",INDEX(TRANSACTIONS_MASTER!$K$5:$K$1204,$Q68))</f>
        <v/>
      </c>
      <c r="H68" s="25" t="str">
        <f>IF($Q68="","",INDEX(TRANSACTIONS_MASTER!$L$5:$L$1204,$Q68))</f>
        <v/>
      </c>
      <c r="I68" s="56" t="str">
        <f>IF($Q68="","",INDEX(TRANSACTIONS_MASTER!$N$5:$N$1204,$Q68))</f>
        <v/>
      </c>
      <c r="J68" s="25" t="str">
        <f>IF($Q68="","",INDEX(TRANSACTIONS_MASTER!$O$5:$O$1204,$Q68))</f>
        <v/>
      </c>
      <c r="K68" s="26" t="str">
        <f>IF($Q68="","",INDEX(TRANSACTIONS_MASTER!$Q$5:$Q$1204,$Q68))</f>
        <v/>
      </c>
      <c r="L68" s="25" t="str">
        <f>IF($Q68="","",INDEX(TRANSACTIONS_MASTER!$P$5:$P$1204,$Q68))</f>
        <v/>
      </c>
      <c r="M68" s="25" t="str">
        <f>IF($Q68="","",INDEX(TRANSACTIONS_MASTER!$AA$5:$AA$1204,$Q68))</f>
        <v/>
      </c>
      <c r="N68" s="25" t="str">
        <f>IF($Q68="","",INDEX(TRANSACTIONS_MASTER!$R$5:$R$1204,$Q68))</f>
        <v/>
      </c>
      <c r="O68" s="28" t="str">
        <f>IF($Q68="","",INDEX(TRANSACTIONS_MASTER!$AB$5:$AB$1204,$Q68))</f>
        <v/>
      </c>
      <c r="P68" s="55" t="str">
        <f>IF($Q68="","",INDEX(TRANSACTIONS_MASTER!$Z$5:$Z$1204,$Q68)&amp;"")</f>
        <v/>
      </c>
      <c r="Q68" s="67" t="str">
        <f>IFERROR(MATCH($C$2&amp;"|"&amp;61,TRANSACTIONS_MASTER!$AE$5:$AE$1204,0),"")</f>
        <v/>
      </c>
      <c r="S68" s="67" t="n">
        <v>7</v>
      </c>
      <c r="T68" s="55" t="str">
        <f>IF(CARDS!$A11="","",CARDS!$A11)</f>
        <v/>
      </c>
      <c r="U68" s="55" t="str">
        <f>IF($T68="","",CARDS!$B11&amp;" "&amp;CARDS!$C11)</f>
        <v/>
      </c>
      <c r="V68" s="25" t="str">
        <f>IF($T68="","",SUMIFS(TRANSACTIONS_MASTER!$L$5:$L$1204,TRANSACTIONS_MASTER!$D$5:$D$1204,$T68,TRANSACTIONS_MASTER!$C$5:$C$1204,$C$2,TRANSACTIONS_MASTER!$U$5:$U$1204,"&lt;&gt;Cancelled"))</f>
        <v/>
      </c>
      <c r="W68" s="26" t="str">
        <f>IF($T68="","",SUMIFS(TRANSACTIONS_MASTER!$Q$5:$Q$1204,TRANSACTIONS_MASTER!$D$5:$D$1204,$T68,TRANSACTIONS_MASTER!$C$5:$C$1204,$C$2))</f>
        <v/>
      </c>
      <c r="X68" s="25" t="str">
        <f>IF($T68="","",IFERROR(IF(ISNUMBER(INDEX(CASHBACK_RULES!$K$5:$K$304,MATCH($T68,CASHBACK_RULES!$B$5:$B$304,0))),INDEX(CASHBACK_RULES!$K$5:$K$304,MATCH($T68,CASHBACK_RULES!$B$5:$B$304,0)),"∞"),"—"))</f>
        <v/>
      </c>
      <c r="Y68" s="25" t="str">
        <f>IF($T68="","",IF($X68="—","—",IF(COUNTIFS($T$8:$T$57,$T68,$Z$8:$Z$57,"∞")&gt;0,IF(ISNUMBER($X68),MAX(0,$X68-$W68),"∞"),IF(ISNUMBER($X68),MAX(0,MIN($X68-$W68,SUMIFS($Z$8:$Z$57,$T$8:$T$57,$T68))),SUMIFS($Z$8:$Z$57,$T$8:$T$57,$T68)))))</f>
        <v/>
      </c>
      <c r="Z68" s="27" t="str">
        <f>IF($T68="","",IF(ISNUMBER($X68),IF($X68=0,0,$W68/$X68),IF(ISNUMBER($Y68),IF($W68+$Y68=0,0,$W68/($W68+$Y68)),"")))</f>
        <v/>
      </c>
      <c r="AA68" s="29" t="str">
        <f>IF($T68="","",COUNTIFS(TRANSACTIONS_MASTER!$D$5:$D$1204,$T68,TRANSACTIONS_MASTER!$C$5:$C$1204,$C$2,TRANSACTIONS_MASTER!$U$5:$U$1204,"&lt;&gt;Cancelled"))</f>
        <v/>
      </c>
    </row>
    <row r="69">
      <c r="A69" s="81" t="str">
        <f>IF($Q69="","",62)</f>
        <v/>
      </c>
      <c r="B69" s="57" t="str">
        <f>IF($Q69="","",INDEX(TRANSACTIONS_MASTER!$B$5:$B$1204,$Q69))</f>
        <v/>
      </c>
      <c r="C69" s="55" t="str">
        <f>IF($Q69="","",INDEX(TRANSACTIONS_MASTER!$F$5:$F$1204,$Q69))</f>
        <v/>
      </c>
      <c r="D69" s="55" t="str">
        <f>IF($Q69="","",INDEX(TRANSACTIONS_MASTER!$E$5:$E$1204,$Q69))</f>
        <v/>
      </c>
      <c r="E69" s="55" t="str">
        <f>IF($Q69="","",INDEX(TRANSACTIONS_MASTER!$G$5:$G$1204,$Q69)&amp;"")</f>
        <v/>
      </c>
      <c r="F69" s="29" t="str">
        <f>IF($Q69="","",INDEX(TRANSACTIONS_MASTER!$I$5:$I$1204,$Q69))</f>
        <v/>
      </c>
      <c r="G69" s="55" t="str">
        <f>IF($Q69="","",INDEX(TRANSACTIONS_MASTER!$K$5:$K$1204,$Q69))</f>
        <v/>
      </c>
      <c r="H69" s="25" t="str">
        <f>IF($Q69="","",INDEX(TRANSACTIONS_MASTER!$L$5:$L$1204,$Q69))</f>
        <v/>
      </c>
      <c r="I69" s="56" t="str">
        <f>IF($Q69="","",INDEX(TRANSACTIONS_MASTER!$N$5:$N$1204,$Q69))</f>
        <v/>
      </c>
      <c r="J69" s="25" t="str">
        <f>IF($Q69="","",INDEX(TRANSACTIONS_MASTER!$O$5:$O$1204,$Q69))</f>
        <v/>
      </c>
      <c r="K69" s="26" t="str">
        <f>IF($Q69="","",INDEX(TRANSACTIONS_MASTER!$Q$5:$Q$1204,$Q69))</f>
        <v/>
      </c>
      <c r="L69" s="25" t="str">
        <f>IF($Q69="","",INDEX(TRANSACTIONS_MASTER!$P$5:$P$1204,$Q69))</f>
        <v/>
      </c>
      <c r="M69" s="25" t="str">
        <f>IF($Q69="","",INDEX(TRANSACTIONS_MASTER!$AA$5:$AA$1204,$Q69))</f>
        <v/>
      </c>
      <c r="N69" s="25" t="str">
        <f>IF($Q69="","",INDEX(TRANSACTIONS_MASTER!$R$5:$R$1204,$Q69))</f>
        <v/>
      </c>
      <c r="O69" s="28" t="str">
        <f>IF($Q69="","",INDEX(TRANSACTIONS_MASTER!$AB$5:$AB$1204,$Q69))</f>
        <v/>
      </c>
      <c r="P69" s="55" t="str">
        <f>IF($Q69="","",INDEX(TRANSACTIONS_MASTER!$Z$5:$Z$1204,$Q69)&amp;"")</f>
        <v/>
      </c>
      <c r="Q69" s="67" t="str">
        <f>IFERROR(MATCH($C$2&amp;"|"&amp;62,TRANSACTIONS_MASTER!$AE$5:$AE$1204,0),"")</f>
        <v/>
      </c>
      <c r="S69" s="67" t="n">
        <v>8</v>
      </c>
      <c r="T69" s="55" t="str">
        <f>IF(CARDS!$A12="","",CARDS!$A12)</f>
        <v/>
      </c>
      <c r="U69" s="55" t="str">
        <f>IF($T69="","",CARDS!$B12&amp;" "&amp;CARDS!$C12)</f>
        <v/>
      </c>
      <c r="V69" s="25" t="str">
        <f>IF($T69="","",SUMIFS(TRANSACTIONS_MASTER!$L$5:$L$1204,TRANSACTIONS_MASTER!$D$5:$D$1204,$T69,TRANSACTIONS_MASTER!$C$5:$C$1204,$C$2,TRANSACTIONS_MASTER!$U$5:$U$1204,"&lt;&gt;Cancelled"))</f>
        <v/>
      </c>
      <c r="W69" s="26" t="str">
        <f>IF($T69="","",SUMIFS(TRANSACTIONS_MASTER!$Q$5:$Q$1204,TRANSACTIONS_MASTER!$D$5:$D$1204,$T69,TRANSACTIONS_MASTER!$C$5:$C$1204,$C$2))</f>
        <v/>
      </c>
      <c r="X69" s="25" t="str">
        <f>IF($T69="","",IFERROR(IF(ISNUMBER(INDEX(CASHBACK_RULES!$K$5:$K$304,MATCH($T69,CASHBACK_RULES!$B$5:$B$304,0))),INDEX(CASHBACK_RULES!$K$5:$K$304,MATCH($T69,CASHBACK_RULES!$B$5:$B$304,0)),"∞"),"—"))</f>
        <v/>
      </c>
      <c r="Y69" s="25" t="str">
        <f>IF($T69="","",IF($X69="—","—",IF(COUNTIFS($T$8:$T$57,$T69,$Z$8:$Z$57,"∞")&gt;0,IF(ISNUMBER($X69),MAX(0,$X69-$W69),"∞"),IF(ISNUMBER($X69),MAX(0,MIN($X69-$W69,SUMIFS($Z$8:$Z$57,$T$8:$T$57,$T69))),SUMIFS($Z$8:$Z$57,$T$8:$T$57,$T69)))))</f>
        <v/>
      </c>
      <c r="Z69" s="27" t="str">
        <f>IF($T69="","",IF(ISNUMBER($X69),IF($X69=0,0,$W69/$X69),IF(ISNUMBER($Y69),IF($W69+$Y69=0,0,$W69/($W69+$Y69)),"")))</f>
        <v/>
      </c>
      <c r="AA69" s="29" t="str">
        <f>IF($T69="","",COUNTIFS(TRANSACTIONS_MASTER!$D$5:$D$1204,$T69,TRANSACTIONS_MASTER!$C$5:$C$1204,$C$2,TRANSACTIONS_MASTER!$U$5:$U$1204,"&lt;&gt;Cancelled"))</f>
        <v/>
      </c>
    </row>
    <row r="70">
      <c r="A70" s="81" t="str">
        <f>IF($Q70="","",63)</f>
        <v/>
      </c>
      <c r="B70" s="57" t="str">
        <f>IF($Q70="","",INDEX(TRANSACTIONS_MASTER!$B$5:$B$1204,$Q70))</f>
        <v/>
      </c>
      <c r="C70" s="55" t="str">
        <f>IF($Q70="","",INDEX(TRANSACTIONS_MASTER!$F$5:$F$1204,$Q70))</f>
        <v/>
      </c>
      <c r="D70" s="55" t="str">
        <f>IF($Q70="","",INDEX(TRANSACTIONS_MASTER!$E$5:$E$1204,$Q70))</f>
        <v/>
      </c>
      <c r="E70" s="55" t="str">
        <f>IF($Q70="","",INDEX(TRANSACTIONS_MASTER!$G$5:$G$1204,$Q70)&amp;"")</f>
        <v/>
      </c>
      <c r="F70" s="29" t="str">
        <f>IF($Q70="","",INDEX(TRANSACTIONS_MASTER!$I$5:$I$1204,$Q70))</f>
        <v/>
      </c>
      <c r="G70" s="55" t="str">
        <f>IF($Q70="","",INDEX(TRANSACTIONS_MASTER!$K$5:$K$1204,$Q70))</f>
        <v/>
      </c>
      <c r="H70" s="25" t="str">
        <f>IF($Q70="","",INDEX(TRANSACTIONS_MASTER!$L$5:$L$1204,$Q70))</f>
        <v/>
      </c>
      <c r="I70" s="56" t="str">
        <f>IF($Q70="","",INDEX(TRANSACTIONS_MASTER!$N$5:$N$1204,$Q70))</f>
        <v/>
      </c>
      <c r="J70" s="25" t="str">
        <f>IF($Q70="","",INDEX(TRANSACTIONS_MASTER!$O$5:$O$1204,$Q70))</f>
        <v/>
      </c>
      <c r="K70" s="26" t="str">
        <f>IF($Q70="","",INDEX(TRANSACTIONS_MASTER!$Q$5:$Q$1204,$Q70))</f>
        <v/>
      </c>
      <c r="L70" s="25" t="str">
        <f>IF($Q70="","",INDEX(TRANSACTIONS_MASTER!$P$5:$P$1204,$Q70))</f>
        <v/>
      </c>
      <c r="M70" s="25" t="str">
        <f>IF($Q70="","",INDEX(TRANSACTIONS_MASTER!$AA$5:$AA$1204,$Q70))</f>
        <v/>
      </c>
      <c r="N70" s="25" t="str">
        <f>IF($Q70="","",INDEX(TRANSACTIONS_MASTER!$R$5:$R$1204,$Q70))</f>
        <v/>
      </c>
      <c r="O70" s="28" t="str">
        <f>IF($Q70="","",INDEX(TRANSACTIONS_MASTER!$AB$5:$AB$1204,$Q70))</f>
        <v/>
      </c>
      <c r="P70" s="55" t="str">
        <f>IF($Q70="","",INDEX(TRANSACTIONS_MASTER!$Z$5:$Z$1204,$Q70)&amp;"")</f>
        <v/>
      </c>
      <c r="Q70" s="67" t="str">
        <f>IFERROR(MATCH($C$2&amp;"|"&amp;63,TRANSACTIONS_MASTER!$AE$5:$AE$1204,0),"")</f>
        <v/>
      </c>
      <c r="S70" s="67" t="n">
        <v>9</v>
      </c>
      <c r="T70" s="55" t="str">
        <f>IF(CARDS!$A13="","",CARDS!$A13)</f>
        <v/>
      </c>
      <c r="U70" s="55" t="str">
        <f>IF($T70="","",CARDS!$B13&amp;" "&amp;CARDS!$C13)</f>
        <v/>
      </c>
      <c r="V70" s="25" t="str">
        <f>IF($T70="","",SUMIFS(TRANSACTIONS_MASTER!$L$5:$L$1204,TRANSACTIONS_MASTER!$D$5:$D$1204,$T70,TRANSACTIONS_MASTER!$C$5:$C$1204,$C$2,TRANSACTIONS_MASTER!$U$5:$U$1204,"&lt;&gt;Cancelled"))</f>
        <v/>
      </c>
      <c r="W70" s="26" t="str">
        <f>IF($T70="","",SUMIFS(TRANSACTIONS_MASTER!$Q$5:$Q$1204,TRANSACTIONS_MASTER!$D$5:$D$1204,$T70,TRANSACTIONS_MASTER!$C$5:$C$1204,$C$2))</f>
        <v/>
      </c>
      <c r="X70" s="25" t="str">
        <f>IF($T70="","",IFERROR(IF(ISNUMBER(INDEX(CASHBACK_RULES!$K$5:$K$304,MATCH($T70,CASHBACK_RULES!$B$5:$B$304,0))),INDEX(CASHBACK_RULES!$K$5:$K$304,MATCH($T70,CASHBACK_RULES!$B$5:$B$304,0)),"∞"),"—"))</f>
        <v/>
      </c>
      <c r="Y70" s="25" t="str">
        <f>IF($T70="","",IF($X70="—","—",IF(COUNTIFS($T$8:$T$57,$T70,$Z$8:$Z$57,"∞")&gt;0,IF(ISNUMBER($X70),MAX(0,$X70-$W70),"∞"),IF(ISNUMBER($X70),MAX(0,MIN($X70-$W70,SUMIFS($Z$8:$Z$57,$T$8:$T$57,$T70))),SUMIFS($Z$8:$Z$57,$T$8:$T$57,$T70)))))</f>
        <v/>
      </c>
      <c r="Z70" s="27" t="str">
        <f>IF($T70="","",IF(ISNUMBER($X70),IF($X70=0,0,$W70/$X70),IF(ISNUMBER($Y70),IF($W70+$Y70=0,0,$W70/($W70+$Y70)),"")))</f>
        <v/>
      </c>
      <c r="AA70" s="29" t="str">
        <f>IF($T70="","",COUNTIFS(TRANSACTIONS_MASTER!$D$5:$D$1204,$T70,TRANSACTIONS_MASTER!$C$5:$C$1204,$C$2,TRANSACTIONS_MASTER!$U$5:$U$1204,"&lt;&gt;Cancelled"))</f>
        <v/>
      </c>
    </row>
    <row r="71">
      <c r="A71" s="81" t="str">
        <f>IF($Q71="","",64)</f>
        <v/>
      </c>
      <c r="B71" s="57" t="str">
        <f>IF($Q71="","",INDEX(TRANSACTIONS_MASTER!$B$5:$B$1204,$Q71))</f>
        <v/>
      </c>
      <c r="C71" s="55" t="str">
        <f>IF($Q71="","",INDEX(TRANSACTIONS_MASTER!$F$5:$F$1204,$Q71))</f>
        <v/>
      </c>
      <c r="D71" s="55" t="str">
        <f>IF($Q71="","",INDEX(TRANSACTIONS_MASTER!$E$5:$E$1204,$Q71))</f>
        <v/>
      </c>
      <c r="E71" s="55" t="str">
        <f>IF($Q71="","",INDEX(TRANSACTIONS_MASTER!$G$5:$G$1204,$Q71)&amp;"")</f>
        <v/>
      </c>
      <c r="F71" s="29" t="str">
        <f>IF($Q71="","",INDEX(TRANSACTIONS_MASTER!$I$5:$I$1204,$Q71))</f>
        <v/>
      </c>
      <c r="G71" s="55" t="str">
        <f>IF($Q71="","",INDEX(TRANSACTIONS_MASTER!$K$5:$K$1204,$Q71))</f>
        <v/>
      </c>
      <c r="H71" s="25" t="str">
        <f>IF($Q71="","",INDEX(TRANSACTIONS_MASTER!$L$5:$L$1204,$Q71))</f>
        <v/>
      </c>
      <c r="I71" s="56" t="str">
        <f>IF($Q71="","",INDEX(TRANSACTIONS_MASTER!$N$5:$N$1204,$Q71))</f>
        <v/>
      </c>
      <c r="J71" s="25" t="str">
        <f>IF($Q71="","",INDEX(TRANSACTIONS_MASTER!$O$5:$O$1204,$Q71))</f>
        <v/>
      </c>
      <c r="K71" s="26" t="str">
        <f>IF($Q71="","",INDEX(TRANSACTIONS_MASTER!$Q$5:$Q$1204,$Q71))</f>
        <v/>
      </c>
      <c r="L71" s="25" t="str">
        <f>IF($Q71="","",INDEX(TRANSACTIONS_MASTER!$P$5:$P$1204,$Q71))</f>
        <v/>
      </c>
      <c r="M71" s="25" t="str">
        <f>IF($Q71="","",INDEX(TRANSACTIONS_MASTER!$AA$5:$AA$1204,$Q71))</f>
        <v/>
      </c>
      <c r="N71" s="25" t="str">
        <f>IF($Q71="","",INDEX(TRANSACTIONS_MASTER!$R$5:$R$1204,$Q71))</f>
        <v/>
      </c>
      <c r="O71" s="28" t="str">
        <f>IF($Q71="","",INDEX(TRANSACTIONS_MASTER!$AB$5:$AB$1204,$Q71))</f>
        <v/>
      </c>
      <c r="P71" s="55" t="str">
        <f>IF($Q71="","",INDEX(TRANSACTIONS_MASTER!$Z$5:$Z$1204,$Q71)&amp;"")</f>
        <v/>
      </c>
      <c r="Q71" s="67" t="str">
        <f>IFERROR(MATCH($C$2&amp;"|"&amp;64,TRANSACTIONS_MASTER!$AE$5:$AE$1204,0),"")</f>
        <v/>
      </c>
      <c r="S71" s="67" t="n">
        <v>10</v>
      </c>
      <c r="T71" s="55" t="str">
        <f>IF(CARDS!$A14="","",CARDS!$A14)</f>
        <v/>
      </c>
      <c r="U71" s="55" t="str">
        <f>IF($T71="","",CARDS!$B14&amp;" "&amp;CARDS!$C14)</f>
        <v/>
      </c>
      <c r="V71" s="25" t="str">
        <f>IF($T71="","",SUMIFS(TRANSACTIONS_MASTER!$L$5:$L$1204,TRANSACTIONS_MASTER!$D$5:$D$1204,$T71,TRANSACTIONS_MASTER!$C$5:$C$1204,$C$2,TRANSACTIONS_MASTER!$U$5:$U$1204,"&lt;&gt;Cancelled"))</f>
        <v/>
      </c>
      <c r="W71" s="26" t="str">
        <f>IF($T71="","",SUMIFS(TRANSACTIONS_MASTER!$Q$5:$Q$1204,TRANSACTIONS_MASTER!$D$5:$D$1204,$T71,TRANSACTIONS_MASTER!$C$5:$C$1204,$C$2))</f>
        <v/>
      </c>
      <c r="X71" s="25" t="str">
        <f>IF($T71="","",IFERROR(IF(ISNUMBER(INDEX(CASHBACK_RULES!$K$5:$K$304,MATCH($T71,CASHBACK_RULES!$B$5:$B$304,0))),INDEX(CASHBACK_RULES!$K$5:$K$304,MATCH($T71,CASHBACK_RULES!$B$5:$B$304,0)),"∞"),"—"))</f>
        <v/>
      </c>
      <c r="Y71" s="25" t="str">
        <f>IF($T71="","",IF($X71="—","—",IF(COUNTIFS($T$8:$T$57,$T71,$Z$8:$Z$57,"∞")&gt;0,IF(ISNUMBER($X71),MAX(0,$X71-$W71),"∞"),IF(ISNUMBER($X71),MAX(0,MIN($X71-$W71,SUMIFS($Z$8:$Z$57,$T$8:$T$57,$T71))),SUMIFS($Z$8:$Z$57,$T$8:$T$57,$T71)))))</f>
        <v/>
      </c>
      <c r="Z71" s="27" t="str">
        <f>IF($T71="","",IF(ISNUMBER($X71),IF($X71=0,0,$W71/$X71),IF(ISNUMBER($Y71),IF($W71+$Y71=0,0,$W71/($W71+$Y71)),"")))</f>
        <v/>
      </c>
      <c r="AA71" s="29" t="str">
        <f>IF($T71="","",COUNTIFS(TRANSACTIONS_MASTER!$D$5:$D$1204,$T71,TRANSACTIONS_MASTER!$C$5:$C$1204,$C$2,TRANSACTIONS_MASTER!$U$5:$U$1204,"&lt;&gt;Cancelled"))</f>
        <v/>
      </c>
    </row>
    <row r="72">
      <c r="A72" s="81" t="str">
        <f>IF($Q72="","",65)</f>
        <v/>
      </c>
      <c r="B72" s="57" t="str">
        <f>IF($Q72="","",INDEX(TRANSACTIONS_MASTER!$B$5:$B$1204,$Q72))</f>
        <v/>
      </c>
      <c r="C72" s="55" t="str">
        <f>IF($Q72="","",INDEX(TRANSACTIONS_MASTER!$F$5:$F$1204,$Q72))</f>
        <v/>
      </c>
      <c r="D72" s="55" t="str">
        <f>IF($Q72="","",INDEX(TRANSACTIONS_MASTER!$E$5:$E$1204,$Q72))</f>
        <v/>
      </c>
      <c r="E72" s="55" t="str">
        <f>IF($Q72="","",INDEX(TRANSACTIONS_MASTER!$G$5:$G$1204,$Q72)&amp;"")</f>
        <v/>
      </c>
      <c r="F72" s="29" t="str">
        <f>IF($Q72="","",INDEX(TRANSACTIONS_MASTER!$I$5:$I$1204,$Q72))</f>
        <v/>
      </c>
      <c r="G72" s="55" t="str">
        <f>IF($Q72="","",INDEX(TRANSACTIONS_MASTER!$K$5:$K$1204,$Q72))</f>
        <v/>
      </c>
      <c r="H72" s="25" t="str">
        <f>IF($Q72="","",INDEX(TRANSACTIONS_MASTER!$L$5:$L$1204,$Q72))</f>
        <v/>
      </c>
      <c r="I72" s="56" t="str">
        <f>IF($Q72="","",INDEX(TRANSACTIONS_MASTER!$N$5:$N$1204,$Q72))</f>
        <v/>
      </c>
      <c r="J72" s="25" t="str">
        <f>IF($Q72="","",INDEX(TRANSACTIONS_MASTER!$O$5:$O$1204,$Q72))</f>
        <v/>
      </c>
      <c r="K72" s="26" t="str">
        <f>IF($Q72="","",INDEX(TRANSACTIONS_MASTER!$Q$5:$Q$1204,$Q72))</f>
        <v/>
      </c>
      <c r="L72" s="25" t="str">
        <f>IF($Q72="","",INDEX(TRANSACTIONS_MASTER!$P$5:$P$1204,$Q72))</f>
        <v/>
      </c>
      <c r="M72" s="25" t="str">
        <f>IF($Q72="","",INDEX(TRANSACTIONS_MASTER!$AA$5:$AA$1204,$Q72))</f>
        <v/>
      </c>
      <c r="N72" s="25" t="str">
        <f>IF($Q72="","",INDEX(TRANSACTIONS_MASTER!$R$5:$R$1204,$Q72))</f>
        <v/>
      </c>
      <c r="O72" s="28" t="str">
        <f>IF($Q72="","",INDEX(TRANSACTIONS_MASTER!$AB$5:$AB$1204,$Q72))</f>
        <v/>
      </c>
      <c r="P72" s="55" t="str">
        <f>IF($Q72="","",INDEX(TRANSACTIONS_MASTER!$Z$5:$Z$1204,$Q72)&amp;"")</f>
        <v/>
      </c>
      <c r="Q72" s="67" t="str">
        <f>IFERROR(MATCH($C$2&amp;"|"&amp;65,TRANSACTIONS_MASTER!$AE$5:$AE$1204,0),"")</f>
        <v/>
      </c>
      <c r="S72" s="67" t="n">
        <v>11</v>
      </c>
      <c r="T72" s="55" t="str">
        <f>IF(CARDS!$A15="","",CARDS!$A15)</f>
        <v/>
      </c>
      <c r="U72" s="55" t="str">
        <f>IF($T72="","",CARDS!$B15&amp;" "&amp;CARDS!$C15)</f>
        <v/>
      </c>
      <c r="V72" s="25" t="str">
        <f>IF($T72="","",SUMIFS(TRANSACTIONS_MASTER!$L$5:$L$1204,TRANSACTIONS_MASTER!$D$5:$D$1204,$T72,TRANSACTIONS_MASTER!$C$5:$C$1204,$C$2,TRANSACTIONS_MASTER!$U$5:$U$1204,"&lt;&gt;Cancelled"))</f>
        <v/>
      </c>
      <c r="W72" s="26" t="str">
        <f>IF($T72="","",SUMIFS(TRANSACTIONS_MASTER!$Q$5:$Q$1204,TRANSACTIONS_MASTER!$D$5:$D$1204,$T72,TRANSACTIONS_MASTER!$C$5:$C$1204,$C$2))</f>
        <v/>
      </c>
      <c r="X72" s="25" t="str">
        <f>IF($T72="","",IFERROR(IF(ISNUMBER(INDEX(CASHBACK_RULES!$K$5:$K$304,MATCH($T72,CASHBACK_RULES!$B$5:$B$304,0))),INDEX(CASHBACK_RULES!$K$5:$K$304,MATCH($T72,CASHBACK_RULES!$B$5:$B$304,0)),"∞"),"—"))</f>
        <v/>
      </c>
      <c r="Y72" s="25" t="str">
        <f>IF($T72="","",IF($X72="—","—",IF(COUNTIFS($T$8:$T$57,$T72,$Z$8:$Z$57,"∞")&gt;0,IF(ISNUMBER($X72),MAX(0,$X72-$W72),"∞"),IF(ISNUMBER($X72),MAX(0,MIN($X72-$W72,SUMIFS($Z$8:$Z$57,$T$8:$T$57,$T72))),SUMIFS($Z$8:$Z$57,$T$8:$T$57,$T72)))))</f>
        <v/>
      </c>
      <c r="Z72" s="27" t="str">
        <f>IF($T72="","",IF(ISNUMBER($X72),IF($X72=0,0,$W72/$X72),IF(ISNUMBER($Y72),IF($W72+$Y72=0,0,$W72/($W72+$Y72)),"")))</f>
        <v/>
      </c>
      <c r="AA72" s="29" t="str">
        <f>IF($T72="","",COUNTIFS(TRANSACTIONS_MASTER!$D$5:$D$1204,$T72,TRANSACTIONS_MASTER!$C$5:$C$1204,$C$2,TRANSACTIONS_MASTER!$U$5:$U$1204,"&lt;&gt;Cancelled"))</f>
        <v/>
      </c>
    </row>
    <row r="73">
      <c r="A73" s="81" t="str">
        <f>IF($Q73="","",66)</f>
        <v/>
      </c>
      <c r="B73" s="57" t="str">
        <f>IF($Q73="","",INDEX(TRANSACTIONS_MASTER!$B$5:$B$1204,$Q73))</f>
        <v/>
      </c>
      <c r="C73" s="55" t="str">
        <f>IF($Q73="","",INDEX(TRANSACTIONS_MASTER!$F$5:$F$1204,$Q73))</f>
        <v/>
      </c>
      <c r="D73" s="55" t="str">
        <f>IF($Q73="","",INDEX(TRANSACTIONS_MASTER!$E$5:$E$1204,$Q73))</f>
        <v/>
      </c>
      <c r="E73" s="55" t="str">
        <f>IF($Q73="","",INDEX(TRANSACTIONS_MASTER!$G$5:$G$1204,$Q73)&amp;"")</f>
        <v/>
      </c>
      <c r="F73" s="29" t="str">
        <f>IF($Q73="","",INDEX(TRANSACTIONS_MASTER!$I$5:$I$1204,$Q73))</f>
        <v/>
      </c>
      <c r="G73" s="55" t="str">
        <f>IF($Q73="","",INDEX(TRANSACTIONS_MASTER!$K$5:$K$1204,$Q73))</f>
        <v/>
      </c>
      <c r="H73" s="25" t="str">
        <f>IF($Q73="","",INDEX(TRANSACTIONS_MASTER!$L$5:$L$1204,$Q73))</f>
        <v/>
      </c>
      <c r="I73" s="56" t="str">
        <f>IF($Q73="","",INDEX(TRANSACTIONS_MASTER!$N$5:$N$1204,$Q73))</f>
        <v/>
      </c>
      <c r="J73" s="25" t="str">
        <f>IF($Q73="","",INDEX(TRANSACTIONS_MASTER!$O$5:$O$1204,$Q73))</f>
        <v/>
      </c>
      <c r="K73" s="26" t="str">
        <f>IF($Q73="","",INDEX(TRANSACTIONS_MASTER!$Q$5:$Q$1204,$Q73))</f>
        <v/>
      </c>
      <c r="L73" s="25" t="str">
        <f>IF($Q73="","",INDEX(TRANSACTIONS_MASTER!$P$5:$P$1204,$Q73))</f>
        <v/>
      </c>
      <c r="M73" s="25" t="str">
        <f>IF($Q73="","",INDEX(TRANSACTIONS_MASTER!$AA$5:$AA$1204,$Q73))</f>
        <v/>
      </c>
      <c r="N73" s="25" t="str">
        <f>IF($Q73="","",INDEX(TRANSACTIONS_MASTER!$R$5:$R$1204,$Q73))</f>
        <v/>
      </c>
      <c r="O73" s="28" t="str">
        <f>IF($Q73="","",INDEX(TRANSACTIONS_MASTER!$AB$5:$AB$1204,$Q73))</f>
        <v/>
      </c>
      <c r="P73" s="55" t="str">
        <f>IF($Q73="","",INDEX(TRANSACTIONS_MASTER!$Z$5:$Z$1204,$Q73)&amp;"")</f>
        <v/>
      </c>
      <c r="Q73" s="67" t="str">
        <f>IFERROR(MATCH($C$2&amp;"|"&amp;66,TRANSACTIONS_MASTER!$AE$5:$AE$1204,0),"")</f>
        <v/>
      </c>
      <c r="S73" s="67" t="n">
        <v>12</v>
      </c>
      <c r="T73" s="55" t="str">
        <f>IF(CARDS!$A16="","",CARDS!$A16)</f>
        <v/>
      </c>
      <c r="U73" s="55" t="str">
        <f>IF($T73="","",CARDS!$B16&amp;" "&amp;CARDS!$C16)</f>
        <v/>
      </c>
      <c r="V73" s="25" t="str">
        <f>IF($T73="","",SUMIFS(TRANSACTIONS_MASTER!$L$5:$L$1204,TRANSACTIONS_MASTER!$D$5:$D$1204,$T73,TRANSACTIONS_MASTER!$C$5:$C$1204,$C$2,TRANSACTIONS_MASTER!$U$5:$U$1204,"&lt;&gt;Cancelled"))</f>
        <v/>
      </c>
      <c r="W73" s="26" t="str">
        <f>IF($T73="","",SUMIFS(TRANSACTIONS_MASTER!$Q$5:$Q$1204,TRANSACTIONS_MASTER!$D$5:$D$1204,$T73,TRANSACTIONS_MASTER!$C$5:$C$1204,$C$2))</f>
        <v/>
      </c>
      <c r="X73" s="25" t="str">
        <f>IF($T73="","",IFERROR(IF(ISNUMBER(INDEX(CASHBACK_RULES!$K$5:$K$304,MATCH($T73,CASHBACK_RULES!$B$5:$B$304,0))),INDEX(CASHBACK_RULES!$K$5:$K$304,MATCH($T73,CASHBACK_RULES!$B$5:$B$304,0)),"∞"),"—"))</f>
        <v/>
      </c>
      <c r="Y73" s="25" t="str">
        <f>IF($T73="","",IF($X73="—","—",IF(COUNTIFS($T$8:$T$57,$T73,$Z$8:$Z$57,"∞")&gt;0,IF(ISNUMBER($X73),MAX(0,$X73-$W73),"∞"),IF(ISNUMBER($X73),MAX(0,MIN($X73-$W73,SUMIFS($Z$8:$Z$57,$T$8:$T$57,$T73))),SUMIFS($Z$8:$Z$57,$T$8:$T$57,$T73)))))</f>
        <v/>
      </c>
      <c r="Z73" s="27" t="str">
        <f>IF($T73="","",IF(ISNUMBER($X73),IF($X73=0,0,$W73/$X73),IF(ISNUMBER($Y73),IF($W73+$Y73=0,0,$W73/($W73+$Y73)),"")))</f>
        <v/>
      </c>
      <c r="AA73" s="29" t="str">
        <f>IF($T73="","",COUNTIFS(TRANSACTIONS_MASTER!$D$5:$D$1204,$T73,TRANSACTIONS_MASTER!$C$5:$C$1204,$C$2,TRANSACTIONS_MASTER!$U$5:$U$1204,"&lt;&gt;Cancelled"))</f>
        <v/>
      </c>
    </row>
    <row r="74">
      <c r="A74" s="81" t="str">
        <f>IF($Q74="","",67)</f>
        <v/>
      </c>
      <c r="B74" s="57" t="str">
        <f>IF($Q74="","",INDEX(TRANSACTIONS_MASTER!$B$5:$B$1204,$Q74))</f>
        <v/>
      </c>
      <c r="C74" s="55" t="str">
        <f>IF($Q74="","",INDEX(TRANSACTIONS_MASTER!$F$5:$F$1204,$Q74))</f>
        <v/>
      </c>
      <c r="D74" s="55" t="str">
        <f>IF($Q74="","",INDEX(TRANSACTIONS_MASTER!$E$5:$E$1204,$Q74))</f>
        <v/>
      </c>
      <c r="E74" s="55" t="str">
        <f>IF($Q74="","",INDEX(TRANSACTIONS_MASTER!$G$5:$G$1204,$Q74)&amp;"")</f>
        <v/>
      </c>
      <c r="F74" s="29" t="str">
        <f>IF($Q74="","",INDEX(TRANSACTIONS_MASTER!$I$5:$I$1204,$Q74))</f>
        <v/>
      </c>
      <c r="G74" s="55" t="str">
        <f>IF($Q74="","",INDEX(TRANSACTIONS_MASTER!$K$5:$K$1204,$Q74))</f>
        <v/>
      </c>
      <c r="H74" s="25" t="str">
        <f>IF($Q74="","",INDEX(TRANSACTIONS_MASTER!$L$5:$L$1204,$Q74))</f>
        <v/>
      </c>
      <c r="I74" s="56" t="str">
        <f>IF($Q74="","",INDEX(TRANSACTIONS_MASTER!$N$5:$N$1204,$Q74))</f>
        <v/>
      </c>
      <c r="J74" s="25" t="str">
        <f>IF($Q74="","",INDEX(TRANSACTIONS_MASTER!$O$5:$O$1204,$Q74))</f>
        <v/>
      </c>
      <c r="K74" s="26" t="str">
        <f>IF($Q74="","",INDEX(TRANSACTIONS_MASTER!$Q$5:$Q$1204,$Q74))</f>
        <v/>
      </c>
      <c r="L74" s="25" t="str">
        <f>IF($Q74="","",INDEX(TRANSACTIONS_MASTER!$P$5:$P$1204,$Q74))</f>
        <v/>
      </c>
      <c r="M74" s="25" t="str">
        <f>IF($Q74="","",INDEX(TRANSACTIONS_MASTER!$AA$5:$AA$1204,$Q74))</f>
        <v/>
      </c>
      <c r="N74" s="25" t="str">
        <f>IF($Q74="","",INDEX(TRANSACTIONS_MASTER!$R$5:$R$1204,$Q74))</f>
        <v/>
      </c>
      <c r="O74" s="28" t="str">
        <f>IF($Q74="","",INDEX(TRANSACTIONS_MASTER!$AB$5:$AB$1204,$Q74))</f>
        <v/>
      </c>
      <c r="P74" s="55" t="str">
        <f>IF($Q74="","",INDEX(TRANSACTIONS_MASTER!$Z$5:$Z$1204,$Q74)&amp;"")</f>
        <v/>
      </c>
      <c r="Q74" s="67" t="str">
        <f>IFERROR(MATCH($C$2&amp;"|"&amp;67,TRANSACTIONS_MASTER!$AE$5:$AE$1204,0),"")</f>
        <v/>
      </c>
      <c r="S74" s="67" t="n">
        <v>13</v>
      </c>
      <c r="T74" s="55" t="str">
        <f>IF(CARDS!$A17="","",CARDS!$A17)</f>
        <v/>
      </c>
      <c r="U74" s="55" t="str">
        <f>IF($T74="","",CARDS!$B17&amp;" "&amp;CARDS!$C17)</f>
        <v/>
      </c>
      <c r="V74" s="25" t="str">
        <f>IF($T74="","",SUMIFS(TRANSACTIONS_MASTER!$L$5:$L$1204,TRANSACTIONS_MASTER!$D$5:$D$1204,$T74,TRANSACTIONS_MASTER!$C$5:$C$1204,$C$2,TRANSACTIONS_MASTER!$U$5:$U$1204,"&lt;&gt;Cancelled"))</f>
        <v/>
      </c>
      <c r="W74" s="26" t="str">
        <f>IF($T74="","",SUMIFS(TRANSACTIONS_MASTER!$Q$5:$Q$1204,TRANSACTIONS_MASTER!$D$5:$D$1204,$T74,TRANSACTIONS_MASTER!$C$5:$C$1204,$C$2))</f>
        <v/>
      </c>
      <c r="X74" s="25" t="str">
        <f>IF($T74="","",IFERROR(IF(ISNUMBER(INDEX(CASHBACK_RULES!$K$5:$K$304,MATCH($T74,CASHBACK_RULES!$B$5:$B$304,0))),INDEX(CASHBACK_RULES!$K$5:$K$304,MATCH($T74,CASHBACK_RULES!$B$5:$B$304,0)),"∞"),"—"))</f>
        <v/>
      </c>
      <c r="Y74" s="25" t="str">
        <f>IF($T74="","",IF($X74="—","—",IF(COUNTIFS($T$8:$T$57,$T74,$Z$8:$Z$57,"∞")&gt;0,IF(ISNUMBER($X74),MAX(0,$X74-$W74),"∞"),IF(ISNUMBER($X74),MAX(0,MIN($X74-$W74,SUMIFS($Z$8:$Z$57,$T$8:$T$57,$T74))),SUMIFS($Z$8:$Z$57,$T$8:$T$57,$T74)))))</f>
        <v/>
      </c>
      <c r="Z74" s="27" t="str">
        <f>IF($T74="","",IF(ISNUMBER($X74),IF($X74=0,0,$W74/$X74),IF(ISNUMBER($Y74),IF($W74+$Y74=0,0,$W74/($W74+$Y74)),"")))</f>
        <v/>
      </c>
      <c r="AA74" s="29" t="str">
        <f>IF($T74="","",COUNTIFS(TRANSACTIONS_MASTER!$D$5:$D$1204,$T74,TRANSACTIONS_MASTER!$C$5:$C$1204,$C$2,TRANSACTIONS_MASTER!$U$5:$U$1204,"&lt;&gt;Cancelled"))</f>
        <v/>
      </c>
    </row>
    <row r="75">
      <c r="A75" s="81" t="str">
        <f>IF($Q75="","",68)</f>
        <v/>
      </c>
      <c r="B75" s="57" t="str">
        <f>IF($Q75="","",INDEX(TRANSACTIONS_MASTER!$B$5:$B$1204,$Q75))</f>
        <v/>
      </c>
      <c r="C75" s="55" t="str">
        <f>IF($Q75="","",INDEX(TRANSACTIONS_MASTER!$F$5:$F$1204,$Q75))</f>
        <v/>
      </c>
      <c r="D75" s="55" t="str">
        <f>IF($Q75="","",INDEX(TRANSACTIONS_MASTER!$E$5:$E$1204,$Q75))</f>
        <v/>
      </c>
      <c r="E75" s="55" t="str">
        <f>IF($Q75="","",INDEX(TRANSACTIONS_MASTER!$G$5:$G$1204,$Q75)&amp;"")</f>
        <v/>
      </c>
      <c r="F75" s="29" t="str">
        <f>IF($Q75="","",INDEX(TRANSACTIONS_MASTER!$I$5:$I$1204,$Q75))</f>
        <v/>
      </c>
      <c r="G75" s="55" t="str">
        <f>IF($Q75="","",INDEX(TRANSACTIONS_MASTER!$K$5:$K$1204,$Q75))</f>
        <v/>
      </c>
      <c r="H75" s="25" t="str">
        <f>IF($Q75="","",INDEX(TRANSACTIONS_MASTER!$L$5:$L$1204,$Q75))</f>
        <v/>
      </c>
      <c r="I75" s="56" t="str">
        <f>IF($Q75="","",INDEX(TRANSACTIONS_MASTER!$N$5:$N$1204,$Q75))</f>
        <v/>
      </c>
      <c r="J75" s="25" t="str">
        <f>IF($Q75="","",INDEX(TRANSACTIONS_MASTER!$O$5:$O$1204,$Q75))</f>
        <v/>
      </c>
      <c r="K75" s="26" t="str">
        <f>IF($Q75="","",INDEX(TRANSACTIONS_MASTER!$Q$5:$Q$1204,$Q75))</f>
        <v/>
      </c>
      <c r="L75" s="25" t="str">
        <f>IF($Q75="","",INDEX(TRANSACTIONS_MASTER!$P$5:$P$1204,$Q75))</f>
        <v/>
      </c>
      <c r="M75" s="25" t="str">
        <f>IF($Q75="","",INDEX(TRANSACTIONS_MASTER!$AA$5:$AA$1204,$Q75))</f>
        <v/>
      </c>
      <c r="N75" s="25" t="str">
        <f>IF($Q75="","",INDEX(TRANSACTIONS_MASTER!$R$5:$R$1204,$Q75))</f>
        <v/>
      </c>
      <c r="O75" s="28" t="str">
        <f>IF($Q75="","",INDEX(TRANSACTIONS_MASTER!$AB$5:$AB$1204,$Q75))</f>
        <v/>
      </c>
      <c r="P75" s="55" t="str">
        <f>IF($Q75="","",INDEX(TRANSACTIONS_MASTER!$Z$5:$Z$1204,$Q75)&amp;"")</f>
        <v/>
      </c>
      <c r="Q75" s="67" t="str">
        <f>IFERROR(MATCH($C$2&amp;"|"&amp;68,TRANSACTIONS_MASTER!$AE$5:$AE$1204,0),"")</f>
        <v/>
      </c>
      <c r="S75" s="67" t="n">
        <v>14</v>
      </c>
      <c r="T75" s="55" t="str">
        <f>IF(CARDS!$A18="","",CARDS!$A18)</f>
        <v/>
      </c>
      <c r="U75" s="55" t="str">
        <f>IF($T75="","",CARDS!$B18&amp;" "&amp;CARDS!$C18)</f>
        <v/>
      </c>
      <c r="V75" s="25" t="str">
        <f>IF($T75="","",SUMIFS(TRANSACTIONS_MASTER!$L$5:$L$1204,TRANSACTIONS_MASTER!$D$5:$D$1204,$T75,TRANSACTIONS_MASTER!$C$5:$C$1204,$C$2,TRANSACTIONS_MASTER!$U$5:$U$1204,"&lt;&gt;Cancelled"))</f>
        <v/>
      </c>
      <c r="W75" s="26" t="str">
        <f>IF($T75="","",SUMIFS(TRANSACTIONS_MASTER!$Q$5:$Q$1204,TRANSACTIONS_MASTER!$D$5:$D$1204,$T75,TRANSACTIONS_MASTER!$C$5:$C$1204,$C$2))</f>
        <v/>
      </c>
      <c r="X75" s="25" t="str">
        <f>IF($T75="","",IFERROR(IF(ISNUMBER(INDEX(CASHBACK_RULES!$K$5:$K$304,MATCH($T75,CASHBACK_RULES!$B$5:$B$304,0))),INDEX(CASHBACK_RULES!$K$5:$K$304,MATCH($T75,CASHBACK_RULES!$B$5:$B$304,0)),"∞"),"—"))</f>
        <v/>
      </c>
      <c r="Y75" s="25" t="str">
        <f>IF($T75="","",IF($X75="—","—",IF(COUNTIFS($T$8:$T$57,$T75,$Z$8:$Z$57,"∞")&gt;0,IF(ISNUMBER($X75),MAX(0,$X75-$W75),"∞"),IF(ISNUMBER($X75),MAX(0,MIN($X75-$W75,SUMIFS($Z$8:$Z$57,$T$8:$T$57,$T75))),SUMIFS($Z$8:$Z$57,$T$8:$T$57,$T75)))))</f>
        <v/>
      </c>
      <c r="Z75" s="27" t="str">
        <f>IF($T75="","",IF(ISNUMBER($X75),IF($X75=0,0,$W75/$X75),IF(ISNUMBER($Y75),IF($W75+$Y75=0,0,$W75/($W75+$Y75)),"")))</f>
        <v/>
      </c>
      <c r="AA75" s="29" t="str">
        <f>IF($T75="","",COUNTIFS(TRANSACTIONS_MASTER!$D$5:$D$1204,$T75,TRANSACTIONS_MASTER!$C$5:$C$1204,$C$2,TRANSACTIONS_MASTER!$U$5:$U$1204,"&lt;&gt;Cancelled"))</f>
        <v/>
      </c>
    </row>
    <row r="76">
      <c r="A76" s="81" t="str">
        <f>IF($Q76="","",69)</f>
        <v/>
      </c>
      <c r="B76" s="57" t="str">
        <f>IF($Q76="","",INDEX(TRANSACTIONS_MASTER!$B$5:$B$1204,$Q76))</f>
        <v/>
      </c>
      <c r="C76" s="55" t="str">
        <f>IF($Q76="","",INDEX(TRANSACTIONS_MASTER!$F$5:$F$1204,$Q76))</f>
        <v/>
      </c>
      <c r="D76" s="55" t="str">
        <f>IF($Q76="","",INDEX(TRANSACTIONS_MASTER!$E$5:$E$1204,$Q76))</f>
        <v/>
      </c>
      <c r="E76" s="55" t="str">
        <f>IF($Q76="","",INDEX(TRANSACTIONS_MASTER!$G$5:$G$1204,$Q76)&amp;"")</f>
        <v/>
      </c>
      <c r="F76" s="29" t="str">
        <f>IF($Q76="","",INDEX(TRANSACTIONS_MASTER!$I$5:$I$1204,$Q76))</f>
        <v/>
      </c>
      <c r="G76" s="55" t="str">
        <f>IF($Q76="","",INDEX(TRANSACTIONS_MASTER!$K$5:$K$1204,$Q76))</f>
        <v/>
      </c>
      <c r="H76" s="25" t="str">
        <f>IF($Q76="","",INDEX(TRANSACTIONS_MASTER!$L$5:$L$1204,$Q76))</f>
        <v/>
      </c>
      <c r="I76" s="56" t="str">
        <f>IF($Q76="","",INDEX(TRANSACTIONS_MASTER!$N$5:$N$1204,$Q76))</f>
        <v/>
      </c>
      <c r="J76" s="25" t="str">
        <f>IF($Q76="","",INDEX(TRANSACTIONS_MASTER!$O$5:$O$1204,$Q76))</f>
        <v/>
      </c>
      <c r="K76" s="26" t="str">
        <f>IF($Q76="","",INDEX(TRANSACTIONS_MASTER!$Q$5:$Q$1204,$Q76))</f>
        <v/>
      </c>
      <c r="L76" s="25" t="str">
        <f>IF($Q76="","",INDEX(TRANSACTIONS_MASTER!$P$5:$P$1204,$Q76))</f>
        <v/>
      </c>
      <c r="M76" s="25" t="str">
        <f>IF($Q76="","",INDEX(TRANSACTIONS_MASTER!$AA$5:$AA$1204,$Q76))</f>
        <v/>
      </c>
      <c r="N76" s="25" t="str">
        <f>IF($Q76="","",INDEX(TRANSACTIONS_MASTER!$R$5:$R$1204,$Q76))</f>
        <v/>
      </c>
      <c r="O76" s="28" t="str">
        <f>IF($Q76="","",INDEX(TRANSACTIONS_MASTER!$AB$5:$AB$1204,$Q76))</f>
        <v/>
      </c>
      <c r="P76" s="55" t="str">
        <f>IF($Q76="","",INDEX(TRANSACTIONS_MASTER!$Z$5:$Z$1204,$Q76)&amp;"")</f>
        <v/>
      </c>
      <c r="Q76" s="67" t="str">
        <f>IFERROR(MATCH($C$2&amp;"|"&amp;69,TRANSACTIONS_MASTER!$AE$5:$AE$1204,0),"")</f>
        <v/>
      </c>
      <c r="S76" s="67" t="n">
        <v>15</v>
      </c>
      <c r="T76" s="55" t="str">
        <f>IF(CARDS!$A19="","",CARDS!$A19)</f>
        <v/>
      </c>
      <c r="U76" s="55" t="str">
        <f>IF($T76="","",CARDS!$B19&amp;" "&amp;CARDS!$C19)</f>
        <v/>
      </c>
      <c r="V76" s="25" t="str">
        <f>IF($T76="","",SUMIFS(TRANSACTIONS_MASTER!$L$5:$L$1204,TRANSACTIONS_MASTER!$D$5:$D$1204,$T76,TRANSACTIONS_MASTER!$C$5:$C$1204,$C$2,TRANSACTIONS_MASTER!$U$5:$U$1204,"&lt;&gt;Cancelled"))</f>
        <v/>
      </c>
      <c r="W76" s="26" t="str">
        <f>IF($T76="","",SUMIFS(TRANSACTIONS_MASTER!$Q$5:$Q$1204,TRANSACTIONS_MASTER!$D$5:$D$1204,$T76,TRANSACTIONS_MASTER!$C$5:$C$1204,$C$2))</f>
        <v/>
      </c>
      <c r="X76" s="25" t="str">
        <f>IF($T76="","",IFERROR(IF(ISNUMBER(INDEX(CASHBACK_RULES!$K$5:$K$304,MATCH($T76,CASHBACK_RULES!$B$5:$B$304,0))),INDEX(CASHBACK_RULES!$K$5:$K$304,MATCH($T76,CASHBACK_RULES!$B$5:$B$304,0)),"∞"),"—"))</f>
        <v/>
      </c>
      <c r="Y76" s="25" t="str">
        <f>IF($T76="","",IF($X76="—","—",IF(COUNTIFS($T$8:$T$57,$T76,$Z$8:$Z$57,"∞")&gt;0,IF(ISNUMBER($X76),MAX(0,$X76-$W76),"∞"),IF(ISNUMBER($X76),MAX(0,MIN($X76-$W76,SUMIFS($Z$8:$Z$57,$T$8:$T$57,$T76))),SUMIFS($Z$8:$Z$57,$T$8:$T$57,$T76)))))</f>
        <v/>
      </c>
      <c r="Z76" s="27" t="str">
        <f>IF($T76="","",IF(ISNUMBER($X76),IF($X76=0,0,$W76/$X76),IF(ISNUMBER($Y76),IF($W76+$Y76=0,0,$W76/($W76+$Y76)),"")))</f>
        <v/>
      </c>
      <c r="AA76" s="29" t="str">
        <f>IF($T76="","",COUNTIFS(TRANSACTIONS_MASTER!$D$5:$D$1204,$T76,TRANSACTIONS_MASTER!$C$5:$C$1204,$C$2,TRANSACTIONS_MASTER!$U$5:$U$1204,"&lt;&gt;Cancelled"))</f>
        <v/>
      </c>
    </row>
    <row r="77">
      <c r="A77" s="81" t="str">
        <f>IF($Q77="","",70)</f>
        <v/>
      </c>
      <c r="B77" s="57" t="str">
        <f>IF($Q77="","",INDEX(TRANSACTIONS_MASTER!$B$5:$B$1204,$Q77))</f>
        <v/>
      </c>
      <c r="C77" s="55" t="str">
        <f>IF($Q77="","",INDEX(TRANSACTIONS_MASTER!$F$5:$F$1204,$Q77))</f>
        <v/>
      </c>
      <c r="D77" s="55" t="str">
        <f>IF($Q77="","",INDEX(TRANSACTIONS_MASTER!$E$5:$E$1204,$Q77))</f>
        <v/>
      </c>
      <c r="E77" s="55" t="str">
        <f>IF($Q77="","",INDEX(TRANSACTIONS_MASTER!$G$5:$G$1204,$Q77)&amp;"")</f>
        <v/>
      </c>
      <c r="F77" s="29" t="str">
        <f>IF($Q77="","",INDEX(TRANSACTIONS_MASTER!$I$5:$I$1204,$Q77))</f>
        <v/>
      </c>
      <c r="G77" s="55" t="str">
        <f>IF($Q77="","",INDEX(TRANSACTIONS_MASTER!$K$5:$K$1204,$Q77))</f>
        <v/>
      </c>
      <c r="H77" s="25" t="str">
        <f>IF($Q77="","",INDEX(TRANSACTIONS_MASTER!$L$5:$L$1204,$Q77))</f>
        <v/>
      </c>
      <c r="I77" s="56" t="str">
        <f>IF($Q77="","",INDEX(TRANSACTIONS_MASTER!$N$5:$N$1204,$Q77))</f>
        <v/>
      </c>
      <c r="J77" s="25" t="str">
        <f>IF($Q77="","",INDEX(TRANSACTIONS_MASTER!$O$5:$O$1204,$Q77))</f>
        <v/>
      </c>
      <c r="K77" s="26" t="str">
        <f>IF($Q77="","",INDEX(TRANSACTIONS_MASTER!$Q$5:$Q$1204,$Q77))</f>
        <v/>
      </c>
      <c r="L77" s="25" t="str">
        <f>IF($Q77="","",INDEX(TRANSACTIONS_MASTER!$P$5:$P$1204,$Q77))</f>
        <v/>
      </c>
      <c r="M77" s="25" t="str">
        <f>IF($Q77="","",INDEX(TRANSACTIONS_MASTER!$AA$5:$AA$1204,$Q77))</f>
        <v/>
      </c>
      <c r="N77" s="25" t="str">
        <f>IF($Q77="","",INDEX(TRANSACTIONS_MASTER!$R$5:$R$1204,$Q77))</f>
        <v/>
      </c>
      <c r="O77" s="28" t="str">
        <f>IF($Q77="","",INDEX(TRANSACTIONS_MASTER!$AB$5:$AB$1204,$Q77))</f>
        <v/>
      </c>
      <c r="P77" s="55" t="str">
        <f>IF($Q77="","",INDEX(TRANSACTIONS_MASTER!$Z$5:$Z$1204,$Q77)&amp;"")</f>
        <v/>
      </c>
      <c r="Q77" s="67" t="str">
        <f>IFERROR(MATCH($C$2&amp;"|"&amp;70,TRANSACTIONS_MASTER!$AE$5:$AE$1204,0),"")</f>
        <v/>
      </c>
      <c r="S77" s="67" t="n">
        <v>16</v>
      </c>
      <c r="T77" s="55" t="str">
        <f>IF(CARDS!$A20="","",CARDS!$A20)</f>
        <v/>
      </c>
      <c r="U77" s="55" t="str">
        <f>IF($T77="","",CARDS!$B20&amp;" "&amp;CARDS!$C20)</f>
        <v/>
      </c>
      <c r="V77" s="25" t="str">
        <f>IF($T77="","",SUMIFS(TRANSACTIONS_MASTER!$L$5:$L$1204,TRANSACTIONS_MASTER!$D$5:$D$1204,$T77,TRANSACTIONS_MASTER!$C$5:$C$1204,$C$2,TRANSACTIONS_MASTER!$U$5:$U$1204,"&lt;&gt;Cancelled"))</f>
        <v/>
      </c>
      <c r="W77" s="26" t="str">
        <f>IF($T77="","",SUMIFS(TRANSACTIONS_MASTER!$Q$5:$Q$1204,TRANSACTIONS_MASTER!$D$5:$D$1204,$T77,TRANSACTIONS_MASTER!$C$5:$C$1204,$C$2))</f>
        <v/>
      </c>
      <c r="X77" s="25" t="str">
        <f>IF($T77="","",IFERROR(IF(ISNUMBER(INDEX(CASHBACK_RULES!$K$5:$K$304,MATCH($T77,CASHBACK_RULES!$B$5:$B$304,0))),INDEX(CASHBACK_RULES!$K$5:$K$304,MATCH($T77,CASHBACK_RULES!$B$5:$B$304,0)),"∞"),"—"))</f>
        <v/>
      </c>
      <c r="Y77" s="25" t="str">
        <f>IF($T77="","",IF($X77="—","—",IF(COUNTIFS($T$8:$T$57,$T77,$Z$8:$Z$57,"∞")&gt;0,IF(ISNUMBER($X77),MAX(0,$X77-$W77),"∞"),IF(ISNUMBER($X77),MAX(0,MIN($X77-$W77,SUMIFS($Z$8:$Z$57,$T$8:$T$57,$T77))),SUMIFS($Z$8:$Z$57,$T$8:$T$57,$T77)))))</f>
        <v/>
      </c>
      <c r="Z77" s="27" t="str">
        <f>IF($T77="","",IF(ISNUMBER($X77),IF($X77=0,0,$W77/$X77),IF(ISNUMBER($Y77),IF($W77+$Y77=0,0,$W77/($W77+$Y77)),"")))</f>
        <v/>
      </c>
      <c r="AA77" s="29" t="str">
        <f>IF($T77="","",COUNTIFS(TRANSACTIONS_MASTER!$D$5:$D$1204,$T77,TRANSACTIONS_MASTER!$C$5:$C$1204,$C$2,TRANSACTIONS_MASTER!$U$5:$U$1204,"&lt;&gt;Cancelled"))</f>
        <v/>
      </c>
    </row>
    <row r="78">
      <c r="A78" s="81" t="str">
        <f>IF($Q78="","",71)</f>
        <v/>
      </c>
      <c r="B78" s="57" t="str">
        <f>IF($Q78="","",INDEX(TRANSACTIONS_MASTER!$B$5:$B$1204,$Q78))</f>
        <v/>
      </c>
      <c r="C78" s="55" t="str">
        <f>IF($Q78="","",INDEX(TRANSACTIONS_MASTER!$F$5:$F$1204,$Q78))</f>
        <v/>
      </c>
      <c r="D78" s="55" t="str">
        <f>IF($Q78="","",INDEX(TRANSACTIONS_MASTER!$E$5:$E$1204,$Q78))</f>
        <v/>
      </c>
      <c r="E78" s="55" t="str">
        <f>IF($Q78="","",INDEX(TRANSACTIONS_MASTER!$G$5:$G$1204,$Q78)&amp;"")</f>
        <v/>
      </c>
      <c r="F78" s="29" t="str">
        <f>IF($Q78="","",INDEX(TRANSACTIONS_MASTER!$I$5:$I$1204,$Q78))</f>
        <v/>
      </c>
      <c r="G78" s="55" t="str">
        <f>IF($Q78="","",INDEX(TRANSACTIONS_MASTER!$K$5:$K$1204,$Q78))</f>
        <v/>
      </c>
      <c r="H78" s="25" t="str">
        <f>IF($Q78="","",INDEX(TRANSACTIONS_MASTER!$L$5:$L$1204,$Q78))</f>
        <v/>
      </c>
      <c r="I78" s="56" t="str">
        <f>IF($Q78="","",INDEX(TRANSACTIONS_MASTER!$N$5:$N$1204,$Q78))</f>
        <v/>
      </c>
      <c r="J78" s="25" t="str">
        <f>IF($Q78="","",INDEX(TRANSACTIONS_MASTER!$O$5:$O$1204,$Q78))</f>
        <v/>
      </c>
      <c r="K78" s="26" t="str">
        <f>IF($Q78="","",INDEX(TRANSACTIONS_MASTER!$Q$5:$Q$1204,$Q78))</f>
        <v/>
      </c>
      <c r="L78" s="25" t="str">
        <f>IF($Q78="","",INDEX(TRANSACTIONS_MASTER!$P$5:$P$1204,$Q78))</f>
        <v/>
      </c>
      <c r="M78" s="25" t="str">
        <f>IF($Q78="","",INDEX(TRANSACTIONS_MASTER!$AA$5:$AA$1204,$Q78))</f>
        <v/>
      </c>
      <c r="N78" s="25" t="str">
        <f>IF($Q78="","",INDEX(TRANSACTIONS_MASTER!$R$5:$R$1204,$Q78))</f>
        <v/>
      </c>
      <c r="O78" s="28" t="str">
        <f>IF($Q78="","",INDEX(TRANSACTIONS_MASTER!$AB$5:$AB$1204,$Q78))</f>
        <v/>
      </c>
      <c r="P78" s="55" t="str">
        <f>IF($Q78="","",INDEX(TRANSACTIONS_MASTER!$Z$5:$Z$1204,$Q78)&amp;"")</f>
        <v/>
      </c>
      <c r="Q78" s="67" t="str">
        <f>IFERROR(MATCH($C$2&amp;"|"&amp;71,TRANSACTIONS_MASTER!$AE$5:$AE$1204,0),"")</f>
        <v/>
      </c>
      <c r="S78" s="67" t="n">
        <v>17</v>
      </c>
      <c r="T78" s="55" t="str">
        <f>IF(CARDS!$A21="","",CARDS!$A21)</f>
        <v/>
      </c>
      <c r="U78" s="55" t="str">
        <f>IF($T78="","",CARDS!$B21&amp;" "&amp;CARDS!$C21)</f>
        <v/>
      </c>
      <c r="V78" s="25" t="str">
        <f>IF($T78="","",SUMIFS(TRANSACTIONS_MASTER!$L$5:$L$1204,TRANSACTIONS_MASTER!$D$5:$D$1204,$T78,TRANSACTIONS_MASTER!$C$5:$C$1204,$C$2,TRANSACTIONS_MASTER!$U$5:$U$1204,"&lt;&gt;Cancelled"))</f>
        <v/>
      </c>
      <c r="W78" s="26" t="str">
        <f>IF($T78="","",SUMIFS(TRANSACTIONS_MASTER!$Q$5:$Q$1204,TRANSACTIONS_MASTER!$D$5:$D$1204,$T78,TRANSACTIONS_MASTER!$C$5:$C$1204,$C$2))</f>
        <v/>
      </c>
      <c r="X78" s="25" t="str">
        <f>IF($T78="","",IFERROR(IF(ISNUMBER(INDEX(CASHBACK_RULES!$K$5:$K$304,MATCH($T78,CASHBACK_RULES!$B$5:$B$304,0))),INDEX(CASHBACK_RULES!$K$5:$K$304,MATCH($T78,CASHBACK_RULES!$B$5:$B$304,0)),"∞"),"—"))</f>
        <v/>
      </c>
      <c r="Y78" s="25" t="str">
        <f>IF($T78="","",IF($X78="—","—",IF(COUNTIFS($T$8:$T$57,$T78,$Z$8:$Z$57,"∞")&gt;0,IF(ISNUMBER($X78),MAX(0,$X78-$W78),"∞"),IF(ISNUMBER($X78),MAX(0,MIN($X78-$W78,SUMIFS($Z$8:$Z$57,$T$8:$T$57,$T78))),SUMIFS($Z$8:$Z$57,$T$8:$T$57,$T78)))))</f>
        <v/>
      </c>
      <c r="Z78" s="27" t="str">
        <f>IF($T78="","",IF(ISNUMBER($X78),IF($X78=0,0,$W78/$X78),IF(ISNUMBER($Y78),IF($W78+$Y78=0,0,$W78/($W78+$Y78)),"")))</f>
        <v/>
      </c>
      <c r="AA78" s="29" t="str">
        <f>IF($T78="","",COUNTIFS(TRANSACTIONS_MASTER!$D$5:$D$1204,$T78,TRANSACTIONS_MASTER!$C$5:$C$1204,$C$2,TRANSACTIONS_MASTER!$U$5:$U$1204,"&lt;&gt;Cancelled"))</f>
        <v/>
      </c>
    </row>
    <row r="79">
      <c r="A79" s="81" t="str">
        <f>IF($Q79="","",72)</f>
        <v/>
      </c>
      <c r="B79" s="57" t="str">
        <f>IF($Q79="","",INDEX(TRANSACTIONS_MASTER!$B$5:$B$1204,$Q79))</f>
        <v/>
      </c>
      <c r="C79" s="55" t="str">
        <f>IF($Q79="","",INDEX(TRANSACTIONS_MASTER!$F$5:$F$1204,$Q79))</f>
        <v/>
      </c>
      <c r="D79" s="55" t="str">
        <f>IF($Q79="","",INDEX(TRANSACTIONS_MASTER!$E$5:$E$1204,$Q79))</f>
        <v/>
      </c>
      <c r="E79" s="55" t="str">
        <f>IF($Q79="","",INDEX(TRANSACTIONS_MASTER!$G$5:$G$1204,$Q79)&amp;"")</f>
        <v/>
      </c>
      <c r="F79" s="29" t="str">
        <f>IF($Q79="","",INDEX(TRANSACTIONS_MASTER!$I$5:$I$1204,$Q79))</f>
        <v/>
      </c>
      <c r="G79" s="55" t="str">
        <f>IF($Q79="","",INDEX(TRANSACTIONS_MASTER!$K$5:$K$1204,$Q79))</f>
        <v/>
      </c>
      <c r="H79" s="25" t="str">
        <f>IF($Q79="","",INDEX(TRANSACTIONS_MASTER!$L$5:$L$1204,$Q79))</f>
        <v/>
      </c>
      <c r="I79" s="56" t="str">
        <f>IF($Q79="","",INDEX(TRANSACTIONS_MASTER!$N$5:$N$1204,$Q79))</f>
        <v/>
      </c>
      <c r="J79" s="25" t="str">
        <f>IF($Q79="","",INDEX(TRANSACTIONS_MASTER!$O$5:$O$1204,$Q79))</f>
        <v/>
      </c>
      <c r="K79" s="26" t="str">
        <f>IF($Q79="","",INDEX(TRANSACTIONS_MASTER!$Q$5:$Q$1204,$Q79))</f>
        <v/>
      </c>
      <c r="L79" s="25" t="str">
        <f>IF($Q79="","",INDEX(TRANSACTIONS_MASTER!$P$5:$P$1204,$Q79))</f>
        <v/>
      </c>
      <c r="M79" s="25" t="str">
        <f>IF($Q79="","",INDEX(TRANSACTIONS_MASTER!$AA$5:$AA$1204,$Q79))</f>
        <v/>
      </c>
      <c r="N79" s="25" t="str">
        <f>IF($Q79="","",INDEX(TRANSACTIONS_MASTER!$R$5:$R$1204,$Q79))</f>
        <v/>
      </c>
      <c r="O79" s="28" t="str">
        <f>IF($Q79="","",INDEX(TRANSACTIONS_MASTER!$AB$5:$AB$1204,$Q79))</f>
        <v/>
      </c>
      <c r="P79" s="55" t="str">
        <f>IF($Q79="","",INDEX(TRANSACTIONS_MASTER!$Z$5:$Z$1204,$Q79)&amp;"")</f>
        <v/>
      </c>
      <c r="Q79" s="67" t="str">
        <f>IFERROR(MATCH($C$2&amp;"|"&amp;72,TRANSACTIONS_MASTER!$AE$5:$AE$1204,0),"")</f>
        <v/>
      </c>
      <c r="S79" s="67" t="n">
        <v>18</v>
      </c>
      <c r="T79" s="55" t="str">
        <f>IF(CARDS!$A22="","",CARDS!$A22)</f>
        <v/>
      </c>
      <c r="U79" s="55" t="str">
        <f>IF($T79="","",CARDS!$B22&amp;" "&amp;CARDS!$C22)</f>
        <v/>
      </c>
      <c r="V79" s="25" t="str">
        <f>IF($T79="","",SUMIFS(TRANSACTIONS_MASTER!$L$5:$L$1204,TRANSACTIONS_MASTER!$D$5:$D$1204,$T79,TRANSACTIONS_MASTER!$C$5:$C$1204,$C$2,TRANSACTIONS_MASTER!$U$5:$U$1204,"&lt;&gt;Cancelled"))</f>
        <v/>
      </c>
      <c r="W79" s="26" t="str">
        <f>IF($T79="","",SUMIFS(TRANSACTIONS_MASTER!$Q$5:$Q$1204,TRANSACTIONS_MASTER!$D$5:$D$1204,$T79,TRANSACTIONS_MASTER!$C$5:$C$1204,$C$2))</f>
        <v/>
      </c>
      <c r="X79" s="25" t="str">
        <f>IF($T79="","",IFERROR(IF(ISNUMBER(INDEX(CASHBACK_RULES!$K$5:$K$304,MATCH($T79,CASHBACK_RULES!$B$5:$B$304,0))),INDEX(CASHBACK_RULES!$K$5:$K$304,MATCH($T79,CASHBACK_RULES!$B$5:$B$304,0)),"∞"),"—"))</f>
        <v/>
      </c>
      <c r="Y79" s="25" t="str">
        <f>IF($T79="","",IF($X79="—","—",IF(COUNTIFS($T$8:$T$57,$T79,$Z$8:$Z$57,"∞")&gt;0,IF(ISNUMBER($X79),MAX(0,$X79-$W79),"∞"),IF(ISNUMBER($X79),MAX(0,MIN($X79-$W79,SUMIFS($Z$8:$Z$57,$T$8:$T$57,$T79))),SUMIFS($Z$8:$Z$57,$T$8:$T$57,$T79)))))</f>
        <v/>
      </c>
      <c r="Z79" s="27" t="str">
        <f>IF($T79="","",IF(ISNUMBER($X79),IF($X79=0,0,$W79/$X79),IF(ISNUMBER($Y79),IF($W79+$Y79=0,0,$W79/($W79+$Y79)),"")))</f>
        <v/>
      </c>
      <c r="AA79" s="29" t="str">
        <f>IF($T79="","",COUNTIFS(TRANSACTIONS_MASTER!$D$5:$D$1204,$T79,TRANSACTIONS_MASTER!$C$5:$C$1204,$C$2,TRANSACTIONS_MASTER!$U$5:$U$1204,"&lt;&gt;Cancelled"))</f>
        <v/>
      </c>
    </row>
    <row r="80">
      <c r="A80" s="81" t="str">
        <f>IF($Q80="","",73)</f>
        <v/>
      </c>
      <c r="B80" s="57" t="str">
        <f>IF($Q80="","",INDEX(TRANSACTIONS_MASTER!$B$5:$B$1204,$Q80))</f>
        <v/>
      </c>
      <c r="C80" s="55" t="str">
        <f>IF($Q80="","",INDEX(TRANSACTIONS_MASTER!$F$5:$F$1204,$Q80))</f>
        <v/>
      </c>
      <c r="D80" s="55" t="str">
        <f>IF($Q80="","",INDEX(TRANSACTIONS_MASTER!$E$5:$E$1204,$Q80))</f>
        <v/>
      </c>
      <c r="E80" s="55" t="str">
        <f>IF($Q80="","",INDEX(TRANSACTIONS_MASTER!$G$5:$G$1204,$Q80)&amp;"")</f>
        <v/>
      </c>
      <c r="F80" s="29" t="str">
        <f>IF($Q80="","",INDEX(TRANSACTIONS_MASTER!$I$5:$I$1204,$Q80))</f>
        <v/>
      </c>
      <c r="G80" s="55" t="str">
        <f>IF($Q80="","",INDEX(TRANSACTIONS_MASTER!$K$5:$K$1204,$Q80))</f>
        <v/>
      </c>
      <c r="H80" s="25" t="str">
        <f>IF($Q80="","",INDEX(TRANSACTIONS_MASTER!$L$5:$L$1204,$Q80))</f>
        <v/>
      </c>
      <c r="I80" s="56" t="str">
        <f>IF($Q80="","",INDEX(TRANSACTIONS_MASTER!$N$5:$N$1204,$Q80))</f>
        <v/>
      </c>
      <c r="J80" s="25" t="str">
        <f>IF($Q80="","",INDEX(TRANSACTIONS_MASTER!$O$5:$O$1204,$Q80))</f>
        <v/>
      </c>
      <c r="K80" s="26" t="str">
        <f>IF($Q80="","",INDEX(TRANSACTIONS_MASTER!$Q$5:$Q$1204,$Q80))</f>
        <v/>
      </c>
      <c r="L80" s="25" t="str">
        <f>IF($Q80="","",INDEX(TRANSACTIONS_MASTER!$P$5:$P$1204,$Q80))</f>
        <v/>
      </c>
      <c r="M80" s="25" t="str">
        <f>IF($Q80="","",INDEX(TRANSACTIONS_MASTER!$AA$5:$AA$1204,$Q80))</f>
        <v/>
      </c>
      <c r="N80" s="25" t="str">
        <f>IF($Q80="","",INDEX(TRANSACTIONS_MASTER!$R$5:$R$1204,$Q80))</f>
        <v/>
      </c>
      <c r="O80" s="28" t="str">
        <f>IF($Q80="","",INDEX(TRANSACTIONS_MASTER!$AB$5:$AB$1204,$Q80))</f>
        <v/>
      </c>
      <c r="P80" s="55" t="str">
        <f>IF($Q80="","",INDEX(TRANSACTIONS_MASTER!$Z$5:$Z$1204,$Q80)&amp;"")</f>
        <v/>
      </c>
      <c r="Q80" s="67" t="str">
        <f>IFERROR(MATCH($C$2&amp;"|"&amp;73,TRANSACTIONS_MASTER!$AE$5:$AE$1204,0),"")</f>
        <v/>
      </c>
      <c r="S80" s="67" t="n">
        <v>19</v>
      </c>
      <c r="T80" s="55" t="str">
        <f>IF(CARDS!$A23="","",CARDS!$A23)</f>
        <v/>
      </c>
      <c r="U80" s="55" t="str">
        <f>IF($T80="","",CARDS!$B23&amp;" "&amp;CARDS!$C23)</f>
        <v/>
      </c>
      <c r="V80" s="25" t="str">
        <f>IF($T80="","",SUMIFS(TRANSACTIONS_MASTER!$L$5:$L$1204,TRANSACTIONS_MASTER!$D$5:$D$1204,$T80,TRANSACTIONS_MASTER!$C$5:$C$1204,$C$2,TRANSACTIONS_MASTER!$U$5:$U$1204,"&lt;&gt;Cancelled"))</f>
        <v/>
      </c>
      <c r="W80" s="26" t="str">
        <f>IF($T80="","",SUMIFS(TRANSACTIONS_MASTER!$Q$5:$Q$1204,TRANSACTIONS_MASTER!$D$5:$D$1204,$T80,TRANSACTIONS_MASTER!$C$5:$C$1204,$C$2))</f>
        <v/>
      </c>
      <c r="X80" s="25" t="str">
        <f>IF($T80="","",IFERROR(IF(ISNUMBER(INDEX(CASHBACK_RULES!$K$5:$K$304,MATCH($T80,CASHBACK_RULES!$B$5:$B$304,0))),INDEX(CASHBACK_RULES!$K$5:$K$304,MATCH($T80,CASHBACK_RULES!$B$5:$B$304,0)),"∞"),"—"))</f>
        <v/>
      </c>
      <c r="Y80" s="25" t="str">
        <f>IF($T80="","",IF($X80="—","—",IF(COUNTIFS($T$8:$T$57,$T80,$Z$8:$Z$57,"∞")&gt;0,IF(ISNUMBER($X80),MAX(0,$X80-$W80),"∞"),IF(ISNUMBER($X80),MAX(0,MIN($X80-$W80,SUMIFS($Z$8:$Z$57,$T$8:$T$57,$T80))),SUMIFS($Z$8:$Z$57,$T$8:$T$57,$T80)))))</f>
        <v/>
      </c>
      <c r="Z80" s="27" t="str">
        <f>IF($T80="","",IF(ISNUMBER($X80),IF($X80=0,0,$W80/$X80),IF(ISNUMBER($Y80),IF($W80+$Y80=0,0,$W80/($W80+$Y80)),"")))</f>
        <v/>
      </c>
      <c r="AA80" s="29" t="str">
        <f>IF($T80="","",COUNTIFS(TRANSACTIONS_MASTER!$D$5:$D$1204,$T80,TRANSACTIONS_MASTER!$C$5:$C$1204,$C$2,TRANSACTIONS_MASTER!$U$5:$U$1204,"&lt;&gt;Cancelled"))</f>
        <v/>
      </c>
    </row>
    <row r="81">
      <c r="A81" s="81" t="str">
        <f>IF($Q81="","",74)</f>
        <v/>
      </c>
      <c r="B81" s="57" t="str">
        <f>IF($Q81="","",INDEX(TRANSACTIONS_MASTER!$B$5:$B$1204,$Q81))</f>
        <v/>
      </c>
      <c r="C81" s="55" t="str">
        <f>IF($Q81="","",INDEX(TRANSACTIONS_MASTER!$F$5:$F$1204,$Q81))</f>
        <v/>
      </c>
      <c r="D81" s="55" t="str">
        <f>IF($Q81="","",INDEX(TRANSACTIONS_MASTER!$E$5:$E$1204,$Q81))</f>
        <v/>
      </c>
      <c r="E81" s="55" t="str">
        <f>IF($Q81="","",INDEX(TRANSACTIONS_MASTER!$G$5:$G$1204,$Q81)&amp;"")</f>
        <v/>
      </c>
      <c r="F81" s="29" t="str">
        <f>IF($Q81="","",INDEX(TRANSACTIONS_MASTER!$I$5:$I$1204,$Q81))</f>
        <v/>
      </c>
      <c r="G81" s="55" t="str">
        <f>IF($Q81="","",INDEX(TRANSACTIONS_MASTER!$K$5:$K$1204,$Q81))</f>
        <v/>
      </c>
      <c r="H81" s="25" t="str">
        <f>IF($Q81="","",INDEX(TRANSACTIONS_MASTER!$L$5:$L$1204,$Q81))</f>
        <v/>
      </c>
      <c r="I81" s="56" t="str">
        <f>IF($Q81="","",INDEX(TRANSACTIONS_MASTER!$N$5:$N$1204,$Q81))</f>
        <v/>
      </c>
      <c r="J81" s="25" t="str">
        <f>IF($Q81="","",INDEX(TRANSACTIONS_MASTER!$O$5:$O$1204,$Q81))</f>
        <v/>
      </c>
      <c r="K81" s="26" t="str">
        <f>IF($Q81="","",INDEX(TRANSACTIONS_MASTER!$Q$5:$Q$1204,$Q81))</f>
        <v/>
      </c>
      <c r="L81" s="25" t="str">
        <f>IF($Q81="","",INDEX(TRANSACTIONS_MASTER!$P$5:$P$1204,$Q81))</f>
        <v/>
      </c>
      <c r="M81" s="25" t="str">
        <f>IF($Q81="","",INDEX(TRANSACTIONS_MASTER!$AA$5:$AA$1204,$Q81))</f>
        <v/>
      </c>
      <c r="N81" s="25" t="str">
        <f>IF($Q81="","",INDEX(TRANSACTIONS_MASTER!$R$5:$R$1204,$Q81))</f>
        <v/>
      </c>
      <c r="O81" s="28" t="str">
        <f>IF($Q81="","",INDEX(TRANSACTIONS_MASTER!$AB$5:$AB$1204,$Q81))</f>
        <v/>
      </c>
      <c r="P81" s="55" t="str">
        <f>IF($Q81="","",INDEX(TRANSACTIONS_MASTER!$Z$5:$Z$1204,$Q81)&amp;"")</f>
        <v/>
      </c>
      <c r="Q81" s="67" t="str">
        <f>IFERROR(MATCH($C$2&amp;"|"&amp;74,TRANSACTIONS_MASTER!$AE$5:$AE$1204,0),"")</f>
        <v/>
      </c>
      <c r="S81" s="67" t="n">
        <v>20</v>
      </c>
      <c r="T81" s="55" t="str">
        <f>IF(CARDS!$A24="","",CARDS!$A24)</f>
        <v/>
      </c>
      <c r="U81" s="55" t="str">
        <f>IF($T81="","",CARDS!$B24&amp;" "&amp;CARDS!$C24)</f>
        <v/>
      </c>
      <c r="V81" s="25" t="str">
        <f>IF($T81="","",SUMIFS(TRANSACTIONS_MASTER!$L$5:$L$1204,TRANSACTIONS_MASTER!$D$5:$D$1204,$T81,TRANSACTIONS_MASTER!$C$5:$C$1204,$C$2,TRANSACTIONS_MASTER!$U$5:$U$1204,"&lt;&gt;Cancelled"))</f>
        <v/>
      </c>
      <c r="W81" s="26" t="str">
        <f>IF($T81="","",SUMIFS(TRANSACTIONS_MASTER!$Q$5:$Q$1204,TRANSACTIONS_MASTER!$D$5:$D$1204,$T81,TRANSACTIONS_MASTER!$C$5:$C$1204,$C$2))</f>
        <v/>
      </c>
      <c r="X81" s="25" t="str">
        <f>IF($T81="","",IFERROR(IF(ISNUMBER(INDEX(CASHBACK_RULES!$K$5:$K$304,MATCH($T81,CASHBACK_RULES!$B$5:$B$304,0))),INDEX(CASHBACK_RULES!$K$5:$K$304,MATCH($T81,CASHBACK_RULES!$B$5:$B$304,0)),"∞"),"—"))</f>
        <v/>
      </c>
      <c r="Y81" s="25" t="str">
        <f>IF($T81="","",IF($X81="—","—",IF(COUNTIFS($T$8:$T$57,$T81,$Z$8:$Z$57,"∞")&gt;0,IF(ISNUMBER($X81),MAX(0,$X81-$W81),"∞"),IF(ISNUMBER($X81),MAX(0,MIN($X81-$W81,SUMIFS($Z$8:$Z$57,$T$8:$T$57,$T81))),SUMIFS($Z$8:$Z$57,$T$8:$T$57,$T81)))))</f>
        <v/>
      </c>
      <c r="Z81" s="27" t="str">
        <f>IF($T81="","",IF(ISNUMBER($X81),IF($X81=0,0,$W81/$X81),IF(ISNUMBER($Y81),IF($W81+$Y81=0,0,$W81/($W81+$Y81)),"")))</f>
        <v/>
      </c>
      <c r="AA81" s="29" t="str">
        <f>IF($T81="","",COUNTIFS(TRANSACTIONS_MASTER!$D$5:$D$1204,$T81,TRANSACTIONS_MASTER!$C$5:$C$1204,$C$2,TRANSACTIONS_MASTER!$U$5:$U$1204,"&lt;&gt;Cancelled"))</f>
        <v/>
      </c>
    </row>
    <row r="82">
      <c r="A82" s="81" t="str">
        <f>IF($Q82="","",75)</f>
        <v/>
      </c>
      <c r="B82" s="57" t="str">
        <f>IF($Q82="","",INDEX(TRANSACTIONS_MASTER!$B$5:$B$1204,$Q82))</f>
        <v/>
      </c>
      <c r="C82" s="55" t="str">
        <f>IF($Q82="","",INDEX(TRANSACTIONS_MASTER!$F$5:$F$1204,$Q82))</f>
        <v/>
      </c>
      <c r="D82" s="55" t="str">
        <f>IF($Q82="","",INDEX(TRANSACTIONS_MASTER!$E$5:$E$1204,$Q82))</f>
        <v/>
      </c>
      <c r="E82" s="55" t="str">
        <f>IF($Q82="","",INDEX(TRANSACTIONS_MASTER!$G$5:$G$1204,$Q82)&amp;"")</f>
        <v/>
      </c>
      <c r="F82" s="29" t="str">
        <f>IF($Q82="","",INDEX(TRANSACTIONS_MASTER!$I$5:$I$1204,$Q82))</f>
        <v/>
      </c>
      <c r="G82" s="55" t="str">
        <f>IF($Q82="","",INDEX(TRANSACTIONS_MASTER!$K$5:$K$1204,$Q82))</f>
        <v/>
      </c>
      <c r="H82" s="25" t="str">
        <f>IF($Q82="","",INDEX(TRANSACTIONS_MASTER!$L$5:$L$1204,$Q82))</f>
        <v/>
      </c>
      <c r="I82" s="56" t="str">
        <f>IF($Q82="","",INDEX(TRANSACTIONS_MASTER!$N$5:$N$1204,$Q82))</f>
        <v/>
      </c>
      <c r="J82" s="25" t="str">
        <f>IF($Q82="","",INDEX(TRANSACTIONS_MASTER!$O$5:$O$1204,$Q82))</f>
        <v/>
      </c>
      <c r="K82" s="26" t="str">
        <f>IF($Q82="","",INDEX(TRANSACTIONS_MASTER!$Q$5:$Q$1204,$Q82))</f>
        <v/>
      </c>
      <c r="L82" s="25" t="str">
        <f>IF($Q82="","",INDEX(TRANSACTIONS_MASTER!$P$5:$P$1204,$Q82))</f>
        <v/>
      </c>
      <c r="M82" s="25" t="str">
        <f>IF($Q82="","",INDEX(TRANSACTIONS_MASTER!$AA$5:$AA$1204,$Q82))</f>
        <v/>
      </c>
      <c r="N82" s="25" t="str">
        <f>IF($Q82="","",INDEX(TRANSACTIONS_MASTER!$R$5:$R$1204,$Q82))</f>
        <v/>
      </c>
      <c r="O82" s="28" t="str">
        <f>IF($Q82="","",INDEX(TRANSACTIONS_MASTER!$AB$5:$AB$1204,$Q82))</f>
        <v/>
      </c>
      <c r="P82" s="55" t="str">
        <f>IF($Q82="","",INDEX(TRANSACTIONS_MASTER!$Z$5:$Z$1204,$Q82)&amp;"")</f>
        <v/>
      </c>
      <c r="Q82" s="67" t="str">
        <f>IFERROR(MATCH($C$2&amp;"|"&amp;75,TRANSACTIONS_MASTER!$AE$5:$AE$1204,0),"")</f>
        <v/>
      </c>
      <c r="S82" s="67" t="n">
        <v>21</v>
      </c>
      <c r="T82" s="55" t="str">
        <f>IF(CARDS!$A25="","",CARDS!$A25)</f>
        <v/>
      </c>
      <c r="U82" s="55" t="str">
        <f>IF($T82="","",CARDS!$B25&amp;" "&amp;CARDS!$C25)</f>
        <v/>
      </c>
      <c r="V82" s="25" t="str">
        <f>IF($T82="","",SUMIFS(TRANSACTIONS_MASTER!$L$5:$L$1204,TRANSACTIONS_MASTER!$D$5:$D$1204,$T82,TRANSACTIONS_MASTER!$C$5:$C$1204,$C$2,TRANSACTIONS_MASTER!$U$5:$U$1204,"&lt;&gt;Cancelled"))</f>
        <v/>
      </c>
      <c r="W82" s="26" t="str">
        <f>IF($T82="","",SUMIFS(TRANSACTIONS_MASTER!$Q$5:$Q$1204,TRANSACTIONS_MASTER!$D$5:$D$1204,$T82,TRANSACTIONS_MASTER!$C$5:$C$1204,$C$2))</f>
        <v/>
      </c>
      <c r="X82" s="25" t="str">
        <f>IF($T82="","",IFERROR(IF(ISNUMBER(INDEX(CASHBACK_RULES!$K$5:$K$304,MATCH($T82,CASHBACK_RULES!$B$5:$B$304,0))),INDEX(CASHBACK_RULES!$K$5:$K$304,MATCH($T82,CASHBACK_RULES!$B$5:$B$304,0)),"∞"),"—"))</f>
        <v/>
      </c>
      <c r="Y82" s="25" t="str">
        <f>IF($T82="","",IF($X82="—","—",IF(COUNTIFS($T$8:$T$57,$T82,$Z$8:$Z$57,"∞")&gt;0,IF(ISNUMBER($X82),MAX(0,$X82-$W82),"∞"),IF(ISNUMBER($X82),MAX(0,MIN($X82-$W82,SUMIFS($Z$8:$Z$57,$T$8:$T$57,$T82))),SUMIFS($Z$8:$Z$57,$T$8:$T$57,$T82)))))</f>
        <v/>
      </c>
      <c r="Z82" s="27" t="str">
        <f>IF($T82="","",IF(ISNUMBER($X82),IF($X82=0,0,$W82/$X82),IF(ISNUMBER($Y82),IF($W82+$Y82=0,0,$W82/($W82+$Y82)),"")))</f>
        <v/>
      </c>
      <c r="AA82" s="29" t="str">
        <f>IF($T82="","",COUNTIFS(TRANSACTIONS_MASTER!$D$5:$D$1204,$T82,TRANSACTIONS_MASTER!$C$5:$C$1204,$C$2,TRANSACTIONS_MASTER!$U$5:$U$1204,"&lt;&gt;Cancelled"))</f>
        <v/>
      </c>
    </row>
    <row r="83">
      <c r="A83" s="81" t="str">
        <f>IF($Q83="","",76)</f>
        <v/>
      </c>
      <c r="B83" s="57" t="str">
        <f>IF($Q83="","",INDEX(TRANSACTIONS_MASTER!$B$5:$B$1204,$Q83))</f>
        <v/>
      </c>
      <c r="C83" s="55" t="str">
        <f>IF($Q83="","",INDEX(TRANSACTIONS_MASTER!$F$5:$F$1204,$Q83))</f>
        <v/>
      </c>
      <c r="D83" s="55" t="str">
        <f>IF($Q83="","",INDEX(TRANSACTIONS_MASTER!$E$5:$E$1204,$Q83))</f>
        <v/>
      </c>
      <c r="E83" s="55" t="str">
        <f>IF($Q83="","",INDEX(TRANSACTIONS_MASTER!$G$5:$G$1204,$Q83)&amp;"")</f>
        <v/>
      </c>
      <c r="F83" s="29" t="str">
        <f>IF($Q83="","",INDEX(TRANSACTIONS_MASTER!$I$5:$I$1204,$Q83))</f>
        <v/>
      </c>
      <c r="G83" s="55" t="str">
        <f>IF($Q83="","",INDEX(TRANSACTIONS_MASTER!$K$5:$K$1204,$Q83))</f>
        <v/>
      </c>
      <c r="H83" s="25" t="str">
        <f>IF($Q83="","",INDEX(TRANSACTIONS_MASTER!$L$5:$L$1204,$Q83))</f>
        <v/>
      </c>
      <c r="I83" s="56" t="str">
        <f>IF($Q83="","",INDEX(TRANSACTIONS_MASTER!$N$5:$N$1204,$Q83))</f>
        <v/>
      </c>
      <c r="J83" s="25" t="str">
        <f>IF($Q83="","",INDEX(TRANSACTIONS_MASTER!$O$5:$O$1204,$Q83))</f>
        <v/>
      </c>
      <c r="K83" s="26" t="str">
        <f>IF($Q83="","",INDEX(TRANSACTIONS_MASTER!$Q$5:$Q$1204,$Q83))</f>
        <v/>
      </c>
      <c r="L83" s="25" t="str">
        <f>IF($Q83="","",INDEX(TRANSACTIONS_MASTER!$P$5:$P$1204,$Q83))</f>
        <v/>
      </c>
      <c r="M83" s="25" t="str">
        <f>IF($Q83="","",INDEX(TRANSACTIONS_MASTER!$AA$5:$AA$1204,$Q83))</f>
        <v/>
      </c>
      <c r="N83" s="25" t="str">
        <f>IF($Q83="","",INDEX(TRANSACTIONS_MASTER!$R$5:$R$1204,$Q83))</f>
        <v/>
      </c>
      <c r="O83" s="28" t="str">
        <f>IF($Q83="","",INDEX(TRANSACTIONS_MASTER!$AB$5:$AB$1204,$Q83))</f>
        <v/>
      </c>
      <c r="P83" s="55" t="str">
        <f>IF($Q83="","",INDEX(TRANSACTIONS_MASTER!$Z$5:$Z$1204,$Q83)&amp;"")</f>
        <v/>
      </c>
      <c r="Q83" s="67" t="str">
        <f>IFERROR(MATCH($C$2&amp;"|"&amp;76,TRANSACTIONS_MASTER!$AE$5:$AE$1204,0),"")</f>
        <v/>
      </c>
      <c r="S83" s="67" t="n">
        <v>22</v>
      </c>
      <c r="T83" s="55" t="str">
        <f>IF(CARDS!$A26="","",CARDS!$A26)</f>
        <v/>
      </c>
      <c r="U83" s="55" t="str">
        <f>IF($T83="","",CARDS!$B26&amp;" "&amp;CARDS!$C26)</f>
        <v/>
      </c>
      <c r="V83" s="25" t="str">
        <f>IF($T83="","",SUMIFS(TRANSACTIONS_MASTER!$L$5:$L$1204,TRANSACTIONS_MASTER!$D$5:$D$1204,$T83,TRANSACTIONS_MASTER!$C$5:$C$1204,$C$2,TRANSACTIONS_MASTER!$U$5:$U$1204,"&lt;&gt;Cancelled"))</f>
        <v/>
      </c>
      <c r="W83" s="26" t="str">
        <f>IF($T83="","",SUMIFS(TRANSACTIONS_MASTER!$Q$5:$Q$1204,TRANSACTIONS_MASTER!$D$5:$D$1204,$T83,TRANSACTIONS_MASTER!$C$5:$C$1204,$C$2))</f>
        <v/>
      </c>
      <c r="X83" s="25" t="str">
        <f>IF($T83="","",IFERROR(IF(ISNUMBER(INDEX(CASHBACK_RULES!$K$5:$K$304,MATCH($T83,CASHBACK_RULES!$B$5:$B$304,0))),INDEX(CASHBACK_RULES!$K$5:$K$304,MATCH($T83,CASHBACK_RULES!$B$5:$B$304,0)),"∞"),"—"))</f>
        <v/>
      </c>
      <c r="Y83" s="25" t="str">
        <f>IF($T83="","",IF($X83="—","—",IF(COUNTIFS($T$8:$T$57,$T83,$Z$8:$Z$57,"∞")&gt;0,IF(ISNUMBER($X83),MAX(0,$X83-$W83),"∞"),IF(ISNUMBER($X83),MAX(0,MIN($X83-$W83,SUMIFS($Z$8:$Z$57,$T$8:$T$57,$T83))),SUMIFS($Z$8:$Z$57,$T$8:$T$57,$T83)))))</f>
        <v/>
      </c>
      <c r="Z83" s="27" t="str">
        <f>IF($T83="","",IF(ISNUMBER($X83),IF($X83=0,0,$W83/$X83),IF(ISNUMBER($Y83),IF($W83+$Y83=0,0,$W83/($W83+$Y83)),"")))</f>
        <v/>
      </c>
      <c r="AA83" s="29" t="str">
        <f>IF($T83="","",COUNTIFS(TRANSACTIONS_MASTER!$D$5:$D$1204,$T83,TRANSACTIONS_MASTER!$C$5:$C$1204,$C$2,TRANSACTIONS_MASTER!$U$5:$U$1204,"&lt;&gt;Cancelled"))</f>
        <v/>
      </c>
    </row>
    <row r="84">
      <c r="A84" s="81" t="str">
        <f>IF($Q84="","",77)</f>
        <v/>
      </c>
      <c r="B84" s="57" t="str">
        <f>IF($Q84="","",INDEX(TRANSACTIONS_MASTER!$B$5:$B$1204,$Q84))</f>
        <v/>
      </c>
      <c r="C84" s="55" t="str">
        <f>IF($Q84="","",INDEX(TRANSACTIONS_MASTER!$F$5:$F$1204,$Q84))</f>
        <v/>
      </c>
      <c r="D84" s="55" t="str">
        <f>IF($Q84="","",INDEX(TRANSACTIONS_MASTER!$E$5:$E$1204,$Q84))</f>
        <v/>
      </c>
      <c r="E84" s="55" t="str">
        <f>IF($Q84="","",INDEX(TRANSACTIONS_MASTER!$G$5:$G$1204,$Q84)&amp;"")</f>
        <v/>
      </c>
      <c r="F84" s="29" t="str">
        <f>IF($Q84="","",INDEX(TRANSACTIONS_MASTER!$I$5:$I$1204,$Q84))</f>
        <v/>
      </c>
      <c r="G84" s="55" t="str">
        <f>IF($Q84="","",INDEX(TRANSACTIONS_MASTER!$K$5:$K$1204,$Q84))</f>
        <v/>
      </c>
      <c r="H84" s="25" t="str">
        <f>IF($Q84="","",INDEX(TRANSACTIONS_MASTER!$L$5:$L$1204,$Q84))</f>
        <v/>
      </c>
      <c r="I84" s="56" t="str">
        <f>IF($Q84="","",INDEX(TRANSACTIONS_MASTER!$N$5:$N$1204,$Q84))</f>
        <v/>
      </c>
      <c r="J84" s="25" t="str">
        <f>IF($Q84="","",INDEX(TRANSACTIONS_MASTER!$O$5:$O$1204,$Q84))</f>
        <v/>
      </c>
      <c r="K84" s="26" t="str">
        <f>IF($Q84="","",INDEX(TRANSACTIONS_MASTER!$Q$5:$Q$1204,$Q84))</f>
        <v/>
      </c>
      <c r="L84" s="25" t="str">
        <f>IF($Q84="","",INDEX(TRANSACTIONS_MASTER!$P$5:$P$1204,$Q84))</f>
        <v/>
      </c>
      <c r="M84" s="25" t="str">
        <f>IF($Q84="","",INDEX(TRANSACTIONS_MASTER!$AA$5:$AA$1204,$Q84))</f>
        <v/>
      </c>
      <c r="N84" s="25" t="str">
        <f>IF($Q84="","",INDEX(TRANSACTIONS_MASTER!$R$5:$R$1204,$Q84))</f>
        <v/>
      </c>
      <c r="O84" s="28" t="str">
        <f>IF($Q84="","",INDEX(TRANSACTIONS_MASTER!$AB$5:$AB$1204,$Q84))</f>
        <v/>
      </c>
      <c r="P84" s="55" t="str">
        <f>IF($Q84="","",INDEX(TRANSACTIONS_MASTER!$Z$5:$Z$1204,$Q84)&amp;"")</f>
        <v/>
      </c>
      <c r="Q84" s="67" t="str">
        <f>IFERROR(MATCH($C$2&amp;"|"&amp;77,TRANSACTIONS_MASTER!$AE$5:$AE$1204,0),"")</f>
        <v/>
      </c>
      <c r="S84" s="67" t="n">
        <v>23</v>
      </c>
      <c r="T84" s="55" t="str">
        <f>IF(CARDS!$A27="","",CARDS!$A27)</f>
        <v/>
      </c>
      <c r="U84" s="55" t="str">
        <f>IF($T84="","",CARDS!$B27&amp;" "&amp;CARDS!$C27)</f>
        <v/>
      </c>
      <c r="V84" s="25" t="str">
        <f>IF($T84="","",SUMIFS(TRANSACTIONS_MASTER!$L$5:$L$1204,TRANSACTIONS_MASTER!$D$5:$D$1204,$T84,TRANSACTIONS_MASTER!$C$5:$C$1204,$C$2,TRANSACTIONS_MASTER!$U$5:$U$1204,"&lt;&gt;Cancelled"))</f>
        <v/>
      </c>
      <c r="W84" s="26" t="str">
        <f>IF($T84="","",SUMIFS(TRANSACTIONS_MASTER!$Q$5:$Q$1204,TRANSACTIONS_MASTER!$D$5:$D$1204,$T84,TRANSACTIONS_MASTER!$C$5:$C$1204,$C$2))</f>
        <v/>
      </c>
      <c r="X84" s="25" t="str">
        <f>IF($T84="","",IFERROR(IF(ISNUMBER(INDEX(CASHBACK_RULES!$K$5:$K$304,MATCH($T84,CASHBACK_RULES!$B$5:$B$304,0))),INDEX(CASHBACK_RULES!$K$5:$K$304,MATCH($T84,CASHBACK_RULES!$B$5:$B$304,0)),"∞"),"—"))</f>
        <v/>
      </c>
      <c r="Y84" s="25" t="str">
        <f>IF($T84="","",IF($X84="—","—",IF(COUNTIFS($T$8:$T$57,$T84,$Z$8:$Z$57,"∞")&gt;0,IF(ISNUMBER($X84),MAX(0,$X84-$W84),"∞"),IF(ISNUMBER($X84),MAX(0,MIN($X84-$W84,SUMIFS($Z$8:$Z$57,$T$8:$T$57,$T84))),SUMIFS($Z$8:$Z$57,$T$8:$T$57,$T84)))))</f>
        <v/>
      </c>
      <c r="Z84" s="27" t="str">
        <f>IF($T84="","",IF(ISNUMBER($X84),IF($X84=0,0,$W84/$X84),IF(ISNUMBER($Y84),IF($W84+$Y84=0,0,$W84/($W84+$Y84)),"")))</f>
        <v/>
      </c>
      <c r="AA84" s="29" t="str">
        <f>IF($T84="","",COUNTIFS(TRANSACTIONS_MASTER!$D$5:$D$1204,$T84,TRANSACTIONS_MASTER!$C$5:$C$1204,$C$2,TRANSACTIONS_MASTER!$U$5:$U$1204,"&lt;&gt;Cancelled"))</f>
        <v/>
      </c>
    </row>
    <row r="85">
      <c r="A85" s="81" t="str">
        <f>IF($Q85="","",78)</f>
        <v/>
      </c>
      <c r="B85" s="57" t="str">
        <f>IF($Q85="","",INDEX(TRANSACTIONS_MASTER!$B$5:$B$1204,$Q85))</f>
        <v/>
      </c>
      <c r="C85" s="55" t="str">
        <f>IF($Q85="","",INDEX(TRANSACTIONS_MASTER!$F$5:$F$1204,$Q85))</f>
        <v/>
      </c>
      <c r="D85" s="55" t="str">
        <f>IF($Q85="","",INDEX(TRANSACTIONS_MASTER!$E$5:$E$1204,$Q85))</f>
        <v/>
      </c>
      <c r="E85" s="55" t="str">
        <f>IF($Q85="","",INDEX(TRANSACTIONS_MASTER!$G$5:$G$1204,$Q85)&amp;"")</f>
        <v/>
      </c>
      <c r="F85" s="29" t="str">
        <f>IF($Q85="","",INDEX(TRANSACTIONS_MASTER!$I$5:$I$1204,$Q85))</f>
        <v/>
      </c>
      <c r="G85" s="55" t="str">
        <f>IF($Q85="","",INDEX(TRANSACTIONS_MASTER!$K$5:$K$1204,$Q85))</f>
        <v/>
      </c>
      <c r="H85" s="25" t="str">
        <f>IF($Q85="","",INDEX(TRANSACTIONS_MASTER!$L$5:$L$1204,$Q85))</f>
        <v/>
      </c>
      <c r="I85" s="56" t="str">
        <f>IF($Q85="","",INDEX(TRANSACTIONS_MASTER!$N$5:$N$1204,$Q85))</f>
        <v/>
      </c>
      <c r="J85" s="25" t="str">
        <f>IF($Q85="","",INDEX(TRANSACTIONS_MASTER!$O$5:$O$1204,$Q85))</f>
        <v/>
      </c>
      <c r="K85" s="26" t="str">
        <f>IF($Q85="","",INDEX(TRANSACTIONS_MASTER!$Q$5:$Q$1204,$Q85))</f>
        <v/>
      </c>
      <c r="L85" s="25" t="str">
        <f>IF($Q85="","",INDEX(TRANSACTIONS_MASTER!$P$5:$P$1204,$Q85))</f>
        <v/>
      </c>
      <c r="M85" s="25" t="str">
        <f>IF($Q85="","",INDEX(TRANSACTIONS_MASTER!$AA$5:$AA$1204,$Q85))</f>
        <v/>
      </c>
      <c r="N85" s="25" t="str">
        <f>IF($Q85="","",INDEX(TRANSACTIONS_MASTER!$R$5:$R$1204,$Q85))</f>
        <v/>
      </c>
      <c r="O85" s="28" t="str">
        <f>IF($Q85="","",INDEX(TRANSACTIONS_MASTER!$AB$5:$AB$1204,$Q85))</f>
        <v/>
      </c>
      <c r="P85" s="55" t="str">
        <f>IF($Q85="","",INDEX(TRANSACTIONS_MASTER!$Z$5:$Z$1204,$Q85)&amp;"")</f>
        <v/>
      </c>
      <c r="Q85" s="67" t="str">
        <f>IFERROR(MATCH($C$2&amp;"|"&amp;78,TRANSACTIONS_MASTER!$AE$5:$AE$1204,0),"")</f>
        <v/>
      </c>
      <c r="S85" s="67" t="n">
        <v>24</v>
      </c>
      <c r="T85" s="55" t="str">
        <f>IF(CARDS!$A28="","",CARDS!$A28)</f>
        <v/>
      </c>
      <c r="U85" s="55" t="str">
        <f>IF($T85="","",CARDS!$B28&amp;" "&amp;CARDS!$C28)</f>
        <v/>
      </c>
      <c r="V85" s="25" t="str">
        <f>IF($T85="","",SUMIFS(TRANSACTIONS_MASTER!$L$5:$L$1204,TRANSACTIONS_MASTER!$D$5:$D$1204,$T85,TRANSACTIONS_MASTER!$C$5:$C$1204,$C$2,TRANSACTIONS_MASTER!$U$5:$U$1204,"&lt;&gt;Cancelled"))</f>
        <v/>
      </c>
      <c r="W85" s="26" t="str">
        <f>IF($T85="","",SUMIFS(TRANSACTIONS_MASTER!$Q$5:$Q$1204,TRANSACTIONS_MASTER!$D$5:$D$1204,$T85,TRANSACTIONS_MASTER!$C$5:$C$1204,$C$2))</f>
        <v/>
      </c>
      <c r="X85" s="25" t="str">
        <f>IF($T85="","",IFERROR(IF(ISNUMBER(INDEX(CASHBACK_RULES!$K$5:$K$304,MATCH($T85,CASHBACK_RULES!$B$5:$B$304,0))),INDEX(CASHBACK_RULES!$K$5:$K$304,MATCH($T85,CASHBACK_RULES!$B$5:$B$304,0)),"∞"),"—"))</f>
        <v/>
      </c>
      <c r="Y85" s="25" t="str">
        <f>IF($T85="","",IF($X85="—","—",IF(COUNTIFS($T$8:$T$57,$T85,$Z$8:$Z$57,"∞")&gt;0,IF(ISNUMBER($X85),MAX(0,$X85-$W85),"∞"),IF(ISNUMBER($X85),MAX(0,MIN($X85-$W85,SUMIFS($Z$8:$Z$57,$T$8:$T$57,$T85))),SUMIFS($Z$8:$Z$57,$T$8:$T$57,$T85)))))</f>
        <v/>
      </c>
      <c r="Z85" s="27" t="str">
        <f>IF($T85="","",IF(ISNUMBER($X85),IF($X85=0,0,$W85/$X85),IF(ISNUMBER($Y85),IF($W85+$Y85=0,0,$W85/($W85+$Y85)),"")))</f>
        <v/>
      </c>
      <c r="AA85" s="29" t="str">
        <f>IF($T85="","",COUNTIFS(TRANSACTIONS_MASTER!$D$5:$D$1204,$T85,TRANSACTIONS_MASTER!$C$5:$C$1204,$C$2,TRANSACTIONS_MASTER!$U$5:$U$1204,"&lt;&gt;Cancelled"))</f>
        <v/>
      </c>
    </row>
    <row r="86">
      <c r="A86" s="81" t="str">
        <f>IF($Q86="","",79)</f>
        <v/>
      </c>
      <c r="B86" s="57" t="str">
        <f>IF($Q86="","",INDEX(TRANSACTIONS_MASTER!$B$5:$B$1204,$Q86))</f>
        <v/>
      </c>
      <c r="C86" s="55" t="str">
        <f>IF($Q86="","",INDEX(TRANSACTIONS_MASTER!$F$5:$F$1204,$Q86))</f>
        <v/>
      </c>
      <c r="D86" s="55" t="str">
        <f>IF($Q86="","",INDEX(TRANSACTIONS_MASTER!$E$5:$E$1204,$Q86))</f>
        <v/>
      </c>
      <c r="E86" s="55" t="str">
        <f>IF($Q86="","",INDEX(TRANSACTIONS_MASTER!$G$5:$G$1204,$Q86)&amp;"")</f>
        <v/>
      </c>
      <c r="F86" s="29" t="str">
        <f>IF($Q86="","",INDEX(TRANSACTIONS_MASTER!$I$5:$I$1204,$Q86))</f>
        <v/>
      </c>
      <c r="G86" s="55" t="str">
        <f>IF($Q86="","",INDEX(TRANSACTIONS_MASTER!$K$5:$K$1204,$Q86))</f>
        <v/>
      </c>
      <c r="H86" s="25" t="str">
        <f>IF($Q86="","",INDEX(TRANSACTIONS_MASTER!$L$5:$L$1204,$Q86))</f>
        <v/>
      </c>
      <c r="I86" s="56" t="str">
        <f>IF($Q86="","",INDEX(TRANSACTIONS_MASTER!$N$5:$N$1204,$Q86))</f>
        <v/>
      </c>
      <c r="J86" s="25" t="str">
        <f>IF($Q86="","",INDEX(TRANSACTIONS_MASTER!$O$5:$O$1204,$Q86))</f>
        <v/>
      </c>
      <c r="K86" s="26" t="str">
        <f>IF($Q86="","",INDEX(TRANSACTIONS_MASTER!$Q$5:$Q$1204,$Q86))</f>
        <v/>
      </c>
      <c r="L86" s="25" t="str">
        <f>IF($Q86="","",INDEX(TRANSACTIONS_MASTER!$P$5:$P$1204,$Q86))</f>
        <v/>
      </c>
      <c r="M86" s="25" t="str">
        <f>IF($Q86="","",INDEX(TRANSACTIONS_MASTER!$AA$5:$AA$1204,$Q86))</f>
        <v/>
      </c>
      <c r="N86" s="25" t="str">
        <f>IF($Q86="","",INDEX(TRANSACTIONS_MASTER!$R$5:$R$1204,$Q86))</f>
        <v/>
      </c>
      <c r="O86" s="28" t="str">
        <f>IF($Q86="","",INDEX(TRANSACTIONS_MASTER!$AB$5:$AB$1204,$Q86))</f>
        <v/>
      </c>
      <c r="P86" s="55" t="str">
        <f>IF($Q86="","",INDEX(TRANSACTIONS_MASTER!$Z$5:$Z$1204,$Q86)&amp;"")</f>
        <v/>
      </c>
      <c r="Q86" s="67" t="str">
        <f>IFERROR(MATCH($C$2&amp;"|"&amp;79,TRANSACTIONS_MASTER!$AE$5:$AE$1204,0),"")</f>
        <v/>
      </c>
      <c r="S86" s="67" t="n">
        <v>25</v>
      </c>
      <c r="T86" s="55" t="str">
        <f>IF(CARDS!$A29="","",CARDS!$A29)</f>
        <v/>
      </c>
      <c r="U86" s="55" t="str">
        <f>IF($T86="","",CARDS!$B29&amp;" "&amp;CARDS!$C29)</f>
        <v/>
      </c>
      <c r="V86" s="25" t="str">
        <f>IF($T86="","",SUMIFS(TRANSACTIONS_MASTER!$L$5:$L$1204,TRANSACTIONS_MASTER!$D$5:$D$1204,$T86,TRANSACTIONS_MASTER!$C$5:$C$1204,$C$2,TRANSACTIONS_MASTER!$U$5:$U$1204,"&lt;&gt;Cancelled"))</f>
        <v/>
      </c>
      <c r="W86" s="26" t="str">
        <f>IF($T86="","",SUMIFS(TRANSACTIONS_MASTER!$Q$5:$Q$1204,TRANSACTIONS_MASTER!$D$5:$D$1204,$T86,TRANSACTIONS_MASTER!$C$5:$C$1204,$C$2))</f>
        <v/>
      </c>
      <c r="X86" s="25" t="str">
        <f>IF($T86="","",IFERROR(IF(ISNUMBER(INDEX(CASHBACK_RULES!$K$5:$K$304,MATCH($T86,CASHBACK_RULES!$B$5:$B$304,0))),INDEX(CASHBACK_RULES!$K$5:$K$304,MATCH($T86,CASHBACK_RULES!$B$5:$B$304,0)),"∞"),"—"))</f>
        <v/>
      </c>
      <c r="Y86" s="25" t="str">
        <f>IF($T86="","",IF($X86="—","—",IF(COUNTIFS($T$8:$T$57,$T86,$Z$8:$Z$57,"∞")&gt;0,IF(ISNUMBER($X86),MAX(0,$X86-$W86),"∞"),IF(ISNUMBER($X86),MAX(0,MIN($X86-$W86,SUMIFS($Z$8:$Z$57,$T$8:$T$57,$T86))),SUMIFS($Z$8:$Z$57,$T$8:$T$57,$T86)))))</f>
        <v/>
      </c>
      <c r="Z86" s="27" t="str">
        <f>IF($T86="","",IF(ISNUMBER($X86),IF($X86=0,0,$W86/$X86),IF(ISNUMBER($Y86),IF($W86+$Y86=0,0,$W86/($W86+$Y86)),"")))</f>
        <v/>
      </c>
      <c r="AA86" s="29" t="str">
        <f>IF($T86="","",COUNTIFS(TRANSACTIONS_MASTER!$D$5:$D$1204,$T86,TRANSACTIONS_MASTER!$C$5:$C$1204,$C$2,TRANSACTIONS_MASTER!$U$5:$U$1204,"&lt;&gt;Cancelled"))</f>
        <v/>
      </c>
    </row>
    <row r="87">
      <c r="A87" s="81" t="str">
        <f>IF($Q87="","",80)</f>
        <v/>
      </c>
      <c r="B87" s="57" t="str">
        <f>IF($Q87="","",INDEX(TRANSACTIONS_MASTER!$B$5:$B$1204,$Q87))</f>
        <v/>
      </c>
      <c r="C87" s="55" t="str">
        <f>IF($Q87="","",INDEX(TRANSACTIONS_MASTER!$F$5:$F$1204,$Q87))</f>
        <v/>
      </c>
      <c r="D87" s="55" t="str">
        <f>IF($Q87="","",INDEX(TRANSACTIONS_MASTER!$E$5:$E$1204,$Q87))</f>
        <v/>
      </c>
      <c r="E87" s="55" t="str">
        <f>IF($Q87="","",INDEX(TRANSACTIONS_MASTER!$G$5:$G$1204,$Q87)&amp;"")</f>
        <v/>
      </c>
      <c r="F87" s="29" t="str">
        <f>IF($Q87="","",INDEX(TRANSACTIONS_MASTER!$I$5:$I$1204,$Q87))</f>
        <v/>
      </c>
      <c r="G87" s="55" t="str">
        <f>IF($Q87="","",INDEX(TRANSACTIONS_MASTER!$K$5:$K$1204,$Q87))</f>
        <v/>
      </c>
      <c r="H87" s="25" t="str">
        <f>IF($Q87="","",INDEX(TRANSACTIONS_MASTER!$L$5:$L$1204,$Q87))</f>
        <v/>
      </c>
      <c r="I87" s="56" t="str">
        <f>IF($Q87="","",INDEX(TRANSACTIONS_MASTER!$N$5:$N$1204,$Q87))</f>
        <v/>
      </c>
      <c r="J87" s="25" t="str">
        <f>IF($Q87="","",INDEX(TRANSACTIONS_MASTER!$O$5:$O$1204,$Q87))</f>
        <v/>
      </c>
      <c r="K87" s="26" t="str">
        <f>IF($Q87="","",INDEX(TRANSACTIONS_MASTER!$Q$5:$Q$1204,$Q87))</f>
        <v/>
      </c>
      <c r="L87" s="25" t="str">
        <f>IF($Q87="","",INDEX(TRANSACTIONS_MASTER!$P$5:$P$1204,$Q87))</f>
        <v/>
      </c>
      <c r="M87" s="25" t="str">
        <f>IF($Q87="","",INDEX(TRANSACTIONS_MASTER!$AA$5:$AA$1204,$Q87))</f>
        <v/>
      </c>
      <c r="N87" s="25" t="str">
        <f>IF($Q87="","",INDEX(TRANSACTIONS_MASTER!$R$5:$R$1204,$Q87))</f>
        <v/>
      </c>
      <c r="O87" s="28" t="str">
        <f>IF($Q87="","",INDEX(TRANSACTIONS_MASTER!$AB$5:$AB$1204,$Q87))</f>
        <v/>
      </c>
      <c r="P87" s="55" t="str">
        <f>IF($Q87="","",INDEX(TRANSACTIONS_MASTER!$Z$5:$Z$1204,$Q87)&amp;"")</f>
        <v/>
      </c>
      <c r="Q87" s="67" t="str">
        <f>IFERROR(MATCH($C$2&amp;"|"&amp;80,TRANSACTIONS_MASTER!$AE$5:$AE$1204,0),"")</f>
        <v/>
      </c>
      <c r="S87" s="67" t="n">
        <v>26</v>
      </c>
      <c r="T87" s="55" t="str">
        <f>IF(CARDS!$A30="","",CARDS!$A30)</f>
        <v/>
      </c>
      <c r="U87" s="55" t="str">
        <f>IF($T87="","",CARDS!$B30&amp;" "&amp;CARDS!$C30)</f>
        <v/>
      </c>
      <c r="V87" s="25" t="str">
        <f>IF($T87="","",SUMIFS(TRANSACTIONS_MASTER!$L$5:$L$1204,TRANSACTIONS_MASTER!$D$5:$D$1204,$T87,TRANSACTIONS_MASTER!$C$5:$C$1204,$C$2,TRANSACTIONS_MASTER!$U$5:$U$1204,"&lt;&gt;Cancelled"))</f>
        <v/>
      </c>
      <c r="W87" s="26" t="str">
        <f>IF($T87="","",SUMIFS(TRANSACTIONS_MASTER!$Q$5:$Q$1204,TRANSACTIONS_MASTER!$D$5:$D$1204,$T87,TRANSACTIONS_MASTER!$C$5:$C$1204,$C$2))</f>
        <v/>
      </c>
      <c r="X87" s="25" t="str">
        <f>IF($T87="","",IFERROR(IF(ISNUMBER(INDEX(CASHBACK_RULES!$K$5:$K$304,MATCH($T87,CASHBACK_RULES!$B$5:$B$304,0))),INDEX(CASHBACK_RULES!$K$5:$K$304,MATCH($T87,CASHBACK_RULES!$B$5:$B$304,0)),"∞"),"—"))</f>
        <v/>
      </c>
      <c r="Y87" s="25" t="str">
        <f>IF($T87="","",IF($X87="—","—",IF(COUNTIFS($T$8:$T$57,$T87,$Z$8:$Z$57,"∞")&gt;0,IF(ISNUMBER($X87),MAX(0,$X87-$W87),"∞"),IF(ISNUMBER($X87),MAX(0,MIN($X87-$W87,SUMIFS($Z$8:$Z$57,$T$8:$T$57,$T87))),SUMIFS($Z$8:$Z$57,$T$8:$T$57,$T87)))))</f>
        <v/>
      </c>
      <c r="Z87" s="27" t="str">
        <f>IF($T87="","",IF(ISNUMBER($X87),IF($X87=0,0,$W87/$X87),IF(ISNUMBER($Y87),IF($W87+$Y87=0,0,$W87/($W87+$Y87)),"")))</f>
        <v/>
      </c>
      <c r="AA87" s="29" t="str">
        <f>IF($T87="","",COUNTIFS(TRANSACTIONS_MASTER!$D$5:$D$1204,$T87,TRANSACTIONS_MASTER!$C$5:$C$1204,$C$2,TRANSACTIONS_MASTER!$U$5:$U$1204,"&lt;&gt;Cancelled"))</f>
        <v/>
      </c>
    </row>
    <row r="88">
      <c r="A88" s="81" t="str">
        <f>IF($Q88="","",81)</f>
        <v/>
      </c>
      <c r="B88" s="57" t="str">
        <f>IF($Q88="","",INDEX(TRANSACTIONS_MASTER!$B$5:$B$1204,$Q88))</f>
        <v/>
      </c>
      <c r="C88" s="55" t="str">
        <f>IF($Q88="","",INDEX(TRANSACTIONS_MASTER!$F$5:$F$1204,$Q88))</f>
        <v/>
      </c>
      <c r="D88" s="55" t="str">
        <f>IF($Q88="","",INDEX(TRANSACTIONS_MASTER!$E$5:$E$1204,$Q88))</f>
        <v/>
      </c>
      <c r="E88" s="55" t="str">
        <f>IF($Q88="","",INDEX(TRANSACTIONS_MASTER!$G$5:$G$1204,$Q88)&amp;"")</f>
        <v/>
      </c>
      <c r="F88" s="29" t="str">
        <f>IF($Q88="","",INDEX(TRANSACTIONS_MASTER!$I$5:$I$1204,$Q88))</f>
        <v/>
      </c>
      <c r="G88" s="55" t="str">
        <f>IF($Q88="","",INDEX(TRANSACTIONS_MASTER!$K$5:$K$1204,$Q88))</f>
        <v/>
      </c>
      <c r="H88" s="25" t="str">
        <f>IF($Q88="","",INDEX(TRANSACTIONS_MASTER!$L$5:$L$1204,$Q88))</f>
        <v/>
      </c>
      <c r="I88" s="56" t="str">
        <f>IF($Q88="","",INDEX(TRANSACTIONS_MASTER!$N$5:$N$1204,$Q88))</f>
        <v/>
      </c>
      <c r="J88" s="25" t="str">
        <f>IF($Q88="","",INDEX(TRANSACTIONS_MASTER!$O$5:$O$1204,$Q88))</f>
        <v/>
      </c>
      <c r="K88" s="26" t="str">
        <f>IF($Q88="","",INDEX(TRANSACTIONS_MASTER!$Q$5:$Q$1204,$Q88))</f>
        <v/>
      </c>
      <c r="L88" s="25" t="str">
        <f>IF($Q88="","",INDEX(TRANSACTIONS_MASTER!$P$5:$P$1204,$Q88))</f>
        <v/>
      </c>
      <c r="M88" s="25" t="str">
        <f>IF($Q88="","",INDEX(TRANSACTIONS_MASTER!$AA$5:$AA$1204,$Q88))</f>
        <v/>
      </c>
      <c r="N88" s="25" t="str">
        <f>IF($Q88="","",INDEX(TRANSACTIONS_MASTER!$R$5:$R$1204,$Q88))</f>
        <v/>
      </c>
      <c r="O88" s="28" t="str">
        <f>IF($Q88="","",INDEX(TRANSACTIONS_MASTER!$AB$5:$AB$1204,$Q88))</f>
        <v/>
      </c>
      <c r="P88" s="55" t="str">
        <f>IF($Q88="","",INDEX(TRANSACTIONS_MASTER!$Z$5:$Z$1204,$Q88)&amp;"")</f>
        <v/>
      </c>
      <c r="Q88" s="67" t="str">
        <f>IFERROR(MATCH($C$2&amp;"|"&amp;81,TRANSACTIONS_MASTER!$AE$5:$AE$1204,0),"")</f>
        <v/>
      </c>
      <c r="S88" s="67" t="n">
        <v>27</v>
      </c>
      <c r="T88" s="55" t="str">
        <f>IF(CARDS!$A31="","",CARDS!$A31)</f>
        <v/>
      </c>
      <c r="U88" s="55" t="str">
        <f>IF($T88="","",CARDS!$B31&amp;" "&amp;CARDS!$C31)</f>
        <v/>
      </c>
      <c r="V88" s="25" t="str">
        <f>IF($T88="","",SUMIFS(TRANSACTIONS_MASTER!$L$5:$L$1204,TRANSACTIONS_MASTER!$D$5:$D$1204,$T88,TRANSACTIONS_MASTER!$C$5:$C$1204,$C$2,TRANSACTIONS_MASTER!$U$5:$U$1204,"&lt;&gt;Cancelled"))</f>
        <v/>
      </c>
      <c r="W88" s="26" t="str">
        <f>IF($T88="","",SUMIFS(TRANSACTIONS_MASTER!$Q$5:$Q$1204,TRANSACTIONS_MASTER!$D$5:$D$1204,$T88,TRANSACTIONS_MASTER!$C$5:$C$1204,$C$2))</f>
        <v/>
      </c>
      <c r="X88" s="25" t="str">
        <f>IF($T88="","",IFERROR(IF(ISNUMBER(INDEX(CASHBACK_RULES!$K$5:$K$304,MATCH($T88,CASHBACK_RULES!$B$5:$B$304,0))),INDEX(CASHBACK_RULES!$K$5:$K$304,MATCH($T88,CASHBACK_RULES!$B$5:$B$304,0)),"∞"),"—"))</f>
        <v/>
      </c>
      <c r="Y88" s="25" t="str">
        <f>IF($T88="","",IF($X88="—","—",IF(COUNTIFS($T$8:$T$57,$T88,$Z$8:$Z$57,"∞")&gt;0,IF(ISNUMBER($X88),MAX(0,$X88-$W88),"∞"),IF(ISNUMBER($X88),MAX(0,MIN($X88-$W88,SUMIFS($Z$8:$Z$57,$T$8:$T$57,$T88))),SUMIFS($Z$8:$Z$57,$T$8:$T$57,$T88)))))</f>
        <v/>
      </c>
      <c r="Z88" s="27" t="str">
        <f>IF($T88="","",IF(ISNUMBER($X88),IF($X88=0,0,$W88/$X88),IF(ISNUMBER($Y88),IF($W88+$Y88=0,0,$W88/($W88+$Y88)),"")))</f>
        <v/>
      </c>
      <c r="AA88" s="29" t="str">
        <f>IF($T88="","",COUNTIFS(TRANSACTIONS_MASTER!$D$5:$D$1204,$T88,TRANSACTIONS_MASTER!$C$5:$C$1204,$C$2,TRANSACTIONS_MASTER!$U$5:$U$1204,"&lt;&gt;Cancelled"))</f>
        <v/>
      </c>
    </row>
    <row r="89">
      <c r="A89" s="81" t="str">
        <f>IF($Q89="","",82)</f>
        <v/>
      </c>
      <c r="B89" s="57" t="str">
        <f>IF($Q89="","",INDEX(TRANSACTIONS_MASTER!$B$5:$B$1204,$Q89))</f>
        <v/>
      </c>
      <c r="C89" s="55" t="str">
        <f>IF($Q89="","",INDEX(TRANSACTIONS_MASTER!$F$5:$F$1204,$Q89))</f>
        <v/>
      </c>
      <c r="D89" s="55" t="str">
        <f>IF($Q89="","",INDEX(TRANSACTIONS_MASTER!$E$5:$E$1204,$Q89))</f>
        <v/>
      </c>
      <c r="E89" s="55" t="str">
        <f>IF($Q89="","",INDEX(TRANSACTIONS_MASTER!$G$5:$G$1204,$Q89)&amp;"")</f>
        <v/>
      </c>
      <c r="F89" s="29" t="str">
        <f>IF($Q89="","",INDEX(TRANSACTIONS_MASTER!$I$5:$I$1204,$Q89))</f>
        <v/>
      </c>
      <c r="G89" s="55" t="str">
        <f>IF($Q89="","",INDEX(TRANSACTIONS_MASTER!$K$5:$K$1204,$Q89))</f>
        <v/>
      </c>
      <c r="H89" s="25" t="str">
        <f>IF($Q89="","",INDEX(TRANSACTIONS_MASTER!$L$5:$L$1204,$Q89))</f>
        <v/>
      </c>
      <c r="I89" s="56" t="str">
        <f>IF($Q89="","",INDEX(TRANSACTIONS_MASTER!$N$5:$N$1204,$Q89))</f>
        <v/>
      </c>
      <c r="J89" s="25" t="str">
        <f>IF($Q89="","",INDEX(TRANSACTIONS_MASTER!$O$5:$O$1204,$Q89))</f>
        <v/>
      </c>
      <c r="K89" s="26" t="str">
        <f>IF($Q89="","",INDEX(TRANSACTIONS_MASTER!$Q$5:$Q$1204,$Q89))</f>
        <v/>
      </c>
      <c r="L89" s="25" t="str">
        <f>IF($Q89="","",INDEX(TRANSACTIONS_MASTER!$P$5:$P$1204,$Q89))</f>
        <v/>
      </c>
      <c r="M89" s="25" t="str">
        <f>IF($Q89="","",INDEX(TRANSACTIONS_MASTER!$AA$5:$AA$1204,$Q89))</f>
        <v/>
      </c>
      <c r="N89" s="25" t="str">
        <f>IF($Q89="","",INDEX(TRANSACTIONS_MASTER!$R$5:$R$1204,$Q89))</f>
        <v/>
      </c>
      <c r="O89" s="28" t="str">
        <f>IF($Q89="","",INDEX(TRANSACTIONS_MASTER!$AB$5:$AB$1204,$Q89))</f>
        <v/>
      </c>
      <c r="P89" s="55" t="str">
        <f>IF($Q89="","",INDEX(TRANSACTIONS_MASTER!$Z$5:$Z$1204,$Q89)&amp;"")</f>
        <v/>
      </c>
      <c r="Q89" s="67" t="str">
        <f>IFERROR(MATCH($C$2&amp;"|"&amp;82,TRANSACTIONS_MASTER!$AE$5:$AE$1204,0),"")</f>
        <v/>
      </c>
      <c r="S89" s="67" t="n">
        <v>28</v>
      </c>
      <c r="T89" s="55" t="str">
        <f>IF(CARDS!$A32="","",CARDS!$A32)</f>
        <v/>
      </c>
      <c r="U89" s="55" t="str">
        <f>IF($T89="","",CARDS!$B32&amp;" "&amp;CARDS!$C32)</f>
        <v/>
      </c>
      <c r="V89" s="25" t="str">
        <f>IF($T89="","",SUMIFS(TRANSACTIONS_MASTER!$L$5:$L$1204,TRANSACTIONS_MASTER!$D$5:$D$1204,$T89,TRANSACTIONS_MASTER!$C$5:$C$1204,$C$2,TRANSACTIONS_MASTER!$U$5:$U$1204,"&lt;&gt;Cancelled"))</f>
        <v/>
      </c>
      <c r="W89" s="26" t="str">
        <f>IF($T89="","",SUMIFS(TRANSACTIONS_MASTER!$Q$5:$Q$1204,TRANSACTIONS_MASTER!$D$5:$D$1204,$T89,TRANSACTIONS_MASTER!$C$5:$C$1204,$C$2))</f>
        <v/>
      </c>
      <c r="X89" s="25" t="str">
        <f>IF($T89="","",IFERROR(IF(ISNUMBER(INDEX(CASHBACK_RULES!$K$5:$K$304,MATCH($T89,CASHBACK_RULES!$B$5:$B$304,0))),INDEX(CASHBACK_RULES!$K$5:$K$304,MATCH($T89,CASHBACK_RULES!$B$5:$B$304,0)),"∞"),"—"))</f>
        <v/>
      </c>
      <c r="Y89" s="25" t="str">
        <f>IF($T89="","",IF($X89="—","—",IF(COUNTIFS($T$8:$T$57,$T89,$Z$8:$Z$57,"∞")&gt;0,IF(ISNUMBER($X89),MAX(0,$X89-$W89),"∞"),IF(ISNUMBER($X89),MAX(0,MIN($X89-$W89,SUMIFS($Z$8:$Z$57,$T$8:$T$57,$T89))),SUMIFS($Z$8:$Z$57,$T$8:$T$57,$T89)))))</f>
        <v/>
      </c>
      <c r="Z89" s="27" t="str">
        <f>IF($T89="","",IF(ISNUMBER($X89),IF($X89=0,0,$W89/$X89),IF(ISNUMBER($Y89),IF($W89+$Y89=0,0,$W89/($W89+$Y89)),"")))</f>
        <v/>
      </c>
      <c r="AA89" s="29" t="str">
        <f>IF($T89="","",COUNTIFS(TRANSACTIONS_MASTER!$D$5:$D$1204,$T89,TRANSACTIONS_MASTER!$C$5:$C$1204,$C$2,TRANSACTIONS_MASTER!$U$5:$U$1204,"&lt;&gt;Cancelled"))</f>
        <v/>
      </c>
    </row>
    <row r="90">
      <c r="A90" s="81" t="str">
        <f>IF($Q90="","",83)</f>
        <v/>
      </c>
      <c r="B90" s="57" t="str">
        <f>IF($Q90="","",INDEX(TRANSACTIONS_MASTER!$B$5:$B$1204,$Q90))</f>
        <v/>
      </c>
      <c r="C90" s="55" t="str">
        <f>IF($Q90="","",INDEX(TRANSACTIONS_MASTER!$F$5:$F$1204,$Q90))</f>
        <v/>
      </c>
      <c r="D90" s="55" t="str">
        <f>IF($Q90="","",INDEX(TRANSACTIONS_MASTER!$E$5:$E$1204,$Q90))</f>
        <v/>
      </c>
      <c r="E90" s="55" t="str">
        <f>IF($Q90="","",INDEX(TRANSACTIONS_MASTER!$G$5:$G$1204,$Q90)&amp;"")</f>
        <v/>
      </c>
      <c r="F90" s="29" t="str">
        <f>IF($Q90="","",INDEX(TRANSACTIONS_MASTER!$I$5:$I$1204,$Q90))</f>
        <v/>
      </c>
      <c r="G90" s="55" t="str">
        <f>IF($Q90="","",INDEX(TRANSACTIONS_MASTER!$K$5:$K$1204,$Q90))</f>
        <v/>
      </c>
      <c r="H90" s="25" t="str">
        <f>IF($Q90="","",INDEX(TRANSACTIONS_MASTER!$L$5:$L$1204,$Q90))</f>
        <v/>
      </c>
      <c r="I90" s="56" t="str">
        <f>IF($Q90="","",INDEX(TRANSACTIONS_MASTER!$N$5:$N$1204,$Q90))</f>
        <v/>
      </c>
      <c r="J90" s="25" t="str">
        <f>IF($Q90="","",INDEX(TRANSACTIONS_MASTER!$O$5:$O$1204,$Q90))</f>
        <v/>
      </c>
      <c r="K90" s="26" t="str">
        <f>IF($Q90="","",INDEX(TRANSACTIONS_MASTER!$Q$5:$Q$1204,$Q90))</f>
        <v/>
      </c>
      <c r="L90" s="25" t="str">
        <f>IF($Q90="","",INDEX(TRANSACTIONS_MASTER!$P$5:$P$1204,$Q90))</f>
        <v/>
      </c>
      <c r="M90" s="25" t="str">
        <f>IF($Q90="","",INDEX(TRANSACTIONS_MASTER!$AA$5:$AA$1204,$Q90))</f>
        <v/>
      </c>
      <c r="N90" s="25" t="str">
        <f>IF($Q90="","",INDEX(TRANSACTIONS_MASTER!$R$5:$R$1204,$Q90))</f>
        <v/>
      </c>
      <c r="O90" s="28" t="str">
        <f>IF($Q90="","",INDEX(TRANSACTIONS_MASTER!$AB$5:$AB$1204,$Q90))</f>
        <v/>
      </c>
      <c r="P90" s="55" t="str">
        <f>IF($Q90="","",INDEX(TRANSACTIONS_MASTER!$Z$5:$Z$1204,$Q90)&amp;"")</f>
        <v/>
      </c>
      <c r="Q90" s="67" t="str">
        <f>IFERROR(MATCH($C$2&amp;"|"&amp;83,TRANSACTIONS_MASTER!$AE$5:$AE$1204,0),"")</f>
        <v/>
      </c>
      <c r="S90" s="67" t="n">
        <v>29</v>
      </c>
      <c r="T90" s="55" t="str">
        <f>IF(CARDS!$A33="","",CARDS!$A33)</f>
        <v/>
      </c>
      <c r="U90" s="55" t="str">
        <f>IF($T90="","",CARDS!$B33&amp;" "&amp;CARDS!$C33)</f>
        <v/>
      </c>
      <c r="V90" s="25" t="str">
        <f>IF($T90="","",SUMIFS(TRANSACTIONS_MASTER!$L$5:$L$1204,TRANSACTIONS_MASTER!$D$5:$D$1204,$T90,TRANSACTIONS_MASTER!$C$5:$C$1204,$C$2,TRANSACTIONS_MASTER!$U$5:$U$1204,"&lt;&gt;Cancelled"))</f>
        <v/>
      </c>
      <c r="W90" s="26" t="str">
        <f>IF($T90="","",SUMIFS(TRANSACTIONS_MASTER!$Q$5:$Q$1204,TRANSACTIONS_MASTER!$D$5:$D$1204,$T90,TRANSACTIONS_MASTER!$C$5:$C$1204,$C$2))</f>
        <v/>
      </c>
      <c r="X90" s="25" t="str">
        <f>IF($T90="","",IFERROR(IF(ISNUMBER(INDEX(CASHBACK_RULES!$K$5:$K$304,MATCH($T90,CASHBACK_RULES!$B$5:$B$304,0))),INDEX(CASHBACK_RULES!$K$5:$K$304,MATCH($T90,CASHBACK_RULES!$B$5:$B$304,0)),"∞"),"—"))</f>
        <v/>
      </c>
      <c r="Y90" s="25" t="str">
        <f>IF($T90="","",IF($X90="—","—",IF(COUNTIFS($T$8:$T$57,$T90,$Z$8:$Z$57,"∞")&gt;0,IF(ISNUMBER($X90),MAX(0,$X90-$W90),"∞"),IF(ISNUMBER($X90),MAX(0,MIN($X90-$W90,SUMIFS($Z$8:$Z$57,$T$8:$T$57,$T90))),SUMIFS($Z$8:$Z$57,$T$8:$T$57,$T90)))))</f>
        <v/>
      </c>
      <c r="Z90" s="27" t="str">
        <f>IF($T90="","",IF(ISNUMBER($X90),IF($X90=0,0,$W90/$X90),IF(ISNUMBER($Y90),IF($W90+$Y90=0,0,$W90/($W90+$Y90)),"")))</f>
        <v/>
      </c>
      <c r="AA90" s="29" t="str">
        <f>IF($T90="","",COUNTIFS(TRANSACTIONS_MASTER!$D$5:$D$1204,$T90,TRANSACTIONS_MASTER!$C$5:$C$1204,$C$2,TRANSACTIONS_MASTER!$U$5:$U$1204,"&lt;&gt;Cancelled"))</f>
        <v/>
      </c>
    </row>
    <row r="91">
      <c r="A91" s="81" t="str">
        <f>IF($Q91="","",84)</f>
        <v/>
      </c>
      <c r="B91" s="57" t="str">
        <f>IF($Q91="","",INDEX(TRANSACTIONS_MASTER!$B$5:$B$1204,$Q91))</f>
        <v/>
      </c>
      <c r="C91" s="55" t="str">
        <f>IF($Q91="","",INDEX(TRANSACTIONS_MASTER!$F$5:$F$1204,$Q91))</f>
        <v/>
      </c>
      <c r="D91" s="55" t="str">
        <f>IF($Q91="","",INDEX(TRANSACTIONS_MASTER!$E$5:$E$1204,$Q91))</f>
        <v/>
      </c>
      <c r="E91" s="55" t="str">
        <f>IF($Q91="","",INDEX(TRANSACTIONS_MASTER!$G$5:$G$1204,$Q91)&amp;"")</f>
        <v/>
      </c>
      <c r="F91" s="29" t="str">
        <f>IF($Q91="","",INDEX(TRANSACTIONS_MASTER!$I$5:$I$1204,$Q91))</f>
        <v/>
      </c>
      <c r="G91" s="55" t="str">
        <f>IF($Q91="","",INDEX(TRANSACTIONS_MASTER!$K$5:$K$1204,$Q91))</f>
        <v/>
      </c>
      <c r="H91" s="25" t="str">
        <f>IF($Q91="","",INDEX(TRANSACTIONS_MASTER!$L$5:$L$1204,$Q91))</f>
        <v/>
      </c>
      <c r="I91" s="56" t="str">
        <f>IF($Q91="","",INDEX(TRANSACTIONS_MASTER!$N$5:$N$1204,$Q91))</f>
        <v/>
      </c>
      <c r="J91" s="25" t="str">
        <f>IF($Q91="","",INDEX(TRANSACTIONS_MASTER!$O$5:$O$1204,$Q91))</f>
        <v/>
      </c>
      <c r="K91" s="26" t="str">
        <f>IF($Q91="","",INDEX(TRANSACTIONS_MASTER!$Q$5:$Q$1204,$Q91))</f>
        <v/>
      </c>
      <c r="L91" s="25" t="str">
        <f>IF($Q91="","",INDEX(TRANSACTIONS_MASTER!$P$5:$P$1204,$Q91))</f>
        <v/>
      </c>
      <c r="M91" s="25" t="str">
        <f>IF($Q91="","",INDEX(TRANSACTIONS_MASTER!$AA$5:$AA$1204,$Q91))</f>
        <v/>
      </c>
      <c r="N91" s="25" t="str">
        <f>IF($Q91="","",INDEX(TRANSACTIONS_MASTER!$R$5:$R$1204,$Q91))</f>
        <v/>
      </c>
      <c r="O91" s="28" t="str">
        <f>IF($Q91="","",INDEX(TRANSACTIONS_MASTER!$AB$5:$AB$1204,$Q91))</f>
        <v/>
      </c>
      <c r="P91" s="55" t="str">
        <f>IF($Q91="","",INDEX(TRANSACTIONS_MASTER!$Z$5:$Z$1204,$Q91)&amp;"")</f>
        <v/>
      </c>
      <c r="Q91" s="67" t="str">
        <f>IFERROR(MATCH($C$2&amp;"|"&amp;84,TRANSACTIONS_MASTER!$AE$5:$AE$1204,0),"")</f>
        <v/>
      </c>
      <c r="S91" s="67" t="n">
        <v>30</v>
      </c>
      <c r="T91" s="55" t="str">
        <f>IF(CARDS!$A34="","",CARDS!$A34)</f>
        <v/>
      </c>
      <c r="U91" s="55" t="str">
        <f>IF($T91="","",CARDS!$B34&amp;" "&amp;CARDS!$C34)</f>
        <v/>
      </c>
      <c r="V91" s="25" t="str">
        <f>IF($T91="","",SUMIFS(TRANSACTIONS_MASTER!$L$5:$L$1204,TRANSACTIONS_MASTER!$D$5:$D$1204,$T91,TRANSACTIONS_MASTER!$C$5:$C$1204,$C$2,TRANSACTIONS_MASTER!$U$5:$U$1204,"&lt;&gt;Cancelled"))</f>
        <v/>
      </c>
      <c r="W91" s="26" t="str">
        <f>IF($T91="","",SUMIFS(TRANSACTIONS_MASTER!$Q$5:$Q$1204,TRANSACTIONS_MASTER!$D$5:$D$1204,$T91,TRANSACTIONS_MASTER!$C$5:$C$1204,$C$2))</f>
        <v/>
      </c>
      <c r="X91" s="25" t="str">
        <f>IF($T91="","",IFERROR(IF(ISNUMBER(INDEX(CASHBACK_RULES!$K$5:$K$304,MATCH($T91,CASHBACK_RULES!$B$5:$B$304,0))),INDEX(CASHBACK_RULES!$K$5:$K$304,MATCH($T91,CASHBACK_RULES!$B$5:$B$304,0)),"∞"),"—"))</f>
        <v/>
      </c>
      <c r="Y91" s="25" t="str">
        <f>IF($T91="","",IF($X91="—","—",IF(COUNTIFS($T$8:$T$57,$T91,$Z$8:$Z$57,"∞")&gt;0,IF(ISNUMBER($X91),MAX(0,$X91-$W91),"∞"),IF(ISNUMBER($X91),MAX(0,MIN($X91-$W91,SUMIFS($Z$8:$Z$57,$T$8:$T$57,$T91))),SUMIFS($Z$8:$Z$57,$T$8:$T$57,$T91)))))</f>
        <v/>
      </c>
      <c r="Z91" s="27" t="str">
        <f>IF($T91="","",IF(ISNUMBER($X91),IF($X91=0,0,$W91/$X91),IF(ISNUMBER($Y91),IF($W91+$Y91=0,0,$W91/($W91+$Y91)),"")))</f>
        <v/>
      </c>
      <c r="AA91" s="29" t="str">
        <f>IF($T91="","",COUNTIFS(TRANSACTIONS_MASTER!$D$5:$D$1204,$T91,TRANSACTIONS_MASTER!$C$5:$C$1204,$C$2,TRANSACTIONS_MASTER!$U$5:$U$1204,"&lt;&gt;Cancelled"))</f>
        <v/>
      </c>
    </row>
    <row r="92">
      <c r="A92" s="81" t="str">
        <f>IF($Q92="","",85)</f>
        <v/>
      </c>
      <c r="B92" s="57" t="str">
        <f>IF($Q92="","",INDEX(TRANSACTIONS_MASTER!$B$5:$B$1204,$Q92))</f>
        <v/>
      </c>
      <c r="C92" s="55" t="str">
        <f>IF($Q92="","",INDEX(TRANSACTIONS_MASTER!$F$5:$F$1204,$Q92))</f>
        <v/>
      </c>
      <c r="D92" s="55" t="str">
        <f>IF($Q92="","",INDEX(TRANSACTIONS_MASTER!$E$5:$E$1204,$Q92))</f>
        <v/>
      </c>
      <c r="E92" s="55" t="str">
        <f>IF($Q92="","",INDEX(TRANSACTIONS_MASTER!$G$5:$G$1204,$Q92)&amp;"")</f>
        <v/>
      </c>
      <c r="F92" s="29" t="str">
        <f>IF($Q92="","",INDEX(TRANSACTIONS_MASTER!$I$5:$I$1204,$Q92))</f>
        <v/>
      </c>
      <c r="G92" s="55" t="str">
        <f>IF($Q92="","",INDEX(TRANSACTIONS_MASTER!$K$5:$K$1204,$Q92))</f>
        <v/>
      </c>
      <c r="H92" s="25" t="str">
        <f>IF($Q92="","",INDEX(TRANSACTIONS_MASTER!$L$5:$L$1204,$Q92))</f>
        <v/>
      </c>
      <c r="I92" s="56" t="str">
        <f>IF($Q92="","",INDEX(TRANSACTIONS_MASTER!$N$5:$N$1204,$Q92))</f>
        <v/>
      </c>
      <c r="J92" s="25" t="str">
        <f>IF($Q92="","",INDEX(TRANSACTIONS_MASTER!$O$5:$O$1204,$Q92))</f>
        <v/>
      </c>
      <c r="K92" s="26" t="str">
        <f>IF($Q92="","",INDEX(TRANSACTIONS_MASTER!$Q$5:$Q$1204,$Q92))</f>
        <v/>
      </c>
      <c r="L92" s="25" t="str">
        <f>IF($Q92="","",INDEX(TRANSACTIONS_MASTER!$P$5:$P$1204,$Q92))</f>
        <v/>
      </c>
      <c r="M92" s="25" t="str">
        <f>IF($Q92="","",INDEX(TRANSACTIONS_MASTER!$AA$5:$AA$1204,$Q92))</f>
        <v/>
      </c>
      <c r="N92" s="25" t="str">
        <f>IF($Q92="","",INDEX(TRANSACTIONS_MASTER!$R$5:$R$1204,$Q92))</f>
        <v/>
      </c>
      <c r="O92" s="28" t="str">
        <f>IF($Q92="","",INDEX(TRANSACTIONS_MASTER!$AB$5:$AB$1204,$Q92))</f>
        <v/>
      </c>
      <c r="P92" s="55" t="str">
        <f>IF($Q92="","",INDEX(TRANSACTIONS_MASTER!$Z$5:$Z$1204,$Q92)&amp;"")</f>
        <v/>
      </c>
      <c r="Q92" s="67" t="str">
        <f>IFERROR(MATCH($C$2&amp;"|"&amp;85,TRANSACTIONS_MASTER!$AE$5:$AE$1204,0),"")</f>
        <v/>
      </c>
      <c r="T92" s="68" t="n"/>
      <c r="U92" s="69" t="inlineStr">
        <is>
          <t>TỔNG</t>
        </is>
      </c>
      <c r="V92" s="31">
        <f>SUM(V62:V91)</f>
        <v>0</v>
      </c>
      <c r="W92" s="31">
        <f>SUM(W62:W91)</f>
        <v>0</v>
      </c>
      <c r="X92" s="68" t="n"/>
      <c r="Y92" s="31">
        <f>SUM(Y62:Y91)</f>
        <v>4500000</v>
      </c>
      <c r="Z92" s="68" t="n"/>
      <c r="AA92" s="32">
        <f>SUM(AA62:AA91)</f>
        <v>0</v>
      </c>
    </row>
    <row r="93">
      <c r="A93" s="81" t="str">
        <f>IF($Q93="","",86)</f>
        <v/>
      </c>
      <c r="B93" s="57" t="str">
        <f>IF($Q93="","",INDEX(TRANSACTIONS_MASTER!$B$5:$B$1204,$Q93))</f>
        <v/>
      </c>
      <c r="C93" s="55" t="str">
        <f>IF($Q93="","",INDEX(TRANSACTIONS_MASTER!$F$5:$F$1204,$Q93))</f>
        <v/>
      </c>
      <c r="D93" s="55" t="str">
        <f>IF($Q93="","",INDEX(TRANSACTIONS_MASTER!$E$5:$E$1204,$Q93))</f>
        <v/>
      </c>
      <c r="E93" s="55" t="str">
        <f>IF($Q93="","",INDEX(TRANSACTIONS_MASTER!$G$5:$G$1204,$Q93)&amp;"")</f>
        <v/>
      </c>
      <c r="F93" s="29" t="str">
        <f>IF($Q93="","",INDEX(TRANSACTIONS_MASTER!$I$5:$I$1204,$Q93))</f>
        <v/>
      </c>
      <c r="G93" s="55" t="str">
        <f>IF($Q93="","",INDEX(TRANSACTIONS_MASTER!$K$5:$K$1204,$Q93))</f>
        <v/>
      </c>
      <c r="H93" s="25" t="str">
        <f>IF($Q93="","",INDEX(TRANSACTIONS_MASTER!$L$5:$L$1204,$Q93))</f>
        <v/>
      </c>
      <c r="I93" s="56" t="str">
        <f>IF($Q93="","",INDEX(TRANSACTIONS_MASTER!$N$5:$N$1204,$Q93))</f>
        <v/>
      </c>
      <c r="J93" s="25" t="str">
        <f>IF($Q93="","",INDEX(TRANSACTIONS_MASTER!$O$5:$O$1204,$Q93))</f>
        <v/>
      </c>
      <c r="K93" s="26" t="str">
        <f>IF($Q93="","",INDEX(TRANSACTIONS_MASTER!$Q$5:$Q$1204,$Q93))</f>
        <v/>
      </c>
      <c r="L93" s="25" t="str">
        <f>IF($Q93="","",INDEX(TRANSACTIONS_MASTER!$P$5:$P$1204,$Q93))</f>
        <v/>
      </c>
      <c r="M93" s="25" t="str">
        <f>IF($Q93="","",INDEX(TRANSACTIONS_MASTER!$AA$5:$AA$1204,$Q93))</f>
        <v/>
      </c>
      <c r="N93" s="25" t="str">
        <f>IF($Q93="","",INDEX(TRANSACTIONS_MASTER!$R$5:$R$1204,$Q93))</f>
        <v/>
      </c>
      <c r="O93" s="28" t="str">
        <f>IF($Q93="","",INDEX(TRANSACTIONS_MASTER!$AB$5:$AB$1204,$Q93))</f>
        <v/>
      </c>
      <c r="P93" s="55" t="str">
        <f>IF($Q93="","",INDEX(TRANSACTIONS_MASTER!$Z$5:$Z$1204,$Q93)&amp;"")</f>
        <v/>
      </c>
      <c r="Q93" s="67" t="str">
        <f>IFERROR(MATCH($C$2&amp;"|"&amp;86,TRANSACTIONS_MASTER!$AE$5:$AE$1204,0),"")</f>
        <v/>
      </c>
    </row>
    <row r="94">
      <c r="A94" s="81" t="str">
        <f>IF($Q94="","",87)</f>
        <v/>
      </c>
      <c r="B94" s="57" t="str">
        <f>IF($Q94="","",INDEX(TRANSACTIONS_MASTER!$B$5:$B$1204,$Q94))</f>
        <v/>
      </c>
      <c r="C94" s="55" t="str">
        <f>IF($Q94="","",INDEX(TRANSACTIONS_MASTER!$F$5:$F$1204,$Q94))</f>
        <v/>
      </c>
      <c r="D94" s="55" t="str">
        <f>IF($Q94="","",INDEX(TRANSACTIONS_MASTER!$E$5:$E$1204,$Q94))</f>
        <v/>
      </c>
      <c r="E94" s="55" t="str">
        <f>IF($Q94="","",INDEX(TRANSACTIONS_MASTER!$G$5:$G$1204,$Q94)&amp;"")</f>
        <v/>
      </c>
      <c r="F94" s="29" t="str">
        <f>IF($Q94="","",INDEX(TRANSACTIONS_MASTER!$I$5:$I$1204,$Q94))</f>
        <v/>
      </c>
      <c r="G94" s="55" t="str">
        <f>IF($Q94="","",INDEX(TRANSACTIONS_MASTER!$K$5:$K$1204,$Q94))</f>
        <v/>
      </c>
      <c r="H94" s="25" t="str">
        <f>IF($Q94="","",INDEX(TRANSACTIONS_MASTER!$L$5:$L$1204,$Q94))</f>
        <v/>
      </c>
      <c r="I94" s="56" t="str">
        <f>IF($Q94="","",INDEX(TRANSACTIONS_MASTER!$N$5:$N$1204,$Q94))</f>
        <v/>
      </c>
      <c r="J94" s="25" t="str">
        <f>IF($Q94="","",INDEX(TRANSACTIONS_MASTER!$O$5:$O$1204,$Q94))</f>
        <v/>
      </c>
      <c r="K94" s="26" t="str">
        <f>IF($Q94="","",INDEX(TRANSACTIONS_MASTER!$Q$5:$Q$1204,$Q94))</f>
        <v/>
      </c>
      <c r="L94" s="25" t="str">
        <f>IF($Q94="","",INDEX(TRANSACTIONS_MASTER!$P$5:$P$1204,$Q94))</f>
        <v/>
      </c>
      <c r="M94" s="25" t="str">
        <f>IF($Q94="","",INDEX(TRANSACTIONS_MASTER!$AA$5:$AA$1204,$Q94))</f>
        <v/>
      </c>
      <c r="N94" s="25" t="str">
        <f>IF($Q94="","",INDEX(TRANSACTIONS_MASTER!$R$5:$R$1204,$Q94))</f>
        <v/>
      </c>
      <c r="O94" s="28" t="str">
        <f>IF($Q94="","",INDEX(TRANSACTIONS_MASTER!$AB$5:$AB$1204,$Q94))</f>
        <v/>
      </c>
      <c r="P94" s="55" t="str">
        <f>IF($Q94="","",INDEX(TRANSACTIONS_MASTER!$Z$5:$Z$1204,$Q94)&amp;"")</f>
        <v/>
      </c>
      <c r="Q94" s="67" t="str">
        <f>IFERROR(MATCH($C$2&amp;"|"&amp;87,TRANSACTIONS_MASTER!$AE$5:$AE$1204,0),"")</f>
        <v/>
      </c>
    </row>
    <row r="95" ht="22" customHeight="1">
      <c r="A95" s="81" t="str">
        <f>IF($Q95="","",88)</f>
        <v/>
      </c>
      <c r="B95" s="57" t="str">
        <f>IF($Q95="","",INDEX(TRANSACTIONS_MASTER!$B$5:$B$1204,$Q95))</f>
        <v/>
      </c>
      <c r="C95" s="55" t="str">
        <f>IF($Q95="","",INDEX(TRANSACTIONS_MASTER!$F$5:$F$1204,$Q95))</f>
        <v/>
      </c>
      <c r="D95" s="55" t="str">
        <f>IF($Q95="","",INDEX(TRANSACTIONS_MASTER!$E$5:$E$1204,$Q95))</f>
        <v/>
      </c>
      <c r="E95" s="55" t="str">
        <f>IF($Q95="","",INDEX(TRANSACTIONS_MASTER!$G$5:$G$1204,$Q95)&amp;"")</f>
        <v/>
      </c>
      <c r="F95" s="29" t="str">
        <f>IF($Q95="","",INDEX(TRANSACTIONS_MASTER!$I$5:$I$1204,$Q95))</f>
        <v/>
      </c>
      <c r="G95" s="55" t="str">
        <f>IF($Q95="","",INDEX(TRANSACTIONS_MASTER!$K$5:$K$1204,$Q95))</f>
        <v/>
      </c>
      <c r="H95" s="25" t="str">
        <f>IF($Q95="","",INDEX(TRANSACTIONS_MASTER!$L$5:$L$1204,$Q95))</f>
        <v/>
      </c>
      <c r="I95" s="56" t="str">
        <f>IF($Q95="","",INDEX(TRANSACTIONS_MASTER!$N$5:$N$1204,$Q95))</f>
        <v/>
      </c>
      <c r="J95" s="25" t="str">
        <f>IF($Q95="","",INDEX(TRANSACTIONS_MASTER!$O$5:$O$1204,$Q95))</f>
        <v/>
      </c>
      <c r="K95" s="26" t="str">
        <f>IF($Q95="","",INDEX(TRANSACTIONS_MASTER!$Q$5:$Q$1204,$Q95))</f>
        <v/>
      </c>
      <c r="L95" s="25" t="str">
        <f>IF($Q95="","",INDEX(TRANSACTIONS_MASTER!$P$5:$P$1204,$Q95))</f>
        <v/>
      </c>
      <c r="M95" s="25" t="str">
        <f>IF($Q95="","",INDEX(TRANSACTIONS_MASTER!$AA$5:$AA$1204,$Q95))</f>
        <v/>
      </c>
      <c r="N95" s="25" t="str">
        <f>IF($Q95="","",INDEX(TRANSACTIONS_MASTER!$R$5:$R$1204,$Q95))</f>
        <v/>
      </c>
      <c r="O95" s="28" t="str">
        <f>IF($Q95="","",INDEX(TRANSACTIONS_MASTER!$AB$5:$AB$1204,$Q95))</f>
        <v/>
      </c>
      <c r="P95" s="55" t="str">
        <f>IF($Q95="","",INDEX(TRANSACTIONS_MASTER!$Z$5:$Z$1204,$Q95)&amp;"")</f>
        <v/>
      </c>
      <c r="Q95" s="67" t="str">
        <f>IFERROR(MATCH($C$2&amp;"|"&amp;88,TRANSACTIONS_MASTER!$AE$5:$AE$1204,0),"")</f>
        <v/>
      </c>
      <c r="T95" s="19" t="inlineStr">
        <is>
          <t>THEO NGÂN HÀNG</t>
        </is>
      </c>
      <c r="U95" s="20" t="n"/>
      <c r="V95" s="20" t="n"/>
      <c r="W95" s="20" t="n"/>
      <c r="X95" s="20" t="n"/>
      <c r="Y95" s="20" t="n"/>
      <c r="Z95" s="20" t="n"/>
      <c r="AA95" s="20" t="n"/>
    </row>
    <row r="96" ht="28" customHeight="1">
      <c r="A96" s="81" t="str">
        <f>IF($Q96="","",89)</f>
        <v/>
      </c>
      <c r="B96" s="57" t="str">
        <f>IF($Q96="","",INDEX(TRANSACTIONS_MASTER!$B$5:$B$1204,$Q96))</f>
        <v/>
      </c>
      <c r="C96" s="55" t="str">
        <f>IF($Q96="","",INDEX(TRANSACTIONS_MASTER!$F$5:$F$1204,$Q96))</f>
        <v/>
      </c>
      <c r="D96" s="55" t="str">
        <f>IF($Q96="","",INDEX(TRANSACTIONS_MASTER!$E$5:$E$1204,$Q96))</f>
        <v/>
      </c>
      <c r="E96" s="55" t="str">
        <f>IF($Q96="","",INDEX(TRANSACTIONS_MASTER!$G$5:$G$1204,$Q96)&amp;"")</f>
        <v/>
      </c>
      <c r="F96" s="29" t="str">
        <f>IF($Q96="","",INDEX(TRANSACTIONS_MASTER!$I$5:$I$1204,$Q96))</f>
        <v/>
      </c>
      <c r="G96" s="55" t="str">
        <f>IF($Q96="","",INDEX(TRANSACTIONS_MASTER!$K$5:$K$1204,$Q96))</f>
        <v/>
      </c>
      <c r="H96" s="25" t="str">
        <f>IF($Q96="","",INDEX(TRANSACTIONS_MASTER!$L$5:$L$1204,$Q96))</f>
        <v/>
      </c>
      <c r="I96" s="56" t="str">
        <f>IF($Q96="","",INDEX(TRANSACTIONS_MASTER!$N$5:$N$1204,$Q96))</f>
        <v/>
      </c>
      <c r="J96" s="25" t="str">
        <f>IF($Q96="","",INDEX(TRANSACTIONS_MASTER!$O$5:$O$1204,$Q96))</f>
        <v/>
      </c>
      <c r="K96" s="26" t="str">
        <f>IF($Q96="","",INDEX(TRANSACTIONS_MASTER!$Q$5:$Q$1204,$Q96))</f>
        <v/>
      </c>
      <c r="L96" s="25" t="str">
        <f>IF($Q96="","",INDEX(TRANSACTIONS_MASTER!$P$5:$P$1204,$Q96))</f>
        <v/>
      </c>
      <c r="M96" s="25" t="str">
        <f>IF($Q96="","",INDEX(TRANSACTIONS_MASTER!$AA$5:$AA$1204,$Q96))</f>
        <v/>
      </c>
      <c r="N96" s="25" t="str">
        <f>IF($Q96="","",INDEX(TRANSACTIONS_MASTER!$R$5:$R$1204,$Q96))</f>
        <v/>
      </c>
      <c r="O96" s="28" t="str">
        <f>IF($Q96="","",INDEX(TRANSACTIONS_MASTER!$AB$5:$AB$1204,$Q96))</f>
        <v/>
      </c>
      <c r="P96" s="55" t="str">
        <f>IF($Q96="","",INDEX(TRANSACTIONS_MASTER!$Z$5:$Z$1204,$Q96)&amp;"")</f>
        <v/>
      </c>
      <c r="Q96" s="67" t="str">
        <f>IFERROR(MATCH($C$2&amp;"|"&amp;89,TRANSACTIONS_MASTER!$AE$5:$AE$1204,0),"")</f>
        <v/>
      </c>
      <c r="S96" s="21" t="inlineStr">
        <is>
          <t>#</t>
        </is>
      </c>
      <c r="T96" s="21" t="inlineStr"/>
      <c r="U96" s="21" t="inlineStr">
        <is>
          <t>Ngân hàng</t>
        </is>
      </c>
      <c r="V96" s="21" t="inlineStr">
        <is>
          <t>Chi tiêu</t>
        </is>
      </c>
      <c r="W96" s="21" t="inlineStr">
        <is>
          <t>Cashback</t>
        </is>
      </c>
    </row>
    <row r="97">
      <c r="A97" s="81" t="str">
        <f>IF($Q97="","",90)</f>
        <v/>
      </c>
      <c r="B97" s="57" t="str">
        <f>IF($Q97="","",INDEX(TRANSACTIONS_MASTER!$B$5:$B$1204,$Q97))</f>
        <v/>
      </c>
      <c r="C97" s="55" t="str">
        <f>IF($Q97="","",INDEX(TRANSACTIONS_MASTER!$F$5:$F$1204,$Q97))</f>
        <v/>
      </c>
      <c r="D97" s="55" t="str">
        <f>IF($Q97="","",INDEX(TRANSACTIONS_MASTER!$E$5:$E$1204,$Q97))</f>
        <v/>
      </c>
      <c r="E97" s="55" t="str">
        <f>IF($Q97="","",INDEX(TRANSACTIONS_MASTER!$G$5:$G$1204,$Q97)&amp;"")</f>
        <v/>
      </c>
      <c r="F97" s="29" t="str">
        <f>IF($Q97="","",INDEX(TRANSACTIONS_MASTER!$I$5:$I$1204,$Q97))</f>
        <v/>
      </c>
      <c r="G97" s="55" t="str">
        <f>IF($Q97="","",INDEX(TRANSACTIONS_MASTER!$K$5:$K$1204,$Q97))</f>
        <v/>
      </c>
      <c r="H97" s="25" t="str">
        <f>IF($Q97="","",INDEX(TRANSACTIONS_MASTER!$L$5:$L$1204,$Q97))</f>
        <v/>
      </c>
      <c r="I97" s="56" t="str">
        <f>IF($Q97="","",INDEX(TRANSACTIONS_MASTER!$N$5:$N$1204,$Q97))</f>
        <v/>
      </c>
      <c r="J97" s="25" t="str">
        <f>IF($Q97="","",INDEX(TRANSACTIONS_MASTER!$O$5:$O$1204,$Q97))</f>
        <v/>
      </c>
      <c r="K97" s="26" t="str">
        <f>IF($Q97="","",INDEX(TRANSACTIONS_MASTER!$Q$5:$Q$1204,$Q97))</f>
        <v/>
      </c>
      <c r="L97" s="25" t="str">
        <f>IF($Q97="","",INDEX(TRANSACTIONS_MASTER!$P$5:$P$1204,$Q97))</f>
        <v/>
      </c>
      <c r="M97" s="25" t="str">
        <f>IF($Q97="","",INDEX(TRANSACTIONS_MASTER!$AA$5:$AA$1204,$Q97))</f>
        <v/>
      </c>
      <c r="N97" s="25" t="str">
        <f>IF($Q97="","",INDEX(TRANSACTIONS_MASTER!$R$5:$R$1204,$Q97))</f>
        <v/>
      </c>
      <c r="O97" s="28" t="str">
        <f>IF($Q97="","",INDEX(TRANSACTIONS_MASTER!$AB$5:$AB$1204,$Q97))</f>
        <v/>
      </c>
      <c r="P97" s="55" t="str">
        <f>IF($Q97="","",INDEX(TRANSACTIONS_MASTER!$Z$5:$Z$1204,$Q97)&amp;"")</f>
        <v/>
      </c>
      <c r="Q97" s="67" t="str">
        <f>IFERROR(MATCH($C$2&amp;"|"&amp;90,TRANSACTIONS_MASTER!$AE$5:$AE$1204,0),"")</f>
        <v/>
      </c>
      <c r="S97" s="67">
        <f>IFERROR(MATCH(1,CARDS!$O$5:$O$34,0),"")</f>
        <v>1</v>
      </c>
      <c r="T97" s="55" t="n"/>
      <c r="U97" s="55" t="str">
        <f>IF($S97="","",INDEX(CARDS!$B$5:$B$34,$S97))</f>
        <v>VPBank</v>
      </c>
      <c r="V97" s="25">
        <f>IF($S97="","",SUMIFS(TRANSACTIONS_MASTER!$L$5:$L$1204,TRANSACTIONS_MASTER!$E$5:$E$1204,$U97,TRANSACTIONS_MASTER!$C$5:$C$1204,$C$2,TRANSACTIONS_MASTER!$U$5:$U$1204,"&lt;&gt;Cancelled"))</f>
        <v>0</v>
      </c>
      <c r="W97" s="26">
        <f>IF($S97="","",SUMIFS(TRANSACTIONS_MASTER!$Q$5:$Q$1204,TRANSACTIONS_MASTER!$E$5:$E$1204,$U97,TRANSACTIONS_MASTER!$C$5:$C$1204,$C$2))</f>
        <v>0</v>
      </c>
    </row>
    <row r="98">
      <c r="A98" s="81" t="str">
        <f>IF($Q98="","",91)</f>
        <v/>
      </c>
      <c r="B98" s="57" t="str">
        <f>IF($Q98="","",INDEX(TRANSACTIONS_MASTER!$B$5:$B$1204,$Q98))</f>
        <v/>
      </c>
      <c r="C98" s="55" t="str">
        <f>IF($Q98="","",INDEX(TRANSACTIONS_MASTER!$F$5:$F$1204,$Q98))</f>
        <v/>
      </c>
      <c r="D98" s="55" t="str">
        <f>IF($Q98="","",INDEX(TRANSACTIONS_MASTER!$E$5:$E$1204,$Q98))</f>
        <v/>
      </c>
      <c r="E98" s="55" t="str">
        <f>IF($Q98="","",INDEX(TRANSACTIONS_MASTER!$G$5:$G$1204,$Q98)&amp;"")</f>
        <v/>
      </c>
      <c r="F98" s="29" t="str">
        <f>IF($Q98="","",INDEX(TRANSACTIONS_MASTER!$I$5:$I$1204,$Q98))</f>
        <v/>
      </c>
      <c r="G98" s="55" t="str">
        <f>IF($Q98="","",INDEX(TRANSACTIONS_MASTER!$K$5:$K$1204,$Q98))</f>
        <v/>
      </c>
      <c r="H98" s="25" t="str">
        <f>IF($Q98="","",INDEX(TRANSACTIONS_MASTER!$L$5:$L$1204,$Q98))</f>
        <v/>
      </c>
      <c r="I98" s="56" t="str">
        <f>IF($Q98="","",INDEX(TRANSACTIONS_MASTER!$N$5:$N$1204,$Q98))</f>
        <v/>
      </c>
      <c r="J98" s="25" t="str">
        <f>IF($Q98="","",INDEX(TRANSACTIONS_MASTER!$O$5:$O$1204,$Q98))</f>
        <v/>
      </c>
      <c r="K98" s="26" t="str">
        <f>IF($Q98="","",INDEX(TRANSACTIONS_MASTER!$Q$5:$Q$1204,$Q98))</f>
        <v/>
      </c>
      <c r="L98" s="25" t="str">
        <f>IF($Q98="","",INDEX(TRANSACTIONS_MASTER!$P$5:$P$1204,$Q98))</f>
        <v/>
      </c>
      <c r="M98" s="25" t="str">
        <f>IF($Q98="","",INDEX(TRANSACTIONS_MASTER!$AA$5:$AA$1204,$Q98))</f>
        <v/>
      </c>
      <c r="N98" s="25" t="str">
        <f>IF($Q98="","",INDEX(TRANSACTIONS_MASTER!$R$5:$R$1204,$Q98))</f>
        <v/>
      </c>
      <c r="O98" s="28" t="str">
        <f>IF($Q98="","",INDEX(TRANSACTIONS_MASTER!$AB$5:$AB$1204,$Q98))</f>
        <v/>
      </c>
      <c r="P98" s="55" t="str">
        <f>IF($Q98="","",INDEX(TRANSACTIONS_MASTER!$Z$5:$Z$1204,$Q98)&amp;"")</f>
        <v/>
      </c>
      <c r="Q98" s="67" t="str">
        <f>IFERROR(MATCH($C$2&amp;"|"&amp;91,TRANSACTIONS_MASTER!$AE$5:$AE$1204,0),"")</f>
        <v/>
      </c>
      <c r="S98" s="67">
        <f>IFERROR(MATCH(2,CARDS!$O$5:$O$34,0),"")</f>
        <v>2</v>
      </c>
      <c r="T98" s="55" t="n"/>
      <c r="U98" s="55" t="str">
        <f>IF($S98="","",INDEX(CARDS!$B$5:$B$34,$S98))</f>
        <v>VIB</v>
      </c>
      <c r="V98" s="25">
        <f>IF($S98="","",SUMIFS(TRANSACTIONS_MASTER!$L$5:$L$1204,TRANSACTIONS_MASTER!$E$5:$E$1204,$U98,TRANSACTIONS_MASTER!$C$5:$C$1204,$C$2,TRANSACTIONS_MASTER!$U$5:$U$1204,"&lt;&gt;Cancelled"))</f>
        <v>0</v>
      </c>
      <c r="W98" s="26">
        <f>IF($S98="","",SUMIFS(TRANSACTIONS_MASTER!$Q$5:$Q$1204,TRANSACTIONS_MASTER!$E$5:$E$1204,$U98,TRANSACTIONS_MASTER!$C$5:$C$1204,$C$2))</f>
        <v>0</v>
      </c>
    </row>
    <row r="99">
      <c r="A99" s="81" t="str">
        <f>IF($Q99="","",92)</f>
        <v/>
      </c>
      <c r="B99" s="57" t="str">
        <f>IF($Q99="","",INDEX(TRANSACTIONS_MASTER!$B$5:$B$1204,$Q99))</f>
        <v/>
      </c>
      <c r="C99" s="55" t="str">
        <f>IF($Q99="","",INDEX(TRANSACTIONS_MASTER!$F$5:$F$1204,$Q99))</f>
        <v/>
      </c>
      <c r="D99" s="55" t="str">
        <f>IF($Q99="","",INDEX(TRANSACTIONS_MASTER!$E$5:$E$1204,$Q99))</f>
        <v/>
      </c>
      <c r="E99" s="55" t="str">
        <f>IF($Q99="","",INDEX(TRANSACTIONS_MASTER!$G$5:$G$1204,$Q99)&amp;"")</f>
        <v/>
      </c>
      <c r="F99" s="29" t="str">
        <f>IF($Q99="","",INDEX(TRANSACTIONS_MASTER!$I$5:$I$1204,$Q99))</f>
        <v/>
      </c>
      <c r="G99" s="55" t="str">
        <f>IF($Q99="","",INDEX(TRANSACTIONS_MASTER!$K$5:$K$1204,$Q99))</f>
        <v/>
      </c>
      <c r="H99" s="25" t="str">
        <f>IF($Q99="","",INDEX(TRANSACTIONS_MASTER!$L$5:$L$1204,$Q99))</f>
        <v/>
      </c>
      <c r="I99" s="56" t="str">
        <f>IF($Q99="","",INDEX(TRANSACTIONS_MASTER!$N$5:$N$1204,$Q99))</f>
        <v/>
      </c>
      <c r="J99" s="25" t="str">
        <f>IF($Q99="","",INDEX(TRANSACTIONS_MASTER!$O$5:$O$1204,$Q99))</f>
        <v/>
      </c>
      <c r="K99" s="26" t="str">
        <f>IF($Q99="","",INDEX(TRANSACTIONS_MASTER!$Q$5:$Q$1204,$Q99))</f>
        <v/>
      </c>
      <c r="L99" s="25" t="str">
        <f>IF($Q99="","",INDEX(TRANSACTIONS_MASTER!$P$5:$P$1204,$Q99))</f>
        <v/>
      </c>
      <c r="M99" s="25" t="str">
        <f>IF($Q99="","",INDEX(TRANSACTIONS_MASTER!$AA$5:$AA$1204,$Q99))</f>
        <v/>
      </c>
      <c r="N99" s="25" t="str">
        <f>IF($Q99="","",INDEX(TRANSACTIONS_MASTER!$R$5:$R$1204,$Q99))</f>
        <v/>
      </c>
      <c r="O99" s="28" t="str">
        <f>IF($Q99="","",INDEX(TRANSACTIONS_MASTER!$AB$5:$AB$1204,$Q99))</f>
        <v/>
      </c>
      <c r="P99" s="55" t="str">
        <f>IF($Q99="","",INDEX(TRANSACTIONS_MASTER!$Z$5:$Z$1204,$Q99)&amp;"")</f>
        <v/>
      </c>
      <c r="Q99" s="67" t="str">
        <f>IFERROR(MATCH($C$2&amp;"|"&amp;92,TRANSACTIONS_MASTER!$AE$5:$AE$1204,0),"")</f>
        <v/>
      </c>
      <c r="S99" s="67">
        <f>IFERROR(MATCH(3,CARDS!$O$5:$O$34,0),"")</f>
        <v>3</v>
      </c>
      <c r="T99" s="55" t="n"/>
      <c r="U99" s="55" t="str">
        <f>IF($S99="","",INDEX(CARDS!$B$5:$B$34,$S99))</f>
        <v>Techcombank</v>
      </c>
      <c r="V99" s="25">
        <f>IF($S99="","",SUMIFS(TRANSACTIONS_MASTER!$L$5:$L$1204,TRANSACTIONS_MASTER!$E$5:$E$1204,$U99,TRANSACTIONS_MASTER!$C$5:$C$1204,$C$2,TRANSACTIONS_MASTER!$U$5:$U$1204,"&lt;&gt;Cancelled"))</f>
        <v>0</v>
      </c>
      <c r="W99" s="26">
        <f>IF($S99="","",SUMIFS(TRANSACTIONS_MASTER!$Q$5:$Q$1204,TRANSACTIONS_MASTER!$E$5:$E$1204,$U99,TRANSACTIONS_MASTER!$C$5:$C$1204,$C$2))</f>
        <v>0</v>
      </c>
    </row>
    <row r="100">
      <c r="A100" s="81" t="str">
        <f>IF($Q100="","",93)</f>
        <v/>
      </c>
      <c r="B100" s="57" t="str">
        <f>IF($Q100="","",INDEX(TRANSACTIONS_MASTER!$B$5:$B$1204,$Q100))</f>
        <v/>
      </c>
      <c r="C100" s="55" t="str">
        <f>IF($Q100="","",INDEX(TRANSACTIONS_MASTER!$F$5:$F$1204,$Q100))</f>
        <v/>
      </c>
      <c r="D100" s="55" t="str">
        <f>IF($Q100="","",INDEX(TRANSACTIONS_MASTER!$E$5:$E$1204,$Q100))</f>
        <v/>
      </c>
      <c r="E100" s="55" t="str">
        <f>IF($Q100="","",INDEX(TRANSACTIONS_MASTER!$G$5:$G$1204,$Q100)&amp;"")</f>
        <v/>
      </c>
      <c r="F100" s="29" t="str">
        <f>IF($Q100="","",INDEX(TRANSACTIONS_MASTER!$I$5:$I$1204,$Q100))</f>
        <v/>
      </c>
      <c r="G100" s="55" t="str">
        <f>IF($Q100="","",INDEX(TRANSACTIONS_MASTER!$K$5:$K$1204,$Q100))</f>
        <v/>
      </c>
      <c r="H100" s="25" t="str">
        <f>IF($Q100="","",INDEX(TRANSACTIONS_MASTER!$L$5:$L$1204,$Q100))</f>
        <v/>
      </c>
      <c r="I100" s="56" t="str">
        <f>IF($Q100="","",INDEX(TRANSACTIONS_MASTER!$N$5:$N$1204,$Q100))</f>
        <v/>
      </c>
      <c r="J100" s="25" t="str">
        <f>IF($Q100="","",INDEX(TRANSACTIONS_MASTER!$O$5:$O$1204,$Q100))</f>
        <v/>
      </c>
      <c r="K100" s="26" t="str">
        <f>IF($Q100="","",INDEX(TRANSACTIONS_MASTER!$Q$5:$Q$1204,$Q100))</f>
        <v/>
      </c>
      <c r="L100" s="25" t="str">
        <f>IF($Q100="","",INDEX(TRANSACTIONS_MASTER!$P$5:$P$1204,$Q100))</f>
        <v/>
      </c>
      <c r="M100" s="25" t="str">
        <f>IF($Q100="","",INDEX(TRANSACTIONS_MASTER!$AA$5:$AA$1204,$Q100))</f>
        <v/>
      </c>
      <c r="N100" s="25" t="str">
        <f>IF($Q100="","",INDEX(TRANSACTIONS_MASTER!$R$5:$R$1204,$Q100))</f>
        <v/>
      </c>
      <c r="O100" s="28" t="str">
        <f>IF($Q100="","",INDEX(TRANSACTIONS_MASTER!$AB$5:$AB$1204,$Q100))</f>
        <v/>
      </c>
      <c r="P100" s="55" t="str">
        <f>IF($Q100="","",INDEX(TRANSACTIONS_MASTER!$Z$5:$Z$1204,$Q100)&amp;"")</f>
        <v/>
      </c>
      <c r="Q100" s="67" t="str">
        <f>IFERROR(MATCH($C$2&amp;"|"&amp;93,TRANSACTIONS_MASTER!$AE$5:$AE$1204,0),"")</f>
        <v/>
      </c>
      <c r="S100" s="67">
        <f>IFERROR(MATCH(4,CARDS!$O$5:$O$34,0),"")</f>
        <v>4</v>
      </c>
      <c r="T100" s="55" t="n"/>
      <c r="U100" s="55" t="str">
        <f>IF($S100="","",INDEX(CARDS!$B$5:$B$34,$S100))</f>
        <v>UOB</v>
      </c>
      <c r="V100" s="25">
        <f>IF($S100="","",SUMIFS(TRANSACTIONS_MASTER!$L$5:$L$1204,TRANSACTIONS_MASTER!$E$5:$E$1204,$U100,TRANSACTIONS_MASTER!$C$5:$C$1204,$C$2,TRANSACTIONS_MASTER!$U$5:$U$1204,"&lt;&gt;Cancelled"))</f>
        <v>0</v>
      </c>
      <c r="W100" s="26">
        <f>IF($S100="","",SUMIFS(TRANSACTIONS_MASTER!$Q$5:$Q$1204,TRANSACTIONS_MASTER!$E$5:$E$1204,$U100,TRANSACTIONS_MASTER!$C$5:$C$1204,$C$2))</f>
        <v>0</v>
      </c>
    </row>
    <row r="101">
      <c r="A101" s="81" t="str">
        <f>IF($Q101="","",94)</f>
        <v/>
      </c>
      <c r="B101" s="57" t="str">
        <f>IF($Q101="","",INDEX(TRANSACTIONS_MASTER!$B$5:$B$1204,$Q101))</f>
        <v/>
      </c>
      <c r="C101" s="55" t="str">
        <f>IF($Q101="","",INDEX(TRANSACTIONS_MASTER!$F$5:$F$1204,$Q101))</f>
        <v/>
      </c>
      <c r="D101" s="55" t="str">
        <f>IF($Q101="","",INDEX(TRANSACTIONS_MASTER!$E$5:$E$1204,$Q101))</f>
        <v/>
      </c>
      <c r="E101" s="55" t="str">
        <f>IF($Q101="","",INDEX(TRANSACTIONS_MASTER!$G$5:$G$1204,$Q101)&amp;"")</f>
        <v/>
      </c>
      <c r="F101" s="29" t="str">
        <f>IF($Q101="","",INDEX(TRANSACTIONS_MASTER!$I$5:$I$1204,$Q101))</f>
        <v/>
      </c>
      <c r="G101" s="55" t="str">
        <f>IF($Q101="","",INDEX(TRANSACTIONS_MASTER!$K$5:$K$1204,$Q101))</f>
        <v/>
      </c>
      <c r="H101" s="25" t="str">
        <f>IF($Q101="","",INDEX(TRANSACTIONS_MASTER!$L$5:$L$1204,$Q101))</f>
        <v/>
      </c>
      <c r="I101" s="56" t="str">
        <f>IF($Q101="","",INDEX(TRANSACTIONS_MASTER!$N$5:$N$1204,$Q101))</f>
        <v/>
      </c>
      <c r="J101" s="25" t="str">
        <f>IF($Q101="","",INDEX(TRANSACTIONS_MASTER!$O$5:$O$1204,$Q101))</f>
        <v/>
      </c>
      <c r="K101" s="26" t="str">
        <f>IF($Q101="","",INDEX(TRANSACTIONS_MASTER!$Q$5:$Q$1204,$Q101))</f>
        <v/>
      </c>
      <c r="L101" s="25" t="str">
        <f>IF($Q101="","",INDEX(TRANSACTIONS_MASTER!$P$5:$P$1204,$Q101))</f>
        <v/>
      </c>
      <c r="M101" s="25" t="str">
        <f>IF($Q101="","",INDEX(TRANSACTIONS_MASTER!$AA$5:$AA$1204,$Q101))</f>
        <v/>
      </c>
      <c r="N101" s="25" t="str">
        <f>IF($Q101="","",INDEX(TRANSACTIONS_MASTER!$R$5:$R$1204,$Q101))</f>
        <v/>
      </c>
      <c r="O101" s="28" t="str">
        <f>IF($Q101="","",INDEX(TRANSACTIONS_MASTER!$AB$5:$AB$1204,$Q101))</f>
        <v/>
      </c>
      <c r="P101" s="55" t="str">
        <f>IF($Q101="","",INDEX(TRANSACTIONS_MASTER!$Z$5:$Z$1204,$Q101)&amp;"")</f>
        <v/>
      </c>
      <c r="Q101" s="67" t="str">
        <f>IFERROR(MATCH($C$2&amp;"|"&amp;94,TRANSACTIONS_MASTER!$AE$5:$AE$1204,0),"")</f>
        <v/>
      </c>
      <c r="S101" s="67">
        <f>IFERROR(MATCH(5,CARDS!$O$5:$O$34,0),"")</f>
        <v>5</v>
      </c>
      <c r="T101" s="55" t="n"/>
      <c r="U101" s="55" t="str">
        <f>IF($S101="","",INDEX(CARDS!$B$5:$B$34,$S101))</f>
        <v>MB</v>
      </c>
      <c r="V101" s="25">
        <f>IF($S101="","",SUMIFS(TRANSACTIONS_MASTER!$L$5:$L$1204,TRANSACTIONS_MASTER!$E$5:$E$1204,$U101,TRANSACTIONS_MASTER!$C$5:$C$1204,$C$2,TRANSACTIONS_MASTER!$U$5:$U$1204,"&lt;&gt;Cancelled"))</f>
        <v>0</v>
      </c>
      <c r="W101" s="26">
        <f>IF($S101="","",SUMIFS(TRANSACTIONS_MASTER!$Q$5:$Q$1204,TRANSACTIONS_MASTER!$E$5:$E$1204,$U101,TRANSACTIONS_MASTER!$C$5:$C$1204,$C$2))</f>
        <v>0</v>
      </c>
    </row>
    <row r="102">
      <c r="A102" s="81" t="str">
        <f>IF($Q102="","",95)</f>
        <v/>
      </c>
      <c r="B102" s="57" t="str">
        <f>IF($Q102="","",INDEX(TRANSACTIONS_MASTER!$B$5:$B$1204,$Q102))</f>
        <v/>
      </c>
      <c r="C102" s="55" t="str">
        <f>IF($Q102="","",INDEX(TRANSACTIONS_MASTER!$F$5:$F$1204,$Q102))</f>
        <v/>
      </c>
      <c r="D102" s="55" t="str">
        <f>IF($Q102="","",INDEX(TRANSACTIONS_MASTER!$E$5:$E$1204,$Q102))</f>
        <v/>
      </c>
      <c r="E102" s="55" t="str">
        <f>IF($Q102="","",INDEX(TRANSACTIONS_MASTER!$G$5:$G$1204,$Q102)&amp;"")</f>
        <v/>
      </c>
      <c r="F102" s="29" t="str">
        <f>IF($Q102="","",INDEX(TRANSACTIONS_MASTER!$I$5:$I$1204,$Q102))</f>
        <v/>
      </c>
      <c r="G102" s="55" t="str">
        <f>IF($Q102="","",INDEX(TRANSACTIONS_MASTER!$K$5:$K$1204,$Q102))</f>
        <v/>
      </c>
      <c r="H102" s="25" t="str">
        <f>IF($Q102="","",INDEX(TRANSACTIONS_MASTER!$L$5:$L$1204,$Q102))</f>
        <v/>
      </c>
      <c r="I102" s="56" t="str">
        <f>IF($Q102="","",INDEX(TRANSACTIONS_MASTER!$N$5:$N$1204,$Q102))</f>
        <v/>
      </c>
      <c r="J102" s="25" t="str">
        <f>IF($Q102="","",INDEX(TRANSACTIONS_MASTER!$O$5:$O$1204,$Q102))</f>
        <v/>
      </c>
      <c r="K102" s="26" t="str">
        <f>IF($Q102="","",INDEX(TRANSACTIONS_MASTER!$Q$5:$Q$1204,$Q102))</f>
        <v/>
      </c>
      <c r="L102" s="25" t="str">
        <f>IF($Q102="","",INDEX(TRANSACTIONS_MASTER!$P$5:$P$1204,$Q102))</f>
        <v/>
      </c>
      <c r="M102" s="25" t="str">
        <f>IF($Q102="","",INDEX(TRANSACTIONS_MASTER!$AA$5:$AA$1204,$Q102))</f>
        <v/>
      </c>
      <c r="N102" s="25" t="str">
        <f>IF($Q102="","",INDEX(TRANSACTIONS_MASTER!$R$5:$R$1204,$Q102))</f>
        <v/>
      </c>
      <c r="O102" s="28" t="str">
        <f>IF($Q102="","",INDEX(TRANSACTIONS_MASTER!$AB$5:$AB$1204,$Q102))</f>
        <v/>
      </c>
      <c r="P102" s="55" t="str">
        <f>IF($Q102="","",INDEX(TRANSACTIONS_MASTER!$Z$5:$Z$1204,$Q102)&amp;"")</f>
        <v/>
      </c>
      <c r="Q102" s="67" t="str">
        <f>IFERROR(MATCH($C$2&amp;"|"&amp;95,TRANSACTIONS_MASTER!$AE$5:$AE$1204,0),"")</f>
        <v/>
      </c>
      <c r="S102" s="67">
        <f>IFERROR(MATCH(6,CARDS!$O$5:$O$34,0),"")</f>
        <v>6</v>
      </c>
      <c r="T102" s="55" t="n"/>
      <c r="U102" s="55" t="str">
        <f>IF($S102="","",INDEX(CARDS!$B$5:$B$34,$S102))</f>
        <v>ACB</v>
      </c>
      <c r="V102" s="25">
        <f>IF($S102="","",SUMIFS(TRANSACTIONS_MASTER!$L$5:$L$1204,TRANSACTIONS_MASTER!$E$5:$E$1204,$U102,TRANSACTIONS_MASTER!$C$5:$C$1204,$C$2,TRANSACTIONS_MASTER!$U$5:$U$1204,"&lt;&gt;Cancelled"))</f>
        <v>0</v>
      </c>
      <c r="W102" s="26">
        <f>IF($S102="","",SUMIFS(TRANSACTIONS_MASTER!$Q$5:$Q$1204,TRANSACTIONS_MASTER!$E$5:$E$1204,$U102,TRANSACTIONS_MASTER!$C$5:$C$1204,$C$2))</f>
        <v>0</v>
      </c>
    </row>
    <row r="103">
      <c r="A103" s="81" t="str">
        <f>IF($Q103="","",96)</f>
        <v/>
      </c>
      <c r="B103" s="57" t="str">
        <f>IF($Q103="","",INDEX(TRANSACTIONS_MASTER!$B$5:$B$1204,$Q103))</f>
        <v/>
      </c>
      <c r="C103" s="55" t="str">
        <f>IF($Q103="","",INDEX(TRANSACTIONS_MASTER!$F$5:$F$1204,$Q103))</f>
        <v/>
      </c>
      <c r="D103" s="55" t="str">
        <f>IF($Q103="","",INDEX(TRANSACTIONS_MASTER!$E$5:$E$1204,$Q103))</f>
        <v/>
      </c>
      <c r="E103" s="55" t="str">
        <f>IF($Q103="","",INDEX(TRANSACTIONS_MASTER!$G$5:$G$1204,$Q103)&amp;"")</f>
        <v/>
      </c>
      <c r="F103" s="29" t="str">
        <f>IF($Q103="","",INDEX(TRANSACTIONS_MASTER!$I$5:$I$1204,$Q103))</f>
        <v/>
      </c>
      <c r="G103" s="55" t="str">
        <f>IF($Q103="","",INDEX(TRANSACTIONS_MASTER!$K$5:$K$1204,$Q103))</f>
        <v/>
      </c>
      <c r="H103" s="25" t="str">
        <f>IF($Q103="","",INDEX(TRANSACTIONS_MASTER!$L$5:$L$1204,$Q103))</f>
        <v/>
      </c>
      <c r="I103" s="56" t="str">
        <f>IF($Q103="","",INDEX(TRANSACTIONS_MASTER!$N$5:$N$1204,$Q103))</f>
        <v/>
      </c>
      <c r="J103" s="25" t="str">
        <f>IF($Q103="","",INDEX(TRANSACTIONS_MASTER!$O$5:$O$1204,$Q103))</f>
        <v/>
      </c>
      <c r="K103" s="26" t="str">
        <f>IF($Q103="","",INDEX(TRANSACTIONS_MASTER!$Q$5:$Q$1204,$Q103))</f>
        <v/>
      </c>
      <c r="L103" s="25" t="str">
        <f>IF($Q103="","",INDEX(TRANSACTIONS_MASTER!$P$5:$P$1204,$Q103))</f>
        <v/>
      </c>
      <c r="M103" s="25" t="str">
        <f>IF($Q103="","",INDEX(TRANSACTIONS_MASTER!$AA$5:$AA$1204,$Q103))</f>
        <v/>
      </c>
      <c r="N103" s="25" t="str">
        <f>IF($Q103="","",INDEX(TRANSACTIONS_MASTER!$R$5:$R$1204,$Q103))</f>
        <v/>
      </c>
      <c r="O103" s="28" t="str">
        <f>IF($Q103="","",INDEX(TRANSACTIONS_MASTER!$AB$5:$AB$1204,$Q103))</f>
        <v/>
      </c>
      <c r="P103" s="55" t="str">
        <f>IF($Q103="","",INDEX(TRANSACTIONS_MASTER!$Z$5:$Z$1204,$Q103)&amp;"")</f>
        <v/>
      </c>
      <c r="Q103" s="67" t="str">
        <f>IFERROR(MATCH($C$2&amp;"|"&amp;96,TRANSACTIONS_MASTER!$AE$5:$AE$1204,0),"")</f>
        <v/>
      </c>
      <c r="S103" s="67" t="str">
        <f>IFERROR(MATCH(7,CARDS!$O$5:$O$34,0),"")</f>
        <v/>
      </c>
      <c r="T103" s="55" t="n"/>
      <c r="U103" s="55" t="str">
        <f>IF($S103="","",INDEX(CARDS!$B$5:$B$34,$S103))</f>
        <v/>
      </c>
      <c r="V103" s="25" t="str">
        <f>IF($S103="","",SUMIFS(TRANSACTIONS_MASTER!$L$5:$L$1204,TRANSACTIONS_MASTER!$E$5:$E$1204,$U103,TRANSACTIONS_MASTER!$C$5:$C$1204,$C$2,TRANSACTIONS_MASTER!$U$5:$U$1204,"&lt;&gt;Cancelled"))</f>
        <v/>
      </c>
      <c r="W103" s="26" t="str">
        <f>IF($S103="","",SUMIFS(TRANSACTIONS_MASTER!$Q$5:$Q$1204,TRANSACTIONS_MASTER!$E$5:$E$1204,$U103,TRANSACTIONS_MASTER!$C$5:$C$1204,$C$2))</f>
        <v/>
      </c>
    </row>
    <row r="104">
      <c r="A104" s="81" t="str">
        <f>IF($Q104="","",97)</f>
        <v/>
      </c>
      <c r="B104" s="57" t="str">
        <f>IF($Q104="","",INDEX(TRANSACTIONS_MASTER!$B$5:$B$1204,$Q104))</f>
        <v/>
      </c>
      <c r="C104" s="55" t="str">
        <f>IF($Q104="","",INDEX(TRANSACTIONS_MASTER!$F$5:$F$1204,$Q104))</f>
        <v/>
      </c>
      <c r="D104" s="55" t="str">
        <f>IF($Q104="","",INDEX(TRANSACTIONS_MASTER!$E$5:$E$1204,$Q104))</f>
        <v/>
      </c>
      <c r="E104" s="55" t="str">
        <f>IF($Q104="","",INDEX(TRANSACTIONS_MASTER!$G$5:$G$1204,$Q104)&amp;"")</f>
        <v/>
      </c>
      <c r="F104" s="29" t="str">
        <f>IF($Q104="","",INDEX(TRANSACTIONS_MASTER!$I$5:$I$1204,$Q104))</f>
        <v/>
      </c>
      <c r="G104" s="55" t="str">
        <f>IF($Q104="","",INDEX(TRANSACTIONS_MASTER!$K$5:$K$1204,$Q104))</f>
        <v/>
      </c>
      <c r="H104" s="25" t="str">
        <f>IF($Q104="","",INDEX(TRANSACTIONS_MASTER!$L$5:$L$1204,$Q104))</f>
        <v/>
      </c>
      <c r="I104" s="56" t="str">
        <f>IF($Q104="","",INDEX(TRANSACTIONS_MASTER!$N$5:$N$1204,$Q104))</f>
        <v/>
      </c>
      <c r="J104" s="25" t="str">
        <f>IF($Q104="","",INDEX(TRANSACTIONS_MASTER!$O$5:$O$1204,$Q104))</f>
        <v/>
      </c>
      <c r="K104" s="26" t="str">
        <f>IF($Q104="","",INDEX(TRANSACTIONS_MASTER!$Q$5:$Q$1204,$Q104))</f>
        <v/>
      </c>
      <c r="L104" s="25" t="str">
        <f>IF($Q104="","",INDEX(TRANSACTIONS_MASTER!$P$5:$P$1204,$Q104))</f>
        <v/>
      </c>
      <c r="M104" s="25" t="str">
        <f>IF($Q104="","",INDEX(TRANSACTIONS_MASTER!$AA$5:$AA$1204,$Q104))</f>
        <v/>
      </c>
      <c r="N104" s="25" t="str">
        <f>IF($Q104="","",INDEX(TRANSACTIONS_MASTER!$R$5:$R$1204,$Q104))</f>
        <v/>
      </c>
      <c r="O104" s="28" t="str">
        <f>IF($Q104="","",INDEX(TRANSACTIONS_MASTER!$AB$5:$AB$1204,$Q104))</f>
        <v/>
      </c>
      <c r="P104" s="55" t="str">
        <f>IF($Q104="","",INDEX(TRANSACTIONS_MASTER!$Z$5:$Z$1204,$Q104)&amp;"")</f>
        <v/>
      </c>
      <c r="Q104" s="67" t="str">
        <f>IFERROR(MATCH($C$2&amp;"|"&amp;97,TRANSACTIONS_MASTER!$AE$5:$AE$1204,0),"")</f>
        <v/>
      </c>
      <c r="S104" s="67" t="str">
        <f>IFERROR(MATCH(8,CARDS!$O$5:$O$34,0),"")</f>
        <v/>
      </c>
      <c r="T104" s="55" t="n"/>
      <c r="U104" s="55" t="str">
        <f>IF($S104="","",INDEX(CARDS!$B$5:$B$34,$S104))</f>
        <v/>
      </c>
      <c r="V104" s="25" t="str">
        <f>IF($S104="","",SUMIFS(TRANSACTIONS_MASTER!$L$5:$L$1204,TRANSACTIONS_MASTER!$E$5:$E$1204,$U104,TRANSACTIONS_MASTER!$C$5:$C$1204,$C$2,TRANSACTIONS_MASTER!$U$5:$U$1204,"&lt;&gt;Cancelled"))</f>
        <v/>
      </c>
      <c r="W104" s="26" t="str">
        <f>IF($S104="","",SUMIFS(TRANSACTIONS_MASTER!$Q$5:$Q$1204,TRANSACTIONS_MASTER!$E$5:$E$1204,$U104,TRANSACTIONS_MASTER!$C$5:$C$1204,$C$2))</f>
        <v/>
      </c>
    </row>
    <row r="105">
      <c r="A105" s="81" t="str">
        <f>IF($Q105="","",98)</f>
        <v/>
      </c>
      <c r="B105" s="57" t="str">
        <f>IF($Q105="","",INDEX(TRANSACTIONS_MASTER!$B$5:$B$1204,$Q105))</f>
        <v/>
      </c>
      <c r="C105" s="55" t="str">
        <f>IF($Q105="","",INDEX(TRANSACTIONS_MASTER!$F$5:$F$1204,$Q105))</f>
        <v/>
      </c>
      <c r="D105" s="55" t="str">
        <f>IF($Q105="","",INDEX(TRANSACTIONS_MASTER!$E$5:$E$1204,$Q105))</f>
        <v/>
      </c>
      <c r="E105" s="55" t="str">
        <f>IF($Q105="","",INDEX(TRANSACTIONS_MASTER!$G$5:$G$1204,$Q105)&amp;"")</f>
        <v/>
      </c>
      <c r="F105" s="29" t="str">
        <f>IF($Q105="","",INDEX(TRANSACTIONS_MASTER!$I$5:$I$1204,$Q105))</f>
        <v/>
      </c>
      <c r="G105" s="55" t="str">
        <f>IF($Q105="","",INDEX(TRANSACTIONS_MASTER!$K$5:$K$1204,$Q105))</f>
        <v/>
      </c>
      <c r="H105" s="25" t="str">
        <f>IF($Q105="","",INDEX(TRANSACTIONS_MASTER!$L$5:$L$1204,$Q105))</f>
        <v/>
      </c>
      <c r="I105" s="56" t="str">
        <f>IF($Q105="","",INDEX(TRANSACTIONS_MASTER!$N$5:$N$1204,$Q105))</f>
        <v/>
      </c>
      <c r="J105" s="25" t="str">
        <f>IF($Q105="","",INDEX(TRANSACTIONS_MASTER!$O$5:$O$1204,$Q105))</f>
        <v/>
      </c>
      <c r="K105" s="26" t="str">
        <f>IF($Q105="","",INDEX(TRANSACTIONS_MASTER!$Q$5:$Q$1204,$Q105))</f>
        <v/>
      </c>
      <c r="L105" s="25" t="str">
        <f>IF($Q105="","",INDEX(TRANSACTIONS_MASTER!$P$5:$P$1204,$Q105))</f>
        <v/>
      </c>
      <c r="M105" s="25" t="str">
        <f>IF($Q105="","",INDEX(TRANSACTIONS_MASTER!$AA$5:$AA$1204,$Q105))</f>
        <v/>
      </c>
      <c r="N105" s="25" t="str">
        <f>IF($Q105="","",INDEX(TRANSACTIONS_MASTER!$R$5:$R$1204,$Q105))</f>
        <v/>
      </c>
      <c r="O105" s="28" t="str">
        <f>IF($Q105="","",INDEX(TRANSACTIONS_MASTER!$AB$5:$AB$1204,$Q105))</f>
        <v/>
      </c>
      <c r="P105" s="55" t="str">
        <f>IF($Q105="","",INDEX(TRANSACTIONS_MASTER!$Z$5:$Z$1204,$Q105)&amp;"")</f>
        <v/>
      </c>
      <c r="Q105" s="67" t="str">
        <f>IFERROR(MATCH($C$2&amp;"|"&amp;98,TRANSACTIONS_MASTER!$AE$5:$AE$1204,0),"")</f>
        <v/>
      </c>
      <c r="S105" s="67" t="str">
        <f>IFERROR(MATCH(9,CARDS!$O$5:$O$34,0),"")</f>
        <v/>
      </c>
      <c r="T105" s="55" t="n"/>
      <c r="U105" s="55" t="str">
        <f>IF($S105="","",INDEX(CARDS!$B$5:$B$34,$S105))</f>
        <v/>
      </c>
      <c r="V105" s="25" t="str">
        <f>IF($S105="","",SUMIFS(TRANSACTIONS_MASTER!$L$5:$L$1204,TRANSACTIONS_MASTER!$E$5:$E$1204,$U105,TRANSACTIONS_MASTER!$C$5:$C$1204,$C$2,TRANSACTIONS_MASTER!$U$5:$U$1204,"&lt;&gt;Cancelled"))</f>
        <v/>
      </c>
      <c r="W105" s="26" t="str">
        <f>IF($S105="","",SUMIFS(TRANSACTIONS_MASTER!$Q$5:$Q$1204,TRANSACTIONS_MASTER!$E$5:$E$1204,$U105,TRANSACTIONS_MASTER!$C$5:$C$1204,$C$2))</f>
        <v/>
      </c>
    </row>
    <row r="106">
      <c r="A106" s="81" t="str">
        <f>IF($Q106="","",99)</f>
        <v/>
      </c>
      <c r="B106" s="57" t="str">
        <f>IF($Q106="","",INDEX(TRANSACTIONS_MASTER!$B$5:$B$1204,$Q106))</f>
        <v/>
      </c>
      <c r="C106" s="55" t="str">
        <f>IF($Q106="","",INDEX(TRANSACTIONS_MASTER!$F$5:$F$1204,$Q106))</f>
        <v/>
      </c>
      <c r="D106" s="55" t="str">
        <f>IF($Q106="","",INDEX(TRANSACTIONS_MASTER!$E$5:$E$1204,$Q106))</f>
        <v/>
      </c>
      <c r="E106" s="55" t="str">
        <f>IF($Q106="","",INDEX(TRANSACTIONS_MASTER!$G$5:$G$1204,$Q106)&amp;"")</f>
        <v/>
      </c>
      <c r="F106" s="29" t="str">
        <f>IF($Q106="","",INDEX(TRANSACTIONS_MASTER!$I$5:$I$1204,$Q106))</f>
        <v/>
      </c>
      <c r="G106" s="55" t="str">
        <f>IF($Q106="","",INDEX(TRANSACTIONS_MASTER!$K$5:$K$1204,$Q106))</f>
        <v/>
      </c>
      <c r="H106" s="25" t="str">
        <f>IF($Q106="","",INDEX(TRANSACTIONS_MASTER!$L$5:$L$1204,$Q106))</f>
        <v/>
      </c>
      <c r="I106" s="56" t="str">
        <f>IF($Q106="","",INDEX(TRANSACTIONS_MASTER!$N$5:$N$1204,$Q106))</f>
        <v/>
      </c>
      <c r="J106" s="25" t="str">
        <f>IF($Q106="","",INDEX(TRANSACTIONS_MASTER!$O$5:$O$1204,$Q106))</f>
        <v/>
      </c>
      <c r="K106" s="26" t="str">
        <f>IF($Q106="","",INDEX(TRANSACTIONS_MASTER!$Q$5:$Q$1204,$Q106))</f>
        <v/>
      </c>
      <c r="L106" s="25" t="str">
        <f>IF($Q106="","",INDEX(TRANSACTIONS_MASTER!$P$5:$P$1204,$Q106))</f>
        <v/>
      </c>
      <c r="M106" s="25" t="str">
        <f>IF($Q106="","",INDEX(TRANSACTIONS_MASTER!$AA$5:$AA$1204,$Q106))</f>
        <v/>
      </c>
      <c r="N106" s="25" t="str">
        <f>IF($Q106="","",INDEX(TRANSACTIONS_MASTER!$R$5:$R$1204,$Q106))</f>
        <v/>
      </c>
      <c r="O106" s="28" t="str">
        <f>IF($Q106="","",INDEX(TRANSACTIONS_MASTER!$AB$5:$AB$1204,$Q106))</f>
        <v/>
      </c>
      <c r="P106" s="55" t="str">
        <f>IF($Q106="","",INDEX(TRANSACTIONS_MASTER!$Z$5:$Z$1204,$Q106)&amp;"")</f>
        <v/>
      </c>
      <c r="Q106" s="67" t="str">
        <f>IFERROR(MATCH($C$2&amp;"|"&amp;99,TRANSACTIONS_MASTER!$AE$5:$AE$1204,0),"")</f>
        <v/>
      </c>
      <c r="S106" s="67" t="str">
        <f>IFERROR(MATCH(10,CARDS!$O$5:$O$34,0),"")</f>
        <v/>
      </c>
      <c r="T106" s="55" t="n"/>
      <c r="U106" s="55" t="str">
        <f>IF($S106="","",INDEX(CARDS!$B$5:$B$34,$S106))</f>
        <v/>
      </c>
      <c r="V106" s="25" t="str">
        <f>IF($S106="","",SUMIFS(TRANSACTIONS_MASTER!$L$5:$L$1204,TRANSACTIONS_MASTER!$E$5:$E$1204,$U106,TRANSACTIONS_MASTER!$C$5:$C$1204,$C$2,TRANSACTIONS_MASTER!$U$5:$U$1204,"&lt;&gt;Cancelled"))</f>
        <v/>
      </c>
      <c r="W106" s="26" t="str">
        <f>IF($S106="","",SUMIFS(TRANSACTIONS_MASTER!$Q$5:$Q$1204,TRANSACTIONS_MASTER!$E$5:$E$1204,$U106,TRANSACTIONS_MASTER!$C$5:$C$1204,$C$2))</f>
        <v/>
      </c>
    </row>
    <row r="107">
      <c r="A107" s="81" t="str">
        <f>IF($Q107="","",100)</f>
        <v/>
      </c>
      <c r="B107" s="57" t="str">
        <f>IF($Q107="","",INDEX(TRANSACTIONS_MASTER!$B$5:$B$1204,$Q107))</f>
        <v/>
      </c>
      <c r="C107" s="55" t="str">
        <f>IF($Q107="","",INDEX(TRANSACTIONS_MASTER!$F$5:$F$1204,$Q107))</f>
        <v/>
      </c>
      <c r="D107" s="55" t="str">
        <f>IF($Q107="","",INDEX(TRANSACTIONS_MASTER!$E$5:$E$1204,$Q107))</f>
        <v/>
      </c>
      <c r="E107" s="55" t="str">
        <f>IF($Q107="","",INDEX(TRANSACTIONS_MASTER!$G$5:$G$1204,$Q107)&amp;"")</f>
        <v/>
      </c>
      <c r="F107" s="29" t="str">
        <f>IF($Q107="","",INDEX(TRANSACTIONS_MASTER!$I$5:$I$1204,$Q107))</f>
        <v/>
      </c>
      <c r="G107" s="55" t="str">
        <f>IF($Q107="","",INDEX(TRANSACTIONS_MASTER!$K$5:$K$1204,$Q107))</f>
        <v/>
      </c>
      <c r="H107" s="25" t="str">
        <f>IF($Q107="","",INDEX(TRANSACTIONS_MASTER!$L$5:$L$1204,$Q107))</f>
        <v/>
      </c>
      <c r="I107" s="56" t="str">
        <f>IF($Q107="","",INDEX(TRANSACTIONS_MASTER!$N$5:$N$1204,$Q107))</f>
        <v/>
      </c>
      <c r="J107" s="25" t="str">
        <f>IF($Q107="","",INDEX(TRANSACTIONS_MASTER!$O$5:$O$1204,$Q107))</f>
        <v/>
      </c>
      <c r="K107" s="26" t="str">
        <f>IF($Q107="","",INDEX(TRANSACTIONS_MASTER!$Q$5:$Q$1204,$Q107))</f>
        <v/>
      </c>
      <c r="L107" s="25" t="str">
        <f>IF($Q107="","",INDEX(TRANSACTIONS_MASTER!$P$5:$P$1204,$Q107))</f>
        <v/>
      </c>
      <c r="M107" s="25" t="str">
        <f>IF($Q107="","",INDEX(TRANSACTIONS_MASTER!$AA$5:$AA$1204,$Q107))</f>
        <v/>
      </c>
      <c r="N107" s="25" t="str">
        <f>IF($Q107="","",INDEX(TRANSACTIONS_MASTER!$R$5:$R$1204,$Q107))</f>
        <v/>
      </c>
      <c r="O107" s="28" t="str">
        <f>IF($Q107="","",INDEX(TRANSACTIONS_MASTER!$AB$5:$AB$1204,$Q107))</f>
        <v/>
      </c>
      <c r="P107" s="55" t="str">
        <f>IF($Q107="","",INDEX(TRANSACTIONS_MASTER!$Z$5:$Z$1204,$Q107)&amp;"")</f>
        <v/>
      </c>
      <c r="Q107" s="67" t="str">
        <f>IFERROR(MATCH($C$2&amp;"|"&amp;100,TRANSACTIONS_MASTER!$AE$5:$AE$1204,0),"")</f>
        <v/>
      </c>
      <c r="S107" s="67" t="str">
        <f>IFERROR(MATCH(11,CARDS!$O$5:$O$34,0),"")</f>
        <v/>
      </c>
      <c r="T107" s="55" t="n"/>
      <c r="U107" s="55" t="str">
        <f>IF($S107="","",INDEX(CARDS!$B$5:$B$34,$S107))</f>
        <v/>
      </c>
      <c r="V107" s="25" t="str">
        <f>IF($S107="","",SUMIFS(TRANSACTIONS_MASTER!$L$5:$L$1204,TRANSACTIONS_MASTER!$E$5:$E$1204,$U107,TRANSACTIONS_MASTER!$C$5:$C$1204,$C$2,TRANSACTIONS_MASTER!$U$5:$U$1204,"&lt;&gt;Cancelled"))</f>
        <v/>
      </c>
      <c r="W107" s="26" t="str">
        <f>IF($S107="","",SUMIFS(TRANSACTIONS_MASTER!$Q$5:$Q$1204,TRANSACTIONS_MASTER!$E$5:$E$1204,$U107,TRANSACTIONS_MASTER!$C$5:$C$1204,$C$2))</f>
        <v/>
      </c>
    </row>
    <row r="108">
      <c r="A108" s="81" t="str">
        <f>IF($Q108="","",101)</f>
        <v/>
      </c>
      <c r="B108" s="57" t="str">
        <f>IF($Q108="","",INDEX(TRANSACTIONS_MASTER!$B$5:$B$1204,$Q108))</f>
        <v/>
      </c>
      <c r="C108" s="55" t="str">
        <f>IF($Q108="","",INDEX(TRANSACTIONS_MASTER!$F$5:$F$1204,$Q108))</f>
        <v/>
      </c>
      <c r="D108" s="55" t="str">
        <f>IF($Q108="","",INDEX(TRANSACTIONS_MASTER!$E$5:$E$1204,$Q108))</f>
        <v/>
      </c>
      <c r="E108" s="55" t="str">
        <f>IF($Q108="","",INDEX(TRANSACTIONS_MASTER!$G$5:$G$1204,$Q108)&amp;"")</f>
        <v/>
      </c>
      <c r="F108" s="29" t="str">
        <f>IF($Q108="","",INDEX(TRANSACTIONS_MASTER!$I$5:$I$1204,$Q108))</f>
        <v/>
      </c>
      <c r="G108" s="55" t="str">
        <f>IF($Q108="","",INDEX(TRANSACTIONS_MASTER!$K$5:$K$1204,$Q108))</f>
        <v/>
      </c>
      <c r="H108" s="25" t="str">
        <f>IF($Q108="","",INDEX(TRANSACTIONS_MASTER!$L$5:$L$1204,$Q108))</f>
        <v/>
      </c>
      <c r="I108" s="56" t="str">
        <f>IF($Q108="","",INDEX(TRANSACTIONS_MASTER!$N$5:$N$1204,$Q108))</f>
        <v/>
      </c>
      <c r="J108" s="25" t="str">
        <f>IF($Q108="","",INDEX(TRANSACTIONS_MASTER!$O$5:$O$1204,$Q108))</f>
        <v/>
      </c>
      <c r="K108" s="26" t="str">
        <f>IF($Q108="","",INDEX(TRANSACTIONS_MASTER!$Q$5:$Q$1204,$Q108))</f>
        <v/>
      </c>
      <c r="L108" s="25" t="str">
        <f>IF($Q108="","",INDEX(TRANSACTIONS_MASTER!$P$5:$P$1204,$Q108))</f>
        <v/>
      </c>
      <c r="M108" s="25" t="str">
        <f>IF($Q108="","",INDEX(TRANSACTIONS_MASTER!$AA$5:$AA$1204,$Q108))</f>
        <v/>
      </c>
      <c r="N108" s="25" t="str">
        <f>IF($Q108="","",INDEX(TRANSACTIONS_MASTER!$R$5:$R$1204,$Q108))</f>
        <v/>
      </c>
      <c r="O108" s="28" t="str">
        <f>IF($Q108="","",INDEX(TRANSACTIONS_MASTER!$AB$5:$AB$1204,$Q108))</f>
        <v/>
      </c>
      <c r="P108" s="55" t="str">
        <f>IF($Q108="","",INDEX(TRANSACTIONS_MASTER!$Z$5:$Z$1204,$Q108)&amp;"")</f>
        <v/>
      </c>
      <c r="Q108" s="67" t="str">
        <f>IFERROR(MATCH($C$2&amp;"|"&amp;101,TRANSACTIONS_MASTER!$AE$5:$AE$1204,0),"")</f>
        <v/>
      </c>
      <c r="S108" s="67" t="str">
        <f>IFERROR(MATCH(12,CARDS!$O$5:$O$34,0),"")</f>
        <v/>
      </c>
      <c r="T108" s="55" t="n"/>
      <c r="U108" s="55" t="str">
        <f>IF($S108="","",INDEX(CARDS!$B$5:$B$34,$S108))</f>
        <v/>
      </c>
      <c r="V108" s="25" t="str">
        <f>IF($S108="","",SUMIFS(TRANSACTIONS_MASTER!$L$5:$L$1204,TRANSACTIONS_MASTER!$E$5:$E$1204,$U108,TRANSACTIONS_MASTER!$C$5:$C$1204,$C$2,TRANSACTIONS_MASTER!$U$5:$U$1204,"&lt;&gt;Cancelled"))</f>
        <v/>
      </c>
      <c r="W108" s="26" t="str">
        <f>IF($S108="","",SUMIFS(TRANSACTIONS_MASTER!$Q$5:$Q$1204,TRANSACTIONS_MASTER!$E$5:$E$1204,$U108,TRANSACTIONS_MASTER!$C$5:$C$1204,$C$2))</f>
        <v/>
      </c>
    </row>
    <row r="109">
      <c r="A109" s="81" t="str">
        <f>IF($Q109="","",102)</f>
        <v/>
      </c>
      <c r="B109" s="57" t="str">
        <f>IF($Q109="","",INDEX(TRANSACTIONS_MASTER!$B$5:$B$1204,$Q109))</f>
        <v/>
      </c>
      <c r="C109" s="55" t="str">
        <f>IF($Q109="","",INDEX(TRANSACTIONS_MASTER!$F$5:$F$1204,$Q109))</f>
        <v/>
      </c>
      <c r="D109" s="55" t="str">
        <f>IF($Q109="","",INDEX(TRANSACTIONS_MASTER!$E$5:$E$1204,$Q109))</f>
        <v/>
      </c>
      <c r="E109" s="55" t="str">
        <f>IF($Q109="","",INDEX(TRANSACTIONS_MASTER!$G$5:$G$1204,$Q109)&amp;"")</f>
        <v/>
      </c>
      <c r="F109" s="29" t="str">
        <f>IF($Q109="","",INDEX(TRANSACTIONS_MASTER!$I$5:$I$1204,$Q109))</f>
        <v/>
      </c>
      <c r="G109" s="55" t="str">
        <f>IF($Q109="","",INDEX(TRANSACTIONS_MASTER!$K$5:$K$1204,$Q109))</f>
        <v/>
      </c>
      <c r="H109" s="25" t="str">
        <f>IF($Q109="","",INDEX(TRANSACTIONS_MASTER!$L$5:$L$1204,$Q109))</f>
        <v/>
      </c>
      <c r="I109" s="56" t="str">
        <f>IF($Q109="","",INDEX(TRANSACTIONS_MASTER!$N$5:$N$1204,$Q109))</f>
        <v/>
      </c>
      <c r="J109" s="25" t="str">
        <f>IF($Q109="","",INDEX(TRANSACTIONS_MASTER!$O$5:$O$1204,$Q109))</f>
        <v/>
      </c>
      <c r="K109" s="26" t="str">
        <f>IF($Q109="","",INDEX(TRANSACTIONS_MASTER!$Q$5:$Q$1204,$Q109))</f>
        <v/>
      </c>
      <c r="L109" s="25" t="str">
        <f>IF($Q109="","",INDEX(TRANSACTIONS_MASTER!$P$5:$P$1204,$Q109))</f>
        <v/>
      </c>
      <c r="M109" s="25" t="str">
        <f>IF($Q109="","",INDEX(TRANSACTIONS_MASTER!$AA$5:$AA$1204,$Q109))</f>
        <v/>
      </c>
      <c r="N109" s="25" t="str">
        <f>IF($Q109="","",INDEX(TRANSACTIONS_MASTER!$R$5:$R$1204,$Q109))</f>
        <v/>
      </c>
      <c r="O109" s="28" t="str">
        <f>IF($Q109="","",INDEX(TRANSACTIONS_MASTER!$AB$5:$AB$1204,$Q109))</f>
        <v/>
      </c>
      <c r="P109" s="55" t="str">
        <f>IF($Q109="","",INDEX(TRANSACTIONS_MASTER!$Z$5:$Z$1204,$Q109)&amp;"")</f>
        <v/>
      </c>
      <c r="Q109" s="67" t="str">
        <f>IFERROR(MATCH($C$2&amp;"|"&amp;102,TRANSACTIONS_MASTER!$AE$5:$AE$1204,0),"")</f>
        <v/>
      </c>
      <c r="S109" s="67" t="str">
        <f>IFERROR(MATCH(13,CARDS!$O$5:$O$34,0),"")</f>
        <v/>
      </c>
      <c r="T109" s="55" t="n"/>
      <c r="U109" s="55" t="str">
        <f>IF($S109="","",INDEX(CARDS!$B$5:$B$34,$S109))</f>
        <v/>
      </c>
      <c r="V109" s="25" t="str">
        <f>IF($S109="","",SUMIFS(TRANSACTIONS_MASTER!$L$5:$L$1204,TRANSACTIONS_MASTER!$E$5:$E$1204,$U109,TRANSACTIONS_MASTER!$C$5:$C$1204,$C$2,TRANSACTIONS_MASTER!$U$5:$U$1204,"&lt;&gt;Cancelled"))</f>
        <v/>
      </c>
      <c r="W109" s="26" t="str">
        <f>IF($S109="","",SUMIFS(TRANSACTIONS_MASTER!$Q$5:$Q$1204,TRANSACTIONS_MASTER!$E$5:$E$1204,$U109,TRANSACTIONS_MASTER!$C$5:$C$1204,$C$2))</f>
        <v/>
      </c>
    </row>
    <row r="110">
      <c r="A110" s="81" t="str">
        <f>IF($Q110="","",103)</f>
        <v/>
      </c>
      <c r="B110" s="57" t="str">
        <f>IF($Q110="","",INDEX(TRANSACTIONS_MASTER!$B$5:$B$1204,$Q110))</f>
        <v/>
      </c>
      <c r="C110" s="55" t="str">
        <f>IF($Q110="","",INDEX(TRANSACTIONS_MASTER!$F$5:$F$1204,$Q110))</f>
        <v/>
      </c>
      <c r="D110" s="55" t="str">
        <f>IF($Q110="","",INDEX(TRANSACTIONS_MASTER!$E$5:$E$1204,$Q110))</f>
        <v/>
      </c>
      <c r="E110" s="55" t="str">
        <f>IF($Q110="","",INDEX(TRANSACTIONS_MASTER!$G$5:$G$1204,$Q110)&amp;"")</f>
        <v/>
      </c>
      <c r="F110" s="29" t="str">
        <f>IF($Q110="","",INDEX(TRANSACTIONS_MASTER!$I$5:$I$1204,$Q110))</f>
        <v/>
      </c>
      <c r="G110" s="55" t="str">
        <f>IF($Q110="","",INDEX(TRANSACTIONS_MASTER!$K$5:$K$1204,$Q110))</f>
        <v/>
      </c>
      <c r="H110" s="25" t="str">
        <f>IF($Q110="","",INDEX(TRANSACTIONS_MASTER!$L$5:$L$1204,$Q110))</f>
        <v/>
      </c>
      <c r="I110" s="56" t="str">
        <f>IF($Q110="","",INDEX(TRANSACTIONS_MASTER!$N$5:$N$1204,$Q110))</f>
        <v/>
      </c>
      <c r="J110" s="25" t="str">
        <f>IF($Q110="","",INDEX(TRANSACTIONS_MASTER!$O$5:$O$1204,$Q110))</f>
        <v/>
      </c>
      <c r="K110" s="26" t="str">
        <f>IF($Q110="","",INDEX(TRANSACTIONS_MASTER!$Q$5:$Q$1204,$Q110))</f>
        <v/>
      </c>
      <c r="L110" s="25" t="str">
        <f>IF($Q110="","",INDEX(TRANSACTIONS_MASTER!$P$5:$P$1204,$Q110))</f>
        <v/>
      </c>
      <c r="M110" s="25" t="str">
        <f>IF($Q110="","",INDEX(TRANSACTIONS_MASTER!$AA$5:$AA$1204,$Q110))</f>
        <v/>
      </c>
      <c r="N110" s="25" t="str">
        <f>IF($Q110="","",INDEX(TRANSACTIONS_MASTER!$R$5:$R$1204,$Q110))</f>
        <v/>
      </c>
      <c r="O110" s="28" t="str">
        <f>IF($Q110="","",INDEX(TRANSACTIONS_MASTER!$AB$5:$AB$1204,$Q110))</f>
        <v/>
      </c>
      <c r="P110" s="55" t="str">
        <f>IF($Q110="","",INDEX(TRANSACTIONS_MASTER!$Z$5:$Z$1204,$Q110)&amp;"")</f>
        <v/>
      </c>
      <c r="Q110" s="67" t="str">
        <f>IFERROR(MATCH($C$2&amp;"|"&amp;103,TRANSACTIONS_MASTER!$AE$5:$AE$1204,0),"")</f>
        <v/>
      </c>
      <c r="S110" s="67" t="str">
        <f>IFERROR(MATCH(14,CARDS!$O$5:$O$34,0),"")</f>
        <v/>
      </c>
      <c r="T110" s="55" t="n"/>
      <c r="U110" s="55" t="str">
        <f>IF($S110="","",INDEX(CARDS!$B$5:$B$34,$S110))</f>
        <v/>
      </c>
      <c r="V110" s="25" t="str">
        <f>IF($S110="","",SUMIFS(TRANSACTIONS_MASTER!$L$5:$L$1204,TRANSACTIONS_MASTER!$E$5:$E$1204,$U110,TRANSACTIONS_MASTER!$C$5:$C$1204,$C$2,TRANSACTIONS_MASTER!$U$5:$U$1204,"&lt;&gt;Cancelled"))</f>
        <v/>
      </c>
      <c r="W110" s="26" t="str">
        <f>IF($S110="","",SUMIFS(TRANSACTIONS_MASTER!$Q$5:$Q$1204,TRANSACTIONS_MASTER!$E$5:$E$1204,$U110,TRANSACTIONS_MASTER!$C$5:$C$1204,$C$2))</f>
        <v/>
      </c>
    </row>
    <row r="111">
      <c r="A111" s="81" t="str">
        <f>IF($Q111="","",104)</f>
        <v/>
      </c>
      <c r="B111" s="57" t="str">
        <f>IF($Q111="","",INDEX(TRANSACTIONS_MASTER!$B$5:$B$1204,$Q111))</f>
        <v/>
      </c>
      <c r="C111" s="55" t="str">
        <f>IF($Q111="","",INDEX(TRANSACTIONS_MASTER!$F$5:$F$1204,$Q111))</f>
        <v/>
      </c>
      <c r="D111" s="55" t="str">
        <f>IF($Q111="","",INDEX(TRANSACTIONS_MASTER!$E$5:$E$1204,$Q111))</f>
        <v/>
      </c>
      <c r="E111" s="55" t="str">
        <f>IF($Q111="","",INDEX(TRANSACTIONS_MASTER!$G$5:$G$1204,$Q111)&amp;"")</f>
        <v/>
      </c>
      <c r="F111" s="29" t="str">
        <f>IF($Q111="","",INDEX(TRANSACTIONS_MASTER!$I$5:$I$1204,$Q111))</f>
        <v/>
      </c>
      <c r="G111" s="55" t="str">
        <f>IF($Q111="","",INDEX(TRANSACTIONS_MASTER!$K$5:$K$1204,$Q111))</f>
        <v/>
      </c>
      <c r="H111" s="25" t="str">
        <f>IF($Q111="","",INDEX(TRANSACTIONS_MASTER!$L$5:$L$1204,$Q111))</f>
        <v/>
      </c>
      <c r="I111" s="56" t="str">
        <f>IF($Q111="","",INDEX(TRANSACTIONS_MASTER!$N$5:$N$1204,$Q111))</f>
        <v/>
      </c>
      <c r="J111" s="25" t="str">
        <f>IF($Q111="","",INDEX(TRANSACTIONS_MASTER!$O$5:$O$1204,$Q111))</f>
        <v/>
      </c>
      <c r="K111" s="26" t="str">
        <f>IF($Q111="","",INDEX(TRANSACTIONS_MASTER!$Q$5:$Q$1204,$Q111))</f>
        <v/>
      </c>
      <c r="L111" s="25" t="str">
        <f>IF($Q111="","",INDEX(TRANSACTIONS_MASTER!$P$5:$P$1204,$Q111))</f>
        <v/>
      </c>
      <c r="M111" s="25" t="str">
        <f>IF($Q111="","",INDEX(TRANSACTIONS_MASTER!$AA$5:$AA$1204,$Q111))</f>
        <v/>
      </c>
      <c r="N111" s="25" t="str">
        <f>IF($Q111="","",INDEX(TRANSACTIONS_MASTER!$R$5:$R$1204,$Q111))</f>
        <v/>
      </c>
      <c r="O111" s="28" t="str">
        <f>IF($Q111="","",INDEX(TRANSACTIONS_MASTER!$AB$5:$AB$1204,$Q111))</f>
        <v/>
      </c>
      <c r="P111" s="55" t="str">
        <f>IF($Q111="","",INDEX(TRANSACTIONS_MASTER!$Z$5:$Z$1204,$Q111)&amp;"")</f>
        <v/>
      </c>
      <c r="Q111" s="67" t="str">
        <f>IFERROR(MATCH($C$2&amp;"|"&amp;104,TRANSACTIONS_MASTER!$AE$5:$AE$1204,0),"")</f>
        <v/>
      </c>
      <c r="S111" s="67" t="str">
        <f>IFERROR(MATCH(15,CARDS!$O$5:$O$34,0),"")</f>
        <v/>
      </c>
      <c r="T111" s="55" t="n"/>
      <c r="U111" s="55" t="str">
        <f>IF($S111="","",INDEX(CARDS!$B$5:$B$34,$S111))</f>
        <v/>
      </c>
      <c r="V111" s="25" t="str">
        <f>IF($S111="","",SUMIFS(TRANSACTIONS_MASTER!$L$5:$L$1204,TRANSACTIONS_MASTER!$E$5:$E$1204,$U111,TRANSACTIONS_MASTER!$C$5:$C$1204,$C$2,TRANSACTIONS_MASTER!$U$5:$U$1204,"&lt;&gt;Cancelled"))</f>
        <v/>
      </c>
      <c r="W111" s="26" t="str">
        <f>IF($S111="","",SUMIFS(TRANSACTIONS_MASTER!$Q$5:$Q$1204,TRANSACTIONS_MASTER!$E$5:$E$1204,$U111,TRANSACTIONS_MASTER!$C$5:$C$1204,$C$2))</f>
        <v/>
      </c>
    </row>
    <row r="112">
      <c r="A112" s="81" t="str">
        <f>IF($Q112="","",105)</f>
        <v/>
      </c>
      <c r="B112" s="57" t="str">
        <f>IF($Q112="","",INDEX(TRANSACTIONS_MASTER!$B$5:$B$1204,$Q112))</f>
        <v/>
      </c>
      <c r="C112" s="55" t="str">
        <f>IF($Q112="","",INDEX(TRANSACTIONS_MASTER!$F$5:$F$1204,$Q112))</f>
        <v/>
      </c>
      <c r="D112" s="55" t="str">
        <f>IF($Q112="","",INDEX(TRANSACTIONS_MASTER!$E$5:$E$1204,$Q112))</f>
        <v/>
      </c>
      <c r="E112" s="55" t="str">
        <f>IF($Q112="","",INDEX(TRANSACTIONS_MASTER!$G$5:$G$1204,$Q112)&amp;"")</f>
        <v/>
      </c>
      <c r="F112" s="29" t="str">
        <f>IF($Q112="","",INDEX(TRANSACTIONS_MASTER!$I$5:$I$1204,$Q112))</f>
        <v/>
      </c>
      <c r="G112" s="55" t="str">
        <f>IF($Q112="","",INDEX(TRANSACTIONS_MASTER!$K$5:$K$1204,$Q112))</f>
        <v/>
      </c>
      <c r="H112" s="25" t="str">
        <f>IF($Q112="","",INDEX(TRANSACTIONS_MASTER!$L$5:$L$1204,$Q112))</f>
        <v/>
      </c>
      <c r="I112" s="56" t="str">
        <f>IF($Q112="","",INDEX(TRANSACTIONS_MASTER!$N$5:$N$1204,$Q112))</f>
        <v/>
      </c>
      <c r="J112" s="25" t="str">
        <f>IF($Q112="","",INDEX(TRANSACTIONS_MASTER!$O$5:$O$1204,$Q112))</f>
        <v/>
      </c>
      <c r="K112" s="26" t="str">
        <f>IF($Q112="","",INDEX(TRANSACTIONS_MASTER!$Q$5:$Q$1204,$Q112))</f>
        <v/>
      </c>
      <c r="L112" s="25" t="str">
        <f>IF($Q112="","",INDEX(TRANSACTIONS_MASTER!$P$5:$P$1204,$Q112))</f>
        <v/>
      </c>
      <c r="M112" s="25" t="str">
        <f>IF($Q112="","",INDEX(TRANSACTIONS_MASTER!$AA$5:$AA$1204,$Q112))</f>
        <v/>
      </c>
      <c r="N112" s="25" t="str">
        <f>IF($Q112="","",INDEX(TRANSACTIONS_MASTER!$R$5:$R$1204,$Q112))</f>
        <v/>
      </c>
      <c r="O112" s="28" t="str">
        <f>IF($Q112="","",INDEX(TRANSACTIONS_MASTER!$AB$5:$AB$1204,$Q112))</f>
        <v/>
      </c>
      <c r="P112" s="55" t="str">
        <f>IF($Q112="","",INDEX(TRANSACTIONS_MASTER!$Z$5:$Z$1204,$Q112)&amp;"")</f>
        <v/>
      </c>
      <c r="Q112" s="67" t="str">
        <f>IFERROR(MATCH($C$2&amp;"|"&amp;105,TRANSACTIONS_MASTER!$AE$5:$AE$1204,0),"")</f>
        <v/>
      </c>
      <c r="T112" s="68" t="n"/>
      <c r="U112" s="69" t="inlineStr">
        <is>
          <t>TỔNG</t>
        </is>
      </c>
      <c r="V112" s="31">
        <f>SUM(V97:V111)</f>
        <v>0</v>
      </c>
      <c r="W112" s="31">
        <f>SUM(W97:W111)</f>
        <v>0</v>
      </c>
    </row>
    <row r="113">
      <c r="A113" s="81" t="str">
        <f>IF($Q113="","",106)</f>
        <v/>
      </c>
      <c r="B113" s="57" t="str">
        <f>IF($Q113="","",INDEX(TRANSACTIONS_MASTER!$B$5:$B$1204,$Q113))</f>
        <v/>
      </c>
      <c r="C113" s="55" t="str">
        <f>IF($Q113="","",INDEX(TRANSACTIONS_MASTER!$F$5:$F$1204,$Q113))</f>
        <v/>
      </c>
      <c r="D113" s="55" t="str">
        <f>IF($Q113="","",INDEX(TRANSACTIONS_MASTER!$E$5:$E$1204,$Q113))</f>
        <v/>
      </c>
      <c r="E113" s="55" t="str">
        <f>IF($Q113="","",INDEX(TRANSACTIONS_MASTER!$G$5:$G$1204,$Q113)&amp;"")</f>
        <v/>
      </c>
      <c r="F113" s="29" t="str">
        <f>IF($Q113="","",INDEX(TRANSACTIONS_MASTER!$I$5:$I$1204,$Q113))</f>
        <v/>
      </c>
      <c r="G113" s="55" t="str">
        <f>IF($Q113="","",INDEX(TRANSACTIONS_MASTER!$K$5:$K$1204,$Q113))</f>
        <v/>
      </c>
      <c r="H113" s="25" t="str">
        <f>IF($Q113="","",INDEX(TRANSACTIONS_MASTER!$L$5:$L$1204,$Q113))</f>
        <v/>
      </c>
      <c r="I113" s="56" t="str">
        <f>IF($Q113="","",INDEX(TRANSACTIONS_MASTER!$N$5:$N$1204,$Q113))</f>
        <v/>
      </c>
      <c r="J113" s="25" t="str">
        <f>IF($Q113="","",INDEX(TRANSACTIONS_MASTER!$O$5:$O$1204,$Q113))</f>
        <v/>
      </c>
      <c r="K113" s="26" t="str">
        <f>IF($Q113="","",INDEX(TRANSACTIONS_MASTER!$Q$5:$Q$1204,$Q113))</f>
        <v/>
      </c>
      <c r="L113" s="25" t="str">
        <f>IF($Q113="","",INDEX(TRANSACTIONS_MASTER!$P$5:$P$1204,$Q113))</f>
        <v/>
      </c>
      <c r="M113" s="25" t="str">
        <f>IF($Q113="","",INDEX(TRANSACTIONS_MASTER!$AA$5:$AA$1204,$Q113))</f>
        <v/>
      </c>
      <c r="N113" s="25" t="str">
        <f>IF($Q113="","",INDEX(TRANSACTIONS_MASTER!$R$5:$R$1204,$Q113))</f>
        <v/>
      </c>
      <c r="O113" s="28" t="str">
        <f>IF($Q113="","",INDEX(TRANSACTIONS_MASTER!$AB$5:$AB$1204,$Q113))</f>
        <v/>
      </c>
      <c r="P113" s="55" t="str">
        <f>IF($Q113="","",INDEX(TRANSACTIONS_MASTER!$Z$5:$Z$1204,$Q113)&amp;"")</f>
        <v/>
      </c>
      <c r="Q113" s="67" t="str">
        <f>IFERROR(MATCH($C$2&amp;"|"&amp;106,TRANSACTIONS_MASTER!$AE$5:$AE$1204,0),"")</f>
        <v/>
      </c>
    </row>
    <row r="114">
      <c r="A114" s="81" t="str">
        <f>IF($Q114="","",107)</f>
        <v/>
      </c>
      <c r="B114" s="57" t="str">
        <f>IF($Q114="","",INDEX(TRANSACTIONS_MASTER!$B$5:$B$1204,$Q114))</f>
        <v/>
      </c>
      <c r="C114" s="55" t="str">
        <f>IF($Q114="","",INDEX(TRANSACTIONS_MASTER!$F$5:$F$1204,$Q114))</f>
        <v/>
      </c>
      <c r="D114" s="55" t="str">
        <f>IF($Q114="","",INDEX(TRANSACTIONS_MASTER!$E$5:$E$1204,$Q114))</f>
        <v/>
      </c>
      <c r="E114" s="55" t="str">
        <f>IF($Q114="","",INDEX(TRANSACTIONS_MASTER!$G$5:$G$1204,$Q114)&amp;"")</f>
        <v/>
      </c>
      <c r="F114" s="29" t="str">
        <f>IF($Q114="","",INDEX(TRANSACTIONS_MASTER!$I$5:$I$1204,$Q114))</f>
        <v/>
      </c>
      <c r="G114" s="55" t="str">
        <f>IF($Q114="","",INDEX(TRANSACTIONS_MASTER!$K$5:$K$1204,$Q114))</f>
        <v/>
      </c>
      <c r="H114" s="25" t="str">
        <f>IF($Q114="","",INDEX(TRANSACTIONS_MASTER!$L$5:$L$1204,$Q114))</f>
        <v/>
      </c>
      <c r="I114" s="56" t="str">
        <f>IF($Q114="","",INDEX(TRANSACTIONS_MASTER!$N$5:$N$1204,$Q114))</f>
        <v/>
      </c>
      <c r="J114" s="25" t="str">
        <f>IF($Q114="","",INDEX(TRANSACTIONS_MASTER!$O$5:$O$1204,$Q114))</f>
        <v/>
      </c>
      <c r="K114" s="26" t="str">
        <f>IF($Q114="","",INDEX(TRANSACTIONS_MASTER!$Q$5:$Q$1204,$Q114))</f>
        <v/>
      </c>
      <c r="L114" s="25" t="str">
        <f>IF($Q114="","",INDEX(TRANSACTIONS_MASTER!$P$5:$P$1204,$Q114))</f>
        <v/>
      </c>
      <c r="M114" s="25" t="str">
        <f>IF($Q114="","",INDEX(TRANSACTIONS_MASTER!$AA$5:$AA$1204,$Q114))</f>
        <v/>
      </c>
      <c r="N114" s="25" t="str">
        <f>IF($Q114="","",INDEX(TRANSACTIONS_MASTER!$R$5:$R$1204,$Q114))</f>
        <v/>
      </c>
      <c r="O114" s="28" t="str">
        <f>IF($Q114="","",INDEX(TRANSACTIONS_MASTER!$AB$5:$AB$1204,$Q114))</f>
        <v/>
      </c>
      <c r="P114" s="55" t="str">
        <f>IF($Q114="","",INDEX(TRANSACTIONS_MASTER!$Z$5:$Z$1204,$Q114)&amp;"")</f>
        <v/>
      </c>
      <c r="Q114" s="67" t="str">
        <f>IFERROR(MATCH($C$2&amp;"|"&amp;107,TRANSACTIONS_MASTER!$AE$5:$AE$1204,0),"")</f>
        <v/>
      </c>
    </row>
    <row r="115" ht="22" customHeight="1">
      <c r="A115" s="81" t="str">
        <f>IF($Q115="","",108)</f>
        <v/>
      </c>
      <c r="B115" s="57" t="str">
        <f>IF($Q115="","",INDEX(TRANSACTIONS_MASTER!$B$5:$B$1204,$Q115))</f>
        <v/>
      </c>
      <c r="C115" s="55" t="str">
        <f>IF($Q115="","",INDEX(TRANSACTIONS_MASTER!$F$5:$F$1204,$Q115))</f>
        <v/>
      </c>
      <c r="D115" s="55" t="str">
        <f>IF($Q115="","",INDEX(TRANSACTIONS_MASTER!$E$5:$E$1204,$Q115))</f>
        <v/>
      </c>
      <c r="E115" s="55" t="str">
        <f>IF($Q115="","",INDEX(TRANSACTIONS_MASTER!$G$5:$G$1204,$Q115)&amp;"")</f>
        <v/>
      </c>
      <c r="F115" s="29" t="str">
        <f>IF($Q115="","",INDEX(TRANSACTIONS_MASTER!$I$5:$I$1204,$Q115))</f>
        <v/>
      </c>
      <c r="G115" s="55" t="str">
        <f>IF($Q115="","",INDEX(TRANSACTIONS_MASTER!$K$5:$K$1204,$Q115))</f>
        <v/>
      </c>
      <c r="H115" s="25" t="str">
        <f>IF($Q115="","",INDEX(TRANSACTIONS_MASTER!$L$5:$L$1204,$Q115))</f>
        <v/>
      </c>
      <c r="I115" s="56" t="str">
        <f>IF($Q115="","",INDEX(TRANSACTIONS_MASTER!$N$5:$N$1204,$Q115))</f>
        <v/>
      </c>
      <c r="J115" s="25" t="str">
        <f>IF($Q115="","",INDEX(TRANSACTIONS_MASTER!$O$5:$O$1204,$Q115))</f>
        <v/>
      </c>
      <c r="K115" s="26" t="str">
        <f>IF($Q115="","",INDEX(TRANSACTIONS_MASTER!$Q$5:$Q$1204,$Q115))</f>
        <v/>
      </c>
      <c r="L115" s="25" t="str">
        <f>IF($Q115="","",INDEX(TRANSACTIONS_MASTER!$P$5:$P$1204,$Q115))</f>
        <v/>
      </c>
      <c r="M115" s="25" t="str">
        <f>IF($Q115="","",INDEX(TRANSACTIONS_MASTER!$AA$5:$AA$1204,$Q115))</f>
        <v/>
      </c>
      <c r="N115" s="25" t="str">
        <f>IF($Q115="","",INDEX(TRANSACTIONS_MASTER!$R$5:$R$1204,$Q115))</f>
        <v/>
      </c>
      <c r="O115" s="28" t="str">
        <f>IF($Q115="","",INDEX(TRANSACTIONS_MASTER!$AB$5:$AB$1204,$Q115))</f>
        <v/>
      </c>
      <c r="P115" s="55" t="str">
        <f>IF($Q115="","",INDEX(TRANSACTIONS_MASTER!$Z$5:$Z$1204,$Q115)&amp;"")</f>
        <v/>
      </c>
      <c r="Q115" s="67" t="str">
        <f>IFERROR(MATCH($C$2&amp;"|"&amp;108,TRANSACTIONS_MASTER!$AE$5:$AE$1204,0),"")</f>
        <v/>
      </c>
      <c r="T115" s="19" t="inlineStr">
        <is>
          <t>THEO DANH MỤC (Category)</t>
        </is>
      </c>
      <c r="U115" s="20" t="n"/>
      <c r="V115" s="20" t="n"/>
      <c r="W115" s="20" t="n"/>
      <c r="X115" s="20" t="n"/>
      <c r="Y115" s="20" t="n"/>
      <c r="Z115" s="20" t="n"/>
      <c r="AA115" s="20" t="n"/>
    </row>
    <row r="116" ht="28" customHeight="1">
      <c r="A116" s="81" t="str">
        <f>IF($Q116="","",109)</f>
        <v/>
      </c>
      <c r="B116" s="57" t="str">
        <f>IF($Q116="","",INDEX(TRANSACTIONS_MASTER!$B$5:$B$1204,$Q116))</f>
        <v/>
      </c>
      <c r="C116" s="55" t="str">
        <f>IF($Q116="","",INDEX(TRANSACTIONS_MASTER!$F$5:$F$1204,$Q116))</f>
        <v/>
      </c>
      <c r="D116" s="55" t="str">
        <f>IF($Q116="","",INDEX(TRANSACTIONS_MASTER!$E$5:$E$1204,$Q116))</f>
        <v/>
      </c>
      <c r="E116" s="55" t="str">
        <f>IF($Q116="","",INDEX(TRANSACTIONS_MASTER!$G$5:$G$1204,$Q116)&amp;"")</f>
        <v/>
      </c>
      <c r="F116" s="29" t="str">
        <f>IF($Q116="","",INDEX(TRANSACTIONS_MASTER!$I$5:$I$1204,$Q116))</f>
        <v/>
      </c>
      <c r="G116" s="55" t="str">
        <f>IF($Q116="","",INDEX(TRANSACTIONS_MASTER!$K$5:$K$1204,$Q116))</f>
        <v/>
      </c>
      <c r="H116" s="25" t="str">
        <f>IF($Q116="","",INDEX(TRANSACTIONS_MASTER!$L$5:$L$1204,$Q116))</f>
        <v/>
      </c>
      <c r="I116" s="56" t="str">
        <f>IF($Q116="","",INDEX(TRANSACTIONS_MASTER!$N$5:$N$1204,$Q116))</f>
        <v/>
      </c>
      <c r="J116" s="25" t="str">
        <f>IF($Q116="","",INDEX(TRANSACTIONS_MASTER!$O$5:$O$1204,$Q116))</f>
        <v/>
      </c>
      <c r="K116" s="26" t="str">
        <f>IF($Q116="","",INDEX(TRANSACTIONS_MASTER!$Q$5:$Q$1204,$Q116))</f>
        <v/>
      </c>
      <c r="L116" s="25" t="str">
        <f>IF($Q116="","",INDEX(TRANSACTIONS_MASTER!$P$5:$P$1204,$Q116))</f>
        <v/>
      </c>
      <c r="M116" s="25" t="str">
        <f>IF($Q116="","",INDEX(TRANSACTIONS_MASTER!$AA$5:$AA$1204,$Q116))</f>
        <v/>
      </c>
      <c r="N116" s="25" t="str">
        <f>IF($Q116="","",INDEX(TRANSACTIONS_MASTER!$R$5:$R$1204,$Q116))</f>
        <v/>
      </c>
      <c r="O116" s="28" t="str">
        <f>IF($Q116="","",INDEX(TRANSACTIONS_MASTER!$AB$5:$AB$1204,$Q116))</f>
        <v/>
      </c>
      <c r="P116" s="55" t="str">
        <f>IF($Q116="","",INDEX(TRANSACTIONS_MASTER!$Z$5:$Z$1204,$Q116)&amp;"")</f>
        <v/>
      </c>
      <c r="Q116" s="67" t="str">
        <f>IFERROR(MATCH($C$2&amp;"|"&amp;109,TRANSACTIONS_MASTER!$AE$5:$AE$1204,0),"")</f>
        <v/>
      </c>
      <c r="S116" s="21" t="inlineStr">
        <is>
          <t>#</t>
        </is>
      </c>
      <c r="T116" s="21" t="inlineStr"/>
      <c r="U116" s="21" t="inlineStr">
        <is>
          <t>Danh mục</t>
        </is>
      </c>
      <c r="V116" s="21" t="inlineStr">
        <is>
          <t>Chi tiêu</t>
        </is>
      </c>
      <c r="W116" s="21" t="inlineStr">
        <is>
          <t>Cashback</t>
        </is>
      </c>
    </row>
    <row r="117">
      <c r="A117" s="81" t="str">
        <f>IF($Q117="","",110)</f>
        <v/>
      </c>
      <c r="B117" s="57" t="str">
        <f>IF($Q117="","",INDEX(TRANSACTIONS_MASTER!$B$5:$B$1204,$Q117))</f>
        <v/>
      </c>
      <c r="C117" s="55" t="str">
        <f>IF($Q117="","",INDEX(TRANSACTIONS_MASTER!$F$5:$F$1204,$Q117))</f>
        <v/>
      </c>
      <c r="D117" s="55" t="str">
        <f>IF($Q117="","",INDEX(TRANSACTIONS_MASTER!$E$5:$E$1204,$Q117))</f>
        <v/>
      </c>
      <c r="E117" s="55" t="str">
        <f>IF($Q117="","",INDEX(TRANSACTIONS_MASTER!$G$5:$G$1204,$Q117)&amp;"")</f>
        <v/>
      </c>
      <c r="F117" s="29" t="str">
        <f>IF($Q117="","",INDEX(TRANSACTIONS_MASTER!$I$5:$I$1204,$Q117))</f>
        <v/>
      </c>
      <c r="G117" s="55" t="str">
        <f>IF($Q117="","",INDEX(TRANSACTIONS_MASTER!$K$5:$K$1204,$Q117))</f>
        <v/>
      </c>
      <c r="H117" s="25" t="str">
        <f>IF($Q117="","",INDEX(TRANSACTIONS_MASTER!$L$5:$L$1204,$Q117))</f>
        <v/>
      </c>
      <c r="I117" s="56" t="str">
        <f>IF($Q117="","",INDEX(TRANSACTIONS_MASTER!$N$5:$N$1204,$Q117))</f>
        <v/>
      </c>
      <c r="J117" s="25" t="str">
        <f>IF($Q117="","",INDEX(TRANSACTIONS_MASTER!$O$5:$O$1204,$Q117))</f>
        <v/>
      </c>
      <c r="K117" s="26" t="str">
        <f>IF($Q117="","",INDEX(TRANSACTIONS_MASTER!$Q$5:$Q$1204,$Q117))</f>
        <v/>
      </c>
      <c r="L117" s="25" t="str">
        <f>IF($Q117="","",INDEX(TRANSACTIONS_MASTER!$P$5:$P$1204,$Q117))</f>
        <v/>
      </c>
      <c r="M117" s="25" t="str">
        <f>IF($Q117="","",INDEX(TRANSACTIONS_MASTER!$AA$5:$AA$1204,$Q117))</f>
        <v/>
      </c>
      <c r="N117" s="25" t="str">
        <f>IF($Q117="","",INDEX(TRANSACTIONS_MASTER!$R$5:$R$1204,$Q117))</f>
        <v/>
      </c>
      <c r="O117" s="28" t="str">
        <f>IF($Q117="","",INDEX(TRANSACTIONS_MASTER!$AB$5:$AB$1204,$Q117))</f>
        <v/>
      </c>
      <c r="P117" s="55" t="str">
        <f>IF($Q117="","",INDEX(TRANSACTIONS_MASTER!$Z$5:$Z$1204,$Q117)&amp;"")</f>
        <v/>
      </c>
      <c r="Q117" s="67" t="str">
        <f>IFERROR(MATCH($C$2&amp;"|"&amp;110,TRANSACTIONS_MASTER!$AE$5:$AE$1204,0),"")</f>
        <v/>
      </c>
      <c r="S117" s="67" t="str">
        <f>IFERROR(MATCH(1,INDEX((TRANSACTIONS_MASTER!$C$5:$C$1204=$C$2)*(TRANSACTIONS_MASTER!$AL$5:$AL$1204=1),0),0),"")</f>
        <v/>
      </c>
      <c r="T117" s="55" t="n"/>
      <c r="U117" s="55" t="str">
        <f>IF($S117="","",INDEX(TRANSACTIONS_MASTER!$K$5:$K$1204,$S117))</f>
        <v/>
      </c>
      <c r="V117" s="25" t="str">
        <f>IF($S117="","",SUMIFS(TRANSACTIONS_MASTER!$L$5:$L$1204,TRANSACTIONS_MASTER!$K$5:$K$1204,$U117,TRANSACTIONS_MASTER!$C$5:$C$1204,$C$2,TRANSACTIONS_MASTER!$U$5:$U$1204,"&lt;&gt;Cancelled"))</f>
        <v/>
      </c>
      <c r="W117" s="26" t="str">
        <f>IF($S117="","",SUMIFS(TRANSACTIONS_MASTER!$Q$5:$Q$1204,TRANSACTIONS_MASTER!$K$5:$K$1204,$U117,TRANSACTIONS_MASTER!$C$5:$C$1204,$C$2))</f>
        <v/>
      </c>
    </row>
    <row r="118">
      <c r="A118" s="81" t="str">
        <f>IF($Q118="","",111)</f>
        <v/>
      </c>
      <c r="B118" s="57" t="str">
        <f>IF($Q118="","",INDEX(TRANSACTIONS_MASTER!$B$5:$B$1204,$Q118))</f>
        <v/>
      </c>
      <c r="C118" s="55" t="str">
        <f>IF($Q118="","",INDEX(TRANSACTIONS_MASTER!$F$5:$F$1204,$Q118))</f>
        <v/>
      </c>
      <c r="D118" s="55" t="str">
        <f>IF($Q118="","",INDEX(TRANSACTIONS_MASTER!$E$5:$E$1204,$Q118))</f>
        <v/>
      </c>
      <c r="E118" s="55" t="str">
        <f>IF($Q118="","",INDEX(TRANSACTIONS_MASTER!$G$5:$G$1204,$Q118)&amp;"")</f>
        <v/>
      </c>
      <c r="F118" s="29" t="str">
        <f>IF($Q118="","",INDEX(TRANSACTIONS_MASTER!$I$5:$I$1204,$Q118))</f>
        <v/>
      </c>
      <c r="G118" s="55" t="str">
        <f>IF($Q118="","",INDEX(TRANSACTIONS_MASTER!$K$5:$K$1204,$Q118))</f>
        <v/>
      </c>
      <c r="H118" s="25" t="str">
        <f>IF($Q118="","",INDEX(TRANSACTIONS_MASTER!$L$5:$L$1204,$Q118))</f>
        <v/>
      </c>
      <c r="I118" s="56" t="str">
        <f>IF($Q118="","",INDEX(TRANSACTIONS_MASTER!$N$5:$N$1204,$Q118))</f>
        <v/>
      </c>
      <c r="J118" s="25" t="str">
        <f>IF($Q118="","",INDEX(TRANSACTIONS_MASTER!$O$5:$O$1204,$Q118))</f>
        <v/>
      </c>
      <c r="K118" s="26" t="str">
        <f>IF($Q118="","",INDEX(TRANSACTIONS_MASTER!$Q$5:$Q$1204,$Q118))</f>
        <v/>
      </c>
      <c r="L118" s="25" t="str">
        <f>IF($Q118="","",INDEX(TRANSACTIONS_MASTER!$P$5:$P$1204,$Q118))</f>
        <v/>
      </c>
      <c r="M118" s="25" t="str">
        <f>IF($Q118="","",INDEX(TRANSACTIONS_MASTER!$AA$5:$AA$1204,$Q118))</f>
        <v/>
      </c>
      <c r="N118" s="25" t="str">
        <f>IF($Q118="","",INDEX(TRANSACTIONS_MASTER!$R$5:$R$1204,$Q118))</f>
        <v/>
      </c>
      <c r="O118" s="28" t="str">
        <f>IF($Q118="","",INDEX(TRANSACTIONS_MASTER!$AB$5:$AB$1204,$Q118))</f>
        <v/>
      </c>
      <c r="P118" s="55" t="str">
        <f>IF($Q118="","",INDEX(TRANSACTIONS_MASTER!$Z$5:$Z$1204,$Q118)&amp;"")</f>
        <v/>
      </c>
      <c r="Q118" s="67" t="str">
        <f>IFERROR(MATCH($C$2&amp;"|"&amp;111,TRANSACTIONS_MASTER!$AE$5:$AE$1204,0),"")</f>
        <v/>
      </c>
      <c r="S118" s="67" t="str">
        <f>IFERROR(MATCH(1,INDEX((TRANSACTIONS_MASTER!$C$5:$C$1204=$C$2)*(TRANSACTIONS_MASTER!$AL$5:$AL$1204=2),0),0),"")</f>
        <v/>
      </c>
      <c r="T118" s="55" t="n"/>
      <c r="U118" s="55" t="str">
        <f>IF($S118="","",INDEX(TRANSACTIONS_MASTER!$K$5:$K$1204,$S118))</f>
        <v/>
      </c>
      <c r="V118" s="25" t="str">
        <f>IF($S118="","",SUMIFS(TRANSACTIONS_MASTER!$L$5:$L$1204,TRANSACTIONS_MASTER!$K$5:$K$1204,$U118,TRANSACTIONS_MASTER!$C$5:$C$1204,$C$2,TRANSACTIONS_MASTER!$U$5:$U$1204,"&lt;&gt;Cancelled"))</f>
        <v/>
      </c>
      <c r="W118" s="26" t="str">
        <f>IF($S118="","",SUMIFS(TRANSACTIONS_MASTER!$Q$5:$Q$1204,TRANSACTIONS_MASTER!$K$5:$K$1204,$U118,TRANSACTIONS_MASTER!$C$5:$C$1204,$C$2))</f>
        <v/>
      </c>
    </row>
    <row r="119">
      <c r="A119" s="81" t="str">
        <f>IF($Q119="","",112)</f>
        <v/>
      </c>
      <c r="B119" s="57" t="str">
        <f>IF($Q119="","",INDEX(TRANSACTIONS_MASTER!$B$5:$B$1204,$Q119))</f>
        <v/>
      </c>
      <c r="C119" s="55" t="str">
        <f>IF($Q119="","",INDEX(TRANSACTIONS_MASTER!$F$5:$F$1204,$Q119))</f>
        <v/>
      </c>
      <c r="D119" s="55" t="str">
        <f>IF($Q119="","",INDEX(TRANSACTIONS_MASTER!$E$5:$E$1204,$Q119))</f>
        <v/>
      </c>
      <c r="E119" s="55" t="str">
        <f>IF($Q119="","",INDEX(TRANSACTIONS_MASTER!$G$5:$G$1204,$Q119)&amp;"")</f>
        <v/>
      </c>
      <c r="F119" s="29" t="str">
        <f>IF($Q119="","",INDEX(TRANSACTIONS_MASTER!$I$5:$I$1204,$Q119))</f>
        <v/>
      </c>
      <c r="G119" s="55" t="str">
        <f>IF($Q119="","",INDEX(TRANSACTIONS_MASTER!$K$5:$K$1204,$Q119))</f>
        <v/>
      </c>
      <c r="H119" s="25" t="str">
        <f>IF($Q119="","",INDEX(TRANSACTIONS_MASTER!$L$5:$L$1204,$Q119))</f>
        <v/>
      </c>
      <c r="I119" s="56" t="str">
        <f>IF($Q119="","",INDEX(TRANSACTIONS_MASTER!$N$5:$N$1204,$Q119))</f>
        <v/>
      </c>
      <c r="J119" s="25" t="str">
        <f>IF($Q119="","",INDEX(TRANSACTIONS_MASTER!$O$5:$O$1204,$Q119))</f>
        <v/>
      </c>
      <c r="K119" s="26" t="str">
        <f>IF($Q119="","",INDEX(TRANSACTIONS_MASTER!$Q$5:$Q$1204,$Q119))</f>
        <v/>
      </c>
      <c r="L119" s="25" t="str">
        <f>IF($Q119="","",INDEX(TRANSACTIONS_MASTER!$P$5:$P$1204,$Q119))</f>
        <v/>
      </c>
      <c r="M119" s="25" t="str">
        <f>IF($Q119="","",INDEX(TRANSACTIONS_MASTER!$AA$5:$AA$1204,$Q119))</f>
        <v/>
      </c>
      <c r="N119" s="25" t="str">
        <f>IF($Q119="","",INDEX(TRANSACTIONS_MASTER!$R$5:$R$1204,$Q119))</f>
        <v/>
      </c>
      <c r="O119" s="28" t="str">
        <f>IF($Q119="","",INDEX(TRANSACTIONS_MASTER!$AB$5:$AB$1204,$Q119))</f>
        <v/>
      </c>
      <c r="P119" s="55" t="str">
        <f>IF($Q119="","",INDEX(TRANSACTIONS_MASTER!$Z$5:$Z$1204,$Q119)&amp;"")</f>
        <v/>
      </c>
      <c r="Q119" s="67" t="str">
        <f>IFERROR(MATCH($C$2&amp;"|"&amp;112,TRANSACTIONS_MASTER!$AE$5:$AE$1204,0),"")</f>
        <v/>
      </c>
      <c r="S119" s="67" t="str">
        <f>IFERROR(MATCH(1,INDEX((TRANSACTIONS_MASTER!$C$5:$C$1204=$C$2)*(TRANSACTIONS_MASTER!$AL$5:$AL$1204=3),0),0),"")</f>
        <v/>
      </c>
      <c r="T119" s="55" t="n"/>
      <c r="U119" s="55" t="str">
        <f>IF($S119="","",INDEX(TRANSACTIONS_MASTER!$K$5:$K$1204,$S119))</f>
        <v/>
      </c>
      <c r="V119" s="25" t="str">
        <f>IF($S119="","",SUMIFS(TRANSACTIONS_MASTER!$L$5:$L$1204,TRANSACTIONS_MASTER!$K$5:$K$1204,$U119,TRANSACTIONS_MASTER!$C$5:$C$1204,$C$2,TRANSACTIONS_MASTER!$U$5:$U$1204,"&lt;&gt;Cancelled"))</f>
        <v/>
      </c>
      <c r="W119" s="26" t="str">
        <f>IF($S119="","",SUMIFS(TRANSACTIONS_MASTER!$Q$5:$Q$1204,TRANSACTIONS_MASTER!$K$5:$K$1204,$U119,TRANSACTIONS_MASTER!$C$5:$C$1204,$C$2))</f>
        <v/>
      </c>
    </row>
    <row r="120">
      <c r="A120" s="81" t="str">
        <f>IF($Q120="","",113)</f>
        <v/>
      </c>
      <c r="B120" s="57" t="str">
        <f>IF($Q120="","",INDEX(TRANSACTIONS_MASTER!$B$5:$B$1204,$Q120))</f>
        <v/>
      </c>
      <c r="C120" s="55" t="str">
        <f>IF($Q120="","",INDEX(TRANSACTIONS_MASTER!$F$5:$F$1204,$Q120))</f>
        <v/>
      </c>
      <c r="D120" s="55" t="str">
        <f>IF($Q120="","",INDEX(TRANSACTIONS_MASTER!$E$5:$E$1204,$Q120))</f>
        <v/>
      </c>
      <c r="E120" s="55" t="str">
        <f>IF($Q120="","",INDEX(TRANSACTIONS_MASTER!$G$5:$G$1204,$Q120)&amp;"")</f>
        <v/>
      </c>
      <c r="F120" s="29" t="str">
        <f>IF($Q120="","",INDEX(TRANSACTIONS_MASTER!$I$5:$I$1204,$Q120))</f>
        <v/>
      </c>
      <c r="G120" s="55" t="str">
        <f>IF($Q120="","",INDEX(TRANSACTIONS_MASTER!$K$5:$K$1204,$Q120))</f>
        <v/>
      </c>
      <c r="H120" s="25" t="str">
        <f>IF($Q120="","",INDEX(TRANSACTIONS_MASTER!$L$5:$L$1204,$Q120))</f>
        <v/>
      </c>
      <c r="I120" s="56" t="str">
        <f>IF($Q120="","",INDEX(TRANSACTIONS_MASTER!$N$5:$N$1204,$Q120))</f>
        <v/>
      </c>
      <c r="J120" s="25" t="str">
        <f>IF($Q120="","",INDEX(TRANSACTIONS_MASTER!$O$5:$O$1204,$Q120))</f>
        <v/>
      </c>
      <c r="K120" s="26" t="str">
        <f>IF($Q120="","",INDEX(TRANSACTIONS_MASTER!$Q$5:$Q$1204,$Q120))</f>
        <v/>
      </c>
      <c r="L120" s="25" t="str">
        <f>IF($Q120="","",INDEX(TRANSACTIONS_MASTER!$P$5:$P$1204,$Q120))</f>
        <v/>
      </c>
      <c r="M120" s="25" t="str">
        <f>IF($Q120="","",INDEX(TRANSACTIONS_MASTER!$AA$5:$AA$1204,$Q120))</f>
        <v/>
      </c>
      <c r="N120" s="25" t="str">
        <f>IF($Q120="","",INDEX(TRANSACTIONS_MASTER!$R$5:$R$1204,$Q120))</f>
        <v/>
      </c>
      <c r="O120" s="28" t="str">
        <f>IF($Q120="","",INDEX(TRANSACTIONS_MASTER!$AB$5:$AB$1204,$Q120))</f>
        <v/>
      </c>
      <c r="P120" s="55" t="str">
        <f>IF($Q120="","",INDEX(TRANSACTIONS_MASTER!$Z$5:$Z$1204,$Q120)&amp;"")</f>
        <v/>
      </c>
      <c r="Q120" s="67" t="str">
        <f>IFERROR(MATCH($C$2&amp;"|"&amp;113,TRANSACTIONS_MASTER!$AE$5:$AE$1204,0),"")</f>
        <v/>
      </c>
      <c r="S120" s="67" t="str">
        <f>IFERROR(MATCH(1,INDEX((TRANSACTIONS_MASTER!$C$5:$C$1204=$C$2)*(TRANSACTIONS_MASTER!$AL$5:$AL$1204=4),0),0),"")</f>
        <v/>
      </c>
      <c r="T120" s="55" t="n"/>
      <c r="U120" s="55" t="str">
        <f>IF($S120="","",INDEX(TRANSACTIONS_MASTER!$K$5:$K$1204,$S120))</f>
        <v/>
      </c>
      <c r="V120" s="25" t="str">
        <f>IF($S120="","",SUMIFS(TRANSACTIONS_MASTER!$L$5:$L$1204,TRANSACTIONS_MASTER!$K$5:$K$1204,$U120,TRANSACTIONS_MASTER!$C$5:$C$1204,$C$2,TRANSACTIONS_MASTER!$U$5:$U$1204,"&lt;&gt;Cancelled"))</f>
        <v/>
      </c>
      <c r="W120" s="26" t="str">
        <f>IF($S120="","",SUMIFS(TRANSACTIONS_MASTER!$Q$5:$Q$1204,TRANSACTIONS_MASTER!$K$5:$K$1204,$U120,TRANSACTIONS_MASTER!$C$5:$C$1204,$C$2))</f>
        <v/>
      </c>
    </row>
    <row r="121">
      <c r="A121" s="81" t="str">
        <f>IF($Q121="","",114)</f>
        <v/>
      </c>
      <c r="B121" s="57" t="str">
        <f>IF($Q121="","",INDEX(TRANSACTIONS_MASTER!$B$5:$B$1204,$Q121))</f>
        <v/>
      </c>
      <c r="C121" s="55" t="str">
        <f>IF($Q121="","",INDEX(TRANSACTIONS_MASTER!$F$5:$F$1204,$Q121))</f>
        <v/>
      </c>
      <c r="D121" s="55" t="str">
        <f>IF($Q121="","",INDEX(TRANSACTIONS_MASTER!$E$5:$E$1204,$Q121))</f>
        <v/>
      </c>
      <c r="E121" s="55" t="str">
        <f>IF($Q121="","",INDEX(TRANSACTIONS_MASTER!$G$5:$G$1204,$Q121)&amp;"")</f>
        <v/>
      </c>
      <c r="F121" s="29" t="str">
        <f>IF($Q121="","",INDEX(TRANSACTIONS_MASTER!$I$5:$I$1204,$Q121))</f>
        <v/>
      </c>
      <c r="G121" s="55" t="str">
        <f>IF($Q121="","",INDEX(TRANSACTIONS_MASTER!$K$5:$K$1204,$Q121))</f>
        <v/>
      </c>
      <c r="H121" s="25" t="str">
        <f>IF($Q121="","",INDEX(TRANSACTIONS_MASTER!$L$5:$L$1204,$Q121))</f>
        <v/>
      </c>
      <c r="I121" s="56" t="str">
        <f>IF($Q121="","",INDEX(TRANSACTIONS_MASTER!$N$5:$N$1204,$Q121))</f>
        <v/>
      </c>
      <c r="J121" s="25" t="str">
        <f>IF($Q121="","",INDEX(TRANSACTIONS_MASTER!$O$5:$O$1204,$Q121))</f>
        <v/>
      </c>
      <c r="K121" s="26" t="str">
        <f>IF($Q121="","",INDEX(TRANSACTIONS_MASTER!$Q$5:$Q$1204,$Q121))</f>
        <v/>
      </c>
      <c r="L121" s="25" t="str">
        <f>IF($Q121="","",INDEX(TRANSACTIONS_MASTER!$P$5:$P$1204,$Q121))</f>
        <v/>
      </c>
      <c r="M121" s="25" t="str">
        <f>IF($Q121="","",INDEX(TRANSACTIONS_MASTER!$AA$5:$AA$1204,$Q121))</f>
        <v/>
      </c>
      <c r="N121" s="25" t="str">
        <f>IF($Q121="","",INDEX(TRANSACTIONS_MASTER!$R$5:$R$1204,$Q121))</f>
        <v/>
      </c>
      <c r="O121" s="28" t="str">
        <f>IF($Q121="","",INDEX(TRANSACTIONS_MASTER!$AB$5:$AB$1204,$Q121))</f>
        <v/>
      </c>
      <c r="P121" s="55" t="str">
        <f>IF($Q121="","",INDEX(TRANSACTIONS_MASTER!$Z$5:$Z$1204,$Q121)&amp;"")</f>
        <v/>
      </c>
      <c r="Q121" s="67" t="str">
        <f>IFERROR(MATCH($C$2&amp;"|"&amp;114,TRANSACTIONS_MASTER!$AE$5:$AE$1204,0),"")</f>
        <v/>
      </c>
      <c r="S121" s="67" t="str">
        <f>IFERROR(MATCH(1,INDEX((TRANSACTIONS_MASTER!$C$5:$C$1204=$C$2)*(TRANSACTIONS_MASTER!$AL$5:$AL$1204=5),0),0),"")</f>
        <v/>
      </c>
      <c r="T121" s="55" t="n"/>
      <c r="U121" s="55" t="str">
        <f>IF($S121="","",INDEX(TRANSACTIONS_MASTER!$K$5:$K$1204,$S121))</f>
        <v/>
      </c>
      <c r="V121" s="25" t="str">
        <f>IF($S121="","",SUMIFS(TRANSACTIONS_MASTER!$L$5:$L$1204,TRANSACTIONS_MASTER!$K$5:$K$1204,$U121,TRANSACTIONS_MASTER!$C$5:$C$1204,$C$2,TRANSACTIONS_MASTER!$U$5:$U$1204,"&lt;&gt;Cancelled"))</f>
        <v/>
      </c>
      <c r="W121" s="26" t="str">
        <f>IF($S121="","",SUMIFS(TRANSACTIONS_MASTER!$Q$5:$Q$1204,TRANSACTIONS_MASTER!$K$5:$K$1204,$U121,TRANSACTIONS_MASTER!$C$5:$C$1204,$C$2))</f>
        <v/>
      </c>
    </row>
    <row r="122">
      <c r="A122" s="81" t="str">
        <f>IF($Q122="","",115)</f>
        <v/>
      </c>
      <c r="B122" s="57" t="str">
        <f>IF($Q122="","",INDEX(TRANSACTIONS_MASTER!$B$5:$B$1204,$Q122))</f>
        <v/>
      </c>
      <c r="C122" s="55" t="str">
        <f>IF($Q122="","",INDEX(TRANSACTIONS_MASTER!$F$5:$F$1204,$Q122))</f>
        <v/>
      </c>
      <c r="D122" s="55" t="str">
        <f>IF($Q122="","",INDEX(TRANSACTIONS_MASTER!$E$5:$E$1204,$Q122))</f>
        <v/>
      </c>
      <c r="E122" s="55" t="str">
        <f>IF($Q122="","",INDEX(TRANSACTIONS_MASTER!$G$5:$G$1204,$Q122)&amp;"")</f>
        <v/>
      </c>
      <c r="F122" s="29" t="str">
        <f>IF($Q122="","",INDEX(TRANSACTIONS_MASTER!$I$5:$I$1204,$Q122))</f>
        <v/>
      </c>
      <c r="G122" s="55" t="str">
        <f>IF($Q122="","",INDEX(TRANSACTIONS_MASTER!$K$5:$K$1204,$Q122))</f>
        <v/>
      </c>
      <c r="H122" s="25" t="str">
        <f>IF($Q122="","",INDEX(TRANSACTIONS_MASTER!$L$5:$L$1204,$Q122))</f>
        <v/>
      </c>
      <c r="I122" s="56" t="str">
        <f>IF($Q122="","",INDEX(TRANSACTIONS_MASTER!$N$5:$N$1204,$Q122))</f>
        <v/>
      </c>
      <c r="J122" s="25" t="str">
        <f>IF($Q122="","",INDEX(TRANSACTIONS_MASTER!$O$5:$O$1204,$Q122))</f>
        <v/>
      </c>
      <c r="K122" s="26" t="str">
        <f>IF($Q122="","",INDEX(TRANSACTIONS_MASTER!$Q$5:$Q$1204,$Q122))</f>
        <v/>
      </c>
      <c r="L122" s="25" t="str">
        <f>IF($Q122="","",INDEX(TRANSACTIONS_MASTER!$P$5:$P$1204,$Q122))</f>
        <v/>
      </c>
      <c r="M122" s="25" t="str">
        <f>IF($Q122="","",INDEX(TRANSACTIONS_MASTER!$AA$5:$AA$1204,$Q122))</f>
        <v/>
      </c>
      <c r="N122" s="25" t="str">
        <f>IF($Q122="","",INDEX(TRANSACTIONS_MASTER!$R$5:$R$1204,$Q122))</f>
        <v/>
      </c>
      <c r="O122" s="28" t="str">
        <f>IF($Q122="","",INDEX(TRANSACTIONS_MASTER!$AB$5:$AB$1204,$Q122))</f>
        <v/>
      </c>
      <c r="P122" s="55" t="str">
        <f>IF($Q122="","",INDEX(TRANSACTIONS_MASTER!$Z$5:$Z$1204,$Q122)&amp;"")</f>
        <v/>
      </c>
      <c r="Q122" s="67" t="str">
        <f>IFERROR(MATCH($C$2&amp;"|"&amp;115,TRANSACTIONS_MASTER!$AE$5:$AE$1204,0),"")</f>
        <v/>
      </c>
      <c r="S122" s="67" t="str">
        <f>IFERROR(MATCH(1,INDEX((TRANSACTIONS_MASTER!$C$5:$C$1204=$C$2)*(TRANSACTIONS_MASTER!$AL$5:$AL$1204=6),0),0),"")</f>
        <v/>
      </c>
      <c r="T122" s="55" t="n"/>
      <c r="U122" s="55" t="str">
        <f>IF($S122="","",INDEX(TRANSACTIONS_MASTER!$K$5:$K$1204,$S122))</f>
        <v/>
      </c>
      <c r="V122" s="25" t="str">
        <f>IF($S122="","",SUMIFS(TRANSACTIONS_MASTER!$L$5:$L$1204,TRANSACTIONS_MASTER!$K$5:$K$1204,$U122,TRANSACTIONS_MASTER!$C$5:$C$1204,$C$2,TRANSACTIONS_MASTER!$U$5:$U$1204,"&lt;&gt;Cancelled"))</f>
        <v/>
      </c>
      <c r="W122" s="26" t="str">
        <f>IF($S122="","",SUMIFS(TRANSACTIONS_MASTER!$Q$5:$Q$1204,TRANSACTIONS_MASTER!$K$5:$K$1204,$U122,TRANSACTIONS_MASTER!$C$5:$C$1204,$C$2))</f>
        <v/>
      </c>
    </row>
    <row r="123">
      <c r="A123" s="81" t="str">
        <f>IF($Q123="","",116)</f>
        <v/>
      </c>
      <c r="B123" s="57" t="str">
        <f>IF($Q123="","",INDEX(TRANSACTIONS_MASTER!$B$5:$B$1204,$Q123))</f>
        <v/>
      </c>
      <c r="C123" s="55" t="str">
        <f>IF($Q123="","",INDEX(TRANSACTIONS_MASTER!$F$5:$F$1204,$Q123))</f>
        <v/>
      </c>
      <c r="D123" s="55" t="str">
        <f>IF($Q123="","",INDEX(TRANSACTIONS_MASTER!$E$5:$E$1204,$Q123))</f>
        <v/>
      </c>
      <c r="E123" s="55" t="str">
        <f>IF($Q123="","",INDEX(TRANSACTIONS_MASTER!$G$5:$G$1204,$Q123)&amp;"")</f>
        <v/>
      </c>
      <c r="F123" s="29" t="str">
        <f>IF($Q123="","",INDEX(TRANSACTIONS_MASTER!$I$5:$I$1204,$Q123))</f>
        <v/>
      </c>
      <c r="G123" s="55" t="str">
        <f>IF($Q123="","",INDEX(TRANSACTIONS_MASTER!$K$5:$K$1204,$Q123))</f>
        <v/>
      </c>
      <c r="H123" s="25" t="str">
        <f>IF($Q123="","",INDEX(TRANSACTIONS_MASTER!$L$5:$L$1204,$Q123))</f>
        <v/>
      </c>
      <c r="I123" s="56" t="str">
        <f>IF($Q123="","",INDEX(TRANSACTIONS_MASTER!$N$5:$N$1204,$Q123))</f>
        <v/>
      </c>
      <c r="J123" s="25" t="str">
        <f>IF($Q123="","",INDEX(TRANSACTIONS_MASTER!$O$5:$O$1204,$Q123))</f>
        <v/>
      </c>
      <c r="K123" s="26" t="str">
        <f>IF($Q123="","",INDEX(TRANSACTIONS_MASTER!$Q$5:$Q$1204,$Q123))</f>
        <v/>
      </c>
      <c r="L123" s="25" t="str">
        <f>IF($Q123="","",INDEX(TRANSACTIONS_MASTER!$P$5:$P$1204,$Q123))</f>
        <v/>
      </c>
      <c r="M123" s="25" t="str">
        <f>IF($Q123="","",INDEX(TRANSACTIONS_MASTER!$AA$5:$AA$1204,$Q123))</f>
        <v/>
      </c>
      <c r="N123" s="25" t="str">
        <f>IF($Q123="","",INDEX(TRANSACTIONS_MASTER!$R$5:$R$1204,$Q123))</f>
        <v/>
      </c>
      <c r="O123" s="28" t="str">
        <f>IF($Q123="","",INDEX(TRANSACTIONS_MASTER!$AB$5:$AB$1204,$Q123))</f>
        <v/>
      </c>
      <c r="P123" s="55" t="str">
        <f>IF($Q123="","",INDEX(TRANSACTIONS_MASTER!$Z$5:$Z$1204,$Q123)&amp;"")</f>
        <v/>
      </c>
      <c r="Q123" s="67" t="str">
        <f>IFERROR(MATCH($C$2&amp;"|"&amp;116,TRANSACTIONS_MASTER!$AE$5:$AE$1204,0),"")</f>
        <v/>
      </c>
      <c r="S123" s="67" t="str">
        <f>IFERROR(MATCH(1,INDEX((TRANSACTIONS_MASTER!$C$5:$C$1204=$C$2)*(TRANSACTIONS_MASTER!$AL$5:$AL$1204=7),0),0),"")</f>
        <v/>
      </c>
      <c r="T123" s="55" t="n"/>
      <c r="U123" s="55" t="str">
        <f>IF($S123="","",INDEX(TRANSACTIONS_MASTER!$K$5:$K$1204,$S123))</f>
        <v/>
      </c>
      <c r="V123" s="25" t="str">
        <f>IF($S123="","",SUMIFS(TRANSACTIONS_MASTER!$L$5:$L$1204,TRANSACTIONS_MASTER!$K$5:$K$1204,$U123,TRANSACTIONS_MASTER!$C$5:$C$1204,$C$2,TRANSACTIONS_MASTER!$U$5:$U$1204,"&lt;&gt;Cancelled"))</f>
        <v/>
      </c>
      <c r="W123" s="26" t="str">
        <f>IF($S123="","",SUMIFS(TRANSACTIONS_MASTER!$Q$5:$Q$1204,TRANSACTIONS_MASTER!$K$5:$K$1204,$U123,TRANSACTIONS_MASTER!$C$5:$C$1204,$C$2))</f>
        <v/>
      </c>
    </row>
    <row r="124">
      <c r="A124" s="81" t="str">
        <f>IF($Q124="","",117)</f>
        <v/>
      </c>
      <c r="B124" s="57" t="str">
        <f>IF($Q124="","",INDEX(TRANSACTIONS_MASTER!$B$5:$B$1204,$Q124))</f>
        <v/>
      </c>
      <c r="C124" s="55" t="str">
        <f>IF($Q124="","",INDEX(TRANSACTIONS_MASTER!$F$5:$F$1204,$Q124))</f>
        <v/>
      </c>
      <c r="D124" s="55" t="str">
        <f>IF($Q124="","",INDEX(TRANSACTIONS_MASTER!$E$5:$E$1204,$Q124))</f>
        <v/>
      </c>
      <c r="E124" s="55" t="str">
        <f>IF($Q124="","",INDEX(TRANSACTIONS_MASTER!$G$5:$G$1204,$Q124)&amp;"")</f>
        <v/>
      </c>
      <c r="F124" s="29" t="str">
        <f>IF($Q124="","",INDEX(TRANSACTIONS_MASTER!$I$5:$I$1204,$Q124))</f>
        <v/>
      </c>
      <c r="G124" s="55" t="str">
        <f>IF($Q124="","",INDEX(TRANSACTIONS_MASTER!$K$5:$K$1204,$Q124))</f>
        <v/>
      </c>
      <c r="H124" s="25" t="str">
        <f>IF($Q124="","",INDEX(TRANSACTIONS_MASTER!$L$5:$L$1204,$Q124))</f>
        <v/>
      </c>
      <c r="I124" s="56" t="str">
        <f>IF($Q124="","",INDEX(TRANSACTIONS_MASTER!$N$5:$N$1204,$Q124))</f>
        <v/>
      </c>
      <c r="J124" s="25" t="str">
        <f>IF($Q124="","",INDEX(TRANSACTIONS_MASTER!$O$5:$O$1204,$Q124))</f>
        <v/>
      </c>
      <c r="K124" s="26" t="str">
        <f>IF($Q124="","",INDEX(TRANSACTIONS_MASTER!$Q$5:$Q$1204,$Q124))</f>
        <v/>
      </c>
      <c r="L124" s="25" t="str">
        <f>IF($Q124="","",INDEX(TRANSACTIONS_MASTER!$P$5:$P$1204,$Q124))</f>
        <v/>
      </c>
      <c r="M124" s="25" t="str">
        <f>IF($Q124="","",INDEX(TRANSACTIONS_MASTER!$AA$5:$AA$1204,$Q124))</f>
        <v/>
      </c>
      <c r="N124" s="25" t="str">
        <f>IF($Q124="","",INDEX(TRANSACTIONS_MASTER!$R$5:$R$1204,$Q124))</f>
        <v/>
      </c>
      <c r="O124" s="28" t="str">
        <f>IF($Q124="","",INDEX(TRANSACTIONS_MASTER!$AB$5:$AB$1204,$Q124))</f>
        <v/>
      </c>
      <c r="P124" s="55" t="str">
        <f>IF($Q124="","",INDEX(TRANSACTIONS_MASTER!$Z$5:$Z$1204,$Q124)&amp;"")</f>
        <v/>
      </c>
      <c r="Q124" s="67" t="str">
        <f>IFERROR(MATCH($C$2&amp;"|"&amp;117,TRANSACTIONS_MASTER!$AE$5:$AE$1204,0),"")</f>
        <v/>
      </c>
      <c r="S124" s="67" t="str">
        <f>IFERROR(MATCH(1,INDEX((TRANSACTIONS_MASTER!$C$5:$C$1204=$C$2)*(TRANSACTIONS_MASTER!$AL$5:$AL$1204=8),0),0),"")</f>
        <v/>
      </c>
      <c r="T124" s="55" t="n"/>
      <c r="U124" s="55" t="str">
        <f>IF($S124="","",INDEX(TRANSACTIONS_MASTER!$K$5:$K$1204,$S124))</f>
        <v/>
      </c>
      <c r="V124" s="25" t="str">
        <f>IF($S124="","",SUMIFS(TRANSACTIONS_MASTER!$L$5:$L$1204,TRANSACTIONS_MASTER!$K$5:$K$1204,$U124,TRANSACTIONS_MASTER!$C$5:$C$1204,$C$2,TRANSACTIONS_MASTER!$U$5:$U$1204,"&lt;&gt;Cancelled"))</f>
        <v/>
      </c>
      <c r="W124" s="26" t="str">
        <f>IF($S124="","",SUMIFS(TRANSACTIONS_MASTER!$Q$5:$Q$1204,TRANSACTIONS_MASTER!$K$5:$K$1204,$U124,TRANSACTIONS_MASTER!$C$5:$C$1204,$C$2))</f>
        <v/>
      </c>
    </row>
    <row r="125">
      <c r="A125" s="81" t="str">
        <f>IF($Q125="","",118)</f>
        <v/>
      </c>
      <c r="B125" s="57" t="str">
        <f>IF($Q125="","",INDEX(TRANSACTIONS_MASTER!$B$5:$B$1204,$Q125))</f>
        <v/>
      </c>
      <c r="C125" s="55" t="str">
        <f>IF($Q125="","",INDEX(TRANSACTIONS_MASTER!$F$5:$F$1204,$Q125))</f>
        <v/>
      </c>
      <c r="D125" s="55" t="str">
        <f>IF($Q125="","",INDEX(TRANSACTIONS_MASTER!$E$5:$E$1204,$Q125))</f>
        <v/>
      </c>
      <c r="E125" s="55" t="str">
        <f>IF($Q125="","",INDEX(TRANSACTIONS_MASTER!$G$5:$G$1204,$Q125)&amp;"")</f>
        <v/>
      </c>
      <c r="F125" s="29" t="str">
        <f>IF($Q125="","",INDEX(TRANSACTIONS_MASTER!$I$5:$I$1204,$Q125))</f>
        <v/>
      </c>
      <c r="G125" s="55" t="str">
        <f>IF($Q125="","",INDEX(TRANSACTIONS_MASTER!$K$5:$K$1204,$Q125))</f>
        <v/>
      </c>
      <c r="H125" s="25" t="str">
        <f>IF($Q125="","",INDEX(TRANSACTIONS_MASTER!$L$5:$L$1204,$Q125))</f>
        <v/>
      </c>
      <c r="I125" s="56" t="str">
        <f>IF($Q125="","",INDEX(TRANSACTIONS_MASTER!$N$5:$N$1204,$Q125))</f>
        <v/>
      </c>
      <c r="J125" s="25" t="str">
        <f>IF($Q125="","",INDEX(TRANSACTIONS_MASTER!$O$5:$O$1204,$Q125))</f>
        <v/>
      </c>
      <c r="K125" s="26" t="str">
        <f>IF($Q125="","",INDEX(TRANSACTIONS_MASTER!$Q$5:$Q$1204,$Q125))</f>
        <v/>
      </c>
      <c r="L125" s="25" t="str">
        <f>IF($Q125="","",INDEX(TRANSACTIONS_MASTER!$P$5:$P$1204,$Q125))</f>
        <v/>
      </c>
      <c r="M125" s="25" t="str">
        <f>IF($Q125="","",INDEX(TRANSACTIONS_MASTER!$AA$5:$AA$1204,$Q125))</f>
        <v/>
      </c>
      <c r="N125" s="25" t="str">
        <f>IF($Q125="","",INDEX(TRANSACTIONS_MASTER!$R$5:$R$1204,$Q125))</f>
        <v/>
      </c>
      <c r="O125" s="28" t="str">
        <f>IF($Q125="","",INDEX(TRANSACTIONS_MASTER!$AB$5:$AB$1204,$Q125))</f>
        <v/>
      </c>
      <c r="P125" s="55" t="str">
        <f>IF($Q125="","",INDEX(TRANSACTIONS_MASTER!$Z$5:$Z$1204,$Q125)&amp;"")</f>
        <v/>
      </c>
      <c r="Q125" s="67" t="str">
        <f>IFERROR(MATCH($C$2&amp;"|"&amp;118,TRANSACTIONS_MASTER!$AE$5:$AE$1204,0),"")</f>
        <v/>
      </c>
      <c r="S125" s="67" t="str">
        <f>IFERROR(MATCH(1,INDEX((TRANSACTIONS_MASTER!$C$5:$C$1204=$C$2)*(TRANSACTIONS_MASTER!$AL$5:$AL$1204=9),0),0),"")</f>
        <v/>
      </c>
      <c r="T125" s="55" t="n"/>
      <c r="U125" s="55" t="str">
        <f>IF($S125="","",INDEX(TRANSACTIONS_MASTER!$K$5:$K$1204,$S125))</f>
        <v/>
      </c>
      <c r="V125" s="25" t="str">
        <f>IF($S125="","",SUMIFS(TRANSACTIONS_MASTER!$L$5:$L$1204,TRANSACTIONS_MASTER!$K$5:$K$1204,$U125,TRANSACTIONS_MASTER!$C$5:$C$1204,$C$2,TRANSACTIONS_MASTER!$U$5:$U$1204,"&lt;&gt;Cancelled"))</f>
        <v/>
      </c>
      <c r="W125" s="26" t="str">
        <f>IF($S125="","",SUMIFS(TRANSACTIONS_MASTER!$Q$5:$Q$1204,TRANSACTIONS_MASTER!$K$5:$K$1204,$U125,TRANSACTIONS_MASTER!$C$5:$C$1204,$C$2))</f>
        <v/>
      </c>
    </row>
    <row r="126">
      <c r="A126" s="81" t="str">
        <f>IF($Q126="","",119)</f>
        <v/>
      </c>
      <c r="B126" s="57" t="str">
        <f>IF($Q126="","",INDEX(TRANSACTIONS_MASTER!$B$5:$B$1204,$Q126))</f>
        <v/>
      </c>
      <c r="C126" s="55" t="str">
        <f>IF($Q126="","",INDEX(TRANSACTIONS_MASTER!$F$5:$F$1204,$Q126))</f>
        <v/>
      </c>
      <c r="D126" s="55" t="str">
        <f>IF($Q126="","",INDEX(TRANSACTIONS_MASTER!$E$5:$E$1204,$Q126))</f>
        <v/>
      </c>
      <c r="E126" s="55" t="str">
        <f>IF($Q126="","",INDEX(TRANSACTIONS_MASTER!$G$5:$G$1204,$Q126)&amp;"")</f>
        <v/>
      </c>
      <c r="F126" s="29" t="str">
        <f>IF($Q126="","",INDEX(TRANSACTIONS_MASTER!$I$5:$I$1204,$Q126))</f>
        <v/>
      </c>
      <c r="G126" s="55" t="str">
        <f>IF($Q126="","",INDEX(TRANSACTIONS_MASTER!$K$5:$K$1204,$Q126))</f>
        <v/>
      </c>
      <c r="H126" s="25" t="str">
        <f>IF($Q126="","",INDEX(TRANSACTIONS_MASTER!$L$5:$L$1204,$Q126))</f>
        <v/>
      </c>
      <c r="I126" s="56" t="str">
        <f>IF($Q126="","",INDEX(TRANSACTIONS_MASTER!$N$5:$N$1204,$Q126))</f>
        <v/>
      </c>
      <c r="J126" s="25" t="str">
        <f>IF($Q126="","",INDEX(TRANSACTIONS_MASTER!$O$5:$O$1204,$Q126))</f>
        <v/>
      </c>
      <c r="K126" s="26" t="str">
        <f>IF($Q126="","",INDEX(TRANSACTIONS_MASTER!$Q$5:$Q$1204,$Q126))</f>
        <v/>
      </c>
      <c r="L126" s="25" t="str">
        <f>IF($Q126="","",INDEX(TRANSACTIONS_MASTER!$P$5:$P$1204,$Q126))</f>
        <v/>
      </c>
      <c r="M126" s="25" t="str">
        <f>IF($Q126="","",INDEX(TRANSACTIONS_MASTER!$AA$5:$AA$1204,$Q126))</f>
        <v/>
      </c>
      <c r="N126" s="25" t="str">
        <f>IF($Q126="","",INDEX(TRANSACTIONS_MASTER!$R$5:$R$1204,$Q126))</f>
        <v/>
      </c>
      <c r="O126" s="28" t="str">
        <f>IF($Q126="","",INDEX(TRANSACTIONS_MASTER!$AB$5:$AB$1204,$Q126))</f>
        <v/>
      </c>
      <c r="P126" s="55" t="str">
        <f>IF($Q126="","",INDEX(TRANSACTIONS_MASTER!$Z$5:$Z$1204,$Q126)&amp;"")</f>
        <v/>
      </c>
      <c r="Q126" s="67" t="str">
        <f>IFERROR(MATCH($C$2&amp;"|"&amp;119,TRANSACTIONS_MASTER!$AE$5:$AE$1204,0),"")</f>
        <v/>
      </c>
      <c r="S126" s="67" t="str">
        <f>IFERROR(MATCH(1,INDEX((TRANSACTIONS_MASTER!$C$5:$C$1204=$C$2)*(TRANSACTIONS_MASTER!$AL$5:$AL$1204=10),0),0),"")</f>
        <v/>
      </c>
      <c r="T126" s="55" t="n"/>
      <c r="U126" s="55" t="str">
        <f>IF($S126="","",INDEX(TRANSACTIONS_MASTER!$K$5:$K$1204,$S126))</f>
        <v/>
      </c>
      <c r="V126" s="25" t="str">
        <f>IF($S126="","",SUMIFS(TRANSACTIONS_MASTER!$L$5:$L$1204,TRANSACTIONS_MASTER!$K$5:$K$1204,$U126,TRANSACTIONS_MASTER!$C$5:$C$1204,$C$2,TRANSACTIONS_MASTER!$U$5:$U$1204,"&lt;&gt;Cancelled"))</f>
        <v/>
      </c>
      <c r="W126" s="26" t="str">
        <f>IF($S126="","",SUMIFS(TRANSACTIONS_MASTER!$Q$5:$Q$1204,TRANSACTIONS_MASTER!$K$5:$K$1204,$U126,TRANSACTIONS_MASTER!$C$5:$C$1204,$C$2))</f>
        <v/>
      </c>
    </row>
    <row r="127">
      <c r="A127" s="81" t="str">
        <f>IF($Q127="","",120)</f>
        <v/>
      </c>
      <c r="B127" s="57" t="str">
        <f>IF($Q127="","",INDEX(TRANSACTIONS_MASTER!$B$5:$B$1204,$Q127))</f>
        <v/>
      </c>
      <c r="C127" s="55" t="str">
        <f>IF($Q127="","",INDEX(TRANSACTIONS_MASTER!$F$5:$F$1204,$Q127))</f>
        <v/>
      </c>
      <c r="D127" s="55" t="str">
        <f>IF($Q127="","",INDEX(TRANSACTIONS_MASTER!$E$5:$E$1204,$Q127))</f>
        <v/>
      </c>
      <c r="E127" s="55" t="str">
        <f>IF($Q127="","",INDEX(TRANSACTIONS_MASTER!$G$5:$G$1204,$Q127)&amp;"")</f>
        <v/>
      </c>
      <c r="F127" s="29" t="str">
        <f>IF($Q127="","",INDEX(TRANSACTIONS_MASTER!$I$5:$I$1204,$Q127))</f>
        <v/>
      </c>
      <c r="G127" s="55" t="str">
        <f>IF($Q127="","",INDEX(TRANSACTIONS_MASTER!$K$5:$K$1204,$Q127))</f>
        <v/>
      </c>
      <c r="H127" s="25" t="str">
        <f>IF($Q127="","",INDEX(TRANSACTIONS_MASTER!$L$5:$L$1204,$Q127))</f>
        <v/>
      </c>
      <c r="I127" s="56" t="str">
        <f>IF($Q127="","",INDEX(TRANSACTIONS_MASTER!$N$5:$N$1204,$Q127))</f>
        <v/>
      </c>
      <c r="J127" s="25" t="str">
        <f>IF($Q127="","",INDEX(TRANSACTIONS_MASTER!$O$5:$O$1204,$Q127))</f>
        <v/>
      </c>
      <c r="K127" s="26" t="str">
        <f>IF($Q127="","",INDEX(TRANSACTIONS_MASTER!$Q$5:$Q$1204,$Q127))</f>
        <v/>
      </c>
      <c r="L127" s="25" t="str">
        <f>IF($Q127="","",INDEX(TRANSACTIONS_MASTER!$P$5:$P$1204,$Q127))</f>
        <v/>
      </c>
      <c r="M127" s="25" t="str">
        <f>IF($Q127="","",INDEX(TRANSACTIONS_MASTER!$AA$5:$AA$1204,$Q127))</f>
        <v/>
      </c>
      <c r="N127" s="25" t="str">
        <f>IF($Q127="","",INDEX(TRANSACTIONS_MASTER!$R$5:$R$1204,$Q127))</f>
        <v/>
      </c>
      <c r="O127" s="28" t="str">
        <f>IF($Q127="","",INDEX(TRANSACTIONS_MASTER!$AB$5:$AB$1204,$Q127))</f>
        <v/>
      </c>
      <c r="P127" s="55" t="str">
        <f>IF($Q127="","",INDEX(TRANSACTIONS_MASTER!$Z$5:$Z$1204,$Q127)&amp;"")</f>
        <v/>
      </c>
      <c r="Q127" s="67" t="str">
        <f>IFERROR(MATCH($C$2&amp;"|"&amp;120,TRANSACTIONS_MASTER!$AE$5:$AE$1204,0),"")</f>
        <v/>
      </c>
      <c r="S127" s="67" t="str">
        <f>IFERROR(MATCH(1,INDEX((TRANSACTIONS_MASTER!$C$5:$C$1204=$C$2)*(TRANSACTIONS_MASTER!$AL$5:$AL$1204=11),0),0),"")</f>
        <v/>
      </c>
      <c r="T127" s="55" t="n"/>
      <c r="U127" s="55" t="str">
        <f>IF($S127="","",INDEX(TRANSACTIONS_MASTER!$K$5:$K$1204,$S127))</f>
        <v/>
      </c>
      <c r="V127" s="25" t="str">
        <f>IF($S127="","",SUMIFS(TRANSACTIONS_MASTER!$L$5:$L$1204,TRANSACTIONS_MASTER!$K$5:$K$1204,$U127,TRANSACTIONS_MASTER!$C$5:$C$1204,$C$2,TRANSACTIONS_MASTER!$U$5:$U$1204,"&lt;&gt;Cancelled"))</f>
        <v/>
      </c>
      <c r="W127" s="26" t="str">
        <f>IF($S127="","",SUMIFS(TRANSACTIONS_MASTER!$Q$5:$Q$1204,TRANSACTIONS_MASTER!$K$5:$K$1204,$U127,TRANSACTIONS_MASTER!$C$5:$C$1204,$C$2))</f>
        <v/>
      </c>
    </row>
    <row r="128">
      <c r="A128" s="81" t="str">
        <f>IF($Q128="","",121)</f>
        <v/>
      </c>
      <c r="B128" s="57" t="str">
        <f>IF($Q128="","",INDEX(TRANSACTIONS_MASTER!$B$5:$B$1204,$Q128))</f>
        <v/>
      </c>
      <c r="C128" s="55" t="str">
        <f>IF($Q128="","",INDEX(TRANSACTIONS_MASTER!$F$5:$F$1204,$Q128))</f>
        <v/>
      </c>
      <c r="D128" s="55" t="str">
        <f>IF($Q128="","",INDEX(TRANSACTIONS_MASTER!$E$5:$E$1204,$Q128))</f>
        <v/>
      </c>
      <c r="E128" s="55" t="str">
        <f>IF($Q128="","",INDEX(TRANSACTIONS_MASTER!$G$5:$G$1204,$Q128)&amp;"")</f>
        <v/>
      </c>
      <c r="F128" s="29" t="str">
        <f>IF($Q128="","",INDEX(TRANSACTIONS_MASTER!$I$5:$I$1204,$Q128))</f>
        <v/>
      </c>
      <c r="G128" s="55" t="str">
        <f>IF($Q128="","",INDEX(TRANSACTIONS_MASTER!$K$5:$K$1204,$Q128))</f>
        <v/>
      </c>
      <c r="H128" s="25" t="str">
        <f>IF($Q128="","",INDEX(TRANSACTIONS_MASTER!$L$5:$L$1204,$Q128))</f>
        <v/>
      </c>
      <c r="I128" s="56" t="str">
        <f>IF($Q128="","",INDEX(TRANSACTIONS_MASTER!$N$5:$N$1204,$Q128))</f>
        <v/>
      </c>
      <c r="J128" s="25" t="str">
        <f>IF($Q128="","",INDEX(TRANSACTIONS_MASTER!$O$5:$O$1204,$Q128))</f>
        <v/>
      </c>
      <c r="K128" s="26" t="str">
        <f>IF($Q128="","",INDEX(TRANSACTIONS_MASTER!$Q$5:$Q$1204,$Q128))</f>
        <v/>
      </c>
      <c r="L128" s="25" t="str">
        <f>IF($Q128="","",INDEX(TRANSACTIONS_MASTER!$P$5:$P$1204,$Q128))</f>
        <v/>
      </c>
      <c r="M128" s="25" t="str">
        <f>IF($Q128="","",INDEX(TRANSACTIONS_MASTER!$AA$5:$AA$1204,$Q128))</f>
        <v/>
      </c>
      <c r="N128" s="25" t="str">
        <f>IF($Q128="","",INDEX(TRANSACTIONS_MASTER!$R$5:$R$1204,$Q128))</f>
        <v/>
      </c>
      <c r="O128" s="28" t="str">
        <f>IF($Q128="","",INDEX(TRANSACTIONS_MASTER!$AB$5:$AB$1204,$Q128))</f>
        <v/>
      </c>
      <c r="P128" s="55" t="str">
        <f>IF($Q128="","",INDEX(TRANSACTIONS_MASTER!$Z$5:$Z$1204,$Q128)&amp;"")</f>
        <v/>
      </c>
      <c r="Q128" s="67" t="str">
        <f>IFERROR(MATCH($C$2&amp;"|"&amp;121,TRANSACTIONS_MASTER!$AE$5:$AE$1204,0),"")</f>
        <v/>
      </c>
      <c r="S128" s="67" t="str">
        <f>IFERROR(MATCH(1,INDEX((TRANSACTIONS_MASTER!$C$5:$C$1204=$C$2)*(TRANSACTIONS_MASTER!$AL$5:$AL$1204=12),0),0),"")</f>
        <v/>
      </c>
      <c r="T128" s="55" t="n"/>
      <c r="U128" s="55" t="str">
        <f>IF($S128="","",INDEX(TRANSACTIONS_MASTER!$K$5:$K$1204,$S128))</f>
        <v/>
      </c>
      <c r="V128" s="25" t="str">
        <f>IF($S128="","",SUMIFS(TRANSACTIONS_MASTER!$L$5:$L$1204,TRANSACTIONS_MASTER!$K$5:$K$1204,$U128,TRANSACTIONS_MASTER!$C$5:$C$1204,$C$2,TRANSACTIONS_MASTER!$U$5:$U$1204,"&lt;&gt;Cancelled"))</f>
        <v/>
      </c>
      <c r="W128" s="26" t="str">
        <f>IF($S128="","",SUMIFS(TRANSACTIONS_MASTER!$Q$5:$Q$1204,TRANSACTIONS_MASTER!$K$5:$K$1204,$U128,TRANSACTIONS_MASTER!$C$5:$C$1204,$C$2))</f>
        <v/>
      </c>
    </row>
    <row r="129">
      <c r="A129" s="81" t="str">
        <f>IF($Q129="","",122)</f>
        <v/>
      </c>
      <c r="B129" s="57" t="str">
        <f>IF($Q129="","",INDEX(TRANSACTIONS_MASTER!$B$5:$B$1204,$Q129))</f>
        <v/>
      </c>
      <c r="C129" s="55" t="str">
        <f>IF($Q129="","",INDEX(TRANSACTIONS_MASTER!$F$5:$F$1204,$Q129))</f>
        <v/>
      </c>
      <c r="D129" s="55" t="str">
        <f>IF($Q129="","",INDEX(TRANSACTIONS_MASTER!$E$5:$E$1204,$Q129))</f>
        <v/>
      </c>
      <c r="E129" s="55" t="str">
        <f>IF($Q129="","",INDEX(TRANSACTIONS_MASTER!$G$5:$G$1204,$Q129)&amp;"")</f>
        <v/>
      </c>
      <c r="F129" s="29" t="str">
        <f>IF($Q129="","",INDEX(TRANSACTIONS_MASTER!$I$5:$I$1204,$Q129))</f>
        <v/>
      </c>
      <c r="G129" s="55" t="str">
        <f>IF($Q129="","",INDEX(TRANSACTIONS_MASTER!$K$5:$K$1204,$Q129))</f>
        <v/>
      </c>
      <c r="H129" s="25" t="str">
        <f>IF($Q129="","",INDEX(TRANSACTIONS_MASTER!$L$5:$L$1204,$Q129))</f>
        <v/>
      </c>
      <c r="I129" s="56" t="str">
        <f>IF($Q129="","",INDEX(TRANSACTIONS_MASTER!$N$5:$N$1204,$Q129))</f>
        <v/>
      </c>
      <c r="J129" s="25" t="str">
        <f>IF($Q129="","",INDEX(TRANSACTIONS_MASTER!$O$5:$O$1204,$Q129))</f>
        <v/>
      </c>
      <c r="K129" s="26" t="str">
        <f>IF($Q129="","",INDEX(TRANSACTIONS_MASTER!$Q$5:$Q$1204,$Q129))</f>
        <v/>
      </c>
      <c r="L129" s="25" t="str">
        <f>IF($Q129="","",INDEX(TRANSACTIONS_MASTER!$P$5:$P$1204,$Q129))</f>
        <v/>
      </c>
      <c r="M129" s="25" t="str">
        <f>IF($Q129="","",INDEX(TRANSACTIONS_MASTER!$AA$5:$AA$1204,$Q129))</f>
        <v/>
      </c>
      <c r="N129" s="25" t="str">
        <f>IF($Q129="","",INDEX(TRANSACTIONS_MASTER!$R$5:$R$1204,$Q129))</f>
        <v/>
      </c>
      <c r="O129" s="28" t="str">
        <f>IF($Q129="","",INDEX(TRANSACTIONS_MASTER!$AB$5:$AB$1204,$Q129))</f>
        <v/>
      </c>
      <c r="P129" s="55" t="str">
        <f>IF($Q129="","",INDEX(TRANSACTIONS_MASTER!$Z$5:$Z$1204,$Q129)&amp;"")</f>
        <v/>
      </c>
      <c r="Q129" s="67" t="str">
        <f>IFERROR(MATCH($C$2&amp;"|"&amp;122,TRANSACTIONS_MASTER!$AE$5:$AE$1204,0),"")</f>
        <v/>
      </c>
      <c r="S129" s="67" t="str">
        <f>IFERROR(MATCH(1,INDEX((TRANSACTIONS_MASTER!$C$5:$C$1204=$C$2)*(TRANSACTIONS_MASTER!$AL$5:$AL$1204=13),0),0),"")</f>
        <v/>
      </c>
      <c r="T129" s="55" t="n"/>
      <c r="U129" s="55" t="str">
        <f>IF($S129="","",INDEX(TRANSACTIONS_MASTER!$K$5:$K$1204,$S129))</f>
        <v/>
      </c>
      <c r="V129" s="25" t="str">
        <f>IF($S129="","",SUMIFS(TRANSACTIONS_MASTER!$L$5:$L$1204,TRANSACTIONS_MASTER!$K$5:$K$1204,$U129,TRANSACTIONS_MASTER!$C$5:$C$1204,$C$2,TRANSACTIONS_MASTER!$U$5:$U$1204,"&lt;&gt;Cancelled"))</f>
        <v/>
      </c>
      <c r="W129" s="26" t="str">
        <f>IF($S129="","",SUMIFS(TRANSACTIONS_MASTER!$Q$5:$Q$1204,TRANSACTIONS_MASTER!$K$5:$K$1204,$U129,TRANSACTIONS_MASTER!$C$5:$C$1204,$C$2))</f>
        <v/>
      </c>
    </row>
    <row r="130">
      <c r="A130" s="81" t="str">
        <f>IF($Q130="","",123)</f>
        <v/>
      </c>
      <c r="B130" s="57" t="str">
        <f>IF($Q130="","",INDEX(TRANSACTIONS_MASTER!$B$5:$B$1204,$Q130))</f>
        <v/>
      </c>
      <c r="C130" s="55" t="str">
        <f>IF($Q130="","",INDEX(TRANSACTIONS_MASTER!$F$5:$F$1204,$Q130))</f>
        <v/>
      </c>
      <c r="D130" s="55" t="str">
        <f>IF($Q130="","",INDEX(TRANSACTIONS_MASTER!$E$5:$E$1204,$Q130))</f>
        <v/>
      </c>
      <c r="E130" s="55" t="str">
        <f>IF($Q130="","",INDEX(TRANSACTIONS_MASTER!$G$5:$G$1204,$Q130)&amp;"")</f>
        <v/>
      </c>
      <c r="F130" s="29" t="str">
        <f>IF($Q130="","",INDEX(TRANSACTIONS_MASTER!$I$5:$I$1204,$Q130))</f>
        <v/>
      </c>
      <c r="G130" s="55" t="str">
        <f>IF($Q130="","",INDEX(TRANSACTIONS_MASTER!$K$5:$K$1204,$Q130))</f>
        <v/>
      </c>
      <c r="H130" s="25" t="str">
        <f>IF($Q130="","",INDEX(TRANSACTIONS_MASTER!$L$5:$L$1204,$Q130))</f>
        <v/>
      </c>
      <c r="I130" s="56" t="str">
        <f>IF($Q130="","",INDEX(TRANSACTIONS_MASTER!$N$5:$N$1204,$Q130))</f>
        <v/>
      </c>
      <c r="J130" s="25" t="str">
        <f>IF($Q130="","",INDEX(TRANSACTIONS_MASTER!$O$5:$O$1204,$Q130))</f>
        <v/>
      </c>
      <c r="K130" s="26" t="str">
        <f>IF($Q130="","",INDEX(TRANSACTIONS_MASTER!$Q$5:$Q$1204,$Q130))</f>
        <v/>
      </c>
      <c r="L130" s="25" t="str">
        <f>IF($Q130="","",INDEX(TRANSACTIONS_MASTER!$P$5:$P$1204,$Q130))</f>
        <v/>
      </c>
      <c r="M130" s="25" t="str">
        <f>IF($Q130="","",INDEX(TRANSACTIONS_MASTER!$AA$5:$AA$1204,$Q130))</f>
        <v/>
      </c>
      <c r="N130" s="25" t="str">
        <f>IF($Q130="","",INDEX(TRANSACTIONS_MASTER!$R$5:$R$1204,$Q130))</f>
        <v/>
      </c>
      <c r="O130" s="28" t="str">
        <f>IF($Q130="","",INDEX(TRANSACTIONS_MASTER!$AB$5:$AB$1204,$Q130))</f>
        <v/>
      </c>
      <c r="P130" s="55" t="str">
        <f>IF($Q130="","",INDEX(TRANSACTIONS_MASTER!$Z$5:$Z$1204,$Q130)&amp;"")</f>
        <v/>
      </c>
      <c r="Q130" s="67" t="str">
        <f>IFERROR(MATCH($C$2&amp;"|"&amp;123,TRANSACTIONS_MASTER!$AE$5:$AE$1204,0),"")</f>
        <v/>
      </c>
      <c r="S130" s="67" t="str">
        <f>IFERROR(MATCH(1,INDEX((TRANSACTIONS_MASTER!$C$5:$C$1204=$C$2)*(TRANSACTIONS_MASTER!$AL$5:$AL$1204=14),0),0),"")</f>
        <v/>
      </c>
      <c r="T130" s="55" t="n"/>
      <c r="U130" s="55" t="str">
        <f>IF($S130="","",INDEX(TRANSACTIONS_MASTER!$K$5:$K$1204,$S130))</f>
        <v/>
      </c>
      <c r="V130" s="25" t="str">
        <f>IF($S130="","",SUMIFS(TRANSACTIONS_MASTER!$L$5:$L$1204,TRANSACTIONS_MASTER!$K$5:$K$1204,$U130,TRANSACTIONS_MASTER!$C$5:$C$1204,$C$2,TRANSACTIONS_MASTER!$U$5:$U$1204,"&lt;&gt;Cancelled"))</f>
        <v/>
      </c>
      <c r="W130" s="26" t="str">
        <f>IF($S130="","",SUMIFS(TRANSACTIONS_MASTER!$Q$5:$Q$1204,TRANSACTIONS_MASTER!$K$5:$K$1204,$U130,TRANSACTIONS_MASTER!$C$5:$C$1204,$C$2))</f>
        <v/>
      </c>
    </row>
    <row r="131">
      <c r="A131" s="81" t="str">
        <f>IF($Q131="","",124)</f>
        <v/>
      </c>
      <c r="B131" s="57" t="str">
        <f>IF($Q131="","",INDEX(TRANSACTIONS_MASTER!$B$5:$B$1204,$Q131))</f>
        <v/>
      </c>
      <c r="C131" s="55" t="str">
        <f>IF($Q131="","",INDEX(TRANSACTIONS_MASTER!$F$5:$F$1204,$Q131))</f>
        <v/>
      </c>
      <c r="D131" s="55" t="str">
        <f>IF($Q131="","",INDEX(TRANSACTIONS_MASTER!$E$5:$E$1204,$Q131))</f>
        <v/>
      </c>
      <c r="E131" s="55" t="str">
        <f>IF($Q131="","",INDEX(TRANSACTIONS_MASTER!$G$5:$G$1204,$Q131)&amp;"")</f>
        <v/>
      </c>
      <c r="F131" s="29" t="str">
        <f>IF($Q131="","",INDEX(TRANSACTIONS_MASTER!$I$5:$I$1204,$Q131))</f>
        <v/>
      </c>
      <c r="G131" s="55" t="str">
        <f>IF($Q131="","",INDEX(TRANSACTIONS_MASTER!$K$5:$K$1204,$Q131))</f>
        <v/>
      </c>
      <c r="H131" s="25" t="str">
        <f>IF($Q131="","",INDEX(TRANSACTIONS_MASTER!$L$5:$L$1204,$Q131))</f>
        <v/>
      </c>
      <c r="I131" s="56" t="str">
        <f>IF($Q131="","",INDEX(TRANSACTIONS_MASTER!$N$5:$N$1204,$Q131))</f>
        <v/>
      </c>
      <c r="J131" s="25" t="str">
        <f>IF($Q131="","",INDEX(TRANSACTIONS_MASTER!$O$5:$O$1204,$Q131))</f>
        <v/>
      </c>
      <c r="K131" s="26" t="str">
        <f>IF($Q131="","",INDEX(TRANSACTIONS_MASTER!$Q$5:$Q$1204,$Q131))</f>
        <v/>
      </c>
      <c r="L131" s="25" t="str">
        <f>IF($Q131="","",INDEX(TRANSACTIONS_MASTER!$P$5:$P$1204,$Q131))</f>
        <v/>
      </c>
      <c r="M131" s="25" t="str">
        <f>IF($Q131="","",INDEX(TRANSACTIONS_MASTER!$AA$5:$AA$1204,$Q131))</f>
        <v/>
      </c>
      <c r="N131" s="25" t="str">
        <f>IF($Q131="","",INDEX(TRANSACTIONS_MASTER!$R$5:$R$1204,$Q131))</f>
        <v/>
      </c>
      <c r="O131" s="28" t="str">
        <f>IF($Q131="","",INDEX(TRANSACTIONS_MASTER!$AB$5:$AB$1204,$Q131))</f>
        <v/>
      </c>
      <c r="P131" s="55" t="str">
        <f>IF($Q131="","",INDEX(TRANSACTIONS_MASTER!$Z$5:$Z$1204,$Q131)&amp;"")</f>
        <v/>
      </c>
      <c r="Q131" s="67" t="str">
        <f>IFERROR(MATCH($C$2&amp;"|"&amp;124,TRANSACTIONS_MASTER!$AE$5:$AE$1204,0),"")</f>
        <v/>
      </c>
      <c r="S131" s="67" t="str">
        <f>IFERROR(MATCH(1,INDEX((TRANSACTIONS_MASTER!$C$5:$C$1204=$C$2)*(TRANSACTIONS_MASTER!$AL$5:$AL$1204=15),0),0),"")</f>
        <v/>
      </c>
      <c r="T131" s="55" t="n"/>
      <c r="U131" s="55" t="str">
        <f>IF($S131="","",INDEX(TRANSACTIONS_MASTER!$K$5:$K$1204,$S131))</f>
        <v/>
      </c>
      <c r="V131" s="25" t="str">
        <f>IF($S131="","",SUMIFS(TRANSACTIONS_MASTER!$L$5:$L$1204,TRANSACTIONS_MASTER!$K$5:$K$1204,$U131,TRANSACTIONS_MASTER!$C$5:$C$1204,$C$2,TRANSACTIONS_MASTER!$U$5:$U$1204,"&lt;&gt;Cancelled"))</f>
        <v/>
      </c>
      <c r="W131" s="26" t="str">
        <f>IF($S131="","",SUMIFS(TRANSACTIONS_MASTER!$Q$5:$Q$1204,TRANSACTIONS_MASTER!$K$5:$K$1204,$U131,TRANSACTIONS_MASTER!$C$5:$C$1204,$C$2))</f>
        <v/>
      </c>
    </row>
    <row r="132">
      <c r="A132" s="81" t="str">
        <f>IF($Q132="","",125)</f>
        <v/>
      </c>
      <c r="B132" s="57" t="str">
        <f>IF($Q132="","",INDEX(TRANSACTIONS_MASTER!$B$5:$B$1204,$Q132))</f>
        <v/>
      </c>
      <c r="C132" s="55" t="str">
        <f>IF($Q132="","",INDEX(TRANSACTIONS_MASTER!$F$5:$F$1204,$Q132))</f>
        <v/>
      </c>
      <c r="D132" s="55" t="str">
        <f>IF($Q132="","",INDEX(TRANSACTIONS_MASTER!$E$5:$E$1204,$Q132))</f>
        <v/>
      </c>
      <c r="E132" s="55" t="str">
        <f>IF($Q132="","",INDEX(TRANSACTIONS_MASTER!$G$5:$G$1204,$Q132)&amp;"")</f>
        <v/>
      </c>
      <c r="F132" s="29" t="str">
        <f>IF($Q132="","",INDEX(TRANSACTIONS_MASTER!$I$5:$I$1204,$Q132))</f>
        <v/>
      </c>
      <c r="G132" s="55" t="str">
        <f>IF($Q132="","",INDEX(TRANSACTIONS_MASTER!$K$5:$K$1204,$Q132))</f>
        <v/>
      </c>
      <c r="H132" s="25" t="str">
        <f>IF($Q132="","",INDEX(TRANSACTIONS_MASTER!$L$5:$L$1204,$Q132))</f>
        <v/>
      </c>
      <c r="I132" s="56" t="str">
        <f>IF($Q132="","",INDEX(TRANSACTIONS_MASTER!$N$5:$N$1204,$Q132))</f>
        <v/>
      </c>
      <c r="J132" s="25" t="str">
        <f>IF($Q132="","",INDEX(TRANSACTIONS_MASTER!$O$5:$O$1204,$Q132))</f>
        <v/>
      </c>
      <c r="K132" s="26" t="str">
        <f>IF($Q132="","",INDEX(TRANSACTIONS_MASTER!$Q$5:$Q$1204,$Q132))</f>
        <v/>
      </c>
      <c r="L132" s="25" t="str">
        <f>IF($Q132="","",INDEX(TRANSACTIONS_MASTER!$P$5:$P$1204,$Q132))</f>
        <v/>
      </c>
      <c r="M132" s="25" t="str">
        <f>IF($Q132="","",INDEX(TRANSACTIONS_MASTER!$AA$5:$AA$1204,$Q132))</f>
        <v/>
      </c>
      <c r="N132" s="25" t="str">
        <f>IF($Q132="","",INDEX(TRANSACTIONS_MASTER!$R$5:$R$1204,$Q132))</f>
        <v/>
      </c>
      <c r="O132" s="28" t="str">
        <f>IF($Q132="","",INDEX(TRANSACTIONS_MASTER!$AB$5:$AB$1204,$Q132))</f>
        <v/>
      </c>
      <c r="P132" s="55" t="str">
        <f>IF($Q132="","",INDEX(TRANSACTIONS_MASTER!$Z$5:$Z$1204,$Q132)&amp;"")</f>
        <v/>
      </c>
      <c r="Q132" s="67" t="str">
        <f>IFERROR(MATCH($C$2&amp;"|"&amp;125,TRANSACTIONS_MASTER!$AE$5:$AE$1204,0),"")</f>
        <v/>
      </c>
      <c r="T132" s="45" t="n"/>
      <c r="U132" s="82" t="inlineStr">
        <is>
          <t>Khác (ngoài danh sách)</t>
        </is>
      </c>
      <c r="V132" s="48">
        <f>MAX(0,SUMIFS(TRANSACTIONS_MASTER!$L$5:$L$1204,TRANSACTIONS_MASTER!$C$5:$C$1204,$C$2,TRANSACTIONS_MASTER!$U$5:$U$1204,"&lt;&gt;Cancelled")-SUM(V117:V131))</f>
        <v>0</v>
      </c>
      <c r="W132" s="48">
        <f>MAX(0,SUMIFS(TRANSACTIONS_MASTER!$Q$5:$Q$1204,TRANSACTIONS_MASTER!$C$5:$C$1204,$C$2)-SUM(W117:W131))</f>
        <v>0</v>
      </c>
    </row>
    <row r="133">
      <c r="A133" s="81" t="str">
        <f>IF($Q133="","",126)</f>
        <v/>
      </c>
      <c r="B133" s="57" t="str">
        <f>IF($Q133="","",INDEX(TRANSACTIONS_MASTER!$B$5:$B$1204,$Q133))</f>
        <v/>
      </c>
      <c r="C133" s="55" t="str">
        <f>IF($Q133="","",INDEX(TRANSACTIONS_MASTER!$F$5:$F$1204,$Q133))</f>
        <v/>
      </c>
      <c r="D133" s="55" t="str">
        <f>IF($Q133="","",INDEX(TRANSACTIONS_MASTER!$E$5:$E$1204,$Q133))</f>
        <v/>
      </c>
      <c r="E133" s="55" t="str">
        <f>IF($Q133="","",INDEX(TRANSACTIONS_MASTER!$G$5:$G$1204,$Q133)&amp;"")</f>
        <v/>
      </c>
      <c r="F133" s="29" t="str">
        <f>IF($Q133="","",INDEX(TRANSACTIONS_MASTER!$I$5:$I$1204,$Q133))</f>
        <v/>
      </c>
      <c r="G133" s="55" t="str">
        <f>IF($Q133="","",INDEX(TRANSACTIONS_MASTER!$K$5:$K$1204,$Q133))</f>
        <v/>
      </c>
      <c r="H133" s="25" t="str">
        <f>IF($Q133="","",INDEX(TRANSACTIONS_MASTER!$L$5:$L$1204,$Q133))</f>
        <v/>
      </c>
      <c r="I133" s="56" t="str">
        <f>IF($Q133="","",INDEX(TRANSACTIONS_MASTER!$N$5:$N$1204,$Q133))</f>
        <v/>
      </c>
      <c r="J133" s="25" t="str">
        <f>IF($Q133="","",INDEX(TRANSACTIONS_MASTER!$O$5:$O$1204,$Q133))</f>
        <v/>
      </c>
      <c r="K133" s="26" t="str">
        <f>IF($Q133="","",INDEX(TRANSACTIONS_MASTER!$Q$5:$Q$1204,$Q133))</f>
        <v/>
      </c>
      <c r="L133" s="25" t="str">
        <f>IF($Q133="","",INDEX(TRANSACTIONS_MASTER!$P$5:$P$1204,$Q133))</f>
        <v/>
      </c>
      <c r="M133" s="25" t="str">
        <f>IF($Q133="","",INDEX(TRANSACTIONS_MASTER!$AA$5:$AA$1204,$Q133))</f>
        <v/>
      </c>
      <c r="N133" s="25" t="str">
        <f>IF($Q133="","",INDEX(TRANSACTIONS_MASTER!$R$5:$R$1204,$Q133))</f>
        <v/>
      </c>
      <c r="O133" s="28" t="str">
        <f>IF($Q133="","",INDEX(TRANSACTIONS_MASTER!$AB$5:$AB$1204,$Q133))</f>
        <v/>
      </c>
      <c r="P133" s="55" t="str">
        <f>IF($Q133="","",INDEX(TRANSACTIONS_MASTER!$Z$5:$Z$1204,$Q133)&amp;"")</f>
        <v/>
      </c>
      <c r="Q133" s="67" t="str">
        <f>IFERROR(MATCH($C$2&amp;"|"&amp;126,TRANSACTIONS_MASTER!$AE$5:$AE$1204,0),"")</f>
        <v/>
      </c>
      <c r="T133" s="68" t="n"/>
      <c r="U133" s="69" t="inlineStr">
        <is>
          <t>TỔNG</t>
        </is>
      </c>
      <c r="V133" s="31">
        <f>SUM(V117:V132)</f>
        <v>0</v>
      </c>
      <c r="W133" s="31">
        <f>SUM(W117:W132)</f>
        <v>0</v>
      </c>
    </row>
    <row r="134">
      <c r="A134" s="81" t="str">
        <f>IF($Q134="","",127)</f>
        <v/>
      </c>
      <c r="B134" s="57" t="str">
        <f>IF($Q134="","",INDEX(TRANSACTIONS_MASTER!$B$5:$B$1204,$Q134))</f>
        <v/>
      </c>
      <c r="C134" s="55" t="str">
        <f>IF($Q134="","",INDEX(TRANSACTIONS_MASTER!$F$5:$F$1204,$Q134))</f>
        <v/>
      </c>
      <c r="D134" s="55" t="str">
        <f>IF($Q134="","",INDEX(TRANSACTIONS_MASTER!$E$5:$E$1204,$Q134))</f>
        <v/>
      </c>
      <c r="E134" s="55" t="str">
        <f>IF($Q134="","",INDEX(TRANSACTIONS_MASTER!$G$5:$G$1204,$Q134)&amp;"")</f>
        <v/>
      </c>
      <c r="F134" s="29" t="str">
        <f>IF($Q134="","",INDEX(TRANSACTIONS_MASTER!$I$5:$I$1204,$Q134))</f>
        <v/>
      </c>
      <c r="G134" s="55" t="str">
        <f>IF($Q134="","",INDEX(TRANSACTIONS_MASTER!$K$5:$K$1204,$Q134))</f>
        <v/>
      </c>
      <c r="H134" s="25" t="str">
        <f>IF($Q134="","",INDEX(TRANSACTIONS_MASTER!$L$5:$L$1204,$Q134))</f>
        <v/>
      </c>
      <c r="I134" s="56" t="str">
        <f>IF($Q134="","",INDEX(TRANSACTIONS_MASTER!$N$5:$N$1204,$Q134))</f>
        <v/>
      </c>
      <c r="J134" s="25" t="str">
        <f>IF($Q134="","",INDEX(TRANSACTIONS_MASTER!$O$5:$O$1204,$Q134))</f>
        <v/>
      </c>
      <c r="K134" s="26" t="str">
        <f>IF($Q134="","",INDEX(TRANSACTIONS_MASTER!$Q$5:$Q$1204,$Q134))</f>
        <v/>
      </c>
      <c r="L134" s="25" t="str">
        <f>IF($Q134="","",INDEX(TRANSACTIONS_MASTER!$P$5:$P$1204,$Q134))</f>
        <v/>
      </c>
      <c r="M134" s="25" t="str">
        <f>IF($Q134="","",INDEX(TRANSACTIONS_MASTER!$AA$5:$AA$1204,$Q134))</f>
        <v/>
      </c>
      <c r="N134" s="25" t="str">
        <f>IF($Q134="","",INDEX(TRANSACTIONS_MASTER!$R$5:$R$1204,$Q134))</f>
        <v/>
      </c>
      <c r="O134" s="28" t="str">
        <f>IF($Q134="","",INDEX(TRANSACTIONS_MASTER!$AB$5:$AB$1204,$Q134))</f>
        <v/>
      </c>
      <c r="P134" s="55" t="str">
        <f>IF($Q134="","",INDEX(TRANSACTIONS_MASTER!$Z$5:$Z$1204,$Q134)&amp;"")</f>
        <v/>
      </c>
      <c r="Q134" s="67" t="str">
        <f>IFERROR(MATCH($C$2&amp;"|"&amp;127,TRANSACTIONS_MASTER!$AE$5:$AE$1204,0),"")</f>
        <v/>
      </c>
    </row>
    <row r="135">
      <c r="A135" s="81" t="str">
        <f>IF($Q135="","",128)</f>
        <v/>
      </c>
      <c r="B135" s="57" t="str">
        <f>IF($Q135="","",INDEX(TRANSACTIONS_MASTER!$B$5:$B$1204,$Q135))</f>
        <v/>
      </c>
      <c r="C135" s="55" t="str">
        <f>IF($Q135="","",INDEX(TRANSACTIONS_MASTER!$F$5:$F$1204,$Q135))</f>
        <v/>
      </c>
      <c r="D135" s="55" t="str">
        <f>IF($Q135="","",INDEX(TRANSACTIONS_MASTER!$E$5:$E$1204,$Q135))</f>
        <v/>
      </c>
      <c r="E135" s="55" t="str">
        <f>IF($Q135="","",INDEX(TRANSACTIONS_MASTER!$G$5:$G$1204,$Q135)&amp;"")</f>
        <v/>
      </c>
      <c r="F135" s="29" t="str">
        <f>IF($Q135="","",INDEX(TRANSACTIONS_MASTER!$I$5:$I$1204,$Q135))</f>
        <v/>
      </c>
      <c r="G135" s="55" t="str">
        <f>IF($Q135="","",INDEX(TRANSACTIONS_MASTER!$K$5:$K$1204,$Q135))</f>
        <v/>
      </c>
      <c r="H135" s="25" t="str">
        <f>IF($Q135="","",INDEX(TRANSACTIONS_MASTER!$L$5:$L$1204,$Q135))</f>
        <v/>
      </c>
      <c r="I135" s="56" t="str">
        <f>IF($Q135="","",INDEX(TRANSACTIONS_MASTER!$N$5:$N$1204,$Q135))</f>
        <v/>
      </c>
      <c r="J135" s="25" t="str">
        <f>IF($Q135="","",INDEX(TRANSACTIONS_MASTER!$O$5:$O$1204,$Q135))</f>
        <v/>
      </c>
      <c r="K135" s="26" t="str">
        <f>IF($Q135="","",INDEX(TRANSACTIONS_MASTER!$Q$5:$Q$1204,$Q135))</f>
        <v/>
      </c>
      <c r="L135" s="25" t="str">
        <f>IF($Q135="","",INDEX(TRANSACTIONS_MASTER!$P$5:$P$1204,$Q135))</f>
        <v/>
      </c>
      <c r="M135" s="25" t="str">
        <f>IF($Q135="","",INDEX(TRANSACTIONS_MASTER!$AA$5:$AA$1204,$Q135))</f>
        <v/>
      </c>
      <c r="N135" s="25" t="str">
        <f>IF($Q135="","",INDEX(TRANSACTIONS_MASTER!$R$5:$R$1204,$Q135))</f>
        <v/>
      </c>
      <c r="O135" s="28" t="str">
        <f>IF($Q135="","",INDEX(TRANSACTIONS_MASTER!$AB$5:$AB$1204,$Q135))</f>
        <v/>
      </c>
      <c r="P135" s="55" t="str">
        <f>IF($Q135="","",INDEX(TRANSACTIONS_MASTER!$Z$5:$Z$1204,$Q135)&amp;"")</f>
        <v/>
      </c>
      <c r="Q135" s="67" t="str">
        <f>IFERROR(MATCH($C$2&amp;"|"&amp;128,TRANSACTIONS_MASTER!$AE$5:$AE$1204,0),"")</f>
        <v/>
      </c>
    </row>
    <row r="136" ht="22" customHeight="1">
      <c r="A136" s="81" t="str">
        <f>IF($Q136="","",129)</f>
        <v/>
      </c>
      <c r="B136" s="57" t="str">
        <f>IF($Q136="","",INDEX(TRANSACTIONS_MASTER!$B$5:$B$1204,$Q136))</f>
        <v/>
      </c>
      <c r="C136" s="55" t="str">
        <f>IF($Q136="","",INDEX(TRANSACTIONS_MASTER!$F$5:$F$1204,$Q136))</f>
        <v/>
      </c>
      <c r="D136" s="55" t="str">
        <f>IF($Q136="","",INDEX(TRANSACTIONS_MASTER!$E$5:$E$1204,$Q136))</f>
        <v/>
      </c>
      <c r="E136" s="55" t="str">
        <f>IF($Q136="","",INDEX(TRANSACTIONS_MASTER!$G$5:$G$1204,$Q136)&amp;"")</f>
        <v/>
      </c>
      <c r="F136" s="29" t="str">
        <f>IF($Q136="","",INDEX(TRANSACTIONS_MASTER!$I$5:$I$1204,$Q136))</f>
        <v/>
      </c>
      <c r="G136" s="55" t="str">
        <f>IF($Q136="","",INDEX(TRANSACTIONS_MASTER!$K$5:$K$1204,$Q136))</f>
        <v/>
      </c>
      <c r="H136" s="25" t="str">
        <f>IF($Q136="","",INDEX(TRANSACTIONS_MASTER!$L$5:$L$1204,$Q136))</f>
        <v/>
      </c>
      <c r="I136" s="56" t="str">
        <f>IF($Q136="","",INDEX(TRANSACTIONS_MASTER!$N$5:$N$1204,$Q136))</f>
        <v/>
      </c>
      <c r="J136" s="25" t="str">
        <f>IF($Q136="","",INDEX(TRANSACTIONS_MASTER!$O$5:$O$1204,$Q136))</f>
        <v/>
      </c>
      <c r="K136" s="26" t="str">
        <f>IF($Q136="","",INDEX(TRANSACTIONS_MASTER!$Q$5:$Q$1204,$Q136))</f>
        <v/>
      </c>
      <c r="L136" s="25" t="str">
        <f>IF($Q136="","",INDEX(TRANSACTIONS_MASTER!$P$5:$P$1204,$Q136))</f>
        <v/>
      </c>
      <c r="M136" s="25" t="str">
        <f>IF($Q136="","",INDEX(TRANSACTIONS_MASTER!$AA$5:$AA$1204,$Q136))</f>
        <v/>
      </c>
      <c r="N136" s="25" t="str">
        <f>IF($Q136="","",INDEX(TRANSACTIONS_MASTER!$R$5:$R$1204,$Q136))</f>
        <v/>
      </c>
      <c r="O136" s="28" t="str">
        <f>IF($Q136="","",INDEX(TRANSACTIONS_MASTER!$AB$5:$AB$1204,$Q136))</f>
        <v/>
      </c>
      <c r="P136" s="55" t="str">
        <f>IF($Q136="","",INDEX(TRANSACTIONS_MASTER!$Z$5:$Z$1204,$Q136)&amp;"")</f>
        <v/>
      </c>
      <c r="Q136" s="67" t="str">
        <f>IFERROR(MATCH($C$2&amp;"|"&amp;129,TRANSACTIONS_MASTER!$AE$5:$AE$1204,0),"")</f>
        <v/>
      </c>
      <c r="T136" s="19" t="inlineStr">
        <is>
          <t>THEO MCC</t>
        </is>
      </c>
      <c r="U136" s="20" t="n"/>
      <c r="V136" s="20" t="n"/>
      <c r="W136" s="20" t="n"/>
      <c r="X136" s="20" t="n"/>
      <c r="Y136" s="20" t="n"/>
      <c r="Z136" s="20" t="n"/>
      <c r="AA136" s="20" t="n"/>
    </row>
    <row r="137" ht="28" customHeight="1">
      <c r="A137" s="81" t="str">
        <f>IF($Q137="","",130)</f>
        <v/>
      </c>
      <c r="B137" s="57" t="str">
        <f>IF($Q137="","",INDEX(TRANSACTIONS_MASTER!$B$5:$B$1204,$Q137))</f>
        <v/>
      </c>
      <c r="C137" s="55" t="str">
        <f>IF($Q137="","",INDEX(TRANSACTIONS_MASTER!$F$5:$F$1204,$Q137))</f>
        <v/>
      </c>
      <c r="D137" s="55" t="str">
        <f>IF($Q137="","",INDEX(TRANSACTIONS_MASTER!$E$5:$E$1204,$Q137))</f>
        <v/>
      </c>
      <c r="E137" s="55" t="str">
        <f>IF($Q137="","",INDEX(TRANSACTIONS_MASTER!$G$5:$G$1204,$Q137)&amp;"")</f>
        <v/>
      </c>
      <c r="F137" s="29" t="str">
        <f>IF($Q137="","",INDEX(TRANSACTIONS_MASTER!$I$5:$I$1204,$Q137))</f>
        <v/>
      </c>
      <c r="G137" s="55" t="str">
        <f>IF($Q137="","",INDEX(TRANSACTIONS_MASTER!$K$5:$K$1204,$Q137))</f>
        <v/>
      </c>
      <c r="H137" s="25" t="str">
        <f>IF($Q137="","",INDEX(TRANSACTIONS_MASTER!$L$5:$L$1204,$Q137))</f>
        <v/>
      </c>
      <c r="I137" s="56" t="str">
        <f>IF($Q137="","",INDEX(TRANSACTIONS_MASTER!$N$5:$N$1204,$Q137))</f>
        <v/>
      </c>
      <c r="J137" s="25" t="str">
        <f>IF($Q137="","",INDEX(TRANSACTIONS_MASTER!$O$5:$O$1204,$Q137))</f>
        <v/>
      </c>
      <c r="K137" s="26" t="str">
        <f>IF($Q137="","",INDEX(TRANSACTIONS_MASTER!$Q$5:$Q$1204,$Q137))</f>
        <v/>
      </c>
      <c r="L137" s="25" t="str">
        <f>IF($Q137="","",INDEX(TRANSACTIONS_MASTER!$P$5:$P$1204,$Q137))</f>
        <v/>
      </c>
      <c r="M137" s="25" t="str">
        <f>IF($Q137="","",INDEX(TRANSACTIONS_MASTER!$AA$5:$AA$1204,$Q137))</f>
        <v/>
      </c>
      <c r="N137" s="25" t="str">
        <f>IF($Q137="","",INDEX(TRANSACTIONS_MASTER!$R$5:$R$1204,$Q137))</f>
        <v/>
      </c>
      <c r="O137" s="28" t="str">
        <f>IF($Q137="","",INDEX(TRANSACTIONS_MASTER!$AB$5:$AB$1204,$Q137))</f>
        <v/>
      </c>
      <c r="P137" s="55" t="str">
        <f>IF($Q137="","",INDEX(TRANSACTIONS_MASTER!$Z$5:$Z$1204,$Q137)&amp;"")</f>
        <v/>
      </c>
      <c r="Q137" s="67" t="str">
        <f>IFERROR(MATCH($C$2&amp;"|"&amp;130,TRANSACTIONS_MASTER!$AE$5:$AE$1204,0),"")</f>
        <v/>
      </c>
      <c r="S137" s="21" t="inlineStr">
        <is>
          <t>#</t>
        </is>
      </c>
      <c r="T137" s="21" t="inlineStr">
        <is>
          <t>MCC</t>
        </is>
      </c>
      <c r="U137" s="21" t="inlineStr">
        <is>
          <t>Tên MCC</t>
        </is>
      </c>
      <c r="V137" s="21" t="inlineStr">
        <is>
          <t>Chi tiêu</t>
        </is>
      </c>
      <c r="W137" s="21" t="inlineStr">
        <is>
          <t>Cashback</t>
        </is>
      </c>
    </row>
    <row r="138">
      <c r="A138" s="81" t="str">
        <f>IF($Q138="","",131)</f>
        <v/>
      </c>
      <c r="B138" s="57" t="str">
        <f>IF($Q138="","",INDEX(TRANSACTIONS_MASTER!$B$5:$B$1204,$Q138))</f>
        <v/>
      </c>
      <c r="C138" s="55" t="str">
        <f>IF($Q138="","",INDEX(TRANSACTIONS_MASTER!$F$5:$F$1204,$Q138))</f>
        <v/>
      </c>
      <c r="D138" s="55" t="str">
        <f>IF($Q138="","",INDEX(TRANSACTIONS_MASTER!$E$5:$E$1204,$Q138))</f>
        <v/>
      </c>
      <c r="E138" s="55" t="str">
        <f>IF($Q138="","",INDEX(TRANSACTIONS_MASTER!$G$5:$G$1204,$Q138)&amp;"")</f>
        <v/>
      </c>
      <c r="F138" s="29" t="str">
        <f>IF($Q138="","",INDEX(TRANSACTIONS_MASTER!$I$5:$I$1204,$Q138))</f>
        <v/>
      </c>
      <c r="G138" s="55" t="str">
        <f>IF($Q138="","",INDEX(TRANSACTIONS_MASTER!$K$5:$K$1204,$Q138))</f>
        <v/>
      </c>
      <c r="H138" s="25" t="str">
        <f>IF($Q138="","",INDEX(TRANSACTIONS_MASTER!$L$5:$L$1204,$Q138))</f>
        <v/>
      </c>
      <c r="I138" s="56" t="str">
        <f>IF($Q138="","",INDEX(TRANSACTIONS_MASTER!$N$5:$N$1204,$Q138))</f>
        <v/>
      </c>
      <c r="J138" s="25" t="str">
        <f>IF($Q138="","",INDEX(TRANSACTIONS_MASTER!$O$5:$O$1204,$Q138))</f>
        <v/>
      </c>
      <c r="K138" s="26" t="str">
        <f>IF($Q138="","",INDEX(TRANSACTIONS_MASTER!$Q$5:$Q$1204,$Q138))</f>
        <v/>
      </c>
      <c r="L138" s="25" t="str">
        <f>IF($Q138="","",INDEX(TRANSACTIONS_MASTER!$P$5:$P$1204,$Q138))</f>
        <v/>
      </c>
      <c r="M138" s="25" t="str">
        <f>IF($Q138="","",INDEX(TRANSACTIONS_MASTER!$AA$5:$AA$1204,$Q138))</f>
        <v/>
      </c>
      <c r="N138" s="25" t="str">
        <f>IF($Q138="","",INDEX(TRANSACTIONS_MASTER!$R$5:$R$1204,$Q138))</f>
        <v/>
      </c>
      <c r="O138" s="28" t="str">
        <f>IF($Q138="","",INDEX(TRANSACTIONS_MASTER!$AB$5:$AB$1204,$Q138))</f>
        <v/>
      </c>
      <c r="P138" s="55" t="str">
        <f>IF($Q138="","",INDEX(TRANSACTIONS_MASTER!$Z$5:$Z$1204,$Q138)&amp;"")</f>
        <v/>
      </c>
      <c r="Q138" s="67" t="str">
        <f>IFERROR(MATCH($C$2&amp;"|"&amp;131,TRANSACTIONS_MASTER!$AE$5:$AE$1204,0),"")</f>
        <v/>
      </c>
      <c r="S138" s="67" t="str">
        <f>IFERROR(MATCH(1,INDEX((TRANSACTIONS_MASTER!$C$5:$C$1204=$C$2)*(TRANSACTIONS_MASTER!$AJ$5:$AJ$1204=1),0),0),"")</f>
        <v/>
      </c>
      <c r="T138" s="29" t="str">
        <f>IF($S138="","",INDEX(TRANSACTIONS_MASTER!$I$5:$I$1204,$S138))</f>
        <v/>
      </c>
      <c r="U138" s="55" t="str">
        <f>IF($S138="","",INDEX(TRANSACTIONS_MASTER!$J$5:$J$1204,$S138))</f>
        <v/>
      </c>
      <c r="V138" s="25" t="str">
        <f>IF($S138="","",SUMIFS(TRANSACTIONS_MASTER!$L$5:$L$1204,TRANSACTIONS_MASTER!$I$5:$I$1204,$T138,TRANSACTIONS_MASTER!$C$5:$C$1204,$C$2,TRANSACTIONS_MASTER!$U$5:$U$1204,"&lt;&gt;Cancelled"))</f>
        <v/>
      </c>
      <c r="W138" s="26" t="str">
        <f>IF($S138="","",SUMIFS(TRANSACTIONS_MASTER!$Q$5:$Q$1204,TRANSACTIONS_MASTER!$I$5:$I$1204,$T138,TRANSACTIONS_MASTER!$C$5:$C$1204,$C$2))</f>
        <v/>
      </c>
    </row>
    <row r="139">
      <c r="A139" s="81" t="str">
        <f>IF($Q139="","",132)</f>
        <v/>
      </c>
      <c r="B139" s="57" t="str">
        <f>IF($Q139="","",INDEX(TRANSACTIONS_MASTER!$B$5:$B$1204,$Q139))</f>
        <v/>
      </c>
      <c r="C139" s="55" t="str">
        <f>IF($Q139="","",INDEX(TRANSACTIONS_MASTER!$F$5:$F$1204,$Q139))</f>
        <v/>
      </c>
      <c r="D139" s="55" t="str">
        <f>IF($Q139="","",INDEX(TRANSACTIONS_MASTER!$E$5:$E$1204,$Q139))</f>
        <v/>
      </c>
      <c r="E139" s="55" t="str">
        <f>IF($Q139="","",INDEX(TRANSACTIONS_MASTER!$G$5:$G$1204,$Q139)&amp;"")</f>
        <v/>
      </c>
      <c r="F139" s="29" t="str">
        <f>IF($Q139="","",INDEX(TRANSACTIONS_MASTER!$I$5:$I$1204,$Q139))</f>
        <v/>
      </c>
      <c r="G139" s="55" t="str">
        <f>IF($Q139="","",INDEX(TRANSACTIONS_MASTER!$K$5:$K$1204,$Q139))</f>
        <v/>
      </c>
      <c r="H139" s="25" t="str">
        <f>IF($Q139="","",INDEX(TRANSACTIONS_MASTER!$L$5:$L$1204,$Q139))</f>
        <v/>
      </c>
      <c r="I139" s="56" t="str">
        <f>IF($Q139="","",INDEX(TRANSACTIONS_MASTER!$N$5:$N$1204,$Q139))</f>
        <v/>
      </c>
      <c r="J139" s="25" t="str">
        <f>IF($Q139="","",INDEX(TRANSACTIONS_MASTER!$O$5:$O$1204,$Q139))</f>
        <v/>
      </c>
      <c r="K139" s="26" t="str">
        <f>IF($Q139="","",INDEX(TRANSACTIONS_MASTER!$Q$5:$Q$1204,$Q139))</f>
        <v/>
      </c>
      <c r="L139" s="25" t="str">
        <f>IF($Q139="","",INDEX(TRANSACTIONS_MASTER!$P$5:$P$1204,$Q139))</f>
        <v/>
      </c>
      <c r="M139" s="25" t="str">
        <f>IF($Q139="","",INDEX(TRANSACTIONS_MASTER!$AA$5:$AA$1204,$Q139))</f>
        <v/>
      </c>
      <c r="N139" s="25" t="str">
        <f>IF($Q139="","",INDEX(TRANSACTIONS_MASTER!$R$5:$R$1204,$Q139))</f>
        <v/>
      </c>
      <c r="O139" s="28" t="str">
        <f>IF($Q139="","",INDEX(TRANSACTIONS_MASTER!$AB$5:$AB$1204,$Q139))</f>
        <v/>
      </c>
      <c r="P139" s="55" t="str">
        <f>IF($Q139="","",INDEX(TRANSACTIONS_MASTER!$Z$5:$Z$1204,$Q139)&amp;"")</f>
        <v/>
      </c>
      <c r="Q139" s="67" t="str">
        <f>IFERROR(MATCH($C$2&amp;"|"&amp;132,TRANSACTIONS_MASTER!$AE$5:$AE$1204,0),"")</f>
        <v/>
      </c>
      <c r="S139" s="67" t="str">
        <f>IFERROR(MATCH(1,INDEX((TRANSACTIONS_MASTER!$C$5:$C$1204=$C$2)*(TRANSACTIONS_MASTER!$AJ$5:$AJ$1204=2),0),0),"")</f>
        <v/>
      </c>
      <c r="T139" s="29" t="str">
        <f>IF($S139="","",INDEX(TRANSACTIONS_MASTER!$I$5:$I$1204,$S139))</f>
        <v/>
      </c>
      <c r="U139" s="55" t="str">
        <f>IF($S139="","",INDEX(TRANSACTIONS_MASTER!$J$5:$J$1204,$S139))</f>
        <v/>
      </c>
      <c r="V139" s="25" t="str">
        <f>IF($S139="","",SUMIFS(TRANSACTIONS_MASTER!$L$5:$L$1204,TRANSACTIONS_MASTER!$I$5:$I$1204,$T139,TRANSACTIONS_MASTER!$C$5:$C$1204,$C$2,TRANSACTIONS_MASTER!$U$5:$U$1204,"&lt;&gt;Cancelled"))</f>
        <v/>
      </c>
      <c r="W139" s="26" t="str">
        <f>IF($S139="","",SUMIFS(TRANSACTIONS_MASTER!$Q$5:$Q$1204,TRANSACTIONS_MASTER!$I$5:$I$1204,$T139,TRANSACTIONS_MASTER!$C$5:$C$1204,$C$2))</f>
        <v/>
      </c>
    </row>
    <row r="140">
      <c r="A140" s="81" t="str">
        <f>IF($Q140="","",133)</f>
        <v/>
      </c>
      <c r="B140" s="57" t="str">
        <f>IF($Q140="","",INDEX(TRANSACTIONS_MASTER!$B$5:$B$1204,$Q140))</f>
        <v/>
      </c>
      <c r="C140" s="55" t="str">
        <f>IF($Q140="","",INDEX(TRANSACTIONS_MASTER!$F$5:$F$1204,$Q140))</f>
        <v/>
      </c>
      <c r="D140" s="55" t="str">
        <f>IF($Q140="","",INDEX(TRANSACTIONS_MASTER!$E$5:$E$1204,$Q140))</f>
        <v/>
      </c>
      <c r="E140" s="55" t="str">
        <f>IF($Q140="","",INDEX(TRANSACTIONS_MASTER!$G$5:$G$1204,$Q140)&amp;"")</f>
        <v/>
      </c>
      <c r="F140" s="29" t="str">
        <f>IF($Q140="","",INDEX(TRANSACTIONS_MASTER!$I$5:$I$1204,$Q140))</f>
        <v/>
      </c>
      <c r="G140" s="55" t="str">
        <f>IF($Q140="","",INDEX(TRANSACTIONS_MASTER!$K$5:$K$1204,$Q140))</f>
        <v/>
      </c>
      <c r="H140" s="25" t="str">
        <f>IF($Q140="","",INDEX(TRANSACTIONS_MASTER!$L$5:$L$1204,$Q140))</f>
        <v/>
      </c>
      <c r="I140" s="56" t="str">
        <f>IF($Q140="","",INDEX(TRANSACTIONS_MASTER!$N$5:$N$1204,$Q140))</f>
        <v/>
      </c>
      <c r="J140" s="25" t="str">
        <f>IF($Q140="","",INDEX(TRANSACTIONS_MASTER!$O$5:$O$1204,$Q140))</f>
        <v/>
      </c>
      <c r="K140" s="26" t="str">
        <f>IF($Q140="","",INDEX(TRANSACTIONS_MASTER!$Q$5:$Q$1204,$Q140))</f>
        <v/>
      </c>
      <c r="L140" s="25" t="str">
        <f>IF($Q140="","",INDEX(TRANSACTIONS_MASTER!$P$5:$P$1204,$Q140))</f>
        <v/>
      </c>
      <c r="M140" s="25" t="str">
        <f>IF($Q140="","",INDEX(TRANSACTIONS_MASTER!$AA$5:$AA$1204,$Q140))</f>
        <v/>
      </c>
      <c r="N140" s="25" t="str">
        <f>IF($Q140="","",INDEX(TRANSACTIONS_MASTER!$R$5:$R$1204,$Q140))</f>
        <v/>
      </c>
      <c r="O140" s="28" t="str">
        <f>IF($Q140="","",INDEX(TRANSACTIONS_MASTER!$AB$5:$AB$1204,$Q140))</f>
        <v/>
      </c>
      <c r="P140" s="55" t="str">
        <f>IF($Q140="","",INDEX(TRANSACTIONS_MASTER!$Z$5:$Z$1204,$Q140)&amp;"")</f>
        <v/>
      </c>
      <c r="Q140" s="67" t="str">
        <f>IFERROR(MATCH($C$2&amp;"|"&amp;133,TRANSACTIONS_MASTER!$AE$5:$AE$1204,0),"")</f>
        <v/>
      </c>
      <c r="S140" s="67" t="str">
        <f>IFERROR(MATCH(1,INDEX((TRANSACTIONS_MASTER!$C$5:$C$1204=$C$2)*(TRANSACTIONS_MASTER!$AJ$5:$AJ$1204=3),0),0),"")</f>
        <v/>
      </c>
      <c r="T140" s="29" t="str">
        <f>IF($S140="","",INDEX(TRANSACTIONS_MASTER!$I$5:$I$1204,$S140))</f>
        <v/>
      </c>
      <c r="U140" s="55" t="str">
        <f>IF($S140="","",INDEX(TRANSACTIONS_MASTER!$J$5:$J$1204,$S140))</f>
        <v/>
      </c>
      <c r="V140" s="25" t="str">
        <f>IF($S140="","",SUMIFS(TRANSACTIONS_MASTER!$L$5:$L$1204,TRANSACTIONS_MASTER!$I$5:$I$1204,$T140,TRANSACTIONS_MASTER!$C$5:$C$1204,$C$2,TRANSACTIONS_MASTER!$U$5:$U$1204,"&lt;&gt;Cancelled"))</f>
        <v/>
      </c>
      <c r="W140" s="26" t="str">
        <f>IF($S140="","",SUMIFS(TRANSACTIONS_MASTER!$Q$5:$Q$1204,TRANSACTIONS_MASTER!$I$5:$I$1204,$T140,TRANSACTIONS_MASTER!$C$5:$C$1204,$C$2))</f>
        <v/>
      </c>
    </row>
    <row r="141">
      <c r="A141" s="81" t="str">
        <f>IF($Q141="","",134)</f>
        <v/>
      </c>
      <c r="B141" s="57" t="str">
        <f>IF($Q141="","",INDEX(TRANSACTIONS_MASTER!$B$5:$B$1204,$Q141))</f>
        <v/>
      </c>
      <c r="C141" s="55" t="str">
        <f>IF($Q141="","",INDEX(TRANSACTIONS_MASTER!$F$5:$F$1204,$Q141))</f>
        <v/>
      </c>
      <c r="D141" s="55" t="str">
        <f>IF($Q141="","",INDEX(TRANSACTIONS_MASTER!$E$5:$E$1204,$Q141))</f>
        <v/>
      </c>
      <c r="E141" s="55" t="str">
        <f>IF($Q141="","",INDEX(TRANSACTIONS_MASTER!$G$5:$G$1204,$Q141)&amp;"")</f>
        <v/>
      </c>
      <c r="F141" s="29" t="str">
        <f>IF($Q141="","",INDEX(TRANSACTIONS_MASTER!$I$5:$I$1204,$Q141))</f>
        <v/>
      </c>
      <c r="G141" s="55" t="str">
        <f>IF($Q141="","",INDEX(TRANSACTIONS_MASTER!$K$5:$K$1204,$Q141))</f>
        <v/>
      </c>
      <c r="H141" s="25" t="str">
        <f>IF($Q141="","",INDEX(TRANSACTIONS_MASTER!$L$5:$L$1204,$Q141))</f>
        <v/>
      </c>
      <c r="I141" s="56" t="str">
        <f>IF($Q141="","",INDEX(TRANSACTIONS_MASTER!$N$5:$N$1204,$Q141))</f>
        <v/>
      </c>
      <c r="J141" s="25" t="str">
        <f>IF($Q141="","",INDEX(TRANSACTIONS_MASTER!$O$5:$O$1204,$Q141))</f>
        <v/>
      </c>
      <c r="K141" s="26" t="str">
        <f>IF($Q141="","",INDEX(TRANSACTIONS_MASTER!$Q$5:$Q$1204,$Q141))</f>
        <v/>
      </c>
      <c r="L141" s="25" t="str">
        <f>IF($Q141="","",INDEX(TRANSACTIONS_MASTER!$P$5:$P$1204,$Q141))</f>
        <v/>
      </c>
      <c r="M141" s="25" t="str">
        <f>IF($Q141="","",INDEX(TRANSACTIONS_MASTER!$AA$5:$AA$1204,$Q141))</f>
        <v/>
      </c>
      <c r="N141" s="25" t="str">
        <f>IF($Q141="","",INDEX(TRANSACTIONS_MASTER!$R$5:$R$1204,$Q141))</f>
        <v/>
      </c>
      <c r="O141" s="28" t="str">
        <f>IF($Q141="","",INDEX(TRANSACTIONS_MASTER!$AB$5:$AB$1204,$Q141))</f>
        <v/>
      </c>
      <c r="P141" s="55" t="str">
        <f>IF($Q141="","",INDEX(TRANSACTIONS_MASTER!$Z$5:$Z$1204,$Q141)&amp;"")</f>
        <v/>
      </c>
      <c r="Q141" s="67" t="str">
        <f>IFERROR(MATCH($C$2&amp;"|"&amp;134,TRANSACTIONS_MASTER!$AE$5:$AE$1204,0),"")</f>
        <v/>
      </c>
      <c r="S141" s="67" t="str">
        <f>IFERROR(MATCH(1,INDEX((TRANSACTIONS_MASTER!$C$5:$C$1204=$C$2)*(TRANSACTIONS_MASTER!$AJ$5:$AJ$1204=4),0),0),"")</f>
        <v/>
      </c>
      <c r="T141" s="29" t="str">
        <f>IF($S141="","",INDEX(TRANSACTIONS_MASTER!$I$5:$I$1204,$S141))</f>
        <v/>
      </c>
      <c r="U141" s="55" t="str">
        <f>IF($S141="","",INDEX(TRANSACTIONS_MASTER!$J$5:$J$1204,$S141))</f>
        <v/>
      </c>
      <c r="V141" s="25" t="str">
        <f>IF($S141="","",SUMIFS(TRANSACTIONS_MASTER!$L$5:$L$1204,TRANSACTIONS_MASTER!$I$5:$I$1204,$T141,TRANSACTIONS_MASTER!$C$5:$C$1204,$C$2,TRANSACTIONS_MASTER!$U$5:$U$1204,"&lt;&gt;Cancelled"))</f>
        <v/>
      </c>
      <c r="W141" s="26" t="str">
        <f>IF($S141="","",SUMIFS(TRANSACTIONS_MASTER!$Q$5:$Q$1204,TRANSACTIONS_MASTER!$I$5:$I$1204,$T141,TRANSACTIONS_MASTER!$C$5:$C$1204,$C$2))</f>
        <v/>
      </c>
    </row>
    <row r="142">
      <c r="A142" s="81" t="str">
        <f>IF($Q142="","",135)</f>
        <v/>
      </c>
      <c r="B142" s="57" t="str">
        <f>IF($Q142="","",INDEX(TRANSACTIONS_MASTER!$B$5:$B$1204,$Q142))</f>
        <v/>
      </c>
      <c r="C142" s="55" t="str">
        <f>IF($Q142="","",INDEX(TRANSACTIONS_MASTER!$F$5:$F$1204,$Q142))</f>
        <v/>
      </c>
      <c r="D142" s="55" t="str">
        <f>IF($Q142="","",INDEX(TRANSACTIONS_MASTER!$E$5:$E$1204,$Q142))</f>
        <v/>
      </c>
      <c r="E142" s="55" t="str">
        <f>IF($Q142="","",INDEX(TRANSACTIONS_MASTER!$G$5:$G$1204,$Q142)&amp;"")</f>
        <v/>
      </c>
      <c r="F142" s="29" t="str">
        <f>IF($Q142="","",INDEX(TRANSACTIONS_MASTER!$I$5:$I$1204,$Q142))</f>
        <v/>
      </c>
      <c r="G142" s="55" t="str">
        <f>IF($Q142="","",INDEX(TRANSACTIONS_MASTER!$K$5:$K$1204,$Q142))</f>
        <v/>
      </c>
      <c r="H142" s="25" t="str">
        <f>IF($Q142="","",INDEX(TRANSACTIONS_MASTER!$L$5:$L$1204,$Q142))</f>
        <v/>
      </c>
      <c r="I142" s="56" t="str">
        <f>IF($Q142="","",INDEX(TRANSACTIONS_MASTER!$N$5:$N$1204,$Q142))</f>
        <v/>
      </c>
      <c r="J142" s="25" t="str">
        <f>IF($Q142="","",INDEX(TRANSACTIONS_MASTER!$O$5:$O$1204,$Q142))</f>
        <v/>
      </c>
      <c r="K142" s="26" t="str">
        <f>IF($Q142="","",INDEX(TRANSACTIONS_MASTER!$Q$5:$Q$1204,$Q142))</f>
        <v/>
      </c>
      <c r="L142" s="25" t="str">
        <f>IF($Q142="","",INDEX(TRANSACTIONS_MASTER!$P$5:$P$1204,$Q142))</f>
        <v/>
      </c>
      <c r="M142" s="25" t="str">
        <f>IF($Q142="","",INDEX(TRANSACTIONS_MASTER!$AA$5:$AA$1204,$Q142))</f>
        <v/>
      </c>
      <c r="N142" s="25" t="str">
        <f>IF($Q142="","",INDEX(TRANSACTIONS_MASTER!$R$5:$R$1204,$Q142))</f>
        <v/>
      </c>
      <c r="O142" s="28" t="str">
        <f>IF($Q142="","",INDEX(TRANSACTIONS_MASTER!$AB$5:$AB$1204,$Q142))</f>
        <v/>
      </c>
      <c r="P142" s="55" t="str">
        <f>IF($Q142="","",INDEX(TRANSACTIONS_MASTER!$Z$5:$Z$1204,$Q142)&amp;"")</f>
        <v/>
      </c>
      <c r="Q142" s="67" t="str">
        <f>IFERROR(MATCH($C$2&amp;"|"&amp;135,TRANSACTIONS_MASTER!$AE$5:$AE$1204,0),"")</f>
        <v/>
      </c>
      <c r="S142" s="67" t="str">
        <f>IFERROR(MATCH(1,INDEX((TRANSACTIONS_MASTER!$C$5:$C$1204=$C$2)*(TRANSACTIONS_MASTER!$AJ$5:$AJ$1204=5),0),0),"")</f>
        <v/>
      </c>
      <c r="T142" s="29" t="str">
        <f>IF($S142="","",INDEX(TRANSACTIONS_MASTER!$I$5:$I$1204,$S142))</f>
        <v/>
      </c>
      <c r="U142" s="55" t="str">
        <f>IF($S142="","",INDEX(TRANSACTIONS_MASTER!$J$5:$J$1204,$S142))</f>
        <v/>
      </c>
      <c r="V142" s="25" t="str">
        <f>IF($S142="","",SUMIFS(TRANSACTIONS_MASTER!$L$5:$L$1204,TRANSACTIONS_MASTER!$I$5:$I$1204,$T142,TRANSACTIONS_MASTER!$C$5:$C$1204,$C$2,TRANSACTIONS_MASTER!$U$5:$U$1204,"&lt;&gt;Cancelled"))</f>
        <v/>
      </c>
      <c r="W142" s="26" t="str">
        <f>IF($S142="","",SUMIFS(TRANSACTIONS_MASTER!$Q$5:$Q$1204,TRANSACTIONS_MASTER!$I$5:$I$1204,$T142,TRANSACTIONS_MASTER!$C$5:$C$1204,$C$2))</f>
        <v/>
      </c>
    </row>
    <row r="143">
      <c r="A143" s="81" t="str">
        <f>IF($Q143="","",136)</f>
        <v/>
      </c>
      <c r="B143" s="57" t="str">
        <f>IF($Q143="","",INDEX(TRANSACTIONS_MASTER!$B$5:$B$1204,$Q143))</f>
        <v/>
      </c>
      <c r="C143" s="55" t="str">
        <f>IF($Q143="","",INDEX(TRANSACTIONS_MASTER!$F$5:$F$1204,$Q143))</f>
        <v/>
      </c>
      <c r="D143" s="55" t="str">
        <f>IF($Q143="","",INDEX(TRANSACTIONS_MASTER!$E$5:$E$1204,$Q143))</f>
        <v/>
      </c>
      <c r="E143" s="55" t="str">
        <f>IF($Q143="","",INDEX(TRANSACTIONS_MASTER!$G$5:$G$1204,$Q143)&amp;"")</f>
        <v/>
      </c>
      <c r="F143" s="29" t="str">
        <f>IF($Q143="","",INDEX(TRANSACTIONS_MASTER!$I$5:$I$1204,$Q143))</f>
        <v/>
      </c>
      <c r="G143" s="55" t="str">
        <f>IF($Q143="","",INDEX(TRANSACTIONS_MASTER!$K$5:$K$1204,$Q143))</f>
        <v/>
      </c>
      <c r="H143" s="25" t="str">
        <f>IF($Q143="","",INDEX(TRANSACTIONS_MASTER!$L$5:$L$1204,$Q143))</f>
        <v/>
      </c>
      <c r="I143" s="56" t="str">
        <f>IF($Q143="","",INDEX(TRANSACTIONS_MASTER!$N$5:$N$1204,$Q143))</f>
        <v/>
      </c>
      <c r="J143" s="25" t="str">
        <f>IF($Q143="","",INDEX(TRANSACTIONS_MASTER!$O$5:$O$1204,$Q143))</f>
        <v/>
      </c>
      <c r="K143" s="26" t="str">
        <f>IF($Q143="","",INDEX(TRANSACTIONS_MASTER!$Q$5:$Q$1204,$Q143))</f>
        <v/>
      </c>
      <c r="L143" s="25" t="str">
        <f>IF($Q143="","",INDEX(TRANSACTIONS_MASTER!$P$5:$P$1204,$Q143))</f>
        <v/>
      </c>
      <c r="M143" s="25" t="str">
        <f>IF($Q143="","",INDEX(TRANSACTIONS_MASTER!$AA$5:$AA$1204,$Q143))</f>
        <v/>
      </c>
      <c r="N143" s="25" t="str">
        <f>IF($Q143="","",INDEX(TRANSACTIONS_MASTER!$R$5:$R$1204,$Q143))</f>
        <v/>
      </c>
      <c r="O143" s="28" t="str">
        <f>IF($Q143="","",INDEX(TRANSACTIONS_MASTER!$AB$5:$AB$1204,$Q143))</f>
        <v/>
      </c>
      <c r="P143" s="55" t="str">
        <f>IF($Q143="","",INDEX(TRANSACTIONS_MASTER!$Z$5:$Z$1204,$Q143)&amp;"")</f>
        <v/>
      </c>
      <c r="Q143" s="67" t="str">
        <f>IFERROR(MATCH($C$2&amp;"|"&amp;136,TRANSACTIONS_MASTER!$AE$5:$AE$1204,0),"")</f>
        <v/>
      </c>
      <c r="S143" s="67" t="str">
        <f>IFERROR(MATCH(1,INDEX((TRANSACTIONS_MASTER!$C$5:$C$1204=$C$2)*(TRANSACTIONS_MASTER!$AJ$5:$AJ$1204=6),0),0),"")</f>
        <v/>
      </c>
      <c r="T143" s="29" t="str">
        <f>IF($S143="","",INDEX(TRANSACTIONS_MASTER!$I$5:$I$1204,$S143))</f>
        <v/>
      </c>
      <c r="U143" s="55" t="str">
        <f>IF($S143="","",INDEX(TRANSACTIONS_MASTER!$J$5:$J$1204,$S143))</f>
        <v/>
      </c>
      <c r="V143" s="25" t="str">
        <f>IF($S143="","",SUMIFS(TRANSACTIONS_MASTER!$L$5:$L$1204,TRANSACTIONS_MASTER!$I$5:$I$1204,$T143,TRANSACTIONS_MASTER!$C$5:$C$1204,$C$2,TRANSACTIONS_MASTER!$U$5:$U$1204,"&lt;&gt;Cancelled"))</f>
        <v/>
      </c>
      <c r="W143" s="26" t="str">
        <f>IF($S143="","",SUMIFS(TRANSACTIONS_MASTER!$Q$5:$Q$1204,TRANSACTIONS_MASTER!$I$5:$I$1204,$T143,TRANSACTIONS_MASTER!$C$5:$C$1204,$C$2))</f>
        <v/>
      </c>
    </row>
    <row r="144">
      <c r="A144" s="81" t="str">
        <f>IF($Q144="","",137)</f>
        <v/>
      </c>
      <c r="B144" s="57" t="str">
        <f>IF($Q144="","",INDEX(TRANSACTIONS_MASTER!$B$5:$B$1204,$Q144))</f>
        <v/>
      </c>
      <c r="C144" s="55" t="str">
        <f>IF($Q144="","",INDEX(TRANSACTIONS_MASTER!$F$5:$F$1204,$Q144))</f>
        <v/>
      </c>
      <c r="D144" s="55" t="str">
        <f>IF($Q144="","",INDEX(TRANSACTIONS_MASTER!$E$5:$E$1204,$Q144))</f>
        <v/>
      </c>
      <c r="E144" s="55" t="str">
        <f>IF($Q144="","",INDEX(TRANSACTIONS_MASTER!$G$5:$G$1204,$Q144)&amp;"")</f>
        <v/>
      </c>
      <c r="F144" s="29" t="str">
        <f>IF($Q144="","",INDEX(TRANSACTIONS_MASTER!$I$5:$I$1204,$Q144))</f>
        <v/>
      </c>
      <c r="G144" s="55" t="str">
        <f>IF($Q144="","",INDEX(TRANSACTIONS_MASTER!$K$5:$K$1204,$Q144))</f>
        <v/>
      </c>
      <c r="H144" s="25" t="str">
        <f>IF($Q144="","",INDEX(TRANSACTIONS_MASTER!$L$5:$L$1204,$Q144))</f>
        <v/>
      </c>
      <c r="I144" s="56" t="str">
        <f>IF($Q144="","",INDEX(TRANSACTIONS_MASTER!$N$5:$N$1204,$Q144))</f>
        <v/>
      </c>
      <c r="J144" s="25" t="str">
        <f>IF($Q144="","",INDEX(TRANSACTIONS_MASTER!$O$5:$O$1204,$Q144))</f>
        <v/>
      </c>
      <c r="K144" s="26" t="str">
        <f>IF($Q144="","",INDEX(TRANSACTIONS_MASTER!$Q$5:$Q$1204,$Q144))</f>
        <v/>
      </c>
      <c r="L144" s="25" t="str">
        <f>IF($Q144="","",INDEX(TRANSACTIONS_MASTER!$P$5:$P$1204,$Q144))</f>
        <v/>
      </c>
      <c r="M144" s="25" t="str">
        <f>IF($Q144="","",INDEX(TRANSACTIONS_MASTER!$AA$5:$AA$1204,$Q144))</f>
        <v/>
      </c>
      <c r="N144" s="25" t="str">
        <f>IF($Q144="","",INDEX(TRANSACTIONS_MASTER!$R$5:$R$1204,$Q144))</f>
        <v/>
      </c>
      <c r="O144" s="28" t="str">
        <f>IF($Q144="","",INDEX(TRANSACTIONS_MASTER!$AB$5:$AB$1204,$Q144))</f>
        <v/>
      </c>
      <c r="P144" s="55" t="str">
        <f>IF($Q144="","",INDEX(TRANSACTIONS_MASTER!$Z$5:$Z$1204,$Q144)&amp;"")</f>
        <v/>
      </c>
      <c r="Q144" s="67" t="str">
        <f>IFERROR(MATCH($C$2&amp;"|"&amp;137,TRANSACTIONS_MASTER!$AE$5:$AE$1204,0),"")</f>
        <v/>
      </c>
      <c r="S144" s="67" t="str">
        <f>IFERROR(MATCH(1,INDEX((TRANSACTIONS_MASTER!$C$5:$C$1204=$C$2)*(TRANSACTIONS_MASTER!$AJ$5:$AJ$1204=7),0),0),"")</f>
        <v/>
      </c>
      <c r="T144" s="29" t="str">
        <f>IF($S144="","",INDEX(TRANSACTIONS_MASTER!$I$5:$I$1204,$S144))</f>
        <v/>
      </c>
      <c r="U144" s="55" t="str">
        <f>IF($S144="","",INDEX(TRANSACTIONS_MASTER!$J$5:$J$1204,$S144))</f>
        <v/>
      </c>
      <c r="V144" s="25" t="str">
        <f>IF($S144="","",SUMIFS(TRANSACTIONS_MASTER!$L$5:$L$1204,TRANSACTIONS_MASTER!$I$5:$I$1204,$T144,TRANSACTIONS_MASTER!$C$5:$C$1204,$C$2,TRANSACTIONS_MASTER!$U$5:$U$1204,"&lt;&gt;Cancelled"))</f>
        <v/>
      </c>
      <c r="W144" s="26" t="str">
        <f>IF($S144="","",SUMIFS(TRANSACTIONS_MASTER!$Q$5:$Q$1204,TRANSACTIONS_MASTER!$I$5:$I$1204,$T144,TRANSACTIONS_MASTER!$C$5:$C$1204,$C$2))</f>
        <v/>
      </c>
    </row>
    <row r="145">
      <c r="A145" s="81" t="str">
        <f>IF($Q145="","",138)</f>
        <v/>
      </c>
      <c r="B145" s="57" t="str">
        <f>IF($Q145="","",INDEX(TRANSACTIONS_MASTER!$B$5:$B$1204,$Q145))</f>
        <v/>
      </c>
      <c r="C145" s="55" t="str">
        <f>IF($Q145="","",INDEX(TRANSACTIONS_MASTER!$F$5:$F$1204,$Q145))</f>
        <v/>
      </c>
      <c r="D145" s="55" t="str">
        <f>IF($Q145="","",INDEX(TRANSACTIONS_MASTER!$E$5:$E$1204,$Q145))</f>
        <v/>
      </c>
      <c r="E145" s="55" t="str">
        <f>IF($Q145="","",INDEX(TRANSACTIONS_MASTER!$G$5:$G$1204,$Q145)&amp;"")</f>
        <v/>
      </c>
      <c r="F145" s="29" t="str">
        <f>IF($Q145="","",INDEX(TRANSACTIONS_MASTER!$I$5:$I$1204,$Q145))</f>
        <v/>
      </c>
      <c r="G145" s="55" t="str">
        <f>IF($Q145="","",INDEX(TRANSACTIONS_MASTER!$K$5:$K$1204,$Q145))</f>
        <v/>
      </c>
      <c r="H145" s="25" t="str">
        <f>IF($Q145="","",INDEX(TRANSACTIONS_MASTER!$L$5:$L$1204,$Q145))</f>
        <v/>
      </c>
      <c r="I145" s="56" t="str">
        <f>IF($Q145="","",INDEX(TRANSACTIONS_MASTER!$N$5:$N$1204,$Q145))</f>
        <v/>
      </c>
      <c r="J145" s="25" t="str">
        <f>IF($Q145="","",INDEX(TRANSACTIONS_MASTER!$O$5:$O$1204,$Q145))</f>
        <v/>
      </c>
      <c r="K145" s="26" t="str">
        <f>IF($Q145="","",INDEX(TRANSACTIONS_MASTER!$Q$5:$Q$1204,$Q145))</f>
        <v/>
      </c>
      <c r="L145" s="25" t="str">
        <f>IF($Q145="","",INDEX(TRANSACTIONS_MASTER!$P$5:$P$1204,$Q145))</f>
        <v/>
      </c>
      <c r="M145" s="25" t="str">
        <f>IF($Q145="","",INDEX(TRANSACTIONS_MASTER!$AA$5:$AA$1204,$Q145))</f>
        <v/>
      </c>
      <c r="N145" s="25" t="str">
        <f>IF($Q145="","",INDEX(TRANSACTIONS_MASTER!$R$5:$R$1204,$Q145))</f>
        <v/>
      </c>
      <c r="O145" s="28" t="str">
        <f>IF($Q145="","",INDEX(TRANSACTIONS_MASTER!$AB$5:$AB$1204,$Q145))</f>
        <v/>
      </c>
      <c r="P145" s="55" t="str">
        <f>IF($Q145="","",INDEX(TRANSACTIONS_MASTER!$Z$5:$Z$1204,$Q145)&amp;"")</f>
        <v/>
      </c>
      <c r="Q145" s="67" t="str">
        <f>IFERROR(MATCH($C$2&amp;"|"&amp;138,TRANSACTIONS_MASTER!$AE$5:$AE$1204,0),"")</f>
        <v/>
      </c>
      <c r="S145" s="67" t="str">
        <f>IFERROR(MATCH(1,INDEX((TRANSACTIONS_MASTER!$C$5:$C$1204=$C$2)*(TRANSACTIONS_MASTER!$AJ$5:$AJ$1204=8),0),0),"")</f>
        <v/>
      </c>
      <c r="T145" s="29" t="str">
        <f>IF($S145="","",INDEX(TRANSACTIONS_MASTER!$I$5:$I$1204,$S145))</f>
        <v/>
      </c>
      <c r="U145" s="55" t="str">
        <f>IF($S145="","",INDEX(TRANSACTIONS_MASTER!$J$5:$J$1204,$S145))</f>
        <v/>
      </c>
      <c r="V145" s="25" t="str">
        <f>IF($S145="","",SUMIFS(TRANSACTIONS_MASTER!$L$5:$L$1204,TRANSACTIONS_MASTER!$I$5:$I$1204,$T145,TRANSACTIONS_MASTER!$C$5:$C$1204,$C$2,TRANSACTIONS_MASTER!$U$5:$U$1204,"&lt;&gt;Cancelled"))</f>
        <v/>
      </c>
      <c r="W145" s="26" t="str">
        <f>IF($S145="","",SUMIFS(TRANSACTIONS_MASTER!$Q$5:$Q$1204,TRANSACTIONS_MASTER!$I$5:$I$1204,$T145,TRANSACTIONS_MASTER!$C$5:$C$1204,$C$2))</f>
        <v/>
      </c>
    </row>
    <row r="146">
      <c r="A146" s="81" t="str">
        <f>IF($Q146="","",139)</f>
        <v/>
      </c>
      <c r="B146" s="57" t="str">
        <f>IF($Q146="","",INDEX(TRANSACTIONS_MASTER!$B$5:$B$1204,$Q146))</f>
        <v/>
      </c>
      <c r="C146" s="55" t="str">
        <f>IF($Q146="","",INDEX(TRANSACTIONS_MASTER!$F$5:$F$1204,$Q146))</f>
        <v/>
      </c>
      <c r="D146" s="55" t="str">
        <f>IF($Q146="","",INDEX(TRANSACTIONS_MASTER!$E$5:$E$1204,$Q146))</f>
        <v/>
      </c>
      <c r="E146" s="55" t="str">
        <f>IF($Q146="","",INDEX(TRANSACTIONS_MASTER!$G$5:$G$1204,$Q146)&amp;"")</f>
        <v/>
      </c>
      <c r="F146" s="29" t="str">
        <f>IF($Q146="","",INDEX(TRANSACTIONS_MASTER!$I$5:$I$1204,$Q146))</f>
        <v/>
      </c>
      <c r="G146" s="55" t="str">
        <f>IF($Q146="","",INDEX(TRANSACTIONS_MASTER!$K$5:$K$1204,$Q146))</f>
        <v/>
      </c>
      <c r="H146" s="25" t="str">
        <f>IF($Q146="","",INDEX(TRANSACTIONS_MASTER!$L$5:$L$1204,$Q146))</f>
        <v/>
      </c>
      <c r="I146" s="56" t="str">
        <f>IF($Q146="","",INDEX(TRANSACTIONS_MASTER!$N$5:$N$1204,$Q146))</f>
        <v/>
      </c>
      <c r="J146" s="25" t="str">
        <f>IF($Q146="","",INDEX(TRANSACTIONS_MASTER!$O$5:$O$1204,$Q146))</f>
        <v/>
      </c>
      <c r="K146" s="26" t="str">
        <f>IF($Q146="","",INDEX(TRANSACTIONS_MASTER!$Q$5:$Q$1204,$Q146))</f>
        <v/>
      </c>
      <c r="L146" s="25" t="str">
        <f>IF($Q146="","",INDEX(TRANSACTIONS_MASTER!$P$5:$P$1204,$Q146))</f>
        <v/>
      </c>
      <c r="M146" s="25" t="str">
        <f>IF($Q146="","",INDEX(TRANSACTIONS_MASTER!$AA$5:$AA$1204,$Q146))</f>
        <v/>
      </c>
      <c r="N146" s="25" t="str">
        <f>IF($Q146="","",INDEX(TRANSACTIONS_MASTER!$R$5:$R$1204,$Q146))</f>
        <v/>
      </c>
      <c r="O146" s="28" t="str">
        <f>IF($Q146="","",INDEX(TRANSACTIONS_MASTER!$AB$5:$AB$1204,$Q146))</f>
        <v/>
      </c>
      <c r="P146" s="55" t="str">
        <f>IF($Q146="","",INDEX(TRANSACTIONS_MASTER!$Z$5:$Z$1204,$Q146)&amp;"")</f>
        <v/>
      </c>
      <c r="Q146" s="67" t="str">
        <f>IFERROR(MATCH($C$2&amp;"|"&amp;139,TRANSACTIONS_MASTER!$AE$5:$AE$1204,0),"")</f>
        <v/>
      </c>
      <c r="S146" s="67" t="str">
        <f>IFERROR(MATCH(1,INDEX((TRANSACTIONS_MASTER!$C$5:$C$1204=$C$2)*(TRANSACTIONS_MASTER!$AJ$5:$AJ$1204=9),0),0),"")</f>
        <v/>
      </c>
      <c r="T146" s="29" t="str">
        <f>IF($S146="","",INDEX(TRANSACTIONS_MASTER!$I$5:$I$1204,$S146))</f>
        <v/>
      </c>
      <c r="U146" s="55" t="str">
        <f>IF($S146="","",INDEX(TRANSACTIONS_MASTER!$J$5:$J$1204,$S146))</f>
        <v/>
      </c>
      <c r="V146" s="25" t="str">
        <f>IF($S146="","",SUMIFS(TRANSACTIONS_MASTER!$L$5:$L$1204,TRANSACTIONS_MASTER!$I$5:$I$1204,$T146,TRANSACTIONS_MASTER!$C$5:$C$1204,$C$2,TRANSACTIONS_MASTER!$U$5:$U$1204,"&lt;&gt;Cancelled"))</f>
        <v/>
      </c>
      <c r="W146" s="26" t="str">
        <f>IF($S146="","",SUMIFS(TRANSACTIONS_MASTER!$Q$5:$Q$1204,TRANSACTIONS_MASTER!$I$5:$I$1204,$T146,TRANSACTIONS_MASTER!$C$5:$C$1204,$C$2))</f>
        <v/>
      </c>
    </row>
    <row r="147">
      <c r="A147" s="81" t="str">
        <f>IF($Q147="","",140)</f>
        <v/>
      </c>
      <c r="B147" s="57" t="str">
        <f>IF($Q147="","",INDEX(TRANSACTIONS_MASTER!$B$5:$B$1204,$Q147))</f>
        <v/>
      </c>
      <c r="C147" s="55" t="str">
        <f>IF($Q147="","",INDEX(TRANSACTIONS_MASTER!$F$5:$F$1204,$Q147))</f>
        <v/>
      </c>
      <c r="D147" s="55" t="str">
        <f>IF($Q147="","",INDEX(TRANSACTIONS_MASTER!$E$5:$E$1204,$Q147))</f>
        <v/>
      </c>
      <c r="E147" s="55" t="str">
        <f>IF($Q147="","",INDEX(TRANSACTIONS_MASTER!$G$5:$G$1204,$Q147)&amp;"")</f>
        <v/>
      </c>
      <c r="F147" s="29" t="str">
        <f>IF($Q147="","",INDEX(TRANSACTIONS_MASTER!$I$5:$I$1204,$Q147))</f>
        <v/>
      </c>
      <c r="G147" s="55" t="str">
        <f>IF($Q147="","",INDEX(TRANSACTIONS_MASTER!$K$5:$K$1204,$Q147))</f>
        <v/>
      </c>
      <c r="H147" s="25" t="str">
        <f>IF($Q147="","",INDEX(TRANSACTIONS_MASTER!$L$5:$L$1204,$Q147))</f>
        <v/>
      </c>
      <c r="I147" s="56" t="str">
        <f>IF($Q147="","",INDEX(TRANSACTIONS_MASTER!$N$5:$N$1204,$Q147))</f>
        <v/>
      </c>
      <c r="J147" s="25" t="str">
        <f>IF($Q147="","",INDEX(TRANSACTIONS_MASTER!$O$5:$O$1204,$Q147))</f>
        <v/>
      </c>
      <c r="K147" s="26" t="str">
        <f>IF($Q147="","",INDEX(TRANSACTIONS_MASTER!$Q$5:$Q$1204,$Q147))</f>
        <v/>
      </c>
      <c r="L147" s="25" t="str">
        <f>IF($Q147="","",INDEX(TRANSACTIONS_MASTER!$P$5:$P$1204,$Q147))</f>
        <v/>
      </c>
      <c r="M147" s="25" t="str">
        <f>IF($Q147="","",INDEX(TRANSACTIONS_MASTER!$AA$5:$AA$1204,$Q147))</f>
        <v/>
      </c>
      <c r="N147" s="25" t="str">
        <f>IF($Q147="","",INDEX(TRANSACTIONS_MASTER!$R$5:$R$1204,$Q147))</f>
        <v/>
      </c>
      <c r="O147" s="28" t="str">
        <f>IF($Q147="","",INDEX(TRANSACTIONS_MASTER!$AB$5:$AB$1204,$Q147))</f>
        <v/>
      </c>
      <c r="P147" s="55" t="str">
        <f>IF($Q147="","",INDEX(TRANSACTIONS_MASTER!$Z$5:$Z$1204,$Q147)&amp;"")</f>
        <v/>
      </c>
      <c r="Q147" s="67" t="str">
        <f>IFERROR(MATCH($C$2&amp;"|"&amp;140,TRANSACTIONS_MASTER!$AE$5:$AE$1204,0),"")</f>
        <v/>
      </c>
      <c r="S147" s="67" t="str">
        <f>IFERROR(MATCH(1,INDEX((TRANSACTIONS_MASTER!$C$5:$C$1204=$C$2)*(TRANSACTIONS_MASTER!$AJ$5:$AJ$1204=10),0),0),"")</f>
        <v/>
      </c>
      <c r="T147" s="29" t="str">
        <f>IF($S147="","",INDEX(TRANSACTIONS_MASTER!$I$5:$I$1204,$S147))</f>
        <v/>
      </c>
      <c r="U147" s="55" t="str">
        <f>IF($S147="","",INDEX(TRANSACTIONS_MASTER!$J$5:$J$1204,$S147))</f>
        <v/>
      </c>
      <c r="V147" s="25" t="str">
        <f>IF($S147="","",SUMIFS(TRANSACTIONS_MASTER!$L$5:$L$1204,TRANSACTIONS_MASTER!$I$5:$I$1204,$T147,TRANSACTIONS_MASTER!$C$5:$C$1204,$C$2,TRANSACTIONS_MASTER!$U$5:$U$1204,"&lt;&gt;Cancelled"))</f>
        <v/>
      </c>
      <c r="W147" s="26" t="str">
        <f>IF($S147="","",SUMIFS(TRANSACTIONS_MASTER!$Q$5:$Q$1204,TRANSACTIONS_MASTER!$I$5:$I$1204,$T147,TRANSACTIONS_MASTER!$C$5:$C$1204,$C$2))</f>
        <v/>
      </c>
    </row>
    <row r="148">
      <c r="A148" s="81" t="str">
        <f>IF($Q148="","",141)</f>
        <v/>
      </c>
      <c r="B148" s="57" t="str">
        <f>IF($Q148="","",INDEX(TRANSACTIONS_MASTER!$B$5:$B$1204,$Q148))</f>
        <v/>
      </c>
      <c r="C148" s="55" t="str">
        <f>IF($Q148="","",INDEX(TRANSACTIONS_MASTER!$F$5:$F$1204,$Q148))</f>
        <v/>
      </c>
      <c r="D148" s="55" t="str">
        <f>IF($Q148="","",INDEX(TRANSACTIONS_MASTER!$E$5:$E$1204,$Q148))</f>
        <v/>
      </c>
      <c r="E148" s="55" t="str">
        <f>IF($Q148="","",INDEX(TRANSACTIONS_MASTER!$G$5:$G$1204,$Q148)&amp;"")</f>
        <v/>
      </c>
      <c r="F148" s="29" t="str">
        <f>IF($Q148="","",INDEX(TRANSACTIONS_MASTER!$I$5:$I$1204,$Q148))</f>
        <v/>
      </c>
      <c r="G148" s="55" t="str">
        <f>IF($Q148="","",INDEX(TRANSACTIONS_MASTER!$K$5:$K$1204,$Q148))</f>
        <v/>
      </c>
      <c r="H148" s="25" t="str">
        <f>IF($Q148="","",INDEX(TRANSACTIONS_MASTER!$L$5:$L$1204,$Q148))</f>
        <v/>
      </c>
      <c r="I148" s="56" t="str">
        <f>IF($Q148="","",INDEX(TRANSACTIONS_MASTER!$N$5:$N$1204,$Q148))</f>
        <v/>
      </c>
      <c r="J148" s="25" t="str">
        <f>IF($Q148="","",INDEX(TRANSACTIONS_MASTER!$O$5:$O$1204,$Q148))</f>
        <v/>
      </c>
      <c r="K148" s="26" t="str">
        <f>IF($Q148="","",INDEX(TRANSACTIONS_MASTER!$Q$5:$Q$1204,$Q148))</f>
        <v/>
      </c>
      <c r="L148" s="25" t="str">
        <f>IF($Q148="","",INDEX(TRANSACTIONS_MASTER!$P$5:$P$1204,$Q148))</f>
        <v/>
      </c>
      <c r="M148" s="25" t="str">
        <f>IF($Q148="","",INDEX(TRANSACTIONS_MASTER!$AA$5:$AA$1204,$Q148))</f>
        <v/>
      </c>
      <c r="N148" s="25" t="str">
        <f>IF($Q148="","",INDEX(TRANSACTIONS_MASTER!$R$5:$R$1204,$Q148))</f>
        <v/>
      </c>
      <c r="O148" s="28" t="str">
        <f>IF($Q148="","",INDEX(TRANSACTIONS_MASTER!$AB$5:$AB$1204,$Q148))</f>
        <v/>
      </c>
      <c r="P148" s="55" t="str">
        <f>IF($Q148="","",INDEX(TRANSACTIONS_MASTER!$Z$5:$Z$1204,$Q148)&amp;"")</f>
        <v/>
      </c>
      <c r="Q148" s="67" t="str">
        <f>IFERROR(MATCH($C$2&amp;"|"&amp;141,TRANSACTIONS_MASTER!$AE$5:$AE$1204,0),"")</f>
        <v/>
      </c>
      <c r="S148" s="67" t="str">
        <f>IFERROR(MATCH(1,INDEX((TRANSACTIONS_MASTER!$C$5:$C$1204=$C$2)*(TRANSACTIONS_MASTER!$AJ$5:$AJ$1204=11),0),0),"")</f>
        <v/>
      </c>
      <c r="T148" s="29" t="str">
        <f>IF($S148="","",INDEX(TRANSACTIONS_MASTER!$I$5:$I$1204,$S148))</f>
        <v/>
      </c>
      <c r="U148" s="55" t="str">
        <f>IF($S148="","",INDEX(TRANSACTIONS_MASTER!$J$5:$J$1204,$S148))</f>
        <v/>
      </c>
      <c r="V148" s="25" t="str">
        <f>IF($S148="","",SUMIFS(TRANSACTIONS_MASTER!$L$5:$L$1204,TRANSACTIONS_MASTER!$I$5:$I$1204,$T148,TRANSACTIONS_MASTER!$C$5:$C$1204,$C$2,TRANSACTIONS_MASTER!$U$5:$U$1204,"&lt;&gt;Cancelled"))</f>
        <v/>
      </c>
      <c r="W148" s="26" t="str">
        <f>IF($S148="","",SUMIFS(TRANSACTIONS_MASTER!$Q$5:$Q$1204,TRANSACTIONS_MASTER!$I$5:$I$1204,$T148,TRANSACTIONS_MASTER!$C$5:$C$1204,$C$2))</f>
        <v/>
      </c>
    </row>
    <row r="149">
      <c r="A149" s="81" t="str">
        <f>IF($Q149="","",142)</f>
        <v/>
      </c>
      <c r="B149" s="57" t="str">
        <f>IF($Q149="","",INDEX(TRANSACTIONS_MASTER!$B$5:$B$1204,$Q149))</f>
        <v/>
      </c>
      <c r="C149" s="55" t="str">
        <f>IF($Q149="","",INDEX(TRANSACTIONS_MASTER!$F$5:$F$1204,$Q149))</f>
        <v/>
      </c>
      <c r="D149" s="55" t="str">
        <f>IF($Q149="","",INDEX(TRANSACTIONS_MASTER!$E$5:$E$1204,$Q149))</f>
        <v/>
      </c>
      <c r="E149" s="55" t="str">
        <f>IF($Q149="","",INDEX(TRANSACTIONS_MASTER!$G$5:$G$1204,$Q149)&amp;"")</f>
        <v/>
      </c>
      <c r="F149" s="29" t="str">
        <f>IF($Q149="","",INDEX(TRANSACTIONS_MASTER!$I$5:$I$1204,$Q149))</f>
        <v/>
      </c>
      <c r="G149" s="55" t="str">
        <f>IF($Q149="","",INDEX(TRANSACTIONS_MASTER!$K$5:$K$1204,$Q149))</f>
        <v/>
      </c>
      <c r="H149" s="25" t="str">
        <f>IF($Q149="","",INDEX(TRANSACTIONS_MASTER!$L$5:$L$1204,$Q149))</f>
        <v/>
      </c>
      <c r="I149" s="56" t="str">
        <f>IF($Q149="","",INDEX(TRANSACTIONS_MASTER!$N$5:$N$1204,$Q149))</f>
        <v/>
      </c>
      <c r="J149" s="25" t="str">
        <f>IF($Q149="","",INDEX(TRANSACTIONS_MASTER!$O$5:$O$1204,$Q149))</f>
        <v/>
      </c>
      <c r="K149" s="26" t="str">
        <f>IF($Q149="","",INDEX(TRANSACTIONS_MASTER!$Q$5:$Q$1204,$Q149))</f>
        <v/>
      </c>
      <c r="L149" s="25" t="str">
        <f>IF($Q149="","",INDEX(TRANSACTIONS_MASTER!$P$5:$P$1204,$Q149))</f>
        <v/>
      </c>
      <c r="M149" s="25" t="str">
        <f>IF($Q149="","",INDEX(TRANSACTIONS_MASTER!$AA$5:$AA$1204,$Q149))</f>
        <v/>
      </c>
      <c r="N149" s="25" t="str">
        <f>IF($Q149="","",INDEX(TRANSACTIONS_MASTER!$R$5:$R$1204,$Q149))</f>
        <v/>
      </c>
      <c r="O149" s="28" t="str">
        <f>IF($Q149="","",INDEX(TRANSACTIONS_MASTER!$AB$5:$AB$1204,$Q149))</f>
        <v/>
      </c>
      <c r="P149" s="55" t="str">
        <f>IF($Q149="","",INDEX(TRANSACTIONS_MASTER!$Z$5:$Z$1204,$Q149)&amp;"")</f>
        <v/>
      </c>
      <c r="Q149" s="67" t="str">
        <f>IFERROR(MATCH($C$2&amp;"|"&amp;142,TRANSACTIONS_MASTER!$AE$5:$AE$1204,0),"")</f>
        <v/>
      </c>
      <c r="S149" s="67" t="str">
        <f>IFERROR(MATCH(1,INDEX((TRANSACTIONS_MASTER!$C$5:$C$1204=$C$2)*(TRANSACTIONS_MASTER!$AJ$5:$AJ$1204=12),0),0),"")</f>
        <v/>
      </c>
      <c r="T149" s="29" t="str">
        <f>IF($S149="","",INDEX(TRANSACTIONS_MASTER!$I$5:$I$1204,$S149))</f>
        <v/>
      </c>
      <c r="U149" s="55" t="str">
        <f>IF($S149="","",INDEX(TRANSACTIONS_MASTER!$J$5:$J$1204,$S149))</f>
        <v/>
      </c>
      <c r="V149" s="25" t="str">
        <f>IF($S149="","",SUMIFS(TRANSACTIONS_MASTER!$L$5:$L$1204,TRANSACTIONS_MASTER!$I$5:$I$1204,$T149,TRANSACTIONS_MASTER!$C$5:$C$1204,$C$2,TRANSACTIONS_MASTER!$U$5:$U$1204,"&lt;&gt;Cancelled"))</f>
        <v/>
      </c>
      <c r="W149" s="26" t="str">
        <f>IF($S149="","",SUMIFS(TRANSACTIONS_MASTER!$Q$5:$Q$1204,TRANSACTIONS_MASTER!$I$5:$I$1204,$T149,TRANSACTIONS_MASTER!$C$5:$C$1204,$C$2))</f>
        <v/>
      </c>
    </row>
    <row r="150">
      <c r="A150" s="81" t="str">
        <f>IF($Q150="","",143)</f>
        <v/>
      </c>
      <c r="B150" s="57" t="str">
        <f>IF($Q150="","",INDEX(TRANSACTIONS_MASTER!$B$5:$B$1204,$Q150))</f>
        <v/>
      </c>
      <c r="C150" s="55" t="str">
        <f>IF($Q150="","",INDEX(TRANSACTIONS_MASTER!$F$5:$F$1204,$Q150))</f>
        <v/>
      </c>
      <c r="D150" s="55" t="str">
        <f>IF($Q150="","",INDEX(TRANSACTIONS_MASTER!$E$5:$E$1204,$Q150))</f>
        <v/>
      </c>
      <c r="E150" s="55" t="str">
        <f>IF($Q150="","",INDEX(TRANSACTIONS_MASTER!$G$5:$G$1204,$Q150)&amp;"")</f>
        <v/>
      </c>
      <c r="F150" s="29" t="str">
        <f>IF($Q150="","",INDEX(TRANSACTIONS_MASTER!$I$5:$I$1204,$Q150))</f>
        <v/>
      </c>
      <c r="G150" s="55" t="str">
        <f>IF($Q150="","",INDEX(TRANSACTIONS_MASTER!$K$5:$K$1204,$Q150))</f>
        <v/>
      </c>
      <c r="H150" s="25" t="str">
        <f>IF($Q150="","",INDEX(TRANSACTIONS_MASTER!$L$5:$L$1204,$Q150))</f>
        <v/>
      </c>
      <c r="I150" s="56" t="str">
        <f>IF($Q150="","",INDEX(TRANSACTIONS_MASTER!$N$5:$N$1204,$Q150))</f>
        <v/>
      </c>
      <c r="J150" s="25" t="str">
        <f>IF($Q150="","",INDEX(TRANSACTIONS_MASTER!$O$5:$O$1204,$Q150))</f>
        <v/>
      </c>
      <c r="K150" s="26" t="str">
        <f>IF($Q150="","",INDEX(TRANSACTIONS_MASTER!$Q$5:$Q$1204,$Q150))</f>
        <v/>
      </c>
      <c r="L150" s="25" t="str">
        <f>IF($Q150="","",INDEX(TRANSACTIONS_MASTER!$P$5:$P$1204,$Q150))</f>
        <v/>
      </c>
      <c r="M150" s="25" t="str">
        <f>IF($Q150="","",INDEX(TRANSACTIONS_MASTER!$AA$5:$AA$1204,$Q150))</f>
        <v/>
      </c>
      <c r="N150" s="25" t="str">
        <f>IF($Q150="","",INDEX(TRANSACTIONS_MASTER!$R$5:$R$1204,$Q150))</f>
        <v/>
      </c>
      <c r="O150" s="28" t="str">
        <f>IF($Q150="","",INDEX(TRANSACTIONS_MASTER!$AB$5:$AB$1204,$Q150))</f>
        <v/>
      </c>
      <c r="P150" s="55" t="str">
        <f>IF($Q150="","",INDEX(TRANSACTIONS_MASTER!$Z$5:$Z$1204,$Q150)&amp;"")</f>
        <v/>
      </c>
      <c r="Q150" s="67" t="str">
        <f>IFERROR(MATCH($C$2&amp;"|"&amp;143,TRANSACTIONS_MASTER!$AE$5:$AE$1204,0),"")</f>
        <v/>
      </c>
      <c r="S150" s="67" t="str">
        <f>IFERROR(MATCH(1,INDEX((TRANSACTIONS_MASTER!$C$5:$C$1204=$C$2)*(TRANSACTIONS_MASTER!$AJ$5:$AJ$1204=13),0),0),"")</f>
        <v/>
      </c>
      <c r="T150" s="29" t="str">
        <f>IF($S150="","",INDEX(TRANSACTIONS_MASTER!$I$5:$I$1204,$S150))</f>
        <v/>
      </c>
      <c r="U150" s="55" t="str">
        <f>IF($S150="","",INDEX(TRANSACTIONS_MASTER!$J$5:$J$1204,$S150))</f>
        <v/>
      </c>
      <c r="V150" s="25" t="str">
        <f>IF($S150="","",SUMIFS(TRANSACTIONS_MASTER!$L$5:$L$1204,TRANSACTIONS_MASTER!$I$5:$I$1204,$T150,TRANSACTIONS_MASTER!$C$5:$C$1204,$C$2,TRANSACTIONS_MASTER!$U$5:$U$1204,"&lt;&gt;Cancelled"))</f>
        <v/>
      </c>
      <c r="W150" s="26" t="str">
        <f>IF($S150="","",SUMIFS(TRANSACTIONS_MASTER!$Q$5:$Q$1204,TRANSACTIONS_MASTER!$I$5:$I$1204,$T150,TRANSACTIONS_MASTER!$C$5:$C$1204,$C$2))</f>
        <v/>
      </c>
    </row>
    <row r="151">
      <c r="A151" s="81" t="str">
        <f>IF($Q151="","",144)</f>
        <v/>
      </c>
      <c r="B151" s="57" t="str">
        <f>IF($Q151="","",INDEX(TRANSACTIONS_MASTER!$B$5:$B$1204,$Q151))</f>
        <v/>
      </c>
      <c r="C151" s="55" t="str">
        <f>IF($Q151="","",INDEX(TRANSACTIONS_MASTER!$F$5:$F$1204,$Q151))</f>
        <v/>
      </c>
      <c r="D151" s="55" t="str">
        <f>IF($Q151="","",INDEX(TRANSACTIONS_MASTER!$E$5:$E$1204,$Q151))</f>
        <v/>
      </c>
      <c r="E151" s="55" t="str">
        <f>IF($Q151="","",INDEX(TRANSACTIONS_MASTER!$G$5:$G$1204,$Q151)&amp;"")</f>
        <v/>
      </c>
      <c r="F151" s="29" t="str">
        <f>IF($Q151="","",INDEX(TRANSACTIONS_MASTER!$I$5:$I$1204,$Q151))</f>
        <v/>
      </c>
      <c r="G151" s="55" t="str">
        <f>IF($Q151="","",INDEX(TRANSACTIONS_MASTER!$K$5:$K$1204,$Q151))</f>
        <v/>
      </c>
      <c r="H151" s="25" t="str">
        <f>IF($Q151="","",INDEX(TRANSACTIONS_MASTER!$L$5:$L$1204,$Q151))</f>
        <v/>
      </c>
      <c r="I151" s="56" t="str">
        <f>IF($Q151="","",INDEX(TRANSACTIONS_MASTER!$N$5:$N$1204,$Q151))</f>
        <v/>
      </c>
      <c r="J151" s="25" t="str">
        <f>IF($Q151="","",INDEX(TRANSACTIONS_MASTER!$O$5:$O$1204,$Q151))</f>
        <v/>
      </c>
      <c r="K151" s="26" t="str">
        <f>IF($Q151="","",INDEX(TRANSACTIONS_MASTER!$Q$5:$Q$1204,$Q151))</f>
        <v/>
      </c>
      <c r="L151" s="25" t="str">
        <f>IF($Q151="","",INDEX(TRANSACTIONS_MASTER!$P$5:$P$1204,$Q151))</f>
        <v/>
      </c>
      <c r="M151" s="25" t="str">
        <f>IF($Q151="","",INDEX(TRANSACTIONS_MASTER!$AA$5:$AA$1204,$Q151))</f>
        <v/>
      </c>
      <c r="N151" s="25" t="str">
        <f>IF($Q151="","",INDEX(TRANSACTIONS_MASTER!$R$5:$R$1204,$Q151))</f>
        <v/>
      </c>
      <c r="O151" s="28" t="str">
        <f>IF($Q151="","",INDEX(TRANSACTIONS_MASTER!$AB$5:$AB$1204,$Q151))</f>
        <v/>
      </c>
      <c r="P151" s="55" t="str">
        <f>IF($Q151="","",INDEX(TRANSACTIONS_MASTER!$Z$5:$Z$1204,$Q151)&amp;"")</f>
        <v/>
      </c>
      <c r="Q151" s="67" t="str">
        <f>IFERROR(MATCH($C$2&amp;"|"&amp;144,TRANSACTIONS_MASTER!$AE$5:$AE$1204,0),"")</f>
        <v/>
      </c>
      <c r="S151" s="67" t="str">
        <f>IFERROR(MATCH(1,INDEX((TRANSACTIONS_MASTER!$C$5:$C$1204=$C$2)*(TRANSACTIONS_MASTER!$AJ$5:$AJ$1204=14),0),0),"")</f>
        <v/>
      </c>
      <c r="T151" s="29" t="str">
        <f>IF($S151="","",INDEX(TRANSACTIONS_MASTER!$I$5:$I$1204,$S151))</f>
        <v/>
      </c>
      <c r="U151" s="55" t="str">
        <f>IF($S151="","",INDEX(TRANSACTIONS_MASTER!$J$5:$J$1204,$S151))</f>
        <v/>
      </c>
      <c r="V151" s="25" t="str">
        <f>IF($S151="","",SUMIFS(TRANSACTIONS_MASTER!$L$5:$L$1204,TRANSACTIONS_MASTER!$I$5:$I$1204,$T151,TRANSACTIONS_MASTER!$C$5:$C$1204,$C$2,TRANSACTIONS_MASTER!$U$5:$U$1204,"&lt;&gt;Cancelled"))</f>
        <v/>
      </c>
      <c r="W151" s="26" t="str">
        <f>IF($S151="","",SUMIFS(TRANSACTIONS_MASTER!$Q$5:$Q$1204,TRANSACTIONS_MASTER!$I$5:$I$1204,$T151,TRANSACTIONS_MASTER!$C$5:$C$1204,$C$2))</f>
        <v/>
      </c>
    </row>
    <row r="152">
      <c r="A152" s="81" t="str">
        <f>IF($Q152="","",145)</f>
        <v/>
      </c>
      <c r="B152" s="57" t="str">
        <f>IF($Q152="","",INDEX(TRANSACTIONS_MASTER!$B$5:$B$1204,$Q152))</f>
        <v/>
      </c>
      <c r="C152" s="55" t="str">
        <f>IF($Q152="","",INDEX(TRANSACTIONS_MASTER!$F$5:$F$1204,$Q152))</f>
        <v/>
      </c>
      <c r="D152" s="55" t="str">
        <f>IF($Q152="","",INDEX(TRANSACTIONS_MASTER!$E$5:$E$1204,$Q152))</f>
        <v/>
      </c>
      <c r="E152" s="55" t="str">
        <f>IF($Q152="","",INDEX(TRANSACTIONS_MASTER!$G$5:$G$1204,$Q152)&amp;"")</f>
        <v/>
      </c>
      <c r="F152" s="29" t="str">
        <f>IF($Q152="","",INDEX(TRANSACTIONS_MASTER!$I$5:$I$1204,$Q152))</f>
        <v/>
      </c>
      <c r="G152" s="55" t="str">
        <f>IF($Q152="","",INDEX(TRANSACTIONS_MASTER!$K$5:$K$1204,$Q152))</f>
        <v/>
      </c>
      <c r="H152" s="25" t="str">
        <f>IF($Q152="","",INDEX(TRANSACTIONS_MASTER!$L$5:$L$1204,$Q152))</f>
        <v/>
      </c>
      <c r="I152" s="56" t="str">
        <f>IF($Q152="","",INDEX(TRANSACTIONS_MASTER!$N$5:$N$1204,$Q152))</f>
        <v/>
      </c>
      <c r="J152" s="25" t="str">
        <f>IF($Q152="","",INDEX(TRANSACTIONS_MASTER!$O$5:$O$1204,$Q152))</f>
        <v/>
      </c>
      <c r="K152" s="26" t="str">
        <f>IF($Q152="","",INDEX(TRANSACTIONS_MASTER!$Q$5:$Q$1204,$Q152))</f>
        <v/>
      </c>
      <c r="L152" s="25" t="str">
        <f>IF($Q152="","",INDEX(TRANSACTIONS_MASTER!$P$5:$P$1204,$Q152))</f>
        <v/>
      </c>
      <c r="M152" s="25" t="str">
        <f>IF($Q152="","",INDEX(TRANSACTIONS_MASTER!$AA$5:$AA$1204,$Q152))</f>
        <v/>
      </c>
      <c r="N152" s="25" t="str">
        <f>IF($Q152="","",INDEX(TRANSACTIONS_MASTER!$R$5:$R$1204,$Q152))</f>
        <v/>
      </c>
      <c r="O152" s="28" t="str">
        <f>IF($Q152="","",INDEX(TRANSACTIONS_MASTER!$AB$5:$AB$1204,$Q152))</f>
        <v/>
      </c>
      <c r="P152" s="55" t="str">
        <f>IF($Q152="","",INDEX(TRANSACTIONS_MASTER!$Z$5:$Z$1204,$Q152)&amp;"")</f>
        <v/>
      </c>
      <c r="Q152" s="67" t="str">
        <f>IFERROR(MATCH($C$2&amp;"|"&amp;145,TRANSACTIONS_MASTER!$AE$5:$AE$1204,0),"")</f>
        <v/>
      </c>
      <c r="S152" s="67" t="str">
        <f>IFERROR(MATCH(1,INDEX((TRANSACTIONS_MASTER!$C$5:$C$1204=$C$2)*(TRANSACTIONS_MASTER!$AJ$5:$AJ$1204=15),0),0),"")</f>
        <v/>
      </c>
      <c r="T152" s="29" t="str">
        <f>IF($S152="","",INDEX(TRANSACTIONS_MASTER!$I$5:$I$1204,$S152))</f>
        <v/>
      </c>
      <c r="U152" s="55" t="str">
        <f>IF($S152="","",INDEX(TRANSACTIONS_MASTER!$J$5:$J$1204,$S152))</f>
        <v/>
      </c>
      <c r="V152" s="25" t="str">
        <f>IF($S152="","",SUMIFS(TRANSACTIONS_MASTER!$L$5:$L$1204,TRANSACTIONS_MASTER!$I$5:$I$1204,$T152,TRANSACTIONS_MASTER!$C$5:$C$1204,$C$2,TRANSACTIONS_MASTER!$U$5:$U$1204,"&lt;&gt;Cancelled"))</f>
        <v/>
      </c>
      <c r="W152" s="26" t="str">
        <f>IF($S152="","",SUMIFS(TRANSACTIONS_MASTER!$Q$5:$Q$1204,TRANSACTIONS_MASTER!$I$5:$I$1204,$T152,TRANSACTIONS_MASTER!$C$5:$C$1204,$C$2))</f>
        <v/>
      </c>
    </row>
    <row r="153">
      <c r="A153" s="81" t="str">
        <f>IF($Q153="","",146)</f>
        <v/>
      </c>
      <c r="B153" s="57" t="str">
        <f>IF($Q153="","",INDEX(TRANSACTIONS_MASTER!$B$5:$B$1204,$Q153))</f>
        <v/>
      </c>
      <c r="C153" s="55" t="str">
        <f>IF($Q153="","",INDEX(TRANSACTIONS_MASTER!$F$5:$F$1204,$Q153))</f>
        <v/>
      </c>
      <c r="D153" s="55" t="str">
        <f>IF($Q153="","",INDEX(TRANSACTIONS_MASTER!$E$5:$E$1204,$Q153))</f>
        <v/>
      </c>
      <c r="E153" s="55" t="str">
        <f>IF($Q153="","",INDEX(TRANSACTIONS_MASTER!$G$5:$G$1204,$Q153)&amp;"")</f>
        <v/>
      </c>
      <c r="F153" s="29" t="str">
        <f>IF($Q153="","",INDEX(TRANSACTIONS_MASTER!$I$5:$I$1204,$Q153))</f>
        <v/>
      </c>
      <c r="G153" s="55" t="str">
        <f>IF($Q153="","",INDEX(TRANSACTIONS_MASTER!$K$5:$K$1204,$Q153))</f>
        <v/>
      </c>
      <c r="H153" s="25" t="str">
        <f>IF($Q153="","",INDEX(TRANSACTIONS_MASTER!$L$5:$L$1204,$Q153))</f>
        <v/>
      </c>
      <c r="I153" s="56" t="str">
        <f>IF($Q153="","",INDEX(TRANSACTIONS_MASTER!$N$5:$N$1204,$Q153))</f>
        <v/>
      </c>
      <c r="J153" s="25" t="str">
        <f>IF($Q153="","",INDEX(TRANSACTIONS_MASTER!$O$5:$O$1204,$Q153))</f>
        <v/>
      </c>
      <c r="K153" s="26" t="str">
        <f>IF($Q153="","",INDEX(TRANSACTIONS_MASTER!$Q$5:$Q$1204,$Q153))</f>
        <v/>
      </c>
      <c r="L153" s="25" t="str">
        <f>IF($Q153="","",INDEX(TRANSACTIONS_MASTER!$P$5:$P$1204,$Q153))</f>
        <v/>
      </c>
      <c r="M153" s="25" t="str">
        <f>IF($Q153="","",INDEX(TRANSACTIONS_MASTER!$AA$5:$AA$1204,$Q153))</f>
        <v/>
      </c>
      <c r="N153" s="25" t="str">
        <f>IF($Q153="","",INDEX(TRANSACTIONS_MASTER!$R$5:$R$1204,$Q153))</f>
        <v/>
      </c>
      <c r="O153" s="28" t="str">
        <f>IF($Q153="","",INDEX(TRANSACTIONS_MASTER!$AB$5:$AB$1204,$Q153))</f>
        <v/>
      </c>
      <c r="P153" s="55" t="str">
        <f>IF($Q153="","",INDEX(TRANSACTIONS_MASTER!$Z$5:$Z$1204,$Q153)&amp;"")</f>
        <v/>
      </c>
      <c r="Q153" s="67" t="str">
        <f>IFERROR(MATCH($C$2&amp;"|"&amp;146,TRANSACTIONS_MASTER!$AE$5:$AE$1204,0),"")</f>
        <v/>
      </c>
      <c r="T153" s="45" t="n"/>
      <c r="U153" s="82" t="inlineStr">
        <is>
          <t>Khác (ngoài danh sách)</t>
        </is>
      </c>
      <c r="V153" s="48">
        <f>MAX(0,SUMIFS(TRANSACTIONS_MASTER!$L$5:$L$1204,TRANSACTIONS_MASTER!$C$5:$C$1204,$C$2,TRANSACTIONS_MASTER!$U$5:$U$1204,"&lt;&gt;Cancelled")-SUM(V138:V152))</f>
        <v>0</v>
      </c>
      <c r="W153" s="48">
        <f>MAX(0,SUMIFS(TRANSACTIONS_MASTER!$Q$5:$Q$1204,TRANSACTIONS_MASTER!$C$5:$C$1204,$C$2)-SUM(W138:W152))</f>
        <v>0</v>
      </c>
    </row>
    <row r="154">
      <c r="A154" s="81" t="str">
        <f>IF($Q154="","",147)</f>
        <v/>
      </c>
      <c r="B154" s="57" t="str">
        <f>IF($Q154="","",INDEX(TRANSACTIONS_MASTER!$B$5:$B$1204,$Q154))</f>
        <v/>
      </c>
      <c r="C154" s="55" t="str">
        <f>IF($Q154="","",INDEX(TRANSACTIONS_MASTER!$F$5:$F$1204,$Q154))</f>
        <v/>
      </c>
      <c r="D154" s="55" t="str">
        <f>IF($Q154="","",INDEX(TRANSACTIONS_MASTER!$E$5:$E$1204,$Q154))</f>
        <v/>
      </c>
      <c r="E154" s="55" t="str">
        <f>IF($Q154="","",INDEX(TRANSACTIONS_MASTER!$G$5:$G$1204,$Q154)&amp;"")</f>
        <v/>
      </c>
      <c r="F154" s="29" t="str">
        <f>IF($Q154="","",INDEX(TRANSACTIONS_MASTER!$I$5:$I$1204,$Q154))</f>
        <v/>
      </c>
      <c r="G154" s="55" t="str">
        <f>IF($Q154="","",INDEX(TRANSACTIONS_MASTER!$K$5:$K$1204,$Q154))</f>
        <v/>
      </c>
      <c r="H154" s="25" t="str">
        <f>IF($Q154="","",INDEX(TRANSACTIONS_MASTER!$L$5:$L$1204,$Q154))</f>
        <v/>
      </c>
      <c r="I154" s="56" t="str">
        <f>IF($Q154="","",INDEX(TRANSACTIONS_MASTER!$N$5:$N$1204,$Q154))</f>
        <v/>
      </c>
      <c r="J154" s="25" t="str">
        <f>IF($Q154="","",INDEX(TRANSACTIONS_MASTER!$O$5:$O$1204,$Q154))</f>
        <v/>
      </c>
      <c r="K154" s="26" t="str">
        <f>IF($Q154="","",INDEX(TRANSACTIONS_MASTER!$Q$5:$Q$1204,$Q154))</f>
        <v/>
      </c>
      <c r="L154" s="25" t="str">
        <f>IF($Q154="","",INDEX(TRANSACTIONS_MASTER!$P$5:$P$1204,$Q154))</f>
        <v/>
      </c>
      <c r="M154" s="25" t="str">
        <f>IF($Q154="","",INDEX(TRANSACTIONS_MASTER!$AA$5:$AA$1204,$Q154))</f>
        <v/>
      </c>
      <c r="N154" s="25" t="str">
        <f>IF($Q154="","",INDEX(TRANSACTIONS_MASTER!$R$5:$R$1204,$Q154))</f>
        <v/>
      </c>
      <c r="O154" s="28" t="str">
        <f>IF($Q154="","",INDEX(TRANSACTIONS_MASTER!$AB$5:$AB$1204,$Q154))</f>
        <v/>
      </c>
      <c r="P154" s="55" t="str">
        <f>IF($Q154="","",INDEX(TRANSACTIONS_MASTER!$Z$5:$Z$1204,$Q154)&amp;"")</f>
        <v/>
      </c>
      <c r="Q154" s="67" t="str">
        <f>IFERROR(MATCH($C$2&amp;"|"&amp;147,TRANSACTIONS_MASTER!$AE$5:$AE$1204,0),"")</f>
        <v/>
      </c>
      <c r="T154" s="68" t="n"/>
      <c r="U154" s="69" t="inlineStr">
        <is>
          <t>TỔNG</t>
        </is>
      </c>
      <c r="V154" s="31">
        <f>SUM(V138:V153)</f>
        <v>0</v>
      </c>
      <c r="W154" s="31">
        <f>SUM(W138:W153)</f>
        <v>0</v>
      </c>
    </row>
    <row r="155">
      <c r="A155" s="81" t="str">
        <f>IF($Q155="","",148)</f>
        <v/>
      </c>
      <c r="B155" s="57" t="str">
        <f>IF($Q155="","",INDEX(TRANSACTIONS_MASTER!$B$5:$B$1204,$Q155))</f>
        <v/>
      </c>
      <c r="C155" s="55" t="str">
        <f>IF($Q155="","",INDEX(TRANSACTIONS_MASTER!$F$5:$F$1204,$Q155))</f>
        <v/>
      </c>
      <c r="D155" s="55" t="str">
        <f>IF($Q155="","",INDEX(TRANSACTIONS_MASTER!$E$5:$E$1204,$Q155))</f>
        <v/>
      </c>
      <c r="E155" s="55" t="str">
        <f>IF($Q155="","",INDEX(TRANSACTIONS_MASTER!$G$5:$G$1204,$Q155)&amp;"")</f>
        <v/>
      </c>
      <c r="F155" s="29" t="str">
        <f>IF($Q155="","",INDEX(TRANSACTIONS_MASTER!$I$5:$I$1204,$Q155))</f>
        <v/>
      </c>
      <c r="G155" s="55" t="str">
        <f>IF($Q155="","",INDEX(TRANSACTIONS_MASTER!$K$5:$K$1204,$Q155))</f>
        <v/>
      </c>
      <c r="H155" s="25" t="str">
        <f>IF($Q155="","",INDEX(TRANSACTIONS_MASTER!$L$5:$L$1204,$Q155))</f>
        <v/>
      </c>
      <c r="I155" s="56" t="str">
        <f>IF($Q155="","",INDEX(TRANSACTIONS_MASTER!$N$5:$N$1204,$Q155))</f>
        <v/>
      </c>
      <c r="J155" s="25" t="str">
        <f>IF($Q155="","",INDEX(TRANSACTIONS_MASTER!$O$5:$O$1204,$Q155))</f>
        <v/>
      </c>
      <c r="K155" s="26" t="str">
        <f>IF($Q155="","",INDEX(TRANSACTIONS_MASTER!$Q$5:$Q$1204,$Q155))</f>
        <v/>
      </c>
      <c r="L155" s="25" t="str">
        <f>IF($Q155="","",INDEX(TRANSACTIONS_MASTER!$P$5:$P$1204,$Q155))</f>
        <v/>
      </c>
      <c r="M155" s="25" t="str">
        <f>IF($Q155="","",INDEX(TRANSACTIONS_MASTER!$AA$5:$AA$1204,$Q155))</f>
        <v/>
      </c>
      <c r="N155" s="25" t="str">
        <f>IF($Q155="","",INDEX(TRANSACTIONS_MASTER!$R$5:$R$1204,$Q155))</f>
        <v/>
      </c>
      <c r="O155" s="28" t="str">
        <f>IF($Q155="","",INDEX(TRANSACTIONS_MASTER!$AB$5:$AB$1204,$Q155))</f>
        <v/>
      </c>
      <c r="P155" s="55" t="str">
        <f>IF($Q155="","",INDEX(TRANSACTIONS_MASTER!$Z$5:$Z$1204,$Q155)&amp;"")</f>
        <v/>
      </c>
      <c r="Q155" s="67" t="str">
        <f>IFERROR(MATCH($C$2&amp;"|"&amp;148,TRANSACTIONS_MASTER!$AE$5:$AE$1204,0),"")</f>
        <v/>
      </c>
    </row>
    <row r="156">
      <c r="A156" s="81" t="str">
        <f>IF($Q156="","",149)</f>
        <v/>
      </c>
      <c r="B156" s="57" t="str">
        <f>IF($Q156="","",INDEX(TRANSACTIONS_MASTER!$B$5:$B$1204,$Q156))</f>
        <v/>
      </c>
      <c r="C156" s="55" t="str">
        <f>IF($Q156="","",INDEX(TRANSACTIONS_MASTER!$F$5:$F$1204,$Q156))</f>
        <v/>
      </c>
      <c r="D156" s="55" t="str">
        <f>IF($Q156="","",INDEX(TRANSACTIONS_MASTER!$E$5:$E$1204,$Q156))</f>
        <v/>
      </c>
      <c r="E156" s="55" t="str">
        <f>IF($Q156="","",INDEX(TRANSACTIONS_MASTER!$G$5:$G$1204,$Q156)&amp;"")</f>
        <v/>
      </c>
      <c r="F156" s="29" t="str">
        <f>IF($Q156="","",INDEX(TRANSACTIONS_MASTER!$I$5:$I$1204,$Q156))</f>
        <v/>
      </c>
      <c r="G156" s="55" t="str">
        <f>IF($Q156="","",INDEX(TRANSACTIONS_MASTER!$K$5:$K$1204,$Q156))</f>
        <v/>
      </c>
      <c r="H156" s="25" t="str">
        <f>IF($Q156="","",INDEX(TRANSACTIONS_MASTER!$L$5:$L$1204,$Q156))</f>
        <v/>
      </c>
      <c r="I156" s="56" t="str">
        <f>IF($Q156="","",INDEX(TRANSACTIONS_MASTER!$N$5:$N$1204,$Q156))</f>
        <v/>
      </c>
      <c r="J156" s="25" t="str">
        <f>IF($Q156="","",INDEX(TRANSACTIONS_MASTER!$O$5:$O$1204,$Q156))</f>
        <v/>
      </c>
      <c r="K156" s="26" t="str">
        <f>IF($Q156="","",INDEX(TRANSACTIONS_MASTER!$Q$5:$Q$1204,$Q156))</f>
        <v/>
      </c>
      <c r="L156" s="25" t="str">
        <f>IF($Q156="","",INDEX(TRANSACTIONS_MASTER!$P$5:$P$1204,$Q156))</f>
        <v/>
      </c>
      <c r="M156" s="25" t="str">
        <f>IF($Q156="","",INDEX(TRANSACTIONS_MASTER!$AA$5:$AA$1204,$Q156))</f>
        <v/>
      </c>
      <c r="N156" s="25" t="str">
        <f>IF($Q156="","",INDEX(TRANSACTIONS_MASTER!$R$5:$R$1204,$Q156))</f>
        <v/>
      </c>
      <c r="O156" s="28" t="str">
        <f>IF($Q156="","",INDEX(TRANSACTIONS_MASTER!$AB$5:$AB$1204,$Q156))</f>
        <v/>
      </c>
      <c r="P156" s="55" t="str">
        <f>IF($Q156="","",INDEX(TRANSACTIONS_MASTER!$Z$5:$Z$1204,$Q156)&amp;"")</f>
        <v/>
      </c>
      <c r="Q156" s="67" t="str">
        <f>IFERROR(MATCH($C$2&amp;"|"&amp;149,TRANSACTIONS_MASTER!$AE$5:$AE$1204,0),"")</f>
        <v/>
      </c>
    </row>
    <row r="157" ht="22" customHeight="1">
      <c r="A157" s="81" t="str">
        <f>IF($Q157="","",150)</f>
        <v/>
      </c>
      <c r="B157" s="57" t="str">
        <f>IF($Q157="","",INDEX(TRANSACTIONS_MASTER!$B$5:$B$1204,$Q157))</f>
        <v/>
      </c>
      <c r="C157" s="55" t="str">
        <f>IF($Q157="","",INDEX(TRANSACTIONS_MASTER!$F$5:$F$1204,$Q157))</f>
        <v/>
      </c>
      <c r="D157" s="55" t="str">
        <f>IF($Q157="","",INDEX(TRANSACTIONS_MASTER!$E$5:$E$1204,$Q157))</f>
        <v/>
      </c>
      <c r="E157" s="55" t="str">
        <f>IF($Q157="","",INDEX(TRANSACTIONS_MASTER!$G$5:$G$1204,$Q157)&amp;"")</f>
        <v/>
      </c>
      <c r="F157" s="29" t="str">
        <f>IF($Q157="","",INDEX(TRANSACTIONS_MASTER!$I$5:$I$1204,$Q157))</f>
        <v/>
      </c>
      <c r="G157" s="55" t="str">
        <f>IF($Q157="","",INDEX(TRANSACTIONS_MASTER!$K$5:$K$1204,$Q157))</f>
        <v/>
      </c>
      <c r="H157" s="25" t="str">
        <f>IF($Q157="","",INDEX(TRANSACTIONS_MASTER!$L$5:$L$1204,$Q157))</f>
        <v/>
      </c>
      <c r="I157" s="56" t="str">
        <f>IF($Q157="","",INDEX(TRANSACTIONS_MASTER!$N$5:$N$1204,$Q157))</f>
        <v/>
      </c>
      <c r="J157" s="25" t="str">
        <f>IF($Q157="","",INDEX(TRANSACTIONS_MASTER!$O$5:$O$1204,$Q157))</f>
        <v/>
      </c>
      <c r="K157" s="26" t="str">
        <f>IF($Q157="","",INDEX(TRANSACTIONS_MASTER!$Q$5:$Q$1204,$Q157))</f>
        <v/>
      </c>
      <c r="L157" s="25" t="str">
        <f>IF($Q157="","",INDEX(TRANSACTIONS_MASTER!$P$5:$P$1204,$Q157))</f>
        <v/>
      </c>
      <c r="M157" s="25" t="str">
        <f>IF($Q157="","",INDEX(TRANSACTIONS_MASTER!$AA$5:$AA$1204,$Q157))</f>
        <v/>
      </c>
      <c r="N157" s="25" t="str">
        <f>IF($Q157="","",INDEX(TRANSACTIONS_MASTER!$R$5:$R$1204,$Q157))</f>
        <v/>
      </c>
      <c r="O157" s="28" t="str">
        <f>IF($Q157="","",INDEX(TRANSACTIONS_MASTER!$AB$5:$AB$1204,$Q157))</f>
        <v/>
      </c>
      <c r="P157" s="55" t="str">
        <f>IF($Q157="","",INDEX(TRANSACTIONS_MASTER!$Z$5:$Z$1204,$Q157)&amp;"")</f>
        <v/>
      </c>
      <c r="Q157" s="67" t="str">
        <f>IFERROR(MATCH($C$2&amp;"|"&amp;150,TRANSACTIONS_MASTER!$AE$5:$AE$1204,0),"")</f>
        <v/>
      </c>
      <c r="T157" s="19" t="inlineStr">
        <is>
          <t>THEO MERCHANT</t>
        </is>
      </c>
      <c r="U157" s="20" t="n"/>
      <c r="V157" s="20" t="n"/>
      <c r="W157" s="20" t="n"/>
      <c r="X157" s="20" t="n"/>
      <c r="Y157" s="20" t="n"/>
      <c r="Z157" s="20" t="n"/>
      <c r="AA157" s="20" t="n"/>
    </row>
    <row r="158" ht="28" customHeight="1">
      <c r="A158" s="81" t="str">
        <f>IF($Q158="","",151)</f>
        <v/>
      </c>
      <c r="B158" s="57" t="str">
        <f>IF($Q158="","",INDEX(TRANSACTIONS_MASTER!$B$5:$B$1204,$Q158))</f>
        <v/>
      </c>
      <c r="C158" s="55" t="str">
        <f>IF($Q158="","",INDEX(TRANSACTIONS_MASTER!$F$5:$F$1204,$Q158))</f>
        <v/>
      </c>
      <c r="D158" s="55" t="str">
        <f>IF($Q158="","",INDEX(TRANSACTIONS_MASTER!$E$5:$E$1204,$Q158))</f>
        <v/>
      </c>
      <c r="E158" s="55" t="str">
        <f>IF($Q158="","",INDEX(TRANSACTIONS_MASTER!$G$5:$G$1204,$Q158)&amp;"")</f>
        <v/>
      </c>
      <c r="F158" s="29" t="str">
        <f>IF($Q158="","",INDEX(TRANSACTIONS_MASTER!$I$5:$I$1204,$Q158))</f>
        <v/>
      </c>
      <c r="G158" s="55" t="str">
        <f>IF($Q158="","",INDEX(TRANSACTIONS_MASTER!$K$5:$K$1204,$Q158))</f>
        <v/>
      </c>
      <c r="H158" s="25" t="str">
        <f>IF($Q158="","",INDEX(TRANSACTIONS_MASTER!$L$5:$L$1204,$Q158))</f>
        <v/>
      </c>
      <c r="I158" s="56" t="str">
        <f>IF($Q158="","",INDEX(TRANSACTIONS_MASTER!$N$5:$N$1204,$Q158))</f>
        <v/>
      </c>
      <c r="J158" s="25" t="str">
        <f>IF($Q158="","",INDEX(TRANSACTIONS_MASTER!$O$5:$O$1204,$Q158))</f>
        <v/>
      </c>
      <c r="K158" s="26" t="str">
        <f>IF($Q158="","",INDEX(TRANSACTIONS_MASTER!$Q$5:$Q$1204,$Q158))</f>
        <v/>
      </c>
      <c r="L158" s="25" t="str">
        <f>IF($Q158="","",INDEX(TRANSACTIONS_MASTER!$P$5:$P$1204,$Q158))</f>
        <v/>
      </c>
      <c r="M158" s="25" t="str">
        <f>IF($Q158="","",INDEX(TRANSACTIONS_MASTER!$AA$5:$AA$1204,$Q158))</f>
        <v/>
      </c>
      <c r="N158" s="25" t="str">
        <f>IF($Q158="","",INDEX(TRANSACTIONS_MASTER!$R$5:$R$1204,$Q158))</f>
        <v/>
      </c>
      <c r="O158" s="28" t="str">
        <f>IF($Q158="","",INDEX(TRANSACTIONS_MASTER!$AB$5:$AB$1204,$Q158))</f>
        <v/>
      </c>
      <c r="P158" s="55" t="str">
        <f>IF($Q158="","",INDEX(TRANSACTIONS_MASTER!$Z$5:$Z$1204,$Q158)&amp;"")</f>
        <v/>
      </c>
      <c r="Q158" s="67" t="str">
        <f>IFERROR(MATCH($C$2&amp;"|"&amp;151,TRANSACTIONS_MASTER!$AE$5:$AE$1204,0),"")</f>
        <v/>
      </c>
      <c r="S158" s="21" t="inlineStr">
        <is>
          <t>#</t>
        </is>
      </c>
      <c r="T158" s="21" t="inlineStr"/>
      <c r="U158" s="21" t="inlineStr">
        <is>
          <t>Merchant</t>
        </is>
      </c>
      <c r="V158" s="21" t="inlineStr">
        <is>
          <t>Chi tiêu</t>
        </is>
      </c>
      <c r="W158" s="21" t="inlineStr">
        <is>
          <t>Cashback</t>
        </is>
      </c>
    </row>
    <row r="159">
      <c r="A159" s="81" t="str">
        <f>IF($Q159="","",152)</f>
        <v/>
      </c>
      <c r="B159" s="57" t="str">
        <f>IF($Q159="","",INDEX(TRANSACTIONS_MASTER!$B$5:$B$1204,$Q159))</f>
        <v/>
      </c>
      <c r="C159" s="55" t="str">
        <f>IF($Q159="","",INDEX(TRANSACTIONS_MASTER!$F$5:$F$1204,$Q159))</f>
        <v/>
      </c>
      <c r="D159" s="55" t="str">
        <f>IF($Q159="","",INDEX(TRANSACTIONS_MASTER!$E$5:$E$1204,$Q159))</f>
        <v/>
      </c>
      <c r="E159" s="55" t="str">
        <f>IF($Q159="","",INDEX(TRANSACTIONS_MASTER!$G$5:$G$1204,$Q159)&amp;"")</f>
        <v/>
      </c>
      <c r="F159" s="29" t="str">
        <f>IF($Q159="","",INDEX(TRANSACTIONS_MASTER!$I$5:$I$1204,$Q159))</f>
        <v/>
      </c>
      <c r="G159" s="55" t="str">
        <f>IF($Q159="","",INDEX(TRANSACTIONS_MASTER!$K$5:$K$1204,$Q159))</f>
        <v/>
      </c>
      <c r="H159" s="25" t="str">
        <f>IF($Q159="","",INDEX(TRANSACTIONS_MASTER!$L$5:$L$1204,$Q159))</f>
        <v/>
      </c>
      <c r="I159" s="56" t="str">
        <f>IF($Q159="","",INDEX(TRANSACTIONS_MASTER!$N$5:$N$1204,$Q159))</f>
        <v/>
      </c>
      <c r="J159" s="25" t="str">
        <f>IF($Q159="","",INDEX(TRANSACTIONS_MASTER!$O$5:$O$1204,$Q159))</f>
        <v/>
      </c>
      <c r="K159" s="26" t="str">
        <f>IF($Q159="","",INDEX(TRANSACTIONS_MASTER!$Q$5:$Q$1204,$Q159))</f>
        <v/>
      </c>
      <c r="L159" s="25" t="str">
        <f>IF($Q159="","",INDEX(TRANSACTIONS_MASTER!$P$5:$P$1204,$Q159))</f>
        <v/>
      </c>
      <c r="M159" s="25" t="str">
        <f>IF($Q159="","",INDEX(TRANSACTIONS_MASTER!$AA$5:$AA$1204,$Q159))</f>
        <v/>
      </c>
      <c r="N159" s="25" t="str">
        <f>IF($Q159="","",INDEX(TRANSACTIONS_MASTER!$R$5:$R$1204,$Q159))</f>
        <v/>
      </c>
      <c r="O159" s="28" t="str">
        <f>IF($Q159="","",INDEX(TRANSACTIONS_MASTER!$AB$5:$AB$1204,$Q159))</f>
        <v/>
      </c>
      <c r="P159" s="55" t="str">
        <f>IF($Q159="","",INDEX(TRANSACTIONS_MASTER!$Z$5:$Z$1204,$Q159)&amp;"")</f>
        <v/>
      </c>
      <c r="Q159" s="67" t="str">
        <f>IFERROR(MATCH($C$2&amp;"|"&amp;152,TRANSACTIONS_MASTER!$AE$5:$AE$1204,0),"")</f>
        <v/>
      </c>
      <c r="S159" s="67" t="str">
        <f>IFERROR(MATCH(1,INDEX((TRANSACTIONS_MASTER!$C$5:$C$1204=$C$2)*(TRANSACTIONS_MASTER!$AN$5:$AN$1204=1),0),0),"")</f>
        <v/>
      </c>
      <c r="T159" s="55" t="n"/>
      <c r="U159" s="55" t="str">
        <f>IF($S159="","",INDEX(TRANSACTIONS_MASTER!$G$5:$G$1204,$S159)&amp;"")</f>
        <v/>
      </c>
      <c r="V159" s="25" t="str">
        <f>IF($S159="","",SUMIFS(TRANSACTIONS_MASTER!$L$5:$L$1204,TRANSACTIONS_MASTER!$G$5:$G$1204,$U159,TRANSACTIONS_MASTER!$C$5:$C$1204,$C$2,TRANSACTIONS_MASTER!$U$5:$U$1204,"&lt;&gt;Cancelled"))</f>
        <v/>
      </c>
      <c r="W159" s="26" t="str">
        <f>IF($S159="","",SUMIFS(TRANSACTIONS_MASTER!$Q$5:$Q$1204,TRANSACTIONS_MASTER!$G$5:$G$1204,$U159,TRANSACTIONS_MASTER!$C$5:$C$1204,$C$2))</f>
        <v/>
      </c>
    </row>
    <row r="160">
      <c r="A160" s="81" t="str">
        <f>IF($Q160="","",153)</f>
        <v/>
      </c>
      <c r="B160" s="57" t="str">
        <f>IF($Q160="","",INDEX(TRANSACTIONS_MASTER!$B$5:$B$1204,$Q160))</f>
        <v/>
      </c>
      <c r="C160" s="55" t="str">
        <f>IF($Q160="","",INDEX(TRANSACTIONS_MASTER!$F$5:$F$1204,$Q160))</f>
        <v/>
      </c>
      <c r="D160" s="55" t="str">
        <f>IF($Q160="","",INDEX(TRANSACTIONS_MASTER!$E$5:$E$1204,$Q160))</f>
        <v/>
      </c>
      <c r="E160" s="55" t="str">
        <f>IF($Q160="","",INDEX(TRANSACTIONS_MASTER!$G$5:$G$1204,$Q160)&amp;"")</f>
        <v/>
      </c>
      <c r="F160" s="29" t="str">
        <f>IF($Q160="","",INDEX(TRANSACTIONS_MASTER!$I$5:$I$1204,$Q160))</f>
        <v/>
      </c>
      <c r="G160" s="55" t="str">
        <f>IF($Q160="","",INDEX(TRANSACTIONS_MASTER!$K$5:$K$1204,$Q160))</f>
        <v/>
      </c>
      <c r="H160" s="25" t="str">
        <f>IF($Q160="","",INDEX(TRANSACTIONS_MASTER!$L$5:$L$1204,$Q160))</f>
        <v/>
      </c>
      <c r="I160" s="56" t="str">
        <f>IF($Q160="","",INDEX(TRANSACTIONS_MASTER!$N$5:$N$1204,$Q160))</f>
        <v/>
      </c>
      <c r="J160" s="25" t="str">
        <f>IF($Q160="","",INDEX(TRANSACTIONS_MASTER!$O$5:$O$1204,$Q160))</f>
        <v/>
      </c>
      <c r="K160" s="26" t="str">
        <f>IF($Q160="","",INDEX(TRANSACTIONS_MASTER!$Q$5:$Q$1204,$Q160))</f>
        <v/>
      </c>
      <c r="L160" s="25" t="str">
        <f>IF($Q160="","",INDEX(TRANSACTIONS_MASTER!$P$5:$P$1204,$Q160))</f>
        <v/>
      </c>
      <c r="M160" s="25" t="str">
        <f>IF($Q160="","",INDEX(TRANSACTIONS_MASTER!$AA$5:$AA$1204,$Q160))</f>
        <v/>
      </c>
      <c r="N160" s="25" t="str">
        <f>IF($Q160="","",INDEX(TRANSACTIONS_MASTER!$R$5:$R$1204,$Q160))</f>
        <v/>
      </c>
      <c r="O160" s="28" t="str">
        <f>IF($Q160="","",INDEX(TRANSACTIONS_MASTER!$AB$5:$AB$1204,$Q160))</f>
        <v/>
      </c>
      <c r="P160" s="55" t="str">
        <f>IF($Q160="","",INDEX(TRANSACTIONS_MASTER!$Z$5:$Z$1204,$Q160)&amp;"")</f>
        <v/>
      </c>
      <c r="Q160" s="67" t="str">
        <f>IFERROR(MATCH($C$2&amp;"|"&amp;153,TRANSACTIONS_MASTER!$AE$5:$AE$1204,0),"")</f>
        <v/>
      </c>
      <c r="S160" s="67" t="str">
        <f>IFERROR(MATCH(1,INDEX((TRANSACTIONS_MASTER!$C$5:$C$1204=$C$2)*(TRANSACTIONS_MASTER!$AN$5:$AN$1204=2),0),0),"")</f>
        <v/>
      </c>
      <c r="T160" s="55" t="n"/>
      <c r="U160" s="55" t="str">
        <f>IF($S160="","",INDEX(TRANSACTIONS_MASTER!$G$5:$G$1204,$S160)&amp;"")</f>
        <v/>
      </c>
      <c r="V160" s="25" t="str">
        <f>IF($S160="","",SUMIFS(TRANSACTIONS_MASTER!$L$5:$L$1204,TRANSACTIONS_MASTER!$G$5:$G$1204,$U160,TRANSACTIONS_MASTER!$C$5:$C$1204,$C$2,TRANSACTIONS_MASTER!$U$5:$U$1204,"&lt;&gt;Cancelled"))</f>
        <v/>
      </c>
      <c r="W160" s="26" t="str">
        <f>IF($S160="","",SUMIFS(TRANSACTIONS_MASTER!$Q$5:$Q$1204,TRANSACTIONS_MASTER!$G$5:$G$1204,$U160,TRANSACTIONS_MASTER!$C$5:$C$1204,$C$2))</f>
        <v/>
      </c>
    </row>
    <row r="161">
      <c r="A161" s="81" t="str">
        <f>IF($Q161="","",154)</f>
        <v/>
      </c>
      <c r="B161" s="57" t="str">
        <f>IF($Q161="","",INDEX(TRANSACTIONS_MASTER!$B$5:$B$1204,$Q161))</f>
        <v/>
      </c>
      <c r="C161" s="55" t="str">
        <f>IF($Q161="","",INDEX(TRANSACTIONS_MASTER!$F$5:$F$1204,$Q161))</f>
        <v/>
      </c>
      <c r="D161" s="55" t="str">
        <f>IF($Q161="","",INDEX(TRANSACTIONS_MASTER!$E$5:$E$1204,$Q161))</f>
        <v/>
      </c>
      <c r="E161" s="55" t="str">
        <f>IF($Q161="","",INDEX(TRANSACTIONS_MASTER!$G$5:$G$1204,$Q161)&amp;"")</f>
        <v/>
      </c>
      <c r="F161" s="29" t="str">
        <f>IF($Q161="","",INDEX(TRANSACTIONS_MASTER!$I$5:$I$1204,$Q161))</f>
        <v/>
      </c>
      <c r="G161" s="55" t="str">
        <f>IF($Q161="","",INDEX(TRANSACTIONS_MASTER!$K$5:$K$1204,$Q161))</f>
        <v/>
      </c>
      <c r="H161" s="25" t="str">
        <f>IF($Q161="","",INDEX(TRANSACTIONS_MASTER!$L$5:$L$1204,$Q161))</f>
        <v/>
      </c>
      <c r="I161" s="56" t="str">
        <f>IF($Q161="","",INDEX(TRANSACTIONS_MASTER!$N$5:$N$1204,$Q161))</f>
        <v/>
      </c>
      <c r="J161" s="25" t="str">
        <f>IF($Q161="","",INDEX(TRANSACTIONS_MASTER!$O$5:$O$1204,$Q161))</f>
        <v/>
      </c>
      <c r="K161" s="26" t="str">
        <f>IF($Q161="","",INDEX(TRANSACTIONS_MASTER!$Q$5:$Q$1204,$Q161))</f>
        <v/>
      </c>
      <c r="L161" s="25" t="str">
        <f>IF($Q161="","",INDEX(TRANSACTIONS_MASTER!$P$5:$P$1204,$Q161))</f>
        <v/>
      </c>
      <c r="M161" s="25" t="str">
        <f>IF($Q161="","",INDEX(TRANSACTIONS_MASTER!$AA$5:$AA$1204,$Q161))</f>
        <v/>
      </c>
      <c r="N161" s="25" t="str">
        <f>IF($Q161="","",INDEX(TRANSACTIONS_MASTER!$R$5:$R$1204,$Q161))</f>
        <v/>
      </c>
      <c r="O161" s="28" t="str">
        <f>IF($Q161="","",INDEX(TRANSACTIONS_MASTER!$AB$5:$AB$1204,$Q161))</f>
        <v/>
      </c>
      <c r="P161" s="55" t="str">
        <f>IF($Q161="","",INDEX(TRANSACTIONS_MASTER!$Z$5:$Z$1204,$Q161)&amp;"")</f>
        <v/>
      </c>
      <c r="Q161" s="67" t="str">
        <f>IFERROR(MATCH($C$2&amp;"|"&amp;154,TRANSACTIONS_MASTER!$AE$5:$AE$1204,0),"")</f>
        <v/>
      </c>
      <c r="S161" s="67" t="str">
        <f>IFERROR(MATCH(1,INDEX((TRANSACTIONS_MASTER!$C$5:$C$1204=$C$2)*(TRANSACTIONS_MASTER!$AN$5:$AN$1204=3),0),0),"")</f>
        <v/>
      </c>
      <c r="T161" s="55" t="n"/>
      <c r="U161" s="55" t="str">
        <f>IF($S161="","",INDEX(TRANSACTIONS_MASTER!$G$5:$G$1204,$S161)&amp;"")</f>
        <v/>
      </c>
      <c r="V161" s="25" t="str">
        <f>IF($S161="","",SUMIFS(TRANSACTIONS_MASTER!$L$5:$L$1204,TRANSACTIONS_MASTER!$G$5:$G$1204,$U161,TRANSACTIONS_MASTER!$C$5:$C$1204,$C$2,TRANSACTIONS_MASTER!$U$5:$U$1204,"&lt;&gt;Cancelled"))</f>
        <v/>
      </c>
      <c r="W161" s="26" t="str">
        <f>IF($S161="","",SUMIFS(TRANSACTIONS_MASTER!$Q$5:$Q$1204,TRANSACTIONS_MASTER!$G$5:$G$1204,$U161,TRANSACTIONS_MASTER!$C$5:$C$1204,$C$2))</f>
        <v/>
      </c>
    </row>
    <row r="162">
      <c r="A162" s="81" t="str">
        <f>IF($Q162="","",155)</f>
        <v/>
      </c>
      <c r="B162" s="57" t="str">
        <f>IF($Q162="","",INDEX(TRANSACTIONS_MASTER!$B$5:$B$1204,$Q162))</f>
        <v/>
      </c>
      <c r="C162" s="55" t="str">
        <f>IF($Q162="","",INDEX(TRANSACTIONS_MASTER!$F$5:$F$1204,$Q162))</f>
        <v/>
      </c>
      <c r="D162" s="55" t="str">
        <f>IF($Q162="","",INDEX(TRANSACTIONS_MASTER!$E$5:$E$1204,$Q162))</f>
        <v/>
      </c>
      <c r="E162" s="55" t="str">
        <f>IF($Q162="","",INDEX(TRANSACTIONS_MASTER!$G$5:$G$1204,$Q162)&amp;"")</f>
        <v/>
      </c>
      <c r="F162" s="29" t="str">
        <f>IF($Q162="","",INDEX(TRANSACTIONS_MASTER!$I$5:$I$1204,$Q162))</f>
        <v/>
      </c>
      <c r="G162" s="55" t="str">
        <f>IF($Q162="","",INDEX(TRANSACTIONS_MASTER!$K$5:$K$1204,$Q162))</f>
        <v/>
      </c>
      <c r="H162" s="25" t="str">
        <f>IF($Q162="","",INDEX(TRANSACTIONS_MASTER!$L$5:$L$1204,$Q162))</f>
        <v/>
      </c>
      <c r="I162" s="56" t="str">
        <f>IF($Q162="","",INDEX(TRANSACTIONS_MASTER!$N$5:$N$1204,$Q162))</f>
        <v/>
      </c>
      <c r="J162" s="25" t="str">
        <f>IF($Q162="","",INDEX(TRANSACTIONS_MASTER!$O$5:$O$1204,$Q162))</f>
        <v/>
      </c>
      <c r="K162" s="26" t="str">
        <f>IF($Q162="","",INDEX(TRANSACTIONS_MASTER!$Q$5:$Q$1204,$Q162))</f>
        <v/>
      </c>
      <c r="L162" s="25" t="str">
        <f>IF($Q162="","",INDEX(TRANSACTIONS_MASTER!$P$5:$P$1204,$Q162))</f>
        <v/>
      </c>
      <c r="M162" s="25" t="str">
        <f>IF($Q162="","",INDEX(TRANSACTIONS_MASTER!$AA$5:$AA$1204,$Q162))</f>
        <v/>
      </c>
      <c r="N162" s="25" t="str">
        <f>IF($Q162="","",INDEX(TRANSACTIONS_MASTER!$R$5:$R$1204,$Q162))</f>
        <v/>
      </c>
      <c r="O162" s="28" t="str">
        <f>IF($Q162="","",INDEX(TRANSACTIONS_MASTER!$AB$5:$AB$1204,$Q162))</f>
        <v/>
      </c>
      <c r="P162" s="55" t="str">
        <f>IF($Q162="","",INDEX(TRANSACTIONS_MASTER!$Z$5:$Z$1204,$Q162)&amp;"")</f>
        <v/>
      </c>
      <c r="Q162" s="67" t="str">
        <f>IFERROR(MATCH($C$2&amp;"|"&amp;155,TRANSACTIONS_MASTER!$AE$5:$AE$1204,0),"")</f>
        <v/>
      </c>
      <c r="S162" s="67" t="str">
        <f>IFERROR(MATCH(1,INDEX((TRANSACTIONS_MASTER!$C$5:$C$1204=$C$2)*(TRANSACTIONS_MASTER!$AN$5:$AN$1204=4),0),0),"")</f>
        <v/>
      </c>
      <c r="T162" s="55" t="n"/>
      <c r="U162" s="55" t="str">
        <f>IF($S162="","",INDEX(TRANSACTIONS_MASTER!$G$5:$G$1204,$S162)&amp;"")</f>
        <v/>
      </c>
      <c r="V162" s="25" t="str">
        <f>IF($S162="","",SUMIFS(TRANSACTIONS_MASTER!$L$5:$L$1204,TRANSACTIONS_MASTER!$G$5:$G$1204,$U162,TRANSACTIONS_MASTER!$C$5:$C$1204,$C$2,TRANSACTIONS_MASTER!$U$5:$U$1204,"&lt;&gt;Cancelled"))</f>
        <v/>
      </c>
      <c r="W162" s="26" t="str">
        <f>IF($S162="","",SUMIFS(TRANSACTIONS_MASTER!$Q$5:$Q$1204,TRANSACTIONS_MASTER!$G$5:$G$1204,$U162,TRANSACTIONS_MASTER!$C$5:$C$1204,$C$2))</f>
        <v/>
      </c>
    </row>
    <row r="163">
      <c r="A163" s="81" t="str">
        <f>IF($Q163="","",156)</f>
        <v/>
      </c>
      <c r="B163" s="57" t="str">
        <f>IF($Q163="","",INDEX(TRANSACTIONS_MASTER!$B$5:$B$1204,$Q163))</f>
        <v/>
      </c>
      <c r="C163" s="55" t="str">
        <f>IF($Q163="","",INDEX(TRANSACTIONS_MASTER!$F$5:$F$1204,$Q163))</f>
        <v/>
      </c>
      <c r="D163" s="55" t="str">
        <f>IF($Q163="","",INDEX(TRANSACTIONS_MASTER!$E$5:$E$1204,$Q163))</f>
        <v/>
      </c>
      <c r="E163" s="55" t="str">
        <f>IF($Q163="","",INDEX(TRANSACTIONS_MASTER!$G$5:$G$1204,$Q163)&amp;"")</f>
        <v/>
      </c>
      <c r="F163" s="29" t="str">
        <f>IF($Q163="","",INDEX(TRANSACTIONS_MASTER!$I$5:$I$1204,$Q163))</f>
        <v/>
      </c>
      <c r="G163" s="55" t="str">
        <f>IF($Q163="","",INDEX(TRANSACTIONS_MASTER!$K$5:$K$1204,$Q163))</f>
        <v/>
      </c>
      <c r="H163" s="25" t="str">
        <f>IF($Q163="","",INDEX(TRANSACTIONS_MASTER!$L$5:$L$1204,$Q163))</f>
        <v/>
      </c>
      <c r="I163" s="56" t="str">
        <f>IF($Q163="","",INDEX(TRANSACTIONS_MASTER!$N$5:$N$1204,$Q163))</f>
        <v/>
      </c>
      <c r="J163" s="25" t="str">
        <f>IF($Q163="","",INDEX(TRANSACTIONS_MASTER!$O$5:$O$1204,$Q163))</f>
        <v/>
      </c>
      <c r="K163" s="26" t="str">
        <f>IF($Q163="","",INDEX(TRANSACTIONS_MASTER!$Q$5:$Q$1204,$Q163))</f>
        <v/>
      </c>
      <c r="L163" s="25" t="str">
        <f>IF($Q163="","",INDEX(TRANSACTIONS_MASTER!$P$5:$P$1204,$Q163))</f>
        <v/>
      </c>
      <c r="M163" s="25" t="str">
        <f>IF($Q163="","",INDEX(TRANSACTIONS_MASTER!$AA$5:$AA$1204,$Q163))</f>
        <v/>
      </c>
      <c r="N163" s="25" t="str">
        <f>IF($Q163="","",INDEX(TRANSACTIONS_MASTER!$R$5:$R$1204,$Q163))</f>
        <v/>
      </c>
      <c r="O163" s="28" t="str">
        <f>IF($Q163="","",INDEX(TRANSACTIONS_MASTER!$AB$5:$AB$1204,$Q163))</f>
        <v/>
      </c>
      <c r="P163" s="55" t="str">
        <f>IF($Q163="","",INDEX(TRANSACTIONS_MASTER!$Z$5:$Z$1204,$Q163)&amp;"")</f>
        <v/>
      </c>
      <c r="Q163" s="67" t="str">
        <f>IFERROR(MATCH($C$2&amp;"|"&amp;156,TRANSACTIONS_MASTER!$AE$5:$AE$1204,0),"")</f>
        <v/>
      </c>
      <c r="S163" s="67" t="str">
        <f>IFERROR(MATCH(1,INDEX((TRANSACTIONS_MASTER!$C$5:$C$1204=$C$2)*(TRANSACTIONS_MASTER!$AN$5:$AN$1204=5),0),0),"")</f>
        <v/>
      </c>
      <c r="T163" s="55" t="n"/>
      <c r="U163" s="55" t="str">
        <f>IF($S163="","",INDEX(TRANSACTIONS_MASTER!$G$5:$G$1204,$S163)&amp;"")</f>
        <v/>
      </c>
      <c r="V163" s="25" t="str">
        <f>IF($S163="","",SUMIFS(TRANSACTIONS_MASTER!$L$5:$L$1204,TRANSACTIONS_MASTER!$G$5:$G$1204,$U163,TRANSACTIONS_MASTER!$C$5:$C$1204,$C$2,TRANSACTIONS_MASTER!$U$5:$U$1204,"&lt;&gt;Cancelled"))</f>
        <v/>
      </c>
      <c r="W163" s="26" t="str">
        <f>IF($S163="","",SUMIFS(TRANSACTIONS_MASTER!$Q$5:$Q$1204,TRANSACTIONS_MASTER!$G$5:$G$1204,$U163,TRANSACTIONS_MASTER!$C$5:$C$1204,$C$2))</f>
        <v/>
      </c>
    </row>
    <row r="164">
      <c r="A164" s="81" t="str">
        <f>IF($Q164="","",157)</f>
        <v/>
      </c>
      <c r="B164" s="57" t="str">
        <f>IF($Q164="","",INDEX(TRANSACTIONS_MASTER!$B$5:$B$1204,$Q164))</f>
        <v/>
      </c>
      <c r="C164" s="55" t="str">
        <f>IF($Q164="","",INDEX(TRANSACTIONS_MASTER!$F$5:$F$1204,$Q164))</f>
        <v/>
      </c>
      <c r="D164" s="55" t="str">
        <f>IF($Q164="","",INDEX(TRANSACTIONS_MASTER!$E$5:$E$1204,$Q164))</f>
        <v/>
      </c>
      <c r="E164" s="55" t="str">
        <f>IF($Q164="","",INDEX(TRANSACTIONS_MASTER!$G$5:$G$1204,$Q164)&amp;"")</f>
        <v/>
      </c>
      <c r="F164" s="29" t="str">
        <f>IF($Q164="","",INDEX(TRANSACTIONS_MASTER!$I$5:$I$1204,$Q164))</f>
        <v/>
      </c>
      <c r="G164" s="55" t="str">
        <f>IF($Q164="","",INDEX(TRANSACTIONS_MASTER!$K$5:$K$1204,$Q164))</f>
        <v/>
      </c>
      <c r="H164" s="25" t="str">
        <f>IF($Q164="","",INDEX(TRANSACTIONS_MASTER!$L$5:$L$1204,$Q164))</f>
        <v/>
      </c>
      <c r="I164" s="56" t="str">
        <f>IF($Q164="","",INDEX(TRANSACTIONS_MASTER!$N$5:$N$1204,$Q164))</f>
        <v/>
      </c>
      <c r="J164" s="25" t="str">
        <f>IF($Q164="","",INDEX(TRANSACTIONS_MASTER!$O$5:$O$1204,$Q164))</f>
        <v/>
      </c>
      <c r="K164" s="26" t="str">
        <f>IF($Q164="","",INDEX(TRANSACTIONS_MASTER!$Q$5:$Q$1204,$Q164))</f>
        <v/>
      </c>
      <c r="L164" s="25" t="str">
        <f>IF($Q164="","",INDEX(TRANSACTIONS_MASTER!$P$5:$P$1204,$Q164))</f>
        <v/>
      </c>
      <c r="M164" s="25" t="str">
        <f>IF($Q164="","",INDEX(TRANSACTIONS_MASTER!$AA$5:$AA$1204,$Q164))</f>
        <v/>
      </c>
      <c r="N164" s="25" t="str">
        <f>IF($Q164="","",INDEX(TRANSACTIONS_MASTER!$R$5:$R$1204,$Q164))</f>
        <v/>
      </c>
      <c r="O164" s="28" t="str">
        <f>IF($Q164="","",INDEX(TRANSACTIONS_MASTER!$AB$5:$AB$1204,$Q164))</f>
        <v/>
      </c>
      <c r="P164" s="55" t="str">
        <f>IF($Q164="","",INDEX(TRANSACTIONS_MASTER!$Z$5:$Z$1204,$Q164)&amp;"")</f>
        <v/>
      </c>
      <c r="Q164" s="67" t="str">
        <f>IFERROR(MATCH($C$2&amp;"|"&amp;157,TRANSACTIONS_MASTER!$AE$5:$AE$1204,0),"")</f>
        <v/>
      </c>
      <c r="S164" s="67" t="str">
        <f>IFERROR(MATCH(1,INDEX((TRANSACTIONS_MASTER!$C$5:$C$1204=$C$2)*(TRANSACTIONS_MASTER!$AN$5:$AN$1204=6),0),0),"")</f>
        <v/>
      </c>
      <c r="T164" s="55" t="n"/>
      <c r="U164" s="55" t="str">
        <f>IF($S164="","",INDEX(TRANSACTIONS_MASTER!$G$5:$G$1204,$S164)&amp;"")</f>
        <v/>
      </c>
      <c r="V164" s="25" t="str">
        <f>IF($S164="","",SUMIFS(TRANSACTIONS_MASTER!$L$5:$L$1204,TRANSACTIONS_MASTER!$G$5:$G$1204,$U164,TRANSACTIONS_MASTER!$C$5:$C$1204,$C$2,TRANSACTIONS_MASTER!$U$5:$U$1204,"&lt;&gt;Cancelled"))</f>
        <v/>
      </c>
      <c r="W164" s="26" t="str">
        <f>IF($S164="","",SUMIFS(TRANSACTIONS_MASTER!$Q$5:$Q$1204,TRANSACTIONS_MASTER!$G$5:$G$1204,$U164,TRANSACTIONS_MASTER!$C$5:$C$1204,$C$2))</f>
        <v/>
      </c>
    </row>
    <row r="165">
      <c r="A165" s="81" t="str">
        <f>IF($Q165="","",158)</f>
        <v/>
      </c>
      <c r="B165" s="57" t="str">
        <f>IF($Q165="","",INDEX(TRANSACTIONS_MASTER!$B$5:$B$1204,$Q165))</f>
        <v/>
      </c>
      <c r="C165" s="55" t="str">
        <f>IF($Q165="","",INDEX(TRANSACTIONS_MASTER!$F$5:$F$1204,$Q165))</f>
        <v/>
      </c>
      <c r="D165" s="55" t="str">
        <f>IF($Q165="","",INDEX(TRANSACTIONS_MASTER!$E$5:$E$1204,$Q165))</f>
        <v/>
      </c>
      <c r="E165" s="55" t="str">
        <f>IF($Q165="","",INDEX(TRANSACTIONS_MASTER!$G$5:$G$1204,$Q165)&amp;"")</f>
        <v/>
      </c>
      <c r="F165" s="29" t="str">
        <f>IF($Q165="","",INDEX(TRANSACTIONS_MASTER!$I$5:$I$1204,$Q165))</f>
        <v/>
      </c>
      <c r="G165" s="55" t="str">
        <f>IF($Q165="","",INDEX(TRANSACTIONS_MASTER!$K$5:$K$1204,$Q165))</f>
        <v/>
      </c>
      <c r="H165" s="25" t="str">
        <f>IF($Q165="","",INDEX(TRANSACTIONS_MASTER!$L$5:$L$1204,$Q165))</f>
        <v/>
      </c>
      <c r="I165" s="56" t="str">
        <f>IF($Q165="","",INDEX(TRANSACTIONS_MASTER!$N$5:$N$1204,$Q165))</f>
        <v/>
      </c>
      <c r="J165" s="25" t="str">
        <f>IF($Q165="","",INDEX(TRANSACTIONS_MASTER!$O$5:$O$1204,$Q165))</f>
        <v/>
      </c>
      <c r="K165" s="26" t="str">
        <f>IF($Q165="","",INDEX(TRANSACTIONS_MASTER!$Q$5:$Q$1204,$Q165))</f>
        <v/>
      </c>
      <c r="L165" s="25" t="str">
        <f>IF($Q165="","",INDEX(TRANSACTIONS_MASTER!$P$5:$P$1204,$Q165))</f>
        <v/>
      </c>
      <c r="M165" s="25" t="str">
        <f>IF($Q165="","",INDEX(TRANSACTIONS_MASTER!$AA$5:$AA$1204,$Q165))</f>
        <v/>
      </c>
      <c r="N165" s="25" t="str">
        <f>IF($Q165="","",INDEX(TRANSACTIONS_MASTER!$R$5:$R$1204,$Q165))</f>
        <v/>
      </c>
      <c r="O165" s="28" t="str">
        <f>IF($Q165="","",INDEX(TRANSACTIONS_MASTER!$AB$5:$AB$1204,$Q165))</f>
        <v/>
      </c>
      <c r="P165" s="55" t="str">
        <f>IF($Q165="","",INDEX(TRANSACTIONS_MASTER!$Z$5:$Z$1204,$Q165)&amp;"")</f>
        <v/>
      </c>
      <c r="Q165" s="67" t="str">
        <f>IFERROR(MATCH($C$2&amp;"|"&amp;158,TRANSACTIONS_MASTER!$AE$5:$AE$1204,0),"")</f>
        <v/>
      </c>
      <c r="S165" s="67" t="str">
        <f>IFERROR(MATCH(1,INDEX((TRANSACTIONS_MASTER!$C$5:$C$1204=$C$2)*(TRANSACTIONS_MASTER!$AN$5:$AN$1204=7),0),0),"")</f>
        <v/>
      </c>
      <c r="T165" s="55" t="n"/>
      <c r="U165" s="55" t="str">
        <f>IF($S165="","",INDEX(TRANSACTIONS_MASTER!$G$5:$G$1204,$S165)&amp;"")</f>
        <v/>
      </c>
      <c r="V165" s="25" t="str">
        <f>IF($S165="","",SUMIFS(TRANSACTIONS_MASTER!$L$5:$L$1204,TRANSACTIONS_MASTER!$G$5:$G$1204,$U165,TRANSACTIONS_MASTER!$C$5:$C$1204,$C$2,TRANSACTIONS_MASTER!$U$5:$U$1204,"&lt;&gt;Cancelled"))</f>
        <v/>
      </c>
      <c r="W165" s="26" t="str">
        <f>IF($S165="","",SUMIFS(TRANSACTIONS_MASTER!$Q$5:$Q$1204,TRANSACTIONS_MASTER!$G$5:$G$1204,$U165,TRANSACTIONS_MASTER!$C$5:$C$1204,$C$2))</f>
        <v/>
      </c>
    </row>
    <row r="166">
      <c r="A166" s="81" t="str">
        <f>IF($Q166="","",159)</f>
        <v/>
      </c>
      <c r="B166" s="57" t="str">
        <f>IF($Q166="","",INDEX(TRANSACTIONS_MASTER!$B$5:$B$1204,$Q166))</f>
        <v/>
      </c>
      <c r="C166" s="55" t="str">
        <f>IF($Q166="","",INDEX(TRANSACTIONS_MASTER!$F$5:$F$1204,$Q166))</f>
        <v/>
      </c>
      <c r="D166" s="55" t="str">
        <f>IF($Q166="","",INDEX(TRANSACTIONS_MASTER!$E$5:$E$1204,$Q166))</f>
        <v/>
      </c>
      <c r="E166" s="55" t="str">
        <f>IF($Q166="","",INDEX(TRANSACTIONS_MASTER!$G$5:$G$1204,$Q166)&amp;"")</f>
        <v/>
      </c>
      <c r="F166" s="29" t="str">
        <f>IF($Q166="","",INDEX(TRANSACTIONS_MASTER!$I$5:$I$1204,$Q166))</f>
        <v/>
      </c>
      <c r="G166" s="55" t="str">
        <f>IF($Q166="","",INDEX(TRANSACTIONS_MASTER!$K$5:$K$1204,$Q166))</f>
        <v/>
      </c>
      <c r="H166" s="25" t="str">
        <f>IF($Q166="","",INDEX(TRANSACTIONS_MASTER!$L$5:$L$1204,$Q166))</f>
        <v/>
      </c>
      <c r="I166" s="56" t="str">
        <f>IF($Q166="","",INDEX(TRANSACTIONS_MASTER!$N$5:$N$1204,$Q166))</f>
        <v/>
      </c>
      <c r="J166" s="25" t="str">
        <f>IF($Q166="","",INDEX(TRANSACTIONS_MASTER!$O$5:$O$1204,$Q166))</f>
        <v/>
      </c>
      <c r="K166" s="26" t="str">
        <f>IF($Q166="","",INDEX(TRANSACTIONS_MASTER!$Q$5:$Q$1204,$Q166))</f>
        <v/>
      </c>
      <c r="L166" s="25" t="str">
        <f>IF($Q166="","",INDEX(TRANSACTIONS_MASTER!$P$5:$P$1204,$Q166))</f>
        <v/>
      </c>
      <c r="M166" s="25" t="str">
        <f>IF($Q166="","",INDEX(TRANSACTIONS_MASTER!$AA$5:$AA$1204,$Q166))</f>
        <v/>
      </c>
      <c r="N166" s="25" t="str">
        <f>IF($Q166="","",INDEX(TRANSACTIONS_MASTER!$R$5:$R$1204,$Q166))</f>
        <v/>
      </c>
      <c r="O166" s="28" t="str">
        <f>IF($Q166="","",INDEX(TRANSACTIONS_MASTER!$AB$5:$AB$1204,$Q166))</f>
        <v/>
      </c>
      <c r="P166" s="55" t="str">
        <f>IF($Q166="","",INDEX(TRANSACTIONS_MASTER!$Z$5:$Z$1204,$Q166)&amp;"")</f>
        <v/>
      </c>
      <c r="Q166" s="67" t="str">
        <f>IFERROR(MATCH($C$2&amp;"|"&amp;159,TRANSACTIONS_MASTER!$AE$5:$AE$1204,0),"")</f>
        <v/>
      </c>
      <c r="S166" s="67" t="str">
        <f>IFERROR(MATCH(1,INDEX((TRANSACTIONS_MASTER!$C$5:$C$1204=$C$2)*(TRANSACTIONS_MASTER!$AN$5:$AN$1204=8),0),0),"")</f>
        <v/>
      </c>
      <c r="T166" s="55" t="n"/>
      <c r="U166" s="55" t="str">
        <f>IF($S166="","",INDEX(TRANSACTIONS_MASTER!$G$5:$G$1204,$S166)&amp;"")</f>
        <v/>
      </c>
      <c r="V166" s="25" t="str">
        <f>IF($S166="","",SUMIFS(TRANSACTIONS_MASTER!$L$5:$L$1204,TRANSACTIONS_MASTER!$G$5:$G$1204,$U166,TRANSACTIONS_MASTER!$C$5:$C$1204,$C$2,TRANSACTIONS_MASTER!$U$5:$U$1204,"&lt;&gt;Cancelled"))</f>
        <v/>
      </c>
      <c r="W166" s="26" t="str">
        <f>IF($S166="","",SUMIFS(TRANSACTIONS_MASTER!$Q$5:$Q$1204,TRANSACTIONS_MASTER!$G$5:$G$1204,$U166,TRANSACTIONS_MASTER!$C$5:$C$1204,$C$2))</f>
        <v/>
      </c>
    </row>
    <row r="167">
      <c r="A167" s="81" t="str">
        <f>IF($Q167="","",160)</f>
        <v/>
      </c>
      <c r="B167" s="57" t="str">
        <f>IF($Q167="","",INDEX(TRANSACTIONS_MASTER!$B$5:$B$1204,$Q167))</f>
        <v/>
      </c>
      <c r="C167" s="55" t="str">
        <f>IF($Q167="","",INDEX(TRANSACTIONS_MASTER!$F$5:$F$1204,$Q167))</f>
        <v/>
      </c>
      <c r="D167" s="55" t="str">
        <f>IF($Q167="","",INDEX(TRANSACTIONS_MASTER!$E$5:$E$1204,$Q167))</f>
        <v/>
      </c>
      <c r="E167" s="55" t="str">
        <f>IF($Q167="","",INDEX(TRANSACTIONS_MASTER!$G$5:$G$1204,$Q167)&amp;"")</f>
        <v/>
      </c>
      <c r="F167" s="29" t="str">
        <f>IF($Q167="","",INDEX(TRANSACTIONS_MASTER!$I$5:$I$1204,$Q167))</f>
        <v/>
      </c>
      <c r="G167" s="55" t="str">
        <f>IF($Q167="","",INDEX(TRANSACTIONS_MASTER!$K$5:$K$1204,$Q167))</f>
        <v/>
      </c>
      <c r="H167" s="25" t="str">
        <f>IF($Q167="","",INDEX(TRANSACTIONS_MASTER!$L$5:$L$1204,$Q167))</f>
        <v/>
      </c>
      <c r="I167" s="56" t="str">
        <f>IF($Q167="","",INDEX(TRANSACTIONS_MASTER!$N$5:$N$1204,$Q167))</f>
        <v/>
      </c>
      <c r="J167" s="25" t="str">
        <f>IF($Q167="","",INDEX(TRANSACTIONS_MASTER!$O$5:$O$1204,$Q167))</f>
        <v/>
      </c>
      <c r="K167" s="26" t="str">
        <f>IF($Q167="","",INDEX(TRANSACTIONS_MASTER!$Q$5:$Q$1204,$Q167))</f>
        <v/>
      </c>
      <c r="L167" s="25" t="str">
        <f>IF($Q167="","",INDEX(TRANSACTIONS_MASTER!$P$5:$P$1204,$Q167))</f>
        <v/>
      </c>
      <c r="M167" s="25" t="str">
        <f>IF($Q167="","",INDEX(TRANSACTIONS_MASTER!$AA$5:$AA$1204,$Q167))</f>
        <v/>
      </c>
      <c r="N167" s="25" t="str">
        <f>IF($Q167="","",INDEX(TRANSACTIONS_MASTER!$R$5:$R$1204,$Q167))</f>
        <v/>
      </c>
      <c r="O167" s="28" t="str">
        <f>IF($Q167="","",INDEX(TRANSACTIONS_MASTER!$AB$5:$AB$1204,$Q167))</f>
        <v/>
      </c>
      <c r="P167" s="55" t="str">
        <f>IF($Q167="","",INDEX(TRANSACTIONS_MASTER!$Z$5:$Z$1204,$Q167)&amp;"")</f>
        <v/>
      </c>
      <c r="Q167" s="67" t="str">
        <f>IFERROR(MATCH($C$2&amp;"|"&amp;160,TRANSACTIONS_MASTER!$AE$5:$AE$1204,0),"")</f>
        <v/>
      </c>
      <c r="S167" s="67" t="str">
        <f>IFERROR(MATCH(1,INDEX((TRANSACTIONS_MASTER!$C$5:$C$1204=$C$2)*(TRANSACTIONS_MASTER!$AN$5:$AN$1204=9),0),0),"")</f>
        <v/>
      </c>
      <c r="T167" s="55" t="n"/>
      <c r="U167" s="55" t="str">
        <f>IF($S167="","",INDEX(TRANSACTIONS_MASTER!$G$5:$G$1204,$S167)&amp;"")</f>
        <v/>
      </c>
      <c r="V167" s="25" t="str">
        <f>IF($S167="","",SUMIFS(TRANSACTIONS_MASTER!$L$5:$L$1204,TRANSACTIONS_MASTER!$G$5:$G$1204,$U167,TRANSACTIONS_MASTER!$C$5:$C$1204,$C$2,TRANSACTIONS_MASTER!$U$5:$U$1204,"&lt;&gt;Cancelled"))</f>
        <v/>
      </c>
      <c r="W167" s="26" t="str">
        <f>IF($S167="","",SUMIFS(TRANSACTIONS_MASTER!$Q$5:$Q$1204,TRANSACTIONS_MASTER!$G$5:$G$1204,$U167,TRANSACTIONS_MASTER!$C$5:$C$1204,$C$2))</f>
        <v/>
      </c>
    </row>
    <row r="168">
      <c r="A168" s="81" t="str">
        <f>IF($Q168="","",161)</f>
        <v/>
      </c>
      <c r="B168" s="57" t="str">
        <f>IF($Q168="","",INDEX(TRANSACTIONS_MASTER!$B$5:$B$1204,$Q168))</f>
        <v/>
      </c>
      <c r="C168" s="55" t="str">
        <f>IF($Q168="","",INDEX(TRANSACTIONS_MASTER!$F$5:$F$1204,$Q168))</f>
        <v/>
      </c>
      <c r="D168" s="55" t="str">
        <f>IF($Q168="","",INDEX(TRANSACTIONS_MASTER!$E$5:$E$1204,$Q168))</f>
        <v/>
      </c>
      <c r="E168" s="55" t="str">
        <f>IF($Q168="","",INDEX(TRANSACTIONS_MASTER!$G$5:$G$1204,$Q168)&amp;"")</f>
        <v/>
      </c>
      <c r="F168" s="29" t="str">
        <f>IF($Q168="","",INDEX(TRANSACTIONS_MASTER!$I$5:$I$1204,$Q168))</f>
        <v/>
      </c>
      <c r="G168" s="55" t="str">
        <f>IF($Q168="","",INDEX(TRANSACTIONS_MASTER!$K$5:$K$1204,$Q168))</f>
        <v/>
      </c>
      <c r="H168" s="25" t="str">
        <f>IF($Q168="","",INDEX(TRANSACTIONS_MASTER!$L$5:$L$1204,$Q168))</f>
        <v/>
      </c>
      <c r="I168" s="56" t="str">
        <f>IF($Q168="","",INDEX(TRANSACTIONS_MASTER!$N$5:$N$1204,$Q168))</f>
        <v/>
      </c>
      <c r="J168" s="25" t="str">
        <f>IF($Q168="","",INDEX(TRANSACTIONS_MASTER!$O$5:$O$1204,$Q168))</f>
        <v/>
      </c>
      <c r="K168" s="26" t="str">
        <f>IF($Q168="","",INDEX(TRANSACTIONS_MASTER!$Q$5:$Q$1204,$Q168))</f>
        <v/>
      </c>
      <c r="L168" s="25" t="str">
        <f>IF($Q168="","",INDEX(TRANSACTIONS_MASTER!$P$5:$P$1204,$Q168))</f>
        <v/>
      </c>
      <c r="M168" s="25" t="str">
        <f>IF($Q168="","",INDEX(TRANSACTIONS_MASTER!$AA$5:$AA$1204,$Q168))</f>
        <v/>
      </c>
      <c r="N168" s="25" t="str">
        <f>IF($Q168="","",INDEX(TRANSACTIONS_MASTER!$R$5:$R$1204,$Q168))</f>
        <v/>
      </c>
      <c r="O168" s="28" t="str">
        <f>IF($Q168="","",INDEX(TRANSACTIONS_MASTER!$AB$5:$AB$1204,$Q168))</f>
        <v/>
      </c>
      <c r="P168" s="55" t="str">
        <f>IF($Q168="","",INDEX(TRANSACTIONS_MASTER!$Z$5:$Z$1204,$Q168)&amp;"")</f>
        <v/>
      </c>
      <c r="Q168" s="67" t="str">
        <f>IFERROR(MATCH($C$2&amp;"|"&amp;161,TRANSACTIONS_MASTER!$AE$5:$AE$1204,0),"")</f>
        <v/>
      </c>
      <c r="S168" s="67" t="str">
        <f>IFERROR(MATCH(1,INDEX((TRANSACTIONS_MASTER!$C$5:$C$1204=$C$2)*(TRANSACTIONS_MASTER!$AN$5:$AN$1204=10),0),0),"")</f>
        <v/>
      </c>
      <c r="T168" s="55" t="n"/>
      <c r="U168" s="55" t="str">
        <f>IF($S168="","",INDEX(TRANSACTIONS_MASTER!$G$5:$G$1204,$S168)&amp;"")</f>
        <v/>
      </c>
      <c r="V168" s="25" t="str">
        <f>IF($S168="","",SUMIFS(TRANSACTIONS_MASTER!$L$5:$L$1204,TRANSACTIONS_MASTER!$G$5:$G$1204,$U168,TRANSACTIONS_MASTER!$C$5:$C$1204,$C$2,TRANSACTIONS_MASTER!$U$5:$U$1204,"&lt;&gt;Cancelled"))</f>
        <v/>
      </c>
      <c r="W168" s="26" t="str">
        <f>IF($S168="","",SUMIFS(TRANSACTIONS_MASTER!$Q$5:$Q$1204,TRANSACTIONS_MASTER!$G$5:$G$1204,$U168,TRANSACTIONS_MASTER!$C$5:$C$1204,$C$2))</f>
        <v/>
      </c>
    </row>
    <row r="169">
      <c r="A169" s="81" t="str">
        <f>IF($Q169="","",162)</f>
        <v/>
      </c>
      <c r="B169" s="57" t="str">
        <f>IF($Q169="","",INDEX(TRANSACTIONS_MASTER!$B$5:$B$1204,$Q169))</f>
        <v/>
      </c>
      <c r="C169" s="55" t="str">
        <f>IF($Q169="","",INDEX(TRANSACTIONS_MASTER!$F$5:$F$1204,$Q169))</f>
        <v/>
      </c>
      <c r="D169" s="55" t="str">
        <f>IF($Q169="","",INDEX(TRANSACTIONS_MASTER!$E$5:$E$1204,$Q169))</f>
        <v/>
      </c>
      <c r="E169" s="55" t="str">
        <f>IF($Q169="","",INDEX(TRANSACTIONS_MASTER!$G$5:$G$1204,$Q169)&amp;"")</f>
        <v/>
      </c>
      <c r="F169" s="29" t="str">
        <f>IF($Q169="","",INDEX(TRANSACTIONS_MASTER!$I$5:$I$1204,$Q169))</f>
        <v/>
      </c>
      <c r="G169" s="55" t="str">
        <f>IF($Q169="","",INDEX(TRANSACTIONS_MASTER!$K$5:$K$1204,$Q169))</f>
        <v/>
      </c>
      <c r="H169" s="25" t="str">
        <f>IF($Q169="","",INDEX(TRANSACTIONS_MASTER!$L$5:$L$1204,$Q169))</f>
        <v/>
      </c>
      <c r="I169" s="56" t="str">
        <f>IF($Q169="","",INDEX(TRANSACTIONS_MASTER!$N$5:$N$1204,$Q169))</f>
        <v/>
      </c>
      <c r="J169" s="25" t="str">
        <f>IF($Q169="","",INDEX(TRANSACTIONS_MASTER!$O$5:$O$1204,$Q169))</f>
        <v/>
      </c>
      <c r="K169" s="26" t="str">
        <f>IF($Q169="","",INDEX(TRANSACTIONS_MASTER!$Q$5:$Q$1204,$Q169))</f>
        <v/>
      </c>
      <c r="L169" s="25" t="str">
        <f>IF($Q169="","",INDEX(TRANSACTIONS_MASTER!$P$5:$P$1204,$Q169))</f>
        <v/>
      </c>
      <c r="M169" s="25" t="str">
        <f>IF($Q169="","",INDEX(TRANSACTIONS_MASTER!$AA$5:$AA$1204,$Q169))</f>
        <v/>
      </c>
      <c r="N169" s="25" t="str">
        <f>IF($Q169="","",INDEX(TRANSACTIONS_MASTER!$R$5:$R$1204,$Q169))</f>
        <v/>
      </c>
      <c r="O169" s="28" t="str">
        <f>IF($Q169="","",INDEX(TRANSACTIONS_MASTER!$AB$5:$AB$1204,$Q169))</f>
        <v/>
      </c>
      <c r="P169" s="55" t="str">
        <f>IF($Q169="","",INDEX(TRANSACTIONS_MASTER!$Z$5:$Z$1204,$Q169)&amp;"")</f>
        <v/>
      </c>
      <c r="Q169" s="67" t="str">
        <f>IFERROR(MATCH($C$2&amp;"|"&amp;162,TRANSACTIONS_MASTER!$AE$5:$AE$1204,0),"")</f>
        <v/>
      </c>
      <c r="S169" s="67" t="str">
        <f>IFERROR(MATCH(1,INDEX((TRANSACTIONS_MASTER!$C$5:$C$1204=$C$2)*(TRANSACTIONS_MASTER!$AN$5:$AN$1204=11),0),0),"")</f>
        <v/>
      </c>
      <c r="T169" s="55" t="n"/>
      <c r="U169" s="55" t="str">
        <f>IF($S169="","",INDEX(TRANSACTIONS_MASTER!$G$5:$G$1204,$S169)&amp;"")</f>
        <v/>
      </c>
      <c r="V169" s="25" t="str">
        <f>IF($S169="","",SUMIFS(TRANSACTIONS_MASTER!$L$5:$L$1204,TRANSACTIONS_MASTER!$G$5:$G$1204,$U169,TRANSACTIONS_MASTER!$C$5:$C$1204,$C$2,TRANSACTIONS_MASTER!$U$5:$U$1204,"&lt;&gt;Cancelled"))</f>
        <v/>
      </c>
      <c r="W169" s="26" t="str">
        <f>IF($S169="","",SUMIFS(TRANSACTIONS_MASTER!$Q$5:$Q$1204,TRANSACTIONS_MASTER!$G$5:$G$1204,$U169,TRANSACTIONS_MASTER!$C$5:$C$1204,$C$2))</f>
        <v/>
      </c>
    </row>
    <row r="170">
      <c r="A170" s="81" t="str">
        <f>IF($Q170="","",163)</f>
        <v/>
      </c>
      <c r="B170" s="57" t="str">
        <f>IF($Q170="","",INDEX(TRANSACTIONS_MASTER!$B$5:$B$1204,$Q170))</f>
        <v/>
      </c>
      <c r="C170" s="55" t="str">
        <f>IF($Q170="","",INDEX(TRANSACTIONS_MASTER!$F$5:$F$1204,$Q170))</f>
        <v/>
      </c>
      <c r="D170" s="55" t="str">
        <f>IF($Q170="","",INDEX(TRANSACTIONS_MASTER!$E$5:$E$1204,$Q170))</f>
        <v/>
      </c>
      <c r="E170" s="55" t="str">
        <f>IF($Q170="","",INDEX(TRANSACTIONS_MASTER!$G$5:$G$1204,$Q170)&amp;"")</f>
        <v/>
      </c>
      <c r="F170" s="29" t="str">
        <f>IF($Q170="","",INDEX(TRANSACTIONS_MASTER!$I$5:$I$1204,$Q170))</f>
        <v/>
      </c>
      <c r="G170" s="55" t="str">
        <f>IF($Q170="","",INDEX(TRANSACTIONS_MASTER!$K$5:$K$1204,$Q170))</f>
        <v/>
      </c>
      <c r="H170" s="25" t="str">
        <f>IF($Q170="","",INDEX(TRANSACTIONS_MASTER!$L$5:$L$1204,$Q170))</f>
        <v/>
      </c>
      <c r="I170" s="56" t="str">
        <f>IF($Q170="","",INDEX(TRANSACTIONS_MASTER!$N$5:$N$1204,$Q170))</f>
        <v/>
      </c>
      <c r="J170" s="25" t="str">
        <f>IF($Q170="","",INDEX(TRANSACTIONS_MASTER!$O$5:$O$1204,$Q170))</f>
        <v/>
      </c>
      <c r="K170" s="26" t="str">
        <f>IF($Q170="","",INDEX(TRANSACTIONS_MASTER!$Q$5:$Q$1204,$Q170))</f>
        <v/>
      </c>
      <c r="L170" s="25" t="str">
        <f>IF($Q170="","",INDEX(TRANSACTIONS_MASTER!$P$5:$P$1204,$Q170))</f>
        <v/>
      </c>
      <c r="M170" s="25" t="str">
        <f>IF($Q170="","",INDEX(TRANSACTIONS_MASTER!$AA$5:$AA$1204,$Q170))</f>
        <v/>
      </c>
      <c r="N170" s="25" t="str">
        <f>IF($Q170="","",INDEX(TRANSACTIONS_MASTER!$R$5:$R$1204,$Q170))</f>
        <v/>
      </c>
      <c r="O170" s="28" t="str">
        <f>IF($Q170="","",INDEX(TRANSACTIONS_MASTER!$AB$5:$AB$1204,$Q170))</f>
        <v/>
      </c>
      <c r="P170" s="55" t="str">
        <f>IF($Q170="","",INDEX(TRANSACTIONS_MASTER!$Z$5:$Z$1204,$Q170)&amp;"")</f>
        <v/>
      </c>
      <c r="Q170" s="67" t="str">
        <f>IFERROR(MATCH($C$2&amp;"|"&amp;163,TRANSACTIONS_MASTER!$AE$5:$AE$1204,0),"")</f>
        <v/>
      </c>
      <c r="S170" s="67" t="str">
        <f>IFERROR(MATCH(1,INDEX((TRANSACTIONS_MASTER!$C$5:$C$1204=$C$2)*(TRANSACTIONS_MASTER!$AN$5:$AN$1204=12),0),0),"")</f>
        <v/>
      </c>
      <c r="T170" s="55" t="n"/>
      <c r="U170" s="55" t="str">
        <f>IF($S170="","",INDEX(TRANSACTIONS_MASTER!$G$5:$G$1204,$S170)&amp;"")</f>
        <v/>
      </c>
      <c r="V170" s="25" t="str">
        <f>IF($S170="","",SUMIFS(TRANSACTIONS_MASTER!$L$5:$L$1204,TRANSACTIONS_MASTER!$G$5:$G$1204,$U170,TRANSACTIONS_MASTER!$C$5:$C$1204,$C$2,TRANSACTIONS_MASTER!$U$5:$U$1204,"&lt;&gt;Cancelled"))</f>
        <v/>
      </c>
      <c r="W170" s="26" t="str">
        <f>IF($S170="","",SUMIFS(TRANSACTIONS_MASTER!$Q$5:$Q$1204,TRANSACTIONS_MASTER!$G$5:$G$1204,$U170,TRANSACTIONS_MASTER!$C$5:$C$1204,$C$2))</f>
        <v/>
      </c>
    </row>
    <row r="171">
      <c r="A171" s="81" t="str">
        <f>IF($Q171="","",164)</f>
        <v/>
      </c>
      <c r="B171" s="57" t="str">
        <f>IF($Q171="","",INDEX(TRANSACTIONS_MASTER!$B$5:$B$1204,$Q171))</f>
        <v/>
      </c>
      <c r="C171" s="55" t="str">
        <f>IF($Q171="","",INDEX(TRANSACTIONS_MASTER!$F$5:$F$1204,$Q171))</f>
        <v/>
      </c>
      <c r="D171" s="55" t="str">
        <f>IF($Q171="","",INDEX(TRANSACTIONS_MASTER!$E$5:$E$1204,$Q171))</f>
        <v/>
      </c>
      <c r="E171" s="55" t="str">
        <f>IF($Q171="","",INDEX(TRANSACTIONS_MASTER!$G$5:$G$1204,$Q171)&amp;"")</f>
        <v/>
      </c>
      <c r="F171" s="29" t="str">
        <f>IF($Q171="","",INDEX(TRANSACTIONS_MASTER!$I$5:$I$1204,$Q171))</f>
        <v/>
      </c>
      <c r="G171" s="55" t="str">
        <f>IF($Q171="","",INDEX(TRANSACTIONS_MASTER!$K$5:$K$1204,$Q171))</f>
        <v/>
      </c>
      <c r="H171" s="25" t="str">
        <f>IF($Q171="","",INDEX(TRANSACTIONS_MASTER!$L$5:$L$1204,$Q171))</f>
        <v/>
      </c>
      <c r="I171" s="56" t="str">
        <f>IF($Q171="","",INDEX(TRANSACTIONS_MASTER!$N$5:$N$1204,$Q171))</f>
        <v/>
      </c>
      <c r="J171" s="25" t="str">
        <f>IF($Q171="","",INDEX(TRANSACTIONS_MASTER!$O$5:$O$1204,$Q171))</f>
        <v/>
      </c>
      <c r="K171" s="26" t="str">
        <f>IF($Q171="","",INDEX(TRANSACTIONS_MASTER!$Q$5:$Q$1204,$Q171))</f>
        <v/>
      </c>
      <c r="L171" s="25" t="str">
        <f>IF($Q171="","",INDEX(TRANSACTIONS_MASTER!$P$5:$P$1204,$Q171))</f>
        <v/>
      </c>
      <c r="M171" s="25" t="str">
        <f>IF($Q171="","",INDEX(TRANSACTIONS_MASTER!$AA$5:$AA$1204,$Q171))</f>
        <v/>
      </c>
      <c r="N171" s="25" t="str">
        <f>IF($Q171="","",INDEX(TRANSACTIONS_MASTER!$R$5:$R$1204,$Q171))</f>
        <v/>
      </c>
      <c r="O171" s="28" t="str">
        <f>IF($Q171="","",INDEX(TRANSACTIONS_MASTER!$AB$5:$AB$1204,$Q171))</f>
        <v/>
      </c>
      <c r="P171" s="55" t="str">
        <f>IF($Q171="","",INDEX(TRANSACTIONS_MASTER!$Z$5:$Z$1204,$Q171)&amp;"")</f>
        <v/>
      </c>
      <c r="Q171" s="67" t="str">
        <f>IFERROR(MATCH($C$2&amp;"|"&amp;164,TRANSACTIONS_MASTER!$AE$5:$AE$1204,0),"")</f>
        <v/>
      </c>
      <c r="S171" s="67" t="str">
        <f>IFERROR(MATCH(1,INDEX((TRANSACTIONS_MASTER!$C$5:$C$1204=$C$2)*(TRANSACTIONS_MASTER!$AN$5:$AN$1204=13),0),0),"")</f>
        <v/>
      </c>
      <c r="T171" s="55" t="n"/>
      <c r="U171" s="55" t="str">
        <f>IF($S171="","",INDEX(TRANSACTIONS_MASTER!$G$5:$G$1204,$S171)&amp;"")</f>
        <v/>
      </c>
      <c r="V171" s="25" t="str">
        <f>IF($S171="","",SUMIFS(TRANSACTIONS_MASTER!$L$5:$L$1204,TRANSACTIONS_MASTER!$G$5:$G$1204,$U171,TRANSACTIONS_MASTER!$C$5:$C$1204,$C$2,TRANSACTIONS_MASTER!$U$5:$U$1204,"&lt;&gt;Cancelled"))</f>
        <v/>
      </c>
      <c r="W171" s="26" t="str">
        <f>IF($S171="","",SUMIFS(TRANSACTIONS_MASTER!$Q$5:$Q$1204,TRANSACTIONS_MASTER!$G$5:$G$1204,$U171,TRANSACTIONS_MASTER!$C$5:$C$1204,$C$2))</f>
        <v/>
      </c>
    </row>
    <row r="172">
      <c r="A172" s="81" t="str">
        <f>IF($Q172="","",165)</f>
        <v/>
      </c>
      <c r="B172" s="57" t="str">
        <f>IF($Q172="","",INDEX(TRANSACTIONS_MASTER!$B$5:$B$1204,$Q172))</f>
        <v/>
      </c>
      <c r="C172" s="55" t="str">
        <f>IF($Q172="","",INDEX(TRANSACTIONS_MASTER!$F$5:$F$1204,$Q172))</f>
        <v/>
      </c>
      <c r="D172" s="55" t="str">
        <f>IF($Q172="","",INDEX(TRANSACTIONS_MASTER!$E$5:$E$1204,$Q172))</f>
        <v/>
      </c>
      <c r="E172" s="55" t="str">
        <f>IF($Q172="","",INDEX(TRANSACTIONS_MASTER!$G$5:$G$1204,$Q172)&amp;"")</f>
        <v/>
      </c>
      <c r="F172" s="29" t="str">
        <f>IF($Q172="","",INDEX(TRANSACTIONS_MASTER!$I$5:$I$1204,$Q172))</f>
        <v/>
      </c>
      <c r="G172" s="55" t="str">
        <f>IF($Q172="","",INDEX(TRANSACTIONS_MASTER!$K$5:$K$1204,$Q172))</f>
        <v/>
      </c>
      <c r="H172" s="25" t="str">
        <f>IF($Q172="","",INDEX(TRANSACTIONS_MASTER!$L$5:$L$1204,$Q172))</f>
        <v/>
      </c>
      <c r="I172" s="56" t="str">
        <f>IF($Q172="","",INDEX(TRANSACTIONS_MASTER!$N$5:$N$1204,$Q172))</f>
        <v/>
      </c>
      <c r="J172" s="25" t="str">
        <f>IF($Q172="","",INDEX(TRANSACTIONS_MASTER!$O$5:$O$1204,$Q172))</f>
        <v/>
      </c>
      <c r="K172" s="26" t="str">
        <f>IF($Q172="","",INDEX(TRANSACTIONS_MASTER!$Q$5:$Q$1204,$Q172))</f>
        <v/>
      </c>
      <c r="L172" s="25" t="str">
        <f>IF($Q172="","",INDEX(TRANSACTIONS_MASTER!$P$5:$P$1204,$Q172))</f>
        <v/>
      </c>
      <c r="M172" s="25" t="str">
        <f>IF($Q172="","",INDEX(TRANSACTIONS_MASTER!$AA$5:$AA$1204,$Q172))</f>
        <v/>
      </c>
      <c r="N172" s="25" t="str">
        <f>IF($Q172="","",INDEX(TRANSACTIONS_MASTER!$R$5:$R$1204,$Q172))</f>
        <v/>
      </c>
      <c r="O172" s="28" t="str">
        <f>IF($Q172="","",INDEX(TRANSACTIONS_MASTER!$AB$5:$AB$1204,$Q172))</f>
        <v/>
      </c>
      <c r="P172" s="55" t="str">
        <f>IF($Q172="","",INDEX(TRANSACTIONS_MASTER!$Z$5:$Z$1204,$Q172)&amp;"")</f>
        <v/>
      </c>
      <c r="Q172" s="67" t="str">
        <f>IFERROR(MATCH($C$2&amp;"|"&amp;165,TRANSACTIONS_MASTER!$AE$5:$AE$1204,0),"")</f>
        <v/>
      </c>
      <c r="S172" s="67" t="str">
        <f>IFERROR(MATCH(1,INDEX((TRANSACTIONS_MASTER!$C$5:$C$1204=$C$2)*(TRANSACTIONS_MASTER!$AN$5:$AN$1204=14),0),0),"")</f>
        <v/>
      </c>
      <c r="T172" s="55" t="n"/>
      <c r="U172" s="55" t="str">
        <f>IF($S172="","",INDEX(TRANSACTIONS_MASTER!$G$5:$G$1204,$S172)&amp;"")</f>
        <v/>
      </c>
      <c r="V172" s="25" t="str">
        <f>IF($S172="","",SUMIFS(TRANSACTIONS_MASTER!$L$5:$L$1204,TRANSACTIONS_MASTER!$G$5:$G$1204,$U172,TRANSACTIONS_MASTER!$C$5:$C$1204,$C$2,TRANSACTIONS_MASTER!$U$5:$U$1204,"&lt;&gt;Cancelled"))</f>
        <v/>
      </c>
      <c r="W172" s="26" t="str">
        <f>IF($S172="","",SUMIFS(TRANSACTIONS_MASTER!$Q$5:$Q$1204,TRANSACTIONS_MASTER!$G$5:$G$1204,$U172,TRANSACTIONS_MASTER!$C$5:$C$1204,$C$2))</f>
        <v/>
      </c>
    </row>
    <row r="173">
      <c r="A173" s="81" t="str">
        <f>IF($Q173="","",166)</f>
        <v/>
      </c>
      <c r="B173" s="57" t="str">
        <f>IF($Q173="","",INDEX(TRANSACTIONS_MASTER!$B$5:$B$1204,$Q173))</f>
        <v/>
      </c>
      <c r="C173" s="55" t="str">
        <f>IF($Q173="","",INDEX(TRANSACTIONS_MASTER!$F$5:$F$1204,$Q173))</f>
        <v/>
      </c>
      <c r="D173" s="55" t="str">
        <f>IF($Q173="","",INDEX(TRANSACTIONS_MASTER!$E$5:$E$1204,$Q173))</f>
        <v/>
      </c>
      <c r="E173" s="55" t="str">
        <f>IF($Q173="","",INDEX(TRANSACTIONS_MASTER!$G$5:$G$1204,$Q173)&amp;"")</f>
        <v/>
      </c>
      <c r="F173" s="29" t="str">
        <f>IF($Q173="","",INDEX(TRANSACTIONS_MASTER!$I$5:$I$1204,$Q173))</f>
        <v/>
      </c>
      <c r="G173" s="55" t="str">
        <f>IF($Q173="","",INDEX(TRANSACTIONS_MASTER!$K$5:$K$1204,$Q173))</f>
        <v/>
      </c>
      <c r="H173" s="25" t="str">
        <f>IF($Q173="","",INDEX(TRANSACTIONS_MASTER!$L$5:$L$1204,$Q173))</f>
        <v/>
      </c>
      <c r="I173" s="56" t="str">
        <f>IF($Q173="","",INDEX(TRANSACTIONS_MASTER!$N$5:$N$1204,$Q173))</f>
        <v/>
      </c>
      <c r="J173" s="25" t="str">
        <f>IF($Q173="","",INDEX(TRANSACTIONS_MASTER!$O$5:$O$1204,$Q173))</f>
        <v/>
      </c>
      <c r="K173" s="26" t="str">
        <f>IF($Q173="","",INDEX(TRANSACTIONS_MASTER!$Q$5:$Q$1204,$Q173))</f>
        <v/>
      </c>
      <c r="L173" s="25" t="str">
        <f>IF($Q173="","",INDEX(TRANSACTIONS_MASTER!$P$5:$P$1204,$Q173))</f>
        <v/>
      </c>
      <c r="M173" s="25" t="str">
        <f>IF($Q173="","",INDEX(TRANSACTIONS_MASTER!$AA$5:$AA$1204,$Q173))</f>
        <v/>
      </c>
      <c r="N173" s="25" t="str">
        <f>IF($Q173="","",INDEX(TRANSACTIONS_MASTER!$R$5:$R$1204,$Q173))</f>
        <v/>
      </c>
      <c r="O173" s="28" t="str">
        <f>IF($Q173="","",INDEX(TRANSACTIONS_MASTER!$AB$5:$AB$1204,$Q173))</f>
        <v/>
      </c>
      <c r="P173" s="55" t="str">
        <f>IF($Q173="","",INDEX(TRANSACTIONS_MASTER!$Z$5:$Z$1204,$Q173)&amp;"")</f>
        <v/>
      </c>
      <c r="Q173" s="67" t="str">
        <f>IFERROR(MATCH($C$2&amp;"|"&amp;166,TRANSACTIONS_MASTER!$AE$5:$AE$1204,0),"")</f>
        <v/>
      </c>
      <c r="S173" s="67" t="str">
        <f>IFERROR(MATCH(1,INDEX((TRANSACTIONS_MASTER!$C$5:$C$1204=$C$2)*(TRANSACTIONS_MASTER!$AN$5:$AN$1204=15),0),0),"")</f>
        <v/>
      </c>
      <c r="T173" s="55" t="n"/>
      <c r="U173" s="55" t="str">
        <f>IF($S173="","",INDEX(TRANSACTIONS_MASTER!$G$5:$G$1204,$S173)&amp;"")</f>
        <v/>
      </c>
      <c r="V173" s="25" t="str">
        <f>IF($S173="","",SUMIFS(TRANSACTIONS_MASTER!$L$5:$L$1204,TRANSACTIONS_MASTER!$G$5:$G$1204,$U173,TRANSACTIONS_MASTER!$C$5:$C$1204,$C$2,TRANSACTIONS_MASTER!$U$5:$U$1204,"&lt;&gt;Cancelled"))</f>
        <v/>
      </c>
      <c r="W173" s="26" t="str">
        <f>IF($S173="","",SUMIFS(TRANSACTIONS_MASTER!$Q$5:$Q$1204,TRANSACTIONS_MASTER!$G$5:$G$1204,$U173,TRANSACTIONS_MASTER!$C$5:$C$1204,$C$2))</f>
        <v/>
      </c>
    </row>
    <row r="174">
      <c r="A174" s="81" t="str">
        <f>IF($Q174="","",167)</f>
        <v/>
      </c>
      <c r="B174" s="57" t="str">
        <f>IF($Q174="","",INDEX(TRANSACTIONS_MASTER!$B$5:$B$1204,$Q174))</f>
        <v/>
      </c>
      <c r="C174" s="55" t="str">
        <f>IF($Q174="","",INDEX(TRANSACTIONS_MASTER!$F$5:$F$1204,$Q174))</f>
        <v/>
      </c>
      <c r="D174" s="55" t="str">
        <f>IF($Q174="","",INDEX(TRANSACTIONS_MASTER!$E$5:$E$1204,$Q174))</f>
        <v/>
      </c>
      <c r="E174" s="55" t="str">
        <f>IF($Q174="","",INDEX(TRANSACTIONS_MASTER!$G$5:$G$1204,$Q174)&amp;"")</f>
        <v/>
      </c>
      <c r="F174" s="29" t="str">
        <f>IF($Q174="","",INDEX(TRANSACTIONS_MASTER!$I$5:$I$1204,$Q174))</f>
        <v/>
      </c>
      <c r="G174" s="55" t="str">
        <f>IF($Q174="","",INDEX(TRANSACTIONS_MASTER!$K$5:$K$1204,$Q174))</f>
        <v/>
      </c>
      <c r="H174" s="25" t="str">
        <f>IF($Q174="","",INDEX(TRANSACTIONS_MASTER!$L$5:$L$1204,$Q174))</f>
        <v/>
      </c>
      <c r="I174" s="56" t="str">
        <f>IF($Q174="","",INDEX(TRANSACTIONS_MASTER!$N$5:$N$1204,$Q174))</f>
        <v/>
      </c>
      <c r="J174" s="25" t="str">
        <f>IF($Q174="","",INDEX(TRANSACTIONS_MASTER!$O$5:$O$1204,$Q174))</f>
        <v/>
      </c>
      <c r="K174" s="26" t="str">
        <f>IF($Q174="","",INDEX(TRANSACTIONS_MASTER!$Q$5:$Q$1204,$Q174))</f>
        <v/>
      </c>
      <c r="L174" s="25" t="str">
        <f>IF($Q174="","",INDEX(TRANSACTIONS_MASTER!$P$5:$P$1204,$Q174))</f>
        <v/>
      </c>
      <c r="M174" s="25" t="str">
        <f>IF($Q174="","",INDEX(TRANSACTIONS_MASTER!$AA$5:$AA$1204,$Q174))</f>
        <v/>
      </c>
      <c r="N174" s="25" t="str">
        <f>IF($Q174="","",INDEX(TRANSACTIONS_MASTER!$R$5:$R$1204,$Q174))</f>
        <v/>
      </c>
      <c r="O174" s="28" t="str">
        <f>IF($Q174="","",INDEX(TRANSACTIONS_MASTER!$AB$5:$AB$1204,$Q174))</f>
        <v/>
      </c>
      <c r="P174" s="55" t="str">
        <f>IF($Q174="","",INDEX(TRANSACTIONS_MASTER!$Z$5:$Z$1204,$Q174)&amp;"")</f>
        <v/>
      </c>
      <c r="Q174" s="67" t="str">
        <f>IFERROR(MATCH($C$2&amp;"|"&amp;167,TRANSACTIONS_MASTER!$AE$5:$AE$1204,0),"")</f>
        <v/>
      </c>
      <c r="S174" s="67" t="str">
        <f>IFERROR(MATCH(1,INDEX((TRANSACTIONS_MASTER!$C$5:$C$1204=$C$2)*(TRANSACTIONS_MASTER!$AN$5:$AN$1204=16),0),0),"")</f>
        <v/>
      </c>
      <c r="T174" s="55" t="n"/>
      <c r="U174" s="55" t="str">
        <f>IF($S174="","",INDEX(TRANSACTIONS_MASTER!$G$5:$G$1204,$S174)&amp;"")</f>
        <v/>
      </c>
      <c r="V174" s="25" t="str">
        <f>IF($S174="","",SUMIFS(TRANSACTIONS_MASTER!$L$5:$L$1204,TRANSACTIONS_MASTER!$G$5:$G$1204,$U174,TRANSACTIONS_MASTER!$C$5:$C$1204,$C$2,TRANSACTIONS_MASTER!$U$5:$U$1204,"&lt;&gt;Cancelled"))</f>
        <v/>
      </c>
      <c r="W174" s="26" t="str">
        <f>IF($S174="","",SUMIFS(TRANSACTIONS_MASTER!$Q$5:$Q$1204,TRANSACTIONS_MASTER!$G$5:$G$1204,$U174,TRANSACTIONS_MASTER!$C$5:$C$1204,$C$2))</f>
        <v/>
      </c>
    </row>
    <row r="175">
      <c r="A175" s="81" t="str">
        <f>IF($Q175="","",168)</f>
        <v/>
      </c>
      <c r="B175" s="57" t="str">
        <f>IF($Q175="","",INDEX(TRANSACTIONS_MASTER!$B$5:$B$1204,$Q175))</f>
        <v/>
      </c>
      <c r="C175" s="55" t="str">
        <f>IF($Q175="","",INDEX(TRANSACTIONS_MASTER!$F$5:$F$1204,$Q175))</f>
        <v/>
      </c>
      <c r="D175" s="55" t="str">
        <f>IF($Q175="","",INDEX(TRANSACTIONS_MASTER!$E$5:$E$1204,$Q175))</f>
        <v/>
      </c>
      <c r="E175" s="55" t="str">
        <f>IF($Q175="","",INDEX(TRANSACTIONS_MASTER!$G$5:$G$1204,$Q175)&amp;"")</f>
        <v/>
      </c>
      <c r="F175" s="29" t="str">
        <f>IF($Q175="","",INDEX(TRANSACTIONS_MASTER!$I$5:$I$1204,$Q175))</f>
        <v/>
      </c>
      <c r="G175" s="55" t="str">
        <f>IF($Q175="","",INDEX(TRANSACTIONS_MASTER!$K$5:$K$1204,$Q175))</f>
        <v/>
      </c>
      <c r="H175" s="25" t="str">
        <f>IF($Q175="","",INDEX(TRANSACTIONS_MASTER!$L$5:$L$1204,$Q175))</f>
        <v/>
      </c>
      <c r="I175" s="56" t="str">
        <f>IF($Q175="","",INDEX(TRANSACTIONS_MASTER!$N$5:$N$1204,$Q175))</f>
        <v/>
      </c>
      <c r="J175" s="25" t="str">
        <f>IF($Q175="","",INDEX(TRANSACTIONS_MASTER!$O$5:$O$1204,$Q175))</f>
        <v/>
      </c>
      <c r="K175" s="26" t="str">
        <f>IF($Q175="","",INDEX(TRANSACTIONS_MASTER!$Q$5:$Q$1204,$Q175))</f>
        <v/>
      </c>
      <c r="L175" s="25" t="str">
        <f>IF($Q175="","",INDEX(TRANSACTIONS_MASTER!$P$5:$P$1204,$Q175))</f>
        <v/>
      </c>
      <c r="M175" s="25" t="str">
        <f>IF($Q175="","",INDEX(TRANSACTIONS_MASTER!$AA$5:$AA$1204,$Q175))</f>
        <v/>
      </c>
      <c r="N175" s="25" t="str">
        <f>IF($Q175="","",INDEX(TRANSACTIONS_MASTER!$R$5:$R$1204,$Q175))</f>
        <v/>
      </c>
      <c r="O175" s="28" t="str">
        <f>IF($Q175="","",INDEX(TRANSACTIONS_MASTER!$AB$5:$AB$1204,$Q175))</f>
        <v/>
      </c>
      <c r="P175" s="55" t="str">
        <f>IF($Q175="","",INDEX(TRANSACTIONS_MASTER!$Z$5:$Z$1204,$Q175)&amp;"")</f>
        <v/>
      </c>
      <c r="Q175" s="67" t="str">
        <f>IFERROR(MATCH($C$2&amp;"|"&amp;168,TRANSACTIONS_MASTER!$AE$5:$AE$1204,0),"")</f>
        <v/>
      </c>
      <c r="S175" s="67" t="str">
        <f>IFERROR(MATCH(1,INDEX((TRANSACTIONS_MASTER!$C$5:$C$1204=$C$2)*(TRANSACTIONS_MASTER!$AN$5:$AN$1204=17),0),0),"")</f>
        <v/>
      </c>
      <c r="T175" s="55" t="n"/>
      <c r="U175" s="55" t="str">
        <f>IF($S175="","",INDEX(TRANSACTIONS_MASTER!$G$5:$G$1204,$S175)&amp;"")</f>
        <v/>
      </c>
      <c r="V175" s="25" t="str">
        <f>IF($S175="","",SUMIFS(TRANSACTIONS_MASTER!$L$5:$L$1204,TRANSACTIONS_MASTER!$G$5:$G$1204,$U175,TRANSACTIONS_MASTER!$C$5:$C$1204,$C$2,TRANSACTIONS_MASTER!$U$5:$U$1204,"&lt;&gt;Cancelled"))</f>
        <v/>
      </c>
      <c r="W175" s="26" t="str">
        <f>IF($S175="","",SUMIFS(TRANSACTIONS_MASTER!$Q$5:$Q$1204,TRANSACTIONS_MASTER!$G$5:$G$1204,$U175,TRANSACTIONS_MASTER!$C$5:$C$1204,$C$2))</f>
        <v/>
      </c>
    </row>
    <row r="176">
      <c r="A176" s="81" t="str">
        <f>IF($Q176="","",169)</f>
        <v/>
      </c>
      <c r="B176" s="57" t="str">
        <f>IF($Q176="","",INDEX(TRANSACTIONS_MASTER!$B$5:$B$1204,$Q176))</f>
        <v/>
      </c>
      <c r="C176" s="55" t="str">
        <f>IF($Q176="","",INDEX(TRANSACTIONS_MASTER!$F$5:$F$1204,$Q176))</f>
        <v/>
      </c>
      <c r="D176" s="55" t="str">
        <f>IF($Q176="","",INDEX(TRANSACTIONS_MASTER!$E$5:$E$1204,$Q176))</f>
        <v/>
      </c>
      <c r="E176" s="55" t="str">
        <f>IF($Q176="","",INDEX(TRANSACTIONS_MASTER!$G$5:$G$1204,$Q176)&amp;"")</f>
        <v/>
      </c>
      <c r="F176" s="29" t="str">
        <f>IF($Q176="","",INDEX(TRANSACTIONS_MASTER!$I$5:$I$1204,$Q176))</f>
        <v/>
      </c>
      <c r="G176" s="55" t="str">
        <f>IF($Q176="","",INDEX(TRANSACTIONS_MASTER!$K$5:$K$1204,$Q176))</f>
        <v/>
      </c>
      <c r="H176" s="25" t="str">
        <f>IF($Q176="","",INDEX(TRANSACTIONS_MASTER!$L$5:$L$1204,$Q176))</f>
        <v/>
      </c>
      <c r="I176" s="56" t="str">
        <f>IF($Q176="","",INDEX(TRANSACTIONS_MASTER!$N$5:$N$1204,$Q176))</f>
        <v/>
      </c>
      <c r="J176" s="25" t="str">
        <f>IF($Q176="","",INDEX(TRANSACTIONS_MASTER!$O$5:$O$1204,$Q176))</f>
        <v/>
      </c>
      <c r="K176" s="26" t="str">
        <f>IF($Q176="","",INDEX(TRANSACTIONS_MASTER!$Q$5:$Q$1204,$Q176))</f>
        <v/>
      </c>
      <c r="L176" s="25" t="str">
        <f>IF($Q176="","",INDEX(TRANSACTIONS_MASTER!$P$5:$P$1204,$Q176))</f>
        <v/>
      </c>
      <c r="M176" s="25" t="str">
        <f>IF($Q176="","",INDEX(TRANSACTIONS_MASTER!$AA$5:$AA$1204,$Q176))</f>
        <v/>
      </c>
      <c r="N176" s="25" t="str">
        <f>IF($Q176="","",INDEX(TRANSACTIONS_MASTER!$R$5:$R$1204,$Q176))</f>
        <v/>
      </c>
      <c r="O176" s="28" t="str">
        <f>IF($Q176="","",INDEX(TRANSACTIONS_MASTER!$AB$5:$AB$1204,$Q176))</f>
        <v/>
      </c>
      <c r="P176" s="55" t="str">
        <f>IF($Q176="","",INDEX(TRANSACTIONS_MASTER!$Z$5:$Z$1204,$Q176)&amp;"")</f>
        <v/>
      </c>
      <c r="Q176" s="67" t="str">
        <f>IFERROR(MATCH($C$2&amp;"|"&amp;169,TRANSACTIONS_MASTER!$AE$5:$AE$1204,0),"")</f>
        <v/>
      </c>
      <c r="S176" s="67" t="str">
        <f>IFERROR(MATCH(1,INDEX((TRANSACTIONS_MASTER!$C$5:$C$1204=$C$2)*(TRANSACTIONS_MASTER!$AN$5:$AN$1204=18),0),0),"")</f>
        <v/>
      </c>
      <c r="T176" s="55" t="n"/>
      <c r="U176" s="55" t="str">
        <f>IF($S176="","",INDEX(TRANSACTIONS_MASTER!$G$5:$G$1204,$S176)&amp;"")</f>
        <v/>
      </c>
      <c r="V176" s="25" t="str">
        <f>IF($S176="","",SUMIFS(TRANSACTIONS_MASTER!$L$5:$L$1204,TRANSACTIONS_MASTER!$G$5:$G$1204,$U176,TRANSACTIONS_MASTER!$C$5:$C$1204,$C$2,TRANSACTIONS_MASTER!$U$5:$U$1204,"&lt;&gt;Cancelled"))</f>
        <v/>
      </c>
      <c r="W176" s="26" t="str">
        <f>IF($S176="","",SUMIFS(TRANSACTIONS_MASTER!$Q$5:$Q$1204,TRANSACTIONS_MASTER!$G$5:$G$1204,$U176,TRANSACTIONS_MASTER!$C$5:$C$1204,$C$2))</f>
        <v/>
      </c>
    </row>
    <row r="177">
      <c r="A177" s="81" t="str">
        <f>IF($Q177="","",170)</f>
        <v/>
      </c>
      <c r="B177" s="57" t="str">
        <f>IF($Q177="","",INDEX(TRANSACTIONS_MASTER!$B$5:$B$1204,$Q177))</f>
        <v/>
      </c>
      <c r="C177" s="55" t="str">
        <f>IF($Q177="","",INDEX(TRANSACTIONS_MASTER!$F$5:$F$1204,$Q177))</f>
        <v/>
      </c>
      <c r="D177" s="55" t="str">
        <f>IF($Q177="","",INDEX(TRANSACTIONS_MASTER!$E$5:$E$1204,$Q177))</f>
        <v/>
      </c>
      <c r="E177" s="55" t="str">
        <f>IF($Q177="","",INDEX(TRANSACTIONS_MASTER!$G$5:$G$1204,$Q177)&amp;"")</f>
        <v/>
      </c>
      <c r="F177" s="29" t="str">
        <f>IF($Q177="","",INDEX(TRANSACTIONS_MASTER!$I$5:$I$1204,$Q177))</f>
        <v/>
      </c>
      <c r="G177" s="55" t="str">
        <f>IF($Q177="","",INDEX(TRANSACTIONS_MASTER!$K$5:$K$1204,$Q177))</f>
        <v/>
      </c>
      <c r="H177" s="25" t="str">
        <f>IF($Q177="","",INDEX(TRANSACTIONS_MASTER!$L$5:$L$1204,$Q177))</f>
        <v/>
      </c>
      <c r="I177" s="56" t="str">
        <f>IF($Q177="","",INDEX(TRANSACTIONS_MASTER!$N$5:$N$1204,$Q177))</f>
        <v/>
      </c>
      <c r="J177" s="25" t="str">
        <f>IF($Q177="","",INDEX(TRANSACTIONS_MASTER!$O$5:$O$1204,$Q177))</f>
        <v/>
      </c>
      <c r="K177" s="26" t="str">
        <f>IF($Q177="","",INDEX(TRANSACTIONS_MASTER!$Q$5:$Q$1204,$Q177))</f>
        <v/>
      </c>
      <c r="L177" s="25" t="str">
        <f>IF($Q177="","",INDEX(TRANSACTIONS_MASTER!$P$5:$P$1204,$Q177))</f>
        <v/>
      </c>
      <c r="M177" s="25" t="str">
        <f>IF($Q177="","",INDEX(TRANSACTIONS_MASTER!$AA$5:$AA$1204,$Q177))</f>
        <v/>
      </c>
      <c r="N177" s="25" t="str">
        <f>IF($Q177="","",INDEX(TRANSACTIONS_MASTER!$R$5:$R$1204,$Q177))</f>
        <v/>
      </c>
      <c r="O177" s="28" t="str">
        <f>IF($Q177="","",INDEX(TRANSACTIONS_MASTER!$AB$5:$AB$1204,$Q177))</f>
        <v/>
      </c>
      <c r="P177" s="55" t="str">
        <f>IF($Q177="","",INDEX(TRANSACTIONS_MASTER!$Z$5:$Z$1204,$Q177)&amp;"")</f>
        <v/>
      </c>
      <c r="Q177" s="67" t="str">
        <f>IFERROR(MATCH($C$2&amp;"|"&amp;170,TRANSACTIONS_MASTER!$AE$5:$AE$1204,0),"")</f>
        <v/>
      </c>
      <c r="S177" s="67" t="str">
        <f>IFERROR(MATCH(1,INDEX((TRANSACTIONS_MASTER!$C$5:$C$1204=$C$2)*(TRANSACTIONS_MASTER!$AN$5:$AN$1204=19),0),0),"")</f>
        <v/>
      </c>
      <c r="T177" s="55" t="n"/>
      <c r="U177" s="55" t="str">
        <f>IF($S177="","",INDEX(TRANSACTIONS_MASTER!$G$5:$G$1204,$S177)&amp;"")</f>
        <v/>
      </c>
      <c r="V177" s="25" t="str">
        <f>IF($S177="","",SUMIFS(TRANSACTIONS_MASTER!$L$5:$L$1204,TRANSACTIONS_MASTER!$G$5:$G$1204,$U177,TRANSACTIONS_MASTER!$C$5:$C$1204,$C$2,TRANSACTIONS_MASTER!$U$5:$U$1204,"&lt;&gt;Cancelled"))</f>
        <v/>
      </c>
      <c r="W177" s="26" t="str">
        <f>IF($S177="","",SUMIFS(TRANSACTIONS_MASTER!$Q$5:$Q$1204,TRANSACTIONS_MASTER!$G$5:$G$1204,$U177,TRANSACTIONS_MASTER!$C$5:$C$1204,$C$2))</f>
        <v/>
      </c>
    </row>
    <row r="178">
      <c r="A178" s="81" t="str">
        <f>IF($Q178="","",171)</f>
        <v/>
      </c>
      <c r="B178" s="57" t="str">
        <f>IF($Q178="","",INDEX(TRANSACTIONS_MASTER!$B$5:$B$1204,$Q178))</f>
        <v/>
      </c>
      <c r="C178" s="55" t="str">
        <f>IF($Q178="","",INDEX(TRANSACTIONS_MASTER!$F$5:$F$1204,$Q178))</f>
        <v/>
      </c>
      <c r="D178" s="55" t="str">
        <f>IF($Q178="","",INDEX(TRANSACTIONS_MASTER!$E$5:$E$1204,$Q178))</f>
        <v/>
      </c>
      <c r="E178" s="55" t="str">
        <f>IF($Q178="","",INDEX(TRANSACTIONS_MASTER!$G$5:$G$1204,$Q178)&amp;"")</f>
        <v/>
      </c>
      <c r="F178" s="29" t="str">
        <f>IF($Q178="","",INDEX(TRANSACTIONS_MASTER!$I$5:$I$1204,$Q178))</f>
        <v/>
      </c>
      <c r="G178" s="55" t="str">
        <f>IF($Q178="","",INDEX(TRANSACTIONS_MASTER!$K$5:$K$1204,$Q178))</f>
        <v/>
      </c>
      <c r="H178" s="25" t="str">
        <f>IF($Q178="","",INDEX(TRANSACTIONS_MASTER!$L$5:$L$1204,$Q178))</f>
        <v/>
      </c>
      <c r="I178" s="56" t="str">
        <f>IF($Q178="","",INDEX(TRANSACTIONS_MASTER!$N$5:$N$1204,$Q178))</f>
        <v/>
      </c>
      <c r="J178" s="25" t="str">
        <f>IF($Q178="","",INDEX(TRANSACTIONS_MASTER!$O$5:$O$1204,$Q178))</f>
        <v/>
      </c>
      <c r="K178" s="26" t="str">
        <f>IF($Q178="","",INDEX(TRANSACTIONS_MASTER!$Q$5:$Q$1204,$Q178))</f>
        <v/>
      </c>
      <c r="L178" s="25" t="str">
        <f>IF($Q178="","",INDEX(TRANSACTIONS_MASTER!$P$5:$P$1204,$Q178))</f>
        <v/>
      </c>
      <c r="M178" s="25" t="str">
        <f>IF($Q178="","",INDEX(TRANSACTIONS_MASTER!$AA$5:$AA$1204,$Q178))</f>
        <v/>
      </c>
      <c r="N178" s="25" t="str">
        <f>IF($Q178="","",INDEX(TRANSACTIONS_MASTER!$R$5:$R$1204,$Q178))</f>
        <v/>
      </c>
      <c r="O178" s="28" t="str">
        <f>IF($Q178="","",INDEX(TRANSACTIONS_MASTER!$AB$5:$AB$1204,$Q178))</f>
        <v/>
      </c>
      <c r="P178" s="55" t="str">
        <f>IF($Q178="","",INDEX(TRANSACTIONS_MASTER!$Z$5:$Z$1204,$Q178)&amp;"")</f>
        <v/>
      </c>
      <c r="Q178" s="67" t="str">
        <f>IFERROR(MATCH($C$2&amp;"|"&amp;171,TRANSACTIONS_MASTER!$AE$5:$AE$1204,0),"")</f>
        <v/>
      </c>
      <c r="S178" s="67" t="str">
        <f>IFERROR(MATCH(1,INDEX((TRANSACTIONS_MASTER!$C$5:$C$1204=$C$2)*(TRANSACTIONS_MASTER!$AN$5:$AN$1204=20),0),0),"")</f>
        <v/>
      </c>
      <c r="T178" s="55" t="n"/>
      <c r="U178" s="55" t="str">
        <f>IF($S178="","",INDEX(TRANSACTIONS_MASTER!$G$5:$G$1204,$S178)&amp;"")</f>
        <v/>
      </c>
      <c r="V178" s="25" t="str">
        <f>IF($S178="","",SUMIFS(TRANSACTIONS_MASTER!$L$5:$L$1204,TRANSACTIONS_MASTER!$G$5:$G$1204,$U178,TRANSACTIONS_MASTER!$C$5:$C$1204,$C$2,TRANSACTIONS_MASTER!$U$5:$U$1204,"&lt;&gt;Cancelled"))</f>
        <v/>
      </c>
      <c r="W178" s="26" t="str">
        <f>IF($S178="","",SUMIFS(TRANSACTIONS_MASTER!$Q$5:$Q$1204,TRANSACTIONS_MASTER!$G$5:$G$1204,$U178,TRANSACTIONS_MASTER!$C$5:$C$1204,$C$2))</f>
        <v/>
      </c>
    </row>
    <row r="179">
      <c r="A179" s="81" t="str">
        <f>IF($Q179="","",172)</f>
        <v/>
      </c>
      <c r="B179" s="57" t="str">
        <f>IF($Q179="","",INDEX(TRANSACTIONS_MASTER!$B$5:$B$1204,$Q179))</f>
        <v/>
      </c>
      <c r="C179" s="55" t="str">
        <f>IF($Q179="","",INDEX(TRANSACTIONS_MASTER!$F$5:$F$1204,$Q179))</f>
        <v/>
      </c>
      <c r="D179" s="55" t="str">
        <f>IF($Q179="","",INDEX(TRANSACTIONS_MASTER!$E$5:$E$1204,$Q179))</f>
        <v/>
      </c>
      <c r="E179" s="55" t="str">
        <f>IF($Q179="","",INDEX(TRANSACTIONS_MASTER!$G$5:$G$1204,$Q179)&amp;"")</f>
        <v/>
      </c>
      <c r="F179" s="29" t="str">
        <f>IF($Q179="","",INDEX(TRANSACTIONS_MASTER!$I$5:$I$1204,$Q179))</f>
        <v/>
      </c>
      <c r="G179" s="55" t="str">
        <f>IF($Q179="","",INDEX(TRANSACTIONS_MASTER!$K$5:$K$1204,$Q179))</f>
        <v/>
      </c>
      <c r="H179" s="25" t="str">
        <f>IF($Q179="","",INDEX(TRANSACTIONS_MASTER!$L$5:$L$1204,$Q179))</f>
        <v/>
      </c>
      <c r="I179" s="56" t="str">
        <f>IF($Q179="","",INDEX(TRANSACTIONS_MASTER!$N$5:$N$1204,$Q179))</f>
        <v/>
      </c>
      <c r="J179" s="25" t="str">
        <f>IF($Q179="","",INDEX(TRANSACTIONS_MASTER!$O$5:$O$1204,$Q179))</f>
        <v/>
      </c>
      <c r="K179" s="26" t="str">
        <f>IF($Q179="","",INDEX(TRANSACTIONS_MASTER!$Q$5:$Q$1204,$Q179))</f>
        <v/>
      </c>
      <c r="L179" s="25" t="str">
        <f>IF($Q179="","",INDEX(TRANSACTIONS_MASTER!$P$5:$P$1204,$Q179))</f>
        <v/>
      </c>
      <c r="M179" s="25" t="str">
        <f>IF($Q179="","",INDEX(TRANSACTIONS_MASTER!$AA$5:$AA$1204,$Q179))</f>
        <v/>
      </c>
      <c r="N179" s="25" t="str">
        <f>IF($Q179="","",INDEX(TRANSACTIONS_MASTER!$R$5:$R$1204,$Q179))</f>
        <v/>
      </c>
      <c r="O179" s="28" t="str">
        <f>IF($Q179="","",INDEX(TRANSACTIONS_MASTER!$AB$5:$AB$1204,$Q179))</f>
        <v/>
      </c>
      <c r="P179" s="55" t="str">
        <f>IF($Q179="","",INDEX(TRANSACTIONS_MASTER!$Z$5:$Z$1204,$Q179)&amp;"")</f>
        <v/>
      </c>
      <c r="Q179" s="67" t="str">
        <f>IFERROR(MATCH($C$2&amp;"|"&amp;172,TRANSACTIONS_MASTER!$AE$5:$AE$1204,0),"")</f>
        <v/>
      </c>
      <c r="T179" s="45" t="n"/>
      <c r="U179" s="82" t="inlineStr">
        <is>
          <t>Khác (ngoài danh sách)</t>
        </is>
      </c>
      <c r="V179" s="48">
        <f>MAX(0,SUMIFS(TRANSACTIONS_MASTER!$L$5:$L$1204,TRANSACTIONS_MASTER!$C$5:$C$1204,$C$2,TRANSACTIONS_MASTER!$U$5:$U$1204,"&lt;&gt;Cancelled")-SUM(V159:V178))</f>
        <v>0</v>
      </c>
      <c r="W179" s="48">
        <f>MAX(0,SUMIFS(TRANSACTIONS_MASTER!$Q$5:$Q$1204,TRANSACTIONS_MASTER!$C$5:$C$1204,$C$2)-SUM(W159:W178))</f>
        <v>0</v>
      </c>
    </row>
    <row r="180">
      <c r="A180" s="81" t="str">
        <f>IF($Q180="","",173)</f>
        <v/>
      </c>
      <c r="B180" s="57" t="str">
        <f>IF($Q180="","",INDEX(TRANSACTIONS_MASTER!$B$5:$B$1204,$Q180))</f>
        <v/>
      </c>
      <c r="C180" s="55" t="str">
        <f>IF($Q180="","",INDEX(TRANSACTIONS_MASTER!$F$5:$F$1204,$Q180))</f>
        <v/>
      </c>
      <c r="D180" s="55" t="str">
        <f>IF($Q180="","",INDEX(TRANSACTIONS_MASTER!$E$5:$E$1204,$Q180))</f>
        <v/>
      </c>
      <c r="E180" s="55" t="str">
        <f>IF($Q180="","",INDEX(TRANSACTIONS_MASTER!$G$5:$G$1204,$Q180)&amp;"")</f>
        <v/>
      </c>
      <c r="F180" s="29" t="str">
        <f>IF($Q180="","",INDEX(TRANSACTIONS_MASTER!$I$5:$I$1204,$Q180))</f>
        <v/>
      </c>
      <c r="G180" s="55" t="str">
        <f>IF($Q180="","",INDEX(TRANSACTIONS_MASTER!$K$5:$K$1204,$Q180))</f>
        <v/>
      </c>
      <c r="H180" s="25" t="str">
        <f>IF($Q180="","",INDEX(TRANSACTIONS_MASTER!$L$5:$L$1204,$Q180))</f>
        <v/>
      </c>
      <c r="I180" s="56" t="str">
        <f>IF($Q180="","",INDEX(TRANSACTIONS_MASTER!$N$5:$N$1204,$Q180))</f>
        <v/>
      </c>
      <c r="J180" s="25" t="str">
        <f>IF($Q180="","",INDEX(TRANSACTIONS_MASTER!$O$5:$O$1204,$Q180))</f>
        <v/>
      </c>
      <c r="K180" s="26" t="str">
        <f>IF($Q180="","",INDEX(TRANSACTIONS_MASTER!$Q$5:$Q$1204,$Q180))</f>
        <v/>
      </c>
      <c r="L180" s="25" t="str">
        <f>IF($Q180="","",INDEX(TRANSACTIONS_MASTER!$P$5:$P$1204,$Q180))</f>
        <v/>
      </c>
      <c r="M180" s="25" t="str">
        <f>IF($Q180="","",INDEX(TRANSACTIONS_MASTER!$AA$5:$AA$1204,$Q180))</f>
        <v/>
      </c>
      <c r="N180" s="25" t="str">
        <f>IF($Q180="","",INDEX(TRANSACTIONS_MASTER!$R$5:$R$1204,$Q180))</f>
        <v/>
      </c>
      <c r="O180" s="28" t="str">
        <f>IF($Q180="","",INDEX(TRANSACTIONS_MASTER!$AB$5:$AB$1204,$Q180))</f>
        <v/>
      </c>
      <c r="P180" s="55" t="str">
        <f>IF($Q180="","",INDEX(TRANSACTIONS_MASTER!$Z$5:$Z$1204,$Q180)&amp;"")</f>
        <v/>
      </c>
      <c r="Q180" s="67" t="str">
        <f>IFERROR(MATCH($C$2&amp;"|"&amp;173,TRANSACTIONS_MASTER!$AE$5:$AE$1204,0),"")</f>
        <v/>
      </c>
      <c r="T180" s="68" t="n"/>
      <c r="U180" s="69" t="inlineStr">
        <is>
          <t>TỔNG</t>
        </is>
      </c>
      <c r="V180" s="31">
        <f>SUM(V159:V179)</f>
        <v>0</v>
      </c>
      <c r="W180" s="31">
        <f>SUM(W159:W179)</f>
        <v>0</v>
      </c>
    </row>
    <row r="181">
      <c r="A181" s="81" t="str">
        <f>IF($Q181="","",174)</f>
        <v/>
      </c>
      <c r="B181" s="57" t="str">
        <f>IF($Q181="","",INDEX(TRANSACTIONS_MASTER!$B$5:$B$1204,$Q181))</f>
        <v/>
      </c>
      <c r="C181" s="55" t="str">
        <f>IF($Q181="","",INDEX(TRANSACTIONS_MASTER!$F$5:$F$1204,$Q181))</f>
        <v/>
      </c>
      <c r="D181" s="55" t="str">
        <f>IF($Q181="","",INDEX(TRANSACTIONS_MASTER!$E$5:$E$1204,$Q181))</f>
        <v/>
      </c>
      <c r="E181" s="55" t="str">
        <f>IF($Q181="","",INDEX(TRANSACTIONS_MASTER!$G$5:$G$1204,$Q181)&amp;"")</f>
        <v/>
      </c>
      <c r="F181" s="29" t="str">
        <f>IF($Q181="","",INDEX(TRANSACTIONS_MASTER!$I$5:$I$1204,$Q181))</f>
        <v/>
      </c>
      <c r="G181" s="55" t="str">
        <f>IF($Q181="","",INDEX(TRANSACTIONS_MASTER!$K$5:$K$1204,$Q181))</f>
        <v/>
      </c>
      <c r="H181" s="25" t="str">
        <f>IF($Q181="","",INDEX(TRANSACTIONS_MASTER!$L$5:$L$1204,$Q181))</f>
        <v/>
      </c>
      <c r="I181" s="56" t="str">
        <f>IF($Q181="","",INDEX(TRANSACTIONS_MASTER!$N$5:$N$1204,$Q181))</f>
        <v/>
      </c>
      <c r="J181" s="25" t="str">
        <f>IF($Q181="","",INDEX(TRANSACTIONS_MASTER!$O$5:$O$1204,$Q181))</f>
        <v/>
      </c>
      <c r="K181" s="26" t="str">
        <f>IF($Q181="","",INDEX(TRANSACTIONS_MASTER!$Q$5:$Q$1204,$Q181))</f>
        <v/>
      </c>
      <c r="L181" s="25" t="str">
        <f>IF($Q181="","",INDEX(TRANSACTIONS_MASTER!$P$5:$P$1204,$Q181))</f>
        <v/>
      </c>
      <c r="M181" s="25" t="str">
        <f>IF($Q181="","",INDEX(TRANSACTIONS_MASTER!$AA$5:$AA$1204,$Q181))</f>
        <v/>
      </c>
      <c r="N181" s="25" t="str">
        <f>IF($Q181="","",INDEX(TRANSACTIONS_MASTER!$R$5:$R$1204,$Q181))</f>
        <v/>
      </c>
      <c r="O181" s="28" t="str">
        <f>IF($Q181="","",INDEX(TRANSACTIONS_MASTER!$AB$5:$AB$1204,$Q181))</f>
        <v/>
      </c>
      <c r="P181" s="55" t="str">
        <f>IF($Q181="","",INDEX(TRANSACTIONS_MASTER!$Z$5:$Z$1204,$Q181)&amp;"")</f>
        <v/>
      </c>
      <c r="Q181" s="67" t="str">
        <f>IFERROR(MATCH($C$2&amp;"|"&amp;174,TRANSACTIONS_MASTER!$AE$5:$AE$1204,0),"")</f>
        <v/>
      </c>
    </row>
    <row r="182">
      <c r="A182" s="81" t="str">
        <f>IF($Q182="","",175)</f>
        <v/>
      </c>
      <c r="B182" s="57" t="str">
        <f>IF($Q182="","",INDEX(TRANSACTIONS_MASTER!$B$5:$B$1204,$Q182))</f>
        <v/>
      </c>
      <c r="C182" s="55" t="str">
        <f>IF($Q182="","",INDEX(TRANSACTIONS_MASTER!$F$5:$F$1204,$Q182))</f>
        <v/>
      </c>
      <c r="D182" s="55" t="str">
        <f>IF($Q182="","",INDEX(TRANSACTIONS_MASTER!$E$5:$E$1204,$Q182))</f>
        <v/>
      </c>
      <c r="E182" s="55" t="str">
        <f>IF($Q182="","",INDEX(TRANSACTIONS_MASTER!$G$5:$G$1204,$Q182)&amp;"")</f>
        <v/>
      </c>
      <c r="F182" s="29" t="str">
        <f>IF($Q182="","",INDEX(TRANSACTIONS_MASTER!$I$5:$I$1204,$Q182))</f>
        <v/>
      </c>
      <c r="G182" s="55" t="str">
        <f>IF($Q182="","",INDEX(TRANSACTIONS_MASTER!$K$5:$K$1204,$Q182))</f>
        <v/>
      </c>
      <c r="H182" s="25" t="str">
        <f>IF($Q182="","",INDEX(TRANSACTIONS_MASTER!$L$5:$L$1204,$Q182))</f>
        <v/>
      </c>
      <c r="I182" s="56" t="str">
        <f>IF($Q182="","",INDEX(TRANSACTIONS_MASTER!$N$5:$N$1204,$Q182))</f>
        <v/>
      </c>
      <c r="J182" s="25" t="str">
        <f>IF($Q182="","",INDEX(TRANSACTIONS_MASTER!$O$5:$O$1204,$Q182))</f>
        <v/>
      </c>
      <c r="K182" s="26" t="str">
        <f>IF($Q182="","",INDEX(TRANSACTIONS_MASTER!$Q$5:$Q$1204,$Q182))</f>
        <v/>
      </c>
      <c r="L182" s="25" t="str">
        <f>IF($Q182="","",INDEX(TRANSACTIONS_MASTER!$P$5:$P$1204,$Q182))</f>
        <v/>
      </c>
      <c r="M182" s="25" t="str">
        <f>IF($Q182="","",INDEX(TRANSACTIONS_MASTER!$AA$5:$AA$1204,$Q182))</f>
        <v/>
      </c>
      <c r="N182" s="25" t="str">
        <f>IF($Q182="","",INDEX(TRANSACTIONS_MASTER!$R$5:$R$1204,$Q182))</f>
        <v/>
      </c>
      <c r="O182" s="28" t="str">
        <f>IF($Q182="","",INDEX(TRANSACTIONS_MASTER!$AB$5:$AB$1204,$Q182))</f>
        <v/>
      </c>
      <c r="P182" s="55" t="str">
        <f>IF($Q182="","",INDEX(TRANSACTIONS_MASTER!$Z$5:$Z$1204,$Q182)&amp;"")</f>
        <v/>
      </c>
      <c r="Q182" s="67" t="str">
        <f>IFERROR(MATCH($C$2&amp;"|"&amp;175,TRANSACTIONS_MASTER!$AE$5:$AE$1204,0),"")</f>
        <v/>
      </c>
    </row>
    <row r="183">
      <c r="A183" s="81" t="str">
        <f>IF($Q183="","",176)</f>
        <v/>
      </c>
      <c r="B183" s="57" t="str">
        <f>IF($Q183="","",INDEX(TRANSACTIONS_MASTER!$B$5:$B$1204,$Q183))</f>
        <v/>
      </c>
      <c r="C183" s="55" t="str">
        <f>IF($Q183="","",INDEX(TRANSACTIONS_MASTER!$F$5:$F$1204,$Q183))</f>
        <v/>
      </c>
      <c r="D183" s="55" t="str">
        <f>IF($Q183="","",INDEX(TRANSACTIONS_MASTER!$E$5:$E$1204,$Q183))</f>
        <v/>
      </c>
      <c r="E183" s="55" t="str">
        <f>IF($Q183="","",INDEX(TRANSACTIONS_MASTER!$G$5:$G$1204,$Q183)&amp;"")</f>
        <v/>
      </c>
      <c r="F183" s="29" t="str">
        <f>IF($Q183="","",INDEX(TRANSACTIONS_MASTER!$I$5:$I$1204,$Q183))</f>
        <v/>
      </c>
      <c r="G183" s="55" t="str">
        <f>IF($Q183="","",INDEX(TRANSACTIONS_MASTER!$K$5:$K$1204,$Q183))</f>
        <v/>
      </c>
      <c r="H183" s="25" t="str">
        <f>IF($Q183="","",INDEX(TRANSACTIONS_MASTER!$L$5:$L$1204,$Q183))</f>
        <v/>
      </c>
      <c r="I183" s="56" t="str">
        <f>IF($Q183="","",INDEX(TRANSACTIONS_MASTER!$N$5:$N$1204,$Q183))</f>
        <v/>
      </c>
      <c r="J183" s="25" t="str">
        <f>IF($Q183="","",INDEX(TRANSACTIONS_MASTER!$O$5:$O$1204,$Q183))</f>
        <v/>
      </c>
      <c r="K183" s="26" t="str">
        <f>IF($Q183="","",INDEX(TRANSACTIONS_MASTER!$Q$5:$Q$1204,$Q183))</f>
        <v/>
      </c>
      <c r="L183" s="25" t="str">
        <f>IF($Q183="","",INDEX(TRANSACTIONS_MASTER!$P$5:$P$1204,$Q183))</f>
        <v/>
      </c>
      <c r="M183" s="25" t="str">
        <f>IF($Q183="","",INDEX(TRANSACTIONS_MASTER!$AA$5:$AA$1204,$Q183))</f>
        <v/>
      </c>
      <c r="N183" s="25" t="str">
        <f>IF($Q183="","",INDEX(TRANSACTIONS_MASTER!$R$5:$R$1204,$Q183))</f>
        <v/>
      </c>
      <c r="O183" s="28" t="str">
        <f>IF($Q183="","",INDEX(TRANSACTIONS_MASTER!$AB$5:$AB$1204,$Q183))</f>
        <v/>
      </c>
      <c r="P183" s="55" t="str">
        <f>IF($Q183="","",INDEX(TRANSACTIONS_MASTER!$Z$5:$Z$1204,$Q183)&amp;"")</f>
        <v/>
      </c>
      <c r="Q183" s="67" t="str">
        <f>IFERROR(MATCH($C$2&amp;"|"&amp;176,TRANSACTIONS_MASTER!$AE$5:$AE$1204,0),"")</f>
        <v/>
      </c>
    </row>
    <row r="184">
      <c r="A184" s="81" t="str">
        <f>IF($Q184="","",177)</f>
        <v/>
      </c>
      <c r="B184" s="57" t="str">
        <f>IF($Q184="","",INDEX(TRANSACTIONS_MASTER!$B$5:$B$1204,$Q184))</f>
        <v/>
      </c>
      <c r="C184" s="55" t="str">
        <f>IF($Q184="","",INDEX(TRANSACTIONS_MASTER!$F$5:$F$1204,$Q184))</f>
        <v/>
      </c>
      <c r="D184" s="55" t="str">
        <f>IF($Q184="","",INDEX(TRANSACTIONS_MASTER!$E$5:$E$1204,$Q184))</f>
        <v/>
      </c>
      <c r="E184" s="55" t="str">
        <f>IF($Q184="","",INDEX(TRANSACTIONS_MASTER!$G$5:$G$1204,$Q184)&amp;"")</f>
        <v/>
      </c>
      <c r="F184" s="29" t="str">
        <f>IF($Q184="","",INDEX(TRANSACTIONS_MASTER!$I$5:$I$1204,$Q184))</f>
        <v/>
      </c>
      <c r="G184" s="55" t="str">
        <f>IF($Q184="","",INDEX(TRANSACTIONS_MASTER!$K$5:$K$1204,$Q184))</f>
        <v/>
      </c>
      <c r="H184" s="25" t="str">
        <f>IF($Q184="","",INDEX(TRANSACTIONS_MASTER!$L$5:$L$1204,$Q184))</f>
        <v/>
      </c>
      <c r="I184" s="56" t="str">
        <f>IF($Q184="","",INDEX(TRANSACTIONS_MASTER!$N$5:$N$1204,$Q184))</f>
        <v/>
      </c>
      <c r="J184" s="25" t="str">
        <f>IF($Q184="","",INDEX(TRANSACTIONS_MASTER!$O$5:$O$1204,$Q184))</f>
        <v/>
      </c>
      <c r="K184" s="26" t="str">
        <f>IF($Q184="","",INDEX(TRANSACTIONS_MASTER!$Q$5:$Q$1204,$Q184))</f>
        <v/>
      </c>
      <c r="L184" s="25" t="str">
        <f>IF($Q184="","",INDEX(TRANSACTIONS_MASTER!$P$5:$P$1204,$Q184))</f>
        <v/>
      </c>
      <c r="M184" s="25" t="str">
        <f>IF($Q184="","",INDEX(TRANSACTIONS_MASTER!$AA$5:$AA$1204,$Q184))</f>
        <v/>
      </c>
      <c r="N184" s="25" t="str">
        <f>IF($Q184="","",INDEX(TRANSACTIONS_MASTER!$R$5:$R$1204,$Q184))</f>
        <v/>
      </c>
      <c r="O184" s="28" t="str">
        <f>IF($Q184="","",INDEX(TRANSACTIONS_MASTER!$AB$5:$AB$1204,$Q184))</f>
        <v/>
      </c>
      <c r="P184" s="55" t="str">
        <f>IF($Q184="","",INDEX(TRANSACTIONS_MASTER!$Z$5:$Z$1204,$Q184)&amp;"")</f>
        <v/>
      </c>
      <c r="Q184" s="67" t="str">
        <f>IFERROR(MATCH($C$2&amp;"|"&amp;177,TRANSACTIONS_MASTER!$AE$5:$AE$1204,0),"")</f>
        <v/>
      </c>
    </row>
    <row r="185">
      <c r="A185" s="81" t="str">
        <f>IF($Q185="","",178)</f>
        <v/>
      </c>
      <c r="B185" s="57" t="str">
        <f>IF($Q185="","",INDEX(TRANSACTIONS_MASTER!$B$5:$B$1204,$Q185))</f>
        <v/>
      </c>
      <c r="C185" s="55" t="str">
        <f>IF($Q185="","",INDEX(TRANSACTIONS_MASTER!$F$5:$F$1204,$Q185))</f>
        <v/>
      </c>
      <c r="D185" s="55" t="str">
        <f>IF($Q185="","",INDEX(TRANSACTIONS_MASTER!$E$5:$E$1204,$Q185))</f>
        <v/>
      </c>
      <c r="E185" s="55" t="str">
        <f>IF($Q185="","",INDEX(TRANSACTIONS_MASTER!$G$5:$G$1204,$Q185)&amp;"")</f>
        <v/>
      </c>
      <c r="F185" s="29" t="str">
        <f>IF($Q185="","",INDEX(TRANSACTIONS_MASTER!$I$5:$I$1204,$Q185))</f>
        <v/>
      </c>
      <c r="G185" s="55" t="str">
        <f>IF($Q185="","",INDEX(TRANSACTIONS_MASTER!$K$5:$K$1204,$Q185))</f>
        <v/>
      </c>
      <c r="H185" s="25" t="str">
        <f>IF($Q185="","",INDEX(TRANSACTIONS_MASTER!$L$5:$L$1204,$Q185))</f>
        <v/>
      </c>
      <c r="I185" s="56" t="str">
        <f>IF($Q185="","",INDEX(TRANSACTIONS_MASTER!$N$5:$N$1204,$Q185))</f>
        <v/>
      </c>
      <c r="J185" s="25" t="str">
        <f>IF($Q185="","",INDEX(TRANSACTIONS_MASTER!$O$5:$O$1204,$Q185))</f>
        <v/>
      </c>
      <c r="K185" s="26" t="str">
        <f>IF($Q185="","",INDEX(TRANSACTIONS_MASTER!$Q$5:$Q$1204,$Q185))</f>
        <v/>
      </c>
      <c r="L185" s="25" t="str">
        <f>IF($Q185="","",INDEX(TRANSACTIONS_MASTER!$P$5:$P$1204,$Q185))</f>
        <v/>
      </c>
      <c r="M185" s="25" t="str">
        <f>IF($Q185="","",INDEX(TRANSACTIONS_MASTER!$AA$5:$AA$1204,$Q185))</f>
        <v/>
      </c>
      <c r="N185" s="25" t="str">
        <f>IF($Q185="","",INDEX(TRANSACTIONS_MASTER!$R$5:$R$1204,$Q185))</f>
        <v/>
      </c>
      <c r="O185" s="28" t="str">
        <f>IF($Q185="","",INDEX(TRANSACTIONS_MASTER!$AB$5:$AB$1204,$Q185))</f>
        <v/>
      </c>
      <c r="P185" s="55" t="str">
        <f>IF($Q185="","",INDEX(TRANSACTIONS_MASTER!$Z$5:$Z$1204,$Q185)&amp;"")</f>
        <v/>
      </c>
      <c r="Q185" s="67" t="str">
        <f>IFERROR(MATCH($C$2&amp;"|"&amp;178,TRANSACTIONS_MASTER!$AE$5:$AE$1204,0),"")</f>
        <v/>
      </c>
    </row>
    <row r="186">
      <c r="A186" s="81" t="str">
        <f>IF($Q186="","",179)</f>
        <v/>
      </c>
      <c r="B186" s="57" t="str">
        <f>IF($Q186="","",INDEX(TRANSACTIONS_MASTER!$B$5:$B$1204,$Q186))</f>
        <v/>
      </c>
      <c r="C186" s="55" t="str">
        <f>IF($Q186="","",INDEX(TRANSACTIONS_MASTER!$F$5:$F$1204,$Q186))</f>
        <v/>
      </c>
      <c r="D186" s="55" t="str">
        <f>IF($Q186="","",INDEX(TRANSACTIONS_MASTER!$E$5:$E$1204,$Q186))</f>
        <v/>
      </c>
      <c r="E186" s="55" t="str">
        <f>IF($Q186="","",INDEX(TRANSACTIONS_MASTER!$G$5:$G$1204,$Q186)&amp;"")</f>
        <v/>
      </c>
      <c r="F186" s="29" t="str">
        <f>IF($Q186="","",INDEX(TRANSACTIONS_MASTER!$I$5:$I$1204,$Q186))</f>
        <v/>
      </c>
      <c r="G186" s="55" t="str">
        <f>IF($Q186="","",INDEX(TRANSACTIONS_MASTER!$K$5:$K$1204,$Q186))</f>
        <v/>
      </c>
      <c r="H186" s="25" t="str">
        <f>IF($Q186="","",INDEX(TRANSACTIONS_MASTER!$L$5:$L$1204,$Q186))</f>
        <v/>
      </c>
      <c r="I186" s="56" t="str">
        <f>IF($Q186="","",INDEX(TRANSACTIONS_MASTER!$N$5:$N$1204,$Q186))</f>
        <v/>
      </c>
      <c r="J186" s="25" t="str">
        <f>IF($Q186="","",INDEX(TRANSACTIONS_MASTER!$O$5:$O$1204,$Q186))</f>
        <v/>
      </c>
      <c r="K186" s="26" t="str">
        <f>IF($Q186="","",INDEX(TRANSACTIONS_MASTER!$Q$5:$Q$1204,$Q186))</f>
        <v/>
      </c>
      <c r="L186" s="25" t="str">
        <f>IF($Q186="","",INDEX(TRANSACTIONS_MASTER!$P$5:$P$1204,$Q186))</f>
        <v/>
      </c>
      <c r="M186" s="25" t="str">
        <f>IF($Q186="","",INDEX(TRANSACTIONS_MASTER!$AA$5:$AA$1204,$Q186))</f>
        <v/>
      </c>
      <c r="N186" s="25" t="str">
        <f>IF($Q186="","",INDEX(TRANSACTIONS_MASTER!$R$5:$R$1204,$Q186))</f>
        <v/>
      </c>
      <c r="O186" s="28" t="str">
        <f>IF($Q186="","",INDEX(TRANSACTIONS_MASTER!$AB$5:$AB$1204,$Q186))</f>
        <v/>
      </c>
      <c r="P186" s="55" t="str">
        <f>IF($Q186="","",INDEX(TRANSACTIONS_MASTER!$Z$5:$Z$1204,$Q186)&amp;"")</f>
        <v/>
      </c>
      <c r="Q186" s="67" t="str">
        <f>IFERROR(MATCH($C$2&amp;"|"&amp;179,TRANSACTIONS_MASTER!$AE$5:$AE$1204,0),"")</f>
        <v/>
      </c>
    </row>
    <row r="187">
      <c r="A187" s="81" t="str">
        <f>IF($Q187="","",180)</f>
        <v/>
      </c>
      <c r="B187" s="57" t="str">
        <f>IF($Q187="","",INDEX(TRANSACTIONS_MASTER!$B$5:$B$1204,$Q187))</f>
        <v/>
      </c>
      <c r="C187" s="55" t="str">
        <f>IF($Q187="","",INDEX(TRANSACTIONS_MASTER!$F$5:$F$1204,$Q187))</f>
        <v/>
      </c>
      <c r="D187" s="55" t="str">
        <f>IF($Q187="","",INDEX(TRANSACTIONS_MASTER!$E$5:$E$1204,$Q187))</f>
        <v/>
      </c>
      <c r="E187" s="55" t="str">
        <f>IF($Q187="","",INDEX(TRANSACTIONS_MASTER!$G$5:$G$1204,$Q187)&amp;"")</f>
        <v/>
      </c>
      <c r="F187" s="29" t="str">
        <f>IF($Q187="","",INDEX(TRANSACTIONS_MASTER!$I$5:$I$1204,$Q187))</f>
        <v/>
      </c>
      <c r="G187" s="55" t="str">
        <f>IF($Q187="","",INDEX(TRANSACTIONS_MASTER!$K$5:$K$1204,$Q187))</f>
        <v/>
      </c>
      <c r="H187" s="25" t="str">
        <f>IF($Q187="","",INDEX(TRANSACTIONS_MASTER!$L$5:$L$1204,$Q187))</f>
        <v/>
      </c>
      <c r="I187" s="56" t="str">
        <f>IF($Q187="","",INDEX(TRANSACTIONS_MASTER!$N$5:$N$1204,$Q187))</f>
        <v/>
      </c>
      <c r="J187" s="25" t="str">
        <f>IF($Q187="","",INDEX(TRANSACTIONS_MASTER!$O$5:$O$1204,$Q187))</f>
        <v/>
      </c>
      <c r="K187" s="26" t="str">
        <f>IF($Q187="","",INDEX(TRANSACTIONS_MASTER!$Q$5:$Q$1204,$Q187))</f>
        <v/>
      </c>
      <c r="L187" s="25" t="str">
        <f>IF($Q187="","",INDEX(TRANSACTIONS_MASTER!$P$5:$P$1204,$Q187))</f>
        <v/>
      </c>
      <c r="M187" s="25" t="str">
        <f>IF($Q187="","",INDEX(TRANSACTIONS_MASTER!$AA$5:$AA$1204,$Q187))</f>
        <v/>
      </c>
      <c r="N187" s="25" t="str">
        <f>IF($Q187="","",INDEX(TRANSACTIONS_MASTER!$R$5:$R$1204,$Q187))</f>
        <v/>
      </c>
      <c r="O187" s="28" t="str">
        <f>IF($Q187="","",INDEX(TRANSACTIONS_MASTER!$AB$5:$AB$1204,$Q187))</f>
        <v/>
      </c>
      <c r="P187" s="55" t="str">
        <f>IF($Q187="","",INDEX(TRANSACTIONS_MASTER!$Z$5:$Z$1204,$Q187)&amp;"")</f>
        <v/>
      </c>
      <c r="Q187" s="67" t="str">
        <f>IFERROR(MATCH($C$2&amp;"|"&amp;180,TRANSACTIONS_MASTER!$AE$5:$AE$1204,0),"")</f>
        <v/>
      </c>
    </row>
    <row r="188">
      <c r="A188" s="81" t="str">
        <f>IF($Q188="","",181)</f>
        <v/>
      </c>
      <c r="B188" s="57" t="str">
        <f>IF($Q188="","",INDEX(TRANSACTIONS_MASTER!$B$5:$B$1204,$Q188))</f>
        <v/>
      </c>
      <c r="C188" s="55" t="str">
        <f>IF($Q188="","",INDEX(TRANSACTIONS_MASTER!$F$5:$F$1204,$Q188))</f>
        <v/>
      </c>
      <c r="D188" s="55" t="str">
        <f>IF($Q188="","",INDEX(TRANSACTIONS_MASTER!$E$5:$E$1204,$Q188))</f>
        <v/>
      </c>
      <c r="E188" s="55" t="str">
        <f>IF($Q188="","",INDEX(TRANSACTIONS_MASTER!$G$5:$G$1204,$Q188)&amp;"")</f>
        <v/>
      </c>
      <c r="F188" s="29" t="str">
        <f>IF($Q188="","",INDEX(TRANSACTIONS_MASTER!$I$5:$I$1204,$Q188))</f>
        <v/>
      </c>
      <c r="G188" s="55" t="str">
        <f>IF($Q188="","",INDEX(TRANSACTIONS_MASTER!$K$5:$K$1204,$Q188))</f>
        <v/>
      </c>
      <c r="H188" s="25" t="str">
        <f>IF($Q188="","",INDEX(TRANSACTIONS_MASTER!$L$5:$L$1204,$Q188))</f>
        <v/>
      </c>
      <c r="I188" s="56" t="str">
        <f>IF($Q188="","",INDEX(TRANSACTIONS_MASTER!$N$5:$N$1204,$Q188))</f>
        <v/>
      </c>
      <c r="J188" s="25" t="str">
        <f>IF($Q188="","",INDEX(TRANSACTIONS_MASTER!$O$5:$O$1204,$Q188))</f>
        <v/>
      </c>
      <c r="K188" s="26" t="str">
        <f>IF($Q188="","",INDEX(TRANSACTIONS_MASTER!$Q$5:$Q$1204,$Q188))</f>
        <v/>
      </c>
      <c r="L188" s="25" t="str">
        <f>IF($Q188="","",INDEX(TRANSACTIONS_MASTER!$P$5:$P$1204,$Q188))</f>
        <v/>
      </c>
      <c r="M188" s="25" t="str">
        <f>IF($Q188="","",INDEX(TRANSACTIONS_MASTER!$AA$5:$AA$1204,$Q188))</f>
        <v/>
      </c>
      <c r="N188" s="25" t="str">
        <f>IF($Q188="","",INDEX(TRANSACTIONS_MASTER!$R$5:$R$1204,$Q188))</f>
        <v/>
      </c>
      <c r="O188" s="28" t="str">
        <f>IF($Q188="","",INDEX(TRANSACTIONS_MASTER!$AB$5:$AB$1204,$Q188))</f>
        <v/>
      </c>
      <c r="P188" s="55" t="str">
        <f>IF($Q188="","",INDEX(TRANSACTIONS_MASTER!$Z$5:$Z$1204,$Q188)&amp;"")</f>
        <v/>
      </c>
      <c r="Q188" s="67" t="str">
        <f>IFERROR(MATCH($C$2&amp;"|"&amp;181,TRANSACTIONS_MASTER!$AE$5:$AE$1204,0),"")</f>
        <v/>
      </c>
    </row>
    <row r="189">
      <c r="A189" s="81" t="str">
        <f>IF($Q189="","",182)</f>
        <v/>
      </c>
      <c r="B189" s="57" t="str">
        <f>IF($Q189="","",INDEX(TRANSACTIONS_MASTER!$B$5:$B$1204,$Q189))</f>
        <v/>
      </c>
      <c r="C189" s="55" t="str">
        <f>IF($Q189="","",INDEX(TRANSACTIONS_MASTER!$F$5:$F$1204,$Q189))</f>
        <v/>
      </c>
      <c r="D189" s="55" t="str">
        <f>IF($Q189="","",INDEX(TRANSACTIONS_MASTER!$E$5:$E$1204,$Q189))</f>
        <v/>
      </c>
      <c r="E189" s="55" t="str">
        <f>IF($Q189="","",INDEX(TRANSACTIONS_MASTER!$G$5:$G$1204,$Q189)&amp;"")</f>
        <v/>
      </c>
      <c r="F189" s="29" t="str">
        <f>IF($Q189="","",INDEX(TRANSACTIONS_MASTER!$I$5:$I$1204,$Q189))</f>
        <v/>
      </c>
      <c r="G189" s="55" t="str">
        <f>IF($Q189="","",INDEX(TRANSACTIONS_MASTER!$K$5:$K$1204,$Q189))</f>
        <v/>
      </c>
      <c r="H189" s="25" t="str">
        <f>IF($Q189="","",INDEX(TRANSACTIONS_MASTER!$L$5:$L$1204,$Q189))</f>
        <v/>
      </c>
      <c r="I189" s="56" t="str">
        <f>IF($Q189="","",INDEX(TRANSACTIONS_MASTER!$N$5:$N$1204,$Q189))</f>
        <v/>
      </c>
      <c r="J189" s="25" t="str">
        <f>IF($Q189="","",INDEX(TRANSACTIONS_MASTER!$O$5:$O$1204,$Q189))</f>
        <v/>
      </c>
      <c r="K189" s="26" t="str">
        <f>IF($Q189="","",INDEX(TRANSACTIONS_MASTER!$Q$5:$Q$1204,$Q189))</f>
        <v/>
      </c>
      <c r="L189" s="25" t="str">
        <f>IF($Q189="","",INDEX(TRANSACTIONS_MASTER!$P$5:$P$1204,$Q189))</f>
        <v/>
      </c>
      <c r="M189" s="25" t="str">
        <f>IF($Q189="","",INDEX(TRANSACTIONS_MASTER!$AA$5:$AA$1204,$Q189))</f>
        <v/>
      </c>
      <c r="N189" s="25" t="str">
        <f>IF($Q189="","",INDEX(TRANSACTIONS_MASTER!$R$5:$R$1204,$Q189))</f>
        <v/>
      </c>
      <c r="O189" s="28" t="str">
        <f>IF($Q189="","",INDEX(TRANSACTIONS_MASTER!$AB$5:$AB$1204,$Q189))</f>
        <v/>
      </c>
      <c r="P189" s="55" t="str">
        <f>IF($Q189="","",INDEX(TRANSACTIONS_MASTER!$Z$5:$Z$1204,$Q189)&amp;"")</f>
        <v/>
      </c>
      <c r="Q189" s="67" t="str">
        <f>IFERROR(MATCH($C$2&amp;"|"&amp;182,TRANSACTIONS_MASTER!$AE$5:$AE$1204,0),"")</f>
        <v/>
      </c>
    </row>
    <row r="190">
      <c r="A190" s="81" t="str">
        <f>IF($Q190="","",183)</f>
        <v/>
      </c>
      <c r="B190" s="57" t="str">
        <f>IF($Q190="","",INDEX(TRANSACTIONS_MASTER!$B$5:$B$1204,$Q190))</f>
        <v/>
      </c>
      <c r="C190" s="55" t="str">
        <f>IF($Q190="","",INDEX(TRANSACTIONS_MASTER!$F$5:$F$1204,$Q190))</f>
        <v/>
      </c>
      <c r="D190" s="55" t="str">
        <f>IF($Q190="","",INDEX(TRANSACTIONS_MASTER!$E$5:$E$1204,$Q190))</f>
        <v/>
      </c>
      <c r="E190" s="55" t="str">
        <f>IF($Q190="","",INDEX(TRANSACTIONS_MASTER!$G$5:$G$1204,$Q190)&amp;"")</f>
        <v/>
      </c>
      <c r="F190" s="29" t="str">
        <f>IF($Q190="","",INDEX(TRANSACTIONS_MASTER!$I$5:$I$1204,$Q190))</f>
        <v/>
      </c>
      <c r="G190" s="55" t="str">
        <f>IF($Q190="","",INDEX(TRANSACTIONS_MASTER!$K$5:$K$1204,$Q190))</f>
        <v/>
      </c>
      <c r="H190" s="25" t="str">
        <f>IF($Q190="","",INDEX(TRANSACTIONS_MASTER!$L$5:$L$1204,$Q190))</f>
        <v/>
      </c>
      <c r="I190" s="56" t="str">
        <f>IF($Q190="","",INDEX(TRANSACTIONS_MASTER!$N$5:$N$1204,$Q190))</f>
        <v/>
      </c>
      <c r="J190" s="25" t="str">
        <f>IF($Q190="","",INDEX(TRANSACTIONS_MASTER!$O$5:$O$1204,$Q190))</f>
        <v/>
      </c>
      <c r="K190" s="26" t="str">
        <f>IF($Q190="","",INDEX(TRANSACTIONS_MASTER!$Q$5:$Q$1204,$Q190))</f>
        <v/>
      </c>
      <c r="L190" s="25" t="str">
        <f>IF($Q190="","",INDEX(TRANSACTIONS_MASTER!$P$5:$P$1204,$Q190))</f>
        <v/>
      </c>
      <c r="M190" s="25" t="str">
        <f>IF($Q190="","",INDEX(TRANSACTIONS_MASTER!$AA$5:$AA$1204,$Q190))</f>
        <v/>
      </c>
      <c r="N190" s="25" t="str">
        <f>IF($Q190="","",INDEX(TRANSACTIONS_MASTER!$R$5:$R$1204,$Q190))</f>
        <v/>
      </c>
      <c r="O190" s="28" t="str">
        <f>IF($Q190="","",INDEX(TRANSACTIONS_MASTER!$AB$5:$AB$1204,$Q190))</f>
        <v/>
      </c>
      <c r="P190" s="55" t="str">
        <f>IF($Q190="","",INDEX(TRANSACTIONS_MASTER!$Z$5:$Z$1204,$Q190)&amp;"")</f>
        <v/>
      </c>
      <c r="Q190" s="67" t="str">
        <f>IFERROR(MATCH($C$2&amp;"|"&amp;183,TRANSACTIONS_MASTER!$AE$5:$AE$1204,0),"")</f>
        <v/>
      </c>
    </row>
    <row r="191">
      <c r="A191" s="81" t="str">
        <f>IF($Q191="","",184)</f>
        <v/>
      </c>
      <c r="B191" s="57" t="str">
        <f>IF($Q191="","",INDEX(TRANSACTIONS_MASTER!$B$5:$B$1204,$Q191))</f>
        <v/>
      </c>
      <c r="C191" s="55" t="str">
        <f>IF($Q191="","",INDEX(TRANSACTIONS_MASTER!$F$5:$F$1204,$Q191))</f>
        <v/>
      </c>
      <c r="D191" s="55" t="str">
        <f>IF($Q191="","",INDEX(TRANSACTIONS_MASTER!$E$5:$E$1204,$Q191))</f>
        <v/>
      </c>
      <c r="E191" s="55" t="str">
        <f>IF($Q191="","",INDEX(TRANSACTIONS_MASTER!$G$5:$G$1204,$Q191)&amp;"")</f>
        <v/>
      </c>
      <c r="F191" s="29" t="str">
        <f>IF($Q191="","",INDEX(TRANSACTIONS_MASTER!$I$5:$I$1204,$Q191))</f>
        <v/>
      </c>
      <c r="G191" s="55" t="str">
        <f>IF($Q191="","",INDEX(TRANSACTIONS_MASTER!$K$5:$K$1204,$Q191))</f>
        <v/>
      </c>
      <c r="H191" s="25" t="str">
        <f>IF($Q191="","",INDEX(TRANSACTIONS_MASTER!$L$5:$L$1204,$Q191))</f>
        <v/>
      </c>
      <c r="I191" s="56" t="str">
        <f>IF($Q191="","",INDEX(TRANSACTIONS_MASTER!$N$5:$N$1204,$Q191))</f>
        <v/>
      </c>
      <c r="J191" s="25" t="str">
        <f>IF($Q191="","",INDEX(TRANSACTIONS_MASTER!$O$5:$O$1204,$Q191))</f>
        <v/>
      </c>
      <c r="K191" s="26" t="str">
        <f>IF($Q191="","",INDEX(TRANSACTIONS_MASTER!$Q$5:$Q$1204,$Q191))</f>
        <v/>
      </c>
      <c r="L191" s="25" t="str">
        <f>IF($Q191="","",INDEX(TRANSACTIONS_MASTER!$P$5:$P$1204,$Q191))</f>
        <v/>
      </c>
      <c r="M191" s="25" t="str">
        <f>IF($Q191="","",INDEX(TRANSACTIONS_MASTER!$AA$5:$AA$1204,$Q191))</f>
        <v/>
      </c>
      <c r="N191" s="25" t="str">
        <f>IF($Q191="","",INDEX(TRANSACTIONS_MASTER!$R$5:$R$1204,$Q191))</f>
        <v/>
      </c>
      <c r="O191" s="28" t="str">
        <f>IF($Q191="","",INDEX(TRANSACTIONS_MASTER!$AB$5:$AB$1204,$Q191))</f>
        <v/>
      </c>
      <c r="P191" s="55" t="str">
        <f>IF($Q191="","",INDEX(TRANSACTIONS_MASTER!$Z$5:$Z$1204,$Q191)&amp;"")</f>
        <v/>
      </c>
      <c r="Q191" s="67" t="str">
        <f>IFERROR(MATCH($C$2&amp;"|"&amp;184,TRANSACTIONS_MASTER!$AE$5:$AE$1204,0),"")</f>
        <v/>
      </c>
    </row>
    <row r="192">
      <c r="A192" s="81" t="str">
        <f>IF($Q192="","",185)</f>
        <v/>
      </c>
      <c r="B192" s="57" t="str">
        <f>IF($Q192="","",INDEX(TRANSACTIONS_MASTER!$B$5:$B$1204,$Q192))</f>
        <v/>
      </c>
      <c r="C192" s="55" t="str">
        <f>IF($Q192="","",INDEX(TRANSACTIONS_MASTER!$F$5:$F$1204,$Q192))</f>
        <v/>
      </c>
      <c r="D192" s="55" t="str">
        <f>IF($Q192="","",INDEX(TRANSACTIONS_MASTER!$E$5:$E$1204,$Q192))</f>
        <v/>
      </c>
      <c r="E192" s="55" t="str">
        <f>IF($Q192="","",INDEX(TRANSACTIONS_MASTER!$G$5:$G$1204,$Q192)&amp;"")</f>
        <v/>
      </c>
      <c r="F192" s="29" t="str">
        <f>IF($Q192="","",INDEX(TRANSACTIONS_MASTER!$I$5:$I$1204,$Q192))</f>
        <v/>
      </c>
      <c r="G192" s="55" t="str">
        <f>IF($Q192="","",INDEX(TRANSACTIONS_MASTER!$K$5:$K$1204,$Q192))</f>
        <v/>
      </c>
      <c r="H192" s="25" t="str">
        <f>IF($Q192="","",INDEX(TRANSACTIONS_MASTER!$L$5:$L$1204,$Q192))</f>
        <v/>
      </c>
      <c r="I192" s="56" t="str">
        <f>IF($Q192="","",INDEX(TRANSACTIONS_MASTER!$N$5:$N$1204,$Q192))</f>
        <v/>
      </c>
      <c r="J192" s="25" t="str">
        <f>IF($Q192="","",INDEX(TRANSACTIONS_MASTER!$O$5:$O$1204,$Q192))</f>
        <v/>
      </c>
      <c r="K192" s="26" t="str">
        <f>IF($Q192="","",INDEX(TRANSACTIONS_MASTER!$Q$5:$Q$1204,$Q192))</f>
        <v/>
      </c>
      <c r="L192" s="25" t="str">
        <f>IF($Q192="","",INDEX(TRANSACTIONS_MASTER!$P$5:$P$1204,$Q192))</f>
        <v/>
      </c>
      <c r="M192" s="25" t="str">
        <f>IF($Q192="","",INDEX(TRANSACTIONS_MASTER!$AA$5:$AA$1204,$Q192))</f>
        <v/>
      </c>
      <c r="N192" s="25" t="str">
        <f>IF($Q192="","",INDEX(TRANSACTIONS_MASTER!$R$5:$R$1204,$Q192))</f>
        <v/>
      </c>
      <c r="O192" s="28" t="str">
        <f>IF($Q192="","",INDEX(TRANSACTIONS_MASTER!$AB$5:$AB$1204,$Q192))</f>
        <v/>
      </c>
      <c r="P192" s="55" t="str">
        <f>IF($Q192="","",INDEX(TRANSACTIONS_MASTER!$Z$5:$Z$1204,$Q192)&amp;"")</f>
        <v/>
      </c>
      <c r="Q192" s="67" t="str">
        <f>IFERROR(MATCH($C$2&amp;"|"&amp;185,TRANSACTIONS_MASTER!$AE$5:$AE$1204,0),"")</f>
        <v/>
      </c>
    </row>
    <row r="193">
      <c r="A193" s="81" t="str">
        <f>IF($Q193="","",186)</f>
        <v/>
      </c>
      <c r="B193" s="57" t="str">
        <f>IF($Q193="","",INDEX(TRANSACTIONS_MASTER!$B$5:$B$1204,$Q193))</f>
        <v/>
      </c>
      <c r="C193" s="55" t="str">
        <f>IF($Q193="","",INDEX(TRANSACTIONS_MASTER!$F$5:$F$1204,$Q193))</f>
        <v/>
      </c>
      <c r="D193" s="55" t="str">
        <f>IF($Q193="","",INDEX(TRANSACTIONS_MASTER!$E$5:$E$1204,$Q193))</f>
        <v/>
      </c>
      <c r="E193" s="55" t="str">
        <f>IF($Q193="","",INDEX(TRANSACTIONS_MASTER!$G$5:$G$1204,$Q193)&amp;"")</f>
        <v/>
      </c>
      <c r="F193" s="29" t="str">
        <f>IF($Q193="","",INDEX(TRANSACTIONS_MASTER!$I$5:$I$1204,$Q193))</f>
        <v/>
      </c>
      <c r="G193" s="55" t="str">
        <f>IF($Q193="","",INDEX(TRANSACTIONS_MASTER!$K$5:$K$1204,$Q193))</f>
        <v/>
      </c>
      <c r="H193" s="25" t="str">
        <f>IF($Q193="","",INDEX(TRANSACTIONS_MASTER!$L$5:$L$1204,$Q193))</f>
        <v/>
      </c>
      <c r="I193" s="56" t="str">
        <f>IF($Q193="","",INDEX(TRANSACTIONS_MASTER!$N$5:$N$1204,$Q193))</f>
        <v/>
      </c>
      <c r="J193" s="25" t="str">
        <f>IF($Q193="","",INDEX(TRANSACTIONS_MASTER!$O$5:$O$1204,$Q193))</f>
        <v/>
      </c>
      <c r="K193" s="26" t="str">
        <f>IF($Q193="","",INDEX(TRANSACTIONS_MASTER!$Q$5:$Q$1204,$Q193))</f>
        <v/>
      </c>
      <c r="L193" s="25" t="str">
        <f>IF($Q193="","",INDEX(TRANSACTIONS_MASTER!$P$5:$P$1204,$Q193))</f>
        <v/>
      </c>
      <c r="M193" s="25" t="str">
        <f>IF($Q193="","",INDEX(TRANSACTIONS_MASTER!$AA$5:$AA$1204,$Q193))</f>
        <v/>
      </c>
      <c r="N193" s="25" t="str">
        <f>IF($Q193="","",INDEX(TRANSACTIONS_MASTER!$R$5:$R$1204,$Q193))</f>
        <v/>
      </c>
      <c r="O193" s="28" t="str">
        <f>IF($Q193="","",INDEX(TRANSACTIONS_MASTER!$AB$5:$AB$1204,$Q193))</f>
        <v/>
      </c>
      <c r="P193" s="55" t="str">
        <f>IF($Q193="","",INDEX(TRANSACTIONS_MASTER!$Z$5:$Z$1204,$Q193)&amp;"")</f>
        <v/>
      </c>
      <c r="Q193" s="67" t="str">
        <f>IFERROR(MATCH($C$2&amp;"|"&amp;186,TRANSACTIONS_MASTER!$AE$5:$AE$1204,0),"")</f>
        <v/>
      </c>
    </row>
    <row r="194">
      <c r="A194" s="81" t="str">
        <f>IF($Q194="","",187)</f>
        <v/>
      </c>
      <c r="B194" s="57" t="str">
        <f>IF($Q194="","",INDEX(TRANSACTIONS_MASTER!$B$5:$B$1204,$Q194))</f>
        <v/>
      </c>
      <c r="C194" s="55" t="str">
        <f>IF($Q194="","",INDEX(TRANSACTIONS_MASTER!$F$5:$F$1204,$Q194))</f>
        <v/>
      </c>
      <c r="D194" s="55" t="str">
        <f>IF($Q194="","",INDEX(TRANSACTIONS_MASTER!$E$5:$E$1204,$Q194))</f>
        <v/>
      </c>
      <c r="E194" s="55" t="str">
        <f>IF($Q194="","",INDEX(TRANSACTIONS_MASTER!$G$5:$G$1204,$Q194)&amp;"")</f>
        <v/>
      </c>
      <c r="F194" s="29" t="str">
        <f>IF($Q194="","",INDEX(TRANSACTIONS_MASTER!$I$5:$I$1204,$Q194))</f>
        <v/>
      </c>
      <c r="G194" s="55" t="str">
        <f>IF($Q194="","",INDEX(TRANSACTIONS_MASTER!$K$5:$K$1204,$Q194))</f>
        <v/>
      </c>
      <c r="H194" s="25" t="str">
        <f>IF($Q194="","",INDEX(TRANSACTIONS_MASTER!$L$5:$L$1204,$Q194))</f>
        <v/>
      </c>
      <c r="I194" s="56" t="str">
        <f>IF($Q194="","",INDEX(TRANSACTIONS_MASTER!$N$5:$N$1204,$Q194))</f>
        <v/>
      </c>
      <c r="J194" s="25" t="str">
        <f>IF($Q194="","",INDEX(TRANSACTIONS_MASTER!$O$5:$O$1204,$Q194))</f>
        <v/>
      </c>
      <c r="K194" s="26" t="str">
        <f>IF($Q194="","",INDEX(TRANSACTIONS_MASTER!$Q$5:$Q$1204,$Q194))</f>
        <v/>
      </c>
      <c r="L194" s="25" t="str">
        <f>IF($Q194="","",INDEX(TRANSACTIONS_MASTER!$P$5:$P$1204,$Q194))</f>
        <v/>
      </c>
      <c r="M194" s="25" t="str">
        <f>IF($Q194="","",INDEX(TRANSACTIONS_MASTER!$AA$5:$AA$1204,$Q194))</f>
        <v/>
      </c>
      <c r="N194" s="25" t="str">
        <f>IF($Q194="","",INDEX(TRANSACTIONS_MASTER!$R$5:$R$1204,$Q194))</f>
        <v/>
      </c>
      <c r="O194" s="28" t="str">
        <f>IF($Q194="","",INDEX(TRANSACTIONS_MASTER!$AB$5:$AB$1204,$Q194))</f>
        <v/>
      </c>
      <c r="P194" s="55" t="str">
        <f>IF($Q194="","",INDEX(TRANSACTIONS_MASTER!$Z$5:$Z$1204,$Q194)&amp;"")</f>
        <v/>
      </c>
      <c r="Q194" s="67" t="str">
        <f>IFERROR(MATCH($C$2&amp;"|"&amp;187,TRANSACTIONS_MASTER!$AE$5:$AE$1204,0),"")</f>
        <v/>
      </c>
    </row>
    <row r="195">
      <c r="A195" s="81" t="str">
        <f>IF($Q195="","",188)</f>
        <v/>
      </c>
      <c r="B195" s="57" t="str">
        <f>IF($Q195="","",INDEX(TRANSACTIONS_MASTER!$B$5:$B$1204,$Q195))</f>
        <v/>
      </c>
      <c r="C195" s="55" t="str">
        <f>IF($Q195="","",INDEX(TRANSACTIONS_MASTER!$F$5:$F$1204,$Q195))</f>
        <v/>
      </c>
      <c r="D195" s="55" t="str">
        <f>IF($Q195="","",INDEX(TRANSACTIONS_MASTER!$E$5:$E$1204,$Q195))</f>
        <v/>
      </c>
      <c r="E195" s="55" t="str">
        <f>IF($Q195="","",INDEX(TRANSACTIONS_MASTER!$G$5:$G$1204,$Q195)&amp;"")</f>
        <v/>
      </c>
      <c r="F195" s="29" t="str">
        <f>IF($Q195="","",INDEX(TRANSACTIONS_MASTER!$I$5:$I$1204,$Q195))</f>
        <v/>
      </c>
      <c r="G195" s="55" t="str">
        <f>IF($Q195="","",INDEX(TRANSACTIONS_MASTER!$K$5:$K$1204,$Q195))</f>
        <v/>
      </c>
      <c r="H195" s="25" t="str">
        <f>IF($Q195="","",INDEX(TRANSACTIONS_MASTER!$L$5:$L$1204,$Q195))</f>
        <v/>
      </c>
      <c r="I195" s="56" t="str">
        <f>IF($Q195="","",INDEX(TRANSACTIONS_MASTER!$N$5:$N$1204,$Q195))</f>
        <v/>
      </c>
      <c r="J195" s="25" t="str">
        <f>IF($Q195="","",INDEX(TRANSACTIONS_MASTER!$O$5:$O$1204,$Q195))</f>
        <v/>
      </c>
      <c r="K195" s="26" t="str">
        <f>IF($Q195="","",INDEX(TRANSACTIONS_MASTER!$Q$5:$Q$1204,$Q195))</f>
        <v/>
      </c>
      <c r="L195" s="25" t="str">
        <f>IF($Q195="","",INDEX(TRANSACTIONS_MASTER!$P$5:$P$1204,$Q195))</f>
        <v/>
      </c>
      <c r="M195" s="25" t="str">
        <f>IF($Q195="","",INDEX(TRANSACTIONS_MASTER!$AA$5:$AA$1204,$Q195))</f>
        <v/>
      </c>
      <c r="N195" s="25" t="str">
        <f>IF($Q195="","",INDEX(TRANSACTIONS_MASTER!$R$5:$R$1204,$Q195))</f>
        <v/>
      </c>
      <c r="O195" s="28" t="str">
        <f>IF($Q195="","",INDEX(TRANSACTIONS_MASTER!$AB$5:$AB$1204,$Q195))</f>
        <v/>
      </c>
      <c r="P195" s="55" t="str">
        <f>IF($Q195="","",INDEX(TRANSACTIONS_MASTER!$Z$5:$Z$1204,$Q195)&amp;"")</f>
        <v/>
      </c>
      <c r="Q195" s="67" t="str">
        <f>IFERROR(MATCH($C$2&amp;"|"&amp;188,TRANSACTIONS_MASTER!$AE$5:$AE$1204,0),"")</f>
        <v/>
      </c>
    </row>
    <row r="196">
      <c r="A196" s="81" t="str">
        <f>IF($Q196="","",189)</f>
        <v/>
      </c>
      <c r="B196" s="57" t="str">
        <f>IF($Q196="","",INDEX(TRANSACTIONS_MASTER!$B$5:$B$1204,$Q196))</f>
        <v/>
      </c>
      <c r="C196" s="55" t="str">
        <f>IF($Q196="","",INDEX(TRANSACTIONS_MASTER!$F$5:$F$1204,$Q196))</f>
        <v/>
      </c>
      <c r="D196" s="55" t="str">
        <f>IF($Q196="","",INDEX(TRANSACTIONS_MASTER!$E$5:$E$1204,$Q196))</f>
        <v/>
      </c>
      <c r="E196" s="55" t="str">
        <f>IF($Q196="","",INDEX(TRANSACTIONS_MASTER!$G$5:$G$1204,$Q196)&amp;"")</f>
        <v/>
      </c>
      <c r="F196" s="29" t="str">
        <f>IF($Q196="","",INDEX(TRANSACTIONS_MASTER!$I$5:$I$1204,$Q196))</f>
        <v/>
      </c>
      <c r="G196" s="55" t="str">
        <f>IF($Q196="","",INDEX(TRANSACTIONS_MASTER!$K$5:$K$1204,$Q196))</f>
        <v/>
      </c>
      <c r="H196" s="25" t="str">
        <f>IF($Q196="","",INDEX(TRANSACTIONS_MASTER!$L$5:$L$1204,$Q196))</f>
        <v/>
      </c>
      <c r="I196" s="56" t="str">
        <f>IF($Q196="","",INDEX(TRANSACTIONS_MASTER!$N$5:$N$1204,$Q196))</f>
        <v/>
      </c>
      <c r="J196" s="25" t="str">
        <f>IF($Q196="","",INDEX(TRANSACTIONS_MASTER!$O$5:$O$1204,$Q196))</f>
        <v/>
      </c>
      <c r="K196" s="26" t="str">
        <f>IF($Q196="","",INDEX(TRANSACTIONS_MASTER!$Q$5:$Q$1204,$Q196))</f>
        <v/>
      </c>
      <c r="L196" s="25" t="str">
        <f>IF($Q196="","",INDEX(TRANSACTIONS_MASTER!$P$5:$P$1204,$Q196))</f>
        <v/>
      </c>
      <c r="M196" s="25" t="str">
        <f>IF($Q196="","",INDEX(TRANSACTIONS_MASTER!$AA$5:$AA$1204,$Q196))</f>
        <v/>
      </c>
      <c r="N196" s="25" t="str">
        <f>IF($Q196="","",INDEX(TRANSACTIONS_MASTER!$R$5:$R$1204,$Q196))</f>
        <v/>
      </c>
      <c r="O196" s="28" t="str">
        <f>IF($Q196="","",INDEX(TRANSACTIONS_MASTER!$AB$5:$AB$1204,$Q196))</f>
        <v/>
      </c>
      <c r="P196" s="55" t="str">
        <f>IF($Q196="","",INDEX(TRANSACTIONS_MASTER!$Z$5:$Z$1204,$Q196)&amp;"")</f>
        <v/>
      </c>
      <c r="Q196" s="67" t="str">
        <f>IFERROR(MATCH($C$2&amp;"|"&amp;189,TRANSACTIONS_MASTER!$AE$5:$AE$1204,0),"")</f>
        <v/>
      </c>
    </row>
    <row r="197">
      <c r="A197" s="81" t="str">
        <f>IF($Q197="","",190)</f>
        <v/>
      </c>
      <c r="B197" s="57" t="str">
        <f>IF($Q197="","",INDEX(TRANSACTIONS_MASTER!$B$5:$B$1204,$Q197))</f>
        <v/>
      </c>
      <c r="C197" s="55" t="str">
        <f>IF($Q197="","",INDEX(TRANSACTIONS_MASTER!$F$5:$F$1204,$Q197))</f>
        <v/>
      </c>
      <c r="D197" s="55" t="str">
        <f>IF($Q197="","",INDEX(TRANSACTIONS_MASTER!$E$5:$E$1204,$Q197))</f>
        <v/>
      </c>
      <c r="E197" s="55" t="str">
        <f>IF($Q197="","",INDEX(TRANSACTIONS_MASTER!$G$5:$G$1204,$Q197)&amp;"")</f>
        <v/>
      </c>
      <c r="F197" s="29" t="str">
        <f>IF($Q197="","",INDEX(TRANSACTIONS_MASTER!$I$5:$I$1204,$Q197))</f>
        <v/>
      </c>
      <c r="G197" s="55" t="str">
        <f>IF($Q197="","",INDEX(TRANSACTIONS_MASTER!$K$5:$K$1204,$Q197))</f>
        <v/>
      </c>
      <c r="H197" s="25" t="str">
        <f>IF($Q197="","",INDEX(TRANSACTIONS_MASTER!$L$5:$L$1204,$Q197))</f>
        <v/>
      </c>
      <c r="I197" s="56" t="str">
        <f>IF($Q197="","",INDEX(TRANSACTIONS_MASTER!$N$5:$N$1204,$Q197))</f>
        <v/>
      </c>
      <c r="J197" s="25" t="str">
        <f>IF($Q197="","",INDEX(TRANSACTIONS_MASTER!$O$5:$O$1204,$Q197))</f>
        <v/>
      </c>
      <c r="K197" s="26" t="str">
        <f>IF($Q197="","",INDEX(TRANSACTIONS_MASTER!$Q$5:$Q$1204,$Q197))</f>
        <v/>
      </c>
      <c r="L197" s="25" t="str">
        <f>IF($Q197="","",INDEX(TRANSACTIONS_MASTER!$P$5:$P$1204,$Q197))</f>
        <v/>
      </c>
      <c r="M197" s="25" t="str">
        <f>IF($Q197="","",INDEX(TRANSACTIONS_MASTER!$AA$5:$AA$1204,$Q197))</f>
        <v/>
      </c>
      <c r="N197" s="25" t="str">
        <f>IF($Q197="","",INDEX(TRANSACTIONS_MASTER!$R$5:$R$1204,$Q197))</f>
        <v/>
      </c>
      <c r="O197" s="28" t="str">
        <f>IF($Q197="","",INDEX(TRANSACTIONS_MASTER!$AB$5:$AB$1204,$Q197))</f>
        <v/>
      </c>
      <c r="P197" s="55" t="str">
        <f>IF($Q197="","",INDEX(TRANSACTIONS_MASTER!$Z$5:$Z$1204,$Q197)&amp;"")</f>
        <v/>
      </c>
      <c r="Q197" s="67" t="str">
        <f>IFERROR(MATCH($C$2&amp;"|"&amp;190,TRANSACTIONS_MASTER!$AE$5:$AE$1204,0),"")</f>
        <v/>
      </c>
    </row>
    <row r="198">
      <c r="A198" s="81" t="str">
        <f>IF($Q198="","",191)</f>
        <v/>
      </c>
      <c r="B198" s="57" t="str">
        <f>IF($Q198="","",INDEX(TRANSACTIONS_MASTER!$B$5:$B$1204,$Q198))</f>
        <v/>
      </c>
      <c r="C198" s="55" t="str">
        <f>IF($Q198="","",INDEX(TRANSACTIONS_MASTER!$F$5:$F$1204,$Q198))</f>
        <v/>
      </c>
      <c r="D198" s="55" t="str">
        <f>IF($Q198="","",INDEX(TRANSACTIONS_MASTER!$E$5:$E$1204,$Q198))</f>
        <v/>
      </c>
      <c r="E198" s="55" t="str">
        <f>IF($Q198="","",INDEX(TRANSACTIONS_MASTER!$G$5:$G$1204,$Q198)&amp;"")</f>
        <v/>
      </c>
      <c r="F198" s="29" t="str">
        <f>IF($Q198="","",INDEX(TRANSACTIONS_MASTER!$I$5:$I$1204,$Q198))</f>
        <v/>
      </c>
      <c r="G198" s="55" t="str">
        <f>IF($Q198="","",INDEX(TRANSACTIONS_MASTER!$K$5:$K$1204,$Q198))</f>
        <v/>
      </c>
      <c r="H198" s="25" t="str">
        <f>IF($Q198="","",INDEX(TRANSACTIONS_MASTER!$L$5:$L$1204,$Q198))</f>
        <v/>
      </c>
      <c r="I198" s="56" t="str">
        <f>IF($Q198="","",INDEX(TRANSACTIONS_MASTER!$N$5:$N$1204,$Q198))</f>
        <v/>
      </c>
      <c r="J198" s="25" t="str">
        <f>IF($Q198="","",INDEX(TRANSACTIONS_MASTER!$O$5:$O$1204,$Q198))</f>
        <v/>
      </c>
      <c r="K198" s="26" t="str">
        <f>IF($Q198="","",INDEX(TRANSACTIONS_MASTER!$Q$5:$Q$1204,$Q198))</f>
        <v/>
      </c>
      <c r="L198" s="25" t="str">
        <f>IF($Q198="","",INDEX(TRANSACTIONS_MASTER!$P$5:$P$1204,$Q198))</f>
        <v/>
      </c>
      <c r="M198" s="25" t="str">
        <f>IF($Q198="","",INDEX(TRANSACTIONS_MASTER!$AA$5:$AA$1204,$Q198))</f>
        <v/>
      </c>
      <c r="N198" s="25" t="str">
        <f>IF($Q198="","",INDEX(TRANSACTIONS_MASTER!$R$5:$R$1204,$Q198))</f>
        <v/>
      </c>
      <c r="O198" s="28" t="str">
        <f>IF($Q198="","",INDEX(TRANSACTIONS_MASTER!$AB$5:$AB$1204,$Q198))</f>
        <v/>
      </c>
      <c r="P198" s="55" t="str">
        <f>IF($Q198="","",INDEX(TRANSACTIONS_MASTER!$Z$5:$Z$1204,$Q198)&amp;"")</f>
        <v/>
      </c>
      <c r="Q198" s="67" t="str">
        <f>IFERROR(MATCH($C$2&amp;"|"&amp;191,TRANSACTIONS_MASTER!$AE$5:$AE$1204,0),"")</f>
        <v/>
      </c>
    </row>
    <row r="199">
      <c r="A199" s="81" t="str">
        <f>IF($Q199="","",192)</f>
        <v/>
      </c>
      <c r="B199" s="57" t="str">
        <f>IF($Q199="","",INDEX(TRANSACTIONS_MASTER!$B$5:$B$1204,$Q199))</f>
        <v/>
      </c>
      <c r="C199" s="55" t="str">
        <f>IF($Q199="","",INDEX(TRANSACTIONS_MASTER!$F$5:$F$1204,$Q199))</f>
        <v/>
      </c>
      <c r="D199" s="55" t="str">
        <f>IF($Q199="","",INDEX(TRANSACTIONS_MASTER!$E$5:$E$1204,$Q199))</f>
        <v/>
      </c>
      <c r="E199" s="55" t="str">
        <f>IF($Q199="","",INDEX(TRANSACTIONS_MASTER!$G$5:$G$1204,$Q199)&amp;"")</f>
        <v/>
      </c>
      <c r="F199" s="29" t="str">
        <f>IF($Q199="","",INDEX(TRANSACTIONS_MASTER!$I$5:$I$1204,$Q199))</f>
        <v/>
      </c>
      <c r="G199" s="55" t="str">
        <f>IF($Q199="","",INDEX(TRANSACTIONS_MASTER!$K$5:$K$1204,$Q199))</f>
        <v/>
      </c>
      <c r="H199" s="25" t="str">
        <f>IF($Q199="","",INDEX(TRANSACTIONS_MASTER!$L$5:$L$1204,$Q199))</f>
        <v/>
      </c>
      <c r="I199" s="56" t="str">
        <f>IF($Q199="","",INDEX(TRANSACTIONS_MASTER!$N$5:$N$1204,$Q199))</f>
        <v/>
      </c>
      <c r="J199" s="25" t="str">
        <f>IF($Q199="","",INDEX(TRANSACTIONS_MASTER!$O$5:$O$1204,$Q199))</f>
        <v/>
      </c>
      <c r="K199" s="26" t="str">
        <f>IF($Q199="","",INDEX(TRANSACTIONS_MASTER!$Q$5:$Q$1204,$Q199))</f>
        <v/>
      </c>
      <c r="L199" s="25" t="str">
        <f>IF($Q199="","",INDEX(TRANSACTIONS_MASTER!$P$5:$P$1204,$Q199))</f>
        <v/>
      </c>
      <c r="M199" s="25" t="str">
        <f>IF($Q199="","",INDEX(TRANSACTIONS_MASTER!$AA$5:$AA$1204,$Q199))</f>
        <v/>
      </c>
      <c r="N199" s="25" t="str">
        <f>IF($Q199="","",INDEX(TRANSACTIONS_MASTER!$R$5:$R$1204,$Q199))</f>
        <v/>
      </c>
      <c r="O199" s="28" t="str">
        <f>IF($Q199="","",INDEX(TRANSACTIONS_MASTER!$AB$5:$AB$1204,$Q199))</f>
        <v/>
      </c>
      <c r="P199" s="55" t="str">
        <f>IF($Q199="","",INDEX(TRANSACTIONS_MASTER!$Z$5:$Z$1204,$Q199)&amp;"")</f>
        <v/>
      </c>
      <c r="Q199" s="67" t="str">
        <f>IFERROR(MATCH($C$2&amp;"|"&amp;192,TRANSACTIONS_MASTER!$AE$5:$AE$1204,0),"")</f>
        <v/>
      </c>
    </row>
    <row r="200">
      <c r="A200" s="81" t="str">
        <f>IF($Q200="","",193)</f>
        <v/>
      </c>
      <c r="B200" s="57" t="str">
        <f>IF($Q200="","",INDEX(TRANSACTIONS_MASTER!$B$5:$B$1204,$Q200))</f>
        <v/>
      </c>
      <c r="C200" s="55" t="str">
        <f>IF($Q200="","",INDEX(TRANSACTIONS_MASTER!$F$5:$F$1204,$Q200))</f>
        <v/>
      </c>
      <c r="D200" s="55" t="str">
        <f>IF($Q200="","",INDEX(TRANSACTIONS_MASTER!$E$5:$E$1204,$Q200))</f>
        <v/>
      </c>
      <c r="E200" s="55" t="str">
        <f>IF($Q200="","",INDEX(TRANSACTIONS_MASTER!$G$5:$G$1204,$Q200)&amp;"")</f>
        <v/>
      </c>
      <c r="F200" s="29" t="str">
        <f>IF($Q200="","",INDEX(TRANSACTIONS_MASTER!$I$5:$I$1204,$Q200))</f>
        <v/>
      </c>
      <c r="G200" s="55" t="str">
        <f>IF($Q200="","",INDEX(TRANSACTIONS_MASTER!$K$5:$K$1204,$Q200))</f>
        <v/>
      </c>
      <c r="H200" s="25" t="str">
        <f>IF($Q200="","",INDEX(TRANSACTIONS_MASTER!$L$5:$L$1204,$Q200))</f>
        <v/>
      </c>
      <c r="I200" s="56" t="str">
        <f>IF($Q200="","",INDEX(TRANSACTIONS_MASTER!$N$5:$N$1204,$Q200))</f>
        <v/>
      </c>
      <c r="J200" s="25" t="str">
        <f>IF($Q200="","",INDEX(TRANSACTIONS_MASTER!$O$5:$O$1204,$Q200))</f>
        <v/>
      </c>
      <c r="K200" s="26" t="str">
        <f>IF($Q200="","",INDEX(TRANSACTIONS_MASTER!$Q$5:$Q$1204,$Q200))</f>
        <v/>
      </c>
      <c r="L200" s="25" t="str">
        <f>IF($Q200="","",INDEX(TRANSACTIONS_MASTER!$P$5:$P$1204,$Q200))</f>
        <v/>
      </c>
      <c r="M200" s="25" t="str">
        <f>IF($Q200="","",INDEX(TRANSACTIONS_MASTER!$AA$5:$AA$1204,$Q200))</f>
        <v/>
      </c>
      <c r="N200" s="25" t="str">
        <f>IF($Q200="","",INDEX(TRANSACTIONS_MASTER!$R$5:$R$1204,$Q200))</f>
        <v/>
      </c>
      <c r="O200" s="28" t="str">
        <f>IF($Q200="","",INDEX(TRANSACTIONS_MASTER!$AB$5:$AB$1204,$Q200))</f>
        <v/>
      </c>
      <c r="P200" s="55" t="str">
        <f>IF($Q200="","",INDEX(TRANSACTIONS_MASTER!$Z$5:$Z$1204,$Q200)&amp;"")</f>
        <v/>
      </c>
      <c r="Q200" s="67" t="str">
        <f>IFERROR(MATCH($C$2&amp;"|"&amp;193,TRANSACTIONS_MASTER!$AE$5:$AE$1204,0),"")</f>
        <v/>
      </c>
    </row>
    <row r="201">
      <c r="A201" s="81" t="str">
        <f>IF($Q201="","",194)</f>
        <v/>
      </c>
      <c r="B201" s="57" t="str">
        <f>IF($Q201="","",INDEX(TRANSACTIONS_MASTER!$B$5:$B$1204,$Q201))</f>
        <v/>
      </c>
      <c r="C201" s="55" t="str">
        <f>IF($Q201="","",INDEX(TRANSACTIONS_MASTER!$F$5:$F$1204,$Q201))</f>
        <v/>
      </c>
      <c r="D201" s="55" t="str">
        <f>IF($Q201="","",INDEX(TRANSACTIONS_MASTER!$E$5:$E$1204,$Q201))</f>
        <v/>
      </c>
      <c r="E201" s="55" t="str">
        <f>IF($Q201="","",INDEX(TRANSACTIONS_MASTER!$G$5:$G$1204,$Q201)&amp;"")</f>
        <v/>
      </c>
      <c r="F201" s="29" t="str">
        <f>IF($Q201="","",INDEX(TRANSACTIONS_MASTER!$I$5:$I$1204,$Q201))</f>
        <v/>
      </c>
      <c r="G201" s="55" t="str">
        <f>IF($Q201="","",INDEX(TRANSACTIONS_MASTER!$K$5:$K$1204,$Q201))</f>
        <v/>
      </c>
      <c r="H201" s="25" t="str">
        <f>IF($Q201="","",INDEX(TRANSACTIONS_MASTER!$L$5:$L$1204,$Q201))</f>
        <v/>
      </c>
      <c r="I201" s="56" t="str">
        <f>IF($Q201="","",INDEX(TRANSACTIONS_MASTER!$N$5:$N$1204,$Q201))</f>
        <v/>
      </c>
      <c r="J201" s="25" t="str">
        <f>IF($Q201="","",INDEX(TRANSACTIONS_MASTER!$O$5:$O$1204,$Q201))</f>
        <v/>
      </c>
      <c r="K201" s="26" t="str">
        <f>IF($Q201="","",INDEX(TRANSACTIONS_MASTER!$Q$5:$Q$1204,$Q201))</f>
        <v/>
      </c>
      <c r="L201" s="25" t="str">
        <f>IF($Q201="","",INDEX(TRANSACTIONS_MASTER!$P$5:$P$1204,$Q201))</f>
        <v/>
      </c>
      <c r="M201" s="25" t="str">
        <f>IF($Q201="","",INDEX(TRANSACTIONS_MASTER!$AA$5:$AA$1204,$Q201))</f>
        <v/>
      </c>
      <c r="N201" s="25" t="str">
        <f>IF($Q201="","",INDEX(TRANSACTIONS_MASTER!$R$5:$R$1204,$Q201))</f>
        <v/>
      </c>
      <c r="O201" s="28" t="str">
        <f>IF($Q201="","",INDEX(TRANSACTIONS_MASTER!$AB$5:$AB$1204,$Q201))</f>
        <v/>
      </c>
      <c r="P201" s="55" t="str">
        <f>IF($Q201="","",INDEX(TRANSACTIONS_MASTER!$Z$5:$Z$1204,$Q201)&amp;"")</f>
        <v/>
      </c>
      <c r="Q201" s="67" t="str">
        <f>IFERROR(MATCH($C$2&amp;"|"&amp;194,TRANSACTIONS_MASTER!$AE$5:$AE$1204,0),"")</f>
        <v/>
      </c>
    </row>
    <row r="202">
      <c r="A202" s="81" t="str">
        <f>IF($Q202="","",195)</f>
        <v/>
      </c>
      <c r="B202" s="57" t="str">
        <f>IF($Q202="","",INDEX(TRANSACTIONS_MASTER!$B$5:$B$1204,$Q202))</f>
        <v/>
      </c>
      <c r="C202" s="55" t="str">
        <f>IF($Q202="","",INDEX(TRANSACTIONS_MASTER!$F$5:$F$1204,$Q202))</f>
        <v/>
      </c>
      <c r="D202" s="55" t="str">
        <f>IF($Q202="","",INDEX(TRANSACTIONS_MASTER!$E$5:$E$1204,$Q202))</f>
        <v/>
      </c>
      <c r="E202" s="55" t="str">
        <f>IF($Q202="","",INDEX(TRANSACTIONS_MASTER!$G$5:$G$1204,$Q202)&amp;"")</f>
        <v/>
      </c>
      <c r="F202" s="29" t="str">
        <f>IF($Q202="","",INDEX(TRANSACTIONS_MASTER!$I$5:$I$1204,$Q202))</f>
        <v/>
      </c>
      <c r="G202" s="55" t="str">
        <f>IF($Q202="","",INDEX(TRANSACTIONS_MASTER!$K$5:$K$1204,$Q202))</f>
        <v/>
      </c>
      <c r="H202" s="25" t="str">
        <f>IF($Q202="","",INDEX(TRANSACTIONS_MASTER!$L$5:$L$1204,$Q202))</f>
        <v/>
      </c>
      <c r="I202" s="56" t="str">
        <f>IF($Q202="","",INDEX(TRANSACTIONS_MASTER!$N$5:$N$1204,$Q202))</f>
        <v/>
      </c>
      <c r="J202" s="25" t="str">
        <f>IF($Q202="","",INDEX(TRANSACTIONS_MASTER!$O$5:$O$1204,$Q202))</f>
        <v/>
      </c>
      <c r="K202" s="26" t="str">
        <f>IF($Q202="","",INDEX(TRANSACTIONS_MASTER!$Q$5:$Q$1204,$Q202))</f>
        <v/>
      </c>
      <c r="L202" s="25" t="str">
        <f>IF($Q202="","",INDEX(TRANSACTIONS_MASTER!$P$5:$P$1204,$Q202))</f>
        <v/>
      </c>
      <c r="M202" s="25" t="str">
        <f>IF($Q202="","",INDEX(TRANSACTIONS_MASTER!$AA$5:$AA$1204,$Q202))</f>
        <v/>
      </c>
      <c r="N202" s="25" t="str">
        <f>IF($Q202="","",INDEX(TRANSACTIONS_MASTER!$R$5:$R$1204,$Q202))</f>
        <v/>
      </c>
      <c r="O202" s="28" t="str">
        <f>IF($Q202="","",INDEX(TRANSACTIONS_MASTER!$AB$5:$AB$1204,$Q202))</f>
        <v/>
      </c>
      <c r="P202" s="55" t="str">
        <f>IF($Q202="","",INDEX(TRANSACTIONS_MASTER!$Z$5:$Z$1204,$Q202)&amp;"")</f>
        <v/>
      </c>
      <c r="Q202" s="67" t="str">
        <f>IFERROR(MATCH($C$2&amp;"|"&amp;195,TRANSACTIONS_MASTER!$AE$5:$AE$1204,0),"")</f>
        <v/>
      </c>
    </row>
    <row r="203">
      <c r="A203" s="81" t="str">
        <f>IF($Q203="","",196)</f>
        <v/>
      </c>
      <c r="B203" s="57" t="str">
        <f>IF($Q203="","",INDEX(TRANSACTIONS_MASTER!$B$5:$B$1204,$Q203))</f>
        <v/>
      </c>
      <c r="C203" s="55" t="str">
        <f>IF($Q203="","",INDEX(TRANSACTIONS_MASTER!$F$5:$F$1204,$Q203))</f>
        <v/>
      </c>
      <c r="D203" s="55" t="str">
        <f>IF($Q203="","",INDEX(TRANSACTIONS_MASTER!$E$5:$E$1204,$Q203))</f>
        <v/>
      </c>
      <c r="E203" s="55" t="str">
        <f>IF($Q203="","",INDEX(TRANSACTIONS_MASTER!$G$5:$G$1204,$Q203)&amp;"")</f>
        <v/>
      </c>
      <c r="F203" s="29" t="str">
        <f>IF($Q203="","",INDEX(TRANSACTIONS_MASTER!$I$5:$I$1204,$Q203))</f>
        <v/>
      </c>
      <c r="G203" s="55" t="str">
        <f>IF($Q203="","",INDEX(TRANSACTIONS_MASTER!$K$5:$K$1204,$Q203))</f>
        <v/>
      </c>
      <c r="H203" s="25" t="str">
        <f>IF($Q203="","",INDEX(TRANSACTIONS_MASTER!$L$5:$L$1204,$Q203))</f>
        <v/>
      </c>
      <c r="I203" s="56" t="str">
        <f>IF($Q203="","",INDEX(TRANSACTIONS_MASTER!$N$5:$N$1204,$Q203))</f>
        <v/>
      </c>
      <c r="J203" s="25" t="str">
        <f>IF($Q203="","",INDEX(TRANSACTIONS_MASTER!$O$5:$O$1204,$Q203))</f>
        <v/>
      </c>
      <c r="K203" s="26" t="str">
        <f>IF($Q203="","",INDEX(TRANSACTIONS_MASTER!$Q$5:$Q$1204,$Q203))</f>
        <v/>
      </c>
      <c r="L203" s="25" t="str">
        <f>IF($Q203="","",INDEX(TRANSACTIONS_MASTER!$P$5:$P$1204,$Q203))</f>
        <v/>
      </c>
      <c r="M203" s="25" t="str">
        <f>IF($Q203="","",INDEX(TRANSACTIONS_MASTER!$AA$5:$AA$1204,$Q203))</f>
        <v/>
      </c>
      <c r="N203" s="25" t="str">
        <f>IF($Q203="","",INDEX(TRANSACTIONS_MASTER!$R$5:$R$1204,$Q203))</f>
        <v/>
      </c>
      <c r="O203" s="28" t="str">
        <f>IF($Q203="","",INDEX(TRANSACTIONS_MASTER!$AB$5:$AB$1204,$Q203))</f>
        <v/>
      </c>
      <c r="P203" s="55" t="str">
        <f>IF($Q203="","",INDEX(TRANSACTIONS_MASTER!$Z$5:$Z$1204,$Q203)&amp;"")</f>
        <v/>
      </c>
      <c r="Q203" s="67" t="str">
        <f>IFERROR(MATCH($C$2&amp;"|"&amp;196,TRANSACTIONS_MASTER!$AE$5:$AE$1204,0),"")</f>
        <v/>
      </c>
    </row>
    <row r="204">
      <c r="A204" s="81" t="str">
        <f>IF($Q204="","",197)</f>
        <v/>
      </c>
      <c r="B204" s="57" t="str">
        <f>IF($Q204="","",INDEX(TRANSACTIONS_MASTER!$B$5:$B$1204,$Q204))</f>
        <v/>
      </c>
      <c r="C204" s="55" t="str">
        <f>IF($Q204="","",INDEX(TRANSACTIONS_MASTER!$F$5:$F$1204,$Q204))</f>
        <v/>
      </c>
      <c r="D204" s="55" t="str">
        <f>IF($Q204="","",INDEX(TRANSACTIONS_MASTER!$E$5:$E$1204,$Q204))</f>
        <v/>
      </c>
      <c r="E204" s="55" t="str">
        <f>IF($Q204="","",INDEX(TRANSACTIONS_MASTER!$G$5:$G$1204,$Q204)&amp;"")</f>
        <v/>
      </c>
      <c r="F204" s="29" t="str">
        <f>IF($Q204="","",INDEX(TRANSACTIONS_MASTER!$I$5:$I$1204,$Q204))</f>
        <v/>
      </c>
      <c r="G204" s="55" t="str">
        <f>IF($Q204="","",INDEX(TRANSACTIONS_MASTER!$K$5:$K$1204,$Q204))</f>
        <v/>
      </c>
      <c r="H204" s="25" t="str">
        <f>IF($Q204="","",INDEX(TRANSACTIONS_MASTER!$L$5:$L$1204,$Q204))</f>
        <v/>
      </c>
      <c r="I204" s="56" t="str">
        <f>IF($Q204="","",INDEX(TRANSACTIONS_MASTER!$N$5:$N$1204,$Q204))</f>
        <v/>
      </c>
      <c r="J204" s="25" t="str">
        <f>IF($Q204="","",INDEX(TRANSACTIONS_MASTER!$O$5:$O$1204,$Q204))</f>
        <v/>
      </c>
      <c r="K204" s="26" t="str">
        <f>IF($Q204="","",INDEX(TRANSACTIONS_MASTER!$Q$5:$Q$1204,$Q204))</f>
        <v/>
      </c>
      <c r="L204" s="25" t="str">
        <f>IF($Q204="","",INDEX(TRANSACTIONS_MASTER!$P$5:$P$1204,$Q204))</f>
        <v/>
      </c>
      <c r="M204" s="25" t="str">
        <f>IF($Q204="","",INDEX(TRANSACTIONS_MASTER!$AA$5:$AA$1204,$Q204))</f>
        <v/>
      </c>
      <c r="N204" s="25" t="str">
        <f>IF($Q204="","",INDEX(TRANSACTIONS_MASTER!$R$5:$R$1204,$Q204))</f>
        <v/>
      </c>
      <c r="O204" s="28" t="str">
        <f>IF($Q204="","",INDEX(TRANSACTIONS_MASTER!$AB$5:$AB$1204,$Q204))</f>
        <v/>
      </c>
      <c r="P204" s="55" t="str">
        <f>IF($Q204="","",INDEX(TRANSACTIONS_MASTER!$Z$5:$Z$1204,$Q204)&amp;"")</f>
        <v/>
      </c>
      <c r="Q204" s="67" t="str">
        <f>IFERROR(MATCH($C$2&amp;"|"&amp;197,TRANSACTIONS_MASTER!$AE$5:$AE$1204,0),"")</f>
        <v/>
      </c>
    </row>
    <row r="205">
      <c r="A205" s="81" t="str">
        <f>IF($Q205="","",198)</f>
        <v/>
      </c>
      <c r="B205" s="57" t="str">
        <f>IF($Q205="","",INDEX(TRANSACTIONS_MASTER!$B$5:$B$1204,$Q205))</f>
        <v/>
      </c>
      <c r="C205" s="55" t="str">
        <f>IF($Q205="","",INDEX(TRANSACTIONS_MASTER!$F$5:$F$1204,$Q205))</f>
        <v/>
      </c>
      <c r="D205" s="55" t="str">
        <f>IF($Q205="","",INDEX(TRANSACTIONS_MASTER!$E$5:$E$1204,$Q205))</f>
        <v/>
      </c>
      <c r="E205" s="55" t="str">
        <f>IF($Q205="","",INDEX(TRANSACTIONS_MASTER!$G$5:$G$1204,$Q205)&amp;"")</f>
        <v/>
      </c>
      <c r="F205" s="29" t="str">
        <f>IF($Q205="","",INDEX(TRANSACTIONS_MASTER!$I$5:$I$1204,$Q205))</f>
        <v/>
      </c>
      <c r="G205" s="55" t="str">
        <f>IF($Q205="","",INDEX(TRANSACTIONS_MASTER!$K$5:$K$1204,$Q205))</f>
        <v/>
      </c>
      <c r="H205" s="25" t="str">
        <f>IF($Q205="","",INDEX(TRANSACTIONS_MASTER!$L$5:$L$1204,$Q205))</f>
        <v/>
      </c>
      <c r="I205" s="56" t="str">
        <f>IF($Q205="","",INDEX(TRANSACTIONS_MASTER!$N$5:$N$1204,$Q205))</f>
        <v/>
      </c>
      <c r="J205" s="25" t="str">
        <f>IF($Q205="","",INDEX(TRANSACTIONS_MASTER!$O$5:$O$1204,$Q205))</f>
        <v/>
      </c>
      <c r="K205" s="26" t="str">
        <f>IF($Q205="","",INDEX(TRANSACTIONS_MASTER!$Q$5:$Q$1204,$Q205))</f>
        <v/>
      </c>
      <c r="L205" s="25" t="str">
        <f>IF($Q205="","",INDEX(TRANSACTIONS_MASTER!$P$5:$P$1204,$Q205))</f>
        <v/>
      </c>
      <c r="M205" s="25" t="str">
        <f>IF($Q205="","",INDEX(TRANSACTIONS_MASTER!$AA$5:$AA$1204,$Q205))</f>
        <v/>
      </c>
      <c r="N205" s="25" t="str">
        <f>IF($Q205="","",INDEX(TRANSACTIONS_MASTER!$R$5:$R$1204,$Q205))</f>
        <v/>
      </c>
      <c r="O205" s="28" t="str">
        <f>IF($Q205="","",INDEX(TRANSACTIONS_MASTER!$AB$5:$AB$1204,$Q205))</f>
        <v/>
      </c>
      <c r="P205" s="55" t="str">
        <f>IF($Q205="","",INDEX(TRANSACTIONS_MASTER!$Z$5:$Z$1204,$Q205)&amp;"")</f>
        <v/>
      </c>
      <c r="Q205" s="67" t="str">
        <f>IFERROR(MATCH($C$2&amp;"|"&amp;198,TRANSACTIONS_MASTER!$AE$5:$AE$1204,0),"")</f>
        <v/>
      </c>
    </row>
    <row r="206">
      <c r="A206" s="81" t="str">
        <f>IF($Q206="","",199)</f>
        <v/>
      </c>
      <c r="B206" s="57" t="str">
        <f>IF($Q206="","",INDEX(TRANSACTIONS_MASTER!$B$5:$B$1204,$Q206))</f>
        <v/>
      </c>
      <c r="C206" s="55" t="str">
        <f>IF($Q206="","",INDEX(TRANSACTIONS_MASTER!$F$5:$F$1204,$Q206))</f>
        <v/>
      </c>
      <c r="D206" s="55" t="str">
        <f>IF($Q206="","",INDEX(TRANSACTIONS_MASTER!$E$5:$E$1204,$Q206))</f>
        <v/>
      </c>
      <c r="E206" s="55" t="str">
        <f>IF($Q206="","",INDEX(TRANSACTIONS_MASTER!$G$5:$G$1204,$Q206)&amp;"")</f>
        <v/>
      </c>
      <c r="F206" s="29" t="str">
        <f>IF($Q206="","",INDEX(TRANSACTIONS_MASTER!$I$5:$I$1204,$Q206))</f>
        <v/>
      </c>
      <c r="G206" s="55" t="str">
        <f>IF($Q206="","",INDEX(TRANSACTIONS_MASTER!$K$5:$K$1204,$Q206))</f>
        <v/>
      </c>
      <c r="H206" s="25" t="str">
        <f>IF($Q206="","",INDEX(TRANSACTIONS_MASTER!$L$5:$L$1204,$Q206))</f>
        <v/>
      </c>
      <c r="I206" s="56" t="str">
        <f>IF($Q206="","",INDEX(TRANSACTIONS_MASTER!$N$5:$N$1204,$Q206))</f>
        <v/>
      </c>
      <c r="J206" s="25" t="str">
        <f>IF($Q206="","",INDEX(TRANSACTIONS_MASTER!$O$5:$O$1204,$Q206))</f>
        <v/>
      </c>
      <c r="K206" s="26" t="str">
        <f>IF($Q206="","",INDEX(TRANSACTIONS_MASTER!$Q$5:$Q$1204,$Q206))</f>
        <v/>
      </c>
      <c r="L206" s="25" t="str">
        <f>IF($Q206="","",INDEX(TRANSACTIONS_MASTER!$P$5:$P$1204,$Q206))</f>
        <v/>
      </c>
      <c r="M206" s="25" t="str">
        <f>IF($Q206="","",INDEX(TRANSACTIONS_MASTER!$AA$5:$AA$1204,$Q206))</f>
        <v/>
      </c>
      <c r="N206" s="25" t="str">
        <f>IF($Q206="","",INDEX(TRANSACTIONS_MASTER!$R$5:$R$1204,$Q206))</f>
        <v/>
      </c>
      <c r="O206" s="28" t="str">
        <f>IF($Q206="","",INDEX(TRANSACTIONS_MASTER!$AB$5:$AB$1204,$Q206))</f>
        <v/>
      </c>
      <c r="P206" s="55" t="str">
        <f>IF($Q206="","",INDEX(TRANSACTIONS_MASTER!$Z$5:$Z$1204,$Q206)&amp;"")</f>
        <v/>
      </c>
      <c r="Q206" s="67" t="str">
        <f>IFERROR(MATCH($C$2&amp;"|"&amp;199,TRANSACTIONS_MASTER!$AE$5:$AE$1204,0),"")</f>
        <v/>
      </c>
    </row>
    <row r="207">
      <c r="A207" s="81" t="str">
        <f>IF($Q207="","",200)</f>
        <v/>
      </c>
      <c r="B207" s="57" t="str">
        <f>IF($Q207="","",INDEX(TRANSACTIONS_MASTER!$B$5:$B$1204,$Q207))</f>
        <v/>
      </c>
      <c r="C207" s="55" t="str">
        <f>IF($Q207="","",INDEX(TRANSACTIONS_MASTER!$F$5:$F$1204,$Q207))</f>
        <v/>
      </c>
      <c r="D207" s="55" t="str">
        <f>IF($Q207="","",INDEX(TRANSACTIONS_MASTER!$E$5:$E$1204,$Q207))</f>
        <v/>
      </c>
      <c r="E207" s="55" t="str">
        <f>IF($Q207="","",INDEX(TRANSACTIONS_MASTER!$G$5:$G$1204,$Q207)&amp;"")</f>
        <v/>
      </c>
      <c r="F207" s="29" t="str">
        <f>IF($Q207="","",INDEX(TRANSACTIONS_MASTER!$I$5:$I$1204,$Q207))</f>
        <v/>
      </c>
      <c r="G207" s="55" t="str">
        <f>IF($Q207="","",INDEX(TRANSACTIONS_MASTER!$K$5:$K$1204,$Q207))</f>
        <v/>
      </c>
      <c r="H207" s="25" t="str">
        <f>IF($Q207="","",INDEX(TRANSACTIONS_MASTER!$L$5:$L$1204,$Q207))</f>
        <v/>
      </c>
      <c r="I207" s="56" t="str">
        <f>IF($Q207="","",INDEX(TRANSACTIONS_MASTER!$N$5:$N$1204,$Q207))</f>
        <v/>
      </c>
      <c r="J207" s="25" t="str">
        <f>IF($Q207="","",INDEX(TRANSACTIONS_MASTER!$O$5:$O$1204,$Q207))</f>
        <v/>
      </c>
      <c r="K207" s="26" t="str">
        <f>IF($Q207="","",INDEX(TRANSACTIONS_MASTER!$Q$5:$Q$1204,$Q207))</f>
        <v/>
      </c>
      <c r="L207" s="25" t="str">
        <f>IF($Q207="","",INDEX(TRANSACTIONS_MASTER!$P$5:$P$1204,$Q207))</f>
        <v/>
      </c>
      <c r="M207" s="25" t="str">
        <f>IF($Q207="","",INDEX(TRANSACTIONS_MASTER!$AA$5:$AA$1204,$Q207))</f>
        <v/>
      </c>
      <c r="N207" s="25" t="str">
        <f>IF($Q207="","",INDEX(TRANSACTIONS_MASTER!$R$5:$R$1204,$Q207))</f>
        <v/>
      </c>
      <c r="O207" s="28" t="str">
        <f>IF($Q207="","",INDEX(TRANSACTIONS_MASTER!$AB$5:$AB$1204,$Q207))</f>
        <v/>
      </c>
      <c r="P207" s="55" t="str">
        <f>IF($Q207="","",INDEX(TRANSACTIONS_MASTER!$Z$5:$Z$1204,$Q207)&amp;"")</f>
        <v/>
      </c>
      <c r="Q207" s="67" t="str">
        <f>IFERROR(MATCH($C$2&amp;"|"&amp;200,TRANSACTIONS_MASTER!$AE$5:$AE$1204,0),"")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autoFilter ref="A7:P207"/>
  <mergeCells count="14">
    <mergeCell ref="I4:J4"/>
    <mergeCell ref="T3:W3"/>
    <mergeCell ref="B3:C3"/>
    <mergeCell ref="T4:W4"/>
    <mergeCell ref="M4:O4"/>
    <mergeCell ref="M3:O3"/>
    <mergeCell ref="F4:H4"/>
    <mergeCell ref="D4:E4"/>
    <mergeCell ref="K4:L4"/>
    <mergeCell ref="F3:H3"/>
    <mergeCell ref="D3:E3"/>
    <mergeCell ref="B4:C4"/>
    <mergeCell ref="K3:L3"/>
    <mergeCell ref="I3:J3"/>
  </mergeCells>
  <conditionalFormatting sqref="AA8:AA57">
    <cfRule type="dataBar" priority="1">
      <dataBar showValue="1">
        <cfvo type="num" val="0"/>
        <cfvo type="num" val="1"/>
        <color rgb="00F2A1BF"/>
      </dataBar>
    </cfRule>
    <cfRule type="expression" priority="2" dxfId="8">
      <formula>AND(ISNUMBER(AA8),AA8&gt;=1)</formula>
    </cfRule>
  </conditionalFormatting>
  <conditionalFormatting sqref="Z8:Z57">
    <cfRule type="cellIs" priority="3" operator="equal" dxfId="1">
      <formula>0</formula>
    </cfRule>
  </conditionalFormatting>
  <conditionalFormatting sqref="Z62:Z91">
    <cfRule type="dataBar" priority="4">
      <dataBar showValue="1">
        <cfvo type="num" val="0"/>
        <cfvo type="num" val="1"/>
        <color rgb="00F2A1BF"/>
      </dataBar>
    </cfRule>
    <cfRule type="expression" priority="5" dxfId="8">
      <formula>AND(ISNUMBER(Z62),Z62&gt;=1)</formula>
    </cfRule>
  </conditionalFormatting>
  <conditionalFormatting sqref="Y62:Y91">
    <cfRule type="cellIs" priority="6" operator="equal" dxfId="1">
      <formula>0</formula>
    </cfRule>
  </conditionalFormatting>
  <conditionalFormatting sqref="A8:P207">
    <cfRule type="expression" priority="7" dxfId="5" stopIfTrue="0">
      <formula>MOD(ROW(),2)=0</formula>
    </cfRule>
  </conditionalFormatting>
  <conditionalFormatting sqref="O8:O207">
    <cfRule type="cellIs" priority="8" operator="equal" dxfId="3">
      <formula>"Được hoàn"</formula>
    </cfRule>
    <cfRule type="cellIs" priority="9" operator="equal" dxfId="2">
      <formula>"Hoàn một phần"</formula>
    </cfRule>
    <cfRule type="cellIs" priority="10" operator="equal" dxfId="1">
      <formula>"Đã đạt cap"</formula>
    </cfRule>
    <cfRule type="cellIs" priority="11" operator="equal" dxfId="4">
      <formula>"Không được hoàn"</formula>
    </cfRule>
    <cfRule type="cellIs" priority="12" operator="equal" dxfId="0">
      <formula>"Đã hủy"</formula>
    </cfRule>
  </conditionalFormatting>
  <conditionalFormatting sqref="K8:K207">
    <cfRule type="expression" priority="13" dxfId="7">
      <formula>AND(ISNUMBER($K8),$K8&gt;0)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F8C8DC"/>
    <outlinePr summaryBelow="1" summaryRight="1"/>
    <pageSetUpPr/>
  </sheetPr>
  <dimension ref="A1:AA20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13" customWidth="1" min="4" max="4"/>
    <col width="22" customWidth="1" min="5" max="5"/>
    <col width="8" customWidth="1" min="6" max="6"/>
    <col width="17" customWidth="1" min="7" max="7"/>
    <col width="14" customWidth="1" min="8" max="8"/>
    <col width="10" customWidth="1" min="9" max="9"/>
    <col width="15" customWidth="1" min="10" max="10"/>
    <col width="15" customWidth="1" min="11" max="11"/>
    <col width="14" customWidth="1" min="12" max="12"/>
    <col width="14" customWidth="1" min="13" max="13"/>
    <col width="15" customWidth="1" min="14" max="14"/>
    <col width="16" customWidth="1" min="15" max="15"/>
    <col width="14" customWidth="1" min="16" max="16"/>
    <col width="3" customWidth="1" min="17" max="17"/>
    <col width="3" customWidth="1" min="18" max="18"/>
    <col width="4" customWidth="1" min="19" max="19"/>
    <col width="12" customWidth="1" min="20" max="20"/>
    <col width="30" customWidth="1" min="21" max="21"/>
    <col width="15" customWidth="1" min="22" max="22"/>
    <col width="17" customWidth="1" min="23" max="23"/>
    <col width="15" customWidth="1" min="24" max="24"/>
    <col width="15" customWidth="1" min="25" max="25"/>
    <col width="15" customWidth="1" min="26" max="26"/>
    <col width="12" customWidth="1" min="27" max="27"/>
  </cols>
  <sheetData>
    <row r="1" ht="28" customHeight="1">
      <c r="B1" s="70" t="str">
        <f>"THÁNG "&amp;MOD($C$2,100)&amp;"/"&amp;INT($C$2/100)&amp;"   ♥"</f>
        <v>THÁNG 6/2026   ♥</v>
      </c>
    </row>
    <row r="2" ht="20" customHeight="1">
      <c r="B2" s="71" t="inlineStr">
        <is>
          <t>Mã tháng</t>
        </is>
      </c>
      <c r="C2" s="72" t="n">
        <v>202606</v>
      </c>
      <c r="E2" s="66" t="str">
        <f>HYPERLINK("#Dashboard!A1","← Dashboard")</f>
        <v>← Dashboard</v>
      </c>
      <c r="G2" s="66" t="str">
        <f>HYPERLINK("#TRANSACTIONS_MASTER!A1","Giao dịch (nhập ở đây) →")</f>
        <v>Giao dịch (nhập ở đây) →</v>
      </c>
      <c r="J2" s="66" t="str">
        <f>HYPERLINK("#'2026-06'!S6","Cap &amp; thẻ →")</f>
        <v>Cap &amp; thẻ →</v>
      </c>
      <c r="L2" s="66" t="str">
        <f>HYPERLINK("#'2026-06'!S95","Phân tích →")</f>
        <v>Phân tích →</v>
      </c>
      <c r="N2" s="66" t="str">
        <f>HYPERLINK("#'2026-06'!A1","↑ Đầu trang")</f>
        <v>↑ Đầu trang</v>
      </c>
      <c r="O2" s="73" t="inlineStr">
        <is>
          <t>Sheet này là bản xem tự động — nhập giao dịch ở TRANSACTIONS_MASTER</t>
        </is>
      </c>
    </row>
    <row r="3" ht="17" customHeight="1">
      <c r="B3" s="74" t="inlineStr">
        <is>
          <t>💰 Tổng chi tiêu</t>
        </is>
      </c>
      <c r="C3" s="75" t="n"/>
      <c r="D3" s="74" t="inlineStr">
        <is>
          <t>★ Tổng cashback (thực nhận)</t>
        </is>
      </c>
      <c r="E3" s="75" t="n"/>
      <c r="F3" s="74" t="inlineStr">
        <is>
          <t>Cashback còn có thể nhận</t>
        </is>
      </c>
      <c r="G3" s="75" t="n"/>
      <c r="H3" s="75" t="n"/>
      <c r="I3" s="74" t="inlineStr">
        <is>
          <t>Số giao dịch</t>
        </is>
      </c>
      <c r="J3" s="75" t="n"/>
      <c r="K3" s="74" t="inlineStr">
        <is>
          <t>Số thẻ sử dụng</t>
        </is>
      </c>
      <c r="L3" s="75" t="n"/>
      <c r="M3" s="74" t="inlineStr">
        <is>
          <t>Thẻ có cashback cao nhất</t>
        </is>
      </c>
      <c r="N3" s="75" t="n"/>
      <c r="O3" s="75" t="n"/>
      <c r="T3" s="74" t="inlineStr">
        <is>
          <t>Danh mục chi tiêu nhiều nhất</t>
        </is>
      </c>
      <c r="U3" s="75" t="n"/>
      <c r="V3" s="75" t="n"/>
      <c r="W3" s="75" t="n"/>
    </row>
    <row r="4" ht="30" customHeight="1">
      <c r="B4" s="76">
        <f>SUMIFS(TRANSACTIONS_MASTER!$L$5:$L$1204,TRANSACTIONS_MASTER!$C$5:$C$1204,$C$2,TRANSACTIONS_MASTER!$U$5:$U$1204,"&lt;&gt;Cancelled")</f>
        <v>0</v>
      </c>
      <c r="C4" s="77" t="n"/>
      <c r="D4" s="76">
        <f>SUMIFS(TRANSACTIONS_MASTER!$Q$5:$Q$1204,TRANSACTIONS_MASTER!$C$5:$C$1204,$C$2)</f>
        <v>0</v>
      </c>
      <c r="E4" s="77" t="n"/>
      <c r="F4" s="76">
        <f>SUM($Y$62:$Y$91)</f>
        <v>4500000</v>
      </c>
      <c r="G4" s="77" t="n"/>
      <c r="H4" s="77" t="n"/>
      <c r="I4" s="78">
        <f>COUNTIFS(TRANSACTIONS_MASTER!$C$5:$C$1204,$C$2,TRANSACTIONS_MASTER!$U$5:$U$1204,"&lt;&gt;Cancelled")</f>
        <v>0</v>
      </c>
      <c r="J4" s="77" t="n"/>
      <c r="K4" s="78">
        <f>COUNTIF($AA$62:$AA$91,"&gt;0")</f>
        <v>0</v>
      </c>
      <c r="L4" s="77" t="n"/>
      <c r="M4" s="79" t="str">
        <f>IF(MAX($W$62:$W$91)&gt;0,INDEX($U$62:$U$91,MATCH(MAX($W$62:$W$91),$W$62:$W$91,0)),"—")</f>
        <v>—</v>
      </c>
      <c r="N4" s="77" t="n"/>
      <c r="O4" s="77" t="n"/>
      <c r="T4" s="79" t="str">
        <f>IF(MAX($V$117:$V$131)&gt;0,INDEX($U$117:$U$131,MATCH(MAX($V$117:$V$131),$V$117:$V$131,0)),"—")</f>
        <v>—</v>
      </c>
      <c r="U4" s="77" t="n"/>
      <c r="V4" s="77" t="n"/>
      <c r="W4" s="77" t="n"/>
    </row>
    <row r="5" ht="6" customHeight="1"/>
    <row r="6" ht="22" customHeight="1">
      <c r="A6" s="19" t="inlineStr">
        <is>
          <t>GIAO DỊCH TRONG THÁNG</t>
        </is>
      </c>
      <c r="B6" s="20" t="n"/>
      <c r="C6" s="20" t="n"/>
      <c r="D6" s="20" t="n"/>
      <c r="E6" s="20" t="n"/>
      <c r="F6" s="20" t="n"/>
      <c r="G6" s="20" t="n"/>
      <c r="H6" s="80" t="str">
        <f>IF(COUNTIFS(TRANSACTIONS_MASTER!$C$5:$C$1204,$C$2)&gt;200,"⚠ Còn "&amp;(COUNTIFS(TRANSACTIONS_MASTER!$C$5:$C$1204,$C$2)-200)&amp;" giao dịch chưa hiển thị — xem TRANSACTIONS_MASTER","")</f>
        <v/>
      </c>
      <c r="I6" s="20" t="n"/>
      <c r="J6" s="20" t="n"/>
      <c r="K6" s="20" t="n"/>
      <c r="L6" s="20" t="n"/>
      <c r="M6" s="20" t="n"/>
      <c r="N6" s="20" t="n"/>
      <c r="O6" s="20" t="n"/>
      <c r="P6" s="20" t="n"/>
      <c r="T6" s="19" t="inlineStr">
        <is>
          <t>THEO DÕI CAP — TỪNG NHÓM CASHBACK (progress bar)</t>
        </is>
      </c>
      <c r="U6" s="20" t="n"/>
      <c r="V6" s="20" t="n"/>
      <c r="W6" s="20" t="n"/>
      <c r="X6" s="20" t="n"/>
      <c r="Y6" s="20" t="n"/>
      <c r="Z6" s="20" t="n"/>
      <c r="AA6" s="20" t="n"/>
    </row>
    <row r="7" ht="30" customHeight="1">
      <c r="A7" s="21" t="inlineStr">
        <is>
          <t>#</t>
        </is>
      </c>
      <c r="B7" s="21" t="inlineStr">
        <is>
          <t>Ngày</t>
        </is>
      </c>
      <c r="C7" s="21" t="inlineStr">
        <is>
          <t>Thẻ</t>
        </is>
      </c>
      <c r="D7" s="21" t="inlineStr">
        <is>
          <t>Ngân hàng</t>
        </is>
      </c>
      <c r="E7" s="21" t="inlineStr">
        <is>
          <t>Merchant</t>
        </is>
      </c>
      <c r="F7" s="21" t="inlineStr">
        <is>
          <t>MCC</t>
        </is>
      </c>
      <c r="G7" s="21" t="inlineStr">
        <is>
          <t>Danh mục</t>
        </is>
      </c>
      <c r="H7" s="21" t="inlineStr">
        <is>
          <t>Số tiền</t>
        </is>
      </c>
      <c r="I7" s="21" t="inlineStr">
        <is>
          <t>Cashback %</t>
        </is>
      </c>
      <c r="J7" s="21" t="inlineStr">
        <is>
          <t>Cashback tính toán</t>
        </is>
      </c>
      <c r="K7" s="21" t="inlineStr">
        <is>
          <t>Cashback thực nhận</t>
        </is>
      </c>
      <c r="L7" s="21" t="inlineStr">
        <is>
          <t>Cap danh mục</t>
        </is>
      </c>
      <c r="M7" s="21" t="inlineStr">
        <is>
          <t>Cap thẻ</t>
        </is>
      </c>
      <c r="N7" s="21" t="inlineStr">
        <is>
          <t>Cashback còn lại</t>
        </is>
      </c>
      <c r="O7" s="21" t="inlineStr">
        <is>
          <t>Trạng thái hoàn</t>
        </is>
      </c>
      <c r="P7" s="21" t="inlineStr">
        <is>
          <t>Nhóm cashback</t>
        </is>
      </c>
      <c r="Q7" s="21" t="inlineStr">
        <is>
          <t>⚙</t>
        </is>
      </c>
      <c r="S7" s="21" t="inlineStr">
        <is>
          <t>#</t>
        </is>
      </c>
      <c r="T7" s="21" t="inlineStr">
        <is>
          <t>Card ID</t>
        </is>
      </c>
      <c r="U7" s="21" t="inlineStr">
        <is>
          <t>Thẻ</t>
        </is>
      </c>
      <c r="V7" s="21" t="inlineStr">
        <is>
          <t>Nhóm</t>
        </is>
      </c>
      <c r="W7" s="21" t="inlineStr">
        <is>
          <t>Danh mục</t>
        </is>
      </c>
      <c r="X7" s="21" t="inlineStr">
        <is>
          <t>Đã cashback</t>
        </is>
      </c>
      <c r="Y7" s="21" t="inlineStr">
        <is>
          <t>Cap nhóm</t>
        </is>
      </c>
      <c r="Z7" s="21" t="inlineStr">
        <is>
          <t>Còn lại</t>
        </is>
      </c>
      <c r="AA7" s="21" t="inlineStr">
        <is>
          <t>Progress</t>
        </is>
      </c>
    </row>
    <row r="8" ht="20" customHeight="1">
      <c r="A8" s="81" t="str">
        <f>IF($Q8="","",1)</f>
        <v/>
      </c>
      <c r="B8" s="57" t="str">
        <f>IF($Q8="","",INDEX(TRANSACTIONS_MASTER!$B$5:$B$1204,$Q8))</f>
        <v/>
      </c>
      <c r="C8" s="55" t="str">
        <f>IF($Q8="","",INDEX(TRANSACTIONS_MASTER!$F$5:$F$1204,$Q8))</f>
        <v/>
      </c>
      <c r="D8" s="55" t="str">
        <f>IF($Q8="","",INDEX(TRANSACTIONS_MASTER!$E$5:$E$1204,$Q8))</f>
        <v/>
      </c>
      <c r="E8" s="55" t="str">
        <f>IF($Q8="","",INDEX(TRANSACTIONS_MASTER!$G$5:$G$1204,$Q8)&amp;"")</f>
        <v/>
      </c>
      <c r="F8" s="29" t="str">
        <f>IF($Q8="","",INDEX(TRANSACTIONS_MASTER!$I$5:$I$1204,$Q8))</f>
        <v/>
      </c>
      <c r="G8" s="55" t="str">
        <f>IF($Q8="","",INDEX(TRANSACTIONS_MASTER!$K$5:$K$1204,$Q8))</f>
        <v/>
      </c>
      <c r="H8" s="25" t="str">
        <f>IF($Q8="","",INDEX(TRANSACTIONS_MASTER!$L$5:$L$1204,$Q8))</f>
        <v/>
      </c>
      <c r="I8" s="56" t="str">
        <f>IF($Q8="","",INDEX(TRANSACTIONS_MASTER!$N$5:$N$1204,$Q8))</f>
        <v/>
      </c>
      <c r="J8" s="25" t="str">
        <f>IF($Q8="","",INDEX(TRANSACTIONS_MASTER!$O$5:$O$1204,$Q8))</f>
        <v/>
      </c>
      <c r="K8" s="26" t="str">
        <f>IF($Q8="","",INDEX(TRANSACTIONS_MASTER!$Q$5:$Q$1204,$Q8))</f>
        <v/>
      </c>
      <c r="L8" s="25" t="str">
        <f>IF($Q8="","",INDEX(TRANSACTIONS_MASTER!$P$5:$P$1204,$Q8))</f>
        <v/>
      </c>
      <c r="M8" s="25" t="str">
        <f>IF($Q8="","",INDEX(TRANSACTIONS_MASTER!$AA$5:$AA$1204,$Q8))</f>
        <v/>
      </c>
      <c r="N8" s="25" t="str">
        <f>IF($Q8="","",INDEX(TRANSACTIONS_MASTER!$R$5:$R$1204,$Q8))</f>
        <v/>
      </c>
      <c r="O8" s="28" t="str">
        <f>IF($Q8="","",INDEX(TRANSACTIONS_MASTER!$AB$5:$AB$1204,$Q8))</f>
        <v/>
      </c>
      <c r="P8" s="55" t="str">
        <f>IF($Q8="","",INDEX(TRANSACTIONS_MASTER!$Z$5:$Z$1204,$Q8)&amp;"")</f>
        <v/>
      </c>
      <c r="Q8" s="67" t="str">
        <f>IFERROR(MATCH($C$2&amp;"|"&amp;1,TRANSACTIONS_MASTER!$AE$5:$AE$1204,0),"")</f>
        <v/>
      </c>
      <c r="S8" s="67">
        <f>IFERROR(MATCH(1,CASHBACK_RULES!$S$5:$S$304,0),"")</f>
        <v>1</v>
      </c>
      <c r="T8" s="55" t="str">
        <f>IF($S8="","",INDEX(CASHBACK_RULES!$B$5:$B$304,$S8))</f>
        <v>VPB-JCBZ</v>
      </c>
      <c r="U8" s="55" t="str">
        <f>IF($S8="","",INDEX(CASHBACK_RULES!$C$5:$C$304,$S8)&amp;" "&amp;INDEX(CASHBACK_RULES!$D$5:$D$304,$S8))</f>
        <v>VPBank JCB Z Card</v>
      </c>
      <c r="V8" s="55" t="str">
        <f>IF($S8="","",INDEX(CASHBACK_RULES!$E$5:$E$304,$S8)&amp;"")</f>
        <v>Group 1</v>
      </c>
      <c r="W8" s="55" t="str">
        <f>IF($S8="","",INDEX(CASHBACK_RULES!$F$5:$F$304,$S8)&amp;"")</f>
        <v>Dining</v>
      </c>
      <c r="X8" s="26">
        <f>IF($S8="","",SUMIFS(TRANSACTIONS_MASTER!$Q$5:$Q$1204,TRANSACTIONS_MASTER!$D$5:$D$1204,$T8,TRANSACTIONS_MASTER!$Z$5:$Z$1204,$V8,TRANSACTIONS_MASTER!$C$5:$C$1204,$C$2))</f>
        <v>0</v>
      </c>
      <c r="Y8" s="25">
        <f>IF($S8="","",IF(ISNUMBER(INDEX(CASHBACK_RULES!$J$5:$J$304,$S8)),INDEX(CASHBACK_RULES!$J$5:$J$304,$S8),"∞"))</f>
        <v>500000</v>
      </c>
      <c r="Z8" s="25">
        <f>IF($S8="","",IF(ISNUMBER($Y8),MAX(0,$Y8-$X8),"∞"))</f>
        <v>500000</v>
      </c>
      <c r="AA8" s="27">
        <f>IF($S8="","",IF(ISNUMBER($Y8),IF($Y8=0,0,$X8/$Y8),""))</f>
        <v>0</v>
      </c>
    </row>
    <row r="9" ht="20" customHeight="1">
      <c r="A9" s="81" t="str">
        <f>IF($Q9="","",2)</f>
        <v/>
      </c>
      <c r="B9" s="57" t="str">
        <f>IF($Q9="","",INDEX(TRANSACTIONS_MASTER!$B$5:$B$1204,$Q9))</f>
        <v/>
      </c>
      <c r="C9" s="55" t="str">
        <f>IF($Q9="","",INDEX(TRANSACTIONS_MASTER!$F$5:$F$1204,$Q9))</f>
        <v/>
      </c>
      <c r="D9" s="55" t="str">
        <f>IF($Q9="","",INDEX(TRANSACTIONS_MASTER!$E$5:$E$1204,$Q9))</f>
        <v/>
      </c>
      <c r="E9" s="55" t="str">
        <f>IF($Q9="","",INDEX(TRANSACTIONS_MASTER!$G$5:$G$1204,$Q9)&amp;"")</f>
        <v/>
      </c>
      <c r="F9" s="29" t="str">
        <f>IF($Q9="","",INDEX(TRANSACTIONS_MASTER!$I$5:$I$1204,$Q9))</f>
        <v/>
      </c>
      <c r="G9" s="55" t="str">
        <f>IF($Q9="","",INDEX(TRANSACTIONS_MASTER!$K$5:$K$1204,$Q9))</f>
        <v/>
      </c>
      <c r="H9" s="25" t="str">
        <f>IF($Q9="","",INDEX(TRANSACTIONS_MASTER!$L$5:$L$1204,$Q9))</f>
        <v/>
      </c>
      <c r="I9" s="56" t="str">
        <f>IF($Q9="","",INDEX(TRANSACTIONS_MASTER!$N$5:$N$1204,$Q9))</f>
        <v/>
      </c>
      <c r="J9" s="25" t="str">
        <f>IF($Q9="","",INDEX(TRANSACTIONS_MASTER!$O$5:$O$1204,$Q9))</f>
        <v/>
      </c>
      <c r="K9" s="26" t="str">
        <f>IF($Q9="","",INDEX(TRANSACTIONS_MASTER!$Q$5:$Q$1204,$Q9))</f>
        <v/>
      </c>
      <c r="L9" s="25" t="str">
        <f>IF($Q9="","",INDEX(TRANSACTIONS_MASTER!$P$5:$P$1204,$Q9))</f>
        <v/>
      </c>
      <c r="M9" s="25" t="str">
        <f>IF($Q9="","",INDEX(TRANSACTIONS_MASTER!$AA$5:$AA$1204,$Q9))</f>
        <v/>
      </c>
      <c r="N9" s="25" t="str">
        <f>IF($Q9="","",INDEX(TRANSACTIONS_MASTER!$R$5:$R$1204,$Q9))</f>
        <v/>
      </c>
      <c r="O9" s="28" t="str">
        <f>IF($Q9="","",INDEX(TRANSACTIONS_MASTER!$AB$5:$AB$1204,$Q9))</f>
        <v/>
      </c>
      <c r="P9" s="55" t="str">
        <f>IF($Q9="","",INDEX(TRANSACTIONS_MASTER!$Z$5:$Z$1204,$Q9)&amp;"")</f>
        <v/>
      </c>
      <c r="Q9" s="67" t="str">
        <f>IFERROR(MATCH($C$2&amp;"|"&amp;2,TRANSACTIONS_MASTER!$AE$5:$AE$1204,0),"")</f>
        <v/>
      </c>
      <c r="S9" s="67">
        <f>IFERROR(MATCH(2,CASHBACK_RULES!$S$5:$S$304,0),"")</f>
        <v>5</v>
      </c>
      <c r="T9" s="55" t="str">
        <f>IF($S9="","",INDEX(CASHBACK_RULES!$B$5:$B$304,$S9))</f>
        <v>VPB-JCBZ</v>
      </c>
      <c r="U9" s="55" t="str">
        <f>IF($S9="","",INDEX(CASHBACK_RULES!$C$5:$C$304,$S9)&amp;" "&amp;INDEX(CASHBACK_RULES!$D$5:$D$304,$S9))</f>
        <v>VPBank JCB Z Card</v>
      </c>
      <c r="V9" s="55" t="str">
        <f>IF($S9="","",INDEX(CASHBACK_RULES!$E$5:$E$304,$S9)&amp;"")</f>
        <v>Group 2</v>
      </c>
      <c r="W9" s="55" t="str">
        <f>IF($S9="","",INDEX(CASHBACK_RULES!$F$5:$F$304,$S9)&amp;"")</f>
        <v>Entertainment / Fitness</v>
      </c>
      <c r="X9" s="26">
        <f>IF($S9="","",SUMIFS(TRANSACTIONS_MASTER!$Q$5:$Q$1204,TRANSACTIONS_MASTER!$D$5:$D$1204,$T9,TRANSACTIONS_MASTER!$Z$5:$Z$1204,$V9,TRANSACTIONS_MASTER!$C$5:$C$1204,$C$2))</f>
        <v>0</v>
      </c>
      <c r="Y9" s="25">
        <f>IF($S9="","",IF(ISNUMBER(INDEX(CASHBACK_RULES!$J$5:$J$304,$S9)),INDEX(CASHBACK_RULES!$J$5:$J$304,$S9),"∞"))</f>
        <v>500000</v>
      </c>
      <c r="Z9" s="25">
        <f>IF($S9="","",IF(ISNUMBER($Y9),MAX(0,$Y9-$X9),"∞"))</f>
        <v>500000</v>
      </c>
      <c r="AA9" s="27">
        <f>IF($S9="","",IF(ISNUMBER($Y9),IF($Y9=0,0,$X9/$Y9),""))</f>
        <v>0</v>
      </c>
    </row>
    <row r="10" ht="20" customHeight="1">
      <c r="A10" s="81" t="str">
        <f>IF($Q10="","",3)</f>
        <v/>
      </c>
      <c r="B10" s="57" t="str">
        <f>IF($Q10="","",INDEX(TRANSACTIONS_MASTER!$B$5:$B$1204,$Q10))</f>
        <v/>
      </c>
      <c r="C10" s="55" t="str">
        <f>IF($Q10="","",INDEX(TRANSACTIONS_MASTER!$F$5:$F$1204,$Q10))</f>
        <v/>
      </c>
      <c r="D10" s="55" t="str">
        <f>IF($Q10="","",INDEX(TRANSACTIONS_MASTER!$E$5:$E$1204,$Q10))</f>
        <v/>
      </c>
      <c r="E10" s="55" t="str">
        <f>IF($Q10="","",INDEX(TRANSACTIONS_MASTER!$G$5:$G$1204,$Q10)&amp;"")</f>
        <v/>
      </c>
      <c r="F10" s="29" t="str">
        <f>IF($Q10="","",INDEX(TRANSACTIONS_MASTER!$I$5:$I$1204,$Q10))</f>
        <v/>
      </c>
      <c r="G10" s="55" t="str">
        <f>IF($Q10="","",INDEX(TRANSACTIONS_MASTER!$K$5:$K$1204,$Q10))</f>
        <v/>
      </c>
      <c r="H10" s="25" t="str">
        <f>IF($Q10="","",INDEX(TRANSACTIONS_MASTER!$L$5:$L$1204,$Q10))</f>
        <v/>
      </c>
      <c r="I10" s="56" t="str">
        <f>IF($Q10="","",INDEX(TRANSACTIONS_MASTER!$N$5:$N$1204,$Q10))</f>
        <v/>
      </c>
      <c r="J10" s="25" t="str">
        <f>IF($Q10="","",INDEX(TRANSACTIONS_MASTER!$O$5:$O$1204,$Q10))</f>
        <v/>
      </c>
      <c r="K10" s="26" t="str">
        <f>IF($Q10="","",INDEX(TRANSACTIONS_MASTER!$Q$5:$Q$1204,$Q10))</f>
        <v/>
      </c>
      <c r="L10" s="25" t="str">
        <f>IF($Q10="","",INDEX(TRANSACTIONS_MASTER!$P$5:$P$1204,$Q10))</f>
        <v/>
      </c>
      <c r="M10" s="25" t="str">
        <f>IF($Q10="","",INDEX(TRANSACTIONS_MASTER!$AA$5:$AA$1204,$Q10))</f>
        <v/>
      </c>
      <c r="N10" s="25" t="str">
        <f>IF($Q10="","",INDEX(TRANSACTIONS_MASTER!$R$5:$R$1204,$Q10))</f>
        <v/>
      </c>
      <c r="O10" s="28" t="str">
        <f>IF($Q10="","",INDEX(TRANSACTIONS_MASTER!$AB$5:$AB$1204,$Q10))</f>
        <v/>
      </c>
      <c r="P10" s="55" t="str">
        <f>IF($Q10="","",INDEX(TRANSACTIONS_MASTER!$Z$5:$Z$1204,$Q10)&amp;"")</f>
        <v/>
      </c>
      <c r="Q10" s="67" t="str">
        <f>IFERROR(MATCH($C$2&amp;"|"&amp;3,TRANSACTIONS_MASTER!$AE$5:$AE$1204,0),"")</f>
        <v/>
      </c>
      <c r="S10" s="67">
        <f>IFERROR(MATCH(3,CASHBACK_RULES!$S$5:$S$304,0),"")</f>
        <v>9</v>
      </c>
      <c r="T10" s="55" t="str">
        <f>IF($S10="","",INDEX(CASHBACK_RULES!$B$5:$B$304,$S10))</f>
        <v>VPB-JCBZ</v>
      </c>
      <c r="U10" s="55" t="str">
        <f>IF($S10="","",INDEX(CASHBACK_RULES!$C$5:$C$304,$S10)&amp;" "&amp;INDEX(CASHBACK_RULES!$D$5:$D$304,$S10))</f>
        <v>VPBank JCB Z Card</v>
      </c>
      <c r="V10" s="55" t="str">
        <f>IF($S10="","",INDEX(CASHBACK_RULES!$E$5:$E$304,$S10)&amp;"")</f>
        <v>Group 3</v>
      </c>
      <c r="W10" s="55" t="str">
        <f>IF($S10="","",INDEX(CASHBACK_RULES!$F$5:$F$304,$S10)&amp;"")</f>
        <v>Transport / Food Delivery</v>
      </c>
      <c r="X10" s="26">
        <f>IF($S10="","",SUMIFS(TRANSACTIONS_MASTER!$Q$5:$Q$1204,TRANSACTIONS_MASTER!$D$5:$D$1204,$T10,TRANSACTIONS_MASTER!$Z$5:$Z$1204,$V10,TRANSACTIONS_MASTER!$C$5:$C$1204,$C$2))</f>
        <v>0</v>
      </c>
      <c r="Y10" s="25">
        <f>IF($S10="","",IF(ISNUMBER(INDEX(CASHBACK_RULES!$J$5:$J$304,$S10)),INDEX(CASHBACK_RULES!$J$5:$J$304,$S10),"∞"))</f>
        <v>500000</v>
      </c>
      <c r="Z10" s="25">
        <f>IF($S10="","",IF(ISNUMBER($Y10),MAX(0,$Y10-$X10),"∞"))</f>
        <v>500000</v>
      </c>
      <c r="AA10" s="27">
        <f>IF($S10="","",IF(ISNUMBER($Y10),IF($Y10=0,0,$X10/$Y10),""))</f>
        <v>0</v>
      </c>
    </row>
    <row r="11" ht="20" customHeight="1">
      <c r="A11" s="81" t="str">
        <f>IF($Q11="","",4)</f>
        <v/>
      </c>
      <c r="B11" s="57" t="str">
        <f>IF($Q11="","",INDEX(TRANSACTIONS_MASTER!$B$5:$B$1204,$Q11))</f>
        <v/>
      </c>
      <c r="C11" s="55" t="str">
        <f>IF($Q11="","",INDEX(TRANSACTIONS_MASTER!$F$5:$F$1204,$Q11))</f>
        <v/>
      </c>
      <c r="D11" s="55" t="str">
        <f>IF($Q11="","",INDEX(TRANSACTIONS_MASTER!$E$5:$E$1204,$Q11))</f>
        <v/>
      </c>
      <c r="E11" s="55" t="str">
        <f>IF($Q11="","",INDEX(TRANSACTIONS_MASTER!$G$5:$G$1204,$Q11)&amp;"")</f>
        <v/>
      </c>
      <c r="F11" s="29" t="str">
        <f>IF($Q11="","",INDEX(TRANSACTIONS_MASTER!$I$5:$I$1204,$Q11))</f>
        <v/>
      </c>
      <c r="G11" s="55" t="str">
        <f>IF($Q11="","",INDEX(TRANSACTIONS_MASTER!$K$5:$K$1204,$Q11))</f>
        <v/>
      </c>
      <c r="H11" s="25" t="str">
        <f>IF($Q11="","",INDEX(TRANSACTIONS_MASTER!$L$5:$L$1204,$Q11))</f>
        <v/>
      </c>
      <c r="I11" s="56" t="str">
        <f>IF($Q11="","",INDEX(TRANSACTIONS_MASTER!$N$5:$N$1204,$Q11))</f>
        <v/>
      </c>
      <c r="J11" s="25" t="str">
        <f>IF($Q11="","",INDEX(TRANSACTIONS_MASTER!$O$5:$O$1204,$Q11))</f>
        <v/>
      </c>
      <c r="K11" s="26" t="str">
        <f>IF($Q11="","",INDEX(TRANSACTIONS_MASTER!$Q$5:$Q$1204,$Q11))</f>
        <v/>
      </c>
      <c r="L11" s="25" t="str">
        <f>IF($Q11="","",INDEX(TRANSACTIONS_MASTER!$P$5:$P$1204,$Q11))</f>
        <v/>
      </c>
      <c r="M11" s="25" t="str">
        <f>IF($Q11="","",INDEX(TRANSACTIONS_MASTER!$AA$5:$AA$1204,$Q11))</f>
        <v/>
      </c>
      <c r="N11" s="25" t="str">
        <f>IF($Q11="","",INDEX(TRANSACTIONS_MASTER!$R$5:$R$1204,$Q11))</f>
        <v/>
      </c>
      <c r="O11" s="28" t="str">
        <f>IF($Q11="","",INDEX(TRANSACTIONS_MASTER!$AB$5:$AB$1204,$Q11))</f>
        <v/>
      </c>
      <c r="P11" s="55" t="str">
        <f>IF($Q11="","",INDEX(TRANSACTIONS_MASTER!$Z$5:$Z$1204,$Q11)&amp;"")</f>
        <v/>
      </c>
      <c r="Q11" s="67" t="str">
        <f>IFERROR(MATCH($C$2&amp;"|"&amp;4,TRANSACTIONS_MASTER!$AE$5:$AE$1204,0),"")</f>
        <v/>
      </c>
      <c r="S11" s="67">
        <f>IFERROR(MATCH(4,CASHBACK_RULES!$S$5:$S$304,0),"")</f>
        <v>11</v>
      </c>
      <c r="T11" s="55" t="str">
        <f>IF($S11="","",INDEX(CASHBACK_RULES!$B$5:$B$304,$S11))</f>
        <v>VIB-A</v>
      </c>
      <c r="U11" s="55" t="str">
        <f>IF($S11="","",INDEX(CASHBACK_RULES!$C$5:$C$304,$S11)&amp;" "&amp;INDEX(CASHBACK_RULES!$D$5:$D$304,$S11))</f>
        <v>VIB Cashback Demo A</v>
      </c>
      <c r="V11" s="55" t="str">
        <f>IF($S11="","",INDEX(CASHBACK_RULES!$E$5:$E$304,$S11)&amp;"")</f>
        <v>Group 1</v>
      </c>
      <c r="W11" s="55" t="str">
        <f>IF($S11="","",INDEX(CASHBACK_RULES!$F$5:$F$304,$S11)&amp;"")</f>
        <v>Groceries</v>
      </c>
      <c r="X11" s="26">
        <f>IF($S11="","",SUMIFS(TRANSACTIONS_MASTER!$Q$5:$Q$1204,TRANSACTIONS_MASTER!$D$5:$D$1204,$T11,TRANSACTIONS_MASTER!$Z$5:$Z$1204,$V11,TRANSACTIONS_MASTER!$C$5:$C$1204,$C$2))</f>
        <v>0</v>
      </c>
      <c r="Y11" s="25">
        <f>IF($S11="","",IF(ISNUMBER(INDEX(CASHBACK_RULES!$J$5:$J$304,$S11)),INDEX(CASHBACK_RULES!$J$5:$J$304,$S11),"∞"))</f>
        <v>500000</v>
      </c>
      <c r="Z11" s="25">
        <f>IF($S11="","",IF(ISNUMBER($Y11),MAX(0,$Y11-$X11),"∞"))</f>
        <v>500000</v>
      </c>
      <c r="AA11" s="27">
        <f>IF($S11="","",IF(ISNUMBER($Y11),IF($Y11=0,0,$X11/$Y11),""))</f>
        <v>0</v>
      </c>
    </row>
    <row r="12" ht="20" customHeight="1">
      <c r="A12" s="81" t="str">
        <f>IF($Q12="","",5)</f>
        <v/>
      </c>
      <c r="B12" s="57" t="str">
        <f>IF($Q12="","",INDEX(TRANSACTIONS_MASTER!$B$5:$B$1204,$Q12))</f>
        <v/>
      </c>
      <c r="C12" s="55" t="str">
        <f>IF($Q12="","",INDEX(TRANSACTIONS_MASTER!$F$5:$F$1204,$Q12))</f>
        <v/>
      </c>
      <c r="D12" s="55" t="str">
        <f>IF($Q12="","",INDEX(TRANSACTIONS_MASTER!$E$5:$E$1204,$Q12))</f>
        <v/>
      </c>
      <c r="E12" s="55" t="str">
        <f>IF($Q12="","",INDEX(TRANSACTIONS_MASTER!$G$5:$G$1204,$Q12)&amp;"")</f>
        <v/>
      </c>
      <c r="F12" s="29" t="str">
        <f>IF($Q12="","",INDEX(TRANSACTIONS_MASTER!$I$5:$I$1204,$Q12))</f>
        <v/>
      </c>
      <c r="G12" s="55" t="str">
        <f>IF($Q12="","",INDEX(TRANSACTIONS_MASTER!$K$5:$K$1204,$Q12))</f>
        <v/>
      </c>
      <c r="H12" s="25" t="str">
        <f>IF($Q12="","",INDEX(TRANSACTIONS_MASTER!$L$5:$L$1204,$Q12))</f>
        <v/>
      </c>
      <c r="I12" s="56" t="str">
        <f>IF($Q12="","",INDEX(TRANSACTIONS_MASTER!$N$5:$N$1204,$Q12))</f>
        <v/>
      </c>
      <c r="J12" s="25" t="str">
        <f>IF($Q12="","",INDEX(TRANSACTIONS_MASTER!$O$5:$O$1204,$Q12))</f>
        <v/>
      </c>
      <c r="K12" s="26" t="str">
        <f>IF($Q12="","",INDEX(TRANSACTIONS_MASTER!$Q$5:$Q$1204,$Q12))</f>
        <v/>
      </c>
      <c r="L12" s="25" t="str">
        <f>IF($Q12="","",INDEX(TRANSACTIONS_MASTER!$P$5:$P$1204,$Q12))</f>
        <v/>
      </c>
      <c r="M12" s="25" t="str">
        <f>IF($Q12="","",INDEX(TRANSACTIONS_MASTER!$AA$5:$AA$1204,$Q12))</f>
        <v/>
      </c>
      <c r="N12" s="25" t="str">
        <f>IF($Q12="","",INDEX(TRANSACTIONS_MASTER!$R$5:$R$1204,$Q12))</f>
        <v/>
      </c>
      <c r="O12" s="28" t="str">
        <f>IF($Q12="","",INDEX(TRANSACTIONS_MASTER!$AB$5:$AB$1204,$Q12))</f>
        <v/>
      </c>
      <c r="P12" s="55" t="str">
        <f>IF($Q12="","",INDEX(TRANSACTIONS_MASTER!$Z$5:$Z$1204,$Q12)&amp;"")</f>
        <v/>
      </c>
      <c r="Q12" s="67" t="str">
        <f>IFERROR(MATCH($C$2&amp;"|"&amp;5,TRANSACTIONS_MASTER!$AE$5:$AE$1204,0),"")</f>
        <v/>
      </c>
      <c r="S12" s="67">
        <f>IFERROR(MATCH(5,CASHBACK_RULES!$S$5:$S$304,0),"")</f>
        <v>13</v>
      </c>
      <c r="T12" s="55" t="str">
        <f>IF($S12="","",INDEX(CASHBACK_RULES!$B$5:$B$304,$S12))</f>
        <v>VIB-A</v>
      </c>
      <c r="U12" s="55" t="str">
        <f>IF($S12="","",INDEX(CASHBACK_RULES!$C$5:$C$304,$S12)&amp;" "&amp;INDEX(CASHBACK_RULES!$D$5:$D$304,$S12))</f>
        <v>VIB Cashback Demo A</v>
      </c>
      <c r="V12" s="55" t="str">
        <f>IF($S12="","",INDEX(CASHBACK_RULES!$E$5:$E$304,$S12)&amp;"")</f>
        <v>Group 2</v>
      </c>
      <c r="W12" s="55" t="str">
        <f>IF($S12="","",INDEX(CASHBACK_RULES!$F$5:$F$304,$S12)&amp;"")</f>
        <v>Shopping</v>
      </c>
      <c r="X12" s="26">
        <f>IF($S12="","",SUMIFS(TRANSACTIONS_MASTER!$Q$5:$Q$1204,TRANSACTIONS_MASTER!$D$5:$D$1204,$T12,TRANSACTIONS_MASTER!$Z$5:$Z$1204,$V12,TRANSACTIONS_MASTER!$C$5:$C$1204,$C$2))</f>
        <v>0</v>
      </c>
      <c r="Y12" s="25">
        <f>IF($S12="","",IF(ISNUMBER(INDEX(CASHBACK_RULES!$J$5:$J$304,$S12)),INDEX(CASHBACK_RULES!$J$5:$J$304,$S12),"∞"))</f>
        <v>500000</v>
      </c>
      <c r="Z12" s="25">
        <f>IF($S12="","",IF(ISNUMBER($Y12),MAX(0,$Y12-$X12),"∞"))</f>
        <v>500000</v>
      </c>
      <c r="AA12" s="27">
        <f>IF($S12="","",IF(ISNUMBER($Y12),IF($Y12=0,0,$X12/$Y12),""))</f>
        <v>0</v>
      </c>
    </row>
    <row r="13" ht="20" customHeight="1">
      <c r="A13" s="81" t="str">
        <f>IF($Q13="","",6)</f>
        <v/>
      </c>
      <c r="B13" s="57" t="str">
        <f>IF($Q13="","",INDEX(TRANSACTIONS_MASTER!$B$5:$B$1204,$Q13))</f>
        <v/>
      </c>
      <c r="C13" s="55" t="str">
        <f>IF($Q13="","",INDEX(TRANSACTIONS_MASTER!$F$5:$F$1204,$Q13))</f>
        <v/>
      </c>
      <c r="D13" s="55" t="str">
        <f>IF($Q13="","",INDEX(TRANSACTIONS_MASTER!$E$5:$E$1204,$Q13))</f>
        <v/>
      </c>
      <c r="E13" s="55" t="str">
        <f>IF($Q13="","",INDEX(TRANSACTIONS_MASTER!$G$5:$G$1204,$Q13)&amp;"")</f>
        <v/>
      </c>
      <c r="F13" s="29" t="str">
        <f>IF($Q13="","",INDEX(TRANSACTIONS_MASTER!$I$5:$I$1204,$Q13))</f>
        <v/>
      </c>
      <c r="G13" s="55" t="str">
        <f>IF($Q13="","",INDEX(TRANSACTIONS_MASTER!$K$5:$K$1204,$Q13))</f>
        <v/>
      </c>
      <c r="H13" s="25" t="str">
        <f>IF($Q13="","",INDEX(TRANSACTIONS_MASTER!$L$5:$L$1204,$Q13))</f>
        <v/>
      </c>
      <c r="I13" s="56" t="str">
        <f>IF($Q13="","",INDEX(TRANSACTIONS_MASTER!$N$5:$N$1204,$Q13))</f>
        <v/>
      </c>
      <c r="J13" s="25" t="str">
        <f>IF($Q13="","",INDEX(TRANSACTIONS_MASTER!$O$5:$O$1204,$Q13))</f>
        <v/>
      </c>
      <c r="K13" s="26" t="str">
        <f>IF($Q13="","",INDEX(TRANSACTIONS_MASTER!$Q$5:$Q$1204,$Q13))</f>
        <v/>
      </c>
      <c r="L13" s="25" t="str">
        <f>IF($Q13="","",INDEX(TRANSACTIONS_MASTER!$P$5:$P$1204,$Q13))</f>
        <v/>
      </c>
      <c r="M13" s="25" t="str">
        <f>IF($Q13="","",INDEX(TRANSACTIONS_MASTER!$AA$5:$AA$1204,$Q13))</f>
        <v/>
      </c>
      <c r="N13" s="25" t="str">
        <f>IF($Q13="","",INDEX(TRANSACTIONS_MASTER!$R$5:$R$1204,$Q13))</f>
        <v/>
      </c>
      <c r="O13" s="28" t="str">
        <f>IF($Q13="","",INDEX(TRANSACTIONS_MASTER!$AB$5:$AB$1204,$Q13))</f>
        <v/>
      </c>
      <c r="P13" s="55" t="str">
        <f>IF($Q13="","",INDEX(TRANSACTIONS_MASTER!$Z$5:$Z$1204,$Q13)&amp;"")</f>
        <v/>
      </c>
      <c r="Q13" s="67" t="str">
        <f>IFERROR(MATCH($C$2&amp;"|"&amp;6,TRANSACTIONS_MASTER!$AE$5:$AE$1204,0),"")</f>
        <v/>
      </c>
      <c r="S13" s="67">
        <f>IFERROR(MATCH(6,CASHBACK_RULES!$S$5:$S$304,0),"")</f>
        <v>15</v>
      </c>
      <c r="T13" s="55" t="str">
        <f>IF($S13="","",INDEX(CASHBACK_RULES!$B$5:$B$304,$S13))</f>
        <v>TCB-B</v>
      </c>
      <c r="U13" s="55" t="str">
        <f>IF($S13="","",INDEX(CASHBACK_RULES!$C$5:$C$304,$S13)&amp;" "&amp;INDEX(CASHBACK_RULES!$D$5:$D$304,$S13))</f>
        <v>Techcombank Cashback Demo B</v>
      </c>
      <c r="V13" s="55" t="str">
        <f>IF($S13="","",INDEX(CASHBACK_RULES!$E$5:$E$304,$S13)&amp;"")</f>
        <v>Group 1</v>
      </c>
      <c r="W13" s="55" t="str">
        <f>IF($S13="","",INDEX(CASHBACK_RULES!$F$5:$F$304,$S13)&amp;"")</f>
        <v>Fuel &amp; Transport</v>
      </c>
      <c r="X13" s="26">
        <f>IF($S13="","",SUMIFS(TRANSACTIONS_MASTER!$Q$5:$Q$1204,TRANSACTIONS_MASTER!$D$5:$D$1204,$T13,TRANSACTIONS_MASTER!$Z$5:$Z$1204,$V13,TRANSACTIONS_MASTER!$C$5:$C$1204,$C$2))</f>
        <v>0</v>
      </c>
      <c r="Y13" s="25">
        <f>IF($S13="","",IF(ISNUMBER(INDEX(CASHBACK_RULES!$J$5:$J$304,$S13)),INDEX(CASHBACK_RULES!$J$5:$J$304,$S13),"∞"))</f>
        <v>300000</v>
      </c>
      <c r="Z13" s="25">
        <f>IF($S13="","",IF(ISNUMBER($Y13),MAX(0,$Y13-$X13),"∞"))</f>
        <v>300000</v>
      </c>
      <c r="AA13" s="27">
        <f>IF($S13="","",IF(ISNUMBER($Y13),IF($Y13=0,0,$X13/$Y13),""))</f>
        <v>0</v>
      </c>
    </row>
    <row r="14" ht="20" customHeight="1">
      <c r="A14" s="81" t="str">
        <f>IF($Q14="","",7)</f>
        <v/>
      </c>
      <c r="B14" s="57" t="str">
        <f>IF($Q14="","",INDEX(TRANSACTIONS_MASTER!$B$5:$B$1204,$Q14))</f>
        <v/>
      </c>
      <c r="C14" s="55" t="str">
        <f>IF($Q14="","",INDEX(TRANSACTIONS_MASTER!$F$5:$F$1204,$Q14))</f>
        <v/>
      </c>
      <c r="D14" s="55" t="str">
        <f>IF($Q14="","",INDEX(TRANSACTIONS_MASTER!$E$5:$E$1204,$Q14))</f>
        <v/>
      </c>
      <c r="E14" s="55" t="str">
        <f>IF($Q14="","",INDEX(TRANSACTIONS_MASTER!$G$5:$G$1204,$Q14)&amp;"")</f>
        <v/>
      </c>
      <c r="F14" s="29" t="str">
        <f>IF($Q14="","",INDEX(TRANSACTIONS_MASTER!$I$5:$I$1204,$Q14))</f>
        <v/>
      </c>
      <c r="G14" s="55" t="str">
        <f>IF($Q14="","",INDEX(TRANSACTIONS_MASTER!$K$5:$K$1204,$Q14))</f>
        <v/>
      </c>
      <c r="H14" s="25" t="str">
        <f>IF($Q14="","",INDEX(TRANSACTIONS_MASTER!$L$5:$L$1204,$Q14))</f>
        <v/>
      </c>
      <c r="I14" s="56" t="str">
        <f>IF($Q14="","",INDEX(TRANSACTIONS_MASTER!$N$5:$N$1204,$Q14))</f>
        <v/>
      </c>
      <c r="J14" s="25" t="str">
        <f>IF($Q14="","",INDEX(TRANSACTIONS_MASTER!$O$5:$O$1204,$Q14))</f>
        <v/>
      </c>
      <c r="K14" s="26" t="str">
        <f>IF($Q14="","",INDEX(TRANSACTIONS_MASTER!$Q$5:$Q$1204,$Q14))</f>
        <v/>
      </c>
      <c r="L14" s="25" t="str">
        <f>IF($Q14="","",INDEX(TRANSACTIONS_MASTER!$P$5:$P$1204,$Q14))</f>
        <v/>
      </c>
      <c r="M14" s="25" t="str">
        <f>IF($Q14="","",INDEX(TRANSACTIONS_MASTER!$AA$5:$AA$1204,$Q14))</f>
        <v/>
      </c>
      <c r="N14" s="25" t="str">
        <f>IF($Q14="","",INDEX(TRANSACTIONS_MASTER!$R$5:$R$1204,$Q14))</f>
        <v/>
      </c>
      <c r="O14" s="28" t="str">
        <f>IF($Q14="","",INDEX(TRANSACTIONS_MASTER!$AB$5:$AB$1204,$Q14))</f>
        <v/>
      </c>
      <c r="P14" s="55" t="str">
        <f>IF($Q14="","",INDEX(TRANSACTIONS_MASTER!$Z$5:$Z$1204,$Q14)&amp;"")</f>
        <v/>
      </c>
      <c r="Q14" s="67" t="str">
        <f>IFERROR(MATCH($C$2&amp;"|"&amp;7,TRANSACTIONS_MASTER!$AE$5:$AE$1204,0),"")</f>
        <v/>
      </c>
      <c r="S14" s="67">
        <f>IFERROR(MATCH(7,CASHBACK_RULES!$S$5:$S$304,0),"")</f>
        <v>18</v>
      </c>
      <c r="T14" s="55" t="str">
        <f>IF($S14="","",INDEX(CASHBACK_RULES!$B$5:$B$304,$S14))</f>
        <v>TCB-B</v>
      </c>
      <c r="U14" s="55" t="str">
        <f>IF($S14="","",INDEX(CASHBACK_RULES!$C$5:$C$304,$S14)&amp;" "&amp;INDEX(CASHBACK_RULES!$D$5:$D$304,$S14))</f>
        <v>Techcombank Cashback Demo B</v>
      </c>
      <c r="V14" s="55" t="str">
        <f>IF($S14="","",INDEX(CASHBACK_RULES!$E$5:$E$304,$S14)&amp;"")</f>
        <v>Group 2</v>
      </c>
      <c r="W14" s="55" t="str">
        <f>IF($S14="","",INDEX(CASHBACK_RULES!$F$5:$F$304,$S14)&amp;"")</f>
        <v>Healthcare</v>
      </c>
      <c r="X14" s="26">
        <f>IF($S14="","",SUMIFS(TRANSACTIONS_MASTER!$Q$5:$Q$1204,TRANSACTIONS_MASTER!$D$5:$D$1204,$T14,TRANSACTIONS_MASTER!$Z$5:$Z$1204,$V14,TRANSACTIONS_MASTER!$C$5:$C$1204,$C$2))</f>
        <v>0</v>
      </c>
      <c r="Y14" s="25">
        <f>IF($S14="","",IF(ISNUMBER(INDEX(CASHBACK_RULES!$J$5:$J$304,$S14)),INDEX(CASHBACK_RULES!$J$5:$J$304,$S14),"∞"))</f>
        <v>300000</v>
      </c>
      <c r="Z14" s="25">
        <f>IF($S14="","",IF(ISNUMBER($Y14),MAX(0,$Y14-$X14),"∞"))</f>
        <v>300000</v>
      </c>
      <c r="AA14" s="27">
        <f>IF($S14="","",IF(ISNUMBER($Y14),IF($Y14=0,0,$X14/$Y14),""))</f>
        <v>0</v>
      </c>
    </row>
    <row r="15" ht="20" customHeight="1">
      <c r="A15" s="81" t="str">
        <f>IF($Q15="","",8)</f>
        <v/>
      </c>
      <c r="B15" s="57" t="str">
        <f>IF($Q15="","",INDEX(TRANSACTIONS_MASTER!$B$5:$B$1204,$Q15))</f>
        <v/>
      </c>
      <c r="C15" s="55" t="str">
        <f>IF($Q15="","",INDEX(TRANSACTIONS_MASTER!$F$5:$F$1204,$Q15))</f>
        <v/>
      </c>
      <c r="D15" s="55" t="str">
        <f>IF($Q15="","",INDEX(TRANSACTIONS_MASTER!$E$5:$E$1204,$Q15))</f>
        <v/>
      </c>
      <c r="E15" s="55" t="str">
        <f>IF($Q15="","",INDEX(TRANSACTIONS_MASTER!$G$5:$G$1204,$Q15)&amp;"")</f>
        <v/>
      </c>
      <c r="F15" s="29" t="str">
        <f>IF($Q15="","",INDEX(TRANSACTIONS_MASTER!$I$5:$I$1204,$Q15))</f>
        <v/>
      </c>
      <c r="G15" s="55" t="str">
        <f>IF($Q15="","",INDEX(TRANSACTIONS_MASTER!$K$5:$K$1204,$Q15))</f>
        <v/>
      </c>
      <c r="H15" s="25" t="str">
        <f>IF($Q15="","",INDEX(TRANSACTIONS_MASTER!$L$5:$L$1204,$Q15))</f>
        <v/>
      </c>
      <c r="I15" s="56" t="str">
        <f>IF($Q15="","",INDEX(TRANSACTIONS_MASTER!$N$5:$N$1204,$Q15))</f>
        <v/>
      </c>
      <c r="J15" s="25" t="str">
        <f>IF($Q15="","",INDEX(TRANSACTIONS_MASTER!$O$5:$O$1204,$Q15))</f>
        <v/>
      </c>
      <c r="K15" s="26" t="str">
        <f>IF($Q15="","",INDEX(TRANSACTIONS_MASTER!$Q$5:$Q$1204,$Q15))</f>
        <v/>
      </c>
      <c r="L15" s="25" t="str">
        <f>IF($Q15="","",INDEX(TRANSACTIONS_MASTER!$P$5:$P$1204,$Q15))</f>
        <v/>
      </c>
      <c r="M15" s="25" t="str">
        <f>IF($Q15="","",INDEX(TRANSACTIONS_MASTER!$AA$5:$AA$1204,$Q15))</f>
        <v/>
      </c>
      <c r="N15" s="25" t="str">
        <f>IF($Q15="","",INDEX(TRANSACTIONS_MASTER!$R$5:$R$1204,$Q15))</f>
        <v/>
      </c>
      <c r="O15" s="28" t="str">
        <f>IF($Q15="","",INDEX(TRANSACTIONS_MASTER!$AB$5:$AB$1204,$Q15))</f>
        <v/>
      </c>
      <c r="P15" s="55" t="str">
        <f>IF($Q15="","",INDEX(TRANSACTIONS_MASTER!$Z$5:$Z$1204,$Q15)&amp;"")</f>
        <v/>
      </c>
      <c r="Q15" s="67" t="str">
        <f>IFERROR(MATCH($C$2&amp;"|"&amp;8,TRANSACTIONS_MASTER!$AE$5:$AE$1204,0),"")</f>
        <v/>
      </c>
      <c r="S15" s="67">
        <f>IFERROR(MATCH(8,CASHBACK_RULES!$S$5:$S$304,0),"")</f>
        <v>20</v>
      </c>
      <c r="T15" s="55" t="str">
        <f>IF($S15="","",INDEX(CASHBACK_RULES!$B$5:$B$304,$S15))</f>
        <v>TCB-B</v>
      </c>
      <c r="U15" s="55" t="str">
        <f>IF($S15="","",INDEX(CASHBACK_RULES!$C$5:$C$304,$S15)&amp;" "&amp;INDEX(CASHBACK_RULES!$D$5:$D$304,$S15))</f>
        <v>Techcombank Cashback Demo B</v>
      </c>
      <c r="V15" s="55" t="str">
        <f>IF($S15="","",INDEX(CASHBACK_RULES!$E$5:$E$304,$S15)&amp;"")</f>
        <v>Group 3</v>
      </c>
      <c r="W15" s="55" t="str">
        <f>IF($S15="","",INDEX(CASHBACK_RULES!$F$5:$F$304,$S15)&amp;"")</f>
        <v>Utilities &amp; Telecom</v>
      </c>
      <c r="X15" s="26">
        <f>IF($S15="","",SUMIFS(TRANSACTIONS_MASTER!$Q$5:$Q$1204,TRANSACTIONS_MASTER!$D$5:$D$1204,$T15,TRANSACTIONS_MASTER!$Z$5:$Z$1204,$V15,TRANSACTIONS_MASTER!$C$5:$C$1204,$C$2))</f>
        <v>0</v>
      </c>
      <c r="Y15" s="25">
        <f>IF($S15="","",IF(ISNUMBER(INDEX(CASHBACK_RULES!$J$5:$J$304,$S15)),INDEX(CASHBACK_RULES!$J$5:$J$304,$S15),"∞"))</f>
        <v>300000</v>
      </c>
      <c r="Z15" s="25">
        <f>IF($S15="","",IF(ISNUMBER($Y15),MAX(0,$Y15-$X15),"∞"))</f>
        <v>300000</v>
      </c>
      <c r="AA15" s="27">
        <f>IF($S15="","",IF(ISNUMBER($Y15),IF($Y15=0,0,$X15/$Y15),""))</f>
        <v>0</v>
      </c>
    </row>
    <row r="16" ht="20" customHeight="1">
      <c r="A16" s="81" t="str">
        <f>IF($Q16="","",9)</f>
        <v/>
      </c>
      <c r="B16" s="57" t="str">
        <f>IF($Q16="","",INDEX(TRANSACTIONS_MASTER!$B$5:$B$1204,$Q16))</f>
        <v/>
      </c>
      <c r="C16" s="55" t="str">
        <f>IF($Q16="","",INDEX(TRANSACTIONS_MASTER!$F$5:$F$1204,$Q16))</f>
        <v/>
      </c>
      <c r="D16" s="55" t="str">
        <f>IF($Q16="","",INDEX(TRANSACTIONS_MASTER!$E$5:$E$1204,$Q16))</f>
        <v/>
      </c>
      <c r="E16" s="55" t="str">
        <f>IF($Q16="","",INDEX(TRANSACTIONS_MASTER!$G$5:$G$1204,$Q16)&amp;"")</f>
        <v/>
      </c>
      <c r="F16" s="29" t="str">
        <f>IF($Q16="","",INDEX(TRANSACTIONS_MASTER!$I$5:$I$1204,$Q16))</f>
        <v/>
      </c>
      <c r="G16" s="55" t="str">
        <f>IF($Q16="","",INDEX(TRANSACTIONS_MASTER!$K$5:$K$1204,$Q16))</f>
        <v/>
      </c>
      <c r="H16" s="25" t="str">
        <f>IF($Q16="","",INDEX(TRANSACTIONS_MASTER!$L$5:$L$1204,$Q16))</f>
        <v/>
      </c>
      <c r="I16" s="56" t="str">
        <f>IF($Q16="","",INDEX(TRANSACTIONS_MASTER!$N$5:$N$1204,$Q16))</f>
        <v/>
      </c>
      <c r="J16" s="25" t="str">
        <f>IF($Q16="","",INDEX(TRANSACTIONS_MASTER!$O$5:$O$1204,$Q16))</f>
        <v/>
      </c>
      <c r="K16" s="26" t="str">
        <f>IF($Q16="","",INDEX(TRANSACTIONS_MASTER!$Q$5:$Q$1204,$Q16))</f>
        <v/>
      </c>
      <c r="L16" s="25" t="str">
        <f>IF($Q16="","",INDEX(TRANSACTIONS_MASTER!$P$5:$P$1204,$Q16))</f>
        <v/>
      </c>
      <c r="M16" s="25" t="str">
        <f>IF($Q16="","",INDEX(TRANSACTIONS_MASTER!$AA$5:$AA$1204,$Q16))</f>
        <v/>
      </c>
      <c r="N16" s="25" t="str">
        <f>IF($Q16="","",INDEX(TRANSACTIONS_MASTER!$R$5:$R$1204,$Q16))</f>
        <v/>
      </c>
      <c r="O16" s="28" t="str">
        <f>IF($Q16="","",INDEX(TRANSACTIONS_MASTER!$AB$5:$AB$1204,$Q16))</f>
        <v/>
      </c>
      <c r="P16" s="55" t="str">
        <f>IF($Q16="","",INDEX(TRANSACTIONS_MASTER!$Z$5:$Z$1204,$Q16)&amp;"")</f>
        <v/>
      </c>
      <c r="Q16" s="67" t="str">
        <f>IFERROR(MATCH($C$2&amp;"|"&amp;9,TRANSACTIONS_MASTER!$AE$5:$AE$1204,0),"")</f>
        <v/>
      </c>
      <c r="S16" s="67">
        <f>IFERROR(MATCH(9,CASHBACK_RULES!$S$5:$S$304,0),"")</f>
        <v>22</v>
      </c>
      <c r="T16" s="55" t="str">
        <f>IF($S16="","",INDEX(CASHBACK_RULES!$B$5:$B$304,$S16))</f>
        <v>UOB-C</v>
      </c>
      <c r="U16" s="55" t="str">
        <f>IF($S16="","",INDEX(CASHBACK_RULES!$C$5:$C$304,$S16)&amp;" "&amp;INDEX(CASHBACK_RULES!$D$5:$D$304,$S16))</f>
        <v>UOB Cashback Demo C</v>
      </c>
      <c r="V16" s="55" t="str">
        <f>IF($S16="","",INDEX(CASHBACK_RULES!$E$5:$E$304,$S16)&amp;"")</f>
        <v>Group 1</v>
      </c>
      <c r="W16" s="55" t="str">
        <f>IF($S16="","",INDEX(CASHBACK_RULES!$F$5:$F$304,$S16)&amp;"")</f>
        <v>Dining</v>
      </c>
      <c r="X16" s="26">
        <f>IF($S16="","",SUMIFS(TRANSACTIONS_MASTER!$Q$5:$Q$1204,TRANSACTIONS_MASTER!$D$5:$D$1204,$T16,TRANSACTIONS_MASTER!$Z$5:$Z$1204,$V16,TRANSACTIONS_MASTER!$C$5:$C$1204,$C$2))</f>
        <v>0</v>
      </c>
      <c r="Y16" s="25">
        <f>IF($S16="","",IF(ISNUMBER(INDEX(CASHBACK_RULES!$J$5:$J$304,$S16)),INDEX(CASHBACK_RULES!$J$5:$J$304,$S16),"∞"))</f>
        <v>1000000</v>
      </c>
      <c r="Z16" s="25">
        <f>IF($S16="","",IF(ISNUMBER($Y16),MAX(0,$Y16-$X16),"∞"))</f>
        <v>1000000</v>
      </c>
      <c r="AA16" s="27">
        <f>IF($S16="","",IF(ISNUMBER($Y16),IF($Y16=0,0,$X16/$Y16),""))</f>
        <v>0</v>
      </c>
    </row>
    <row r="17" ht="20" customHeight="1">
      <c r="A17" s="81" t="str">
        <f>IF($Q17="","",10)</f>
        <v/>
      </c>
      <c r="B17" s="57" t="str">
        <f>IF($Q17="","",INDEX(TRANSACTIONS_MASTER!$B$5:$B$1204,$Q17))</f>
        <v/>
      </c>
      <c r="C17" s="55" t="str">
        <f>IF($Q17="","",INDEX(TRANSACTIONS_MASTER!$F$5:$F$1204,$Q17))</f>
        <v/>
      </c>
      <c r="D17" s="55" t="str">
        <f>IF($Q17="","",INDEX(TRANSACTIONS_MASTER!$E$5:$E$1204,$Q17))</f>
        <v/>
      </c>
      <c r="E17" s="55" t="str">
        <f>IF($Q17="","",INDEX(TRANSACTIONS_MASTER!$G$5:$G$1204,$Q17)&amp;"")</f>
        <v/>
      </c>
      <c r="F17" s="29" t="str">
        <f>IF($Q17="","",INDEX(TRANSACTIONS_MASTER!$I$5:$I$1204,$Q17))</f>
        <v/>
      </c>
      <c r="G17" s="55" t="str">
        <f>IF($Q17="","",INDEX(TRANSACTIONS_MASTER!$K$5:$K$1204,$Q17))</f>
        <v/>
      </c>
      <c r="H17" s="25" t="str">
        <f>IF($Q17="","",INDEX(TRANSACTIONS_MASTER!$L$5:$L$1204,$Q17))</f>
        <v/>
      </c>
      <c r="I17" s="56" t="str">
        <f>IF($Q17="","",INDEX(TRANSACTIONS_MASTER!$N$5:$N$1204,$Q17))</f>
        <v/>
      </c>
      <c r="J17" s="25" t="str">
        <f>IF($Q17="","",INDEX(TRANSACTIONS_MASTER!$O$5:$O$1204,$Q17))</f>
        <v/>
      </c>
      <c r="K17" s="26" t="str">
        <f>IF($Q17="","",INDEX(TRANSACTIONS_MASTER!$Q$5:$Q$1204,$Q17))</f>
        <v/>
      </c>
      <c r="L17" s="25" t="str">
        <f>IF($Q17="","",INDEX(TRANSACTIONS_MASTER!$P$5:$P$1204,$Q17))</f>
        <v/>
      </c>
      <c r="M17" s="25" t="str">
        <f>IF($Q17="","",INDEX(TRANSACTIONS_MASTER!$AA$5:$AA$1204,$Q17))</f>
        <v/>
      </c>
      <c r="N17" s="25" t="str">
        <f>IF($Q17="","",INDEX(TRANSACTIONS_MASTER!$R$5:$R$1204,$Q17))</f>
        <v/>
      </c>
      <c r="O17" s="28" t="str">
        <f>IF($Q17="","",INDEX(TRANSACTIONS_MASTER!$AB$5:$AB$1204,$Q17))</f>
        <v/>
      </c>
      <c r="P17" s="55" t="str">
        <f>IF($Q17="","",INDEX(TRANSACTIONS_MASTER!$Z$5:$Z$1204,$Q17)&amp;"")</f>
        <v/>
      </c>
      <c r="Q17" s="67" t="str">
        <f>IFERROR(MATCH($C$2&amp;"|"&amp;10,TRANSACTIONS_MASTER!$AE$5:$AE$1204,0),"")</f>
        <v/>
      </c>
      <c r="S17" s="67">
        <f>IFERROR(MATCH(10,CASHBACK_RULES!$S$5:$S$304,0),"")</f>
        <v>24</v>
      </c>
      <c r="T17" s="55" t="str">
        <f>IF($S17="","",INDEX(CASHBACK_RULES!$B$5:$B$304,$S17))</f>
        <v>MB-D</v>
      </c>
      <c r="U17" s="55" t="str">
        <f>IF($S17="","",INDEX(CASHBACK_RULES!$C$5:$C$304,$S17)&amp;" "&amp;INDEX(CASHBACK_RULES!$D$5:$D$304,$S17))</f>
        <v>MB Cashback Demo D</v>
      </c>
      <c r="V17" s="55" t="str">
        <f>IF($S17="","",INDEX(CASHBACK_RULES!$E$5:$E$304,$S17)&amp;"")</f>
        <v>Dining</v>
      </c>
      <c r="W17" s="55" t="str">
        <f>IF($S17="","",INDEX(CASHBACK_RULES!$F$5:$F$304,$S17)&amp;"")</f>
        <v>Dining</v>
      </c>
      <c r="X17" s="26">
        <f>IF($S17="","",SUMIFS(TRANSACTIONS_MASTER!$Q$5:$Q$1204,TRANSACTIONS_MASTER!$D$5:$D$1204,$T17,TRANSACTIONS_MASTER!$Z$5:$Z$1204,$V17,TRANSACTIONS_MASTER!$C$5:$C$1204,$C$2))</f>
        <v>0</v>
      </c>
      <c r="Y17" s="25">
        <f>IF($S17="","",IF(ISNUMBER(INDEX(CASHBACK_RULES!$J$5:$J$304,$S17)),INDEX(CASHBACK_RULES!$J$5:$J$304,$S17),"∞"))</f>
        <v>500000</v>
      </c>
      <c r="Z17" s="25">
        <f>IF($S17="","",IF(ISNUMBER($Y17),MAX(0,$Y17-$X17),"∞"))</f>
        <v>500000</v>
      </c>
      <c r="AA17" s="27">
        <f>IF($S17="","",IF(ISNUMBER($Y17),IF($Y17=0,0,$X17/$Y17),""))</f>
        <v>0</v>
      </c>
    </row>
    <row r="18" ht="20" customHeight="1">
      <c r="A18" s="81" t="str">
        <f>IF($Q18="","",11)</f>
        <v/>
      </c>
      <c r="B18" s="57" t="str">
        <f>IF($Q18="","",INDEX(TRANSACTIONS_MASTER!$B$5:$B$1204,$Q18))</f>
        <v/>
      </c>
      <c r="C18" s="55" t="str">
        <f>IF($Q18="","",INDEX(TRANSACTIONS_MASTER!$F$5:$F$1204,$Q18))</f>
        <v/>
      </c>
      <c r="D18" s="55" t="str">
        <f>IF($Q18="","",INDEX(TRANSACTIONS_MASTER!$E$5:$E$1204,$Q18))</f>
        <v/>
      </c>
      <c r="E18" s="55" t="str">
        <f>IF($Q18="","",INDEX(TRANSACTIONS_MASTER!$G$5:$G$1204,$Q18)&amp;"")</f>
        <v/>
      </c>
      <c r="F18" s="29" t="str">
        <f>IF($Q18="","",INDEX(TRANSACTIONS_MASTER!$I$5:$I$1204,$Q18))</f>
        <v/>
      </c>
      <c r="G18" s="55" t="str">
        <f>IF($Q18="","",INDEX(TRANSACTIONS_MASTER!$K$5:$K$1204,$Q18))</f>
        <v/>
      </c>
      <c r="H18" s="25" t="str">
        <f>IF($Q18="","",INDEX(TRANSACTIONS_MASTER!$L$5:$L$1204,$Q18))</f>
        <v/>
      </c>
      <c r="I18" s="56" t="str">
        <f>IF($Q18="","",INDEX(TRANSACTIONS_MASTER!$N$5:$N$1204,$Q18))</f>
        <v/>
      </c>
      <c r="J18" s="25" t="str">
        <f>IF($Q18="","",INDEX(TRANSACTIONS_MASTER!$O$5:$O$1204,$Q18))</f>
        <v/>
      </c>
      <c r="K18" s="26" t="str">
        <f>IF($Q18="","",INDEX(TRANSACTIONS_MASTER!$Q$5:$Q$1204,$Q18))</f>
        <v/>
      </c>
      <c r="L18" s="25" t="str">
        <f>IF($Q18="","",INDEX(TRANSACTIONS_MASTER!$P$5:$P$1204,$Q18))</f>
        <v/>
      </c>
      <c r="M18" s="25" t="str">
        <f>IF($Q18="","",INDEX(TRANSACTIONS_MASTER!$AA$5:$AA$1204,$Q18))</f>
        <v/>
      </c>
      <c r="N18" s="25" t="str">
        <f>IF($Q18="","",INDEX(TRANSACTIONS_MASTER!$R$5:$R$1204,$Q18))</f>
        <v/>
      </c>
      <c r="O18" s="28" t="str">
        <f>IF($Q18="","",INDEX(TRANSACTIONS_MASTER!$AB$5:$AB$1204,$Q18))</f>
        <v/>
      </c>
      <c r="P18" s="55" t="str">
        <f>IF($Q18="","",INDEX(TRANSACTIONS_MASTER!$Z$5:$Z$1204,$Q18)&amp;"")</f>
        <v/>
      </c>
      <c r="Q18" s="67" t="str">
        <f>IFERROR(MATCH($C$2&amp;"|"&amp;11,TRANSACTIONS_MASTER!$AE$5:$AE$1204,0),"")</f>
        <v/>
      </c>
      <c r="S18" s="67">
        <f>IFERROR(MATCH(11,CASHBACK_RULES!$S$5:$S$304,0),"")</f>
        <v>25</v>
      </c>
      <c r="T18" s="55" t="str">
        <f>IF($S18="","",INDEX(CASHBACK_RULES!$B$5:$B$304,$S18))</f>
        <v>MB-D</v>
      </c>
      <c r="U18" s="55" t="str">
        <f>IF($S18="","",INDEX(CASHBACK_RULES!$C$5:$C$304,$S18)&amp;" "&amp;INDEX(CASHBACK_RULES!$D$5:$D$304,$S18))</f>
        <v>MB Cashback Demo D</v>
      </c>
      <c r="V18" s="55" t="str">
        <f>IF($S18="","",INDEX(CASHBACK_RULES!$E$5:$E$304,$S18)&amp;"")</f>
        <v>Fuel</v>
      </c>
      <c r="W18" s="55" t="str">
        <f>IF($S18="","",INDEX(CASHBACK_RULES!$F$5:$F$304,$S18)&amp;"")</f>
        <v>Fuel</v>
      </c>
      <c r="X18" s="26">
        <f>IF($S18="","",SUMIFS(TRANSACTIONS_MASTER!$Q$5:$Q$1204,TRANSACTIONS_MASTER!$D$5:$D$1204,$T18,TRANSACTIONS_MASTER!$Z$5:$Z$1204,$V18,TRANSACTIONS_MASTER!$C$5:$C$1204,$C$2))</f>
        <v>0</v>
      </c>
      <c r="Y18" s="25">
        <f>IF($S18="","",IF(ISNUMBER(INDEX(CASHBACK_RULES!$J$5:$J$304,$S18)),INDEX(CASHBACK_RULES!$J$5:$J$304,$S18),"∞"))</f>
        <v>200000</v>
      </c>
      <c r="Z18" s="25">
        <f>IF($S18="","",IF(ISNUMBER($Y18),MAX(0,$Y18-$X18),"∞"))</f>
        <v>200000</v>
      </c>
      <c r="AA18" s="27">
        <f>IF($S18="","",IF(ISNUMBER($Y18),IF($Y18=0,0,$X18/$Y18),""))</f>
        <v>0</v>
      </c>
    </row>
    <row r="19" ht="20" customHeight="1">
      <c r="A19" s="81" t="str">
        <f>IF($Q19="","",12)</f>
        <v/>
      </c>
      <c r="B19" s="57" t="str">
        <f>IF($Q19="","",INDEX(TRANSACTIONS_MASTER!$B$5:$B$1204,$Q19))</f>
        <v/>
      </c>
      <c r="C19" s="55" t="str">
        <f>IF($Q19="","",INDEX(TRANSACTIONS_MASTER!$F$5:$F$1204,$Q19))</f>
        <v/>
      </c>
      <c r="D19" s="55" t="str">
        <f>IF($Q19="","",INDEX(TRANSACTIONS_MASTER!$E$5:$E$1204,$Q19))</f>
        <v/>
      </c>
      <c r="E19" s="55" t="str">
        <f>IF($Q19="","",INDEX(TRANSACTIONS_MASTER!$G$5:$G$1204,$Q19)&amp;"")</f>
        <v/>
      </c>
      <c r="F19" s="29" t="str">
        <f>IF($Q19="","",INDEX(TRANSACTIONS_MASTER!$I$5:$I$1204,$Q19))</f>
        <v/>
      </c>
      <c r="G19" s="55" t="str">
        <f>IF($Q19="","",INDEX(TRANSACTIONS_MASTER!$K$5:$K$1204,$Q19))</f>
        <v/>
      </c>
      <c r="H19" s="25" t="str">
        <f>IF($Q19="","",INDEX(TRANSACTIONS_MASTER!$L$5:$L$1204,$Q19))</f>
        <v/>
      </c>
      <c r="I19" s="56" t="str">
        <f>IF($Q19="","",INDEX(TRANSACTIONS_MASTER!$N$5:$N$1204,$Q19))</f>
        <v/>
      </c>
      <c r="J19" s="25" t="str">
        <f>IF($Q19="","",INDEX(TRANSACTIONS_MASTER!$O$5:$O$1204,$Q19))</f>
        <v/>
      </c>
      <c r="K19" s="26" t="str">
        <f>IF($Q19="","",INDEX(TRANSACTIONS_MASTER!$Q$5:$Q$1204,$Q19))</f>
        <v/>
      </c>
      <c r="L19" s="25" t="str">
        <f>IF($Q19="","",INDEX(TRANSACTIONS_MASTER!$P$5:$P$1204,$Q19))</f>
        <v/>
      </c>
      <c r="M19" s="25" t="str">
        <f>IF($Q19="","",INDEX(TRANSACTIONS_MASTER!$AA$5:$AA$1204,$Q19))</f>
        <v/>
      </c>
      <c r="N19" s="25" t="str">
        <f>IF($Q19="","",INDEX(TRANSACTIONS_MASTER!$R$5:$R$1204,$Q19))</f>
        <v/>
      </c>
      <c r="O19" s="28" t="str">
        <f>IF($Q19="","",INDEX(TRANSACTIONS_MASTER!$AB$5:$AB$1204,$Q19))</f>
        <v/>
      </c>
      <c r="P19" s="55" t="str">
        <f>IF($Q19="","",INDEX(TRANSACTIONS_MASTER!$Z$5:$Z$1204,$Q19)&amp;"")</f>
        <v/>
      </c>
      <c r="Q19" s="67" t="str">
        <f>IFERROR(MATCH($C$2&amp;"|"&amp;12,TRANSACTIONS_MASTER!$AE$5:$AE$1204,0),"")</f>
        <v/>
      </c>
      <c r="S19" s="67">
        <f>IFERROR(MATCH(12,CASHBACK_RULES!$S$5:$S$304,0),"")</f>
        <v>26</v>
      </c>
      <c r="T19" s="55" t="str">
        <f>IF($S19="","",INDEX(CASHBACK_RULES!$B$5:$B$304,$S19))</f>
        <v>MB-D</v>
      </c>
      <c r="U19" s="55" t="str">
        <f>IF($S19="","",INDEX(CASHBACK_RULES!$C$5:$C$304,$S19)&amp;" "&amp;INDEX(CASHBACK_RULES!$D$5:$D$304,$S19))</f>
        <v>MB Cashback Demo D</v>
      </c>
      <c r="V19" s="55" t="str">
        <f>IF($S19="","",INDEX(CASHBACK_RULES!$E$5:$E$304,$S19)&amp;"")</f>
        <v>Groceries</v>
      </c>
      <c r="W19" s="55" t="str">
        <f>IF($S19="","",INDEX(CASHBACK_RULES!$F$5:$F$304,$S19)&amp;"")</f>
        <v>Groceries</v>
      </c>
      <c r="X19" s="26">
        <f>IF($S19="","",SUMIFS(TRANSACTIONS_MASTER!$Q$5:$Q$1204,TRANSACTIONS_MASTER!$D$5:$D$1204,$T19,TRANSACTIONS_MASTER!$Z$5:$Z$1204,$V19,TRANSACTIONS_MASTER!$C$5:$C$1204,$C$2))</f>
        <v>0</v>
      </c>
      <c r="Y19" s="25">
        <f>IF($S19="","",IF(ISNUMBER(INDEX(CASHBACK_RULES!$J$5:$J$304,$S19)),INDEX(CASHBACK_RULES!$J$5:$J$304,$S19),"∞"))</f>
        <v>100000</v>
      </c>
      <c r="Z19" s="25">
        <f>IF($S19="","",IF(ISNUMBER($Y19),MAX(0,$Y19-$X19),"∞"))</f>
        <v>100000</v>
      </c>
      <c r="AA19" s="27">
        <f>IF($S19="","",IF(ISNUMBER($Y19),IF($Y19=0,0,$X19/$Y19),""))</f>
        <v>0</v>
      </c>
    </row>
    <row r="20" ht="20" customHeight="1">
      <c r="A20" s="81" t="str">
        <f>IF($Q20="","",13)</f>
        <v/>
      </c>
      <c r="B20" s="57" t="str">
        <f>IF($Q20="","",INDEX(TRANSACTIONS_MASTER!$B$5:$B$1204,$Q20))</f>
        <v/>
      </c>
      <c r="C20" s="55" t="str">
        <f>IF($Q20="","",INDEX(TRANSACTIONS_MASTER!$F$5:$F$1204,$Q20))</f>
        <v/>
      </c>
      <c r="D20" s="55" t="str">
        <f>IF($Q20="","",INDEX(TRANSACTIONS_MASTER!$E$5:$E$1204,$Q20))</f>
        <v/>
      </c>
      <c r="E20" s="55" t="str">
        <f>IF($Q20="","",INDEX(TRANSACTIONS_MASTER!$G$5:$G$1204,$Q20)&amp;"")</f>
        <v/>
      </c>
      <c r="F20" s="29" t="str">
        <f>IF($Q20="","",INDEX(TRANSACTIONS_MASTER!$I$5:$I$1204,$Q20))</f>
        <v/>
      </c>
      <c r="G20" s="55" t="str">
        <f>IF($Q20="","",INDEX(TRANSACTIONS_MASTER!$K$5:$K$1204,$Q20))</f>
        <v/>
      </c>
      <c r="H20" s="25" t="str">
        <f>IF($Q20="","",INDEX(TRANSACTIONS_MASTER!$L$5:$L$1204,$Q20))</f>
        <v/>
      </c>
      <c r="I20" s="56" t="str">
        <f>IF($Q20="","",INDEX(TRANSACTIONS_MASTER!$N$5:$N$1204,$Q20))</f>
        <v/>
      </c>
      <c r="J20" s="25" t="str">
        <f>IF($Q20="","",INDEX(TRANSACTIONS_MASTER!$O$5:$O$1204,$Q20))</f>
        <v/>
      </c>
      <c r="K20" s="26" t="str">
        <f>IF($Q20="","",INDEX(TRANSACTIONS_MASTER!$Q$5:$Q$1204,$Q20))</f>
        <v/>
      </c>
      <c r="L20" s="25" t="str">
        <f>IF($Q20="","",INDEX(TRANSACTIONS_MASTER!$P$5:$P$1204,$Q20))</f>
        <v/>
      </c>
      <c r="M20" s="25" t="str">
        <f>IF($Q20="","",INDEX(TRANSACTIONS_MASTER!$AA$5:$AA$1204,$Q20))</f>
        <v/>
      </c>
      <c r="N20" s="25" t="str">
        <f>IF($Q20="","",INDEX(TRANSACTIONS_MASTER!$R$5:$R$1204,$Q20))</f>
        <v/>
      </c>
      <c r="O20" s="28" t="str">
        <f>IF($Q20="","",INDEX(TRANSACTIONS_MASTER!$AB$5:$AB$1204,$Q20))</f>
        <v/>
      </c>
      <c r="P20" s="55" t="str">
        <f>IF($Q20="","",INDEX(TRANSACTIONS_MASTER!$Z$5:$Z$1204,$Q20)&amp;"")</f>
        <v/>
      </c>
      <c r="Q20" s="67" t="str">
        <f>IFERROR(MATCH($C$2&amp;"|"&amp;13,TRANSACTIONS_MASTER!$AE$5:$AE$1204,0),"")</f>
        <v/>
      </c>
      <c r="S20" s="67">
        <f>IFERROR(MATCH(13,CASHBACK_RULES!$S$5:$S$304,0),"")</f>
        <v>27</v>
      </c>
      <c r="T20" s="55" t="str">
        <f>IF($S20="","",INDEX(CASHBACK_RULES!$B$5:$B$304,$S20))</f>
        <v>MB-D</v>
      </c>
      <c r="U20" s="55" t="str">
        <f>IF($S20="","",INDEX(CASHBACK_RULES!$C$5:$C$304,$S20)&amp;" "&amp;INDEX(CASHBACK_RULES!$D$5:$D$304,$S20))</f>
        <v>MB Cashback Demo D</v>
      </c>
      <c r="V20" s="55" t="str">
        <f>IF($S20="","",INDEX(CASHBACK_RULES!$E$5:$E$304,$S20)&amp;"")</f>
        <v>Shopping</v>
      </c>
      <c r="W20" s="55" t="str">
        <f>IF($S20="","",INDEX(CASHBACK_RULES!$F$5:$F$304,$S20)&amp;"")</f>
        <v>Shopping</v>
      </c>
      <c r="X20" s="26">
        <f>IF($S20="","",SUMIFS(TRANSACTIONS_MASTER!$Q$5:$Q$1204,TRANSACTIONS_MASTER!$D$5:$D$1204,$T20,TRANSACTIONS_MASTER!$Z$5:$Z$1204,$V20,TRANSACTIONS_MASTER!$C$5:$C$1204,$C$2))</f>
        <v>0</v>
      </c>
      <c r="Y20" s="25">
        <f>IF($S20="","",IF(ISNUMBER(INDEX(CASHBACK_RULES!$J$5:$J$304,$S20)),INDEX(CASHBACK_RULES!$J$5:$J$304,$S20),"∞"))</f>
        <v>100000</v>
      </c>
      <c r="Z20" s="25">
        <f>IF($S20="","",IF(ISNUMBER($Y20),MAX(0,$Y20-$X20),"∞"))</f>
        <v>100000</v>
      </c>
      <c r="AA20" s="27">
        <f>IF($S20="","",IF(ISNUMBER($Y20),IF($Y20=0,0,$X20/$Y20),""))</f>
        <v>0</v>
      </c>
    </row>
    <row r="21" ht="20" customHeight="1">
      <c r="A21" s="81" t="str">
        <f>IF($Q21="","",14)</f>
        <v/>
      </c>
      <c r="B21" s="57" t="str">
        <f>IF($Q21="","",INDEX(TRANSACTIONS_MASTER!$B$5:$B$1204,$Q21))</f>
        <v/>
      </c>
      <c r="C21" s="55" t="str">
        <f>IF($Q21="","",INDEX(TRANSACTIONS_MASTER!$F$5:$F$1204,$Q21))</f>
        <v/>
      </c>
      <c r="D21" s="55" t="str">
        <f>IF($Q21="","",INDEX(TRANSACTIONS_MASTER!$E$5:$E$1204,$Q21))</f>
        <v/>
      </c>
      <c r="E21" s="55" t="str">
        <f>IF($Q21="","",INDEX(TRANSACTIONS_MASTER!$G$5:$G$1204,$Q21)&amp;"")</f>
        <v/>
      </c>
      <c r="F21" s="29" t="str">
        <f>IF($Q21="","",INDEX(TRANSACTIONS_MASTER!$I$5:$I$1204,$Q21))</f>
        <v/>
      </c>
      <c r="G21" s="55" t="str">
        <f>IF($Q21="","",INDEX(TRANSACTIONS_MASTER!$K$5:$K$1204,$Q21))</f>
        <v/>
      </c>
      <c r="H21" s="25" t="str">
        <f>IF($Q21="","",INDEX(TRANSACTIONS_MASTER!$L$5:$L$1204,$Q21))</f>
        <v/>
      </c>
      <c r="I21" s="56" t="str">
        <f>IF($Q21="","",INDEX(TRANSACTIONS_MASTER!$N$5:$N$1204,$Q21))</f>
        <v/>
      </c>
      <c r="J21" s="25" t="str">
        <f>IF($Q21="","",INDEX(TRANSACTIONS_MASTER!$O$5:$O$1204,$Q21))</f>
        <v/>
      </c>
      <c r="K21" s="26" t="str">
        <f>IF($Q21="","",INDEX(TRANSACTIONS_MASTER!$Q$5:$Q$1204,$Q21))</f>
        <v/>
      </c>
      <c r="L21" s="25" t="str">
        <f>IF($Q21="","",INDEX(TRANSACTIONS_MASTER!$P$5:$P$1204,$Q21))</f>
        <v/>
      </c>
      <c r="M21" s="25" t="str">
        <f>IF($Q21="","",INDEX(TRANSACTIONS_MASTER!$AA$5:$AA$1204,$Q21))</f>
        <v/>
      </c>
      <c r="N21" s="25" t="str">
        <f>IF($Q21="","",INDEX(TRANSACTIONS_MASTER!$R$5:$R$1204,$Q21))</f>
        <v/>
      </c>
      <c r="O21" s="28" t="str">
        <f>IF($Q21="","",INDEX(TRANSACTIONS_MASTER!$AB$5:$AB$1204,$Q21))</f>
        <v/>
      </c>
      <c r="P21" s="55" t="str">
        <f>IF($Q21="","",INDEX(TRANSACTIONS_MASTER!$Z$5:$Z$1204,$Q21)&amp;"")</f>
        <v/>
      </c>
      <c r="Q21" s="67" t="str">
        <f>IFERROR(MATCH($C$2&amp;"|"&amp;14,TRANSACTIONS_MASTER!$AE$5:$AE$1204,0),"")</f>
        <v/>
      </c>
      <c r="S21" s="67" t="str">
        <f>IFERROR(MATCH(14,CASHBACK_RULES!$S$5:$S$304,0),"")</f>
        <v/>
      </c>
      <c r="T21" s="55" t="str">
        <f>IF($S21="","",INDEX(CASHBACK_RULES!$B$5:$B$304,$S21))</f>
        <v/>
      </c>
      <c r="U21" s="55" t="str">
        <f>IF($S21="","",INDEX(CASHBACK_RULES!$C$5:$C$304,$S21)&amp;" "&amp;INDEX(CASHBACK_RULES!$D$5:$D$304,$S21))</f>
        <v/>
      </c>
      <c r="V21" s="55" t="str">
        <f>IF($S21="","",INDEX(CASHBACK_RULES!$E$5:$E$304,$S21)&amp;"")</f>
        <v/>
      </c>
      <c r="W21" s="55" t="str">
        <f>IF($S21="","",INDEX(CASHBACK_RULES!$F$5:$F$304,$S21)&amp;"")</f>
        <v/>
      </c>
      <c r="X21" s="26" t="str">
        <f>IF($S21="","",SUMIFS(TRANSACTIONS_MASTER!$Q$5:$Q$1204,TRANSACTIONS_MASTER!$D$5:$D$1204,$T21,TRANSACTIONS_MASTER!$Z$5:$Z$1204,$V21,TRANSACTIONS_MASTER!$C$5:$C$1204,$C$2))</f>
        <v/>
      </c>
      <c r="Y21" s="25" t="str">
        <f>IF($S21="","",IF(ISNUMBER(INDEX(CASHBACK_RULES!$J$5:$J$304,$S21)),INDEX(CASHBACK_RULES!$J$5:$J$304,$S21),"∞"))</f>
        <v/>
      </c>
      <c r="Z21" s="25" t="str">
        <f>IF($S21="","",IF(ISNUMBER($Y21),MAX(0,$Y21-$X21),"∞"))</f>
        <v/>
      </c>
      <c r="AA21" s="27" t="str">
        <f>IF($S21="","",IF(ISNUMBER($Y21),IF($Y21=0,0,$X21/$Y21),""))</f>
        <v/>
      </c>
    </row>
    <row r="22" ht="20" customHeight="1">
      <c r="A22" s="81" t="str">
        <f>IF($Q22="","",15)</f>
        <v/>
      </c>
      <c r="B22" s="57" t="str">
        <f>IF($Q22="","",INDEX(TRANSACTIONS_MASTER!$B$5:$B$1204,$Q22))</f>
        <v/>
      </c>
      <c r="C22" s="55" t="str">
        <f>IF($Q22="","",INDEX(TRANSACTIONS_MASTER!$F$5:$F$1204,$Q22))</f>
        <v/>
      </c>
      <c r="D22" s="55" t="str">
        <f>IF($Q22="","",INDEX(TRANSACTIONS_MASTER!$E$5:$E$1204,$Q22))</f>
        <v/>
      </c>
      <c r="E22" s="55" t="str">
        <f>IF($Q22="","",INDEX(TRANSACTIONS_MASTER!$G$5:$G$1204,$Q22)&amp;"")</f>
        <v/>
      </c>
      <c r="F22" s="29" t="str">
        <f>IF($Q22="","",INDEX(TRANSACTIONS_MASTER!$I$5:$I$1204,$Q22))</f>
        <v/>
      </c>
      <c r="G22" s="55" t="str">
        <f>IF($Q22="","",INDEX(TRANSACTIONS_MASTER!$K$5:$K$1204,$Q22))</f>
        <v/>
      </c>
      <c r="H22" s="25" t="str">
        <f>IF($Q22="","",INDEX(TRANSACTIONS_MASTER!$L$5:$L$1204,$Q22))</f>
        <v/>
      </c>
      <c r="I22" s="56" t="str">
        <f>IF($Q22="","",INDEX(TRANSACTIONS_MASTER!$N$5:$N$1204,$Q22))</f>
        <v/>
      </c>
      <c r="J22" s="25" t="str">
        <f>IF($Q22="","",INDEX(TRANSACTIONS_MASTER!$O$5:$O$1204,$Q22))</f>
        <v/>
      </c>
      <c r="K22" s="26" t="str">
        <f>IF($Q22="","",INDEX(TRANSACTIONS_MASTER!$Q$5:$Q$1204,$Q22))</f>
        <v/>
      </c>
      <c r="L22" s="25" t="str">
        <f>IF($Q22="","",INDEX(TRANSACTIONS_MASTER!$P$5:$P$1204,$Q22))</f>
        <v/>
      </c>
      <c r="M22" s="25" t="str">
        <f>IF($Q22="","",INDEX(TRANSACTIONS_MASTER!$AA$5:$AA$1204,$Q22))</f>
        <v/>
      </c>
      <c r="N22" s="25" t="str">
        <f>IF($Q22="","",INDEX(TRANSACTIONS_MASTER!$R$5:$R$1204,$Q22))</f>
        <v/>
      </c>
      <c r="O22" s="28" t="str">
        <f>IF($Q22="","",INDEX(TRANSACTIONS_MASTER!$AB$5:$AB$1204,$Q22))</f>
        <v/>
      </c>
      <c r="P22" s="55" t="str">
        <f>IF($Q22="","",INDEX(TRANSACTIONS_MASTER!$Z$5:$Z$1204,$Q22)&amp;"")</f>
        <v/>
      </c>
      <c r="Q22" s="67" t="str">
        <f>IFERROR(MATCH($C$2&amp;"|"&amp;15,TRANSACTIONS_MASTER!$AE$5:$AE$1204,0),"")</f>
        <v/>
      </c>
      <c r="S22" s="67" t="str">
        <f>IFERROR(MATCH(15,CASHBACK_RULES!$S$5:$S$304,0),"")</f>
        <v/>
      </c>
      <c r="T22" s="55" t="str">
        <f>IF($S22="","",INDEX(CASHBACK_RULES!$B$5:$B$304,$S22))</f>
        <v/>
      </c>
      <c r="U22" s="55" t="str">
        <f>IF($S22="","",INDEX(CASHBACK_RULES!$C$5:$C$304,$S22)&amp;" "&amp;INDEX(CASHBACK_RULES!$D$5:$D$304,$S22))</f>
        <v/>
      </c>
      <c r="V22" s="55" t="str">
        <f>IF($S22="","",INDEX(CASHBACK_RULES!$E$5:$E$304,$S22)&amp;"")</f>
        <v/>
      </c>
      <c r="W22" s="55" t="str">
        <f>IF($S22="","",INDEX(CASHBACK_RULES!$F$5:$F$304,$S22)&amp;"")</f>
        <v/>
      </c>
      <c r="X22" s="26" t="str">
        <f>IF($S22="","",SUMIFS(TRANSACTIONS_MASTER!$Q$5:$Q$1204,TRANSACTIONS_MASTER!$D$5:$D$1204,$T22,TRANSACTIONS_MASTER!$Z$5:$Z$1204,$V22,TRANSACTIONS_MASTER!$C$5:$C$1204,$C$2))</f>
        <v/>
      </c>
      <c r="Y22" s="25" t="str">
        <f>IF($S22="","",IF(ISNUMBER(INDEX(CASHBACK_RULES!$J$5:$J$304,$S22)),INDEX(CASHBACK_RULES!$J$5:$J$304,$S22),"∞"))</f>
        <v/>
      </c>
      <c r="Z22" s="25" t="str">
        <f>IF($S22="","",IF(ISNUMBER($Y22),MAX(0,$Y22-$X22),"∞"))</f>
        <v/>
      </c>
      <c r="AA22" s="27" t="str">
        <f>IF($S22="","",IF(ISNUMBER($Y22),IF($Y22=0,0,$X22/$Y22),""))</f>
        <v/>
      </c>
    </row>
    <row r="23" ht="20" customHeight="1">
      <c r="A23" s="81" t="str">
        <f>IF($Q23="","",16)</f>
        <v/>
      </c>
      <c r="B23" s="57" t="str">
        <f>IF($Q23="","",INDEX(TRANSACTIONS_MASTER!$B$5:$B$1204,$Q23))</f>
        <v/>
      </c>
      <c r="C23" s="55" t="str">
        <f>IF($Q23="","",INDEX(TRANSACTIONS_MASTER!$F$5:$F$1204,$Q23))</f>
        <v/>
      </c>
      <c r="D23" s="55" t="str">
        <f>IF($Q23="","",INDEX(TRANSACTIONS_MASTER!$E$5:$E$1204,$Q23))</f>
        <v/>
      </c>
      <c r="E23" s="55" t="str">
        <f>IF($Q23="","",INDEX(TRANSACTIONS_MASTER!$G$5:$G$1204,$Q23)&amp;"")</f>
        <v/>
      </c>
      <c r="F23" s="29" t="str">
        <f>IF($Q23="","",INDEX(TRANSACTIONS_MASTER!$I$5:$I$1204,$Q23))</f>
        <v/>
      </c>
      <c r="G23" s="55" t="str">
        <f>IF($Q23="","",INDEX(TRANSACTIONS_MASTER!$K$5:$K$1204,$Q23))</f>
        <v/>
      </c>
      <c r="H23" s="25" t="str">
        <f>IF($Q23="","",INDEX(TRANSACTIONS_MASTER!$L$5:$L$1204,$Q23))</f>
        <v/>
      </c>
      <c r="I23" s="56" t="str">
        <f>IF($Q23="","",INDEX(TRANSACTIONS_MASTER!$N$5:$N$1204,$Q23))</f>
        <v/>
      </c>
      <c r="J23" s="25" t="str">
        <f>IF($Q23="","",INDEX(TRANSACTIONS_MASTER!$O$5:$O$1204,$Q23))</f>
        <v/>
      </c>
      <c r="K23" s="26" t="str">
        <f>IF($Q23="","",INDEX(TRANSACTIONS_MASTER!$Q$5:$Q$1204,$Q23))</f>
        <v/>
      </c>
      <c r="L23" s="25" t="str">
        <f>IF($Q23="","",INDEX(TRANSACTIONS_MASTER!$P$5:$P$1204,$Q23))</f>
        <v/>
      </c>
      <c r="M23" s="25" t="str">
        <f>IF($Q23="","",INDEX(TRANSACTIONS_MASTER!$AA$5:$AA$1204,$Q23))</f>
        <v/>
      </c>
      <c r="N23" s="25" t="str">
        <f>IF($Q23="","",INDEX(TRANSACTIONS_MASTER!$R$5:$R$1204,$Q23))</f>
        <v/>
      </c>
      <c r="O23" s="28" t="str">
        <f>IF($Q23="","",INDEX(TRANSACTIONS_MASTER!$AB$5:$AB$1204,$Q23))</f>
        <v/>
      </c>
      <c r="P23" s="55" t="str">
        <f>IF($Q23="","",INDEX(TRANSACTIONS_MASTER!$Z$5:$Z$1204,$Q23)&amp;"")</f>
        <v/>
      </c>
      <c r="Q23" s="67" t="str">
        <f>IFERROR(MATCH($C$2&amp;"|"&amp;16,TRANSACTIONS_MASTER!$AE$5:$AE$1204,0),"")</f>
        <v/>
      </c>
      <c r="S23" s="67" t="str">
        <f>IFERROR(MATCH(16,CASHBACK_RULES!$S$5:$S$304,0),"")</f>
        <v/>
      </c>
      <c r="T23" s="55" t="str">
        <f>IF($S23="","",INDEX(CASHBACK_RULES!$B$5:$B$304,$S23))</f>
        <v/>
      </c>
      <c r="U23" s="55" t="str">
        <f>IF($S23="","",INDEX(CASHBACK_RULES!$C$5:$C$304,$S23)&amp;" "&amp;INDEX(CASHBACK_RULES!$D$5:$D$304,$S23))</f>
        <v/>
      </c>
      <c r="V23" s="55" t="str">
        <f>IF($S23="","",INDEX(CASHBACK_RULES!$E$5:$E$304,$S23)&amp;"")</f>
        <v/>
      </c>
      <c r="W23" s="55" t="str">
        <f>IF($S23="","",INDEX(CASHBACK_RULES!$F$5:$F$304,$S23)&amp;"")</f>
        <v/>
      </c>
      <c r="X23" s="26" t="str">
        <f>IF($S23="","",SUMIFS(TRANSACTIONS_MASTER!$Q$5:$Q$1204,TRANSACTIONS_MASTER!$D$5:$D$1204,$T23,TRANSACTIONS_MASTER!$Z$5:$Z$1204,$V23,TRANSACTIONS_MASTER!$C$5:$C$1204,$C$2))</f>
        <v/>
      </c>
      <c r="Y23" s="25" t="str">
        <f>IF($S23="","",IF(ISNUMBER(INDEX(CASHBACK_RULES!$J$5:$J$304,$S23)),INDEX(CASHBACK_RULES!$J$5:$J$304,$S23),"∞"))</f>
        <v/>
      </c>
      <c r="Z23" s="25" t="str">
        <f>IF($S23="","",IF(ISNUMBER($Y23),MAX(0,$Y23-$X23),"∞"))</f>
        <v/>
      </c>
      <c r="AA23" s="27" t="str">
        <f>IF($S23="","",IF(ISNUMBER($Y23),IF($Y23=0,0,$X23/$Y23),""))</f>
        <v/>
      </c>
    </row>
    <row r="24" ht="20" customHeight="1">
      <c r="A24" s="81" t="str">
        <f>IF($Q24="","",17)</f>
        <v/>
      </c>
      <c r="B24" s="57" t="str">
        <f>IF($Q24="","",INDEX(TRANSACTIONS_MASTER!$B$5:$B$1204,$Q24))</f>
        <v/>
      </c>
      <c r="C24" s="55" t="str">
        <f>IF($Q24="","",INDEX(TRANSACTIONS_MASTER!$F$5:$F$1204,$Q24))</f>
        <v/>
      </c>
      <c r="D24" s="55" t="str">
        <f>IF($Q24="","",INDEX(TRANSACTIONS_MASTER!$E$5:$E$1204,$Q24))</f>
        <v/>
      </c>
      <c r="E24" s="55" t="str">
        <f>IF($Q24="","",INDEX(TRANSACTIONS_MASTER!$G$5:$G$1204,$Q24)&amp;"")</f>
        <v/>
      </c>
      <c r="F24" s="29" t="str">
        <f>IF($Q24="","",INDEX(TRANSACTIONS_MASTER!$I$5:$I$1204,$Q24))</f>
        <v/>
      </c>
      <c r="G24" s="55" t="str">
        <f>IF($Q24="","",INDEX(TRANSACTIONS_MASTER!$K$5:$K$1204,$Q24))</f>
        <v/>
      </c>
      <c r="H24" s="25" t="str">
        <f>IF($Q24="","",INDEX(TRANSACTIONS_MASTER!$L$5:$L$1204,$Q24))</f>
        <v/>
      </c>
      <c r="I24" s="56" t="str">
        <f>IF($Q24="","",INDEX(TRANSACTIONS_MASTER!$N$5:$N$1204,$Q24))</f>
        <v/>
      </c>
      <c r="J24" s="25" t="str">
        <f>IF($Q24="","",INDEX(TRANSACTIONS_MASTER!$O$5:$O$1204,$Q24))</f>
        <v/>
      </c>
      <c r="K24" s="26" t="str">
        <f>IF($Q24="","",INDEX(TRANSACTIONS_MASTER!$Q$5:$Q$1204,$Q24))</f>
        <v/>
      </c>
      <c r="L24" s="25" t="str">
        <f>IF($Q24="","",INDEX(TRANSACTIONS_MASTER!$P$5:$P$1204,$Q24))</f>
        <v/>
      </c>
      <c r="M24" s="25" t="str">
        <f>IF($Q24="","",INDEX(TRANSACTIONS_MASTER!$AA$5:$AA$1204,$Q24))</f>
        <v/>
      </c>
      <c r="N24" s="25" t="str">
        <f>IF($Q24="","",INDEX(TRANSACTIONS_MASTER!$R$5:$R$1204,$Q24))</f>
        <v/>
      </c>
      <c r="O24" s="28" t="str">
        <f>IF($Q24="","",INDEX(TRANSACTIONS_MASTER!$AB$5:$AB$1204,$Q24))</f>
        <v/>
      </c>
      <c r="P24" s="55" t="str">
        <f>IF($Q24="","",INDEX(TRANSACTIONS_MASTER!$Z$5:$Z$1204,$Q24)&amp;"")</f>
        <v/>
      </c>
      <c r="Q24" s="67" t="str">
        <f>IFERROR(MATCH($C$2&amp;"|"&amp;17,TRANSACTIONS_MASTER!$AE$5:$AE$1204,0),"")</f>
        <v/>
      </c>
      <c r="S24" s="67" t="str">
        <f>IFERROR(MATCH(17,CASHBACK_RULES!$S$5:$S$304,0),"")</f>
        <v/>
      </c>
      <c r="T24" s="55" t="str">
        <f>IF($S24="","",INDEX(CASHBACK_RULES!$B$5:$B$304,$S24))</f>
        <v/>
      </c>
      <c r="U24" s="55" t="str">
        <f>IF($S24="","",INDEX(CASHBACK_RULES!$C$5:$C$304,$S24)&amp;" "&amp;INDEX(CASHBACK_RULES!$D$5:$D$304,$S24))</f>
        <v/>
      </c>
      <c r="V24" s="55" t="str">
        <f>IF($S24="","",INDEX(CASHBACK_RULES!$E$5:$E$304,$S24)&amp;"")</f>
        <v/>
      </c>
      <c r="W24" s="55" t="str">
        <f>IF($S24="","",INDEX(CASHBACK_RULES!$F$5:$F$304,$S24)&amp;"")</f>
        <v/>
      </c>
      <c r="X24" s="26" t="str">
        <f>IF($S24="","",SUMIFS(TRANSACTIONS_MASTER!$Q$5:$Q$1204,TRANSACTIONS_MASTER!$D$5:$D$1204,$T24,TRANSACTIONS_MASTER!$Z$5:$Z$1204,$V24,TRANSACTIONS_MASTER!$C$5:$C$1204,$C$2))</f>
        <v/>
      </c>
      <c r="Y24" s="25" t="str">
        <f>IF($S24="","",IF(ISNUMBER(INDEX(CASHBACK_RULES!$J$5:$J$304,$S24)),INDEX(CASHBACK_RULES!$J$5:$J$304,$S24),"∞"))</f>
        <v/>
      </c>
      <c r="Z24" s="25" t="str">
        <f>IF($S24="","",IF(ISNUMBER($Y24),MAX(0,$Y24-$X24),"∞"))</f>
        <v/>
      </c>
      <c r="AA24" s="27" t="str">
        <f>IF($S24="","",IF(ISNUMBER($Y24),IF($Y24=0,0,$X24/$Y24),""))</f>
        <v/>
      </c>
    </row>
    <row r="25" ht="20" customHeight="1">
      <c r="A25" s="81" t="str">
        <f>IF($Q25="","",18)</f>
        <v/>
      </c>
      <c r="B25" s="57" t="str">
        <f>IF($Q25="","",INDEX(TRANSACTIONS_MASTER!$B$5:$B$1204,$Q25))</f>
        <v/>
      </c>
      <c r="C25" s="55" t="str">
        <f>IF($Q25="","",INDEX(TRANSACTIONS_MASTER!$F$5:$F$1204,$Q25))</f>
        <v/>
      </c>
      <c r="D25" s="55" t="str">
        <f>IF($Q25="","",INDEX(TRANSACTIONS_MASTER!$E$5:$E$1204,$Q25))</f>
        <v/>
      </c>
      <c r="E25" s="55" t="str">
        <f>IF($Q25="","",INDEX(TRANSACTIONS_MASTER!$G$5:$G$1204,$Q25)&amp;"")</f>
        <v/>
      </c>
      <c r="F25" s="29" t="str">
        <f>IF($Q25="","",INDEX(TRANSACTIONS_MASTER!$I$5:$I$1204,$Q25))</f>
        <v/>
      </c>
      <c r="G25" s="55" t="str">
        <f>IF($Q25="","",INDEX(TRANSACTIONS_MASTER!$K$5:$K$1204,$Q25))</f>
        <v/>
      </c>
      <c r="H25" s="25" t="str">
        <f>IF($Q25="","",INDEX(TRANSACTIONS_MASTER!$L$5:$L$1204,$Q25))</f>
        <v/>
      </c>
      <c r="I25" s="56" t="str">
        <f>IF($Q25="","",INDEX(TRANSACTIONS_MASTER!$N$5:$N$1204,$Q25))</f>
        <v/>
      </c>
      <c r="J25" s="25" t="str">
        <f>IF($Q25="","",INDEX(TRANSACTIONS_MASTER!$O$5:$O$1204,$Q25))</f>
        <v/>
      </c>
      <c r="K25" s="26" t="str">
        <f>IF($Q25="","",INDEX(TRANSACTIONS_MASTER!$Q$5:$Q$1204,$Q25))</f>
        <v/>
      </c>
      <c r="L25" s="25" t="str">
        <f>IF($Q25="","",INDEX(TRANSACTIONS_MASTER!$P$5:$P$1204,$Q25))</f>
        <v/>
      </c>
      <c r="M25" s="25" t="str">
        <f>IF($Q25="","",INDEX(TRANSACTIONS_MASTER!$AA$5:$AA$1204,$Q25))</f>
        <v/>
      </c>
      <c r="N25" s="25" t="str">
        <f>IF($Q25="","",INDEX(TRANSACTIONS_MASTER!$R$5:$R$1204,$Q25))</f>
        <v/>
      </c>
      <c r="O25" s="28" t="str">
        <f>IF($Q25="","",INDEX(TRANSACTIONS_MASTER!$AB$5:$AB$1204,$Q25))</f>
        <v/>
      </c>
      <c r="P25" s="55" t="str">
        <f>IF($Q25="","",INDEX(TRANSACTIONS_MASTER!$Z$5:$Z$1204,$Q25)&amp;"")</f>
        <v/>
      </c>
      <c r="Q25" s="67" t="str">
        <f>IFERROR(MATCH($C$2&amp;"|"&amp;18,TRANSACTIONS_MASTER!$AE$5:$AE$1204,0),"")</f>
        <v/>
      </c>
      <c r="S25" s="67" t="str">
        <f>IFERROR(MATCH(18,CASHBACK_RULES!$S$5:$S$304,0),"")</f>
        <v/>
      </c>
      <c r="T25" s="55" t="str">
        <f>IF($S25="","",INDEX(CASHBACK_RULES!$B$5:$B$304,$S25))</f>
        <v/>
      </c>
      <c r="U25" s="55" t="str">
        <f>IF($S25="","",INDEX(CASHBACK_RULES!$C$5:$C$304,$S25)&amp;" "&amp;INDEX(CASHBACK_RULES!$D$5:$D$304,$S25))</f>
        <v/>
      </c>
      <c r="V25" s="55" t="str">
        <f>IF($S25="","",INDEX(CASHBACK_RULES!$E$5:$E$304,$S25)&amp;"")</f>
        <v/>
      </c>
      <c r="W25" s="55" t="str">
        <f>IF($S25="","",INDEX(CASHBACK_RULES!$F$5:$F$304,$S25)&amp;"")</f>
        <v/>
      </c>
      <c r="X25" s="26" t="str">
        <f>IF($S25="","",SUMIFS(TRANSACTIONS_MASTER!$Q$5:$Q$1204,TRANSACTIONS_MASTER!$D$5:$D$1204,$T25,TRANSACTIONS_MASTER!$Z$5:$Z$1204,$V25,TRANSACTIONS_MASTER!$C$5:$C$1204,$C$2))</f>
        <v/>
      </c>
      <c r="Y25" s="25" t="str">
        <f>IF($S25="","",IF(ISNUMBER(INDEX(CASHBACK_RULES!$J$5:$J$304,$S25)),INDEX(CASHBACK_RULES!$J$5:$J$304,$S25),"∞"))</f>
        <v/>
      </c>
      <c r="Z25" s="25" t="str">
        <f>IF($S25="","",IF(ISNUMBER($Y25),MAX(0,$Y25-$X25),"∞"))</f>
        <v/>
      </c>
      <c r="AA25" s="27" t="str">
        <f>IF($S25="","",IF(ISNUMBER($Y25),IF($Y25=0,0,$X25/$Y25),""))</f>
        <v/>
      </c>
    </row>
    <row r="26" ht="20" customHeight="1">
      <c r="A26" s="81" t="str">
        <f>IF($Q26="","",19)</f>
        <v/>
      </c>
      <c r="B26" s="57" t="str">
        <f>IF($Q26="","",INDEX(TRANSACTIONS_MASTER!$B$5:$B$1204,$Q26))</f>
        <v/>
      </c>
      <c r="C26" s="55" t="str">
        <f>IF($Q26="","",INDEX(TRANSACTIONS_MASTER!$F$5:$F$1204,$Q26))</f>
        <v/>
      </c>
      <c r="D26" s="55" t="str">
        <f>IF($Q26="","",INDEX(TRANSACTIONS_MASTER!$E$5:$E$1204,$Q26))</f>
        <v/>
      </c>
      <c r="E26" s="55" t="str">
        <f>IF($Q26="","",INDEX(TRANSACTIONS_MASTER!$G$5:$G$1204,$Q26)&amp;"")</f>
        <v/>
      </c>
      <c r="F26" s="29" t="str">
        <f>IF($Q26="","",INDEX(TRANSACTIONS_MASTER!$I$5:$I$1204,$Q26))</f>
        <v/>
      </c>
      <c r="G26" s="55" t="str">
        <f>IF($Q26="","",INDEX(TRANSACTIONS_MASTER!$K$5:$K$1204,$Q26))</f>
        <v/>
      </c>
      <c r="H26" s="25" t="str">
        <f>IF($Q26="","",INDEX(TRANSACTIONS_MASTER!$L$5:$L$1204,$Q26))</f>
        <v/>
      </c>
      <c r="I26" s="56" t="str">
        <f>IF($Q26="","",INDEX(TRANSACTIONS_MASTER!$N$5:$N$1204,$Q26))</f>
        <v/>
      </c>
      <c r="J26" s="25" t="str">
        <f>IF($Q26="","",INDEX(TRANSACTIONS_MASTER!$O$5:$O$1204,$Q26))</f>
        <v/>
      </c>
      <c r="K26" s="26" t="str">
        <f>IF($Q26="","",INDEX(TRANSACTIONS_MASTER!$Q$5:$Q$1204,$Q26))</f>
        <v/>
      </c>
      <c r="L26" s="25" t="str">
        <f>IF($Q26="","",INDEX(TRANSACTIONS_MASTER!$P$5:$P$1204,$Q26))</f>
        <v/>
      </c>
      <c r="M26" s="25" t="str">
        <f>IF($Q26="","",INDEX(TRANSACTIONS_MASTER!$AA$5:$AA$1204,$Q26))</f>
        <v/>
      </c>
      <c r="N26" s="25" t="str">
        <f>IF($Q26="","",INDEX(TRANSACTIONS_MASTER!$R$5:$R$1204,$Q26))</f>
        <v/>
      </c>
      <c r="O26" s="28" t="str">
        <f>IF($Q26="","",INDEX(TRANSACTIONS_MASTER!$AB$5:$AB$1204,$Q26))</f>
        <v/>
      </c>
      <c r="P26" s="55" t="str">
        <f>IF($Q26="","",INDEX(TRANSACTIONS_MASTER!$Z$5:$Z$1204,$Q26)&amp;"")</f>
        <v/>
      </c>
      <c r="Q26" s="67" t="str">
        <f>IFERROR(MATCH($C$2&amp;"|"&amp;19,TRANSACTIONS_MASTER!$AE$5:$AE$1204,0),"")</f>
        <v/>
      </c>
      <c r="S26" s="67" t="str">
        <f>IFERROR(MATCH(19,CASHBACK_RULES!$S$5:$S$304,0),"")</f>
        <v/>
      </c>
      <c r="T26" s="55" t="str">
        <f>IF($S26="","",INDEX(CASHBACK_RULES!$B$5:$B$304,$S26))</f>
        <v/>
      </c>
      <c r="U26" s="55" t="str">
        <f>IF($S26="","",INDEX(CASHBACK_RULES!$C$5:$C$304,$S26)&amp;" "&amp;INDEX(CASHBACK_RULES!$D$5:$D$304,$S26))</f>
        <v/>
      </c>
      <c r="V26" s="55" t="str">
        <f>IF($S26="","",INDEX(CASHBACK_RULES!$E$5:$E$304,$S26)&amp;"")</f>
        <v/>
      </c>
      <c r="W26" s="55" t="str">
        <f>IF($S26="","",INDEX(CASHBACK_RULES!$F$5:$F$304,$S26)&amp;"")</f>
        <v/>
      </c>
      <c r="X26" s="26" t="str">
        <f>IF($S26="","",SUMIFS(TRANSACTIONS_MASTER!$Q$5:$Q$1204,TRANSACTIONS_MASTER!$D$5:$D$1204,$T26,TRANSACTIONS_MASTER!$Z$5:$Z$1204,$V26,TRANSACTIONS_MASTER!$C$5:$C$1204,$C$2))</f>
        <v/>
      </c>
      <c r="Y26" s="25" t="str">
        <f>IF($S26="","",IF(ISNUMBER(INDEX(CASHBACK_RULES!$J$5:$J$304,$S26)),INDEX(CASHBACK_RULES!$J$5:$J$304,$S26),"∞"))</f>
        <v/>
      </c>
      <c r="Z26" s="25" t="str">
        <f>IF($S26="","",IF(ISNUMBER($Y26),MAX(0,$Y26-$X26),"∞"))</f>
        <v/>
      </c>
      <c r="AA26" s="27" t="str">
        <f>IF($S26="","",IF(ISNUMBER($Y26),IF($Y26=0,0,$X26/$Y26),""))</f>
        <v/>
      </c>
    </row>
    <row r="27" ht="20" customHeight="1">
      <c r="A27" s="81" t="str">
        <f>IF($Q27="","",20)</f>
        <v/>
      </c>
      <c r="B27" s="57" t="str">
        <f>IF($Q27="","",INDEX(TRANSACTIONS_MASTER!$B$5:$B$1204,$Q27))</f>
        <v/>
      </c>
      <c r="C27" s="55" t="str">
        <f>IF($Q27="","",INDEX(TRANSACTIONS_MASTER!$F$5:$F$1204,$Q27))</f>
        <v/>
      </c>
      <c r="D27" s="55" t="str">
        <f>IF($Q27="","",INDEX(TRANSACTIONS_MASTER!$E$5:$E$1204,$Q27))</f>
        <v/>
      </c>
      <c r="E27" s="55" t="str">
        <f>IF($Q27="","",INDEX(TRANSACTIONS_MASTER!$G$5:$G$1204,$Q27)&amp;"")</f>
        <v/>
      </c>
      <c r="F27" s="29" t="str">
        <f>IF($Q27="","",INDEX(TRANSACTIONS_MASTER!$I$5:$I$1204,$Q27))</f>
        <v/>
      </c>
      <c r="G27" s="55" t="str">
        <f>IF($Q27="","",INDEX(TRANSACTIONS_MASTER!$K$5:$K$1204,$Q27))</f>
        <v/>
      </c>
      <c r="H27" s="25" t="str">
        <f>IF($Q27="","",INDEX(TRANSACTIONS_MASTER!$L$5:$L$1204,$Q27))</f>
        <v/>
      </c>
      <c r="I27" s="56" t="str">
        <f>IF($Q27="","",INDEX(TRANSACTIONS_MASTER!$N$5:$N$1204,$Q27))</f>
        <v/>
      </c>
      <c r="J27" s="25" t="str">
        <f>IF($Q27="","",INDEX(TRANSACTIONS_MASTER!$O$5:$O$1204,$Q27))</f>
        <v/>
      </c>
      <c r="K27" s="26" t="str">
        <f>IF($Q27="","",INDEX(TRANSACTIONS_MASTER!$Q$5:$Q$1204,$Q27))</f>
        <v/>
      </c>
      <c r="L27" s="25" t="str">
        <f>IF($Q27="","",INDEX(TRANSACTIONS_MASTER!$P$5:$P$1204,$Q27))</f>
        <v/>
      </c>
      <c r="M27" s="25" t="str">
        <f>IF($Q27="","",INDEX(TRANSACTIONS_MASTER!$AA$5:$AA$1204,$Q27))</f>
        <v/>
      </c>
      <c r="N27" s="25" t="str">
        <f>IF($Q27="","",INDEX(TRANSACTIONS_MASTER!$R$5:$R$1204,$Q27))</f>
        <v/>
      </c>
      <c r="O27" s="28" t="str">
        <f>IF($Q27="","",INDEX(TRANSACTIONS_MASTER!$AB$5:$AB$1204,$Q27))</f>
        <v/>
      </c>
      <c r="P27" s="55" t="str">
        <f>IF($Q27="","",INDEX(TRANSACTIONS_MASTER!$Z$5:$Z$1204,$Q27)&amp;"")</f>
        <v/>
      </c>
      <c r="Q27" s="67" t="str">
        <f>IFERROR(MATCH($C$2&amp;"|"&amp;20,TRANSACTIONS_MASTER!$AE$5:$AE$1204,0),"")</f>
        <v/>
      </c>
      <c r="S27" s="67" t="str">
        <f>IFERROR(MATCH(20,CASHBACK_RULES!$S$5:$S$304,0),"")</f>
        <v/>
      </c>
      <c r="T27" s="55" t="str">
        <f>IF($S27="","",INDEX(CASHBACK_RULES!$B$5:$B$304,$S27))</f>
        <v/>
      </c>
      <c r="U27" s="55" t="str">
        <f>IF($S27="","",INDEX(CASHBACK_RULES!$C$5:$C$304,$S27)&amp;" "&amp;INDEX(CASHBACK_RULES!$D$5:$D$304,$S27))</f>
        <v/>
      </c>
      <c r="V27" s="55" t="str">
        <f>IF($S27="","",INDEX(CASHBACK_RULES!$E$5:$E$304,$S27)&amp;"")</f>
        <v/>
      </c>
      <c r="W27" s="55" t="str">
        <f>IF($S27="","",INDEX(CASHBACK_RULES!$F$5:$F$304,$S27)&amp;"")</f>
        <v/>
      </c>
      <c r="X27" s="26" t="str">
        <f>IF($S27="","",SUMIFS(TRANSACTIONS_MASTER!$Q$5:$Q$1204,TRANSACTIONS_MASTER!$D$5:$D$1204,$T27,TRANSACTIONS_MASTER!$Z$5:$Z$1204,$V27,TRANSACTIONS_MASTER!$C$5:$C$1204,$C$2))</f>
        <v/>
      </c>
      <c r="Y27" s="25" t="str">
        <f>IF($S27="","",IF(ISNUMBER(INDEX(CASHBACK_RULES!$J$5:$J$304,$S27)),INDEX(CASHBACK_RULES!$J$5:$J$304,$S27),"∞"))</f>
        <v/>
      </c>
      <c r="Z27" s="25" t="str">
        <f>IF($S27="","",IF(ISNUMBER($Y27),MAX(0,$Y27-$X27),"∞"))</f>
        <v/>
      </c>
      <c r="AA27" s="27" t="str">
        <f>IF($S27="","",IF(ISNUMBER($Y27),IF($Y27=0,0,$X27/$Y27),""))</f>
        <v/>
      </c>
    </row>
    <row r="28" ht="20" customHeight="1">
      <c r="A28" s="81" t="str">
        <f>IF($Q28="","",21)</f>
        <v/>
      </c>
      <c r="B28" s="57" t="str">
        <f>IF($Q28="","",INDEX(TRANSACTIONS_MASTER!$B$5:$B$1204,$Q28))</f>
        <v/>
      </c>
      <c r="C28" s="55" t="str">
        <f>IF($Q28="","",INDEX(TRANSACTIONS_MASTER!$F$5:$F$1204,$Q28))</f>
        <v/>
      </c>
      <c r="D28" s="55" t="str">
        <f>IF($Q28="","",INDEX(TRANSACTIONS_MASTER!$E$5:$E$1204,$Q28))</f>
        <v/>
      </c>
      <c r="E28" s="55" t="str">
        <f>IF($Q28="","",INDEX(TRANSACTIONS_MASTER!$G$5:$G$1204,$Q28)&amp;"")</f>
        <v/>
      </c>
      <c r="F28" s="29" t="str">
        <f>IF($Q28="","",INDEX(TRANSACTIONS_MASTER!$I$5:$I$1204,$Q28))</f>
        <v/>
      </c>
      <c r="G28" s="55" t="str">
        <f>IF($Q28="","",INDEX(TRANSACTIONS_MASTER!$K$5:$K$1204,$Q28))</f>
        <v/>
      </c>
      <c r="H28" s="25" t="str">
        <f>IF($Q28="","",INDEX(TRANSACTIONS_MASTER!$L$5:$L$1204,$Q28))</f>
        <v/>
      </c>
      <c r="I28" s="56" t="str">
        <f>IF($Q28="","",INDEX(TRANSACTIONS_MASTER!$N$5:$N$1204,$Q28))</f>
        <v/>
      </c>
      <c r="J28" s="25" t="str">
        <f>IF($Q28="","",INDEX(TRANSACTIONS_MASTER!$O$5:$O$1204,$Q28))</f>
        <v/>
      </c>
      <c r="K28" s="26" t="str">
        <f>IF($Q28="","",INDEX(TRANSACTIONS_MASTER!$Q$5:$Q$1204,$Q28))</f>
        <v/>
      </c>
      <c r="L28" s="25" t="str">
        <f>IF($Q28="","",INDEX(TRANSACTIONS_MASTER!$P$5:$P$1204,$Q28))</f>
        <v/>
      </c>
      <c r="M28" s="25" t="str">
        <f>IF($Q28="","",INDEX(TRANSACTIONS_MASTER!$AA$5:$AA$1204,$Q28))</f>
        <v/>
      </c>
      <c r="N28" s="25" t="str">
        <f>IF($Q28="","",INDEX(TRANSACTIONS_MASTER!$R$5:$R$1204,$Q28))</f>
        <v/>
      </c>
      <c r="O28" s="28" t="str">
        <f>IF($Q28="","",INDEX(TRANSACTIONS_MASTER!$AB$5:$AB$1204,$Q28))</f>
        <v/>
      </c>
      <c r="P28" s="55" t="str">
        <f>IF($Q28="","",INDEX(TRANSACTIONS_MASTER!$Z$5:$Z$1204,$Q28)&amp;"")</f>
        <v/>
      </c>
      <c r="Q28" s="67" t="str">
        <f>IFERROR(MATCH($C$2&amp;"|"&amp;21,TRANSACTIONS_MASTER!$AE$5:$AE$1204,0),"")</f>
        <v/>
      </c>
      <c r="S28" s="67" t="str">
        <f>IFERROR(MATCH(21,CASHBACK_RULES!$S$5:$S$304,0),"")</f>
        <v/>
      </c>
      <c r="T28" s="55" t="str">
        <f>IF($S28="","",INDEX(CASHBACK_RULES!$B$5:$B$304,$S28))</f>
        <v/>
      </c>
      <c r="U28" s="55" t="str">
        <f>IF($S28="","",INDEX(CASHBACK_RULES!$C$5:$C$304,$S28)&amp;" "&amp;INDEX(CASHBACK_RULES!$D$5:$D$304,$S28))</f>
        <v/>
      </c>
      <c r="V28" s="55" t="str">
        <f>IF($S28="","",INDEX(CASHBACK_RULES!$E$5:$E$304,$S28)&amp;"")</f>
        <v/>
      </c>
      <c r="W28" s="55" t="str">
        <f>IF($S28="","",INDEX(CASHBACK_RULES!$F$5:$F$304,$S28)&amp;"")</f>
        <v/>
      </c>
      <c r="X28" s="26" t="str">
        <f>IF($S28="","",SUMIFS(TRANSACTIONS_MASTER!$Q$5:$Q$1204,TRANSACTIONS_MASTER!$D$5:$D$1204,$T28,TRANSACTIONS_MASTER!$Z$5:$Z$1204,$V28,TRANSACTIONS_MASTER!$C$5:$C$1204,$C$2))</f>
        <v/>
      </c>
      <c r="Y28" s="25" t="str">
        <f>IF($S28="","",IF(ISNUMBER(INDEX(CASHBACK_RULES!$J$5:$J$304,$S28)),INDEX(CASHBACK_RULES!$J$5:$J$304,$S28),"∞"))</f>
        <v/>
      </c>
      <c r="Z28" s="25" t="str">
        <f>IF($S28="","",IF(ISNUMBER($Y28),MAX(0,$Y28-$X28),"∞"))</f>
        <v/>
      </c>
      <c r="AA28" s="27" t="str">
        <f>IF($S28="","",IF(ISNUMBER($Y28),IF($Y28=0,0,$X28/$Y28),""))</f>
        <v/>
      </c>
    </row>
    <row r="29" ht="20" customHeight="1">
      <c r="A29" s="81" t="str">
        <f>IF($Q29="","",22)</f>
        <v/>
      </c>
      <c r="B29" s="57" t="str">
        <f>IF($Q29="","",INDEX(TRANSACTIONS_MASTER!$B$5:$B$1204,$Q29))</f>
        <v/>
      </c>
      <c r="C29" s="55" t="str">
        <f>IF($Q29="","",INDEX(TRANSACTIONS_MASTER!$F$5:$F$1204,$Q29))</f>
        <v/>
      </c>
      <c r="D29" s="55" t="str">
        <f>IF($Q29="","",INDEX(TRANSACTIONS_MASTER!$E$5:$E$1204,$Q29))</f>
        <v/>
      </c>
      <c r="E29" s="55" t="str">
        <f>IF($Q29="","",INDEX(TRANSACTIONS_MASTER!$G$5:$G$1204,$Q29)&amp;"")</f>
        <v/>
      </c>
      <c r="F29" s="29" t="str">
        <f>IF($Q29="","",INDEX(TRANSACTIONS_MASTER!$I$5:$I$1204,$Q29))</f>
        <v/>
      </c>
      <c r="G29" s="55" t="str">
        <f>IF($Q29="","",INDEX(TRANSACTIONS_MASTER!$K$5:$K$1204,$Q29))</f>
        <v/>
      </c>
      <c r="H29" s="25" t="str">
        <f>IF($Q29="","",INDEX(TRANSACTIONS_MASTER!$L$5:$L$1204,$Q29))</f>
        <v/>
      </c>
      <c r="I29" s="56" t="str">
        <f>IF($Q29="","",INDEX(TRANSACTIONS_MASTER!$N$5:$N$1204,$Q29))</f>
        <v/>
      </c>
      <c r="J29" s="25" t="str">
        <f>IF($Q29="","",INDEX(TRANSACTIONS_MASTER!$O$5:$O$1204,$Q29))</f>
        <v/>
      </c>
      <c r="K29" s="26" t="str">
        <f>IF($Q29="","",INDEX(TRANSACTIONS_MASTER!$Q$5:$Q$1204,$Q29))</f>
        <v/>
      </c>
      <c r="L29" s="25" t="str">
        <f>IF($Q29="","",INDEX(TRANSACTIONS_MASTER!$P$5:$P$1204,$Q29))</f>
        <v/>
      </c>
      <c r="M29" s="25" t="str">
        <f>IF($Q29="","",INDEX(TRANSACTIONS_MASTER!$AA$5:$AA$1204,$Q29))</f>
        <v/>
      </c>
      <c r="N29" s="25" t="str">
        <f>IF($Q29="","",INDEX(TRANSACTIONS_MASTER!$R$5:$R$1204,$Q29))</f>
        <v/>
      </c>
      <c r="O29" s="28" t="str">
        <f>IF($Q29="","",INDEX(TRANSACTIONS_MASTER!$AB$5:$AB$1204,$Q29))</f>
        <v/>
      </c>
      <c r="P29" s="55" t="str">
        <f>IF($Q29="","",INDEX(TRANSACTIONS_MASTER!$Z$5:$Z$1204,$Q29)&amp;"")</f>
        <v/>
      </c>
      <c r="Q29" s="67" t="str">
        <f>IFERROR(MATCH($C$2&amp;"|"&amp;22,TRANSACTIONS_MASTER!$AE$5:$AE$1204,0),"")</f>
        <v/>
      </c>
      <c r="S29" s="67" t="str">
        <f>IFERROR(MATCH(22,CASHBACK_RULES!$S$5:$S$304,0),"")</f>
        <v/>
      </c>
      <c r="T29" s="55" t="str">
        <f>IF($S29="","",INDEX(CASHBACK_RULES!$B$5:$B$304,$S29))</f>
        <v/>
      </c>
      <c r="U29" s="55" t="str">
        <f>IF($S29="","",INDEX(CASHBACK_RULES!$C$5:$C$304,$S29)&amp;" "&amp;INDEX(CASHBACK_RULES!$D$5:$D$304,$S29))</f>
        <v/>
      </c>
      <c r="V29" s="55" t="str">
        <f>IF($S29="","",INDEX(CASHBACK_RULES!$E$5:$E$304,$S29)&amp;"")</f>
        <v/>
      </c>
      <c r="W29" s="55" t="str">
        <f>IF($S29="","",INDEX(CASHBACK_RULES!$F$5:$F$304,$S29)&amp;"")</f>
        <v/>
      </c>
      <c r="X29" s="26" t="str">
        <f>IF($S29="","",SUMIFS(TRANSACTIONS_MASTER!$Q$5:$Q$1204,TRANSACTIONS_MASTER!$D$5:$D$1204,$T29,TRANSACTIONS_MASTER!$Z$5:$Z$1204,$V29,TRANSACTIONS_MASTER!$C$5:$C$1204,$C$2))</f>
        <v/>
      </c>
      <c r="Y29" s="25" t="str">
        <f>IF($S29="","",IF(ISNUMBER(INDEX(CASHBACK_RULES!$J$5:$J$304,$S29)),INDEX(CASHBACK_RULES!$J$5:$J$304,$S29),"∞"))</f>
        <v/>
      </c>
      <c r="Z29" s="25" t="str">
        <f>IF($S29="","",IF(ISNUMBER($Y29),MAX(0,$Y29-$X29),"∞"))</f>
        <v/>
      </c>
      <c r="AA29" s="27" t="str">
        <f>IF($S29="","",IF(ISNUMBER($Y29),IF($Y29=0,0,$X29/$Y29),""))</f>
        <v/>
      </c>
    </row>
    <row r="30" ht="20" customHeight="1">
      <c r="A30" s="81" t="str">
        <f>IF($Q30="","",23)</f>
        <v/>
      </c>
      <c r="B30" s="57" t="str">
        <f>IF($Q30="","",INDEX(TRANSACTIONS_MASTER!$B$5:$B$1204,$Q30))</f>
        <v/>
      </c>
      <c r="C30" s="55" t="str">
        <f>IF($Q30="","",INDEX(TRANSACTIONS_MASTER!$F$5:$F$1204,$Q30))</f>
        <v/>
      </c>
      <c r="D30" s="55" t="str">
        <f>IF($Q30="","",INDEX(TRANSACTIONS_MASTER!$E$5:$E$1204,$Q30))</f>
        <v/>
      </c>
      <c r="E30" s="55" t="str">
        <f>IF($Q30="","",INDEX(TRANSACTIONS_MASTER!$G$5:$G$1204,$Q30)&amp;"")</f>
        <v/>
      </c>
      <c r="F30" s="29" t="str">
        <f>IF($Q30="","",INDEX(TRANSACTIONS_MASTER!$I$5:$I$1204,$Q30))</f>
        <v/>
      </c>
      <c r="G30" s="55" t="str">
        <f>IF($Q30="","",INDEX(TRANSACTIONS_MASTER!$K$5:$K$1204,$Q30))</f>
        <v/>
      </c>
      <c r="H30" s="25" t="str">
        <f>IF($Q30="","",INDEX(TRANSACTIONS_MASTER!$L$5:$L$1204,$Q30))</f>
        <v/>
      </c>
      <c r="I30" s="56" t="str">
        <f>IF($Q30="","",INDEX(TRANSACTIONS_MASTER!$N$5:$N$1204,$Q30))</f>
        <v/>
      </c>
      <c r="J30" s="25" t="str">
        <f>IF($Q30="","",INDEX(TRANSACTIONS_MASTER!$O$5:$O$1204,$Q30))</f>
        <v/>
      </c>
      <c r="K30" s="26" t="str">
        <f>IF($Q30="","",INDEX(TRANSACTIONS_MASTER!$Q$5:$Q$1204,$Q30))</f>
        <v/>
      </c>
      <c r="L30" s="25" t="str">
        <f>IF($Q30="","",INDEX(TRANSACTIONS_MASTER!$P$5:$P$1204,$Q30))</f>
        <v/>
      </c>
      <c r="M30" s="25" t="str">
        <f>IF($Q30="","",INDEX(TRANSACTIONS_MASTER!$AA$5:$AA$1204,$Q30))</f>
        <v/>
      </c>
      <c r="N30" s="25" t="str">
        <f>IF($Q30="","",INDEX(TRANSACTIONS_MASTER!$R$5:$R$1204,$Q30))</f>
        <v/>
      </c>
      <c r="O30" s="28" t="str">
        <f>IF($Q30="","",INDEX(TRANSACTIONS_MASTER!$AB$5:$AB$1204,$Q30))</f>
        <v/>
      </c>
      <c r="P30" s="55" t="str">
        <f>IF($Q30="","",INDEX(TRANSACTIONS_MASTER!$Z$5:$Z$1204,$Q30)&amp;"")</f>
        <v/>
      </c>
      <c r="Q30" s="67" t="str">
        <f>IFERROR(MATCH($C$2&amp;"|"&amp;23,TRANSACTIONS_MASTER!$AE$5:$AE$1204,0),"")</f>
        <v/>
      </c>
      <c r="S30" s="67" t="str">
        <f>IFERROR(MATCH(23,CASHBACK_RULES!$S$5:$S$304,0),"")</f>
        <v/>
      </c>
      <c r="T30" s="55" t="str">
        <f>IF($S30="","",INDEX(CASHBACK_RULES!$B$5:$B$304,$S30))</f>
        <v/>
      </c>
      <c r="U30" s="55" t="str">
        <f>IF($S30="","",INDEX(CASHBACK_RULES!$C$5:$C$304,$S30)&amp;" "&amp;INDEX(CASHBACK_RULES!$D$5:$D$304,$S30))</f>
        <v/>
      </c>
      <c r="V30" s="55" t="str">
        <f>IF($S30="","",INDEX(CASHBACK_RULES!$E$5:$E$304,$S30)&amp;"")</f>
        <v/>
      </c>
      <c r="W30" s="55" t="str">
        <f>IF($S30="","",INDEX(CASHBACK_RULES!$F$5:$F$304,$S30)&amp;"")</f>
        <v/>
      </c>
      <c r="X30" s="26" t="str">
        <f>IF($S30="","",SUMIFS(TRANSACTIONS_MASTER!$Q$5:$Q$1204,TRANSACTIONS_MASTER!$D$5:$D$1204,$T30,TRANSACTIONS_MASTER!$Z$5:$Z$1204,$V30,TRANSACTIONS_MASTER!$C$5:$C$1204,$C$2))</f>
        <v/>
      </c>
      <c r="Y30" s="25" t="str">
        <f>IF($S30="","",IF(ISNUMBER(INDEX(CASHBACK_RULES!$J$5:$J$304,$S30)),INDEX(CASHBACK_RULES!$J$5:$J$304,$S30),"∞"))</f>
        <v/>
      </c>
      <c r="Z30" s="25" t="str">
        <f>IF($S30="","",IF(ISNUMBER($Y30),MAX(0,$Y30-$X30),"∞"))</f>
        <v/>
      </c>
      <c r="AA30" s="27" t="str">
        <f>IF($S30="","",IF(ISNUMBER($Y30),IF($Y30=0,0,$X30/$Y30),""))</f>
        <v/>
      </c>
    </row>
    <row r="31" ht="20" customHeight="1">
      <c r="A31" s="81" t="str">
        <f>IF($Q31="","",24)</f>
        <v/>
      </c>
      <c r="B31" s="57" t="str">
        <f>IF($Q31="","",INDEX(TRANSACTIONS_MASTER!$B$5:$B$1204,$Q31))</f>
        <v/>
      </c>
      <c r="C31" s="55" t="str">
        <f>IF($Q31="","",INDEX(TRANSACTIONS_MASTER!$F$5:$F$1204,$Q31))</f>
        <v/>
      </c>
      <c r="D31" s="55" t="str">
        <f>IF($Q31="","",INDEX(TRANSACTIONS_MASTER!$E$5:$E$1204,$Q31))</f>
        <v/>
      </c>
      <c r="E31" s="55" t="str">
        <f>IF($Q31="","",INDEX(TRANSACTIONS_MASTER!$G$5:$G$1204,$Q31)&amp;"")</f>
        <v/>
      </c>
      <c r="F31" s="29" t="str">
        <f>IF($Q31="","",INDEX(TRANSACTIONS_MASTER!$I$5:$I$1204,$Q31))</f>
        <v/>
      </c>
      <c r="G31" s="55" t="str">
        <f>IF($Q31="","",INDEX(TRANSACTIONS_MASTER!$K$5:$K$1204,$Q31))</f>
        <v/>
      </c>
      <c r="H31" s="25" t="str">
        <f>IF($Q31="","",INDEX(TRANSACTIONS_MASTER!$L$5:$L$1204,$Q31))</f>
        <v/>
      </c>
      <c r="I31" s="56" t="str">
        <f>IF($Q31="","",INDEX(TRANSACTIONS_MASTER!$N$5:$N$1204,$Q31))</f>
        <v/>
      </c>
      <c r="J31" s="25" t="str">
        <f>IF($Q31="","",INDEX(TRANSACTIONS_MASTER!$O$5:$O$1204,$Q31))</f>
        <v/>
      </c>
      <c r="K31" s="26" t="str">
        <f>IF($Q31="","",INDEX(TRANSACTIONS_MASTER!$Q$5:$Q$1204,$Q31))</f>
        <v/>
      </c>
      <c r="L31" s="25" t="str">
        <f>IF($Q31="","",INDEX(TRANSACTIONS_MASTER!$P$5:$P$1204,$Q31))</f>
        <v/>
      </c>
      <c r="M31" s="25" t="str">
        <f>IF($Q31="","",INDEX(TRANSACTIONS_MASTER!$AA$5:$AA$1204,$Q31))</f>
        <v/>
      </c>
      <c r="N31" s="25" t="str">
        <f>IF($Q31="","",INDEX(TRANSACTIONS_MASTER!$R$5:$R$1204,$Q31))</f>
        <v/>
      </c>
      <c r="O31" s="28" t="str">
        <f>IF($Q31="","",INDEX(TRANSACTIONS_MASTER!$AB$5:$AB$1204,$Q31))</f>
        <v/>
      </c>
      <c r="P31" s="55" t="str">
        <f>IF($Q31="","",INDEX(TRANSACTIONS_MASTER!$Z$5:$Z$1204,$Q31)&amp;"")</f>
        <v/>
      </c>
      <c r="Q31" s="67" t="str">
        <f>IFERROR(MATCH($C$2&amp;"|"&amp;24,TRANSACTIONS_MASTER!$AE$5:$AE$1204,0),"")</f>
        <v/>
      </c>
      <c r="S31" s="67" t="str">
        <f>IFERROR(MATCH(24,CASHBACK_RULES!$S$5:$S$304,0),"")</f>
        <v/>
      </c>
      <c r="T31" s="55" t="str">
        <f>IF($S31="","",INDEX(CASHBACK_RULES!$B$5:$B$304,$S31))</f>
        <v/>
      </c>
      <c r="U31" s="55" t="str">
        <f>IF($S31="","",INDEX(CASHBACK_RULES!$C$5:$C$304,$S31)&amp;" "&amp;INDEX(CASHBACK_RULES!$D$5:$D$304,$S31))</f>
        <v/>
      </c>
      <c r="V31" s="55" t="str">
        <f>IF($S31="","",INDEX(CASHBACK_RULES!$E$5:$E$304,$S31)&amp;"")</f>
        <v/>
      </c>
      <c r="W31" s="55" t="str">
        <f>IF($S31="","",INDEX(CASHBACK_RULES!$F$5:$F$304,$S31)&amp;"")</f>
        <v/>
      </c>
      <c r="X31" s="26" t="str">
        <f>IF($S31="","",SUMIFS(TRANSACTIONS_MASTER!$Q$5:$Q$1204,TRANSACTIONS_MASTER!$D$5:$D$1204,$T31,TRANSACTIONS_MASTER!$Z$5:$Z$1204,$V31,TRANSACTIONS_MASTER!$C$5:$C$1204,$C$2))</f>
        <v/>
      </c>
      <c r="Y31" s="25" t="str">
        <f>IF($S31="","",IF(ISNUMBER(INDEX(CASHBACK_RULES!$J$5:$J$304,$S31)),INDEX(CASHBACK_RULES!$J$5:$J$304,$S31),"∞"))</f>
        <v/>
      </c>
      <c r="Z31" s="25" t="str">
        <f>IF($S31="","",IF(ISNUMBER($Y31),MAX(0,$Y31-$X31),"∞"))</f>
        <v/>
      </c>
      <c r="AA31" s="27" t="str">
        <f>IF($S31="","",IF(ISNUMBER($Y31),IF($Y31=0,0,$X31/$Y31),""))</f>
        <v/>
      </c>
    </row>
    <row r="32" ht="20" customHeight="1">
      <c r="A32" s="81" t="str">
        <f>IF($Q32="","",25)</f>
        <v/>
      </c>
      <c r="B32" s="57" t="str">
        <f>IF($Q32="","",INDEX(TRANSACTIONS_MASTER!$B$5:$B$1204,$Q32))</f>
        <v/>
      </c>
      <c r="C32" s="55" t="str">
        <f>IF($Q32="","",INDEX(TRANSACTIONS_MASTER!$F$5:$F$1204,$Q32))</f>
        <v/>
      </c>
      <c r="D32" s="55" t="str">
        <f>IF($Q32="","",INDEX(TRANSACTIONS_MASTER!$E$5:$E$1204,$Q32))</f>
        <v/>
      </c>
      <c r="E32" s="55" t="str">
        <f>IF($Q32="","",INDEX(TRANSACTIONS_MASTER!$G$5:$G$1204,$Q32)&amp;"")</f>
        <v/>
      </c>
      <c r="F32" s="29" t="str">
        <f>IF($Q32="","",INDEX(TRANSACTIONS_MASTER!$I$5:$I$1204,$Q32))</f>
        <v/>
      </c>
      <c r="G32" s="55" t="str">
        <f>IF($Q32="","",INDEX(TRANSACTIONS_MASTER!$K$5:$K$1204,$Q32))</f>
        <v/>
      </c>
      <c r="H32" s="25" t="str">
        <f>IF($Q32="","",INDEX(TRANSACTIONS_MASTER!$L$5:$L$1204,$Q32))</f>
        <v/>
      </c>
      <c r="I32" s="56" t="str">
        <f>IF($Q32="","",INDEX(TRANSACTIONS_MASTER!$N$5:$N$1204,$Q32))</f>
        <v/>
      </c>
      <c r="J32" s="25" t="str">
        <f>IF($Q32="","",INDEX(TRANSACTIONS_MASTER!$O$5:$O$1204,$Q32))</f>
        <v/>
      </c>
      <c r="K32" s="26" t="str">
        <f>IF($Q32="","",INDEX(TRANSACTIONS_MASTER!$Q$5:$Q$1204,$Q32))</f>
        <v/>
      </c>
      <c r="L32" s="25" t="str">
        <f>IF($Q32="","",INDEX(TRANSACTIONS_MASTER!$P$5:$P$1204,$Q32))</f>
        <v/>
      </c>
      <c r="M32" s="25" t="str">
        <f>IF($Q32="","",INDEX(TRANSACTIONS_MASTER!$AA$5:$AA$1204,$Q32))</f>
        <v/>
      </c>
      <c r="N32" s="25" t="str">
        <f>IF($Q32="","",INDEX(TRANSACTIONS_MASTER!$R$5:$R$1204,$Q32))</f>
        <v/>
      </c>
      <c r="O32" s="28" t="str">
        <f>IF($Q32="","",INDEX(TRANSACTIONS_MASTER!$AB$5:$AB$1204,$Q32))</f>
        <v/>
      </c>
      <c r="P32" s="55" t="str">
        <f>IF($Q32="","",INDEX(TRANSACTIONS_MASTER!$Z$5:$Z$1204,$Q32)&amp;"")</f>
        <v/>
      </c>
      <c r="Q32" s="67" t="str">
        <f>IFERROR(MATCH($C$2&amp;"|"&amp;25,TRANSACTIONS_MASTER!$AE$5:$AE$1204,0),"")</f>
        <v/>
      </c>
      <c r="S32" s="67" t="str">
        <f>IFERROR(MATCH(25,CASHBACK_RULES!$S$5:$S$304,0),"")</f>
        <v/>
      </c>
      <c r="T32" s="55" t="str">
        <f>IF($S32="","",INDEX(CASHBACK_RULES!$B$5:$B$304,$S32))</f>
        <v/>
      </c>
      <c r="U32" s="55" t="str">
        <f>IF($S32="","",INDEX(CASHBACK_RULES!$C$5:$C$304,$S32)&amp;" "&amp;INDEX(CASHBACK_RULES!$D$5:$D$304,$S32))</f>
        <v/>
      </c>
      <c r="V32" s="55" t="str">
        <f>IF($S32="","",INDEX(CASHBACK_RULES!$E$5:$E$304,$S32)&amp;"")</f>
        <v/>
      </c>
      <c r="W32" s="55" t="str">
        <f>IF($S32="","",INDEX(CASHBACK_RULES!$F$5:$F$304,$S32)&amp;"")</f>
        <v/>
      </c>
      <c r="X32" s="26" t="str">
        <f>IF($S32="","",SUMIFS(TRANSACTIONS_MASTER!$Q$5:$Q$1204,TRANSACTIONS_MASTER!$D$5:$D$1204,$T32,TRANSACTIONS_MASTER!$Z$5:$Z$1204,$V32,TRANSACTIONS_MASTER!$C$5:$C$1204,$C$2))</f>
        <v/>
      </c>
      <c r="Y32" s="25" t="str">
        <f>IF($S32="","",IF(ISNUMBER(INDEX(CASHBACK_RULES!$J$5:$J$304,$S32)),INDEX(CASHBACK_RULES!$J$5:$J$304,$S32),"∞"))</f>
        <v/>
      </c>
      <c r="Z32" s="25" t="str">
        <f>IF($S32="","",IF(ISNUMBER($Y32),MAX(0,$Y32-$X32),"∞"))</f>
        <v/>
      </c>
      <c r="AA32" s="27" t="str">
        <f>IF($S32="","",IF(ISNUMBER($Y32),IF($Y32=0,0,$X32/$Y32),""))</f>
        <v/>
      </c>
    </row>
    <row r="33" ht="20" customHeight="1">
      <c r="A33" s="81" t="str">
        <f>IF($Q33="","",26)</f>
        <v/>
      </c>
      <c r="B33" s="57" t="str">
        <f>IF($Q33="","",INDEX(TRANSACTIONS_MASTER!$B$5:$B$1204,$Q33))</f>
        <v/>
      </c>
      <c r="C33" s="55" t="str">
        <f>IF($Q33="","",INDEX(TRANSACTIONS_MASTER!$F$5:$F$1204,$Q33))</f>
        <v/>
      </c>
      <c r="D33" s="55" t="str">
        <f>IF($Q33="","",INDEX(TRANSACTIONS_MASTER!$E$5:$E$1204,$Q33))</f>
        <v/>
      </c>
      <c r="E33" s="55" t="str">
        <f>IF($Q33="","",INDEX(TRANSACTIONS_MASTER!$G$5:$G$1204,$Q33)&amp;"")</f>
        <v/>
      </c>
      <c r="F33" s="29" t="str">
        <f>IF($Q33="","",INDEX(TRANSACTIONS_MASTER!$I$5:$I$1204,$Q33))</f>
        <v/>
      </c>
      <c r="G33" s="55" t="str">
        <f>IF($Q33="","",INDEX(TRANSACTIONS_MASTER!$K$5:$K$1204,$Q33))</f>
        <v/>
      </c>
      <c r="H33" s="25" t="str">
        <f>IF($Q33="","",INDEX(TRANSACTIONS_MASTER!$L$5:$L$1204,$Q33))</f>
        <v/>
      </c>
      <c r="I33" s="56" t="str">
        <f>IF($Q33="","",INDEX(TRANSACTIONS_MASTER!$N$5:$N$1204,$Q33))</f>
        <v/>
      </c>
      <c r="J33" s="25" t="str">
        <f>IF($Q33="","",INDEX(TRANSACTIONS_MASTER!$O$5:$O$1204,$Q33))</f>
        <v/>
      </c>
      <c r="K33" s="26" t="str">
        <f>IF($Q33="","",INDEX(TRANSACTIONS_MASTER!$Q$5:$Q$1204,$Q33))</f>
        <v/>
      </c>
      <c r="L33" s="25" t="str">
        <f>IF($Q33="","",INDEX(TRANSACTIONS_MASTER!$P$5:$P$1204,$Q33))</f>
        <v/>
      </c>
      <c r="M33" s="25" t="str">
        <f>IF($Q33="","",INDEX(TRANSACTIONS_MASTER!$AA$5:$AA$1204,$Q33))</f>
        <v/>
      </c>
      <c r="N33" s="25" t="str">
        <f>IF($Q33="","",INDEX(TRANSACTIONS_MASTER!$R$5:$R$1204,$Q33))</f>
        <v/>
      </c>
      <c r="O33" s="28" t="str">
        <f>IF($Q33="","",INDEX(TRANSACTIONS_MASTER!$AB$5:$AB$1204,$Q33))</f>
        <v/>
      </c>
      <c r="P33" s="55" t="str">
        <f>IF($Q33="","",INDEX(TRANSACTIONS_MASTER!$Z$5:$Z$1204,$Q33)&amp;"")</f>
        <v/>
      </c>
      <c r="Q33" s="67" t="str">
        <f>IFERROR(MATCH($C$2&amp;"|"&amp;26,TRANSACTIONS_MASTER!$AE$5:$AE$1204,0),"")</f>
        <v/>
      </c>
      <c r="S33" s="67" t="str">
        <f>IFERROR(MATCH(26,CASHBACK_RULES!$S$5:$S$304,0),"")</f>
        <v/>
      </c>
      <c r="T33" s="55" t="str">
        <f>IF($S33="","",INDEX(CASHBACK_RULES!$B$5:$B$304,$S33))</f>
        <v/>
      </c>
      <c r="U33" s="55" t="str">
        <f>IF($S33="","",INDEX(CASHBACK_RULES!$C$5:$C$304,$S33)&amp;" "&amp;INDEX(CASHBACK_RULES!$D$5:$D$304,$S33))</f>
        <v/>
      </c>
      <c r="V33" s="55" t="str">
        <f>IF($S33="","",INDEX(CASHBACK_RULES!$E$5:$E$304,$S33)&amp;"")</f>
        <v/>
      </c>
      <c r="W33" s="55" t="str">
        <f>IF($S33="","",INDEX(CASHBACK_RULES!$F$5:$F$304,$S33)&amp;"")</f>
        <v/>
      </c>
      <c r="X33" s="26" t="str">
        <f>IF($S33="","",SUMIFS(TRANSACTIONS_MASTER!$Q$5:$Q$1204,TRANSACTIONS_MASTER!$D$5:$D$1204,$T33,TRANSACTIONS_MASTER!$Z$5:$Z$1204,$V33,TRANSACTIONS_MASTER!$C$5:$C$1204,$C$2))</f>
        <v/>
      </c>
      <c r="Y33" s="25" t="str">
        <f>IF($S33="","",IF(ISNUMBER(INDEX(CASHBACK_RULES!$J$5:$J$304,$S33)),INDEX(CASHBACK_RULES!$J$5:$J$304,$S33),"∞"))</f>
        <v/>
      </c>
      <c r="Z33" s="25" t="str">
        <f>IF($S33="","",IF(ISNUMBER($Y33),MAX(0,$Y33-$X33),"∞"))</f>
        <v/>
      </c>
      <c r="AA33" s="27" t="str">
        <f>IF($S33="","",IF(ISNUMBER($Y33),IF($Y33=0,0,$X33/$Y33),""))</f>
        <v/>
      </c>
    </row>
    <row r="34" ht="20" customHeight="1">
      <c r="A34" s="81" t="str">
        <f>IF($Q34="","",27)</f>
        <v/>
      </c>
      <c r="B34" s="57" t="str">
        <f>IF($Q34="","",INDEX(TRANSACTIONS_MASTER!$B$5:$B$1204,$Q34))</f>
        <v/>
      </c>
      <c r="C34" s="55" t="str">
        <f>IF($Q34="","",INDEX(TRANSACTIONS_MASTER!$F$5:$F$1204,$Q34))</f>
        <v/>
      </c>
      <c r="D34" s="55" t="str">
        <f>IF($Q34="","",INDEX(TRANSACTIONS_MASTER!$E$5:$E$1204,$Q34))</f>
        <v/>
      </c>
      <c r="E34" s="55" t="str">
        <f>IF($Q34="","",INDEX(TRANSACTIONS_MASTER!$G$5:$G$1204,$Q34)&amp;"")</f>
        <v/>
      </c>
      <c r="F34" s="29" t="str">
        <f>IF($Q34="","",INDEX(TRANSACTIONS_MASTER!$I$5:$I$1204,$Q34))</f>
        <v/>
      </c>
      <c r="G34" s="55" t="str">
        <f>IF($Q34="","",INDEX(TRANSACTIONS_MASTER!$K$5:$K$1204,$Q34))</f>
        <v/>
      </c>
      <c r="H34" s="25" t="str">
        <f>IF($Q34="","",INDEX(TRANSACTIONS_MASTER!$L$5:$L$1204,$Q34))</f>
        <v/>
      </c>
      <c r="I34" s="56" t="str">
        <f>IF($Q34="","",INDEX(TRANSACTIONS_MASTER!$N$5:$N$1204,$Q34))</f>
        <v/>
      </c>
      <c r="J34" s="25" t="str">
        <f>IF($Q34="","",INDEX(TRANSACTIONS_MASTER!$O$5:$O$1204,$Q34))</f>
        <v/>
      </c>
      <c r="K34" s="26" t="str">
        <f>IF($Q34="","",INDEX(TRANSACTIONS_MASTER!$Q$5:$Q$1204,$Q34))</f>
        <v/>
      </c>
      <c r="L34" s="25" t="str">
        <f>IF($Q34="","",INDEX(TRANSACTIONS_MASTER!$P$5:$P$1204,$Q34))</f>
        <v/>
      </c>
      <c r="M34" s="25" t="str">
        <f>IF($Q34="","",INDEX(TRANSACTIONS_MASTER!$AA$5:$AA$1204,$Q34))</f>
        <v/>
      </c>
      <c r="N34" s="25" t="str">
        <f>IF($Q34="","",INDEX(TRANSACTIONS_MASTER!$R$5:$R$1204,$Q34))</f>
        <v/>
      </c>
      <c r="O34" s="28" t="str">
        <f>IF($Q34="","",INDEX(TRANSACTIONS_MASTER!$AB$5:$AB$1204,$Q34))</f>
        <v/>
      </c>
      <c r="P34" s="55" t="str">
        <f>IF($Q34="","",INDEX(TRANSACTIONS_MASTER!$Z$5:$Z$1204,$Q34)&amp;"")</f>
        <v/>
      </c>
      <c r="Q34" s="67" t="str">
        <f>IFERROR(MATCH($C$2&amp;"|"&amp;27,TRANSACTIONS_MASTER!$AE$5:$AE$1204,0),"")</f>
        <v/>
      </c>
      <c r="S34" s="67" t="str">
        <f>IFERROR(MATCH(27,CASHBACK_RULES!$S$5:$S$304,0),"")</f>
        <v/>
      </c>
      <c r="T34" s="55" t="str">
        <f>IF($S34="","",INDEX(CASHBACK_RULES!$B$5:$B$304,$S34))</f>
        <v/>
      </c>
      <c r="U34" s="55" t="str">
        <f>IF($S34="","",INDEX(CASHBACK_RULES!$C$5:$C$304,$S34)&amp;" "&amp;INDEX(CASHBACK_RULES!$D$5:$D$304,$S34))</f>
        <v/>
      </c>
      <c r="V34" s="55" t="str">
        <f>IF($S34="","",INDEX(CASHBACK_RULES!$E$5:$E$304,$S34)&amp;"")</f>
        <v/>
      </c>
      <c r="W34" s="55" t="str">
        <f>IF($S34="","",INDEX(CASHBACK_RULES!$F$5:$F$304,$S34)&amp;"")</f>
        <v/>
      </c>
      <c r="X34" s="26" t="str">
        <f>IF($S34="","",SUMIFS(TRANSACTIONS_MASTER!$Q$5:$Q$1204,TRANSACTIONS_MASTER!$D$5:$D$1204,$T34,TRANSACTIONS_MASTER!$Z$5:$Z$1204,$V34,TRANSACTIONS_MASTER!$C$5:$C$1204,$C$2))</f>
        <v/>
      </c>
      <c r="Y34" s="25" t="str">
        <f>IF($S34="","",IF(ISNUMBER(INDEX(CASHBACK_RULES!$J$5:$J$304,$S34)),INDEX(CASHBACK_RULES!$J$5:$J$304,$S34),"∞"))</f>
        <v/>
      </c>
      <c r="Z34" s="25" t="str">
        <f>IF($S34="","",IF(ISNUMBER($Y34),MAX(0,$Y34-$X34),"∞"))</f>
        <v/>
      </c>
      <c r="AA34" s="27" t="str">
        <f>IF($S34="","",IF(ISNUMBER($Y34),IF($Y34=0,0,$X34/$Y34),""))</f>
        <v/>
      </c>
    </row>
    <row r="35" ht="20" customHeight="1">
      <c r="A35" s="81" t="str">
        <f>IF($Q35="","",28)</f>
        <v/>
      </c>
      <c r="B35" s="57" t="str">
        <f>IF($Q35="","",INDEX(TRANSACTIONS_MASTER!$B$5:$B$1204,$Q35))</f>
        <v/>
      </c>
      <c r="C35" s="55" t="str">
        <f>IF($Q35="","",INDEX(TRANSACTIONS_MASTER!$F$5:$F$1204,$Q35))</f>
        <v/>
      </c>
      <c r="D35" s="55" t="str">
        <f>IF($Q35="","",INDEX(TRANSACTIONS_MASTER!$E$5:$E$1204,$Q35))</f>
        <v/>
      </c>
      <c r="E35" s="55" t="str">
        <f>IF($Q35="","",INDEX(TRANSACTIONS_MASTER!$G$5:$G$1204,$Q35)&amp;"")</f>
        <v/>
      </c>
      <c r="F35" s="29" t="str">
        <f>IF($Q35="","",INDEX(TRANSACTIONS_MASTER!$I$5:$I$1204,$Q35))</f>
        <v/>
      </c>
      <c r="G35" s="55" t="str">
        <f>IF($Q35="","",INDEX(TRANSACTIONS_MASTER!$K$5:$K$1204,$Q35))</f>
        <v/>
      </c>
      <c r="H35" s="25" t="str">
        <f>IF($Q35="","",INDEX(TRANSACTIONS_MASTER!$L$5:$L$1204,$Q35))</f>
        <v/>
      </c>
      <c r="I35" s="56" t="str">
        <f>IF($Q35="","",INDEX(TRANSACTIONS_MASTER!$N$5:$N$1204,$Q35))</f>
        <v/>
      </c>
      <c r="J35" s="25" t="str">
        <f>IF($Q35="","",INDEX(TRANSACTIONS_MASTER!$O$5:$O$1204,$Q35))</f>
        <v/>
      </c>
      <c r="K35" s="26" t="str">
        <f>IF($Q35="","",INDEX(TRANSACTIONS_MASTER!$Q$5:$Q$1204,$Q35))</f>
        <v/>
      </c>
      <c r="L35" s="25" t="str">
        <f>IF($Q35="","",INDEX(TRANSACTIONS_MASTER!$P$5:$P$1204,$Q35))</f>
        <v/>
      </c>
      <c r="M35" s="25" t="str">
        <f>IF($Q35="","",INDEX(TRANSACTIONS_MASTER!$AA$5:$AA$1204,$Q35))</f>
        <v/>
      </c>
      <c r="N35" s="25" t="str">
        <f>IF($Q35="","",INDEX(TRANSACTIONS_MASTER!$R$5:$R$1204,$Q35))</f>
        <v/>
      </c>
      <c r="O35" s="28" t="str">
        <f>IF($Q35="","",INDEX(TRANSACTIONS_MASTER!$AB$5:$AB$1204,$Q35))</f>
        <v/>
      </c>
      <c r="P35" s="55" t="str">
        <f>IF($Q35="","",INDEX(TRANSACTIONS_MASTER!$Z$5:$Z$1204,$Q35)&amp;"")</f>
        <v/>
      </c>
      <c r="Q35" s="67" t="str">
        <f>IFERROR(MATCH($C$2&amp;"|"&amp;28,TRANSACTIONS_MASTER!$AE$5:$AE$1204,0),"")</f>
        <v/>
      </c>
      <c r="S35" s="67" t="str">
        <f>IFERROR(MATCH(28,CASHBACK_RULES!$S$5:$S$304,0),"")</f>
        <v/>
      </c>
      <c r="T35" s="55" t="str">
        <f>IF($S35="","",INDEX(CASHBACK_RULES!$B$5:$B$304,$S35))</f>
        <v/>
      </c>
      <c r="U35" s="55" t="str">
        <f>IF($S35="","",INDEX(CASHBACK_RULES!$C$5:$C$304,$S35)&amp;" "&amp;INDEX(CASHBACK_RULES!$D$5:$D$304,$S35))</f>
        <v/>
      </c>
      <c r="V35" s="55" t="str">
        <f>IF($S35="","",INDEX(CASHBACK_RULES!$E$5:$E$304,$S35)&amp;"")</f>
        <v/>
      </c>
      <c r="W35" s="55" t="str">
        <f>IF($S35="","",INDEX(CASHBACK_RULES!$F$5:$F$304,$S35)&amp;"")</f>
        <v/>
      </c>
      <c r="X35" s="26" t="str">
        <f>IF($S35="","",SUMIFS(TRANSACTIONS_MASTER!$Q$5:$Q$1204,TRANSACTIONS_MASTER!$D$5:$D$1204,$T35,TRANSACTIONS_MASTER!$Z$5:$Z$1204,$V35,TRANSACTIONS_MASTER!$C$5:$C$1204,$C$2))</f>
        <v/>
      </c>
      <c r="Y35" s="25" t="str">
        <f>IF($S35="","",IF(ISNUMBER(INDEX(CASHBACK_RULES!$J$5:$J$304,$S35)),INDEX(CASHBACK_RULES!$J$5:$J$304,$S35),"∞"))</f>
        <v/>
      </c>
      <c r="Z35" s="25" t="str">
        <f>IF($S35="","",IF(ISNUMBER($Y35),MAX(0,$Y35-$X35),"∞"))</f>
        <v/>
      </c>
      <c r="AA35" s="27" t="str">
        <f>IF($S35="","",IF(ISNUMBER($Y35),IF($Y35=0,0,$X35/$Y35),""))</f>
        <v/>
      </c>
    </row>
    <row r="36" ht="20" customHeight="1">
      <c r="A36" s="81" t="str">
        <f>IF($Q36="","",29)</f>
        <v/>
      </c>
      <c r="B36" s="57" t="str">
        <f>IF($Q36="","",INDEX(TRANSACTIONS_MASTER!$B$5:$B$1204,$Q36))</f>
        <v/>
      </c>
      <c r="C36" s="55" t="str">
        <f>IF($Q36="","",INDEX(TRANSACTIONS_MASTER!$F$5:$F$1204,$Q36))</f>
        <v/>
      </c>
      <c r="D36" s="55" t="str">
        <f>IF($Q36="","",INDEX(TRANSACTIONS_MASTER!$E$5:$E$1204,$Q36))</f>
        <v/>
      </c>
      <c r="E36" s="55" t="str">
        <f>IF($Q36="","",INDEX(TRANSACTIONS_MASTER!$G$5:$G$1204,$Q36)&amp;"")</f>
        <v/>
      </c>
      <c r="F36" s="29" t="str">
        <f>IF($Q36="","",INDEX(TRANSACTIONS_MASTER!$I$5:$I$1204,$Q36))</f>
        <v/>
      </c>
      <c r="G36" s="55" t="str">
        <f>IF($Q36="","",INDEX(TRANSACTIONS_MASTER!$K$5:$K$1204,$Q36))</f>
        <v/>
      </c>
      <c r="H36" s="25" t="str">
        <f>IF($Q36="","",INDEX(TRANSACTIONS_MASTER!$L$5:$L$1204,$Q36))</f>
        <v/>
      </c>
      <c r="I36" s="56" t="str">
        <f>IF($Q36="","",INDEX(TRANSACTIONS_MASTER!$N$5:$N$1204,$Q36))</f>
        <v/>
      </c>
      <c r="J36" s="25" t="str">
        <f>IF($Q36="","",INDEX(TRANSACTIONS_MASTER!$O$5:$O$1204,$Q36))</f>
        <v/>
      </c>
      <c r="K36" s="26" t="str">
        <f>IF($Q36="","",INDEX(TRANSACTIONS_MASTER!$Q$5:$Q$1204,$Q36))</f>
        <v/>
      </c>
      <c r="L36" s="25" t="str">
        <f>IF($Q36="","",INDEX(TRANSACTIONS_MASTER!$P$5:$P$1204,$Q36))</f>
        <v/>
      </c>
      <c r="M36" s="25" t="str">
        <f>IF($Q36="","",INDEX(TRANSACTIONS_MASTER!$AA$5:$AA$1204,$Q36))</f>
        <v/>
      </c>
      <c r="N36" s="25" t="str">
        <f>IF($Q36="","",INDEX(TRANSACTIONS_MASTER!$R$5:$R$1204,$Q36))</f>
        <v/>
      </c>
      <c r="O36" s="28" t="str">
        <f>IF($Q36="","",INDEX(TRANSACTIONS_MASTER!$AB$5:$AB$1204,$Q36))</f>
        <v/>
      </c>
      <c r="P36" s="55" t="str">
        <f>IF($Q36="","",INDEX(TRANSACTIONS_MASTER!$Z$5:$Z$1204,$Q36)&amp;"")</f>
        <v/>
      </c>
      <c r="Q36" s="67" t="str">
        <f>IFERROR(MATCH($C$2&amp;"|"&amp;29,TRANSACTIONS_MASTER!$AE$5:$AE$1204,0),"")</f>
        <v/>
      </c>
      <c r="S36" s="67" t="str">
        <f>IFERROR(MATCH(29,CASHBACK_RULES!$S$5:$S$304,0),"")</f>
        <v/>
      </c>
      <c r="T36" s="55" t="str">
        <f>IF($S36="","",INDEX(CASHBACK_RULES!$B$5:$B$304,$S36))</f>
        <v/>
      </c>
      <c r="U36" s="55" t="str">
        <f>IF($S36="","",INDEX(CASHBACK_RULES!$C$5:$C$304,$S36)&amp;" "&amp;INDEX(CASHBACK_RULES!$D$5:$D$304,$S36))</f>
        <v/>
      </c>
      <c r="V36" s="55" t="str">
        <f>IF($S36="","",INDEX(CASHBACK_RULES!$E$5:$E$304,$S36)&amp;"")</f>
        <v/>
      </c>
      <c r="W36" s="55" t="str">
        <f>IF($S36="","",INDEX(CASHBACK_RULES!$F$5:$F$304,$S36)&amp;"")</f>
        <v/>
      </c>
      <c r="X36" s="26" t="str">
        <f>IF($S36="","",SUMIFS(TRANSACTIONS_MASTER!$Q$5:$Q$1204,TRANSACTIONS_MASTER!$D$5:$D$1204,$T36,TRANSACTIONS_MASTER!$Z$5:$Z$1204,$V36,TRANSACTIONS_MASTER!$C$5:$C$1204,$C$2))</f>
        <v/>
      </c>
      <c r="Y36" s="25" t="str">
        <f>IF($S36="","",IF(ISNUMBER(INDEX(CASHBACK_RULES!$J$5:$J$304,$S36)),INDEX(CASHBACK_RULES!$J$5:$J$304,$S36),"∞"))</f>
        <v/>
      </c>
      <c r="Z36" s="25" t="str">
        <f>IF($S36="","",IF(ISNUMBER($Y36),MAX(0,$Y36-$X36),"∞"))</f>
        <v/>
      </c>
      <c r="AA36" s="27" t="str">
        <f>IF($S36="","",IF(ISNUMBER($Y36),IF($Y36=0,0,$X36/$Y36),""))</f>
        <v/>
      </c>
    </row>
    <row r="37" ht="20" customHeight="1">
      <c r="A37" s="81" t="str">
        <f>IF($Q37="","",30)</f>
        <v/>
      </c>
      <c r="B37" s="57" t="str">
        <f>IF($Q37="","",INDEX(TRANSACTIONS_MASTER!$B$5:$B$1204,$Q37))</f>
        <v/>
      </c>
      <c r="C37" s="55" t="str">
        <f>IF($Q37="","",INDEX(TRANSACTIONS_MASTER!$F$5:$F$1204,$Q37))</f>
        <v/>
      </c>
      <c r="D37" s="55" t="str">
        <f>IF($Q37="","",INDEX(TRANSACTIONS_MASTER!$E$5:$E$1204,$Q37))</f>
        <v/>
      </c>
      <c r="E37" s="55" t="str">
        <f>IF($Q37="","",INDEX(TRANSACTIONS_MASTER!$G$5:$G$1204,$Q37)&amp;"")</f>
        <v/>
      </c>
      <c r="F37" s="29" t="str">
        <f>IF($Q37="","",INDEX(TRANSACTIONS_MASTER!$I$5:$I$1204,$Q37))</f>
        <v/>
      </c>
      <c r="G37" s="55" t="str">
        <f>IF($Q37="","",INDEX(TRANSACTIONS_MASTER!$K$5:$K$1204,$Q37))</f>
        <v/>
      </c>
      <c r="H37" s="25" t="str">
        <f>IF($Q37="","",INDEX(TRANSACTIONS_MASTER!$L$5:$L$1204,$Q37))</f>
        <v/>
      </c>
      <c r="I37" s="56" t="str">
        <f>IF($Q37="","",INDEX(TRANSACTIONS_MASTER!$N$5:$N$1204,$Q37))</f>
        <v/>
      </c>
      <c r="J37" s="25" t="str">
        <f>IF($Q37="","",INDEX(TRANSACTIONS_MASTER!$O$5:$O$1204,$Q37))</f>
        <v/>
      </c>
      <c r="K37" s="26" t="str">
        <f>IF($Q37="","",INDEX(TRANSACTIONS_MASTER!$Q$5:$Q$1204,$Q37))</f>
        <v/>
      </c>
      <c r="L37" s="25" t="str">
        <f>IF($Q37="","",INDEX(TRANSACTIONS_MASTER!$P$5:$P$1204,$Q37))</f>
        <v/>
      </c>
      <c r="M37" s="25" t="str">
        <f>IF($Q37="","",INDEX(TRANSACTIONS_MASTER!$AA$5:$AA$1204,$Q37))</f>
        <v/>
      </c>
      <c r="N37" s="25" t="str">
        <f>IF($Q37="","",INDEX(TRANSACTIONS_MASTER!$R$5:$R$1204,$Q37))</f>
        <v/>
      </c>
      <c r="O37" s="28" t="str">
        <f>IF($Q37="","",INDEX(TRANSACTIONS_MASTER!$AB$5:$AB$1204,$Q37))</f>
        <v/>
      </c>
      <c r="P37" s="55" t="str">
        <f>IF($Q37="","",INDEX(TRANSACTIONS_MASTER!$Z$5:$Z$1204,$Q37)&amp;"")</f>
        <v/>
      </c>
      <c r="Q37" s="67" t="str">
        <f>IFERROR(MATCH($C$2&amp;"|"&amp;30,TRANSACTIONS_MASTER!$AE$5:$AE$1204,0),"")</f>
        <v/>
      </c>
      <c r="S37" s="67" t="str">
        <f>IFERROR(MATCH(30,CASHBACK_RULES!$S$5:$S$304,0),"")</f>
        <v/>
      </c>
      <c r="T37" s="55" t="str">
        <f>IF($S37="","",INDEX(CASHBACK_RULES!$B$5:$B$304,$S37))</f>
        <v/>
      </c>
      <c r="U37" s="55" t="str">
        <f>IF($S37="","",INDEX(CASHBACK_RULES!$C$5:$C$304,$S37)&amp;" "&amp;INDEX(CASHBACK_RULES!$D$5:$D$304,$S37))</f>
        <v/>
      </c>
      <c r="V37" s="55" t="str">
        <f>IF($S37="","",INDEX(CASHBACK_RULES!$E$5:$E$304,$S37)&amp;"")</f>
        <v/>
      </c>
      <c r="W37" s="55" t="str">
        <f>IF($S37="","",INDEX(CASHBACK_RULES!$F$5:$F$304,$S37)&amp;"")</f>
        <v/>
      </c>
      <c r="X37" s="26" t="str">
        <f>IF($S37="","",SUMIFS(TRANSACTIONS_MASTER!$Q$5:$Q$1204,TRANSACTIONS_MASTER!$D$5:$D$1204,$T37,TRANSACTIONS_MASTER!$Z$5:$Z$1204,$V37,TRANSACTIONS_MASTER!$C$5:$C$1204,$C$2))</f>
        <v/>
      </c>
      <c r="Y37" s="25" t="str">
        <f>IF($S37="","",IF(ISNUMBER(INDEX(CASHBACK_RULES!$J$5:$J$304,$S37)),INDEX(CASHBACK_RULES!$J$5:$J$304,$S37),"∞"))</f>
        <v/>
      </c>
      <c r="Z37" s="25" t="str">
        <f>IF($S37="","",IF(ISNUMBER($Y37),MAX(0,$Y37-$X37),"∞"))</f>
        <v/>
      </c>
      <c r="AA37" s="27" t="str">
        <f>IF($S37="","",IF(ISNUMBER($Y37),IF($Y37=0,0,$X37/$Y37),""))</f>
        <v/>
      </c>
    </row>
    <row r="38" ht="20" customHeight="1">
      <c r="A38" s="81" t="str">
        <f>IF($Q38="","",31)</f>
        <v/>
      </c>
      <c r="B38" s="57" t="str">
        <f>IF($Q38="","",INDEX(TRANSACTIONS_MASTER!$B$5:$B$1204,$Q38))</f>
        <v/>
      </c>
      <c r="C38" s="55" t="str">
        <f>IF($Q38="","",INDEX(TRANSACTIONS_MASTER!$F$5:$F$1204,$Q38))</f>
        <v/>
      </c>
      <c r="D38" s="55" t="str">
        <f>IF($Q38="","",INDEX(TRANSACTIONS_MASTER!$E$5:$E$1204,$Q38))</f>
        <v/>
      </c>
      <c r="E38" s="55" t="str">
        <f>IF($Q38="","",INDEX(TRANSACTIONS_MASTER!$G$5:$G$1204,$Q38)&amp;"")</f>
        <v/>
      </c>
      <c r="F38" s="29" t="str">
        <f>IF($Q38="","",INDEX(TRANSACTIONS_MASTER!$I$5:$I$1204,$Q38))</f>
        <v/>
      </c>
      <c r="G38" s="55" t="str">
        <f>IF($Q38="","",INDEX(TRANSACTIONS_MASTER!$K$5:$K$1204,$Q38))</f>
        <v/>
      </c>
      <c r="H38" s="25" t="str">
        <f>IF($Q38="","",INDEX(TRANSACTIONS_MASTER!$L$5:$L$1204,$Q38))</f>
        <v/>
      </c>
      <c r="I38" s="56" t="str">
        <f>IF($Q38="","",INDEX(TRANSACTIONS_MASTER!$N$5:$N$1204,$Q38))</f>
        <v/>
      </c>
      <c r="J38" s="25" t="str">
        <f>IF($Q38="","",INDEX(TRANSACTIONS_MASTER!$O$5:$O$1204,$Q38))</f>
        <v/>
      </c>
      <c r="K38" s="26" t="str">
        <f>IF($Q38="","",INDEX(TRANSACTIONS_MASTER!$Q$5:$Q$1204,$Q38))</f>
        <v/>
      </c>
      <c r="L38" s="25" t="str">
        <f>IF($Q38="","",INDEX(TRANSACTIONS_MASTER!$P$5:$P$1204,$Q38))</f>
        <v/>
      </c>
      <c r="M38" s="25" t="str">
        <f>IF($Q38="","",INDEX(TRANSACTIONS_MASTER!$AA$5:$AA$1204,$Q38))</f>
        <v/>
      </c>
      <c r="N38" s="25" t="str">
        <f>IF($Q38="","",INDEX(TRANSACTIONS_MASTER!$R$5:$R$1204,$Q38))</f>
        <v/>
      </c>
      <c r="O38" s="28" t="str">
        <f>IF($Q38="","",INDEX(TRANSACTIONS_MASTER!$AB$5:$AB$1204,$Q38))</f>
        <v/>
      </c>
      <c r="P38" s="55" t="str">
        <f>IF($Q38="","",INDEX(TRANSACTIONS_MASTER!$Z$5:$Z$1204,$Q38)&amp;"")</f>
        <v/>
      </c>
      <c r="Q38" s="67" t="str">
        <f>IFERROR(MATCH($C$2&amp;"|"&amp;31,TRANSACTIONS_MASTER!$AE$5:$AE$1204,0),"")</f>
        <v/>
      </c>
      <c r="S38" s="67" t="str">
        <f>IFERROR(MATCH(31,CASHBACK_RULES!$S$5:$S$304,0),"")</f>
        <v/>
      </c>
      <c r="T38" s="55" t="str">
        <f>IF($S38="","",INDEX(CASHBACK_RULES!$B$5:$B$304,$S38))</f>
        <v/>
      </c>
      <c r="U38" s="55" t="str">
        <f>IF($S38="","",INDEX(CASHBACK_RULES!$C$5:$C$304,$S38)&amp;" "&amp;INDEX(CASHBACK_RULES!$D$5:$D$304,$S38))</f>
        <v/>
      </c>
      <c r="V38" s="55" t="str">
        <f>IF($S38="","",INDEX(CASHBACK_RULES!$E$5:$E$304,$S38)&amp;"")</f>
        <v/>
      </c>
      <c r="W38" s="55" t="str">
        <f>IF($S38="","",INDEX(CASHBACK_RULES!$F$5:$F$304,$S38)&amp;"")</f>
        <v/>
      </c>
      <c r="X38" s="26" t="str">
        <f>IF($S38="","",SUMIFS(TRANSACTIONS_MASTER!$Q$5:$Q$1204,TRANSACTIONS_MASTER!$D$5:$D$1204,$T38,TRANSACTIONS_MASTER!$Z$5:$Z$1204,$V38,TRANSACTIONS_MASTER!$C$5:$C$1204,$C$2))</f>
        <v/>
      </c>
      <c r="Y38" s="25" t="str">
        <f>IF($S38="","",IF(ISNUMBER(INDEX(CASHBACK_RULES!$J$5:$J$304,$S38)),INDEX(CASHBACK_RULES!$J$5:$J$304,$S38),"∞"))</f>
        <v/>
      </c>
      <c r="Z38" s="25" t="str">
        <f>IF($S38="","",IF(ISNUMBER($Y38),MAX(0,$Y38-$X38),"∞"))</f>
        <v/>
      </c>
      <c r="AA38" s="27" t="str">
        <f>IF($S38="","",IF(ISNUMBER($Y38),IF($Y38=0,0,$X38/$Y38),""))</f>
        <v/>
      </c>
    </row>
    <row r="39" ht="20" customHeight="1">
      <c r="A39" s="81" t="str">
        <f>IF($Q39="","",32)</f>
        <v/>
      </c>
      <c r="B39" s="57" t="str">
        <f>IF($Q39="","",INDEX(TRANSACTIONS_MASTER!$B$5:$B$1204,$Q39))</f>
        <v/>
      </c>
      <c r="C39" s="55" t="str">
        <f>IF($Q39="","",INDEX(TRANSACTIONS_MASTER!$F$5:$F$1204,$Q39))</f>
        <v/>
      </c>
      <c r="D39" s="55" t="str">
        <f>IF($Q39="","",INDEX(TRANSACTIONS_MASTER!$E$5:$E$1204,$Q39))</f>
        <v/>
      </c>
      <c r="E39" s="55" t="str">
        <f>IF($Q39="","",INDEX(TRANSACTIONS_MASTER!$G$5:$G$1204,$Q39)&amp;"")</f>
        <v/>
      </c>
      <c r="F39" s="29" t="str">
        <f>IF($Q39="","",INDEX(TRANSACTIONS_MASTER!$I$5:$I$1204,$Q39))</f>
        <v/>
      </c>
      <c r="G39" s="55" t="str">
        <f>IF($Q39="","",INDEX(TRANSACTIONS_MASTER!$K$5:$K$1204,$Q39))</f>
        <v/>
      </c>
      <c r="H39" s="25" t="str">
        <f>IF($Q39="","",INDEX(TRANSACTIONS_MASTER!$L$5:$L$1204,$Q39))</f>
        <v/>
      </c>
      <c r="I39" s="56" t="str">
        <f>IF($Q39="","",INDEX(TRANSACTIONS_MASTER!$N$5:$N$1204,$Q39))</f>
        <v/>
      </c>
      <c r="J39" s="25" t="str">
        <f>IF($Q39="","",INDEX(TRANSACTIONS_MASTER!$O$5:$O$1204,$Q39))</f>
        <v/>
      </c>
      <c r="K39" s="26" t="str">
        <f>IF($Q39="","",INDEX(TRANSACTIONS_MASTER!$Q$5:$Q$1204,$Q39))</f>
        <v/>
      </c>
      <c r="L39" s="25" t="str">
        <f>IF($Q39="","",INDEX(TRANSACTIONS_MASTER!$P$5:$P$1204,$Q39))</f>
        <v/>
      </c>
      <c r="M39" s="25" t="str">
        <f>IF($Q39="","",INDEX(TRANSACTIONS_MASTER!$AA$5:$AA$1204,$Q39))</f>
        <v/>
      </c>
      <c r="N39" s="25" t="str">
        <f>IF($Q39="","",INDEX(TRANSACTIONS_MASTER!$R$5:$R$1204,$Q39))</f>
        <v/>
      </c>
      <c r="O39" s="28" t="str">
        <f>IF($Q39="","",INDEX(TRANSACTIONS_MASTER!$AB$5:$AB$1204,$Q39))</f>
        <v/>
      </c>
      <c r="P39" s="55" t="str">
        <f>IF($Q39="","",INDEX(TRANSACTIONS_MASTER!$Z$5:$Z$1204,$Q39)&amp;"")</f>
        <v/>
      </c>
      <c r="Q39" s="67" t="str">
        <f>IFERROR(MATCH($C$2&amp;"|"&amp;32,TRANSACTIONS_MASTER!$AE$5:$AE$1204,0),"")</f>
        <v/>
      </c>
      <c r="S39" s="67" t="str">
        <f>IFERROR(MATCH(32,CASHBACK_RULES!$S$5:$S$304,0),"")</f>
        <v/>
      </c>
      <c r="T39" s="55" t="str">
        <f>IF($S39="","",INDEX(CASHBACK_RULES!$B$5:$B$304,$S39))</f>
        <v/>
      </c>
      <c r="U39" s="55" t="str">
        <f>IF($S39="","",INDEX(CASHBACK_RULES!$C$5:$C$304,$S39)&amp;" "&amp;INDEX(CASHBACK_RULES!$D$5:$D$304,$S39))</f>
        <v/>
      </c>
      <c r="V39" s="55" t="str">
        <f>IF($S39="","",INDEX(CASHBACK_RULES!$E$5:$E$304,$S39)&amp;"")</f>
        <v/>
      </c>
      <c r="W39" s="55" t="str">
        <f>IF($S39="","",INDEX(CASHBACK_RULES!$F$5:$F$304,$S39)&amp;"")</f>
        <v/>
      </c>
      <c r="X39" s="26" t="str">
        <f>IF($S39="","",SUMIFS(TRANSACTIONS_MASTER!$Q$5:$Q$1204,TRANSACTIONS_MASTER!$D$5:$D$1204,$T39,TRANSACTIONS_MASTER!$Z$5:$Z$1204,$V39,TRANSACTIONS_MASTER!$C$5:$C$1204,$C$2))</f>
        <v/>
      </c>
      <c r="Y39" s="25" t="str">
        <f>IF($S39="","",IF(ISNUMBER(INDEX(CASHBACK_RULES!$J$5:$J$304,$S39)),INDEX(CASHBACK_RULES!$J$5:$J$304,$S39),"∞"))</f>
        <v/>
      </c>
      <c r="Z39" s="25" t="str">
        <f>IF($S39="","",IF(ISNUMBER($Y39),MAX(0,$Y39-$X39),"∞"))</f>
        <v/>
      </c>
      <c r="AA39" s="27" t="str">
        <f>IF($S39="","",IF(ISNUMBER($Y39),IF($Y39=0,0,$X39/$Y39),""))</f>
        <v/>
      </c>
    </row>
    <row r="40" ht="20" customHeight="1">
      <c r="A40" s="81" t="str">
        <f>IF($Q40="","",33)</f>
        <v/>
      </c>
      <c r="B40" s="57" t="str">
        <f>IF($Q40="","",INDEX(TRANSACTIONS_MASTER!$B$5:$B$1204,$Q40))</f>
        <v/>
      </c>
      <c r="C40" s="55" t="str">
        <f>IF($Q40="","",INDEX(TRANSACTIONS_MASTER!$F$5:$F$1204,$Q40))</f>
        <v/>
      </c>
      <c r="D40" s="55" t="str">
        <f>IF($Q40="","",INDEX(TRANSACTIONS_MASTER!$E$5:$E$1204,$Q40))</f>
        <v/>
      </c>
      <c r="E40" s="55" t="str">
        <f>IF($Q40="","",INDEX(TRANSACTIONS_MASTER!$G$5:$G$1204,$Q40)&amp;"")</f>
        <v/>
      </c>
      <c r="F40" s="29" t="str">
        <f>IF($Q40="","",INDEX(TRANSACTIONS_MASTER!$I$5:$I$1204,$Q40))</f>
        <v/>
      </c>
      <c r="G40" s="55" t="str">
        <f>IF($Q40="","",INDEX(TRANSACTIONS_MASTER!$K$5:$K$1204,$Q40))</f>
        <v/>
      </c>
      <c r="H40" s="25" t="str">
        <f>IF($Q40="","",INDEX(TRANSACTIONS_MASTER!$L$5:$L$1204,$Q40))</f>
        <v/>
      </c>
      <c r="I40" s="56" t="str">
        <f>IF($Q40="","",INDEX(TRANSACTIONS_MASTER!$N$5:$N$1204,$Q40))</f>
        <v/>
      </c>
      <c r="J40" s="25" t="str">
        <f>IF($Q40="","",INDEX(TRANSACTIONS_MASTER!$O$5:$O$1204,$Q40))</f>
        <v/>
      </c>
      <c r="K40" s="26" t="str">
        <f>IF($Q40="","",INDEX(TRANSACTIONS_MASTER!$Q$5:$Q$1204,$Q40))</f>
        <v/>
      </c>
      <c r="L40" s="25" t="str">
        <f>IF($Q40="","",INDEX(TRANSACTIONS_MASTER!$P$5:$P$1204,$Q40))</f>
        <v/>
      </c>
      <c r="M40" s="25" t="str">
        <f>IF($Q40="","",INDEX(TRANSACTIONS_MASTER!$AA$5:$AA$1204,$Q40))</f>
        <v/>
      </c>
      <c r="N40" s="25" t="str">
        <f>IF($Q40="","",INDEX(TRANSACTIONS_MASTER!$R$5:$R$1204,$Q40))</f>
        <v/>
      </c>
      <c r="O40" s="28" t="str">
        <f>IF($Q40="","",INDEX(TRANSACTIONS_MASTER!$AB$5:$AB$1204,$Q40))</f>
        <v/>
      </c>
      <c r="P40" s="55" t="str">
        <f>IF($Q40="","",INDEX(TRANSACTIONS_MASTER!$Z$5:$Z$1204,$Q40)&amp;"")</f>
        <v/>
      </c>
      <c r="Q40" s="67" t="str">
        <f>IFERROR(MATCH($C$2&amp;"|"&amp;33,TRANSACTIONS_MASTER!$AE$5:$AE$1204,0),"")</f>
        <v/>
      </c>
      <c r="S40" s="67" t="str">
        <f>IFERROR(MATCH(33,CASHBACK_RULES!$S$5:$S$304,0),"")</f>
        <v/>
      </c>
      <c r="T40" s="55" t="str">
        <f>IF($S40="","",INDEX(CASHBACK_RULES!$B$5:$B$304,$S40))</f>
        <v/>
      </c>
      <c r="U40" s="55" t="str">
        <f>IF($S40="","",INDEX(CASHBACK_RULES!$C$5:$C$304,$S40)&amp;" "&amp;INDEX(CASHBACK_RULES!$D$5:$D$304,$S40))</f>
        <v/>
      </c>
      <c r="V40" s="55" t="str">
        <f>IF($S40="","",INDEX(CASHBACK_RULES!$E$5:$E$304,$S40)&amp;"")</f>
        <v/>
      </c>
      <c r="W40" s="55" t="str">
        <f>IF($S40="","",INDEX(CASHBACK_RULES!$F$5:$F$304,$S40)&amp;"")</f>
        <v/>
      </c>
      <c r="X40" s="26" t="str">
        <f>IF($S40="","",SUMIFS(TRANSACTIONS_MASTER!$Q$5:$Q$1204,TRANSACTIONS_MASTER!$D$5:$D$1204,$T40,TRANSACTIONS_MASTER!$Z$5:$Z$1204,$V40,TRANSACTIONS_MASTER!$C$5:$C$1204,$C$2))</f>
        <v/>
      </c>
      <c r="Y40" s="25" t="str">
        <f>IF($S40="","",IF(ISNUMBER(INDEX(CASHBACK_RULES!$J$5:$J$304,$S40)),INDEX(CASHBACK_RULES!$J$5:$J$304,$S40),"∞"))</f>
        <v/>
      </c>
      <c r="Z40" s="25" t="str">
        <f>IF($S40="","",IF(ISNUMBER($Y40),MAX(0,$Y40-$X40),"∞"))</f>
        <v/>
      </c>
      <c r="AA40" s="27" t="str">
        <f>IF($S40="","",IF(ISNUMBER($Y40),IF($Y40=0,0,$X40/$Y40),""))</f>
        <v/>
      </c>
    </row>
    <row r="41" ht="20" customHeight="1">
      <c r="A41" s="81" t="str">
        <f>IF($Q41="","",34)</f>
        <v/>
      </c>
      <c r="B41" s="57" t="str">
        <f>IF($Q41="","",INDEX(TRANSACTIONS_MASTER!$B$5:$B$1204,$Q41))</f>
        <v/>
      </c>
      <c r="C41" s="55" t="str">
        <f>IF($Q41="","",INDEX(TRANSACTIONS_MASTER!$F$5:$F$1204,$Q41))</f>
        <v/>
      </c>
      <c r="D41" s="55" t="str">
        <f>IF($Q41="","",INDEX(TRANSACTIONS_MASTER!$E$5:$E$1204,$Q41))</f>
        <v/>
      </c>
      <c r="E41" s="55" t="str">
        <f>IF($Q41="","",INDEX(TRANSACTIONS_MASTER!$G$5:$G$1204,$Q41)&amp;"")</f>
        <v/>
      </c>
      <c r="F41" s="29" t="str">
        <f>IF($Q41="","",INDEX(TRANSACTIONS_MASTER!$I$5:$I$1204,$Q41))</f>
        <v/>
      </c>
      <c r="G41" s="55" t="str">
        <f>IF($Q41="","",INDEX(TRANSACTIONS_MASTER!$K$5:$K$1204,$Q41))</f>
        <v/>
      </c>
      <c r="H41" s="25" t="str">
        <f>IF($Q41="","",INDEX(TRANSACTIONS_MASTER!$L$5:$L$1204,$Q41))</f>
        <v/>
      </c>
      <c r="I41" s="56" t="str">
        <f>IF($Q41="","",INDEX(TRANSACTIONS_MASTER!$N$5:$N$1204,$Q41))</f>
        <v/>
      </c>
      <c r="J41" s="25" t="str">
        <f>IF($Q41="","",INDEX(TRANSACTIONS_MASTER!$O$5:$O$1204,$Q41))</f>
        <v/>
      </c>
      <c r="K41" s="26" t="str">
        <f>IF($Q41="","",INDEX(TRANSACTIONS_MASTER!$Q$5:$Q$1204,$Q41))</f>
        <v/>
      </c>
      <c r="L41" s="25" t="str">
        <f>IF($Q41="","",INDEX(TRANSACTIONS_MASTER!$P$5:$P$1204,$Q41))</f>
        <v/>
      </c>
      <c r="M41" s="25" t="str">
        <f>IF($Q41="","",INDEX(TRANSACTIONS_MASTER!$AA$5:$AA$1204,$Q41))</f>
        <v/>
      </c>
      <c r="N41" s="25" t="str">
        <f>IF($Q41="","",INDEX(TRANSACTIONS_MASTER!$R$5:$R$1204,$Q41))</f>
        <v/>
      </c>
      <c r="O41" s="28" t="str">
        <f>IF($Q41="","",INDEX(TRANSACTIONS_MASTER!$AB$5:$AB$1204,$Q41))</f>
        <v/>
      </c>
      <c r="P41" s="55" t="str">
        <f>IF($Q41="","",INDEX(TRANSACTIONS_MASTER!$Z$5:$Z$1204,$Q41)&amp;"")</f>
        <v/>
      </c>
      <c r="Q41" s="67" t="str">
        <f>IFERROR(MATCH($C$2&amp;"|"&amp;34,TRANSACTIONS_MASTER!$AE$5:$AE$1204,0),"")</f>
        <v/>
      </c>
      <c r="S41" s="67" t="str">
        <f>IFERROR(MATCH(34,CASHBACK_RULES!$S$5:$S$304,0),"")</f>
        <v/>
      </c>
      <c r="T41" s="55" t="str">
        <f>IF($S41="","",INDEX(CASHBACK_RULES!$B$5:$B$304,$S41))</f>
        <v/>
      </c>
      <c r="U41" s="55" t="str">
        <f>IF($S41="","",INDEX(CASHBACK_RULES!$C$5:$C$304,$S41)&amp;" "&amp;INDEX(CASHBACK_RULES!$D$5:$D$304,$S41))</f>
        <v/>
      </c>
      <c r="V41" s="55" t="str">
        <f>IF($S41="","",INDEX(CASHBACK_RULES!$E$5:$E$304,$S41)&amp;"")</f>
        <v/>
      </c>
      <c r="W41" s="55" t="str">
        <f>IF($S41="","",INDEX(CASHBACK_RULES!$F$5:$F$304,$S41)&amp;"")</f>
        <v/>
      </c>
      <c r="X41" s="26" t="str">
        <f>IF($S41="","",SUMIFS(TRANSACTIONS_MASTER!$Q$5:$Q$1204,TRANSACTIONS_MASTER!$D$5:$D$1204,$T41,TRANSACTIONS_MASTER!$Z$5:$Z$1204,$V41,TRANSACTIONS_MASTER!$C$5:$C$1204,$C$2))</f>
        <v/>
      </c>
      <c r="Y41" s="25" t="str">
        <f>IF($S41="","",IF(ISNUMBER(INDEX(CASHBACK_RULES!$J$5:$J$304,$S41)),INDEX(CASHBACK_RULES!$J$5:$J$304,$S41),"∞"))</f>
        <v/>
      </c>
      <c r="Z41" s="25" t="str">
        <f>IF($S41="","",IF(ISNUMBER($Y41),MAX(0,$Y41-$X41),"∞"))</f>
        <v/>
      </c>
      <c r="AA41" s="27" t="str">
        <f>IF($S41="","",IF(ISNUMBER($Y41),IF($Y41=0,0,$X41/$Y41),""))</f>
        <v/>
      </c>
    </row>
    <row r="42" ht="20" customHeight="1">
      <c r="A42" s="81" t="str">
        <f>IF($Q42="","",35)</f>
        <v/>
      </c>
      <c r="B42" s="57" t="str">
        <f>IF($Q42="","",INDEX(TRANSACTIONS_MASTER!$B$5:$B$1204,$Q42))</f>
        <v/>
      </c>
      <c r="C42" s="55" t="str">
        <f>IF($Q42="","",INDEX(TRANSACTIONS_MASTER!$F$5:$F$1204,$Q42))</f>
        <v/>
      </c>
      <c r="D42" s="55" t="str">
        <f>IF($Q42="","",INDEX(TRANSACTIONS_MASTER!$E$5:$E$1204,$Q42))</f>
        <v/>
      </c>
      <c r="E42" s="55" t="str">
        <f>IF($Q42="","",INDEX(TRANSACTIONS_MASTER!$G$5:$G$1204,$Q42)&amp;"")</f>
        <v/>
      </c>
      <c r="F42" s="29" t="str">
        <f>IF($Q42="","",INDEX(TRANSACTIONS_MASTER!$I$5:$I$1204,$Q42))</f>
        <v/>
      </c>
      <c r="G42" s="55" t="str">
        <f>IF($Q42="","",INDEX(TRANSACTIONS_MASTER!$K$5:$K$1204,$Q42))</f>
        <v/>
      </c>
      <c r="H42" s="25" t="str">
        <f>IF($Q42="","",INDEX(TRANSACTIONS_MASTER!$L$5:$L$1204,$Q42))</f>
        <v/>
      </c>
      <c r="I42" s="56" t="str">
        <f>IF($Q42="","",INDEX(TRANSACTIONS_MASTER!$N$5:$N$1204,$Q42))</f>
        <v/>
      </c>
      <c r="J42" s="25" t="str">
        <f>IF($Q42="","",INDEX(TRANSACTIONS_MASTER!$O$5:$O$1204,$Q42))</f>
        <v/>
      </c>
      <c r="K42" s="26" t="str">
        <f>IF($Q42="","",INDEX(TRANSACTIONS_MASTER!$Q$5:$Q$1204,$Q42))</f>
        <v/>
      </c>
      <c r="L42" s="25" t="str">
        <f>IF($Q42="","",INDEX(TRANSACTIONS_MASTER!$P$5:$P$1204,$Q42))</f>
        <v/>
      </c>
      <c r="M42" s="25" t="str">
        <f>IF($Q42="","",INDEX(TRANSACTIONS_MASTER!$AA$5:$AA$1204,$Q42))</f>
        <v/>
      </c>
      <c r="N42" s="25" t="str">
        <f>IF($Q42="","",INDEX(TRANSACTIONS_MASTER!$R$5:$R$1204,$Q42))</f>
        <v/>
      </c>
      <c r="O42" s="28" t="str">
        <f>IF($Q42="","",INDEX(TRANSACTIONS_MASTER!$AB$5:$AB$1204,$Q42))</f>
        <v/>
      </c>
      <c r="P42" s="55" t="str">
        <f>IF($Q42="","",INDEX(TRANSACTIONS_MASTER!$Z$5:$Z$1204,$Q42)&amp;"")</f>
        <v/>
      </c>
      <c r="Q42" s="67" t="str">
        <f>IFERROR(MATCH($C$2&amp;"|"&amp;35,TRANSACTIONS_MASTER!$AE$5:$AE$1204,0),"")</f>
        <v/>
      </c>
      <c r="S42" s="67" t="str">
        <f>IFERROR(MATCH(35,CASHBACK_RULES!$S$5:$S$304,0),"")</f>
        <v/>
      </c>
      <c r="T42" s="55" t="str">
        <f>IF($S42="","",INDEX(CASHBACK_RULES!$B$5:$B$304,$S42))</f>
        <v/>
      </c>
      <c r="U42" s="55" t="str">
        <f>IF($S42="","",INDEX(CASHBACK_RULES!$C$5:$C$304,$S42)&amp;" "&amp;INDEX(CASHBACK_RULES!$D$5:$D$304,$S42))</f>
        <v/>
      </c>
      <c r="V42" s="55" t="str">
        <f>IF($S42="","",INDEX(CASHBACK_RULES!$E$5:$E$304,$S42)&amp;"")</f>
        <v/>
      </c>
      <c r="W42" s="55" t="str">
        <f>IF($S42="","",INDEX(CASHBACK_RULES!$F$5:$F$304,$S42)&amp;"")</f>
        <v/>
      </c>
      <c r="X42" s="26" t="str">
        <f>IF($S42="","",SUMIFS(TRANSACTIONS_MASTER!$Q$5:$Q$1204,TRANSACTIONS_MASTER!$D$5:$D$1204,$T42,TRANSACTIONS_MASTER!$Z$5:$Z$1204,$V42,TRANSACTIONS_MASTER!$C$5:$C$1204,$C$2))</f>
        <v/>
      </c>
      <c r="Y42" s="25" t="str">
        <f>IF($S42="","",IF(ISNUMBER(INDEX(CASHBACK_RULES!$J$5:$J$304,$S42)),INDEX(CASHBACK_RULES!$J$5:$J$304,$S42),"∞"))</f>
        <v/>
      </c>
      <c r="Z42" s="25" t="str">
        <f>IF($S42="","",IF(ISNUMBER($Y42),MAX(0,$Y42-$X42),"∞"))</f>
        <v/>
      </c>
      <c r="AA42" s="27" t="str">
        <f>IF($S42="","",IF(ISNUMBER($Y42),IF($Y42=0,0,$X42/$Y42),""))</f>
        <v/>
      </c>
    </row>
    <row r="43" ht="20" customHeight="1">
      <c r="A43" s="81" t="str">
        <f>IF($Q43="","",36)</f>
        <v/>
      </c>
      <c r="B43" s="57" t="str">
        <f>IF($Q43="","",INDEX(TRANSACTIONS_MASTER!$B$5:$B$1204,$Q43))</f>
        <v/>
      </c>
      <c r="C43" s="55" t="str">
        <f>IF($Q43="","",INDEX(TRANSACTIONS_MASTER!$F$5:$F$1204,$Q43))</f>
        <v/>
      </c>
      <c r="D43" s="55" t="str">
        <f>IF($Q43="","",INDEX(TRANSACTIONS_MASTER!$E$5:$E$1204,$Q43))</f>
        <v/>
      </c>
      <c r="E43" s="55" t="str">
        <f>IF($Q43="","",INDEX(TRANSACTIONS_MASTER!$G$5:$G$1204,$Q43)&amp;"")</f>
        <v/>
      </c>
      <c r="F43" s="29" t="str">
        <f>IF($Q43="","",INDEX(TRANSACTIONS_MASTER!$I$5:$I$1204,$Q43))</f>
        <v/>
      </c>
      <c r="G43" s="55" t="str">
        <f>IF($Q43="","",INDEX(TRANSACTIONS_MASTER!$K$5:$K$1204,$Q43))</f>
        <v/>
      </c>
      <c r="H43" s="25" t="str">
        <f>IF($Q43="","",INDEX(TRANSACTIONS_MASTER!$L$5:$L$1204,$Q43))</f>
        <v/>
      </c>
      <c r="I43" s="56" t="str">
        <f>IF($Q43="","",INDEX(TRANSACTIONS_MASTER!$N$5:$N$1204,$Q43))</f>
        <v/>
      </c>
      <c r="J43" s="25" t="str">
        <f>IF($Q43="","",INDEX(TRANSACTIONS_MASTER!$O$5:$O$1204,$Q43))</f>
        <v/>
      </c>
      <c r="K43" s="26" t="str">
        <f>IF($Q43="","",INDEX(TRANSACTIONS_MASTER!$Q$5:$Q$1204,$Q43))</f>
        <v/>
      </c>
      <c r="L43" s="25" t="str">
        <f>IF($Q43="","",INDEX(TRANSACTIONS_MASTER!$P$5:$P$1204,$Q43))</f>
        <v/>
      </c>
      <c r="M43" s="25" t="str">
        <f>IF($Q43="","",INDEX(TRANSACTIONS_MASTER!$AA$5:$AA$1204,$Q43))</f>
        <v/>
      </c>
      <c r="N43" s="25" t="str">
        <f>IF($Q43="","",INDEX(TRANSACTIONS_MASTER!$R$5:$R$1204,$Q43))</f>
        <v/>
      </c>
      <c r="O43" s="28" t="str">
        <f>IF($Q43="","",INDEX(TRANSACTIONS_MASTER!$AB$5:$AB$1204,$Q43))</f>
        <v/>
      </c>
      <c r="P43" s="55" t="str">
        <f>IF($Q43="","",INDEX(TRANSACTIONS_MASTER!$Z$5:$Z$1204,$Q43)&amp;"")</f>
        <v/>
      </c>
      <c r="Q43" s="67" t="str">
        <f>IFERROR(MATCH($C$2&amp;"|"&amp;36,TRANSACTIONS_MASTER!$AE$5:$AE$1204,0),"")</f>
        <v/>
      </c>
      <c r="S43" s="67" t="str">
        <f>IFERROR(MATCH(36,CASHBACK_RULES!$S$5:$S$304,0),"")</f>
        <v/>
      </c>
      <c r="T43" s="55" t="str">
        <f>IF($S43="","",INDEX(CASHBACK_RULES!$B$5:$B$304,$S43))</f>
        <v/>
      </c>
      <c r="U43" s="55" t="str">
        <f>IF($S43="","",INDEX(CASHBACK_RULES!$C$5:$C$304,$S43)&amp;" "&amp;INDEX(CASHBACK_RULES!$D$5:$D$304,$S43))</f>
        <v/>
      </c>
      <c r="V43" s="55" t="str">
        <f>IF($S43="","",INDEX(CASHBACK_RULES!$E$5:$E$304,$S43)&amp;"")</f>
        <v/>
      </c>
      <c r="W43" s="55" t="str">
        <f>IF($S43="","",INDEX(CASHBACK_RULES!$F$5:$F$304,$S43)&amp;"")</f>
        <v/>
      </c>
      <c r="X43" s="26" t="str">
        <f>IF($S43="","",SUMIFS(TRANSACTIONS_MASTER!$Q$5:$Q$1204,TRANSACTIONS_MASTER!$D$5:$D$1204,$T43,TRANSACTIONS_MASTER!$Z$5:$Z$1204,$V43,TRANSACTIONS_MASTER!$C$5:$C$1204,$C$2))</f>
        <v/>
      </c>
      <c r="Y43" s="25" t="str">
        <f>IF($S43="","",IF(ISNUMBER(INDEX(CASHBACK_RULES!$J$5:$J$304,$S43)),INDEX(CASHBACK_RULES!$J$5:$J$304,$S43),"∞"))</f>
        <v/>
      </c>
      <c r="Z43" s="25" t="str">
        <f>IF($S43="","",IF(ISNUMBER($Y43),MAX(0,$Y43-$X43),"∞"))</f>
        <v/>
      </c>
      <c r="AA43" s="27" t="str">
        <f>IF($S43="","",IF(ISNUMBER($Y43),IF($Y43=0,0,$X43/$Y43),""))</f>
        <v/>
      </c>
    </row>
    <row r="44" ht="20" customHeight="1">
      <c r="A44" s="81" t="str">
        <f>IF($Q44="","",37)</f>
        <v/>
      </c>
      <c r="B44" s="57" t="str">
        <f>IF($Q44="","",INDEX(TRANSACTIONS_MASTER!$B$5:$B$1204,$Q44))</f>
        <v/>
      </c>
      <c r="C44" s="55" t="str">
        <f>IF($Q44="","",INDEX(TRANSACTIONS_MASTER!$F$5:$F$1204,$Q44))</f>
        <v/>
      </c>
      <c r="D44" s="55" t="str">
        <f>IF($Q44="","",INDEX(TRANSACTIONS_MASTER!$E$5:$E$1204,$Q44))</f>
        <v/>
      </c>
      <c r="E44" s="55" t="str">
        <f>IF($Q44="","",INDEX(TRANSACTIONS_MASTER!$G$5:$G$1204,$Q44)&amp;"")</f>
        <v/>
      </c>
      <c r="F44" s="29" t="str">
        <f>IF($Q44="","",INDEX(TRANSACTIONS_MASTER!$I$5:$I$1204,$Q44))</f>
        <v/>
      </c>
      <c r="G44" s="55" t="str">
        <f>IF($Q44="","",INDEX(TRANSACTIONS_MASTER!$K$5:$K$1204,$Q44))</f>
        <v/>
      </c>
      <c r="H44" s="25" t="str">
        <f>IF($Q44="","",INDEX(TRANSACTIONS_MASTER!$L$5:$L$1204,$Q44))</f>
        <v/>
      </c>
      <c r="I44" s="56" t="str">
        <f>IF($Q44="","",INDEX(TRANSACTIONS_MASTER!$N$5:$N$1204,$Q44))</f>
        <v/>
      </c>
      <c r="J44" s="25" t="str">
        <f>IF($Q44="","",INDEX(TRANSACTIONS_MASTER!$O$5:$O$1204,$Q44))</f>
        <v/>
      </c>
      <c r="K44" s="26" t="str">
        <f>IF($Q44="","",INDEX(TRANSACTIONS_MASTER!$Q$5:$Q$1204,$Q44))</f>
        <v/>
      </c>
      <c r="L44" s="25" t="str">
        <f>IF($Q44="","",INDEX(TRANSACTIONS_MASTER!$P$5:$P$1204,$Q44))</f>
        <v/>
      </c>
      <c r="M44" s="25" t="str">
        <f>IF($Q44="","",INDEX(TRANSACTIONS_MASTER!$AA$5:$AA$1204,$Q44))</f>
        <v/>
      </c>
      <c r="N44" s="25" t="str">
        <f>IF($Q44="","",INDEX(TRANSACTIONS_MASTER!$R$5:$R$1204,$Q44))</f>
        <v/>
      </c>
      <c r="O44" s="28" t="str">
        <f>IF($Q44="","",INDEX(TRANSACTIONS_MASTER!$AB$5:$AB$1204,$Q44))</f>
        <v/>
      </c>
      <c r="P44" s="55" t="str">
        <f>IF($Q44="","",INDEX(TRANSACTIONS_MASTER!$Z$5:$Z$1204,$Q44)&amp;"")</f>
        <v/>
      </c>
      <c r="Q44" s="67" t="str">
        <f>IFERROR(MATCH($C$2&amp;"|"&amp;37,TRANSACTIONS_MASTER!$AE$5:$AE$1204,0),"")</f>
        <v/>
      </c>
      <c r="S44" s="67" t="str">
        <f>IFERROR(MATCH(37,CASHBACK_RULES!$S$5:$S$304,0),"")</f>
        <v/>
      </c>
      <c r="T44" s="55" t="str">
        <f>IF($S44="","",INDEX(CASHBACK_RULES!$B$5:$B$304,$S44))</f>
        <v/>
      </c>
      <c r="U44" s="55" t="str">
        <f>IF($S44="","",INDEX(CASHBACK_RULES!$C$5:$C$304,$S44)&amp;" "&amp;INDEX(CASHBACK_RULES!$D$5:$D$304,$S44))</f>
        <v/>
      </c>
      <c r="V44" s="55" t="str">
        <f>IF($S44="","",INDEX(CASHBACK_RULES!$E$5:$E$304,$S44)&amp;"")</f>
        <v/>
      </c>
      <c r="W44" s="55" t="str">
        <f>IF($S44="","",INDEX(CASHBACK_RULES!$F$5:$F$304,$S44)&amp;"")</f>
        <v/>
      </c>
      <c r="X44" s="26" t="str">
        <f>IF($S44="","",SUMIFS(TRANSACTIONS_MASTER!$Q$5:$Q$1204,TRANSACTIONS_MASTER!$D$5:$D$1204,$T44,TRANSACTIONS_MASTER!$Z$5:$Z$1204,$V44,TRANSACTIONS_MASTER!$C$5:$C$1204,$C$2))</f>
        <v/>
      </c>
      <c r="Y44" s="25" t="str">
        <f>IF($S44="","",IF(ISNUMBER(INDEX(CASHBACK_RULES!$J$5:$J$304,$S44)),INDEX(CASHBACK_RULES!$J$5:$J$304,$S44),"∞"))</f>
        <v/>
      </c>
      <c r="Z44" s="25" t="str">
        <f>IF($S44="","",IF(ISNUMBER($Y44),MAX(0,$Y44-$X44),"∞"))</f>
        <v/>
      </c>
      <c r="AA44" s="27" t="str">
        <f>IF($S44="","",IF(ISNUMBER($Y44),IF($Y44=0,0,$X44/$Y44),""))</f>
        <v/>
      </c>
    </row>
    <row r="45" ht="20" customHeight="1">
      <c r="A45" s="81" t="str">
        <f>IF($Q45="","",38)</f>
        <v/>
      </c>
      <c r="B45" s="57" t="str">
        <f>IF($Q45="","",INDEX(TRANSACTIONS_MASTER!$B$5:$B$1204,$Q45))</f>
        <v/>
      </c>
      <c r="C45" s="55" t="str">
        <f>IF($Q45="","",INDEX(TRANSACTIONS_MASTER!$F$5:$F$1204,$Q45))</f>
        <v/>
      </c>
      <c r="D45" s="55" t="str">
        <f>IF($Q45="","",INDEX(TRANSACTIONS_MASTER!$E$5:$E$1204,$Q45))</f>
        <v/>
      </c>
      <c r="E45" s="55" t="str">
        <f>IF($Q45="","",INDEX(TRANSACTIONS_MASTER!$G$5:$G$1204,$Q45)&amp;"")</f>
        <v/>
      </c>
      <c r="F45" s="29" t="str">
        <f>IF($Q45="","",INDEX(TRANSACTIONS_MASTER!$I$5:$I$1204,$Q45))</f>
        <v/>
      </c>
      <c r="G45" s="55" t="str">
        <f>IF($Q45="","",INDEX(TRANSACTIONS_MASTER!$K$5:$K$1204,$Q45))</f>
        <v/>
      </c>
      <c r="H45" s="25" t="str">
        <f>IF($Q45="","",INDEX(TRANSACTIONS_MASTER!$L$5:$L$1204,$Q45))</f>
        <v/>
      </c>
      <c r="I45" s="56" t="str">
        <f>IF($Q45="","",INDEX(TRANSACTIONS_MASTER!$N$5:$N$1204,$Q45))</f>
        <v/>
      </c>
      <c r="J45" s="25" t="str">
        <f>IF($Q45="","",INDEX(TRANSACTIONS_MASTER!$O$5:$O$1204,$Q45))</f>
        <v/>
      </c>
      <c r="K45" s="26" t="str">
        <f>IF($Q45="","",INDEX(TRANSACTIONS_MASTER!$Q$5:$Q$1204,$Q45))</f>
        <v/>
      </c>
      <c r="L45" s="25" t="str">
        <f>IF($Q45="","",INDEX(TRANSACTIONS_MASTER!$P$5:$P$1204,$Q45))</f>
        <v/>
      </c>
      <c r="M45" s="25" t="str">
        <f>IF($Q45="","",INDEX(TRANSACTIONS_MASTER!$AA$5:$AA$1204,$Q45))</f>
        <v/>
      </c>
      <c r="N45" s="25" t="str">
        <f>IF($Q45="","",INDEX(TRANSACTIONS_MASTER!$R$5:$R$1204,$Q45))</f>
        <v/>
      </c>
      <c r="O45" s="28" t="str">
        <f>IF($Q45="","",INDEX(TRANSACTIONS_MASTER!$AB$5:$AB$1204,$Q45))</f>
        <v/>
      </c>
      <c r="P45" s="55" t="str">
        <f>IF($Q45="","",INDEX(TRANSACTIONS_MASTER!$Z$5:$Z$1204,$Q45)&amp;"")</f>
        <v/>
      </c>
      <c r="Q45" s="67" t="str">
        <f>IFERROR(MATCH($C$2&amp;"|"&amp;38,TRANSACTIONS_MASTER!$AE$5:$AE$1204,0),"")</f>
        <v/>
      </c>
      <c r="S45" s="67" t="str">
        <f>IFERROR(MATCH(38,CASHBACK_RULES!$S$5:$S$304,0),"")</f>
        <v/>
      </c>
      <c r="T45" s="55" t="str">
        <f>IF($S45="","",INDEX(CASHBACK_RULES!$B$5:$B$304,$S45))</f>
        <v/>
      </c>
      <c r="U45" s="55" t="str">
        <f>IF($S45="","",INDEX(CASHBACK_RULES!$C$5:$C$304,$S45)&amp;" "&amp;INDEX(CASHBACK_RULES!$D$5:$D$304,$S45))</f>
        <v/>
      </c>
      <c r="V45" s="55" t="str">
        <f>IF($S45="","",INDEX(CASHBACK_RULES!$E$5:$E$304,$S45)&amp;"")</f>
        <v/>
      </c>
      <c r="W45" s="55" t="str">
        <f>IF($S45="","",INDEX(CASHBACK_RULES!$F$5:$F$304,$S45)&amp;"")</f>
        <v/>
      </c>
      <c r="X45" s="26" t="str">
        <f>IF($S45="","",SUMIFS(TRANSACTIONS_MASTER!$Q$5:$Q$1204,TRANSACTIONS_MASTER!$D$5:$D$1204,$T45,TRANSACTIONS_MASTER!$Z$5:$Z$1204,$V45,TRANSACTIONS_MASTER!$C$5:$C$1204,$C$2))</f>
        <v/>
      </c>
      <c r="Y45" s="25" t="str">
        <f>IF($S45="","",IF(ISNUMBER(INDEX(CASHBACK_RULES!$J$5:$J$304,$S45)),INDEX(CASHBACK_RULES!$J$5:$J$304,$S45),"∞"))</f>
        <v/>
      </c>
      <c r="Z45" s="25" t="str">
        <f>IF($S45="","",IF(ISNUMBER($Y45),MAX(0,$Y45-$X45),"∞"))</f>
        <v/>
      </c>
      <c r="AA45" s="27" t="str">
        <f>IF($S45="","",IF(ISNUMBER($Y45),IF($Y45=0,0,$X45/$Y45),""))</f>
        <v/>
      </c>
    </row>
    <row r="46" ht="20" customHeight="1">
      <c r="A46" s="81" t="str">
        <f>IF($Q46="","",39)</f>
        <v/>
      </c>
      <c r="B46" s="57" t="str">
        <f>IF($Q46="","",INDEX(TRANSACTIONS_MASTER!$B$5:$B$1204,$Q46))</f>
        <v/>
      </c>
      <c r="C46" s="55" t="str">
        <f>IF($Q46="","",INDEX(TRANSACTIONS_MASTER!$F$5:$F$1204,$Q46))</f>
        <v/>
      </c>
      <c r="D46" s="55" t="str">
        <f>IF($Q46="","",INDEX(TRANSACTIONS_MASTER!$E$5:$E$1204,$Q46))</f>
        <v/>
      </c>
      <c r="E46" s="55" t="str">
        <f>IF($Q46="","",INDEX(TRANSACTIONS_MASTER!$G$5:$G$1204,$Q46)&amp;"")</f>
        <v/>
      </c>
      <c r="F46" s="29" t="str">
        <f>IF($Q46="","",INDEX(TRANSACTIONS_MASTER!$I$5:$I$1204,$Q46))</f>
        <v/>
      </c>
      <c r="G46" s="55" t="str">
        <f>IF($Q46="","",INDEX(TRANSACTIONS_MASTER!$K$5:$K$1204,$Q46))</f>
        <v/>
      </c>
      <c r="H46" s="25" t="str">
        <f>IF($Q46="","",INDEX(TRANSACTIONS_MASTER!$L$5:$L$1204,$Q46))</f>
        <v/>
      </c>
      <c r="I46" s="56" t="str">
        <f>IF($Q46="","",INDEX(TRANSACTIONS_MASTER!$N$5:$N$1204,$Q46))</f>
        <v/>
      </c>
      <c r="J46" s="25" t="str">
        <f>IF($Q46="","",INDEX(TRANSACTIONS_MASTER!$O$5:$O$1204,$Q46))</f>
        <v/>
      </c>
      <c r="K46" s="26" t="str">
        <f>IF($Q46="","",INDEX(TRANSACTIONS_MASTER!$Q$5:$Q$1204,$Q46))</f>
        <v/>
      </c>
      <c r="L46" s="25" t="str">
        <f>IF($Q46="","",INDEX(TRANSACTIONS_MASTER!$P$5:$P$1204,$Q46))</f>
        <v/>
      </c>
      <c r="M46" s="25" t="str">
        <f>IF($Q46="","",INDEX(TRANSACTIONS_MASTER!$AA$5:$AA$1204,$Q46))</f>
        <v/>
      </c>
      <c r="N46" s="25" t="str">
        <f>IF($Q46="","",INDEX(TRANSACTIONS_MASTER!$R$5:$R$1204,$Q46))</f>
        <v/>
      </c>
      <c r="O46" s="28" t="str">
        <f>IF($Q46="","",INDEX(TRANSACTIONS_MASTER!$AB$5:$AB$1204,$Q46))</f>
        <v/>
      </c>
      <c r="P46" s="55" t="str">
        <f>IF($Q46="","",INDEX(TRANSACTIONS_MASTER!$Z$5:$Z$1204,$Q46)&amp;"")</f>
        <v/>
      </c>
      <c r="Q46" s="67" t="str">
        <f>IFERROR(MATCH($C$2&amp;"|"&amp;39,TRANSACTIONS_MASTER!$AE$5:$AE$1204,0),"")</f>
        <v/>
      </c>
      <c r="S46" s="67" t="str">
        <f>IFERROR(MATCH(39,CASHBACK_RULES!$S$5:$S$304,0),"")</f>
        <v/>
      </c>
      <c r="T46" s="55" t="str">
        <f>IF($S46="","",INDEX(CASHBACK_RULES!$B$5:$B$304,$S46))</f>
        <v/>
      </c>
      <c r="U46" s="55" t="str">
        <f>IF($S46="","",INDEX(CASHBACK_RULES!$C$5:$C$304,$S46)&amp;" "&amp;INDEX(CASHBACK_RULES!$D$5:$D$304,$S46))</f>
        <v/>
      </c>
      <c r="V46" s="55" t="str">
        <f>IF($S46="","",INDEX(CASHBACK_RULES!$E$5:$E$304,$S46)&amp;"")</f>
        <v/>
      </c>
      <c r="W46" s="55" t="str">
        <f>IF($S46="","",INDEX(CASHBACK_RULES!$F$5:$F$304,$S46)&amp;"")</f>
        <v/>
      </c>
      <c r="X46" s="26" t="str">
        <f>IF($S46="","",SUMIFS(TRANSACTIONS_MASTER!$Q$5:$Q$1204,TRANSACTIONS_MASTER!$D$5:$D$1204,$T46,TRANSACTIONS_MASTER!$Z$5:$Z$1204,$V46,TRANSACTIONS_MASTER!$C$5:$C$1204,$C$2))</f>
        <v/>
      </c>
      <c r="Y46" s="25" t="str">
        <f>IF($S46="","",IF(ISNUMBER(INDEX(CASHBACK_RULES!$J$5:$J$304,$S46)),INDEX(CASHBACK_RULES!$J$5:$J$304,$S46),"∞"))</f>
        <v/>
      </c>
      <c r="Z46" s="25" t="str">
        <f>IF($S46="","",IF(ISNUMBER($Y46),MAX(0,$Y46-$X46),"∞"))</f>
        <v/>
      </c>
      <c r="AA46" s="27" t="str">
        <f>IF($S46="","",IF(ISNUMBER($Y46),IF($Y46=0,0,$X46/$Y46),""))</f>
        <v/>
      </c>
    </row>
    <row r="47" ht="20" customHeight="1">
      <c r="A47" s="81" t="str">
        <f>IF($Q47="","",40)</f>
        <v/>
      </c>
      <c r="B47" s="57" t="str">
        <f>IF($Q47="","",INDEX(TRANSACTIONS_MASTER!$B$5:$B$1204,$Q47))</f>
        <v/>
      </c>
      <c r="C47" s="55" t="str">
        <f>IF($Q47="","",INDEX(TRANSACTIONS_MASTER!$F$5:$F$1204,$Q47))</f>
        <v/>
      </c>
      <c r="D47" s="55" t="str">
        <f>IF($Q47="","",INDEX(TRANSACTIONS_MASTER!$E$5:$E$1204,$Q47))</f>
        <v/>
      </c>
      <c r="E47" s="55" t="str">
        <f>IF($Q47="","",INDEX(TRANSACTIONS_MASTER!$G$5:$G$1204,$Q47)&amp;"")</f>
        <v/>
      </c>
      <c r="F47" s="29" t="str">
        <f>IF($Q47="","",INDEX(TRANSACTIONS_MASTER!$I$5:$I$1204,$Q47))</f>
        <v/>
      </c>
      <c r="G47" s="55" t="str">
        <f>IF($Q47="","",INDEX(TRANSACTIONS_MASTER!$K$5:$K$1204,$Q47))</f>
        <v/>
      </c>
      <c r="H47" s="25" t="str">
        <f>IF($Q47="","",INDEX(TRANSACTIONS_MASTER!$L$5:$L$1204,$Q47))</f>
        <v/>
      </c>
      <c r="I47" s="56" t="str">
        <f>IF($Q47="","",INDEX(TRANSACTIONS_MASTER!$N$5:$N$1204,$Q47))</f>
        <v/>
      </c>
      <c r="J47" s="25" t="str">
        <f>IF($Q47="","",INDEX(TRANSACTIONS_MASTER!$O$5:$O$1204,$Q47))</f>
        <v/>
      </c>
      <c r="K47" s="26" t="str">
        <f>IF($Q47="","",INDEX(TRANSACTIONS_MASTER!$Q$5:$Q$1204,$Q47))</f>
        <v/>
      </c>
      <c r="L47" s="25" t="str">
        <f>IF($Q47="","",INDEX(TRANSACTIONS_MASTER!$P$5:$P$1204,$Q47))</f>
        <v/>
      </c>
      <c r="M47" s="25" t="str">
        <f>IF($Q47="","",INDEX(TRANSACTIONS_MASTER!$AA$5:$AA$1204,$Q47))</f>
        <v/>
      </c>
      <c r="N47" s="25" t="str">
        <f>IF($Q47="","",INDEX(TRANSACTIONS_MASTER!$R$5:$R$1204,$Q47))</f>
        <v/>
      </c>
      <c r="O47" s="28" t="str">
        <f>IF($Q47="","",INDEX(TRANSACTIONS_MASTER!$AB$5:$AB$1204,$Q47))</f>
        <v/>
      </c>
      <c r="P47" s="55" t="str">
        <f>IF($Q47="","",INDEX(TRANSACTIONS_MASTER!$Z$5:$Z$1204,$Q47)&amp;"")</f>
        <v/>
      </c>
      <c r="Q47" s="67" t="str">
        <f>IFERROR(MATCH($C$2&amp;"|"&amp;40,TRANSACTIONS_MASTER!$AE$5:$AE$1204,0),"")</f>
        <v/>
      </c>
      <c r="S47" s="67" t="str">
        <f>IFERROR(MATCH(40,CASHBACK_RULES!$S$5:$S$304,0),"")</f>
        <v/>
      </c>
      <c r="T47" s="55" t="str">
        <f>IF($S47="","",INDEX(CASHBACK_RULES!$B$5:$B$304,$S47))</f>
        <v/>
      </c>
      <c r="U47" s="55" t="str">
        <f>IF($S47="","",INDEX(CASHBACK_RULES!$C$5:$C$304,$S47)&amp;" "&amp;INDEX(CASHBACK_RULES!$D$5:$D$304,$S47))</f>
        <v/>
      </c>
      <c r="V47" s="55" t="str">
        <f>IF($S47="","",INDEX(CASHBACK_RULES!$E$5:$E$304,$S47)&amp;"")</f>
        <v/>
      </c>
      <c r="W47" s="55" t="str">
        <f>IF($S47="","",INDEX(CASHBACK_RULES!$F$5:$F$304,$S47)&amp;"")</f>
        <v/>
      </c>
      <c r="X47" s="26" t="str">
        <f>IF($S47="","",SUMIFS(TRANSACTIONS_MASTER!$Q$5:$Q$1204,TRANSACTIONS_MASTER!$D$5:$D$1204,$T47,TRANSACTIONS_MASTER!$Z$5:$Z$1204,$V47,TRANSACTIONS_MASTER!$C$5:$C$1204,$C$2))</f>
        <v/>
      </c>
      <c r="Y47" s="25" t="str">
        <f>IF($S47="","",IF(ISNUMBER(INDEX(CASHBACK_RULES!$J$5:$J$304,$S47)),INDEX(CASHBACK_RULES!$J$5:$J$304,$S47),"∞"))</f>
        <v/>
      </c>
      <c r="Z47" s="25" t="str">
        <f>IF($S47="","",IF(ISNUMBER($Y47),MAX(0,$Y47-$X47),"∞"))</f>
        <v/>
      </c>
      <c r="AA47" s="27" t="str">
        <f>IF($S47="","",IF(ISNUMBER($Y47),IF($Y47=0,0,$X47/$Y47),""))</f>
        <v/>
      </c>
    </row>
    <row r="48" ht="20" customHeight="1">
      <c r="A48" s="81" t="str">
        <f>IF($Q48="","",41)</f>
        <v/>
      </c>
      <c r="B48" s="57" t="str">
        <f>IF($Q48="","",INDEX(TRANSACTIONS_MASTER!$B$5:$B$1204,$Q48))</f>
        <v/>
      </c>
      <c r="C48" s="55" t="str">
        <f>IF($Q48="","",INDEX(TRANSACTIONS_MASTER!$F$5:$F$1204,$Q48))</f>
        <v/>
      </c>
      <c r="D48" s="55" t="str">
        <f>IF($Q48="","",INDEX(TRANSACTIONS_MASTER!$E$5:$E$1204,$Q48))</f>
        <v/>
      </c>
      <c r="E48" s="55" t="str">
        <f>IF($Q48="","",INDEX(TRANSACTIONS_MASTER!$G$5:$G$1204,$Q48)&amp;"")</f>
        <v/>
      </c>
      <c r="F48" s="29" t="str">
        <f>IF($Q48="","",INDEX(TRANSACTIONS_MASTER!$I$5:$I$1204,$Q48))</f>
        <v/>
      </c>
      <c r="G48" s="55" t="str">
        <f>IF($Q48="","",INDEX(TRANSACTIONS_MASTER!$K$5:$K$1204,$Q48))</f>
        <v/>
      </c>
      <c r="H48" s="25" t="str">
        <f>IF($Q48="","",INDEX(TRANSACTIONS_MASTER!$L$5:$L$1204,$Q48))</f>
        <v/>
      </c>
      <c r="I48" s="56" t="str">
        <f>IF($Q48="","",INDEX(TRANSACTIONS_MASTER!$N$5:$N$1204,$Q48))</f>
        <v/>
      </c>
      <c r="J48" s="25" t="str">
        <f>IF($Q48="","",INDEX(TRANSACTIONS_MASTER!$O$5:$O$1204,$Q48))</f>
        <v/>
      </c>
      <c r="K48" s="26" t="str">
        <f>IF($Q48="","",INDEX(TRANSACTIONS_MASTER!$Q$5:$Q$1204,$Q48))</f>
        <v/>
      </c>
      <c r="L48" s="25" t="str">
        <f>IF($Q48="","",INDEX(TRANSACTIONS_MASTER!$P$5:$P$1204,$Q48))</f>
        <v/>
      </c>
      <c r="M48" s="25" t="str">
        <f>IF($Q48="","",INDEX(TRANSACTIONS_MASTER!$AA$5:$AA$1204,$Q48))</f>
        <v/>
      </c>
      <c r="N48" s="25" t="str">
        <f>IF($Q48="","",INDEX(TRANSACTIONS_MASTER!$R$5:$R$1204,$Q48))</f>
        <v/>
      </c>
      <c r="O48" s="28" t="str">
        <f>IF($Q48="","",INDEX(TRANSACTIONS_MASTER!$AB$5:$AB$1204,$Q48))</f>
        <v/>
      </c>
      <c r="P48" s="55" t="str">
        <f>IF($Q48="","",INDEX(TRANSACTIONS_MASTER!$Z$5:$Z$1204,$Q48)&amp;"")</f>
        <v/>
      </c>
      <c r="Q48" s="67" t="str">
        <f>IFERROR(MATCH($C$2&amp;"|"&amp;41,TRANSACTIONS_MASTER!$AE$5:$AE$1204,0),"")</f>
        <v/>
      </c>
      <c r="S48" s="67" t="str">
        <f>IFERROR(MATCH(41,CASHBACK_RULES!$S$5:$S$304,0),"")</f>
        <v/>
      </c>
      <c r="T48" s="55" t="str">
        <f>IF($S48="","",INDEX(CASHBACK_RULES!$B$5:$B$304,$S48))</f>
        <v/>
      </c>
      <c r="U48" s="55" t="str">
        <f>IF($S48="","",INDEX(CASHBACK_RULES!$C$5:$C$304,$S48)&amp;" "&amp;INDEX(CASHBACK_RULES!$D$5:$D$304,$S48))</f>
        <v/>
      </c>
      <c r="V48" s="55" t="str">
        <f>IF($S48="","",INDEX(CASHBACK_RULES!$E$5:$E$304,$S48)&amp;"")</f>
        <v/>
      </c>
      <c r="W48" s="55" t="str">
        <f>IF($S48="","",INDEX(CASHBACK_RULES!$F$5:$F$304,$S48)&amp;"")</f>
        <v/>
      </c>
      <c r="X48" s="26" t="str">
        <f>IF($S48="","",SUMIFS(TRANSACTIONS_MASTER!$Q$5:$Q$1204,TRANSACTIONS_MASTER!$D$5:$D$1204,$T48,TRANSACTIONS_MASTER!$Z$5:$Z$1204,$V48,TRANSACTIONS_MASTER!$C$5:$C$1204,$C$2))</f>
        <v/>
      </c>
      <c r="Y48" s="25" t="str">
        <f>IF($S48="","",IF(ISNUMBER(INDEX(CASHBACK_RULES!$J$5:$J$304,$S48)),INDEX(CASHBACK_RULES!$J$5:$J$304,$S48),"∞"))</f>
        <v/>
      </c>
      <c r="Z48" s="25" t="str">
        <f>IF($S48="","",IF(ISNUMBER($Y48),MAX(0,$Y48-$X48),"∞"))</f>
        <v/>
      </c>
      <c r="AA48" s="27" t="str">
        <f>IF($S48="","",IF(ISNUMBER($Y48),IF($Y48=0,0,$X48/$Y48),""))</f>
        <v/>
      </c>
    </row>
    <row r="49" ht="20" customHeight="1">
      <c r="A49" s="81" t="str">
        <f>IF($Q49="","",42)</f>
        <v/>
      </c>
      <c r="B49" s="57" t="str">
        <f>IF($Q49="","",INDEX(TRANSACTIONS_MASTER!$B$5:$B$1204,$Q49))</f>
        <v/>
      </c>
      <c r="C49" s="55" t="str">
        <f>IF($Q49="","",INDEX(TRANSACTIONS_MASTER!$F$5:$F$1204,$Q49))</f>
        <v/>
      </c>
      <c r="D49" s="55" t="str">
        <f>IF($Q49="","",INDEX(TRANSACTIONS_MASTER!$E$5:$E$1204,$Q49))</f>
        <v/>
      </c>
      <c r="E49" s="55" t="str">
        <f>IF($Q49="","",INDEX(TRANSACTIONS_MASTER!$G$5:$G$1204,$Q49)&amp;"")</f>
        <v/>
      </c>
      <c r="F49" s="29" t="str">
        <f>IF($Q49="","",INDEX(TRANSACTIONS_MASTER!$I$5:$I$1204,$Q49))</f>
        <v/>
      </c>
      <c r="G49" s="55" t="str">
        <f>IF($Q49="","",INDEX(TRANSACTIONS_MASTER!$K$5:$K$1204,$Q49))</f>
        <v/>
      </c>
      <c r="H49" s="25" t="str">
        <f>IF($Q49="","",INDEX(TRANSACTIONS_MASTER!$L$5:$L$1204,$Q49))</f>
        <v/>
      </c>
      <c r="I49" s="56" t="str">
        <f>IF($Q49="","",INDEX(TRANSACTIONS_MASTER!$N$5:$N$1204,$Q49))</f>
        <v/>
      </c>
      <c r="J49" s="25" t="str">
        <f>IF($Q49="","",INDEX(TRANSACTIONS_MASTER!$O$5:$O$1204,$Q49))</f>
        <v/>
      </c>
      <c r="K49" s="26" t="str">
        <f>IF($Q49="","",INDEX(TRANSACTIONS_MASTER!$Q$5:$Q$1204,$Q49))</f>
        <v/>
      </c>
      <c r="L49" s="25" t="str">
        <f>IF($Q49="","",INDEX(TRANSACTIONS_MASTER!$P$5:$P$1204,$Q49))</f>
        <v/>
      </c>
      <c r="M49" s="25" t="str">
        <f>IF($Q49="","",INDEX(TRANSACTIONS_MASTER!$AA$5:$AA$1204,$Q49))</f>
        <v/>
      </c>
      <c r="N49" s="25" t="str">
        <f>IF($Q49="","",INDEX(TRANSACTIONS_MASTER!$R$5:$R$1204,$Q49))</f>
        <v/>
      </c>
      <c r="O49" s="28" t="str">
        <f>IF($Q49="","",INDEX(TRANSACTIONS_MASTER!$AB$5:$AB$1204,$Q49))</f>
        <v/>
      </c>
      <c r="P49" s="55" t="str">
        <f>IF($Q49="","",INDEX(TRANSACTIONS_MASTER!$Z$5:$Z$1204,$Q49)&amp;"")</f>
        <v/>
      </c>
      <c r="Q49" s="67" t="str">
        <f>IFERROR(MATCH($C$2&amp;"|"&amp;42,TRANSACTIONS_MASTER!$AE$5:$AE$1204,0),"")</f>
        <v/>
      </c>
      <c r="S49" s="67" t="str">
        <f>IFERROR(MATCH(42,CASHBACK_RULES!$S$5:$S$304,0),"")</f>
        <v/>
      </c>
      <c r="T49" s="55" t="str">
        <f>IF($S49="","",INDEX(CASHBACK_RULES!$B$5:$B$304,$S49))</f>
        <v/>
      </c>
      <c r="U49" s="55" t="str">
        <f>IF($S49="","",INDEX(CASHBACK_RULES!$C$5:$C$304,$S49)&amp;" "&amp;INDEX(CASHBACK_RULES!$D$5:$D$304,$S49))</f>
        <v/>
      </c>
      <c r="V49" s="55" t="str">
        <f>IF($S49="","",INDEX(CASHBACK_RULES!$E$5:$E$304,$S49)&amp;"")</f>
        <v/>
      </c>
      <c r="W49" s="55" t="str">
        <f>IF($S49="","",INDEX(CASHBACK_RULES!$F$5:$F$304,$S49)&amp;"")</f>
        <v/>
      </c>
      <c r="X49" s="26" t="str">
        <f>IF($S49="","",SUMIFS(TRANSACTIONS_MASTER!$Q$5:$Q$1204,TRANSACTIONS_MASTER!$D$5:$D$1204,$T49,TRANSACTIONS_MASTER!$Z$5:$Z$1204,$V49,TRANSACTIONS_MASTER!$C$5:$C$1204,$C$2))</f>
        <v/>
      </c>
      <c r="Y49" s="25" t="str">
        <f>IF($S49="","",IF(ISNUMBER(INDEX(CASHBACK_RULES!$J$5:$J$304,$S49)),INDEX(CASHBACK_RULES!$J$5:$J$304,$S49),"∞"))</f>
        <v/>
      </c>
      <c r="Z49" s="25" t="str">
        <f>IF($S49="","",IF(ISNUMBER($Y49),MAX(0,$Y49-$X49),"∞"))</f>
        <v/>
      </c>
      <c r="AA49" s="27" t="str">
        <f>IF($S49="","",IF(ISNUMBER($Y49),IF($Y49=0,0,$X49/$Y49),""))</f>
        <v/>
      </c>
    </row>
    <row r="50" ht="20" customHeight="1">
      <c r="A50" s="81" t="str">
        <f>IF($Q50="","",43)</f>
        <v/>
      </c>
      <c r="B50" s="57" t="str">
        <f>IF($Q50="","",INDEX(TRANSACTIONS_MASTER!$B$5:$B$1204,$Q50))</f>
        <v/>
      </c>
      <c r="C50" s="55" t="str">
        <f>IF($Q50="","",INDEX(TRANSACTIONS_MASTER!$F$5:$F$1204,$Q50))</f>
        <v/>
      </c>
      <c r="D50" s="55" t="str">
        <f>IF($Q50="","",INDEX(TRANSACTIONS_MASTER!$E$5:$E$1204,$Q50))</f>
        <v/>
      </c>
      <c r="E50" s="55" t="str">
        <f>IF($Q50="","",INDEX(TRANSACTIONS_MASTER!$G$5:$G$1204,$Q50)&amp;"")</f>
        <v/>
      </c>
      <c r="F50" s="29" t="str">
        <f>IF($Q50="","",INDEX(TRANSACTIONS_MASTER!$I$5:$I$1204,$Q50))</f>
        <v/>
      </c>
      <c r="G50" s="55" t="str">
        <f>IF($Q50="","",INDEX(TRANSACTIONS_MASTER!$K$5:$K$1204,$Q50))</f>
        <v/>
      </c>
      <c r="H50" s="25" t="str">
        <f>IF($Q50="","",INDEX(TRANSACTIONS_MASTER!$L$5:$L$1204,$Q50))</f>
        <v/>
      </c>
      <c r="I50" s="56" t="str">
        <f>IF($Q50="","",INDEX(TRANSACTIONS_MASTER!$N$5:$N$1204,$Q50))</f>
        <v/>
      </c>
      <c r="J50" s="25" t="str">
        <f>IF($Q50="","",INDEX(TRANSACTIONS_MASTER!$O$5:$O$1204,$Q50))</f>
        <v/>
      </c>
      <c r="K50" s="26" t="str">
        <f>IF($Q50="","",INDEX(TRANSACTIONS_MASTER!$Q$5:$Q$1204,$Q50))</f>
        <v/>
      </c>
      <c r="L50" s="25" t="str">
        <f>IF($Q50="","",INDEX(TRANSACTIONS_MASTER!$P$5:$P$1204,$Q50))</f>
        <v/>
      </c>
      <c r="M50" s="25" t="str">
        <f>IF($Q50="","",INDEX(TRANSACTIONS_MASTER!$AA$5:$AA$1204,$Q50))</f>
        <v/>
      </c>
      <c r="N50" s="25" t="str">
        <f>IF($Q50="","",INDEX(TRANSACTIONS_MASTER!$R$5:$R$1204,$Q50))</f>
        <v/>
      </c>
      <c r="O50" s="28" t="str">
        <f>IF($Q50="","",INDEX(TRANSACTIONS_MASTER!$AB$5:$AB$1204,$Q50))</f>
        <v/>
      </c>
      <c r="P50" s="55" t="str">
        <f>IF($Q50="","",INDEX(TRANSACTIONS_MASTER!$Z$5:$Z$1204,$Q50)&amp;"")</f>
        <v/>
      </c>
      <c r="Q50" s="67" t="str">
        <f>IFERROR(MATCH($C$2&amp;"|"&amp;43,TRANSACTIONS_MASTER!$AE$5:$AE$1204,0),"")</f>
        <v/>
      </c>
      <c r="S50" s="67" t="str">
        <f>IFERROR(MATCH(43,CASHBACK_RULES!$S$5:$S$304,0),"")</f>
        <v/>
      </c>
      <c r="T50" s="55" t="str">
        <f>IF($S50="","",INDEX(CASHBACK_RULES!$B$5:$B$304,$S50))</f>
        <v/>
      </c>
      <c r="U50" s="55" t="str">
        <f>IF($S50="","",INDEX(CASHBACK_RULES!$C$5:$C$304,$S50)&amp;" "&amp;INDEX(CASHBACK_RULES!$D$5:$D$304,$S50))</f>
        <v/>
      </c>
      <c r="V50" s="55" t="str">
        <f>IF($S50="","",INDEX(CASHBACK_RULES!$E$5:$E$304,$S50)&amp;"")</f>
        <v/>
      </c>
      <c r="W50" s="55" t="str">
        <f>IF($S50="","",INDEX(CASHBACK_RULES!$F$5:$F$304,$S50)&amp;"")</f>
        <v/>
      </c>
      <c r="X50" s="26" t="str">
        <f>IF($S50="","",SUMIFS(TRANSACTIONS_MASTER!$Q$5:$Q$1204,TRANSACTIONS_MASTER!$D$5:$D$1204,$T50,TRANSACTIONS_MASTER!$Z$5:$Z$1204,$V50,TRANSACTIONS_MASTER!$C$5:$C$1204,$C$2))</f>
        <v/>
      </c>
      <c r="Y50" s="25" t="str">
        <f>IF($S50="","",IF(ISNUMBER(INDEX(CASHBACK_RULES!$J$5:$J$304,$S50)),INDEX(CASHBACK_RULES!$J$5:$J$304,$S50),"∞"))</f>
        <v/>
      </c>
      <c r="Z50" s="25" t="str">
        <f>IF($S50="","",IF(ISNUMBER($Y50),MAX(0,$Y50-$X50),"∞"))</f>
        <v/>
      </c>
      <c r="AA50" s="27" t="str">
        <f>IF($S50="","",IF(ISNUMBER($Y50),IF($Y50=0,0,$X50/$Y50),""))</f>
        <v/>
      </c>
    </row>
    <row r="51" ht="20" customHeight="1">
      <c r="A51" s="81" t="str">
        <f>IF($Q51="","",44)</f>
        <v/>
      </c>
      <c r="B51" s="57" t="str">
        <f>IF($Q51="","",INDEX(TRANSACTIONS_MASTER!$B$5:$B$1204,$Q51))</f>
        <v/>
      </c>
      <c r="C51" s="55" t="str">
        <f>IF($Q51="","",INDEX(TRANSACTIONS_MASTER!$F$5:$F$1204,$Q51))</f>
        <v/>
      </c>
      <c r="D51" s="55" t="str">
        <f>IF($Q51="","",INDEX(TRANSACTIONS_MASTER!$E$5:$E$1204,$Q51))</f>
        <v/>
      </c>
      <c r="E51" s="55" t="str">
        <f>IF($Q51="","",INDEX(TRANSACTIONS_MASTER!$G$5:$G$1204,$Q51)&amp;"")</f>
        <v/>
      </c>
      <c r="F51" s="29" t="str">
        <f>IF($Q51="","",INDEX(TRANSACTIONS_MASTER!$I$5:$I$1204,$Q51))</f>
        <v/>
      </c>
      <c r="G51" s="55" t="str">
        <f>IF($Q51="","",INDEX(TRANSACTIONS_MASTER!$K$5:$K$1204,$Q51))</f>
        <v/>
      </c>
      <c r="H51" s="25" t="str">
        <f>IF($Q51="","",INDEX(TRANSACTIONS_MASTER!$L$5:$L$1204,$Q51))</f>
        <v/>
      </c>
      <c r="I51" s="56" t="str">
        <f>IF($Q51="","",INDEX(TRANSACTIONS_MASTER!$N$5:$N$1204,$Q51))</f>
        <v/>
      </c>
      <c r="J51" s="25" t="str">
        <f>IF($Q51="","",INDEX(TRANSACTIONS_MASTER!$O$5:$O$1204,$Q51))</f>
        <v/>
      </c>
      <c r="K51" s="26" t="str">
        <f>IF($Q51="","",INDEX(TRANSACTIONS_MASTER!$Q$5:$Q$1204,$Q51))</f>
        <v/>
      </c>
      <c r="L51" s="25" t="str">
        <f>IF($Q51="","",INDEX(TRANSACTIONS_MASTER!$P$5:$P$1204,$Q51))</f>
        <v/>
      </c>
      <c r="M51" s="25" t="str">
        <f>IF($Q51="","",INDEX(TRANSACTIONS_MASTER!$AA$5:$AA$1204,$Q51))</f>
        <v/>
      </c>
      <c r="N51" s="25" t="str">
        <f>IF($Q51="","",INDEX(TRANSACTIONS_MASTER!$R$5:$R$1204,$Q51))</f>
        <v/>
      </c>
      <c r="O51" s="28" t="str">
        <f>IF($Q51="","",INDEX(TRANSACTIONS_MASTER!$AB$5:$AB$1204,$Q51))</f>
        <v/>
      </c>
      <c r="P51" s="55" t="str">
        <f>IF($Q51="","",INDEX(TRANSACTIONS_MASTER!$Z$5:$Z$1204,$Q51)&amp;"")</f>
        <v/>
      </c>
      <c r="Q51" s="67" t="str">
        <f>IFERROR(MATCH($C$2&amp;"|"&amp;44,TRANSACTIONS_MASTER!$AE$5:$AE$1204,0),"")</f>
        <v/>
      </c>
      <c r="S51" s="67" t="str">
        <f>IFERROR(MATCH(44,CASHBACK_RULES!$S$5:$S$304,0),"")</f>
        <v/>
      </c>
      <c r="T51" s="55" t="str">
        <f>IF($S51="","",INDEX(CASHBACK_RULES!$B$5:$B$304,$S51))</f>
        <v/>
      </c>
      <c r="U51" s="55" t="str">
        <f>IF($S51="","",INDEX(CASHBACK_RULES!$C$5:$C$304,$S51)&amp;" "&amp;INDEX(CASHBACK_RULES!$D$5:$D$304,$S51))</f>
        <v/>
      </c>
      <c r="V51" s="55" t="str">
        <f>IF($S51="","",INDEX(CASHBACK_RULES!$E$5:$E$304,$S51)&amp;"")</f>
        <v/>
      </c>
      <c r="W51" s="55" t="str">
        <f>IF($S51="","",INDEX(CASHBACK_RULES!$F$5:$F$304,$S51)&amp;"")</f>
        <v/>
      </c>
      <c r="X51" s="26" t="str">
        <f>IF($S51="","",SUMIFS(TRANSACTIONS_MASTER!$Q$5:$Q$1204,TRANSACTIONS_MASTER!$D$5:$D$1204,$T51,TRANSACTIONS_MASTER!$Z$5:$Z$1204,$V51,TRANSACTIONS_MASTER!$C$5:$C$1204,$C$2))</f>
        <v/>
      </c>
      <c r="Y51" s="25" t="str">
        <f>IF($S51="","",IF(ISNUMBER(INDEX(CASHBACK_RULES!$J$5:$J$304,$S51)),INDEX(CASHBACK_RULES!$J$5:$J$304,$S51),"∞"))</f>
        <v/>
      </c>
      <c r="Z51" s="25" t="str">
        <f>IF($S51="","",IF(ISNUMBER($Y51),MAX(0,$Y51-$X51),"∞"))</f>
        <v/>
      </c>
      <c r="AA51" s="27" t="str">
        <f>IF($S51="","",IF(ISNUMBER($Y51),IF($Y51=0,0,$X51/$Y51),""))</f>
        <v/>
      </c>
    </row>
    <row r="52" ht="20" customHeight="1">
      <c r="A52" s="81" t="str">
        <f>IF($Q52="","",45)</f>
        <v/>
      </c>
      <c r="B52" s="57" t="str">
        <f>IF($Q52="","",INDEX(TRANSACTIONS_MASTER!$B$5:$B$1204,$Q52))</f>
        <v/>
      </c>
      <c r="C52" s="55" t="str">
        <f>IF($Q52="","",INDEX(TRANSACTIONS_MASTER!$F$5:$F$1204,$Q52))</f>
        <v/>
      </c>
      <c r="D52" s="55" t="str">
        <f>IF($Q52="","",INDEX(TRANSACTIONS_MASTER!$E$5:$E$1204,$Q52))</f>
        <v/>
      </c>
      <c r="E52" s="55" t="str">
        <f>IF($Q52="","",INDEX(TRANSACTIONS_MASTER!$G$5:$G$1204,$Q52)&amp;"")</f>
        <v/>
      </c>
      <c r="F52" s="29" t="str">
        <f>IF($Q52="","",INDEX(TRANSACTIONS_MASTER!$I$5:$I$1204,$Q52))</f>
        <v/>
      </c>
      <c r="G52" s="55" t="str">
        <f>IF($Q52="","",INDEX(TRANSACTIONS_MASTER!$K$5:$K$1204,$Q52))</f>
        <v/>
      </c>
      <c r="H52" s="25" t="str">
        <f>IF($Q52="","",INDEX(TRANSACTIONS_MASTER!$L$5:$L$1204,$Q52))</f>
        <v/>
      </c>
      <c r="I52" s="56" t="str">
        <f>IF($Q52="","",INDEX(TRANSACTIONS_MASTER!$N$5:$N$1204,$Q52))</f>
        <v/>
      </c>
      <c r="J52" s="25" t="str">
        <f>IF($Q52="","",INDEX(TRANSACTIONS_MASTER!$O$5:$O$1204,$Q52))</f>
        <v/>
      </c>
      <c r="K52" s="26" t="str">
        <f>IF($Q52="","",INDEX(TRANSACTIONS_MASTER!$Q$5:$Q$1204,$Q52))</f>
        <v/>
      </c>
      <c r="L52" s="25" t="str">
        <f>IF($Q52="","",INDEX(TRANSACTIONS_MASTER!$P$5:$P$1204,$Q52))</f>
        <v/>
      </c>
      <c r="M52" s="25" t="str">
        <f>IF($Q52="","",INDEX(TRANSACTIONS_MASTER!$AA$5:$AA$1204,$Q52))</f>
        <v/>
      </c>
      <c r="N52" s="25" t="str">
        <f>IF($Q52="","",INDEX(TRANSACTIONS_MASTER!$R$5:$R$1204,$Q52))</f>
        <v/>
      </c>
      <c r="O52" s="28" t="str">
        <f>IF($Q52="","",INDEX(TRANSACTIONS_MASTER!$AB$5:$AB$1204,$Q52))</f>
        <v/>
      </c>
      <c r="P52" s="55" t="str">
        <f>IF($Q52="","",INDEX(TRANSACTIONS_MASTER!$Z$5:$Z$1204,$Q52)&amp;"")</f>
        <v/>
      </c>
      <c r="Q52" s="67" t="str">
        <f>IFERROR(MATCH($C$2&amp;"|"&amp;45,TRANSACTIONS_MASTER!$AE$5:$AE$1204,0),"")</f>
        <v/>
      </c>
      <c r="S52" s="67" t="str">
        <f>IFERROR(MATCH(45,CASHBACK_RULES!$S$5:$S$304,0),"")</f>
        <v/>
      </c>
      <c r="T52" s="55" t="str">
        <f>IF($S52="","",INDEX(CASHBACK_RULES!$B$5:$B$304,$S52))</f>
        <v/>
      </c>
      <c r="U52" s="55" t="str">
        <f>IF($S52="","",INDEX(CASHBACK_RULES!$C$5:$C$304,$S52)&amp;" "&amp;INDEX(CASHBACK_RULES!$D$5:$D$304,$S52))</f>
        <v/>
      </c>
      <c r="V52" s="55" t="str">
        <f>IF($S52="","",INDEX(CASHBACK_RULES!$E$5:$E$304,$S52)&amp;"")</f>
        <v/>
      </c>
      <c r="W52" s="55" t="str">
        <f>IF($S52="","",INDEX(CASHBACK_RULES!$F$5:$F$304,$S52)&amp;"")</f>
        <v/>
      </c>
      <c r="X52" s="26" t="str">
        <f>IF($S52="","",SUMIFS(TRANSACTIONS_MASTER!$Q$5:$Q$1204,TRANSACTIONS_MASTER!$D$5:$D$1204,$T52,TRANSACTIONS_MASTER!$Z$5:$Z$1204,$V52,TRANSACTIONS_MASTER!$C$5:$C$1204,$C$2))</f>
        <v/>
      </c>
      <c r="Y52" s="25" t="str">
        <f>IF($S52="","",IF(ISNUMBER(INDEX(CASHBACK_RULES!$J$5:$J$304,$S52)),INDEX(CASHBACK_RULES!$J$5:$J$304,$S52),"∞"))</f>
        <v/>
      </c>
      <c r="Z52" s="25" t="str">
        <f>IF($S52="","",IF(ISNUMBER($Y52),MAX(0,$Y52-$X52),"∞"))</f>
        <v/>
      </c>
      <c r="AA52" s="27" t="str">
        <f>IF($S52="","",IF(ISNUMBER($Y52),IF($Y52=0,0,$X52/$Y52),""))</f>
        <v/>
      </c>
    </row>
    <row r="53" ht="20" customHeight="1">
      <c r="A53" s="81" t="str">
        <f>IF($Q53="","",46)</f>
        <v/>
      </c>
      <c r="B53" s="57" t="str">
        <f>IF($Q53="","",INDEX(TRANSACTIONS_MASTER!$B$5:$B$1204,$Q53))</f>
        <v/>
      </c>
      <c r="C53" s="55" t="str">
        <f>IF($Q53="","",INDEX(TRANSACTIONS_MASTER!$F$5:$F$1204,$Q53))</f>
        <v/>
      </c>
      <c r="D53" s="55" t="str">
        <f>IF($Q53="","",INDEX(TRANSACTIONS_MASTER!$E$5:$E$1204,$Q53))</f>
        <v/>
      </c>
      <c r="E53" s="55" t="str">
        <f>IF($Q53="","",INDEX(TRANSACTIONS_MASTER!$G$5:$G$1204,$Q53)&amp;"")</f>
        <v/>
      </c>
      <c r="F53" s="29" t="str">
        <f>IF($Q53="","",INDEX(TRANSACTIONS_MASTER!$I$5:$I$1204,$Q53))</f>
        <v/>
      </c>
      <c r="G53" s="55" t="str">
        <f>IF($Q53="","",INDEX(TRANSACTIONS_MASTER!$K$5:$K$1204,$Q53))</f>
        <v/>
      </c>
      <c r="H53" s="25" t="str">
        <f>IF($Q53="","",INDEX(TRANSACTIONS_MASTER!$L$5:$L$1204,$Q53))</f>
        <v/>
      </c>
      <c r="I53" s="56" t="str">
        <f>IF($Q53="","",INDEX(TRANSACTIONS_MASTER!$N$5:$N$1204,$Q53))</f>
        <v/>
      </c>
      <c r="J53" s="25" t="str">
        <f>IF($Q53="","",INDEX(TRANSACTIONS_MASTER!$O$5:$O$1204,$Q53))</f>
        <v/>
      </c>
      <c r="K53" s="26" t="str">
        <f>IF($Q53="","",INDEX(TRANSACTIONS_MASTER!$Q$5:$Q$1204,$Q53))</f>
        <v/>
      </c>
      <c r="L53" s="25" t="str">
        <f>IF($Q53="","",INDEX(TRANSACTIONS_MASTER!$P$5:$P$1204,$Q53))</f>
        <v/>
      </c>
      <c r="M53" s="25" t="str">
        <f>IF($Q53="","",INDEX(TRANSACTIONS_MASTER!$AA$5:$AA$1204,$Q53))</f>
        <v/>
      </c>
      <c r="N53" s="25" t="str">
        <f>IF($Q53="","",INDEX(TRANSACTIONS_MASTER!$R$5:$R$1204,$Q53))</f>
        <v/>
      </c>
      <c r="O53" s="28" t="str">
        <f>IF($Q53="","",INDEX(TRANSACTIONS_MASTER!$AB$5:$AB$1204,$Q53))</f>
        <v/>
      </c>
      <c r="P53" s="55" t="str">
        <f>IF($Q53="","",INDEX(TRANSACTIONS_MASTER!$Z$5:$Z$1204,$Q53)&amp;"")</f>
        <v/>
      </c>
      <c r="Q53" s="67" t="str">
        <f>IFERROR(MATCH($C$2&amp;"|"&amp;46,TRANSACTIONS_MASTER!$AE$5:$AE$1204,0),"")</f>
        <v/>
      </c>
      <c r="S53" s="67" t="str">
        <f>IFERROR(MATCH(46,CASHBACK_RULES!$S$5:$S$304,0),"")</f>
        <v/>
      </c>
      <c r="T53" s="55" t="str">
        <f>IF($S53="","",INDEX(CASHBACK_RULES!$B$5:$B$304,$S53))</f>
        <v/>
      </c>
      <c r="U53" s="55" t="str">
        <f>IF($S53="","",INDEX(CASHBACK_RULES!$C$5:$C$304,$S53)&amp;" "&amp;INDEX(CASHBACK_RULES!$D$5:$D$304,$S53))</f>
        <v/>
      </c>
      <c r="V53" s="55" t="str">
        <f>IF($S53="","",INDEX(CASHBACK_RULES!$E$5:$E$304,$S53)&amp;"")</f>
        <v/>
      </c>
      <c r="W53" s="55" t="str">
        <f>IF($S53="","",INDEX(CASHBACK_RULES!$F$5:$F$304,$S53)&amp;"")</f>
        <v/>
      </c>
      <c r="X53" s="26" t="str">
        <f>IF($S53="","",SUMIFS(TRANSACTIONS_MASTER!$Q$5:$Q$1204,TRANSACTIONS_MASTER!$D$5:$D$1204,$T53,TRANSACTIONS_MASTER!$Z$5:$Z$1204,$V53,TRANSACTIONS_MASTER!$C$5:$C$1204,$C$2))</f>
        <v/>
      </c>
      <c r="Y53" s="25" t="str">
        <f>IF($S53="","",IF(ISNUMBER(INDEX(CASHBACK_RULES!$J$5:$J$304,$S53)),INDEX(CASHBACK_RULES!$J$5:$J$304,$S53),"∞"))</f>
        <v/>
      </c>
      <c r="Z53" s="25" t="str">
        <f>IF($S53="","",IF(ISNUMBER($Y53),MAX(0,$Y53-$X53),"∞"))</f>
        <v/>
      </c>
      <c r="AA53" s="27" t="str">
        <f>IF($S53="","",IF(ISNUMBER($Y53),IF($Y53=0,0,$X53/$Y53),""))</f>
        <v/>
      </c>
    </row>
    <row r="54" ht="20" customHeight="1">
      <c r="A54" s="81" t="str">
        <f>IF($Q54="","",47)</f>
        <v/>
      </c>
      <c r="B54" s="57" t="str">
        <f>IF($Q54="","",INDEX(TRANSACTIONS_MASTER!$B$5:$B$1204,$Q54))</f>
        <v/>
      </c>
      <c r="C54" s="55" t="str">
        <f>IF($Q54="","",INDEX(TRANSACTIONS_MASTER!$F$5:$F$1204,$Q54))</f>
        <v/>
      </c>
      <c r="D54" s="55" t="str">
        <f>IF($Q54="","",INDEX(TRANSACTIONS_MASTER!$E$5:$E$1204,$Q54))</f>
        <v/>
      </c>
      <c r="E54" s="55" t="str">
        <f>IF($Q54="","",INDEX(TRANSACTIONS_MASTER!$G$5:$G$1204,$Q54)&amp;"")</f>
        <v/>
      </c>
      <c r="F54" s="29" t="str">
        <f>IF($Q54="","",INDEX(TRANSACTIONS_MASTER!$I$5:$I$1204,$Q54))</f>
        <v/>
      </c>
      <c r="G54" s="55" t="str">
        <f>IF($Q54="","",INDEX(TRANSACTIONS_MASTER!$K$5:$K$1204,$Q54))</f>
        <v/>
      </c>
      <c r="H54" s="25" t="str">
        <f>IF($Q54="","",INDEX(TRANSACTIONS_MASTER!$L$5:$L$1204,$Q54))</f>
        <v/>
      </c>
      <c r="I54" s="56" t="str">
        <f>IF($Q54="","",INDEX(TRANSACTIONS_MASTER!$N$5:$N$1204,$Q54))</f>
        <v/>
      </c>
      <c r="J54" s="25" t="str">
        <f>IF($Q54="","",INDEX(TRANSACTIONS_MASTER!$O$5:$O$1204,$Q54))</f>
        <v/>
      </c>
      <c r="K54" s="26" t="str">
        <f>IF($Q54="","",INDEX(TRANSACTIONS_MASTER!$Q$5:$Q$1204,$Q54))</f>
        <v/>
      </c>
      <c r="L54" s="25" t="str">
        <f>IF($Q54="","",INDEX(TRANSACTIONS_MASTER!$P$5:$P$1204,$Q54))</f>
        <v/>
      </c>
      <c r="M54" s="25" t="str">
        <f>IF($Q54="","",INDEX(TRANSACTIONS_MASTER!$AA$5:$AA$1204,$Q54))</f>
        <v/>
      </c>
      <c r="N54" s="25" t="str">
        <f>IF($Q54="","",INDEX(TRANSACTIONS_MASTER!$R$5:$R$1204,$Q54))</f>
        <v/>
      </c>
      <c r="O54" s="28" t="str">
        <f>IF($Q54="","",INDEX(TRANSACTIONS_MASTER!$AB$5:$AB$1204,$Q54))</f>
        <v/>
      </c>
      <c r="P54" s="55" t="str">
        <f>IF($Q54="","",INDEX(TRANSACTIONS_MASTER!$Z$5:$Z$1204,$Q54)&amp;"")</f>
        <v/>
      </c>
      <c r="Q54" s="67" t="str">
        <f>IFERROR(MATCH($C$2&amp;"|"&amp;47,TRANSACTIONS_MASTER!$AE$5:$AE$1204,0),"")</f>
        <v/>
      </c>
      <c r="S54" s="67" t="str">
        <f>IFERROR(MATCH(47,CASHBACK_RULES!$S$5:$S$304,0),"")</f>
        <v/>
      </c>
      <c r="T54" s="55" t="str">
        <f>IF($S54="","",INDEX(CASHBACK_RULES!$B$5:$B$304,$S54))</f>
        <v/>
      </c>
      <c r="U54" s="55" t="str">
        <f>IF($S54="","",INDEX(CASHBACK_RULES!$C$5:$C$304,$S54)&amp;" "&amp;INDEX(CASHBACK_RULES!$D$5:$D$304,$S54))</f>
        <v/>
      </c>
      <c r="V54" s="55" t="str">
        <f>IF($S54="","",INDEX(CASHBACK_RULES!$E$5:$E$304,$S54)&amp;"")</f>
        <v/>
      </c>
      <c r="W54" s="55" t="str">
        <f>IF($S54="","",INDEX(CASHBACK_RULES!$F$5:$F$304,$S54)&amp;"")</f>
        <v/>
      </c>
      <c r="X54" s="26" t="str">
        <f>IF($S54="","",SUMIFS(TRANSACTIONS_MASTER!$Q$5:$Q$1204,TRANSACTIONS_MASTER!$D$5:$D$1204,$T54,TRANSACTIONS_MASTER!$Z$5:$Z$1204,$V54,TRANSACTIONS_MASTER!$C$5:$C$1204,$C$2))</f>
        <v/>
      </c>
      <c r="Y54" s="25" t="str">
        <f>IF($S54="","",IF(ISNUMBER(INDEX(CASHBACK_RULES!$J$5:$J$304,$S54)),INDEX(CASHBACK_RULES!$J$5:$J$304,$S54),"∞"))</f>
        <v/>
      </c>
      <c r="Z54" s="25" t="str">
        <f>IF($S54="","",IF(ISNUMBER($Y54),MAX(0,$Y54-$X54),"∞"))</f>
        <v/>
      </c>
      <c r="AA54" s="27" t="str">
        <f>IF($S54="","",IF(ISNUMBER($Y54),IF($Y54=0,0,$X54/$Y54),""))</f>
        <v/>
      </c>
    </row>
    <row r="55" ht="20" customHeight="1">
      <c r="A55" s="81" t="str">
        <f>IF($Q55="","",48)</f>
        <v/>
      </c>
      <c r="B55" s="57" t="str">
        <f>IF($Q55="","",INDEX(TRANSACTIONS_MASTER!$B$5:$B$1204,$Q55))</f>
        <v/>
      </c>
      <c r="C55" s="55" t="str">
        <f>IF($Q55="","",INDEX(TRANSACTIONS_MASTER!$F$5:$F$1204,$Q55))</f>
        <v/>
      </c>
      <c r="D55" s="55" t="str">
        <f>IF($Q55="","",INDEX(TRANSACTIONS_MASTER!$E$5:$E$1204,$Q55))</f>
        <v/>
      </c>
      <c r="E55" s="55" t="str">
        <f>IF($Q55="","",INDEX(TRANSACTIONS_MASTER!$G$5:$G$1204,$Q55)&amp;"")</f>
        <v/>
      </c>
      <c r="F55" s="29" t="str">
        <f>IF($Q55="","",INDEX(TRANSACTIONS_MASTER!$I$5:$I$1204,$Q55))</f>
        <v/>
      </c>
      <c r="G55" s="55" t="str">
        <f>IF($Q55="","",INDEX(TRANSACTIONS_MASTER!$K$5:$K$1204,$Q55))</f>
        <v/>
      </c>
      <c r="H55" s="25" t="str">
        <f>IF($Q55="","",INDEX(TRANSACTIONS_MASTER!$L$5:$L$1204,$Q55))</f>
        <v/>
      </c>
      <c r="I55" s="56" t="str">
        <f>IF($Q55="","",INDEX(TRANSACTIONS_MASTER!$N$5:$N$1204,$Q55))</f>
        <v/>
      </c>
      <c r="J55" s="25" t="str">
        <f>IF($Q55="","",INDEX(TRANSACTIONS_MASTER!$O$5:$O$1204,$Q55))</f>
        <v/>
      </c>
      <c r="K55" s="26" t="str">
        <f>IF($Q55="","",INDEX(TRANSACTIONS_MASTER!$Q$5:$Q$1204,$Q55))</f>
        <v/>
      </c>
      <c r="L55" s="25" t="str">
        <f>IF($Q55="","",INDEX(TRANSACTIONS_MASTER!$P$5:$P$1204,$Q55))</f>
        <v/>
      </c>
      <c r="M55" s="25" t="str">
        <f>IF($Q55="","",INDEX(TRANSACTIONS_MASTER!$AA$5:$AA$1204,$Q55))</f>
        <v/>
      </c>
      <c r="N55" s="25" t="str">
        <f>IF($Q55="","",INDEX(TRANSACTIONS_MASTER!$R$5:$R$1204,$Q55))</f>
        <v/>
      </c>
      <c r="O55" s="28" t="str">
        <f>IF($Q55="","",INDEX(TRANSACTIONS_MASTER!$AB$5:$AB$1204,$Q55))</f>
        <v/>
      </c>
      <c r="P55" s="55" t="str">
        <f>IF($Q55="","",INDEX(TRANSACTIONS_MASTER!$Z$5:$Z$1204,$Q55)&amp;"")</f>
        <v/>
      </c>
      <c r="Q55" s="67" t="str">
        <f>IFERROR(MATCH($C$2&amp;"|"&amp;48,TRANSACTIONS_MASTER!$AE$5:$AE$1204,0),"")</f>
        <v/>
      </c>
      <c r="S55" s="67" t="str">
        <f>IFERROR(MATCH(48,CASHBACK_RULES!$S$5:$S$304,0),"")</f>
        <v/>
      </c>
      <c r="T55" s="55" t="str">
        <f>IF($S55="","",INDEX(CASHBACK_RULES!$B$5:$B$304,$S55))</f>
        <v/>
      </c>
      <c r="U55" s="55" t="str">
        <f>IF($S55="","",INDEX(CASHBACK_RULES!$C$5:$C$304,$S55)&amp;" "&amp;INDEX(CASHBACK_RULES!$D$5:$D$304,$S55))</f>
        <v/>
      </c>
      <c r="V55" s="55" t="str">
        <f>IF($S55="","",INDEX(CASHBACK_RULES!$E$5:$E$304,$S55)&amp;"")</f>
        <v/>
      </c>
      <c r="W55" s="55" t="str">
        <f>IF($S55="","",INDEX(CASHBACK_RULES!$F$5:$F$304,$S55)&amp;"")</f>
        <v/>
      </c>
      <c r="X55" s="26" t="str">
        <f>IF($S55="","",SUMIFS(TRANSACTIONS_MASTER!$Q$5:$Q$1204,TRANSACTIONS_MASTER!$D$5:$D$1204,$T55,TRANSACTIONS_MASTER!$Z$5:$Z$1204,$V55,TRANSACTIONS_MASTER!$C$5:$C$1204,$C$2))</f>
        <v/>
      </c>
      <c r="Y55" s="25" t="str">
        <f>IF($S55="","",IF(ISNUMBER(INDEX(CASHBACK_RULES!$J$5:$J$304,$S55)),INDEX(CASHBACK_RULES!$J$5:$J$304,$S55),"∞"))</f>
        <v/>
      </c>
      <c r="Z55" s="25" t="str">
        <f>IF($S55="","",IF(ISNUMBER($Y55),MAX(0,$Y55-$X55),"∞"))</f>
        <v/>
      </c>
      <c r="AA55" s="27" t="str">
        <f>IF($S55="","",IF(ISNUMBER($Y55),IF($Y55=0,0,$X55/$Y55),""))</f>
        <v/>
      </c>
    </row>
    <row r="56" ht="20" customHeight="1">
      <c r="A56" s="81" t="str">
        <f>IF($Q56="","",49)</f>
        <v/>
      </c>
      <c r="B56" s="57" t="str">
        <f>IF($Q56="","",INDEX(TRANSACTIONS_MASTER!$B$5:$B$1204,$Q56))</f>
        <v/>
      </c>
      <c r="C56" s="55" t="str">
        <f>IF($Q56="","",INDEX(TRANSACTIONS_MASTER!$F$5:$F$1204,$Q56))</f>
        <v/>
      </c>
      <c r="D56" s="55" t="str">
        <f>IF($Q56="","",INDEX(TRANSACTIONS_MASTER!$E$5:$E$1204,$Q56))</f>
        <v/>
      </c>
      <c r="E56" s="55" t="str">
        <f>IF($Q56="","",INDEX(TRANSACTIONS_MASTER!$G$5:$G$1204,$Q56)&amp;"")</f>
        <v/>
      </c>
      <c r="F56" s="29" t="str">
        <f>IF($Q56="","",INDEX(TRANSACTIONS_MASTER!$I$5:$I$1204,$Q56))</f>
        <v/>
      </c>
      <c r="G56" s="55" t="str">
        <f>IF($Q56="","",INDEX(TRANSACTIONS_MASTER!$K$5:$K$1204,$Q56))</f>
        <v/>
      </c>
      <c r="H56" s="25" t="str">
        <f>IF($Q56="","",INDEX(TRANSACTIONS_MASTER!$L$5:$L$1204,$Q56))</f>
        <v/>
      </c>
      <c r="I56" s="56" t="str">
        <f>IF($Q56="","",INDEX(TRANSACTIONS_MASTER!$N$5:$N$1204,$Q56))</f>
        <v/>
      </c>
      <c r="J56" s="25" t="str">
        <f>IF($Q56="","",INDEX(TRANSACTIONS_MASTER!$O$5:$O$1204,$Q56))</f>
        <v/>
      </c>
      <c r="K56" s="26" t="str">
        <f>IF($Q56="","",INDEX(TRANSACTIONS_MASTER!$Q$5:$Q$1204,$Q56))</f>
        <v/>
      </c>
      <c r="L56" s="25" t="str">
        <f>IF($Q56="","",INDEX(TRANSACTIONS_MASTER!$P$5:$P$1204,$Q56))</f>
        <v/>
      </c>
      <c r="M56" s="25" t="str">
        <f>IF($Q56="","",INDEX(TRANSACTIONS_MASTER!$AA$5:$AA$1204,$Q56))</f>
        <v/>
      </c>
      <c r="N56" s="25" t="str">
        <f>IF($Q56="","",INDEX(TRANSACTIONS_MASTER!$R$5:$R$1204,$Q56))</f>
        <v/>
      </c>
      <c r="O56" s="28" t="str">
        <f>IF($Q56="","",INDEX(TRANSACTIONS_MASTER!$AB$5:$AB$1204,$Q56))</f>
        <v/>
      </c>
      <c r="P56" s="55" t="str">
        <f>IF($Q56="","",INDEX(TRANSACTIONS_MASTER!$Z$5:$Z$1204,$Q56)&amp;"")</f>
        <v/>
      </c>
      <c r="Q56" s="67" t="str">
        <f>IFERROR(MATCH($C$2&amp;"|"&amp;49,TRANSACTIONS_MASTER!$AE$5:$AE$1204,0),"")</f>
        <v/>
      </c>
      <c r="S56" s="67" t="str">
        <f>IFERROR(MATCH(49,CASHBACK_RULES!$S$5:$S$304,0),"")</f>
        <v/>
      </c>
      <c r="T56" s="55" t="str">
        <f>IF($S56="","",INDEX(CASHBACK_RULES!$B$5:$B$304,$S56))</f>
        <v/>
      </c>
      <c r="U56" s="55" t="str">
        <f>IF($S56="","",INDEX(CASHBACK_RULES!$C$5:$C$304,$S56)&amp;" "&amp;INDEX(CASHBACK_RULES!$D$5:$D$304,$S56))</f>
        <v/>
      </c>
      <c r="V56" s="55" t="str">
        <f>IF($S56="","",INDEX(CASHBACK_RULES!$E$5:$E$304,$S56)&amp;"")</f>
        <v/>
      </c>
      <c r="W56" s="55" t="str">
        <f>IF($S56="","",INDEX(CASHBACK_RULES!$F$5:$F$304,$S56)&amp;"")</f>
        <v/>
      </c>
      <c r="X56" s="26" t="str">
        <f>IF($S56="","",SUMIFS(TRANSACTIONS_MASTER!$Q$5:$Q$1204,TRANSACTIONS_MASTER!$D$5:$D$1204,$T56,TRANSACTIONS_MASTER!$Z$5:$Z$1204,$V56,TRANSACTIONS_MASTER!$C$5:$C$1204,$C$2))</f>
        <v/>
      </c>
      <c r="Y56" s="25" t="str">
        <f>IF($S56="","",IF(ISNUMBER(INDEX(CASHBACK_RULES!$J$5:$J$304,$S56)),INDEX(CASHBACK_RULES!$J$5:$J$304,$S56),"∞"))</f>
        <v/>
      </c>
      <c r="Z56" s="25" t="str">
        <f>IF($S56="","",IF(ISNUMBER($Y56),MAX(0,$Y56-$X56),"∞"))</f>
        <v/>
      </c>
      <c r="AA56" s="27" t="str">
        <f>IF($S56="","",IF(ISNUMBER($Y56),IF($Y56=0,0,$X56/$Y56),""))</f>
        <v/>
      </c>
    </row>
    <row r="57" ht="20" customHeight="1">
      <c r="A57" s="81" t="str">
        <f>IF($Q57="","",50)</f>
        <v/>
      </c>
      <c r="B57" s="57" t="str">
        <f>IF($Q57="","",INDEX(TRANSACTIONS_MASTER!$B$5:$B$1204,$Q57))</f>
        <v/>
      </c>
      <c r="C57" s="55" t="str">
        <f>IF($Q57="","",INDEX(TRANSACTIONS_MASTER!$F$5:$F$1204,$Q57))</f>
        <v/>
      </c>
      <c r="D57" s="55" t="str">
        <f>IF($Q57="","",INDEX(TRANSACTIONS_MASTER!$E$5:$E$1204,$Q57))</f>
        <v/>
      </c>
      <c r="E57" s="55" t="str">
        <f>IF($Q57="","",INDEX(TRANSACTIONS_MASTER!$G$5:$G$1204,$Q57)&amp;"")</f>
        <v/>
      </c>
      <c r="F57" s="29" t="str">
        <f>IF($Q57="","",INDEX(TRANSACTIONS_MASTER!$I$5:$I$1204,$Q57))</f>
        <v/>
      </c>
      <c r="G57" s="55" t="str">
        <f>IF($Q57="","",INDEX(TRANSACTIONS_MASTER!$K$5:$K$1204,$Q57))</f>
        <v/>
      </c>
      <c r="H57" s="25" t="str">
        <f>IF($Q57="","",INDEX(TRANSACTIONS_MASTER!$L$5:$L$1204,$Q57))</f>
        <v/>
      </c>
      <c r="I57" s="56" t="str">
        <f>IF($Q57="","",INDEX(TRANSACTIONS_MASTER!$N$5:$N$1204,$Q57))</f>
        <v/>
      </c>
      <c r="J57" s="25" t="str">
        <f>IF($Q57="","",INDEX(TRANSACTIONS_MASTER!$O$5:$O$1204,$Q57))</f>
        <v/>
      </c>
      <c r="K57" s="26" t="str">
        <f>IF($Q57="","",INDEX(TRANSACTIONS_MASTER!$Q$5:$Q$1204,$Q57))</f>
        <v/>
      </c>
      <c r="L57" s="25" t="str">
        <f>IF($Q57="","",INDEX(TRANSACTIONS_MASTER!$P$5:$P$1204,$Q57))</f>
        <v/>
      </c>
      <c r="M57" s="25" t="str">
        <f>IF($Q57="","",INDEX(TRANSACTIONS_MASTER!$AA$5:$AA$1204,$Q57))</f>
        <v/>
      </c>
      <c r="N57" s="25" t="str">
        <f>IF($Q57="","",INDEX(TRANSACTIONS_MASTER!$R$5:$R$1204,$Q57))</f>
        <v/>
      </c>
      <c r="O57" s="28" t="str">
        <f>IF($Q57="","",INDEX(TRANSACTIONS_MASTER!$AB$5:$AB$1204,$Q57))</f>
        <v/>
      </c>
      <c r="P57" s="55" t="str">
        <f>IF($Q57="","",INDEX(TRANSACTIONS_MASTER!$Z$5:$Z$1204,$Q57)&amp;"")</f>
        <v/>
      </c>
      <c r="Q57" s="67" t="str">
        <f>IFERROR(MATCH($C$2&amp;"|"&amp;50,TRANSACTIONS_MASTER!$AE$5:$AE$1204,0),"")</f>
        <v/>
      </c>
      <c r="S57" s="67" t="str">
        <f>IFERROR(MATCH(50,CASHBACK_RULES!$S$5:$S$304,0),"")</f>
        <v/>
      </c>
      <c r="T57" s="55" t="str">
        <f>IF($S57="","",INDEX(CASHBACK_RULES!$B$5:$B$304,$S57))</f>
        <v/>
      </c>
      <c r="U57" s="55" t="str">
        <f>IF($S57="","",INDEX(CASHBACK_RULES!$C$5:$C$304,$S57)&amp;" "&amp;INDEX(CASHBACK_RULES!$D$5:$D$304,$S57))</f>
        <v/>
      </c>
      <c r="V57" s="55" t="str">
        <f>IF($S57="","",INDEX(CASHBACK_RULES!$E$5:$E$304,$S57)&amp;"")</f>
        <v/>
      </c>
      <c r="W57" s="55" t="str">
        <f>IF($S57="","",INDEX(CASHBACK_RULES!$F$5:$F$304,$S57)&amp;"")</f>
        <v/>
      </c>
      <c r="X57" s="26" t="str">
        <f>IF($S57="","",SUMIFS(TRANSACTIONS_MASTER!$Q$5:$Q$1204,TRANSACTIONS_MASTER!$D$5:$D$1204,$T57,TRANSACTIONS_MASTER!$Z$5:$Z$1204,$V57,TRANSACTIONS_MASTER!$C$5:$C$1204,$C$2))</f>
        <v/>
      </c>
      <c r="Y57" s="25" t="str">
        <f>IF($S57="","",IF(ISNUMBER(INDEX(CASHBACK_RULES!$J$5:$J$304,$S57)),INDEX(CASHBACK_RULES!$J$5:$J$304,$S57),"∞"))</f>
        <v/>
      </c>
      <c r="Z57" s="25" t="str">
        <f>IF($S57="","",IF(ISNUMBER($Y57),MAX(0,$Y57-$X57),"∞"))</f>
        <v/>
      </c>
      <c r="AA57" s="27" t="str">
        <f>IF($S57="","",IF(ISNUMBER($Y57),IF($Y57=0,0,$X57/$Y57),""))</f>
        <v/>
      </c>
    </row>
    <row r="58">
      <c r="A58" s="81" t="str">
        <f>IF($Q58="","",51)</f>
        <v/>
      </c>
      <c r="B58" s="57" t="str">
        <f>IF($Q58="","",INDEX(TRANSACTIONS_MASTER!$B$5:$B$1204,$Q58))</f>
        <v/>
      </c>
      <c r="C58" s="55" t="str">
        <f>IF($Q58="","",INDEX(TRANSACTIONS_MASTER!$F$5:$F$1204,$Q58))</f>
        <v/>
      </c>
      <c r="D58" s="55" t="str">
        <f>IF($Q58="","",INDEX(TRANSACTIONS_MASTER!$E$5:$E$1204,$Q58))</f>
        <v/>
      </c>
      <c r="E58" s="55" t="str">
        <f>IF($Q58="","",INDEX(TRANSACTIONS_MASTER!$G$5:$G$1204,$Q58)&amp;"")</f>
        <v/>
      </c>
      <c r="F58" s="29" t="str">
        <f>IF($Q58="","",INDEX(TRANSACTIONS_MASTER!$I$5:$I$1204,$Q58))</f>
        <v/>
      </c>
      <c r="G58" s="55" t="str">
        <f>IF($Q58="","",INDEX(TRANSACTIONS_MASTER!$K$5:$K$1204,$Q58))</f>
        <v/>
      </c>
      <c r="H58" s="25" t="str">
        <f>IF($Q58="","",INDEX(TRANSACTIONS_MASTER!$L$5:$L$1204,$Q58))</f>
        <v/>
      </c>
      <c r="I58" s="56" t="str">
        <f>IF($Q58="","",INDEX(TRANSACTIONS_MASTER!$N$5:$N$1204,$Q58))</f>
        <v/>
      </c>
      <c r="J58" s="25" t="str">
        <f>IF($Q58="","",INDEX(TRANSACTIONS_MASTER!$O$5:$O$1204,$Q58))</f>
        <v/>
      </c>
      <c r="K58" s="26" t="str">
        <f>IF($Q58="","",INDEX(TRANSACTIONS_MASTER!$Q$5:$Q$1204,$Q58))</f>
        <v/>
      </c>
      <c r="L58" s="25" t="str">
        <f>IF($Q58="","",INDEX(TRANSACTIONS_MASTER!$P$5:$P$1204,$Q58))</f>
        <v/>
      </c>
      <c r="M58" s="25" t="str">
        <f>IF($Q58="","",INDEX(TRANSACTIONS_MASTER!$AA$5:$AA$1204,$Q58))</f>
        <v/>
      </c>
      <c r="N58" s="25" t="str">
        <f>IF($Q58="","",INDEX(TRANSACTIONS_MASTER!$R$5:$R$1204,$Q58))</f>
        <v/>
      </c>
      <c r="O58" s="28" t="str">
        <f>IF($Q58="","",INDEX(TRANSACTIONS_MASTER!$AB$5:$AB$1204,$Q58))</f>
        <v/>
      </c>
      <c r="P58" s="55" t="str">
        <f>IF($Q58="","",INDEX(TRANSACTIONS_MASTER!$Z$5:$Z$1204,$Q58)&amp;"")</f>
        <v/>
      </c>
      <c r="Q58" s="67" t="str">
        <f>IFERROR(MATCH($C$2&amp;"|"&amp;51,TRANSACTIONS_MASTER!$AE$5:$AE$1204,0),"")</f>
        <v/>
      </c>
    </row>
    <row r="59">
      <c r="A59" s="81" t="str">
        <f>IF($Q59="","",52)</f>
        <v/>
      </c>
      <c r="B59" s="57" t="str">
        <f>IF($Q59="","",INDEX(TRANSACTIONS_MASTER!$B$5:$B$1204,$Q59))</f>
        <v/>
      </c>
      <c r="C59" s="55" t="str">
        <f>IF($Q59="","",INDEX(TRANSACTIONS_MASTER!$F$5:$F$1204,$Q59))</f>
        <v/>
      </c>
      <c r="D59" s="55" t="str">
        <f>IF($Q59="","",INDEX(TRANSACTIONS_MASTER!$E$5:$E$1204,$Q59))</f>
        <v/>
      </c>
      <c r="E59" s="55" t="str">
        <f>IF($Q59="","",INDEX(TRANSACTIONS_MASTER!$G$5:$G$1204,$Q59)&amp;"")</f>
        <v/>
      </c>
      <c r="F59" s="29" t="str">
        <f>IF($Q59="","",INDEX(TRANSACTIONS_MASTER!$I$5:$I$1204,$Q59))</f>
        <v/>
      </c>
      <c r="G59" s="55" t="str">
        <f>IF($Q59="","",INDEX(TRANSACTIONS_MASTER!$K$5:$K$1204,$Q59))</f>
        <v/>
      </c>
      <c r="H59" s="25" t="str">
        <f>IF($Q59="","",INDEX(TRANSACTIONS_MASTER!$L$5:$L$1204,$Q59))</f>
        <v/>
      </c>
      <c r="I59" s="56" t="str">
        <f>IF($Q59="","",INDEX(TRANSACTIONS_MASTER!$N$5:$N$1204,$Q59))</f>
        <v/>
      </c>
      <c r="J59" s="25" t="str">
        <f>IF($Q59="","",INDEX(TRANSACTIONS_MASTER!$O$5:$O$1204,$Q59))</f>
        <v/>
      </c>
      <c r="K59" s="26" t="str">
        <f>IF($Q59="","",INDEX(TRANSACTIONS_MASTER!$Q$5:$Q$1204,$Q59))</f>
        <v/>
      </c>
      <c r="L59" s="25" t="str">
        <f>IF($Q59="","",INDEX(TRANSACTIONS_MASTER!$P$5:$P$1204,$Q59))</f>
        <v/>
      </c>
      <c r="M59" s="25" t="str">
        <f>IF($Q59="","",INDEX(TRANSACTIONS_MASTER!$AA$5:$AA$1204,$Q59))</f>
        <v/>
      </c>
      <c r="N59" s="25" t="str">
        <f>IF($Q59="","",INDEX(TRANSACTIONS_MASTER!$R$5:$R$1204,$Q59))</f>
        <v/>
      </c>
      <c r="O59" s="28" t="str">
        <f>IF($Q59="","",INDEX(TRANSACTIONS_MASTER!$AB$5:$AB$1204,$Q59))</f>
        <v/>
      </c>
      <c r="P59" s="55" t="str">
        <f>IF($Q59="","",INDEX(TRANSACTIONS_MASTER!$Z$5:$Z$1204,$Q59)&amp;"")</f>
        <v/>
      </c>
      <c r="Q59" s="67" t="str">
        <f>IFERROR(MATCH($C$2&amp;"|"&amp;52,TRANSACTIONS_MASTER!$AE$5:$AE$1204,0),"")</f>
        <v/>
      </c>
    </row>
    <row r="60" ht="22" customHeight="1">
      <c r="A60" s="81" t="str">
        <f>IF($Q60="","",53)</f>
        <v/>
      </c>
      <c r="B60" s="57" t="str">
        <f>IF($Q60="","",INDEX(TRANSACTIONS_MASTER!$B$5:$B$1204,$Q60))</f>
        <v/>
      </c>
      <c r="C60" s="55" t="str">
        <f>IF($Q60="","",INDEX(TRANSACTIONS_MASTER!$F$5:$F$1204,$Q60))</f>
        <v/>
      </c>
      <c r="D60" s="55" t="str">
        <f>IF($Q60="","",INDEX(TRANSACTIONS_MASTER!$E$5:$E$1204,$Q60))</f>
        <v/>
      </c>
      <c r="E60" s="55" t="str">
        <f>IF($Q60="","",INDEX(TRANSACTIONS_MASTER!$G$5:$G$1204,$Q60)&amp;"")</f>
        <v/>
      </c>
      <c r="F60" s="29" t="str">
        <f>IF($Q60="","",INDEX(TRANSACTIONS_MASTER!$I$5:$I$1204,$Q60))</f>
        <v/>
      </c>
      <c r="G60" s="55" t="str">
        <f>IF($Q60="","",INDEX(TRANSACTIONS_MASTER!$K$5:$K$1204,$Q60))</f>
        <v/>
      </c>
      <c r="H60" s="25" t="str">
        <f>IF($Q60="","",INDEX(TRANSACTIONS_MASTER!$L$5:$L$1204,$Q60))</f>
        <v/>
      </c>
      <c r="I60" s="56" t="str">
        <f>IF($Q60="","",INDEX(TRANSACTIONS_MASTER!$N$5:$N$1204,$Q60))</f>
        <v/>
      </c>
      <c r="J60" s="25" t="str">
        <f>IF($Q60="","",INDEX(TRANSACTIONS_MASTER!$O$5:$O$1204,$Q60))</f>
        <v/>
      </c>
      <c r="K60" s="26" t="str">
        <f>IF($Q60="","",INDEX(TRANSACTIONS_MASTER!$Q$5:$Q$1204,$Q60))</f>
        <v/>
      </c>
      <c r="L60" s="25" t="str">
        <f>IF($Q60="","",INDEX(TRANSACTIONS_MASTER!$P$5:$P$1204,$Q60))</f>
        <v/>
      </c>
      <c r="M60" s="25" t="str">
        <f>IF($Q60="","",INDEX(TRANSACTIONS_MASTER!$AA$5:$AA$1204,$Q60))</f>
        <v/>
      </c>
      <c r="N60" s="25" t="str">
        <f>IF($Q60="","",INDEX(TRANSACTIONS_MASTER!$R$5:$R$1204,$Q60))</f>
        <v/>
      </c>
      <c r="O60" s="28" t="str">
        <f>IF($Q60="","",INDEX(TRANSACTIONS_MASTER!$AB$5:$AB$1204,$Q60))</f>
        <v/>
      </c>
      <c r="P60" s="55" t="str">
        <f>IF($Q60="","",INDEX(TRANSACTIONS_MASTER!$Z$5:$Z$1204,$Q60)&amp;"")</f>
        <v/>
      </c>
      <c r="Q60" s="67" t="str">
        <f>IFERROR(MATCH($C$2&amp;"|"&amp;53,TRANSACTIONS_MASTER!$AE$5:$AE$1204,0),"")</f>
        <v/>
      </c>
      <c r="T60" s="19" t="inlineStr">
        <is>
          <t>TỔNG THEO THẺ — chi tiêu · cashback · cap thẻ / tháng</t>
        </is>
      </c>
      <c r="U60" s="20" t="n"/>
      <c r="V60" s="20" t="n"/>
      <c r="W60" s="20" t="n"/>
      <c r="X60" s="20" t="n"/>
      <c r="Y60" s="20" t="n"/>
      <c r="Z60" s="20" t="n"/>
      <c r="AA60" s="20" t="n"/>
    </row>
    <row r="61" ht="30" customHeight="1">
      <c r="A61" s="81" t="str">
        <f>IF($Q61="","",54)</f>
        <v/>
      </c>
      <c r="B61" s="57" t="str">
        <f>IF($Q61="","",INDEX(TRANSACTIONS_MASTER!$B$5:$B$1204,$Q61))</f>
        <v/>
      </c>
      <c r="C61" s="55" t="str">
        <f>IF($Q61="","",INDEX(TRANSACTIONS_MASTER!$F$5:$F$1204,$Q61))</f>
        <v/>
      </c>
      <c r="D61" s="55" t="str">
        <f>IF($Q61="","",INDEX(TRANSACTIONS_MASTER!$E$5:$E$1204,$Q61))</f>
        <v/>
      </c>
      <c r="E61" s="55" t="str">
        <f>IF($Q61="","",INDEX(TRANSACTIONS_MASTER!$G$5:$G$1204,$Q61)&amp;"")</f>
        <v/>
      </c>
      <c r="F61" s="29" t="str">
        <f>IF($Q61="","",INDEX(TRANSACTIONS_MASTER!$I$5:$I$1204,$Q61))</f>
        <v/>
      </c>
      <c r="G61" s="55" t="str">
        <f>IF($Q61="","",INDEX(TRANSACTIONS_MASTER!$K$5:$K$1204,$Q61))</f>
        <v/>
      </c>
      <c r="H61" s="25" t="str">
        <f>IF($Q61="","",INDEX(TRANSACTIONS_MASTER!$L$5:$L$1204,$Q61))</f>
        <v/>
      </c>
      <c r="I61" s="56" t="str">
        <f>IF($Q61="","",INDEX(TRANSACTIONS_MASTER!$N$5:$N$1204,$Q61))</f>
        <v/>
      </c>
      <c r="J61" s="25" t="str">
        <f>IF($Q61="","",INDEX(TRANSACTIONS_MASTER!$O$5:$O$1204,$Q61))</f>
        <v/>
      </c>
      <c r="K61" s="26" t="str">
        <f>IF($Q61="","",INDEX(TRANSACTIONS_MASTER!$Q$5:$Q$1204,$Q61))</f>
        <v/>
      </c>
      <c r="L61" s="25" t="str">
        <f>IF($Q61="","",INDEX(TRANSACTIONS_MASTER!$P$5:$P$1204,$Q61))</f>
        <v/>
      </c>
      <c r="M61" s="25" t="str">
        <f>IF($Q61="","",INDEX(TRANSACTIONS_MASTER!$AA$5:$AA$1204,$Q61))</f>
        <v/>
      </c>
      <c r="N61" s="25" t="str">
        <f>IF($Q61="","",INDEX(TRANSACTIONS_MASTER!$R$5:$R$1204,$Q61))</f>
        <v/>
      </c>
      <c r="O61" s="28" t="str">
        <f>IF($Q61="","",INDEX(TRANSACTIONS_MASTER!$AB$5:$AB$1204,$Q61))</f>
        <v/>
      </c>
      <c r="P61" s="55" t="str">
        <f>IF($Q61="","",INDEX(TRANSACTIONS_MASTER!$Z$5:$Z$1204,$Q61)&amp;"")</f>
        <v/>
      </c>
      <c r="Q61" s="67" t="str">
        <f>IFERROR(MATCH($C$2&amp;"|"&amp;54,TRANSACTIONS_MASTER!$AE$5:$AE$1204,0),"")</f>
        <v/>
      </c>
      <c r="S61" s="21" t="inlineStr">
        <is>
          <t>#</t>
        </is>
      </c>
      <c r="T61" s="21" t="inlineStr">
        <is>
          <t>Card ID</t>
        </is>
      </c>
      <c r="U61" s="21" t="inlineStr">
        <is>
          <t>Thẻ</t>
        </is>
      </c>
      <c r="V61" s="21" t="inlineStr">
        <is>
          <t>Chi tiêu</t>
        </is>
      </c>
      <c r="W61" s="21" t="inlineStr">
        <is>
          <t>Cashback</t>
        </is>
      </c>
      <c r="X61" s="21" t="inlineStr">
        <is>
          <t>Cap thẻ / tháng</t>
        </is>
      </c>
      <c r="Y61" s="21" t="inlineStr">
        <is>
          <t>Còn lại (tối đa)</t>
        </is>
      </c>
      <c r="Z61" s="21" t="inlineStr">
        <is>
          <t>Progress</t>
        </is>
      </c>
      <c r="AA61" s="21" t="inlineStr">
        <is>
          <t>Số GD</t>
        </is>
      </c>
    </row>
    <row r="62">
      <c r="A62" s="81" t="str">
        <f>IF($Q62="","",55)</f>
        <v/>
      </c>
      <c r="B62" s="57" t="str">
        <f>IF($Q62="","",INDEX(TRANSACTIONS_MASTER!$B$5:$B$1204,$Q62))</f>
        <v/>
      </c>
      <c r="C62" s="55" t="str">
        <f>IF($Q62="","",INDEX(TRANSACTIONS_MASTER!$F$5:$F$1204,$Q62))</f>
        <v/>
      </c>
      <c r="D62" s="55" t="str">
        <f>IF($Q62="","",INDEX(TRANSACTIONS_MASTER!$E$5:$E$1204,$Q62))</f>
        <v/>
      </c>
      <c r="E62" s="55" t="str">
        <f>IF($Q62="","",INDEX(TRANSACTIONS_MASTER!$G$5:$G$1204,$Q62)&amp;"")</f>
        <v/>
      </c>
      <c r="F62" s="29" t="str">
        <f>IF($Q62="","",INDEX(TRANSACTIONS_MASTER!$I$5:$I$1204,$Q62))</f>
        <v/>
      </c>
      <c r="G62" s="55" t="str">
        <f>IF($Q62="","",INDEX(TRANSACTIONS_MASTER!$K$5:$K$1204,$Q62))</f>
        <v/>
      </c>
      <c r="H62" s="25" t="str">
        <f>IF($Q62="","",INDEX(TRANSACTIONS_MASTER!$L$5:$L$1204,$Q62))</f>
        <v/>
      </c>
      <c r="I62" s="56" t="str">
        <f>IF($Q62="","",INDEX(TRANSACTIONS_MASTER!$N$5:$N$1204,$Q62))</f>
        <v/>
      </c>
      <c r="J62" s="25" t="str">
        <f>IF($Q62="","",INDEX(TRANSACTIONS_MASTER!$O$5:$O$1204,$Q62))</f>
        <v/>
      </c>
      <c r="K62" s="26" t="str">
        <f>IF($Q62="","",INDEX(TRANSACTIONS_MASTER!$Q$5:$Q$1204,$Q62))</f>
        <v/>
      </c>
      <c r="L62" s="25" t="str">
        <f>IF($Q62="","",INDEX(TRANSACTIONS_MASTER!$P$5:$P$1204,$Q62))</f>
        <v/>
      </c>
      <c r="M62" s="25" t="str">
        <f>IF($Q62="","",INDEX(TRANSACTIONS_MASTER!$AA$5:$AA$1204,$Q62))</f>
        <v/>
      </c>
      <c r="N62" s="25" t="str">
        <f>IF($Q62="","",INDEX(TRANSACTIONS_MASTER!$R$5:$R$1204,$Q62))</f>
        <v/>
      </c>
      <c r="O62" s="28" t="str">
        <f>IF($Q62="","",INDEX(TRANSACTIONS_MASTER!$AB$5:$AB$1204,$Q62))</f>
        <v/>
      </c>
      <c r="P62" s="55" t="str">
        <f>IF($Q62="","",INDEX(TRANSACTIONS_MASTER!$Z$5:$Z$1204,$Q62)&amp;"")</f>
        <v/>
      </c>
      <c r="Q62" s="67" t="str">
        <f>IFERROR(MATCH($C$2&amp;"|"&amp;55,TRANSACTIONS_MASTER!$AE$5:$AE$1204,0),"")</f>
        <v/>
      </c>
      <c r="S62" s="67" t="n">
        <v>1</v>
      </c>
      <c r="T62" s="55" t="str">
        <f>IF(CARDS!$A5="","",CARDS!$A5)</f>
        <v>VPB-JCBZ</v>
      </c>
      <c r="U62" s="55" t="str">
        <f>IF($T62="","",CARDS!$B5&amp;" "&amp;CARDS!$C5)</f>
        <v>VPBank JCB Z Card</v>
      </c>
      <c r="V62" s="25">
        <f>IF($T62="","",SUMIFS(TRANSACTIONS_MASTER!$L$5:$L$1204,TRANSACTIONS_MASTER!$D$5:$D$1204,$T62,TRANSACTIONS_MASTER!$C$5:$C$1204,$C$2,TRANSACTIONS_MASTER!$U$5:$U$1204,"&lt;&gt;Cancelled"))</f>
        <v>0</v>
      </c>
      <c r="W62" s="26">
        <f>IF($T62="","",SUMIFS(TRANSACTIONS_MASTER!$Q$5:$Q$1204,TRANSACTIONS_MASTER!$D$5:$D$1204,$T62,TRANSACTIONS_MASTER!$C$5:$C$1204,$C$2))</f>
        <v>0</v>
      </c>
      <c r="X62" s="25">
        <f>IF($T62="","",IFERROR(IF(ISNUMBER(INDEX(CASHBACK_RULES!$K$5:$K$304,MATCH($T62,CASHBACK_RULES!$B$5:$B$304,0))),INDEX(CASHBACK_RULES!$K$5:$K$304,MATCH($T62,CASHBACK_RULES!$B$5:$B$304,0)),"∞"),"—"))</f>
        <v>1000000</v>
      </c>
      <c r="Y62" s="25">
        <f>IF($T62="","",IF($X62="—","—",IF(COUNTIFS($T$8:$T$57,$T62,$Z$8:$Z$57,"∞")&gt;0,IF(ISNUMBER($X62),MAX(0,$X62-$W62),"∞"),IF(ISNUMBER($X62),MAX(0,MIN($X62-$W62,SUMIFS($Z$8:$Z$57,$T$8:$T$57,$T62))),SUMIFS($Z$8:$Z$57,$T$8:$T$57,$T62)))))</f>
        <v>1000000</v>
      </c>
      <c r="Z62" s="27">
        <f>IF($T62="","",IF(ISNUMBER($X62),IF($X62=0,0,$W62/$X62),IF(ISNUMBER($Y62),IF($W62+$Y62=0,0,$W62/($W62+$Y62)),"")))</f>
        <v>0</v>
      </c>
      <c r="AA62" s="29">
        <f>IF($T62="","",COUNTIFS(TRANSACTIONS_MASTER!$D$5:$D$1204,$T62,TRANSACTIONS_MASTER!$C$5:$C$1204,$C$2,TRANSACTIONS_MASTER!$U$5:$U$1204,"&lt;&gt;Cancelled"))</f>
        <v>0</v>
      </c>
    </row>
    <row r="63">
      <c r="A63" s="81" t="str">
        <f>IF($Q63="","",56)</f>
        <v/>
      </c>
      <c r="B63" s="57" t="str">
        <f>IF($Q63="","",INDEX(TRANSACTIONS_MASTER!$B$5:$B$1204,$Q63))</f>
        <v/>
      </c>
      <c r="C63" s="55" t="str">
        <f>IF($Q63="","",INDEX(TRANSACTIONS_MASTER!$F$5:$F$1204,$Q63))</f>
        <v/>
      </c>
      <c r="D63" s="55" t="str">
        <f>IF($Q63="","",INDEX(TRANSACTIONS_MASTER!$E$5:$E$1204,$Q63))</f>
        <v/>
      </c>
      <c r="E63" s="55" t="str">
        <f>IF($Q63="","",INDEX(TRANSACTIONS_MASTER!$G$5:$G$1204,$Q63)&amp;"")</f>
        <v/>
      </c>
      <c r="F63" s="29" t="str">
        <f>IF($Q63="","",INDEX(TRANSACTIONS_MASTER!$I$5:$I$1204,$Q63))</f>
        <v/>
      </c>
      <c r="G63" s="55" t="str">
        <f>IF($Q63="","",INDEX(TRANSACTIONS_MASTER!$K$5:$K$1204,$Q63))</f>
        <v/>
      </c>
      <c r="H63" s="25" t="str">
        <f>IF($Q63="","",INDEX(TRANSACTIONS_MASTER!$L$5:$L$1204,$Q63))</f>
        <v/>
      </c>
      <c r="I63" s="56" t="str">
        <f>IF($Q63="","",INDEX(TRANSACTIONS_MASTER!$N$5:$N$1204,$Q63))</f>
        <v/>
      </c>
      <c r="J63" s="25" t="str">
        <f>IF($Q63="","",INDEX(TRANSACTIONS_MASTER!$O$5:$O$1204,$Q63))</f>
        <v/>
      </c>
      <c r="K63" s="26" t="str">
        <f>IF($Q63="","",INDEX(TRANSACTIONS_MASTER!$Q$5:$Q$1204,$Q63))</f>
        <v/>
      </c>
      <c r="L63" s="25" t="str">
        <f>IF($Q63="","",INDEX(TRANSACTIONS_MASTER!$P$5:$P$1204,$Q63))</f>
        <v/>
      </c>
      <c r="M63" s="25" t="str">
        <f>IF($Q63="","",INDEX(TRANSACTIONS_MASTER!$AA$5:$AA$1204,$Q63))</f>
        <v/>
      </c>
      <c r="N63" s="25" t="str">
        <f>IF($Q63="","",INDEX(TRANSACTIONS_MASTER!$R$5:$R$1204,$Q63))</f>
        <v/>
      </c>
      <c r="O63" s="28" t="str">
        <f>IF($Q63="","",INDEX(TRANSACTIONS_MASTER!$AB$5:$AB$1204,$Q63))</f>
        <v/>
      </c>
      <c r="P63" s="55" t="str">
        <f>IF($Q63="","",INDEX(TRANSACTIONS_MASTER!$Z$5:$Z$1204,$Q63)&amp;"")</f>
        <v/>
      </c>
      <c r="Q63" s="67" t="str">
        <f>IFERROR(MATCH($C$2&amp;"|"&amp;56,TRANSACTIONS_MASTER!$AE$5:$AE$1204,0),"")</f>
        <v/>
      </c>
      <c r="S63" s="67" t="n">
        <v>2</v>
      </c>
      <c r="T63" s="55" t="str">
        <f>IF(CARDS!$A6="","",CARDS!$A6)</f>
        <v>VIB-A</v>
      </c>
      <c r="U63" s="55" t="str">
        <f>IF($T63="","",CARDS!$B6&amp;" "&amp;CARDS!$C6)</f>
        <v>VIB Cashback Demo A</v>
      </c>
      <c r="V63" s="25">
        <f>IF($T63="","",SUMIFS(TRANSACTIONS_MASTER!$L$5:$L$1204,TRANSACTIONS_MASTER!$D$5:$D$1204,$T63,TRANSACTIONS_MASTER!$C$5:$C$1204,$C$2,TRANSACTIONS_MASTER!$U$5:$U$1204,"&lt;&gt;Cancelled"))</f>
        <v>0</v>
      </c>
      <c r="W63" s="26">
        <f>IF($T63="","",SUMIFS(TRANSACTIONS_MASTER!$Q$5:$Q$1204,TRANSACTIONS_MASTER!$D$5:$D$1204,$T63,TRANSACTIONS_MASTER!$C$5:$C$1204,$C$2))</f>
        <v>0</v>
      </c>
      <c r="X63" s="25">
        <f>IF($T63="","",IFERROR(IF(ISNUMBER(INDEX(CASHBACK_RULES!$K$5:$K$304,MATCH($T63,CASHBACK_RULES!$B$5:$B$304,0))),INDEX(CASHBACK_RULES!$K$5:$K$304,MATCH($T63,CASHBACK_RULES!$B$5:$B$304,0)),"∞"),"—"))</f>
        <v>1000000</v>
      </c>
      <c r="Y63" s="25">
        <f>IF($T63="","",IF($X63="—","—",IF(COUNTIFS($T$8:$T$57,$T63,$Z$8:$Z$57,"∞")&gt;0,IF(ISNUMBER($X63),MAX(0,$X63-$W63),"∞"),IF(ISNUMBER($X63),MAX(0,MIN($X63-$W63,SUMIFS($Z$8:$Z$57,$T$8:$T$57,$T63))),SUMIFS($Z$8:$Z$57,$T$8:$T$57,$T63)))))</f>
        <v>1000000</v>
      </c>
      <c r="Z63" s="27">
        <f>IF($T63="","",IF(ISNUMBER($X63),IF($X63=0,0,$W63/$X63),IF(ISNUMBER($Y63),IF($W63+$Y63=0,0,$W63/($W63+$Y63)),"")))</f>
        <v>0</v>
      </c>
      <c r="AA63" s="29">
        <f>IF($T63="","",COUNTIFS(TRANSACTIONS_MASTER!$D$5:$D$1204,$T63,TRANSACTIONS_MASTER!$C$5:$C$1204,$C$2,TRANSACTIONS_MASTER!$U$5:$U$1204,"&lt;&gt;Cancelled"))</f>
        <v>0</v>
      </c>
    </row>
    <row r="64">
      <c r="A64" s="81" t="str">
        <f>IF($Q64="","",57)</f>
        <v/>
      </c>
      <c r="B64" s="57" t="str">
        <f>IF($Q64="","",INDEX(TRANSACTIONS_MASTER!$B$5:$B$1204,$Q64))</f>
        <v/>
      </c>
      <c r="C64" s="55" t="str">
        <f>IF($Q64="","",INDEX(TRANSACTIONS_MASTER!$F$5:$F$1204,$Q64))</f>
        <v/>
      </c>
      <c r="D64" s="55" t="str">
        <f>IF($Q64="","",INDEX(TRANSACTIONS_MASTER!$E$5:$E$1204,$Q64))</f>
        <v/>
      </c>
      <c r="E64" s="55" t="str">
        <f>IF($Q64="","",INDEX(TRANSACTIONS_MASTER!$G$5:$G$1204,$Q64)&amp;"")</f>
        <v/>
      </c>
      <c r="F64" s="29" t="str">
        <f>IF($Q64="","",INDEX(TRANSACTIONS_MASTER!$I$5:$I$1204,$Q64))</f>
        <v/>
      </c>
      <c r="G64" s="55" t="str">
        <f>IF($Q64="","",INDEX(TRANSACTIONS_MASTER!$K$5:$K$1204,$Q64))</f>
        <v/>
      </c>
      <c r="H64" s="25" t="str">
        <f>IF($Q64="","",INDEX(TRANSACTIONS_MASTER!$L$5:$L$1204,$Q64))</f>
        <v/>
      </c>
      <c r="I64" s="56" t="str">
        <f>IF($Q64="","",INDEX(TRANSACTIONS_MASTER!$N$5:$N$1204,$Q64))</f>
        <v/>
      </c>
      <c r="J64" s="25" t="str">
        <f>IF($Q64="","",INDEX(TRANSACTIONS_MASTER!$O$5:$O$1204,$Q64))</f>
        <v/>
      </c>
      <c r="K64" s="26" t="str">
        <f>IF($Q64="","",INDEX(TRANSACTIONS_MASTER!$Q$5:$Q$1204,$Q64))</f>
        <v/>
      </c>
      <c r="L64" s="25" t="str">
        <f>IF($Q64="","",INDEX(TRANSACTIONS_MASTER!$P$5:$P$1204,$Q64))</f>
        <v/>
      </c>
      <c r="M64" s="25" t="str">
        <f>IF($Q64="","",INDEX(TRANSACTIONS_MASTER!$AA$5:$AA$1204,$Q64))</f>
        <v/>
      </c>
      <c r="N64" s="25" t="str">
        <f>IF($Q64="","",INDEX(TRANSACTIONS_MASTER!$R$5:$R$1204,$Q64))</f>
        <v/>
      </c>
      <c r="O64" s="28" t="str">
        <f>IF($Q64="","",INDEX(TRANSACTIONS_MASTER!$AB$5:$AB$1204,$Q64))</f>
        <v/>
      </c>
      <c r="P64" s="55" t="str">
        <f>IF($Q64="","",INDEX(TRANSACTIONS_MASTER!$Z$5:$Z$1204,$Q64)&amp;"")</f>
        <v/>
      </c>
      <c r="Q64" s="67" t="str">
        <f>IFERROR(MATCH($C$2&amp;"|"&amp;57,TRANSACTIONS_MASTER!$AE$5:$AE$1204,0),"")</f>
        <v/>
      </c>
      <c r="S64" s="67" t="n">
        <v>3</v>
      </c>
      <c r="T64" s="55" t="str">
        <f>IF(CARDS!$A7="","",CARDS!$A7)</f>
        <v>TCB-B</v>
      </c>
      <c r="U64" s="55" t="str">
        <f>IF($T64="","",CARDS!$B7&amp;" "&amp;CARDS!$C7)</f>
        <v>Techcombank Cashback Demo B</v>
      </c>
      <c r="V64" s="25">
        <f>IF($T64="","",SUMIFS(TRANSACTIONS_MASTER!$L$5:$L$1204,TRANSACTIONS_MASTER!$D$5:$D$1204,$T64,TRANSACTIONS_MASTER!$C$5:$C$1204,$C$2,TRANSACTIONS_MASTER!$U$5:$U$1204,"&lt;&gt;Cancelled"))</f>
        <v>0</v>
      </c>
      <c r="W64" s="26">
        <f>IF($T64="","",SUMIFS(TRANSACTIONS_MASTER!$Q$5:$Q$1204,TRANSACTIONS_MASTER!$D$5:$D$1204,$T64,TRANSACTIONS_MASTER!$C$5:$C$1204,$C$2))</f>
        <v>0</v>
      </c>
      <c r="X64" s="25">
        <f>IF($T64="","",IFERROR(IF(ISNUMBER(INDEX(CASHBACK_RULES!$K$5:$K$304,MATCH($T64,CASHBACK_RULES!$B$5:$B$304,0))),INDEX(CASHBACK_RULES!$K$5:$K$304,MATCH($T64,CASHBACK_RULES!$B$5:$B$304,0)),"∞"),"—"))</f>
        <v>2000000</v>
      </c>
      <c r="Y64" s="25">
        <f>IF($T64="","",IF($X64="—","—",IF(COUNTIFS($T$8:$T$57,$T64,$Z$8:$Z$57,"∞")&gt;0,IF(ISNUMBER($X64),MAX(0,$X64-$W64),"∞"),IF(ISNUMBER($X64),MAX(0,MIN($X64-$W64,SUMIFS($Z$8:$Z$57,$T$8:$T$57,$T64))),SUMIFS($Z$8:$Z$57,$T$8:$T$57,$T64)))))</f>
        <v>900000</v>
      </c>
      <c r="Z64" s="27">
        <f>IF($T64="","",IF(ISNUMBER($X64),IF($X64=0,0,$W64/$X64),IF(ISNUMBER($Y64),IF($W64+$Y64=0,0,$W64/($W64+$Y64)),"")))</f>
        <v>0</v>
      </c>
      <c r="AA64" s="29">
        <f>IF($T64="","",COUNTIFS(TRANSACTIONS_MASTER!$D$5:$D$1204,$T64,TRANSACTIONS_MASTER!$C$5:$C$1204,$C$2,TRANSACTIONS_MASTER!$U$5:$U$1204,"&lt;&gt;Cancelled"))</f>
        <v>0</v>
      </c>
    </row>
    <row r="65">
      <c r="A65" s="81" t="str">
        <f>IF($Q65="","",58)</f>
        <v/>
      </c>
      <c r="B65" s="57" t="str">
        <f>IF($Q65="","",INDEX(TRANSACTIONS_MASTER!$B$5:$B$1204,$Q65))</f>
        <v/>
      </c>
      <c r="C65" s="55" t="str">
        <f>IF($Q65="","",INDEX(TRANSACTIONS_MASTER!$F$5:$F$1204,$Q65))</f>
        <v/>
      </c>
      <c r="D65" s="55" t="str">
        <f>IF($Q65="","",INDEX(TRANSACTIONS_MASTER!$E$5:$E$1204,$Q65))</f>
        <v/>
      </c>
      <c r="E65" s="55" t="str">
        <f>IF($Q65="","",INDEX(TRANSACTIONS_MASTER!$G$5:$G$1204,$Q65)&amp;"")</f>
        <v/>
      </c>
      <c r="F65" s="29" t="str">
        <f>IF($Q65="","",INDEX(TRANSACTIONS_MASTER!$I$5:$I$1204,$Q65))</f>
        <v/>
      </c>
      <c r="G65" s="55" t="str">
        <f>IF($Q65="","",INDEX(TRANSACTIONS_MASTER!$K$5:$K$1204,$Q65))</f>
        <v/>
      </c>
      <c r="H65" s="25" t="str">
        <f>IF($Q65="","",INDEX(TRANSACTIONS_MASTER!$L$5:$L$1204,$Q65))</f>
        <v/>
      </c>
      <c r="I65" s="56" t="str">
        <f>IF($Q65="","",INDEX(TRANSACTIONS_MASTER!$N$5:$N$1204,$Q65))</f>
        <v/>
      </c>
      <c r="J65" s="25" t="str">
        <f>IF($Q65="","",INDEX(TRANSACTIONS_MASTER!$O$5:$O$1204,$Q65))</f>
        <v/>
      </c>
      <c r="K65" s="26" t="str">
        <f>IF($Q65="","",INDEX(TRANSACTIONS_MASTER!$Q$5:$Q$1204,$Q65))</f>
        <v/>
      </c>
      <c r="L65" s="25" t="str">
        <f>IF($Q65="","",INDEX(TRANSACTIONS_MASTER!$P$5:$P$1204,$Q65))</f>
        <v/>
      </c>
      <c r="M65" s="25" t="str">
        <f>IF($Q65="","",INDEX(TRANSACTIONS_MASTER!$AA$5:$AA$1204,$Q65))</f>
        <v/>
      </c>
      <c r="N65" s="25" t="str">
        <f>IF($Q65="","",INDEX(TRANSACTIONS_MASTER!$R$5:$R$1204,$Q65))</f>
        <v/>
      </c>
      <c r="O65" s="28" t="str">
        <f>IF($Q65="","",INDEX(TRANSACTIONS_MASTER!$AB$5:$AB$1204,$Q65))</f>
        <v/>
      </c>
      <c r="P65" s="55" t="str">
        <f>IF($Q65="","",INDEX(TRANSACTIONS_MASTER!$Z$5:$Z$1204,$Q65)&amp;"")</f>
        <v/>
      </c>
      <c r="Q65" s="67" t="str">
        <f>IFERROR(MATCH($C$2&amp;"|"&amp;58,TRANSACTIONS_MASTER!$AE$5:$AE$1204,0),"")</f>
        <v/>
      </c>
      <c r="S65" s="67" t="n">
        <v>4</v>
      </c>
      <c r="T65" s="55" t="str">
        <f>IF(CARDS!$A8="","",CARDS!$A8)</f>
        <v>UOB-C</v>
      </c>
      <c r="U65" s="55" t="str">
        <f>IF($T65="","",CARDS!$B8&amp;" "&amp;CARDS!$C8)</f>
        <v>UOB Cashback Demo C</v>
      </c>
      <c r="V65" s="25">
        <f>IF($T65="","",SUMIFS(TRANSACTIONS_MASTER!$L$5:$L$1204,TRANSACTIONS_MASTER!$D$5:$D$1204,$T65,TRANSACTIONS_MASTER!$C$5:$C$1204,$C$2,TRANSACTIONS_MASTER!$U$5:$U$1204,"&lt;&gt;Cancelled"))</f>
        <v>0</v>
      </c>
      <c r="W65" s="26">
        <f>IF($T65="","",SUMIFS(TRANSACTIONS_MASTER!$Q$5:$Q$1204,TRANSACTIONS_MASTER!$D$5:$D$1204,$T65,TRANSACTIONS_MASTER!$C$5:$C$1204,$C$2))</f>
        <v>0</v>
      </c>
      <c r="X65" s="25" t="str">
        <f>IF($T65="","",IFERROR(IF(ISNUMBER(INDEX(CASHBACK_RULES!$K$5:$K$304,MATCH($T65,CASHBACK_RULES!$B$5:$B$304,0))),INDEX(CASHBACK_RULES!$K$5:$K$304,MATCH($T65,CASHBACK_RULES!$B$5:$B$304,0)),"∞"),"—"))</f>
        <v>∞</v>
      </c>
      <c r="Y65" s="25">
        <f>IF($T65="","",IF($X65="—","—",IF(COUNTIFS($T$8:$T$57,$T65,$Z$8:$Z$57,"∞")&gt;0,IF(ISNUMBER($X65),MAX(0,$X65-$W65),"∞"),IF(ISNUMBER($X65),MAX(0,MIN($X65-$W65,SUMIFS($Z$8:$Z$57,$T$8:$T$57,$T65))),SUMIFS($Z$8:$Z$57,$T$8:$T$57,$T65)))))</f>
        <v>1000000</v>
      </c>
      <c r="Z65" s="27">
        <f>IF($T65="","",IF(ISNUMBER($X65),IF($X65=0,0,$W65/$X65),IF(ISNUMBER($Y65),IF($W65+$Y65=0,0,$W65/($W65+$Y65)),"")))</f>
        <v>0</v>
      </c>
      <c r="AA65" s="29">
        <f>IF($T65="","",COUNTIFS(TRANSACTIONS_MASTER!$D$5:$D$1204,$T65,TRANSACTIONS_MASTER!$C$5:$C$1204,$C$2,TRANSACTIONS_MASTER!$U$5:$U$1204,"&lt;&gt;Cancelled"))</f>
        <v>0</v>
      </c>
    </row>
    <row r="66">
      <c r="A66" s="81" t="str">
        <f>IF($Q66="","",59)</f>
        <v/>
      </c>
      <c r="B66" s="57" t="str">
        <f>IF($Q66="","",INDEX(TRANSACTIONS_MASTER!$B$5:$B$1204,$Q66))</f>
        <v/>
      </c>
      <c r="C66" s="55" t="str">
        <f>IF($Q66="","",INDEX(TRANSACTIONS_MASTER!$F$5:$F$1204,$Q66))</f>
        <v/>
      </c>
      <c r="D66" s="55" t="str">
        <f>IF($Q66="","",INDEX(TRANSACTIONS_MASTER!$E$5:$E$1204,$Q66))</f>
        <v/>
      </c>
      <c r="E66" s="55" t="str">
        <f>IF($Q66="","",INDEX(TRANSACTIONS_MASTER!$G$5:$G$1204,$Q66)&amp;"")</f>
        <v/>
      </c>
      <c r="F66" s="29" t="str">
        <f>IF($Q66="","",INDEX(TRANSACTIONS_MASTER!$I$5:$I$1204,$Q66))</f>
        <v/>
      </c>
      <c r="G66" s="55" t="str">
        <f>IF($Q66="","",INDEX(TRANSACTIONS_MASTER!$K$5:$K$1204,$Q66))</f>
        <v/>
      </c>
      <c r="H66" s="25" t="str">
        <f>IF($Q66="","",INDEX(TRANSACTIONS_MASTER!$L$5:$L$1204,$Q66))</f>
        <v/>
      </c>
      <c r="I66" s="56" t="str">
        <f>IF($Q66="","",INDEX(TRANSACTIONS_MASTER!$N$5:$N$1204,$Q66))</f>
        <v/>
      </c>
      <c r="J66" s="25" t="str">
        <f>IF($Q66="","",INDEX(TRANSACTIONS_MASTER!$O$5:$O$1204,$Q66))</f>
        <v/>
      </c>
      <c r="K66" s="26" t="str">
        <f>IF($Q66="","",INDEX(TRANSACTIONS_MASTER!$Q$5:$Q$1204,$Q66))</f>
        <v/>
      </c>
      <c r="L66" s="25" t="str">
        <f>IF($Q66="","",INDEX(TRANSACTIONS_MASTER!$P$5:$P$1204,$Q66))</f>
        <v/>
      </c>
      <c r="M66" s="25" t="str">
        <f>IF($Q66="","",INDEX(TRANSACTIONS_MASTER!$AA$5:$AA$1204,$Q66))</f>
        <v/>
      </c>
      <c r="N66" s="25" t="str">
        <f>IF($Q66="","",INDEX(TRANSACTIONS_MASTER!$R$5:$R$1204,$Q66))</f>
        <v/>
      </c>
      <c r="O66" s="28" t="str">
        <f>IF($Q66="","",INDEX(TRANSACTIONS_MASTER!$AB$5:$AB$1204,$Q66))</f>
        <v/>
      </c>
      <c r="P66" s="55" t="str">
        <f>IF($Q66="","",INDEX(TRANSACTIONS_MASTER!$Z$5:$Z$1204,$Q66)&amp;"")</f>
        <v/>
      </c>
      <c r="Q66" s="67" t="str">
        <f>IFERROR(MATCH($C$2&amp;"|"&amp;59,TRANSACTIONS_MASTER!$AE$5:$AE$1204,0),"")</f>
        <v/>
      </c>
      <c r="S66" s="67" t="n">
        <v>5</v>
      </c>
      <c r="T66" s="55" t="str">
        <f>IF(CARDS!$A9="","",CARDS!$A9)</f>
        <v>MB-D</v>
      </c>
      <c r="U66" s="55" t="str">
        <f>IF($T66="","",CARDS!$B9&amp;" "&amp;CARDS!$C9)</f>
        <v>MB Cashback Demo D</v>
      </c>
      <c r="V66" s="25">
        <f>IF($T66="","",SUMIFS(TRANSACTIONS_MASTER!$L$5:$L$1204,TRANSACTIONS_MASTER!$D$5:$D$1204,$T66,TRANSACTIONS_MASTER!$C$5:$C$1204,$C$2,TRANSACTIONS_MASTER!$U$5:$U$1204,"&lt;&gt;Cancelled"))</f>
        <v>0</v>
      </c>
      <c r="W66" s="26">
        <f>IF($T66="","",SUMIFS(TRANSACTIONS_MASTER!$Q$5:$Q$1204,TRANSACTIONS_MASTER!$D$5:$D$1204,$T66,TRANSACTIONS_MASTER!$C$5:$C$1204,$C$2))</f>
        <v>0</v>
      </c>
      <c r="X66" s="25">
        <f>IF($T66="","",IFERROR(IF(ISNUMBER(INDEX(CASHBACK_RULES!$K$5:$K$304,MATCH($T66,CASHBACK_RULES!$B$5:$B$304,0))),INDEX(CASHBACK_RULES!$K$5:$K$304,MATCH($T66,CASHBACK_RULES!$B$5:$B$304,0)),"∞"),"—"))</f>
        <v>600000</v>
      </c>
      <c r="Y66" s="25">
        <f>IF($T66="","",IF($X66="—","—",IF(COUNTIFS($T$8:$T$57,$T66,$Z$8:$Z$57,"∞")&gt;0,IF(ISNUMBER($X66),MAX(0,$X66-$W66),"∞"),IF(ISNUMBER($X66),MAX(0,MIN($X66-$W66,SUMIFS($Z$8:$Z$57,$T$8:$T$57,$T66))),SUMIFS($Z$8:$Z$57,$T$8:$T$57,$T66)))))</f>
        <v>600000</v>
      </c>
      <c r="Z66" s="27">
        <f>IF($T66="","",IF(ISNUMBER($X66),IF($X66=0,0,$W66/$X66),IF(ISNUMBER($Y66),IF($W66+$Y66=0,0,$W66/($W66+$Y66)),"")))</f>
        <v>0</v>
      </c>
      <c r="AA66" s="29">
        <f>IF($T66="","",COUNTIFS(TRANSACTIONS_MASTER!$D$5:$D$1204,$T66,TRANSACTIONS_MASTER!$C$5:$C$1204,$C$2,TRANSACTIONS_MASTER!$U$5:$U$1204,"&lt;&gt;Cancelled"))</f>
        <v>0</v>
      </c>
    </row>
    <row r="67">
      <c r="A67" s="81" t="str">
        <f>IF($Q67="","",60)</f>
        <v/>
      </c>
      <c r="B67" s="57" t="str">
        <f>IF($Q67="","",INDEX(TRANSACTIONS_MASTER!$B$5:$B$1204,$Q67))</f>
        <v/>
      </c>
      <c r="C67" s="55" t="str">
        <f>IF($Q67="","",INDEX(TRANSACTIONS_MASTER!$F$5:$F$1204,$Q67))</f>
        <v/>
      </c>
      <c r="D67" s="55" t="str">
        <f>IF($Q67="","",INDEX(TRANSACTIONS_MASTER!$E$5:$E$1204,$Q67))</f>
        <v/>
      </c>
      <c r="E67" s="55" t="str">
        <f>IF($Q67="","",INDEX(TRANSACTIONS_MASTER!$G$5:$G$1204,$Q67)&amp;"")</f>
        <v/>
      </c>
      <c r="F67" s="29" t="str">
        <f>IF($Q67="","",INDEX(TRANSACTIONS_MASTER!$I$5:$I$1204,$Q67))</f>
        <v/>
      </c>
      <c r="G67" s="55" t="str">
        <f>IF($Q67="","",INDEX(TRANSACTIONS_MASTER!$K$5:$K$1204,$Q67))</f>
        <v/>
      </c>
      <c r="H67" s="25" t="str">
        <f>IF($Q67="","",INDEX(TRANSACTIONS_MASTER!$L$5:$L$1204,$Q67))</f>
        <v/>
      </c>
      <c r="I67" s="56" t="str">
        <f>IF($Q67="","",INDEX(TRANSACTIONS_MASTER!$N$5:$N$1204,$Q67))</f>
        <v/>
      </c>
      <c r="J67" s="25" t="str">
        <f>IF($Q67="","",INDEX(TRANSACTIONS_MASTER!$O$5:$O$1204,$Q67))</f>
        <v/>
      </c>
      <c r="K67" s="26" t="str">
        <f>IF($Q67="","",INDEX(TRANSACTIONS_MASTER!$Q$5:$Q$1204,$Q67))</f>
        <v/>
      </c>
      <c r="L67" s="25" t="str">
        <f>IF($Q67="","",INDEX(TRANSACTIONS_MASTER!$P$5:$P$1204,$Q67))</f>
        <v/>
      </c>
      <c r="M67" s="25" t="str">
        <f>IF($Q67="","",INDEX(TRANSACTIONS_MASTER!$AA$5:$AA$1204,$Q67))</f>
        <v/>
      </c>
      <c r="N67" s="25" t="str">
        <f>IF($Q67="","",INDEX(TRANSACTIONS_MASTER!$R$5:$R$1204,$Q67))</f>
        <v/>
      </c>
      <c r="O67" s="28" t="str">
        <f>IF($Q67="","",INDEX(TRANSACTIONS_MASTER!$AB$5:$AB$1204,$Q67))</f>
        <v/>
      </c>
      <c r="P67" s="55" t="str">
        <f>IF($Q67="","",INDEX(TRANSACTIONS_MASTER!$Z$5:$Z$1204,$Q67)&amp;"")</f>
        <v/>
      </c>
      <c r="Q67" s="67" t="str">
        <f>IFERROR(MATCH($C$2&amp;"|"&amp;60,TRANSACTIONS_MASTER!$AE$5:$AE$1204,0),"")</f>
        <v/>
      </c>
      <c r="S67" s="67" t="n">
        <v>6</v>
      </c>
      <c r="T67" s="55" t="str">
        <f>IF(CARDS!$A10="","",CARDS!$A10)</f>
        <v>ACB-E</v>
      </c>
      <c r="U67" s="55" t="str">
        <f>IF($T67="","",CARDS!$B10&amp;" "&amp;CARDS!$C10)</f>
        <v>ACB Demo E (không cashback)</v>
      </c>
      <c r="V67" s="25">
        <f>IF($T67="","",SUMIFS(TRANSACTIONS_MASTER!$L$5:$L$1204,TRANSACTIONS_MASTER!$D$5:$D$1204,$T67,TRANSACTIONS_MASTER!$C$5:$C$1204,$C$2,TRANSACTIONS_MASTER!$U$5:$U$1204,"&lt;&gt;Cancelled"))</f>
        <v>0</v>
      </c>
      <c r="W67" s="26">
        <f>IF($T67="","",SUMIFS(TRANSACTIONS_MASTER!$Q$5:$Q$1204,TRANSACTIONS_MASTER!$D$5:$D$1204,$T67,TRANSACTIONS_MASTER!$C$5:$C$1204,$C$2))</f>
        <v>0</v>
      </c>
      <c r="X67" s="25" t="str">
        <f>IF($T67="","",IFERROR(IF(ISNUMBER(INDEX(CASHBACK_RULES!$K$5:$K$304,MATCH($T67,CASHBACK_RULES!$B$5:$B$304,0))),INDEX(CASHBACK_RULES!$K$5:$K$304,MATCH($T67,CASHBACK_RULES!$B$5:$B$304,0)),"∞"),"—"))</f>
        <v>∞</v>
      </c>
      <c r="Y67" s="25">
        <f>IF($T67="","",IF($X67="—","—",IF(COUNTIFS($T$8:$T$57,$T67,$Z$8:$Z$57,"∞")&gt;0,IF(ISNUMBER($X67),MAX(0,$X67-$W67),"∞"),IF(ISNUMBER($X67),MAX(0,MIN($X67-$W67,SUMIFS($Z$8:$Z$57,$T$8:$T$57,$T67))),SUMIFS($Z$8:$Z$57,$T$8:$T$57,$T67)))))</f>
        <v>0</v>
      </c>
      <c r="Z67" s="27">
        <f>IF($T67="","",IF(ISNUMBER($X67),IF($X67=0,0,$W67/$X67),IF(ISNUMBER($Y67),IF($W67+$Y67=0,0,$W67/($W67+$Y67)),"")))</f>
        <v>0</v>
      </c>
      <c r="AA67" s="29">
        <f>IF($T67="","",COUNTIFS(TRANSACTIONS_MASTER!$D$5:$D$1204,$T67,TRANSACTIONS_MASTER!$C$5:$C$1204,$C$2,TRANSACTIONS_MASTER!$U$5:$U$1204,"&lt;&gt;Cancelled"))</f>
        <v>0</v>
      </c>
    </row>
    <row r="68">
      <c r="A68" s="81" t="str">
        <f>IF($Q68="","",61)</f>
        <v/>
      </c>
      <c r="B68" s="57" t="str">
        <f>IF($Q68="","",INDEX(TRANSACTIONS_MASTER!$B$5:$B$1204,$Q68))</f>
        <v/>
      </c>
      <c r="C68" s="55" t="str">
        <f>IF($Q68="","",INDEX(TRANSACTIONS_MASTER!$F$5:$F$1204,$Q68))</f>
        <v/>
      </c>
      <c r="D68" s="55" t="str">
        <f>IF($Q68="","",INDEX(TRANSACTIONS_MASTER!$E$5:$E$1204,$Q68))</f>
        <v/>
      </c>
      <c r="E68" s="55" t="str">
        <f>IF($Q68="","",INDEX(TRANSACTIONS_MASTER!$G$5:$G$1204,$Q68)&amp;"")</f>
        <v/>
      </c>
      <c r="F68" s="29" t="str">
        <f>IF($Q68="","",INDEX(TRANSACTIONS_MASTER!$I$5:$I$1204,$Q68))</f>
        <v/>
      </c>
      <c r="G68" s="55" t="str">
        <f>IF($Q68="","",INDEX(TRANSACTIONS_MASTER!$K$5:$K$1204,$Q68))</f>
        <v/>
      </c>
      <c r="H68" s="25" t="str">
        <f>IF($Q68="","",INDEX(TRANSACTIONS_MASTER!$L$5:$L$1204,$Q68))</f>
        <v/>
      </c>
      <c r="I68" s="56" t="str">
        <f>IF($Q68="","",INDEX(TRANSACTIONS_MASTER!$N$5:$N$1204,$Q68))</f>
        <v/>
      </c>
      <c r="J68" s="25" t="str">
        <f>IF($Q68="","",INDEX(TRANSACTIONS_MASTER!$O$5:$O$1204,$Q68))</f>
        <v/>
      </c>
      <c r="K68" s="26" t="str">
        <f>IF($Q68="","",INDEX(TRANSACTIONS_MASTER!$Q$5:$Q$1204,$Q68))</f>
        <v/>
      </c>
      <c r="L68" s="25" t="str">
        <f>IF($Q68="","",INDEX(TRANSACTIONS_MASTER!$P$5:$P$1204,$Q68))</f>
        <v/>
      </c>
      <c r="M68" s="25" t="str">
        <f>IF($Q68="","",INDEX(TRANSACTIONS_MASTER!$AA$5:$AA$1204,$Q68))</f>
        <v/>
      </c>
      <c r="N68" s="25" t="str">
        <f>IF($Q68="","",INDEX(TRANSACTIONS_MASTER!$R$5:$R$1204,$Q68))</f>
        <v/>
      </c>
      <c r="O68" s="28" t="str">
        <f>IF($Q68="","",INDEX(TRANSACTIONS_MASTER!$AB$5:$AB$1204,$Q68))</f>
        <v/>
      </c>
      <c r="P68" s="55" t="str">
        <f>IF($Q68="","",INDEX(TRANSACTIONS_MASTER!$Z$5:$Z$1204,$Q68)&amp;"")</f>
        <v/>
      </c>
      <c r="Q68" s="67" t="str">
        <f>IFERROR(MATCH($C$2&amp;"|"&amp;61,TRANSACTIONS_MASTER!$AE$5:$AE$1204,0),"")</f>
        <v/>
      </c>
      <c r="S68" s="67" t="n">
        <v>7</v>
      </c>
      <c r="T68" s="55" t="str">
        <f>IF(CARDS!$A11="","",CARDS!$A11)</f>
        <v/>
      </c>
      <c r="U68" s="55" t="str">
        <f>IF($T68="","",CARDS!$B11&amp;" "&amp;CARDS!$C11)</f>
        <v/>
      </c>
      <c r="V68" s="25" t="str">
        <f>IF($T68="","",SUMIFS(TRANSACTIONS_MASTER!$L$5:$L$1204,TRANSACTIONS_MASTER!$D$5:$D$1204,$T68,TRANSACTIONS_MASTER!$C$5:$C$1204,$C$2,TRANSACTIONS_MASTER!$U$5:$U$1204,"&lt;&gt;Cancelled"))</f>
        <v/>
      </c>
      <c r="W68" s="26" t="str">
        <f>IF($T68="","",SUMIFS(TRANSACTIONS_MASTER!$Q$5:$Q$1204,TRANSACTIONS_MASTER!$D$5:$D$1204,$T68,TRANSACTIONS_MASTER!$C$5:$C$1204,$C$2))</f>
        <v/>
      </c>
      <c r="X68" s="25" t="str">
        <f>IF($T68="","",IFERROR(IF(ISNUMBER(INDEX(CASHBACK_RULES!$K$5:$K$304,MATCH($T68,CASHBACK_RULES!$B$5:$B$304,0))),INDEX(CASHBACK_RULES!$K$5:$K$304,MATCH($T68,CASHBACK_RULES!$B$5:$B$304,0)),"∞"),"—"))</f>
        <v/>
      </c>
      <c r="Y68" s="25" t="str">
        <f>IF($T68="","",IF($X68="—","—",IF(COUNTIFS($T$8:$T$57,$T68,$Z$8:$Z$57,"∞")&gt;0,IF(ISNUMBER($X68),MAX(0,$X68-$W68),"∞"),IF(ISNUMBER($X68),MAX(0,MIN($X68-$W68,SUMIFS($Z$8:$Z$57,$T$8:$T$57,$T68))),SUMIFS($Z$8:$Z$57,$T$8:$T$57,$T68)))))</f>
        <v/>
      </c>
      <c r="Z68" s="27" t="str">
        <f>IF($T68="","",IF(ISNUMBER($X68),IF($X68=0,0,$W68/$X68),IF(ISNUMBER($Y68),IF($W68+$Y68=0,0,$W68/($W68+$Y68)),"")))</f>
        <v/>
      </c>
      <c r="AA68" s="29" t="str">
        <f>IF($T68="","",COUNTIFS(TRANSACTIONS_MASTER!$D$5:$D$1204,$T68,TRANSACTIONS_MASTER!$C$5:$C$1204,$C$2,TRANSACTIONS_MASTER!$U$5:$U$1204,"&lt;&gt;Cancelled"))</f>
        <v/>
      </c>
    </row>
    <row r="69">
      <c r="A69" s="81" t="str">
        <f>IF($Q69="","",62)</f>
        <v/>
      </c>
      <c r="B69" s="57" t="str">
        <f>IF($Q69="","",INDEX(TRANSACTIONS_MASTER!$B$5:$B$1204,$Q69))</f>
        <v/>
      </c>
      <c r="C69" s="55" t="str">
        <f>IF($Q69="","",INDEX(TRANSACTIONS_MASTER!$F$5:$F$1204,$Q69))</f>
        <v/>
      </c>
      <c r="D69" s="55" t="str">
        <f>IF($Q69="","",INDEX(TRANSACTIONS_MASTER!$E$5:$E$1204,$Q69))</f>
        <v/>
      </c>
      <c r="E69" s="55" t="str">
        <f>IF($Q69="","",INDEX(TRANSACTIONS_MASTER!$G$5:$G$1204,$Q69)&amp;"")</f>
        <v/>
      </c>
      <c r="F69" s="29" t="str">
        <f>IF($Q69="","",INDEX(TRANSACTIONS_MASTER!$I$5:$I$1204,$Q69))</f>
        <v/>
      </c>
      <c r="G69" s="55" t="str">
        <f>IF($Q69="","",INDEX(TRANSACTIONS_MASTER!$K$5:$K$1204,$Q69))</f>
        <v/>
      </c>
      <c r="H69" s="25" t="str">
        <f>IF($Q69="","",INDEX(TRANSACTIONS_MASTER!$L$5:$L$1204,$Q69))</f>
        <v/>
      </c>
      <c r="I69" s="56" t="str">
        <f>IF($Q69="","",INDEX(TRANSACTIONS_MASTER!$N$5:$N$1204,$Q69))</f>
        <v/>
      </c>
      <c r="J69" s="25" t="str">
        <f>IF($Q69="","",INDEX(TRANSACTIONS_MASTER!$O$5:$O$1204,$Q69))</f>
        <v/>
      </c>
      <c r="K69" s="26" t="str">
        <f>IF($Q69="","",INDEX(TRANSACTIONS_MASTER!$Q$5:$Q$1204,$Q69))</f>
        <v/>
      </c>
      <c r="L69" s="25" t="str">
        <f>IF($Q69="","",INDEX(TRANSACTIONS_MASTER!$P$5:$P$1204,$Q69))</f>
        <v/>
      </c>
      <c r="M69" s="25" t="str">
        <f>IF($Q69="","",INDEX(TRANSACTIONS_MASTER!$AA$5:$AA$1204,$Q69))</f>
        <v/>
      </c>
      <c r="N69" s="25" t="str">
        <f>IF($Q69="","",INDEX(TRANSACTIONS_MASTER!$R$5:$R$1204,$Q69))</f>
        <v/>
      </c>
      <c r="O69" s="28" t="str">
        <f>IF($Q69="","",INDEX(TRANSACTIONS_MASTER!$AB$5:$AB$1204,$Q69))</f>
        <v/>
      </c>
      <c r="P69" s="55" t="str">
        <f>IF($Q69="","",INDEX(TRANSACTIONS_MASTER!$Z$5:$Z$1204,$Q69)&amp;"")</f>
        <v/>
      </c>
      <c r="Q69" s="67" t="str">
        <f>IFERROR(MATCH($C$2&amp;"|"&amp;62,TRANSACTIONS_MASTER!$AE$5:$AE$1204,0),"")</f>
        <v/>
      </c>
      <c r="S69" s="67" t="n">
        <v>8</v>
      </c>
      <c r="T69" s="55" t="str">
        <f>IF(CARDS!$A12="","",CARDS!$A12)</f>
        <v/>
      </c>
      <c r="U69" s="55" t="str">
        <f>IF($T69="","",CARDS!$B12&amp;" "&amp;CARDS!$C12)</f>
        <v/>
      </c>
      <c r="V69" s="25" t="str">
        <f>IF($T69="","",SUMIFS(TRANSACTIONS_MASTER!$L$5:$L$1204,TRANSACTIONS_MASTER!$D$5:$D$1204,$T69,TRANSACTIONS_MASTER!$C$5:$C$1204,$C$2,TRANSACTIONS_MASTER!$U$5:$U$1204,"&lt;&gt;Cancelled"))</f>
        <v/>
      </c>
      <c r="W69" s="26" t="str">
        <f>IF($T69="","",SUMIFS(TRANSACTIONS_MASTER!$Q$5:$Q$1204,TRANSACTIONS_MASTER!$D$5:$D$1204,$T69,TRANSACTIONS_MASTER!$C$5:$C$1204,$C$2))</f>
        <v/>
      </c>
      <c r="X69" s="25" t="str">
        <f>IF($T69="","",IFERROR(IF(ISNUMBER(INDEX(CASHBACK_RULES!$K$5:$K$304,MATCH($T69,CASHBACK_RULES!$B$5:$B$304,0))),INDEX(CASHBACK_RULES!$K$5:$K$304,MATCH($T69,CASHBACK_RULES!$B$5:$B$304,0)),"∞"),"—"))</f>
        <v/>
      </c>
      <c r="Y69" s="25" t="str">
        <f>IF($T69="","",IF($X69="—","—",IF(COUNTIFS($T$8:$T$57,$T69,$Z$8:$Z$57,"∞")&gt;0,IF(ISNUMBER($X69),MAX(0,$X69-$W69),"∞"),IF(ISNUMBER($X69),MAX(0,MIN($X69-$W69,SUMIFS($Z$8:$Z$57,$T$8:$T$57,$T69))),SUMIFS($Z$8:$Z$57,$T$8:$T$57,$T69)))))</f>
        <v/>
      </c>
      <c r="Z69" s="27" t="str">
        <f>IF($T69="","",IF(ISNUMBER($X69),IF($X69=0,0,$W69/$X69),IF(ISNUMBER($Y69),IF($W69+$Y69=0,0,$W69/($W69+$Y69)),"")))</f>
        <v/>
      </c>
      <c r="AA69" s="29" t="str">
        <f>IF($T69="","",COUNTIFS(TRANSACTIONS_MASTER!$D$5:$D$1204,$T69,TRANSACTIONS_MASTER!$C$5:$C$1204,$C$2,TRANSACTIONS_MASTER!$U$5:$U$1204,"&lt;&gt;Cancelled"))</f>
        <v/>
      </c>
    </row>
    <row r="70">
      <c r="A70" s="81" t="str">
        <f>IF($Q70="","",63)</f>
        <v/>
      </c>
      <c r="B70" s="57" t="str">
        <f>IF($Q70="","",INDEX(TRANSACTIONS_MASTER!$B$5:$B$1204,$Q70))</f>
        <v/>
      </c>
      <c r="C70" s="55" t="str">
        <f>IF($Q70="","",INDEX(TRANSACTIONS_MASTER!$F$5:$F$1204,$Q70))</f>
        <v/>
      </c>
      <c r="D70" s="55" t="str">
        <f>IF($Q70="","",INDEX(TRANSACTIONS_MASTER!$E$5:$E$1204,$Q70))</f>
        <v/>
      </c>
      <c r="E70" s="55" t="str">
        <f>IF($Q70="","",INDEX(TRANSACTIONS_MASTER!$G$5:$G$1204,$Q70)&amp;"")</f>
        <v/>
      </c>
      <c r="F70" s="29" t="str">
        <f>IF($Q70="","",INDEX(TRANSACTIONS_MASTER!$I$5:$I$1204,$Q70))</f>
        <v/>
      </c>
      <c r="G70" s="55" t="str">
        <f>IF($Q70="","",INDEX(TRANSACTIONS_MASTER!$K$5:$K$1204,$Q70))</f>
        <v/>
      </c>
      <c r="H70" s="25" t="str">
        <f>IF($Q70="","",INDEX(TRANSACTIONS_MASTER!$L$5:$L$1204,$Q70))</f>
        <v/>
      </c>
      <c r="I70" s="56" t="str">
        <f>IF($Q70="","",INDEX(TRANSACTIONS_MASTER!$N$5:$N$1204,$Q70))</f>
        <v/>
      </c>
      <c r="J70" s="25" t="str">
        <f>IF($Q70="","",INDEX(TRANSACTIONS_MASTER!$O$5:$O$1204,$Q70))</f>
        <v/>
      </c>
      <c r="K70" s="26" t="str">
        <f>IF($Q70="","",INDEX(TRANSACTIONS_MASTER!$Q$5:$Q$1204,$Q70))</f>
        <v/>
      </c>
      <c r="L70" s="25" t="str">
        <f>IF($Q70="","",INDEX(TRANSACTIONS_MASTER!$P$5:$P$1204,$Q70))</f>
        <v/>
      </c>
      <c r="M70" s="25" t="str">
        <f>IF($Q70="","",INDEX(TRANSACTIONS_MASTER!$AA$5:$AA$1204,$Q70))</f>
        <v/>
      </c>
      <c r="N70" s="25" t="str">
        <f>IF($Q70="","",INDEX(TRANSACTIONS_MASTER!$R$5:$R$1204,$Q70))</f>
        <v/>
      </c>
      <c r="O70" s="28" t="str">
        <f>IF($Q70="","",INDEX(TRANSACTIONS_MASTER!$AB$5:$AB$1204,$Q70))</f>
        <v/>
      </c>
      <c r="P70" s="55" t="str">
        <f>IF($Q70="","",INDEX(TRANSACTIONS_MASTER!$Z$5:$Z$1204,$Q70)&amp;"")</f>
        <v/>
      </c>
      <c r="Q70" s="67" t="str">
        <f>IFERROR(MATCH($C$2&amp;"|"&amp;63,TRANSACTIONS_MASTER!$AE$5:$AE$1204,0),"")</f>
        <v/>
      </c>
      <c r="S70" s="67" t="n">
        <v>9</v>
      </c>
      <c r="T70" s="55" t="str">
        <f>IF(CARDS!$A13="","",CARDS!$A13)</f>
        <v/>
      </c>
      <c r="U70" s="55" t="str">
        <f>IF($T70="","",CARDS!$B13&amp;" "&amp;CARDS!$C13)</f>
        <v/>
      </c>
      <c r="V70" s="25" t="str">
        <f>IF($T70="","",SUMIFS(TRANSACTIONS_MASTER!$L$5:$L$1204,TRANSACTIONS_MASTER!$D$5:$D$1204,$T70,TRANSACTIONS_MASTER!$C$5:$C$1204,$C$2,TRANSACTIONS_MASTER!$U$5:$U$1204,"&lt;&gt;Cancelled"))</f>
        <v/>
      </c>
      <c r="W70" s="26" t="str">
        <f>IF($T70="","",SUMIFS(TRANSACTIONS_MASTER!$Q$5:$Q$1204,TRANSACTIONS_MASTER!$D$5:$D$1204,$T70,TRANSACTIONS_MASTER!$C$5:$C$1204,$C$2))</f>
        <v/>
      </c>
      <c r="X70" s="25" t="str">
        <f>IF($T70="","",IFERROR(IF(ISNUMBER(INDEX(CASHBACK_RULES!$K$5:$K$304,MATCH($T70,CASHBACK_RULES!$B$5:$B$304,0))),INDEX(CASHBACK_RULES!$K$5:$K$304,MATCH($T70,CASHBACK_RULES!$B$5:$B$304,0)),"∞"),"—"))</f>
        <v/>
      </c>
      <c r="Y70" s="25" t="str">
        <f>IF($T70="","",IF($X70="—","—",IF(COUNTIFS($T$8:$T$57,$T70,$Z$8:$Z$57,"∞")&gt;0,IF(ISNUMBER($X70),MAX(0,$X70-$W70),"∞"),IF(ISNUMBER($X70),MAX(0,MIN($X70-$W70,SUMIFS($Z$8:$Z$57,$T$8:$T$57,$T70))),SUMIFS($Z$8:$Z$57,$T$8:$T$57,$T70)))))</f>
        <v/>
      </c>
      <c r="Z70" s="27" t="str">
        <f>IF($T70="","",IF(ISNUMBER($X70),IF($X70=0,0,$W70/$X70),IF(ISNUMBER($Y70),IF($W70+$Y70=0,0,$W70/($W70+$Y70)),"")))</f>
        <v/>
      </c>
      <c r="AA70" s="29" t="str">
        <f>IF($T70="","",COUNTIFS(TRANSACTIONS_MASTER!$D$5:$D$1204,$T70,TRANSACTIONS_MASTER!$C$5:$C$1204,$C$2,TRANSACTIONS_MASTER!$U$5:$U$1204,"&lt;&gt;Cancelled"))</f>
        <v/>
      </c>
    </row>
    <row r="71">
      <c r="A71" s="81" t="str">
        <f>IF($Q71="","",64)</f>
        <v/>
      </c>
      <c r="B71" s="57" t="str">
        <f>IF($Q71="","",INDEX(TRANSACTIONS_MASTER!$B$5:$B$1204,$Q71))</f>
        <v/>
      </c>
      <c r="C71" s="55" t="str">
        <f>IF($Q71="","",INDEX(TRANSACTIONS_MASTER!$F$5:$F$1204,$Q71))</f>
        <v/>
      </c>
      <c r="D71" s="55" t="str">
        <f>IF($Q71="","",INDEX(TRANSACTIONS_MASTER!$E$5:$E$1204,$Q71))</f>
        <v/>
      </c>
      <c r="E71" s="55" t="str">
        <f>IF($Q71="","",INDEX(TRANSACTIONS_MASTER!$G$5:$G$1204,$Q71)&amp;"")</f>
        <v/>
      </c>
      <c r="F71" s="29" t="str">
        <f>IF($Q71="","",INDEX(TRANSACTIONS_MASTER!$I$5:$I$1204,$Q71))</f>
        <v/>
      </c>
      <c r="G71" s="55" t="str">
        <f>IF($Q71="","",INDEX(TRANSACTIONS_MASTER!$K$5:$K$1204,$Q71))</f>
        <v/>
      </c>
      <c r="H71" s="25" t="str">
        <f>IF($Q71="","",INDEX(TRANSACTIONS_MASTER!$L$5:$L$1204,$Q71))</f>
        <v/>
      </c>
      <c r="I71" s="56" t="str">
        <f>IF($Q71="","",INDEX(TRANSACTIONS_MASTER!$N$5:$N$1204,$Q71))</f>
        <v/>
      </c>
      <c r="J71" s="25" t="str">
        <f>IF($Q71="","",INDEX(TRANSACTIONS_MASTER!$O$5:$O$1204,$Q71))</f>
        <v/>
      </c>
      <c r="K71" s="26" t="str">
        <f>IF($Q71="","",INDEX(TRANSACTIONS_MASTER!$Q$5:$Q$1204,$Q71))</f>
        <v/>
      </c>
      <c r="L71" s="25" t="str">
        <f>IF($Q71="","",INDEX(TRANSACTIONS_MASTER!$P$5:$P$1204,$Q71))</f>
        <v/>
      </c>
      <c r="M71" s="25" t="str">
        <f>IF($Q71="","",INDEX(TRANSACTIONS_MASTER!$AA$5:$AA$1204,$Q71))</f>
        <v/>
      </c>
      <c r="N71" s="25" t="str">
        <f>IF($Q71="","",INDEX(TRANSACTIONS_MASTER!$R$5:$R$1204,$Q71))</f>
        <v/>
      </c>
      <c r="O71" s="28" t="str">
        <f>IF($Q71="","",INDEX(TRANSACTIONS_MASTER!$AB$5:$AB$1204,$Q71))</f>
        <v/>
      </c>
      <c r="P71" s="55" t="str">
        <f>IF($Q71="","",INDEX(TRANSACTIONS_MASTER!$Z$5:$Z$1204,$Q71)&amp;"")</f>
        <v/>
      </c>
      <c r="Q71" s="67" t="str">
        <f>IFERROR(MATCH($C$2&amp;"|"&amp;64,TRANSACTIONS_MASTER!$AE$5:$AE$1204,0),"")</f>
        <v/>
      </c>
      <c r="S71" s="67" t="n">
        <v>10</v>
      </c>
      <c r="T71" s="55" t="str">
        <f>IF(CARDS!$A14="","",CARDS!$A14)</f>
        <v/>
      </c>
      <c r="U71" s="55" t="str">
        <f>IF($T71="","",CARDS!$B14&amp;" "&amp;CARDS!$C14)</f>
        <v/>
      </c>
      <c r="V71" s="25" t="str">
        <f>IF($T71="","",SUMIFS(TRANSACTIONS_MASTER!$L$5:$L$1204,TRANSACTIONS_MASTER!$D$5:$D$1204,$T71,TRANSACTIONS_MASTER!$C$5:$C$1204,$C$2,TRANSACTIONS_MASTER!$U$5:$U$1204,"&lt;&gt;Cancelled"))</f>
        <v/>
      </c>
      <c r="W71" s="26" t="str">
        <f>IF($T71="","",SUMIFS(TRANSACTIONS_MASTER!$Q$5:$Q$1204,TRANSACTIONS_MASTER!$D$5:$D$1204,$T71,TRANSACTIONS_MASTER!$C$5:$C$1204,$C$2))</f>
        <v/>
      </c>
      <c r="X71" s="25" t="str">
        <f>IF($T71="","",IFERROR(IF(ISNUMBER(INDEX(CASHBACK_RULES!$K$5:$K$304,MATCH($T71,CASHBACK_RULES!$B$5:$B$304,0))),INDEX(CASHBACK_RULES!$K$5:$K$304,MATCH($T71,CASHBACK_RULES!$B$5:$B$304,0)),"∞"),"—"))</f>
        <v/>
      </c>
      <c r="Y71" s="25" t="str">
        <f>IF($T71="","",IF($X71="—","—",IF(COUNTIFS($T$8:$T$57,$T71,$Z$8:$Z$57,"∞")&gt;0,IF(ISNUMBER($X71),MAX(0,$X71-$W71),"∞"),IF(ISNUMBER($X71),MAX(0,MIN($X71-$W71,SUMIFS($Z$8:$Z$57,$T$8:$T$57,$T71))),SUMIFS($Z$8:$Z$57,$T$8:$T$57,$T71)))))</f>
        <v/>
      </c>
      <c r="Z71" s="27" t="str">
        <f>IF($T71="","",IF(ISNUMBER($X71),IF($X71=0,0,$W71/$X71),IF(ISNUMBER($Y71),IF($W71+$Y71=0,0,$W71/($W71+$Y71)),"")))</f>
        <v/>
      </c>
      <c r="AA71" s="29" t="str">
        <f>IF($T71="","",COUNTIFS(TRANSACTIONS_MASTER!$D$5:$D$1204,$T71,TRANSACTIONS_MASTER!$C$5:$C$1204,$C$2,TRANSACTIONS_MASTER!$U$5:$U$1204,"&lt;&gt;Cancelled"))</f>
        <v/>
      </c>
    </row>
    <row r="72">
      <c r="A72" s="81" t="str">
        <f>IF($Q72="","",65)</f>
        <v/>
      </c>
      <c r="B72" s="57" t="str">
        <f>IF($Q72="","",INDEX(TRANSACTIONS_MASTER!$B$5:$B$1204,$Q72))</f>
        <v/>
      </c>
      <c r="C72" s="55" t="str">
        <f>IF($Q72="","",INDEX(TRANSACTIONS_MASTER!$F$5:$F$1204,$Q72))</f>
        <v/>
      </c>
      <c r="D72" s="55" t="str">
        <f>IF($Q72="","",INDEX(TRANSACTIONS_MASTER!$E$5:$E$1204,$Q72))</f>
        <v/>
      </c>
      <c r="E72" s="55" t="str">
        <f>IF($Q72="","",INDEX(TRANSACTIONS_MASTER!$G$5:$G$1204,$Q72)&amp;"")</f>
        <v/>
      </c>
      <c r="F72" s="29" t="str">
        <f>IF($Q72="","",INDEX(TRANSACTIONS_MASTER!$I$5:$I$1204,$Q72))</f>
        <v/>
      </c>
      <c r="G72" s="55" t="str">
        <f>IF($Q72="","",INDEX(TRANSACTIONS_MASTER!$K$5:$K$1204,$Q72))</f>
        <v/>
      </c>
      <c r="H72" s="25" t="str">
        <f>IF($Q72="","",INDEX(TRANSACTIONS_MASTER!$L$5:$L$1204,$Q72))</f>
        <v/>
      </c>
      <c r="I72" s="56" t="str">
        <f>IF($Q72="","",INDEX(TRANSACTIONS_MASTER!$N$5:$N$1204,$Q72))</f>
        <v/>
      </c>
      <c r="J72" s="25" t="str">
        <f>IF($Q72="","",INDEX(TRANSACTIONS_MASTER!$O$5:$O$1204,$Q72))</f>
        <v/>
      </c>
      <c r="K72" s="26" t="str">
        <f>IF($Q72="","",INDEX(TRANSACTIONS_MASTER!$Q$5:$Q$1204,$Q72))</f>
        <v/>
      </c>
      <c r="L72" s="25" t="str">
        <f>IF($Q72="","",INDEX(TRANSACTIONS_MASTER!$P$5:$P$1204,$Q72))</f>
        <v/>
      </c>
      <c r="M72" s="25" t="str">
        <f>IF($Q72="","",INDEX(TRANSACTIONS_MASTER!$AA$5:$AA$1204,$Q72))</f>
        <v/>
      </c>
      <c r="N72" s="25" t="str">
        <f>IF($Q72="","",INDEX(TRANSACTIONS_MASTER!$R$5:$R$1204,$Q72))</f>
        <v/>
      </c>
      <c r="O72" s="28" t="str">
        <f>IF($Q72="","",INDEX(TRANSACTIONS_MASTER!$AB$5:$AB$1204,$Q72))</f>
        <v/>
      </c>
      <c r="P72" s="55" t="str">
        <f>IF($Q72="","",INDEX(TRANSACTIONS_MASTER!$Z$5:$Z$1204,$Q72)&amp;"")</f>
        <v/>
      </c>
      <c r="Q72" s="67" t="str">
        <f>IFERROR(MATCH($C$2&amp;"|"&amp;65,TRANSACTIONS_MASTER!$AE$5:$AE$1204,0),"")</f>
        <v/>
      </c>
      <c r="S72" s="67" t="n">
        <v>11</v>
      </c>
      <c r="T72" s="55" t="str">
        <f>IF(CARDS!$A15="","",CARDS!$A15)</f>
        <v/>
      </c>
      <c r="U72" s="55" t="str">
        <f>IF($T72="","",CARDS!$B15&amp;" "&amp;CARDS!$C15)</f>
        <v/>
      </c>
      <c r="V72" s="25" t="str">
        <f>IF($T72="","",SUMIFS(TRANSACTIONS_MASTER!$L$5:$L$1204,TRANSACTIONS_MASTER!$D$5:$D$1204,$T72,TRANSACTIONS_MASTER!$C$5:$C$1204,$C$2,TRANSACTIONS_MASTER!$U$5:$U$1204,"&lt;&gt;Cancelled"))</f>
        <v/>
      </c>
      <c r="W72" s="26" t="str">
        <f>IF($T72="","",SUMIFS(TRANSACTIONS_MASTER!$Q$5:$Q$1204,TRANSACTIONS_MASTER!$D$5:$D$1204,$T72,TRANSACTIONS_MASTER!$C$5:$C$1204,$C$2))</f>
        <v/>
      </c>
      <c r="X72" s="25" t="str">
        <f>IF($T72="","",IFERROR(IF(ISNUMBER(INDEX(CASHBACK_RULES!$K$5:$K$304,MATCH($T72,CASHBACK_RULES!$B$5:$B$304,0))),INDEX(CASHBACK_RULES!$K$5:$K$304,MATCH($T72,CASHBACK_RULES!$B$5:$B$304,0)),"∞"),"—"))</f>
        <v/>
      </c>
      <c r="Y72" s="25" t="str">
        <f>IF($T72="","",IF($X72="—","—",IF(COUNTIFS($T$8:$T$57,$T72,$Z$8:$Z$57,"∞")&gt;0,IF(ISNUMBER($X72),MAX(0,$X72-$W72),"∞"),IF(ISNUMBER($X72),MAX(0,MIN($X72-$W72,SUMIFS($Z$8:$Z$57,$T$8:$T$57,$T72))),SUMIFS($Z$8:$Z$57,$T$8:$T$57,$T72)))))</f>
        <v/>
      </c>
      <c r="Z72" s="27" t="str">
        <f>IF($T72="","",IF(ISNUMBER($X72),IF($X72=0,0,$W72/$X72),IF(ISNUMBER($Y72),IF($W72+$Y72=0,0,$W72/($W72+$Y72)),"")))</f>
        <v/>
      </c>
      <c r="AA72" s="29" t="str">
        <f>IF($T72="","",COUNTIFS(TRANSACTIONS_MASTER!$D$5:$D$1204,$T72,TRANSACTIONS_MASTER!$C$5:$C$1204,$C$2,TRANSACTIONS_MASTER!$U$5:$U$1204,"&lt;&gt;Cancelled"))</f>
        <v/>
      </c>
    </row>
    <row r="73">
      <c r="A73" s="81" t="str">
        <f>IF($Q73="","",66)</f>
        <v/>
      </c>
      <c r="B73" s="57" t="str">
        <f>IF($Q73="","",INDEX(TRANSACTIONS_MASTER!$B$5:$B$1204,$Q73))</f>
        <v/>
      </c>
      <c r="C73" s="55" t="str">
        <f>IF($Q73="","",INDEX(TRANSACTIONS_MASTER!$F$5:$F$1204,$Q73))</f>
        <v/>
      </c>
      <c r="D73" s="55" t="str">
        <f>IF($Q73="","",INDEX(TRANSACTIONS_MASTER!$E$5:$E$1204,$Q73))</f>
        <v/>
      </c>
      <c r="E73" s="55" t="str">
        <f>IF($Q73="","",INDEX(TRANSACTIONS_MASTER!$G$5:$G$1204,$Q73)&amp;"")</f>
        <v/>
      </c>
      <c r="F73" s="29" t="str">
        <f>IF($Q73="","",INDEX(TRANSACTIONS_MASTER!$I$5:$I$1204,$Q73))</f>
        <v/>
      </c>
      <c r="G73" s="55" t="str">
        <f>IF($Q73="","",INDEX(TRANSACTIONS_MASTER!$K$5:$K$1204,$Q73))</f>
        <v/>
      </c>
      <c r="H73" s="25" t="str">
        <f>IF($Q73="","",INDEX(TRANSACTIONS_MASTER!$L$5:$L$1204,$Q73))</f>
        <v/>
      </c>
      <c r="I73" s="56" t="str">
        <f>IF($Q73="","",INDEX(TRANSACTIONS_MASTER!$N$5:$N$1204,$Q73))</f>
        <v/>
      </c>
      <c r="J73" s="25" t="str">
        <f>IF($Q73="","",INDEX(TRANSACTIONS_MASTER!$O$5:$O$1204,$Q73))</f>
        <v/>
      </c>
      <c r="K73" s="26" t="str">
        <f>IF($Q73="","",INDEX(TRANSACTIONS_MASTER!$Q$5:$Q$1204,$Q73))</f>
        <v/>
      </c>
      <c r="L73" s="25" t="str">
        <f>IF($Q73="","",INDEX(TRANSACTIONS_MASTER!$P$5:$P$1204,$Q73))</f>
        <v/>
      </c>
      <c r="M73" s="25" t="str">
        <f>IF($Q73="","",INDEX(TRANSACTIONS_MASTER!$AA$5:$AA$1204,$Q73))</f>
        <v/>
      </c>
      <c r="N73" s="25" t="str">
        <f>IF($Q73="","",INDEX(TRANSACTIONS_MASTER!$R$5:$R$1204,$Q73))</f>
        <v/>
      </c>
      <c r="O73" s="28" t="str">
        <f>IF($Q73="","",INDEX(TRANSACTIONS_MASTER!$AB$5:$AB$1204,$Q73))</f>
        <v/>
      </c>
      <c r="P73" s="55" t="str">
        <f>IF($Q73="","",INDEX(TRANSACTIONS_MASTER!$Z$5:$Z$1204,$Q73)&amp;"")</f>
        <v/>
      </c>
      <c r="Q73" s="67" t="str">
        <f>IFERROR(MATCH($C$2&amp;"|"&amp;66,TRANSACTIONS_MASTER!$AE$5:$AE$1204,0),"")</f>
        <v/>
      </c>
      <c r="S73" s="67" t="n">
        <v>12</v>
      </c>
      <c r="T73" s="55" t="str">
        <f>IF(CARDS!$A16="","",CARDS!$A16)</f>
        <v/>
      </c>
      <c r="U73" s="55" t="str">
        <f>IF($T73="","",CARDS!$B16&amp;" "&amp;CARDS!$C16)</f>
        <v/>
      </c>
      <c r="V73" s="25" t="str">
        <f>IF($T73="","",SUMIFS(TRANSACTIONS_MASTER!$L$5:$L$1204,TRANSACTIONS_MASTER!$D$5:$D$1204,$T73,TRANSACTIONS_MASTER!$C$5:$C$1204,$C$2,TRANSACTIONS_MASTER!$U$5:$U$1204,"&lt;&gt;Cancelled"))</f>
        <v/>
      </c>
      <c r="W73" s="26" t="str">
        <f>IF($T73="","",SUMIFS(TRANSACTIONS_MASTER!$Q$5:$Q$1204,TRANSACTIONS_MASTER!$D$5:$D$1204,$T73,TRANSACTIONS_MASTER!$C$5:$C$1204,$C$2))</f>
        <v/>
      </c>
      <c r="X73" s="25" t="str">
        <f>IF($T73="","",IFERROR(IF(ISNUMBER(INDEX(CASHBACK_RULES!$K$5:$K$304,MATCH($T73,CASHBACK_RULES!$B$5:$B$304,0))),INDEX(CASHBACK_RULES!$K$5:$K$304,MATCH($T73,CASHBACK_RULES!$B$5:$B$304,0)),"∞"),"—"))</f>
        <v/>
      </c>
      <c r="Y73" s="25" t="str">
        <f>IF($T73="","",IF($X73="—","—",IF(COUNTIFS($T$8:$T$57,$T73,$Z$8:$Z$57,"∞")&gt;0,IF(ISNUMBER($X73),MAX(0,$X73-$W73),"∞"),IF(ISNUMBER($X73),MAX(0,MIN($X73-$W73,SUMIFS($Z$8:$Z$57,$T$8:$T$57,$T73))),SUMIFS($Z$8:$Z$57,$T$8:$T$57,$T73)))))</f>
        <v/>
      </c>
      <c r="Z73" s="27" t="str">
        <f>IF($T73="","",IF(ISNUMBER($X73),IF($X73=0,0,$W73/$X73),IF(ISNUMBER($Y73),IF($W73+$Y73=0,0,$W73/($W73+$Y73)),"")))</f>
        <v/>
      </c>
      <c r="AA73" s="29" t="str">
        <f>IF($T73="","",COUNTIFS(TRANSACTIONS_MASTER!$D$5:$D$1204,$T73,TRANSACTIONS_MASTER!$C$5:$C$1204,$C$2,TRANSACTIONS_MASTER!$U$5:$U$1204,"&lt;&gt;Cancelled"))</f>
        <v/>
      </c>
    </row>
    <row r="74">
      <c r="A74" s="81" t="str">
        <f>IF($Q74="","",67)</f>
        <v/>
      </c>
      <c r="B74" s="57" t="str">
        <f>IF($Q74="","",INDEX(TRANSACTIONS_MASTER!$B$5:$B$1204,$Q74))</f>
        <v/>
      </c>
      <c r="C74" s="55" t="str">
        <f>IF($Q74="","",INDEX(TRANSACTIONS_MASTER!$F$5:$F$1204,$Q74))</f>
        <v/>
      </c>
      <c r="D74" s="55" t="str">
        <f>IF($Q74="","",INDEX(TRANSACTIONS_MASTER!$E$5:$E$1204,$Q74))</f>
        <v/>
      </c>
      <c r="E74" s="55" t="str">
        <f>IF($Q74="","",INDEX(TRANSACTIONS_MASTER!$G$5:$G$1204,$Q74)&amp;"")</f>
        <v/>
      </c>
      <c r="F74" s="29" t="str">
        <f>IF($Q74="","",INDEX(TRANSACTIONS_MASTER!$I$5:$I$1204,$Q74))</f>
        <v/>
      </c>
      <c r="G74" s="55" t="str">
        <f>IF($Q74="","",INDEX(TRANSACTIONS_MASTER!$K$5:$K$1204,$Q74))</f>
        <v/>
      </c>
      <c r="H74" s="25" t="str">
        <f>IF($Q74="","",INDEX(TRANSACTIONS_MASTER!$L$5:$L$1204,$Q74))</f>
        <v/>
      </c>
      <c r="I74" s="56" t="str">
        <f>IF($Q74="","",INDEX(TRANSACTIONS_MASTER!$N$5:$N$1204,$Q74))</f>
        <v/>
      </c>
      <c r="J74" s="25" t="str">
        <f>IF($Q74="","",INDEX(TRANSACTIONS_MASTER!$O$5:$O$1204,$Q74))</f>
        <v/>
      </c>
      <c r="K74" s="26" t="str">
        <f>IF($Q74="","",INDEX(TRANSACTIONS_MASTER!$Q$5:$Q$1204,$Q74))</f>
        <v/>
      </c>
      <c r="L74" s="25" t="str">
        <f>IF($Q74="","",INDEX(TRANSACTIONS_MASTER!$P$5:$P$1204,$Q74))</f>
        <v/>
      </c>
      <c r="M74" s="25" t="str">
        <f>IF($Q74="","",INDEX(TRANSACTIONS_MASTER!$AA$5:$AA$1204,$Q74))</f>
        <v/>
      </c>
      <c r="N74" s="25" t="str">
        <f>IF($Q74="","",INDEX(TRANSACTIONS_MASTER!$R$5:$R$1204,$Q74))</f>
        <v/>
      </c>
      <c r="O74" s="28" t="str">
        <f>IF($Q74="","",INDEX(TRANSACTIONS_MASTER!$AB$5:$AB$1204,$Q74))</f>
        <v/>
      </c>
      <c r="P74" s="55" t="str">
        <f>IF($Q74="","",INDEX(TRANSACTIONS_MASTER!$Z$5:$Z$1204,$Q74)&amp;"")</f>
        <v/>
      </c>
      <c r="Q74" s="67" t="str">
        <f>IFERROR(MATCH($C$2&amp;"|"&amp;67,TRANSACTIONS_MASTER!$AE$5:$AE$1204,0),"")</f>
        <v/>
      </c>
      <c r="S74" s="67" t="n">
        <v>13</v>
      </c>
      <c r="T74" s="55" t="str">
        <f>IF(CARDS!$A17="","",CARDS!$A17)</f>
        <v/>
      </c>
      <c r="U74" s="55" t="str">
        <f>IF($T74="","",CARDS!$B17&amp;" "&amp;CARDS!$C17)</f>
        <v/>
      </c>
      <c r="V74" s="25" t="str">
        <f>IF($T74="","",SUMIFS(TRANSACTIONS_MASTER!$L$5:$L$1204,TRANSACTIONS_MASTER!$D$5:$D$1204,$T74,TRANSACTIONS_MASTER!$C$5:$C$1204,$C$2,TRANSACTIONS_MASTER!$U$5:$U$1204,"&lt;&gt;Cancelled"))</f>
        <v/>
      </c>
      <c r="W74" s="26" t="str">
        <f>IF($T74="","",SUMIFS(TRANSACTIONS_MASTER!$Q$5:$Q$1204,TRANSACTIONS_MASTER!$D$5:$D$1204,$T74,TRANSACTIONS_MASTER!$C$5:$C$1204,$C$2))</f>
        <v/>
      </c>
      <c r="X74" s="25" t="str">
        <f>IF($T74="","",IFERROR(IF(ISNUMBER(INDEX(CASHBACK_RULES!$K$5:$K$304,MATCH($T74,CASHBACK_RULES!$B$5:$B$304,0))),INDEX(CASHBACK_RULES!$K$5:$K$304,MATCH($T74,CASHBACK_RULES!$B$5:$B$304,0)),"∞"),"—"))</f>
        <v/>
      </c>
      <c r="Y74" s="25" t="str">
        <f>IF($T74="","",IF($X74="—","—",IF(COUNTIFS($T$8:$T$57,$T74,$Z$8:$Z$57,"∞")&gt;0,IF(ISNUMBER($X74),MAX(0,$X74-$W74),"∞"),IF(ISNUMBER($X74),MAX(0,MIN($X74-$W74,SUMIFS($Z$8:$Z$57,$T$8:$T$57,$T74))),SUMIFS($Z$8:$Z$57,$T$8:$T$57,$T74)))))</f>
        <v/>
      </c>
      <c r="Z74" s="27" t="str">
        <f>IF($T74="","",IF(ISNUMBER($X74),IF($X74=0,0,$W74/$X74),IF(ISNUMBER($Y74),IF($W74+$Y74=0,0,$W74/($W74+$Y74)),"")))</f>
        <v/>
      </c>
      <c r="AA74" s="29" t="str">
        <f>IF($T74="","",COUNTIFS(TRANSACTIONS_MASTER!$D$5:$D$1204,$T74,TRANSACTIONS_MASTER!$C$5:$C$1204,$C$2,TRANSACTIONS_MASTER!$U$5:$U$1204,"&lt;&gt;Cancelled"))</f>
        <v/>
      </c>
    </row>
    <row r="75">
      <c r="A75" s="81" t="str">
        <f>IF($Q75="","",68)</f>
        <v/>
      </c>
      <c r="B75" s="57" t="str">
        <f>IF($Q75="","",INDEX(TRANSACTIONS_MASTER!$B$5:$B$1204,$Q75))</f>
        <v/>
      </c>
      <c r="C75" s="55" t="str">
        <f>IF($Q75="","",INDEX(TRANSACTIONS_MASTER!$F$5:$F$1204,$Q75))</f>
        <v/>
      </c>
      <c r="D75" s="55" t="str">
        <f>IF($Q75="","",INDEX(TRANSACTIONS_MASTER!$E$5:$E$1204,$Q75))</f>
        <v/>
      </c>
      <c r="E75" s="55" t="str">
        <f>IF($Q75="","",INDEX(TRANSACTIONS_MASTER!$G$5:$G$1204,$Q75)&amp;"")</f>
        <v/>
      </c>
      <c r="F75" s="29" t="str">
        <f>IF($Q75="","",INDEX(TRANSACTIONS_MASTER!$I$5:$I$1204,$Q75))</f>
        <v/>
      </c>
      <c r="G75" s="55" t="str">
        <f>IF($Q75="","",INDEX(TRANSACTIONS_MASTER!$K$5:$K$1204,$Q75))</f>
        <v/>
      </c>
      <c r="H75" s="25" t="str">
        <f>IF($Q75="","",INDEX(TRANSACTIONS_MASTER!$L$5:$L$1204,$Q75))</f>
        <v/>
      </c>
      <c r="I75" s="56" t="str">
        <f>IF($Q75="","",INDEX(TRANSACTIONS_MASTER!$N$5:$N$1204,$Q75))</f>
        <v/>
      </c>
      <c r="J75" s="25" t="str">
        <f>IF($Q75="","",INDEX(TRANSACTIONS_MASTER!$O$5:$O$1204,$Q75))</f>
        <v/>
      </c>
      <c r="K75" s="26" t="str">
        <f>IF($Q75="","",INDEX(TRANSACTIONS_MASTER!$Q$5:$Q$1204,$Q75))</f>
        <v/>
      </c>
      <c r="L75" s="25" t="str">
        <f>IF($Q75="","",INDEX(TRANSACTIONS_MASTER!$P$5:$P$1204,$Q75))</f>
        <v/>
      </c>
      <c r="M75" s="25" t="str">
        <f>IF($Q75="","",INDEX(TRANSACTIONS_MASTER!$AA$5:$AA$1204,$Q75))</f>
        <v/>
      </c>
      <c r="N75" s="25" t="str">
        <f>IF($Q75="","",INDEX(TRANSACTIONS_MASTER!$R$5:$R$1204,$Q75))</f>
        <v/>
      </c>
      <c r="O75" s="28" t="str">
        <f>IF($Q75="","",INDEX(TRANSACTIONS_MASTER!$AB$5:$AB$1204,$Q75))</f>
        <v/>
      </c>
      <c r="P75" s="55" t="str">
        <f>IF($Q75="","",INDEX(TRANSACTIONS_MASTER!$Z$5:$Z$1204,$Q75)&amp;"")</f>
        <v/>
      </c>
      <c r="Q75" s="67" t="str">
        <f>IFERROR(MATCH($C$2&amp;"|"&amp;68,TRANSACTIONS_MASTER!$AE$5:$AE$1204,0),"")</f>
        <v/>
      </c>
      <c r="S75" s="67" t="n">
        <v>14</v>
      </c>
      <c r="T75" s="55" t="str">
        <f>IF(CARDS!$A18="","",CARDS!$A18)</f>
        <v/>
      </c>
      <c r="U75" s="55" t="str">
        <f>IF($T75="","",CARDS!$B18&amp;" "&amp;CARDS!$C18)</f>
        <v/>
      </c>
      <c r="V75" s="25" t="str">
        <f>IF($T75="","",SUMIFS(TRANSACTIONS_MASTER!$L$5:$L$1204,TRANSACTIONS_MASTER!$D$5:$D$1204,$T75,TRANSACTIONS_MASTER!$C$5:$C$1204,$C$2,TRANSACTIONS_MASTER!$U$5:$U$1204,"&lt;&gt;Cancelled"))</f>
        <v/>
      </c>
      <c r="W75" s="26" t="str">
        <f>IF($T75="","",SUMIFS(TRANSACTIONS_MASTER!$Q$5:$Q$1204,TRANSACTIONS_MASTER!$D$5:$D$1204,$T75,TRANSACTIONS_MASTER!$C$5:$C$1204,$C$2))</f>
        <v/>
      </c>
      <c r="X75" s="25" t="str">
        <f>IF($T75="","",IFERROR(IF(ISNUMBER(INDEX(CASHBACK_RULES!$K$5:$K$304,MATCH($T75,CASHBACK_RULES!$B$5:$B$304,0))),INDEX(CASHBACK_RULES!$K$5:$K$304,MATCH($T75,CASHBACK_RULES!$B$5:$B$304,0)),"∞"),"—"))</f>
        <v/>
      </c>
      <c r="Y75" s="25" t="str">
        <f>IF($T75="","",IF($X75="—","—",IF(COUNTIFS($T$8:$T$57,$T75,$Z$8:$Z$57,"∞")&gt;0,IF(ISNUMBER($X75),MAX(0,$X75-$W75),"∞"),IF(ISNUMBER($X75),MAX(0,MIN($X75-$W75,SUMIFS($Z$8:$Z$57,$T$8:$T$57,$T75))),SUMIFS($Z$8:$Z$57,$T$8:$T$57,$T75)))))</f>
        <v/>
      </c>
      <c r="Z75" s="27" t="str">
        <f>IF($T75="","",IF(ISNUMBER($X75),IF($X75=0,0,$W75/$X75),IF(ISNUMBER($Y75),IF($W75+$Y75=0,0,$W75/($W75+$Y75)),"")))</f>
        <v/>
      </c>
      <c r="AA75" s="29" t="str">
        <f>IF($T75="","",COUNTIFS(TRANSACTIONS_MASTER!$D$5:$D$1204,$T75,TRANSACTIONS_MASTER!$C$5:$C$1204,$C$2,TRANSACTIONS_MASTER!$U$5:$U$1204,"&lt;&gt;Cancelled"))</f>
        <v/>
      </c>
    </row>
    <row r="76">
      <c r="A76" s="81" t="str">
        <f>IF($Q76="","",69)</f>
        <v/>
      </c>
      <c r="B76" s="57" t="str">
        <f>IF($Q76="","",INDEX(TRANSACTIONS_MASTER!$B$5:$B$1204,$Q76))</f>
        <v/>
      </c>
      <c r="C76" s="55" t="str">
        <f>IF($Q76="","",INDEX(TRANSACTIONS_MASTER!$F$5:$F$1204,$Q76))</f>
        <v/>
      </c>
      <c r="D76" s="55" t="str">
        <f>IF($Q76="","",INDEX(TRANSACTIONS_MASTER!$E$5:$E$1204,$Q76))</f>
        <v/>
      </c>
      <c r="E76" s="55" t="str">
        <f>IF($Q76="","",INDEX(TRANSACTIONS_MASTER!$G$5:$G$1204,$Q76)&amp;"")</f>
        <v/>
      </c>
      <c r="F76" s="29" t="str">
        <f>IF($Q76="","",INDEX(TRANSACTIONS_MASTER!$I$5:$I$1204,$Q76))</f>
        <v/>
      </c>
      <c r="G76" s="55" t="str">
        <f>IF($Q76="","",INDEX(TRANSACTIONS_MASTER!$K$5:$K$1204,$Q76))</f>
        <v/>
      </c>
      <c r="H76" s="25" t="str">
        <f>IF($Q76="","",INDEX(TRANSACTIONS_MASTER!$L$5:$L$1204,$Q76))</f>
        <v/>
      </c>
      <c r="I76" s="56" t="str">
        <f>IF($Q76="","",INDEX(TRANSACTIONS_MASTER!$N$5:$N$1204,$Q76))</f>
        <v/>
      </c>
      <c r="J76" s="25" t="str">
        <f>IF($Q76="","",INDEX(TRANSACTIONS_MASTER!$O$5:$O$1204,$Q76))</f>
        <v/>
      </c>
      <c r="K76" s="26" t="str">
        <f>IF($Q76="","",INDEX(TRANSACTIONS_MASTER!$Q$5:$Q$1204,$Q76))</f>
        <v/>
      </c>
      <c r="L76" s="25" t="str">
        <f>IF($Q76="","",INDEX(TRANSACTIONS_MASTER!$P$5:$P$1204,$Q76))</f>
        <v/>
      </c>
      <c r="M76" s="25" t="str">
        <f>IF($Q76="","",INDEX(TRANSACTIONS_MASTER!$AA$5:$AA$1204,$Q76))</f>
        <v/>
      </c>
      <c r="N76" s="25" t="str">
        <f>IF($Q76="","",INDEX(TRANSACTIONS_MASTER!$R$5:$R$1204,$Q76))</f>
        <v/>
      </c>
      <c r="O76" s="28" t="str">
        <f>IF($Q76="","",INDEX(TRANSACTIONS_MASTER!$AB$5:$AB$1204,$Q76))</f>
        <v/>
      </c>
      <c r="P76" s="55" t="str">
        <f>IF($Q76="","",INDEX(TRANSACTIONS_MASTER!$Z$5:$Z$1204,$Q76)&amp;"")</f>
        <v/>
      </c>
      <c r="Q76" s="67" t="str">
        <f>IFERROR(MATCH($C$2&amp;"|"&amp;69,TRANSACTIONS_MASTER!$AE$5:$AE$1204,0),"")</f>
        <v/>
      </c>
      <c r="S76" s="67" t="n">
        <v>15</v>
      </c>
      <c r="T76" s="55" t="str">
        <f>IF(CARDS!$A19="","",CARDS!$A19)</f>
        <v/>
      </c>
      <c r="U76" s="55" t="str">
        <f>IF($T76="","",CARDS!$B19&amp;" "&amp;CARDS!$C19)</f>
        <v/>
      </c>
      <c r="V76" s="25" t="str">
        <f>IF($T76="","",SUMIFS(TRANSACTIONS_MASTER!$L$5:$L$1204,TRANSACTIONS_MASTER!$D$5:$D$1204,$T76,TRANSACTIONS_MASTER!$C$5:$C$1204,$C$2,TRANSACTIONS_MASTER!$U$5:$U$1204,"&lt;&gt;Cancelled"))</f>
        <v/>
      </c>
      <c r="W76" s="26" t="str">
        <f>IF($T76="","",SUMIFS(TRANSACTIONS_MASTER!$Q$5:$Q$1204,TRANSACTIONS_MASTER!$D$5:$D$1204,$T76,TRANSACTIONS_MASTER!$C$5:$C$1204,$C$2))</f>
        <v/>
      </c>
      <c r="X76" s="25" t="str">
        <f>IF($T76="","",IFERROR(IF(ISNUMBER(INDEX(CASHBACK_RULES!$K$5:$K$304,MATCH($T76,CASHBACK_RULES!$B$5:$B$304,0))),INDEX(CASHBACK_RULES!$K$5:$K$304,MATCH($T76,CASHBACK_RULES!$B$5:$B$304,0)),"∞"),"—"))</f>
        <v/>
      </c>
      <c r="Y76" s="25" t="str">
        <f>IF($T76="","",IF($X76="—","—",IF(COUNTIFS($T$8:$T$57,$T76,$Z$8:$Z$57,"∞")&gt;0,IF(ISNUMBER($X76),MAX(0,$X76-$W76),"∞"),IF(ISNUMBER($X76),MAX(0,MIN($X76-$W76,SUMIFS($Z$8:$Z$57,$T$8:$T$57,$T76))),SUMIFS($Z$8:$Z$57,$T$8:$T$57,$T76)))))</f>
        <v/>
      </c>
      <c r="Z76" s="27" t="str">
        <f>IF($T76="","",IF(ISNUMBER($X76),IF($X76=0,0,$W76/$X76),IF(ISNUMBER($Y76),IF($W76+$Y76=0,0,$W76/($W76+$Y76)),"")))</f>
        <v/>
      </c>
      <c r="AA76" s="29" t="str">
        <f>IF($T76="","",COUNTIFS(TRANSACTIONS_MASTER!$D$5:$D$1204,$T76,TRANSACTIONS_MASTER!$C$5:$C$1204,$C$2,TRANSACTIONS_MASTER!$U$5:$U$1204,"&lt;&gt;Cancelled"))</f>
        <v/>
      </c>
    </row>
    <row r="77">
      <c r="A77" s="81" t="str">
        <f>IF($Q77="","",70)</f>
        <v/>
      </c>
      <c r="B77" s="57" t="str">
        <f>IF($Q77="","",INDEX(TRANSACTIONS_MASTER!$B$5:$B$1204,$Q77))</f>
        <v/>
      </c>
      <c r="C77" s="55" t="str">
        <f>IF($Q77="","",INDEX(TRANSACTIONS_MASTER!$F$5:$F$1204,$Q77))</f>
        <v/>
      </c>
      <c r="D77" s="55" t="str">
        <f>IF($Q77="","",INDEX(TRANSACTIONS_MASTER!$E$5:$E$1204,$Q77))</f>
        <v/>
      </c>
      <c r="E77" s="55" t="str">
        <f>IF($Q77="","",INDEX(TRANSACTIONS_MASTER!$G$5:$G$1204,$Q77)&amp;"")</f>
        <v/>
      </c>
      <c r="F77" s="29" t="str">
        <f>IF($Q77="","",INDEX(TRANSACTIONS_MASTER!$I$5:$I$1204,$Q77))</f>
        <v/>
      </c>
      <c r="G77" s="55" t="str">
        <f>IF($Q77="","",INDEX(TRANSACTIONS_MASTER!$K$5:$K$1204,$Q77))</f>
        <v/>
      </c>
      <c r="H77" s="25" t="str">
        <f>IF($Q77="","",INDEX(TRANSACTIONS_MASTER!$L$5:$L$1204,$Q77))</f>
        <v/>
      </c>
      <c r="I77" s="56" t="str">
        <f>IF($Q77="","",INDEX(TRANSACTIONS_MASTER!$N$5:$N$1204,$Q77))</f>
        <v/>
      </c>
      <c r="J77" s="25" t="str">
        <f>IF($Q77="","",INDEX(TRANSACTIONS_MASTER!$O$5:$O$1204,$Q77))</f>
        <v/>
      </c>
      <c r="K77" s="26" t="str">
        <f>IF($Q77="","",INDEX(TRANSACTIONS_MASTER!$Q$5:$Q$1204,$Q77))</f>
        <v/>
      </c>
      <c r="L77" s="25" t="str">
        <f>IF($Q77="","",INDEX(TRANSACTIONS_MASTER!$P$5:$P$1204,$Q77))</f>
        <v/>
      </c>
      <c r="M77" s="25" t="str">
        <f>IF($Q77="","",INDEX(TRANSACTIONS_MASTER!$AA$5:$AA$1204,$Q77))</f>
        <v/>
      </c>
      <c r="N77" s="25" t="str">
        <f>IF($Q77="","",INDEX(TRANSACTIONS_MASTER!$R$5:$R$1204,$Q77))</f>
        <v/>
      </c>
      <c r="O77" s="28" t="str">
        <f>IF($Q77="","",INDEX(TRANSACTIONS_MASTER!$AB$5:$AB$1204,$Q77))</f>
        <v/>
      </c>
      <c r="P77" s="55" t="str">
        <f>IF($Q77="","",INDEX(TRANSACTIONS_MASTER!$Z$5:$Z$1204,$Q77)&amp;"")</f>
        <v/>
      </c>
      <c r="Q77" s="67" t="str">
        <f>IFERROR(MATCH($C$2&amp;"|"&amp;70,TRANSACTIONS_MASTER!$AE$5:$AE$1204,0),"")</f>
        <v/>
      </c>
      <c r="S77" s="67" t="n">
        <v>16</v>
      </c>
      <c r="T77" s="55" t="str">
        <f>IF(CARDS!$A20="","",CARDS!$A20)</f>
        <v/>
      </c>
      <c r="U77" s="55" t="str">
        <f>IF($T77="","",CARDS!$B20&amp;" "&amp;CARDS!$C20)</f>
        <v/>
      </c>
      <c r="V77" s="25" t="str">
        <f>IF($T77="","",SUMIFS(TRANSACTIONS_MASTER!$L$5:$L$1204,TRANSACTIONS_MASTER!$D$5:$D$1204,$T77,TRANSACTIONS_MASTER!$C$5:$C$1204,$C$2,TRANSACTIONS_MASTER!$U$5:$U$1204,"&lt;&gt;Cancelled"))</f>
        <v/>
      </c>
      <c r="W77" s="26" t="str">
        <f>IF($T77="","",SUMIFS(TRANSACTIONS_MASTER!$Q$5:$Q$1204,TRANSACTIONS_MASTER!$D$5:$D$1204,$T77,TRANSACTIONS_MASTER!$C$5:$C$1204,$C$2))</f>
        <v/>
      </c>
      <c r="X77" s="25" t="str">
        <f>IF($T77="","",IFERROR(IF(ISNUMBER(INDEX(CASHBACK_RULES!$K$5:$K$304,MATCH($T77,CASHBACK_RULES!$B$5:$B$304,0))),INDEX(CASHBACK_RULES!$K$5:$K$304,MATCH($T77,CASHBACK_RULES!$B$5:$B$304,0)),"∞"),"—"))</f>
        <v/>
      </c>
      <c r="Y77" s="25" t="str">
        <f>IF($T77="","",IF($X77="—","—",IF(COUNTIFS($T$8:$T$57,$T77,$Z$8:$Z$57,"∞")&gt;0,IF(ISNUMBER($X77),MAX(0,$X77-$W77),"∞"),IF(ISNUMBER($X77),MAX(0,MIN($X77-$W77,SUMIFS($Z$8:$Z$57,$T$8:$T$57,$T77))),SUMIFS($Z$8:$Z$57,$T$8:$T$57,$T77)))))</f>
        <v/>
      </c>
      <c r="Z77" s="27" t="str">
        <f>IF($T77="","",IF(ISNUMBER($X77),IF($X77=0,0,$W77/$X77),IF(ISNUMBER($Y77),IF($W77+$Y77=0,0,$W77/($W77+$Y77)),"")))</f>
        <v/>
      </c>
      <c r="AA77" s="29" t="str">
        <f>IF($T77="","",COUNTIFS(TRANSACTIONS_MASTER!$D$5:$D$1204,$T77,TRANSACTIONS_MASTER!$C$5:$C$1204,$C$2,TRANSACTIONS_MASTER!$U$5:$U$1204,"&lt;&gt;Cancelled"))</f>
        <v/>
      </c>
    </row>
    <row r="78">
      <c r="A78" s="81" t="str">
        <f>IF($Q78="","",71)</f>
        <v/>
      </c>
      <c r="B78" s="57" t="str">
        <f>IF($Q78="","",INDEX(TRANSACTIONS_MASTER!$B$5:$B$1204,$Q78))</f>
        <v/>
      </c>
      <c r="C78" s="55" t="str">
        <f>IF($Q78="","",INDEX(TRANSACTIONS_MASTER!$F$5:$F$1204,$Q78))</f>
        <v/>
      </c>
      <c r="D78" s="55" t="str">
        <f>IF($Q78="","",INDEX(TRANSACTIONS_MASTER!$E$5:$E$1204,$Q78))</f>
        <v/>
      </c>
      <c r="E78" s="55" t="str">
        <f>IF($Q78="","",INDEX(TRANSACTIONS_MASTER!$G$5:$G$1204,$Q78)&amp;"")</f>
        <v/>
      </c>
      <c r="F78" s="29" t="str">
        <f>IF($Q78="","",INDEX(TRANSACTIONS_MASTER!$I$5:$I$1204,$Q78))</f>
        <v/>
      </c>
      <c r="G78" s="55" t="str">
        <f>IF($Q78="","",INDEX(TRANSACTIONS_MASTER!$K$5:$K$1204,$Q78))</f>
        <v/>
      </c>
      <c r="H78" s="25" t="str">
        <f>IF($Q78="","",INDEX(TRANSACTIONS_MASTER!$L$5:$L$1204,$Q78))</f>
        <v/>
      </c>
      <c r="I78" s="56" t="str">
        <f>IF($Q78="","",INDEX(TRANSACTIONS_MASTER!$N$5:$N$1204,$Q78))</f>
        <v/>
      </c>
      <c r="J78" s="25" t="str">
        <f>IF($Q78="","",INDEX(TRANSACTIONS_MASTER!$O$5:$O$1204,$Q78))</f>
        <v/>
      </c>
      <c r="K78" s="26" t="str">
        <f>IF($Q78="","",INDEX(TRANSACTIONS_MASTER!$Q$5:$Q$1204,$Q78))</f>
        <v/>
      </c>
      <c r="L78" s="25" t="str">
        <f>IF($Q78="","",INDEX(TRANSACTIONS_MASTER!$P$5:$P$1204,$Q78))</f>
        <v/>
      </c>
      <c r="M78" s="25" t="str">
        <f>IF($Q78="","",INDEX(TRANSACTIONS_MASTER!$AA$5:$AA$1204,$Q78))</f>
        <v/>
      </c>
      <c r="N78" s="25" t="str">
        <f>IF($Q78="","",INDEX(TRANSACTIONS_MASTER!$R$5:$R$1204,$Q78))</f>
        <v/>
      </c>
      <c r="O78" s="28" t="str">
        <f>IF($Q78="","",INDEX(TRANSACTIONS_MASTER!$AB$5:$AB$1204,$Q78))</f>
        <v/>
      </c>
      <c r="P78" s="55" t="str">
        <f>IF($Q78="","",INDEX(TRANSACTIONS_MASTER!$Z$5:$Z$1204,$Q78)&amp;"")</f>
        <v/>
      </c>
      <c r="Q78" s="67" t="str">
        <f>IFERROR(MATCH($C$2&amp;"|"&amp;71,TRANSACTIONS_MASTER!$AE$5:$AE$1204,0),"")</f>
        <v/>
      </c>
      <c r="S78" s="67" t="n">
        <v>17</v>
      </c>
      <c r="T78" s="55" t="str">
        <f>IF(CARDS!$A21="","",CARDS!$A21)</f>
        <v/>
      </c>
      <c r="U78" s="55" t="str">
        <f>IF($T78="","",CARDS!$B21&amp;" "&amp;CARDS!$C21)</f>
        <v/>
      </c>
      <c r="V78" s="25" t="str">
        <f>IF($T78="","",SUMIFS(TRANSACTIONS_MASTER!$L$5:$L$1204,TRANSACTIONS_MASTER!$D$5:$D$1204,$T78,TRANSACTIONS_MASTER!$C$5:$C$1204,$C$2,TRANSACTIONS_MASTER!$U$5:$U$1204,"&lt;&gt;Cancelled"))</f>
        <v/>
      </c>
      <c r="W78" s="26" t="str">
        <f>IF($T78="","",SUMIFS(TRANSACTIONS_MASTER!$Q$5:$Q$1204,TRANSACTIONS_MASTER!$D$5:$D$1204,$T78,TRANSACTIONS_MASTER!$C$5:$C$1204,$C$2))</f>
        <v/>
      </c>
      <c r="X78" s="25" t="str">
        <f>IF($T78="","",IFERROR(IF(ISNUMBER(INDEX(CASHBACK_RULES!$K$5:$K$304,MATCH($T78,CASHBACK_RULES!$B$5:$B$304,0))),INDEX(CASHBACK_RULES!$K$5:$K$304,MATCH($T78,CASHBACK_RULES!$B$5:$B$304,0)),"∞"),"—"))</f>
        <v/>
      </c>
      <c r="Y78" s="25" t="str">
        <f>IF($T78="","",IF($X78="—","—",IF(COUNTIFS($T$8:$T$57,$T78,$Z$8:$Z$57,"∞")&gt;0,IF(ISNUMBER($X78),MAX(0,$X78-$W78),"∞"),IF(ISNUMBER($X78),MAX(0,MIN($X78-$W78,SUMIFS($Z$8:$Z$57,$T$8:$T$57,$T78))),SUMIFS($Z$8:$Z$57,$T$8:$T$57,$T78)))))</f>
        <v/>
      </c>
      <c r="Z78" s="27" t="str">
        <f>IF($T78="","",IF(ISNUMBER($X78),IF($X78=0,0,$W78/$X78),IF(ISNUMBER($Y78),IF($W78+$Y78=0,0,$W78/($W78+$Y78)),"")))</f>
        <v/>
      </c>
      <c r="AA78" s="29" t="str">
        <f>IF($T78="","",COUNTIFS(TRANSACTIONS_MASTER!$D$5:$D$1204,$T78,TRANSACTIONS_MASTER!$C$5:$C$1204,$C$2,TRANSACTIONS_MASTER!$U$5:$U$1204,"&lt;&gt;Cancelled"))</f>
        <v/>
      </c>
    </row>
    <row r="79">
      <c r="A79" s="81" t="str">
        <f>IF($Q79="","",72)</f>
        <v/>
      </c>
      <c r="B79" s="57" t="str">
        <f>IF($Q79="","",INDEX(TRANSACTIONS_MASTER!$B$5:$B$1204,$Q79))</f>
        <v/>
      </c>
      <c r="C79" s="55" t="str">
        <f>IF($Q79="","",INDEX(TRANSACTIONS_MASTER!$F$5:$F$1204,$Q79))</f>
        <v/>
      </c>
      <c r="D79" s="55" t="str">
        <f>IF($Q79="","",INDEX(TRANSACTIONS_MASTER!$E$5:$E$1204,$Q79))</f>
        <v/>
      </c>
      <c r="E79" s="55" t="str">
        <f>IF($Q79="","",INDEX(TRANSACTIONS_MASTER!$G$5:$G$1204,$Q79)&amp;"")</f>
        <v/>
      </c>
      <c r="F79" s="29" t="str">
        <f>IF($Q79="","",INDEX(TRANSACTIONS_MASTER!$I$5:$I$1204,$Q79))</f>
        <v/>
      </c>
      <c r="G79" s="55" t="str">
        <f>IF($Q79="","",INDEX(TRANSACTIONS_MASTER!$K$5:$K$1204,$Q79))</f>
        <v/>
      </c>
      <c r="H79" s="25" t="str">
        <f>IF($Q79="","",INDEX(TRANSACTIONS_MASTER!$L$5:$L$1204,$Q79))</f>
        <v/>
      </c>
      <c r="I79" s="56" t="str">
        <f>IF($Q79="","",INDEX(TRANSACTIONS_MASTER!$N$5:$N$1204,$Q79))</f>
        <v/>
      </c>
      <c r="J79" s="25" t="str">
        <f>IF($Q79="","",INDEX(TRANSACTIONS_MASTER!$O$5:$O$1204,$Q79))</f>
        <v/>
      </c>
      <c r="K79" s="26" t="str">
        <f>IF($Q79="","",INDEX(TRANSACTIONS_MASTER!$Q$5:$Q$1204,$Q79))</f>
        <v/>
      </c>
      <c r="L79" s="25" t="str">
        <f>IF($Q79="","",INDEX(TRANSACTIONS_MASTER!$P$5:$P$1204,$Q79))</f>
        <v/>
      </c>
      <c r="M79" s="25" t="str">
        <f>IF($Q79="","",INDEX(TRANSACTIONS_MASTER!$AA$5:$AA$1204,$Q79))</f>
        <v/>
      </c>
      <c r="N79" s="25" t="str">
        <f>IF($Q79="","",INDEX(TRANSACTIONS_MASTER!$R$5:$R$1204,$Q79))</f>
        <v/>
      </c>
      <c r="O79" s="28" t="str">
        <f>IF($Q79="","",INDEX(TRANSACTIONS_MASTER!$AB$5:$AB$1204,$Q79))</f>
        <v/>
      </c>
      <c r="P79" s="55" t="str">
        <f>IF($Q79="","",INDEX(TRANSACTIONS_MASTER!$Z$5:$Z$1204,$Q79)&amp;"")</f>
        <v/>
      </c>
      <c r="Q79" s="67" t="str">
        <f>IFERROR(MATCH($C$2&amp;"|"&amp;72,TRANSACTIONS_MASTER!$AE$5:$AE$1204,0),"")</f>
        <v/>
      </c>
      <c r="S79" s="67" t="n">
        <v>18</v>
      </c>
      <c r="T79" s="55" t="str">
        <f>IF(CARDS!$A22="","",CARDS!$A22)</f>
        <v/>
      </c>
      <c r="U79" s="55" t="str">
        <f>IF($T79="","",CARDS!$B22&amp;" "&amp;CARDS!$C22)</f>
        <v/>
      </c>
      <c r="V79" s="25" t="str">
        <f>IF($T79="","",SUMIFS(TRANSACTIONS_MASTER!$L$5:$L$1204,TRANSACTIONS_MASTER!$D$5:$D$1204,$T79,TRANSACTIONS_MASTER!$C$5:$C$1204,$C$2,TRANSACTIONS_MASTER!$U$5:$U$1204,"&lt;&gt;Cancelled"))</f>
        <v/>
      </c>
      <c r="W79" s="26" t="str">
        <f>IF($T79="","",SUMIFS(TRANSACTIONS_MASTER!$Q$5:$Q$1204,TRANSACTIONS_MASTER!$D$5:$D$1204,$T79,TRANSACTIONS_MASTER!$C$5:$C$1204,$C$2))</f>
        <v/>
      </c>
      <c r="X79" s="25" t="str">
        <f>IF($T79="","",IFERROR(IF(ISNUMBER(INDEX(CASHBACK_RULES!$K$5:$K$304,MATCH($T79,CASHBACK_RULES!$B$5:$B$304,0))),INDEX(CASHBACK_RULES!$K$5:$K$304,MATCH($T79,CASHBACK_RULES!$B$5:$B$304,0)),"∞"),"—"))</f>
        <v/>
      </c>
      <c r="Y79" s="25" t="str">
        <f>IF($T79="","",IF($X79="—","—",IF(COUNTIFS($T$8:$T$57,$T79,$Z$8:$Z$57,"∞")&gt;0,IF(ISNUMBER($X79),MAX(0,$X79-$W79),"∞"),IF(ISNUMBER($X79),MAX(0,MIN($X79-$W79,SUMIFS($Z$8:$Z$57,$T$8:$T$57,$T79))),SUMIFS($Z$8:$Z$57,$T$8:$T$57,$T79)))))</f>
        <v/>
      </c>
      <c r="Z79" s="27" t="str">
        <f>IF($T79="","",IF(ISNUMBER($X79),IF($X79=0,0,$W79/$X79),IF(ISNUMBER($Y79),IF($W79+$Y79=0,0,$W79/($W79+$Y79)),"")))</f>
        <v/>
      </c>
      <c r="AA79" s="29" t="str">
        <f>IF($T79="","",COUNTIFS(TRANSACTIONS_MASTER!$D$5:$D$1204,$T79,TRANSACTIONS_MASTER!$C$5:$C$1204,$C$2,TRANSACTIONS_MASTER!$U$5:$U$1204,"&lt;&gt;Cancelled"))</f>
        <v/>
      </c>
    </row>
    <row r="80">
      <c r="A80" s="81" t="str">
        <f>IF($Q80="","",73)</f>
        <v/>
      </c>
      <c r="B80" s="57" t="str">
        <f>IF($Q80="","",INDEX(TRANSACTIONS_MASTER!$B$5:$B$1204,$Q80))</f>
        <v/>
      </c>
      <c r="C80" s="55" t="str">
        <f>IF($Q80="","",INDEX(TRANSACTIONS_MASTER!$F$5:$F$1204,$Q80))</f>
        <v/>
      </c>
      <c r="D80" s="55" t="str">
        <f>IF($Q80="","",INDEX(TRANSACTIONS_MASTER!$E$5:$E$1204,$Q80))</f>
        <v/>
      </c>
      <c r="E80" s="55" t="str">
        <f>IF($Q80="","",INDEX(TRANSACTIONS_MASTER!$G$5:$G$1204,$Q80)&amp;"")</f>
        <v/>
      </c>
      <c r="F80" s="29" t="str">
        <f>IF($Q80="","",INDEX(TRANSACTIONS_MASTER!$I$5:$I$1204,$Q80))</f>
        <v/>
      </c>
      <c r="G80" s="55" t="str">
        <f>IF($Q80="","",INDEX(TRANSACTIONS_MASTER!$K$5:$K$1204,$Q80))</f>
        <v/>
      </c>
      <c r="H80" s="25" t="str">
        <f>IF($Q80="","",INDEX(TRANSACTIONS_MASTER!$L$5:$L$1204,$Q80))</f>
        <v/>
      </c>
      <c r="I80" s="56" t="str">
        <f>IF($Q80="","",INDEX(TRANSACTIONS_MASTER!$N$5:$N$1204,$Q80))</f>
        <v/>
      </c>
      <c r="J80" s="25" t="str">
        <f>IF($Q80="","",INDEX(TRANSACTIONS_MASTER!$O$5:$O$1204,$Q80))</f>
        <v/>
      </c>
      <c r="K80" s="26" t="str">
        <f>IF($Q80="","",INDEX(TRANSACTIONS_MASTER!$Q$5:$Q$1204,$Q80))</f>
        <v/>
      </c>
      <c r="L80" s="25" t="str">
        <f>IF($Q80="","",INDEX(TRANSACTIONS_MASTER!$P$5:$P$1204,$Q80))</f>
        <v/>
      </c>
      <c r="M80" s="25" t="str">
        <f>IF($Q80="","",INDEX(TRANSACTIONS_MASTER!$AA$5:$AA$1204,$Q80))</f>
        <v/>
      </c>
      <c r="N80" s="25" t="str">
        <f>IF($Q80="","",INDEX(TRANSACTIONS_MASTER!$R$5:$R$1204,$Q80))</f>
        <v/>
      </c>
      <c r="O80" s="28" t="str">
        <f>IF($Q80="","",INDEX(TRANSACTIONS_MASTER!$AB$5:$AB$1204,$Q80))</f>
        <v/>
      </c>
      <c r="P80" s="55" t="str">
        <f>IF($Q80="","",INDEX(TRANSACTIONS_MASTER!$Z$5:$Z$1204,$Q80)&amp;"")</f>
        <v/>
      </c>
      <c r="Q80" s="67" t="str">
        <f>IFERROR(MATCH($C$2&amp;"|"&amp;73,TRANSACTIONS_MASTER!$AE$5:$AE$1204,0),"")</f>
        <v/>
      </c>
      <c r="S80" s="67" t="n">
        <v>19</v>
      </c>
      <c r="T80" s="55" t="str">
        <f>IF(CARDS!$A23="","",CARDS!$A23)</f>
        <v/>
      </c>
      <c r="U80" s="55" t="str">
        <f>IF($T80="","",CARDS!$B23&amp;" "&amp;CARDS!$C23)</f>
        <v/>
      </c>
      <c r="V80" s="25" t="str">
        <f>IF($T80="","",SUMIFS(TRANSACTIONS_MASTER!$L$5:$L$1204,TRANSACTIONS_MASTER!$D$5:$D$1204,$T80,TRANSACTIONS_MASTER!$C$5:$C$1204,$C$2,TRANSACTIONS_MASTER!$U$5:$U$1204,"&lt;&gt;Cancelled"))</f>
        <v/>
      </c>
      <c r="W80" s="26" t="str">
        <f>IF($T80="","",SUMIFS(TRANSACTIONS_MASTER!$Q$5:$Q$1204,TRANSACTIONS_MASTER!$D$5:$D$1204,$T80,TRANSACTIONS_MASTER!$C$5:$C$1204,$C$2))</f>
        <v/>
      </c>
      <c r="X80" s="25" t="str">
        <f>IF($T80="","",IFERROR(IF(ISNUMBER(INDEX(CASHBACK_RULES!$K$5:$K$304,MATCH($T80,CASHBACK_RULES!$B$5:$B$304,0))),INDEX(CASHBACK_RULES!$K$5:$K$304,MATCH($T80,CASHBACK_RULES!$B$5:$B$304,0)),"∞"),"—"))</f>
        <v/>
      </c>
      <c r="Y80" s="25" t="str">
        <f>IF($T80="","",IF($X80="—","—",IF(COUNTIFS($T$8:$T$57,$T80,$Z$8:$Z$57,"∞")&gt;0,IF(ISNUMBER($X80),MAX(0,$X80-$W80),"∞"),IF(ISNUMBER($X80),MAX(0,MIN($X80-$W80,SUMIFS($Z$8:$Z$57,$T$8:$T$57,$T80))),SUMIFS($Z$8:$Z$57,$T$8:$T$57,$T80)))))</f>
        <v/>
      </c>
      <c r="Z80" s="27" t="str">
        <f>IF($T80="","",IF(ISNUMBER($X80),IF($X80=0,0,$W80/$X80),IF(ISNUMBER($Y80),IF($W80+$Y80=0,0,$W80/($W80+$Y80)),"")))</f>
        <v/>
      </c>
      <c r="AA80" s="29" t="str">
        <f>IF($T80="","",COUNTIFS(TRANSACTIONS_MASTER!$D$5:$D$1204,$T80,TRANSACTIONS_MASTER!$C$5:$C$1204,$C$2,TRANSACTIONS_MASTER!$U$5:$U$1204,"&lt;&gt;Cancelled"))</f>
        <v/>
      </c>
    </row>
    <row r="81">
      <c r="A81" s="81" t="str">
        <f>IF($Q81="","",74)</f>
        <v/>
      </c>
      <c r="B81" s="57" t="str">
        <f>IF($Q81="","",INDEX(TRANSACTIONS_MASTER!$B$5:$B$1204,$Q81))</f>
        <v/>
      </c>
      <c r="C81" s="55" t="str">
        <f>IF($Q81="","",INDEX(TRANSACTIONS_MASTER!$F$5:$F$1204,$Q81))</f>
        <v/>
      </c>
      <c r="D81" s="55" t="str">
        <f>IF($Q81="","",INDEX(TRANSACTIONS_MASTER!$E$5:$E$1204,$Q81))</f>
        <v/>
      </c>
      <c r="E81" s="55" t="str">
        <f>IF($Q81="","",INDEX(TRANSACTIONS_MASTER!$G$5:$G$1204,$Q81)&amp;"")</f>
        <v/>
      </c>
      <c r="F81" s="29" t="str">
        <f>IF($Q81="","",INDEX(TRANSACTIONS_MASTER!$I$5:$I$1204,$Q81))</f>
        <v/>
      </c>
      <c r="G81" s="55" t="str">
        <f>IF($Q81="","",INDEX(TRANSACTIONS_MASTER!$K$5:$K$1204,$Q81))</f>
        <v/>
      </c>
      <c r="H81" s="25" t="str">
        <f>IF($Q81="","",INDEX(TRANSACTIONS_MASTER!$L$5:$L$1204,$Q81))</f>
        <v/>
      </c>
      <c r="I81" s="56" t="str">
        <f>IF($Q81="","",INDEX(TRANSACTIONS_MASTER!$N$5:$N$1204,$Q81))</f>
        <v/>
      </c>
      <c r="J81" s="25" t="str">
        <f>IF($Q81="","",INDEX(TRANSACTIONS_MASTER!$O$5:$O$1204,$Q81))</f>
        <v/>
      </c>
      <c r="K81" s="26" t="str">
        <f>IF($Q81="","",INDEX(TRANSACTIONS_MASTER!$Q$5:$Q$1204,$Q81))</f>
        <v/>
      </c>
      <c r="L81" s="25" t="str">
        <f>IF($Q81="","",INDEX(TRANSACTIONS_MASTER!$P$5:$P$1204,$Q81))</f>
        <v/>
      </c>
      <c r="M81" s="25" t="str">
        <f>IF($Q81="","",INDEX(TRANSACTIONS_MASTER!$AA$5:$AA$1204,$Q81))</f>
        <v/>
      </c>
      <c r="N81" s="25" t="str">
        <f>IF($Q81="","",INDEX(TRANSACTIONS_MASTER!$R$5:$R$1204,$Q81))</f>
        <v/>
      </c>
      <c r="O81" s="28" t="str">
        <f>IF($Q81="","",INDEX(TRANSACTIONS_MASTER!$AB$5:$AB$1204,$Q81))</f>
        <v/>
      </c>
      <c r="P81" s="55" t="str">
        <f>IF($Q81="","",INDEX(TRANSACTIONS_MASTER!$Z$5:$Z$1204,$Q81)&amp;"")</f>
        <v/>
      </c>
      <c r="Q81" s="67" t="str">
        <f>IFERROR(MATCH($C$2&amp;"|"&amp;74,TRANSACTIONS_MASTER!$AE$5:$AE$1204,0),"")</f>
        <v/>
      </c>
      <c r="S81" s="67" t="n">
        <v>20</v>
      </c>
      <c r="T81" s="55" t="str">
        <f>IF(CARDS!$A24="","",CARDS!$A24)</f>
        <v/>
      </c>
      <c r="U81" s="55" t="str">
        <f>IF($T81="","",CARDS!$B24&amp;" "&amp;CARDS!$C24)</f>
        <v/>
      </c>
      <c r="V81" s="25" t="str">
        <f>IF($T81="","",SUMIFS(TRANSACTIONS_MASTER!$L$5:$L$1204,TRANSACTIONS_MASTER!$D$5:$D$1204,$T81,TRANSACTIONS_MASTER!$C$5:$C$1204,$C$2,TRANSACTIONS_MASTER!$U$5:$U$1204,"&lt;&gt;Cancelled"))</f>
        <v/>
      </c>
      <c r="W81" s="26" t="str">
        <f>IF($T81="","",SUMIFS(TRANSACTIONS_MASTER!$Q$5:$Q$1204,TRANSACTIONS_MASTER!$D$5:$D$1204,$T81,TRANSACTIONS_MASTER!$C$5:$C$1204,$C$2))</f>
        <v/>
      </c>
      <c r="X81" s="25" t="str">
        <f>IF($T81="","",IFERROR(IF(ISNUMBER(INDEX(CASHBACK_RULES!$K$5:$K$304,MATCH($T81,CASHBACK_RULES!$B$5:$B$304,0))),INDEX(CASHBACK_RULES!$K$5:$K$304,MATCH($T81,CASHBACK_RULES!$B$5:$B$304,0)),"∞"),"—"))</f>
        <v/>
      </c>
      <c r="Y81" s="25" t="str">
        <f>IF($T81="","",IF($X81="—","—",IF(COUNTIFS($T$8:$T$57,$T81,$Z$8:$Z$57,"∞")&gt;0,IF(ISNUMBER($X81),MAX(0,$X81-$W81),"∞"),IF(ISNUMBER($X81),MAX(0,MIN($X81-$W81,SUMIFS($Z$8:$Z$57,$T$8:$T$57,$T81))),SUMIFS($Z$8:$Z$57,$T$8:$T$57,$T81)))))</f>
        <v/>
      </c>
      <c r="Z81" s="27" t="str">
        <f>IF($T81="","",IF(ISNUMBER($X81),IF($X81=0,0,$W81/$X81),IF(ISNUMBER($Y81),IF($W81+$Y81=0,0,$W81/($W81+$Y81)),"")))</f>
        <v/>
      </c>
      <c r="AA81" s="29" t="str">
        <f>IF($T81="","",COUNTIFS(TRANSACTIONS_MASTER!$D$5:$D$1204,$T81,TRANSACTIONS_MASTER!$C$5:$C$1204,$C$2,TRANSACTIONS_MASTER!$U$5:$U$1204,"&lt;&gt;Cancelled"))</f>
        <v/>
      </c>
    </row>
    <row r="82">
      <c r="A82" s="81" t="str">
        <f>IF($Q82="","",75)</f>
        <v/>
      </c>
      <c r="B82" s="57" t="str">
        <f>IF($Q82="","",INDEX(TRANSACTIONS_MASTER!$B$5:$B$1204,$Q82))</f>
        <v/>
      </c>
      <c r="C82" s="55" t="str">
        <f>IF($Q82="","",INDEX(TRANSACTIONS_MASTER!$F$5:$F$1204,$Q82))</f>
        <v/>
      </c>
      <c r="D82" s="55" t="str">
        <f>IF($Q82="","",INDEX(TRANSACTIONS_MASTER!$E$5:$E$1204,$Q82))</f>
        <v/>
      </c>
      <c r="E82" s="55" t="str">
        <f>IF($Q82="","",INDEX(TRANSACTIONS_MASTER!$G$5:$G$1204,$Q82)&amp;"")</f>
        <v/>
      </c>
      <c r="F82" s="29" t="str">
        <f>IF($Q82="","",INDEX(TRANSACTIONS_MASTER!$I$5:$I$1204,$Q82))</f>
        <v/>
      </c>
      <c r="G82" s="55" t="str">
        <f>IF($Q82="","",INDEX(TRANSACTIONS_MASTER!$K$5:$K$1204,$Q82))</f>
        <v/>
      </c>
      <c r="H82" s="25" t="str">
        <f>IF($Q82="","",INDEX(TRANSACTIONS_MASTER!$L$5:$L$1204,$Q82))</f>
        <v/>
      </c>
      <c r="I82" s="56" t="str">
        <f>IF($Q82="","",INDEX(TRANSACTIONS_MASTER!$N$5:$N$1204,$Q82))</f>
        <v/>
      </c>
      <c r="J82" s="25" t="str">
        <f>IF($Q82="","",INDEX(TRANSACTIONS_MASTER!$O$5:$O$1204,$Q82))</f>
        <v/>
      </c>
      <c r="K82" s="26" t="str">
        <f>IF($Q82="","",INDEX(TRANSACTIONS_MASTER!$Q$5:$Q$1204,$Q82))</f>
        <v/>
      </c>
      <c r="L82" s="25" t="str">
        <f>IF($Q82="","",INDEX(TRANSACTIONS_MASTER!$P$5:$P$1204,$Q82))</f>
        <v/>
      </c>
      <c r="M82" s="25" t="str">
        <f>IF($Q82="","",INDEX(TRANSACTIONS_MASTER!$AA$5:$AA$1204,$Q82))</f>
        <v/>
      </c>
      <c r="N82" s="25" t="str">
        <f>IF($Q82="","",INDEX(TRANSACTIONS_MASTER!$R$5:$R$1204,$Q82))</f>
        <v/>
      </c>
      <c r="O82" s="28" t="str">
        <f>IF($Q82="","",INDEX(TRANSACTIONS_MASTER!$AB$5:$AB$1204,$Q82))</f>
        <v/>
      </c>
      <c r="P82" s="55" t="str">
        <f>IF($Q82="","",INDEX(TRANSACTIONS_MASTER!$Z$5:$Z$1204,$Q82)&amp;"")</f>
        <v/>
      </c>
      <c r="Q82" s="67" t="str">
        <f>IFERROR(MATCH($C$2&amp;"|"&amp;75,TRANSACTIONS_MASTER!$AE$5:$AE$1204,0),"")</f>
        <v/>
      </c>
      <c r="S82" s="67" t="n">
        <v>21</v>
      </c>
      <c r="T82" s="55" t="str">
        <f>IF(CARDS!$A25="","",CARDS!$A25)</f>
        <v/>
      </c>
      <c r="U82" s="55" t="str">
        <f>IF($T82="","",CARDS!$B25&amp;" "&amp;CARDS!$C25)</f>
        <v/>
      </c>
      <c r="V82" s="25" t="str">
        <f>IF($T82="","",SUMIFS(TRANSACTIONS_MASTER!$L$5:$L$1204,TRANSACTIONS_MASTER!$D$5:$D$1204,$T82,TRANSACTIONS_MASTER!$C$5:$C$1204,$C$2,TRANSACTIONS_MASTER!$U$5:$U$1204,"&lt;&gt;Cancelled"))</f>
        <v/>
      </c>
      <c r="W82" s="26" t="str">
        <f>IF($T82="","",SUMIFS(TRANSACTIONS_MASTER!$Q$5:$Q$1204,TRANSACTIONS_MASTER!$D$5:$D$1204,$T82,TRANSACTIONS_MASTER!$C$5:$C$1204,$C$2))</f>
        <v/>
      </c>
      <c r="X82" s="25" t="str">
        <f>IF($T82="","",IFERROR(IF(ISNUMBER(INDEX(CASHBACK_RULES!$K$5:$K$304,MATCH($T82,CASHBACK_RULES!$B$5:$B$304,0))),INDEX(CASHBACK_RULES!$K$5:$K$304,MATCH($T82,CASHBACK_RULES!$B$5:$B$304,0)),"∞"),"—"))</f>
        <v/>
      </c>
      <c r="Y82" s="25" t="str">
        <f>IF($T82="","",IF($X82="—","—",IF(COUNTIFS($T$8:$T$57,$T82,$Z$8:$Z$57,"∞")&gt;0,IF(ISNUMBER($X82),MAX(0,$X82-$W82),"∞"),IF(ISNUMBER($X82),MAX(0,MIN($X82-$W82,SUMIFS($Z$8:$Z$57,$T$8:$T$57,$T82))),SUMIFS($Z$8:$Z$57,$T$8:$T$57,$T82)))))</f>
        <v/>
      </c>
      <c r="Z82" s="27" t="str">
        <f>IF($T82="","",IF(ISNUMBER($X82),IF($X82=0,0,$W82/$X82),IF(ISNUMBER($Y82),IF($W82+$Y82=0,0,$W82/($W82+$Y82)),"")))</f>
        <v/>
      </c>
      <c r="AA82" s="29" t="str">
        <f>IF($T82="","",COUNTIFS(TRANSACTIONS_MASTER!$D$5:$D$1204,$T82,TRANSACTIONS_MASTER!$C$5:$C$1204,$C$2,TRANSACTIONS_MASTER!$U$5:$U$1204,"&lt;&gt;Cancelled"))</f>
        <v/>
      </c>
    </row>
    <row r="83">
      <c r="A83" s="81" t="str">
        <f>IF($Q83="","",76)</f>
        <v/>
      </c>
      <c r="B83" s="57" t="str">
        <f>IF($Q83="","",INDEX(TRANSACTIONS_MASTER!$B$5:$B$1204,$Q83))</f>
        <v/>
      </c>
      <c r="C83" s="55" t="str">
        <f>IF($Q83="","",INDEX(TRANSACTIONS_MASTER!$F$5:$F$1204,$Q83))</f>
        <v/>
      </c>
      <c r="D83" s="55" t="str">
        <f>IF($Q83="","",INDEX(TRANSACTIONS_MASTER!$E$5:$E$1204,$Q83))</f>
        <v/>
      </c>
      <c r="E83" s="55" t="str">
        <f>IF($Q83="","",INDEX(TRANSACTIONS_MASTER!$G$5:$G$1204,$Q83)&amp;"")</f>
        <v/>
      </c>
      <c r="F83" s="29" t="str">
        <f>IF($Q83="","",INDEX(TRANSACTIONS_MASTER!$I$5:$I$1204,$Q83))</f>
        <v/>
      </c>
      <c r="G83" s="55" t="str">
        <f>IF($Q83="","",INDEX(TRANSACTIONS_MASTER!$K$5:$K$1204,$Q83))</f>
        <v/>
      </c>
      <c r="H83" s="25" t="str">
        <f>IF($Q83="","",INDEX(TRANSACTIONS_MASTER!$L$5:$L$1204,$Q83))</f>
        <v/>
      </c>
      <c r="I83" s="56" t="str">
        <f>IF($Q83="","",INDEX(TRANSACTIONS_MASTER!$N$5:$N$1204,$Q83))</f>
        <v/>
      </c>
      <c r="J83" s="25" t="str">
        <f>IF($Q83="","",INDEX(TRANSACTIONS_MASTER!$O$5:$O$1204,$Q83))</f>
        <v/>
      </c>
      <c r="K83" s="26" t="str">
        <f>IF($Q83="","",INDEX(TRANSACTIONS_MASTER!$Q$5:$Q$1204,$Q83))</f>
        <v/>
      </c>
      <c r="L83" s="25" t="str">
        <f>IF($Q83="","",INDEX(TRANSACTIONS_MASTER!$P$5:$P$1204,$Q83))</f>
        <v/>
      </c>
      <c r="M83" s="25" t="str">
        <f>IF($Q83="","",INDEX(TRANSACTIONS_MASTER!$AA$5:$AA$1204,$Q83))</f>
        <v/>
      </c>
      <c r="N83" s="25" t="str">
        <f>IF($Q83="","",INDEX(TRANSACTIONS_MASTER!$R$5:$R$1204,$Q83))</f>
        <v/>
      </c>
      <c r="O83" s="28" t="str">
        <f>IF($Q83="","",INDEX(TRANSACTIONS_MASTER!$AB$5:$AB$1204,$Q83))</f>
        <v/>
      </c>
      <c r="P83" s="55" t="str">
        <f>IF($Q83="","",INDEX(TRANSACTIONS_MASTER!$Z$5:$Z$1204,$Q83)&amp;"")</f>
        <v/>
      </c>
      <c r="Q83" s="67" t="str">
        <f>IFERROR(MATCH($C$2&amp;"|"&amp;76,TRANSACTIONS_MASTER!$AE$5:$AE$1204,0),"")</f>
        <v/>
      </c>
      <c r="S83" s="67" t="n">
        <v>22</v>
      </c>
      <c r="T83" s="55" t="str">
        <f>IF(CARDS!$A26="","",CARDS!$A26)</f>
        <v/>
      </c>
      <c r="U83" s="55" t="str">
        <f>IF($T83="","",CARDS!$B26&amp;" "&amp;CARDS!$C26)</f>
        <v/>
      </c>
      <c r="V83" s="25" t="str">
        <f>IF($T83="","",SUMIFS(TRANSACTIONS_MASTER!$L$5:$L$1204,TRANSACTIONS_MASTER!$D$5:$D$1204,$T83,TRANSACTIONS_MASTER!$C$5:$C$1204,$C$2,TRANSACTIONS_MASTER!$U$5:$U$1204,"&lt;&gt;Cancelled"))</f>
        <v/>
      </c>
      <c r="W83" s="26" t="str">
        <f>IF($T83="","",SUMIFS(TRANSACTIONS_MASTER!$Q$5:$Q$1204,TRANSACTIONS_MASTER!$D$5:$D$1204,$T83,TRANSACTIONS_MASTER!$C$5:$C$1204,$C$2))</f>
        <v/>
      </c>
      <c r="X83" s="25" t="str">
        <f>IF($T83="","",IFERROR(IF(ISNUMBER(INDEX(CASHBACK_RULES!$K$5:$K$304,MATCH($T83,CASHBACK_RULES!$B$5:$B$304,0))),INDEX(CASHBACK_RULES!$K$5:$K$304,MATCH($T83,CASHBACK_RULES!$B$5:$B$304,0)),"∞"),"—"))</f>
        <v/>
      </c>
      <c r="Y83" s="25" t="str">
        <f>IF($T83="","",IF($X83="—","—",IF(COUNTIFS($T$8:$T$57,$T83,$Z$8:$Z$57,"∞")&gt;0,IF(ISNUMBER($X83),MAX(0,$X83-$W83),"∞"),IF(ISNUMBER($X83),MAX(0,MIN($X83-$W83,SUMIFS($Z$8:$Z$57,$T$8:$T$57,$T83))),SUMIFS($Z$8:$Z$57,$T$8:$T$57,$T83)))))</f>
        <v/>
      </c>
      <c r="Z83" s="27" t="str">
        <f>IF($T83="","",IF(ISNUMBER($X83),IF($X83=0,0,$W83/$X83),IF(ISNUMBER($Y83),IF($W83+$Y83=0,0,$W83/($W83+$Y83)),"")))</f>
        <v/>
      </c>
      <c r="AA83" s="29" t="str">
        <f>IF($T83="","",COUNTIFS(TRANSACTIONS_MASTER!$D$5:$D$1204,$T83,TRANSACTIONS_MASTER!$C$5:$C$1204,$C$2,TRANSACTIONS_MASTER!$U$5:$U$1204,"&lt;&gt;Cancelled"))</f>
        <v/>
      </c>
    </row>
    <row r="84">
      <c r="A84" s="81" t="str">
        <f>IF($Q84="","",77)</f>
        <v/>
      </c>
      <c r="B84" s="57" t="str">
        <f>IF($Q84="","",INDEX(TRANSACTIONS_MASTER!$B$5:$B$1204,$Q84))</f>
        <v/>
      </c>
      <c r="C84" s="55" t="str">
        <f>IF($Q84="","",INDEX(TRANSACTIONS_MASTER!$F$5:$F$1204,$Q84))</f>
        <v/>
      </c>
      <c r="D84" s="55" t="str">
        <f>IF($Q84="","",INDEX(TRANSACTIONS_MASTER!$E$5:$E$1204,$Q84))</f>
        <v/>
      </c>
      <c r="E84" s="55" t="str">
        <f>IF($Q84="","",INDEX(TRANSACTIONS_MASTER!$G$5:$G$1204,$Q84)&amp;"")</f>
        <v/>
      </c>
      <c r="F84" s="29" t="str">
        <f>IF($Q84="","",INDEX(TRANSACTIONS_MASTER!$I$5:$I$1204,$Q84))</f>
        <v/>
      </c>
      <c r="G84" s="55" t="str">
        <f>IF($Q84="","",INDEX(TRANSACTIONS_MASTER!$K$5:$K$1204,$Q84))</f>
        <v/>
      </c>
      <c r="H84" s="25" t="str">
        <f>IF($Q84="","",INDEX(TRANSACTIONS_MASTER!$L$5:$L$1204,$Q84))</f>
        <v/>
      </c>
      <c r="I84" s="56" t="str">
        <f>IF($Q84="","",INDEX(TRANSACTIONS_MASTER!$N$5:$N$1204,$Q84))</f>
        <v/>
      </c>
      <c r="J84" s="25" t="str">
        <f>IF($Q84="","",INDEX(TRANSACTIONS_MASTER!$O$5:$O$1204,$Q84))</f>
        <v/>
      </c>
      <c r="K84" s="26" t="str">
        <f>IF($Q84="","",INDEX(TRANSACTIONS_MASTER!$Q$5:$Q$1204,$Q84))</f>
        <v/>
      </c>
      <c r="L84" s="25" t="str">
        <f>IF($Q84="","",INDEX(TRANSACTIONS_MASTER!$P$5:$P$1204,$Q84))</f>
        <v/>
      </c>
      <c r="M84" s="25" t="str">
        <f>IF($Q84="","",INDEX(TRANSACTIONS_MASTER!$AA$5:$AA$1204,$Q84))</f>
        <v/>
      </c>
      <c r="N84" s="25" t="str">
        <f>IF($Q84="","",INDEX(TRANSACTIONS_MASTER!$R$5:$R$1204,$Q84))</f>
        <v/>
      </c>
      <c r="O84" s="28" t="str">
        <f>IF($Q84="","",INDEX(TRANSACTIONS_MASTER!$AB$5:$AB$1204,$Q84))</f>
        <v/>
      </c>
      <c r="P84" s="55" t="str">
        <f>IF($Q84="","",INDEX(TRANSACTIONS_MASTER!$Z$5:$Z$1204,$Q84)&amp;"")</f>
        <v/>
      </c>
      <c r="Q84" s="67" t="str">
        <f>IFERROR(MATCH($C$2&amp;"|"&amp;77,TRANSACTIONS_MASTER!$AE$5:$AE$1204,0),"")</f>
        <v/>
      </c>
      <c r="S84" s="67" t="n">
        <v>23</v>
      </c>
      <c r="T84" s="55" t="str">
        <f>IF(CARDS!$A27="","",CARDS!$A27)</f>
        <v/>
      </c>
      <c r="U84" s="55" t="str">
        <f>IF($T84="","",CARDS!$B27&amp;" "&amp;CARDS!$C27)</f>
        <v/>
      </c>
      <c r="V84" s="25" t="str">
        <f>IF($T84="","",SUMIFS(TRANSACTIONS_MASTER!$L$5:$L$1204,TRANSACTIONS_MASTER!$D$5:$D$1204,$T84,TRANSACTIONS_MASTER!$C$5:$C$1204,$C$2,TRANSACTIONS_MASTER!$U$5:$U$1204,"&lt;&gt;Cancelled"))</f>
        <v/>
      </c>
      <c r="W84" s="26" t="str">
        <f>IF($T84="","",SUMIFS(TRANSACTIONS_MASTER!$Q$5:$Q$1204,TRANSACTIONS_MASTER!$D$5:$D$1204,$T84,TRANSACTIONS_MASTER!$C$5:$C$1204,$C$2))</f>
        <v/>
      </c>
      <c r="X84" s="25" t="str">
        <f>IF($T84="","",IFERROR(IF(ISNUMBER(INDEX(CASHBACK_RULES!$K$5:$K$304,MATCH($T84,CASHBACK_RULES!$B$5:$B$304,0))),INDEX(CASHBACK_RULES!$K$5:$K$304,MATCH($T84,CASHBACK_RULES!$B$5:$B$304,0)),"∞"),"—"))</f>
        <v/>
      </c>
      <c r="Y84" s="25" t="str">
        <f>IF($T84="","",IF($X84="—","—",IF(COUNTIFS($T$8:$T$57,$T84,$Z$8:$Z$57,"∞")&gt;0,IF(ISNUMBER($X84),MAX(0,$X84-$W84),"∞"),IF(ISNUMBER($X84),MAX(0,MIN($X84-$W84,SUMIFS($Z$8:$Z$57,$T$8:$T$57,$T84))),SUMIFS($Z$8:$Z$57,$T$8:$T$57,$T84)))))</f>
        <v/>
      </c>
      <c r="Z84" s="27" t="str">
        <f>IF($T84="","",IF(ISNUMBER($X84),IF($X84=0,0,$W84/$X84),IF(ISNUMBER($Y84),IF($W84+$Y84=0,0,$W84/($W84+$Y84)),"")))</f>
        <v/>
      </c>
      <c r="AA84" s="29" t="str">
        <f>IF($T84="","",COUNTIFS(TRANSACTIONS_MASTER!$D$5:$D$1204,$T84,TRANSACTIONS_MASTER!$C$5:$C$1204,$C$2,TRANSACTIONS_MASTER!$U$5:$U$1204,"&lt;&gt;Cancelled"))</f>
        <v/>
      </c>
    </row>
    <row r="85">
      <c r="A85" s="81" t="str">
        <f>IF($Q85="","",78)</f>
        <v/>
      </c>
      <c r="B85" s="57" t="str">
        <f>IF($Q85="","",INDEX(TRANSACTIONS_MASTER!$B$5:$B$1204,$Q85))</f>
        <v/>
      </c>
      <c r="C85" s="55" t="str">
        <f>IF($Q85="","",INDEX(TRANSACTIONS_MASTER!$F$5:$F$1204,$Q85))</f>
        <v/>
      </c>
      <c r="D85" s="55" t="str">
        <f>IF($Q85="","",INDEX(TRANSACTIONS_MASTER!$E$5:$E$1204,$Q85))</f>
        <v/>
      </c>
      <c r="E85" s="55" t="str">
        <f>IF($Q85="","",INDEX(TRANSACTIONS_MASTER!$G$5:$G$1204,$Q85)&amp;"")</f>
        <v/>
      </c>
      <c r="F85" s="29" t="str">
        <f>IF($Q85="","",INDEX(TRANSACTIONS_MASTER!$I$5:$I$1204,$Q85))</f>
        <v/>
      </c>
      <c r="G85" s="55" t="str">
        <f>IF($Q85="","",INDEX(TRANSACTIONS_MASTER!$K$5:$K$1204,$Q85))</f>
        <v/>
      </c>
      <c r="H85" s="25" t="str">
        <f>IF($Q85="","",INDEX(TRANSACTIONS_MASTER!$L$5:$L$1204,$Q85))</f>
        <v/>
      </c>
      <c r="I85" s="56" t="str">
        <f>IF($Q85="","",INDEX(TRANSACTIONS_MASTER!$N$5:$N$1204,$Q85))</f>
        <v/>
      </c>
      <c r="J85" s="25" t="str">
        <f>IF($Q85="","",INDEX(TRANSACTIONS_MASTER!$O$5:$O$1204,$Q85))</f>
        <v/>
      </c>
      <c r="K85" s="26" t="str">
        <f>IF($Q85="","",INDEX(TRANSACTIONS_MASTER!$Q$5:$Q$1204,$Q85))</f>
        <v/>
      </c>
      <c r="L85" s="25" t="str">
        <f>IF($Q85="","",INDEX(TRANSACTIONS_MASTER!$P$5:$P$1204,$Q85))</f>
        <v/>
      </c>
      <c r="M85" s="25" t="str">
        <f>IF($Q85="","",INDEX(TRANSACTIONS_MASTER!$AA$5:$AA$1204,$Q85))</f>
        <v/>
      </c>
      <c r="N85" s="25" t="str">
        <f>IF($Q85="","",INDEX(TRANSACTIONS_MASTER!$R$5:$R$1204,$Q85))</f>
        <v/>
      </c>
      <c r="O85" s="28" t="str">
        <f>IF($Q85="","",INDEX(TRANSACTIONS_MASTER!$AB$5:$AB$1204,$Q85))</f>
        <v/>
      </c>
      <c r="P85" s="55" t="str">
        <f>IF($Q85="","",INDEX(TRANSACTIONS_MASTER!$Z$5:$Z$1204,$Q85)&amp;"")</f>
        <v/>
      </c>
      <c r="Q85" s="67" t="str">
        <f>IFERROR(MATCH($C$2&amp;"|"&amp;78,TRANSACTIONS_MASTER!$AE$5:$AE$1204,0),"")</f>
        <v/>
      </c>
      <c r="S85" s="67" t="n">
        <v>24</v>
      </c>
      <c r="T85" s="55" t="str">
        <f>IF(CARDS!$A28="","",CARDS!$A28)</f>
        <v/>
      </c>
      <c r="U85" s="55" t="str">
        <f>IF($T85="","",CARDS!$B28&amp;" "&amp;CARDS!$C28)</f>
        <v/>
      </c>
      <c r="V85" s="25" t="str">
        <f>IF($T85="","",SUMIFS(TRANSACTIONS_MASTER!$L$5:$L$1204,TRANSACTIONS_MASTER!$D$5:$D$1204,$T85,TRANSACTIONS_MASTER!$C$5:$C$1204,$C$2,TRANSACTIONS_MASTER!$U$5:$U$1204,"&lt;&gt;Cancelled"))</f>
        <v/>
      </c>
      <c r="W85" s="26" t="str">
        <f>IF($T85="","",SUMIFS(TRANSACTIONS_MASTER!$Q$5:$Q$1204,TRANSACTIONS_MASTER!$D$5:$D$1204,$T85,TRANSACTIONS_MASTER!$C$5:$C$1204,$C$2))</f>
        <v/>
      </c>
      <c r="X85" s="25" t="str">
        <f>IF($T85="","",IFERROR(IF(ISNUMBER(INDEX(CASHBACK_RULES!$K$5:$K$304,MATCH($T85,CASHBACK_RULES!$B$5:$B$304,0))),INDEX(CASHBACK_RULES!$K$5:$K$304,MATCH($T85,CASHBACK_RULES!$B$5:$B$304,0)),"∞"),"—"))</f>
        <v/>
      </c>
      <c r="Y85" s="25" t="str">
        <f>IF($T85="","",IF($X85="—","—",IF(COUNTIFS($T$8:$T$57,$T85,$Z$8:$Z$57,"∞")&gt;0,IF(ISNUMBER($X85),MAX(0,$X85-$W85),"∞"),IF(ISNUMBER($X85),MAX(0,MIN($X85-$W85,SUMIFS($Z$8:$Z$57,$T$8:$T$57,$T85))),SUMIFS($Z$8:$Z$57,$T$8:$T$57,$T85)))))</f>
        <v/>
      </c>
      <c r="Z85" s="27" t="str">
        <f>IF($T85="","",IF(ISNUMBER($X85),IF($X85=0,0,$W85/$X85),IF(ISNUMBER($Y85),IF($W85+$Y85=0,0,$W85/($W85+$Y85)),"")))</f>
        <v/>
      </c>
      <c r="AA85" s="29" t="str">
        <f>IF($T85="","",COUNTIFS(TRANSACTIONS_MASTER!$D$5:$D$1204,$T85,TRANSACTIONS_MASTER!$C$5:$C$1204,$C$2,TRANSACTIONS_MASTER!$U$5:$U$1204,"&lt;&gt;Cancelled"))</f>
        <v/>
      </c>
    </row>
    <row r="86">
      <c r="A86" s="81" t="str">
        <f>IF($Q86="","",79)</f>
        <v/>
      </c>
      <c r="B86" s="57" t="str">
        <f>IF($Q86="","",INDEX(TRANSACTIONS_MASTER!$B$5:$B$1204,$Q86))</f>
        <v/>
      </c>
      <c r="C86" s="55" t="str">
        <f>IF($Q86="","",INDEX(TRANSACTIONS_MASTER!$F$5:$F$1204,$Q86))</f>
        <v/>
      </c>
      <c r="D86" s="55" t="str">
        <f>IF($Q86="","",INDEX(TRANSACTIONS_MASTER!$E$5:$E$1204,$Q86))</f>
        <v/>
      </c>
      <c r="E86" s="55" t="str">
        <f>IF($Q86="","",INDEX(TRANSACTIONS_MASTER!$G$5:$G$1204,$Q86)&amp;"")</f>
        <v/>
      </c>
      <c r="F86" s="29" t="str">
        <f>IF($Q86="","",INDEX(TRANSACTIONS_MASTER!$I$5:$I$1204,$Q86))</f>
        <v/>
      </c>
      <c r="G86" s="55" t="str">
        <f>IF($Q86="","",INDEX(TRANSACTIONS_MASTER!$K$5:$K$1204,$Q86))</f>
        <v/>
      </c>
      <c r="H86" s="25" t="str">
        <f>IF($Q86="","",INDEX(TRANSACTIONS_MASTER!$L$5:$L$1204,$Q86))</f>
        <v/>
      </c>
      <c r="I86" s="56" t="str">
        <f>IF($Q86="","",INDEX(TRANSACTIONS_MASTER!$N$5:$N$1204,$Q86))</f>
        <v/>
      </c>
      <c r="J86" s="25" t="str">
        <f>IF($Q86="","",INDEX(TRANSACTIONS_MASTER!$O$5:$O$1204,$Q86))</f>
        <v/>
      </c>
      <c r="K86" s="26" t="str">
        <f>IF($Q86="","",INDEX(TRANSACTIONS_MASTER!$Q$5:$Q$1204,$Q86))</f>
        <v/>
      </c>
      <c r="L86" s="25" t="str">
        <f>IF($Q86="","",INDEX(TRANSACTIONS_MASTER!$P$5:$P$1204,$Q86))</f>
        <v/>
      </c>
      <c r="M86" s="25" t="str">
        <f>IF($Q86="","",INDEX(TRANSACTIONS_MASTER!$AA$5:$AA$1204,$Q86))</f>
        <v/>
      </c>
      <c r="N86" s="25" t="str">
        <f>IF($Q86="","",INDEX(TRANSACTIONS_MASTER!$R$5:$R$1204,$Q86))</f>
        <v/>
      </c>
      <c r="O86" s="28" t="str">
        <f>IF($Q86="","",INDEX(TRANSACTIONS_MASTER!$AB$5:$AB$1204,$Q86))</f>
        <v/>
      </c>
      <c r="P86" s="55" t="str">
        <f>IF($Q86="","",INDEX(TRANSACTIONS_MASTER!$Z$5:$Z$1204,$Q86)&amp;"")</f>
        <v/>
      </c>
      <c r="Q86" s="67" t="str">
        <f>IFERROR(MATCH($C$2&amp;"|"&amp;79,TRANSACTIONS_MASTER!$AE$5:$AE$1204,0),"")</f>
        <v/>
      </c>
      <c r="S86" s="67" t="n">
        <v>25</v>
      </c>
      <c r="T86" s="55" t="str">
        <f>IF(CARDS!$A29="","",CARDS!$A29)</f>
        <v/>
      </c>
      <c r="U86" s="55" t="str">
        <f>IF($T86="","",CARDS!$B29&amp;" "&amp;CARDS!$C29)</f>
        <v/>
      </c>
      <c r="V86" s="25" t="str">
        <f>IF($T86="","",SUMIFS(TRANSACTIONS_MASTER!$L$5:$L$1204,TRANSACTIONS_MASTER!$D$5:$D$1204,$T86,TRANSACTIONS_MASTER!$C$5:$C$1204,$C$2,TRANSACTIONS_MASTER!$U$5:$U$1204,"&lt;&gt;Cancelled"))</f>
        <v/>
      </c>
      <c r="W86" s="26" t="str">
        <f>IF($T86="","",SUMIFS(TRANSACTIONS_MASTER!$Q$5:$Q$1204,TRANSACTIONS_MASTER!$D$5:$D$1204,$T86,TRANSACTIONS_MASTER!$C$5:$C$1204,$C$2))</f>
        <v/>
      </c>
      <c r="X86" s="25" t="str">
        <f>IF($T86="","",IFERROR(IF(ISNUMBER(INDEX(CASHBACK_RULES!$K$5:$K$304,MATCH($T86,CASHBACK_RULES!$B$5:$B$304,0))),INDEX(CASHBACK_RULES!$K$5:$K$304,MATCH($T86,CASHBACK_RULES!$B$5:$B$304,0)),"∞"),"—"))</f>
        <v/>
      </c>
      <c r="Y86" s="25" t="str">
        <f>IF($T86="","",IF($X86="—","—",IF(COUNTIFS($T$8:$T$57,$T86,$Z$8:$Z$57,"∞")&gt;0,IF(ISNUMBER($X86),MAX(0,$X86-$W86),"∞"),IF(ISNUMBER($X86),MAX(0,MIN($X86-$W86,SUMIFS($Z$8:$Z$57,$T$8:$T$57,$T86))),SUMIFS($Z$8:$Z$57,$T$8:$T$57,$T86)))))</f>
        <v/>
      </c>
      <c r="Z86" s="27" t="str">
        <f>IF($T86="","",IF(ISNUMBER($X86),IF($X86=0,0,$W86/$X86),IF(ISNUMBER($Y86),IF($W86+$Y86=0,0,$W86/($W86+$Y86)),"")))</f>
        <v/>
      </c>
      <c r="AA86" s="29" t="str">
        <f>IF($T86="","",COUNTIFS(TRANSACTIONS_MASTER!$D$5:$D$1204,$T86,TRANSACTIONS_MASTER!$C$5:$C$1204,$C$2,TRANSACTIONS_MASTER!$U$5:$U$1204,"&lt;&gt;Cancelled"))</f>
        <v/>
      </c>
    </row>
    <row r="87">
      <c r="A87" s="81" t="str">
        <f>IF($Q87="","",80)</f>
        <v/>
      </c>
      <c r="B87" s="57" t="str">
        <f>IF($Q87="","",INDEX(TRANSACTIONS_MASTER!$B$5:$B$1204,$Q87))</f>
        <v/>
      </c>
      <c r="C87" s="55" t="str">
        <f>IF($Q87="","",INDEX(TRANSACTIONS_MASTER!$F$5:$F$1204,$Q87))</f>
        <v/>
      </c>
      <c r="D87" s="55" t="str">
        <f>IF($Q87="","",INDEX(TRANSACTIONS_MASTER!$E$5:$E$1204,$Q87))</f>
        <v/>
      </c>
      <c r="E87" s="55" t="str">
        <f>IF($Q87="","",INDEX(TRANSACTIONS_MASTER!$G$5:$G$1204,$Q87)&amp;"")</f>
        <v/>
      </c>
      <c r="F87" s="29" t="str">
        <f>IF($Q87="","",INDEX(TRANSACTIONS_MASTER!$I$5:$I$1204,$Q87))</f>
        <v/>
      </c>
      <c r="G87" s="55" t="str">
        <f>IF($Q87="","",INDEX(TRANSACTIONS_MASTER!$K$5:$K$1204,$Q87))</f>
        <v/>
      </c>
      <c r="H87" s="25" t="str">
        <f>IF($Q87="","",INDEX(TRANSACTIONS_MASTER!$L$5:$L$1204,$Q87))</f>
        <v/>
      </c>
      <c r="I87" s="56" t="str">
        <f>IF($Q87="","",INDEX(TRANSACTIONS_MASTER!$N$5:$N$1204,$Q87))</f>
        <v/>
      </c>
      <c r="J87" s="25" t="str">
        <f>IF($Q87="","",INDEX(TRANSACTIONS_MASTER!$O$5:$O$1204,$Q87))</f>
        <v/>
      </c>
      <c r="K87" s="26" t="str">
        <f>IF($Q87="","",INDEX(TRANSACTIONS_MASTER!$Q$5:$Q$1204,$Q87))</f>
        <v/>
      </c>
      <c r="L87" s="25" t="str">
        <f>IF($Q87="","",INDEX(TRANSACTIONS_MASTER!$P$5:$P$1204,$Q87))</f>
        <v/>
      </c>
      <c r="M87" s="25" t="str">
        <f>IF($Q87="","",INDEX(TRANSACTIONS_MASTER!$AA$5:$AA$1204,$Q87))</f>
        <v/>
      </c>
      <c r="N87" s="25" t="str">
        <f>IF($Q87="","",INDEX(TRANSACTIONS_MASTER!$R$5:$R$1204,$Q87))</f>
        <v/>
      </c>
      <c r="O87" s="28" t="str">
        <f>IF($Q87="","",INDEX(TRANSACTIONS_MASTER!$AB$5:$AB$1204,$Q87))</f>
        <v/>
      </c>
      <c r="P87" s="55" t="str">
        <f>IF($Q87="","",INDEX(TRANSACTIONS_MASTER!$Z$5:$Z$1204,$Q87)&amp;"")</f>
        <v/>
      </c>
      <c r="Q87" s="67" t="str">
        <f>IFERROR(MATCH($C$2&amp;"|"&amp;80,TRANSACTIONS_MASTER!$AE$5:$AE$1204,0),"")</f>
        <v/>
      </c>
      <c r="S87" s="67" t="n">
        <v>26</v>
      </c>
      <c r="T87" s="55" t="str">
        <f>IF(CARDS!$A30="","",CARDS!$A30)</f>
        <v/>
      </c>
      <c r="U87" s="55" t="str">
        <f>IF($T87="","",CARDS!$B30&amp;" "&amp;CARDS!$C30)</f>
        <v/>
      </c>
      <c r="V87" s="25" t="str">
        <f>IF($T87="","",SUMIFS(TRANSACTIONS_MASTER!$L$5:$L$1204,TRANSACTIONS_MASTER!$D$5:$D$1204,$T87,TRANSACTIONS_MASTER!$C$5:$C$1204,$C$2,TRANSACTIONS_MASTER!$U$5:$U$1204,"&lt;&gt;Cancelled"))</f>
        <v/>
      </c>
      <c r="W87" s="26" t="str">
        <f>IF($T87="","",SUMIFS(TRANSACTIONS_MASTER!$Q$5:$Q$1204,TRANSACTIONS_MASTER!$D$5:$D$1204,$T87,TRANSACTIONS_MASTER!$C$5:$C$1204,$C$2))</f>
        <v/>
      </c>
      <c r="X87" s="25" t="str">
        <f>IF($T87="","",IFERROR(IF(ISNUMBER(INDEX(CASHBACK_RULES!$K$5:$K$304,MATCH($T87,CASHBACK_RULES!$B$5:$B$304,0))),INDEX(CASHBACK_RULES!$K$5:$K$304,MATCH($T87,CASHBACK_RULES!$B$5:$B$304,0)),"∞"),"—"))</f>
        <v/>
      </c>
      <c r="Y87" s="25" t="str">
        <f>IF($T87="","",IF($X87="—","—",IF(COUNTIFS($T$8:$T$57,$T87,$Z$8:$Z$57,"∞")&gt;0,IF(ISNUMBER($X87),MAX(0,$X87-$W87),"∞"),IF(ISNUMBER($X87),MAX(0,MIN($X87-$W87,SUMIFS($Z$8:$Z$57,$T$8:$T$57,$T87))),SUMIFS($Z$8:$Z$57,$T$8:$T$57,$T87)))))</f>
        <v/>
      </c>
      <c r="Z87" s="27" t="str">
        <f>IF($T87="","",IF(ISNUMBER($X87),IF($X87=0,0,$W87/$X87),IF(ISNUMBER($Y87),IF($W87+$Y87=0,0,$W87/($W87+$Y87)),"")))</f>
        <v/>
      </c>
      <c r="AA87" s="29" t="str">
        <f>IF($T87="","",COUNTIFS(TRANSACTIONS_MASTER!$D$5:$D$1204,$T87,TRANSACTIONS_MASTER!$C$5:$C$1204,$C$2,TRANSACTIONS_MASTER!$U$5:$U$1204,"&lt;&gt;Cancelled"))</f>
        <v/>
      </c>
    </row>
    <row r="88">
      <c r="A88" s="81" t="str">
        <f>IF($Q88="","",81)</f>
        <v/>
      </c>
      <c r="B88" s="57" t="str">
        <f>IF($Q88="","",INDEX(TRANSACTIONS_MASTER!$B$5:$B$1204,$Q88))</f>
        <v/>
      </c>
      <c r="C88" s="55" t="str">
        <f>IF($Q88="","",INDEX(TRANSACTIONS_MASTER!$F$5:$F$1204,$Q88))</f>
        <v/>
      </c>
      <c r="D88" s="55" t="str">
        <f>IF($Q88="","",INDEX(TRANSACTIONS_MASTER!$E$5:$E$1204,$Q88))</f>
        <v/>
      </c>
      <c r="E88" s="55" t="str">
        <f>IF($Q88="","",INDEX(TRANSACTIONS_MASTER!$G$5:$G$1204,$Q88)&amp;"")</f>
        <v/>
      </c>
      <c r="F88" s="29" t="str">
        <f>IF($Q88="","",INDEX(TRANSACTIONS_MASTER!$I$5:$I$1204,$Q88))</f>
        <v/>
      </c>
      <c r="G88" s="55" t="str">
        <f>IF($Q88="","",INDEX(TRANSACTIONS_MASTER!$K$5:$K$1204,$Q88))</f>
        <v/>
      </c>
      <c r="H88" s="25" t="str">
        <f>IF($Q88="","",INDEX(TRANSACTIONS_MASTER!$L$5:$L$1204,$Q88))</f>
        <v/>
      </c>
      <c r="I88" s="56" t="str">
        <f>IF($Q88="","",INDEX(TRANSACTIONS_MASTER!$N$5:$N$1204,$Q88))</f>
        <v/>
      </c>
      <c r="J88" s="25" t="str">
        <f>IF($Q88="","",INDEX(TRANSACTIONS_MASTER!$O$5:$O$1204,$Q88))</f>
        <v/>
      </c>
      <c r="K88" s="26" t="str">
        <f>IF($Q88="","",INDEX(TRANSACTIONS_MASTER!$Q$5:$Q$1204,$Q88))</f>
        <v/>
      </c>
      <c r="L88" s="25" t="str">
        <f>IF($Q88="","",INDEX(TRANSACTIONS_MASTER!$P$5:$P$1204,$Q88))</f>
        <v/>
      </c>
      <c r="M88" s="25" t="str">
        <f>IF($Q88="","",INDEX(TRANSACTIONS_MASTER!$AA$5:$AA$1204,$Q88))</f>
        <v/>
      </c>
      <c r="N88" s="25" t="str">
        <f>IF($Q88="","",INDEX(TRANSACTIONS_MASTER!$R$5:$R$1204,$Q88))</f>
        <v/>
      </c>
      <c r="O88" s="28" t="str">
        <f>IF($Q88="","",INDEX(TRANSACTIONS_MASTER!$AB$5:$AB$1204,$Q88))</f>
        <v/>
      </c>
      <c r="P88" s="55" t="str">
        <f>IF($Q88="","",INDEX(TRANSACTIONS_MASTER!$Z$5:$Z$1204,$Q88)&amp;"")</f>
        <v/>
      </c>
      <c r="Q88" s="67" t="str">
        <f>IFERROR(MATCH($C$2&amp;"|"&amp;81,TRANSACTIONS_MASTER!$AE$5:$AE$1204,0),"")</f>
        <v/>
      </c>
      <c r="S88" s="67" t="n">
        <v>27</v>
      </c>
      <c r="T88" s="55" t="str">
        <f>IF(CARDS!$A31="","",CARDS!$A31)</f>
        <v/>
      </c>
      <c r="U88" s="55" t="str">
        <f>IF($T88="","",CARDS!$B31&amp;" "&amp;CARDS!$C31)</f>
        <v/>
      </c>
      <c r="V88" s="25" t="str">
        <f>IF($T88="","",SUMIFS(TRANSACTIONS_MASTER!$L$5:$L$1204,TRANSACTIONS_MASTER!$D$5:$D$1204,$T88,TRANSACTIONS_MASTER!$C$5:$C$1204,$C$2,TRANSACTIONS_MASTER!$U$5:$U$1204,"&lt;&gt;Cancelled"))</f>
        <v/>
      </c>
      <c r="W88" s="26" t="str">
        <f>IF($T88="","",SUMIFS(TRANSACTIONS_MASTER!$Q$5:$Q$1204,TRANSACTIONS_MASTER!$D$5:$D$1204,$T88,TRANSACTIONS_MASTER!$C$5:$C$1204,$C$2))</f>
        <v/>
      </c>
      <c r="X88" s="25" t="str">
        <f>IF($T88="","",IFERROR(IF(ISNUMBER(INDEX(CASHBACK_RULES!$K$5:$K$304,MATCH($T88,CASHBACK_RULES!$B$5:$B$304,0))),INDEX(CASHBACK_RULES!$K$5:$K$304,MATCH($T88,CASHBACK_RULES!$B$5:$B$304,0)),"∞"),"—"))</f>
        <v/>
      </c>
      <c r="Y88" s="25" t="str">
        <f>IF($T88="","",IF($X88="—","—",IF(COUNTIFS($T$8:$T$57,$T88,$Z$8:$Z$57,"∞")&gt;0,IF(ISNUMBER($X88),MAX(0,$X88-$W88),"∞"),IF(ISNUMBER($X88),MAX(0,MIN($X88-$W88,SUMIFS($Z$8:$Z$57,$T$8:$T$57,$T88))),SUMIFS($Z$8:$Z$57,$T$8:$T$57,$T88)))))</f>
        <v/>
      </c>
      <c r="Z88" s="27" t="str">
        <f>IF($T88="","",IF(ISNUMBER($X88),IF($X88=0,0,$W88/$X88),IF(ISNUMBER($Y88),IF($W88+$Y88=0,0,$W88/($W88+$Y88)),"")))</f>
        <v/>
      </c>
      <c r="AA88" s="29" t="str">
        <f>IF($T88="","",COUNTIFS(TRANSACTIONS_MASTER!$D$5:$D$1204,$T88,TRANSACTIONS_MASTER!$C$5:$C$1204,$C$2,TRANSACTIONS_MASTER!$U$5:$U$1204,"&lt;&gt;Cancelled"))</f>
        <v/>
      </c>
    </row>
    <row r="89">
      <c r="A89" s="81" t="str">
        <f>IF($Q89="","",82)</f>
        <v/>
      </c>
      <c r="B89" s="57" t="str">
        <f>IF($Q89="","",INDEX(TRANSACTIONS_MASTER!$B$5:$B$1204,$Q89))</f>
        <v/>
      </c>
      <c r="C89" s="55" t="str">
        <f>IF($Q89="","",INDEX(TRANSACTIONS_MASTER!$F$5:$F$1204,$Q89))</f>
        <v/>
      </c>
      <c r="D89" s="55" t="str">
        <f>IF($Q89="","",INDEX(TRANSACTIONS_MASTER!$E$5:$E$1204,$Q89))</f>
        <v/>
      </c>
      <c r="E89" s="55" t="str">
        <f>IF($Q89="","",INDEX(TRANSACTIONS_MASTER!$G$5:$G$1204,$Q89)&amp;"")</f>
        <v/>
      </c>
      <c r="F89" s="29" t="str">
        <f>IF($Q89="","",INDEX(TRANSACTIONS_MASTER!$I$5:$I$1204,$Q89))</f>
        <v/>
      </c>
      <c r="G89" s="55" t="str">
        <f>IF($Q89="","",INDEX(TRANSACTIONS_MASTER!$K$5:$K$1204,$Q89))</f>
        <v/>
      </c>
      <c r="H89" s="25" t="str">
        <f>IF($Q89="","",INDEX(TRANSACTIONS_MASTER!$L$5:$L$1204,$Q89))</f>
        <v/>
      </c>
      <c r="I89" s="56" t="str">
        <f>IF($Q89="","",INDEX(TRANSACTIONS_MASTER!$N$5:$N$1204,$Q89))</f>
        <v/>
      </c>
      <c r="J89" s="25" t="str">
        <f>IF($Q89="","",INDEX(TRANSACTIONS_MASTER!$O$5:$O$1204,$Q89))</f>
        <v/>
      </c>
      <c r="K89" s="26" t="str">
        <f>IF($Q89="","",INDEX(TRANSACTIONS_MASTER!$Q$5:$Q$1204,$Q89))</f>
        <v/>
      </c>
      <c r="L89" s="25" t="str">
        <f>IF($Q89="","",INDEX(TRANSACTIONS_MASTER!$P$5:$P$1204,$Q89))</f>
        <v/>
      </c>
      <c r="M89" s="25" t="str">
        <f>IF($Q89="","",INDEX(TRANSACTIONS_MASTER!$AA$5:$AA$1204,$Q89))</f>
        <v/>
      </c>
      <c r="N89" s="25" t="str">
        <f>IF($Q89="","",INDEX(TRANSACTIONS_MASTER!$R$5:$R$1204,$Q89))</f>
        <v/>
      </c>
      <c r="O89" s="28" t="str">
        <f>IF($Q89="","",INDEX(TRANSACTIONS_MASTER!$AB$5:$AB$1204,$Q89))</f>
        <v/>
      </c>
      <c r="P89" s="55" t="str">
        <f>IF($Q89="","",INDEX(TRANSACTIONS_MASTER!$Z$5:$Z$1204,$Q89)&amp;"")</f>
        <v/>
      </c>
      <c r="Q89" s="67" t="str">
        <f>IFERROR(MATCH($C$2&amp;"|"&amp;82,TRANSACTIONS_MASTER!$AE$5:$AE$1204,0),"")</f>
        <v/>
      </c>
      <c r="S89" s="67" t="n">
        <v>28</v>
      </c>
      <c r="T89" s="55" t="str">
        <f>IF(CARDS!$A32="","",CARDS!$A32)</f>
        <v/>
      </c>
      <c r="U89" s="55" t="str">
        <f>IF($T89="","",CARDS!$B32&amp;" "&amp;CARDS!$C32)</f>
        <v/>
      </c>
      <c r="V89" s="25" t="str">
        <f>IF($T89="","",SUMIFS(TRANSACTIONS_MASTER!$L$5:$L$1204,TRANSACTIONS_MASTER!$D$5:$D$1204,$T89,TRANSACTIONS_MASTER!$C$5:$C$1204,$C$2,TRANSACTIONS_MASTER!$U$5:$U$1204,"&lt;&gt;Cancelled"))</f>
        <v/>
      </c>
      <c r="W89" s="26" t="str">
        <f>IF($T89="","",SUMIFS(TRANSACTIONS_MASTER!$Q$5:$Q$1204,TRANSACTIONS_MASTER!$D$5:$D$1204,$T89,TRANSACTIONS_MASTER!$C$5:$C$1204,$C$2))</f>
        <v/>
      </c>
      <c r="X89" s="25" t="str">
        <f>IF($T89="","",IFERROR(IF(ISNUMBER(INDEX(CASHBACK_RULES!$K$5:$K$304,MATCH($T89,CASHBACK_RULES!$B$5:$B$304,0))),INDEX(CASHBACK_RULES!$K$5:$K$304,MATCH($T89,CASHBACK_RULES!$B$5:$B$304,0)),"∞"),"—"))</f>
        <v/>
      </c>
      <c r="Y89" s="25" t="str">
        <f>IF($T89="","",IF($X89="—","—",IF(COUNTIFS($T$8:$T$57,$T89,$Z$8:$Z$57,"∞")&gt;0,IF(ISNUMBER($X89),MAX(0,$X89-$W89),"∞"),IF(ISNUMBER($X89),MAX(0,MIN($X89-$W89,SUMIFS($Z$8:$Z$57,$T$8:$T$57,$T89))),SUMIFS($Z$8:$Z$57,$T$8:$T$57,$T89)))))</f>
        <v/>
      </c>
      <c r="Z89" s="27" t="str">
        <f>IF($T89="","",IF(ISNUMBER($X89),IF($X89=0,0,$W89/$X89),IF(ISNUMBER($Y89),IF($W89+$Y89=0,0,$W89/($W89+$Y89)),"")))</f>
        <v/>
      </c>
      <c r="AA89" s="29" t="str">
        <f>IF($T89="","",COUNTIFS(TRANSACTIONS_MASTER!$D$5:$D$1204,$T89,TRANSACTIONS_MASTER!$C$5:$C$1204,$C$2,TRANSACTIONS_MASTER!$U$5:$U$1204,"&lt;&gt;Cancelled"))</f>
        <v/>
      </c>
    </row>
    <row r="90">
      <c r="A90" s="81" t="str">
        <f>IF($Q90="","",83)</f>
        <v/>
      </c>
      <c r="B90" s="57" t="str">
        <f>IF($Q90="","",INDEX(TRANSACTIONS_MASTER!$B$5:$B$1204,$Q90))</f>
        <v/>
      </c>
      <c r="C90" s="55" t="str">
        <f>IF($Q90="","",INDEX(TRANSACTIONS_MASTER!$F$5:$F$1204,$Q90))</f>
        <v/>
      </c>
      <c r="D90" s="55" t="str">
        <f>IF($Q90="","",INDEX(TRANSACTIONS_MASTER!$E$5:$E$1204,$Q90))</f>
        <v/>
      </c>
      <c r="E90" s="55" t="str">
        <f>IF($Q90="","",INDEX(TRANSACTIONS_MASTER!$G$5:$G$1204,$Q90)&amp;"")</f>
        <v/>
      </c>
      <c r="F90" s="29" t="str">
        <f>IF($Q90="","",INDEX(TRANSACTIONS_MASTER!$I$5:$I$1204,$Q90))</f>
        <v/>
      </c>
      <c r="G90" s="55" t="str">
        <f>IF($Q90="","",INDEX(TRANSACTIONS_MASTER!$K$5:$K$1204,$Q90))</f>
        <v/>
      </c>
      <c r="H90" s="25" t="str">
        <f>IF($Q90="","",INDEX(TRANSACTIONS_MASTER!$L$5:$L$1204,$Q90))</f>
        <v/>
      </c>
      <c r="I90" s="56" t="str">
        <f>IF($Q90="","",INDEX(TRANSACTIONS_MASTER!$N$5:$N$1204,$Q90))</f>
        <v/>
      </c>
      <c r="J90" s="25" t="str">
        <f>IF($Q90="","",INDEX(TRANSACTIONS_MASTER!$O$5:$O$1204,$Q90))</f>
        <v/>
      </c>
      <c r="K90" s="26" t="str">
        <f>IF($Q90="","",INDEX(TRANSACTIONS_MASTER!$Q$5:$Q$1204,$Q90))</f>
        <v/>
      </c>
      <c r="L90" s="25" t="str">
        <f>IF($Q90="","",INDEX(TRANSACTIONS_MASTER!$P$5:$P$1204,$Q90))</f>
        <v/>
      </c>
      <c r="M90" s="25" t="str">
        <f>IF($Q90="","",INDEX(TRANSACTIONS_MASTER!$AA$5:$AA$1204,$Q90))</f>
        <v/>
      </c>
      <c r="N90" s="25" t="str">
        <f>IF($Q90="","",INDEX(TRANSACTIONS_MASTER!$R$5:$R$1204,$Q90))</f>
        <v/>
      </c>
      <c r="O90" s="28" t="str">
        <f>IF($Q90="","",INDEX(TRANSACTIONS_MASTER!$AB$5:$AB$1204,$Q90))</f>
        <v/>
      </c>
      <c r="P90" s="55" t="str">
        <f>IF($Q90="","",INDEX(TRANSACTIONS_MASTER!$Z$5:$Z$1204,$Q90)&amp;"")</f>
        <v/>
      </c>
      <c r="Q90" s="67" t="str">
        <f>IFERROR(MATCH($C$2&amp;"|"&amp;83,TRANSACTIONS_MASTER!$AE$5:$AE$1204,0),"")</f>
        <v/>
      </c>
      <c r="S90" s="67" t="n">
        <v>29</v>
      </c>
      <c r="T90" s="55" t="str">
        <f>IF(CARDS!$A33="","",CARDS!$A33)</f>
        <v/>
      </c>
      <c r="U90" s="55" t="str">
        <f>IF($T90="","",CARDS!$B33&amp;" "&amp;CARDS!$C33)</f>
        <v/>
      </c>
      <c r="V90" s="25" t="str">
        <f>IF($T90="","",SUMIFS(TRANSACTIONS_MASTER!$L$5:$L$1204,TRANSACTIONS_MASTER!$D$5:$D$1204,$T90,TRANSACTIONS_MASTER!$C$5:$C$1204,$C$2,TRANSACTIONS_MASTER!$U$5:$U$1204,"&lt;&gt;Cancelled"))</f>
        <v/>
      </c>
      <c r="W90" s="26" t="str">
        <f>IF($T90="","",SUMIFS(TRANSACTIONS_MASTER!$Q$5:$Q$1204,TRANSACTIONS_MASTER!$D$5:$D$1204,$T90,TRANSACTIONS_MASTER!$C$5:$C$1204,$C$2))</f>
        <v/>
      </c>
      <c r="X90" s="25" t="str">
        <f>IF($T90="","",IFERROR(IF(ISNUMBER(INDEX(CASHBACK_RULES!$K$5:$K$304,MATCH($T90,CASHBACK_RULES!$B$5:$B$304,0))),INDEX(CASHBACK_RULES!$K$5:$K$304,MATCH($T90,CASHBACK_RULES!$B$5:$B$304,0)),"∞"),"—"))</f>
        <v/>
      </c>
      <c r="Y90" s="25" t="str">
        <f>IF($T90="","",IF($X90="—","—",IF(COUNTIFS($T$8:$T$57,$T90,$Z$8:$Z$57,"∞")&gt;0,IF(ISNUMBER($X90),MAX(0,$X90-$W90),"∞"),IF(ISNUMBER($X90),MAX(0,MIN($X90-$W90,SUMIFS($Z$8:$Z$57,$T$8:$T$57,$T90))),SUMIFS($Z$8:$Z$57,$T$8:$T$57,$T90)))))</f>
        <v/>
      </c>
      <c r="Z90" s="27" t="str">
        <f>IF($T90="","",IF(ISNUMBER($X90),IF($X90=0,0,$W90/$X90),IF(ISNUMBER($Y90),IF($W90+$Y90=0,0,$W90/($W90+$Y90)),"")))</f>
        <v/>
      </c>
      <c r="AA90" s="29" t="str">
        <f>IF($T90="","",COUNTIFS(TRANSACTIONS_MASTER!$D$5:$D$1204,$T90,TRANSACTIONS_MASTER!$C$5:$C$1204,$C$2,TRANSACTIONS_MASTER!$U$5:$U$1204,"&lt;&gt;Cancelled"))</f>
        <v/>
      </c>
    </row>
    <row r="91">
      <c r="A91" s="81" t="str">
        <f>IF($Q91="","",84)</f>
        <v/>
      </c>
      <c r="B91" s="57" t="str">
        <f>IF($Q91="","",INDEX(TRANSACTIONS_MASTER!$B$5:$B$1204,$Q91))</f>
        <v/>
      </c>
      <c r="C91" s="55" t="str">
        <f>IF($Q91="","",INDEX(TRANSACTIONS_MASTER!$F$5:$F$1204,$Q91))</f>
        <v/>
      </c>
      <c r="D91" s="55" t="str">
        <f>IF($Q91="","",INDEX(TRANSACTIONS_MASTER!$E$5:$E$1204,$Q91))</f>
        <v/>
      </c>
      <c r="E91" s="55" t="str">
        <f>IF($Q91="","",INDEX(TRANSACTIONS_MASTER!$G$5:$G$1204,$Q91)&amp;"")</f>
        <v/>
      </c>
      <c r="F91" s="29" t="str">
        <f>IF($Q91="","",INDEX(TRANSACTIONS_MASTER!$I$5:$I$1204,$Q91))</f>
        <v/>
      </c>
      <c r="G91" s="55" t="str">
        <f>IF($Q91="","",INDEX(TRANSACTIONS_MASTER!$K$5:$K$1204,$Q91))</f>
        <v/>
      </c>
      <c r="H91" s="25" t="str">
        <f>IF($Q91="","",INDEX(TRANSACTIONS_MASTER!$L$5:$L$1204,$Q91))</f>
        <v/>
      </c>
      <c r="I91" s="56" t="str">
        <f>IF($Q91="","",INDEX(TRANSACTIONS_MASTER!$N$5:$N$1204,$Q91))</f>
        <v/>
      </c>
      <c r="J91" s="25" t="str">
        <f>IF($Q91="","",INDEX(TRANSACTIONS_MASTER!$O$5:$O$1204,$Q91))</f>
        <v/>
      </c>
      <c r="K91" s="26" t="str">
        <f>IF($Q91="","",INDEX(TRANSACTIONS_MASTER!$Q$5:$Q$1204,$Q91))</f>
        <v/>
      </c>
      <c r="L91" s="25" t="str">
        <f>IF($Q91="","",INDEX(TRANSACTIONS_MASTER!$P$5:$P$1204,$Q91))</f>
        <v/>
      </c>
      <c r="M91" s="25" t="str">
        <f>IF($Q91="","",INDEX(TRANSACTIONS_MASTER!$AA$5:$AA$1204,$Q91))</f>
        <v/>
      </c>
      <c r="N91" s="25" t="str">
        <f>IF($Q91="","",INDEX(TRANSACTIONS_MASTER!$R$5:$R$1204,$Q91))</f>
        <v/>
      </c>
      <c r="O91" s="28" t="str">
        <f>IF($Q91="","",INDEX(TRANSACTIONS_MASTER!$AB$5:$AB$1204,$Q91))</f>
        <v/>
      </c>
      <c r="P91" s="55" t="str">
        <f>IF($Q91="","",INDEX(TRANSACTIONS_MASTER!$Z$5:$Z$1204,$Q91)&amp;"")</f>
        <v/>
      </c>
      <c r="Q91" s="67" t="str">
        <f>IFERROR(MATCH($C$2&amp;"|"&amp;84,TRANSACTIONS_MASTER!$AE$5:$AE$1204,0),"")</f>
        <v/>
      </c>
      <c r="S91" s="67" t="n">
        <v>30</v>
      </c>
      <c r="T91" s="55" t="str">
        <f>IF(CARDS!$A34="","",CARDS!$A34)</f>
        <v/>
      </c>
      <c r="U91" s="55" t="str">
        <f>IF($T91="","",CARDS!$B34&amp;" "&amp;CARDS!$C34)</f>
        <v/>
      </c>
      <c r="V91" s="25" t="str">
        <f>IF($T91="","",SUMIFS(TRANSACTIONS_MASTER!$L$5:$L$1204,TRANSACTIONS_MASTER!$D$5:$D$1204,$T91,TRANSACTIONS_MASTER!$C$5:$C$1204,$C$2,TRANSACTIONS_MASTER!$U$5:$U$1204,"&lt;&gt;Cancelled"))</f>
        <v/>
      </c>
      <c r="W91" s="26" t="str">
        <f>IF($T91="","",SUMIFS(TRANSACTIONS_MASTER!$Q$5:$Q$1204,TRANSACTIONS_MASTER!$D$5:$D$1204,$T91,TRANSACTIONS_MASTER!$C$5:$C$1204,$C$2))</f>
        <v/>
      </c>
      <c r="X91" s="25" t="str">
        <f>IF($T91="","",IFERROR(IF(ISNUMBER(INDEX(CASHBACK_RULES!$K$5:$K$304,MATCH($T91,CASHBACK_RULES!$B$5:$B$304,0))),INDEX(CASHBACK_RULES!$K$5:$K$304,MATCH($T91,CASHBACK_RULES!$B$5:$B$304,0)),"∞"),"—"))</f>
        <v/>
      </c>
      <c r="Y91" s="25" t="str">
        <f>IF($T91="","",IF($X91="—","—",IF(COUNTIFS($T$8:$T$57,$T91,$Z$8:$Z$57,"∞")&gt;0,IF(ISNUMBER($X91),MAX(0,$X91-$W91),"∞"),IF(ISNUMBER($X91),MAX(0,MIN($X91-$W91,SUMIFS($Z$8:$Z$57,$T$8:$T$57,$T91))),SUMIFS($Z$8:$Z$57,$T$8:$T$57,$T91)))))</f>
        <v/>
      </c>
      <c r="Z91" s="27" t="str">
        <f>IF($T91="","",IF(ISNUMBER($X91),IF($X91=0,0,$W91/$X91),IF(ISNUMBER($Y91),IF($W91+$Y91=0,0,$W91/($W91+$Y91)),"")))</f>
        <v/>
      </c>
      <c r="AA91" s="29" t="str">
        <f>IF($T91="","",COUNTIFS(TRANSACTIONS_MASTER!$D$5:$D$1204,$T91,TRANSACTIONS_MASTER!$C$5:$C$1204,$C$2,TRANSACTIONS_MASTER!$U$5:$U$1204,"&lt;&gt;Cancelled"))</f>
        <v/>
      </c>
    </row>
    <row r="92">
      <c r="A92" s="81" t="str">
        <f>IF($Q92="","",85)</f>
        <v/>
      </c>
      <c r="B92" s="57" t="str">
        <f>IF($Q92="","",INDEX(TRANSACTIONS_MASTER!$B$5:$B$1204,$Q92))</f>
        <v/>
      </c>
      <c r="C92" s="55" t="str">
        <f>IF($Q92="","",INDEX(TRANSACTIONS_MASTER!$F$5:$F$1204,$Q92))</f>
        <v/>
      </c>
      <c r="D92" s="55" t="str">
        <f>IF($Q92="","",INDEX(TRANSACTIONS_MASTER!$E$5:$E$1204,$Q92))</f>
        <v/>
      </c>
      <c r="E92" s="55" t="str">
        <f>IF($Q92="","",INDEX(TRANSACTIONS_MASTER!$G$5:$G$1204,$Q92)&amp;"")</f>
        <v/>
      </c>
      <c r="F92" s="29" t="str">
        <f>IF($Q92="","",INDEX(TRANSACTIONS_MASTER!$I$5:$I$1204,$Q92))</f>
        <v/>
      </c>
      <c r="G92" s="55" t="str">
        <f>IF($Q92="","",INDEX(TRANSACTIONS_MASTER!$K$5:$K$1204,$Q92))</f>
        <v/>
      </c>
      <c r="H92" s="25" t="str">
        <f>IF($Q92="","",INDEX(TRANSACTIONS_MASTER!$L$5:$L$1204,$Q92))</f>
        <v/>
      </c>
      <c r="I92" s="56" t="str">
        <f>IF($Q92="","",INDEX(TRANSACTIONS_MASTER!$N$5:$N$1204,$Q92))</f>
        <v/>
      </c>
      <c r="J92" s="25" t="str">
        <f>IF($Q92="","",INDEX(TRANSACTIONS_MASTER!$O$5:$O$1204,$Q92))</f>
        <v/>
      </c>
      <c r="K92" s="26" t="str">
        <f>IF($Q92="","",INDEX(TRANSACTIONS_MASTER!$Q$5:$Q$1204,$Q92))</f>
        <v/>
      </c>
      <c r="L92" s="25" t="str">
        <f>IF($Q92="","",INDEX(TRANSACTIONS_MASTER!$P$5:$P$1204,$Q92))</f>
        <v/>
      </c>
      <c r="M92" s="25" t="str">
        <f>IF($Q92="","",INDEX(TRANSACTIONS_MASTER!$AA$5:$AA$1204,$Q92))</f>
        <v/>
      </c>
      <c r="N92" s="25" t="str">
        <f>IF($Q92="","",INDEX(TRANSACTIONS_MASTER!$R$5:$R$1204,$Q92))</f>
        <v/>
      </c>
      <c r="O92" s="28" t="str">
        <f>IF($Q92="","",INDEX(TRANSACTIONS_MASTER!$AB$5:$AB$1204,$Q92))</f>
        <v/>
      </c>
      <c r="P92" s="55" t="str">
        <f>IF($Q92="","",INDEX(TRANSACTIONS_MASTER!$Z$5:$Z$1204,$Q92)&amp;"")</f>
        <v/>
      </c>
      <c r="Q92" s="67" t="str">
        <f>IFERROR(MATCH($C$2&amp;"|"&amp;85,TRANSACTIONS_MASTER!$AE$5:$AE$1204,0),"")</f>
        <v/>
      </c>
      <c r="T92" s="68" t="n"/>
      <c r="U92" s="69" t="inlineStr">
        <is>
          <t>TỔNG</t>
        </is>
      </c>
      <c r="V92" s="31">
        <f>SUM(V62:V91)</f>
        <v>0</v>
      </c>
      <c r="W92" s="31">
        <f>SUM(W62:W91)</f>
        <v>0</v>
      </c>
      <c r="X92" s="68" t="n"/>
      <c r="Y92" s="31">
        <f>SUM(Y62:Y91)</f>
        <v>4500000</v>
      </c>
      <c r="Z92" s="68" t="n"/>
      <c r="AA92" s="32">
        <f>SUM(AA62:AA91)</f>
        <v>0</v>
      </c>
    </row>
    <row r="93">
      <c r="A93" s="81" t="str">
        <f>IF($Q93="","",86)</f>
        <v/>
      </c>
      <c r="B93" s="57" t="str">
        <f>IF($Q93="","",INDEX(TRANSACTIONS_MASTER!$B$5:$B$1204,$Q93))</f>
        <v/>
      </c>
      <c r="C93" s="55" t="str">
        <f>IF($Q93="","",INDEX(TRANSACTIONS_MASTER!$F$5:$F$1204,$Q93))</f>
        <v/>
      </c>
      <c r="D93" s="55" t="str">
        <f>IF($Q93="","",INDEX(TRANSACTIONS_MASTER!$E$5:$E$1204,$Q93))</f>
        <v/>
      </c>
      <c r="E93" s="55" t="str">
        <f>IF($Q93="","",INDEX(TRANSACTIONS_MASTER!$G$5:$G$1204,$Q93)&amp;"")</f>
        <v/>
      </c>
      <c r="F93" s="29" t="str">
        <f>IF($Q93="","",INDEX(TRANSACTIONS_MASTER!$I$5:$I$1204,$Q93))</f>
        <v/>
      </c>
      <c r="G93" s="55" t="str">
        <f>IF($Q93="","",INDEX(TRANSACTIONS_MASTER!$K$5:$K$1204,$Q93))</f>
        <v/>
      </c>
      <c r="H93" s="25" t="str">
        <f>IF($Q93="","",INDEX(TRANSACTIONS_MASTER!$L$5:$L$1204,$Q93))</f>
        <v/>
      </c>
      <c r="I93" s="56" t="str">
        <f>IF($Q93="","",INDEX(TRANSACTIONS_MASTER!$N$5:$N$1204,$Q93))</f>
        <v/>
      </c>
      <c r="J93" s="25" t="str">
        <f>IF($Q93="","",INDEX(TRANSACTIONS_MASTER!$O$5:$O$1204,$Q93))</f>
        <v/>
      </c>
      <c r="K93" s="26" t="str">
        <f>IF($Q93="","",INDEX(TRANSACTIONS_MASTER!$Q$5:$Q$1204,$Q93))</f>
        <v/>
      </c>
      <c r="L93" s="25" t="str">
        <f>IF($Q93="","",INDEX(TRANSACTIONS_MASTER!$P$5:$P$1204,$Q93))</f>
        <v/>
      </c>
      <c r="M93" s="25" t="str">
        <f>IF($Q93="","",INDEX(TRANSACTIONS_MASTER!$AA$5:$AA$1204,$Q93))</f>
        <v/>
      </c>
      <c r="N93" s="25" t="str">
        <f>IF($Q93="","",INDEX(TRANSACTIONS_MASTER!$R$5:$R$1204,$Q93))</f>
        <v/>
      </c>
      <c r="O93" s="28" t="str">
        <f>IF($Q93="","",INDEX(TRANSACTIONS_MASTER!$AB$5:$AB$1204,$Q93))</f>
        <v/>
      </c>
      <c r="P93" s="55" t="str">
        <f>IF($Q93="","",INDEX(TRANSACTIONS_MASTER!$Z$5:$Z$1204,$Q93)&amp;"")</f>
        <v/>
      </c>
      <c r="Q93" s="67" t="str">
        <f>IFERROR(MATCH($C$2&amp;"|"&amp;86,TRANSACTIONS_MASTER!$AE$5:$AE$1204,0),"")</f>
        <v/>
      </c>
    </row>
    <row r="94">
      <c r="A94" s="81" t="str">
        <f>IF($Q94="","",87)</f>
        <v/>
      </c>
      <c r="B94" s="57" t="str">
        <f>IF($Q94="","",INDEX(TRANSACTIONS_MASTER!$B$5:$B$1204,$Q94))</f>
        <v/>
      </c>
      <c r="C94" s="55" t="str">
        <f>IF($Q94="","",INDEX(TRANSACTIONS_MASTER!$F$5:$F$1204,$Q94))</f>
        <v/>
      </c>
      <c r="D94" s="55" t="str">
        <f>IF($Q94="","",INDEX(TRANSACTIONS_MASTER!$E$5:$E$1204,$Q94))</f>
        <v/>
      </c>
      <c r="E94" s="55" t="str">
        <f>IF($Q94="","",INDEX(TRANSACTIONS_MASTER!$G$5:$G$1204,$Q94)&amp;"")</f>
        <v/>
      </c>
      <c r="F94" s="29" t="str">
        <f>IF($Q94="","",INDEX(TRANSACTIONS_MASTER!$I$5:$I$1204,$Q94))</f>
        <v/>
      </c>
      <c r="G94" s="55" t="str">
        <f>IF($Q94="","",INDEX(TRANSACTIONS_MASTER!$K$5:$K$1204,$Q94))</f>
        <v/>
      </c>
      <c r="H94" s="25" t="str">
        <f>IF($Q94="","",INDEX(TRANSACTIONS_MASTER!$L$5:$L$1204,$Q94))</f>
        <v/>
      </c>
      <c r="I94" s="56" t="str">
        <f>IF($Q94="","",INDEX(TRANSACTIONS_MASTER!$N$5:$N$1204,$Q94))</f>
        <v/>
      </c>
      <c r="J94" s="25" t="str">
        <f>IF($Q94="","",INDEX(TRANSACTIONS_MASTER!$O$5:$O$1204,$Q94))</f>
        <v/>
      </c>
      <c r="K94" s="26" t="str">
        <f>IF($Q94="","",INDEX(TRANSACTIONS_MASTER!$Q$5:$Q$1204,$Q94))</f>
        <v/>
      </c>
      <c r="L94" s="25" t="str">
        <f>IF($Q94="","",INDEX(TRANSACTIONS_MASTER!$P$5:$P$1204,$Q94))</f>
        <v/>
      </c>
      <c r="M94" s="25" t="str">
        <f>IF($Q94="","",INDEX(TRANSACTIONS_MASTER!$AA$5:$AA$1204,$Q94))</f>
        <v/>
      </c>
      <c r="N94" s="25" t="str">
        <f>IF($Q94="","",INDEX(TRANSACTIONS_MASTER!$R$5:$R$1204,$Q94))</f>
        <v/>
      </c>
      <c r="O94" s="28" t="str">
        <f>IF($Q94="","",INDEX(TRANSACTIONS_MASTER!$AB$5:$AB$1204,$Q94))</f>
        <v/>
      </c>
      <c r="P94" s="55" t="str">
        <f>IF($Q94="","",INDEX(TRANSACTIONS_MASTER!$Z$5:$Z$1204,$Q94)&amp;"")</f>
        <v/>
      </c>
      <c r="Q94" s="67" t="str">
        <f>IFERROR(MATCH($C$2&amp;"|"&amp;87,TRANSACTIONS_MASTER!$AE$5:$AE$1204,0),"")</f>
        <v/>
      </c>
    </row>
    <row r="95" ht="22" customHeight="1">
      <c r="A95" s="81" t="str">
        <f>IF($Q95="","",88)</f>
        <v/>
      </c>
      <c r="B95" s="57" t="str">
        <f>IF($Q95="","",INDEX(TRANSACTIONS_MASTER!$B$5:$B$1204,$Q95))</f>
        <v/>
      </c>
      <c r="C95" s="55" t="str">
        <f>IF($Q95="","",INDEX(TRANSACTIONS_MASTER!$F$5:$F$1204,$Q95))</f>
        <v/>
      </c>
      <c r="D95" s="55" t="str">
        <f>IF($Q95="","",INDEX(TRANSACTIONS_MASTER!$E$5:$E$1204,$Q95))</f>
        <v/>
      </c>
      <c r="E95" s="55" t="str">
        <f>IF($Q95="","",INDEX(TRANSACTIONS_MASTER!$G$5:$G$1204,$Q95)&amp;"")</f>
        <v/>
      </c>
      <c r="F95" s="29" t="str">
        <f>IF($Q95="","",INDEX(TRANSACTIONS_MASTER!$I$5:$I$1204,$Q95))</f>
        <v/>
      </c>
      <c r="G95" s="55" t="str">
        <f>IF($Q95="","",INDEX(TRANSACTIONS_MASTER!$K$5:$K$1204,$Q95))</f>
        <v/>
      </c>
      <c r="H95" s="25" t="str">
        <f>IF($Q95="","",INDEX(TRANSACTIONS_MASTER!$L$5:$L$1204,$Q95))</f>
        <v/>
      </c>
      <c r="I95" s="56" t="str">
        <f>IF($Q95="","",INDEX(TRANSACTIONS_MASTER!$N$5:$N$1204,$Q95))</f>
        <v/>
      </c>
      <c r="J95" s="25" t="str">
        <f>IF($Q95="","",INDEX(TRANSACTIONS_MASTER!$O$5:$O$1204,$Q95))</f>
        <v/>
      </c>
      <c r="K95" s="26" t="str">
        <f>IF($Q95="","",INDEX(TRANSACTIONS_MASTER!$Q$5:$Q$1204,$Q95))</f>
        <v/>
      </c>
      <c r="L95" s="25" t="str">
        <f>IF($Q95="","",INDEX(TRANSACTIONS_MASTER!$P$5:$P$1204,$Q95))</f>
        <v/>
      </c>
      <c r="M95" s="25" t="str">
        <f>IF($Q95="","",INDEX(TRANSACTIONS_MASTER!$AA$5:$AA$1204,$Q95))</f>
        <v/>
      </c>
      <c r="N95" s="25" t="str">
        <f>IF($Q95="","",INDEX(TRANSACTIONS_MASTER!$R$5:$R$1204,$Q95))</f>
        <v/>
      </c>
      <c r="O95" s="28" t="str">
        <f>IF($Q95="","",INDEX(TRANSACTIONS_MASTER!$AB$5:$AB$1204,$Q95))</f>
        <v/>
      </c>
      <c r="P95" s="55" t="str">
        <f>IF($Q95="","",INDEX(TRANSACTIONS_MASTER!$Z$5:$Z$1204,$Q95)&amp;"")</f>
        <v/>
      </c>
      <c r="Q95" s="67" t="str">
        <f>IFERROR(MATCH($C$2&amp;"|"&amp;88,TRANSACTIONS_MASTER!$AE$5:$AE$1204,0),"")</f>
        <v/>
      </c>
      <c r="T95" s="19" t="inlineStr">
        <is>
          <t>THEO NGÂN HÀNG</t>
        </is>
      </c>
      <c r="U95" s="20" t="n"/>
      <c r="V95" s="20" t="n"/>
      <c r="W95" s="20" t="n"/>
      <c r="X95" s="20" t="n"/>
      <c r="Y95" s="20" t="n"/>
      <c r="Z95" s="20" t="n"/>
      <c r="AA95" s="20" t="n"/>
    </row>
    <row r="96" ht="28" customHeight="1">
      <c r="A96" s="81" t="str">
        <f>IF($Q96="","",89)</f>
        <v/>
      </c>
      <c r="B96" s="57" t="str">
        <f>IF($Q96="","",INDEX(TRANSACTIONS_MASTER!$B$5:$B$1204,$Q96))</f>
        <v/>
      </c>
      <c r="C96" s="55" t="str">
        <f>IF($Q96="","",INDEX(TRANSACTIONS_MASTER!$F$5:$F$1204,$Q96))</f>
        <v/>
      </c>
      <c r="D96" s="55" t="str">
        <f>IF($Q96="","",INDEX(TRANSACTIONS_MASTER!$E$5:$E$1204,$Q96))</f>
        <v/>
      </c>
      <c r="E96" s="55" t="str">
        <f>IF($Q96="","",INDEX(TRANSACTIONS_MASTER!$G$5:$G$1204,$Q96)&amp;"")</f>
        <v/>
      </c>
      <c r="F96" s="29" t="str">
        <f>IF($Q96="","",INDEX(TRANSACTIONS_MASTER!$I$5:$I$1204,$Q96))</f>
        <v/>
      </c>
      <c r="G96" s="55" t="str">
        <f>IF($Q96="","",INDEX(TRANSACTIONS_MASTER!$K$5:$K$1204,$Q96))</f>
        <v/>
      </c>
      <c r="H96" s="25" t="str">
        <f>IF($Q96="","",INDEX(TRANSACTIONS_MASTER!$L$5:$L$1204,$Q96))</f>
        <v/>
      </c>
      <c r="I96" s="56" t="str">
        <f>IF($Q96="","",INDEX(TRANSACTIONS_MASTER!$N$5:$N$1204,$Q96))</f>
        <v/>
      </c>
      <c r="J96" s="25" t="str">
        <f>IF($Q96="","",INDEX(TRANSACTIONS_MASTER!$O$5:$O$1204,$Q96))</f>
        <v/>
      </c>
      <c r="K96" s="26" t="str">
        <f>IF($Q96="","",INDEX(TRANSACTIONS_MASTER!$Q$5:$Q$1204,$Q96))</f>
        <v/>
      </c>
      <c r="L96" s="25" t="str">
        <f>IF($Q96="","",INDEX(TRANSACTIONS_MASTER!$P$5:$P$1204,$Q96))</f>
        <v/>
      </c>
      <c r="M96" s="25" t="str">
        <f>IF($Q96="","",INDEX(TRANSACTIONS_MASTER!$AA$5:$AA$1204,$Q96))</f>
        <v/>
      </c>
      <c r="N96" s="25" t="str">
        <f>IF($Q96="","",INDEX(TRANSACTIONS_MASTER!$R$5:$R$1204,$Q96))</f>
        <v/>
      </c>
      <c r="O96" s="28" t="str">
        <f>IF($Q96="","",INDEX(TRANSACTIONS_MASTER!$AB$5:$AB$1204,$Q96))</f>
        <v/>
      </c>
      <c r="P96" s="55" t="str">
        <f>IF($Q96="","",INDEX(TRANSACTIONS_MASTER!$Z$5:$Z$1204,$Q96)&amp;"")</f>
        <v/>
      </c>
      <c r="Q96" s="67" t="str">
        <f>IFERROR(MATCH($C$2&amp;"|"&amp;89,TRANSACTIONS_MASTER!$AE$5:$AE$1204,0),"")</f>
        <v/>
      </c>
      <c r="S96" s="21" t="inlineStr">
        <is>
          <t>#</t>
        </is>
      </c>
      <c r="T96" s="21" t="inlineStr"/>
      <c r="U96" s="21" t="inlineStr">
        <is>
          <t>Ngân hàng</t>
        </is>
      </c>
      <c r="V96" s="21" t="inlineStr">
        <is>
          <t>Chi tiêu</t>
        </is>
      </c>
      <c r="W96" s="21" t="inlineStr">
        <is>
          <t>Cashback</t>
        </is>
      </c>
    </row>
    <row r="97">
      <c r="A97" s="81" t="str">
        <f>IF($Q97="","",90)</f>
        <v/>
      </c>
      <c r="B97" s="57" t="str">
        <f>IF($Q97="","",INDEX(TRANSACTIONS_MASTER!$B$5:$B$1204,$Q97))</f>
        <v/>
      </c>
      <c r="C97" s="55" t="str">
        <f>IF($Q97="","",INDEX(TRANSACTIONS_MASTER!$F$5:$F$1204,$Q97))</f>
        <v/>
      </c>
      <c r="D97" s="55" t="str">
        <f>IF($Q97="","",INDEX(TRANSACTIONS_MASTER!$E$5:$E$1204,$Q97))</f>
        <v/>
      </c>
      <c r="E97" s="55" t="str">
        <f>IF($Q97="","",INDEX(TRANSACTIONS_MASTER!$G$5:$G$1204,$Q97)&amp;"")</f>
        <v/>
      </c>
      <c r="F97" s="29" t="str">
        <f>IF($Q97="","",INDEX(TRANSACTIONS_MASTER!$I$5:$I$1204,$Q97))</f>
        <v/>
      </c>
      <c r="G97" s="55" t="str">
        <f>IF($Q97="","",INDEX(TRANSACTIONS_MASTER!$K$5:$K$1204,$Q97))</f>
        <v/>
      </c>
      <c r="H97" s="25" t="str">
        <f>IF($Q97="","",INDEX(TRANSACTIONS_MASTER!$L$5:$L$1204,$Q97))</f>
        <v/>
      </c>
      <c r="I97" s="56" t="str">
        <f>IF($Q97="","",INDEX(TRANSACTIONS_MASTER!$N$5:$N$1204,$Q97))</f>
        <v/>
      </c>
      <c r="J97" s="25" t="str">
        <f>IF($Q97="","",INDEX(TRANSACTIONS_MASTER!$O$5:$O$1204,$Q97))</f>
        <v/>
      </c>
      <c r="K97" s="26" t="str">
        <f>IF($Q97="","",INDEX(TRANSACTIONS_MASTER!$Q$5:$Q$1204,$Q97))</f>
        <v/>
      </c>
      <c r="L97" s="25" t="str">
        <f>IF($Q97="","",INDEX(TRANSACTIONS_MASTER!$P$5:$P$1204,$Q97))</f>
        <v/>
      </c>
      <c r="M97" s="25" t="str">
        <f>IF($Q97="","",INDEX(TRANSACTIONS_MASTER!$AA$5:$AA$1204,$Q97))</f>
        <v/>
      </c>
      <c r="N97" s="25" t="str">
        <f>IF($Q97="","",INDEX(TRANSACTIONS_MASTER!$R$5:$R$1204,$Q97))</f>
        <v/>
      </c>
      <c r="O97" s="28" t="str">
        <f>IF($Q97="","",INDEX(TRANSACTIONS_MASTER!$AB$5:$AB$1204,$Q97))</f>
        <v/>
      </c>
      <c r="P97" s="55" t="str">
        <f>IF($Q97="","",INDEX(TRANSACTIONS_MASTER!$Z$5:$Z$1204,$Q97)&amp;"")</f>
        <v/>
      </c>
      <c r="Q97" s="67" t="str">
        <f>IFERROR(MATCH($C$2&amp;"|"&amp;90,TRANSACTIONS_MASTER!$AE$5:$AE$1204,0),"")</f>
        <v/>
      </c>
      <c r="S97" s="67">
        <f>IFERROR(MATCH(1,CARDS!$O$5:$O$34,0),"")</f>
        <v>1</v>
      </c>
      <c r="T97" s="55" t="n"/>
      <c r="U97" s="55" t="str">
        <f>IF($S97="","",INDEX(CARDS!$B$5:$B$34,$S97))</f>
        <v>VPBank</v>
      </c>
      <c r="V97" s="25">
        <f>IF($S97="","",SUMIFS(TRANSACTIONS_MASTER!$L$5:$L$1204,TRANSACTIONS_MASTER!$E$5:$E$1204,$U97,TRANSACTIONS_MASTER!$C$5:$C$1204,$C$2,TRANSACTIONS_MASTER!$U$5:$U$1204,"&lt;&gt;Cancelled"))</f>
        <v>0</v>
      </c>
      <c r="W97" s="26">
        <f>IF($S97="","",SUMIFS(TRANSACTIONS_MASTER!$Q$5:$Q$1204,TRANSACTIONS_MASTER!$E$5:$E$1204,$U97,TRANSACTIONS_MASTER!$C$5:$C$1204,$C$2))</f>
        <v>0</v>
      </c>
    </row>
    <row r="98">
      <c r="A98" s="81" t="str">
        <f>IF($Q98="","",91)</f>
        <v/>
      </c>
      <c r="B98" s="57" t="str">
        <f>IF($Q98="","",INDEX(TRANSACTIONS_MASTER!$B$5:$B$1204,$Q98))</f>
        <v/>
      </c>
      <c r="C98" s="55" t="str">
        <f>IF($Q98="","",INDEX(TRANSACTIONS_MASTER!$F$5:$F$1204,$Q98))</f>
        <v/>
      </c>
      <c r="D98" s="55" t="str">
        <f>IF($Q98="","",INDEX(TRANSACTIONS_MASTER!$E$5:$E$1204,$Q98))</f>
        <v/>
      </c>
      <c r="E98" s="55" t="str">
        <f>IF($Q98="","",INDEX(TRANSACTIONS_MASTER!$G$5:$G$1204,$Q98)&amp;"")</f>
        <v/>
      </c>
      <c r="F98" s="29" t="str">
        <f>IF($Q98="","",INDEX(TRANSACTIONS_MASTER!$I$5:$I$1204,$Q98))</f>
        <v/>
      </c>
      <c r="G98" s="55" t="str">
        <f>IF($Q98="","",INDEX(TRANSACTIONS_MASTER!$K$5:$K$1204,$Q98))</f>
        <v/>
      </c>
      <c r="H98" s="25" t="str">
        <f>IF($Q98="","",INDEX(TRANSACTIONS_MASTER!$L$5:$L$1204,$Q98))</f>
        <v/>
      </c>
      <c r="I98" s="56" t="str">
        <f>IF($Q98="","",INDEX(TRANSACTIONS_MASTER!$N$5:$N$1204,$Q98))</f>
        <v/>
      </c>
      <c r="J98" s="25" t="str">
        <f>IF($Q98="","",INDEX(TRANSACTIONS_MASTER!$O$5:$O$1204,$Q98))</f>
        <v/>
      </c>
      <c r="K98" s="26" t="str">
        <f>IF($Q98="","",INDEX(TRANSACTIONS_MASTER!$Q$5:$Q$1204,$Q98))</f>
        <v/>
      </c>
      <c r="L98" s="25" t="str">
        <f>IF($Q98="","",INDEX(TRANSACTIONS_MASTER!$P$5:$P$1204,$Q98))</f>
        <v/>
      </c>
      <c r="M98" s="25" t="str">
        <f>IF($Q98="","",INDEX(TRANSACTIONS_MASTER!$AA$5:$AA$1204,$Q98))</f>
        <v/>
      </c>
      <c r="N98" s="25" t="str">
        <f>IF($Q98="","",INDEX(TRANSACTIONS_MASTER!$R$5:$R$1204,$Q98))</f>
        <v/>
      </c>
      <c r="O98" s="28" t="str">
        <f>IF($Q98="","",INDEX(TRANSACTIONS_MASTER!$AB$5:$AB$1204,$Q98))</f>
        <v/>
      </c>
      <c r="P98" s="55" t="str">
        <f>IF($Q98="","",INDEX(TRANSACTIONS_MASTER!$Z$5:$Z$1204,$Q98)&amp;"")</f>
        <v/>
      </c>
      <c r="Q98" s="67" t="str">
        <f>IFERROR(MATCH($C$2&amp;"|"&amp;91,TRANSACTIONS_MASTER!$AE$5:$AE$1204,0),"")</f>
        <v/>
      </c>
      <c r="S98" s="67">
        <f>IFERROR(MATCH(2,CARDS!$O$5:$O$34,0),"")</f>
        <v>2</v>
      </c>
      <c r="T98" s="55" t="n"/>
      <c r="U98" s="55" t="str">
        <f>IF($S98="","",INDEX(CARDS!$B$5:$B$34,$S98))</f>
        <v>VIB</v>
      </c>
      <c r="V98" s="25">
        <f>IF($S98="","",SUMIFS(TRANSACTIONS_MASTER!$L$5:$L$1204,TRANSACTIONS_MASTER!$E$5:$E$1204,$U98,TRANSACTIONS_MASTER!$C$5:$C$1204,$C$2,TRANSACTIONS_MASTER!$U$5:$U$1204,"&lt;&gt;Cancelled"))</f>
        <v>0</v>
      </c>
      <c r="W98" s="26">
        <f>IF($S98="","",SUMIFS(TRANSACTIONS_MASTER!$Q$5:$Q$1204,TRANSACTIONS_MASTER!$E$5:$E$1204,$U98,TRANSACTIONS_MASTER!$C$5:$C$1204,$C$2))</f>
        <v>0</v>
      </c>
    </row>
    <row r="99">
      <c r="A99" s="81" t="str">
        <f>IF($Q99="","",92)</f>
        <v/>
      </c>
      <c r="B99" s="57" t="str">
        <f>IF($Q99="","",INDEX(TRANSACTIONS_MASTER!$B$5:$B$1204,$Q99))</f>
        <v/>
      </c>
      <c r="C99" s="55" t="str">
        <f>IF($Q99="","",INDEX(TRANSACTIONS_MASTER!$F$5:$F$1204,$Q99))</f>
        <v/>
      </c>
      <c r="D99" s="55" t="str">
        <f>IF($Q99="","",INDEX(TRANSACTIONS_MASTER!$E$5:$E$1204,$Q99))</f>
        <v/>
      </c>
      <c r="E99" s="55" t="str">
        <f>IF($Q99="","",INDEX(TRANSACTIONS_MASTER!$G$5:$G$1204,$Q99)&amp;"")</f>
        <v/>
      </c>
      <c r="F99" s="29" t="str">
        <f>IF($Q99="","",INDEX(TRANSACTIONS_MASTER!$I$5:$I$1204,$Q99))</f>
        <v/>
      </c>
      <c r="G99" s="55" t="str">
        <f>IF($Q99="","",INDEX(TRANSACTIONS_MASTER!$K$5:$K$1204,$Q99))</f>
        <v/>
      </c>
      <c r="H99" s="25" t="str">
        <f>IF($Q99="","",INDEX(TRANSACTIONS_MASTER!$L$5:$L$1204,$Q99))</f>
        <v/>
      </c>
      <c r="I99" s="56" t="str">
        <f>IF($Q99="","",INDEX(TRANSACTIONS_MASTER!$N$5:$N$1204,$Q99))</f>
        <v/>
      </c>
      <c r="J99" s="25" t="str">
        <f>IF($Q99="","",INDEX(TRANSACTIONS_MASTER!$O$5:$O$1204,$Q99))</f>
        <v/>
      </c>
      <c r="K99" s="26" t="str">
        <f>IF($Q99="","",INDEX(TRANSACTIONS_MASTER!$Q$5:$Q$1204,$Q99))</f>
        <v/>
      </c>
      <c r="L99" s="25" t="str">
        <f>IF($Q99="","",INDEX(TRANSACTIONS_MASTER!$P$5:$P$1204,$Q99))</f>
        <v/>
      </c>
      <c r="M99" s="25" t="str">
        <f>IF($Q99="","",INDEX(TRANSACTIONS_MASTER!$AA$5:$AA$1204,$Q99))</f>
        <v/>
      </c>
      <c r="N99" s="25" t="str">
        <f>IF($Q99="","",INDEX(TRANSACTIONS_MASTER!$R$5:$R$1204,$Q99))</f>
        <v/>
      </c>
      <c r="O99" s="28" t="str">
        <f>IF($Q99="","",INDEX(TRANSACTIONS_MASTER!$AB$5:$AB$1204,$Q99))</f>
        <v/>
      </c>
      <c r="P99" s="55" t="str">
        <f>IF($Q99="","",INDEX(TRANSACTIONS_MASTER!$Z$5:$Z$1204,$Q99)&amp;"")</f>
        <v/>
      </c>
      <c r="Q99" s="67" t="str">
        <f>IFERROR(MATCH($C$2&amp;"|"&amp;92,TRANSACTIONS_MASTER!$AE$5:$AE$1204,0),"")</f>
        <v/>
      </c>
      <c r="S99" s="67">
        <f>IFERROR(MATCH(3,CARDS!$O$5:$O$34,0),"")</f>
        <v>3</v>
      </c>
      <c r="T99" s="55" t="n"/>
      <c r="U99" s="55" t="str">
        <f>IF($S99="","",INDEX(CARDS!$B$5:$B$34,$S99))</f>
        <v>Techcombank</v>
      </c>
      <c r="V99" s="25">
        <f>IF($S99="","",SUMIFS(TRANSACTIONS_MASTER!$L$5:$L$1204,TRANSACTIONS_MASTER!$E$5:$E$1204,$U99,TRANSACTIONS_MASTER!$C$5:$C$1204,$C$2,TRANSACTIONS_MASTER!$U$5:$U$1204,"&lt;&gt;Cancelled"))</f>
        <v>0</v>
      </c>
      <c r="W99" s="26">
        <f>IF($S99="","",SUMIFS(TRANSACTIONS_MASTER!$Q$5:$Q$1204,TRANSACTIONS_MASTER!$E$5:$E$1204,$U99,TRANSACTIONS_MASTER!$C$5:$C$1204,$C$2))</f>
        <v>0</v>
      </c>
    </row>
    <row r="100">
      <c r="A100" s="81" t="str">
        <f>IF($Q100="","",93)</f>
        <v/>
      </c>
      <c r="B100" s="57" t="str">
        <f>IF($Q100="","",INDEX(TRANSACTIONS_MASTER!$B$5:$B$1204,$Q100))</f>
        <v/>
      </c>
      <c r="C100" s="55" t="str">
        <f>IF($Q100="","",INDEX(TRANSACTIONS_MASTER!$F$5:$F$1204,$Q100))</f>
        <v/>
      </c>
      <c r="D100" s="55" t="str">
        <f>IF($Q100="","",INDEX(TRANSACTIONS_MASTER!$E$5:$E$1204,$Q100))</f>
        <v/>
      </c>
      <c r="E100" s="55" t="str">
        <f>IF($Q100="","",INDEX(TRANSACTIONS_MASTER!$G$5:$G$1204,$Q100)&amp;"")</f>
        <v/>
      </c>
      <c r="F100" s="29" t="str">
        <f>IF($Q100="","",INDEX(TRANSACTIONS_MASTER!$I$5:$I$1204,$Q100))</f>
        <v/>
      </c>
      <c r="G100" s="55" t="str">
        <f>IF($Q100="","",INDEX(TRANSACTIONS_MASTER!$K$5:$K$1204,$Q100))</f>
        <v/>
      </c>
      <c r="H100" s="25" t="str">
        <f>IF($Q100="","",INDEX(TRANSACTIONS_MASTER!$L$5:$L$1204,$Q100))</f>
        <v/>
      </c>
      <c r="I100" s="56" t="str">
        <f>IF($Q100="","",INDEX(TRANSACTIONS_MASTER!$N$5:$N$1204,$Q100))</f>
        <v/>
      </c>
      <c r="J100" s="25" t="str">
        <f>IF($Q100="","",INDEX(TRANSACTIONS_MASTER!$O$5:$O$1204,$Q100))</f>
        <v/>
      </c>
      <c r="K100" s="26" t="str">
        <f>IF($Q100="","",INDEX(TRANSACTIONS_MASTER!$Q$5:$Q$1204,$Q100))</f>
        <v/>
      </c>
      <c r="L100" s="25" t="str">
        <f>IF($Q100="","",INDEX(TRANSACTIONS_MASTER!$P$5:$P$1204,$Q100))</f>
        <v/>
      </c>
      <c r="M100" s="25" t="str">
        <f>IF($Q100="","",INDEX(TRANSACTIONS_MASTER!$AA$5:$AA$1204,$Q100))</f>
        <v/>
      </c>
      <c r="N100" s="25" t="str">
        <f>IF($Q100="","",INDEX(TRANSACTIONS_MASTER!$R$5:$R$1204,$Q100))</f>
        <v/>
      </c>
      <c r="O100" s="28" t="str">
        <f>IF($Q100="","",INDEX(TRANSACTIONS_MASTER!$AB$5:$AB$1204,$Q100))</f>
        <v/>
      </c>
      <c r="P100" s="55" t="str">
        <f>IF($Q100="","",INDEX(TRANSACTIONS_MASTER!$Z$5:$Z$1204,$Q100)&amp;"")</f>
        <v/>
      </c>
      <c r="Q100" s="67" t="str">
        <f>IFERROR(MATCH($C$2&amp;"|"&amp;93,TRANSACTIONS_MASTER!$AE$5:$AE$1204,0),"")</f>
        <v/>
      </c>
      <c r="S100" s="67">
        <f>IFERROR(MATCH(4,CARDS!$O$5:$O$34,0),"")</f>
        <v>4</v>
      </c>
      <c r="T100" s="55" t="n"/>
      <c r="U100" s="55" t="str">
        <f>IF($S100="","",INDEX(CARDS!$B$5:$B$34,$S100))</f>
        <v>UOB</v>
      </c>
      <c r="V100" s="25">
        <f>IF($S100="","",SUMIFS(TRANSACTIONS_MASTER!$L$5:$L$1204,TRANSACTIONS_MASTER!$E$5:$E$1204,$U100,TRANSACTIONS_MASTER!$C$5:$C$1204,$C$2,TRANSACTIONS_MASTER!$U$5:$U$1204,"&lt;&gt;Cancelled"))</f>
        <v>0</v>
      </c>
      <c r="W100" s="26">
        <f>IF($S100="","",SUMIFS(TRANSACTIONS_MASTER!$Q$5:$Q$1204,TRANSACTIONS_MASTER!$E$5:$E$1204,$U100,TRANSACTIONS_MASTER!$C$5:$C$1204,$C$2))</f>
        <v>0</v>
      </c>
    </row>
    <row r="101">
      <c r="A101" s="81" t="str">
        <f>IF($Q101="","",94)</f>
        <v/>
      </c>
      <c r="B101" s="57" t="str">
        <f>IF($Q101="","",INDEX(TRANSACTIONS_MASTER!$B$5:$B$1204,$Q101))</f>
        <v/>
      </c>
      <c r="C101" s="55" t="str">
        <f>IF($Q101="","",INDEX(TRANSACTIONS_MASTER!$F$5:$F$1204,$Q101))</f>
        <v/>
      </c>
      <c r="D101" s="55" t="str">
        <f>IF($Q101="","",INDEX(TRANSACTIONS_MASTER!$E$5:$E$1204,$Q101))</f>
        <v/>
      </c>
      <c r="E101" s="55" t="str">
        <f>IF($Q101="","",INDEX(TRANSACTIONS_MASTER!$G$5:$G$1204,$Q101)&amp;"")</f>
        <v/>
      </c>
      <c r="F101" s="29" t="str">
        <f>IF($Q101="","",INDEX(TRANSACTIONS_MASTER!$I$5:$I$1204,$Q101))</f>
        <v/>
      </c>
      <c r="G101" s="55" t="str">
        <f>IF($Q101="","",INDEX(TRANSACTIONS_MASTER!$K$5:$K$1204,$Q101))</f>
        <v/>
      </c>
      <c r="H101" s="25" t="str">
        <f>IF($Q101="","",INDEX(TRANSACTIONS_MASTER!$L$5:$L$1204,$Q101))</f>
        <v/>
      </c>
      <c r="I101" s="56" t="str">
        <f>IF($Q101="","",INDEX(TRANSACTIONS_MASTER!$N$5:$N$1204,$Q101))</f>
        <v/>
      </c>
      <c r="J101" s="25" t="str">
        <f>IF($Q101="","",INDEX(TRANSACTIONS_MASTER!$O$5:$O$1204,$Q101))</f>
        <v/>
      </c>
      <c r="K101" s="26" t="str">
        <f>IF($Q101="","",INDEX(TRANSACTIONS_MASTER!$Q$5:$Q$1204,$Q101))</f>
        <v/>
      </c>
      <c r="L101" s="25" t="str">
        <f>IF($Q101="","",INDEX(TRANSACTIONS_MASTER!$P$5:$P$1204,$Q101))</f>
        <v/>
      </c>
      <c r="M101" s="25" t="str">
        <f>IF($Q101="","",INDEX(TRANSACTIONS_MASTER!$AA$5:$AA$1204,$Q101))</f>
        <v/>
      </c>
      <c r="N101" s="25" t="str">
        <f>IF($Q101="","",INDEX(TRANSACTIONS_MASTER!$R$5:$R$1204,$Q101))</f>
        <v/>
      </c>
      <c r="O101" s="28" t="str">
        <f>IF($Q101="","",INDEX(TRANSACTIONS_MASTER!$AB$5:$AB$1204,$Q101))</f>
        <v/>
      </c>
      <c r="P101" s="55" t="str">
        <f>IF($Q101="","",INDEX(TRANSACTIONS_MASTER!$Z$5:$Z$1204,$Q101)&amp;"")</f>
        <v/>
      </c>
      <c r="Q101" s="67" t="str">
        <f>IFERROR(MATCH($C$2&amp;"|"&amp;94,TRANSACTIONS_MASTER!$AE$5:$AE$1204,0),"")</f>
        <v/>
      </c>
      <c r="S101" s="67">
        <f>IFERROR(MATCH(5,CARDS!$O$5:$O$34,0),"")</f>
        <v>5</v>
      </c>
      <c r="T101" s="55" t="n"/>
      <c r="U101" s="55" t="str">
        <f>IF($S101="","",INDEX(CARDS!$B$5:$B$34,$S101))</f>
        <v>MB</v>
      </c>
      <c r="V101" s="25">
        <f>IF($S101="","",SUMIFS(TRANSACTIONS_MASTER!$L$5:$L$1204,TRANSACTIONS_MASTER!$E$5:$E$1204,$U101,TRANSACTIONS_MASTER!$C$5:$C$1204,$C$2,TRANSACTIONS_MASTER!$U$5:$U$1204,"&lt;&gt;Cancelled"))</f>
        <v>0</v>
      </c>
      <c r="W101" s="26">
        <f>IF($S101="","",SUMIFS(TRANSACTIONS_MASTER!$Q$5:$Q$1204,TRANSACTIONS_MASTER!$E$5:$E$1204,$U101,TRANSACTIONS_MASTER!$C$5:$C$1204,$C$2))</f>
        <v>0</v>
      </c>
    </row>
    <row r="102">
      <c r="A102" s="81" t="str">
        <f>IF($Q102="","",95)</f>
        <v/>
      </c>
      <c r="B102" s="57" t="str">
        <f>IF($Q102="","",INDEX(TRANSACTIONS_MASTER!$B$5:$B$1204,$Q102))</f>
        <v/>
      </c>
      <c r="C102" s="55" t="str">
        <f>IF($Q102="","",INDEX(TRANSACTIONS_MASTER!$F$5:$F$1204,$Q102))</f>
        <v/>
      </c>
      <c r="D102" s="55" t="str">
        <f>IF($Q102="","",INDEX(TRANSACTIONS_MASTER!$E$5:$E$1204,$Q102))</f>
        <v/>
      </c>
      <c r="E102" s="55" t="str">
        <f>IF($Q102="","",INDEX(TRANSACTIONS_MASTER!$G$5:$G$1204,$Q102)&amp;"")</f>
        <v/>
      </c>
      <c r="F102" s="29" t="str">
        <f>IF($Q102="","",INDEX(TRANSACTIONS_MASTER!$I$5:$I$1204,$Q102))</f>
        <v/>
      </c>
      <c r="G102" s="55" t="str">
        <f>IF($Q102="","",INDEX(TRANSACTIONS_MASTER!$K$5:$K$1204,$Q102))</f>
        <v/>
      </c>
      <c r="H102" s="25" t="str">
        <f>IF($Q102="","",INDEX(TRANSACTIONS_MASTER!$L$5:$L$1204,$Q102))</f>
        <v/>
      </c>
      <c r="I102" s="56" t="str">
        <f>IF($Q102="","",INDEX(TRANSACTIONS_MASTER!$N$5:$N$1204,$Q102))</f>
        <v/>
      </c>
      <c r="J102" s="25" t="str">
        <f>IF($Q102="","",INDEX(TRANSACTIONS_MASTER!$O$5:$O$1204,$Q102))</f>
        <v/>
      </c>
      <c r="K102" s="26" t="str">
        <f>IF($Q102="","",INDEX(TRANSACTIONS_MASTER!$Q$5:$Q$1204,$Q102))</f>
        <v/>
      </c>
      <c r="L102" s="25" t="str">
        <f>IF($Q102="","",INDEX(TRANSACTIONS_MASTER!$P$5:$P$1204,$Q102))</f>
        <v/>
      </c>
      <c r="M102" s="25" t="str">
        <f>IF($Q102="","",INDEX(TRANSACTIONS_MASTER!$AA$5:$AA$1204,$Q102))</f>
        <v/>
      </c>
      <c r="N102" s="25" t="str">
        <f>IF($Q102="","",INDEX(TRANSACTIONS_MASTER!$R$5:$R$1204,$Q102))</f>
        <v/>
      </c>
      <c r="O102" s="28" t="str">
        <f>IF($Q102="","",INDEX(TRANSACTIONS_MASTER!$AB$5:$AB$1204,$Q102))</f>
        <v/>
      </c>
      <c r="P102" s="55" t="str">
        <f>IF($Q102="","",INDEX(TRANSACTIONS_MASTER!$Z$5:$Z$1204,$Q102)&amp;"")</f>
        <v/>
      </c>
      <c r="Q102" s="67" t="str">
        <f>IFERROR(MATCH($C$2&amp;"|"&amp;95,TRANSACTIONS_MASTER!$AE$5:$AE$1204,0),"")</f>
        <v/>
      </c>
      <c r="S102" s="67">
        <f>IFERROR(MATCH(6,CARDS!$O$5:$O$34,0),"")</f>
        <v>6</v>
      </c>
      <c r="T102" s="55" t="n"/>
      <c r="U102" s="55" t="str">
        <f>IF($S102="","",INDEX(CARDS!$B$5:$B$34,$S102))</f>
        <v>ACB</v>
      </c>
      <c r="V102" s="25">
        <f>IF($S102="","",SUMIFS(TRANSACTIONS_MASTER!$L$5:$L$1204,TRANSACTIONS_MASTER!$E$5:$E$1204,$U102,TRANSACTIONS_MASTER!$C$5:$C$1204,$C$2,TRANSACTIONS_MASTER!$U$5:$U$1204,"&lt;&gt;Cancelled"))</f>
        <v>0</v>
      </c>
      <c r="W102" s="26">
        <f>IF($S102="","",SUMIFS(TRANSACTIONS_MASTER!$Q$5:$Q$1204,TRANSACTIONS_MASTER!$E$5:$E$1204,$U102,TRANSACTIONS_MASTER!$C$5:$C$1204,$C$2))</f>
        <v>0</v>
      </c>
    </row>
    <row r="103">
      <c r="A103" s="81" t="str">
        <f>IF($Q103="","",96)</f>
        <v/>
      </c>
      <c r="B103" s="57" t="str">
        <f>IF($Q103="","",INDEX(TRANSACTIONS_MASTER!$B$5:$B$1204,$Q103))</f>
        <v/>
      </c>
      <c r="C103" s="55" t="str">
        <f>IF($Q103="","",INDEX(TRANSACTIONS_MASTER!$F$5:$F$1204,$Q103))</f>
        <v/>
      </c>
      <c r="D103" s="55" t="str">
        <f>IF($Q103="","",INDEX(TRANSACTIONS_MASTER!$E$5:$E$1204,$Q103))</f>
        <v/>
      </c>
      <c r="E103" s="55" t="str">
        <f>IF($Q103="","",INDEX(TRANSACTIONS_MASTER!$G$5:$G$1204,$Q103)&amp;"")</f>
        <v/>
      </c>
      <c r="F103" s="29" t="str">
        <f>IF($Q103="","",INDEX(TRANSACTIONS_MASTER!$I$5:$I$1204,$Q103))</f>
        <v/>
      </c>
      <c r="G103" s="55" t="str">
        <f>IF($Q103="","",INDEX(TRANSACTIONS_MASTER!$K$5:$K$1204,$Q103))</f>
        <v/>
      </c>
      <c r="H103" s="25" t="str">
        <f>IF($Q103="","",INDEX(TRANSACTIONS_MASTER!$L$5:$L$1204,$Q103))</f>
        <v/>
      </c>
      <c r="I103" s="56" t="str">
        <f>IF($Q103="","",INDEX(TRANSACTIONS_MASTER!$N$5:$N$1204,$Q103))</f>
        <v/>
      </c>
      <c r="J103" s="25" t="str">
        <f>IF($Q103="","",INDEX(TRANSACTIONS_MASTER!$O$5:$O$1204,$Q103))</f>
        <v/>
      </c>
      <c r="K103" s="26" t="str">
        <f>IF($Q103="","",INDEX(TRANSACTIONS_MASTER!$Q$5:$Q$1204,$Q103))</f>
        <v/>
      </c>
      <c r="L103" s="25" t="str">
        <f>IF($Q103="","",INDEX(TRANSACTIONS_MASTER!$P$5:$P$1204,$Q103))</f>
        <v/>
      </c>
      <c r="M103" s="25" t="str">
        <f>IF($Q103="","",INDEX(TRANSACTIONS_MASTER!$AA$5:$AA$1204,$Q103))</f>
        <v/>
      </c>
      <c r="N103" s="25" t="str">
        <f>IF($Q103="","",INDEX(TRANSACTIONS_MASTER!$R$5:$R$1204,$Q103))</f>
        <v/>
      </c>
      <c r="O103" s="28" t="str">
        <f>IF($Q103="","",INDEX(TRANSACTIONS_MASTER!$AB$5:$AB$1204,$Q103))</f>
        <v/>
      </c>
      <c r="P103" s="55" t="str">
        <f>IF($Q103="","",INDEX(TRANSACTIONS_MASTER!$Z$5:$Z$1204,$Q103)&amp;"")</f>
        <v/>
      </c>
      <c r="Q103" s="67" t="str">
        <f>IFERROR(MATCH($C$2&amp;"|"&amp;96,TRANSACTIONS_MASTER!$AE$5:$AE$1204,0),"")</f>
        <v/>
      </c>
      <c r="S103" s="67" t="str">
        <f>IFERROR(MATCH(7,CARDS!$O$5:$O$34,0),"")</f>
        <v/>
      </c>
      <c r="T103" s="55" t="n"/>
      <c r="U103" s="55" t="str">
        <f>IF($S103="","",INDEX(CARDS!$B$5:$B$34,$S103))</f>
        <v/>
      </c>
      <c r="V103" s="25" t="str">
        <f>IF($S103="","",SUMIFS(TRANSACTIONS_MASTER!$L$5:$L$1204,TRANSACTIONS_MASTER!$E$5:$E$1204,$U103,TRANSACTIONS_MASTER!$C$5:$C$1204,$C$2,TRANSACTIONS_MASTER!$U$5:$U$1204,"&lt;&gt;Cancelled"))</f>
        <v/>
      </c>
      <c r="W103" s="26" t="str">
        <f>IF($S103="","",SUMIFS(TRANSACTIONS_MASTER!$Q$5:$Q$1204,TRANSACTIONS_MASTER!$E$5:$E$1204,$U103,TRANSACTIONS_MASTER!$C$5:$C$1204,$C$2))</f>
        <v/>
      </c>
    </row>
    <row r="104">
      <c r="A104" s="81" t="str">
        <f>IF($Q104="","",97)</f>
        <v/>
      </c>
      <c r="B104" s="57" t="str">
        <f>IF($Q104="","",INDEX(TRANSACTIONS_MASTER!$B$5:$B$1204,$Q104))</f>
        <v/>
      </c>
      <c r="C104" s="55" t="str">
        <f>IF($Q104="","",INDEX(TRANSACTIONS_MASTER!$F$5:$F$1204,$Q104))</f>
        <v/>
      </c>
      <c r="D104" s="55" t="str">
        <f>IF($Q104="","",INDEX(TRANSACTIONS_MASTER!$E$5:$E$1204,$Q104))</f>
        <v/>
      </c>
      <c r="E104" s="55" t="str">
        <f>IF($Q104="","",INDEX(TRANSACTIONS_MASTER!$G$5:$G$1204,$Q104)&amp;"")</f>
        <v/>
      </c>
      <c r="F104" s="29" t="str">
        <f>IF($Q104="","",INDEX(TRANSACTIONS_MASTER!$I$5:$I$1204,$Q104))</f>
        <v/>
      </c>
      <c r="G104" s="55" t="str">
        <f>IF($Q104="","",INDEX(TRANSACTIONS_MASTER!$K$5:$K$1204,$Q104))</f>
        <v/>
      </c>
      <c r="H104" s="25" t="str">
        <f>IF($Q104="","",INDEX(TRANSACTIONS_MASTER!$L$5:$L$1204,$Q104))</f>
        <v/>
      </c>
      <c r="I104" s="56" t="str">
        <f>IF($Q104="","",INDEX(TRANSACTIONS_MASTER!$N$5:$N$1204,$Q104))</f>
        <v/>
      </c>
      <c r="J104" s="25" t="str">
        <f>IF($Q104="","",INDEX(TRANSACTIONS_MASTER!$O$5:$O$1204,$Q104))</f>
        <v/>
      </c>
      <c r="K104" s="26" t="str">
        <f>IF($Q104="","",INDEX(TRANSACTIONS_MASTER!$Q$5:$Q$1204,$Q104))</f>
        <v/>
      </c>
      <c r="L104" s="25" t="str">
        <f>IF($Q104="","",INDEX(TRANSACTIONS_MASTER!$P$5:$P$1204,$Q104))</f>
        <v/>
      </c>
      <c r="M104" s="25" t="str">
        <f>IF($Q104="","",INDEX(TRANSACTIONS_MASTER!$AA$5:$AA$1204,$Q104))</f>
        <v/>
      </c>
      <c r="N104" s="25" t="str">
        <f>IF($Q104="","",INDEX(TRANSACTIONS_MASTER!$R$5:$R$1204,$Q104))</f>
        <v/>
      </c>
      <c r="O104" s="28" t="str">
        <f>IF($Q104="","",INDEX(TRANSACTIONS_MASTER!$AB$5:$AB$1204,$Q104))</f>
        <v/>
      </c>
      <c r="P104" s="55" t="str">
        <f>IF($Q104="","",INDEX(TRANSACTIONS_MASTER!$Z$5:$Z$1204,$Q104)&amp;"")</f>
        <v/>
      </c>
      <c r="Q104" s="67" t="str">
        <f>IFERROR(MATCH($C$2&amp;"|"&amp;97,TRANSACTIONS_MASTER!$AE$5:$AE$1204,0),"")</f>
        <v/>
      </c>
      <c r="S104" s="67" t="str">
        <f>IFERROR(MATCH(8,CARDS!$O$5:$O$34,0),"")</f>
        <v/>
      </c>
      <c r="T104" s="55" t="n"/>
      <c r="U104" s="55" t="str">
        <f>IF($S104="","",INDEX(CARDS!$B$5:$B$34,$S104))</f>
        <v/>
      </c>
      <c r="V104" s="25" t="str">
        <f>IF($S104="","",SUMIFS(TRANSACTIONS_MASTER!$L$5:$L$1204,TRANSACTIONS_MASTER!$E$5:$E$1204,$U104,TRANSACTIONS_MASTER!$C$5:$C$1204,$C$2,TRANSACTIONS_MASTER!$U$5:$U$1204,"&lt;&gt;Cancelled"))</f>
        <v/>
      </c>
      <c r="W104" s="26" t="str">
        <f>IF($S104="","",SUMIFS(TRANSACTIONS_MASTER!$Q$5:$Q$1204,TRANSACTIONS_MASTER!$E$5:$E$1204,$U104,TRANSACTIONS_MASTER!$C$5:$C$1204,$C$2))</f>
        <v/>
      </c>
    </row>
    <row r="105">
      <c r="A105" s="81" t="str">
        <f>IF($Q105="","",98)</f>
        <v/>
      </c>
      <c r="B105" s="57" t="str">
        <f>IF($Q105="","",INDEX(TRANSACTIONS_MASTER!$B$5:$B$1204,$Q105))</f>
        <v/>
      </c>
      <c r="C105" s="55" t="str">
        <f>IF($Q105="","",INDEX(TRANSACTIONS_MASTER!$F$5:$F$1204,$Q105))</f>
        <v/>
      </c>
      <c r="D105" s="55" t="str">
        <f>IF($Q105="","",INDEX(TRANSACTIONS_MASTER!$E$5:$E$1204,$Q105))</f>
        <v/>
      </c>
      <c r="E105" s="55" t="str">
        <f>IF($Q105="","",INDEX(TRANSACTIONS_MASTER!$G$5:$G$1204,$Q105)&amp;"")</f>
        <v/>
      </c>
      <c r="F105" s="29" t="str">
        <f>IF($Q105="","",INDEX(TRANSACTIONS_MASTER!$I$5:$I$1204,$Q105))</f>
        <v/>
      </c>
      <c r="G105" s="55" t="str">
        <f>IF($Q105="","",INDEX(TRANSACTIONS_MASTER!$K$5:$K$1204,$Q105))</f>
        <v/>
      </c>
      <c r="H105" s="25" t="str">
        <f>IF($Q105="","",INDEX(TRANSACTIONS_MASTER!$L$5:$L$1204,$Q105))</f>
        <v/>
      </c>
      <c r="I105" s="56" t="str">
        <f>IF($Q105="","",INDEX(TRANSACTIONS_MASTER!$N$5:$N$1204,$Q105))</f>
        <v/>
      </c>
      <c r="J105" s="25" t="str">
        <f>IF($Q105="","",INDEX(TRANSACTIONS_MASTER!$O$5:$O$1204,$Q105))</f>
        <v/>
      </c>
      <c r="K105" s="26" t="str">
        <f>IF($Q105="","",INDEX(TRANSACTIONS_MASTER!$Q$5:$Q$1204,$Q105))</f>
        <v/>
      </c>
      <c r="L105" s="25" t="str">
        <f>IF($Q105="","",INDEX(TRANSACTIONS_MASTER!$P$5:$P$1204,$Q105))</f>
        <v/>
      </c>
      <c r="M105" s="25" t="str">
        <f>IF($Q105="","",INDEX(TRANSACTIONS_MASTER!$AA$5:$AA$1204,$Q105))</f>
        <v/>
      </c>
      <c r="N105" s="25" t="str">
        <f>IF($Q105="","",INDEX(TRANSACTIONS_MASTER!$R$5:$R$1204,$Q105))</f>
        <v/>
      </c>
      <c r="O105" s="28" t="str">
        <f>IF($Q105="","",INDEX(TRANSACTIONS_MASTER!$AB$5:$AB$1204,$Q105))</f>
        <v/>
      </c>
      <c r="P105" s="55" t="str">
        <f>IF($Q105="","",INDEX(TRANSACTIONS_MASTER!$Z$5:$Z$1204,$Q105)&amp;"")</f>
        <v/>
      </c>
      <c r="Q105" s="67" t="str">
        <f>IFERROR(MATCH($C$2&amp;"|"&amp;98,TRANSACTIONS_MASTER!$AE$5:$AE$1204,0),"")</f>
        <v/>
      </c>
      <c r="S105" s="67" t="str">
        <f>IFERROR(MATCH(9,CARDS!$O$5:$O$34,0),"")</f>
        <v/>
      </c>
      <c r="T105" s="55" t="n"/>
      <c r="U105" s="55" t="str">
        <f>IF($S105="","",INDEX(CARDS!$B$5:$B$34,$S105))</f>
        <v/>
      </c>
      <c r="V105" s="25" t="str">
        <f>IF($S105="","",SUMIFS(TRANSACTIONS_MASTER!$L$5:$L$1204,TRANSACTIONS_MASTER!$E$5:$E$1204,$U105,TRANSACTIONS_MASTER!$C$5:$C$1204,$C$2,TRANSACTIONS_MASTER!$U$5:$U$1204,"&lt;&gt;Cancelled"))</f>
        <v/>
      </c>
      <c r="W105" s="26" t="str">
        <f>IF($S105="","",SUMIFS(TRANSACTIONS_MASTER!$Q$5:$Q$1204,TRANSACTIONS_MASTER!$E$5:$E$1204,$U105,TRANSACTIONS_MASTER!$C$5:$C$1204,$C$2))</f>
        <v/>
      </c>
    </row>
    <row r="106">
      <c r="A106" s="81" t="str">
        <f>IF($Q106="","",99)</f>
        <v/>
      </c>
      <c r="B106" s="57" t="str">
        <f>IF($Q106="","",INDEX(TRANSACTIONS_MASTER!$B$5:$B$1204,$Q106))</f>
        <v/>
      </c>
      <c r="C106" s="55" t="str">
        <f>IF($Q106="","",INDEX(TRANSACTIONS_MASTER!$F$5:$F$1204,$Q106))</f>
        <v/>
      </c>
      <c r="D106" s="55" t="str">
        <f>IF($Q106="","",INDEX(TRANSACTIONS_MASTER!$E$5:$E$1204,$Q106))</f>
        <v/>
      </c>
      <c r="E106" s="55" t="str">
        <f>IF($Q106="","",INDEX(TRANSACTIONS_MASTER!$G$5:$G$1204,$Q106)&amp;"")</f>
        <v/>
      </c>
      <c r="F106" s="29" t="str">
        <f>IF($Q106="","",INDEX(TRANSACTIONS_MASTER!$I$5:$I$1204,$Q106))</f>
        <v/>
      </c>
      <c r="G106" s="55" t="str">
        <f>IF($Q106="","",INDEX(TRANSACTIONS_MASTER!$K$5:$K$1204,$Q106))</f>
        <v/>
      </c>
      <c r="H106" s="25" t="str">
        <f>IF($Q106="","",INDEX(TRANSACTIONS_MASTER!$L$5:$L$1204,$Q106))</f>
        <v/>
      </c>
      <c r="I106" s="56" t="str">
        <f>IF($Q106="","",INDEX(TRANSACTIONS_MASTER!$N$5:$N$1204,$Q106))</f>
        <v/>
      </c>
      <c r="J106" s="25" t="str">
        <f>IF($Q106="","",INDEX(TRANSACTIONS_MASTER!$O$5:$O$1204,$Q106))</f>
        <v/>
      </c>
      <c r="K106" s="26" t="str">
        <f>IF($Q106="","",INDEX(TRANSACTIONS_MASTER!$Q$5:$Q$1204,$Q106))</f>
        <v/>
      </c>
      <c r="L106" s="25" t="str">
        <f>IF($Q106="","",INDEX(TRANSACTIONS_MASTER!$P$5:$P$1204,$Q106))</f>
        <v/>
      </c>
      <c r="M106" s="25" t="str">
        <f>IF($Q106="","",INDEX(TRANSACTIONS_MASTER!$AA$5:$AA$1204,$Q106))</f>
        <v/>
      </c>
      <c r="N106" s="25" t="str">
        <f>IF($Q106="","",INDEX(TRANSACTIONS_MASTER!$R$5:$R$1204,$Q106))</f>
        <v/>
      </c>
      <c r="O106" s="28" t="str">
        <f>IF($Q106="","",INDEX(TRANSACTIONS_MASTER!$AB$5:$AB$1204,$Q106))</f>
        <v/>
      </c>
      <c r="P106" s="55" t="str">
        <f>IF($Q106="","",INDEX(TRANSACTIONS_MASTER!$Z$5:$Z$1204,$Q106)&amp;"")</f>
        <v/>
      </c>
      <c r="Q106" s="67" t="str">
        <f>IFERROR(MATCH($C$2&amp;"|"&amp;99,TRANSACTIONS_MASTER!$AE$5:$AE$1204,0),"")</f>
        <v/>
      </c>
      <c r="S106" s="67" t="str">
        <f>IFERROR(MATCH(10,CARDS!$O$5:$O$34,0),"")</f>
        <v/>
      </c>
      <c r="T106" s="55" t="n"/>
      <c r="U106" s="55" t="str">
        <f>IF($S106="","",INDEX(CARDS!$B$5:$B$34,$S106))</f>
        <v/>
      </c>
      <c r="V106" s="25" t="str">
        <f>IF($S106="","",SUMIFS(TRANSACTIONS_MASTER!$L$5:$L$1204,TRANSACTIONS_MASTER!$E$5:$E$1204,$U106,TRANSACTIONS_MASTER!$C$5:$C$1204,$C$2,TRANSACTIONS_MASTER!$U$5:$U$1204,"&lt;&gt;Cancelled"))</f>
        <v/>
      </c>
      <c r="W106" s="26" t="str">
        <f>IF($S106="","",SUMIFS(TRANSACTIONS_MASTER!$Q$5:$Q$1204,TRANSACTIONS_MASTER!$E$5:$E$1204,$U106,TRANSACTIONS_MASTER!$C$5:$C$1204,$C$2))</f>
        <v/>
      </c>
    </row>
    <row r="107">
      <c r="A107" s="81" t="str">
        <f>IF($Q107="","",100)</f>
        <v/>
      </c>
      <c r="B107" s="57" t="str">
        <f>IF($Q107="","",INDEX(TRANSACTIONS_MASTER!$B$5:$B$1204,$Q107))</f>
        <v/>
      </c>
      <c r="C107" s="55" t="str">
        <f>IF($Q107="","",INDEX(TRANSACTIONS_MASTER!$F$5:$F$1204,$Q107))</f>
        <v/>
      </c>
      <c r="D107" s="55" t="str">
        <f>IF($Q107="","",INDEX(TRANSACTIONS_MASTER!$E$5:$E$1204,$Q107))</f>
        <v/>
      </c>
      <c r="E107" s="55" t="str">
        <f>IF($Q107="","",INDEX(TRANSACTIONS_MASTER!$G$5:$G$1204,$Q107)&amp;"")</f>
        <v/>
      </c>
      <c r="F107" s="29" t="str">
        <f>IF($Q107="","",INDEX(TRANSACTIONS_MASTER!$I$5:$I$1204,$Q107))</f>
        <v/>
      </c>
      <c r="G107" s="55" t="str">
        <f>IF($Q107="","",INDEX(TRANSACTIONS_MASTER!$K$5:$K$1204,$Q107))</f>
        <v/>
      </c>
      <c r="H107" s="25" t="str">
        <f>IF($Q107="","",INDEX(TRANSACTIONS_MASTER!$L$5:$L$1204,$Q107))</f>
        <v/>
      </c>
      <c r="I107" s="56" t="str">
        <f>IF($Q107="","",INDEX(TRANSACTIONS_MASTER!$N$5:$N$1204,$Q107))</f>
        <v/>
      </c>
      <c r="J107" s="25" t="str">
        <f>IF($Q107="","",INDEX(TRANSACTIONS_MASTER!$O$5:$O$1204,$Q107))</f>
        <v/>
      </c>
      <c r="K107" s="26" t="str">
        <f>IF($Q107="","",INDEX(TRANSACTIONS_MASTER!$Q$5:$Q$1204,$Q107))</f>
        <v/>
      </c>
      <c r="L107" s="25" t="str">
        <f>IF($Q107="","",INDEX(TRANSACTIONS_MASTER!$P$5:$P$1204,$Q107))</f>
        <v/>
      </c>
      <c r="M107" s="25" t="str">
        <f>IF($Q107="","",INDEX(TRANSACTIONS_MASTER!$AA$5:$AA$1204,$Q107))</f>
        <v/>
      </c>
      <c r="N107" s="25" t="str">
        <f>IF($Q107="","",INDEX(TRANSACTIONS_MASTER!$R$5:$R$1204,$Q107))</f>
        <v/>
      </c>
      <c r="O107" s="28" t="str">
        <f>IF($Q107="","",INDEX(TRANSACTIONS_MASTER!$AB$5:$AB$1204,$Q107))</f>
        <v/>
      </c>
      <c r="P107" s="55" t="str">
        <f>IF($Q107="","",INDEX(TRANSACTIONS_MASTER!$Z$5:$Z$1204,$Q107)&amp;"")</f>
        <v/>
      </c>
      <c r="Q107" s="67" t="str">
        <f>IFERROR(MATCH($C$2&amp;"|"&amp;100,TRANSACTIONS_MASTER!$AE$5:$AE$1204,0),"")</f>
        <v/>
      </c>
      <c r="S107" s="67" t="str">
        <f>IFERROR(MATCH(11,CARDS!$O$5:$O$34,0),"")</f>
        <v/>
      </c>
      <c r="T107" s="55" t="n"/>
      <c r="U107" s="55" t="str">
        <f>IF($S107="","",INDEX(CARDS!$B$5:$B$34,$S107))</f>
        <v/>
      </c>
      <c r="V107" s="25" t="str">
        <f>IF($S107="","",SUMIFS(TRANSACTIONS_MASTER!$L$5:$L$1204,TRANSACTIONS_MASTER!$E$5:$E$1204,$U107,TRANSACTIONS_MASTER!$C$5:$C$1204,$C$2,TRANSACTIONS_MASTER!$U$5:$U$1204,"&lt;&gt;Cancelled"))</f>
        <v/>
      </c>
      <c r="W107" s="26" t="str">
        <f>IF($S107="","",SUMIFS(TRANSACTIONS_MASTER!$Q$5:$Q$1204,TRANSACTIONS_MASTER!$E$5:$E$1204,$U107,TRANSACTIONS_MASTER!$C$5:$C$1204,$C$2))</f>
        <v/>
      </c>
    </row>
    <row r="108">
      <c r="A108" s="81" t="str">
        <f>IF($Q108="","",101)</f>
        <v/>
      </c>
      <c r="B108" s="57" t="str">
        <f>IF($Q108="","",INDEX(TRANSACTIONS_MASTER!$B$5:$B$1204,$Q108))</f>
        <v/>
      </c>
      <c r="C108" s="55" t="str">
        <f>IF($Q108="","",INDEX(TRANSACTIONS_MASTER!$F$5:$F$1204,$Q108))</f>
        <v/>
      </c>
      <c r="D108" s="55" t="str">
        <f>IF($Q108="","",INDEX(TRANSACTIONS_MASTER!$E$5:$E$1204,$Q108))</f>
        <v/>
      </c>
      <c r="E108" s="55" t="str">
        <f>IF($Q108="","",INDEX(TRANSACTIONS_MASTER!$G$5:$G$1204,$Q108)&amp;"")</f>
        <v/>
      </c>
      <c r="F108" s="29" t="str">
        <f>IF($Q108="","",INDEX(TRANSACTIONS_MASTER!$I$5:$I$1204,$Q108))</f>
        <v/>
      </c>
      <c r="G108" s="55" t="str">
        <f>IF($Q108="","",INDEX(TRANSACTIONS_MASTER!$K$5:$K$1204,$Q108))</f>
        <v/>
      </c>
      <c r="H108" s="25" t="str">
        <f>IF($Q108="","",INDEX(TRANSACTIONS_MASTER!$L$5:$L$1204,$Q108))</f>
        <v/>
      </c>
      <c r="I108" s="56" t="str">
        <f>IF($Q108="","",INDEX(TRANSACTIONS_MASTER!$N$5:$N$1204,$Q108))</f>
        <v/>
      </c>
      <c r="J108" s="25" t="str">
        <f>IF($Q108="","",INDEX(TRANSACTIONS_MASTER!$O$5:$O$1204,$Q108))</f>
        <v/>
      </c>
      <c r="K108" s="26" t="str">
        <f>IF($Q108="","",INDEX(TRANSACTIONS_MASTER!$Q$5:$Q$1204,$Q108))</f>
        <v/>
      </c>
      <c r="L108" s="25" t="str">
        <f>IF($Q108="","",INDEX(TRANSACTIONS_MASTER!$P$5:$P$1204,$Q108))</f>
        <v/>
      </c>
      <c r="M108" s="25" t="str">
        <f>IF($Q108="","",INDEX(TRANSACTIONS_MASTER!$AA$5:$AA$1204,$Q108))</f>
        <v/>
      </c>
      <c r="N108" s="25" t="str">
        <f>IF($Q108="","",INDEX(TRANSACTIONS_MASTER!$R$5:$R$1204,$Q108))</f>
        <v/>
      </c>
      <c r="O108" s="28" t="str">
        <f>IF($Q108="","",INDEX(TRANSACTIONS_MASTER!$AB$5:$AB$1204,$Q108))</f>
        <v/>
      </c>
      <c r="P108" s="55" t="str">
        <f>IF($Q108="","",INDEX(TRANSACTIONS_MASTER!$Z$5:$Z$1204,$Q108)&amp;"")</f>
        <v/>
      </c>
      <c r="Q108" s="67" t="str">
        <f>IFERROR(MATCH($C$2&amp;"|"&amp;101,TRANSACTIONS_MASTER!$AE$5:$AE$1204,0),"")</f>
        <v/>
      </c>
      <c r="S108" s="67" t="str">
        <f>IFERROR(MATCH(12,CARDS!$O$5:$O$34,0),"")</f>
        <v/>
      </c>
      <c r="T108" s="55" t="n"/>
      <c r="U108" s="55" t="str">
        <f>IF($S108="","",INDEX(CARDS!$B$5:$B$34,$S108))</f>
        <v/>
      </c>
      <c r="V108" s="25" t="str">
        <f>IF($S108="","",SUMIFS(TRANSACTIONS_MASTER!$L$5:$L$1204,TRANSACTIONS_MASTER!$E$5:$E$1204,$U108,TRANSACTIONS_MASTER!$C$5:$C$1204,$C$2,TRANSACTIONS_MASTER!$U$5:$U$1204,"&lt;&gt;Cancelled"))</f>
        <v/>
      </c>
      <c r="W108" s="26" t="str">
        <f>IF($S108="","",SUMIFS(TRANSACTIONS_MASTER!$Q$5:$Q$1204,TRANSACTIONS_MASTER!$E$5:$E$1204,$U108,TRANSACTIONS_MASTER!$C$5:$C$1204,$C$2))</f>
        <v/>
      </c>
    </row>
    <row r="109">
      <c r="A109" s="81" t="str">
        <f>IF($Q109="","",102)</f>
        <v/>
      </c>
      <c r="B109" s="57" t="str">
        <f>IF($Q109="","",INDEX(TRANSACTIONS_MASTER!$B$5:$B$1204,$Q109))</f>
        <v/>
      </c>
      <c r="C109" s="55" t="str">
        <f>IF($Q109="","",INDEX(TRANSACTIONS_MASTER!$F$5:$F$1204,$Q109))</f>
        <v/>
      </c>
      <c r="D109" s="55" t="str">
        <f>IF($Q109="","",INDEX(TRANSACTIONS_MASTER!$E$5:$E$1204,$Q109))</f>
        <v/>
      </c>
      <c r="E109" s="55" t="str">
        <f>IF($Q109="","",INDEX(TRANSACTIONS_MASTER!$G$5:$G$1204,$Q109)&amp;"")</f>
        <v/>
      </c>
      <c r="F109" s="29" t="str">
        <f>IF($Q109="","",INDEX(TRANSACTIONS_MASTER!$I$5:$I$1204,$Q109))</f>
        <v/>
      </c>
      <c r="G109" s="55" t="str">
        <f>IF($Q109="","",INDEX(TRANSACTIONS_MASTER!$K$5:$K$1204,$Q109))</f>
        <v/>
      </c>
      <c r="H109" s="25" t="str">
        <f>IF($Q109="","",INDEX(TRANSACTIONS_MASTER!$L$5:$L$1204,$Q109))</f>
        <v/>
      </c>
      <c r="I109" s="56" t="str">
        <f>IF($Q109="","",INDEX(TRANSACTIONS_MASTER!$N$5:$N$1204,$Q109))</f>
        <v/>
      </c>
      <c r="J109" s="25" t="str">
        <f>IF($Q109="","",INDEX(TRANSACTIONS_MASTER!$O$5:$O$1204,$Q109))</f>
        <v/>
      </c>
      <c r="K109" s="26" t="str">
        <f>IF($Q109="","",INDEX(TRANSACTIONS_MASTER!$Q$5:$Q$1204,$Q109))</f>
        <v/>
      </c>
      <c r="L109" s="25" t="str">
        <f>IF($Q109="","",INDEX(TRANSACTIONS_MASTER!$P$5:$P$1204,$Q109))</f>
        <v/>
      </c>
      <c r="M109" s="25" t="str">
        <f>IF($Q109="","",INDEX(TRANSACTIONS_MASTER!$AA$5:$AA$1204,$Q109))</f>
        <v/>
      </c>
      <c r="N109" s="25" t="str">
        <f>IF($Q109="","",INDEX(TRANSACTIONS_MASTER!$R$5:$R$1204,$Q109))</f>
        <v/>
      </c>
      <c r="O109" s="28" t="str">
        <f>IF($Q109="","",INDEX(TRANSACTIONS_MASTER!$AB$5:$AB$1204,$Q109))</f>
        <v/>
      </c>
      <c r="P109" s="55" t="str">
        <f>IF($Q109="","",INDEX(TRANSACTIONS_MASTER!$Z$5:$Z$1204,$Q109)&amp;"")</f>
        <v/>
      </c>
      <c r="Q109" s="67" t="str">
        <f>IFERROR(MATCH($C$2&amp;"|"&amp;102,TRANSACTIONS_MASTER!$AE$5:$AE$1204,0),"")</f>
        <v/>
      </c>
      <c r="S109" s="67" t="str">
        <f>IFERROR(MATCH(13,CARDS!$O$5:$O$34,0),"")</f>
        <v/>
      </c>
      <c r="T109" s="55" t="n"/>
      <c r="U109" s="55" t="str">
        <f>IF($S109="","",INDEX(CARDS!$B$5:$B$34,$S109))</f>
        <v/>
      </c>
      <c r="V109" s="25" t="str">
        <f>IF($S109="","",SUMIFS(TRANSACTIONS_MASTER!$L$5:$L$1204,TRANSACTIONS_MASTER!$E$5:$E$1204,$U109,TRANSACTIONS_MASTER!$C$5:$C$1204,$C$2,TRANSACTIONS_MASTER!$U$5:$U$1204,"&lt;&gt;Cancelled"))</f>
        <v/>
      </c>
      <c r="W109" s="26" t="str">
        <f>IF($S109="","",SUMIFS(TRANSACTIONS_MASTER!$Q$5:$Q$1204,TRANSACTIONS_MASTER!$E$5:$E$1204,$U109,TRANSACTIONS_MASTER!$C$5:$C$1204,$C$2))</f>
        <v/>
      </c>
    </row>
    <row r="110">
      <c r="A110" s="81" t="str">
        <f>IF($Q110="","",103)</f>
        <v/>
      </c>
      <c r="B110" s="57" t="str">
        <f>IF($Q110="","",INDEX(TRANSACTIONS_MASTER!$B$5:$B$1204,$Q110))</f>
        <v/>
      </c>
      <c r="C110" s="55" t="str">
        <f>IF($Q110="","",INDEX(TRANSACTIONS_MASTER!$F$5:$F$1204,$Q110))</f>
        <v/>
      </c>
      <c r="D110" s="55" t="str">
        <f>IF($Q110="","",INDEX(TRANSACTIONS_MASTER!$E$5:$E$1204,$Q110))</f>
        <v/>
      </c>
      <c r="E110" s="55" t="str">
        <f>IF($Q110="","",INDEX(TRANSACTIONS_MASTER!$G$5:$G$1204,$Q110)&amp;"")</f>
        <v/>
      </c>
      <c r="F110" s="29" t="str">
        <f>IF($Q110="","",INDEX(TRANSACTIONS_MASTER!$I$5:$I$1204,$Q110))</f>
        <v/>
      </c>
      <c r="G110" s="55" t="str">
        <f>IF($Q110="","",INDEX(TRANSACTIONS_MASTER!$K$5:$K$1204,$Q110))</f>
        <v/>
      </c>
      <c r="H110" s="25" t="str">
        <f>IF($Q110="","",INDEX(TRANSACTIONS_MASTER!$L$5:$L$1204,$Q110))</f>
        <v/>
      </c>
      <c r="I110" s="56" t="str">
        <f>IF($Q110="","",INDEX(TRANSACTIONS_MASTER!$N$5:$N$1204,$Q110))</f>
        <v/>
      </c>
      <c r="J110" s="25" t="str">
        <f>IF($Q110="","",INDEX(TRANSACTIONS_MASTER!$O$5:$O$1204,$Q110))</f>
        <v/>
      </c>
      <c r="K110" s="26" t="str">
        <f>IF($Q110="","",INDEX(TRANSACTIONS_MASTER!$Q$5:$Q$1204,$Q110))</f>
        <v/>
      </c>
      <c r="L110" s="25" t="str">
        <f>IF($Q110="","",INDEX(TRANSACTIONS_MASTER!$P$5:$P$1204,$Q110))</f>
        <v/>
      </c>
      <c r="M110" s="25" t="str">
        <f>IF($Q110="","",INDEX(TRANSACTIONS_MASTER!$AA$5:$AA$1204,$Q110))</f>
        <v/>
      </c>
      <c r="N110" s="25" t="str">
        <f>IF($Q110="","",INDEX(TRANSACTIONS_MASTER!$R$5:$R$1204,$Q110))</f>
        <v/>
      </c>
      <c r="O110" s="28" t="str">
        <f>IF($Q110="","",INDEX(TRANSACTIONS_MASTER!$AB$5:$AB$1204,$Q110))</f>
        <v/>
      </c>
      <c r="P110" s="55" t="str">
        <f>IF($Q110="","",INDEX(TRANSACTIONS_MASTER!$Z$5:$Z$1204,$Q110)&amp;"")</f>
        <v/>
      </c>
      <c r="Q110" s="67" t="str">
        <f>IFERROR(MATCH($C$2&amp;"|"&amp;103,TRANSACTIONS_MASTER!$AE$5:$AE$1204,0),"")</f>
        <v/>
      </c>
      <c r="S110" s="67" t="str">
        <f>IFERROR(MATCH(14,CARDS!$O$5:$O$34,0),"")</f>
        <v/>
      </c>
      <c r="T110" s="55" t="n"/>
      <c r="U110" s="55" t="str">
        <f>IF($S110="","",INDEX(CARDS!$B$5:$B$34,$S110))</f>
        <v/>
      </c>
      <c r="V110" s="25" t="str">
        <f>IF($S110="","",SUMIFS(TRANSACTIONS_MASTER!$L$5:$L$1204,TRANSACTIONS_MASTER!$E$5:$E$1204,$U110,TRANSACTIONS_MASTER!$C$5:$C$1204,$C$2,TRANSACTIONS_MASTER!$U$5:$U$1204,"&lt;&gt;Cancelled"))</f>
        <v/>
      </c>
      <c r="W110" s="26" t="str">
        <f>IF($S110="","",SUMIFS(TRANSACTIONS_MASTER!$Q$5:$Q$1204,TRANSACTIONS_MASTER!$E$5:$E$1204,$U110,TRANSACTIONS_MASTER!$C$5:$C$1204,$C$2))</f>
        <v/>
      </c>
    </row>
    <row r="111">
      <c r="A111" s="81" t="str">
        <f>IF($Q111="","",104)</f>
        <v/>
      </c>
      <c r="B111" s="57" t="str">
        <f>IF($Q111="","",INDEX(TRANSACTIONS_MASTER!$B$5:$B$1204,$Q111))</f>
        <v/>
      </c>
      <c r="C111" s="55" t="str">
        <f>IF($Q111="","",INDEX(TRANSACTIONS_MASTER!$F$5:$F$1204,$Q111))</f>
        <v/>
      </c>
      <c r="D111" s="55" t="str">
        <f>IF($Q111="","",INDEX(TRANSACTIONS_MASTER!$E$5:$E$1204,$Q111))</f>
        <v/>
      </c>
      <c r="E111" s="55" t="str">
        <f>IF($Q111="","",INDEX(TRANSACTIONS_MASTER!$G$5:$G$1204,$Q111)&amp;"")</f>
        <v/>
      </c>
      <c r="F111" s="29" t="str">
        <f>IF($Q111="","",INDEX(TRANSACTIONS_MASTER!$I$5:$I$1204,$Q111))</f>
        <v/>
      </c>
      <c r="G111" s="55" t="str">
        <f>IF($Q111="","",INDEX(TRANSACTIONS_MASTER!$K$5:$K$1204,$Q111))</f>
        <v/>
      </c>
      <c r="H111" s="25" t="str">
        <f>IF($Q111="","",INDEX(TRANSACTIONS_MASTER!$L$5:$L$1204,$Q111))</f>
        <v/>
      </c>
      <c r="I111" s="56" t="str">
        <f>IF($Q111="","",INDEX(TRANSACTIONS_MASTER!$N$5:$N$1204,$Q111))</f>
        <v/>
      </c>
      <c r="J111" s="25" t="str">
        <f>IF($Q111="","",INDEX(TRANSACTIONS_MASTER!$O$5:$O$1204,$Q111))</f>
        <v/>
      </c>
      <c r="K111" s="26" t="str">
        <f>IF($Q111="","",INDEX(TRANSACTIONS_MASTER!$Q$5:$Q$1204,$Q111))</f>
        <v/>
      </c>
      <c r="L111" s="25" t="str">
        <f>IF($Q111="","",INDEX(TRANSACTIONS_MASTER!$P$5:$P$1204,$Q111))</f>
        <v/>
      </c>
      <c r="M111" s="25" t="str">
        <f>IF($Q111="","",INDEX(TRANSACTIONS_MASTER!$AA$5:$AA$1204,$Q111))</f>
        <v/>
      </c>
      <c r="N111" s="25" t="str">
        <f>IF($Q111="","",INDEX(TRANSACTIONS_MASTER!$R$5:$R$1204,$Q111))</f>
        <v/>
      </c>
      <c r="O111" s="28" t="str">
        <f>IF($Q111="","",INDEX(TRANSACTIONS_MASTER!$AB$5:$AB$1204,$Q111))</f>
        <v/>
      </c>
      <c r="P111" s="55" t="str">
        <f>IF($Q111="","",INDEX(TRANSACTIONS_MASTER!$Z$5:$Z$1204,$Q111)&amp;"")</f>
        <v/>
      </c>
      <c r="Q111" s="67" t="str">
        <f>IFERROR(MATCH($C$2&amp;"|"&amp;104,TRANSACTIONS_MASTER!$AE$5:$AE$1204,0),"")</f>
        <v/>
      </c>
      <c r="S111" s="67" t="str">
        <f>IFERROR(MATCH(15,CARDS!$O$5:$O$34,0),"")</f>
        <v/>
      </c>
      <c r="T111" s="55" t="n"/>
      <c r="U111" s="55" t="str">
        <f>IF($S111="","",INDEX(CARDS!$B$5:$B$34,$S111))</f>
        <v/>
      </c>
      <c r="V111" s="25" t="str">
        <f>IF($S111="","",SUMIFS(TRANSACTIONS_MASTER!$L$5:$L$1204,TRANSACTIONS_MASTER!$E$5:$E$1204,$U111,TRANSACTIONS_MASTER!$C$5:$C$1204,$C$2,TRANSACTIONS_MASTER!$U$5:$U$1204,"&lt;&gt;Cancelled"))</f>
        <v/>
      </c>
      <c r="W111" s="26" t="str">
        <f>IF($S111="","",SUMIFS(TRANSACTIONS_MASTER!$Q$5:$Q$1204,TRANSACTIONS_MASTER!$E$5:$E$1204,$U111,TRANSACTIONS_MASTER!$C$5:$C$1204,$C$2))</f>
        <v/>
      </c>
    </row>
    <row r="112">
      <c r="A112" s="81" t="str">
        <f>IF($Q112="","",105)</f>
        <v/>
      </c>
      <c r="B112" s="57" t="str">
        <f>IF($Q112="","",INDEX(TRANSACTIONS_MASTER!$B$5:$B$1204,$Q112))</f>
        <v/>
      </c>
      <c r="C112" s="55" t="str">
        <f>IF($Q112="","",INDEX(TRANSACTIONS_MASTER!$F$5:$F$1204,$Q112))</f>
        <v/>
      </c>
      <c r="D112" s="55" t="str">
        <f>IF($Q112="","",INDEX(TRANSACTIONS_MASTER!$E$5:$E$1204,$Q112))</f>
        <v/>
      </c>
      <c r="E112" s="55" t="str">
        <f>IF($Q112="","",INDEX(TRANSACTIONS_MASTER!$G$5:$G$1204,$Q112)&amp;"")</f>
        <v/>
      </c>
      <c r="F112" s="29" t="str">
        <f>IF($Q112="","",INDEX(TRANSACTIONS_MASTER!$I$5:$I$1204,$Q112))</f>
        <v/>
      </c>
      <c r="G112" s="55" t="str">
        <f>IF($Q112="","",INDEX(TRANSACTIONS_MASTER!$K$5:$K$1204,$Q112))</f>
        <v/>
      </c>
      <c r="H112" s="25" t="str">
        <f>IF($Q112="","",INDEX(TRANSACTIONS_MASTER!$L$5:$L$1204,$Q112))</f>
        <v/>
      </c>
      <c r="I112" s="56" t="str">
        <f>IF($Q112="","",INDEX(TRANSACTIONS_MASTER!$N$5:$N$1204,$Q112))</f>
        <v/>
      </c>
      <c r="J112" s="25" t="str">
        <f>IF($Q112="","",INDEX(TRANSACTIONS_MASTER!$O$5:$O$1204,$Q112))</f>
        <v/>
      </c>
      <c r="K112" s="26" t="str">
        <f>IF($Q112="","",INDEX(TRANSACTIONS_MASTER!$Q$5:$Q$1204,$Q112))</f>
        <v/>
      </c>
      <c r="L112" s="25" t="str">
        <f>IF($Q112="","",INDEX(TRANSACTIONS_MASTER!$P$5:$P$1204,$Q112))</f>
        <v/>
      </c>
      <c r="M112" s="25" t="str">
        <f>IF($Q112="","",INDEX(TRANSACTIONS_MASTER!$AA$5:$AA$1204,$Q112))</f>
        <v/>
      </c>
      <c r="N112" s="25" t="str">
        <f>IF($Q112="","",INDEX(TRANSACTIONS_MASTER!$R$5:$R$1204,$Q112))</f>
        <v/>
      </c>
      <c r="O112" s="28" t="str">
        <f>IF($Q112="","",INDEX(TRANSACTIONS_MASTER!$AB$5:$AB$1204,$Q112))</f>
        <v/>
      </c>
      <c r="P112" s="55" t="str">
        <f>IF($Q112="","",INDEX(TRANSACTIONS_MASTER!$Z$5:$Z$1204,$Q112)&amp;"")</f>
        <v/>
      </c>
      <c r="Q112" s="67" t="str">
        <f>IFERROR(MATCH($C$2&amp;"|"&amp;105,TRANSACTIONS_MASTER!$AE$5:$AE$1204,0),"")</f>
        <v/>
      </c>
      <c r="T112" s="68" t="n"/>
      <c r="U112" s="69" t="inlineStr">
        <is>
          <t>TỔNG</t>
        </is>
      </c>
      <c r="V112" s="31">
        <f>SUM(V97:V111)</f>
        <v>0</v>
      </c>
      <c r="W112" s="31">
        <f>SUM(W97:W111)</f>
        <v>0</v>
      </c>
    </row>
    <row r="113">
      <c r="A113" s="81" t="str">
        <f>IF($Q113="","",106)</f>
        <v/>
      </c>
      <c r="B113" s="57" t="str">
        <f>IF($Q113="","",INDEX(TRANSACTIONS_MASTER!$B$5:$B$1204,$Q113))</f>
        <v/>
      </c>
      <c r="C113" s="55" t="str">
        <f>IF($Q113="","",INDEX(TRANSACTIONS_MASTER!$F$5:$F$1204,$Q113))</f>
        <v/>
      </c>
      <c r="D113" s="55" t="str">
        <f>IF($Q113="","",INDEX(TRANSACTIONS_MASTER!$E$5:$E$1204,$Q113))</f>
        <v/>
      </c>
      <c r="E113" s="55" t="str">
        <f>IF($Q113="","",INDEX(TRANSACTIONS_MASTER!$G$5:$G$1204,$Q113)&amp;"")</f>
        <v/>
      </c>
      <c r="F113" s="29" t="str">
        <f>IF($Q113="","",INDEX(TRANSACTIONS_MASTER!$I$5:$I$1204,$Q113))</f>
        <v/>
      </c>
      <c r="G113" s="55" t="str">
        <f>IF($Q113="","",INDEX(TRANSACTIONS_MASTER!$K$5:$K$1204,$Q113))</f>
        <v/>
      </c>
      <c r="H113" s="25" t="str">
        <f>IF($Q113="","",INDEX(TRANSACTIONS_MASTER!$L$5:$L$1204,$Q113))</f>
        <v/>
      </c>
      <c r="I113" s="56" t="str">
        <f>IF($Q113="","",INDEX(TRANSACTIONS_MASTER!$N$5:$N$1204,$Q113))</f>
        <v/>
      </c>
      <c r="J113" s="25" t="str">
        <f>IF($Q113="","",INDEX(TRANSACTIONS_MASTER!$O$5:$O$1204,$Q113))</f>
        <v/>
      </c>
      <c r="K113" s="26" t="str">
        <f>IF($Q113="","",INDEX(TRANSACTIONS_MASTER!$Q$5:$Q$1204,$Q113))</f>
        <v/>
      </c>
      <c r="L113" s="25" t="str">
        <f>IF($Q113="","",INDEX(TRANSACTIONS_MASTER!$P$5:$P$1204,$Q113))</f>
        <v/>
      </c>
      <c r="M113" s="25" t="str">
        <f>IF($Q113="","",INDEX(TRANSACTIONS_MASTER!$AA$5:$AA$1204,$Q113))</f>
        <v/>
      </c>
      <c r="N113" s="25" t="str">
        <f>IF($Q113="","",INDEX(TRANSACTIONS_MASTER!$R$5:$R$1204,$Q113))</f>
        <v/>
      </c>
      <c r="O113" s="28" t="str">
        <f>IF($Q113="","",INDEX(TRANSACTIONS_MASTER!$AB$5:$AB$1204,$Q113))</f>
        <v/>
      </c>
      <c r="P113" s="55" t="str">
        <f>IF($Q113="","",INDEX(TRANSACTIONS_MASTER!$Z$5:$Z$1204,$Q113)&amp;"")</f>
        <v/>
      </c>
      <c r="Q113" s="67" t="str">
        <f>IFERROR(MATCH($C$2&amp;"|"&amp;106,TRANSACTIONS_MASTER!$AE$5:$AE$1204,0),"")</f>
        <v/>
      </c>
    </row>
    <row r="114">
      <c r="A114" s="81" t="str">
        <f>IF($Q114="","",107)</f>
        <v/>
      </c>
      <c r="B114" s="57" t="str">
        <f>IF($Q114="","",INDEX(TRANSACTIONS_MASTER!$B$5:$B$1204,$Q114))</f>
        <v/>
      </c>
      <c r="C114" s="55" t="str">
        <f>IF($Q114="","",INDEX(TRANSACTIONS_MASTER!$F$5:$F$1204,$Q114))</f>
        <v/>
      </c>
      <c r="D114" s="55" t="str">
        <f>IF($Q114="","",INDEX(TRANSACTIONS_MASTER!$E$5:$E$1204,$Q114))</f>
        <v/>
      </c>
      <c r="E114" s="55" t="str">
        <f>IF($Q114="","",INDEX(TRANSACTIONS_MASTER!$G$5:$G$1204,$Q114)&amp;"")</f>
        <v/>
      </c>
      <c r="F114" s="29" t="str">
        <f>IF($Q114="","",INDEX(TRANSACTIONS_MASTER!$I$5:$I$1204,$Q114))</f>
        <v/>
      </c>
      <c r="G114" s="55" t="str">
        <f>IF($Q114="","",INDEX(TRANSACTIONS_MASTER!$K$5:$K$1204,$Q114))</f>
        <v/>
      </c>
      <c r="H114" s="25" t="str">
        <f>IF($Q114="","",INDEX(TRANSACTIONS_MASTER!$L$5:$L$1204,$Q114))</f>
        <v/>
      </c>
      <c r="I114" s="56" t="str">
        <f>IF($Q114="","",INDEX(TRANSACTIONS_MASTER!$N$5:$N$1204,$Q114))</f>
        <v/>
      </c>
      <c r="J114" s="25" t="str">
        <f>IF($Q114="","",INDEX(TRANSACTIONS_MASTER!$O$5:$O$1204,$Q114))</f>
        <v/>
      </c>
      <c r="K114" s="26" t="str">
        <f>IF($Q114="","",INDEX(TRANSACTIONS_MASTER!$Q$5:$Q$1204,$Q114))</f>
        <v/>
      </c>
      <c r="L114" s="25" t="str">
        <f>IF($Q114="","",INDEX(TRANSACTIONS_MASTER!$P$5:$P$1204,$Q114))</f>
        <v/>
      </c>
      <c r="M114" s="25" t="str">
        <f>IF($Q114="","",INDEX(TRANSACTIONS_MASTER!$AA$5:$AA$1204,$Q114))</f>
        <v/>
      </c>
      <c r="N114" s="25" t="str">
        <f>IF($Q114="","",INDEX(TRANSACTIONS_MASTER!$R$5:$R$1204,$Q114))</f>
        <v/>
      </c>
      <c r="O114" s="28" t="str">
        <f>IF($Q114="","",INDEX(TRANSACTIONS_MASTER!$AB$5:$AB$1204,$Q114))</f>
        <v/>
      </c>
      <c r="P114" s="55" t="str">
        <f>IF($Q114="","",INDEX(TRANSACTIONS_MASTER!$Z$5:$Z$1204,$Q114)&amp;"")</f>
        <v/>
      </c>
      <c r="Q114" s="67" t="str">
        <f>IFERROR(MATCH($C$2&amp;"|"&amp;107,TRANSACTIONS_MASTER!$AE$5:$AE$1204,0),"")</f>
        <v/>
      </c>
    </row>
    <row r="115" ht="22" customHeight="1">
      <c r="A115" s="81" t="str">
        <f>IF($Q115="","",108)</f>
        <v/>
      </c>
      <c r="B115" s="57" t="str">
        <f>IF($Q115="","",INDEX(TRANSACTIONS_MASTER!$B$5:$B$1204,$Q115))</f>
        <v/>
      </c>
      <c r="C115" s="55" t="str">
        <f>IF($Q115="","",INDEX(TRANSACTIONS_MASTER!$F$5:$F$1204,$Q115))</f>
        <v/>
      </c>
      <c r="D115" s="55" t="str">
        <f>IF($Q115="","",INDEX(TRANSACTIONS_MASTER!$E$5:$E$1204,$Q115))</f>
        <v/>
      </c>
      <c r="E115" s="55" t="str">
        <f>IF($Q115="","",INDEX(TRANSACTIONS_MASTER!$G$5:$G$1204,$Q115)&amp;"")</f>
        <v/>
      </c>
      <c r="F115" s="29" t="str">
        <f>IF($Q115="","",INDEX(TRANSACTIONS_MASTER!$I$5:$I$1204,$Q115))</f>
        <v/>
      </c>
      <c r="G115" s="55" t="str">
        <f>IF($Q115="","",INDEX(TRANSACTIONS_MASTER!$K$5:$K$1204,$Q115))</f>
        <v/>
      </c>
      <c r="H115" s="25" t="str">
        <f>IF($Q115="","",INDEX(TRANSACTIONS_MASTER!$L$5:$L$1204,$Q115))</f>
        <v/>
      </c>
      <c r="I115" s="56" t="str">
        <f>IF($Q115="","",INDEX(TRANSACTIONS_MASTER!$N$5:$N$1204,$Q115))</f>
        <v/>
      </c>
      <c r="J115" s="25" t="str">
        <f>IF($Q115="","",INDEX(TRANSACTIONS_MASTER!$O$5:$O$1204,$Q115))</f>
        <v/>
      </c>
      <c r="K115" s="26" t="str">
        <f>IF($Q115="","",INDEX(TRANSACTIONS_MASTER!$Q$5:$Q$1204,$Q115))</f>
        <v/>
      </c>
      <c r="L115" s="25" t="str">
        <f>IF($Q115="","",INDEX(TRANSACTIONS_MASTER!$P$5:$P$1204,$Q115))</f>
        <v/>
      </c>
      <c r="M115" s="25" t="str">
        <f>IF($Q115="","",INDEX(TRANSACTIONS_MASTER!$AA$5:$AA$1204,$Q115))</f>
        <v/>
      </c>
      <c r="N115" s="25" t="str">
        <f>IF($Q115="","",INDEX(TRANSACTIONS_MASTER!$R$5:$R$1204,$Q115))</f>
        <v/>
      </c>
      <c r="O115" s="28" t="str">
        <f>IF($Q115="","",INDEX(TRANSACTIONS_MASTER!$AB$5:$AB$1204,$Q115))</f>
        <v/>
      </c>
      <c r="P115" s="55" t="str">
        <f>IF($Q115="","",INDEX(TRANSACTIONS_MASTER!$Z$5:$Z$1204,$Q115)&amp;"")</f>
        <v/>
      </c>
      <c r="Q115" s="67" t="str">
        <f>IFERROR(MATCH($C$2&amp;"|"&amp;108,TRANSACTIONS_MASTER!$AE$5:$AE$1204,0),"")</f>
        <v/>
      </c>
      <c r="T115" s="19" t="inlineStr">
        <is>
          <t>THEO DANH MỤC (Category)</t>
        </is>
      </c>
      <c r="U115" s="20" t="n"/>
      <c r="V115" s="20" t="n"/>
      <c r="W115" s="20" t="n"/>
      <c r="X115" s="20" t="n"/>
      <c r="Y115" s="20" t="n"/>
      <c r="Z115" s="20" t="n"/>
      <c r="AA115" s="20" t="n"/>
    </row>
    <row r="116" ht="28" customHeight="1">
      <c r="A116" s="81" t="str">
        <f>IF($Q116="","",109)</f>
        <v/>
      </c>
      <c r="B116" s="57" t="str">
        <f>IF($Q116="","",INDEX(TRANSACTIONS_MASTER!$B$5:$B$1204,$Q116))</f>
        <v/>
      </c>
      <c r="C116" s="55" t="str">
        <f>IF($Q116="","",INDEX(TRANSACTIONS_MASTER!$F$5:$F$1204,$Q116))</f>
        <v/>
      </c>
      <c r="D116" s="55" t="str">
        <f>IF($Q116="","",INDEX(TRANSACTIONS_MASTER!$E$5:$E$1204,$Q116))</f>
        <v/>
      </c>
      <c r="E116" s="55" t="str">
        <f>IF($Q116="","",INDEX(TRANSACTIONS_MASTER!$G$5:$G$1204,$Q116)&amp;"")</f>
        <v/>
      </c>
      <c r="F116" s="29" t="str">
        <f>IF($Q116="","",INDEX(TRANSACTIONS_MASTER!$I$5:$I$1204,$Q116))</f>
        <v/>
      </c>
      <c r="G116" s="55" t="str">
        <f>IF($Q116="","",INDEX(TRANSACTIONS_MASTER!$K$5:$K$1204,$Q116))</f>
        <v/>
      </c>
      <c r="H116" s="25" t="str">
        <f>IF($Q116="","",INDEX(TRANSACTIONS_MASTER!$L$5:$L$1204,$Q116))</f>
        <v/>
      </c>
      <c r="I116" s="56" t="str">
        <f>IF($Q116="","",INDEX(TRANSACTIONS_MASTER!$N$5:$N$1204,$Q116))</f>
        <v/>
      </c>
      <c r="J116" s="25" t="str">
        <f>IF($Q116="","",INDEX(TRANSACTIONS_MASTER!$O$5:$O$1204,$Q116))</f>
        <v/>
      </c>
      <c r="K116" s="26" t="str">
        <f>IF($Q116="","",INDEX(TRANSACTIONS_MASTER!$Q$5:$Q$1204,$Q116))</f>
        <v/>
      </c>
      <c r="L116" s="25" t="str">
        <f>IF($Q116="","",INDEX(TRANSACTIONS_MASTER!$P$5:$P$1204,$Q116))</f>
        <v/>
      </c>
      <c r="M116" s="25" t="str">
        <f>IF($Q116="","",INDEX(TRANSACTIONS_MASTER!$AA$5:$AA$1204,$Q116))</f>
        <v/>
      </c>
      <c r="N116" s="25" t="str">
        <f>IF($Q116="","",INDEX(TRANSACTIONS_MASTER!$R$5:$R$1204,$Q116))</f>
        <v/>
      </c>
      <c r="O116" s="28" t="str">
        <f>IF($Q116="","",INDEX(TRANSACTIONS_MASTER!$AB$5:$AB$1204,$Q116))</f>
        <v/>
      </c>
      <c r="P116" s="55" t="str">
        <f>IF($Q116="","",INDEX(TRANSACTIONS_MASTER!$Z$5:$Z$1204,$Q116)&amp;"")</f>
        <v/>
      </c>
      <c r="Q116" s="67" t="str">
        <f>IFERROR(MATCH($C$2&amp;"|"&amp;109,TRANSACTIONS_MASTER!$AE$5:$AE$1204,0),"")</f>
        <v/>
      </c>
      <c r="S116" s="21" t="inlineStr">
        <is>
          <t>#</t>
        </is>
      </c>
      <c r="T116" s="21" t="inlineStr"/>
      <c r="U116" s="21" t="inlineStr">
        <is>
          <t>Danh mục</t>
        </is>
      </c>
      <c r="V116" s="21" t="inlineStr">
        <is>
          <t>Chi tiêu</t>
        </is>
      </c>
      <c r="W116" s="21" t="inlineStr">
        <is>
          <t>Cashback</t>
        </is>
      </c>
    </row>
    <row r="117">
      <c r="A117" s="81" t="str">
        <f>IF($Q117="","",110)</f>
        <v/>
      </c>
      <c r="B117" s="57" t="str">
        <f>IF($Q117="","",INDEX(TRANSACTIONS_MASTER!$B$5:$B$1204,$Q117))</f>
        <v/>
      </c>
      <c r="C117" s="55" t="str">
        <f>IF($Q117="","",INDEX(TRANSACTIONS_MASTER!$F$5:$F$1204,$Q117))</f>
        <v/>
      </c>
      <c r="D117" s="55" t="str">
        <f>IF($Q117="","",INDEX(TRANSACTIONS_MASTER!$E$5:$E$1204,$Q117))</f>
        <v/>
      </c>
      <c r="E117" s="55" t="str">
        <f>IF($Q117="","",INDEX(TRANSACTIONS_MASTER!$G$5:$G$1204,$Q117)&amp;"")</f>
        <v/>
      </c>
      <c r="F117" s="29" t="str">
        <f>IF($Q117="","",INDEX(TRANSACTIONS_MASTER!$I$5:$I$1204,$Q117))</f>
        <v/>
      </c>
      <c r="G117" s="55" t="str">
        <f>IF($Q117="","",INDEX(TRANSACTIONS_MASTER!$K$5:$K$1204,$Q117))</f>
        <v/>
      </c>
      <c r="H117" s="25" t="str">
        <f>IF($Q117="","",INDEX(TRANSACTIONS_MASTER!$L$5:$L$1204,$Q117))</f>
        <v/>
      </c>
      <c r="I117" s="56" t="str">
        <f>IF($Q117="","",INDEX(TRANSACTIONS_MASTER!$N$5:$N$1204,$Q117))</f>
        <v/>
      </c>
      <c r="J117" s="25" t="str">
        <f>IF($Q117="","",INDEX(TRANSACTIONS_MASTER!$O$5:$O$1204,$Q117))</f>
        <v/>
      </c>
      <c r="K117" s="26" t="str">
        <f>IF($Q117="","",INDEX(TRANSACTIONS_MASTER!$Q$5:$Q$1204,$Q117))</f>
        <v/>
      </c>
      <c r="L117" s="25" t="str">
        <f>IF($Q117="","",INDEX(TRANSACTIONS_MASTER!$P$5:$P$1204,$Q117))</f>
        <v/>
      </c>
      <c r="M117" s="25" t="str">
        <f>IF($Q117="","",INDEX(TRANSACTIONS_MASTER!$AA$5:$AA$1204,$Q117))</f>
        <v/>
      </c>
      <c r="N117" s="25" t="str">
        <f>IF($Q117="","",INDEX(TRANSACTIONS_MASTER!$R$5:$R$1204,$Q117))</f>
        <v/>
      </c>
      <c r="O117" s="28" t="str">
        <f>IF($Q117="","",INDEX(TRANSACTIONS_MASTER!$AB$5:$AB$1204,$Q117))</f>
        <v/>
      </c>
      <c r="P117" s="55" t="str">
        <f>IF($Q117="","",INDEX(TRANSACTIONS_MASTER!$Z$5:$Z$1204,$Q117)&amp;"")</f>
        <v/>
      </c>
      <c r="Q117" s="67" t="str">
        <f>IFERROR(MATCH($C$2&amp;"|"&amp;110,TRANSACTIONS_MASTER!$AE$5:$AE$1204,0),"")</f>
        <v/>
      </c>
      <c r="S117" s="67" t="str">
        <f>IFERROR(MATCH(1,INDEX((TRANSACTIONS_MASTER!$C$5:$C$1204=$C$2)*(TRANSACTIONS_MASTER!$AL$5:$AL$1204=1),0),0),"")</f>
        <v/>
      </c>
      <c r="T117" s="55" t="n"/>
      <c r="U117" s="55" t="str">
        <f>IF($S117="","",INDEX(TRANSACTIONS_MASTER!$K$5:$K$1204,$S117))</f>
        <v/>
      </c>
      <c r="V117" s="25" t="str">
        <f>IF($S117="","",SUMIFS(TRANSACTIONS_MASTER!$L$5:$L$1204,TRANSACTIONS_MASTER!$K$5:$K$1204,$U117,TRANSACTIONS_MASTER!$C$5:$C$1204,$C$2,TRANSACTIONS_MASTER!$U$5:$U$1204,"&lt;&gt;Cancelled"))</f>
        <v/>
      </c>
      <c r="W117" s="26" t="str">
        <f>IF($S117="","",SUMIFS(TRANSACTIONS_MASTER!$Q$5:$Q$1204,TRANSACTIONS_MASTER!$K$5:$K$1204,$U117,TRANSACTIONS_MASTER!$C$5:$C$1204,$C$2))</f>
        <v/>
      </c>
    </row>
    <row r="118">
      <c r="A118" s="81" t="str">
        <f>IF($Q118="","",111)</f>
        <v/>
      </c>
      <c r="B118" s="57" t="str">
        <f>IF($Q118="","",INDEX(TRANSACTIONS_MASTER!$B$5:$B$1204,$Q118))</f>
        <v/>
      </c>
      <c r="C118" s="55" t="str">
        <f>IF($Q118="","",INDEX(TRANSACTIONS_MASTER!$F$5:$F$1204,$Q118))</f>
        <v/>
      </c>
      <c r="D118" s="55" t="str">
        <f>IF($Q118="","",INDEX(TRANSACTIONS_MASTER!$E$5:$E$1204,$Q118))</f>
        <v/>
      </c>
      <c r="E118" s="55" t="str">
        <f>IF($Q118="","",INDEX(TRANSACTIONS_MASTER!$G$5:$G$1204,$Q118)&amp;"")</f>
        <v/>
      </c>
      <c r="F118" s="29" t="str">
        <f>IF($Q118="","",INDEX(TRANSACTIONS_MASTER!$I$5:$I$1204,$Q118))</f>
        <v/>
      </c>
      <c r="G118" s="55" t="str">
        <f>IF($Q118="","",INDEX(TRANSACTIONS_MASTER!$K$5:$K$1204,$Q118))</f>
        <v/>
      </c>
      <c r="H118" s="25" t="str">
        <f>IF($Q118="","",INDEX(TRANSACTIONS_MASTER!$L$5:$L$1204,$Q118))</f>
        <v/>
      </c>
      <c r="I118" s="56" t="str">
        <f>IF($Q118="","",INDEX(TRANSACTIONS_MASTER!$N$5:$N$1204,$Q118))</f>
        <v/>
      </c>
      <c r="J118" s="25" t="str">
        <f>IF($Q118="","",INDEX(TRANSACTIONS_MASTER!$O$5:$O$1204,$Q118))</f>
        <v/>
      </c>
      <c r="K118" s="26" t="str">
        <f>IF($Q118="","",INDEX(TRANSACTIONS_MASTER!$Q$5:$Q$1204,$Q118))</f>
        <v/>
      </c>
      <c r="L118" s="25" t="str">
        <f>IF($Q118="","",INDEX(TRANSACTIONS_MASTER!$P$5:$P$1204,$Q118))</f>
        <v/>
      </c>
      <c r="M118" s="25" t="str">
        <f>IF($Q118="","",INDEX(TRANSACTIONS_MASTER!$AA$5:$AA$1204,$Q118))</f>
        <v/>
      </c>
      <c r="N118" s="25" t="str">
        <f>IF($Q118="","",INDEX(TRANSACTIONS_MASTER!$R$5:$R$1204,$Q118))</f>
        <v/>
      </c>
      <c r="O118" s="28" t="str">
        <f>IF($Q118="","",INDEX(TRANSACTIONS_MASTER!$AB$5:$AB$1204,$Q118))</f>
        <v/>
      </c>
      <c r="P118" s="55" t="str">
        <f>IF($Q118="","",INDEX(TRANSACTIONS_MASTER!$Z$5:$Z$1204,$Q118)&amp;"")</f>
        <v/>
      </c>
      <c r="Q118" s="67" t="str">
        <f>IFERROR(MATCH($C$2&amp;"|"&amp;111,TRANSACTIONS_MASTER!$AE$5:$AE$1204,0),"")</f>
        <v/>
      </c>
      <c r="S118" s="67" t="str">
        <f>IFERROR(MATCH(1,INDEX((TRANSACTIONS_MASTER!$C$5:$C$1204=$C$2)*(TRANSACTIONS_MASTER!$AL$5:$AL$1204=2),0),0),"")</f>
        <v/>
      </c>
      <c r="T118" s="55" t="n"/>
      <c r="U118" s="55" t="str">
        <f>IF($S118="","",INDEX(TRANSACTIONS_MASTER!$K$5:$K$1204,$S118))</f>
        <v/>
      </c>
      <c r="V118" s="25" t="str">
        <f>IF($S118="","",SUMIFS(TRANSACTIONS_MASTER!$L$5:$L$1204,TRANSACTIONS_MASTER!$K$5:$K$1204,$U118,TRANSACTIONS_MASTER!$C$5:$C$1204,$C$2,TRANSACTIONS_MASTER!$U$5:$U$1204,"&lt;&gt;Cancelled"))</f>
        <v/>
      </c>
      <c r="W118" s="26" t="str">
        <f>IF($S118="","",SUMIFS(TRANSACTIONS_MASTER!$Q$5:$Q$1204,TRANSACTIONS_MASTER!$K$5:$K$1204,$U118,TRANSACTIONS_MASTER!$C$5:$C$1204,$C$2))</f>
        <v/>
      </c>
    </row>
    <row r="119">
      <c r="A119" s="81" t="str">
        <f>IF($Q119="","",112)</f>
        <v/>
      </c>
      <c r="B119" s="57" t="str">
        <f>IF($Q119="","",INDEX(TRANSACTIONS_MASTER!$B$5:$B$1204,$Q119))</f>
        <v/>
      </c>
      <c r="C119" s="55" t="str">
        <f>IF($Q119="","",INDEX(TRANSACTIONS_MASTER!$F$5:$F$1204,$Q119))</f>
        <v/>
      </c>
      <c r="D119" s="55" t="str">
        <f>IF($Q119="","",INDEX(TRANSACTIONS_MASTER!$E$5:$E$1204,$Q119))</f>
        <v/>
      </c>
      <c r="E119" s="55" t="str">
        <f>IF($Q119="","",INDEX(TRANSACTIONS_MASTER!$G$5:$G$1204,$Q119)&amp;"")</f>
        <v/>
      </c>
      <c r="F119" s="29" t="str">
        <f>IF($Q119="","",INDEX(TRANSACTIONS_MASTER!$I$5:$I$1204,$Q119))</f>
        <v/>
      </c>
      <c r="G119" s="55" t="str">
        <f>IF($Q119="","",INDEX(TRANSACTIONS_MASTER!$K$5:$K$1204,$Q119))</f>
        <v/>
      </c>
      <c r="H119" s="25" t="str">
        <f>IF($Q119="","",INDEX(TRANSACTIONS_MASTER!$L$5:$L$1204,$Q119))</f>
        <v/>
      </c>
      <c r="I119" s="56" t="str">
        <f>IF($Q119="","",INDEX(TRANSACTIONS_MASTER!$N$5:$N$1204,$Q119))</f>
        <v/>
      </c>
      <c r="J119" s="25" t="str">
        <f>IF($Q119="","",INDEX(TRANSACTIONS_MASTER!$O$5:$O$1204,$Q119))</f>
        <v/>
      </c>
      <c r="K119" s="26" t="str">
        <f>IF($Q119="","",INDEX(TRANSACTIONS_MASTER!$Q$5:$Q$1204,$Q119))</f>
        <v/>
      </c>
      <c r="L119" s="25" t="str">
        <f>IF($Q119="","",INDEX(TRANSACTIONS_MASTER!$P$5:$P$1204,$Q119))</f>
        <v/>
      </c>
      <c r="M119" s="25" t="str">
        <f>IF($Q119="","",INDEX(TRANSACTIONS_MASTER!$AA$5:$AA$1204,$Q119))</f>
        <v/>
      </c>
      <c r="N119" s="25" t="str">
        <f>IF($Q119="","",INDEX(TRANSACTIONS_MASTER!$R$5:$R$1204,$Q119))</f>
        <v/>
      </c>
      <c r="O119" s="28" t="str">
        <f>IF($Q119="","",INDEX(TRANSACTIONS_MASTER!$AB$5:$AB$1204,$Q119))</f>
        <v/>
      </c>
      <c r="P119" s="55" t="str">
        <f>IF($Q119="","",INDEX(TRANSACTIONS_MASTER!$Z$5:$Z$1204,$Q119)&amp;"")</f>
        <v/>
      </c>
      <c r="Q119" s="67" t="str">
        <f>IFERROR(MATCH($C$2&amp;"|"&amp;112,TRANSACTIONS_MASTER!$AE$5:$AE$1204,0),"")</f>
        <v/>
      </c>
      <c r="S119" s="67" t="str">
        <f>IFERROR(MATCH(1,INDEX((TRANSACTIONS_MASTER!$C$5:$C$1204=$C$2)*(TRANSACTIONS_MASTER!$AL$5:$AL$1204=3),0),0),"")</f>
        <v/>
      </c>
      <c r="T119" s="55" t="n"/>
      <c r="U119" s="55" t="str">
        <f>IF($S119="","",INDEX(TRANSACTIONS_MASTER!$K$5:$K$1204,$S119))</f>
        <v/>
      </c>
      <c r="V119" s="25" t="str">
        <f>IF($S119="","",SUMIFS(TRANSACTIONS_MASTER!$L$5:$L$1204,TRANSACTIONS_MASTER!$K$5:$K$1204,$U119,TRANSACTIONS_MASTER!$C$5:$C$1204,$C$2,TRANSACTIONS_MASTER!$U$5:$U$1204,"&lt;&gt;Cancelled"))</f>
        <v/>
      </c>
      <c r="W119" s="26" t="str">
        <f>IF($S119="","",SUMIFS(TRANSACTIONS_MASTER!$Q$5:$Q$1204,TRANSACTIONS_MASTER!$K$5:$K$1204,$U119,TRANSACTIONS_MASTER!$C$5:$C$1204,$C$2))</f>
        <v/>
      </c>
    </row>
    <row r="120">
      <c r="A120" s="81" t="str">
        <f>IF($Q120="","",113)</f>
        <v/>
      </c>
      <c r="B120" s="57" t="str">
        <f>IF($Q120="","",INDEX(TRANSACTIONS_MASTER!$B$5:$B$1204,$Q120))</f>
        <v/>
      </c>
      <c r="C120" s="55" t="str">
        <f>IF($Q120="","",INDEX(TRANSACTIONS_MASTER!$F$5:$F$1204,$Q120))</f>
        <v/>
      </c>
      <c r="D120" s="55" t="str">
        <f>IF($Q120="","",INDEX(TRANSACTIONS_MASTER!$E$5:$E$1204,$Q120))</f>
        <v/>
      </c>
      <c r="E120" s="55" t="str">
        <f>IF($Q120="","",INDEX(TRANSACTIONS_MASTER!$G$5:$G$1204,$Q120)&amp;"")</f>
        <v/>
      </c>
      <c r="F120" s="29" t="str">
        <f>IF($Q120="","",INDEX(TRANSACTIONS_MASTER!$I$5:$I$1204,$Q120))</f>
        <v/>
      </c>
      <c r="G120" s="55" t="str">
        <f>IF($Q120="","",INDEX(TRANSACTIONS_MASTER!$K$5:$K$1204,$Q120))</f>
        <v/>
      </c>
      <c r="H120" s="25" t="str">
        <f>IF($Q120="","",INDEX(TRANSACTIONS_MASTER!$L$5:$L$1204,$Q120))</f>
        <v/>
      </c>
      <c r="I120" s="56" t="str">
        <f>IF($Q120="","",INDEX(TRANSACTIONS_MASTER!$N$5:$N$1204,$Q120))</f>
        <v/>
      </c>
      <c r="J120" s="25" t="str">
        <f>IF($Q120="","",INDEX(TRANSACTIONS_MASTER!$O$5:$O$1204,$Q120))</f>
        <v/>
      </c>
      <c r="K120" s="26" t="str">
        <f>IF($Q120="","",INDEX(TRANSACTIONS_MASTER!$Q$5:$Q$1204,$Q120))</f>
        <v/>
      </c>
      <c r="L120" s="25" t="str">
        <f>IF($Q120="","",INDEX(TRANSACTIONS_MASTER!$P$5:$P$1204,$Q120))</f>
        <v/>
      </c>
      <c r="M120" s="25" t="str">
        <f>IF($Q120="","",INDEX(TRANSACTIONS_MASTER!$AA$5:$AA$1204,$Q120))</f>
        <v/>
      </c>
      <c r="N120" s="25" t="str">
        <f>IF($Q120="","",INDEX(TRANSACTIONS_MASTER!$R$5:$R$1204,$Q120))</f>
        <v/>
      </c>
      <c r="O120" s="28" t="str">
        <f>IF($Q120="","",INDEX(TRANSACTIONS_MASTER!$AB$5:$AB$1204,$Q120))</f>
        <v/>
      </c>
      <c r="P120" s="55" t="str">
        <f>IF($Q120="","",INDEX(TRANSACTIONS_MASTER!$Z$5:$Z$1204,$Q120)&amp;"")</f>
        <v/>
      </c>
      <c r="Q120" s="67" t="str">
        <f>IFERROR(MATCH($C$2&amp;"|"&amp;113,TRANSACTIONS_MASTER!$AE$5:$AE$1204,0),"")</f>
        <v/>
      </c>
      <c r="S120" s="67" t="str">
        <f>IFERROR(MATCH(1,INDEX((TRANSACTIONS_MASTER!$C$5:$C$1204=$C$2)*(TRANSACTIONS_MASTER!$AL$5:$AL$1204=4),0),0),"")</f>
        <v/>
      </c>
      <c r="T120" s="55" t="n"/>
      <c r="U120" s="55" t="str">
        <f>IF($S120="","",INDEX(TRANSACTIONS_MASTER!$K$5:$K$1204,$S120))</f>
        <v/>
      </c>
      <c r="V120" s="25" t="str">
        <f>IF($S120="","",SUMIFS(TRANSACTIONS_MASTER!$L$5:$L$1204,TRANSACTIONS_MASTER!$K$5:$K$1204,$U120,TRANSACTIONS_MASTER!$C$5:$C$1204,$C$2,TRANSACTIONS_MASTER!$U$5:$U$1204,"&lt;&gt;Cancelled"))</f>
        <v/>
      </c>
      <c r="W120" s="26" t="str">
        <f>IF($S120="","",SUMIFS(TRANSACTIONS_MASTER!$Q$5:$Q$1204,TRANSACTIONS_MASTER!$K$5:$K$1204,$U120,TRANSACTIONS_MASTER!$C$5:$C$1204,$C$2))</f>
        <v/>
      </c>
    </row>
    <row r="121">
      <c r="A121" s="81" t="str">
        <f>IF($Q121="","",114)</f>
        <v/>
      </c>
      <c r="B121" s="57" t="str">
        <f>IF($Q121="","",INDEX(TRANSACTIONS_MASTER!$B$5:$B$1204,$Q121))</f>
        <v/>
      </c>
      <c r="C121" s="55" t="str">
        <f>IF($Q121="","",INDEX(TRANSACTIONS_MASTER!$F$5:$F$1204,$Q121))</f>
        <v/>
      </c>
      <c r="D121" s="55" t="str">
        <f>IF($Q121="","",INDEX(TRANSACTIONS_MASTER!$E$5:$E$1204,$Q121))</f>
        <v/>
      </c>
      <c r="E121" s="55" t="str">
        <f>IF($Q121="","",INDEX(TRANSACTIONS_MASTER!$G$5:$G$1204,$Q121)&amp;"")</f>
        <v/>
      </c>
      <c r="F121" s="29" t="str">
        <f>IF($Q121="","",INDEX(TRANSACTIONS_MASTER!$I$5:$I$1204,$Q121))</f>
        <v/>
      </c>
      <c r="G121" s="55" t="str">
        <f>IF($Q121="","",INDEX(TRANSACTIONS_MASTER!$K$5:$K$1204,$Q121))</f>
        <v/>
      </c>
      <c r="H121" s="25" t="str">
        <f>IF($Q121="","",INDEX(TRANSACTIONS_MASTER!$L$5:$L$1204,$Q121))</f>
        <v/>
      </c>
      <c r="I121" s="56" t="str">
        <f>IF($Q121="","",INDEX(TRANSACTIONS_MASTER!$N$5:$N$1204,$Q121))</f>
        <v/>
      </c>
      <c r="J121" s="25" t="str">
        <f>IF($Q121="","",INDEX(TRANSACTIONS_MASTER!$O$5:$O$1204,$Q121))</f>
        <v/>
      </c>
      <c r="K121" s="26" t="str">
        <f>IF($Q121="","",INDEX(TRANSACTIONS_MASTER!$Q$5:$Q$1204,$Q121))</f>
        <v/>
      </c>
      <c r="L121" s="25" t="str">
        <f>IF($Q121="","",INDEX(TRANSACTIONS_MASTER!$P$5:$P$1204,$Q121))</f>
        <v/>
      </c>
      <c r="M121" s="25" t="str">
        <f>IF($Q121="","",INDEX(TRANSACTIONS_MASTER!$AA$5:$AA$1204,$Q121))</f>
        <v/>
      </c>
      <c r="N121" s="25" t="str">
        <f>IF($Q121="","",INDEX(TRANSACTIONS_MASTER!$R$5:$R$1204,$Q121))</f>
        <v/>
      </c>
      <c r="O121" s="28" t="str">
        <f>IF($Q121="","",INDEX(TRANSACTIONS_MASTER!$AB$5:$AB$1204,$Q121))</f>
        <v/>
      </c>
      <c r="P121" s="55" t="str">
        <f>IF($Q121="","",INDEX(TRANSACTIONS_MASTER!$Z$5:$Z$1204,$Q121)&amp;"")</f>
        <v/>
      </c>
      <c r="Q121" s="67" t="str">
        <f>IFERROR(MATCH($C$2&amp;"|"&amp;114,TRANSACTIONS_MASTER!$AE$5:$AE$1204,0),"")</f>
        <v/>
      </c>
      <c r="S121" s="67" t="str">
        <f>IFERROR(MATCH(1,INDEX((TRANSACTIONS_MASTER!$C$5:$C$1204=$C$2)*(TRANSACTIONS_MASTER!$AL$5:$AL$1204=5),0),0),"")</f>
        <v/>
      </c>
      <c r="T121" s="55" t="n"/>
      <c r="U121" s="55" t="str">
        <f>IF($S121="","",INDEX(TRANSACTIONS_MASTER!$K$5:$K$1204,$S121))</f>
        <v/>
      </c>
      <c r="V121" s="25" t="str">
        <f>IF($S121="","",SUMIFS(TRANSACTIONS_MASTER!$L$5:$L$1204,TRANSACTIONS_MASTER!$K$5:$K$1204,$U121,TRANSACTIONS_MASTER!$C$5:$C$1204,$C$2,TRANSACTIONS_MASTER!$U$5:$U$1204,"&lt;&gt;Cancelled"))</f>
        <v/>
      </c>
      <c r="W121" s="26" t="str">
        <f>IF($S121="","",SUMIFS(TRANSACTIONS_MASTER!$Q$5:$Q$1204,TRANSACTIONS_MASTER!$K$5:$K$1204,$U121,TRANSACTIONS_MASTER!$C$5:$C$1204,$C$2))</f>
        <v/>
      </c>
    </row>
    <row r="122">
      <c r="A122" s="81" t="str">
        <f>IF($Q122="","",115)</f>
        <v/>
      </c>
      <c r="B122" s="57" t="str">
        <f>IF($Q122="","",INDEX(TRANSACTIONS_MASTER!$B$5:$B$1204,$Q122))</f>
        <v/>
      </c>
      <c r="C122" s="55" t="str">
        <f>IF($Q122="","",INDEX(TRANSACTIONS_MASTER!$F$5:$F$1204,$Q122))</f>
        <v/>
      </c>
      <c r="D122" s="55" t="str">
        <f>IF($Q122="","",INDEX(TRANSACTIONS_MASTER!$E$5:$E$1204,$Q122))</f>
        <v/>
      </c>
      <c r="E122" s="55" t="str">
        <f>IF($Q122="","",INDEX(TRANSACTIONS_MASTER!$G$5:$G$1204,$Q122)&amp;"")</f>
        <v/>
      </c>
      <c r="F122" s="29" t="str">
        <f>IF($Q122="","",INDEX(TRANSACTIONS_MASTER!$I$5:$I$1204,$Q122))</f>
        <v/>
      </c>
      <c r="G122" s="55" t="str">
        <f>IF($Q122="","",INDEX(TRANSACTIONS_MASTER!$K$5:$K$1204,$Q122))</f>
        <v/>
      </c>
      <c r="H122" s="25" t="str">
        <f>IF($Q122="","",INDEX(TRANSACTIONS_MASTER!$L$5:$L$1204,$Q122))</f>
        <v/>
      </c>
      <c r="I122" s="56" t="str">
        <f>IF($Q122="","",INDEX(TRANSACTIONS_MASTER!$N$5:$N$1204,$Q122))</f>
        <v/>
      </c>
      <c r="J122" s="25" t="str">
        <f>IF($Q122="","",INDEX(TRANSACTIONS_MASTER!$O$5:$O$1204,$Q122))</f>
        <v/>
      </c>
      <c r="K122" s="26" t="str">
        <f>IF($Q122="","",INDEX(TRANSACTIONS_MASTER!$Q$5:$Q$1204,$Q122))</f>
        <v/>
      </c>
      <c r="L122" s="25" t="str">
        <f>IF($Q122="","",INDEX(TRANSACTIONS_MASTER!$P$5:$P$1204,$Q122))</f>
        <v/>
      </c>
      <c r="M122" s="25" t="str">
        <f>IF($Q122="","",INDEX(TRANSACTIONS_MASTER!$AA$5:$AA$1204,$Q122))</f>
        <v/>
      </c>
      <c r="N122" s="25" t="str">
        <f>IF($Q122="","",INDEX(TRANSACTIONS_MASTER!$R$5:$R$1204,$Q122))</f>
        <v/>
      </c>
      <c r="O122" s="28" t="str">
        <f>IF($Q122="","",INDEX(TRANSACTIONS_MASTER!$AB$5:$AB$1204,$Q122))</f>
        <v/>
      </c>
      <c r="P122" s="55" t="str">
        <f>IF($Q122="","",INDEX(TRANSACTIONS_MASTER!$Z$5:$Z$1204,$Q122)&amp;"")</f>
        <v/>
      </c>
      <c r="Q122" s="67" t="str">
        <f>IFERROR(MATCH($C$2&amp;"|"&amp;115,TRANSACTIONS_MASTER!$AE$5:$AE$1204,0),"")</f>
        <v/>
      </c>
      <c r="S122" s="67" t="str">
        <f>IFERROR(MATCH(1,INDEX((TRANSACTIONS_MASTER!$C$5:$C$1204=$C$2)*(TRANSACTIONS_MASTER!$AL$5:$AL$1204=6),0),0),"")</f>
        <v/>
      </c>
      <c r="T122" s="55" t="n"/>
      <c r="U122" s="55" t="str">
        <f>IF($S122="","",INDEX(TRANSACTIONS_MASTER!$K$5:$K$1204,$S122))</f>
        <v/>
      </c>
      <c r="V122" s="25" t="str">
        <f>IF($S122="","",SUMIFS(TRANSACTIONS_MASTER!$L$5:$L$1204,TRANSACTIONS_MASTER!$K$5:$K$1204,$U122,TRANSACTIONS_MASTER!$C$5:$C$1204,$C$2,TRANSACTIONS_MASTER!$U$5:$U$1204,"&lt;&gt;Cancelled"))</f>
        <v/>
      </c>
      <c r="W122" s="26" t="str">
        <f>IF($S122="","",SUMIFS(TRANSACTIONS_MASTER!$Q$5:$Q$1204,TRANSACTIONS_MASTER!$K$5:$K$1204,$U122,TRANSACTIONS_MASTER!$C$5:$C$1204,$C$2))</f>
        <v/>
      </c>
    </row>
    <row r="123">
      <c r="A123" s="81" t="str">
        <f>IF($Q123="","",116)</f>
        <v/>
      </c>
      <c r="B123" s="57" t="str">
        <f>IF($Q123="","",INDEX(TRANSACTIONS_MASTER!$B$5:$B$1204,$Q123))</f>
        <v/>
      </c>
      <c r="C123" s="55" t="str">
        <f>IF($Q123="","",INDEX(TRANSACTIONS_MASTER!$F$5:$F$1204,$Q123))</f>
        <v/>
      </c>
      <c r="D123" s="55" t="str">
        <f>IF($Q123="","",INDEX(TRANSACTIONS_MASTER!$E$5:$E$1204,$Q123))</f>
        <v/>
      </c>
      <c r="E123" s="55" t="str">
        <f>IF($Q123="","",INDEX(TRANSACTIONS_MASTER!$G$5:$G$1204,$Q123)&amp;"")</f>
        <v/>
      </c>
      <c r="F123" s="29" t="str">
        <f>IF($Q123="","",INDEX(TRANSACTIONS_MASTER!$I$5:$I$1204,$Q123))</f>
        <v/>
      </c>
      <c r="G123" s="55" t="str">
        <f>IF($Q123="","",INDEX(TRANSACTIONS_MASTER!$K$5:$K$1204,$Q123))</f>
        <v/>
      </c>
      <c r="H123" s="25" t="str">
        <f>IF($Q123="","",INDEX(TRANSACTIONS_MASTER!$L$5:$L$1204,$Q123))</f>
        <v/>
      </c>
      <c r="I123" s="56" t="str">
        <f>IF($Q123="","",INDEX(TRANSACTIONS_MASTER!$N$5:$N$1204,$Q123))</f>
        <v/>
      </c>
      <c r="J123" s="25" t="str">
        <f>IF($Q123="","",INDEX(TRANSACTIONS_MASTER!$O$5:$O$1204,$Q123))</f>
        <v/>
      </c>
      <c r="K123" s="26" t="str">
        <f>IF($Q123="","",INDEX(TRANSACTIONS_MASTER!$Q$5:$Q$1204,$Q123))</f>
        <v/>
      </c>
      <c r="L123" s="25" t="str">
        <f>IF($Q123="","",INDEX(TRANSACTIONS_MASTER!$P$5:$P$1204,$Q123))</f>
        <v/>
      </c>
      <c r="M123" s="25" t="str">
        <f>IF($Q123="","",INDEX(TRANSACTIONS_MASTER!$AA$5:$AA$1204,$Q123))</f>
        <v/>
      </c>
      <c r="N123" s="25" t="str">
        <f>IF($Q123="","",INDEX(TRANSACTIONS_MASTER!$R$5:$R$1204,$Q123))</f>
        <v/>
      </c>
      <c r="O123" s="28" t="str">
        <f>IF($Q123="","",INDEX(TRANSACTIONS_MASTER!$AB$5:$AB$1204,$Q123))</f>
        <v/>
      </c>
      <c r="P123" s="55" t="str">
        <f>IF($Q123="","",INDEX(TRANSACTIONS_MASTER!$Z$5:$Z$1204,$Q123)&amp;"")</f>
        <v/>
      </c>
      <c r="Q123" s="67" t="str">
        <f>IFERROR(MATCH($C$2&amp;"|"&amp;116,TRANSACTIONS_MASTER!$AE$5:$AE$1204,0),"")</f>
        <v/>
      </c>
      <c r="S123" s="67" t="str">
        <f>IFERROR(MATCH(1,INDEX((TRANSACTIONS_MASTER!$C$5:$C$1204=$C$2)*(TRANSACTIONS_MASTER!$AL$5:$AL$1204=7),0),0),"")</f>
        <v/>
      </c>
      <c r="T123" s="55" t="n"/>
      <c r="U123" s="55" t="str">
        <f>IF($S123="","",INDEX(TRANSACTIONS_MASTER!$K$5:$K$1204,$S123))</f>
        <v/>
      </c>
      <c r="V123" s="25" t="str">
        <f>IF($S123="","",SUMIFS(TRANSACTIONS_MASTER!$L$5:$L$1204,TRANSACTIONS_MASTER!$K$5:$K$1204,$U123,TRANSACTIONS_MASTER!$C$5:$C$1204,$C$2,TRANSACTIONS_MASTER!$U$5:$U$1204,"&lt;&gt;Cancelled"))</f>
        <v/>
      </c>
      <c r="W123" s="26" t="str">
        <f>IF($S123="","",SUMIFS(TRANSACTIONS_MASTER!$Q$5:$Q$1204,TRANSACTIONS_MASTER!$K$5:$K$1204,$U123,TRANSACTIONS_MASTER!$C$5:$C$1204,$C$2))</f>
        <v/>
      </c>
    </row>
    <row r="124">
      <c r="A124" s="81" t="str">
        <f>IF($Q124="","",117)</f>
        <v/>
      </c>
      <c r="B124" s="57" t="str">
        <f>IF($Q124="","",INDEX(TRANSACTIONS_MASTER!$B$5:$B$1204,$Q124))</f>
        <v/>
      </c>
      <c r="C124" s="55" t="str">
        <f>IF($Q124="","",INDEX(TRANSACTIONS_MASTER!$F$5:$F$1204,$Q124))</f>
        <v/>
      </c>
      <c r="D124" s="55" t="str">
        <f>IF($Q124="","",INDEX(TRANSACTIONS_MASTER!$E$5:$E$1204,$Q124))</f>
        <v/>
      </c>
      <c r="E124" s="55" t="str">
        <f>IF($Q124="","",INDEX(TRANSACTIONS_MASTER!$G$5:$G$1204,$Q124)&amp;"")</f>
        <v/>
      </c>
      <c r="F124" s="29" t="str">
        <f>IF($Q124="","",INDEX(TRANSACTIONS_MASTER!$I$5:$I$1204,$Q124))</f>
        <v/>
      </c>
      <c r="G124" s="55" t="str">
        <f>IF($Q124="","",INDEX(TRANSACTIONS_MASTER!$K$5:$K$1204,$Q124))</f>
        <v/>
      </c>
      <c r="H124" s="25" t="str">
        <f>IF($Q124="","",INDEX(TRANSACTIONS_MASTER!$L$5:$L$1204,$Q124))</f>
        <v/>
      </c>
      <c r="I124" s="56" t="str">
        <f>IF($Q124="","",INDEX(TRANSACTIONS_MASTER!$N$5:$N$1204,$Q124))</f>
        <v/>
      </c>
      <c r="J124" s="25" t="str">
        <f>IF($Q124="","",INDEX(TRANSACTIONS_MASTER!$O$5:$O$1204,$Q124))</f>
        <v/>
      </c>
      <c r="K124" s="26" t="str">
        <f>IF($Q124="","",INDEX(TRANSACTIONS_MASTER!$Q$5:$Q$1204,$Q124))</f>
        <v/>
      </c>
      <c r="L124" s="25" t="str">
        <f>IF($Q124="","",INDEX(TRANSACTIONS_MASTER!$P$5:$P$1204,$Q124))</f>
        <v/>
      </c>
      <c r="M124" s="25" t="str">
        <f>IF($Q124="","",INDEX(TRANSACTIONS_MASTER!$AA$5:$AA$1204,$Q124))</f>
        <v/>
      </c>
      <c r="N124" s="25" t="str">
        <f>IF($Q124="","",INDEX(TRANSACTIONS_MASTER!$R$5:$R$1204,$Q124))</f>
        <v/>
      </c>
      <c r="O124" s="28" t="str">
        <f>IF($Q124="","",INDEX(TRANSACTIONS_MASTER!$AB$5:$AB$1204,$Q124))</f>
        <v/>
      </c>
      <c r="P124" s="55" t="str">
        <f>IF($Q124="","",INDEX(TRANSACTIONS_MASTER!$Z$5:$Z$1204,$Q124)&amp;"")</f>
        <v/>
      </c>
      <c r="Q124" s="67" t="str">
        <f>IFERROR(MATCH($C$2&amp;"|"&amp;117,TRANSACTIONS_MASTER!$AE$5:$AE$1204,0),"")</f>
        <v/>
      </c>
      <c r="S124" s="67" t="str">
        <f>IFERROR(MATCH(1,INDEX((TRANSACTIONS_MASTER!$C$5:$C$1204=$C$2)*(TRANSACTIONS_MASTER!$AL$5:$AL$1204=8),0),0),"")</f>
        <v/>
      </c>
      <c r="T124" s="55" t="n"/>
      <c r="U124" s="55" t="str">
        <f>IF($S124="","",INDEX(TRANSACTIONS_MASTER!$K$5:$K$1204,$S124))</f>
        <v/>
      </c>
      <c r="V124" s="25" t="str">
        <f>IF($S124="","",SUMIFS(TRANSACTIONS_MASTER!$L$5:$L$1204,TRANSACTIONS_MASTER!$K$5:$K$1204,$U124,TRANSACTIONS_MASTER!$C$5:$C$1204,$C$2,TRANSACTIONS_MASTER!$U$5:$U$1204,"&lt;&gt;Cancelled"))</f>
        <v/>
      </c>
      <c r="W124" s="26" t="str">
        <f>IF($S124="","",SUMIFS(TRANSACTIONS_MASTER!$Q$5:$Q$1204,TRANSACTIONS_MASTER!$K$5:$K$1204,$U124,TRANSACTIONS_MASTER!$C$5:$C$1204,$C$2))</f>
        <v/>
      </c>
    </row>
    <row r="125">
      <c r="A125" s="81" t="str">
        <f>IF($Q125="","",118)</f>
        <v/>
      </c>
      <c r="B125" s="57" t="str">
        <f>IF($Q125="","",INDEX(TRANSACTIONS_MASTER!$B$5:$B$1204,$Q125))</f>
        <v/>
      </c>
      <c r="C125" s="55" t="str">
        <f>IF($Q125="","",INDEX(TRANSACTIONS_MASTER!$F$5:$F$1204,$Q125))</f>
        <v/>
      </c>
      <c r="D125" s="55" t="str">
        <f>IF($Q125="","",INDEX(TRANSACTIONS_MASTER!$E$5:$E$1204,$Q125))</f>
        <v/>
      </c>
      <c r="E125" s="55" t="str">
        <f>IF($Q125="","",INDEX(TRANSACTIONS_MASTER!$G$5:$G$1204,$Q125)&amp;"")</f>
        <v/>
      </c>
      <c r="F125" s="29" t="str">
        <f>IF($Q125="","",INDEX(TRANSACTIONS_MASTER!$I$5:$I$1204,$Q125))</f>
        <v/>
      </c>
      <c r="G125" s="55" t="str">
        <f>IF($Q125="","",INDEX(TRANSACTIONS_MASTER!$K$5:$K$1204,$Q125))</f>
        <v/>
      </c>
      <c r="H125" s="25" t="str">
        <f>IF($Q125="","",INDEX(TRANSACTIONS_MASTER!$L$5:$L$1204,$Q125))</f>
        <v/>
      </c>
      <c r="I125" s="56" t="str">
        <f>IF($Q125="","",INDEX(TRANSACTIONS_MASTER!$N$5:$N$1204,$Q125))</f>
        <v/>
      </c>
      <c r="J125" s="25" t="str">
        <f>IF($Q125="","",INDEX(TRANSACTIONS_MASTER!$O$5:$O$1204,$Q125))</f>
        <v/>
      </c>
      <c r="K125" s="26" t="str">
        <f>IF($Q125="","",INDEX(TRANSACTIONS_MASTER!$Q$5:$Q$1204,$Q125))</f>
        <v/>
      </c>
      <c r="L125" s="25" t="str">
        <f>IF($Q125="","",INDEX(TRANSACTIONS_MASTER!$P$5:$P$1204,$Q125))</f>
        <v/>
      </c>
      <c r="M125" s="25" t="str">
        <f>IF($Q125="","",INDEX(TRANSACTIONS_MASTER!$AA$5:$AA$1204,$Q125))</f>
        <v/>
      </c>
      <c r="N125" s="25" t="str">
        <f>IF($Q125="","",INDEX(TRANSACTIONS_MASTER!$R$5:$R$1204,$Q125))</f>
        <v/>
      </c>
      <c r="O125" s="28" t="str">
        <f>IF($Q125="","",INDEX(TRANSACTIONS_MASTER!$AB$5:$AB$1204,$Q125))</f>
        <v/>
      </c>
      <c r="P125" s="55" t="str">
        <f>IF($Q125="","",INDEX(TRANSACTIONS_MASTER!$Z$5:$Z$1204,$Q125)&amp;"")</f>
        <v/>
      </c>
      <c r="Q125" s="67" t="str">
        <f>IFERROR(MATCH($C$2&amp;"|"&amp;118,TRANSACTIONS_MASTER!$AE$5:$AE$1204,0),"")</f>
        <v/>
      </c>
      <c r="S125" s="67" t="str">
        <f>IFERROR(MATCH(1,INDEX((TRANSACTIONS_MASTER!$C$5:$C$1204=$C$2)*(TRANSACTIONS_MASTER!$AL$5:$AL$1204=9),0),0),"")</f>
        <v/>
      </c>
      <c r="T125" s="55" t="n"/>
      <c r="U125" s="55" t="str">
        <f>IF($S125="","",INDEX(TRANSACTIONS_MASTER!$K$5:$K$1204,$S125))</f>
        <v/>
      </c>
      <c r="V125" s="25" t="str">
        <f>IF($S125="","",SUMIFS(TRANSACTIONS_MASTER!$L$5:$L$1204,TRANSACTIONS_MASTER!$K$5:$K$1204,$U125,TRANSACTIONS_MASTER!$C$5:$C$1204,$C$2,TRANSACTIONS_MASTER!$U$5:$U$1204,"&lt;&gt;Cancelled"))</f>
        <v/>
      </c>
      <c r="W125" s="26" t="str">
        <f>IF($S125="","",SUMIFS(TRANSACTIONS_MASTER!$Q$5:$Q$1204,TRANSACTIONS_MASTER!$K$5:$K$1204,$U125,TRANSACTIONS_MASTER!$C$5:$C$1204,$C$2))</f>
        <v/>
      </c>
    </row>
    <row r="126">
      <c r="A126" s="81" t="str">
        <f>IF($Q126="","",119)</f>
        <v/>
      </c>
      <c r="B126" s="57" t="str">
        <f>IF($Q126="","",INDEX(TRANSACTIONS_MASTER!$B$5:$B$1204,$Q126))</f>
        <v/>
      </c>
      <c r="C126" s="55" t="str">
        <f>IF($Q126="","",INDEX(TRANSACTIONS_MASTER!$F$5:$F$1204,$Q126))</f>
        <v/>
      </c>
      <c r="D126" s="55" t="str">
        <f>IF($Q126="","",INDEX(TRANSACTIONS_MASTER!$E$5:$E$1204,$Q126))</f>
        <v/>
      </c>
      <c r="E126" s="55" t="str">
        <f>IF($Q126="","",INDEX(TRANSACTIONS_MASTER!$G$5:$G$1204,$Q126)&amp;"")</f>
        <v/>
      </c>
      <c r="F126" s="29" t="str">
        <f>IF($Q126="","",INDEX(TRANSACTIONS_MASTER!$I$5:$I$1204,$Q126))</f>
        <v/>
      </c>
      <c r="G126" s="55" t="str">
        <f>IF($Q126="","",INDEX(TRANSACTIONS_MASTER!$K$5:$K$1204,$Q126))</f>
        <v/>
      </c>
      <c r="H126" s="25" t="str">
        <f>IF($Q126="","",INDEX(TRANSACTIONS_MASTER!$L$5:$L$1204,$Q126))</f>
        <v/>
      </c>
      <c r="I126" s="56" t="str">
        <f>IF($Q126="","",INDEX(TRANSACTIONS_MASTER!$N$5:$N$1204,$Q126))</f>
        <v/>
      </c>
      <c r="J126" s="25" t="str">
        <f>IF($Q126="","",INDEX(TRANSACTIONS_MASTER!$O$5:$O$1204,$Q126))</f>
        <v/>
      </c>
      <c r="K126" s="26" t="str">
        <f>IF($Q126="","",INDEX(TRANSACTIONS_MASTER!$Q$5:$Q$1204,$Q126))</f>
        <v/>
      </c>
      <c r="L126" s="25" t="str">
        <f>IF($Q126="","",INDEX(TRANSACTIONS_MASTER!$P$5:$P$1204,$Q126))</f>
        <v/>
      </c>
      <c r="M126" s="25" t="str">
        <f>IF($Q126="","",INDEX(TRANSACTIONS_MASTER!$AA$5:$AA$1204,$Q126))</f>
        <v/>
      </c>
      <c r="N126" s="25" t="str">
        <f>IF($Q126="","",INDEX(TRANSACTIONS_MASTER!$R$5:$R$1204,$Q126))</f>
        <v/>
      </c>
      <c r="O126" s="28" t="str">
        <f>IF($Q126="","",INDEX(TRANSACTIONS_MASTER!$AB$5:$AB$1204,$Q126))</f>
        <v/>
      </c>
      <c r="P126" s="55" t="str">
        <f>IF($Q126="","",INDEX(TRANSACTIONS_MASTER!$Z$5:$Z$1204,$Q126)&amp;"")</f>
        <v/>
      </c>
      <c r="Q126" s="67" t="str">
        <f>IFERROR(MATCH($C$2&amp;"|"&amp;119,TRANSACTIONS_MASTER!$AE$5:$AE$1204,0),"")</f>
        <v/>
      </c>
      <c r="S126" s="67" t="str">
        <f>IFERROR(MATCH(1,INDEX((TRANSACTIONS_MASTER!$C$5:$C$1204=$C$2)*(TRANSACTIONS_MASTER!$AL$5:$AL$1204=10),0),0),"")</f>
        <v/>
      </c>
      <c r="T126" s="55" t="n"/>
      <c r="U126" s="55" t="str">
        <f>IF($S126="","",INDEX(TRANSACTIONS_MASTER!$K$5:$K$1204,$S126))</f>
        <v/>
      </c>
      <c r="V126" s="25" t="str">
        <f>IF($S126="","",SUMIFS(TRANSACTIONS_MASTER!$L$5:$L$1204,TRANSACTIONS_MASTER!$K$5:$K$1204,$U126,TRANSACTIONS_MASTER!$C$5:$C$1204,$C$2,TRANSACTIONS_MASTER!$U$5:$U$1204,"&lt;&gt;Cancelled"))</f>
        <v/>
      </c>
      <c r="W126" s="26" t="str">
        <f>IF($S126="","",SUMIFS(TRANSACTIONS_MASTER!$Q$5:$Q$1204,TRANSACTIONS_MASTER!$K$5:$K$1204,$U126,TRANSACTIONS_MASTER!$C$5:$C$1204,$C$2))</f>
        <v/>
      </c>
    </row>
    <row r="127">
      <c r="A127" s="81" t="str">
        <f>IF($Q127="","",120)</f>
        <v/>
      </c>
      <c r="B127" s="57" t="str">
        <f>IF($Q127="","",INDEX(TRANSACTIONS_MASTER!$B$5:$B$1204,$Q127))</f>
        <v/>
      </c>
      <c r="C127" s="55" t="str">
        <f>IF($Q127="","",INDEX(TRANSACTIONS_MASTER!$F$5:$F$1204,$Q127))</f>
        <v/>
      </c>
      <c r="D127" s="55" t="str">
        <f>IF($Q127="","",INDEX(TRANSACTIONS_MASTER!$E$5:$E$1204,$Q127))</f>
        <v/>
      </c>
      <c r="E127" s="55" t="str">
        <f>IF($Q127="","",INDEX(TRANSACTIONS_MASTER!$G$5:$G$1204,$Q127)&amp;"")</f>
        <v/>
      </c>
      <c r="F127" s="29" t="str">
        <f>IF($Q127="","",INDEX(TRANSACTIONS_MASTER!$I$5:$I$1204,$Q127))</f>
        <v/>
      </c>
      <c r="G127" s="55" t="str">
        <f>IF($Q127="","",INDEX(TRANSACTIONS_MASTER!$K$5:$K$1204,$Q127))</f>
        <v/>
      </c>
      <c r="H127" s="25" t="str">
        <f>IF($Q127="","",INDEX(TRANSACTIONS_MASTER!$L$5:$L$1204,$Q127))</f>
        <v/>
      </c>
      <c r="I127" s="56" t="str">
        <f>IF($Q127="","",INDEX(TRANSACTIONS_MASTER!$N$5:$N$1204,$Q127))</f>
        <v/>
      </c>
      <c r="J127" s="25" t="str">
        <f>IF($Q127="","",INDEX(TRANSACTIONS_MASTER!$O$5:$O$1204,$Q127))</f>
        <v/>
      </c>
      <c r="K127" s="26" t="str">
        <f>IF($Q127="","",INDEX(TRANSACTIONS_MASTER!$Q$5:$Q$1204,$Q127))</f>
        <v/>
      </c>
      <c r="L127" s="25" t="str">
        <f>IF($Q127="","",INDEX(TRANSACTIONS_MASTER!$P$5:$P$1204,$Q127))</f>
        <v/>
      </c>
      <c r="M127" s="25" t="str">
        <f>IF($Q127="","",INDEX(TRANSACTIONS_MASTER!$AA$5:$AA$1204,$Q127))</f>
        <v/>
      </c>
      <c r="N127" s="25" t="str">
        <f>IF($Q127="","",INDEX(TRANSACTIONS_MASTER!$R$5:$R$1204,$Q127))</f>
        <v/>
      </c>
      <c r="O127" s="28" t="str">
        <f>IF($Q127="","",INDEX(TRANSACTIONS_MASTER!$AB$5:$AB$1204,$Q127))</f>
        <v/>
      </c>
      <c r="P127" s="55" t="str">
        <f>IF($Q127="","",INDEX(TRANSACTIONS_MASTER!$Z$5:$Z$1204,$Q127)&amp;"")</f>
        <v/>
      </c>
      <c r="Q127" s="67" t="str">
        <f>IFERROR(MATCH($C$2&amp;"|"&amp;120,TRANSACTIONS_MASTER!$AE$5:$AE$1204,0),"")</f>
        <v/>
      </c>
      <c r="S127" s="67" t="str">
        <f>IFERROR(MATCH(1,INDEX((TRANSACTIONS_MASTER!$C$5:$C$1204=$C$2)*(TRANSACTIONS_MASTER!$AL$5:$AL$1204=11),0),0),"")</f>
        <v/>
      </c>
      <c r="T127" s="55" t="n"/>
      <c r="U127" s="55" t="str">
        <f>IF($S127="","",INDEX(TRANSACTIONS_MASTER!$K$5:$K$1204,$S127))</f>
        <v/>
      </c>
      <c r="V127" s="25" t="str">
        <f>IF($S127="","",SUMIFS(TRANSACTIONS_MASTER!$L$5:$L$1204,TRANSACTIONS_MASTER!$K$5:$K$1204,$U127,TRANSACTIONS_MASTER!$C$5:$C$1204,$C$2,TRANSACTIONS_MASTER!$U$5:$U$1204,"&lt;&gt;Cancelled"))</f>
        <v/>
      </c>
      <c r="W127" s="26" t="str">
        <f>IF($S127="","",SUMIFS(TRANSACTIONS_MASTER!$Q$5:$Q$1204,TRANSACTIONS_MASTER!$K$5:$K$1204,$U127,TRANSACTIONS_MASTER!$C$5:$C$1204,$C$2))</f>
        <v/>
      </c>
    </row>
    <row r="128">
      <c r="A128" s="81" t="str">
        <f>IF($Q128="","",121)</f>
        <v/>
      </c>
      <c r="B128" s="57" t="str">
        <f>IF($Q128="","",INDEX(TRANSACTIONS_MASTER!$B$5:$B$1204,$Q128))</f>
        <v/>
      </c>
      <c r="C128" s="55" t="str">
        <f>IF($Q128="","",INDEX(TRANSACTIONS_MASTER!$F$5:$F$1204,$Q128))</f>
        <v/>
      </c>
      <c r="D128" s="55" t="str">
        <f>IF($Q128="","",INDEX(TRANSACTIONS_MASTER!$E$5:$E$1204,$Q128))</f>
        <v/>
      </c>
      <c r="E128" s="55" t="str">
        <f>IF($Q128="","",INDEX(TRANSACTIONS_MASTER!$G$5:$G$1204,$Q128)&amp;"")</f>
        <v/>
      </c>
      <c r="F128" s="29" t="str">
        <f>IF($Q128="","",INDEX(TRANSACTIONS_MASTER!$I$5:$I$1204,$Q128))</f>
        <v/>
      </c>
      <c r="G128" s="55" t="str">
        <f>IF($Q128="","",INDEX(TRANSACTIONS_MASTER!$K$5:$K$1204,$Q128))</f>
        <v/>
      </c>
      <c r="H128" s="25" t="str">
        <f>IF($Q128="","",INDEX(TRANSACTIONS_MASTER!$L$5:$L$1204,$Q128))</f>
        <v/>
      </c>
      <c r="I128" s="56" t="str">
        <f>IF($Q128="","",INDEX(TRANSACTIONS_MASTER!$N$5:$N$1204,$Q128))</f>
        <v/>
      </c>
      <c r="J128" s="25" t="str">
        <f>IF($Q128="","",INDEX(TRANSACTIONS_MASTER!$O$5:$O$1204,$Q128))</f>
        <v/>
      </c>
      <c r="K128" s="26" t="str">
        <f>IF($Q128="","",INDEX(TRANSACTIONS_MASTER!$Q$5:$Q$1204,$Q128))</f>
        <v/>
      </c>
      <c r="L128" s="25" t="str">
        <f>IF($Q128="","",INDEX(TRANSACTIONS_MASTER!$P$5:$P$1204,$Q128))</f>
        <v/>
      </c>
      <c r="M128" s="25" t="str">
        <f>IF($Q128="","",INDEX(TRANSACTIONS_MASTER!$AA$5:$AA$1204,$Q128))</f>
        <v/>
      </c>
      <c r="N128" s="25" t="str">
        <f>IF($Q128="","",INDEX(TRANSACTIONS_MASTER!$R$5:$R$1204,$Q128))</f>
        <v/>
      </c>
      <c r="O128" s="28" t="str">
        <f>IF($Q128="","",INDEX(TRANSACTIONS_MASTER!$AB$5:$AB$1204,$Q128))</f>
        <v/>
      </c>
      <c r="P128" s="55" t="str">
        <f>IF($Q128="","",INDEX(TRANSACTIONS_MASTER!$Z$5:$Z$1204,$Q128)&amp;"")</f>
        <v/>
      </c>
      <c r="Q128" s="67" t="str">
        <f>IFERROR(MATCH($C$2&amp;"|"&amp;121,TRANSACTIONS_MASTER!$AE$5:$AE$1204,0),"")</f>
        <v/>
      </c>
      <c r="S128" s="67" t="str">
        <f>IFERROR(MATCH(1,INDEX((TRANSACTIONS_MASTER!$C$5:$C$1204=$C$2)*(TRANSACTIONS_MASTER!$AL$5:$AL$1204=12),0),0),"")</f>
        <v/>
      </c>
      <c r="T128" s="55" t="n"/>
      <c r="U128" s="55" t="str">
        <f>IF($S128="","",INDEX(TRANSACTIONS_MASTER!$K$5:$K$1204,$S128))</f>
        <v/>
      </c>
      <c r="V128" s="25" t="str">
        <f>IF($S128="","",SUMIFS(TRANSACTIONS_MASTER!$L$5:$L$1204,TRANSACTIONS_MASTER!$K$5:$K$1204,$U128,TRANSACTIONS_MASTER!$C$5:$C$1204,$C$2,TRANSACTIONS_MASTER!$U$5:$U$1204,"&lt;&gt;Cancelled"))</f>
        <v/>
      </c>
      <c r="W128" s="26" t="str">
        <f>IF($S128="","",SUMIFS(TRANSACTIONS_MASTER!$Q$5:$Q$1204,TRANSACTIONS_MASTER!$K$5:$K$1204,$U128,TRANSACTIONS_MASTER!$C$5:$C$1204,$C$2))</f>
        <v/>
      </c>
    </row>
    <row r="129">
      <c r="A129" s="81" t="str">
        <f>IF($Q129="","",122)</f>
        <v/>
      </c>
      <c r="B129" s="57" t="str">
        <f>IF($Q129="","",INDEX(TRANSACTIONS_MASTER!$B$5:$B$1204,$Q129))</f>
        <v/>
      </c>
      <c r="C129" s="55" t="str">
        <f>IF($Q129="","",INDEX(TRANSACTIONS_MASTER!$F$5:$F$1204,$Q129))</f>
        <v/>
      </c>
      <c r="D129" s="55" t="str">
        <f>IF($Q129="","",INDEX(TRANSACTIONS_MASTER!$E$5:$E$1204,$Q129))</f>
        <v/>
      </c>
      <c r="E129" s="55" t="str">
        <f>IF($Q129="","",INDEX(TRANSACTIONS_MASTER!$G$5:$G$1204,$Q129)&amp;"")</f>
        <v/>
      </c>
      <c r="F129" s="29" t="str">
        <f>IF($Q129="","",INDEX(TRANSACTIONS_MASTER!$I$5:$I$1204,$Q129))</f>
        <v/>
      </c>
      <c r="G129" s="55" t="str">
        <f>IF($Q129="","",INDEX(TRANSACTIONS_MASTER!$K$5:$K$1204,$Q129))</f>
        <v/>
      </c>
      <c r="H129" s="25" t="str">
        <f>IF($Q129="","",INDEX(TRANSACTIONS_MASTER!$L$5:$L$1204,$Q129))</f>
        <v/>
      </c>
      <c r="I129" s="56" t="str">
        <f>IF($Q129="","",INDEX(TRANSACTIONS_MASTER!$N$5:$N$1204,$Q129))</f>
        <v/>
      </c>
      <c r="J129" s="25" t="str">
        <f>IF($Q129="","",INDEX(TRANSACTIONS_MASTER!$O$5:$O$1204,$Q129))</f>
        <v/>
      </c>
      <c r="K129" s="26" t="str">
        <f>IF($Q129="","",INDEX(TRANSACTIONS_MASTER!$Q$5:$Q$1204,$Q129))</f>
        <v/>
      </c>
      <c r="L129" s="25" t="str">
        <f>IF($Q129="","",INDEX(TRANSACTIONS_MASTER!$P$5:$P$1204,$Q129))</f>
        <v/>
      </c>
      <c r="M129" s="25" t="str">
        <f>IF($Q129="","",INDEX(TRANSACTIONS_MASTER!$AA$5:$AA$1204,$Q129))</f>
        <v/>
      </c>
      <c r="N129" s="25" t="str">
        <f>IF($Q129="","",INDEX(TRANSACTIONS_MASTER!$R$5:$R$1204,$Q129))</f>
        <v/>
      </c>
      <c r="O129" s="28" t="str">
        <f>IF($Q129="","",INDEX(TRANSACTIONS_MASTER!$AB$5:$AB$1204,$Q129))</f>
        <v/>
      </c>
      <c r="P129" s="55" t="str">
        <f>IF($Q129="","",INDEX(TRANSACTIONS_MASTER!$Z$5:$Z$1204,$Q129)&amp;"")</f>
        <v/>
      </c>
      <c r="Q129" s="67" t="str">
        <f>IFERROR(MATCH($C$2&amp;"|"&amp;122,TRANSACTIONS_MASTER!$AE$5:$AE$1204,0),"")</f>
        <v/>
      </c>
      <c r="S129" s="67" t="str">
        <f>IFERROR(MATCH(1,INDEX((TRANSACTIONS_MASTER!$C$5:$C$1204=$C$2)*(TRANSACTIONS_MASTER!$AL$5:$AL$1204=13),0),0),"")</f>
        <v/>
      </c>
      <c r="T129" s="55" t="n"/>
      <c r="U129" s="55" t="str">
        <f>IF($S129="","",INDEX(TRANSACTIONS_MASTER!$K$5:$K$1204,$S129))</f>
        <v/>
      </c>
      <c r="V129" s="25" t="str">
        <f>IF($S129="","",SUMIFS(TRANSACTIONS_MASTER!$L$5:$L$1204,TRANSACTIONS_MASTER!$K$5:$K$1204,$U129,TRANSACTIONS_MASTER!$C$5:$C$1204,$C$2,TRANSACTIONS_MASTER!$U$5:$U$1204,"&lt;&gt;Cancelled"))</f>
        <v/>
      </c>
      <c r="W129" s="26" t="str">
        <f>IF($S129="","",SUMIFS(TRANSACTIONS_MASTER!$Q$5:$Q$1204,TRANSACTIONS_MASTER!$K$5:$K$1204,$U129,TRANSACTIONS_MASTER!$C$5:$C$1204,$C$2))</f>
        <v/>
      </c>
    </row>
    <row r="130">
      <c r="A130" s="81" t="str">
        <f>IF($Q130="","",123)</f>
        <v/>
      </c>
      <c r="B130" s="57" t="str">
        <f>IF($Q130="","",INDEX(TRANSACTIONS_MASTER!$B$5:$B$1204,$Q130))</f>
        <v/>
      </c>
      <c r="C130" s="55" t="str">
        <f>IF($Q130="","",INDEX(TRANSACTIONS_MASTER!$F$5:$F$1204,$Q130))</f>
        <v/>
      </c>
      <c r="D130" s="55" t="str">
        <f>IF($Q130="","",INDEX(TRANSACTIONS_MASTER!$E$5:$E$1204,$Q130))</f>
        <v/>
      </c>
      <c r="E130" s="55" t="str">
        <f>IF($Q130="","",INDEX(TRANSACTIONS_MASTER!$G$5:$G$1204,$Q130)&amp;"")</f>
        <v/>
      </c>
      <c r="F130" s="29" t="str">
        <f>IF($Q130="","",INDEX(TRANSACTIONS_MASTER!$I$5:$I$1204,$Q130))</f>
        <v/>
      </c>
      <c r="G130" s="55" t="str">
        <f>IF($Q130="","",INDEX(TRANSACTIONS_MASTER!$K$5:$K$1204,$Q130))</f>
        <v/>
      </c>
      <c r="H130" s="25" t="str">
        <f>IF($Q130="","",INDEX(TRANSACTIONS_MASTER!$L$5:$L$1204,$Q130))</f>
        <v/>
      </c>
      <c r="I130" s="56" t="str">
        <f>IF($Q130="","",INDEX(TRANSACTIONS_MASTER!$N$5:$N$1204,$Q130))</f>
        <v/>
      </c>
      <c r="J130" s="25" t="str">
        <f>IF($Q130="","",INDEX(TRANSACTIONS_MASTER!$O$5:$O$1204,$Q130))</f>
        <v/>
      </c>
      <c r="K130" s="26" t="str">
        <f>IF($Q130="","",INDEX(TRANSACTIONS_MASTER!$Q$5:$Q$1204,$Q130))</f>
        <v/>
      </c>
      <c r="L130" s="25" t="str">
        <f>IF($Q130="","",INDEX(TRANSACTIONS_MASTER!$P$5:$P$1204,$Q130))</f>
        <v/>
      </c>
      <c r="M130" s="25" t="str">
        <f>IF($Q130="","",INDEX(TRANSACTIONS_MASTER!$AA$5:$AA$1204,$Q130))</f>
        <v/>
      </c>
      <c r="N130" s="25" t="str">
        <f>IF($Q130="","",INDEX(TRANSACTIONS_MASTER!$R$5:$R$1204,$Q130))</f>
        <v/>
      </c>
      <c r="O130" s="28" t="str">
        <f>IF($Q130="","",INDEX(TRANSACTIONS_MASTER!$AB$5:$AB$1204,$Q130))</f>
        <v/>
      </c>
      <c r="P130" s="55" t="str">
        <f>IF($Q130="","",INDEX(TRANSACTIONS_MASTER!$Z$5:$Z$1204,$Q130)&amp;"")</f>
        <v/>
      </c>
      <c r="Q130" s="67" t="str">
        <f>IFERROR(MATCH($C$2&amp;"|"&amp;123,TRANSACTIONS_MASTER!$AE$5:$AE$1204,0),"")</f>
        <v/>
      </c>
      <c r="S130" s="67" t="str">
        <f>IFERROR(MATCH(1,INDEX((TRANSACTIONS_MASTER!$C$5:$C$1204=$C$2)*(TRANSACTIONS_MASTER!$AL$5:$AL$1204=14),0),0),"")</f>
        <v/>
      </c>
      <c r="T130" s="55" t="n"/>
      <c r="U130" s="55" t="str">
        <f>IF($S130="","",INDEX(TRANSACTIONS_MASTER!$K$5:$K$1204,$S130))</f>
        <v/>
      </c>
      <c r="V130" s="25" t="str">
        <f>IF($S130="","",SUMIFS(TRANSACTIONS_MASTER!$L$5:$L$1204,TRANSACTIONS_MASTER!$K$5:$K$1204,$U130,TRANSACTIONS_MASTER!$C$5:$C$1204,$C$2,TRANSACTIONS_MASTER!$U$5:$U$1204,"&lt;&gt;Cancelled"))</f>
        <v/>
      </c>
      <c r="W130" s="26" t="str">
        <f>IF($S130="","",SUMIFS(TRANSACTIONS_MASTER!$Q$5:$Q$1204,TRANSACTIONS_MASTER!$K$5:$K$1204,$U130,TRANSACTIONS_MASTER!$C$5:$C$1204,$C$2))</f>
        <v/>
      </c>
    </row>
    <row r="131">
      <c r="A131" s="81" t="str">
        <f>IF($Q131="","",124)</f>
        <v/>
      </c>
      <c r="B131" s="57" t="str">
        <f>IF($Q131="","",INDEX(TRANSACTIONS_MASTER!$B$5:$B$1204,$Q131))</f>
        <v/>
      </c>
      <c r="C131" s="55" t="str">
        <f>IF($Q131="","",INDEX(TRANSACTIONS_MASTER!$F$5:$F$1204,$Q131))</f>
        <v/>
      </c>
      <c r="D131" s="55" t="str">
        <f>IF($Q131="","",INDEX(TRANSACTIONS_MASTER!$E$5:$E$1204,$Q131))</f>
        <v/>
      </c>
      <c r="E131" s="55" t="str">
        <f>IF($Q131="","",INDEX(TRANSACTIONS_MASTER!$G$5:$G$1204,$Q131)&amp;"")</f>
        <v/>
      </c>
      <c r="F131" s="29" t="str">
        <f>IF($Q131="","",INDEX(TRANSACTIONS_MASTER!$I$5:$I$1204,$Q131))</f>
        <v/>
      </c>
      <c r="G131" s="55" t="str">
        <f>IF($Q131="","",INDEX(TRANSACTIONS_MASTER!$K$5:$K$1204,$Q131))</f>
        <v/>
      </c>
      <c r="H131" s="25" t="str">
        <f>IF($Q131="","",INDEX(TRANSACTIONS_MASTER!$L$5:$L$1204,$Q131))</f>
        <v/>
      </c>
      <c r="I131" s="56" t="str">
        <f>IF($Q131="","",INDEX(TRANSACTIONS_MASTER!$N$5:$N$1204,$Q131))</f>
        <v/>
      </c>
      <c r="J131" s="25" t="str">
        <f>IF($Q131="","",INDEX(TRANSACTIONS_MASTER!$O$5:$O$1204,$Q131))</f>
        <v/>
      </c>
      <c r="K131" s="26" t="str">
        <f>IF($Q131="","",INDEX(TRANSACTIONS_MASTER!$Q$5:$Q$1204,$Q131))</f>
        <v/>
      </c>
      <c r="L131" s="25" t="str">
        <f>IF($Q131="","",INDEX(TRANSACTIONS_MASTER!$P$5:$P$1204,$Q131))</f>
        <v/>
      </c>
      <c r="M131" s="25" t="str">
        <f>IF($Q131="","",INDEX(TRANSACTIONS_MASTER!$AA$5:$AA$1204,$Q131))</f>
        <v/>
      </c>
      <c r="N131" s="25" t="str">
        <f>IF($Q131="","",INDEX(TRANSACTIONS_MASTER!$R$5:$R$1204,$Q131))</f>
        <v/>
      </c>
      <c r="O131" s="28" t="str">
        <f>IF($Q131="","",INDEX(TRANSACTIONS_MASTER!$AB$5:$AB$1204,$Q131))</f>
        <v/>
      </c>
      <c r="P131" s="55" t="str">
        <f>IF($Q131="","",INDEX(TRANSACTIONS_MASTER!$Z$5:$Z$1204,$Q131)&amp;"")</f>
        <v/>
      </c>
      <c r="Q131" s="67" t="str">
        <f>IFERROR(MATCH($C$2&amp;"|"&amp;124,TRANSACTIONS_MASTER!$AE$5:$AE$1204,0),"")</f>
        <v/>
      </c>
      <c r="S131" s="67" t="str">
        <f>IFERROR(MATCH(1,INDEX((TRANSACTIONS_MASTER!$C$5:$C$1204=$C$2)*(TRANSACTIONS_MASTER!$AL$5:$AL$1204=15),0),0),"")</f>
        <v/>
      </c>
      <c r="T131" s="55" t="n"/>
      <c r="U131" s="55" t="str">
        <f>IF($S131="","",INDEX(TRANSACTIONS_MASTER!$K$5:$K$1204,$S131))</f>
        <v/>
      </c>
      <c r="V131" s="25" t="str">
        <f>IF($S131="","",SUMIFS(TRANSACTIONS_MASTER!$L$5:$L$1204,TRANSACTIONS_MASTER!$K$5:$K$1204,$U131,TRANSACTIONS_MASTER!$C$5:$C$1204,$C$2,TRANSACTIONS_MASTER!$U$5:$U$1204,"&lt;&gt;Cancelled"))</f>
        <v/>
      </c>
      <c r="W131" s="26" t="str">
        <f>IF($S131="","",SUMIFS(TRANSACTIONS_MASTER!$Q$5:$Q$1204,TRANSACTIONS_MASTER!$K$5:$K$1204,$U131,TRANSACTIONS_MASTER!$C$5:$C$1204,$C$2))</f>
        <v/>
      </c>
    </row>
    <row r="132">
      <c r="A132" s="81" t="str">
        <f>IF($Q132="","",125)</f>
        <v/>
      </c>
      <c r="B132" s="57" t="str">
        <f>IF($Q132="","",INDEX(TRANSACTIONS_MASTER!$B$5:$B$1204,$Q132))</f>
        <v/>
      </c>
      <c r="C132" s="55" t="str">
        <f>IF($Q132="","",INDEX(TRANSACTIONS_MASTER!$F$5:$F$1204,$Q132))</f>
        <v/>
      </c>
      <c r="D132" s="55" t="str">
        <f>IF($Q132="","",INDEX(TRANSACTIONS_MASTER!$E$5:$E$1204,$Q132))</f>
        <v/>
      </c>
      <c r="E132" s="55" t="str">
        <f>IF($Q132="","",INDEX(TRANSACTIONS_MASTER!$G$5:$G$1204,$Q132)&amp;"")</f>
        <v/>
      </c>
      <c r="F132" s="29" t="str">
        <f>IF($Q132="","",INDEX(TRANSACTIONS_MASTER!$I$5:$I$1204,$Q132))</f>
        <v/>
      </c>
      <c r="G132" s="55" t="str">
        <f>IF($Q132="","",INDEX(TRANSACTIONS_MASTER!$K$5:$K$1204,$Q132))</f>
        <v/>
      </c>
      <c r="H132" s="25" t="str">
        <f>IF($Q132="","",INDEX(TRANSACTIONS_MASTER!$L$5:$L$1204,$Q132))</f>
        <v/>
      </c>
      <c r="I132" s="56" t="str">
        <f>IF($Q132="","",INDEX(TRANSACTIONS_MASTER!$N$5:$N$1204,$Q132))</f>
        <v/>
      </c>
      <c r="J132" s="25" t="str">
        <f>IF($Q132="","",INDEX(TRANSACTIONS_MASTER!$O$5:$O$1204,$Q132))</f>
        <v/>
      </c>
      <c r="K132" s="26" t="str">
        <f>IF($Q132="","",INDEX(TRANSACTIONS_MASTER!$Q$5:$Q$1204,$Q132))</f>
        <v/>
      </c>
      <c r="L132" s="25" t="str">
        <f>IF($Q132="","",INDEX(TRANSACTIONS_MASTER!$P$5:$P$1204,$Q132))</f>
        <v/>
      </c>
      <c r="M132" s="25" t="str">
        <f>IF($Q132="","",INDEX(TRANSACTIONS_MASTER!$AA$5:$AA$1204,$Q132))</f>
        <v/>
      </c>
      <c r="N132" s="25" t="str">
        <f>IF($Q132="","",INDEX(TRANSACTIONS_MASTER!$R$5:$R$1204,$Q132))</f>
        <v/>
      </c>
      <c r="O132" s="28" t="str">
        <f>IF($Q132="","",INDEX(TRANSACTIONS_MASTER!$AB$5:$AB$1204,$Q132))</f>
        <v/>
      </c>
      <c r="P132" s="55" t="str">
        <f>IF($Q132="","",INDEX(TRANSACTIONS_MASTER!$Z$5:$Z$1204,$Q132)&amp;"")</f>
        <v/>
      </c>
      <c r="Q132" s="67" t="str">
        <f>IFERROR(MATCH($C$2&amp;"|"&amp;125,TRANSACTIONS_MASTER!$AE$5:$AE$1204,0),"")</f>
        <v/>
      </c>
      <c r="T132" s="45" t="n"/>
      <c r="U132" s="82" t="inlineStr">
        <is>
          <t>Khác (ngoài danh sách)</t>
        </is>
      </c>
      <c r="V132" s="48">
        <f>MAX(0,SUMIFS(TRANSACTIONS_MASTER!$L$5:$L$1204,TRANSACTIONS_MASTER!$C$5:$C$1204,$C$2,TRANSACTIONS_MASTER!$U$5:$U$1204,"&lt;&gt;Cancelled")-SUM(V117:V131))</f>
        <v>0</v>
      </c>
      <c r="W132" s="48">
        <f>MAX(0,SUMIFS(TRANSACTIONS_MASTER!$Q$5:$Q$1204,TRANSACTIONS_MASTER!$C$5:$C$1204,$C$2)-SUM(W117:W131))</f>
        <v>0</v>
      </c>
    </row>
    <row r="133">
      <c r="A133" s="81" t="str">
        <f>IF($Q133="","",126)</f>
        <v/>
      </c>
      <c r="B133" s="57" t="str">
        <f>IF($Q133="","",INDEX(TRANSACTIONS_MASTER!$B$5:$B$1204,$Q133))</f>
        <v/>
      </c>
      <c r="C133" s="55" t="str">
        <f>IF($Q133="","",INDEX(TRANSACTIONS_MASTER!$F$5:$F$1204,$Q133))</f>
        <v/>
      </c>
      <c r="D133" s="55" t="str">
        <f>IF($Q133="","",INDEX(TRANSACTIONS_MASTER!$E$5:$E$1204,$Q133))</f>
        <v/>
      </c>
      <c r="E133" s="55" t="str">
        <f>IF($Q133="","",INDEX(TRANSACTIONS_MASTER!$G$5:$G$1204,$Q133)&amp;"")</f>
        <v/>
      </c>
      <c r="F133" s="29" t="str">
        <f>IF($Q133="","",INDEX(TRANSACTIONS_MASTER!$I$5:$I$1204,$Q133))</f>
        <v/>
      </c>
      <c r="G133" s="55" t="str">
        <f>IF($Q133="","",INDEX(TRANSACTIONS_MASTER!$K$5:$K$1204,$Q133))</f>
        <v/>
      </c>
      <c r="H133" s="25" t="str">
        <f>IF($Q133="","",INDEX(TRANSACTIONS_MASTER!$L$5:$L$1204,$Q133))</f>
        <v/>
      </c>
      <c r="I133" s="56" t="str">
        <f>IF($Q133="","",INDEX(TRANSACTIONS_MASTER!$N$5:$N$1204,$Q133))</f>
        <v/>
      </c>
      <c r="J133" s="25" t="str">
        <f>IF($Q133="","",INDEX(TRANSACTIONS_MASTER!$O$5:$O$1204,$Q133))</f>
        <v/>
      </c>
      <c r="K133" s="26" t="str">
        <f>IF($Q133="","",INDEX(TRANSACTIONS_MASTER!$Q$5:$Q$1204,$Q133))</f>
        <v/>
      </c>
      <c r="L133" s="25" t="str">
        <f>IF($Q133="","",INDEX(TRANSACTIONS_MASTER!$P$5:$P$1204,$Q133))</f>
        <v/>
      </c>
      <c r="M133" s="25" t="str">
        <f>IF($Q133="","",INDEX(TRANSACTIONS_MASTER!$AA$5:$AA$1204,$Q133))</f>
        <v/>
      </c>
      <c r="N133" s="25" t="str">
        <f>IF($Q133="","",INDEX(TRANSACTIONS_MASTER!$R$5:$R$1204,$Q133))</f>
        <v/>
      </c>
      <c r="O133" s="28" t="str">
        <f>IF($Q133="","",INDEX(TRANSACTIONS_MASTER!$AB$5:$AB$1204,$Q133))</f>
        <v/>
      </c>
      <c r="P133" s="55" t="str">
        <f>IF($Q133="","",INDEX(TRANSACTIONS_MASTER!$Z$5:$Z$1204,$Q133)&amp;"")</f>
        <v/>
      </c>
      <c r="Q133" s="67" t="str">
        <f>IFERROR(MATCH($C$2&amp;"|"&amp;126,TRANSACTIONS_MASTER!$AE$5:$AE$1204,0),"")</f>
        <v/>
      </c>
      <c r="T133" s="68" t="n"/>
      <c r="U133" s="69" t="inlineStr">
        <is>
          <t>TỔNG</t>
        </is>
      </c>
      <c r="V133" s="31">
        <f>SUM(V117:V132)</f>
        <v>0</v>
      </c>
      <c r="W133" s="31">
        <f>SUM(W117:W132)</f>
        <v>0</v>
      </c>
    </row>
    <row r="134">
      <c r="A134" s="81" t="str">
        <f>IF($Q134="","",127)</f>
        <v/>
      </c>
      <c r="B134" s="57" t="str">
        <f>IF($Q134="","",INDEX(TRANSACTIONS_MASTER!$B$5:$B$1204,$Q134))</f>
        <v/>
      </c>
      <c r="C134" s="55" t="str">
        <f>IF($Q134="","",INDEX(TRANSACTIONS_MASTER!$F$5:$F$1204,$Q134))</f>
        <v/>
      </c>
      <c r="D134" s="55" t="str">
        <f>IF($Q134="","",INDEX(TRANSACTIONS_MASTER!$E$5:$E$1204,$Q134))</f>
        <v/>
      </c>
      <c r="E134" s="55" t="str">
        <f>IF($Q134="","",INDEX(TRANSACTIONS_MASTER!$G$5:$G$1204,$Q134)&amp;"")</f>
        <v/>
      </c>
      <c r="F134" s="29" t="str">
        <f>IF($Q134="","",INDEX(TRANSACTIONS_MASTER!$I$5:$I$1204,$Q134))</f>
        <v/>
      </c>
      <c r="G134" s="55" t="str">
        <f>IF($Q134="","",INDEX(TRANSACTIONS_MASTER!$K$5:$K$1204,$Q134))</f>
        <v/>
      </c>
      <c r="H134" s="25" t="str">
        <f>IF($Q134="","",INDEX(TRANSACTIONS_MASTER!$L$5:$L$1204,$Q134))</f>
        <v/>
      </c>
      <c r="I134" s="56" t="str">
        <f>IF($Q134="","",INDEX(TRANSACTIONS_MASTER!$N$5:$N$1204,$Q134))</f>
        <v/>
      </c>
      <c r="J134" s="25" t="str">
        <f>IF($Q134="","",INDEX(TRANSACTIONS_MASTER!$O$5:$O$1204,$Q134))</f>
        <v/>
      </c>
      <c r="K134" s="26" t="str">
        <f>IF($Q134="","",INDEX(TRANSACTIONS_MASTER!$Q$5:$Q$1204,$Q134))</f>
        <v/>
      </c>
      <c r="L134" s="25" t="str">
        <f>IF($Q134="","",INDEX(TRANSACTIONS_MASTER!$P$5:$P$1204,$Q134))</f>
        <v/>
      </c>
      <c r="M134" s="25" t="str">
        <f>IF($Q134="","",INDEX(TRANSACTIONS_MASTER!$AA$5:$AA$1204,$Q134))</f>
        <v/>
      </c>
      <c r="N134" s="25" t="str">
        <f>IF($Q134="","",INDEX(TRANSACTIONS_MASTER!$R$5:$R$1204,$Q134))</f>
        <v/>
      </c>
      <c r="O134" s="28" t="str">
        <f>IF($Q134="","",INDEX(TRANSACTIONS_MASTER!$AB$5:$AB$1204,$Q134))</f>
        <v/>
      </c>
      <c r="P134" s="55" t="str">
        <f>IF($Q134="","",INDEX(TRANSACTIONS_MASTER!$Z$5:$Z$1204,$Q134)&amp;"")</f>
        <v/>
      </c>
      <c r="Q134" s="67" t="str">
        <f>IFERROR(MATCH($C$2&amp;"|"&amp;127,TRANSACTIONS_MASTER!$AE$5:$AE$1204,0),"")</f>
        <v/>
      </c>
    </row>
    <row r="135">
      <c r="A135" s="81" t="str">
        <f>IF($Q135="","",128)</f>
        <v/>
      </c>
      <c r="B135" s="57" t="str">
        <f>IF($Q135="","",INDEX(TRANSACTIONS_MASTER!$B$5:$B$1204,$Q135))</f>
        <v/>
      </c>
      <c r="C135" s="55" t="str">
        <f>IF($Q135="","",INDEX(TRANSACTIONS_MASTER!$F$5:$F$1204,$Q135))</f>
        <v/>
      </c>
      <c r="D135" s="55" t="str">
        <f>IF($Q135="","",INDEX(TRANSACTIONS_MASTER!$E$5:$E$1204,$Q135))</f>
        <v/>
      </c>
      <c r="E135" s="55" t="str">
        <f>IF($Q135="","",INDEX(TRANSACTIONS_MASTER!$G$5:$G$1204,$Q135)&amp;"")</f>
        <v/>
      </c>
      <c r="F135" s="29" t="str">
        <f>IF($Q135="","",INDEX(TRANSACTIONS_MASTER!$I$5:$I$1204,$Q135))</f>
        <v/>
      </c>
      <c r="G135" s="55" t="str">
        <f>IF($Q135="","",INDEX(TRANSACTIONS_MASTER!$K$5:$K$1204,$Q135))</f>
        <v/>
      </c>
      <c r="H135" s="25" t="str">
        <f>IF($Q135="","",INDEX(TRANSACTIONS_MASTER!$L$5:$L$1204,$Q135))</f>
        <v/>
      </c>
      <c r="I135" s="56" t="str">
        <f>IF($Q135="","",INDEX(TRANSACTIONS_MASTER!$N$5:$N$1204,$Q135))</f>
        <v/>
      </c>
      <c r="J135" s="25" t="str">
        <f>IF($Q135="","",INDEX(TRANSACTIONS_MASTER!$O$5:$O$1204,$Q135))</f>
        <v/>
      </c>
      <c r="K135" s="26" t="str">
        <f>IF($Q135="","",INDEX(TRANSACTIONS_MASTER!$Q$5:$Q$1204,$Q135))</f>
        <v/>
      </c>
      <c r="L135" s="25" t="str">
        <f>IF($Q135="","",INDEX(TRANSACTIONS_MASTER!$P$5:$P$1204,$Q135))</f>
        <v/>
      </c>
      <c r="M135" s="25" t="str">
        <f>IF($Q135="","",INDEX(TRANSACTIONS_MASTER!$AA$5:$AA$1204,$Q135))</f>
        <v/>
      </c>
      <c r="N135" s="25" t="str">
        <f>IF($Q135="","",INDEX(TRANSACTIONS_MASTER!$R$5:$R$1204,$Q135))</f>
        <v/>
      </c>
      <c r="O135" s="28" t="str">
        <f>IF($Q135="","",INDEX(TRANSACTIONS_MASTER!$AB$5:$AB$1204,$Q135))</f>
        <v/>
      </c>
      <c r="P135" s="55" t="str">
        <f>IF($Q135="","",INDEX(TRANSACTIONS_MASTER!$Z$5:$Z$1204,$Q135)&amp;"")</f>
        <v/>
      </c>
      <c r="Q135" s="67" t="str">
        <f>IFERROR(MATCH($C$2&amp;"|"&amp;128,TRANSACTIONS_MASTER!$AE$5:$AE$1204,0),"")</f>
        <v/>
      </c>
    </row>
    <row r="136" ht="22" customHeight="1">
      <c r="A136" s="81" t="str">
        <f>IF($Q136="","",129)</f>
        <v/>
      </c>
      <c r="B136" s="57" t="str">
        <f>IF($Q136="","",INDEX(TRANSACTIONS_MASTER!$B$5:$B$1204,$Q136))</f>
        <v/>
      </c>
      <c r="C136" s="55" t="str">
        <f>IF($Q136="","",INDEX(TRANSACTIONS_MASTER!$F$5:$F$1204,$Q136))</f>
        <v/>
      </c>
      <c r="D136" s="55" t="str">
        <f>IF($Q136="","",INDEX(TRANSACTIONS_MASTER!$E$5:$E$1204,$Q136))</f>
        <v/>
      </c>
      <c r="E136" s="55" t="str">
        <f>IF($Q136="","",INDEX(TRANSACTIONS_MASTER!$G$5:$G$1204,$Q136)&amp;"")</f>
        <v/>
      </c>
      <c r="F136" s="29" t="str">
        <f>IF($Q136="","",INDEX(TRANSACTIONS_MASTER!$I$5:$I$1204,$Q136))</f>
        <v/>
      </c>
      <c r="G136" s="55" t="str">
        <f>IF($Q136="","",INDEX(TRANSACTIONS_MASTER!$K$5:$K$1204,$Q136))</f>
        <v/>
      </c>
      <c r="H136" s="25" t="str">
        <f>IF($Q136="","",INDEX(TRANSACTIONS_MASTER!$L$5:$L$1204,$Q136))</f>
        <v/>
      </c>
      <c r="I136" s="56" t="str">
        <f>IF($Q136="","",INDEX(TRANSACTIONS_MASTER!$N$5:$N$1204,$Q136))</f>
        <v/>
      </c>
      <c r="J136" s="25" t="str">
        <f>IF($Q136="","",INDEX(TRANSACTIONS_MASTER!$O$5:$O$1204,$Q136))</f>
        <v/>
      </c>
      <c r="K136" s="26" t="str">
        <f>IF($Q136="","",INDEX(TRANSACTIONS_MASTER!$Q$5:$Q$1204,$Q136))</f>
        <v/>
      </c>
      <c r="L136" s="25" t="str">
        <f>IF($Q136="","",INDEX(TRANSACTIONS_MASTER!$P$5:$P$1204,$Q136))</f>
        <v/>
      </c>
      <c r="M136" s="25" t="str">
        <f>IF($Q136="","",INDEX(TRANSACTIONS_MASTER!$AA$5:$AA$1204,$Q136))</f>
        <v/>
      </c>
      <c r="N136" s="25" t="str">
        <f>IF($Q136="","",INDEX(TRANSACTIONS_MASTER!$R$5:$R$1204,$Q136))</f>
        <v/>
      </c>
      <c r="O136" s="28" t="str">
        <f>IF($Q136="","",INDEX(TRANSACTIONS_MASTER!$AB$5:$AB$1204,$Q136))</f>
        <v/>
      </c>
      <c r="P136" s="55" t="str">
        <f>IF($Q136="","",INDEX(TRANSACTIONS_MASTER!$Z$5:$Z$1204,$Q136)&amp;"")</f>
        <v/>
      </c>
      <c r="Q136" s="67" t="str">
        <f>IFERROR(MATCH($C$2&amp;"|"&amp;129,TRANSACTIONS_MASTER!$AE$5:$AE$1204,0),"")</f>
        <v/>
      </c>
      <c r="T136" s="19" t="inlineStr">
        <is>
          <t>THEO MCC</t>
        </is>
      </c>
      <c r="U136" s="20" t="n"/>
      <c r="V136" s="20" t="n"/>
      <c r="W136" s="20" t="n"/>
      <c r="X136" s="20" t="n"/>
      <c r="Y136" s="20" t="n"/>
      <c r="Z136" s="20" t="n"/>
      <c r="AA136" s="20" t="n"/>
    </row>
    <row r="137" ht="28" customHeight="1">
      <c r="A137" s="81" t="str">
        <f>IF($Q137="","",130)</f>
        <v/>
      </c>
      <c r="B137" s="57" t="str">
        <f>IF($Q137="","",INDEX(TRANSACTIONS_MASTER!$B$5:$B$1204,$Q137))</f>
        <v/>
      </c>
      <c r="C137" s="55" t="str">
        <f>IF($Q137="","",INDEX(TRANSACTIONS_MASTER!$F$5:$F$1204,$Q137))</f>
        <v/>
      </c>
      <c r="D137" s="55" t="str">
        <f>IF($Q137="","",INDEX(TRANSACTIONS_MASTER!$E$5:$E$1204,$Q137))</f>
        <v/>
      </c>
      <c r="E137" s="55" t="str">
        <f>IF($Q137="","",INDEX(TRANSACTIONS_MASTER!$G$5:$G$1204,$Q137)&amp;"")</f>
        <v/>
      </c>
      <c r="F137" s="29" t="str">
        <f>IF($Q137="","",INDEX(TRANSACTIONS_MASTER!$I$5:$I$1204,$Q137))</f>
        <v/>
      </c>
      <c r="G137" s="55" t="str">
        <f>IF($Q137="","",INDEX(TRANSACTIONS_MASTER!$K$5:$K$1204,$Q137))</f>
        <v/>
      </c>
      <c r="H137" s="25" t="str">
        <f>IF($Q137="","",INDEX(TRANSACTIONS_MASTER!$L$5:$L$1204,$Q137))</f>
        <v/>
      </c>
      <c r="I137" s="56" t="str">
        <f>IF($Q137="","",INDEX(TRANSACTIONS_MASTER!$N$5:$N$1204,$Q137))</f>
        <v/>
      </c>
      <c r="J137" s="25" t="str">
        <f>IF($Q137="","",INDEX(TRANSACTIONS_MASTER!$O$5:$O$1204,$Q137))</f>
        <v/>
      </c>
      <c r="K137" s="26" t="str">
        <f>IF($Q137="","",INDEX(TRANSACTIONS_MASTER!$Q$5:$Q$1204,$Q137))</f>
        <v/>
      </c>
      <c r="L137" s="25" t="str">
        <f>IF($Q137="","",INDEX(TRANSACTIONS_MASTER!$P$5:$P$1204,$Q137))</f>
        <v/>
      </c>
      <c r="M137" s="25" t="str">
        <f>IF($Q137="","",INDEX(TRANSACTIONS_MASTER!$AA$5:$AA$1204,$Q137))</f>
        <v/>
      </c>
      <c r="N137" s="25" t="str">
        <f>IF($Q137="","",INDEX(TRANSACTIONS_MASTER!$R$5:$R$1204,$Q137))</f>
        <v/>
      </c>
      <c r="O137" s="28" t="str">
        <f>IF($Q137="","",INDEX(TRANSACTIONS_MASTER!$AB$5:$AB$1204,$Q137))</f>
        <v/>
      </c>
      <c r="P137" s="55" t="str">
        <f>IF($Q137="","",INDEX(TRANSACTIONS_MASTER!$Z$5:$Z$1204,$Q137)&amp;"")</f>
        <v/>
      </c>
      <c r="Q137" s="67" t="str">
        <f>IFERROR(MATCH($C$2&amp;"|"&amp;130,TRANSACTIONS_MASTER!$AE$5:$AE$1204,0),"")</f>
        <v/>
      </c>
      <c r="S137" s="21" t="inlineStr">
        <is>
          <t>#</t>
        </is>
      </c>
      <c r="T137" s="21" t="inlineStr">
        <is>
          <t>MCC</t>
        </is>
      </c>
      <c r="U137" s="21" t="inlineStr">
        <is>
          <t>Tên MCC</t>
        </is>
      </c>
      <c r="V137" s="21" t="inlineStr">
        <is>
          <t>Chi tiêu</t>
        </is>
      </c>
      <c r="W137" s="21" t="inlineStr">
        <is>
          <t>Cashback</t>
        </is>
      </c>
    </row>
    <row r="138">
      <c r="A138" s="81" t="str">
        <f>IF($Q138="","",131)</f>
        <v/>
      </c>
      <c r="B138" s="57" t="str">
        <f>IF($Q138="","",INDEX(TRANSACTIONS_MASTER!$B$5:$B$1204,$Q138))</f>
        <v/>
      </c>
      <c r="C138" s="55" t="str">
        <f>IF($Q138="","",INDEX(TRANSACTIONS_MASTER!$F$5:$F$1204,$Q138))</f>
        <v/>
      </c>
      <c r="D138" s="55" t="str">
        <f>IF($Q138="","",INDEX(TRANSACTIONS_MASTER!$E$5:$E$1204,$Q138))</f>
        <v/>
      </c>
      <c r="E138" s="55" t="str">
        <f>IF($Q138="","",INDEX(TRANSACTIONS_MASTER!$G$5:$G$1204,$Q138)&amp;"")</f>
        <v/>
      </c>
      <c r="F138" s="29" t="str">
        <f>IF($Q138="","",INDEX(TRANSACTIONS_MASTER!$I$5:$I$1204,$Q138))</f>
        <v/>
      </c>
      <c r="G138" s="55" t="str">
        <f>IF($Q138="","",INDEX(TRANSACTIONS_MASTER!$K$5:$K$1204,$Q138))</f>
        <v/>
      </c>
      <c r="H138" s="25" t="str">
        <f>IF($Q138="","",INDEX(TRANSACTIONS_MASTER!$L$5:$L$1204,$Q138))</f>
        <v/>
      </c>
      <c r="I138" s="56" t="str">
        <f>IF($Q138="","",INDEX(TRANSACTIONS_MASTER!$N$5:$N$1204,$Q138))</f>
        <v/>
      </c>
      <c r="J138" s="25" t="str">
        <f>IF($Q138="","",INDEX(TRANSACTIONS_MASTER!$O$5:$O$1204,$Q138))</f>
        <v/>
      </c>
      <c r="K138" s="26" t="str">
        <f>IF($Q138="","",INDEX(TRANSACTIONS_MASTER!$Q$5:$Q$1204,$Q138))</f>
        <v/>
      </c>
      <c r="L138" s="25" t="str">
        <f>IF($Q138="","",INDEX(TRANSACTIONS_MASTER!$P$5:$P$1204,$Q138))</f>
        <v/>
      </c>
      <c r="M138" s="25" t="str">
        <f>IF($Q138="","",INDEX(TRANSACTIONS_MASTER!$AA$5:$AA$1204,$Q138))</f>
        <v/>
      </c>
      <c r="N138" s="25" t="str">
        <f>IF($Q138="","",INDEX(TRANSACTIONS_MASTER!$R$5:$R$1204,$Q138))</f>
        <v/>
      </c>
      <c r="O138" s="28" t="str">
        <f>IF($Q138="","",INDEX(TRANSACTIONS_MASTER!$AB$5:$AB$1204,$Q138))</f>
        <v/>
      </c>
      <c r="P138" s="55" t="str">
        <f>IF($Q138="","",INDEX(TRANSACTIONS_MASTER!$Z$5:$Z$1204,$Q138)&amp;"")</f>
        <v/>
      </c>
      <c r="Q138" s="67" t="str">
        <f>IFERROR(MATCH($C$2&amp;"|"&amp;131,TRANSACTIONS_MASTER!$AE$5:$AE$1204,0),"")</f>
        <v/>
      </c>
      <c r="S138" s="67" t="str">
        <f>IFERROR(MATCH(1,INDEX((TRANSACTIONS_MASTER!$C$5:$C$1204=$C$2)*(TRANSACTIONS_MASTER!$AJ$5:$AJ$1204=1),0),0),"")</f>
        <v/>
      </c>
      <c r="T138" s="29" t="str">
        <f>IF($S138="","",INDEX(TRANSACTIONS_MASTER!$I$5:$I$1204,$S138))</f>
        <v/>
      </c>
      <c r="U138" s="55" t="str">
        <f>IF($S138="","",INDEX(TRANSACTIONS_MASTER!$J$5:$J$1204,$S138))</f>
        <v/>
      </c>
      <c r="V138" s="25" t="str">
        <f>IF($S138="","",SUMIFS(TRANSACTIONS_MASTER!$L$5:$L$1204,TRANSACTIONS_MASTER!$I$5:$I$1204,$T138,TRANSACTIONS_MASTER!$C$5:$C$1204,$C$2,TRANSACTIONS_MASTER!$U$5:$U$1204,"&lt;&gt;Cancelled"))</f>
        <v/>
      </c>
      <c r="W138" s="26" t="str">
        <f>IF($S138="","",SUMIFS(TRANSACTIONS_MASTER!$Q$5:$Q$1204,TRANSACTIONS_MASTER!$I$5:$I$1204,$T138,TRANSACTIONS_MASTER!$C$5:$C$1204,$C$2))</f>
        <v/>
      </c>
    </row>
    <row r="139">
      <c r="A139" s="81" t="str">
        <f>IF($Q139="","",132)</f>
        <v/>
      </c>
      <c r="B139" s="57" t="str">
        <f>IF($Q139="","",INDEX(TRANSACTIONS_MASTER!$B$5:$B$1204,$Q139))</f>
        <v/>
      </c>
      <c r="C139" s="55" t="str">
        <f>IF($Q139="","",INDEX(TRANSACTIONS_MASTER!$F$5:$F$1204,$Q139))</f>
        <v/>
      </c>
      <c r="D139" s="55" t="str">
        <f>IF($Q139="","",INDEX(TRANSACTIONS_MASTER!$E$5:$E$1204,$Q139))</f>
        <v/>
      </c>
      <c r="E139" s="55" t="str">
        <f>IF($Q139="","",INDEX(TRANSACTIONS_MASTER!$G$5:$G$1204,$Q139)&amp;"")</f>
        <v/>
      </c>
      <c r="F139" s="29" t="str">
        <f>IF($Q139="","",INDEX(TRANSACTIONS_MASTER!$I$5:$I$1204,$Q139))</f>
        <v/>
      </c>
      <c r="G139" s="55" t="str">
        <f>IF($Q139="","",INDEX(TRANSACTIONS_MASTER!$K$5:$K$1204,$Q139))</f>
        <v/>
      </c>
      <c r="H139" s="25" t="str">
        <f>IF($Q139="","",INDEX(TRANSACTIONS_MASTER!$L$5:$L$1204,$Q139))</f>
        <v/>
      </c>
      <c r="I139" s="56" t="str">
        <f>IF($Q139="","",INDEX(TRANSACTIONS_MASTER!$N$5:$N$1204,$Q139))</f>
        <v/>
      </c>
      <c r="J139" s="25" t="str">
        <f>IF($Q139="","",INDEX(TRANSACTIONS_MASTER!$O$5:$O$1204,$Q139))</f>
        <v/>
      </c>
      <c r="K139" s="26" t="str">
        <f>IF($Q139="","",INDEX(TRANSACTIONS_MASTER!$Q$5:$Q$1204,$Q139))</f>
        <v/>
      </c>
      <c r="L139" s="25" t="str">
        <f>IF($Q139="","",INDEX(TRANSACTIONS_MASTER!$P$5:$P$1204,$Q139))</f>
        <v/>
      </c>
      <c r="M139" s="25" t="str">
        <f>IF($Q139="","",INDEX(TRANSACTIONS_MASTER!$AA$5:$AA$1204,$Q139))</f>
        <v/>
      </c>
      <c r="N139" s="25" t="str">
        <f>IF($Q139="","",INDEX(TRANSACTIONS_MASTER!$R$5:$R$1204,$Q139))</f>
        <v/>
      </c>
      <c r="O139" s="28" t="str">
        <f>IF($Q139="","",INDEX(TRANSACTIONS_MASTER!$AB$5:$AB$1204,$Q139))</f>
        <v/>
      </c>
      <c r="P139" s="55" t="str">
        <f>IF($Q139="","",INDEX(TRANSACTIONS_MASTER!$Z$5:$Z$1204,$Q139)&amp;"")</f>
        <v/>
      </c>
      <c r="Q139" s="67" t="str">
        <f>IFERROR(MATCH($C$2&amp;"|"&amp;132,TRANSACTIONS_MASTER!$AE$5:$AE$1204,0),"")</f>
        <v/>
      </c>
      <c r="S139" s="67" t="str">
        <f>IFERROR(MATCH(1,INDEX((TRANSACTIONS_MASTER!$C$5:$C$1204=$C$2)*(TRANSACTIONS_MASTER!$AJ$5:$AJ$1204=2),0),0),"")</f>
        <v/>
      </c>
      <c r="T139" s="29" t="str">
        <f>IF($S139="","",INDEX(TRANSACTIONS_MASTER!$I$5:$I$1204,$S139))</f>
        <v/>
      </c>
      <c r="U139" s="55" t="str">
        <f>IF($S139="","",INDEX(TRANSACTIONS_MASTER!$J$5:$J$1204,$S139))</f>
        <v/>
      </c>
      <c r="V139" s="25" t="str">
        <f>IF($S139="","",SUMIFS(TRANSACTIONS_MASTER!$L$5:$L$1204,TRANSACTIONS_MASTER!$I$5:$I$1204,$T139,TRANSACTIONS_MASTER!$C$5:$C$1204,$C$2,TRANSACTIONS_MASTER!$U$5:$U$1204,"&lt;&gt;Cancelled"))</f>
        <v/>
      </c>
      <c r="W139" s="26" t="str">
        <f>IF($S139="","",SUMIFS(TRANSACTIONS_MASTER!$Q$5:$Q$1204,TRANSACTIONS_MASTER!$I$5:$I$1204,$T139,TRANSACTIONS_MASTER!$C$5:$C$1204,$C$2))</f>
        <v/>
      </c>
    </row>
    <row r="140">
      <c r="A140" s="81" t="str">
        <f>IF($Q140="","",133)</f>
        <v/>
      </c>
      <c r="B140" s="57" t="str">
        <f>IF($Q140="","",INDEX(TRANSACTIONS_MASTER!$B$5:$B$1204,$Q140))</f>
        <v/>
      </c>
      <c r="C140" s="55" t="str">
        <f>IF($Q140="","",INDEX(TRANSACTIONS_MASTER!$F$5:$F$1204,$Q140))</f>
        <v/>
      </c>
      <c r="D140" s="55" t="str">
        <f>IF($Q140="","",INDEX(TRANSACTIONS_MASTER!$E$5:$E$1204,$Q140))</f>
        <v/>
      </c>
      <c r="E140" s="55" t="str">
        <f>IF($Q140="","",INDEX(TRANSACTIONS_MASTER!$G$5:$G$1204,$Q140)&amp;"")</f>
        <v/>
      </c>
      <c r="F140" s="29" t="str">
        <f>IF($Q140="","",INDEX(TRANSACTIONS_MASTER!$I$5:$I$1204,$Q140))</f>
        <v/>
      </c>
      <c r="G140" s="55" t="str">
        <f>IF($Q140="","",INDEX(TRANSACTIONS_MASTER!$K$5:$K$1204,$Q140))</f>
        <v/>
      </c>
      <c r="H140" s="25" t="str">
        <f>IF($Q140="","",INDEX(TRANSACTIONS_MASTER!$L$5:$L$1204,$Q140))</f>
        <v/>
      </c>
      <c r="I140" s="56" t="str">
        <f>IF($Q140="","",INDEX(TRANSACTIONS_MASTER!$N$5:$N$1204,$Q140))</f>
        <v/>
      </c>
      <c r="J140" s="25" t="str">
        <f>IF($Q140="","",INDEX(TRANSACTIONS_MASTER!$O$5:$O$1204,$Q140))</f>
        <v/>
      </c>
      <c r="K140" s="26" t="str">
        <f>IF($Q140="","",INDEX(TRANSACTIONS_MASTER!$Q$5:$Q$1204,$Q140))</f>
        <v/>
      </c>
      <c r="L140" s="25" t="str">
        <f>IF($Q140="","",INDEX(TRANSACTIONS_MASTER!$P$5:$P$1204,$Q140))</f>
        <v/>
      </c>
      <c r="M140" s="25" t="str">
        <f>IF($Q140="","",INDEX(TRANSACTIONS_MASTER!$AA$5:$AA$1204,$Q140))</f>
        <v/>
      </c>
      <c r="N140" s="25" t="str">
        <f>IF($Q140="","",INDEX(TRANSACTIONS_MASTER!$R$5:$R$1204,$Q140))</f>
        <v/>
      </c>
      <c r="O140" s="28" t="str">
        <f>IF($Q140="","",INDEX(TRANSACTIONS_MASTER!$AB$5:$AB$1204,$Q140))</f>
        <v/>
      </c>
      <c r="P140" s="55" t="str">
        <f>IF($Q140="","",INDEX(TRANSACTIONS_MASTER!$Z$5:$Z$1204,$Q140)&amp;"")</f>
        <v/>
      </c>
      <c r="Q140" s="67" t="str">
        <f>IFERROR(MATCH($C$2&amp;"|"&amp;133,TRANSACTIONS_MASTER!$AE$5:$AE$1204,0),"")</f>
        <v/>
      </c>
      <c r="S140" s="67" t="str">
        <f>IFERROR(MATCH(1,INDEX((TRANSACTIONS_MASTER!$C$5:$C$1204=$C$2)*(TRANSACTIONS_MASTER!$AJ$5:$AJ$1204=3),0),0),"")</f>
        <v/>
      </c>
      <c r="T140" s="29" t="str">
        <f>IF($S140="","",INDEX(TRANSACTIONS_MASTER!$I$5:$I$1204,$S140))</f>
        <v/>
      </c>
      <c r="U140" s="55" t="str">
        <f>IF($S140="","",INDEX(TRANSACTIONS_MASTER!$J$5:$J$1204,$S140))</f>
        <v/>
      </c>
      <c r="V140" s="25" t="str">
        <f>IF($S140="","",SUMIFS(TRANSACTIONS_MASTER!$L$5:$L$1204,TRANSACTIONS_MASTER!$I$5:$I$1204,$T140,TRANSACTIONS_MASTER!$C$5:$C$1204,$C$2,TRANSACTIONS_MASTER!$U$5:$U$1204,"&lt;&gt;Cancelled"))</f>
        <v/>
      </c>
      <c r="W140" s="26" t="str">
        <f>IF($S140="","",SUMIFS(TRANSACTIONS_MASTER!$Q$5:$Q$1204,TRANSACTIONS_MASTER!$I$5:$I$1204,$T140,TRANSACTIONS_MASTER!$C$5:$C$1204,$C$2))</f>
        <v/>
      </c>
    </row>
    <row r="141">
      <c r="A141" s="81" t="str">
        <f>IF($Q141="","",134)</f>
        <v/>
      </c>
      <c r="B141" s="57" t="str">
        <f>IF($Q141="","",INDEX(TRANSACTIONS_MASTER!$B$5:$B$1204,$Q141))</f>
        <v/>
      </c>
      <c r="C141" s="55" t="str">
        <f>IF($Q141="","",INDEX(TRANSACTIONS_MASTER!$F$5:$F$1204,$Q141))</f>
        <v/>
      </c>
      <c r="D141" s="55" t="str">
        <f>IF($Q141="","",INDEX(TRANSACTIONS_MASTER!$E$5:$E$1204,$Q141))</f>
        <v/>
      </c>
      <c r="E141" s="55" t="str">
        <f>IF($Q141="","",INDEX(TRANSACTIONS_MASTER!$G$5:$G$1204,$Q141)&amp;"")</f>
        <v/>
      </c>
      <c r="F141" s="29" t="str">
        <f>IF($Q141="","",INDEX(TRANSACTIONS_MASTER!$I$5:$I$1204,$Q141))</f>
        <v/>
      </c>
      <c r="G141" s="55" t="str">
        <f>IF($Q141="","",INDEX(TRANSACTIONS_MASTER!$K$5:$K$1204,$Q141))</f>
        <v/>
      </c>
      <c r="H141" s="25" t="str">
        <f>IF($Q141="","",INDEX(TRANSACTIONS_MASTER!$L$5:$L$1204,$Q141))</f>
        <v/>
      </c>
      <c r="I141" s="56" t="str">
        <f>IF($Q141="","",INDEX(TRANSACTIONS_MASTER!$N$5:$N$1204,$Q141))</f>
        <v/>
      </c>
      <c r="J141" s="25" t="str">
        <f>IF($Q141="","",INDEX(TRANSACTIONS_MASTER!$O$5:$O$1204,$Q141))</f>
        <v/>
      </c>
      <c r="K141" s="26" t="str">
        <f>IF($Q141="","",INDEX(TRANSACTIONS_MASTER!$Q$5:$Q$1204,$Q141))</f>
        <v/>
      </c>
      <c r="L141" s="25" t="str">
        <f>IF($Q141="","",INDEX(TRANSACTIONS_MASTER!$P$5:$P$1204,$Q141))</f>
        <v/>
      </c>
      <c r="M141" s="25" t="str">
        <f>IF($Q141="","",INDEX(TRANSACTIONS_MASTER!$AA$5:$AA$1204,$Q141))</f>
        <v/>
      </c>
      <c r="N141" s="25" t="str">
        <f>IF($Q141="","",INDEX(TRANSACTIONS_MASTER!$R$5:$R$1204,$Q141))</f>
        <v/>
      </c>
      <c r="O141" s="28" t="str">
        <f>IF($Q141="","",INDEX(TRANSACTIONS_MASTER!$AB$5:$AB$1204,$Q141))</f>
        <v/>
      </c>
      <c r="P141" s="55" t="str">
        <f>IF($Q141="","",INDEX(TRANSACTIONS_MASTER!$Z$5:$Z$1204,$Q141)&amp;"")</f>
        <v/>
      </c>
      <c r="Q141" s="67" t="str">
        <f>IFERROR(MATCH($C$2&amp;"|"&amp;134,TRANSACTIONS_MASTER!$AE$5:$AE$1204,0),"")</f>
        <v/>
      </c>
      <c r="S141" s="67" t="str">
        <f>IFERROR(MATCH(1,INDEX((TRANSACTIONS_MASTER!$C$5:$C$1204=$C$2)*(TRANSACTIONS_MASTER!$AJ$5:$AJ$1204=4),0),0),"")</f>
        <v/>
      </c>
      <c r="T141" s="29" t="str">
        <f>IF($S141="","",INDEX(TRANSACTIONS_MASTER!$I$5:$I$1204,$S141))</f>
        <v/>
      </c>
      <c r="U141" s="55" t="str">
        <f>IF($S141="","",INDEX(TRANSACTIONS_MASTER!$J$5:$J$1204,$S141))</f>
        <v/>
      </c>
      <c r="V141" s="25" t="str">
        <f>IF($S141="","",SUMIFS(TRANSACTIONS_MASTER!$L$5:$L$1204,TRANSACTIONS_MASTER!$I$5:$I$1204,$T141,TRANSACTIONS_MASTER!$C$5:$C$1204,$C$2,TRANSACTIONS_MASTER!$U$5:$U$1204,"&lt;&gt;Cancelled"))</f>
        <v/>
      </c>
      <c r="W141" s="26" t="str">
        <f>IF($S141="","",SUMIFS(TRANSACTIONS_MASTER!$Q$5:$Q$1204,TRANSACTIONS_MASTER!$I$5:$I$1204,$T141,TRANSACTIONS_MASTER!$C$5:$C$1204,$C$2))</f>
        <v/>
      </c>
    </row>
    <row r="142">
      <c r="A142" s="81" t="str">
        <f>IF($Q142="","",135)</f>
        <v/>
      </c>
      <c r="B142" s="57" t="str">
        <f>IF($Q142="","",INDEX(TRANSACTIONS_MASTER!$B$5:$B$1204,$Q142))</f>
        <v/>
      </c>
      <c r="C142" s="55" t="str">
        <f>IF($Q142="","",INDEX(TRANSACTIONS_MASTER!$F$5:$F$1204,$Q142))</f>
        <v/>
      </c>
      <c r="D142" s="55" t="str">
        <f>IF($Q142="","",INDEX(TRANSACTIONS_MASTER!$E$5:$E$1204,$Q142))</f>
        <v/>
      </c>
      <c r="E142" s="55" t="str">
        <f>IF($Q142="","",INDEX(TRANSACTIONS_MASTER!$G$5:$G$1204,$Q142)&amp;"")</f>
        <v/>
      </c>
      <c r="F142" s="29" t="str">
        <f>IF($Q142="","",INDEX(TRANSACTIONS_MASTER!$I$5:$I$1204,$Q142))</f>
        <v/>
      </c>
      <c r="G142" s="55" t="str">
        <f>IF($Q142="","",INDEX(TRANSACTIONS_MASTER!$K$5:$K$1204,$Q142))</f>
        <v/>
      </c>
      <c r="H142" s="25" t="str">
        <f>IF($Q142="","",INDEX(TRANSACTIONS_MASTER!$L$5:$L$1204,$Q142))</f>
        <v/>
      </c>
      <c r="I142" s="56" t="str">
        <f>IF($Q142="","",INDEX(TRANSACTIONS_MASTER!$N$5:$N$1204,$Q142))</f>
        <v/>
      </c>
      <c r="J142" s="25" t="str">
        <f>IF($Q142="","",INDEX(TRANSACTIONS_MASTER!$O$5:$O$1204,$Q142))</f>
        <v/>
      </c>
      <c r="K142" s="26" t="str">
        <f>IF($Q142="","",INDEX(TRANSACTIONS_MASTER!$Q$5:$Q$1204,$Q142))</f>
        <v/>
      </c>
      <c r="L142" s="25" t="str">
        <f>IF($Q142="","",INDEX(TRANSACTIONS_MASTER!$P$5:$P$1204,$Q142))</f>
        <v/>
      </c>
      <c r="M142" s="25" t="str">
        <f>IF($Q142="","",INDEX(TRANSACTIONS_MASTER!$AA$5:$AA$1204,$Q142))</f>
        <v/>
      </c>
      <c r="N142" s="25" t="str">
        <f>IF($Q142="","",INDEX(TRANSACTIONS_MASTER!$R$5:$R$1204,$Q142))</f>
        <v/>
      </c>
      <c r="O142" s="28" t="str">
        <f>IF($Q142="","",INDEX(TRANSACTIONS_MASTER!$AB$5:$AB$1204,$Q142))</f>
        <v/>
      </c>
      <c r="P142" s="55" t="str">
        <f>IF($Q142="","",INDEX(TRANSACTIONS_MASTER!$Z$5:$Z$1204,$Q142)&amp;"")</f>
        <v/>
      </c>
      <c r="Q142" s="67" t="str">
        <f>IFERROR(MATCH($C$2&amp;"|"&amp;135,TRANSACTIONS_MASTER!$AE$5:$AE$1204,0),"")</f>
        <v/>
      </c>
      <c r="S142" s="67" t="str">
        <f>IFERROR(MATCH(1,INDEX((TRANSACTIONS_MASTER!$C$5:$C$1204=$C$2)*(TRANSACTIONS_MASTER!$AJ$5:$AJ$1204=5),0),0),"")</f>
        <v/>
      </c>
      <c r="T142" s="29" t="str">
        <f>IF($S142="","",INDEX(TRANSACTIONS_MASTER!$I$5:$I$1204,$S142))</f>
        <v/>
      </c>
      <c r="U142" s="55" t="str">
        <f>IF($S142="","",INDEX(TRANSACTIONS_MASTER!$J$5:$J$1204,$S142))</f>
        <v/>
      </c>
      <c r="V142" s="25" t="str">
        <f>IF($S142="","",SUMIFS(TRANSACTIONS_MASTER!$L$5:$L$1204,TRANSACTIONS_MASTER!$I$5:$I$1204,$T142,TRANSACTIONS_MASTER!$C$5:$C$1204,$C$2,TRANSACTIONS_MASTER!$U$5:$U$1204,"&lt;&gt;Cancelled"))</f>
        <v/>
      </c>
      <c r="W142" s="26" t="str">
        <f>IF($S142="","",SUMIFS(TRANSACTIONS_MASTER!$Q$5:$Q$1204,TRANSACTIONS_MASTER!$I$5:$I$1204,$T142,TRANSACTIONS_MASTER!$C$5:$C$1204,$C$2))</f>
        <v/>
      </c>
    </row>
    <row r="143">
      <c r="A143" s="81" t="str">
        <f>IF($Q143="","",136)</f>
        <v/>
      </c>
      <c r="B143" s="57" t="str">
        <f>IF($Q143="","",INDEX(TRANSACTIONS_MASTER!$B$5:$B$1204,$Q143))</f>
        <v/>
      </c>
      <c r="C143" s="55" t="str">
        <f>IF($Q143="","",INDEX(TRANSACTIONS_MASTER!$F$5:$F$1204,$Q143))</f>
        <v/>
      </c>
      <c r="D143" s="55" t="str">
        <f>IF($Q143="","",INDEX(TRANSACTIONS_MASTER!$E$5:$E$1204,$Q143))</f>
        <v/>
      </c>
      <c r="E143" s="55" t="str">
        <f>IF($Q143="","",INDEX(TRANSACTIONS_MASTER!$G$5:$G$1204,$Q143)&amp;"")</f>
        <v/>
      </c>
      <c r="F143" s="29" t="str">
        <f>IF($Q143="","",INDEX(TRANSACTIONS_MASTER!$I$5:$I$1204,$Q143))</f>
        <v/>
      </c>
      <c r="G143" s="55" t="str">
        <f>IF($Q143="","",INDEX(TRANSACTIONS_MASTER!$K$5:$K$1204,$Q143))</f>
        <v/>
      </c>
      <c r="H143" s="25" t="str">
        <f>IF($Q143="","",INDEX(TRANSACTIONS_MASTER!$L$5:$L$1204,$Q143))</f>
        <v/>
      </c>
      <c r="I143" s="56" t="str">
        <f>IF($Q143="","",INDEX(TRANSACTIONS_MASTER!$N$5:$N$1204,$Q143))</f>
        <v/>
      </c>
      <c r="J143" s="25" t="str">
        <f>IF($Q143="","",INDEX(TRANSACTIONS_MASTER!$O$5:$O$1204,$Q143))</f>
        <v/>
      </c>
      <c r="K143" s="26" t="str">
        <f>IF($Q143="","",INDEX(TRANSACTIONS_MASTER!$Q$5:$Q$1204,$Q143))</f>
        <v/>
      </c>
      <c r="L143" s="25" t="str">
        <f>IF($Q143="","",INDEX(TRANSACTIONS_MASTER!$P$5:$P$1204,$Q143))</f>
        <v/>
      </c>
      <c r="M143" s="25" t="str">
        <f>IF($Q143="","",INDEX(TRANSACTIONS_MASTER!$AA$5:$AA$1204,$Q143))</f>
        <v/>
      </c>
      <c r="N143" s="25" t="str">
        <f>IF($Q143="","",INDEX(TRANSACTIONS_MASTER!$R$5:$R$1204,$Q143))</f>
        <v/>
      </c>
      <c r="O143" s="28" t="str">
        <f>IF($Q143="","",INDEX(TRANSACTIONS_MASTER!$AB$5:$AB$1204,$Q143))</f>
        <v/>
      </c>
      <c r="P143" s="55" t="str">
        <f>IF($Q143="","",INDEX(TRANSACTIONS_MASTER!$Z$5:$Z$1204,$Q143)&amp;"")</f>
        <v/>
      </c>
      <c r="Q143" s="67" t="str">
        <f>IFERROR(MATCH($C$2&amp;"|"&amp;136,TRANSACTIONS_MASTER!$AE$5:$AE$1204,0),"")</f>
        <v/>
      </c>
      <c r="S143" s="67" t="str">
        <f>IFERROR(MATCH(1,INDEX((TRANSACTIONS_MASTER!$C$5:$C$1204=$C$2)*(TRANSACTIONS_MASTER!$AJ$5:$AJ$1204=6),0),0),"")</f>
        <v/>
      </c>
      <c r="T143" s="29" t="str">
        <f>IF($S143="","",INDEX(TRANSACTIONS_MASTER!$I$5:$I$1204,$S143))</f>
        <v/>
      </c>
      <c r="U143" s="55" t="str">
        <f>IF($S143="","",INDEX(TRANSACTIONS_MASTER!$J$5:$J$1204,$S143))</f>
        <v/>
      </c>
      <c r="V143" s="25" t="str">
        <f>IF($S143="","",SUMIFS(TRANSACTIONS_MASTER!$L$5:$L$1204,TRANSACTIONS_MASTER!$I$5:$I$1204,$T143,TRANSACTIONS_MASTER!$C$5:$C$1204,$C$2,TRANSACTIONS_MASTER!$U$5:$U$1204,"&lt;&gt;Cancelled"))</f>
        <v/>
      </c>
      <c r="W143" s="26" t="str">
        <f>IF($S143="","",SUMIFS(TRANSACTIONS_MASTER!$Q$5:$Q$1204,TRANSACTIONS_MASTER!$I$5:$I$1204,$T143,TRANSACTIONS_MASTER!$C$5:$C$1204,$C$2))</f>
        <v/>
      </c>
    </row>
    <row r="144">
      <c r="A144" s="81" t="str">
        <f>IF($Q144="","",137)</f>
        <v/>
      </c>
      <c r="B144" s="57" t="str">
        <f>IF($Q144="","",INDEX(TRANSACTIONS_MASTER!$B$5:$B$1204,$Q144))</f>
        <v/>
      </c>
      <c r="C144" s="55" t="str">
        <f>IF($Q144="","",INDEX(TRANSACTIONS_MASTER!$F$5:$F$1204,$Q144))</f>
        <v/>
      </c>
      <c r="D144" s="55" t="str">
        <f>IF($Q144="","",INDEX(TRANSACTIONS_MASTER!$E$5:$E$1204,$Q144))</f>
        <v/>
      </c>
      <c r="E144" s="55" t="str">
        <f>IF($Q144="","",INDEX(TRANSACTIONS_MASTER!$G$5:$G$1204,$Q144)&amp;"")</f>
        <v/>
      </c>
      <c r="F144" s="29" t="str">
        <f>IF($Q144="","",INDEX(TRANSACTIONS_MASTER!$I$5:$I$1204,$Q144))</f>
        <v/>
      </c>
      <c r="G144" s="55" t="str">
        <f>IF($Q144="","",INDEX(TRANSACTIONS_MASTER!$K$5:$K$1204,$Q144))</f>
        <v/>
      </c>
      <c r="H144" s="25" t="str">
        <f>IF($Q144="","",INDEX(TRANSACTIONS_MASTER!$L$5:$L$1204,$Q144))</f>
        <v/>
      </c>
      <c r="I144" s="56" t="str">
        <f>IF($Q144="","",INDEX(TRANSACTIONS_MASTER!$N$5:$N$1204,$Q144))</f>
        <v/>
      </c>
      <c r="J144" s="25" t="str">
        <f>IF($Q144="","",INDEX(TRANSACTIONS_MASTER!$O$5:$O$1204,$Q144))</f>
        <v/>
      </c>
      <c r="K144" s="26" t="str">
        <f>IF($Q144="","",INDEX(TRANSACTIONS_MASTER!$Q$5:$Q$1204,$Q144))</f>
        <v/>
      </c>
      <c r="L144" s="25" t="str">
        <f>IF($Q144="","",INDEX(TRANSACTIONS_MASTER!$P$5:$P$1204,$Q144))</f>
        <v/>
      </c>
      <c r="M144" s="25" t="str">
        <f>IF($Q144="","",INDEX(TRANSACTIONS_MASTER!$AA$5:$AA$1204,$Q144))</f>
        <v/>
      </c>
      <c r="N144" s="25" t="str">
        <f>IF($Q144="","",INDEX(TRANSACTIONS_MASTER!$R$5:$R$1204,$Q144))</f>
        <v/>
      </c>
      <c r="O144" s="28" t="str">
        <f>IF($Q144="","",INDEX(TRANSACTIONS_MASTER!$AB$5:$AB$1204,$Q144))</f>
        <v/>
      </c>
      <c r="P144" s="55" t="str">
        <f>IF($Q144="","",INDEX(TRANSACTIONS_MASTER!$Z$5:$Z$1204,$Q144)&amp;"")</f>
        <v/>
      </c>
      <c r="Q144" s="67" t="str">
        <f>IFERROR(MATCH($C$2&amp;"|"&amp;137,TRANSACTIONS_MASTER!$AE$5:$AE$1204,0),"")</f>
        <v/>
      </c>
      <c r="S144" s="67" t="str">
        <f>IFERROR(MATCH(1,INDEX((TRANSACTIONS_MASTER!$C$5:$C$1204=$C$2)*(TRANSACTIONS_MASTER!$AJ$5:$AJ$1204=7),0),0),"")</f>
        <v/>
      </c>
      <c r="T144" s="29" t="str">
        <f>IF($S144="","",INDEX(TRANSACTIONS_MASTER!$I$5:$I$1204,$S144))</f>
        <v/>
      </c>
      <c r="U144" s="55" t="str">
        <f>IF($S144="","",INDEX(TRANSACTIONS_MASTER!$J$5:$J$1204,$S144))</f>
        <v/>
      </c>
      <c r="V144" s="25" t="str">
        <f>IF($S144="","",SUMIFS(TRANSACTIONS_MASTER!$L$5:$L$1204,TRANSACTIONS_MASTER!$I$5:$I$1204,$T144,TRANSACTIONS_MASTER!$C$5:$C$1204,$C$2,TRANSACTIONS_MASTER!$U$5:$U$1204,"&lt;&gt;Cancelled"))</f>
        <v/>
      </c>
      <c r="W144" s="26" t="str">
        <f>IF($S144="","",SUMIFS(TRANSACTIONS_MASTER!$Q$5:$Q$1204,TRANSACTIONS_MASTER!$I$5:$I$1204,$T144,TRANSACTIONS_MASTER!$C$5:$C$1204,$C$2))</f>
        <v/>
      </c>
    </row>
    <row r="145">
      <c r="A145" s="81" t="str">
        <f>IF($Q145="","",138)</f>
        <v/>
      </c>
      <c r="B145" s="57" t="str">
        <f>IF($Q145="","",INDEX(TRANSACTIONS_MASTER!$B$5:$B$1204,$Q145))</f>
        <v/>
      </c>
      <c r="C145" s="55" t="str">
        <f>IF($Q145="","",INDEX(TRANSACTIONS_MASTER!$F$5:$F$1204,$Q145))</f>
        <v/>
      </c>
      <c r="D145" s="55" t="str">
        <f>IF($Q145="","",INDEX(TRANSACTIONS_MASTER!$E$5:$E$1204,$Q145))</f>
        <v/>
      </c>
      <c r="E145" s="55" t="str">
        <f>IF($Q145="","",INDEX(TRANSACTIONS_MASTER!$G$5:$G$1204,$Q145)&amp;"")</f>
        <v/>
      </c>
      <c r="F145" s="29" t="str">
        <f>IF($Q145="","",INDEX(TRANSACTIONS_MASTER!$I$5:$I$1204,$Q145))</f>
        <v/>
      </c>
      <c r="G145" s="55" t="str">
        <f>IF($Q145="","",INDEX(TRANSACTIONS_MASTER!$K$5:$K$1204,$Q145))</f>
        <v/>
      </c>
      <c r="H145" s="25" t="str">
        <f>IF($Q145="","",INDEX(TRANSACTIONS_MASTER!$L$5:$L$1204,$Q145))</f>
        <v/>
      </c>
      <c r="I145" s="56" t="str">
        <f>IF($Q145="","",INDEX(TRANSACTIONS_MASTER!$N$5:$N$1204,$Q145))</f>
        <v/>
      </c>
      <c r="J145" s="25" t="str">
        <f>IF($Q145="","",INDEX(TRANSACTIONS_MASTER!$O$5:$O$1204,$Q145))</f>
        <v/>
      </c>
      <c r="K145" s="26" t="str">
        <f>IF($Q145="","",INDEX(TRANSACTIONS_MASTER!$Q$5:$Q$1204,$Q145))</f>
        <v/>
      </c>
      <c r="L145" s="25" t="str">
        <f>IF($Q145="","",INDEX(TRANSACTIONS_MASTER!$P$5:$P$1204,$Q145))</f>
        <v/>
      </c>
      <c r="M145" s="25" t="str">
        <f>IF($Q145="","",INDEX(TRANSACTIONS_MASTER!$AA$5:$AA$1204,$Q145))</f>
        <v/>
      </c>
      <c r="N145" s="25" t="str">
        <f>IF($Q145="","",INDEX(TRANSACTIONS_MASTER!$R$5:$R$1204,$Q145))</f>
        <v/>
      </c>
      <c r="O145" s="28" t="str">
        <f>IF($Q145="","",INDEX(TRANSACTIONS_MASTER!$AB$5:$AB$1204,$Q145))</f>
        <v/>
      </c>
      <c r="P145" s="55" t="str">
        <f>IF($Q145="","",INDEX(TRANSACTIONS_MASTER!$Z$5:$Z$1204,$Q145)&amp;"")</f>
        <v/>
      </c>
      <c r="Q145" s="67" t="str">
        <f>IFERROR(MATCH($C$2&amp;"|"&amp;138,TRANSACTIONS_MASTER!$AE$5:$AE$1204,0),"")</f>
        <v/>
      </c>
      <c r="S145" s="67" t="str">
        <f>IFERROR(MATCH(1,INDEX((TRANSACTIONS_MASTER!$C$5:$C$1204=$C$2)*(TRANSACTIONS_MASTER!$AJ$5:$AJ$1204=8),0),0),"")</f>
        <v/>
      </c>
      <c r="T145" s="29" t="str">
        <f>IF($S145="","",INDEX(TRANSACTIONS_MASTER!$I$5:$I$1204,$S145))</f>
        <v/>
      </c>
      <c r="U145" s="55" t="str">
        <f>IF($S145="","",INDEX(TRANSACTIONS_MASTER!$J$5:$J$1204,$S145))</f>
        <v/>
      </c>
      <c r="V145" s="25" t="str">
        <f>IF($S145="","",SUMIFS(TRANSACTIONS_MASTER!$L$5:$L$1204,TRANSACTIONS_MASTER!$I$5:$I$1204,$T145,TRANSACTIONS_MASTER!$C$5:$C$1204,$C$2,TRANSACTIONS_MASTER!$U$5:$U$1204,"&lt;&gt;Cancelled"))</f>
        <v/>
      </c>
      <c r="W145" s="26" t="str">
        <f>IF($S145="","",SUMIFS(TRANSACTIONS_MASTER!$Q$5:$Q$1204,TRANSACTIONS_MASTER!$I$5:$I$1204,$T145,TRANSACTIONS_MASTER!$C$5:$C$1204,$C$2))</f>
        <v/>
      </c>
    </row>
    <row r="146">
      <c r="A146" s="81" t="str">
        <f>IF($Q146="","",139)</f>
        <v/>
      </c>
      <c r="B146" s="57" t="str">
        <f>IF($Q146="","",INDEX(TRANSACTIONS_MASTER!$B$5:$B$1204,$Q146))</f>
        <v/>
      </c>
      <c r="C146" s="55" t="str">
        <f>IF($Q146="","",INDEX(TRANSACTIONS_MASTER!$F$5:$F$1204,$Q146))</f>
        <v/>
      </c>
      <c r="D146" s="55" t="str">
        <f>IF($Q146="","",INDEX(TRANSACTIONS_MASTER!$E$5:$E$1204,$Q146))</f>
        <v/>
      </c>
      <c r="E146" s="55" t="str">
        <f>IF($Q146="","",INDEX(TRANSACTIONS_MASTER!$G$5:$G$1204,$Q146)&amp;"")</f>
        <v/>
      </c>
      <c r="F146" s="29" t="str">
        <f>IF($Q146="","",INDEX(TRANSACTIONS_MASTER!$I$5:$I$1204,$Q146))</f>
        <v/>
      </c>
      <c r="G146" s="55" t="str">
        <f>IF($Q146="","",INDEX(TRANSACTIONS_MASTER!$K$5:$K$1204,$Q146))</f>
        <v/>
      </c>
      <c r="H146" s="25" t="str">
        <f>IF($Q146="","",INDEX(TRANSACTIONS_MASTER!$L$5:$L$1204,$Q146))</f>
        <v/>
      </c>
      <c r="I146" s="56" t="str">
        <f>IF($Q146="","",INDEX(TRANSACTIONS_MASTER!$N$5:$N$1204,$Q146))</f>
        <v/>
      </c>
      <c r="J146" s="25" t="str">
        <f>IF($Q146="","",INDEX(TRANSACTIONS_MASTER!$O$5:$O$1204,$Q146))</f>
        <v/>
      </c>
      <c r="K146" s="26" t="str">
        <f>IF($Q146="","",INDEX(TRANSACTIONS_MASTER!$Q$5:$Q$1204,$Q146))</f>
        <v/>
      </c>
      <c r="L146" s="25" t="str">
        <f>IF($Q146="","",INDEX(TRANSACTIONS_MASTER!$P$5:$P$1204,$Q146))</f>
        <v/>
      </c>
      <c r="M146" s="25" t="str">
        <f>IF($Q146="","",INDEX(TRANSACTIONS_MASTER!$AA$5:$AA$1204,$Q146))</f>
        <v/>
      </c>
      <c r="N146" s="25" t="str">
        <f>IF($Q146="","",INDEX(TRANSACTIONS_MASTER!$R$5:$R$1204,$Q146))</f>
        <v/>
      </c>
      <c r="O146" s="28" t="str">
        <f>IF($Q146="","",INDEX(TRANSACTIONS_MASTER!$AB$5:$AB$1204,$Q146))</f>
        <v/>
      </c>
      <c r="P146" s="55" t="str">
        <f>IF($Q146="","",INDEX(TRANSACTIONS_MASTER!$Z$5:$Z$1204,$Q146)&amp;"")</f>
        <v/>
      </c>
      <c r="Q146" s="67" t="str">
        <f>IFERROR(MATCH($C$2&amp;"|"&amp;139,TRANSACTIONS_MASTER!$AE$5:$AE$1204,0),"")</f>
        <v/>
      </c>
      <c r="S146" s="67" t="str">
        <f>IFERROR(MATCH(1,INDEX((TRANSACTIONS_MASTER!$C$5:$C$1204=$C$2)*(TRANSACTIONS_MASTER!$AJ$5:$AJ$1204=9),0),0),"")</f>
        <v/>
      </c>
      <c r="T146" s="29" t="str">
        <f>IF($S146="","",INDEX(TRANSACTIONS_MASTER!$I$5:$I$1204,$S146))</f>
        <v/>
      </c>
      <c r="U146" s="55" t="str">
        <f>IF($S146="","",INDEX(TRANSACTIONS_MASTER!$J$5:$J$1204,$S146))</f>
        <v/>
      </c>
      <c r="V146" s="25" t="str">
        <f>IF($S146="","",SUMIFS(TRANSACTIONS_MASTER!$L$5:$L$1204,TRANSACTIONS_MASTER!$I$5:$I$1204,$T146,TRANSACTIONS_MASTER!$C$5:$C$1204,$C$2,TRANSACTIONS_MASTER!$U$5:$U$1204,"&lt;&gt;Cancelled"))</f>
        <v/>
      </c>
      <c r="W146" s="26" t="str">
        <f>IF($S146="","",SUMIFS(TRANSACTIONS_MASTER!$Q$5:$Q$1204,TRANSACTIONS_MASTER!$I$5:$I$1204,$T146,TRANSACTIONS_MASTER!$C$5:$C$1204,$C$2))</f>
        <v/>
      </c>
    </row>
    <row r="147">
      <c r="A147" s="81" t="str">
        <f>IF($Q147="","",140)</f>
        <v/>
      </c>
      <c r="B147" s="57" t="str">
        <f>IF($Q147="","",INDEX(TRANSACTIONS_MASTER!$B$5:$B$1204,$Q147))</f>
        <v/>
      </c>
      <c r="C147" s="55" t="str">
        <f>IF($Q147="","",INDEX(TRANSACTIONS_MASTER!$F$5:$F$1204,$Q147))</f>
        <v/>
      </c>
      <c r="D147" s="55" t="str">
        <f>IF($Q147="","",INDEX(TRANSACTIONS_MASTER!$E$5:$E$1204,$Q147))</f>
        <v/>
      </c>
      <c r="E147" s="55" t="str">
        <f>IF($Q147="","",INDEX(TRANSACTIONS_MASTER!$G$5:$G$1204,$Q147)&amp;"")</f>
        <v/>
      </c>
      <c r="F147" s="29" t="str">
        <f>IF($Q147="","",INDEX(TRANSACTIONS_MASTER!$I$5:$I$1204,$Q147))</f>
        <v/>
      </c>
      <c r="G147" s="55" t="str">
        <f>IF($Q147="","",INDEX(TRANSACTIONS_MASTER!$K$5:$K$1204,$Q147))</f>
        <v/>
      </c>
      <c r="H147" s="25" t="str">
        <f>IF($Q147="","",INDEX(TRANSACTIONS_MASTER!$L$5:$L$1204,$Q147))</f>
        <v/>
      </c>
      <c r="I147" s="56" t="str">
        <f>IF($Q147="","",INDEX(TRANSACTIONS_MASTER!$N$5:$N$1204,$Q147))</f>
        <v/>
      </c>
      <c r="J147" s="25" t="str">
        <f>IF($Q147="","",INDEX(TRANSACTIONS_MASTER!$O$5:$O$1204,$Q147))</f>
        <v/>
      </c>
      <c r="K147" s="26" t="str">
        <f>IF($Q147="","",INDEX(TRANSACTIONS_MASTER!$Q$5:$Q$1204,$Q147))</f>
        <v/>
      </c>
      <c r="L147" s="25" t="str">
        <f>IF($Q147="","",INDEX(TRANSACTIONS_MASTER!$P$5:$P$1204,$Q147))</f>
        <v/>
      </c>
      <c r="M147" s="25" t="str">
        <f>IF($Q147="","",INDEX(TRANSACTIONS_MASTER!$AA$5:$AA$1204,$Q147))</f>
        <v/>
      </c>
      <c r="N147" s="25" t="str">
        <f>IF($Q147="","",INDEX(TRANSACTIONS_MASTER!$R$5:$R$1204,$Q147))</f>
        <v/>
      </c>
      <c r="O147" s="28" t="str">
        <f>IF($Q147="","",INDEX(TRANSACTIONS_MASTER!$AB$5:$AB$1204,$Q147))</f>
        <v/>
      </c>
      <c r="P147" s="55" t="str">
        <f>IF($Q147="","",INDEX(TRANSACTIONS_MASTER!$Z$5:$Z$1204,$Q147)&amp;"")</f>
        <v/>
      </c>
      <c r="Q147" s="67" t="str">
        <f>IFERROR(MATCH($C$2&amp;"|"&amp;140,TRANSACTIONS_MASTER!$AE$5:$AE$1204,0),"")</f>
        <v/>
      </c>
      <c r="S147" s="67" t="str">
        <f>IFERROR(MATCH(1,INDEX((TRANSACTIONS_MASTER!$C$5:$C$1204=$C$2)*(TRANSACTIONS_MASTER!$AJ$5:$AJ$1204=10),0),0),"")</f>
        <v/>
      </c>
      <c r="T147" s="29" t="str">
        <f>IF($S147="","",INDEX(TRANSACTIONS_MASTER!$I$5:$I$1204,$S147))</f>
        <v/>
      </c>
      <c r="U147" s="55" t="str">
        <f>IF($S147="","",INDEX(TRANSACTIONS_MASTER!$J$5:$J$1204,$S147))</f>
        <v/>
      </c>
      <c r="V147" s="25" t="str">
        <f>IF($S147="","",SUMIFS(TRANSACTIONS_MASTER!$L$5:$L$1204,TRANSACTIONS_MASTER!$I$5:$I$1204,$T147,TRANSACTIONS_MASTER!$C$5:$C$1204,$C$2,TRANSACTIONS_MASTER!$U$5:$U$1204,"&lt;&gt;Cancelled"))</f>
        <v/>
      </c>
      <c r="W147" s="26" t="str">
        <f>IF($S147="","",SUMIFS(TRANSACTIONS_MASTER!$Q$5:$Q$1204,TRANSACTIONS_MASTER!$I$5:$I$1204,$T147,TRANSACTIONS_MASTER!$C$5:$C$1204,$C$2))</f>
        <v/>
      </c>
    </row>
    <row r="148">
      <c r="A148" s="81" t="str">
        <f>IF($Q148="","",141)</f>
        <v/>
      </c>
      <c r="B148" s="57" t="str">
        <f>IF($Q148="","",INDEX(TRANSACTIONS_MASTER!$B$5:$B$1204,$Q148))</f>
        <v/>
      </c>
      <c r="C148" s="55" t="str">
        <f>IF($Q148="","",INDEX(TRANSACTIONS_MASTER!$F$5:$F$1204,$Q148))</f>
        <v/>
      </c>
      <c r="D148" s="55" t="str">
        <f>IF($Q148="","",INDEX(TRANSACTIONS_MASTER!$E$5:$E$1204,$Q148))</f>
        <v/>
      </c>
      <c r="E148" s="55" t="str">
        <f>IF($Q148="","",INDEX(TRANSACTIONS_MASTER!$G$5:$G$1204,$Q148)&amp;"")</f>
        <v/>
      </c>
      <c r="F148" s="29" t="str">
        <f>IF($Q148="","",INDEX(TRANSACTIONS_MASTER!$I$5:$I$1204,$Q148))</f>
        <v/>
      </c>
      <c r="G148" s="55" t="str">
        <f>IF($Q148="","",INDEX(TRANSACTIONS_MASTER!$K$5:$K$1204,$Q148))</f>
        <v/>
      </c>
      <c r="H148" s="25" t="str">
        <f>IF($Q148="","",INDEX(TRANSACTIONS_MASTER!$L$5:$L$1204,$Q148))</f>
        <v/>
      </c>
      <c r="I148" s="56" t="str">
        <f>IF($Q148="","",INDEX(TRANSACTIONS_MASTER!$N$5:$N$1204,$Q148))</f>
        <v/>
      </c>
      <c r="J148" s="25" t="str">
        <f>IF($Q148="","",INDEX(TRANSACTIONS_MASTER!$O$5:$O$1204,$Q148))</f>
        <v/>
      </c>
      <c r="K148" s="26" t="str">
        <f>IF($Q148="","",INDEX(TRANSACTIONS_MASTER!$Q$5:$Q$1204,$Q148))</f>
        <v/>
      </c>
      <c r="L148" s="25" t="str">
        <f>IF($Q148="","",INDEX(TRANSACTIONS_MASTER!$P$5:$P$1204,$Q148))</f>
        <v/>
      </c>
      <c r="M148" s="25" t="str">
        <f>IF($Q148="","",INDEX(TRANSACTIONS_MASTER!$AA$5:$AA$1204,$Q148))</f>
        <v/>
      </c>
      <c r="N148" s="25" t="str">
        <f>IF($Q148="","",INDEX(TRANSACTIONS_MASTER!$R$5:$R$1204,$Q148))</f>
        <v/>
      </c>
      <c r="O148" s="28" t="str">
        <f>IF($Q148="","",INDEX(TRANSACTIONS_MASTER!$AB$5:$AB$1204,$Q148))</f>
        <v/>
      </c>
      <c r="P148" s="55" t="str">
        <f>IF($Q148="","",INDEX(TRANSACTIONS_MASTER!$Z$5:$Z$1204,$Q148)&amp;"")</f>
        <v/>
      </c>
      <c r="Q148" s="67" t="str">
        <f>IFERROR(MATCH($C$2&amp;"|"&amp;141,TRANSACTIONS_MASTER!$AE$5:$AE$1204,0),"")</f>
        <v/>
      </c>
      <c r="S148" s="67" t="str">
        <f>IFERROR(MATCH(1,INDEX((TRANSACTIONS_MASTER!$C$5:$C$1204=$C$2)*(TRANSACTIONS_MASTER!$AJ$5:$AJ$1204=11),0),0),"")</f>
        <v/>
      </c>
      <c r="T148" s="29" t="str">
        <f>IF($S148="","",INDEX(TRANSACTIONS_MASTER!$I$5:$I$1204,$S148))</f>
        <v/>
      </c>
      <c r="U148" s="55" t="str">
        <f>IF($S148="","",INDEX(TRANSACTIONS_MASTER!$J$5:$J$1204,$S148))</f>
        <v/>
      </c>
      <c r="V148" s="25" t="str">
        <f>IF($S148="","",SUMIFS(TRANSACTIONS_MASTER!$L$5:$L$1204,TRANSACTIONS_MASTER!$I$5:$I$1204,$T148,TRANSACTIONS_MASTER!$C$5:$C$1204,$C$2,TRANSACTIONS_MASTER!$U$5:$U$1204,"&lt;&gt;Cancelled"))</f>
        <v/>
      </c>
      <c r="W148" s="26" t="str">
        <f>IF($S148="","",SUMIFS(TRANSACTIONS_MASTER!$Q$5:$Q$1204,TRANSACTIONS_MASTER!$I$5:$I$1204,$T148,TRANSACTIONS_MASTER!$C$5:$C$1204,$C$2))</f>
        <v/>
      </c>
    </row>
    <row r="149">
      <c r="A149" s="81" t="str">
        <f>IF($Q149="","",142)</f>
        <v/>
      </c>
      <c r="B149" s="57" t="str">
        <f>IF($Q149="","",INDEX(TRANSACTIONS_MASTER!$B$5:$B$1204,$Q149))</f>
        <v/>
      </c>
      <c r="C149" s="55" t="str">
        <f>IF($Q149="","",INDEX(TRANSACTIONS_MASTER!$F$5:$F$1204,$Q149))</f>
        <v/>
      </c>
      <c r="D149" s="55" t="str">
        <f>IF($Q149="","",INDEX(TRANSACTIONS_MASTER!$E$5:$E$1204,$Q149))</f>
        <v/>
      </c>
      <c r="E149" s="55" t="str">
        <f>IF($Q149="","",INDEX(TRANSACTIONS_MASTER!$G$5:$G$1204,$Q149)&amp;"")</f>
        <v/>
      </c>
      <c r="F149" s="29" t="str">
        <f>IF($Q149="","",INDEX(TRANSACTIONS_MASTER!$I$5:$I$1204,$Q149))</f>
        <v/>
      </c>
      <c r="G149" s="55" t="str">
        <f>IF($Q149="","",INDEX(TRANSACTIONS_MASTER!$K$5:$K$1204,$Q149))</f>
        <v/>
      </c>
      <c r="H149" s="25" t="str">
        <f>IF($Q149="","",INDEX(TRANSACTIONS_MASTER!$L$5:$L$1204,$Q149))</f>
        <v/>
      </c>
      <c r="I149" s="56" t="str">
        <f>IF($Q149="","",INDEX(TRANSACTIONS_MASTER!$N$5:$N$1204,$Q149))</f>
        <v/>
      </c>
      <c r="J149" s="25" t="str">
        <f>IF($Q149="","",INDEX(TRANSACTIONS_MASTER!$O$5:$O$1204,$Q149))</f>
        <v/>
      </c>
      <c r="K149" s="26" t="str">
        <f>IF($Q149="","",INDEX(TRANSACTIONS_MASTER!$Q$5:$Q$1204,$Q149))</f>
        <v/>
      </c>
      <c r="L149" s="25" t="str">
        <f>IF($Q149="","",INDEX(TRANSACTIONS_MASTER!$P$5:$P$1204,$Q149))</f>
        <v/>
      </c>
      <c r="M149" s="25" t="str">
        <f>IF($Q149="","",INDEX(TRANSACTIONS_MASTER!$AA$5:$AA$1204,$Q149))</f>
        <v/>
      </c>
      <c r="N149" s="25" t="str">
        <f>IF($Q149="","",INDEX(TRANSACTIONS_MASTER!$R$5:$R$1204,$Q149))</f>
        <v/>
      </c>
      <c r="O149" s="28" t="str">
        <f>IF($Q149="","",INDEX(TRANSACTIONS_MASTER!$AB$5:$AB$1204,$Q149))</f>
        <v/>
      </c>
      <c r="P149" s="55" t="str">
        <f>IF($Q149="","",INDEX(TRANSACTIONS_MASTER!$Z$5:$Z$1204,$Q149)&amp;"")</f>
        <v/>
      </c>
      <c r="Q149" s="67" t="str">
        <f>IFERROR(MATCH($C$2&amp;"|"&amp;142,TRANSACTIONS_MASTER!$AE$5:$AE$1204,0),"")</f>
        <v/>
      </c>
      <c r="S149" s="67" t="str">
        <f>IFERROR(MATCH(1,INDEX((TRANSACTIONS_MASTER!$C$5:$C$1204=$C$2)*(TRANSACTIONS_MASTER!$AJ$5:$AJ$1204=12),0),0),"")</f>
        <v/>
      </c>
      <c r="T149" s="29" t="str">
        <f>IF($S149="","",INDEX(TRANSACTIONS_MASTER!$I$5:$I$1204,$S149))</f>
        <v/>
      </c>
      <c r="U149" s="55" t="str">
        <f>IF($S149="","",INDEX(TRANSACTIONS_MASTER!$J$5:$J$1204,$S149))</f>
        <v/>
      </c>
      <c r="V149" s="25" t="str">
        <f>IF($S149="","",SUMIFS(TRANSACTIONS_MASTER!$L$5:$L$1204,TRANSACTIONS_MASTER!$I$5:$I$1204,$T149,TRANSACTIONS_MASTER!$C$5:$C$1204,$C$2,TRANSACTIONS_MASTER!$U$5:$U$1204,"&lt;&gt;Cancelled"))</f>
        <v/>
      </c>
      <c r="W149" s="26" t="str">
        <f>IF($S149="","",SUMIFS(TRANSACTIONS_MASTER!$Q$5:$Q$1204,TRANSACTIONS_MASTER!$I$5:$I$1204,$T149,TRANSACTIONS_MASTER!$C$5:$C$1204,$C$2))</f>
        <v/>
      </c>
    </row>
    <row r="150">
      <c r="A150" s="81" t="str">
        <f>IF($Q150="","",143)</f>
        <v/>
      </c>
      <c r="B150" s="57" t="str">
        <f>IF($Q150="","",INDEX(TRANSACTIONS_MASTER!$B$5:$B$1204,$Q150))</f>
        <v/>
      </c>
      <c r="C150" s="55" t="str">
        <f>IF($Q150="","",INDEX(TRANSACTIONS_MASTER!$F$5:$F$1204,$Q150))</f>
        <v/>
      </c>
      <c r="D150" s="55" t="str">
        <f>IF($Q150="","",INDEX(TRANSACTIONS_MASTER!$E$5:$E$1204,$Q150))</f>
        <v/>
      </c>
      <c r="E150" s="55" t="str">
        <f>IF($Q150="","",INDEX(TRANSACTIONS_MASTER!$G$5:$G$1204,$Q150)&amp;"")</f>
        <v/>
      </c>
      <c r="F150" s="29" t="str">
        <f>IF($Q150="","",INDEX(TRANSACTIONS_MASTER!$I$5:$I$1204,$Q150))</f>
        <v/>
      </c>
      <c r="G150" s="55" t="str">
        <f>IF($Q150="","",INDEX(TRANSACTIONS_MASTER!$K$5:$K$1204,$Q150))</f>
        <v/>
      </c>
      <c r="H150" s="25" t="str">
        <f>IF($Q150="","",INDEX(TRANSACTIONS_MASTER!$L$5:$L$1204,$Q150))</f>
        <v/>
      </c>
      <c r="I150" s="56" t="str">
        <f>IF($Q150="","",INDEX(TRANSACTIONS_MASTER!$N$5:$N$1204,$Q150))</f>
        <v/>
      </c>
      <c r="J150" s="25" t="str">
        <f>IF($Q150="","",INDEX(TRANSACTIONS_MASTER!$O$5:$O$1204,$Q150))</f>
        <v/>
      </c>
      <c r="K150" s="26" t="str">
        <f>IF($Q150="","",INDEX(TRANSACTIONS_MASTER!$Q$5:$Q$1204,$Q150))</f>
        <v/>
      </c>
      <c r="L150" s="25" t="str">
        <f>IF($Q150="","",INDEX(TRANSACTIONS_MASTER!$P$5:$P$1204,$Q150))</f>
        <v/>
      </c>
      <c r="M150" s="25" t="str">
        <f>IF($Q150="","",INDEX(TRANSACTIONS_MASTER!$AA$5:$AA$1204,$Q150))</f>
        <v/>
      </c>
      <c r="N150" s="25" t="str">
        <f>IF($Q150="","",INDEX(TRANSACTIONS_MASTER!$R$5:$R$1204,$Q150))</f>
        <v/>
      </c>
      <c r="O150" s="28" t="str">
        <f>IF($Q150="","",INDEX(TRANSACTIONS_MASTER!$AB$5:$AB$1204,$Q150))</f>
        <v/>
      </c>
      <c r="P150" s="55" t="str">
        <f>IF($Q150="","",INDEX(TRANSACTIONS_MASTER!$Z$5:$Z$1204,$Q150)&amp;"")</f>
        <v/>
      </c>
      <c r="Q150" s="67" t="str">
        <f>IFERROR(MATCH($C$2&amp;"|"&amp;143,TRANSACTIONS_MASTER!$AE$5:$AE$1204,0),"")</f>
        <v/>
      </c>
      <c r="S150" s="67" t="str">
        <f>IFERROR(MATCH(1,INDEX((TRANSACTIONS_MASTER!$C$5:$C$1204=$C$2)*(TRANSACTIONS_MASTER!$AJ$5:$AJ$1204=13),0),0),"")</f>
        <v/>
      </c>
      <c r="T150" s="29" t="str">
        <f>IF($S150="","",INDEX(TRANSACTIONS_MASTER!$I$5:$I$1204,$S150))</f>
        <v/>
      </c>
      <c r="U150" s="55" t="str">
        <f>IF($S150="","",INDEX(TRANSACTIONS_MASTER!$J$5:$J$1204,$S150))</f>
        <v/>
      </c>
      <c r="V150" s="25" t="str">
        <f>IF($S150="","",SUMIFS(TRANSACTIONS_MASTER!$L$5:$L$1204,TRANSACTIONS_MASTER!$I$5:$I$1204,$T150,TRANSACTIONS_MASTER!$C$5:$C$1204,$C$2,TRANSACTIONS_MASTER!$U$5:$U$1204,"&lt;&gt;Cancelled"))</f>
        <v/>
      </c>
      <c r="W150" s="26" t="str">
        <f>IF($S150="","",SUMIFS(TRANSACTIONS_MASTER!$Q$5:$Q$1204,TRANSACTIONS_MASTER!$I$5:$I$1204,$T150,TRANSACTIONS_MASTER!$C$5:$C$1204,$C$2))</f>
        <v/>
      </c>
    </row>
    <row r="151">
      <c r="A151" s="81" t="str">
        <f>IF($Q151="","",144)</f>
        <v/>
      </c>
      <c r="B151" s="57" t="str">
        <f>IF($Q151="","",INDEX(TRANSACTIONS_MASTER!$B$5:$B$1204,$Q151))</f>
        <v/>
      </c>
      <c r="C151" s="55" t="str">
        <f>IF($Q151="","",INDEX(TRANSACTIONS_MASTER!$F$5:$F$1204,$Q151))</f>
        <v/>
      </c>
      <c r="D151" s="55" t="str">
        <f>IF($Q151="","",INDEX(TRANSACTIONS_MASTER!$E$5:$E$1204,$Q151))</f>
        <v/>
      </c>
      <c r="E151" s="55" t="str">
        <f>IF($Q151="","",INDEX(TRANSACTIONS_MASTER!$G$5:$G$1204,$Q151)&amp;"")</f>
        <v/>
      </c>
      <c r="F151" s="29" t="str">
        <f>IF($Q151="","",INDEX(TRANSACTIONS_MASTER!$I$5:$I$1204,$Q151))</f>
        <v/>
      </c>
      <c r="G151" s="55" t="str">
        <f>IF($Q151="","",INDEX(TRANSACTIONS_MASTER!$K$5:$K$1204,$Q151))</f>
        <v/>
      </c>
      <c r="H151" s="25" t="str">
        <f>IF($Q151="","",INDEX(TRANSACTIONS_MASTER!$L$5:$L$1204,$Q151))</f>
        <v/>
      </c>
      <c r="I151" s="56" t="str">
        <f>IF($Q151="","",INDEX(TRANSACTIONS_MASTER!$N$5:$N$1204,$Q151))</f>
        <v/>
      </c>
      <c r="J151" s="25" t="str">
        <f>IF($Q151="","",INDEX(TRANSACTIONS_MASTER!$O$5:$O$1204,$Q151))</f>
        <v/>
      </c>
      <c r="K151" s="26" t="str">
        <f>IF($Q151="","",INDEX(TRANSACTIONS_MASTER!$Q$5:$Q$1204,$Q151))</f>
        <v/>
      </c>
      <c r="L151" s="25" t="str">
        <f>IF($Q151="","",INDEX(TRANSACTIONS_MASTER!$P$5:$P$1204,$Q151))</f>
        <v/>
      </c>
      <c r="M151" s="25" t="str">
        <f>IF($Q151="","",INDEX(TRANSACTIONS_MASTER!$AA$5:$AA$1204,$Q151))</f>
        <v/>
      </c>
      <c r="N151" s="25" t="str">
        <f>IF($Q151="","",INDEX(TRANSACTIONS_MASTER!$R$5:$R$1204,$Q151))</f>
        <v/>
      </c>
      <c r="O151" s="28" t="str">
        <f>IF($Q151="","",INDEX(TRANSACTIONS_MASTER!$AB$5:$AB$1204,$Q151))</f>
        <v/>
      </c>
      <c r="P151" s="55" t="str">
        <f>IF($Q151="","",INDEX(TRANSACTIONS_MASTER!$Z$5:$Z$1204,$Q151)&amp;"")</f>
        <v/>
      </c>
      <c r="Q151" s="67" t="str">
        <f>IFERROR(MATCH($C$2&amp;"|"&amp;144,TRANSACTIONS_MASTER!$AE$5:$AE$1204,0),"")</f>
        <v/>
      </c>
      <c r="S151" s="67" t="str">
        <f>IFERROR(MATCH(1,INDEX((TRANSACTIONS_MASTER!$C$5:$C$1204=$C$2)*(TRANSACTIONS_MASTER!$AJ$5:$AJ$1204=14),0),0),"")</f>
        <v/>
      </c>
      <c r="T151" s="29" t="str">
        <f>IF($S151="","",INDEX(TRANSACTIONS_MASTER!$I$5:$I$1204,$S151))</f>
        <v/>
      </c>
      <c r="U151" s="55" t="str">
        <f>IF($S151="","",INDEX(TRANSACTIONS_MASTER!$J$5:$J$1204,$S151))</f>
        <v/>
      </c>
      <c r="V151" s="25" t="str">
        <f>IF($S151="","",SUMIFS(TRANSACTIONS_MASTER!$L$5:$L$1204,TRANSACTIONS_MASTER!$I$5:$I$1204,$T151,TRANSACTIONS_MASTER!$C$5:$C$1204,$C$2,TRANSACTIONS_MASTER!$U$5:$U$1204,"&lt;&gt;Cancelled"))</f>
        <v/>
      </c>
      <c r="W151" s="26" t="str">
        <f>IF($S151="","",SUMIFS(TRANSACTIONS_MASTER!$Q$5:$Q$1204,TRANSACTIONS_MASTER!$I$5:$I$1204,$T151,TRANSACTIONS_MASTER!$C$5:$C$1204,$C$2))</f>
        <v/>
      </c>
    </row>
    <row r="152">
      <c r="A152" s="81" t="str">
        <f>IF($Q152="","",145)</f>
        <v/>
      </c>
      <c r="B152" s="57" t="str">
        <f>IF($Q152="","",INDEX(TRANSACTIONS_MASTER!$B$5:$B$1204,$Q152))</f>
        <v/>
      </c>
      <c r="C152" s="55" t="str">
        <f>IF($Q152="","",INDEX(TRANSACTIONS_MASTER!$F$5:$F$1204,$Q152))</f>
        <v/>
      </c>
      <c r="D152" s="55" t="str">
        <f>IF($Q152="","",INDEX(TRANSACTIONS_MASTER!$E$5:$E$1204,$Q152))</f>
        <v/>
      </c>
      <c r="E152" s="55" t="str">
        <f>IF($Q152="","",INDEX(TRANSACTIONS_MASTER!$G$5:$G$1204,$Q152)&amp;"")</f>
        <v/>
      </c>
      <c r="F152" s="29" t="str">
        <f>IF($Q152="","",INDEX(TRANSACTIONS_MASTER!$I$5:$I$1204,$Q152))</f>
        <v/>
      </c>
      <c r="G152" s="55" t="str">
        <f>IF($Q152="","",INDEX(TRANSACTIONS_MASTER!$K$5:$K$1204,$Q152))</f>
        <v/>
      </c>
      <c r="H152" s="25" t="str">
        <f>IF($Q152="","",INDEX(TRANSACTIONS_MASTER!$L$5:$L$1204,$Q152))</f>
        <v/>
      </c>
      <c r="I152" s="56" t="str">
        <f>IF($Q152="","",INDEX(TRANSACTIONS_MASTER!$N$5:$N$1204,$Q152))</f>
        <v/>
      </c>
      <c r="J152" s="25" t="str">
        <f>IF($Q152="","",INDEX(TRANSACTIONS_MASTER!$O$5:$O$1204,$Q152))</f>
        <v/>
      </c>
      <c r="K152" s="26" t="str">
        <f>IF($Q152="","",INDEX(TRANSACTIONS_MASTER!$Q$5:$Q$1204,$Q152))</f>
        <v/>
      </c>
      <c r="L152" s="25" t="str">
        <f>IF($Q152="","",INDEX(TRANSACTIONS_MASTER!$P$5:$P$1204,$Q152))</f>
        <v/>
      </c>
      <c r="M152" s="25" t="str">
        <f>IF($Q152="","",INDEX(TRANSACTIONS_MASTER!$AA$5:$AA$1204,$Q152))</f>
        <v/>
      </c>
      <c r="N152" s="25" t="str">
        <f>IF($Q152="","",INDEX(TRANSACTIONS_MASTER!$R$5:$R$1204,$Q152))</f>
        <v/>
      </c>
      <c r="O152" s="28" t="str">
        <f>IF($Q152="","",INDEX(TRANSACTIONS_MASTER!$AB$5:$AB$1204,$Q152))</f>
        <v/>
      </c>
      <c r="P152" s="55" t="str">
        <f>IF($Q152="","",INDEX(TRANSACTIONS_MASTER!$Z$5:$Z$1204,$Q152)&amp;"")</f>
        <v/>
      </c>
      <c r="Q152" s="67" t="str">
        <f>IFERROR(MATCH($C$2&amp;"|"&amp;145,TRANSACTIONS_MASTER!$AE$5:$AE$1204,0),"")</f>
        <v/>
      </c>
      <c r="S152" s="67" t="str">
        <f>IFERROR(MATCH(1,INDEX((TRANSACTIONS_MASTER!$C$5:$C$1204=$C$2)*(TRANSACTIONS_MASTER!$AJ$5:$AJ$1204=15),0),0),"")</f>
        <v/>
      </c>
      <c r="T152" s="29" t="str">
        <f>IF($S152="","",INDEX(TRANSACTIONS_MASTER!$I$5:$I$1204,$S152))</f>
        <v/>
      </c>
      <c r="U152" s="55" t="str">
        <f>IF($S152="","",INDEX(TRANSACTIONS_MASTER!$J$5:$J$1204,$S152))</f>
        <v/>
      </c>
      <c r="V152" s="25" t="str">
        <f>IF($S152="","",SUMIFS(TRANSACTIONS_MASTER!$L$5:$L$1204,TRANSACTIONS_MASTER!$I$5:$I$1204,$T152,TRANSACTIONS_MASTER!$C$5:$C$1204,$C$2,TRANSACTIONS_MASTER!$U$5:$U$1204,"&lt;&gt;Cancelled"))</f>
        <v/>
      </c>
      <c r="W152" s="26" t="str">
        <f>IF($S152="","",SUMIFS(TRANSACTIONS_MASTER!$Q$5:$Q$1204,TRANSACTIONS_MASTER!$I$5:$I$1204,$T152,TRANSACTIONS_MASTER!$C$5:$C$1204,$C$2))</f>
        <v/>
      </c>
    </row>
    <row r="153">
      <c r="A153" s="81" t="str">
        <f>IF($Q153="","",146)</f>
        <v/>
      </c>
      <c r="B153" s="57" t="str">
        <f>IF($Q153="","",INDEX(TRANSACTIONS_MASTER!$B$5:$B$1204,$Q153))</f>
        <v/>
      </c>
      <c r="C153" s="55" t="str">
        <f>IF($Q153="","",INDEX(TRANSACTIONS_MASTER!$F$5:$F$1204,$Q153))</f>
        <v/>
      </c>
      <c r="D153" s="55" t="str">
        <f>IF($Q153="","",INDEX(TRANSACTIONS_MASTER!$E$5:$E$1204,$Q153))</f>
        <v/>
      </c>
      <c r="E153" s="55" t="str">
        <f>IF($Q153="","",INDEX(TRANSACTIONS_MASTER!$G$5:$G$1204,$Q153)&amp;"")</f>
        <v/>
      </c>
      <c r="F153" s="29" t="str">
        <f>IF($Q153="","",INDEX(TRANSACTIONS_MASTER!$I$5:$I$1204,$Q153))</f>
        <v/>
      </c>
      <c r="G153" s="55" t="str">
        <f>IF($Q153="","",INDEX(TRANSACTIONS_MASTER!$K$5:$K$1204,$Q153))</f>
        <v/>
      </c>
      <c r="H153" s="25" t="str">
        <f>IF($Q153="","",INDEX(TRANSACTIONS_MASTER!$L$5:$L$1204,$Q153))</f>
        <v/>
      </c>
      <c r="I153" s="56" t="str">
        <f>IF($Q153="","",INDEX(TRANSACTIONS_MASTER!$N$5:$N$1204,$Q153))</f>
        <v/>
      </c>
      <c r="J153" s="25" t="str">
        <f>IF($Q153="","",INDEX(TRANSACTIONS_MASTER!$O$5:$O$1204,$Q153))</f>
        <v/>
      </c>
      <c r="K153" s="26" t="str">
        <f>IF($Q153="","",INDEX(TRANSACTIONS_MASTER!$Q$5:$Q$1204,$Q153))</f>
        <v/>
      </c>
      <c r="L153" s="25" t="str">
        <f>IF($Q153="","",INDEX(TRANSACTIONS_MASTER!$P$5:$P$1204,$Q153))</f>
        <v/>
      </c>
      <c r="M153" s="25" t="str">
        <f>IF($Q153="","",INDEX(TRANSACTIONS_MASTER!$AA$5:$AA$1204,$Q153))</f>
        <v/>
      </c>
      <c r="N153" s="25" t="str">
        <f>IF($Q153="","",INDEX(TRANSACTIONS_MASTER!$R$5:$R$1204,$Q153))</f>
        <v/>
      </c>
      <c r="O153" s="28" t="str">
        <f>IF($Q153="","",INDEX(TRANSACTIONS_MASTER!$AB$5:$AB$1204,$Q153))</f>
        <v/>
      </c>
      <c r="P153" s="55" t="str">
        <f>IF($Q153="","",INDEX(TRANSACTIONS_MASTER!$Z$5:$Z$1204,$Q153)&amp;"")</f>
        <v/>
      </c>
      <c r="Q153" s="67" t="str">
        <f>IFERROR(MATCH($C$2&amp;"|"&amp;146,TRANSACTIONS_MASTER!$AE$5:$AE$1204,0),"")</f>
        <v/>
      </c>
      <c r="T153" s="45" t="n"/>
      <c r="U153" s="82" t="inlineStr">
        <is>
          <t>Khác (ngoài danh sách)</t>
        </is>
      </c>
      <c r="V153" s="48">
        <f>MAX(0,SUMIFS(TRANSACTIONS_MASTER!$L$5:$L$1204,TRANSACTIONS_MASTER!$C$5:$C$1204,$C$2,TRANSACTIONS_MASTER!$U$5:$U$1204,"&lt;&gt;Cancelled")-SUM(V138:V152))</f>
        <v>0</v>
      </c>
      <c r="W153" s="48">
        <f>MAX(0,SUMIFS(TRANSACTIONS_MASTER!$Q$5:$Q$1204,TRANSACTIONS_MASTER!$C$5:$C$1204,$C$2)-SUM(W138:W152))</f>
        <v>0</v>
      </c>
    </row>
    <row r="154">
      <c r="A154" s="81" t="str">
        <f>IF($Q154="","",147)</f>
        <v/>
      </c>
      <c r="B154" s="57" t="str">
        <f>IF($Q154="","",INDEX(TRANSACTIONS_MASTER!$B$5:$B$1204,$Q154))</f>
        <v/>
      </c>
      <c r="C154" s="55" t="str">
        <f>IF($Q154="","",INDEX(TRANSACTIONS_MASTER!$F$5:$F$1204,$Q154))</f>
        <v/>
      </c>
      <c r="D154" s="55" t="str">
        <f>IF($Q154="","",INDEX(TRANSACTIONS_MASTER!$E$5:$E$1204,$Q154))</f>
        <v/>
      </c>
      <c r="E154" s="55" t="str">
        <f>IF($Q154="","",INDEX(TRANSACTIONS_MASTER!$G$5:$G$1204,$Q154)&amp;"")</f>
        <v/>
      </c>
      <c r="F154" s="29" t="str">
        <f>IF($Q154="","",INDEX(TRANSACTIONS_MASTER!$I$5:$I$1204,$Q154))</f>
        <v/>
      </c>
      <c r="G154" s="55" t="str">
        <f>IF($Q154="","",INDEX(TRANSACTIONS_MASTER!$K$5:$K$1204,$Q154))</f>
        <v/>
      </c>
      <c r="H154" s="25" t="str">
        <f>IF($Q154="","",INDEX(TRANSACTIONS_MASTER!$L$5:$L$1204,$Q154))</f>
        <v/>
      </c>
      <c r="I154" s="56" t="str">
        <f>IF($Q154="","",INDEX(TRANSACTIONS_MASTER!$N$5:$N$1204,$Q154))</f>
        <v/>
      </c>
      <c r="J154" s="25" t="str">
        <f>IF($Q154="","",INDEX(TRANSACTIONS_MASTER!$O$5:$O$1204,$Q154))</f>
        <v/>
      </c>
      <c r="K154" s="26" t="str">
        <f>IF($Q154="","",INDEX(TRANSACTIONS_MASTER!$Q$5:$Q$1204,$Q154))</f>
        <v/>
      </c>
      <c r="L154" s="25" t="str">
        <f>IF($Q154="","",INDEX(TRANSACTIONS_MASTER!$P$5:$P$1204,$Q154))</f>
        <v/>
      </c>
      <c r="M154" s="25" t="str">
        <f>IF($Q154="","",INDEX(TRANSACTIONS_MASTER!$AA$5:$AA$1204,$Q154))</f>
        <v/>
      </c>
      <c r="N154" s="25" t="str">
        <f>IF($Q154="","",INDEX(TRANSACTIONS_MASTER!$R$5:$R$1204,$Q154))</f>
        <v/>
      </c>
      <c r="O154" s="28" t="str">
        <f>IF($Q154="","",INDEX(TRANSACTIONS_MASTER!$AB$5:$AB$1204,$Q154))</f>
        <v/>
      </c>
      <c r="P154" s="55" t="str">
        <f>IF($Q154="","",INDEX(TRANSACTIONS_MASTER!$Z$5:$Z$1204,$Q154)&amp;"")</f>
        <v/>
      </c>
      <c r="Q154" s="67" t="str">
        <f>IFERROR(MATCH($C$2&amp;"|"&amp;147,TRANSACTIONS_MASTER!$AE$5:$AE$1204,0),"")</f>
        <v/>
      </c>
      <c r="T154" s="68" t="n"/>
      <c r="U154" s="69" t="inlineStr">
        <is>
          <t>TỔNG</t>
        </is>
      </c>
      <c r="V154" s="31">
        <f>SUM(V138:V153)</f>
        <v>0</v>
      </c>
      <c r="W154" s="31">
        <f>SUM(W138:W153)</f>
        <v>0</v>
      </c>
    </row>
    <row r="155">
      <c r="A155" s="81" t="str">
        <f>IF($Q155="","",148)</f>
        <v/>
      </c>
      <c r="B155" s="57" t="str">
        <f>IF($Q155="","",INDEX(TRANSACTIONS_MASTER!$B$5:$B$1204,$Q155))</f>
        <v/>
      </c>
      <c r="C155" s="55" t="str">
        <f>IF($Q155="","",INDEX(TRANSACTIONS_MASTER!$F$5:$F$1204,$Q155))</f>
        <v/>
      </c>
      <c r="D155" s="55" t="str">
        <f>IF($Q155="","",INDEX(TRANSACTIONS_MASTER!$E$5:$E$1204,$Q155))</f>
        <v/>
      </c>
      <c r="E155" s="55" t="str">
        <f>IF($Q155="","",INDEX(TRANSACTIONS_MASTER!$G$5:$G$1204,$Q155)&amp;"")</f>
        <v/>
      </c>
      <c r="F155" s="29" t="str">
        <f>IF($Q155="","",INDEX(TRANSACTIONS_MASTER!$I$5:$I$1204,$Q155))</f>
        <v/>
      </c>
      <c r="G155" s="55" t="str">
        <f>IF($Q155="","",INDEX(TRANSACTIONS_MASTER!$K$5:$K$1204,$Q155))</f>
        <v/>
      </c>
      <c r="H155" s="25" t="str">
        <f>IF($Q155="","",INDEX(TRANSACTIONS_MASTER!$L$5:$L$1204,$Q155))</f>
        <v/>
      </c>
      <c r="I155" s="56" t="str">
        <f>IF($Q155="","",INDEX(TRANSACTIONS_MASTER!$N$5:$N$1204,$Q155))</f>
        <v/>
      </c>
      <c r="J155" s="25" t="str">
        <f>IF($Q155="","",INDEX(TRANSACTIONS_MASTER!$O$5:$O$1204,$Q155))</f>
        <v/>
      </c>
      <c r="K155" s="26" t="str">
        <f>IF($Q155="","",INDEX(TRANSACTIONS_MASTER!$Q$5:$Q$1204,$Q155))</f>
        <v/>
      </c>
      <c r="L155" s="25" t="str">
        <f>IF($Q155="","",INDEX(TRANSACTIONS_MASTER!$P$5:$P$1204,$Q155))</f>
        <v/>
      </c>
      <c r="M155" s="25" t="str">
        <f>IF($Q155="","",INDEX(TRANSACTIONS_MASTER!$AA$5:$AA$1204,$Q155))</f>
        <v/>
      </c>
      <c r="N155" s="25" t="str">
        <f>IF($Q155="","",INDEX(TRANSACTIONS_MASTER!$R$5:$R$1204,$Q155))</f>
        <v/>
      </c>
      <c r="O155" s="28" t="str">
        <f>IF($Q155="","",INDEX(TRANSACTIONS_MASTER!$AB$5:$AB$1204,$Q155))</f>
        <v/>
      </c>
      <c r="P155" s="55" t="str">
        <f>IF($Q155="","",INDEX(TRANSACTIONS_MASTER!$Z$5:$Z$1204,$Q155)&amp;"")</f>
        <v/>
      </c>
      <c r="Q155" s="67" t="str">
        <f>IFERROR(MATCH($C$2&amp;"|"&amp;148,TRANSACTIONS_MASTER!$AE$5:$AE$1204,0),"")</f>
        <v/>
      </c>
    </row>
    <row r="156">
      <c r="A156" s="81" t="str">
        <f>IF($Q156="","",149)</f>
        <v/>
      </c>
      <c r="B156" s="57" t="str">
        <f>IF($Q156="","",INDEX(TRANSACTIONS_MASTER!$B$5:$B$1204,$Q156))</f>
        <v/>
      </c>
      <c r="C156" s="55" t="str">
        <f>IF($Q156="","",INDEX(TRANSACTIONS_MASTER!$F$5:$F$1204,$Q156))</f>
        <v/>
      </c>
      <c r="D156" s="55" t="str">
        <f>IF($Q156="","",INDEX(TRANSACTIONS_MASTER!$E$5:$E$1204,$Q156))</f>
        <v/>
      </c>
      <c r="E156" s="55" t="str">
        <f>IF($Q156="","",INDEX(TRANSACTIONS_MASTER!$G$5:$G$1204,$Q156)&amp;"")</f>
        <v/>
      </c>
      <c r="F156" s="29" t="str">
        <f>IF($Q156="","",INDEX(TRANSACTIONS_MASTER!$I$5:$I$1204,$Q156))</f>
        <v/>
      </c>
      <c r="G156" s="55" t="str">
        <f>IF($Q156="","",INDEX(TRANSACTIONS_MASTER!$K$5:$K$1204,$Q156))</f>
        <v/>
      </c>
      <c r="H156" s="25" t="str">
        <f>IF($Q156="","",INDEX(TRANSACTIONS_MASTER!$L$5:$L$1204,$Q156))</f>
        <v/>
      </c>
      <c r="I156" s="56" t="str">
        <f>IF($Q156="","",INDEX(TRANSACTIONS_MASTER!$N$5:$N$1204,$Q156))</f>
        <v/>
      </c>
      <c r="J156" s="25" t="str">
        <f>IF($Q156="","",INDEX(TRANSACTIONS_MASTER!$O$5:$O$1204,$Q156))</f>
        <v/>
      </c>
      <c r="K156" s="26" t="str">
        <f>IF($Q156="","",INDEX(TRANSACTIONS_MASTER!$Q$5:$Q$1204,$Q156))</f>
        <v/>
      </c>
      <c r="L156" s="25" t="str">
        <f>IF($Q156="","",INDEX(TRANSACTIONS_MASTER!$P$5:$P$1204,$Q156))</f>
        <v/>
      </c>
      <c r="M156" s="25" t="str">
        <f>IF($Q156="","",INDEX(TRANSACTIONS_MASTER!$AA$5:$AA$1204,$Q156))</f>
        <v/>
      </c>
      <c r="N156" s="25" t="str">
        <f>IF($Q156="","",INDEX(TRANSACTIONS_MASTER!$R$5:$R$1204,$Q156))</f>
        <v/>
      </c>
      <c r="O156" s="28" t="str">
        <f>IF($Q156="","",INDEX(TRANSACTIONS_MASTER!$AB$5:$AB$1204,$Q156))</f>
        <v/>
      </c>
      <c r="P156" s="55" t="str">
        <f>IF($Q156="","",INDEX(TRANSACTIONS_MASTER!$Z$5:$Z$1204,$Q156)&amp;"")</f>
        <v/>
      </c>
      <c r="Q156" s="67" t="str">
        <f>IFERROR(MATCH($C$2&amp;"|"&amp;149,TRANSACTIONS_MASTER!$AE$5:$AE$1204,0),"")</f>
        <v/>
      </c>
    </row>
    <row r="157" ht="22" customHeight="1">
      <c r="A157" s="81" t="str">
        <f>IF($Q157="","",150)</f>
        <v/>
      </c>
      <c r="B157" s="57" t="str">
        <f>IF($Q157="","",INDEX(TRANSACTIONS_MASTER!$B$5:$B$1204,$Q157))</f>
        <v/>
      </c>
      <c r="C157" s="55" t="str">
        <f>IF($Q157="","",INDEX(TRANSACTIONS_MASTER!$F$5:$F$1204,$Q157))</f>
        <v/>
      </c>
      <c r="D157" s="55" t="str">
        <f>IF($Q157="","",INDEX(TRANSACTIONS_MASTER!$E$5:$E$1204,$Q157))</f>
        <v/>
      </c>
      <c r="E157" s="55" t="str">
        <f>IF($Q157="","",INDEX(TRANSACTIONS_MASTER!$G$5:$G$1204,$Q157)&amp;"")</f>
        <v/>
      </c>
      <c r="F157" s="29" t="str">
        <f>IF($Q157="","",INDEX(TRANSACTIONS_MASTER!$I$5:$I$1204,$Q157))</f>
        <v/>
      </c>
      <c r="G157" s="55" t="str">
        <f>IF($Q157="","",INDEX(TRANSACTIONS_MASTER!$K$5:$K$1204,$Q157))</f>
        <v/>
      </c>
      <c r="H157" s="25" t="str">
        <f>IF($Q157="","",INDEX(TRANSACTIONS_MASTER!$L$5:$L$1204,$Q157))</f>
        <v/>
      </c>
      <c r="I157" s="56" t="str">
        <f>IF($Q157="","",INDEX(TRANSACTIONS_MASTER!$N$5:$N$1204,$Q157))</f>
        <v/>
      </c>
      <c r="J157" s="25" t="str">
        <f>IF($Q157="","",INDEX(TRANSACTIONS_MASTER!$O$5:$O$1204,$Q157))</f>
        <v/>
      </c>
      <c r="K157" s="26" t="str">
        <f>IF($Q157="","",INDEX(TRANSACTIONS_MASTER!$Q$5:$Q$1204,$Q157))</f>
        <v/>
      </c>
      <c r="L157" s="25" t="str">
        <f>IF($Q157="","",INDEX(TRANSACTIONS_MASTER!$P$5:$P$1204,$Q157))</f>
        <v/>
      </c>
      <c r="M157" s="25" t="str">
        <f>IF($Q157="","",INDEX(TRANSACTIONS_MASTER!$AA$5:$AA$1204,$Q157))</f>
        <v/>
      </c>
      <c r="N157" s="25" t="str">
        <f>IF($Q157="","",INDEX(TRANSACTIONS_MASTER!$R$5:$R$1204,$Q157))</f>
        <v/>
      </c>
      <c r="O157" s="28" t="str">
        <f>IF($Q157="","",INDEX(TRANSACTIONS_MASTER!$AB$5:$AB$1204,$Q157))</f>
        <v/>
      </c>
      <c r="P157" s="55" t="str">
        <f>IF($Q157="","",INDEX(TRANSACTIONS_MASTER!$Z$5:$Z$1204,$Q157)&amp;"")</f>
        <v/>
      </c>
      <c r="Q157" s="67" t="str">
        <f>IFERROR(MATCH($C$2&amp;"|"&amp;150,TRANSACTIONS_MASTER!$AE$5:$AE$1204,0),"")</f>
        <v/>
      </c>
      <c r="T157" s="19" t="inlineStr">
        <is>
          <t>THEO MERCHANT</t>
        </is>
      </c>
      <c r="U157" s="20" t="n"/>
      <c r="V157" s="20" t="n"/>
      <c r="W157" s="20" t="n"/>
      <c r="X157" s="20" t="n"/>
      <c r="Y157" s="20" t="n"/>
      <c r="Z157" s="20" t="n"/>
      <c r="AA157" s="20" t="n"/>
    </row>
    <row r="158" ht="28" customHeight="1">
      <c r="A158" s="81" t="str">
        <f>IF($Q158="","",151)</f>
        <v/>
      </c>
      <c r="B158" s="57" t="str">
        <f>IF($Q158="","",INDEX(TRANSACTIONS_MASTER!$B$5:$B$1204,$Q158))</f>
        <v/>
      </c>
      <c r="C158" s="55" t="str">
        <f>IF($Q158="","",INDEX(TRANSACTIONS_MASTER!$F$5:$F$1204,$Q158))</f>
        <v/>
      </c>
      <c r="D158" s="55" t="str">
        <f>IF($Q158="","",INDEX(TRANSACTIONS_MASTER!$E$5:$E$1204,$Q158))</f>
        <v/>
      </c>
      <c r="E158" s="55" t="str">
        <f>IF($Q158="","",INDEX(TRANSACTIONS_MASTER!$G$5:$G$1204,$Q158)&amp;"")</f>
        <v/>
      </c>
      <c r="F158" s="29" t="str">
        <f>IF($Q158="","",INDEX(TRANSACTIONS_MASTER!$I$5:$I$1204,$Q158))</f>
        <v/>
      </c>
      <c r="G158" s="55" t="str">
        <f>IF($Q158="","",INDEX(TRANSACTIONS_MASTER!$K$5:$K$1204,$Q158))</f>
        <v/>
      </c>
      <c r="H158" s="25" t="str">
        <f>IF($Q158="","",INDEX(TRANSACTIONS_MASTER!$L$5:$L$1204,$Q158))</f>
        <v/>
      </c>
      <c r="I158" s="56" t="str">
        <f>IF($Q158="","",INDEX(TRANSACTIONS_MASTER!$N$5:$N$1204,$Q158))</f>
        <v/>
      </c>
      <c r="J158" s="25" t="str">
        <f>IF($Q158="","",INDEX(TRANSACTIONS_MASTER!$O$5:$O$1204,$Q158))</f>
        <v/>
      </c>
      <c r="K158" s="26" t="str">
        <f>IF($Q158="","",INDEX(TRANSACTIONS_MASTER!$Q$5:$Q$1204,$Q158))</f>
        <v/>
      </c>
      <c r="L158" s="25" t="str">
        <f>IF($Q158="","",INDEX(TRANSACTIONS_MASTER!$P$5:$P$1204,$Q158))</f>
        <v/>
      </c>
      <c r="M158" s="25" t="str">
        <f>IF($Q158="","",INDEX(TRANSACTIONS_MASTER!$AA$5:$AA$1204,$Q158))</f>
        <v/>
      </c>
      <c r="N158" s="25" t="str">
        <f>IF($Q158="","",INDEX(TRANSACTIONS_MASTER!$R$5:$R$1204,$Q158))</f>
        <v/>
      </c>
      <c r="O158" s="28" t="str">
        <f>IF($Q158="","",INDEX(TRANSACTIONS_MASTER!$AB$5:$AB$1204,$Q158))</f>
        <v/>
      </c>
      <c r="P158" s="55" t="str">
        <f>IF($Q158="","",INDEX(TRANSACTIONS_MASTER!$Z$5:$Z$1204,$Q158)&amp;"")</f>
        <v/>
      </c>
      <c r="Q158" s="67" t="str">
        <f>IFERROR(MATCH($C$2&amp;"|"&amp;151,TRANSACTIONS_MASTER!$AE$5:$AE$1204,0),"")</f>
        <v/>
      </c>
      <c r="S158" s="21" t="inlineStr">
        <is>
          <t>#</t>
        </is>
      </c>
      <c r="T158" s="21" t="inlineStr"/>
      <c r="U158" s="21" t="inlineStr">
        <is>
          <t>Merchant</t>
        </is>
      </c>
      <c r="V158" s="21" t="inlineStr">
        <is>
          <t>Chi tiêu</t>
        </is>
      </c>
      <c r="W158" s="21" t="inlineStr">
        <is>
          <t>Cashback</t>
        </is>
      </c>
    </row>
    <row r="159">
      <c r="A159" s="81" t="str">
        <f>IF($Q159="","",152)</f>
        <v/>
      </c>
      <c r="B159" s="57" t="str">
        <f>IF($Q159="","",INDEX(TRANSACTIONS_MASTER!$B$5:$B$1204,$Q159))</f>
        <v/>
      </c>
      <c r="C159" s="55" t="str">
        <f>IF($Q159="","",INDEX(TRANSACTIONS_MASTER!$F$5:$F$1204,$Q159))</f>
        <v/>
      </c>
      <c r="D159" s="55" t="str">
        <f>IF($Q159="","",INDEX(TRANSACTIONS_MASTER!$E$5:$E$1204,$Q159))</f>
        <v/>
      </c>
      <c r="E159" s="55" t="str">
        <f>IF($Q159="","",INDEX(TRANSACTIONS_MASTER!$G$5:$G$1204,$Q159)&amp;"")</f>
        <v/>
      </c>
      <c r="F159" s="29" t="str">
        <f>IF($Q159="","",INDEX(TRANSACTIONS_MASTER!$I$5:$I$1204,$Q159))</f>
        <v/>
      </c>
      <c r="G159" s="55" t="str">
        <f>IF($Q159="","",INDEX(TRANSACTIONS_MASTER!$K$5:$K$1204,$Q159))</f>
        <v/>
      </c>
      <c r="H159" s="25" t="str">
        <f>IF($Q159="","",INDEX(TRANSACTIONS_MASTER!$L$5:$L$1204,$Q159))</f>
        <v/>
      </c>
      <c r="I159" s="56" t="str">
        <f>IF($Q159="","",INDEX(TRANSACTIONS_MASTER!$N$5:$N$1204,$Q159))</f>
        <v/>
      </c>
      <c r="J159" s="25" t="str">
        <f>IF($Q159="","",INDEX(TRANSACTIONS_MASTER!$O$5:$O$1204,$Q159))</f>
        <v/>
      </c>
      <c r="K159" s="26" t="str">
        <f>IF($Q159="","",INDEX(TRANSACTIONS_MASTER!$Q$5:$Q$1204,$Q159))</f>
        <v/>
      </c>
      <c r="L159" s="25" t="str">
        <f>IF($Q159="","",INDEX(TRANSACTIONS_MASTER!$P$5:$P$1204,$Q159))</f>
        <v/>
      </c>
      <c r="M159" s="25" t="str">
        <f>IF($Q159="","",INDEX(TRANSACTIONS_MASTER!$AA$5:$AA$1204,$Q159))</f>
        <v/>
      </c>
      <c r="N159" s="25" t="str">
        <f>IF($Q159="","",INDEX(TRANSACTIONS_MASTER!$R$5:$R$1204,$Q159))</f>
        <v/>
      </c>
      <c r="O159" s="28" t="str">
        <f>IF($Q159="","",INDEX(TRANSACTIONS_MASTER!$AB$5:$AB$1204,$Q159))</f>
        <v/>
      </c>
      <c r="P159" s="55" t="str">
        <f>IF($Q159="","",INDEX(TRANSACTIONS_MASTER!$Z$5:$Z$1204,$Q159)&amp;"")</f>
        <v/>
      </c>
      <c r="Q159" s="67" t="str">
        <f>IFERROR(MATCH($C$2&amp;"|"&amp;152,TRANSACTIONS_MASTER!$AE$5:$AE$1204,0),"")</f>
        <v/>
      </c>
      <c r="S159" s="67" t="str">
        <f>IFERROR(MATCH(1,INDEX((TRANSACTIONS_MASTER!$C$5:$C$1204=$C$2)*(TRANSACTIONS_MASTER!$AN$5:$AN$1204=1),0),0),"")</f>
        <v/>
      </c>
      <c r="T159" s="55" t="n"/>
      <c r="U159" s="55" t="str">
        <f>IF($S159="","",INDEX(TRANSACTIONS_MASTER!$G$5:$G$1204,$S159)&amp;"")</f>
        <v/>
      </c>
      <c r="V159" s="25" t="str">
        <f>IF($S159="","",SUMIFS(TRANSACTIONS_MASTER!$L$5:$L$1204,TRANSACTIONS_MASTER!$G$5:$G$1204,$U159,TRANSACTIONS_MASTER!$C$5:$C$1204,$C$2,TRANSACTIONS_MASTER!$U$5:$U$1204,"&lt;&gt;Cancelled"))</f>
        <v/>
      </c>
      <c r="W159" s="26" t="str">
        <f>IF($S159="","",SUMIFS(TRANSACTIONS_MASTER!$Q$5:$Q$1204,TRANSACTIONS_MASTER!$G$5:$G$1204,$U159,TRANSACTIONS_MASTER!$C$5:$C$1204,$C$2))</f>
        <v/>
      </c>
    </row>
    <row r="160">
      <c r="A160" s="81" t="str">
        <f>IF($Q160="","",153)</f>
        <v/>
      </c>
      <c r="B160" s="57" t="str">
        <f>IF($Q160="","",INDEX(TRANSACTIONS_MASTER!$B$5:$B$1204,$Q160))</f>
        <v/>
      </c>
      <c r="C160" s="55" t="str">
        <f>IF($Q160="","",INDEX(TRANSACTIONS_MASTER!$F$5:$F$1204,$Q160))</f>
        <v/>
      </c>
      <c r="D160" s="55" t="str">
        <f>IF($Q160="","",INDEX(TRANSACTIONS_MASTER!$E$5:$E$1204,$Q160))</f>
        <v/>
      </c>
      <c r="E160" s="55" t="str">
        <f>IF($Q160="","",INDEX(TRANSACTIONS_MASTER!$G$5:$G$1204,$Q160)&amp;"")</f>
        <v/>
      </c>
      <c r="F160" s="29" t="str">
        <f>IF($Q160="","",INDEX(TRANSACTIONS_MASTER!$I$5:$I$1204,$Q160))</f>
        <v/>
      </c>
      <c r="G160" s="55" t="str">
        <f>IF($Q160="","",INDEX(TRANSACTIONS_MASTER!$K$5:$K$1204,$Q160))</f>
        <v/>
      </c>
      <c r="H160" s="25" t="str">
        <f>IF($Q160="","",INDEX(TRANSACTIONS_MASTER!$L$5:$L$1204,$Q160))</f>
        <v/>
      </c>
      <c r="I160" s="56" t="str">
        <f>IF($Q160="","",INDEX(TRANSACTIONS_MASTER!$N$5:$N$1204,$Q160))</f>
        <v/>
      </c>
      <c r="J160" s="25" t="str">
        <f>IF($Q160="","",INDEX(TRANSACTIONS_MASTER!$O$5:$O$1204,$Q160))</f>
        <v/>
      </c>
      <c r="K160" s="26" t="str">
        <f>IF($Q160="","",INDEX(TRANSACTIONS_MASTER!$Q$5:$Q$1204,$Q160))</f>
        <v/>
      </c>
      <c r="L160" s="25" t="str">
        <f>IF($Q160="","",INDEX(TRANSACTIONS_MASTER!$P$5:$P$1204,$Q160))</f>
        <v/>
      </c>
      <c r="M160" s="25" t="str">
        <f>IF($Q160="","",INDEX(TRANSACTIONS_MASTER!$AA$5:$AA$1204,$Q160))</f>
        <v/>
      </c>
      <c r="N160" s="25" t="str">
        <f>IF($Q160="","",INDEX(TRANSACTIONS_MASTER!$R$5:$R$1204,$Q160))</f>
        <v/>
      </c>
      <c r="O160" s="28" t="str">
        <f>IF($Q160="","",INDEX(TRANSACTIONS_MASTER!$AB$5:$AB$1204,$Q160))</f>
        <v/>
      </c>
      <c r="P160" s="55" t="str">
        <f>IF($Q160="","",INDEX(TRANSACTIONS_MASTER!$Z$5:$Z$1204,$Q160)&amp;"")</f>
        <v/>
      </c>
      <c r="Q160" s="67" t="str">
        <f>IFERROR(MATCH($C$2&amp;"|"&amp;153,TRANSACTIONS_MASTER!$AE$5:$AE$1204,0),"")</f>
        <v/>
      </c>
      <c r="S160" s="67" t="str">
        <f>IFERROR(MATCH(1,INDEX((TRANSACTIONS_MASTER!$C$5:$C$1204=$C$2)*(TRANSACTIONS_MASTER!$AN$5:$AN$1204=2),0),0),"")</f>
        <v/>
      </c>
      <c r="T160" s="55" t="n"/>
      <c r="U160" s="55" t="str">
        <f>IF($S160="","",INDEX(TRANSACTIONS_MASTER!$G$5:$G$1204,$S160)&amp;"")</f>
        <v/>
      </c>
      <c r="V160" s="25" t="str">
        <f>IF($S160="","",SUMIFS(TRANSACTIONS_MASTER!$L$5:$L$1204,TRANSACTIONS_MASTER!$G$5:$G$1204,$U160,TRANSACTIONS_MASTER!$C$5:$C$1204,$C$2,TRANSACTIONS_MASTER!$U$5:$U$1204,"&lt;&gt;Cancelled"))</f>
        <v/>
      </c>
      <c r="W160" s="26" t="str">
        <f>IF($S160="","",SUMIFS(TRANSACTIONS_MASTER!$Q$5:$Q$1204,TRANSACTIONS_MASTER!$G$5:$G$1204,$U160,TRANSACTIONS_MASTER!$C$5:$C$1204,$C$2))</f>
        <v/>
      </c>
    </row>
    <row r="161">
      <c r="A161" s="81" t="str">
        <f>IF($Q161="","",154)</f>
        <v/>
      </c>
      <c r="B161" s="57" t="str">
        <f>IF($Q161="","",INDEX(TRANSACTIONS_MASTER!$B$5:$B$1204,$Q161))</f>
        <v/>
      </c>
      <c r="C161" s="55" t="str">
        <f>IF($Q161="","",INDEX(TRANSACTIONS_MASTER!$F$5:$F$1204,$Q161))</f>
        <v/>
      </c>
      <c r="D161" s="55" t="str">
        <f>IF($Q161="","",INDEX(TRANSACTIONS_MASTER!$E$5:$E$1204,$Q161))</f>
        <v/>
      </c>
      <c r="E161" s="55" t="str">
        <f>IF($Q161="","",INDEX(TRANSACTIONS_MASTER!$G$5:$G$1204,$Q161)&amp;"")</f>
        <v/>
      </c>
      <c r="F161" s="29" t="str">
        <f>IF($Q161="","",INDEX(TRANSACTIONS_MASTER!$I$5:$I$1204,$Q161))</f>
        <v/>
      </c>
      <c r="G161" s="55" t="str">
        <f>IF($Q161="","",INDEX(TRANSACTIONS_MASTER!$K$5:$K$1204,$Q161))</f>
        <v/>
      </c>
      <c r="H161" s="25" t="str">
        <f>IF($Q161="","",INDEX(TRANSACTIONS_MASTER!$L$5:$L$1204,$Q161))</f>
        <v/>
      </c>
      <c r="I161" s="56" t="str">
        <f>IF($Q161="","",INDEX(TRANSACTIONS_MASTER!$N$5:$N$1204,$Q161))</f>
        <v/>
      </c>
      <c r="J161" s="25" t="str">
        <f>IF($Q161="","",INDEX(TRANSACTIONS_MASTER!$O$5:$O$1204,$Q161))</f>
        <v/>
      </c>
      <c r="K161" s="26" t="str">
        <f>IF($Q161="","",INDEX(TRANSACTIONS_MASTER!$Q$5:$Q$1204,$Q161))</f>
        <v/>
      </c>
      <c r="L161" s="25" t="str">
        <f>IF($Q161="","",INDEX(TRANSACTIONS_MASTER!$P$5:$P$1204,$Q161))</f>
        <v/>
      </c>
      <c r="M161" s="25" t="str">
        <f>IF($Q161="","",INDEX(TRANSACTIONS_MASTER!$AA$5:$AA$1204,$Q161))</f>
        <v/>
      </c>
      <c r="N161" s="25" t="str">
        <f>IF($Q161="","",INDEX(TRANSACTIONS_MASTER!$R$5:$R$1204,$Q161))</f>
        <v/>
      </c>
      <c r="O161" s="28" t="str">
        <f>IF($Q161="","",INDEX(TRANSACTIONS_MASTER!$AB$5:$AB$1204,$Q161))</f>
        <v/>
      </c>
      <c r="P161" s="55" t="str">
        <f>IF($Q161="","",INDEX(TRANSACTIONS_MASTER!$Z$5:$Z$1204,$Q161)&amp;"")</f>
        <v/>
      </c>
      <c r="Q161" s="67" t="str">
        <f>IFERROR(MATCH($C$2&amp;"|"&amp;154,TRANSACTIONS_MASTER!$AE$5:$AE$1204,0),"")</f>
        <v/>
      </c>
      <c r="S161" s="67" t="str">
        <f>IFERROR(MATCH(1,INDEX((TRANSACTIONS_MASTER!$C$5:$C$1204=$C$2)*(TRANSACTIONS_MASTER!$AN$5:$AN$1204=3),0),0),"")</f>
        <v/>
      </c>
      <c r="T161" s="55" t="n"/>
      <c r="U161" s="55" t="str">
        <f>IF($S161="","",INDEX(TRANSACTIONS_MASTER!$G$5:$G$1204,$S161)&amp;"")</f>
        <v/>
      </c>
      <c r="V161" s="25" t="str">
        <f>IF($S161="","",SUMIFS(TRANSACTIONS_MASTER!$L$5:$L$1204,TRANSACTIONS_MASTER!$G$5:$G$1204,$U161,TRANSACTIONS_MASTER!$C$5:$C$1204,$C$2,TRANSACTIONS_MASTER!$U$5:$U$1204,"&lt;&gt;Cancelled"))</f>
        <v/>
      </c>
      <c r="W161" s="26" t="str">
        <f>IF($S161="","",SUMIFS(TRANSACTIONS_MASTER!$Q$5:$Q$1204,TRANSACTIONS_MASTER!$G$5:$G$1204,$U161,TRANSACTIONS_MASTER!$C$5:$C$1204,$C$2))</f>
        <v/>
      </c>
    </row>
    <row r="162">
      <c r="A162" s="81" t="str">
        <f>IF($Q162="","",155)</f>
        <v/>
      </c>
      <c r="B162" s="57" t="str">
        <f>IF($Q162="","",INDEX(TRANSACTIONS_MASTER!$B$5:$B$1204,$Q162))</f>
        <v/>
      </c>
      <c r="C162" s="55" t="str">
        <f>IF($Q162="","",INDEX(TRANSACTIONS_MASTER!$F$5:$F$1204,$Q162))</f>
        <v/>
      </c>
      <c r="D162" s="55" t="str">
        <f>IF($Q162="","",INDEX(TRANSACTIONS_MASTER!$E$5:$E$1204,$Q162))</f>
        <v/>
      </c>
      <c r="E162" s="55" t="str">
        <f>IF($Q162="","",INDEX(TRANSACTIONS_MASTER!$G$5:$G$1204,$Q162)&amp;"")</f>
        <v/>
      </c>
      <c r="F162" s="29" t="str">
        <f>IF($Q162="","",INDEX(TRANSACTIONS_MASTER!$I$5:$I$1204,$Q162))</f>
        <v/>
      </c>
      <c r="G162" s="55" t="str">
        <f>IF($Q162="","",INDEX(TRANSACTIONS_MASTER!$K$5:$K$1204,$Q162))</f>
        <v/>
      </c>
      <c r="H162" s="25" t="str">
        <f>IF($Q162="","",INDEX(TRANSACTIONS_MASTER!$L$5:$L$1204,$Q162))</f>
        <v/>
      </c>
      <c r="I162" s="56" t="str">
        <f>IF($Q162="","",INDEX(TRANSACTIONS_MASTER!$N$5:$N$1204,$Q162))</f>
        <v/>
      </c>
      <c r="J162" s="25" t="str">
        <f>IF($Q162="","",INDEX(TRANSACTIONS_MASTER!$O$5:$O$1204,$Q162))</f>
        <v/>
      </c>
      <c r="K162" s="26" t="str">
        <f>IF($Q162="","",INDEX(TRANSACTIONS_MASTER!$Q$5:$Q$1204,$Q162))</f>
        <v/>
      </c>
      <c r="L162" s="25" t="str">
        <f>IF($Q162="","",INDEX(TRANSACTIONS_MASTER!$P$5:$P$1204,$Q162))</f>
        <v/>
      </c>
      <c r="M162" s="25" t="str">
        <f>IF($Q162="","",INDEX(TRANSACTIONS_MASTER!$AA$5:$AA$1204,$Q162))</f>
        <v/>
      </c>
      <c r="N162" s="25" t="str">
        <f>IF($Q162="","",INDEX(TRANSACTIONS_MASTER!$R$5:$R$1204,$Q162))</f>
        <v/>
      </c>
      <c r="O162" s="28" t="str">
        <f>IF($Q162="","",INDEX(TRANSACTIONS_MASTER!$AB$5:$AB$1204,$Q162))</f>
        <v/>
      </c>
      <c r="P162" s="55" t="str">
        <f>IF($Q162="","",INDEX(TRANSACTIONS_MASTER!$Z$5:$Z$1204,$Q162)&amp;"")</f>
        <v/>
      </c>
      <c r="Q162" s="67" t="str">
        <f>IFERROR(MATCH($C$2&amp;"|"&amp;155,TRANSACTIONS_MASTER!$AE$5:$AE$1204,0),"")</f>
        <v/>
      </c>
      <c r="S162" s="67" t="str">
        <f>IFERROR(MATCH(1,INDEX((TRANSACTIONS_MASTER!$C$5:$C$1204=$C$2)*(TRANSACTIONS_MASTER!$AN$5:$AN$1204=4),0),0),"")</f>
        <v/>
      </c>
      <c r="T162" s="55" t="n"/>
      <c r="U162" s="55" t="str">
        <f>IF($S162="","",INDEX(TRANSACTIONS_MASTER!$G$5:$G$1204,$S162)&amp;"")</f>
        <v/>
      </c>
      <c r="V162" s="25" t="str">
        <f>IF($S162="","",SUMIFS(TRANSACTIONS_MASTER!$L$5:$L$1204,TRANSACTIONS_MASTER!$G$5:$G$1204,$U162,TRANSACTIONS_MASTER!$C$5:$C$1204,$C$2,TRANSACTIONS_MASTER!$U$5:$U$1204,"&lt;&gt;Cancelled"))</f>
        <v/>
      </c>
      <c r="W162" s="26" t="str">
        <f>IF($S162="","",SUMIFS(TRANSACTIONS_MASTER!$Q$5:$Q$1204,TRANSACTIONS_MASTER!$G$5:$G$1204,$U162,TRANSACTIONS_MASTER!$C$5:$C$1204,$C$2))</f>
        <v/>
      </c>
    </row>
    <row r="163">
      <c r="A163" s="81" t="str">
        <f>IF($Q163="","",156)</f>
        <v/>
      </c>
      <c r="B163" s="57" t="str">
        <f>IF($Q163="","",INDEX(TRANSACTIONS_MASTER!$B$5:$B$1204,$Q163))</f>
        <v/>
      </c>
      <c r="C163" s="55" t="str">
        <f>IF($Q163="","",INDEX(TRANSACTIONS_MASTER!$F$5:$F$1204,$Q163))</f>
        <v/>
      </c>
      <c r="D163" s="55" t="str">
        <f>IF($Q163="","",INDEX(TRANSACTIONS_MASTER!$E$5:$E$1204,$Q163))</f>
        <v/>
      </c>
      <c r="E163" s="55" t="str">
        <f>IF($Q163="","",INDEX(TRANSACTIONS_MASTER!$G$5:$G$1204,$Q163)&amp;"")</f>
        <v/>
      </c>
      <c r="F163" s="29" t="str">
        <f>IF($Q163="","",INDEX(TRANSACTIONS_MASTER!$I$5:$I$1204,$Q163))</f>
        <v/>
      </c>
      <c r="G163" s="55" t="str">
        <f>IF($Q163="","",INDEX(TRANSACTIONS_MASTER!$K$5:$K$1204,$Q163))</f>
        <v/>
      </c>
      <c r="H163" s="25" t="str">
        <f>IF($Q163="","",INDEX(TRANSACTIONS_MASTER!$L$5:$L$1204,$Q163))</f>
        <v/>
      </c>
      <c r="I163" s="56" t="str">
        <f>IF($Q163="","",INDEX(TRANSACTIONS_MASTER!$N$5:$N$1204,$Q163))</f>
        <v/>
      </c>
      <c r="J163" s="25" t="str">
        <f>IF($Q163="","",INDEX(TRANSACTIONS_MASTER!$O$5:$O$1204,$Q163))</f>
        <v/>
      </c>
      <c r="K163" s="26" t="str">
        <f>IF($Q163="","",INDEX(TRANSACTIONS_MASTER!$Q$5:$Q$1204,$Q163))</f>
        <v/>
      </c>
      <c r="L163" s="25" t="str">
        <f>IF($Q163="","",INDEX(TRANSACTIONS_MASTER!$P$5:$P$1204,$Q163))</f>
        <v/>
      </c>
      <c r="M163" s="25" t="str">
        <f>IF($Q163="","",INDEX(TRANSACTIONS_MASTER!$AA$5:$AA$1204,$Q163))</f>
        <v/>
      </c>
      <c r="N163" s="25" t="str">
        <f>IF($Q163="","",INDEX(TRANSACTIONS_MASTER!$R$5:$R$1204,$Q163))</f>
        <v/>
      </c>
      <c r="O163" s="28" t="str">
        <f>IF($Q163="","",INDEX(TRANSACTIONS_MASTER!$AB$5:$AB$1204,$Q163))</f>
        <v/>
      </c>
      <c r="P163" s="55" t="str">
        <f>IF($Q163="","",INDEX(TRANSACTIONS_MASTER!$Z$5:$Z$1204,$Q163)&amp;"")</f>
        <v/>
      </c>
      <c r="Q163" s="67" t="str">
        <f>IFERROR(MATCH($C$2&amp;"|"&amp;156,TRANSACTIONS_MASTER!$AE$5:$AE$1204,0),"")</f>
        <v/>
      </c>
      <c r="S163" s="67" t="str">
        <f>IFERROR(MATCH(1,INDEX((TRANSACTIONS_MASTER!$C$5:$C$1204=$C$2)*(TRANSACTIONS_MASTER!$AN$5:$AN$1204=5),0),0),"")</f>
        <v/>
      </c>
      <c r="T163" s="55" t="n"/>
      <c r="U163" s="55" t="str">
        <f>IF($S163="","",INDEX(TRANSACTIONS_MASTER!$G$5:$G$1204,$S163)&amp;"")</f>
        <v/>
      </c>
      <c r="V163" s="25" t="str">
        <f>IF($S163="","",SUMIFS(TRANSACTIONS_MASTER!$L$5:$L$1204,TRANSACTIONS_MASTER!$G$5:$G$1204,$U163,TRANSACTIONS_MASTER!$C$5:$C$1204,$C$2,TRANSACTIONS_MASTER!$U$5:$U$1204,"&lt;&gt;Cancelled"))</f>
        <v/>
      </c>
      <c r="W163" s="26" t="str">
        <f>IF($S163="","",SUMIFS(TRANSACTIONS_MASTER!$Q$5:$Q$1204,TRANSACTIONS_MASTER!$G$5:$G$1204,$U163,TRANSACTIONS_MASTER!$C$5:$C$1204,$C$2))</f>
        <v/>
      </c>
    </row>
    <row r="164">
      <c r="A164" s="81" t="str">
        <f>IF($Q164="","",157)</f>
        <v/>
      </c>
      <c r="B164" s="57" t="str">
        <f>IF($Q164="","",INDEX(TRANSACTIONS_MASTER!$B$5:$B$1204,$Q164))</f>
        <v/>
      </c>
      <c r="C164" s="55" t="str">
        <f>IF($Q164="","",INDEX(TRANSACTIONS_MASTER!$F$5:$F$1204,$Q164))</f>
        <v/>
      </c>
      <c r="D164" s="55" t="str">
        <f>IF($Q164="","",INDEX(TRANSACTIONS_MASTER!$E$5:$E$1204,$Q164))</f>
        <v/>
      </c>
      <c r="E164" s="55" t="str">
        <f>IF($Q164="","",INDEX(TRANSACTIONS_MASTER!$G$5:$G$1204,$Q164)&amp;"")</f>
        <v/>
      </c>
      <c r="F164" s="29" t="str">
        <f>IF($Q164="","",INDEX(TRANSACTIONS_MASTER!$I$5:$I$1204,$Q164))</f>
        <v/>
      </c>
      <c r="G164" s="55" t="str">
        <f>IF($Q164="","",INDEX(TRANSACTIONS_MASTER!$K$5:$K$1204,$Q164))</f>
        <v/>
      </c>
      <c r="H164" s="25" t="str">
        <f>IF($Q164="","",INDEX(TRANSACTIONS_MASTER!$L$5:$L$1204,$Q164))</f>
        <v/>
      </c>
      <c r="I164" s="56" t="str">
        <f>IF($Q164="","",INDEX(TRANSACTIONS_MASTER!$N$5:$N$1204,$Q164))</f>
        <v/>
      </c>
      <c r="J164" s="25" t="str">
        <f>IF($Q164="","",INDEX(TRANSACTIONS_MASTER!$O$5:$O$1204,$Q164))</f>
        <v/>
      </c>
      <c r="K164" s="26" t="str">
        <f>IF($Q164="","",INDEX(TRANSACTIONS_MASTER!$Q$5:$Q$1204,$Q164))</f>
        <v/>
      </c>
      <c r="L164" s="25" t="str">
        <f>IF($Q164="","",INDEX(TRANSACTIONS_MASTER!$P$5:$P$1204,$Q164))</f>
        <v/>
      </c>
      <c r="M164" s="25" t="str">
        <f>IF($Q164="","",INDEX(TRANSACTIONS_MASTER!$AA$5:$AA$1204,$Q164))</f>
        <v/>
      </c>
      <c r="N164" s="25" t="str">
        <f>IF($Q164="","",INDEX(TRANSACTIONS_MASTER!$R$5:$R$1204,$Q164))</f>
        <v/>
      </c>
      <c r="O164" s="28" t="str">
        <f>IF($Q164="","",INDEX(TRANSACTIONS_MASTER!$AB$5:$AB$1204,$Q164))</f>
        <v/>
      </c>
      <c r="P164" s="55" t="str">
        <f>IF($Q164="","",INDEX(TRANSACTIONS_MASTER!$Z$5:$Z$1204,$Q164)&amp;"")</f>
        <v/>
      </c>
      <c r="Q164" s="67" t="str">
        <f>IFERROR(MATCH($C$2&amp;"|"&amp;157,TRANSACTIONS_MASTER!$AE$5:$AE$1204,0),"")</f>
        <v/>
      </c>
      <c r="S164" s="67" t="str">
        <f>IFERROR(MATCH(1,INDEX((TRANSACTIONS_MASTER!$C$5:$C$1204=$C$2)*(TRANSACTIONS_MASTER!$AN$5:$AN$1204=6),0),0),"")</f>
        <v/>
      </c>
      <c r="T164" s="55" t="n"/>
      <c r="U164" s="55" t="str">
        <f>IF($S164="","",INDEX(TRANSACTIONS_MASTER!$G$5:$G$1204,$S164)&amp;"")</f>
        <v/>
      </c>
      <c r="V164" s="25" t="str">
        <f>IF($S164="","",SUMIFS(TRANSACTIONS_MASTER!$L$5:$L$1204,TRANSACTIONS_MASTER!$G$5:$G$1204,$U164,TRANSACTIONS_MASTER!$C$5:$C$1204,$C$2,TRANSACTIONS_MASTER!$U$5:$U$1204,"&lt;&gt;Cancelled"))</f>
        <v/>
      </c>
      <c r="W164" s="26" t="str">
        <f>IF($S164="","",SUMIFS(TRANSACTIONS_MASTER!$Q$5:$Q$1204,TRANSACTIONS_MASTER!$G$5:$G$1204,$U164,TRANSACTIONS_MASTER!$C$5:$C$1204,$C$2))</f>
        <v/>
      </c>
    </row>
    <row r="165">
      <c r="A165" s="81" t="str">
        <f>IF($Q165="","",158)</f>
        <v/>
      </c>
      <c r="B165" s="57" t="str">
        <f>IF($Q165="","",INDEX(TRANSACTIONS_MASTER!$B$5:$B$1204,$Q165))</f>
        <v/>
      </c>
      <c r="C165" s="55" t="str">
        <f>IF($Q165="","",INDEX(TRANSACTIONS_MASTER!$F$5:$F$1204,$Q165))</f>
        <v/>
      </c>
      <c r="D165" s="55" t="str">
        <f>IF($Q165="","",INDEX(TRANSACTIONS_MASTER!$E$5:$E$1204,$Q165))</f>
        <v/>
      </c>
      <c r="E165" s="55" t="str">
        <f>IF($Q165="","",INDEX(TRANSACTIONS_MASTER!$G$5:$G$1204,$Q165)&amp;"")</f>
        <v/>
      </c>
      <c r="F165" s="29" t="str">
        <f>IF($Q165="","",INDEX(TRANSACTIONS_MASTER!$I$5:$I$1204,$Q165))</f>
        <v/>
      </c>
      <c r="G165" s="55" t="str">
        <f>IF($Q165="","",INDEX(TRANSACTIONS_MASTER!$K$5:$K$1204,$Q165))</f>
        <v/>
      </c>
      <c r="H165" s="25" t="str">
        <f>IF($Q165="","",INDEX(TRANSACTIONS_MASTER!$L$5:$L$1204,$Q165))</f>
        <v/>
      </c>
      <c r="I165" s="56" t="str">
        <f>IF($Q165="","",INDEX(TRANSACTIONS_MASTER!$N$5:$N$1204,$Q165))</f>
        <v/>
      </c>
      <c r="J165" s="25" t="str">
        <f>IF($Q165="","",INDEX(TRANSACTIONS_MASTER!$O$5:$O$1204,$Q165))</f>
        <v/>
      </c>
      <c r="K165" s="26" t="str">
        <f>IF($Q165="","",INDEX(TRANSACTIONS_MASTER!$Q$5:$Q$1204,$Q165))</f>
        <v/>
      </c>
      <c r="L165" s="25" t="str">
        <f>IF($Q165="","",INDEX(TRANSACTIONS_MASTER!$P$5:$P$1204,$Q165))</f>
        <v/>
      </c>
      <c r="M165" s="25" t="str">
        <f>IF($Q165="","",INDEX(TRANSACTIONS_MASTER!$AA$5:$AA$1204,$Q165))</f>
        <v/>
      </c>
      <c r="N165" s="25" t="str">
        <f>IF($Q165="","",INDEX(TRANSACTIONS_MASTER!$R$5:$R$1204,$Q165))</f>
        <v/>
      </c>
      <c r="O165" s="28" t="str">
        <f>IF($Q165="","",INDEX(TRANSACTIONS_MASTER!$AB$5:$AB$1204,$Q165))</f>
        <v/>
      </c>
      <c r="P165" s="55" t="str">
        <f>IF($Q165="","",INDEX(TRANSACTIONS_MASTER!$Z$5:$Z$1204,$Q165)&amp;"")</f>
        <v/>
      </c>
      <c r="Q165" s="67" t="str">
        <f>IFERROR(MATCH($C$2&amp;"|"&amp;158,TRANSACTIONS_MASTER!$AE$5:$AE$1204,0),"")</f>
        <v/>
      </c>
      <c r="S165" s="67" t="str">
        <f>IFERROR(MATCH(1,INDEX((TRANSACTIONS_MASTER!$C$5:$C$1204=$C$2)*(TRANSACTIONS_MASTER!$AN$5:$AN$1204=7),0),0),"")</f>
        <v/>
      </c>
      <c r="T165" s="55" t="n"/>
      <c r="U165" s="55" t="str">
        <f>IF($S165="","",INDEX(TRANSACTIONS_MASTER!$G$5:$G$1204,$S165)&amp;"")</f>
        <v/>
      </c>
      <c r="V165" s="25" t="str">
        <f>IF($S165="","",SUMIFS(TRANSACTIONS_MASTER!$L$5:$L$1204,TRANSACTIONS_MASTER!$G$5:$G$1204,$U165,TRANSACTIONS_MASTER!$C$5:$C$1204,$C$2,TRANSACTIONS_MASTER!$U$5:$U$1204,"&lt;&gt;Cancelled"))</f>
        <v/>
      </c>
      <c r="W165" s="26" t="str">
        <f>IF($S165="","",SUMIFS(TRANSACTIONS_MASTER!$Q$5:$Q$1204,TRANSACTIONS_MASTER!$G$5:$G$1204,$U165,TRANSACTIONS_MASTER!$C$5:$C$1204,$C$2))</f>
        <v/>
      </c>
    </row>
    <row r="166">
      <c r="A166" s="81" t="str">
        <f>IF($Q166="","",159)</f>
        <v/>
      </c>
      <c r="B166" s="57" t="str">
        <f>IF($Q166="","",INDEX(TRANSACTIONS_MASTER!$B$5:$B$1204,$Q166))</f>
        <v/>
      </c>
      <c r="C166" s="55" t="str">
        <f>IF($Q166="","",INDEX(TRANSACTIONS_MASTER!$F$5:$F$1204,$Q166))</f>
        <v/>
      </c>
      <c r="D166" s="55" t="str">
        <f>IF($Q166="","",INDEX(TRANSACTIONS_MASTER!$E$5:$E$1204,$Q166))</f>
        <v/>
      </c>
      <c r="E166" s="55" t="str">
        <f>IF($Q166="","",INDEX(TRANSACTIONS_MASTER!$G$5:$G$1204,$Q166)&amp;"")</f>
        <v/>
      </c>
      <c r="F166" s="29" t="str">
        <f>IF($Q166="","",INDEX(TRANSACTIONS_MASTER!$I$5:$I$1204,$Q166))</f>
        <v/>
      </c>
      <c r="G166" s="55" t="str">
        <f>IF($Q166="","",INDEX(TRANSACTIONS_MASTER!$K$5:$K$1204,$Q166))</f>
        <v/>
      </c>
      <c r="H166" s="25" t="str">
        <f>IF($Q166="","",INDEX(TRANSACTIONS_MASTER!$L$5:$L$1204,$Q166))</f>
        <v/>
      </c>
      <c r="I166" s="56" t="str">
        <f>IF($Q166="","",INDEX(TRANSACTIONS_MASTER!$N$5:$N$1204,$Q166))</f>
        <v/>
      </c>
      <c r="J166" s="25" t="str">
        <f>IF($Q166="","",INDEX(TRANSACTIONS_MASTER!$O$5:$O$1204,$Q166))</f>
        <v/>
      </c>
      <c r="K166" s="26" t="str">
        <f>IF($Q166="","",INDEX(TRANSACTIONS_MASTER!$Q$5:$Q$1204,$Q166))</f>
        <v/>
      </c>
      <c r="L166" s="25" t="str">
        <f>IF($Q166="","",INDEX(TRANSACTIONS_MASTER!$P$5:$P$1204,$Q166))</f>
        <v/>
      </c>
      <c r="M166" s="25" t="str">
        <f>IF($Q166="","",INDEX(TRANSACTIONS_MASTER!$AA$5:$AA$1204,$Q166))</f>
        <v/>
      </c>
      <c r="N166" s="25" t="str">
        <f>IF($Q166="","",INDEX(TRANSACTIONS_MASTER!$R$5:$R$1204,$Q166))</f>
        <v/>
      </c>
      <c r="O166" s="28" t="str">
        <f>IF($Q166="","",INDEX(TRANSACTIONS_MASTER!$AB$5:$AB$1204,$Q166))</f>
        <v/>
      </c>
      <c r="P166" s="55" t="str">
        <f>IF($Q166="","",INDEX(TRANSACTIONS_MASTER!$Z$5:$Z$1204,$Q166)&amp;"")</f>
        <v/>
      </c>
      <c r="Q166" s="67" t="str">
        <f>IFERROR(MATCH($C$2&amp;"|"&amp;159,TRANSACTIONS_MASTER!$AE$5:$AE$1204,0),"")</f>
        <v/>
      </c>
      <c r="S166" s="67" t="str">
        <f>IFERROR(MATCH(1,INDEX((TRANSACTIONS_MASTER!$C$5:$C$1204=$C$2)*(TRANSACTIONS_MASTER!$AN$5:$AN$1204=8),0),0),"")</f>
        <v/>
      </c>
      <c r="T166" s="55" t="n"/>
      <c r="U166" s="55" t="str">
        <f>IF($S166="","",INDEX(TRANSACTIONS_MASTER!$G$5:$G$1204,$S166)&amp;"")</f>
        <v/>
      </c>
      <c r="V166" s="25" t="str">
        <f>IF($S166="","",SUMIFS(TRANSACTIONS_MASTER!$L$5:$L$1204,TRANSACTIONS_MASTER!$G$5:$G$1204,$U166,TRANSACTIONS_MASTER!$C$5:$C$1204,$C$2,TRANSACTIONS_MASTER!$U$5:$U$1204,"&lt;&gt;Cancelled"))</f>
        <v/>
      </c>
      <c r="W166" s="26" t="str">
        <f>IF($S166="","",SUMIFS(TRANSACTIONS_MASTER!$Q$5:$Q$1204,TRANSACTIONS_MASTER!$G$5:$G$1204,$U166,TRANSACTIONS_MASTER!$C$5:$C$1204,$C$2))</f>
        <v/>
      </c>
    </row>
    <row r="167">
      <c r="A167" s="81" t="str">
        <f>IF($Q167="","",160)</f>
        <v/>
      </c>
      <c r="B167" s="57" t="str">
        <f>IF($Q167="","",INDEX(TRANSACTIONS_MASTER!$B$5:$B$1204,$Q167))</f>
        <v/>
      </c>
      <c r="C167" s="55" t="str">
        <f>IF($Q167="","",INDEX(TRANSACTIONS_MASTER!$F$5:$F$1204,$Q167))</f>
        <v/>
      </c>
      <c r="D167" s="55" t="str">
        <f>IF($Q167="","",INDEX(TRANSACTIONS_MASTER!$E$5:$E$1204,$Q167))</f>
        <v/>
      </c>
      <c r="E167" s="55" t="str">
        <f>IF($Q167="","",INDEX(TRANSACTIONS_MASTER!$G$5:$G$1204,$Q167)&amp;"")</f>
        <v/>
      </c>
      <c r="F167" s="29" t="str">
        <f>IF($Q167="","",INDEX(TRANSACTIONS_MASTER!$I$5:$I$1204,$Q167))</f>
        <v/>
      </c>
      <c r="G167" s="55" t="str">
        <f>IF($Q167="","",INDEX(TRANSACTIONS_MASTER!$K$5:$K$1204,$Q167))</f>
        <v/>
      </c>
      <c r="H167" s="25" t="str">
        <f>IF($Q167="","",INDEX(TRANSACTIONS_MASTER!$L$5:$L$1204,$Q167))</f>
        <v/>
      </c>
      <c r="I167" s="56" t="str">
        <f>IF($Q167="","",INDEX(TRANSACTIONS_MASTER!$N$5:$N$1204,$Q167))</f>
        <v/>
      </c>
      <c r="J167" s="25" t="str">
        <f>IF($Q167="","",INDEX(TRANSACTIONS_MASTER!$O$5:$O$1204,$Q167))</f>
        <v/>
      </c>
      <c r="K167" s="26" t="str">
        <f>IF($Q167="","",INDEX(TRANSACTIONS_MASTER!$Q$5:$Q$1204,$Q167))</f>
        <v/>
      </c>
      <c r="L167" s="25" t="str">
        <f>IF($Q167="","",INDEX(TRANSACTIONS_MASTER!$P$5:$P$1204,$Q167))</f>
        <v/>
      </c>
      <c r="M167" s="25" t="str">
        <f>IF($Q167="","",INDEX(TRANSACTIONS_MASTER!$AA$5:$AA$1204,$Q167))</f>
        <v/>
      </c>
      <c r="N167" s="25" t="str">
        <f>IF($Q167="","",INDEX(TRANSACTIONS_MASTER!$R$5:$R$1204,$Q167))</f>
        <v/>
      </c>
      <c r="O167" s="28" t="str">
        <f>IF($Q167="","",INDEX(TRANSACTIONS_MASTER!$AB$5:$AB$1204,$Q167))</f>
        <v/>
      </c>
      <c r="P167" s="55" t="str">
        <f>IF($Q167="","",INDEX(TRANSACTIONS_MASTER!$Z$5:$Z$1204,$Q167)&amp;"")</f>
        <v/>
      </c>
      <c r="Q167" s="67" t="str">
        <f>IFERROR(MATCH($C$2&amp;"|"&amp;160,TRANSACTIONS_MASTER!$AE$5:$AE$1204,0),"")</f>
        <v/>
      </c>
      <c r="S167" s="67" t="str">
        <f>IFERROR(MATCH(1,INDEX((TRANSACTIONS_MASTER!$C$5:$C$1204=$C$2)*(TRANSACTIONS_MASTER!$AN$5:$AN$1204=9),0),0),"")</f>
        <v/>
      </c>
      <c r="T167" s="55" t="n"/>
      <c r="U167" s="55" t="str">
        <f>IF($S167="","",INDEX(TRANSACTIONS_MASTER!$G$5:$G$1204,$S167)&amp;"")</f>
        <v/>
      </c>
      <c r="V167" s="25" t="str">
        <f>IF($S167="","",SUMIFS(TRANSACTIONS_MASTER!$L$5:$L$1204,TRANSACTIONS_MASTER!$G$5:$G$1204,$U167,TRANSACTIONS_MASTER!$C$5:$C$1204,$C$2,TRANSACTIONS_MASTER!$U$5:$U$1204,"&lt;&gt;Cancelled"))</f>
        <v/>
      </c>
      <c r="W167" s="26" t="str">
        <f>IF($S167="","",SUMIFS(TRANSACTIONS_MASTER!$Q$5:$Q$1204,TRANSACTIONS_MASTER!$G$5:$G$1204,$U167,TRANSACTIONS_MASTER!$C$5:$C$1204,$C$2))</f>
        <v/>
      </c>
    </row>
    <row r="168">
      <c r="A168" s="81" t="str">
        <f>IF($Q168="","",161)</f>
        <v/>
      </c>
      <c r="B168" s="57" t="str">
        <f>IF($Q168="","",INDEX(TRANSACTIONS_MASTER!$B$5:$B$1204,$Q168))</f>
        <v/>
      </c>
      <c r="C168" s="55" t="str">
        <f>IF($Q168="","",INDEX(TRANSACTIONS_MASTER!$F$5:$F$1204,$Q168))</f>
        <v/>
      </c>
      <c r="D168" s="55" t="str">
        <f>IF($Q168="","",INDEX(TRANSACTIONS_MASTER!$E$5:$E$1204,$Q168))</f>
        <v/>
      </c>
      <c r="E168" s="55" t="str">
        <f>IF($Q168="","",INDEX(TRANSACTIONS_MASTER!$G$5:$G$1204,$Q168)&amp;"")</f>
        <v/>
      </c>
      <c r="F168" s="29" t="str">
        <f>IF($Q168="","",INDEX(TRANSACTIONS_MASTER!$I$5:$I$1204,$Q168))</f>
        <v/>
      </c>
      <c r="G168" s="55" t="str">
        <f>IF($Q168="","",INDEX(TRANSACTIONS_MASTER!$K$5:$K$1204,$Q168))</f>
        <v/>
      </c>
      <c r="H168" s="25" t="str">
        <f>IF($Q168="","",INDEX(TRANSACTIONS_MASTER!$L$5:$L$1204,$Q168))</f>
        <v/>
      </c>
      <c r="I168" s="56" t="str">
        <f>IF($Q168="","",INDEX(TRANSACTIONS_MASTER!$N$5:$N$1204,$Q168))</f>
        <v/>
      </c>
      <c r="J168" s="25" t="str">
        <f>IF($Q168="","",INDEX(TRANSACTIONS_MASTER!$O$5:$O$1204,$Q168))</f>
        <v/>
      </c>
      <c r="K168" s="26" t="str">
        <f>IF($Q168="","",INDEX(TRANSACTIONS_MASTER!$Q$5:$Q$1204,$Q168))</f>
        <v/>
      </c>
      <c r="L168" s="25" t="str">
        <f>IF($Q168="","",INDEX(TRANSACTIONS_MASTER!$P$5:$P$1204,$Q168))</f>
        <v/>
      </c>
      <c r="M168" s="25" t="str">
        <f>IF($Q168="","",INDEX(TRANSACTIONS_MASTER!$AA$5:$AA$1204,$Q168))</f>
        <v/>
      </c>
      <c r="N168" s="25" t="str">
        <f>IF($Q168="","",INDEX(TRANSACTIONS_MASTER!$R$5:$R$1204,$Q168))</f>
        <v/>
      </c>
      <c r="O168" s="28" t="str">
        <f>IF($Q168="","",INDEX(TRANSACTIONS_MASTER!$AB$5:$AB$1204,$Q168))</f>
        <v/>
      </c>
      <c r="P168" s="55" t="str">
        <f>IF($Q168="","",INDEX(TRANSACTIONS_MASTER!$Z$5:$Z$1204,$Q168)&amp;"")</f>
        <v/>
      </c>
      <c r="Q168" s="67" t="str">
        <f>IFERROR(MATCH($C$2&amp;"|"&amp;161,TRANSACTIONS_MASTER!$AE$5:$AE$1204,0),"")</f>
        <v/>
      </c>
      <c r="S168" s="67" t="str">
        <f>IFERROR(MATCH(1,INDEX((TRANSACTIONS_MASTER!$C$5:$C$1204=$C$2)*(TRANSACTIONS_MASTER!$AN$5:$AN$1204=10),0),0),"")</f>
        <v/>
      </c>
      <c r="T168" s="55" t="n"/>
      <c r="U168" s="55" t="str">
        <f>IF($S168="","",INDEX(TRANSACTIONS_MASTER!$G$5:$G$1204,$S168)&amp;"")</f>
        <v/>
      </c>
      <c r="V168" s="25" t="str">
        <f>IF($S168="","",SUMIFS(TRANSACTIONS_MASTER!$L$5:$L$1204,TRANSACTIONS_MASTER!$G$5:$G$1204,$U168,TRANSACTIONS_MASTER!$C$5:$C$1204,$C$2,TRANSACTIONS_MASTER!$U$5:$U$1204,"&lt;&gt;Cancelled"))</f>
        <v/>
      </c>
      <c r="W168" s="26" t="str">
        <f>IF($S168="","",SUMIFS(TRANSACTIONS_MASTER!$Q$5:$Q$1204,TRANSACTIONS_MASTER!$G$5:$G$1204,$U168,TRANSACTIONS_MASTER!$C$5:$C$1204,$C$2))</f>
        <v/>
      </c>
    </row>
    <row r="169">
      <c r="A169" s="81" t="str">
        <f>IF($Q169="","",162)</f>
        <v/>
      </c>
      <c r="B169" s="57" t="str">
        <f>IF($Q169="","",INDEX(TRANSACTIONS_MASTER!$B$5:$B$1204,$Q169))</f>
        <v/>
      </c>
      <c r="C169" s="55" t="str">
        <f>IF($Q169="","",INDEX(TRANSACTIONS_MASTER!$F$5:$F$1204,$Q169))</f>
        <v/>
      </c>
      <c r="D169" s="55" t="str">
        <f>IF($Q169="","",INDEX(TRANSACTIONS_MASTER!$E$5:$E$1204,$Q169))</f>
        <v/>
      </c>
      <c r="E169" s="55" t="str">
        <f>IF($Q169="","",INDEX(TRANSACTIONS_MASTER!$G$5:$G$1204,$Q169)&amp;"")</f>
        <v/>
      </c>
      <c r="F169" s="29" t="str">
        <f>IF($Q169="","",INDEX(TRANSACTIONS_MASTER!$I$5:$I$1204,$Q169))</f>
        <v/>
      </c>
      <c r="G169" s="55" t="str">
        <f>IF($Q169="","",INDEX(TRANSACTIONS_MASTER!$K$5:$K$1204,$Q169))</f>
        <v/>
      </c>
      <c r="H169" s="25" t="str">
        <f>IF($Q169="","",INDEX(TRANSACTIONS_MASTER!$L$5:$L$1204,$Q169))</f>
        <v/>
      </c>
      <c r="I169" s="56" t="str">
        <f>IF($Q169="","",INDEX(TRANSACTIONS_MASTER!$N$5:$N$1204,$Q169))</f>
        <v/>
      </c>
      <c r="J169" s="25" t="str">
        <f>IF($Q169="","",INDEX(TRANSACTIONS_MASTER!$O$5:$O$1204,$Q169))</f>
        <v/>
      </c>
      <c r="K169" s="26" t="str">
        <f>IF($Q169="","",INDEX(TRANSACTIONS_MASTER!$Q$5:$Q$1204,$Q169))</f>
        <v/>
      </c>
      <c r="L169" s="25" t="str">
        <f>IF($Q169="","",INDEX(TRANSACTIONS_MASTER!$P$5:$P$1204,$Q169))</f>
        <v/>
      </c>
      <c r="M169" s="25" t="str">
        <f>IF($Q169="","",INDEX(TRANSACTIONS_MASTER!$AA$5:$AA$1204,$Q169))</f>
        <v/>
      </c>
      <c r="N169" s="25" t="str">
        <f>IF($Q169="","",INDEX(TRANSACTIONS_MASTER!$R$5:$R$1204,$Q169))</f>
        <v/>
      </c>
      <c r="O169" s="28" t="str">
        <f>IF($Q169="","",INDEX(TRANSACTIONS_MASTER!$AB$5:$AB$1204,$Q169))</f>
        <v/>
      </c>
      <c r="P169" s="55" t="str">
        <f>IF($Q169="","",INDEX(TRANSACTIONS_MASTER!$Z$5:$Z$1204,$Q169)&amp;"")</f>
        <v/>
      </c>
      <c r="Q169" s="67" t="str">
        <f>IFERROR(MATCH($C$2&amp;"|"&amp;162,TRANSACTIONS_MASTER!$AE$5:$AE$1204,0),"")</f>
        <v/>
      </c>
      <c r="S169" s="67" t="str">
        <f>IFERROR(MATCH(1,INDEX((TRANSACTIONS_MASTER!$C$5:$C$1204=$C$2)*(TRANSACTIONS_MASTER!$AN$5:$AN$1204=11),0),0),"")</f>
        <v/>
      </c>
      <c r="T169" s="55" t="n"/>
      <c r="U169" s="55" t="str">
        <f>IF($S169="","",INDEX(TRANSACTIONS_MASTER!$G$5:$G$1204,$S169)&amp;"")</f>
        <v/>
      </c>
      <c r="V169" s="25" t="str">
        <f>IF($S169="","",SUMIFS(TRANSACTIONS_MASTER!$L$5:$L$1204,TRANSACTIONS_MASTER!$G$5:$G$1204,$U169,TRANSACTIONS_MASTER!$C$5:$C$1204,$C$2,TRANSACTIONS_MASTER!$U$5:$U$1204,"&lt;&gt;Cancelled"))</f>
        <v/>
      </c>
      <c r="W169" s="26" t="str">
        <f>IF($S169="","",SUMIFS(TRANSACTIONS_MASTER!$Q$5:$Q$1204,TRANSACTIONS_MASTER!$G$5:$G$1204,$U169,TRANSACTIONS_MASTER!$C$5:$C$1204,$C$2))</f>
        <v/>
      </c>
    </row>
    <row r="170">
      <c r="A170" s="81" t="str">
        <f>IF($Q170="","",163)</f>
        <v/>
      </c>
      <c r="B170" s="57" t="str">
        <f>IF($Q170="","",INDEX(TRANSACTIONS_MASTER!$B$5:$B$1204,$Q170))</f>
        <v/>
      </c>
      <c r="C170" s="55" t="str">
        <f>IF($Q170="","",INDEX(TRANSACTIONS_MASTER!$F$5:$F$1204,$Q170))</f>
        <v/>
      </c>
      <c r="D170" s="55" t="str">
        <f>IF($Q170="","",INDEX(TRANSACTIONS_MASTER!$E$5:$E$1204,$Q170))</f>
        <v/>
      </c>
      <c r="E170" s="55" t="str">
        <f>IF($Q170="","",INDEX(TRANSACTIONS_MASTER!$G$5:$G$1204,$Q170)&amp;"")</f>
        <v/>
      </c>
      <c r="F170" s="29" t="str">
        <f>IF($Q170="","",INDEX(TRANSACTIONS_MASTER!$I$5:$I$1204,$Q170))</f>
        <v/>
      </c>
      <c r="G170" s="55" t="str">
        <f>IF($Q170="","",INDEX(TRANSACTIONS_MASTER!$K$5:$K$1204,$Q170))</f>
        <v/>
      </c>
      <c r="H170" s="25" t="str">
        <f>IF($Q170="","",INDEX(TRANSACTIONS_MASTER!$L$5:$L$1204,$Q170))</f>
        <v/>
      </c>
      <c r="I170" s="56" t="str">
        <f>IF($Q170="","",INDEX(TRANSACTIONS_MASTER!$N$5:$N$1204,$Q170))</f>
        <v/>
      </c>
      <c r="J170" s="25" t="str">
        <f>IF($Q170="","",INDEX(TRANSACTIONS_MASTER!$O$5:$O$1204,$Q170))</f>
        <v/>
      </c>
      <c r="K170" s="26" t="str">
        <f>IF($Q170="","",INDEX(TRANSACTIONS_MASTER!$Q$5:$Q$1204,$Q170))</f>
        <v/>
      </c>
      <c r="L170" s="25" t="str">
        <f>IF($Q170="","",INDEX(TRANSACTIONS_MASTER!$P$5:$P$1204,$Q170))</f>
        <v/>
      </c>
      <c r="M170" s="25" t="str">
        <f>IF($Q170="","",INDEX(TRANSACTIONS_MASTER!$AA$5:$AA$1204,$Q170))</f>
        <v/>
      </c>
      <c r="N170" s="25" t="str">
        <f>IF($Q170="","",INDEX(TRANSACTIONS_MASTER!$R$5:$R$1204,$Q170))</f>
        <v/>
      </c>
      <c r="O170" s="28" t="str">
        <f>IF($Q170="","",INDEX(TRANSACTIONS_MASTER!$AB$5:$AB$1204,$Q170))</f>
        <v/>
      </c>
      <c r="P170" s="55" t="str">
        <f>IF($Q170="","",INDEX(TRANSACTIONS_MASTER!$Z$5:$Z$1204,$Q170)&amp;"")</f>
        <v/>
      </c>
      <c r="Q170" s="67" t="str">
        <f>IFERROR(MATCH($C$2&amp;"|"&amp;163,TRANSACTIONS_MASTER!$AE$5:$AE$1204,0),"")</f>
        <v/>
      </c>
      <c r="S170" s="67" t="str">
        <f>IFERROR(MATCH(1,INDEX((TRANSACTIONS_MASTER!$C$5:$C$1204=$C$2)*(TRANSACTIONS_MASTER!$AN$5:$AN$1204=12),0),0),"")</f>
        <v/>
      </c>
      <c r="T170" s="55" t="n"/>
      <c r="U170" s="55" t="str">
        <f>IF($S170="","",INDEX(TRANSACTIONS_MASTER!$G$5:$G$1204,$S170)&amp;"")</f>
        <v/>
      </c>
      <c r="V170" s="25" t="str">
        <f>IF($S170="","",SUMIFS(TRANSACTIONS_MASTER!$L$5:$L$1204,TRANSACTIONS_MASTER!$G$5:$G$1204,$U170,TRANSACTIONS_MASTER!$C$5:$C$1204,$C$2,TRANSACTIONS_MASTER!$U$5:$U$1204,"&lt;&gt;Cancelled"))</f>
        <v/>
      </c>
      <c r="W170" s="26" t="str">
        <f>IF($S170="","",SUMIFS(TRANSACTIONS_MASTER!$Q$5:$Q$1204,TRANSACTIONS_MASTER!$G$5:$G$1204,$U170,TRANSACTIONS_MASTER!$C$5:$C$1204,$C$2))</f>
        <v/>
      </c>
    </row>
    <row r="171">
      <c r="A171" s="81" t="str">
        <f>IF($Q171="","",164)</f>
        <v/>
      </c>
      <c r="B171" s="57" t="str">
        <f>IF($Q171="","",INDEX(TRANSACTIONS_MASTER!$B$5:$B$1204,$Q171))</f>
        <v/>
      </c>
      <c r="C171" s="55" t="str">
        <f>IF($Q171="","",INDEX(TRANSACTIONS_MASTER!$F$5:$F$1204,$Q171))</f>
        <v/>
      </c>
      <c r="D171" s="55" t="str">
        <f>IF($Q171="","",INDEX(TRANSACTIONS_MASTER!$E$5:$E$1204,$Q171))</f>
        <v/>
      </c>
      <c r="E171" s="55" t="str">
        <f>IF($Q171="","",INDEX(TRANSACTIONS_MASTER!$G$5:$G$1204,$Q171)&amp;"")</f>
        <v/>
      </c>
      <c r="F171" s="29" t="str">
        <f>IF($Q171="","",INDEX(TRANSACTIONS_MASTER!$I$5:$I$1204,$Q171))</f>
        <v/>
      </c>
      <c r="G171" s="55" t="str">
        <f>IF($Q171="","",INDEX(TRANSACTIONS_MASTER!$K$5:$K$1204,$Q171))</f>
        <v/>
      </c>
      <c r="H171" s="25" t="str">
        <f>IF($Q171="","",INDEX(TRANSACTIONS_MASTER!$L$5:$L$1204,$Q171))</f>
        <v/>
      </c>
      <c r="I171" s="56" t="str">
        <f>IF($Q171="","",INDEX(TRANSACTIONS_MASTER!$N$5:$N$1204,$Q171))</f>
        <v/>
      </c>
      <c r="J171" s="25" t="str">
        <f>IF($Q171="","",INDEX(TRANSACTIONS_MASTER!$O$5:$O$1204,$Q171))</f>
        <v/>
      </c>
      <c r="K171" s="26" t="str">
        <f>IF($Q171="","",INDEX(TRANSACTIONS_MASTER!$Q$5:$Q$1204,$Q171))</f>
        <v/>
      </c>
      <c r="L171" s="25" t="str">
        <f>IF($Q171="","",INDEX(TRANSACTIONS_MASTER!$P$5:$P$1204,$Q171))</f>
        <v/>
      </c>
      <c r="M171" s="25" t="str">
        <f>IF($Q171="","",INDEX(TRANSACTIONS_MASTER!$AA$5:$AA$1204,$Q171))</f>
        <v/>
      </c>
      <c r="N171" s="25" t="str">
        <f>IF($Q171="","",INDEX(TRANSACTIONS_MASTER!$R$5:$R$1204,$Q171))</f>
        <v/>
      </c>
      <c r="O171" s="28" t="str">
        <f>IF($Q171="","",INDEX(TRANSACTIONS_MASTER!$AB$5:$AB$1204,$Q171))</f>
        <v/>
      </c>
      <c r="P171" s="55" t="str">
        <f>IF($Q171="","",INDEX(TRANSACTIONS_MASTER!$Z$5:$Z$1204,$Q171)&amp;"")</f>
        <v/>
      </c>
      <c r="Q171" s="67" t="str">
        <f>IFERROR(MATCH($C$2&amp;"|"&amp;164,TRANSACTIONS_MASTER!$AE$5:$AE$1204,0),"")</f>
        <v/>
      </c>
      <c r="S171" s="67" t="str">
        <f>IFERROR(MATCH(1,INDEX((TRANSACTIONS_MASTER!$C$5:$C$1204=$C$2)*(TRANSACTIONS_MASTER!$AN$5:$AN$1204=13),0),0),"")</f>
        <v/>
      </c>
      <c r="T171" s="55" t="n"/>
      <c r="U171" s="55" t="str">
        <f>IF($S171="","",INDEX(TRANSACTIONS_MASTER!$G$5:$G$1204,$S171)&amp;"")</f>
        <v/>
      </c>
      <c r="V171" s="25" t="str">
        <f>IF($S171="","",SUMIFS(TRANSACTIONS_MASTER!$L$5:$L$1204,TRANSACTIONS_MASTER!$G$5:$G$1204,$U171,TRANSACTIONS_MASTER!$C$5:$C$1204,$C$2,TRANSACTIONS_MASTER!$U$5:$U$1204,"&lt;&gt;Cancelled"))</f>
        <v/>
      </c>
      <c r="W171" s="26" t="str">
        <f>IF($S171="","",SUMIFS(TRANSACTIONS_MASTER!$Q$5:$Q$1204,TRANSACTIONS_MASTER!$G$5:$G$1204,$U171,TRANSACTIONS_MASTER!$C$5:$C$1204,$C$2))</f>
        <v/>
      </c>
    </row>
    <row r="172">
      <c r="A172" s="81" t="str">
        <f>IF($Q172="","",165)</f>
        <v/>
      </c>
      <c r="B172" s="57" t="str">
        <f>IF($Q172="","",INDEX(TRANSACTIONS_MASTER!$B$5:$B$1204,$Q172))</f>
        <v/>
      </c>
      <c r="C172" s="55" t="str">
        <f>IF($Q172="","",INDEX(TRANSACTIONS_MASTER!$F$5:$F$1204,$Q172))</f>
        <v/>
      </c>
      <c r="D172" s="55" t="str">
        <f>IF($Q172="","",INDEX(TRANSACTIONS_MASTER!$E$5:$E$1204,$Q172))</f>
        <v/>
      </c>
      <c r="E172" s="55" t="str">
        <f>IF($Q172="","",INDEX(TRANSACTIONS_MASTER!$G$5:$G$1204,$Q172)&amp;"")</f>
        <v/>
      </c>
      <c r="F172" s="29" t="str">
        <f>IF($Q172="","",INDEX(TRANSACTIONS_MASTER!$I$5:$I$1204,$Q172))</f>
        <v/>
      </c>
      <c r="G172" s="55" t="str">
        <f>IF($Q172="","",INDEX(TRANSACTIONS_MASTER!$K$5:$K$1204,$Q172))</f>
        <v/>
      </c>
      <c r="H172" s="25" t="str">
        <f>IF($Q172="","",INDEX(TRANSACTIONS_MASTER!$L$5:$L$1204,$Q172))</f>
        <v/>
      </c>
      <c r="I172" s="56" t="str">
        <f>IF($Q172="","",INDEX(TRANSACTIONS_MASTER!$N$5:$N$1204,$Q172))</f>
        <v/>
      </c>
      <c r="J172" s="25" t="str">
        <f>IF($Q172="","",INDEX(TRANSACTIONS_MASTER!$O$5:$O$1204,$Q172))</f>
        <v/>
      </c>
      <c r="K172" s="26" t="str">
        <f>IF($Q172="","",INDEX(TRANSACTIONS_MASTER!$Q$5:$Q$1204,$Q172))</f>
        <v/>
      </c>
      <c r="L172" s="25" t="str">
        <f>IF($Q172="","",INDEX(TRANSACTIONS_MASTER!$P$5:$P$1204,$Q172))</f>
        <v/>
      </c>
      <c r="M172" s="25" t="str">
        <f>IF($Q172="","",INDEX(TRANSACTIONS_MASTER!$AA$5:$AA$1204,$Q172))</f>
        <v/>
      </c>
      <c r="N172" s="25" t="str">
        <f>IF($Q172="","",INDEX(TRANSACTIONS_MASTER!$R$5:$R$1204,$Q172))</f>
        <v/>
      </c>
      <c r="O172" s="28" t="str">
        <f>IF($Q172="","",INDEX(TRANSACTIONS_MASTER!$AB$5:$AB$1204,$Q172))</f>
        <v/>
      </c>
      <c r="P172" s="55" t="str">
        <f>IF($Q172="","",INDEX(TRANSACTIONS_MASTER!$Z$5:$Z$1204,$Q172)&amp;"")</f>
        <v/>
      </c>
      <c r="Q172" s="67" t="str">
        <f>IFERROR(MATCH($C$2&amp;"|"&amp;165,TRANSACTIONS_MASTER!$AE$5:$AE$1204,0),"")</f>
        <v/>
      </c>
      <c r="S172" s="67" t="str">
        <f>IFERROR(MATCH(1,INDEX((TRANSACTIONS_MASTER!$C$5:$C$1204=$C$2)*(TRANSACTIONS_MASTER!$AN$5:$AN$1204=14),0),0),"")</f>
        <v/>
      </c>
      <c r="T172" s="55" t="n"/>
      <c r="U172" s="55" t="str">
        <f>IF($S172="","",INDEX(TRANSACTIONS_MASTER!$G$5:$G$1204,$S172)&amp;"")</f>
        <v/>
      </c>
      <c r="V172" s="25" t="str">
        <f>IF($S172="","",SUMIFS(TRANSACTIONS_MASTER!$L$5:$L$1204,TRANSACTIONS_MASTER!$G$5:$G$1204,$U172,TRANSACTIONS_MASTER!$C$5:$C$1204,$C$2,TRANSACTIONS_MASTER!$U$5:$U$1204,"&lt;&gt;Cancelled"))</f>
        <v/>
      </c>
      <c r="W172" s="26" t="str">
        <f>IF($S172="","",SUMIFS(TRANSACTIONS_MASTER!$Q$5:$Q$1204,TRANSACTIONS_MASTER!$G$5:$G$1204,$U172,TRANSACTIONS_MASTER!$C$5:$C$1204,$C$2))</f>
        <v/>
      </c>
    </row>
    <row r="173">
      <c r="A173" s="81" t="str">
        <f>IF($Q173="","",166)</f>
        <v/>
      </c>
      <c r="B173" s="57" t="str">
        <f>IF($Q173="","",INDEX(TRANSACTIONS_MASTER!$B$5:$B$1204,$Q173))</f>
        <v/>
      </c>
      <c r="C173" s="55" t="str">
        <f>IF($Q173="","",INDEX(TRANSACTIONS_MASTER!$F$5:$F$1204,$Q173))</f>
        <v/>
      </c>
      <c r="D173" s="55" t="str">
        <f>IF($Q173="","",INDEX(TRANSACTIONS_MASTER!$E$5:$E$1204,$Q173))</f>
        <v/>
      </c>
      <c r="E173" s="55" t="str">
        <f>IF($Q173="","",INDEX(TRANSACTIONS_MASTER!$G$5:$G$1204,$Q173)&amp;"")</f>
        <v/>
      </c>
      <c r="F173" s="29" t="str">
        <f>IF($Q173="","",INDEX(TRANSACTIONS_MASTER!$I$5:$I$1204,$Q173))</f>
        <v/>
      </c>
      <c r="G173" s="55" t="str">
        <f>IF($Q173="","",INDEX(TRANSACTIONS_MASTER!$K$5:$K$1204,$Q173))</f>
        <v/>
      </c>
      <c r="H173" s="25" t="str">
        <f>IF($Q173="","",INDEX(TRANSACTIONS_MASTER!$L$5:$L$1204,$Q173))</f>
        <v/>
      </c>
      <c r="I173" s="56" t="str">
        <f>IF($Q173="","",INDEX(TRANSACTIONS_MASTER!$N$5:$N$1204,$Q173))</f>
        <v/>
      </c>
      <c r="J173" s="25" t="str">
        <f>IF($Q173="","",INDEX(TRANSACTIONS_MASTER!$O$5:$O$1204,$Q173))</f>
        <v/>
      </c>
      <c r="K173" s="26" t="str">
        <f>IF($Q173="","",INDEX(TRANSACTIONS_MASTER!$Q$5:$Q$1204,$Q173))</f>
        <v/>
      </c>
      <c r="L173" s="25" t="str">
        <f>IF($Q173="","",INDEX(TRANSACTIONS_MASTER!$P$5:$P$1204,$Q173))</f>
        <v/>
      </c>
      <c r="M173" s="25" t="str">
        <f>IF($Q173="","",INDEX(TRANSACTIONS_MASTER!$AA$5:$AA$1204,$Q173))</f>
        <v/>
      </c>
      <c r="N173" s="25" t="str">
        <f>IF($Q173="","",INDEX(TRANSACTIONS_MASTER!$R$5:$R$1204,$Q173))</f>
        <v/>
      </c>
      <c r="O173" s="28" t="str">
        <f>IF($Q173="","",INDEX(TRANSACTIONS_MASTER!$AB$5:$AB$1204,$Q173))</f>
        <v/>
      </c>
      <c r="P173" s="55" t="str">
        <f>IF($Q173="","",INDEX(TRANSACTIONS_MASTER!$Z$5:$Z$1204,$Q173)&amp;"")</f>
        <v/>
      </c>
      <c r="Q173" s="67" t="str">
        <f>IFERROR(MATCH($C$2&amp;"|"&amp;166,TRANSACTIONS_MASTER!$AE$5:$AE$1204,0),"")</f>
        <v/>
      </c>
      <c r="S173" s="67" t="str">
        <f>IFERROR(MATCH(1,INDEX((TRANSACTIONS_MASTER!$C$5:$C$1204=$C$2)*(TRANSACTIONS_MASTER!$AN$5:$AN$1204=15),0),0),"")</f>
        <v/>
      </c>
      <c r="T173" s="55" t="n"/>
      <c r="U173" s="55" t="str">
        <f>IF($S173="","",INDEX(TRANSACTIONS_MASTER!$G$5:$G$1204,$S173)&amp;"")</f>
        <v/>
      </c>
      <c r="V173" s="25" t="str">
        <f>IF($S173="","",SUMIFS(TRANSACTIONS_MASTER!$L$5:$L$1204,TRANSACTIONS_MASTER!$G$5:$G$1204,$U173,TRANSACTIONS_MASTER!$C$5:$C$1204,$C$2,TRANSACTIONS_MASTER!$U$5:$U$1204,"&lt;&gt;Cancelled"))</f>
        <v/>
      </c>
      <c r="W173" s="26" t="str">
        <f>IF($S173="","",SUMIFS(TRANSACTIONS_MASTER!$Q$5:$Q$1204,TRANSACTIONS_MASTER!$G$5:$G$1204,$U173,TRANSACTIONS_MASTER!$C$5:$C$1204,$C$2))</f>
        <v/>
      </c>
    </row>
    <row r="174">
      <c r="A174" s="81" t="str">
        <f>IF($Q174="","",167)</f>
        <v/>
      </c>
      <c r="B174" s="57" t="str">
        <f>IF($Q174="","",INDEX(TRANSACTIONS_MASTER!$B$5:$B$1204,$Q174))</f>
        <v/>
      </c>
      <c r="C174" s="55" t="str">
        <f>IF($Q174="","",INDEX(TRANSACTIONS_MASTER!$F$5:$F$1204,$Q174))</f>
        <v/>
      </c>
      <c r="D174" s="55" t="str">
        <f>IF($Q174="","",INDEX(TRANSACTIONS_MASTER!$E$5:$E$1204,$Q174))</f>
        <v/>
      </c>
      <c r="E174" s="55" t="str">
        <f>IF($Q174="","",INDEX(TRANSACTIONS_MASTER!$G$5:$G$1204,$Q174)&amp;"")</f>
        <v/>
      </c>
      <c r="F174" s="29" t="str">
        <f>IF($Q174="","",INDEX(TRANSACTIONS_MASTER!$I$5:$I$1204,$Q174))</f>
        <v/>
      </c>
      <c r="G174" s="55" t="str">
        <f>IF($Q174="","",INDEX(TRANSACTIONS_MASTER!$K$5:$K$1204,$Q174))</f>
        <v/>
      </c>
      <c r="H174" s="25" t="str">
        <f>IF($Q174="","",INDEX(TRANSACTIONS_MASTER!$L$5:$L$1204,$Q174))</f>
        <v/>
      </c>
      <c r="I174" s="56" t="str">
        <f>IF($Q174="","",INDEX(TRANSACTIONS_MASTER!$N$5:$N$1204,$Q174))</f>
        <v/>
      </c>
      <c r="J174" s="25" t="str">
        <f>IF($Q174="","",INDEX(TRANSACTIONS_MASTER!$O$5:$O$1204,$Q174))</f>
        <v/>
      </c>
      <c r="K174" s="26" t="str">
        <f>IF($Q174="","",INDEX(TRANSACTIONS_MASTER!$Q$5:$Q$1204,$Q174))</f>
        <v/>
      </c>
      <c r="L174" s="25" t="str">
        <f>IF($Q174="","",INDEX(TRANSACTIONS_MASTER!$P$5:$P$1204,$Q174))</f>
        <v/>
      </c>
      <c r="M174" s="25" t="str">
        <f>IF($Q174="","",INDEX(TRANSACTIONS_MASTER!$AA$5:$AA$1204,$Q174))</f>
        <v/>
      </c>
      <c r="N174" s="25" t="str">
        <f>IF($Q174="","",INDEX(TRANSACTIONS_MASTER!$R$5:$R$1204,$Q174))</f>
        <v/>
      </c>
      <c r="O174" s="28" t="str">
        <f>IF($Q174="","",INDEX(TRANSACTIONS_MASTER!$AB$5:$AB$1204,$Q174))</f>
        <v/>
      </c>
      <c r="P174" s="55" t="str">
        <f>IF($Q174="","",INDEX(TRANSACTIONS_MASTER!$Z$5:$Z$1204,$Q174)&amp;"")</f>
        <v/>
      </c>
      <c r="Q174" s="67" t="str">
        <f>IFERROR(MATCH($C$2&amp;"|"&amp;167,TRANSACTIONS_MASTER!$AE$5:$AE$1204,0),"")</f>
        <v/>
      </c>
      <c r="S174" s="67" t="str">
        <f>IFERROR(MATCH(1,INDEX((TRANSACTIONS_MASTER!$C$5:$C$1204=$C$2)*(TRANSACTIONS_MASTER!$AN$5:$AN$1204=16),0),0),"")</f>
        <v/>
      </c>
      <c r="T174" s="55" t="n"/>
      <c r="U174" s="55" t="str">
        <f>IF($S174="","",INDEX(TRANSACTIONS_MASTER!$G$5:$G$1204,$S174)&amp;"")</f>
        <v/>
      </c>
      <c r="V174" s="25" t="str">
        <f>IF($S174="","",SUMIFS(TRANSACTIONS_MASTER!$L$5:$L$1204,TRANSACTIONS_MASTER!$G$5:$G$1204,$U174,TRANSACTIONS_MASTER!$C$5:$C$1204,$C$2,TRANSACTIONS_MASTER!$U$5:$U$1204,"&lt;&gt;Cancelled"))</f>
        <v/>
      </c>
      <c r="W174" s="26" t="str">
        <f>IF($S174="","",SUMIFS(TRANSACTIONS_MASTER!$Q$5:$Q$1204,TRANSACTIONS_MASTER!$G$5:$G$1204,$U174,TRANSACTIONS_MASTER!$C$5:$C$1204,$C$2))</f>
        <v/>
      </c>
    </row>
    <row r="175">
      <c r="A175" s="81" t="str">
        <f>IF($Q175="","",168)</f>
        <v/>
      </c>
      <c r="B175" s="57" t="str">
        <f>IF($Q175="","",INDEX(TRANSACTIONS_MASTER!$B$5:$B$1204,$Q175))</f>
        <v/>
      </c>
      <c r="C175" s="55" t="str">
        <f>IF($Q175="","",INDEX(TRANSACTIONS_MASTER!$F$5:$F$1204,$Q175))</f>
        <v/>
      </c>
      <c r="D175" s="55" t="str">
        <f>IF($Q175="","",INDEX(TRANSACTIONS_MASTER!$E$5:$E$1204,$Q175))</f>
        <v/>
      </c>
      <c r="E175" s="55" t="str">
        <f>IF($Q175="","",INDEX(TRANSACTIONS_MASTER!$G$5:$G$1204,$Q175)&amp;"")</f>
        <v/>
      </c>
      <c r="F175" s="29" t="str">
        <f>IF($Q175="","",INDEX(TRANSACTIONS_MASTER!$I$5:$I$1204,$Q175))</f>
        <v/>
      </c>
      <c r="G175" s="55" t="str">
        <f>IF($Q175="","",INDEX(TRANSACTIONS_MASTER!$K$5:$K$1204,$Q175))</f>
        <v/>
      </c>
      <c r="H175" s="25" t="str">
        <f>IF($Q175="","",INDEX(TRANSACTIONS_MASTER!$L$5:$L$1204,$Q175))</f>
        <v/>
      </c>
      <c r="I175" s="56" t="str">
        <f>IF($Q175="","",INDEX(TRANSACTIONS_MASTER!$N$5:$N$1204,$Q175))</f>
        <v/>
      </c>
      <c r="J175" s="25" t="str">
        <f>IF($Q175="","",INDEX(TRANSACTIONS_MASTER!$O$5:$O$1204,$Q175))</f>
        <v/>
      </c>
      <c r="K175" s="26" t="str">
        <f>IF($Q175="","",INDEX(TRANSACTIONS_MASTER!$Q$5:$Q$1204,$Q175))</f>
        <v/>
      </c>
      <c r="L175" s="25" t="str">
        <f>IF($Q175="","",INDEX(TRANSACTIONS_MASTER!$P$5:$P$1204,$Q175))</f>
        <v/>
      </c>
      <c r="M175" s="25" t="str">
        <f>IF($Q175="","",INDEX(TRANSACTIONS_MASTER!$AA$5:$AA$1204,$Q175))</f>
        <v/>
      </c>
      <c r="N175" s="25" t="str">
        <f>IF($Q175="","",INDEX(TRANSACTIONS_MASTER!$R$5:$R$1204,$Q175))</f>
        <v/>
      </c>
      <c r="O175" s="28" t="str">
        <f>IF($Q175="","",INDEX(TRANSACTIONS_MASTER!$AB$5:$AB$1204,$Q175))</f>
        <v/>
      </c>
      <c r="P175" s="55" t="str">
        <f>IF($Q175="","",INDEX(TRANSACTIONS_MASTER!$Z$5:$Z$1204,$Q175)&amp;"")</f>
        <v/>
      </c>
      <c r="Q175" s="67" t="str">
        <f>IFERROR(MATCH($C$2&amp;"|"&amp;168,TRANSACTIONS_MASTER!$AE$5:$AE$1204,0),"")</f>
        <v/>
      </c>
      <c r="S175" s="67" t="str">
        <f>IFERROR(MATCH(1,INDEX((TRANSACTIONS_MASTER!$C$5:$C$1204=$C$2)*(TRANSACTIONS_MASTER!$AN$5:$AN$1204=17),0),0),"")</f>
        <v/>
      </c>
      <c r="T175" s="55" t="n"/>
      <c r="U175" s="55" t="str">
        <f>IF($S175="","",INDEX(TRANSACTIONS_MASTER!$G$5:$G$1204,$S175)&amp;"")</f>
        <v/>
      </c>
      <c r="V175" s="25" t="str">
        <f>IF($S175="","",SUMIFS(TRANSACTIONS_MASTER!$L$5:$L$1204,TRANSACTIONS_MASTER!$G$5:$G$1204,$U175,TRANSACTIONS_MASTER!$C$5:$C$1204,$C$2,TRANSACTIONS_MASTER!$U$5:$U$1204,"&lt;&gt;Cancelled"))</f>
        <v/>
      </c>
      <c r="W175" s="26" t="str">
        <f>IF($S175="","",SUMIFS(TRANSACTIONS_MASTER!$Q$5:$Q$1204,TRANSACTIONS_MASTER!$G$5:$G$1204,$U175,TRANSACTIONS_MASTER!$C$5:$C$1204,$C$2))</f>
        <v/>
      </c>
    </row>
    <row r="176">
      <c r="A176" s="81" t="str">
        <f>IF($Q176="","",169)</f>
        <v/>
      </c>
      <c r="B176" s="57" t="str">
        <f>IF($Q176="","",INDEX(TRANSACTIONS_MASTER!$B$5:$B$1204,$Q176))</f>
        <v/>
      </c>
      <c r="C176" s="55" t="str">
        <f>IF($Q176="","",INDEX(TRANSACTIONS_MASTER!$F$5:$F$1204,$Q176))</f>
        <v/>
      </c>
      <c r="D176" s="55" t="str">
        <f>IF($Q176="","",INDEX(TRANSACTIONS_MASTER!$E$5:$E$1204,$Q176))</f>
        <v/>
      </c>
      <c r="E176" s="55" t="str">
        <f>IF($Q176="","",INDEX(TRANSACTIONS_MASTER!$G$5:$G$1204,$Q176)&amp;"")</f>
        <v/>
      </c>
      <c r="F176" s="29" t="str">
        <f>IF($Q176="","",INDEX(TRANSACTIONS_MASTER!$I$5:$I$1204,$Q176))</f>
        <v/>
      </c>
      <c r="G176" s="55" t="str">
        <f>IF($Q176="","",INDEX(TRANSACTIONS_MASTER!$K$5:$K$1204,$Q176))</f>
        <v/>
      </c>
      <c r="H176" s="25" t="str">
        <f>IF($Q176="","",INDEX(TRANSACTIONS_MASTER!$L$5:$L$1204,$Q176))</f>
        <v/>
      </c>
      <c r="I176" s="56" t="str">
        <f>IF($Q176="","",INDEX(TRANSACTIONS_MASTER!$N$5:$N$1204,$Q176))</f>
        <v/>
      </c>
      <c r="J176" s="25" t="str">
        <f>IF($Q176="","",INDEX(TRANSACTIONS_MASTER!$O$5:$O$1204,$Q176))</f>
        <v/>
      </c>
      <c r="K176" s="26" t="str">
        <f>IF($Q176="","",INDEX(TRANSACTIONS_MASTER!$Q$5:$Q$1204,$Q176))</f>
        <v/>
      </c>
      <c r="L176" s="25" t="str">
        <f>IF($Q176="","",INDEX(TRANSACTIONS_MASTER!$P$5:$P$1204,$Q176))</f>
        <v/>
      </c>
      <c r="M176" s="25" t="str">
        <f>IF($Q176="","",INDEX(TRANSACTIONS_MASTER!$AA$5:$AA$1204,$Q176))</f>
        <v/>
      </c>
      <c r="N176" s="25" t="str">
        <f>IF($Q176="","",INDEX(TRANSACTIONS_MASTER!$R$5:$R$1204,$Q176))</f>
        <v/>
      </c>
      <c r="O176" s="28" t="str">
        <f>IF($Q176="","",INDEX(TRANSACTIONS_MASTER!$AB$5:$AB$1204,$Q176))</f>
        <v/>
      </c>
      <c r="P176" s="55" t="str">
        <f>IF($Q176="","",INDEX(TRANSACTIONS_MASTER!$Z$5:$Z$1204,$Q176)&amp;"")</f>
        <v/>
      </c>
      <c r="Q176" s="67" t="str">
        <f>IFERROR(MATCH($C$2&amp;"|"&amp;169,TRANSACTIONS_MASTER!$AE$5:$AE$1204,0),"")</f>
        <v/>
      </c>
      <c r="S176" s="67" t="str">
        <f>IFERROR(MATCH(1,INDEX((TRANSACTIONS_MASTER!$C$5:$C$1204=$C$2)*(TRANSACTIONS_MASTER!$AN$5:$AN$1204=18),0),0),"")</f>
        <v/>
      </c>
      <c r="T176" s="55" t="n"/>
      <c r="U176" s="55" t="str">
        <f>IF($S176="","",INDEX(TRANSACTIONS_MASTER!$G$5:$G$1204,$S176)&amp;"")</f>
        <v/>
      </c>
      <c r="V176" s="25" t="str">
        <f>IF($S176="","",SUMIFS(TRANSACTIONS_MASTER!$L$5:$L$1204,TRANSACTIONS_MASTER!$G$5:$G$1204,$U176,TRANSACTIONS_MASTER!$C$5:$C$1204,$C$2,TRANSACTIONS_MASTER!$U$5:$U$1204,"&lt;&gt;Cancelled"))</f>
        <v/>
      </c>
      <c r="W176" s="26" t="str">
        <f>IF($S176="","",SUMIFS(TRANSACTIONS_MASTER!$Q$5:$Q$1204,TRANSACTIONS_MASTER!$G$5:$G$1204,$U176,TRANSACTIONS_MASTER!$C$5:$C$1204,$C$2))</f>
        <v/>
      </c>
    </row>
    <row r="177">
      <c r="A177" s="81" t="str">
        <f>IF($Q177="","",170)</f>
        <v/>
      </c>
      <c r="B177" s="57" t="str">
        <f>IF($Q177="","",INDEX(TRANSACTIONS_MASTER!$B$5:$B$1204,$Q177))</f>
        <v/>
      </c>
      <c r="C177" s="55" t="str">
        <f>IF($Q177="","",INDEX(TRANSACTIONS_MASTER!$F$5:$F$1204,$Q177))</f>
        <v/>
      </c>
      <c r="D177" s="55" t="str">
        <f>IF($Q177="","",INDEX(TRANSACTIONS_MASTER!$E$5:$E$1204,$Q177))</f>
        <v/>
      </c>
      <c r="E177" s="55" t="str">
        <f>IF($Q177="","",INDEX(TRANSACTIONS_MASTER!$G$5:$G$1204,$Q177)&amp;"")</f>
        <v/>
      </c>
      <c r="F177" s="29" t="str">
        <f>IF($Q177="","",INDEX(TRANSACTIONS_MASTER!$I$5:$I$1204,$Q177))</f>
        <v/>
      </c>
      <c r="G177" s="55" t="str">
        <f>IF($Q177="","",INDEX(TRANSACTIONS_MASTER!$K$5:$K$1204,$Q177))</f>
        <v/>
      </c>
      <c r="H177" s="25" t="str">
        <f>IF($Q177="","",INDEX(TRANSACTIONS_MASTER!$L$5:$L$1204,$Q177))</f>
        <v/>
      </c>
      <c r="I177" s="56" t="str">
        <f>IF($Q177="","",INDEX(TRANSACTIONS_MASTER!$N$5:$N$1204,$Q177))</f>
        <v/>
      </c>
      <c r="J177" s="25" t="str">
        <f>IF($Q177="","",INDEX(TRANSACTIONS_MASTER!$O$5:$O$1204,$Q177))</f>
        <v/>
      </c>
      <c r="K177" s="26" t="str">
        <f>IF($Q177="","",INDEX(TRANSACTIONS_MASTER!$Q$5:$Q$1204,$Q177))</f>
        <v/>
      </c>
      <c r="L177" s="25" t="str">
        <f>IF($Q177="","",INDEX(TRANSACTIONS_MASTER!$P$5:$P$1204,$Q177))</f>
        <v/>
      </c>
      <c r="M177" s="25" t="str">
        <f>IF($Q177="","",INDEX(TRANSACTIONS_MASTER!$AA$5:$AA$1204,$Q177))</f>
        <v/>
      </c>
      <c r="N177" s="25" t="str">
        <f>IF($Q177="","",INDEX(TRANSACTIONS_MASTER!$R$5:$R$1204,$Q177))</f>
        <v/>
      </c>
      <c r="O177" s="28" t="str">
        <f>IF($Q177="","",INDEX(TRANSACTIONS_MASTER!$AB$5:$AB$1204,$Q177))</f>
        <v/>
      </c>
      <c r="P177" s="55" t="str">
        <f>IF($Q177="","",INDEX(TRANSACTIONS_MASTER!$Z$5:$Z$1204,$Q177)&amp;"")</f>
        <v/>
      </c>
      <c r="Q177" s="67" t="str">
        <f>IFERROR(MATCH($C$2&amp;"|"&amp;170,TRANSACTIONS_MASTER!$AE$5:$AE$1204,0),"")</f>
        <v/>
      </c>
      <c r="S177" s="67" t="str">
        <f>IFERROR(MATCH(1,INDEX((TRANSACTIONS_MASTER!$C$5:$C$1204=$C$2)*(TRANSACTIONS_MASTER!$AN$5:$AN$1204=19),0),0),"")</f>
        <v/>
      </c>
      <c r="T177" s="55" t="n"/>
      <c r="U177" s="55" t="str">
        <f>IF($S177="","",INDEX(TRANSACTIONS_MASTER!$G$5:$G$1204,$S177)&amp;"")</f>
        <v/>
      </c>
      <c r="V177" s="25" t="str">
        <f>IF($S177="","",SUMIFS(TRANSACTIONS_MASTER!$L$5:$L$1204,TRANSACTIONS_MASTER!$G$5:$G$1204,$U177,TRANSACTIONS_MASTER!$C$5:$C$1204,$C$2,TRANSACTIONS_MASTER!$U$5:$U$1204,"&lt;&gt;Cancelled"))</f>
        <v/>
      </c>
      <c r="W177" s="26" t="str">
        <f>IF($S177="","",SUMIFS(TRANSACTIONS_MASTER!$Q$5:$Q$1204,TRANSACTIONS_MASTER!$G$5:$G$1204,$U177,TRANSACTIONS_MASTER!$C$5:$C$1204,$C$2))</f>
        <v/>
      </c>
    </row>
    <row r="178">
      <c r="A178" s="81" t="str">
        <f>IF($Q178="","",171)</f>
        <v/>
      </c>
      <c r="B178" s="57" t="str">
        <f>IF($Q178="","",INDEX(TRANSACTIONS_MASTER!$B$5:$B$1204,$Q178))</f>
        <v/>
      </c>
      <c r="C178" s="55" t="str">
        <f>IF($Q178="","",INDEX(TRANSACTIONS_MASTER!$F$5:$F$1204,$Q178))</f>
        <v/>
      </c>
      <c r="D178" s="55" t="str">
        <f>IF($Q178="","",INDEX(TRANSACTIONS_MASTER!$E$5:$E$1204,$Q178))</f>
        <v/>
      </c>
      <c r="E178" s="55" t="str">
        <f>IF($Q178="","",INDEX(TRANSACTIONS_MASTER!$G$5:$G$1204,$Q178)&amp;"")</f>
        <v/>
      </c>
      <c r="F178" s="29" t="str">
        <f>IF($Q178="","",INDEX(TRANSACTIONS_MASTER!$I$5:$I$1204,$Q178))</f>
        <v/>
      </c>
      <c r="G178" s="55" t="str">
        <f>IF($Q178="","",INDEX(TRANSACTIONS_MASTER!$K$5:$K$1204,$Q178))</f>
        <v/>
      </c>
      <c r="H178" s="25" t="str">
        <f>IF($Q178="","",INDEX(TRANSACTIONS_MASTER!$L$5:$L$1204,$Q178))</f>
        <v/>
      </c>
      <c r="I178" s="56" t="str">
        <f>IF($Q178="","",INDEX(TRANSACTIONS_MASTER!$N$5:$N$1204,$Q178))</f>
        <v/>
      </c>
      <c r="J178" s="25" t="str">
        <f>IF($Q178="","",INDEX(TRANSACTIONS_MASTER!$O$5:$O$1204,$Q178))</f>
        <v/>
      </c>
      <c r="K178" s="26" t="str">
        <f>IF($Q178="","",INDEX(TRANSACTIONS_MASTER!$Q$5:$Q$1204,$Q178))</f>
        <v/>
      </c>
      <c r="L178" s="25" t="str">
        <f>IF($Q178="","",INDEX(TRANSACTIONS_MASTER!$P$5:$P$1204,$Q178))</f>
        <v/>
      </c>
      <c r="M178" s="25" t="str">
        <f>IF($Q178="","",INDEX(TRANSACTIONS_MASTER!$AA$5:$AA$1204,$Q178))</f>
        <v/>
      </c>
      <c r="N178" s="25" t="str">
        <f>IF($Q178="","",INDEX(TRANSACTIONS_MASTER!$R$5:$R$1204,$Q178))</f>
        <v/>
      </c>
      <c r="O178" s="28" t="str">
        <f>IF($Q178="","",INDEX(TRANSACTIONS_MASTER!$AB$5:$AB$1204,$Q178))</f>
        <v/>
      </c>
      <c r="P178" s="55" t="str">
        <f>IF($Q178="","",INDEX(TRANSACTIONS_MASTER!$Z$5:$Z$1204,$Q178)&amp;"")</f>
        <v/>
      </c>
      <c r="Q178" s="67" t="str">
        <f>IFERROR(MATCH($C$2&amp;"|"&amp;171,TRANSACTIONS_MASTER!$AE$5:$AE$1204,0),"")</f>
        <v/>
      </c>
      <c r="S178" s="67" t="str">
        <f>IFERROR(MATCH(1,INDEX((TRANSACTIONS_MASTER!$C$5:$C$1204=$C$2)*(TRANSACTIONS_MASTER!$AN$5:$AN$1204=20),0),0),"")</f>
        <v/>
      </c>
      <c r="T178" s="55" t="n"/>
      <c r="U178" s="55" t="str">
        <f>IF($S178="","",INDEX(TRANSACTIONS_MASTER!$G$5:$G$1204,$S178)&amp;"")</f>
        <v/>
      </c>
      <c r="V178" s="25" t="str">
        <f>IF($S178="","",SUMIFS(TRANSACTIONS_MASTER!$L$5:$L$1204,TRANSACTIONS_MASTER!$G$5:$G$1204,$U178,TRANSACTIONS_MASTER!$C$5:$C$1204,$C$2,TRANSACTIONS_MASTER!$U$5:$U$1204,"&lt;&gt;Cancelled"))</f>
        <v/>
      </c>
      <c r="W178" s="26" t="str">
        <f>IF($S178="","",SUMIFS(TRANSACTIONS_MASTER!$Q$5:$Q$1204,TRANSACTIONS_MASTER!$G$5:$G$1204,$U178,TRANSACTIONS_MASTER!$C$5:$C$1204,$C$2))</f>
        <v/>
      </c>
    </row>
    <row r="179">
      <c r="A179" s="81" t="str">
        <f>IF($Q179="","",172)</f>
        <v/>
      </c>
      <c r="B179" s="57" t="str">
        <f>IF($Q179="","",INDEX(TRANSACTIONS_MASTER!$B$5:$B$1204,$Q179))</f>
        <v/>
      </c>
      <c r="C179" s="55" t="str">
        <f>IF($Q179="","",INDEX(TRANSACTIONS_MASTER!$F$5:$F$1204,$Q179))</f>
        <v/>
      </c>
      <c r="D179" s="55" t="str">
        <f>IF($Q179="","",INDEX(TRANSACTIONS_MASTER!$E$5:$E$1204,$Q179))</f>
        <v/>
      </c>
      <c r="E179" s="55" t="str">
        <f>IF($Q179="","",INDEX(TRANSACTIONS_MASTER!$G$5:$G$1204,$Q179)&amp;"")</f>
        <v/>
      </c>
      <c r="F179" s="29" t="str">
        <f>IF($Q179="","",INDEX(TRANSACTIONS_MASTER!$I$5:$I$1204,$Q179))</f>
        <v/>
      </c>
      <c r="G179" s="55" t="str">
        <f>IF($Q179="","",INDEX(TRANSACTIONS_MASTER!$K$5:$K$1204,$Q179))</f>
        <v/>
      </c>
      <c r="H179" s="25" t="str">
        <f>IF($Q179="","",INDEX(TRANSACTIONS_MASTER!$L$5:$L$1204,$Q179))</f>
        <v/>
      </c>
      <c r="I179" s="56" t="str">
        <f>IF($Q179="","",INDEX(TRANSACTIONS_MASTER!$N$5:$N$1204,$Q179))</f>
        <v/>
      </c>
      <c r="J179" s="25" t="str">
        <f>IF($Q179="","",INDEX(TRANSACTIONS_MASTER!$O$5:$O$1204,$Q179))</f>
        <v/>
      </c>
      <c r="K179" s="26" t="str">
        <f>IF($Q179="","",INDEX(TRANSACTIONS_MASTER!$Q$5:$Q$1204,$Q179))</f>
        <v/>
      </c>
      <c r="L179" s="25" t="str">
        <f>IF($Q179="","",INDEX(TRANSACTIONS_MASTER!$P$5:$P$1204,$Q179))</f>
        <v/>
      </c>
      <c r="M179" s="25" t="str">
        <f>IF($Q179="","",INDEX(TRANSACTIONS_MASTER!$AA$5:$AA$1204,$Q179))</f>
        <v/>
      </c>
      <c r="N179" s="25" t="str">
        <f>IF($Q179="","",INDEX(TRANSACTIONS_MASTER!$R$5:$R$1204,$Q179))</f>
        <v/>
      </c>
      <c r="O179" s="28" t="str">
        <f>IF($Q179="","",INDEX(TRANSACTIONS_MASTER!$AB$5:$AB$1204,$Q179))</f>
        <v/>
      </c>
      <c r="P179" s="55" t="str">
        <f>IF($Q179="","",INDEX(TRANSACTIONS_MASTER!$Z$5:$Z$1204,$Q179)&amp;"")</f>
        <v/>
      </c>
      <c r="Q179" s="67" t="str">
        <f>IFERROR(MATCH($C$2&amp;"|"&amp;172,TRANSACTIONS_MASTER!$AE$5:$AE$1204,0),"")</f>
        <v/>
      </c>
      <c r="T179" s="45" t="n"/>
      <c r="U179" s="82" t="inlineStr">
        <is>
          <t>Khác (ngoài danh sách)</t>
        </is>
      </c>
      <c r="V179" s="48">
        <f>MAX(0,SUMIFS(TRANSACTIONS_MASTER!$L$5:$L$1204,TRANSACTIONS_MASTER!$C$5:$C$1204,$C$2,TRANSACTIONS_MASTER!$U$5:$U$1204,"&lt;&gt;Cancelled")-SUM(V159:V178))</f>
        <v>0</v>
      </c>
      <c r="W179" s="48">
        <f>MAX(0,SUMIFS(TRANSACTIONS_MASTER!$Q$5:$Q$1204,TRANSACTIONS_MASTER!$C$5:$C$1204,$C$2)-SUM(W159:W178))</f>
        <v>0</v>
      </c>
    </row>
    <row r="180">
      <c r="A180" s="81" t="str">
        <f>IF($Q180="","",173)</f>
        <v/>
      </c>
      <c r="B180" s="57" t="str">
        <f>IF($Q180="","",INDEX(TRANSACTIONS_MASTER!$B$5:$B$1204,$Q180))</f>
        <v/>
      </c>
      <c r="C180" s="55" t="str">
        <f>IF($Q180="","",INDEX(TRANSACTIONS_MASTER!$F$5:$F$1204,$Q180))</f>
        <v/>
      </c>
      <c r="D180" s="55" t="str">
        <f>IF($Q180="","",INDEX(TRANSACTIONS_MASTER!$E$5:$E$1204,$Q180))</f>
        <v/>
      </c>
      <c r="E180" s="55" t="str">
        <f>IF($Q180="","",INDEX(TRANSACTIONS_MASTER!$G$5:$G$1204,$Q180)&amp;"")</f>
        <v/>
      </c>
      <c r="F180" s="29" t="str">
        <f>IF($Q180="","",INDEX(TRANSACTIONS_MASTER!$I$5:$I$1204,$Q180))</f>
        <v/>
      </c>
      <c r="G180" s="55" t="str">
        <f>IF($Q180="","",INDEX(TRANSACTIONS_MASTER!$K$5:$K$1204,$Q180))</f>
        <v/>
      </c>
      <c r="H180" s="25" t="str">
        <f>IF($Q180="","",INDEX(TRANSACTIONS_MASTER!$L$5:$L$1204,$Q180))</f>
        <v/>
      </c>
      <c r="I180" s="56" t="str">
        <f>IF($Q180="","",INDEX(TRANSACTIONS_MASTER!$N$5:$N$1204,$Q180))</f>
        <v/>
      </c>
      <c r="J180" s="25" t="str">
        <f>IF($Q180="","",INDEX(TRANSACTIONS_MASTER!$O$5:$O$1204,$Q180))</f>
        <v/>
      </c>
      <c r="K180" s="26" t="str">
        <f>IF($Q180="","",INDEX(TRANSACTIONS_MASTER!$Q$5:$Q$1204,$Q180))</f>
        <v/>
      </c>
      <c r="L180" s="25" t="str">
        <f>IF($Q180="","",INDEX(TRANSACTIONS_MASTER!$P$5:$P$1204,$Q180))</f>
        <v/>
      </c>
      <c r="M180" s="25" t="str">
        <f>IF($Q180="","",INDEX(TRANSACTIONS_MASTER!$AA$5:$AA$1204,$Q180))</f>
        <v/>
      </c>
      <c r="N180" s="25" t="str">
        <f>IF($Q180="","",INDEX(TRANSACTIONS_MASTER!$R$5:$R$1204,$Q180))</f>
        <v/>
      </c>
      <c r="O180" s="28" t="str">
        <f>IF($Q180="","",INDEX(TRANSACTIONS_MASTER!$AB$5:$AB$1204,$Q180))</f>
        <v/>
      </c>
      <c r="P180" s="55" t="str">
        <f>IF($Q180="","",INDEX(TRANSACTIONS_MASTER!$Z$5:$Z$1204,$Q180)&amp;"")</f>
        <v/>
      </c>
      <c r="Q180" s="67" t="str">
        <f>IFERROR(MATCH($C$2&amp;"|"&amp;173,TRANSACTIONS_MASTER!$AE$5:$AE$1204,0),"")</f>
        <v/>
      </c>
      <c r="T180" s="68" t="n"/>
      <c r="U180" s="69" t="inlineStr">
        <is>
          <t>TỔNG</t>
        </is>
      </c>
      <c r="V180" s="31">
        <f>SUM(V159:V179)</f>
        <v>0</v>
      </c>
      <c r="W180" s="31">
        <f>SUM(W159:W179)</f>
        <v>0</v>
      </c>
    </row>
    <row r="181">
      <c r="A181" s="81" t="str">
        <f>IF($Q181="","",174)</f>
        <v/>
      </c>
      <c r="B181" s="57" t="str">
        <f>IF($Q181="","",INDEX(TRANSACTIONS_MASTER!$B$5:$B$1204,$Q181))</f>
        <v/>
      </c>
      <c r="C181" s="55" t="str">
        <f>IF($Q181="","",INDEX(TRANSACTIONS_MASTER!$F$5:$F$1204,$Q181))</f>
        <v/>
      </c>
      <c r="D181" s="55" t="str">
        <f>IF($Q181="","",INDEX(TRANSACTIONS_MASTER!$E$5:$E$1204,$Q181))</f>
        <v/>
      </c>
      <c r="E181" s="55" t="str">
        <f>IF($Q181="","",INDEX(TRANSACTIONS_MASTER!$G$5:$G$1204,$Q181)&amp;"")</f>
        <v/>
      </c>
      <c r="F181" s="29" t="str">
        <f>IF($Q181="","",INDEX(TRANSACTIONS_MASTER!$I$5:$I$1204,$Q181))</f>
        <v/>
      </c>
      <c r="G181" s="55" t="str">
        <f>IF($Q181="","",INDEX(TRANSACTIONS_MASTER!$K$5:$K$1204,$Q181))</f>
        <v/>
      </c>
      <c r="H181" s="25" t="str">
        <f>IF($Q181="","",INDEX(TRANSACTIONS_MASTER!$L$5:$L$1204,$Q181))</f>
        <v/>
      </c>
      <c r="I181" s="56" t="str">
        <f>IF($Q181="","",INDEX(TRANSACTIONS_MASTER!$N$5:$N$1204,$Q181))</f>
        <v/>
      </c>
      <c r="J181" s="25" t="str">
        <f>IF($Q181="","",INDEX(TRANSACTIONS_MASTER!$O$5:$O$1204,$Q181))</f>
        <v/>
      </c>
      <c r="K181" s="26" t="str">
        <f>IF($Q181="","",INDEX(TRANSACTIONS_MASTER!$Q$5:$Q$1204,$Q181))</f>
        <v/>
      </c>
      <c r="L181" s="25" t="str">
        <f>IF($Q181="","",INDEX(TRANSACTIONS_MASTER!$P$5:$P$1204,$Q181))</f>
        <v/>
      </c>
      <c r="M181" s="25" t="str">
        <f>IF($Q181="","",INDEX(TRANSACTIONS_MASTER!$AA$5:$AA$1204,$Q181))</f>
        <v/>
      </c>
      <c r="N181" s="25" t="str">
        <f>IF($Q181="","",INDEX(TRANSACTIONS_MASTER!$R$5:$R$1204,$Q181))</f>
        <v/>
      </c>
      <c r="O181" s="28" t="str">
        <f>IF($Q181="","",INDEX(TRANSACTIONS_MASTER!$AB$5:$AB$1204,$Q181))</f>
        <v/>
      </c>
      <c r="P181" s="55" t="str">
        <f>IF($Q181="","",INDEX(TRANSACTIONS_MASTER!$Z$5:$Z$1204,$Q181)&amp;"")</f>
        <v/>
      </c>
      <c r="Q181" s="67" t="str">
        <f>IFERROR(MATCH($C$2&amp;"|"&amp;174,TRANSACTIONS_MASTER!$AE$5:$AE$1204,0),"")</f>
        <v/>
      </c>
    </row>
    <row r="182">
      <c r="A182" s="81" t="str">
        <f>IF($Q182="","",175)</f>
        <v/>
      </c>
      <c r="B182" s="57" t="str">
        <f>IF($Q182="","",INDEX(TRANSACTIONS_MASTER!$B$5:$B$1204,$Q182))</f>
        <v/>
      </c>
      <c r="C182" s="55" t="str">
        <f>IF($Q182="","",INDEX(TRANSACTIONS_MASTER!$F$5:$F$1204,$Q182))</f>
        <v/>
      </c>
      <c r="D182" s="55" t="str">
        <f>IF($Q182="","",INDEX(TRANSACTIONS_MASTER!$E$5:$E$1204,$Q182))</f>
        <v/>
      </c>
      <c r="E182" s="55" t="str">
        <f>IF($Q182="","",INDEX(TRANSACTIONS_MASTER!$G$5:$G$1204,$Q182)&amp;"")</f>
        <v/>
      </c>
      <c r="F182" s="29" t="str">
        <f>IF($Q182="","",INDEX(TRANSACTIONS_MASTER!$I$5:$I$1204,$Q182))</f>
        <v/>
      </c>
      <c r="G182" s="55" t="str">
        <f>IF($Q182="","",INDEX(TRANSACTIONS_MASTER!$K$5:$K$1204,$Q182))</f>
        <v/>
      </c>
      <c r="H182" s="25" t="str">
        <f>IF($Q182="","",INDEX(TRANSACTIONS_MASTER!$L$5:$L$1204,$Q182))</f>
        <v/>
      </c>
      <c r="I182" s="56" t="str">
        <f>IF($Q182="","",INDEX(TRANSACTIONS_MASTER!$N$5:$N$1204,$Q182))</f>
        <v/>
      </c>
      <c r="J182" s="25" t="str">
        <f>IF($Q182="","",INDEX(TRANSACTIONS_MASTER!$O$5:$O$1204,$Q182))</f>
        <v/>
      </c>
      <c r="K182" s="26" t="str">
        <f>IF($Q182="","",INDEX(TRANSACTIONS_MASTER!$Q$5:$Q$1204,$Q182))</f>
        <v/>
      </c>
      <c r="L182" s="25" t="str">
        <f>IF($Q182="","",INDEX(TRANSACTIONS_MASTER!$P$5:$P$1204,$Q182))</f>
        <v/>
      </c>
      <c r="M182" s="25" t="str">
        <f>IF($Q182="","",INDEX(TRANSACTIONS_MASTER!$AA$5:$AA$1204,$Q182))</f>
        <v/>
      </c>
      <c r="N182" s="25" t="str">
        <f>IF($Q182="","",INDEX(TRANSACTIONS_MASTER!$R$5:$R$1204,$Q182))</f>
        <v/>
      </c>
      <c r="O182" s="28" t="str">
        <f>IF($Q182="","",INDEX(TRANSACTIONS_MASTER!$AB$5:$AB$1204,$Q182))</f>
        <v/>
      </c>
      <c r="P182" s="55" t="str">
        <f>IF($Q182="","",INDEX(TRANSACTIONS_MASTER!$Z$5:$Z$1204,$Q182)&amp;"")</f>
        <v/>
      </c>
      <c r="Q182" s="67" t="str">
        <f>IFERROR(MATCH($C$2&amp;"|"&amp;175,TRANSACTIONS_MASTER!$AE$5:$AE$1204,0),"")</f>
        <v/>
      </c>
    </row>
    <row r="183">
      <c r="A183" s="81" t="str">
        <f>IF($Q183="","",176)</f>
        <v/>
      </c>
      <c r="B183" s="57" t="str">
        <f>IF($Q183="","",INDEX(TRANSACTIONS_MASTER!$B$5:$B$1204,$Q183))</f>
        <v/>
      </c>
      <c r="C183" s="55" t="str">
        <f>IF($Q183="","",INDEX(TRANSACTIONS_MASTER!$F$5:$F$1204,$Q183))</f>
        <v/>
      </c>
      <c r="D183" s="55" t="str">
        <f>IF($Q183="","",INDEX(TRANSACTIONS_MASTER!$E$5:$E$1204,$Q183))</f>
        <v/>
      </c>
      <c r="E183" s="55" t="str">
        <f>IF($Q183="","",INDEX(TRANSACTIONS_MASTER!$G$5:$G$1204,$Q183)&amp;"")</f>
        <v/>
      </c>
      <c r="F183" s="29" t="str">
        <f>IF($Q183="","",INDEX(TRANSACTIONS_MASTER!$I$5:$I$1204,$Q183))</f>
        <v/>
      </c>
      <c r="G183" s="55" t="str">
        <f>IF($Q183="","",INDEX(TRANSACTIONS_MASTER!$K$5:$K$1204,$Q183))</f>
        <v/>
      </c>
      <c r="H183" s="25" t="str">
        <f>IF($Q183="","",INDEX(TRANSACTIONS_MASTER!$L$5:$L$1204,$Q183))</f>
        <v/>
      </c>
      <c r="I183" s="56" t="str">
        <f>IF($Q183="","",INDEX(TRANSACTIONS_MASTER!$N$5:$N$1204,$Q183))</f>
        <v/>
      </c>
      <c r="J183" s="25" t="str">
        <f>IF($Q183="","",INDEX(TRANSACTIONS_MASTER!$O$5:$O$1204,$Q183))</f>
        <v/>
      </c>
      <c r="K183" s="26" t="str">
        <f>IF($Q183="","",INDEX(TRANSACTIONS_MASTER!$Q$5:$Q$1204,$Q183))</f>
        <v/>
      </c>
      <c r="L183" s="25" t="str">
        <f>IF($Q183="","",INDEX(TRANSACTIONS_MASTER!$P$5:$P$1204,$Q183))</f>
        <v/>
      </c>
      <c r="M183" s="25" t="str">
        <f>IF($Q183="","",INDEX(TRANSACTIONS_MASTER!$AA$5:$AA$1204,$Q183))</f>
        <v/>
      </c>
      <c r="N183" s="25" t="str">
        <f>IF($Q183="","",INDEX(TRANSACTIONS_MASTER!$R$5:$R$1204,$Q183))</f>
        <v/>
      </c>
      <c r="O183" s="28" t="str">
        <f>IF($Q183="","",INDEX(TRANSACTIONS_MASTER!$AB$5:$AB$1204,$Q183))</f>
        <v/>
      </c>
      <c r="P183" s="55" t="str">
        <f>IF($Q183="","",INDEX(TRANSACTIONS_MASTER!$Z$5:$Z$1204,$Q183)&amp;"")</f>
        <v/>
      </c>
      <c r="Q183" s="67" t="str">
        <f>IFERROR(MATCH($C$2&amp;"|"&amp;176,TRANSACTIONS_MASTER!$AE$5:$AE$1204,0),"")</f>
        <v/>
      </c>
    </row>
    <row r="184">
      <c r="A184" s="81" t="str">
        <f>IF($Q184="","",177)</f>
        <v/>
      </c>
      <c r="B184" s="57" t="str">
        <f>IF($Q184="","",INDEX(TRANSACTIONS_MASTER!$B$5:$B$1204,$Q184))</f>
        <v/>
      </c>
      <c r="C184" s="55" t="str">
        <f>IF($Q184="","",INDEX(TRANSACTIONS_MASTER!$F$5:$F$1204,$Q184))</f>
        <v/>
      </c>
      <c r="D184" s="55" t="str">
        <f>IF($Q184="","",INDEX(TRANSACTIONS_MASTER!$E$5:$E$1204,$Q184))</f>
        <v/>
      </c>
      <c r="E184" s="55" t="str">
        <f>IF($Q184="","",INDEX(TRANSACTIONS_MASTER!$G$5:$G$1204,$Q184)&amp;"")</f>
        <v/>
      </c>
      <c r="F184" s="29" t="str">
        <f>IF($Q184="","",INDEX(TRANSACTIONS_MASTER!$I$5:$I$1204,$Q184))</f>
        <v/>
      </c>
      <c r="G184" s="55" t="str">
        <f>IF($Q184="","",INDEX(TRANSACTIONS_MASTER!$K$5:$K$1204,$Q184))</f>
        <v/>
      </c>
      <c r="H184" s="25" t="str">
        <f>IF($Q184="","",INDEX(TRANSACTIONS_MASTER!$L$5:$L$1204,$Q184))</f>
        <v/>
      </c>
      <c r="I184" s="56" t="str">
        <f>IF($Q184="","",INDEX(TRANSACTIONS_MASTER!$N$5:$N$1204,$Q184))</f>
        <v/>
      </c>
      <c r="J184" s="25" t="str">
        <f>IF($Q184="","",INDEX(TRANSACTIONS_MASTER!$O$5:$O$1204,$Q184))</f>
        <v/>
      </c>
      <c r="K184" s="26" t="str">
        <f>IF($Q184="","",INDEX(TRANSACTIONS_MASTER!$Q$5:$Q$1204,$Q184))</f>
        <v/>
      </c>
      <c r="L184" s="25" t="str">
        <f>IF($Q184="","",INDEX(TRANSACTIONS_MASTER!$P$5:$P$1204,$Q184))</f>
        <v/>
      </c>
      <c r="M184" s="25" t="str">
        <f>IF($Q184="","",INDEX(TRANSACTIONS_MASTER!$AA$5:$AA$1204,$Q184))</f>
        <v/>
      </c>
      <c r="N184" s="25" t="str">
        <f>IF($Q184="","",INDEX(TRANSACTIONS_MASTER!$R$5:$R$1204,$Q184))</f>
        <v/>
      </c>
      <c r="O184" s="28" t="str">
        <f>IF($Q184="","",INDEX(TRANSACTIONS_MASTER!$AB$5:$AB$1204,$Q184))</f>
        <v/>
      </c>
      <c r="P184" s="55" t="str">
        <f>IF($Q184="","",INDEX(TRANSACTIONS_MASTER!$Z$5:$Z$1204,$Q184)&amp;"")</f>
        <v/>
      </c>
      <c r="Q184" s="67" t="str">
        <f>IFERROR(MATCH($C$2&amp;"|"&amp;177,TRANSACTIONS_MASTER!$AE$5:$AE$1204,0),"")</f>
        <v/>
      </c>
    </row>
    <row r="185">
      <c r="A185" s="81" t="str">
        <f>IF($Q185="","",178)</f>
        <v/>
      </c>
      <c r="B185" s="57" t="str">
        <f>IF($Q185="","",INDEX(TRANSACTIONS_MASTER!$B$5:$B$1204,$Q185))</f>
        <v/>
      </c>
      <c r="C185" s="55" t="str">
        <f>IF($Q185="","",INDEX(TRANSACTIONS_MASTER!$F$5:$F$1204,$Q185))</f>
        <v/>
      </c>
      <c r="D185" s="55" t="str">
        <f>IF($Q185="","",INDEX(TRANSACTIONS_MASTER!$E$5:$E$1204,$Q185))</f>
        <v/>
      </c>
      <c r="E185" s="55" t="str">
        <f>IF($Q185="","",INDEX(TRANSACTIONS_MASTER!$G$5:$G$1204,$Q185)&amp;"")</f>
        <v/>
      </c>
      <c r="F185" s="29" t="str">
        <f>IF($Q185="","",INDEX(TRANSACTIONS_MASTER!$I$5:$I$1204,$Q185))</f>
        <v/>
      </c>
      <c r="G185" s="55" t="str">
        <f>IF($Q185="","",INDEX(TRANSACTIONS_MASTER!$K$5:$K$1204,$Q185))</f>
        <v/>
      </c>
      <c r="H185" s="25" t="str">
        <f>IF($Q185="","",INDEX(TRANSACTIONS_MASTER!$L$5:$L$1204,$Q185))</f>
        <v/>
      </c>
      <c r="I185" s="56" t="str">
        <f>IF($Q185="","",INDEX(TRANSACTIONS_MASTER!$N$5:$N$1204,$Q185))</f>
        <v/>
      </c>
      <c r="J185" s="25" t="str">
        <f>IF($Q185="","",INDEX(TRANSACTIONS_MASTER!$O$5:$O$1204,$Q185))</f>
        <v/>
      </c>
      <c r="K185" s="26" t="str">
        <f>IF($Q185="","",INDEX(TRANSACTIONS_MASTER!$Q$5:$Q$1204,$Q185))</f>
        <v/>
      </c>
      <c r="L185" s="25" t="str">
        <f>IF($Q185="","",INDEX(TRANSACTIONS_MASTER!$P$5:$P$1204,$Q185))</f>
        <v/>
      </c>
      <c r="M185" s="25" t="str">
        <f>IF($Q185="","",INDEX(TRANSACTIONS_MASTER!$AA$5:$AA$1204,$Q185))</f>
        <v/>
      </c>
      <c r="N185" s="25" t="str">
        <f>IF($Q185="","",INDEX(TRANSACTIONS_MASTER!$R$5:$R$1204,$Q185))</f>
        <v/>
      </c>
      <c r="O185" s="28" t="str">
        <f>IF($Q185="","",INDEX(TRANSACTIONS_MASTER!$AB$5:$AB$1204,$Q185))</f>
        <v/>
      </c>
      <c r="P185" s="55" t="str">
        <f>IF($Q185="","",INDEX(TRANSACTIONS_MASTER!$Z$5:$Z$1204,$Q185)&amp;"")</f>
        <v/>
      </c>
      <c r="Q185" s="67" t="str">
        <f>IFERROR(MATCH($C$2&amp;"|"&amp;178,TRANSACTIONS_MASTER!$AE$5:$AE$1204,0),"")</f>
        <v/>
      </c>
    </row>
    <row r="186">
      <c r="A186" s="81" t="str">
        <f>IF($Q186="","",179)</f>
        <v/>
      </c>
      <c r="B186" s="57" t="str">
        <f>IF($Q186="","",INDEX(TRANSACTIONS_MASTER!$B$5:$B$1204,$Q186))</f>
        <v/>
      </c>
      <c r="C186" s="55" t="str">
        <f>IF($Q186="","",INDEX(TRANSACTIONS_MASTER!$F$5:$F$1204,$Q186))</f>
        <v/>
      </c>
      <c r="D186" s="55" t="str">
        <f>IF($Q186="","",INDEX(TRANSACTIONS_MASTER!$E$5:$E$1204,$Q186))</f>
        <v/>
      </c>
      <c r="E186" s="55" t="str">
        <f>IF($Q186="","",INDEX(TRANSACTIONS_MASTER!$G$5:$G$1204,$Q186)&amp;"")</f>
        <v/>
      </c>
      <c r="F186" s="29" t="str">
        <f>IF($Q186="","",INDEX(TRANSACTIONS_MASTER!$I$5:$I$1204,$Q186))</f>
        <v/>
      </c>
      <c r="G186" s="55" t="str">
        <f>IF($Q186="","",INDEX(TRANSACTIONS_MASTER!$K$5:$K$1204,$Q186))</f>
        <v/>
      </c>
      <c r="H186" s="25" t="str">
        <f>IF($Q186="","",INDEX(TRANSACTIONS_MASTER!$L$5:$L$1204,$Q186))</f>
        <v/>
      </c>
      <c r="I186" s="56" t="str">
        <f>IF($Q186="","",INDEX(TRANSACTIONS_MASTER!$N$5:$N$1204,$Q186))</f>
        <v/>
      </c>
      <c r="J186" s="25" t="str">
        <f>IF($Q186="","",INDEX(TRANSACTIONS_MASTER!$O$5:$O$1204,$Q186))</f>
        <v/>
      </c>
      <c r="K186" s="26" t="str">
        <f>IF($Q186="","",INDEX(TRANSACTIONS_MASTER!$Q$5:$Q$1204,$Q186))</f>
        <v/>
      </c>
      <c r="L186" s="25" t="str">
        <f>IF($Q186="","",INDEX(TRANSACTIONS_MASTER!$P$5:$P$1204,$Q186))</f>
        <v/>
      </c>
      <c r="M186" s="25" t="str">
        <f>IF($Q186="","",INDEX(TRANSACTIONS_MASTER!$AA$5:$AA$1204,$Q186))</f>
        <v/>
      </c>
      <c r="N186" s="25" t="str">
        <f>IF($Q186="","",INDEX(TRANSACTIONS_MASTER!$R$5:$R$1204,$Q186))</f>
        <v/>
      </c>
      <c r="O186" s="28" t="str">
        <f>IF($Q186="","",INDEX(TRANSACTIONS_MASTER!$AB$5:$AB$1204,$Q186))</f>
        <v/>
      </c>
      <c r="P186" s="55" t="str">
        <f>IF($Q186="","",INDEX(TRANSACTIONS_MASTER!$Z$5:$Z$1204,$Q186)&amp;"")</f>
        <v/>
      </c>
      <c r="Q186" s="67" t="str">
        <f>IFERROR(MATCH($C$2&amp;"|"&amp;179,TRANSACTIONS_MASTER!$AE$5:$AE$1204,0),"")</f>
        <v/>
      </c>
    </row>
    <row r="187">
      <c r="A187" s="81" t="str">
        <f>IF($Q187="","",180)</f>
        <v/>
      </c>
      <c r="B187" s="57" t="str">
        <f>IF($Q187="","",INDEX(TRANSACTIONS_MASTER!$B$5:$B$1204,$Q187))</f>
        <v/>
      </c>
      <c r="C187" s="55" t="str">
        <f>IF($Q187="","",INDEX(TRANSACTIONS_MASTER!$F$5:$F$1204,$Q187))</f>
        <v/>
      </c>
      <c r="D187" s="55" t="str">
        <f>IF($Q187="","",INDEX(TRANSACTIONS_MASTER!$E$5:$E$1204,$Q187))</f>
        <v/>
      </c>
      <c r="E187" s="55" t="str">
        <f>IF($Q187="","",INDEX(TRANSACTIONS_MASTER!$G$5:$G$1204,$Q187)&amp;"")</f>
        <v/>
      </c>
      <c r="F187" s="29" t="str">
        <f>IF($Q187="","",INDEX(TRANSACTIONS_MASTER!$I$5:$I$1204,$Q187))</f>
        <v/>
      </c>
      <c r="G187" s="55" t="str">
        <f>IF($Q187="","",INDEX(TRANSACTIONS_MASTER!$K$5:$K$1204,$Q187))</f>
        <v/>
      </c>
      <c r="H187" s="25" t="str">
        <f>IF($Q187="","",INDEX(TRANSACTIONS_MASTER!$L$5:$L$1204,$Q187))</f>
        <v/>
      </c>
      <c r="I187" s="56" t="str">
        <f>IF($Q187="","",INDEX(TRANSACTIONS_MASTER!$N$5:$N$1204,$Q187))</f>
        <v/>
      </c>
      <c r="J187" s="25" t="str">
        <f>IF($Q187="","",INDEX(TRANSACTIONS_MASTER!$O$5:$O$1204,$Q187))</f>
        <v/>
      </c>
      <c r="K187" s="26" t="str">
        <f>IF($Q187="","",INDEX(TRANSACTIONS_MASTER!$Q$5:$Q$1204,$Q187))</f>
        <v/>
      </c>
      <c r="L187" s="25" t="str">
        <f>IF($Q187="","",INDEX(TRANSACTIONS_MASTER!$P$5:$P$1204,$Q187))</f>
        <v/>
      </c>
      <c r="M187" s="25" t="str">
        <f>IF($Q187="","",INDEX(TRANSACTIONS_MASTER!$AA$5:$AA$1204,$Q187))</f>
        <v/>
      </c>
      <c r="N187" s="25" t="str">
        <f>IF($Q187="","",INDEX(TRANSACTIONS_MASTER!$R$5:$R$1204,$Q187))</f>
        <v/>
      </c>
      <c r="O187" s="28" t="str">
        <f>IF($Q187="","",INDEX(TRANSACTIONS_MASTER!$AB$5:$AB$1204,$Q187))</f>
        <v/>
      </c>
      <c r="P187" s="55" t="str">
        <f>IF($Q187="","",INDEX(TRANSACTIONS_MASTER!$Z$5:$Z$1204,$Q187)&amp;"")</f>
        <v/>
      </c>
      <c r="Q187" s="67" t="str">
        <f>IFERROR(MATCH($C$2&amp;"|"&amp;180,TRANSACTIONS_MASTER!$AE$5:$AE$1204,0),"")</f>
        <v/>
      </c>
    </row>
    <row r="188">
      <c r="A188" s="81" t="str">
        <f>IF($Q188="","",181)</f>
        <v/>
      </c>
      <c r="B188" s="57" t="str">
        <f>IF($Q188="","",INDEX(TRANSACTIONS_MASTER!$B$5:$B$1204,$Q188))</f>
        <v/>
      </c>
      <c r="C188" s="55" t="str">
        <f>IF($Q188="","",INDEX(TRANSACTIONS_MASTER!$F$5:$F$1204,$Q188))</f>
        <v/>
      </c>
      <c r="D188" s="55" t="str">
        <f>IF($Q188="","",INDEX(TRANSACTIONS_MASTER!$E$5:$E$1204,$Q188))</f>
        <v/>
      </c>
      <c r="E188" s="55" t="str">
        <f>IF($Q188="","",INDEX(TRANSACTIONS_MASTER!$G$5:$G$1204,$Q188)&amp;"")</f>
        <v/>
      </c>
      <c r="F188" s="29" t="str">
        <f>IF($Q188="","",INDEX(TRANSACTIONS_MASTER!$I$5:$I$1204,$Q188))</f>
        <v/>
      </c>
      <c r="G188" s="55" t="str">
        <f>IF($Q188="","",INDEX(TRANSACTIONS_MASTER!$K$5:$K$1204,$Q188))</f>
        <v/>
      </c>
      <c r="H188" s="25" t="str">
        <f>IF($Q188="","",INDEX(TRANSACTIONS_MASTER!$L$5:$L$1204,$Q188))</f>
        <v/>
      </c>
      <c r="I188" s="56" t="str">
        <f>IF($Q188="","",INDEX(TRANSACTIONS_MASTER!$N$5:$N$1204,$Q188))</f>
        <v/>
      </c>
      <c r="J188" s="25" t="str">
        <f>IF($Q188="","",INDEX(TRANSACTIONS_MASTER!$O$5:$O$1204,$Q188))</f>
        <v/>
      </c>
      <c r="K188" s="26" t="str">
        <f>IF($Q188="","",INDEX(TRANSACTIONS_MASTER!$Q$5:$Q$1204,$Q188))</f>
        <v/>
      </c>
      <c r="L188" s="25" t="str">
        <f>IF($Q188="","",INDEX(TRANSACTIONS_MASTER!$P$5:$P$1204,$Q188))</f>
        <v/>
      </c>
      <c r="M188" s="25" t="str">
        <f>IF($Q188="","",INDEX(TRANSACTIONS_MASTER!$AA$5:$AA$1204,$Q188))</f>
        <v/>
      </c>
      <c r="N188" s="25" t="str">
        <f>IF($Q188="","",INDEX(TRANSACTIONS_MASTER!$R$5:$R$1204,$Q188))</f>
        <v/>
      </c>
      <c r="O188" s="28" t="str">
        <f>IF($Q188="","",INDEX(TRANSACTIONS_MASTER!$AB$5:$AB$1204,$Q188))</f>
        <v/>
      </c>
      <c r="P188" s="55" t="str">
        <f>IF($Q188="","",INDEX(TRANSACTIONS_MASTER!$Z$5:$Z$1204,$Q188)&amp;"")</f>
        <v/>
      </c>
      <c r="Q188" s="67" t="str">
        <f>IFERROR(MATCH($C$2&amp;"|"&amp;181,TRANSACTIONS_MASTER!$AE$5:$AE$1204,0),"")</f>
        <v/>
      </c>
    </row>
    <row r="189">
      <c r="A189" s="81" t="str">
        <f>IF($Q189="","",182)</f>
        <v/>
      </c>
      <c r="B189" s="57" t="str">
        <f>IF($Q189="","",INDEX(TRANSACTIONS_MASTER!$B$5:$B$1204,$Q189))</f>
        <v/>
      </c>
      <c r="C189" s="55" t="str">
        <f>IF($Q189="","",INDEX(TRANSACTIONS_MASTER!$F$5:$F$1204,$Q189))</f>
        <v/>
      </c>
      <c r="D189" s="55" t="str">
        <f>IF($Q189="","",INDEX(TRANSACTIONS_MASTER!$E$5:$E$1204,$Q189))</f>
        <v/>
      </c>
      <c r="E189" s="55" t="str">
        <f>IF($Q189="","",INDEX(TRANSACTIONS_MASTER!$G$5:$G$1204,$Q189)&amp;"")</f>
        <v/>
      </c>
      <c r="F189" s="29" t="str">
        <f>IF($Q189="","",INDEX(TRANSACTIONS_MASTER!$I$5:$I$1204,$Q189))</f>
        <v/>
      </c>
      <c r="G189" s="55" t="str">
        <f>IF($Q189="","",INDEX(TRANSACTIONS_MASTER!$K$5:$K$1204,$Q189))</f>
        <v/>
      </c>
      <c r="H189" s="25" t="str">
        <f>IF($Q189="","",INDEX(TRANSACTIONS_MASTER!$L$5:$L$1204,$Q189))</f>
        <v/>
      </c>
      <c r="I189" s="56" t="str">
        <f>IF($Q189="","",INDEX(TRANSACTIONS_MASTER!$N$5:$N$1204,$Q189))</f>
        <v/>
      </c>
      <c r="J189" s="25" t="str">
        <f>IF($Q189="","",INDEX(TRANSACTIONS_MASTER!$O$5:$O$1204,$Q189))</f>
        <v/>
      </c>
      <c r="K189" s="26" t="str">
        <f>IF($Q189="","",INDEX(TRANSACTIONS_MASTER!$Q$5:$Q$1204,$Q189))</f>
        <v/>
      </c>
      <c r="L189" s="25" t="str">
        <f>IF($Q189="","",INDEX(TRANSACTIONS_MASTER!$P$5:$P$1204,$Q189))</f>
        <v/>
      </c>
      <c r="M189" s="25" t="str">
        <f>IF($Q189="","",INDEX(TRANSACTIONS_MASTER!$AA$5:$AA$1204,$Q189))</f>
        <v/>
      </c>
      <c r="N189" s="25" t="str">
        <f>IF($Q189="","",INDEX(TRANSACTIONS_MASTER!$R$5:$R$1204,$Q189))</f>
        <v/>
      </c>
      <c r="O189" s="28" t="str">
        <f>IF($Q189="","",INDEX(TRANSACTIONS_MASTER!$AB$5:$AB$1204,$Q189))</f>
        <v/>
      </c>
      <c r="P189" s="55" t="str">
        <f>IF($Q189="","",INDEX(TRANSACTIONS_MASTER!$Z$5:$Z$1204,$Q189)&amp;"")</f>
        <v/>
      </c>
      <c r="Q189" s="67" t="str">
        <f>IFERROR(MATCH($C$2&amp;"|"&amp;182,TRANSACTIONS_MASTER!$AE$5:$AE$1204,0),"")</f>
        <v/>
      </c>
    </row>
    <row r="190">
      <c r="A190" s="81" t="str">
        <f>IF($Q190="","",183)</f>
        <v/>
      </c>
      <c r="B190" s="57" t="str">
        <f>IF($Q190="","",INDEX(TRANSACTIONS_MASTER!$B$5:$B$1204,$Q190))</f>
        <v/>
      </c>
      <c r="C190" s="55" t="str">
        <f>IF($Q190="","",INDEX(TRANSACTIONS_MASTER!$F$5:$F$1204,$Q190))</f>
        <v/>
      </c>
      <c r="D190" s="55" t="str">
        <f>IF($Q190="","",INDEX(TRANSACTIONS_MASTER!$E$5:$E$1204,$Q190))</f>
        <v/>
      </c>
      <c r="E190" s="55" t="str">
        <f>IF($Q190="","",INDEX(TRANSACTIONS_MASTER!$G$5:$G$1204,$Q190)&amp;"")</f>
        <v/>
      </c>
      <c r="F190" s="29" t="str">
        <f>IF($Q190="","",INDEX(TRANSACTIONS_MASTER!$I$5:$I$1204,$Q190))</f>
        <v/>
      </c>
      <c r="G190" s="55" t="str">
        <f>IF($Q190="","",INDEX(TRANSACTIONS_MASTER!$K$5:$K$1204,$Q190))</f>
        <v/>
      </c>
      <c r="H190" s="25" t="str">
        <f>IF($Q190="","",INDEX(TRANSACTIONS_MASTER!$L$5:$L$1204,$Q190))</f>
        <v/>
      </c>
      <c r="I190" s="56" t="str">
        <f>IF($Q190="","",INDEX(TRANSACTIONS_MASTER!$N$5:$N$1204,$Q190))</f>
        <v/>
      </c>
      <c r="J190" s="25" t="str">
        <f>IF($Q190="","",INDEX(TRANSACTIONS_MASTER!$O$5:$O$1204,$Q190))</f>
        <v/>
      </c>
      <c r="K190" s="26" t="str">
        <f>IF($Q190="","",INDEX(TRANSACTIONS_MASTER!$Q$5:$Q$1204,$Q190))</f>
        <v/>
      </c>
      <c r="L190" s="25" t="str">
        <f>IF($Q190="","",INDEX(TRANSACTIONS_MASTER!$P$5:$P$1204,$Q190))</f>
        <v/>
      </c>
      <c r="M190" s="25" t="str">
        <f>IF($Q190="","",INDEX(TRANSACTIONS_MASTER!$AA$5:$AA$1204,$Q190))</f>
        <v/>
      </c>
      <c r="N190" s="25" t="str">
        <f>IF($Q190="","",INDEX(TRANSACTIONS_MASTER!$R$5:$R$1204,$Q190))</f>
        <v/>
      </c>
      <c r="O190" s="28" t="str">
        <f>IF($Q190="","",INDEX(TRANSACTIONS_MASTER!$AB$5:$AB$1204,$Q190))</f>
        <v/>
      </c>
      <c r="P190" s="55" t="str">
        <f>IF($Q190="","",INDEX(TRANSACTIONS_MASTER!$Z$5:$Z$1204,$Q190)&amp;"")</f>
        <v/>
      </c>
      <c r="Q190" s="67" t="str">
        <f>IFERROR(MATCH($C$2&amp;"|"&amp;183,TRANSACTIONS_MASTER!$AE$5:$AE$1204,0),"")</f>
        <v/>
      </c>
    </row>
    <row r="191">
      <c r="A191" s="81" t="str">
        <f>IF($Q191="","",184)</f>
        <v/>
      </c>
      <c r="B191" s="57" t="str">
        <f>IF($Q191="","",INDEX(TRANSACTIONS_MASTER!$B$5:$B$1204,$Q191))</f>
        <v/>
      </c>
      <c r="C191" s="55" t="str">
        <f>IF($Q191="","",INDEX(TRANSACTIONS_MASTER!$F$5:$F$1204,$Q191))</f>
        <v/>
      </c>
      <c r="D191" s="55" t="str">
        <f>IF($Q191="","",INDEX(TRANSACTIONS_MASTER!$E$5:$E$1204,$Q191))</f>
        <v/>
      </c>
      <c r="E191" s="55" t="str">
        <f>IF($Q191="","",INDEX(TRANSACTIONS_MASTER!$G$5:$G$1204,$Q191)&amp;"")</f>
        <v/>
      </c>
      <c r="F191" s="29" t="str">
        <f>IF($Q191="","",INDEX(TRANSACTIONS_MASTER!$I$5:$I$1204,$Q191))</f>
        <v/>
      </c>
      <c r="G191" s="55" t="str">
        <f>IF($Q191="","",INDEX(TRANSACTIONS_MASTER!$K$5:$K$1204,$Q191))</f>
        <v/>
      </c>
      <c r="H191" s="25" t="str">
        <f>IF($Q191="","",INDEX(TRANSACTIONS_MASTER!$L$5:$L$1204,$Q191))</f>
        <v/>
      </c>
      <c r="I191" s="56" t="str">
        <f>IF($Q191="","",INDEX(TRANSACTIONS_MASTER!$N$5:$N$1204,$Q191))</f>
        <v/>
      </c>
      <c r="J191" s="25" t="str">
        <f>IF($Q191="","",INDEX(TRANSACTIONS_MASTER!$O$5:$O$1204,$Q191))</f>
        <v/>
      </c>
      <c r="K191" s="26" t="str">
        <f>IF($Q191="","",INDEX(TRANSACTIONS_MASTER!$Q$5:$Q$1204,$Q191))</f>
        <v/>
      </c>
      <c r="L191" s="25" t="str">
        <f>IF($Q191="","",INDEX(TRANSACTIONS_MASTER!$P$5:$P$1204,$Q191))</f>
        <v/>
      </c>
      <c r="M191" s="25" t="str">
        <f>IF($Q191="","",INDEX(TRANSACTIONS_MASTER!$AA$5:$AA$1204,$Q191))</f>
        <v/>
      </c>
      <c r="N191" s="25" t="str">
        <f>IF($Q191="","",INDEX(TRANSACTIONS_MASTER!$R$5:$R$1204,$Q191))</f>
        <v/>
      </c>
      <c r="O191" s="28" t="str">
        <f>IF($Q191="","",INDEX(TRANSACTIONS_MASTER!$AB$5:$AB$1204,$Q191))</f>
        <v/>
      </c>
      <c r="P191" s="55" t="str">
        <f>IF($Q191="","",INDEX(TRANSACTIONS_MASTER!$Z$5:$Z$1204,$Q191)&amp;"")</f>
        <v/>
      </c>
      <c r="Q191" s="67" t="str">
        <f>IFERROR(MATCH($C$2&amp;"|"&amp;184,TRANSACTIONS_MASTER!$AE$5:$AE$1204,0),"")</f>
        <v/>
      </c>
    </row>
    <row r="192">
      <c r="A192" s="81" t="str">
        <f>IF($Q192="","",185)</f>
        <v/>
      </c>
      <c r="B192" s="57" t="str">
        <f>IF($Q192="","",INDEX(TRANSACTIONS_MASTER!$B$5:$B$1204,$Q192))</f>
        <v/>
      </c>
      <c r="C192" s="55" t="str">
        <f>IF($Q192="","",INDEX(TRANSACTIONS_MASTER!$F$5:$F$1204,$Q192))</f>
        <v/>
      </c>
      <c r="D192" s="55" t="str">
        <f>IF($Q192="","",INDEX(TRANSACTIONS_MASTER!$E$5:$E$1204,$Q192))</f>
        <v/>
      </c>
      <c r="E192" s="55" t="str">
        <f>IF($Q192="","",INDEX(TRANSACTIONS_MASTER!$G$5:$G$1204,$Q192)&amp;"")</f>
        <v/>
      </c>
      <c r="F192" s="29" t="str">
        <f>IF($Q192="","",INDEX(TRANSACTIONS_MASTER!$I$5:$I$1204,$Q192))</f>
        <v/>
      </c>
      <c r="G192" s="55" t="str">
        <f>IF($Q192="","",INDEX(TRANSACTIONS_MASTER!$K$5:$K$1204,$Q192))</f>
        <v/>
      </c>
      <c r="H192" s="25" t="str">
        <f>IF($Q192="","",INDEX(TRANSACTIONS_MASTER!$L$5:$L$1204,$Q192))</f>
        <v/>
      </c>
      <c r="I192" s="56" t="str">
        <f>IF($Q192="","",INDEX(TRANSACTIONS_MASTER!$N$5:$N$1204,$Q192))</f>
        <v/>
      </c>
      <c r="J192" s="25" t="str">
        <f>IF($Q192="","",INDEX(TRANSACTIONS_MASTER!$O$5:$O$1204,$Q192))</f>
        <v/>
      </c>
      <c r="K192" s="26" t="str">
        <f>IF($Q192="","",INDEX(TRANSACTIONS_MASTER!$Q$5:$Q$1204,$Q192))</f>
        <v/>
      </c>
      <c r="L192" s="25" t="str">
        <f>IF($Q192="","",INDEX(TRANSACTIONS_MASTER!$P$5:$P$1204,$Q192))</f>
        <v/>
      </c>
      <c r="M192" s="25" t="str">
        <f>IF($Q192="","",INDEX(TRANSACTIONS_MASTER!$AA$5:$AA$1204,$Q192))</f>
        <v/>
      </c>
      <c r="N192" s="25" t="str">
        <f>IF($Q192="","",INDEX(TRANSACTIONS_MASTER!$R$5:$R$1204,$Q192))</f>
        <v/>
      </c>
      <c r="O192" s="28" t="str">
        <f>IF($Q192="","",INDEX(TRANSACTIONS_MASTER!$AB$5:$AB$1204,$Q192))</f>
        <v/>
      </c>
      <c r="P192" s="55" t="str">
        <f>IF($Q192="","",INDEX(TRANSACTIONS_MASTER!$Z$5:$Z$1204,$Q192)&amp;"")</f>
        <v/>
      </c>
      <c r="Q192" s="67" t="str">
        <f>IFERROR(MATCH($C$2&amp;"|"&amp;185,TRANSACTIONS_MASTER!$AE$5:$AE$1204,0),"")</f>
        <v/>
      </c>
    </row>
    <row r="193">
      <c r="A193" s="81" t="str">
        <f>IF($Q193="","",186)</f>
        <v/>
      </c>
      <c r="B193" s="57" t="str">
        <f>IF($Q193="","",INDEX(TRANSACTIONS_MASTER!$B$5:$B$1204,$Q193))</f>
        <v/>
      </c>
      <c r="C193" s="55" t="str">
        <f>IF($Q193="","",INDEX(TRANSACTIONS_MASTER!$F$5:$F$1204,$Q193))</f>
        <v/>
      </c>
      <c r="D193" s="55" t="str">
        <f>IF($Q193="","",INDEX(TRANSACTIONS_MASTER!$E$5:$E$1204,$Q193))</f>
        <v/>
      </c>
      <c r="E193" s="55" t="str">
        <f>IF($Q193="","",INDEX(TRANSACTIONS_MASTER!$G$5:$G$1204,$Q193)&amp;"")</f>
        <v/>
      </c>
      <c r="F193" s="29" t="str">
        <f>IF($Q193="","",INDEX(TRANSACTIONS_MASTER!$I$5:$I$1204,$Q193))</f>
        <v/>
      </c>
      <c r="G193" s="55" t="str">
        <f>IF($Q193="","",INDEX(TRANSACTIONS_MASTER!$K$5:$K$1204,$Q193))</f>
        <v/>
      </c>
      <c r="H193" s="25" t="str">
        <f>IF($Q193="","",INDEX(TRANSACTIONS_MASTER!$L$5:$L$1204,$Q193))</f>
        <v/>
      </c>
      <c r="I193" s="56" t="str">
        <f>IF($Q193="","",INDEX(TRANSACTIONS_MASTER!$N$5:$N$1204,$Q193))</f>
        <v/>
      </c>
      <c r="J193" s="25" t="str">
        <f>IF($Q193="","",INDEX(TRANSACTIONS_MASTER!$O$5:$O$1204,$Q193))</f>
        <v/>
      </c>
      <c r="K193" s="26" t="str">
        <f>IF($Q193="","",INDEX(TRANSACTIONS_MASTER!$Q$5:$Q$1204,$Q193))</f>
        <v/>
      </c>
      <c r="L193" s="25" t="str">
        <f>IF($Q193="","",INDEX(TRANSACTIONS_MASTER!$P$5:$P$1204,$Q193))</f>
        <v/>
      </c>
      <c r="M193" s="25" t="str">
        <f>IF($Q193="","",INDEX(TRANSACTIONS_MASTER!$AA$5:$AA$1204,$Q193))</f>
        <v/>
      </c>
      <c r="N193" s="25" t="str">
        <f>IF($Q193="","",INDEX(TRANSACTIONS_MASTER!$R$5:$R$1204,$Q193))</f>
        <v/>
      </c>
      <c r="O193" s="28" t="str">
        <f>IF($Q193="","",INDEX(TRANSACTIONS_MASTER!$AB$5:$AB$1204,$Q193))</f>
        <v/>
      </c>
      <c r="P193" s="55" t="str">
        <f>IF($Q193="","",INDEX(TRANSACTIONS_MASTER!$Z$5:$Z$1204,$Q193)&amp;"")</f>
        <v/>
      </c>
      <c r="Q193" s="67" t="str">
        <f>IFERROR(MATCH($C$2&amp;"|"&amp;186,TRANSACTIONS_MASTER!$AE$5:$AE$1204,0),"")</f>
        <v/>
      </c>
    </row>
    <row r="194">
      <c r="A194" s="81" t="str">
        <f>IF($Q194="","",187)</f>
        <v/>
      </c>
      <c r="B194" s="57" t="str">
        <f>IF($Q194="","",INDEX(TRANSACTIONS_MASTER!$B$5:$B$1204,$Q194))</f>
        <v/>
      </c>
      <c r="C194" s="55" t="str">
        <f>IF($Q194="","",INDEX(TRANSACTIONS_MASTER!$F$5:$F$1204,$Q194))</f>
        <v/>
      </c>
      <c r="D194" s="55" t="str">
        <f>IF($Q194="","",INDEX(TRANSACTIONS_MASTER!$E$5:$E$1204,$Q194))</f>
        <v/>
      </c>
      <c r="E194" s="55" t="str">
        <f>IF($Q194="","",INDEX(TRANSACTIONS_MASTER!$G$5:$G$1204,$Q194)&amp;"")</f>
        <v/>
      </c>
      <c r="F194" s="29" t="str">
        <f>IF($Q194="","",INDEX(TRANSACTIONS_MASTER!$I$5:$I$1204,$Q194))</f>
        <v/>
      </c>
      <c r="G194" s="55" t="str">
        <f>IF($Q194="","",INDEX(TRANSACTIONS_MASTER!$K$5:$K$1204,$Q194))</f>
        <v/>
      </c>
      <c r="H194" s="25" t="str">
        <f>IF($Q194="","",INDEX(TRANSACTIONS_MASTER!$L$5:$L$1204,$Q194))</f>
        <v/>
      </c>
      <c r="I194" s="56" t="str">
        <f>IF($Q194="","",INDEX(TRANSACTIONS_MASTER!$N$5:$N$1204,$Q194))</f>
        <v/>
      </c>
      <c r="J194" s="25" t="str">
        <f>IF($Q194="","",INDEX(TRANSACTIONS_MASTER!$O$5:$O$1204,$Q194))</f>
        <v/>
      </c>
      <c r="K194" s="26" t="str">
        <f>IF($Q194="","",INDEX(TRANSACTIONS_MASTER!$Q$5:$Q$1204,$Q194))</f>
        <v/>
      </c>
      <c r="L194" s="25" t="str">
        <f>IF($Q194="","",INDEX(TRANSACTIONS_MASTER!$P$5:$P$1204,$Q194))</f>
        <v/>
      </c>
      <c r="M194" s="25" t="str">
        <f>IF($Q194="","",INDEX(TRANSACTIONS_MASTER!$AA$5:$AA$1204,$Q194))</f>
        <v/>
      </c>
      <c r="N194" s="25" t="str">
        <f>IF($Q194="","",INDEX(TRANSACTIONS_MASTER!$R$5:$R$1204,$Q194))</f>
        <v/>
      </c>
      <c r="O194" s="28" t="str">
        <f>IF($Q194="","",INDEX(TRANSACTIONS_MASTER!$AB$5:$AB$1204,$Q194))</f>
        <v/>
      </c>
      <c r="P194" s="55" t="str">
        <f>IF($Q194="","",INDEX(TRANSACTIONS_MASTER!$Z$5:$Z$1204,$Q194)&amp;"")</f>
        <v/>
      </c>
      <c r="Q194" s="67" t="str">
        <f>IFERROR(MATCH($C$2&amp;"|"&amp;187,TRANSACTIONS_MASTER!$AE$5:$AE$1204,0),"")</f>
        <v/>
      </c>
    </row>
    <row r="195">
      <c r="A195" s="81" t="str">
        <f>IF($Q195="","",188)</f>
        <v/>
      </c>
      <c r="B195" s="57" t="str">
        <f>IF($Q195="","",INDEX(TRANSACTIONS_MASTER!$B$5:$B$1204,$Q195))</f>
        <v/>
      </c>
      <c r="C195" s="55" t="str">
        <f>IF($Q195="","",INDEX(TRANSACTIONS_MASTER!$F$5:$F$1204,$Q195))</f>
        <v/>
      </c>
      <c r="D195" s="55" t="str">
        <f>IF($Q195="","",INDEX(TRANSACTIONS_MASTER!$E$5:$E$1204,$Q195))</f>
        <v/>
      </c>
      <c r="E195" s="55" t="str">
        <f>IF($Q195="","",INDEX(TRANSACTIONS_MASTER!$G$5:$G$1204,$Q195)&amp;"")</f>
        <v/>
      </c>
      <c r="F195" s="29" t="str">
        <f>IF($Q195="","",INDEX(TRANSACTIONS_MASTER!$I$5:$I$1204,$Q195))</f>
        <v/>
      </c>
      <c r="G195" s="55" t="str">
        <f>IF($Q195="","",INDEX(TRANSACTIONS_MASTER!$K$5:$K$1204,$Q195))</f>
        <v/>
      </c>
      <c r="H195" s="25" t="str">
        <f>IF($Q195="","",INDEX(TRANSACTIONS_MASTER!$L$5:$L$1204,$Q195))</f>
        <v/>
      </c>
      <c r="I195" s="56" t="str">
        <f>IF($Q195="","",INDEX(TRANSACTIONS_MASTER!$N$5:$N$1204,$Q195))</f>
        <v/>
      </c>
      <c r="J195" s="25" t="str">
        <f>IF($Q195="","",INDEX(TRANSACTIONS_MASTER!$O$5:$O$1204,$Q195))</f>
        <v/>
      </c>
      <c r="K195" s="26" t="str">
        <f>IF($Q195="","",INDEX(TRANSACTIONS_MASTER!$Q$5:$Q$1204,$Q195))</f>
        <v/>
      </c>
      <c r="L195" s="25" t="str">
        <f>IF($Q195="","",INDEX(TRANSACTIONS_MASTER!$P$5:$P$1204,$Q195))</f>
        <v/>
      </c>
      <c r="M195" s="25" t="str">
        <f>IF($Q195="","",INDEX(TRANSACTIONS_MASTER!$AA$5:$AA$1204,$Q195))</f>
        <v/>
      </c>
      <c r="N195" s="25" t="str">
        <f>IF($Q195="","",INDEX(TRANSACTIONS_MASTER!$R$5:$R$1204,$Q195))</f>
        <v/>
      </c>
      <c r="O195" s="28" t="str">
        <f>IF($Q195="","",INDEX(TRANSACTIONS_MASTER!$AB$5:$AB$1204,$Q195))</f>
        <v/>
      </c>
      <c r="P195" s="55" t="str">
        <f>IF($Q195="","",INDEX(TRANSACTIONS_MASTER!$Z$5:$Z$1204,$Q195)&amp;"")</f>
        <v/>
      </c>
      <c r="Q195" s="67" t="str">
        <f>IFERROR(MATCH($C$2&amp;"|"&amp;188,TRANSACTIONS_MASTER!$AE$5:$AE$1204,0),"")</f>
        <v/>
      </c>
    </row>
    <row r="196">
      <c r="A196" s="81" t="str">
        <f>IF($Q196="","",189)</f>
        <v/>
      </c>
      <c r="B196" s="57" t="str">
        <f>IF($Q196="","",INDEX(TRANSACTIONS_MASTER!$B$5:$B$1204,$Q196))</f>
        <v/>
      </c>
      <c r="C196" s="55" t="str">
        <f>IF($Q196="","",INDEX(TRANSACTIONS_MASTER!$F$5:$F$1204,$Q196))</f>
        <v/>
      </c>
      <c r="D196" s="55" t="str">
        <f>IF($Q196="","",INDEX(TRANSACTIONS_MASTER!$E$5:$E$1204,$Q196))</f>
        <v/>
      </c>
      <c r="E196" s="55" t="str">
        <f>IF($Q196="","",INDEX(TRANSACTIONS_MASTER!$G$5:$G$1204,$Q196)&amp;"")</f>
        <v/>
      </c>
      <c r="F196" s="29" t="str">
        <f>IF($Q196="","",INDEX(TRANSACTIONS_MASTER!$I$5:$I$1204,$Q196))</f>
        <v/>
      </c>
      <c r="G196" s="55" t="str">
        <f>IF($Q196="","",INDEX(TRANSACTIONS_MASTER!$K$5:$K$1204,$Q196))</f>
        <v/>
      </c>
      <c r="H196" s="25" t="str">
        <f>IF($Q196="","",INDEX(TRANSACTIONS_MASTER!$L$5:$L$1204,$Q196))</f>
        <v/>
      </c>
      <c r="I196" s="56" t="str">
        <f>IF($Q196="","",INDEX(TRANSACTIONS_MASTER!$N$5:$N$1204,$Q196))</f>
        <v/>
      </c>
      <c r="J196" s="25" t="str">
        <f>IF($Q196="","",INDEX(TRANSACTIONS_MASTER!$O$5:$O$1204,$Q196))</f>
        <v/>
      </c>
      <c r="K196" s="26" t="str">
        <f>IF($Q196="","",INDEX(TRANSACTIONS_MASTER!$Q$5:$Q$1204,$Q196))</f>
        <v/>
      </c>
      <c r="L196" s="25" t="str">
        <f>IF($Q196="","",INDEX(TRANSACTIONS_MASTER!$P$5:$P$1204,$Q196))</f>
        <v/>
      </c>
      <c r="M196" s="25" t="str">
        <f>IF($Q196="","",INDEX(TRANSACTIONS_MASTER!$AA$5:$AA$1204,$Q196))</f>
        <v/>
      </c>
      <c r="N196" s="25" t="str">
        <f>IF($Q196="","",INDEX(TRANSACTIONS_MASTER!$R$5:$R$1204,$Q196))</f>
        <v/>
      </c>
      <c r="O196" s="28" t="str">
        <f>IF($Q196="","",INDEX(TRANSACTIONS_MASTER!$AB$5:$AB$1204,$Q196))</f>
        <v/>
      </c>
      <c r="P196" s="55" t="str">
        <f>IF($Q196="","",INDEX(TRANSACTIONS_MASTER!$Z$5:$Z$1204,$Q196)&amp;"")</f>
        <v/>
      </c>
      <c r="Q196" s="67" t="str">
        <f>IFERROR(MATCH($C$2&amp;"|"&amp;189,TRANSACTIONS_MASTER!$AE$5:$AE$1204,0),"")</f>
        <v/>
      </c>
    </row>
    <row r="197">
      <c r="A197" s="81" t="str">
        <f>IF($Q197="","",190)</f>
        <v/>
      </c>
      <c r="B197" s="57" t="str">
        <f>IF($Q197="","",INDEX(TRANSACTIONS_MASTER!$B$5:$B$1204,$Q197))</f>
        <v/>
      </c>
      <c r="C197" s="55" t="str">
        <f>IF($Q197="","",INDEX(TRANSACTIONS_MASTER!$F$5:$F$1204,$Q197))</f>
        <v/>
      </c>
      <c r="D197" s="55" t="str">
        <f>IF($Q197="","",INDEX(TRANSACTIONS_MASTER!$E$5:$E$1204,$Q197))</f>
        <v/>
      </c>
      <c r="E197" s="55" t="str">
        <f>IF($Q197="","",INDEX(TRANSACTIONS_MASTER!$G$5:$G$1204,$Q197)&amp;"")</f>
        <v/>
      </c>
      <c r="F197" s="29" t="str">
        <f>IF($Q197="","",INDEX(TRANSACTIONS_MASTER!$I$5:$I$1204,$Q197))</f>
        <v/>
      </c>
      <c r="G197" s="55" t="str">
        <f>IF($Q197="","",INDEX(TRANSACTIONS_MASTER!$K$5:$K$1204,$Q197))</f>
        <v/>
      </c>
      <c r="H197" s="25" t="str">
        <f>IF($Q197="","",INDEX(TRANSACTIONS_MASTER!$L$5:$L$1204,$Q197))</f>
        <v/>
      </c>
      <c r="I197" s="56" t="str">
        <f>IF($Q197="","",INDEX(TRANSACTIONS_MASTER!$N$5:$N$1204,$Q197))</f>
        <v/>
      </c>
      <c r="J197" s="25" t="str">
        <f>IF($Q197="","",INDEX(TRANSACTIONS_MASTER!$O$5:$O$1204,$Q197))</f>
        <v/>
      </c>
      <c r="K197" s="26" t="str">
        <f>IF($Q197="","",INDEX(TRANSACTIONS_MASTER!$Q$5:$Q$1204,$Q197))</f>
        <v/>
      </c>
      <c r="L197" s="25" t="str">
        <f>IF($Q197="","",INDEX(TRANSACTIONS_MASTER!$P$5:$P$1204,$Q197))</f>
        <v/>
      </c>
      <c r="M197" s="25" t="str">
        <f>IF($Q197="","",INDEX(TRANSACTIONS_MASTER!$AA$5:$AA$1204,$Q197))</f>
        <v/>
      </c>
      <c r="N197" s="25" t="str">
        <f>IF($Q197="","",INDEX(TRANSACTIONS_MASTER!$R$5:$R$1204,$Q197))</f>
        <v/>
      </c>
      <c r="O197" s="28" t="str">
        <f>IF($Q197="","",INDEX(TRANSACTIONS_MASTER!$AB$5:$AB$1204,$Q197))</f>
        <v/>
      </c>
      <c r="P197" s="55" t="str">
        <f>IF($Q197="","",INDEX(TRANSACTIONS_MASTER!$Z$5:$Z$1204,$Q197)&amp;"")</f>
        <v/>
      </c>
      <c r="Q197" s="67" t="str">
        <f>IFERROR(MATCH($C$2&amp;"|"&amp;190,TRANSACTIONS_MASTER!$AE$5:$AE$1204,0),"")</f>
        <v/>
      </c>
    </row>
    <row r="198">
      <c r="A198" s="81" t="str">
        <f>IF($Q198="","",191)</f>
        <v/>
      </c>
      <c r="B198" s="57" t="str">
        <f>IF($Q198="","",INDEX(TRANSACTIONS_MASTER!$B$5:$B$1204,$Q198))</f>
        <v/>
      </c>
      <c r="C198" s="55" t="str">
        <f>IF($Q198="","",INDEX(TRANSACTIONS_MASTER!$F$5:$F$1204,$Q198))</f>
        <v/>
      </c>
      <c r="D198" s="55" t="str">
        <f>IF($Q198="","",INDEX(TRANSACTIONS_MASTER!$E$5:$E$1204,$Q198))</f>
        <v/>
      </c>
      <c r="E198" s="55" t="str">
        <f>IF($Q198="","",INDEX(TRANSACTIONS_MASTER!$G$5:$G$1204,$Q198)&amp;"")</f>
        <v/>
      </c>
      <c r="F198" s="29" t="str">
        <f>IF($Q198="","",INDEX(TRANSACTIONS_MASTER!$I$5:$I$1204,$Q198))</f>
        <v/>
      </c>
      <c r="G198" s="55" t="str">
        <f>IF($Q198="","",INDEX(TRANSACTIONS_MASTER!$K$5:$K$1204,$Q198))</f>
        <v/>
      </c>
      <c r="H198" s="25" t="str">
        <f>IF($Q198="","",INDEX(TRANSACTIONS_MASTER!$L$5:$L$1204,$Q198))</f>
        <v/>
      </c>
      <c r="I198" s="56" t="str">
        <f>IF($Q198="","",INDEX(TRANSACTIONS_MASTER!$N$5:$N$1204,$Q198))</f>
        <v/>
      </c>
      <c r="J198" s="25" t="str">
        <f>IF($Q198="","",INDEX(TRANSACTIONS_MASTER!$O$5:$O$1204,$Q198))</f>
        <v/>
      </c>
      <c r="K198" s="26" t="str">
        <f>IF($Q198="","",INDEX(TRANSACTIONS_MASTER!$Q$5:$Q$1204,$Q198))</f>
        <v/>
      </c>
      <c r="L198" s="25" t="str">
        <f>IF($Q198="","",INDEX(TRANSACTIONS_MASTER!$P$5:$P$1204,$Q198))</f>
        <v/>
      </c>
      <c r="M198" s="25" t="str">
        <f>IF($Q198="","",INDEX(TRANSACTIONS_MASTER!$AA$5:$AA$1204,$Q198))</f>
        <v/>
      </c>
      <c r="N198" s="25" t="str">
        <f>IF($Q198="","",INDEX(TRANSACTIONS_MASTER!$R$5:$R$1204,$Q198))</f>
        <v/>
      </c>
      <c r="O198" s="28" t="str">
        <f>IF($Q198="","",INDEX(TRANSACTIONS_MASTER!$AB$5:$AB$1204,$Q198))</f>
        <v/>
      </c>
      <c r="P198" s="55" t="str">
        <f>IF($Q198="","",INDEX(TRANSACTIONS_MASTER!$Z$5:$Z$1204,$Q198)&amp;"")</f>
        <v/>
      </c>
      <c r="Q198" s="67" t="str">
        <f>IFERROR(MATCH($C$2&amp;"|"&amp;191,TRANSACTIONS_MASTER!$AE$5:$AE$1204,0),"")</f>
        <v/>
      </c>
    </row>
    <row r="199">
      <c r="A199" s="81" t="str">
        <f>IF($Q199="","",192)</f>
        <v/>
      </c>
      <c r="B199" s="57" t="str">
        <f>IF($Q199="","",INDEX(TRANSACTIONS_MASTER!$B$5:$B$1204,$Q199))</f>
        <v/>
      </c>
      <c r="C199" s="55" t="str">
        <f>IF($Q199="","",INDEX(TRANSACTIONS_MASTER!$F$5:$F$1204,$Q199))</f>
        <v/>
      </c>
      <c r="D199" s="55" t="str">
        <f>IF($Q199="","",INDEX(TRANSACTIONS_MASTER!$E$5:$E$1204,$Q199))</f>
        <v/>
      </c>
      <c r="E199" s="55" t="str">
        <f>IF($Q199="","",INDEX(TRANSACTIONS_MASTER!$G$5:$G$1204,$Q199)&amp;"")</f>
        <v/>
      </c>
      <c r="F199" s="29" t="str">
        <f>IF($Q199="","",INDEX(TRANSACTIONS_MASTER!$I$5:$I$1204,$Q199))</f>
        <v/>
      </c>
      <c r="G199" s="55" t="str">
        <f>IF($Q199="","",INDEX(TRANSACTIONS_MASTER!$K$5:$K$1204,$Q199))</f>
        <v/>
      </c>
      <c r="H199" s="25" t="str">
        <f>IF($Q199="","",INDEX(TRANSACTIONS_MASTER!$L$5:$L$1204,$Q199))</f>
        <v/>
      </c>
      <c r="I199" s="56" t="str">
        <f>IF($Q199="","",INDEX(TRANSACTIONS_MASTER!$N$5:$N$1204,$Q199))</f>
        <v/>
      </c>
      <c r="J199" s="25" t="str">
        <f>IF($Q199="","",INDEX(TRANSACTIONS_MASTER!$O$5:$O$1204,$Q199))</f>
        <v/>
      </c>
      <c r="K199" s="26" t="str">
        <f>IF($Q199="","",INDEX(TRANSACTIONS_MASTER!$Q$5:$Q$1204,$Q199))</f>
        <v/>
      </c>
      <c r="L199" s="25" t="str">
        <f>IF($Q199="","",INDEX(TRANSACTIONS_MASTER!$P$5:$P$1204,$Q199))</f>
        <v/>
      </c>
      <c r="M199" s="25" t="str">
        <f>IF($Q199="","",INDEX(TRANSACTIONS_MASTER!$AA$5:$AA$1204,$Q199))</f>
        <v/>
      </c>
      <c r="N199" s="25" t="str">
        <f>IF($Q199="","",INDEX(TRANSACTIONS_MASTER!$R$5:$R$1204,$Q199))</f>
        <v/>
      </c>
      <c r="O199" s="28" t="str">
        <f>IF($Q199="","",INDEX(TRANSACTIONS_MASTER!$AB$5:$AB$1204,$Q199))</f>
        <v/>
      </c>
      <c r="P199" s="55" t="str">
        <f>IF($Q199="","",INDEX(TRANSACTIONS_MASTER!$Z$5:$Z$1204,$Q199)&amp;"")</f>
        <v/>
      </c>
      <c r="Q199" s="67" t="str">
        <f>IFERROR(MATCH($C$2&amp;"|"&amp;192,TRANSACTIONS_MASTER!$AE$5:$AE$1204,0),"")</f>
        <v/>
      </c>
    </row>
    <row r="200">
      <c r="A200" s="81" t="str">
        <f>IF($Q200="","",193)</f>
        <v/>
      </c>
      <c r="B200" s="57" t="str">
        <f>IF($Q200="","",INDEX(TRANSACTIONS_MASTER!$B$5:$B$1204,$Q200))</f>
        <v/>
      </c>
      <c r="C200" s="55" t="str">
        <f>IF($Q200="","",INDEX(TRANSACTIONS_MASTER!$F$5:$F$1204,$Q200))</f>
        <v/>
      </c>
      <c r="D200" s="55" t="str">
        <f>IF($Q200="","",INDEX(TRANSACTIONS_MASTER!$E$5:$E$1204,$Q200))</f>
        <v/>
      </c>
      <c r="E200" s="55" t="str">
        <f>IF($Q200="","",INDEX(TRANSACTIONS_MASTER!$G$5:$G$1204,$Q200)&amp;"")</f>
        <v/>
      </c>
      <c r="F200" s="29" t="str">
        <f>IF($Q200="","",INDEX(TRANSACTIONS_MASTER!$I$5:$I$1204,$Q200))</f>
        <v/>
      </c>
      <c r="G200" s="55" t="str">
        <f>IF($Q200="","",INDEX(TRANSACTIONS_MASTER!$K$5:$K$1204,$Q200))</f>
        <v/>
      </c>
      <c r="H200" s="25" t="str">
        <f>IF($Q200="","",INDEX(TRANSACTIONS_MASTER!$L$5:$L$1204,$Q200))</f>
        <v/>
      </c>
      <c r="I200" s="56" t="str">
        <f>IF($Q200="","",INDEX(TRANSACTIONS_MASTER!$N$5:$N$1204,$Q200))</f>
        <v/>
      </c>
      <c r="J200" s="25" t="str">
        <f>IF($Q200="","",INDEX(TRANSACTIONS_MASTER!$O$5:$O$1204,$Q200))</f>
        <v/>
      </c>
      <c r="K200" s="26" t="str">
        <f>IF($Q200="","",INDEX(TRANSACTIONS_MASTER!$Q$5:$Q$1204,$Q200))</f>
        <v/>
      </c>
      <c r="L200" s="25" t="str">
        <f>IF($Q200="","",INDEX(TRANSACTIONS_MASTER!$P$5:$P$1204,$Q200))</f>
        <v/>
      </c>
      <c r="M200" s="25" t="str">
        <f>IF($Q200="","",INDEX(TRANSACTIONS_MASTER!$AA$5:$AA$1204,$Q200))</f>
        <v/>
      </c>
      <c r="N200" s="25" t="str">
        <f>IF($Q200="","",INDEX(TRANSACTIONS_MASTER!$R$5:$R$1204,$Q200))</f>
        <v/>
      </c>
      <c r="O200" s="28" t="str">
        <f>IF($Q200="","",INDEX(TRANSACTIONS_MASTER!$AB$5:$AB$1204,$Q200))</f>
        <v/>
      </c>
      <c r="P200" s="55" t="str">
        <f>IF($Q200="","",INDEX(TRANSACTIONS_MASTER!$Z$5:$Z$1204,$Q200)&amp;"")</f>
        <v/>
      </c>
      <c r="Q200" s="67" t="str">
        <f>IFERROR(MATCH($C$2&amp;"|"&amp;193,TRANSACTIONS_MASTER!$AE$5:$AE$1204,0),"")</f>
        <v/>
      </c>
    </row>
    <row r="201">
      <c r="A201" s="81" t="str">
        <f>IF($Q201="","",194)</f>
        <v/>
      </c>
      <c r="B201" s="57" t="str">
        <f>IF($Q201="","",INDEX(TRANSACTIONS_MASTER!$B$5:$B$1204,$Q201))</f>
        <v/>
      </c>
      <c r="C201" s="55" t="str">
        <f>IF($Q201="","",INDEX(TRANSACTIONS_MASTER!$F$5:$F$1204,$Q201))</f>
        <v/>
      </c>
      <c r="D201" s="55" t="str">
        <f>IF($Q201="","",INDEX(TRANSACTIONS_MASTER!$E$5:$E$1204,$Q201))</f>
        <v/>
      </c>
      <c r="E201" s="55" t="str">
        <f>IF($Q201="","",INDEX(TRANSACTIONS_MASTER!$G$5:$G$1204,$Q201)&amp;"")</f>
        <v/>
      </c>
      <c r="F201" s="29" t="str">
        <f>IF($Q201="","",INDEX(TRANSACTIONS_MASTER!$I$5:$I$1204,$Q201))</f>
        <v/>
      </c>
      <c r="G201" s="55" t="str">
        <f>IF($Q201="","",INDEX(TRANSACTIONS_MASTER!$K$5:$K$1204,$Q201))</f>
        <v/>
      </c>
      <c r="H201" s="25" t="str">
        <f>IF($Q201="","",INDEX(TRANSACTIONS_MASTER!$L$5:$L$1204,$Q201))</f>
        <v/>
      </c>
      <c r="I201" s="56" t="str">
        <f>IF($Q201="","",INDEX(TRANSACTIONS_MASTER!$N$5:$N$1204,$Q201))</f>
        <v/>
      </c>
      <c r="J201" s="25" t="str">
        <f>IF($Q201="","",INDEX(TRANSACTIONS_MASTER!$O$5:$O$1204,$Q201))</f>
        <v/>
      </c>
      <c r="K201" s="26" t="str">
        <f>IF($Q201="","",INDEX(TRANSACTIONS_MASTER!$Q$5:$Q$1204,$Q201))</f>
        <v/>
      </c>
      <c r="L201" s="25" t="str">
        <f>IF($Q201="","",INDEX(TRANSACTIONS_MASTER!$P$5:$P$1204,$Q201))</f>
        <v/>
      </c>
      <c r="M201" s="25" t="str">
        <f>IF($Q201="","",INDEX(TRANSACTIONS_MASTER!$AA$5:$AA$1204,$Q201))</f>
        <v/>
      </c>
      <c r="N201" s="25" t="str">
        <f>IF($Q201="","",INDEX(TRANSACTIONS_MASTER!$R$5:$R$1204,$Q201))</f>
        <v/>
      </c>
      <c r="O201" s="28" t="str">
        <f>IF($Q201="","",INDEX(TRANSACTIONS_MASTER!$AB$5:$AB$1204,$Q201))</f>
        <v/>
      </c>
      <c r="P201" s="55" t="str">
        <f>IF($Q201="","",INDEX(TRANSACTIONS_MASTER!$Z$5:$Z$1204,$Q201)&amp;"")</f>
        <v/>
      </c>
      <c r="Q201" s="67" t="str">
        <f>IFERROR(MATCH($C$2&amp;"|"&amp;194,TRANSACTIONS_MASTER!$AE$5:$AE$1204,0),"")</f>
        <v/>
      </c>
    </row>
    <row r="202">
      <c r="A202" s="81" t="str">
        <f>IF($Q202="","",195)</f>
        <v/>
      </c>
      <c r="B202" s="57" t="str">
        <f>IF($Q202="","",INDEX(TRANSACTIONS_MASTER!$B$5:$B$1204,$Q202))</f>
        <v/>
      </c>
      <c r="C202" s="55" t="str">
        <f>IF($Q202="","",INDEX(TRANSACTIONS_MASTER!$F$5:$F$1204,$Q202))</f>
        <v/>
      </c>
      <c r="D202" s="55" t="str">
        <f>IF($Q202="","",INDEX(TRANSACTIONS_MASTER!$E$5:$E$1204,$Q202))</f>
        <v/>
      </c>
      <c r="E202" s="55" t="str">
        <f>IF($Q202="","",INDEX(TRANSACTIONS_MASTER!$G$5:$G$1204,$Q202)&amp;"")</f>
        <v/>
      </c>
      <c r="F202" s="29" t="str">
        <f>IF($Q202="","",INDEX(TRANSACTIONS_MASTER!$I$5:$I$1204,$Q202))</f>
        <v/>
      </c>
      <c r="G202" s="55" t="str">
        <f>IF($Q202="","",INDEX(TRANSACTIONS_MASTER!$K$5:$K$1204,$Q202))</f>
        <v/>
      </c>
      <c r="H202" s="25" t="str">
        <f>IF($Q202="","",INDEX(TRANSACTIONS_MASTER!$L$5:$L$1204,$Q202))</f>
        <v/>
      </c>
      <c r="I202" s="56" t="str">
        <f>IF($Q202="","",INDEX(TRANSACTIONS_MASTER!$N$5:$N$1204,$Q202))</f>
        <v/>
      </c>
      <c r="J202" s="25" t="str">
        <f>IF($Q202="","",INDEX(TRANSACTIONS_MASTER!$O$5:$O$1204,$Q202))</f>
        <v/>
      </c>
      <c r="K202" s="26" t="str">
        <f>IF($Q202="","",INDEX(TRANSACTIONS_MASTER!$Q$5:$Q$1204,$Q202))</f>
        <v/>
      </c>
      <c r="L202" s="25" t="str">
        <f>IF($Q202="","",INDEX(TRANSACTIONS_MASTER!$P$5:$P$1204,$Q202))</f>
        <v/>
      </c>
      <c r="M202" s="25" t="str">
        <f>IF($Q202="","",INDEX(TRANSACTIONS_MASTER!$AA$5:$AA$1204,$Q202))</f>
        <v/>
      </c>
      <c r="N202" s="25" t="str">
        <f>IF($Q202="","",INDEX(TRANSACTIONS_MASTER!$R$5:$R$1204,$Q202))</f>
        <v/>
      </c>
      <c r="O202" s="28" t="str">
        <f>IF($Q202="","",INDEX(TRANSACTIONS_MASTER!$AB$5:$AB$1204,$Q202))</f>
        <v/>
      </c>
      <c r="P202" s="55" t="str">
        <f>IF($Q202="","",INDEX(TRANSACTIONS_MASTER!$Z$5:$Z$1204,$Q202)&amp;"")</f>
        <v/>
      </c>
      <c r="Q202" s="67" t="str">
        <f>IFERROR(MATCH($C$2&amp;"|"&amp;195,TRANSACTIONS_MASTER!$AE$5:$AE$1204,0),"")</f>
        <v/>
      </c>
    </row>
    <row r="203">
      <c r="A203" s="81" t="str">
        <f>IF($Q203="","",196)</f>
        <v/>
      </c>
      <c r="B203" s="57" t="str">
        <f>IF($Q203="","",INDEX(TRANSACTIONS_MASTER!$B$5:$B$1204,$Q203))</f>
        <v/>
      </c>
      <c r="C203" s="55" t="str">
        <f>IF($Q203="","",INDEX(TRANSACTIONS_MASTER!$F$5:$F$1204,$Q203))</f>
        <v/>
      </c>
      <c r="D203" s="55" t="str">
        <f>IF($Q203="","",INDEX(TRANSACTIONS_MASTER!$E$5:$E$1204,$Q203))</f>
        <v/>
      </c>
      <c r="E203" s="55" t="str">
        <f>IF($Q203="","",INDEX(TRANSACTIONS_MASTER!$G$5:$G$1204,$Q203)&amp;"")</f>
        <v/>
      </c>
      <c r="F203" s="29" t="str">
        <f>IF($Q203="","",INDEX(TRANSACTIONS_MASTER!$I$5:$I$1204,$Q203))</f>
        <v/>
      </c>
      <c r="G203" s="55" t="str">
        <f>IF($Q203="","",INDEX(TRANSACTIONS_MASTER!$K$5:$K$1204,$Q203))</f>
        <v/>
      </c>
      <c r="H203" s="25" t="str">
        <f>IF($Q203="","",INDEX(TRANSACTIONS_MASTER!$L$5:$L$1204,$Q203))</f>
        <v/>
      </c>
      <c r="I203" s="56" t="str">
        <f>IF($Q203="","",INDEX(TRANSACTIONS_MASTER!$N$5:$N$1204,$Q203))</f>
        <v/>
      </c>
      <c r="J203" s="25" t="str">
        <f>IF($Q203="","",INDEX(TRANSACTIONS_MASTER!$O$5:$O$1204,$Q203))</f>
        <v/>
      </c>
      <c r="K203" s="26" t="str">
        <f>IF($Q203="","",INDEX(TRANSACTIONS_MASTER!$Q$5:$Q$1204,$Q203))</f>
        <v/>
      </c>
      <c r="L203" s="25" t="str">
        <f>IF($Q203="","",INDEX(TRANSACTIONS_MASTER!$P$5:$P$1204,$Q203))</f>
        <v/>
      </c>
      <c r="M203" s="25" t="str">
        <f>IF($Q203="","",INDEX(TRANSACTIONS_MASTER!$AA$5:$AA$1204,$Q203))</f>
        <v/>
      </c>
      <c r="N203" s="25" t="str">
        <f>IF($Q203="","",INDEX(TRANSACTIONS_MASTER!$R$5:$R$1204,$Q203))</f>
        <v/>
      </c>
      <c r="O203" s="28" t="str">
        <f>IF($Q203="","",INDEX(TRANSACTIONS_MASTER!$AB$5:$AB$1204,$Q203))</f>
        <v/>
      </c>
      <c r="P203" s="55" t="str">
        <f>IF($Q203="","",INDEX(TRANSACTIONS_MASTER!$Z$5:$Z$1204,$Q203)&amp;"")</f>
        <v/>
      </c>
      <c r="Q203" s="67" t="str">
        <f>IFERROR(MATCH($C$2&amp;"|"&amp;196,TRANSACTIONS_MASTER!$AE$5:$AE$1204,0),"")</f>
        <v/>
      </c>
    </row>
    <row r="204">
      <c r="A204" s="81" t="str">
        <f>IF($Q204="","",197)</f>
        <v/>
      </c>
      <c r="B204" s="57" t="str">
        <f>IF($Q204="","",INDEX(TRANSACTIONS_MASTER!$B$5:$B$1204,$Q204))</f>
        <v/>
      </c>
      <c r="C204" s="55" t="str">
        <f>IF($Q204="","",INDEX(TRANSACTIONS_MASTER!$F$5:$F$1204,$Q204))</f>
        <v/>
      </c>
      <c r="D204" s="55" t="str">
        <f>IF($Q204="","",INDEX(TRANSACTIONS_MASTER!$E$5:$E$1204,$Q204))</f>
        <v/>
      </c>
      <c r="E204" s="55" t="str">
        <f>IF($Q204="","",INDEX(TRANSACTIONS_MASTER!$G$5:$G$1204,$Q204)&amp;"")</f>
        <v/>
      </c>
      <c r="F204" s="29" t="str">
        <f>IF($Q204="","",INDEX(TRANSACTIONS_MASTER!$I$5:$I$1204,$Q204))</f>
        <v/>
      </c>
      <c r="G204" s="55" t="str">
        <f>IF($Q204="","",INDEX(TRANSACTIONS_MASTER!$K$5:$K$1204,$Q204))</f>
        <v/>
      </c>
      <c r="H204" s="25" t="str">
        <f>IF($Q204="","",INDEX(TRANSACTIONS_MASTER!$L$5:$L$1204,$Q204))</f>
        <v/>
      </c>
      <c r="I204" s="56" t="str">
        <f>IF($Q204="","",INDEX(TRANSACTIONS_MASTER!$N$5:$N$1204,$Q204))</f>
        <v/>
      </c>
      <c r="J204" s="25" t="str">
        <f>IF($Q204="","",INDEX(TRANSACTIONS_MASTER!$O$5:$O$1204,$Q204))</f>
        <v/>
      </c>
      <c r="K204" s="26" t="str">
        <f>IF($Q204="","",INDEX(TRANSACTIONS_MASTER!$Q$5:$Q$1204,$Q204))</f>
        <v/>
      </c>
      <c r="L204" s="25" t="str">
        <f>IF($Q204="","",INDEX(TRANSACTIONS_MASTER!$P$5:$P$1204,$Q204))</f>
        <v/>
      </c>
      <c r="M204" s="25" t="str">
        <f>IF($Q204="","",INDEX(TRANSACTIONS_MASTER!$AA$5:$AA$1204,$Q204))</f>
        <v/>
      </c>
      <c r="N204" s="25" t="str">
        <f>IF($Q204="","",INDEX(TRANSACTIONS_MASTER!$R$5:$R$1204,$Q204))</f>
        <v/>
      </c>
      <c r="O204" s="28" t="str">
        <f>IF($Q204="","",INDEX(TRANSACTIONS_MASTER!$AB$5:$AB$1204,$Q204))</f>
        <v/>
      </c>
      <c r="P204" s="55" t="str">
        <f>IF($Q204="","",INDEX(TRANSACTIONS_MASTER!$Z$5:$Z$1204,$Q204)&amp;"")</f>
        <v/>
      </c>
      <c r="Q204" s="67" t="str">
        <f>IFERROR(MATCH($C$2&amp;"|"&amp;197,TRANSACTIONS_MASTER!$AE$5:$AE$1204,0),"")</f>
        <v/>
      </c>
    </row>
    <row r="205">
      <c r="A205" s="81" t="str">
        <f>IF($Q205="","",198)</f>
        <v/>
      </c>
      <c r="B205" s="57" t="str">
        <f>IF($Q205="","",INDEX(TRANSACTIONS_MASTER!$B$5:$B$1204,$Q205))</f>
        <v/>
      </c>
      <c r="C205" s="55" t="str">
        <f>IF($Q205="","",INDEX(TRANSACTIONS_MASTER!$F$5:$F$1204,$Q205))</f>
        <v/>
      </c>
      <c r="D205" s="55" t="str">
        <f>IF($Q205="","",INDEX(TRANSACTIONS_MASTER!$E$5:$E$1204,$Q205))</f>
        <v/>
      </c>
      <c r="E205" s="55" t="str">
        <f>IF($Q205="","",INDEX(TRANSACTIONS_MASTER!$G$5:$G$1204,$Q205)&amp;"")</f>
        <v/>
      </c>
      <c r="F205" s="29" t="str">
        <f>IF($Q205="","",INDEX(TRANSACTIONS_MASTER!$I$5:$I$1204,$Q205))</f>
        <v/>
      </c>
      <c r="G205" s="55" t="str">
        <f>IF($Q205="","",INDEX(TRANSACTIONS_MASTER!$K$5:$K$1204,$Q205))</f>
        <v/>
      </c>
      <c r="H205" s="25" t="str">
        <f>IF($Q205="","",INDEX(TRANSACTIONS_MASTER!$L$5:$L$1204,$Q205))</f>
        <v/>
      </c>
      <c r="I205" s="56" t="str">
        <f>IF($Q205="","",INDEX(TRANSACTIONS_MASTER!$N$5:$N$1204,$Q205))</f>
        <v/>
      </c>
      <c r="J205" s="25" t="str">
        <f>IF($Q205="","",INDEX(TRANSACTIONS_MASTER!$O$5:$O$1204,$Q205))</f>
        <v/>
      </c>
      <c r="K205" s="26" t="str">
        <f>IF($Q205="","",INDEX(TRANSACTIONS_MASTER!$Q$5:$Q$1204,$Q205))</f>
        <v/>
      </c>
      <c r="L205" s="25" t="str">
        <f>IF($Q205="","",INDEX(TRANSACTIONS_MASTER!$P$5:$P$1204,$Q205))</f>
        <v/>
      </c>
      <c r="M205" s="25" t="str">
        <f>IF($Q205="","",INDEX(TRANSACTIONS_MASTER!$AA$5:$AA$1204,$Q205))</f>
        <v/>
      </c>
      <c r="N205" s="25" t="str">
        <f>IF($Q205="","",INDEX(TRANSACTIONS_MASTER!$R$5:$R$1204,$Q205))</f>
        <v/>
      </c>
      <c r="O205" s="28" t="str">
        <f>IF($Q205="","",INDEX(TRANSACTIONS_MASTER!$AB$5:$AB$1204,$Q205))</f>
        <v/>
      </c>
      <c r="P205" s="55" t="str">
        <f>IF($Q205="","",INDEX(TRANSACTIONS_MASTER!$Z$5:$Z$1204,$Q205)&amp;"")</f>
        <v/>
      </c>
      <c r="Q205" s="67" t="str">
        <f>IFERROR(MATCH($C$2&amp;"|"&amp;198,TRANSACTIONS_MASTER!$AE$5:$AE$1204,0),"")</f>
        <v/>
      </c>
    </row>
    <row r="206">
      <c r="A206" s="81" t="str">
        <f>IF($Q206="","",199)</f>
        <v/>
      </c>
      <c r="B206" s="57" t="str">
        <f>IF($Q206="","",INDEX(TRANSACTIONS_MASTER!$B$5:$B$1204,$Q206))</f>
        <v/>
      </c>
      <c r="C206" s="55" t="str">
        <f>IF($Q206="","",INDEX(TRANSACTIONS_MASTER!$F$5:$F$1204,$Q206))</f>
        <v/>
      </c>
      <c r="D206" s="55" t="str">
        <f>IF($Q206="","",INDEX(TRANSACTIONS_MASTER!$E$5:$E$1204,$Q206))</f>
        <v/>
      </c>
      <c r="E206" s="55" t="str">
        <f>IF($Q206="","",INDEX(TRANSACTIONS_MASTER!$G$5:$G$1204,$Q206)&amp;"")</f>
        <v/>
      </c>
      <c r="F206" s="29" t="str">
        <f>IF($Q206="","",INDEX(TRANSACTIONS_MASTER!$I$5:$I$1204,$Q206))</f>
        <v/>
      </c>
      <c r="G206" s="55" t="str">
        <f>IF($Q206="","",INDEX(TRANSACTIONS_MASTER!$K$5:$K$1204,$Q206))</f>
        <v/>
      </c>
      <c r="H206" s="25" t="str">
        <f>IF($Q206="","",INDEX(TRANSACTIONS_MASTER!$L$5:$L$1204,$Q206))</f>
        <v/>
      </c>
      <c r="I206" s="56" t="str">
        <f>IF($Q206="","",INDEX(TRANSACTIONS_MASTER!$N$5:$N$1204,$Q206))</f>
        <v/>
      </c>
      <c r="J206" s="25" t="str">
        <f>IF($Q206="","",INDEX(TRANSACTIONS_MASTER!$O$5:$O$1204,$Q206))</f>
        <v/>
      </c>
      <c r="K206" s="26" t="str">
        <f>IF($Q206="","",INDEX(TRANSACTIONS_MASTER!$Q$5:$Q$1204,$Q206))</f>
        <v/>
      </c>
      <c r="L206" s="25" t="str">
        <f>IF($Q206="","",INDEX(TRANSACTIONS_MASTER!$P$5:$P$1204,$Q206))</f>
        <v/>
      </c>
      <c r="M206" s="25" t="str">
        <f>IF($Q206="","",INDEX(TRANSACTIONS_MASTER!$AA$5:$AA$1204,$Q206))</f>
        <v/>
      </c>
      <c r="N206" s="25" t="str">
        <f>IF($Q206="","",INDEX(TRANSACTIONS_MASTER!$R$5:$R$1204,$Q206))</f>
        <v/>
      </c>
      <c r="O206" s="28" t="str">
        <f>IF($Q206="","",INDEX(TRANSACTIONS_MASTER!$AB$5:$AB$1204,$Q206))</f>
        <v/>
      </c>
      <c r="P206" s="55" t="str">
        <f>IF($Q206="","",INDEX(TRANSACTIONS_MASTER!$Z$5:$Z$1204,$Q206)&amp;"")</f>
        <v/>
      </c>
      <c r="Q206" s="67" t="str">
        <f>IFERROR(MATCH($C$2&amp;"|"&amp;199,TRANSACTIONS_MASTER!$AE$5:$AE$1204,0),"")</f>
        <v/>
      </c>
    </row>
    <row r="207">
      <c r="A207" s="81" t="str">
        <f>IF($Q207="","",200)</f>
        <v/>
      </c>
      <c r="B207" s="57" t="str">
        <f>IF($Q207="","",INDEX(TRANSACTIONS_MASTER!$B$5:$B$1204,$Q207))</f>
        <v/>
      </c>
      <c r="C207" s="55" t="str">
        <f>IF($Q207="","",INDEX(TRANSACTIONS_MASTER!$F$5:$F$1204,$Q207))</f>
        <v/>
      </c>
      <c r="D207" s="55" t="str">
        <f>IF($Q207="","",INDEX(TRANSACTIONS_MASTER!$E$5:$E$1204,$Q207))</f>
        <v/>
      </c>
      <c r="E207" s="55" t="str">
        <f>IF($Q207="","",INDEX(TRANSACTIONS_MASTER!$G$5:$G$1204,$Q207)&amp;"")</f>
        <v/>
      </c>
      <c r="F207" s="29" t="str">
        <f>IF($Q207="","",INDEX(TRANSACTIONS_MASTER!$I$5:$I$1204,$Q207))</f>
        <v/>
      </c>
      <c r="G207" s="55" t="str">
        <f>IF($Q207="","",INDEX(TRANSACTIONS_MASTER!$K$5:$K$1204,$Q207))</f>
        <v/>
      </c>
      <c r="H207" s="25" t="str">
        <f>IF($Q207="","",INDEX(TRANSACTIONS_MASTER!$L$5:$L$1204,$Q207))</f>
        <v/>
      </c>
      <c r="I207" s="56" t="str">
        <f>IF($Q207="","",INDEX(TRANSACTIONS_MASTER!$N$5:$N$1204,$Q207))</f>
        <v/>
      </c>
      <c r="J207" s="25" t="str">
        <f>IF($Q207="","",INDEX(TRANSACTIONS_MASTER!$O$5:$O$1204,$Q207))</f>
        <v/>
      </c>
      <c r="K207" s="26" t="str">
        <f>IF($Q207="","",INDEX(TRANSACTIONS_MASTER!$Q$5:$Q$1204,$Q207))</f>
        <v/>
      </c>
      <c r="L207" s="25" t="str">
        <f>IF($Q207="","",INDEX(TRANSACTIONS_MASTER!$P$5:$P$1204,$Q207))</f>
        <v/>
      </c>
      <c r="M207" s="25" t="str">
        <f>IF($Q207="","",INDEX(TRANSACTIONS_MASTER!$AA$5:$AA$1204,$Q207))</f>
        <v/>
      </c>
      <c r="N207" s="25" t="str">
        <f>IF($Q207="","",INDEX(TRANSACTIONS_MASTER!$R$5:$R$1204,$Q207))</f>
        <v/>
      </c>
      <c r="O207" s="28" t="str">
        <f>IF($Q207="","",INDEX(TRANSACTIONS_MASTER!$AB$5:$AB$1204,$Q207))</f>
        <v/>
      </c>
      <c r="P207" s="55" t="str">
        <f>IF($Q207="","",INDEX(TRANSACTIONS_MASTER!$Z$5:$Z$1204,$Q207)&amp;"")</f>
        <v/>
      </c>
      <c r="Q207" s="67" t="str">
        <f>IFERROR(MATCH($C$2&amp;"|"&amp;200,TRANSACTIONS_MASTER!$AE$5:$AE$1204,0),"")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autoFilter ref="A7:P207"/>
  <mergeCells count="14">
    <mergeCell ref="I4:J4"/>
    <mergeCell ref="T3:W3"/>
    <mergeCell ref="B3:C3"/>
    <mergeCell ref="T4:W4"/>
    <mergeCell ref="M4:O4"/>
    <mergeCell ref="M3:O3"/>
    <mergeCell ref="F4:H4"/>
    <mergeCell ref="D4:E4"/>
    <mergeCell ref="K4:L4"/>
    <mergeCell ref="F3:H3"/>
    <mergeCell ref="D3:E3"/>
    <mergeCell ref="B4:C4"/>
    <mergeCell ref="K3:L3"/>
    <mergeCell ref="I3:J3"/>
  </mergeCells>
  <conditionalFormatting sqref="AA8:AA57">
    <cfRule type="dataBar" priority="1">
      <dataBar showValue="1">
        <cfvo type="num" val="0"/>
        <cfvo type="num" val="1"/>
        <color rgb="00F2A1BF"/>
      </dataBar>
    </cfRule>
    <cfRule type="expression" priority="2" dxfId="8">
      <formula>AND(ISNUMBER(AA8),AA8&gt;=1)</formula>
    </cfRule>
  </conditionalFormatting>
  <conditionalFormatting sqref="Z8:Z57">
    <cfRule type="cellIs" priority="3" operator="equal" dxfId="1">
      <formula>0</formula>
    </cfRule>
  </conditionalFormatting>
  <conditionalFormatting sqref="Z62:Z91">
    <cfRule type="dataBar" priority="4">
      <dataBar showValue="1">
        <cfvo type="num" val="0"/>
        <cfvo type="num" val="1"/>
        <color rgb="00F2A1BF"/>
      </dataBar>
    </cfRule>
    <cfRule type="expression" priority="5" dxfId="8">
      <formula>AND(ISNUMBER(Z62),Z62&gt;=1)</formula>
    </cfRule>
  </conditionalFormatting>
  <conditionalFormatting sqref="Y62:Y91">
    <cfRule type="cellIs" priority="6" operator="equal" dxfId="1">
      <formula>0</formula>
    </cfRule>
  </conditionalFormatting>
  <conditionalFormatting sqref="A8:P207">
    <cfRule type="expression" priority="7" dxfId="5" stopIfTrue="0">
      <formula>MOD(ROW(),2)=0</formula>
    </cfRule>
  </conditionalFormatting>
  <conditionalFormatting sqref="O8:O207">
    <cfRule type="cellIs" priority="8" operator="equal" dxfId="3">
      <formula>"Được hoàn"</formula>
    </cfRule>
    <cfRule type="cellIs" priority="9" operator="equal" dxfId="2">
      <formula>"Hoàn một phần"</formula>
    </cfRule>
    <cfRule type="cellIs" priority="10" operator="equal" dxfId="1">
      <formula>"Đã đạt cap"</formula>
    </cfRule>
    <cfRule type="cellIs" priority="11" operator="equal" dxfId="4">
      <formula>"Không được hoàn"</formula>
    </cfRule>
    <cfRule type="cellIs" priority="12" operator="equal" dxfId="0">
      <formula>"Đã hủy"</formula>
    </cfRule>
  </conditionalFormatting>
  <conditionalFormatting sqref="K8:K207">
    <cfRule type="expression" priority="13" dxfId="7">
      <formula>AND(ISNUMBER($K8),$K8&gt;0)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F8C8DC"/>
    <outlinePr summaryBelow="1" summaryRight="1"/>
    <pageSetUpPr/>
  </sheetPr>
  <dimension ref="A1:AA20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13" customWidth="1" min="4" max="4"/>
    <col width="22" customWidth="1" min="5" max="5"/>
    <col width="8" customWidth="1" min="6" max="6"/>
    <col width="17" customWidth="1" min="7" max="7"/>
    <col width="14" customWidth="1" min="8" max="8"/>
    <col width="10" customWidth="1" min="9" max="9"/>
    <col width="15" customWidth="1" min="10" max="10"/>
    <col width="15" customWidth="1" min="11" max="11"/>
    <col width="14" customWidth="1" min="12" max="12"/>
    <col width="14" customWidth="1" min="13" max="13"/>
    <col width="15" customWidth="1" min="14" max="14"/>
    <col width="16" customWidth="1" min="15" max="15"/>
    <col width="14" customWidth="1" min="16" max="16"/>
    <col width="3" customWidth="1" min="17" max="17"/>
    <col width="3" customWidth="1" min="18" max="18"/>
    <col width="4" customWidth="1" min="19" max="19"/>
    <col width="12" customWidth="1" min="20" max="20"/>
    <col width="30" customWidth="1" min="21" max="21"/>
    <col width="15" customWidth="1" min="22" max="22"/>
    <col width="17" customWidth="1" min="23" max="23"/>
    <col width="15" customWidth="1" min="24" max="24"/>
    <col width="15" customWidth="1" min="25" max="25"/>
    <col width="15" customWidth="1" min="26" max="26"/>
    <col width="12" customWidth="1" min="27" max="27"/>
  </cols>
  <sheetData>
    <row r="1" ht="28" customHeight="1">
      <c r="B1" s="70" t="str">
        <f>"THÁNG "&amp;MOD($C$2,100)&amp;"/"&amp;INT($C$2/100)&amp;"   ♥"</f>
        <v>THÁNG 7/2026   ♥</v>
      </c>
    </row>
    <row r="2" ht="20" customHeight="1">
      <c r="B2" s="71" t="inlineStr">
        <is>
          <t>Mã tháng</t>
        </is>
      </c>
      <c r="C2" s="72" t="n">
        <v>202607</v>
      </c>
      <c r="E2" s="66" t="str">
        <f>HYPERLINK("#Dashboard!A1","← Dashboard")</f>
        <v>← Dashboard</v>
      </c>
      <c r="G2" s="66" t="str">
        <f>HYPERLINK("#TRANSACTIONS_MASTER!A1","Giao dịch (nhập ở đây) →")</f>
        <v>Giao dịch (nhập ở đây) →</v>
      </c>
      <c r="J2" s="66" t="str">
        <f>HYPERLINK("#'2026-07'!S6","Cap &amp; thẻ →")</f>
        <v>Cap &amp; thẻ →</v>
      </c>
      <c r="L2" s="66" t="str">
        <f>HYPERLINK("#'2026-07'!S95","Phân tích →")</f>
        <v>Phân tích →</v>
      </c>
      <c r="N2" s="66" t="str">
        <f>HYPERLINK("#'2026-07'!A1","↑ Đầu trang")</f>
        <v>↑ Đầu trang</v>
      </c>
      <c r="O2" s="73" t="inlineStr">
        <is>
          <t>Sheet này là bản xem tự động — nhập giao dịch ở TRANSACTIONS_MASTER</t>
        </is>
      </c>
    </row>
    <row r="3" ht="17" customHeight="1">
      <c r="B3" s="74" t="inlineStr">
        <is>
          <t>💰 Tổng chi tiêu</t>
        </is>
      </c>
      <c r="C3" s="75" t="n"/>
      <c r="D3" s="74" t="inlineStr">
        <is>
          <t>★ Tổng cashback (thực nhận)</t>
        </is>
      </c>
      <c r="E3" s="75" t="n"/>
      <c r="F3" s="74" t="inlineStr">
        <is>
          <t>Cashback còn có thể nhận</t>
        </is>
      </c>
      <c r="G3" s="75" t="n"/>
      <c r="H3" s="75" t="n"/>
      <c r="I3" s="74" t="inlineStr">
        <is>
          <t>Số giao dịch</t>
        </is>
      </c>
      <c r="J3" s="75" t="n"/>
      <c r="K3" s="74" t="inlineStr">
        <is>
          <t>Số thẻ sử dụng</t>
        </is>
      </c>
      <c r="L3" s="75" t="n"/>
      <c r="M3" s="74" t="inlineStr">
        <is>
          <t>Thẻ có cashback cao nhất</t>
        </is>
      </c>
      <c r="N3" s="75" t="n"/>
      <c r="O3" s="75" t="n"/>
      <c r="T3" s="74" t="inlineStr">
        <is>
          <t>Danh mục chi tiêu nhiều nhất</t>
        </is>
      </c>
      <c r="U3" s="75" t="n"/>
      <c r="V3" s="75" t="n"/>
      <c r="W3" s="75" t="n"/>
    </row>
    <row r="4" ht="30" customHeight="1">
      <c r="B4" s="76">
        <f>SUMIFS(TRANSACTIONS_MASTER!$L$5:$L$1204,TRANSACTIONS_MASTER!$C$5:$C$1204,$C$2,TRANSACTIONS_MASTER!$U$5:$U$1204,"&lt;&gt;Cancelled")</f>
        <v>0</v>
      </c>
      <c r="C4" s="77" t="n"/>
      <c r="D4" s="76">
        <f>SUMIFS(TRANSACTIONS_MASTER!$Q$5:$Q$1204,TRANSACTIONS_MASTER!$C$5:$C$1204,$C$2)</f>
        <v>0</v>
      </c>
      <c r="E4" s="77" t="n"/>
      <c r="F4" s="76">
        <f>SUM($Y$62:$Y$91)</f>
        <v>4500000</v>
      </c>
      <c r="G4" s="77" t="n"/>
      <c r="H4" s="77" t="n"/>
      <c r="I4" s="78">
        <f>COUNTIFS(TRANSACTIONS_MASTER!$C$5:$C$1204,$C$2,TRANSACTIONS_MASTER!$U$5:$U$1204,"&lt;&gt;Cancelled")</f>
        <v>0</v>
      </c>
      <c r="J4" s="77" t="n"/>
      <c r="K4" s="78">
        <f>COUNTIF($AA$62:$AA$91,"&gt;0")</f>
        <v>0</v>
      </c>
      <c r="L4" s="77" t="n"/>
      <c r="M4" s="79" t="str">
        <f>IF(MAX($W$62:$W$91)&gt;0,INDEX($U$62:$U$91,MATCH(MAX($W$62:$W$91),$W$62:$W$91,0)),"—")</f>
        <v>—</v>
      </c>
      <c r="N4" s="77" t="n"/>
      <c r="O4" s="77" t="n"/>
      <c r="T4" s="79" t="str">
        <f>IF(MAX($V$117:$V$131)&gt;0,INDEX($U$117:$U$131,MATCH(MAX($V$117:$V$131),$V$117:$V$131,0)),"—")</f>
        <v>—</v>
      </c>
      <c r="U4" s="77" t="n"/>
      <c r="V4" s="77" t="n"/>
      <c r="W4" s="77" t="n"/>
    </row>
    <row r="5" ht="6" customHeight="1"/>
    <row r="6" ht="22" customHeight="1">
      <c r="A6" s="19" t="inlineStr">
        <is>
          <t>GIAO DỊCH TRONG THÁNG</t>
        </is>
      </c>
      <c r="B6" s="20" t="n"/>
      <c r="C6" s="20" t="n"/>
      <c r="D6" s="20" t="n"/>
      <c r="E6" s="20" t="n"/>
      <c r="F6" s="20" t="n"/>
      <c r="G6" s="20" t="n"/>
      <c r="H6" s="80" t="str">
        <f>IF(COUNTIFS(TRANSACTIONS_MASTER!$C$5:$C$1204,$C$2)&gt;200,"⚠ Còn "&amp;(COUNTIFS(TRANSACTIONS_MASTER!$C$5:$C$1204,$C$2)-200)&amp;" giao dịch chưa hiển thị — xem TRANSACTIONS_MASTER","")</f>
        <v/>
      </c>
      <c r="I6" s="20" t="n"/>
      <c r="J6" s="20" t="n"/>
      <c r="K6" s="20" t="n"/>
      <c r="L6" s="20" t="n"/>
      <c r="M6" s="20" t="n"/>
      <c r="N6" s="20" t="n"/>
      <c r="O6" s="20" t="n"/>
      <c r="P6" s="20" t="n"/>
      <c r="T6" s="19" t="inlineStr">
        <is>
          <t>THEO DÕI CAP — TỪNG NHÓM CASHBACK (progress bar)</t>
        </is>
      </c>
      <c r="U6" s="20" t="n"/>
      <c r="V6" s="20" t="n"/>
      <c r="W6" s="20" t="n"/>
      <c r="X6" s="20" t="n"/>
      <c r="Y6" s="20" t="n"/>
      <c r="Z6" s="20" t="n"/>
      <c r="AA6" s="20" t="n"/>
    </row>
    <row r="7" ht="30" customHeight="1">
      <c r="A7" s="21" t="inlineStr">
        <is>
          <t>#</t>
        </is>
      </c>
      <c r="B7" s="21" t="inlineStr">
        <is>
          <t>Ngày</t>
        </is>
      </c>
      <c r="C7" s="21" t="inlineStr">
        <is>
          <t>Thẻ</t>
        </is>
      </c>
      <c r="D7" s="21" t="inlineStr">
        <is>
          <t>Ngân hàng</t>
        </is>
      </c>
      <c r="E7" s="21" t="inlineStr">
        <is>
          <t>Merchant</t>
        </is>
      </c>
      <c r="F7" s="21" t="inlineStr">
        <is>
          <t>MCC</t>
        </is>
      </c>
      <c r="G7" s="21" t="inlineStr">
        <is>
          <t>Danh mục</t>
        </is>
      </c>
      <c r="H7" s="21" t="inlineStr">
        <is>
          <t>Số tiền</t>
        </is>
      </c>
      <c r="I7" s="21" t="inlineStr">
        <is>
          <t>Cashback %</t>
        </is>
      </c>
      <c r="J7" s="21" t="inlineStr">
        <is>
          <t>Cashback tính toán</t>
        </is>
      </c>
      <c r="K7" s="21" t="inlineStr">
        <is>
          <t>Cashback thực nhận</t>
        </is>
      </c>
      <c r="L7" s="21" t="inlineStr">
        <is>
          <t>Cap danh mục</t>
        </is>
      </c>
      <c r="M7" s="21" t="inlineStr">
        <is>
          <t>Cap thẻ</t>
        </is>
      </c>
      <c r="N7" s="21" t="inlineStr">
        <is>
          <t>Cashback còn lại</t>
        </is>
      </c>
      <c r="O7" s="21" t="inlineStr">
        <is>
          <t>Trạng thái hoàn</t>
        </is>
      </c>
      <c r="P7" s="21" t="inlineStr">
        <is>
          <t>Nhóm cashback</t>
        </is>
      </c>
      <c r="Q7" s="21" t="inlineStr">
        <is>
          <t>⚙</t>
        </is>
      </c>
      <c r="S7" s="21" t="inlineStr">
        <is>
          <t>#</t>
        </is>
      </c>
      <c r="T7" s="21" t="inlineStr">
        <is>
          <t>Card ID</t>
        </is>
      </c>
      <c r="U7" s="21" t="inlineStr">
        <is>
          <t>Thẻ</t>
        </is>
      </c>
      <c r="V7" s="21" t="inlineStr">
        <is>
          <t>Nhóm</t>
        </is>
      </c>
      <c r="W7" s="21" t="inlineStr">
        <is>
          <t>Danh mục</t>
        </is>
      </c>
      <c r="X7" s="21" t="inlineStr">
        <is>
          <t>Đã cashback</t>
        </is>
      </c>
      <c r="Y7" s="21" t="inlineStr">
        <is>
          <t>Cap nhóm</t>
        </is>
      </c>
      <c r="Z7" s="21" t="inlineStr">
        <is>
          <t>Còn lại</t>
        </is>
      </c>
      <c r="AA7" s="21" t="inlineStr">
        <is>
          <t>Progress</t>
        </is>
      </c>
    </row>
    <row r="8" ht="20" customHeight="1">
      <c r="A8" s="81" t="str">
        <f>IF($Q8="","",1)</f>
        <v/>
      </c>
      <c r="B8" s="57" t="str">
        <f>IF($Q8="","",INDEX(TRANSACTIONS_MASTER!$B$5:$B$1204,$Q8))</f>
        <v/>
      </c>
      <c r="C8" s="55" t="str">
        <f>IF($Q8="","",INDEX(TRANSACTIONS_MASTER!$F$5:$F$1204,$Q8))</f>
        <v/>
      </c>
      <c r="D8" s="55" t="str">
        <f>IF($Q8="","",INDEX(TRANSACTIONS_MASTER!$E$5:$E$1204,$Q8))</f>
        <v/>
      </c>
      <c r="E8" s="55" t="str">
        <f>IF($Q8="","",INDEX(TRANSACTIONS_MASTER!$G$5:$G$1204,$Q8)&amp;"")</f>
        <v/>
      </c>
      <c r="F8" s="29" t="str">
        <f>IF($Q8="","",INDEX(TRANSACTIONS_MASTER!$I$5:$I$1204,$Q8))</f>
        <v/>
      </c>
      <c r="G8" s="55" t="str">
        <f>IF($Q8="","",INDEX(TRANSACTIONS_MASTER!$K$5:$K$1204,$Q8))</f>
        <v/>
      </c>
      <c r="H8" s="25" t="str">
        <f>IF($Q8="","",INDEX(TRANSACTIONS_MASTER!$L$5:$L$1204,$Q8))</f>
        <v/>
      </c>
      <c r="I8" s="56" t="str">
        <f>IF($Q8="","",INDEX(TRANSACTIONS_MASTER!$N$5:$N$1204,$Q8))</f>
        <v/>
      </c>
      <c r="J8" s="25" t="str">
        <f>IF($Q8="","",INDEX(TRANSACTIONS_MASTER!$O$5:$O$1204,$Q8))</f>
        <v/>
      </c>
      <c r="K8" s="26" t="str">
        <f>IF($Q8="","",INDEX(TRANSACTIONS_MASTER!$Q$5:$Q$1204,$Q8))</f>
        <v/>
      </c>
      <c r="L8" s="25" t="str">
        <f>IF($Q8="","",INDEX(TRANSACTIONS_MASTER!$P$5:$P$1204,$Q8))</f>
        <v/>
      </c>
      <c r="M8" s="25" t="str">
        <f>IF($Q8="","",INDEX(TRANSACTIONS_MASTER!$AA$5:$AA$1204,$Q8))</f>
        <v/>
      </c>
      <c r="N8" s="25" t="str">
        <f>IF($Q8="","",INDEX(TRANSACTIONS_MASTER!$R$5:$R$1204,$Q8))</f>
        <v/>
      </c>
      <c r="O8" s="28" t="str">
        <f>IF($Q8="","",INDEX(TRANSACTIONS_MASTER!$AB$5:$AB$1204,$Q8))</f>
        <v/>
      </c>
      <c r="P8" s="55" t="str">
        <f>IF($Q8="","",INDEX(TRANSACTIONS_MASTER!$Z$5:$Z$1204,$Q8)&amp;"")</f>
        <v/>
      </c>
      <c r="Q8" s="67" t="str">
        <f>IFERROR(MATCH($C$2&amp;"|"&amp;1,TRANSACTIONS_MASTER!$AE$5:$AE$1204,0),"")</f>
        <v/>
      </c>
      <c r="S8" s="67">
        <f>IFERROR(MATCH(1,CASHBACK_RULES!$S$5:$S$304,0),"")</f>
        <v>1</v>
      </c>
      <c r="T8" s="55" t="str">
        <f>IF($S8="","",INDEX(CASHBACK_RULES!$B$5:$B$304,$S8))</f>
        <v>VPB-JCBZ</v>
      </c>
      <c r="U8" s="55" t="str">
        <f>IF($S8="","",INDEX(CASHBACK_RULES!$C$5:$C$304,$S8)&amp;" "&amp;INDEX(CASHBACK_RULES!$D$5:$D$304,$S8))</f>
        <v>VPBank JCB Z Card</v>
      </c>
      <c r="V8" s="55" t="str">
        <f>IF($S8="","",INDEX(CASHBACK_RULES!$E$5:$E$304,$S8)&amp;"")</f>
        <v>Group 1</v>
      </c>
      <c r="W8" s="55" t="str">
        <f>IF($S8="","",INDEX(CASHBACK_RULES!$F$5:$F$304,$S8)&amp;"")</f>
        <v>Dining</v>
      </c>
      <c r="X8" s="26">
        <f>IF($S8="","",SUMIFS(TRANSACTIONS_MASTER!$Q$5:$Q$1204,TRANSACTIONS_MASTER!$D$5:$D$1204,$T8,TRANSACTIONS_MASTER!$Z$5:$Z$1204,$V8,TRANSACTIONS_MASTER!$C$5:$C$1204,$C$2))</f>
        <v>0</v>
      </c>
      <c r="Y8" s="25">
        <f>IF($S8="","",IF(ISNUMBER(INDEX(CASHBACK_RULES!$J$5:$J$304,$S8)),INDEX(CASHBACK_RULES!$J$5:$J$304,$S8),"∞"))</f>
        <v>500000</v>
      </c>
      <c r="Z8" s="25">
        <f>IF($S8="","",IF(ISNUMBER($Y8),MAX(0,$Y8-$X8),"∞"))</f>
        <v>500000</v>
      </c>
      <c r="AA8" s="27">
        <f>IF($S8="","",IF(ISNUMBER($Y8),IF($Y8=0,0,$X8/$Y8),""))</f>
        <v>0</v>
      </c>
    </row>
    <row r="9" ht="20" customHeight="1">
      <c r="A9" s="81" t="str">
        <f>IF($Q9="","",2)</f>
        <v/>
      </c>
      <c r="B9" s="57" t="str">
        <f>IF($Q9="","",INDEX(TRANSACTIONS_MASTER!$B$5:$B$1204,$Q9))</f>
        <v/>
      </c>
      <c r="C9" s="55" t="str">
        <f>IF($Q9="","",INDEX(TRANSACTIONS_MASTER!$F$5:$F$1204,$Q9))</f>
        <v/>
      </c>
      <c r="D9" s="55" t="str">
        <f>IF($Q9="","",INDEX(TRANSACTIONS_MASTER!$E$5:$E$1204,$Q9))</f>
        <v/>
      </c>
      <c r="E9" s="55" t="str">
        <f>IF($Q9="","",INDEX(TRANSACTIONS_MASTER!$G$5:$G$1204,$Q9)&amp;"")</f>
        <v/>
      </c>
      <c r="F9" s="29" t="str">
        <f>IF($Q9="","",INDEX(TRANSACTIONS_MASTER!$I$5:$I$1204,$Q9))</f>
        <v/>
      </c>
      <c r="G9" s="55" t="str">
        <f>IF($Q9="","",INDEX(TRANSACTIONS_MASTER!$K$5:$K$1204,$Q9))</f>
        <v/>
      </c>
      <c r="H9" s="25" t="str">
        <f>IF($Q9="","",INDEX(TRANSACTIONS_MASTER!$L$5:$L$1204,$Q9))</f>
        <v/>
      </c>
      <c r="I9" s="56" t="str">
        <f>IF($Q9="","",INDEX(TRANSACTIONS_MASTER!$N$5:$N$1204,$Q9))</f>
        <v/>
      </c>
      <c r="J9" s="25" t="str">
        <f>IF($Q9="","",INDEX(TRANSACTIONS_MASTER!$O$5:$O$1204,$Q9))</f>
        <v/>
      </c>
      <c r="K9" s="26" t="str">
        <f>IF($Q9="","",INDEX(TRANSACTIONS_MASTER!$Q$5:$Q$1204,$Q9))</f>
        <v/>
      </c>
      <c r="L9" s="25" t="str">
        <f>IF($Q9="","",INDEX(TRANSACTIONS_MASTER!$P$5:$P$1204,$Q9))</f>
        <v/>
      </c>
      <c r="M9" s="25" t="str">
        <f>IF($Q9="","",INDEX(TRANSACTIONS_MASTER!$AA$5:$AA$1204,$Q9))</f>
        <v/>
      </c>
      <c r="N9" s="25" t="str">
        <f>IF($Q9="","",INDEX(TRANSACTIONS_MASTER!$R$5:$R$1204,$Q9))</f>
        <v/>
      </c>
      <c r="O9" s="28" t="str">
        <f>IF($Q9="","",INDEX(TRANSACTIONS_MASTER!$AB$5:$AB$1204,$Q9))</f>
        <v/>
      </c>
      <c r="P9" s="55" t="str">
        <f>IF($Q9="","",INDEX(TRANSACTIONS_MASTER!$Z$5:$Z$1204,$Q9)&amp;"")</f>
        <v/>
      </c>
      <c r="Q9" s="67" t="str">
        <f>IFERROR(MATCH($C$2&amp;"|"&amp;2,TRANSACTIONS_MASTER!$AE$5:$AE$1204,0),"")</f>
        <v/>
      </c>
      <c r="S9" s="67">
        <f>IFERROR(MATCH(2,CASHBACK_RULES!$S$5:$S$304,0),"")</f>
        <v>5</v>
      </c>
      <c r="T9" s="55" t="str">
        <f>IF($S9="","",INDEX(CASHBACK_RULES!$B$5:$B$304,$S9))</f>
        <v>VPB-JCBZ</v>
      </c>
      <c r="U9" s="55" t="str">
        <f>IF($S9="","",INDEX(CASHBACK_RULES!$C$5:$C$304,$S9)&amp;" "&amp;INDEX(CASHBACK_RULES!$D$5:$D$304,$S9))</f>
        <v>VPBank JCB Z Card</v>
      </c>
      <c r="V9" s="55" t="str">
        <f>IF($S9="","",INDEX(CASHBACK_RULES!$E$5:$E$304,$S9)&amp;"")</f>
        <v>Group 2</v>
      </c>
      <c r="W9" s="55" t="str">
        <f>IF($S9="","",INDEX(CASHBACK_RULES!$F$5:$F$304,$S9)&amp;"")</f>
        <v>Entertainment / Fitness</v>
      </c>
      <c r="X9" s="26">
        <f>IF($S9="","",SUMIFS(TRANSACTIONS_MASTER!$Q$5:$Q$1204,TRANSACTIONS_MASTER!$D$5:$D$1204,$T9,TRANSACTIONS_MASTER!$Z$5:$Z$1204,$V9,TRANSACTIONS_MASTER!$C$5:$C$1204,$C$2))</f>
        <v>0</v>
      </c>
      <c r="Y9" s="25">
        <f>IF($S9="","",IF(ISNUMBER(INDEX(CASHBACK_RULES!$J$5:$J$304,$S9)),INDEX(CASHBACK_RULES!$J$5:$J$304,$S9),"∞"))</f>
        <v>500000</v>
      </c>
      <c r="Z9" s="25">
        <f>IF($S9="","",IF(ISNUMBER($Y9),MAX(0,$Y9-$X9),"∞"))</f>
        <v>500000</v>
      </c>
      <c r="AA9" s="27">
        <f>IF($S9="","",IF(ISNUMBER($Y9),IF($Y9=0,0,$X9/$Y9),""))</f>
        <v>0</v>
      </c>
    </row>
    <row r="10" ht="20" customHeight="1">
      <c r="A10" s="81" t="str">
        <f>IF($Q10="","",3)</f>
        <v/>
      </c>
      <c r="B10" s="57" t="str">
        <f>IF($Q10="","",INDEX(TRANSACTIONS_MASTER!$B$5:$B$1204,$Q10))</f>
        <v/>
      </c>
      <c r="C10" s="55" t="str">
        <f>IF($Q10="","",INDEX(TRANSACTIONS_MASTER!$F$5:$F$1204,$Q10))</f>
        <v/>
      </c>
      <c r="D10" s="55" t="str">
        <f>IF($Q10="","",INDEX(TRANSACTIONS_MASTER!$E$5:$E$1204,$Q10))</f>
        <v/>
      </c>
      <c r="E10" s="55" t="str">
        <f>IF($Q10="","",INDEX(TRANSACTIONS_MASTER!$G$5:$G$1204,$Q10)&amp;"")</f>
        <v/>
      </c>
      <c r="F10" s="29" t="str">
        <f>IF($Q10="","",INDEX(TRANSACTIONS_MASTER!$I$5:$I$1204,$Q10))</f>
        <v/>
      </c>
      <c r="G10" s="55" t="str">
        <f>IF($Q10="","",INDEX(TRANSACTIONS_MASTER!$K$5:$K$1204,$Q10))</f>
        <v/>
      </c>
      <c r="H10" s="25" t="str">
        <f>IF($Q10="","",INDEX(TRANSACTIONS_MASTER!$L$5:$L$1204,$Q10))</f>
        <v/>
      </c>
      <c r="I10" s="56" t="str">
        <f>IF($Q10="","",INDEX(TRANSACTIONS_MASTER!$N$5:$N$1204,$Q10))</f>
        <v/>
      </c>
      <c r="J10" s="25" t="str">
        <f>IF($Q10="","",INDEX(TRANSACTIONS_MASTER!$O$5:$O$1204,$Q10))</f>
        <v/>
      </c>
      <c r="K10" s="26" t="str">
        <f>IF($Q10="","",INDEX(TRANSACTIONS_MASTER!$Q$5:$Q$1204,$Q10))</f>
        <v/>
      </c>
      <c r="L10" s="25" t="str">
        <f>IF($Q10="","",INDEX(TRANSACTIONS_MASTER!$P$5:$P$1204,$Q10))</f>
        <v/>
      </c>
      <c r="M10" s="25" t="str">
        <f>IF($Q10="","",INDEX(TRANSACTIONS_MASTER!$AA$5:$AA$1204,$Q10))</f>
        <v/>
      </c>
      <c r="N10" s="25" t="str">
        <f>IF($Q10="","",INDEX(TRANSACTIONS_MASTER!$R$5:$R$1204,$Q10))</f>
        <v/>
      </c>
      <c r="O10" s="28" t="str">
        <f>IF($Q10="","",INDEX(TRANSACTIONS_MASTER!$AB$5:$AB$1204,$Q10))</f>
        <v/>
      </c>
      <c r="P10" s="55" t="str">
        <f>IF($Q10="","",INDEX(TRANSACTIONS_MASTER!$Z$5:$Z$1204,$Q10)&amp;"")</f>
        <v/>
      </c>
      <c r="Q10" s="67" t="str">
        <f>IFERROR(MATCH($C$2&amp;"|"&amp;3,TRANSACTIONS_MASTER!$AE$5:$AE$1204,0),"")</f>
        <v/>
      </c>
      <c r="S10" s="67">
        <f>IFERROR(MATCH(3,CASHBACK_RULES!$S$5:$S$304,0),"")</f>
        <v>9</v>
      </c>
      <c r="T10" s="55" t="str">
        <f>IF($S10="","",INDEX(CASHBACK_RULES!$B$5:$B$304,$S10))</f>
        <v>VPB-JCBZ</v>
      </c>
      <c r="U10" s="55" t="str">
        <f>IF($S10="","",INDEX(CASHBACK_RULES!$C$5:$C$304,$S10)&amp;" "&amp;INDEX(CASHBACK_RULES!$D$5:$D$304,$S10))</f>
        <v>VPBank JCB Z Card</v>
      </c>
      <c r="V10" s="55" t="str">
        <f>IF($S10="","",INDEX(CASHBACK_RULES!$E$5:$E$304,$S10)&amp;"")</f>
        <v>Group 3</v>
      </c>
      <c r="W10" s="55" t="str">
        <f>IF($S10="","",INDEX(CASHBACK_RULES!$F$5:$F$304,$S10)&amp;"")</f>
        <v>Transport / Food Delivery</v>
      </c>
      <c r="X10" s="26">
        <f>IF($S10="","",SUMIFS(TRANSACTIONS_MASTER!$Q$5:$Q$1204,TRANSACTIONS_MASTER!$D$5:$D$1204,$T10,TRANSACTIONS_MASTER!$Z$5:$Z$1204,$V10,TRANSACTIONS_MASTER!$C$5:$C$1204,$C$2))</f>
        <v>0</v>
      </c>
      <c r="Y10" s="25">
        <f>IF($S10="","",IF(ISNUMBER(INDEX(CASHBACK_RULES!$J$5:$J$304,$S10)),INDEX(CASHBACK_RULES!$J$5:$J$304,$S10),"∞"))</f>
        <v>500000</v>
      </c>
      <c r="Z10" s="25">
        <f>IF($S10="","",IF(ISNUMBER($Y10),MAX(0,$Y10-$X10),"∞"))</f>
        <v>500000</v>
      </c>
      <c r="AA10" s="27">
        <f>IF($S10="","",IF(ISNUMBER($Y10),IF($Y10=0,0,$X10/$Y10),""))</f>
        <v>0</v>
      </c>
    </row>
    <row r="11" ht="20" customHeight="1">
      <c r="A11" s="81" t="str">
        <f>IF($Q11="","",4)</f>
        <v/>
      </c>
      <c r="B11" s="57" t="str">
        <f>IF($Q11="","",INDEX(TRANSACTIONS_MASTER!$B$5:$B$1204,$Q11))</f>
        <v/>
      </c>
      <c r="C11" s="55" t="str">
        <f>IF($Q11="","",INDEX(TRANSACTIONS_MASTER!$F$5:$F$1204,$Q11))</f>
        <v/>
      </c>
      <c r="D11" s="55" t="str">
        <f>IF($Q11="","",INDEX(TRANSACTIONS_MASTER!$E$5:$E$1204,$Q11))</f>
        <v/>
      </c>
      <c r="E11" s="55" t="str">
        <f>IF($Q11="","",INDEX(TRANSACTIONS_MASTER!$G$5:$G$1204,$Q11)&amp;"")</f>
        <v/>
      </c>
      <c r="F11" s="29" t="str">
        <f>IF($Q11="","",INDEX(TRANSACTIONS_MASTER!$I$5:$I$1204,$Q11))</f>
        <v/>
      </c>
      <c r="G11" s="55" t="str">
        <f>IF($Q11="","",INDEX(TRANSACTIONS_MASTER!$K$5:$K$1204,$Q11))</f>
        <v/>
      </c>
      <c r="H11" s="25" t="str">
        <f>IF($Q11="","",INDEX(TRANSACTIONS_MASTER!$L$5:$L$1204,$Q11))</f>
        <v/>
      </c>
      <c r="I11" s="56" t="str">
        <f>IF($Q11="","",INDEX(TRANSACTIONS_MASTER!$N$5:$N$1204,$Q11))</f>
        <v/>
      </c>
      <c r="J11" s="25" t="str">
        <f>IF($Q11="","",INDEX(TRANSACTIONS_MASTER!$O$5:$O$1204,$Q11))</f>
        <v/>
      </c>
      <c r="K11" s="26" t="str">
        <f>IF($Q11="","",INDEX(TRANSACTIONS_MASTER!$Q$5:$Q$1204,$Q11))</f>
        <v/>
      </c>
      <c r="L11" s="25" t="str">
        <f>IF($Q11="","",INDEX(TRANSACTIONS_MASTER!$P$5:$P$1204,$Q11))</f>
        <v/>
      </c>
      <c r="M11" s="25" t="str">
        <f>IF($Q11="","",INDEX(TRANSACTIONS_MASTER!$AA$5:$AA$1204,$Q11))</f>
        <v/>
      </c>
      <c r="N11" s="25" t="str">
        <f>IF($Q11="","",INDEX(TRANSACTIONS_MASTER!$R$5:$R$1204,$Q11))</f>
        <v/>
      </c>
      <c r="O11" s="28" t="str">
        <f>IF($Q11="","",INDEX(TRANSACTIONS_MASTER!$AB$5:$AB$1204,$Q11))</f>
        <v/>
      </c>
      <c r="P11" s="55" t="str">
        <f>IF($Q11="","",INDEX(TRANSACTIONS_MASTER!$Z$5:$Z$1204,$Q11)&amp;"")</f>
        <v/>
      </c>
      <c r="Q11" s="67" t="str">
        <f>IFERROR(MATCH($C$2&amp;"|"&amp;4,TRANSACTIONS_MASTER!$AE$5:$AE$1204,0),"")</f>
        <v/>
      </c>
      <c r="S11" s="67">
        <f>IFERROR(MATCH(4,CASHBACK_RULES!$S$5:$S$304,0),"")</f>
        <v>11</v>
      </c>
      <c r="T11" s="55" t="str">
        <f>IF($S11="","",INDEX(CASHBACK_RULES!$B$5:$B$304,$S11))</f>
        <v>VIB-A</v>
      </c>
      <c r="U11" s="55" t="str">
        <f>IF($S11="","",INDEX(CASHBACK_RULES!$C$5:$C$304,$S11)&amp;" "&amp;INDEX(CASHBACK_RULES!$D$5:$D$304,$S11))</f>
        <v>VIB Cashback Demo A</v>
      </c>
      <c r="V11" s="55" t="str">
        <f>IF($S11="","",INDEX(CASHBACK_RULES!$E$5:$E$304,$S11)&amp;"")</f>
        <v>Group 1</v>
      </c>
      <c r="W11" s="55" t="str">
        <f>IF($S11="","",INDEX(CASHBACK_RULES!$F$5:$F$304,$S11)&amp;"")</f>
        <v>Groceries</v>
      </c>
      <c r="X11" s="26">
        <f>IF($S11="","",SUMIFS(TRANSACTIONS_MASTER!$Q$5:$Q$1204,TRANSACTIONS_MASTER!$D$5:$D$1204,$T11,TRANSACTIONS_MASTER!$Z$5:$Z$1204,$V11,TRANSACTIONS_MASTER!$C$5:$C$1204,$C$2))</f>
        <v>0</v>
      </c>
      <c r="Y11" s="25">
        <f>IF($S11="","",IF(ISNUMBER(INDEX(CASHBACK_RULES!$J$5:$J$304,$S11)),INDEX(CASHBACK_RULES!$J$5:$J$304,$S11),"∞"))</f>
        <v>500000</v>
      </c>
      <c r="Z11" s="25">
        <f>IF($S11="","",IF(ISNUMBER($Y11),MAX(0,$Y11-$X11),"∞"))</f>
        <v>500000</v>
      </c>
      <c r="AA11" s="27">
        <f>IF($S11="","",IF(ISNUMBER($Y11),IF($Y11=0,0,$X11/$Y11),""))</f>
        <v>0</v>
      </c>
    </row>
    <row r="12" ht="20" customHeight="1">
      <c r="A12" s="81" t="str">
        <f>IF($Q12="","",5)</f>
        <v/>
      </c>
      <c r="B12" s="57" t="str">
        <f>IF($Q12="","",INDEX(TRANSACTIONS_MASTER!$B$5:$B$1204,$Q12))</f>
        <v/>
      </c>
      <c r="C12" s="55" t="str">
        <f>IF($Q12="","",INDEX(TRANSACTIONS_MASTER!$F$5:$F$1204,$Q12))</f>
        <v/>
      </c>
      <c r="D12" s="55" t="str">
        <f>IF($Q12="","",INDEX(TRANSACTIONS_MASTER!$E$5:$E$1204,$Q12))</f>
        <v/>
      </c>
      <c r="E12" s="55" t="str">
        <f>IF($Q12="","",INDEX(TRANSACTIONS_MASTER!$G$5:$G$1204,$Q12)&amp;"")</f>
        <v/>
      </c>
      <c r="F12" s="29" t="str">
        <f>IF($Q12="","",INDEX(TRANSACTIONS_MASTER!$I$5:$I$1204,$Q12))</f>
        <v/>
      </c>
      <c r="G12" s="55" t="str">
        <f>IF($Q12="","",INDEX(TRANSACTIONS_MASTER!$K$5:$K$1204,$Q12))</f>
        <v/>
      </c>
      <c r="H12" s="25" t="str">
        <f>IF($Q12="","",INDEX(TRANSACTIONS_MASTER!$L$5:$L$1204,$Q12))</f>
        <v/>
      </c>
      <c r="I12" s="56" t="str">
        <f>IF($Q12="","",INDEX(TRANSACTIONS_MASTER!$N$5:$N$1204,$Q12))</f>
        <v/>
      </c>
      <c r="J12" s="25" t="str">
        <f>IF($Q12="","",INDEX(TRANSACTIONS_MASTER!$O$5:$O$1204,$Q12))</f>
        <v/>
      </c>
      <c r="K12" s="26" t="str">
        <f>IF($Q12="","",INDEX(TRANSACTIONS_MASTER!$Q$5:$Q$1204,$Q12))</f>
        <v/>
      </c>
      <c r="L12" s="25" t="str">
        <f>IF($Q12="","",INDEX(TRANSACTIONS_MASTER!$P$5:$P$1204,$Q12))</f>
        <v/>
      </c>
      <c r="M12" s="25" t="str">
        <f>IF($Q12="","",INDEX(TRANSACTIONS_MASTER!$AA$5:$AA$1204,$Q12))</f>
        <v/>
      </c>
      <c r="N12" s="25" t="str">
        <f>IF($Q12="","",INDEX(TRANSACTIONS_MASTER!$R$5:$R$1204,$Q12))</f>
        <v/>
      </c>
      <c r="O12" s="28" t="str">
        <f>IF($Q12="","",INDEX(TRANSACTIONS_MASTER!$AB$5:$AB$1204,$Q12))</f>
        <v/>
      </c>
      <c r="P12" s="55" t="str">
        <f>IF($Q12="","",INDEX(TRANSACTIONS_MASTER!$Z$5:$Z$1204,$Q12)&amp;"")</f>
        <v/>
      </c>
      <c r="Q12" s="67" t="str">
        <f>IFERROR(MATCH($C$2&amp;"|"&amp;5,TRANSACTIONS_MASTER!$AE$5:$AE$1204,0),"")</f>
        <v/>
      </c>
      <c r="S12" s="67">
        <f>IFERROR(MATCH(5,CASHBACK_RULES!$S$5:$S$304,0),"")</f>
        <v>13</v>
      </c>
      <c r="T12" s="55" t="str">
        <f>IF($S12="","",INDEX(CASHBACK_RULES!$B$5:$B$304,$S12))</f>
        <v>VIB-A</v>
      </c>
      <c r="U12" s="55" t="str">
        <f>IF($S12="","",INDEX(CASHBACK_RULES!$C$5:$C$304,$S12)&amp;" "&amp;INDEX(CASHBACK_RULES!$D$5:$D$304,$S12))</f>
        <v>VIB Cashback Demo A</v>
      </c>
      <c r="V12" s="55" t="str">
        <f>IF($S12="","",INDEX(CASHBACK_RULES!$E$5:$E$304,$S12)&amp;"")</f>
        <v>Group 2</v>
      </c>
      <c r="W12" s="55" t="str">
        <f>IF($S12="","",INDEX(CASHBACK_RULES!$F$5:$F$304,$S12)&amp;"")</f>
        <v>Shopping</v>
      </c>
      <c r="X12" s="26">
        <f>IF($S12="","",SUMIFS(TRANSACTIONS_MASTER!$Q$5:$Q$1204,TRANSACTIONS_MASTER!$D$5:$D$1204,$T12,TRANSACTIONS_MASTER!$Z$5:$Z$1204,$V12,TRANSACTIONS_MASTER!$C$5:$C$1204,$C$2))</f>
        <v>0</v>
      </c>
      <c r="Y12" s="25">
        <f>IF($S12="","",IF(ISNUMBER(INDEX(CASHBACK_RULES!$J$5:$J$304,$S12)),INDEX(CASHBACK_RULES!$J$5:$J$304,$S12),"∞"))</f>
        <v>500000</v>
      </c>
      <c r="Z12" s="25">
        <f>IF($S12="","",IF(ISNUMBER($Y12),MAX(0,$Y12-$X12),"∞"))</f>
        <v>500000</v>
      </c>
      <c r="AA12" s="27">
        <f>IF($S12="","",IF(ISNUMBER($Y12),IF($Y12=0,0,$X12/$Y12),""))</f>
        <v>0</v>
      </c>
    </row>
    <row r="13" ht="20" customHeight="1">
      <c r="A13" s="81" t="str">
        <f>IF($Q13="","",6)</f>
        <v/>
      </c>
      <c r="B13" s="57" t="str">
        <f>IF($Q13="","",INDEX(TRANSACTIONS_MASTER!$B$5:$B$1204,$Q13))</f>
        <v/>
      </c>
      <c r="C13" s="55" t="str">
        <f>IF($Q13="","",INDEX(TRANSACTIONS_MASTER!$F$5:$F$1204,$Q13))</f>
        <v/>
      </c>
      <c r="D13" s="55" t="str">
        <f>IF($Q13="","",INDEX(TRANSACTIONS_MASTER!$E$5:$E$1204,$Q13))</f>
        <v/>
      </c>
      <c r="E13" s="55" t="str">
        <f>IF($Q13="","",INDEX(TRANSACTIONS_MASTER!$G$5:$G$1204,$Q13)&amp;"")</f>
        <v/>
      </c>
      <c r="F13" s="29" t="str">
        <f>IF($Q13="","",INDEX(TRANSACTIONS_MASTER!$I$5:$I$1204,$Q13))</f>
        <v/>
      </c>
      <c r="G13" s="55" t="str">
        <f>IF($Q13="","",INDEX(TRANSACTIONS_MASTER!$K$5:$K$1204,$Q13))</f>
        <v/>
      </c>
      <c r="H13" s="25" t="str">
        <f>IF($Q13="","",INDEX(TRANSACTIONS_MASTER!$L$5:$L$1204,$Q13))</f>
        <v/>
      </c>
      <c r="I13" s="56" t="str">
        <f>IF($Q13="","",INDEX(TRANSACTIONS_MASTER!$N$5:$N$1204,$Q13))</f>
        <v/>
      </c>
      <c r="J13" s="25" t="str">
        <f>IF($Q13="","",INDEX(TRANSACTIONS_MASTER!$O$5:$O$1204,$Q13))</f>
        <v/>
      </c>
      <c r="K13" s="26" t="str">
        <f>IF($Q13="","",INDEX(TRANSACTIONS_MASTER!$Q$5:$Q$1204,$Q13))</f>
        <v/>
      </c>
      <c r="L13" s="25" t="str">
        <f>IF($Q13="","",INDEX(TRANSACTIONS_MASTER!$P$5:$P$1204,$Q13))</f>
        <v/>
      </c>
      <c r="M13" s="25" t="str">
        <f>IF($Q13="","",INDEX(TRANSACTIONS_MASTER!$AA$5:$AA$1204,$Q13))</f>
        <v/>
      </c>
      <c r="N13" s="25" t="str">
        <f>IF($Q13="","",INDEX(TRANSACTIONS_MASTER!$R$5:$R$1204,$Q13))</f>
        <v/>
      </c>
      <c r="O13" s="28" t="str">
        <f>IF($Q13="","",INDEX(TRANSACTIONS_MASTER!$AB$5:$AB$1204,$Q13))</f>
        <v/>
      </c>
      <c r="P13" s="55" t="str">
        <f>IF($Q13="","",INDEX(TRANSACTIONS_MASTER!$Z$5:$Z$1204,$Q13)&amp;"")</f>
        <v/>
      </c>
      <c r="Q13" s="67" t="str">
        <f>IFERROR(MATCH($C$2&amp;"|"&amp;6,TRANSACTIONS_MASTER!$AE$5:$AE$1204,0),"")</f>
        <v/>
      </c>
      <c r="S13" s="67">
        <f>IFERROR(MATCH(6,CASHBACK_RULES!$S$5:$S$304,0),"")</f>
        <v>15</v>
      </c>
      <c r="T13" s="55" t="str">
        <f>IF($S13="","",INDEX(CASHBACK_RULES!$B$5:$B$304,$S13))</f>
        <v>TCB-B</v>
      </c>
      <c r="U13" s="55" t="str">
        <f>IF($S13="","",INDEX(CASHBACK_RULES!$C$5:$C$304,$S13)&amp;" "&amp;INDEX(CASHBACK_RULES!$D$5:$D$304,$S13))</f>
        <v>Techcombank Cashback Demo B</v>
      </c>
      <c r="V13" s="55" t="str">
        <f>IF($S13="","",INDEX(CASHBACK_RULES!$E$5:$E$304,$S13)&amp;"")</f>
        <v>Group 1</v>
      </c>
      <c r="W13" s="55" t="str">
        <f>IF($S13="","",INDEX(CASHBACK_RULES!$F$5:$F$304,$S13)&amp;"")</f>
        <v>Fuel &amp; Transport</v>
      </c>
      <c r="X13" s="26">
        <f>IF($S13="","",SUMIFS(TRANSACTIONS_MASTER!$Q$5:$Q$1204,TRANSACTIONS_MASTER!$D$5:$D$1204,$T13,TRANSACTIONS_MASTER!$Z$5:$Z$1204,$V13,TRANSACTIONS_MASTER!$C$5:$C$1204,$C$2))</f>
        <v>0</v>
      </c>
      <c r="Y13" s="25">
        <f>IF($S13="","",IF(ISNUMBER(INDEX(CASHBACK_RULES!$J$5:$J$304,$S13)),INDEX(CASHBACK_RULES!$J$5:$J$304,$S13),"∞"))</f>
        <v>300000</v>
      </c>
      <c r="Z13" s="25">
        <f>IF($S13="","",IF(ISNUMBER($Y13),MAX(0,$Y13-$X13),"∞"))</f>
        <v>300000</v>
      </c>
      <c r="AA13" s="27">
        <f>IF($S13="","",IF(ISNUMBER($Y13),IF($Y13=0,0,$X13/$Y13),""))</f>
        <v>0</v>
      </c>
    </row>
    <row r="14" ht="20" customHeight="1">
      <c r="A14" s="81" t="str">
        <f>IF($Q14="","",7)</f>
        <v/>
      </c>
      <c r="B14" s="57" t="str">
        <f>IF($Q14="","",INDEX(TRANSACTIONS_MASTER!$B$5:$B$1204,$Q14))</f>
        <v/>
      </c>
      <c r="C14" s="55" t="str">
        <f>IF($Q14="","",INDEX(TRANSACTIONS_MASTER!$F$5:$F$1204,$Q14))</f>
        <v/>
      </c>
      <c r="D14" s="55" t="str">
        <f>IF($Q14="","",INDEX(TRANSACTIONS_MASTER!$E$5:$E$1204,$Q14))</f>
        <v/>
      </c>
      <c r="E14" s="55" t="str">
        <f>IF($Q14="","",INDEX(TRANSACTIONS_MASTER!$G$5:$G$1204,$Q14)&amp;"")</f>
        <v/>
      </c>
      <c r="F14" s="29" t="str">
        <f>IF($Q14="","",INDEX(TRANSACTIONS_MASTER!$I$5:$I$1204,$Q14))</f>
        <v/>
      </c>
      <c r="G14" s="55" t="str">
        <f>IF($Q14="","",INDEX(TRANSACTIONS_MASTER!$K$5:$K$1204,$Q14))</f>
        <v/>
      </c>
      <c r="H14" s="25" t="str">
        <f>IF($Q14="","",INDEX(TRANSACTIONS_MASTER!$L$5:$L$1204,$Q14))</f>
        <v/>
      </c>
      <c r="I14" s="56" t="str">
        <f>IF($Q14="","",INDEX(TRANSACTIONS_MASTER!$N$5:$N$1204,$Q14))</f>
        <v/>
      </c>
      <c r="J14" s="25" t="str">
        <f>IF($Q14="","",INDEX(TRANSACTIONS_MASTER!$O$5:$O$1204,$Q14))</f>
        <v/>
      </c>
      <c r="K14" s="26" t="str">
        <f>IF($Q14="","",INDEX(TRANSACTIONS_MASTER!$Q$5:$Q$1204,$Q14))</f>
        <v/>
      </c>
      <c r="L14" s="25" t="str">
        <f>IF($Q14="","",INDEX(TRANSACTIONS_MASTER!$P$5:$P$1204,$Q14))</f>
        <v/>
      </c>
      <c r="M14" s="25" t="str">
        <f>IF($Q14="","",INDEX(TRANSACTIONS_MASTER!$AA$5:$AA$1204,$Q14))</f>
        <v/>
      </c>
      <c r="N14" s="25" t="str">
        <f>IF($Q14="","",INDEX(TRANSACTIONS_MASTER!$R$5:$R$1204,$Q14))</f>
        <v/>
      </c>
      <c r="O14" s="28" t="str">
        <f>IF($Q14="","",INDEX(TRANSACTIONS_MASTER!$AB$5:$AB$1204,$Q14))</f>
        <v/>
      </c>
      <c r="P14" s="55" t="str">
        <f>IF($Q14="","",INDEX(TRANSACTIONS_MASTER!$Z$5:$Z$1204,$Q14)&amp;"")</f>
        <v/>
      </c>
      <c r="Q14" s="67" t="str">
        <f>IFERROR(MATCH($C$2&amp;"|"&amp;7,TRANSACTIONS_MASTER!$AE$5:$AE$1204,0),"")</f>
        <v/>
      </c>
      <c r="S14" s="67">
        <f>IFERROR(MATCH(7,CASHBACK_RULES!$S$5:$S$304,0),"")</f>
        <v>18</v>
      </c>
      <c r="T14" s="55" t="str">
        <f>IF($S14="","",INDEX(CASHBACK_RULES!$B$5:$B$304,$S14))</f>
        <v>TCB-B</v>
      </c>
      <c r="U14" s="55" t="str">
        <f>IF($S14="","",INDEX(CASHBACK_RULES!$C$5:$C$304,$S14)&amp;" "&amp;INDEX(CASHBACK_RULES!$D$5:$D$304,$S14))</f>
        <v>Techcombank Cashback Demo B</v>
      </c>
      <c r="V14" s="55" t="str">
        <f>IF($S14="","",INDEX(CASHBACK_RULES!$E$5:$E$304,$S14)&amp;"")</f>
        <v>Group 2</v>
      </c>
      <c r="W14" s="55" t="str">
        <f>IF($S14="","",INDEX(CASHBACK_RULES!$F$5:$F$304,$S14)&amp;"")</f>
        <v>Healthcare</v>
      </c>
      <c r="X14" s="26">
        <f>IF($S14="","",SUMIFS(TRANSACTIONS_MASTER!$Q$5:$Q$1204,TRANSACTIONS_MASTER!$D$5:$D$1204,$T14,TRANSACTIONS_MASTER!$Z$5:$Z$1204,$V14,TRANSACTIONS_MASTER!$C$5:$C$1204,$C$2))</f>
        <v>0</v>
      </c>
      <c r="Y14" s="25">
        <f>IF($S14="","",IF(ISNUMBER(INDEX(CASHBACK_RULES!$J$5:$J$304,$S14)),INDEX(CASHBACK_RULES!$J$5:$J$304,$S14),"∞"))</f>
        <v>300000</v>
      </c>
      <c r="Z14" s="25">
        <f>IF($S14="","",IF(ISNUMBER($Y14),MAX(0,$Y14-$X14),"∞"))</f>
        <v>300000</v>
      </c>
      <c r="AA14" s="27">
        <f>IF($S14="","",IF(ISNUMBER($Y14),IF($Y14=0,0,$X14/$Y14),""))</f>
        <v>0</v>
      </c>
    </row>
    <row r="15" ht="20" customHeight="1">
      <c r="A15" s="81" t="str">
        <f>IF($Q15="","",8)</f>
        <v/>
      </c>
      <c r="B15" s="57" t="str">
        <f>IF($Q15="","",INDEX(TRANSACTIONS_MASTER!$B$5:$B$1204,$Q15))</f>
        <v/>
      </c>
      <c r="C15" s="55" t="str">
        <f>IF($Q15="","",INDEX(TRANSACTIONS_MASTER!$F$5:$F$1204,$Q15))</f>
        <v/>
      </c>
      <c r="D15" s="55" t="str">
        <f>IF($Q15="","",INDEX(TRANSACTIONS_MASTER!$E$5:$E$1204,$Q15))</f>
        <v/>
      </c>
      <c r="E15" s="55" t="str">
        <f>IF($Q15="","",INDEX(TRANSACTIONS_MASTER!$G$5:$G$1204,$Q15)&amp;"")</f>
        <v/>
      </c>
      <c r="F15" s="29" t="str">
        <f>IF($Q15="","",INDEX(TRANSACTIONS_MASTER!$I$5:$I$1204,$Q15))</f>
        <v/>
      </c>
      <c r="G15" s="55" t="str">
        <f>IF($Q15="","",INDEX(TRANSACTIONS_MASTER!$K$5:$K$1204,$Q15))</f>
        <v/>
      </c>
      <c r="H15" s="25" t="str">
        <f>IF($Q15="","",INDEX(TRANSACTIONS_MASTER!$L$5:$L$1204,$Q15))</f>
        <v/>
      </c>
      <c r="I15" s="56" t="str">
        <f>IF($Q15="","",INDEX(TRANSACTIONS_MASTER!$N$5:$N$1204,$Q15))</f>
        <v/>
      </c>
      <c r="J15" s="25" t="str">
        <f>IF($Q15="","",INDEX(TRANSACTIONS_MASTER!$O$5:$O$1204,$Q15))</f>
        <v/>
      </c>
      <c r="K15" s="26" t="str">
        <f>IF($Q15="","",INDEX(TRANSACTIONS_MASTER!$Q$5:$Q$1204,$Q15))</f>
        <v/>
      </c>
      <c r="L15" s="25" t="str">
        <f>IF($Q15="","",INDEX(TRANSACTIONS_MASTER!$P$5:$P$1204,$Q15))</f>
        <v/>
      </c>
      <c r="M15" s="25" t="str">
        <f>IF($Q15="","",INDEX(TRANSACTIONS_MASTER!$AA$5:$AA$1204,$Q15))</f>
        <v/>
      </c>
      <c r="N15" s="25" t="str">
        <f>IF($Q15="","",INDEX(TRANSACTIONS_MASTER!$R$5:$R$1204,$Q15))</f>
        <v/>
      </c>
      <c r="O15" s="28" t="str">
        <f>IF($Q15="","",INDEX(TRANSACTIONS_MASTER!$AB$5:$AB$1204,$Q15))</f>
        <v/>
      </c>
      <c r="P15" s="55" t="str">
        <f>IF($Q15="","",INDEX(TRANSACTIONS_MASTER!$Z$5:$Z$1204,$Q15)&amp;"")</f>
        <v/>
      </c>
      <c r="Q15" s="67" t="str">
        <f>IFERROR(MATCH($C$2&amp;"|"&amp;8,TRANSACTIONS_MASTER!$AE$5:$AE$1204,0),"")</f>
        <v/>
      </c>
      <c r="S15" s="67">
        <f>IFERROR(MATCH(8,CASHBACK_RULES!$S$5:$S$304,0),"")</f>
        <v>20</v>
      </c>
      <c r="T15" s="55" t="str">
        <f>IF($S15="","",INDEX(CASHBACK_RULES!$B$5:$B$304,$S15))</f>
        <v>TCB-B</v>
      </c>
      <c r="U15" s="55" t="str">
        <f>IF($S15="","",INDEX(CASHBACK_RULES!$C$5:$C$304,$S15)&amp;" "&amp;INDEX(CASHBACK_RULES!$D$5:$D$304,$S15))</f>
        <v>Techcombank Cashback Demo B</v>
      </c>
      <c r="V15" s="55" t="str">
        <f>IF($S15="","",INDEX(CASHBACK_RULES!$E$5:$E$304,$S15)&amp;"")</f>
        <v>Group 3</v>
      </c>
      <c r="W15" s="55" t="str">
        <f>IF($S15="","",INDEX(CASHBACK_RULES!$F$5:$F$304,$S15)&amp;"")</f>
        <v>Utilities &amp; Telecom</v>
      </c>
      <c r="X15" s="26">
        <f>IF($S15="","",SUMIFS(TRANSACTIONS_MASTER!$Q$5:$Q$1204,TRANSACTIONS_MASTER!$D$5:$D$1204,$T15,TRANSACTIONS_MASTER!$Z$5:$Z$1204,$V15,TRANSACTIONS_MASTER!$C$5:$C$1204,$C$2))</f>
        <v>0</v>
      </c>
      <c r="Y15" s="25">
        <f>IF($S15="","",IF(ISNUMBER(INDEX(CASHBACK_RULES!$J$5:$J$304,$S15)),INDEX(CASHBACK_RULES!$J$5:$J$304,$S15),"∞"))</f>
        <v>300000</v>
      </c>
      <c r="Z15" s="25">
        <f>IF($S15="","",IF(ISNUMBER($Y15),MAX(0,$Y15-$X15),"∞"))</f>
        <v>300000</v>
      </c>
      <c r="AA15" s="27">
        <f>IF($S15="","",IF(ISNUMBER($Y15),IF($Y15=0,0,$X15/$Y15),""))</f>
        <v>0</v>
      </c>
    </row>
    <row r="16" ht="20" customHeight="1">
      <c r="A16" s="81" t="str">
        <f>IF($Q16="","",9)</f>
        <v/>
      </c>
      <c r="B16" s="57" t="str">
        <f>IF($Q16="","",INDEX(TRANSACTIONS_MASTER!$B$5:$B$1204,$Q16))</f>
        <v/>
      </c>
      <c r="C16" s="55" t="str">
        <f>IF($Q16="","",INDEX(TRANSACTIONS_MASTER!$F$5:$F$1204,$Q16))</f>
        <v/>
      </c>
      <c r="D16" s="55" t="str">
        <f>IF($Q16="","",INDEX(TRANSACTIONS_MASTER!$E$5:$E$1204,$Q16))</f>
        <v/>
      </c>
      <c r="E16" s="55" t="str">
        <f>IF($Q16="","",INDEX(TRANSACTIONS_MASTER!$G$5:$G$1204,$Q16)&amp;"")</f>
        <v/>
      </c>
      <c r="F16" s="29" t="str">
        <f>IF($Q16="","",INDEX(TRANSACTIONS_MASTER!$I$5:$I$1204,$Q16))</f>
        <v/>
      </c>
      <c r="G16" s="55" t="str">
        <f>IF($Q16="","",INDEX(TRANSACTIONS_MASTER!$K$5:$K$1204,$Q16))</f>
        <v/>
      </c>
      <c r="H16" s="25" t="str">
        <f>IF($Q16="","",INDEX(TRANSACTIONS_MASTER!$L$5:$L$1204,$Q16))</f>
        <v/>
      </c>
      <c r="I16" s="56" t="str">
        <f>IF($Q16="","",INDEX(TRANSACTIONS_MASTER!$N$5:$N$1204,$Q16))</f>
        <v/>
      </c>
      <c r="J16" s="25" t="str">
        <f>IF($Q16="","",INDEX(TRANSACTIONS_MASTER!$O$5:$O$1204,$Q16))</f>
        <v/>
      </c>
      <c r="K16" s="26" t="str">
        <f>IF($Q16="","",INDEX(TRANSACTIONS_MASTER!$Q$5:$Q$1204,$Q16))</f>
        <v/>
      </c>
      <c r="L16" s="25" t="str">
        <f>IF($Q16="","",INDEX(TRANSACTIONS_MASTER!$P$5:$P$1204,$Q16))</f>
        <v/>
      </c>
      <c r="M16" s="25" t="str">
        <f>IF($Q16="","",INDEX(TRANSACTIONS_MASTER!$AA$5:$AA$1204,$Q16))</f>
        <v/>
      </c>
      <c r="N16" s="25" t="str">
        <f>IF($Q16="","",INDEX(TRANSACTIONS_MASTER!$R$5:$R$1204,$Q16))</f>
        <v/>
      </c>
      <c r="O16" s="28" t="str">
        <f>IF($Q16="","",INDEX(TRANSACTIONS_MASTER!$AB$5:$AB$1204,$Q16))</f>
        <v/>
      </c>
      <c r="P16" s="55" t="str">
        <f>IF($Q16="","",INDEX(TRANSACTIONS_MASTER!$Z$5:$Z$1204,$Q16)&amp;"")</f>
        <v/>
      </c>
      <c r="Q16" s="67" t="str">
        <f>IFERROR(MATCH($C$2&amp;"|"&amp;9,TRANSACTIONS_MASTER!$AE$5:$AE$1204,0),"")</f>
        <v/>
      </c>
      <c r="S16" s="67">
        <f>IFERROR(MATCH(9,CASHBACK_RULES!$S$5:$S$304,0),"")</f>
        <v>22</v>
      </c>
      <c r="T16" s="55" t="str">
        <f>IF($S16="","",INDEX(CASHBACK_RULES!$B$5:$B$304,$S16))</f>
        <v>UOB-C</v>
      </c>
      <c r="U16" s="55" t="str">
        <f>IF($S16="","",INDEX(CASHBACK_RULES!$C$5:$C$304,$S16)&amp;" "&amp;INDEX(CASHBACK_RULES!$D$5:$D$304,$S16))</f>
        <v>UOB Cashback Demo C</v>
      </c>
      <c r="V16" s="55" t="str">
        <f>IF($S16="","",INDEX(CASHBACK_RULES!$E$5:$E$304,$S16)&amp;"")</f>
        <v>Group 1</v>
      </c>
      <c r="W16" s="55" t="str">
        <f>IF($S16="","",INDEX(CASHBACK_RULES!$F$5:$F$304,$S16)&amp;"")</f>
        <v>Dining</v>
      </c>
      <c r="X16" s="26">
        <f>IF($S16="","",SUMIFS(TRANSACTIONS_MASTER!$Q$5:$Q$1204,TRANSACTIONS_MASTER!$D$5:$D$1204,$T16,TRANSACTIONS_MASTER!$Z$5:$Z$1204,$V16,TRANSACTIONS_MASTER!$C$5:$C$1204,$C$2))</f>
        <v>0</v>
      </c>
      <c r="Y16" s="25">
        <f>IF($S16="","",IF(ISNUMBER(INDEX(CASHBACK_RULES!$J$5:$J$304,$S16)),INDEX(CASHBACK_RULES!$J$5:$J$304,$S16),"∞"))</f>
        <v>1000000</v>
      </c>
      <c r="Z16" s="25">
        <f>IF($S16="","",IF(ISNUMBER($Y16),MAX(0,$Y16-$X16),"∞"))</f>
        <v>1000000</v>
      </c>
      <c r="AA16" s="27">
        <f>IF($S16="","",IF(ISNUMBER($Y16),IF($Y16=0,0,$X16/$Y16),""))</f>
        <v>0</v>
      </c>
    </row>
    <row r="17" ht="20" customHeight="1">
      <c r="A17" s="81" t="str">
        <f>IF($Q17="","",10)</f>
        <v/>
      </c>
      <c r="B17" s="57" t="str">
        <f>IF($Q17="","",INDEX(TRANSACTIONS_MASTER!$B$5:$B$1204,$Q17))</f>
        <v/>
      </c>
      <c r="C17" s="55" t="str">
        <f>IF($Q17="","",INDEX(TRANSACTIONS_MASTER!$F$5:$F$1204,$Q17))</f>
        <v/>
      </c>
      <c r="D17" s="55" t="str">
        <f>IF($Q17="","",INDEX(TRANSACTIONS_MASTER!$E$5:$E$1204,$Q17))</f>
        <v/>
      </c>
      <c r="E17" s="55" t="str">
        <f>IF($Q17="","",INDEX(TRANSACTIONS_MASTER!$G$5:$G$1204,$Q17)&amp;"")</f>
        <v/>
      </c>
      <c r="F17" s="29" t="str">
        <f>IF($Q17="","",INDEX(TRANSACTIONS_MASTER!$I$5:$I$1204,$Q17))</f>
        <v/>
      </c>
      <c r="G17" s="55" t="str">
        <f>IF($Q17="","",INDEX(TRANSACTIONS_MASTER!$K$5:$K$1204,$Q17))</f>
        <v/>
      </c>
      <c r="H17" s="25" t="str">
        <f>IF($Q17="","",INDEX(TRANSACTIONS_MASTER!$L$5:$L$1204,$Q17))</f>
        <v/>
      </c>
      <c r="I17" s="56" t="str">
        <f>IF($Q17="","",INDEX(TRANSACTIONS_MASTER!$N$5:$N$1204,$Q17))</f>
        <v/>
      </c>
      <c r="J17" s="25" t="str">
        <f>IF($Q17="","",INDEX(TRANSACTIONS_MASTER!$O$5:$O$1204,$Q17))</f>
        <v/>
      </c>
      <c r="K17" s="26" t="str">
        <f>IF($Q17="","",INDEX(TRANSACTIONS_MASTER!$Q$5:$Q$1204,$Q17))</f>
        <v/>
      </c>
      <c r="L17" s="25" t="str">
        <f>IF($Q17="","",INDEX(TRANSACTIONS_MASTER!$P$5:$P$1204,$Q17))</f>
        <v/>
      </c>
      <c r="M17" s="25" t="str">
        <f>IF($Q17="","",INDEX(TRANSACTIONS_MASTER!$AA$5:$AA$1204,$Q17))</f>
        <v/>
      </c>
      <c r="N17" s="25" t="str">
        <f>IF($Q17="","",INDEX(TRANSACTIONS_MASTER!$R$5:$R$1204,$Q17))</f>
        <v/>
      </c>
      <c r="O17" s="28" t="str">
        <f>IF($Q17="","",INDEX(TRANSACTIONS_MASTER!$AB$5:$AB$1204,$Q17))</f>
        <v/>
      </c>
      <c r="P17" s="55" t="str">
        <f>IF($Q17="","",INDEX(TRANSACTIONS_MASTER!$Z$5:$Z$1204,$Q17)&amp;"")</f>
        <v/>
      </c>
      <c r="Q17" s="67" t="str">
        <f>IFERROR(MATCH($C$2&amp;"|"&amp;10,TRANSACTIONS_MASTER!$AE$5:$AE$1204,0),"")</f>
        <v/>
      </c>
      <c r="S17" s="67">
        <f>IFERROR(MATCH(10,CASHBACK_RULES!$S$5:$S$304,0),"")</f>
        <v>24</v>
      </c>
      <c r="T17" s="55" t="str">
        <f>IF($S17="","",INDEX(CASHBACK_RULES!$B$5:$B$304,$S17))</f>
        <v>MB-D</v>
      </c>
      <c r="U17" s="55" t="str">
        <f>IF($S17="","",INDEX(CASHBACK_RULES!$C$5:$C$304,$S17)&amp;" "&amp;INDEX(CASHBACK_RULES!$D$5:$D$304,$S17))</f>
        <v>MB Cashback Demo D</v>
      </c>
      <c r="V17" s="55" t="str">
        <f>IF($S17="","",INDEX(CASHBACK_RULES!$E$5:$E$304,$S17)&amp;"")</f>
        <v>Dining</v>
      </c>
      <c r="W17" s="55" t="str">
        <f>IF($S17="","",INDEX(CASHBACK_RULES!$F$5:$F$304,$S17)&amp;"")</f>
        <v>Dining</v>
      </c>
      <c r="X17" s="26">
        <f>IF($S17="","",SUMIFS(TRANSACTIONS_MASTER!$Q$5:$Q$1204,TRANSACTIONS_MASTER!$D$5:$D$1204,$T17,TRANSACTIONS_MASTER!$Z$5:$Z$1204,$V17,TRANSACTIONS_MASTER!$C$5:$C$1204,$C$2))</f>
        <v>0</v>
      </c>
      <c r="Y17" s="25">
        <f>IF($S17="","",IF(ISNUMBER(INDEX(CASHBACK_RULES!$J$5:$J$304,$S17)),INDEX(CASHBACK_RULES!$J$5:$J$304,$S17),"∞"))</f>
        <v>500000</v>
      </c>
      <c r="Z17" s="25">
        <f>IF($S17="","",IF(ISNUMBER($Y17),MAX(0,$Y17-$X17),"∞"))</f>
        <v>500000</v>
      </c>
      <c r="AA17" s="27">
        <f>IF($S17="","",IF(ISNUMBER($Y17),IF($Y17=0,0,$X17/$Y17),""))</f>
        <v>0</v>
      </c>
    </row>
    <row r="18" ht="20" customHeight="1">
      <c r="A18" s="81" t="str">
        <f>IF($Q18="","",11)</f>
        <v/>
      </c>
      <c r="B18" s="57" t="str">
        <f>IF($Q18="","",INDEX(TRANSACTIONS_MASTER!$B$5:$B$1204,$Q18))</f>
        <v/>
      </c>
      <c r="C18" s="55" t="str">
        <f>IF($Q18="","",INDEX(TRANSACTIONS_MASTER!$F$5:$F$1204,$Q18))</f>
        <v/>
      </c>
      <c r="D18" s="55" t="str">
        <f>IF($Q18="","",INDEX(TRANSACTIONS_MASTER!$E$5:$E$1204,$Q18))</f>
        <v/>
      </c>
      <c r="E18" s="55" t="str">
        <f>IF($Q18="","",INDEX(TRANSACTIONS_MASTER!$G$5:$G$1204,$Q18)&amp;"")</f>
        <v/>
      </c>
      <c r="F18" s="29" t="str">
        <f>IF($Q18="","",INDEX(TRANSACTIONS_MASTER!$I$5:$I$1204,$Q18))</f>
        <v/>
      </c>
      <c r="G18" s="55" t="str">
        <f>IF($Q18="","",INDEX(TRANSACTIONS_MASTER!$K$5:$K$1204,$Q18))</f>
        <v/>
      </c>
      <c r="H18" s="25" t="str">
        <f>IF($Q18="","",INDEX(TRANSACTIONS_MASTER!$L$5:$L$1204,$Q18))</f>
        <v/>
      </c>
      <c r="I18" s="56" t="str">
        <f>IF($Q18="","",INDEX(TRANSACTIONS_MASTER!$N$5:$N$1204,$Q18))</f>
        <v/>
      </c>
      <c r="J18" s="25" t="str">
        <f>IF($Q18="","",INDEX(TRANSACTIONS_MASTER!$O$5:$O$1204,$Q18))</f>
        <v/>
      </c>
      <c r="K18" s="26" t="str">
        <f>IF($Q18="","",INDEX(TRANSACTIONS_MASTER!$Q$5:$Q$1204,$Q18))</f>
        <v/>
      </c>
      <c r="L18" s="25" t="str">
        <f>IF($Q18="","",INDEX(TRANSACTIONS_MASTER!$P$5:$P$1204,$Q18))</f>
        <v/>
      </c>
      <c r="M18" s="25" t="str">
        <f>IF($Q18="","",INDEX(TRANSACTIONS_MASTER!$AA$5:$AA$1204,$Q18))</f>
        <v/>
      </c>
      <c r="N18" s="25" t="str">
        <f>IF($Q18="","",INDEX(TRANSACTIONS_MASTER!$R$5:$R$1204,$Q18))</f>
        <v/>
      </c>
      <c r="O18" s="28" t="str">
        <f>IF($Q18="","",INDEX(TRANSACTIONS_MASTER!$AB$5:$AB$1204,$Q18))</f>
        <v/>
      </c>
      <c r="P18" s="55" t="str">
        <f>IF($Q18="","",INDEX(TRANSACTIONS_MASTER!$Z$5:$Z$1204,$Q18)&amp;"")</f>
        <v/>
      </c>
      <c r="Q18" s="67" t="str">
        <f>IFERROR(MATCH($C$2&amp;"|"&amp;11,TRANSACTIONS_MASTER!$AE$5:$AE$1204,0),"")</f>
        <v/>
      </c>
      <c r="S18" s="67">
        <f>IFERROR(MATCH(11,CASHBACK_RULES!$S$5:$S$304,0),"")</f>
        <v>25</v>
      </c>
      <c r="T18" s="55" t="str">
        <f>IF($S18="","",INDEX(CASHBACK_RULES!$B$5:$B$304,$S18))</f>
        <v>MB-D</v>
      </c>
      <c r="U18" s="55" t="str">
        <f>IF($S18="","",INDEX(CASHBACK_RULES!$C$5:$C$304,$S18)&amp;" "&amp;INDEX(CASHBACK_RULES!$D$5:$D$304,$S18))</f>
        <v>MB Cashback Demo D</v>
      </c>
      <c r="V18" s="55" t="str">
        <f>IF($S18="","",INDEX(CASHBACK_RULES!$E$5:$E$304,$S18)&amp;"")</f>
        <v>Fuel</v>
      </c>
      <c r="W18" s="55" t="str">
        <f>IF($S18="","",INDEX(CASHBACK_RULES!$F$5:$F$304,$S18)&amp;"")</f>
        <v>Fuel</v>
      </c>
      <c r="X18" s="26">
        <f>IF($S18="","",SUMIFS(TRANSACTIONS_MASTER!$Q$5:$Q$1204,TRANSACTIONS_MASTER!$D$5:$D$1204,$T18,TRANSACTIONS_MASTER!$Z$5:$Z$1204,$V18,TRANSACTIONS_MASTER!$C$5:$C$1204,$C$2))</f>
        <v>0</v>
      </c>
      <c r="Y18" s="25">
        <f>IF($S18="","",IF(ISNUMBER(INDEX(CASHBACK_RULES!$J$5:$J$304,$S18)),INDEX(CASHBACK_RULES!$J$5:$J$304,$S18),"∞"))</f>
        <v>200000</v>
      </c>
      <c r="Z18" s="25">
        <f>IF($S18="","",IF(ISNUMBER($Y18),MAX(0,$Y18-$X18),"∞"))</f>
        <v>200000</v>
      </c>
      <c r="AA18" s="27">
        <f>IF($S18="","",IF(ISNUMBER($Y18),IF($Y18=0,0,$X18/$Y18),""))</f>
        <v>0</v>
      </c>
    </row>
    <row r="19" ht="20" customHeight="1">
      <c r="A19" s="81" t="str">
        <f>IF($Q19="","",12)</f>
        <v/>
      </c>
      <c r="B19" s="57" t="str">
        <f>IF($Q19="","",INDEX(TRANSACTIONS_MASTER!$B$5:$B$1204,$Q19))</f>
        <v/>
      </c>
      <c r="C19" s="55" t="str">
        <f>IF($Q19="","",INDEX(TRANSACTIONS_MASTER!$F$5:$F$1204,$Q19))</f>
        <v/>
      </c>
      <c r="D19" s="55" t="str">
        <f>IF($Q19="","",INDEX(TRANSACTIONS_MASTER!$E$5:$E$1204,$Q19))</f>
        <v/>
      </c>
      <c r="E19" s="55" t="str">
        <f>IF($Q19="","",INDEX(TRANSACTIONS_MASTER!$G$5:$G$1204,$Q19)&amp;"")</f>
        <v/>
      </c>
      <c r="F19" s="29" t="str">
        <f>IF($Q19="","",INDEX(TRANSACTIONS_MASTER!$I$5:$I$1204,$Q19))</f>
        <v/>
      </c>
      <c r="G19" s="55" t="str">
        <f>IF($Q19="","",INDEX(TRANSACTIONS_MASTER!$K$5:$K$1204,$Q19))</f>
        <v/>
      </c>
      <c r="H19" s="25" t="str">
        <f>IF($Q19="","",INDEX(TRANSACTIONS_MASTER!$L$5:$L$1204,$Q19))</f>
        <v/>
      </c>
      <c r="I19" s="56" t="str">
        <f>IF($Q19="","",INDEX(TRANSACTIONS_MASTER!$N$5:$N$1204,$Q19))</f>
        <v/>
      </c>
      <c r="J19" s="25" t="str">
        <f>IF($Q19="","",INDEX(TRANSACTIONS_MASTER!$O$5:$O$1204,$Q19))</f>
        <v/>
      </c>
      <c r="K19" s="26" t="str">
        <f>IF($Q19="","",INDEX(TRANSACTIONS_MASTER!$Q$5:$Q$1204,$Q19))</f>
        <v/>
      </c>
      <c r="L19" s="25" t="str">
        <f>IF($Q19="","",INDEX(TRANSACTIONS_MASTER!$P$5:$P$1204,$Q19))</f>
        <v/>
      </c>
      <c r="M19" s="25" t="str">
        <f>IF($Q19="","",INDEX(TRANSACTIONS_MASTER!$AA$5:$AA$1204,$Q19))</f>
        <v/>
      </c>
      <c r="N19" s="25" t="str">
        <f>IF($Q19="","",INDEX(TRANSACTIONS_MASTER!$R$5:$R$1204,$Q19))</f>
        <v/>
      </c>
      <c r="O19" s="28" t="str">
        <f>IF($Q19="","",INDEX(TRANSACTIONS_MASTER!$AB$5:$AB$1204,$Q19))</f>
        <v/>
      </c>
      <c r="P19" s="55" t="str">
        <f>IF($Q19="","",INDEX(TRANSACTIONS_MASTER!$Z$5:$Z$1204,$Q19)&amp;"")</f>
        <v/>
      </c>
      <c r="Q19" s="67" t="str">
        <f>IFERROR(MATCH($C$2&amp;"|"&amp;12,TRANSACTIONS_MASTER!$AE$5:$AE$1204,0),"")</f>
        <v/>
      </c>
      <c r="S19" s="67">
        <f>IFERROR(MATCH(12,CASHBACK_RULES!$S$5:$S$304,0),"")</f>
        <v>26</v>
      </c>
      <c r="T19" s="55" t="str">
        <f>IF($S19="","",INDEX(CASHBACK_RULES!$B$5:$B$304,$S19))</f>
        <v>MB-D</v>
      </c>
      <c r="U19" s="55" t="str">
        <f>IF($S19="","",INDEX(CASHBACK_RULES!$C$5:$C$304,$S19)&amp;" "&amp;INDEX(CASHBACK_RULES!$D$5:$D$304,$S19))</f>
        <v>MB Cashback Demo D</v>
      </c>
      <c r="V19" s="55" t="str">
        <f>IF($S19="","",INDEX(CASHBACK_RULES!$E$5:$E$304,$S19)&amp;"")</f>
        <v>Groceries</v>
      </c>
      <c r="W19" s="55" t="str">
        <f>IF($S19="","",INDEX(CASHBACK_RULES!$F$5:$F$304,$S19)&amp;"")</f>
        <v>Groceries</v>
      </c>
      <c r="X19" s="26">
        <f>IF($S19="","",SUMIFS(TRANSACTIONS_MASTER!$Q$5:$Q$1204,TRANSACTIONS_MASTER!$D$5:$D$1204,$T19,TRANSACTIONS_MASTER!$Z$5:$Z$1204,$V19,TRANSACTIONS_MASTER!$C$5:$C$1204,$C$2))</f>
        <v>0</v>
      </c>
      <c r="Y19" s="25">
        <f>IF($S19="","",IF(ISNUMBER(INDEX(CASHBACK_RULES!$J$5:$J$304,$S19)),INDEX(CASHBACK_RULES!$J$5:$J$304,$S19),"∞"))</f>
        <v>100000</v>
      </c>
      <c r="Z19" s="25">
        <f>IF($S19="","",IF(ISNUMBER($Y19),MAX(0,$Y19-$X19),"∞"))</f>
        <v>100000</v>
      </c>
      <c r="AA19" s="27">
        <f>IF($S19="","",IF(ISNUMBER($Y19),IF($Y19=0,0,$X19/$Y19),""))</f>
        <v>0</v>
      </c>
    </row>
    <row r="20" ht="20" customHeight="1">
      <c r="A20" s="81" t="str">
        <f>IF($Q20="","",13)</f>
        <v/>
      </c>
      <c r="B20" s="57" t="str">
        <f>IF($Q20="","",INDEX(TRANSACTIONS_MASTER!$B$5:$B$1204,$Q20))</f>
        <v/>
      </c>
      <c r="C20" s="55" t="str">
        <f>IF($Q20="","",INDEX(TRANSACTIONS_MASTER!$F$5:$F$1204,$Q20))</f>
        <v/>
      </c>
      <c r="D20" s="55" t="str">
        <f>IF($Q20="","",INDEX(TRANSACTIONS_MASTER!$E$5:$E$1204,$Q20))</f>
        <v/>
      </c>
      <c r="E20" s="55" t="str">
        <f>IF($Q20="","",INDEX(TRANSACTIONS_MASTER!$G$5:$G$1204,$Q20)&amp;"")</f>
        <v/>
      </c>
      <c r="F20" s="29" t="str">
        <f>IF($Q20="","",INDEX(TRANSACTIONS_MASTER!$I$5:$I$1204,$Q20))</f>
        <v/>
      </c>
      <c r="G20" s="55" t="str">
        <f>IF($Q20="","",INDEX(TRANSACTIONS_MASTER!$K$5:$K$1204,$Q20))</f>
        <v/>
      </c>
      <c r="H20" s="25" t="str">
        <f>IF($Q20="","",INDEX(TRANSACTIONS_MASTER!$L$5:$L$1204,$Q20))</f>
        <v/>
      </c>
      <c r="I20" s="56" t="str">
        <f>IF($Q20="","",INDEX(TRANSACTIONS_MASTER!$N$5:$N$1204,$Q20))</f>
        <v/>
      </c>
      <c r="J20" s="25" t="str">
        <f>IF($Q20="","",INDEX(TRANSACTIONS_MASTER!$O$5:$O$1204,$Q20))</f>
        <v/>
      </c>
      <c r="K20" s="26" t="str">
        <f>IF($Q20="","",INDEX(TRANSACTIONS_MASTER!$Q$5:$Q$1204,$Q20))</f>
        <v/>
      </c>
      <c r="L20" s="25" t="str">
        <f>IF($Q20="","",INDEX(TRANSACTIONS_MASTER!$P$5:$P$1204,$Q20))</f>
        <v/>
      </c>
      <c r="M20" s="25" t="str">
        <f>IF($Q20="","",INDEX(TRANSACTIONS_MASTER!$AA$5:$AA$1204,$Q20))</f>
        <v/>
      </c>
      <c r="N20" s="25" t="str">
        <f>IF($Q20="","",INDEX(TRANSACTIONS_MASTER!$R$5:$R$1204,$Q20))</f>
        <v/>
      </c>
      <c r="O20" s="28" t="str">
        <f>IF($Q20="","",INDEX(TRANSACTIONS_MASTER!$AB$5:$AB$1204,$Q20))</f>
        <v/>
      </c>
      <c r="P20" s="55" t="str">
        <f>IF($Q20="","",INDEX(TRANSACTIONS_MASTER!$Z$5:$Z$1204,$Q20)&amp;"")</f>
        <v/>
      </c>
      <c r="Q20" s="67" t="str">
        <f>IFERROR(MATCH($C$2&amp;"|"&amp;13,TRANSACTIONS_MASTER!$AE$5:$AE$1204,0),"")</f>
        <v/>
      </c>
      <c r="S20" s="67">
        <f>IFERROR(MATCH(13,CASHBACK_RULES!$S$5:$S$304,0),"")</f>
        <v>27</v>
      </c>
      <c r="T20" s="55" t="str">
        <f>IF($S20="","",INDEX(CASHBACK_RULES!$B$5:$B$304,$S20))</f>
        <v>MB-D</v>
      </c>
      <c r="U20" s="55" t="str">
        <f>IF($S20="","",INDEX(CASHBACK_RULES!$C$5:$C$304,$S20)&amp;" "&amp;INDEX(CASHBACK_RULES!$D$5:$D$304,$S20))</f>
        <v>MB Cashback Demo D</v>
      </c>
      <c r="V20" s="55" t="str">
        <f>IF($S20="","",INDEX(CASHBACK_RULES!$E$5:$E$304,$S20)&amp;"")</f>
        <v>Shopping</v>
      </c>
      <c r="W20" s="55" t="str">
        <f>IF($S20="","",INDEX(CASHBACK_RULES!$F$5:$F$304,$S20)&amp;"")</f>
        <v>Shopping</v>
      </c>
      <c r="X20" s="26">
        <f>IF($S20="","",SUMIFS(TRANSACTIONS_MASTER!$Q$5:$Q$1204,TRANSACTIONS_MASTER!$D$5:$D$1204,$T20,TRANSACTIONS_MASTER!$Z$5:$Z$1204,$V20,TRANSACTIONS_MASTER!$C$5:$C$1204,$C$2))</f>
        <v>0</v>
      </c>
      <c r="Y20" s="25">
        <f>IF($S20="","",IF(ISNUMBER(INDEX(CASHBACK_RULES!$J$5:$J$304,$S20)),INDEX(CASHBACK_RULES!$J$5:$J$304,$S20),"∞"))</f>
        <v>100000</v>
      </c>
      <c r="Z20" s="25">
        <f>IF($S20="","",IF(ISNUMBER($Y20),MAX(0,$Y20-$X20),"∞"))</f>
        <v>100000</v>
      </c>
      <c r="AA20" s="27">
        <f>IF($S20="","",IF(ISNUMBER($Y20),IF($Y20=0,0,$X20/$Y20),""))</f>
        <v>0</v>
      </c>
    </row>
    <row r="21" ht="20" customHeight="1">
      <c r="A21" s="81" t="str">
        <f>IF($Q21="","",14)</f>
        <v/>
      </c>
      <c r="B21" s="57" t="str">
        <f>IF($Q21="","",INDEX(TRANSACTIONS_MASTER!$B$5:$B$1204,$Q21))</f>
        <v/>
      </c>
      <c r="C21" s="55" t="str">
        <f>IF($Q21="","",INDEX(TRANSACTIONS_MASTER!$F$5:$F$1204,$Q21))</f>
        <v/>
      </c>
      <c r="D21" s="55" t="str">
        <f>IF($Q21="","",INDEX(TRANSACTIONS_MASTER!$E$5:$E$1204,$Q21))</f>
        <v/>
      </c>
      <c r="E21" s="55" t="str">
        <f>IF($Q21="","",INDEX(TRANSACTIONS_MASTER!$G$5:$G$1204,$Q21)&amp;"")</f>
        <v/>
      </c>
      <c r="F21" s="29" t="str">
        <f>IF($Q21="","",INDEX(TRANSACTIONS_MASTER!$I$5:$I$1204,$Q21))</f>
        <v/>
      </c>
      <c r="G21" s="55" t="str">
        <f>IF($Q21="","",INDEX(TRANSACTIONS_MASTER!$K$5:$K$1204,$Q21))</f>
        <v/>
      </c>
      <c r="H21" s="25" t="str">
        <f>IF($Q21="","",INDEX(TRANSACTIONS_MASTER!$L$5:$L$1204,$Q21))</f>
        <v/>
      </c>
      <c r="I21" s="56" t="str">
        <f>IF($Q21="","",INDEX(TRANSACTIONS_MASTER!$N$5:$N$1204,$Q21))</f>
        <v/>
      </c>
      <c r="J21" s="25" t="str">
        <f>IF($Q21="","",INDEX(TRANSACTIONS_MASTER!$O$5:$O$1204,$Q21))</f>
        <v/>
      </c>
      <c r="K21" s="26" t="str">
        <f>IF($Q21="","",INDEX(TRANSACTIONS_MASTER!$Q$5:$Q$1204,$Q21))</f>
        <v/>
      </c>
      <c r="L21" s="25" t="str">
        <f>IF($Q21="","",INDEX(TRANSACTIONS_MASTER!$P$5:$P$1204,$Q21))</f>
        <v/>
      </c>
      <c r="M21" s="25" t="str">
        <f>IF($Q21="","",INDEX(TRANSACTIONS_MASTER!$AA$5:$AA$1204,$Q21))</f>
        <v/>
      </c>
      <c r="N21" s="25" t="str">
        <f>IF($Q21="","",INDEX(TRANSACTIONS_MASTER!$R$5:$R$1204,$Q21))</f>
        <v/>
      </c>
      <c r="O21" s="28" t="str">
        <f>IF($Q21="","",INDEX(TRANSACTIONS_MASTER!$AB$5:$AB$1204,$Q21))</f>
        <v/>
      </c>
      <c r="P21" s="55" t="str">
        <f>IF($Q21="","",INDEX(TRANSACTIONS_MASTER!$Z$5:$Z$1204,$Q21)&amp;"")</f>
        <v/>
      </c>
      <c r="Q21" s="67" t="str">
        <f>IFERROR(MATCH($C$2&amp;"|"&amp;14,TRANSACTIONS_MASTER!$AE$5:$AE$1204,0),"")</f>
        <v/>
      </c>
      <c r="S21" s="67" t="str">
        <f>IFERROR(MATCH(14,CASHBACK_RULES!$S$5:$S$304,0),"")</f>
        <v/>
      </c>
      <c r="T21" s="55" t="str">
        <f>IF($S21="","",INDEX(CASHBACK_RULES!$B$5:$B$304,$S21))</f>
        <v/>
      </c>
      <c r="U21" s="55" t="str">
        <f>IF($S21="","",INDEX(CASHBACK_RULES!$C$5:$C$304,$S21)&amp;" "&amp;INDEX(CASHBACK_RULES!$D$5:$D$304,$S21))</f>
        <v/>
      </c>
      <c r="V21" s="55" t="str">
        <f>IF($S21="","",INDEX(CASHBACK_RULES!$E$5:$E$304,$S21)&amp;"")</f>
        <v/>
      </c>
      <c r="W21" s="55" t="str">
        <f>IF($S21="","",INDEX(CASHBACK_RULES!$F$5:$F$304,$S21)&amp;"")</f>
        <v/>
      </c>
      <c r="X21" s="26" t="str">
        <f>IF($S21="","",SUMIFS(TRANSACTIONS_MASTER!$Q$5:$Q$1204,TRANSACTIONS_MASTER!$D$5:$D$1204,$T21,TRANSACTIONS_MASTER!$Z$5:$Z$1204,$V21,TRANSACTIONS_MASTER!$C$5:$C$1204,$C$2))</f>
        <v/>
      </c>
      <c r="Y21" s="25" t="str">
        <f>IF($S21="","",IF(ISNUMBER(INDEX(CASHBACK_RULES!$J$5:$J$304,$S21)),INDEX(CASHBACK_RULES!$J$5:$J$304,$S21),"∞"))</f>
        <v/>
      </c>
      <c r="Z21" s="25" t="str">
        <f>IF($S21="","",IF(ISNUMBER($Y21),MAX(0,$Y21-$X21),"∞"))</f>
        <v/>
      </c>
      <c r="AA21" s="27" t="str">
        <f>IF($S21="","",IF(ISNUMBER($Y21),IF($Y21=0,0,$X21/$Y21),""))</f>
        <v/>
      </c>
    </row>
    <row r="22" ht="20" customHeight="1">
      <c r="A22" s="81" t="str">
        <f>IF($Q22="","",15)</f>
        <v/>
      </c>
      <c r="B22" s="57" t="str">
        <f>IF($Q22="","",INDEX(TRANSACTIONS_MASTER!$B$5:$B$1204,$Q22))</f>
        <v/>
      </c>
      <c r="C22" s="55" t="str">
        <f>IF($Q22="","",INDEX(TRANSACTIONS_MASTER!$F$5:$F$1204,$Q22))</f>
        <v/>
      </c>
      <c r="D22" s="55" t="str">
        <f>IF($Q22="","",INDEX(TRANSACTIONS_MASTER!$E$5:$E$1204,$Q22))</f>
        <v/>
      </c>
      <c r="E22" s="55" t="str">
        <f>IF($Q22="","",INDEX(TRANSACTIONS_MASTER!$G$5:$G$1204,$Q22)&amp;"")</f>
        <v/>
      </c>
      <c r="F22" s="29" t="str">
        <f>IF($Q22="","",INDEX(TRANSACTIONS_MASTER!$I$5:$I$1204,$Q22))</f>
        <v/>
      </c>
      <c r="G22" s="55" t="str">
        <f>IF($Q22="","",INDEX(TRANSACTIONS_MASTER!$K$5:$K$1204,$Q22))</f>
        <v/>
      </c>
      <c r="H22" s="25" t="str">
        <f>IF($Q22="","",INDEX(TRANSACTIONS_MASTER!$L$5:$L$1204,$Q22))</f>
        <v/>
      </c>
      <c r="I22" s="56" t="str">
        <f>IF($Q22="","",INDEX(TRANSACTIONS_MASTER!$N$5:$N$1204,$Q22))</f>
        <v/>
      </c>
      <c r="J22" s="25" t="str">
        <f>IF($Q22="","",INDEX(TRANSACTIONS_MASTER!$O$5:$O$1204,$Q22))</f>
        <v/>
      </c>
      <c r="K22" s="26" t="str">
        <f>IF($Q22="","",INDEX(TRANSACTIONS_MASTER!$Q$5:$Q$1204,$Q22))</f>
        <v/>
      </c>
      <c r="L22" s="25" t="str">
        <f>IF($Q22="","",INDEX(TRANSACTIONS_MASTER!$P$5:$P$1204,$Q22))</f>
        <v/>
      </c>
      <c r="M22" s="25" t="str">
        <f>IF($Q22="","",INDEX(TRANSACTIONS_MASTER!$AA$5:$AA$1204,$Q22))</f>
        <v/>
      </c>
      <c r="N22" s="25" t="str">
        <f>IF($Q22="","",INDEX(TRANSACTIONS_MASTER!$R$5:$R$1204,$Q22))</f>
        <v/>
      </c>
      <c r="O22" s="28" t="str">
        <f>IF($Q22="","",INDEX(TRANSACTIONS_MASTER!$AB$5:$AB$1204,$Q22))</f>
        <v/>
      </c>
      <c r="P22" s="55" t="str">
        <f>IF($Q22="","",INDEX(TRANSACTIONS_MASTER!$Z$5:$Z$1204,$Q22)&amp;"")</f>
        <v/>
      </c>
      <c r="Q22" s="67" t="str">
        <f>IFERROR(MATCH($C$2&amp;"|"&amp;15,TRANSACTIONS_MASTER!$AE$5:$AE$1204,0),"")</f>
        <v/>
      </c>
      <c r="S22" s="67" t="str">
        <f>IFERROR(MATCH(15,CASHBACK_RULES!$S$5:$S$304,0),"")</f>
        <v/>
      </c>
      <c r="T22" s="55" t="str">
        <f>IF($S22="","",INDEX(CASHBACK_RULES!$B$5:$B$304,$S22))</f>
        <v/>
      </c>
      <c r="U22" s="55" t="str">
        <f>IF($S22="","",INDEX(CASHBACK_RULES!$C$5:$C$304,$S22)&amp;" "&amp;INDEX(CASHBACK_RULES!$D$5:$D$304,$S22))</f>
        <v/>
      </c>
      <c r="V22" s="55" t="str">
        <f>IF($S22="","",INDEX(CASHBACK_RULES!$E$5:$E$304,$S22)&amp;"")</f>
        <v/>
      </c>
      <c r="W22" s="55" t="str">
        <f>IF($S22="","",INDEX(CASHBACK_RULES!$F$5:$F$304,$S22)&amp;"")</f>
        <v/>
      </c>
      <c r="X22" s="26" t="str">
        <f>IF($S22="","",SUMIFS(TRANSACTIONS_MASTER!$Q$5:$Q$1204,TRANSACTIONS_MASTER!$D$5:$D$1204,$T22,TRANSACTIONS_MASTER!$Z$5:$Z$1204,$V22,TRANSACTIONS_MASTER!$C$5:$C$1204,$C$2))</f>
        <v/>
      </c>
      <c r="Y22" s="25" t="str">
        <f>IF($S22="","",IF(ISNUMBER(INDEX(CASHBACK_RULES!$J$5:$J$304,$S22)),INDEX(CASHBACK_RULES!$J$5:$J$304,$S22),"∞"))</f>
        <v/>
      </c>
      <c r="Z22" s="25" t="str">
        <f>IF($S22="","",IF(ISNUMBER($Y22),MAX(0,$Y22-$X22),"∞"))</f>
        <v/>
      </c>
      <c r="AA22" s="27" t="str">
        <f>IF($S22="","",IF(ISNUMBER($Y22),IF($Y22=0,0,$X22/$Y22),""))</f>
        <v/>
      </c>
    </row>
    <row r="23" ht="20" customHeight="1">
      <c r="A23" s="81" t="str">
        <f>IF($Q23="","",16)</f>
        <v/>
      </c>
      <c r="B23" s="57" t="str">
        <f>IF($Q23="","",INDEX(TRANSACTIONS_MASTER!$B$5:$B$1204,$Q23))</f>
        <v/>
      </c>
      <c r="C23" s="55" t="str">
        <f>IF($Q23="","",INDEX(TRANSACTIONS_MASTER!$F$5:$F$1204,$Q23))</f>
        <v/>
      </c>
      <c r="D23" s="55" t="str">
        <f>IF($Q23="","",INDEX(TRANSACTIONS_MASTER!$E$5:$E$1204,$Q23))</f>
        <v/>
      </c>
      <c r="E23" s="55" t="str">
        <f>IF($Q23="","",INDEX(TRANSACTIONS_MASTER!$G$5:$G$1204,$Q23)&amp;"")</f>
        <v/>
      </c>
      <c r="F23" s="29" t="str">
        <f>IF($Q23="","",INDEX(TRANSACTIONS_MASTER!$I$5:$I$1204,$Q23))</f>
        <v/>
      </c>
      <c r="G23" s="55" t="str">
        <f>IF($Q23="","",INDEX(TRANSACTIONS_MASTER!$K$5:$K$1204,$Q23))</f>
        <v/>
      </c>
      <c r="H23" s="25" t="str">
        <f>IF($Q23="","",INDEX(TRANSACTIONS_MASTER!$L$5:$L$1204,$Q23))</f>
        <v/>
      </c>
      <c r="I23" s="56" t="str">
        <f>IF($Q23="","",INDEX(TRANSACTIONS_MASTER!$N$5:$N$1204,$Q23))</f>
        <v/>
      </c>
      <c r="J23" s="25" t="str">
        <f>IF($Q23="","",INDEX(TRANSACTIONS_MASTER!$O$5:$O$1204,$Q23))</f>
        <v/>
      </c>
      <c r="K23" s="26" t="str">
        <f>IF($Q23="","",INDEX(TRANSACTIONS_MASTER!$Q$5:$Q$1204,$Q23))</f>
        <v/>
      </c>
      <c r="L23" s="25" t="str">
        <f>IF($Q23="","",INDEX(TRANSACTIONS_MASTER!$P$5:$P$1204,$Q23))</f>
        <v/>
      </c>
      <c r="M23" s="25" t="str">
        <f>IF($Q23="","",INDEX(TRANSACTIONS_MASTER!$AA$5:$AA$1204,$Q23))</f>
        <v/>
      </c>
      <c r="N23" s="25" t="str">
        <f>IF($Q23="","",INDEX(TRANSACTIONS_MASTER!$R$5:$R$1204,$Q23))</f>
        <v/>
      </c>
      <c r="O23" s="28" t="str">
        <f>IF($Q23="","",INDEX(TRANSACTIONS_MASTER!$AB$5:$AB$1204,$Q23))</f>
        <v/>
      </c>
      <c r="P23" s="55" t="str">
        <f>IF($Q23="","",INDEX(TRANSACTIONS_MASTER!$Z$5:$Z$1204,$Q23)&amp;"")</f>
        <v/>
      </c>
      <c r="Q23" s="67" t="str">
        <f>IFERROR(MATCH($C$2&amp;"|"&amp;16,TRANSACTIONS_MASTER!$AE$5:$AE$1204,0),"")</f>
        <v/>
      </c>
      <c r="S23" s="67" t="str">
        <f>IFERROR(MATCH(16,CASHBACK_RULES!$S$5:$S$304,0),"")</f>
        <v/>
      </c>
      <c r="T23" s="55" t="str">
        <f>IF($S23="","",INDEX(CASHBACK_RULES!$B$5:$B$304,$S23))</f>
        <v/>
      </c>
      <c r="U23" s="55" t="str">
        <f>IF($S23="","",INDEX(CASHBACK_RULES!$C$5:$C$304,$S23)&amp;" "&amp;INDEX(CASHBACK_RULES!$D$5:$D$304,$S23))</f>
        <v/>
      </c>
      <c r="V23" s="55" t="str">
        <f>IF($S23="","",INDEX(CASHBACK_RULES!$E$5:$E$304,$S23)&amp;"")</f>
        <v/>
      </c>
      <c r="W23" s="55" t="str">
        <f>IF($S23="","",INDEX(CASHBACK_RULES!$F$5:$F$304,$S23)&amp;"")</f>
        <v/>
      </c>
      <c r="X23" s="26" t="str">
        <f>IF($S23="","",SUMIFS(TRANSACTIONS_MASTER!$Q$5:$Q$1204,TRANSACTIONS_MASTER!$D$5:$D$1204,$T23,TRANSACTIONS_MASTER!$Z$5:$Z$1204,$V23,TRANSACTIONS_MASTER!$C$5:$C$1204,$C$2))</f>
        <v/>
      </c>
      <c r="Y23" s="25" t="str">
        <f>IF($S23="","",IF(ISNUMBER(INDEX(CASHBACK_RULES!$J$5:$J$304,$S23)),INDEX(CASHBACK_RULES!$J$5:$J$304,$S23),"∞"))</f>
        <v/>
      </c>
      <c r="Z23" s="25" t="str">
        <f>IF($S23="","",IF(ISNUMBER($Y23),MAX(0,$Y23-$X23),"∞"))</f>
        <v/>
      </c>
      <c r="AA23" s="27" t="str">
        <f>IF($S23="","",IF(ISNUMBER($Y23),IF($Y23=0,0,$X23/$Y23),""))</f>
        <v/>
      </c>
    </row>
    <row r="24" ht="20" customHeight="1">
      <c r="A24" s="81" t="str">
        <f>IF($Q24="","",17)</f>
        <v/>
      </c>
      <c r="B24" s="57" t="str">
        <f>IF($Q24="","",INDEX(TRANSACTIONS_MASTER!$B$5:$B$1204,$Q24))</f>
        <v/>
      </c>
      <c r="C24" s="55" t="str">
        <f>IF($Q24="","",INDEX(TRANSACTIONS_MASTER!$F$5:$F$1204,$Q24))</f>
        <v/>
      </c>
      <c r="D24" s="55" t="str">
        <f>IF($Q24="","",INDEX(TRANSACTIONS_MASTER!$E$5:$E$1204,$Q24))</f>
        <v/>
      </c>
      <c r="E24" s="55" t="str">
        <f>IF($Q24="","",INDEX(TRANSACTIONS_MASTER!$G$5:$G$1204,$Q24)&amp;"")</f>
        <v/>
      </c>
      <c r="F24" s="29" t="str">
        <f>IF($Q24="","",INDEX(TRANSACTIONS_MASTER!$I$5:$I$1204,$Q24))</f>
        <v/>
      </c>
      <c r="G24" s="55" t="str">
        <f>IF($Q24="","",INDEX(TRANSACTIONS_MASTER!$K$5:$K$1204,$Q24))</f>
        <v/>
      </c>
      <c r="H24" s="25" t="str">
        <f>IF($Q24="","",INDEX(TRANSACTIONS_MASTER!$L$5:$L$1204,$Q24))</f>
        <v/>
      </c>
      <c r="I24" s="56" t="str">
        <f>IF($Q24="","",INDEX(TRANSACTIONS_MASTER!$N$5:$N$1204,$Q24))</f>
        <v/>
      </c>
      <c r="J24" s="25" t="str">
        <f>IF($Q24="","",INDEX(TRANSACTIONS_MASTER!$O$5:$O$1204,$Q24))</f>
        <v/>
      </c>
      <c r="K24" s="26" t="str">
        <f>IF($Q24="","",INDEX(TRANSACTIONS_MASTER!$Q$5:$Q$1204,$Q24))</f>
        <v/>
      </c>
      <c r="L24" s="25" t="str">
        <f>IF($Q24="","",INDEX(TRANSACTIONS_MASTER!$P$5:$P$1204,$Q24))</f>
        <v/>
      </c>
      <c r="M24" s="25" t="str">
        <f>IF($Q24="","",INDEX(TRANSACTIONS_MASTER!$AA$5:$AA$1204,$Q24))</f>
        <v/>
      </c>
      <c r="N24" s="25" t="str">
        <f>IF($Q24="","",INDEX(TRANSACTIONS_MASTER!$R$5:$R$1204,$Q24))</f>
        <v/>
      </c>
      <c r="O24" s="28" t="str">
        <f>IF($Q24="","",INDEX(TRANSACTIONS_MASTER!$AB$5:$AB$1204,$Q24))</f>
        <v/>
      </c>
      <c r="P24" s="55" t="str">
        <f>IF($Q24="","",INDEX(TRANSACTIONS_MASTER!$Z$5:$Z$1204,$Q24)&amp;"")</f>
        <v/>
      </c>
      <c r="Q24" s="67" t="str">
        <f>IFERROR(MATCH($C$2&amp;"|"&amp;17,TRANSACTIONS_MASTER!$AE$5:$AE$1204,0),"")</f>
        <v/>
      </c>
      <c r="S24" s="67" t="str">
        <f>IFERROR(MATCH(17,CASHBACK_RULES!$S$5:$S$304,0),"")</f>
        <v/>
      </c>
      <c r="T24" s="55" t="str">
        <f>IF($S24="","",INDEX(CASHBACK_RULES!$B$5:$B$304,$S24))</f>
        <v/>
      </c>
      <c r="U24" s="55" t="str">
        <f>IF($S24="","",INDEX(CASHBACK_RULES!$C$5:$C$304,$S24)&amp;" "&amp;INDEX(CASHBACK_RULES!$D$5:$D$304,$S24))</f>
        <v/>
      </c>
      <c r="V24" s="55" t="str">
        <f>IF($S24="","",INDEX(CASHBACK_RULES!$E$5:$E$304,$S24)&amp;"")</f>
        <v/>
      </c>
      <c r="W24" s="55" t="str">
        <f>IF($S24="","",INDEX(CASHBACK_RULES!$F$5:$F$304,$S24)&amp;"")</f>
        <v/>
      </c>
      <c r="X24" s="26" t="str">
        <f>IF($S24="","",SUMIFS(TRANSACTIONS_MASTER!$Q$5:$Q$1204,TRANSACTIONS_MASTER!$D$5:$D$1204,$T24,TRANSACTIONS_MASTER!$Z$5:$Z$1204,$V24,TRANSACTIONS_MASTER!$C$5:$C$1204,$C$2))</f>
        <v/>
      </c>
      <c r="Y24" s="25" t="str">
        <f>IF($S24="","",IF(ISNUMBER(INDEX(CASHBACK_RULES!$J$5:$J$304,$S24)),INDEX(CASHBACK_RULES!$J$5:$J$304,$S24),"∞"))</f>
        <v/>
      </c>
      <c r="Z24" s="25" t="str">
        <f>IF($S24="","",IF(ISNUMBER($Y24),MAX(0,$Y24-$X24),"∞"))</f>
        <v/>
      </c>
      <c r="AA24" s="27" t="str">
        <f>IF($S24="","",IF(ISNUMBER($Y24),IF($Y24=0,0,$X24/$Y24),""))</f>
        <v/>
      </c>
    </row>
    <row r="25" ht="20" customHeight="1">
      <c r="A25" s="81" t="str">
        <f>IF($Q25="","",18)</f>
        <v/>
      </c>
      <c r="B25" s="57" t="str">
        <f>IF($Q25="","",INDEX(TRANSACTIONS_MASTER!$B$5:$B$1204,$Q25))</f>
        <v/>
      </c>
      <c r="C25" s="55" t="str">
        <f>IF($Q25="","",INDEX(TRANSACTIONS_MASTER!$F$5:$F$1204,$Q25))</f>
        <v/>
      </c>
      <c r="D25" s="55" t="str">
        <f>IF($Q25="","",INDEX(TRANSACTIONS_MASTER!$E$5:$E$1204,$Q25))</f>
        <v/>
      </c>
      <c r="E25" s="55" t="str">
        <f>IF($Q25="","",INDEX(TRANSACTIONS_MASTER!$G$5:$G$1204,$Q25)&amp;"")</f>
        <v/>
      </c>
      <c r="F25" s="29" t="str">
        <f>IF($Q25="","",INDEX(TRANSACTIONS_MASTER!$I$5:$I$1204,$Q25))</f>
        <v/>
      </c>
      <c r="G25" s="55" t="str">
        <f>IF($Q25="","",INDEX(TRANSACTIONS_MASTER!$K$5:$K$1204,$Q25))</f>
        <v/>
      </c>
      <c r="H25" s="25" t="str">
        <f>IF($Q25="","",INDEX(TRANSACTIONS_MASTER!$L$5:$L$1204,$Q25))</f>
        <v/>
      </c>
      <c r="I25" s="56" t="str">
        <f>IF($Q25="","",INDEX(TRANSACTIONS_MASTER!$N$5:$N$1204,$Q25))</f>
        <v/>
      </c>
      <c r="J25" s="25" t="str">
        <f>IF($Q25="","",INDEX(TRANSACTIONS_MASTER!$O$5:$O$1204,$Q25))</f>
        <v/>
      </c>
      <c r="K25" s="26" t="str">
        <f>IF($Q25="","",INDEX(TRANSACTIONS_MASTER!$Q$5:$Q$1204,$Q25))</f>
        <v/>
      </c>
      <c r="L25" s="25" t="str">
        <f>IF($Q25="","",INDEX(TRANSACTIONS_MASTER!$P$5:$P$1204,$Q25))</f>
        <v/>
      </c>
      <c r="M25" s="25" t="str">
        <f>IF($Q25="","",INDEX(TRANSACTIONS_MASTER!$AA$5:$AA$1204,$Q25))</f>
        <v/>
      </c>
      <c r="N25" s="25" t="str">
        <f>IF($Q25="","",INDEX(TRANSACTIONS_MASTER!$R$5:$R$1204,$Q25))</f>
        <v/>
      </c>
      <c r="O25" s="28" t="str">
        <f>IF($Q25="","",INDEX(TRANSACTIONS_MASTER!$AB$5:$AB$1204,$Q25))</f>
        <v/>
      </c>
      <c r="P25" s="55" t="str">
        <f>IF($Q25="","",INDEX(TRANSACTIONS_MASTER!$Z$5:$Z$1204,$Q25)&amp;"")</f>
        <v/>
      </c>
      <c r="Q25" s="67" t="str">
        <f>IFERROR(MATCH($C$2&amp;"|"&amp;18,TRANSACTIONS_MASTER!$AE$5:$AE$1204,0),"")</f>
        <v/>
      </c>
      <c r="S25" s="67" t="str">
        <f>IFERROR(MATCH(18,CASHBACK_RULES!$S$5:$S$304,0),"")</f>
        <v/>
      </c>
      <c r="T25" s="55" t="str">
        <f>IF($S25="","",INDEX(CASHBACK_RULES!$B$5:$B$304,$S25))</f>
        <v/>
      </c>
      <c r="U25" s="55" t="str">
        <f>IF($S25="","",INDEX(CASHBACK_RULES!$C$5:$C$304,$S25)&amp;" "&amp;INDEX(CASHBACK_RULES!$D$5:$D$304,$S25))</f>
        <v/>
      </c>
      <c r="V25" s="55" t="str">
        <f>IF($S25="","",INDEX(CASHBACK_RULES!$E$5:$E$304,$S25)&amp;"")</f>
        <v/>
      </c>
      <c r="W25" s="55" t="str">
        <f>IF($S25="","",INDEX(CASHBACK_RULES!$F$5:$F$304,$S25)&amp;"")</f>
        <v/>
      </c>
      <c r="X25" s="26" t="str">
        <f>IF($S25="","",SUMIFS(TRANSACTIONS_MASTER!$Q$5:$Q$1204,TRANSACTIONS_MASTER!$D$5:$D$1204,$T25,TRANSACTIONS_MASTER!$Z$5:$Z$1204,$V25,TRANSACTIONS_MASTER!$C$5:$C$1204,$C$2))</f>
        <v/>
      </c>
      <c r="Y25" s="25" t="str">
        <f>IF($S25="","",IF(ISNUMBER(INDEX(CASHBACK_RULES!$J$5:$J$304,$S25)),INDEX(CASHBACK_RULES!$J$5:$J$304,$S25),"∞"))</f>
        <v/>
      </c>
      <c r="Z25" s="25" t="str">
        <f>IF($S25="","",IF(ISNUMBER($Y25),MAX(0,$Y25-$X25),"∞"))</f>
        <v/>
      </c>
      <c r="AA25" s="27" t="str">
        <f>IF($S25="","",IF(ISNUMBER($Y25),IF($Y25=0,0,$X25/$Y25),""))</f>
        <v/>
      </c>
    </row>
    <row r="26" ht="20" customHeight="1">
      <c r="A26" s="81" t="str">
        <f>IF($Q26="","",19)</f>
        <v/>
      </c>
      <c r="B26" s="57" t="str">
        <f>IF($Q26="","",INDEX(TRANSACTIONS_MASTER!$B$5:$B$1204,$Q26))</f>
        <v/>
      </c>
      <c r="C26" s="55" t="str">
        <f>IF($Q26="","",INDEX(TRANSACTIONS_MASTER!$F$5:$F$1204,$Q26))</f>
        <v/>
      </c>
      <c r="D26" s="55" t="str">
        <f>IF($Q26="","",INDEX(TRANSACTIONS_MASTER!$E$5:$E$1204,$Q26))</f>
        <v/>
      </c>
      <c r="E26" s="55" t="str">
        <f>IF($Q26="","",INDEX(TRANSACTIONS_MASTER!$G$5:$G$1204,$Q26)&amp;"")</f>
        <v/>
      </c>
      <c r="F26" s="29" t="str">
        <f>IF($Q26="","",INDEX(TRANSACTIONS_MASTER!$I$5:$I$1204,$Q26))</f>
        <v/>
      </c>
      <c r="G26" s="55" t="str">
        <f>IF($Q26="","",INDEX(TRANSACTIONS_MASTER!$K$5:$K$1204,$Q26))</f>
        <v/>
      </c>
      <c r="H26" s="25" t="str">
        <f>IF($Q26="","",INDEX(TRANSACTIONS_MASTER!$L$5:$L$1204,$Q26))</f>
        <v/>
      </c>
      <c r="I26" s="56" t="str">
        <f>IF($Q26="","",INDEX(TRANSACTIONS_MASTER!$N$5:$N$1204,$Q26))</f>
        <v/>
      </c>
      <c r="J26" s="25" t="str">
        <f>IF($Q26="","",INDEX(TRANSACTIONS_MASTER!$O$5:$O$1204,$Q26))</f>
        <v/>
      </c>
      <c r="K26" s="26" t="str">
        <f>IF($Q26="","",INDEX(TRANSACTIONS_MASTER!$Q$5:$Q$1204,$Q26))</f>
        <v/>
      </c>
      <c r="L26" s="25" t="str">
        <f>IF($Q26="","",INDEX(TRANSACTIONS_MASTER!$P$5:$P$1204,$Q26))</f>
        <v/>
      </c>
      <c r="M26" s="25" t="str">
        <f>IF($Q26="","",INDEX(TRANSACTIONS_MASTER!$AA$5:$AA$1204,$Q26))</f>
        <v/>
      </c>
      <c r="N26" s="25" t="str">
        <f>IF($Q26="","",INDEX(TRANSACTIONS_MASTER!$R$5:$R$1204,$Q26))</f>
        <v/>
      </c>
      <c r="O26" s="28" t="str">
        <f>IF($Q26="","",INDEX(TRANSACTIONS_MASTER!$AB$5:$AB$1204,$Q26))</f>
        <v/>
      </c>
      <c r="P26" s="55" t="str">
        <f>IF($Q26="","",INDEX(TRANSACTIONS_MASTER!$Z$5:$Z$1204,$Q26)&amp;"")</f>
        <v/>
      </c>
      <c r="Q26" s="67" t="str">
        <f>IFERROR(MATCH($C$2&amp;"|"&amp;19,TRANSACTIONS_MASTER!$AE$5:$AE$1204,0),"")</f>
        <v/>
      </c>
      <c r="S26" s="67" t="str">
        <f>IFERROR(MATCH(19,CASHBACK_RULES!$S$5:$S$304,0),"")</f>
        <v/>
      </c>
      <c r="T26" s="55" t="str">
        <f>IF($S26="","",INDEX(CASHBACK_RULES!$B$5:$B$304,$S26))</f>
        <v/>
      </c>
      <c r="U26" s="55" t="str">
        <f>IF($S26="","",INDEX(CASHBACK_RULES!$C$5:$C$304,$S26)&amp;" "&amp;INDEX(CASHBACK_RULES!$D$5:$D$304,$S26))</f>
        <v/>
      </c>
      <c r="V26" s="55" t="str">
        <f>IF($S26="","",INDEX(CASHBACK_RULES!$E$5:$E$304,$S26)&amp;"")</f>
        <v/>
      </c>
      <c r="W26" s="55" t="str">
        <f>IF($S26="","",INDEX(CASHBACK_RULES!$F$5:$F$304,$S26)&amp;"")</f>
        <v/>
      </c>
      <c r="X26" s="26" t="str">
        <f>IF($S26="","",SUMIFS(TRANSACTIONS_MASTER!$Q$5:$Q$1204,TRANSACTIONS_MASTER!$D$5:$D$1204,$T26,TRANSACTIONS_MASTER!$Z$5:$Z$1204,$V26,TRANSACTIONS_MASTER!$C$5:$C$1204,$C$2))</f>
        <v/>
      </c>
      <c r="Y26" s="25" t="str">
        <f>IF($S26="","",IF(ISNUMBER(INDEX(CASHBACK_RULES!$J$5:$J$304,$S26)),INDEX(CASHBACK_RULES!$J$5:$J$304,$S26),"∞"))</f>
        <v/>
      </c>
      <c r="Z26" s="25" t="str">
        <f>IF($S26="","",IF(ISNUMBER($Y26),MAX(0,$Y26-$X26),"∞"))</f>
        <v/>
      </c>
      <c r="AA26" s="27" t="str">
        <f>IF($S26="","",IF(ISNUMBER($Y26),IF($Y26=0,0,$X26/$Y26),""))</f>
        <v/>
      </c>
    </row>
    <row r="27" ht="20" customHeight="1">
      <c r="A27" s="81" t="str">
        <f>IF($Q27="","",20)</f>
        <v/>
      </c>
      <c r="B27" s="57" t="str">
        <f>IF($Q27="","",INDEX(TRANSACTIONS_MASTER!$B$5:$B$1204,$Q27))</f>
        <v/>
      </c>
      <c r="C27" s="55" t="str">
        <f>IF($Q27="","",INDEX(TRANSACTIONS_MASTER!$F$5:$F$1204,$Q27))</f>
        <v/>
      </c>
      <c r="D27" s="55" t="str">
        <f>IF($Q27="","",INDEX(TRANSACTIONS_MASTER!$E$5:$E$1204,$Q27))</f>
        <v/>
      </c>
      <c r="E27" s="55" t="str">
        <f>IF($Q27="","",INDEX(TRANSACTIONS_MASTER!$G$5:$G$1204,$Q27)&amp;"")</f>
        <v/>
      </c>
      <c r="F27" s="29" t="str">
        <f>IF($Q27="","",INDEX(TRANSACTIONS_MASTER!$I$5:$I$1204,$Q27))</f>
        <v/>
      </c>
      <c r="G27" s="55" t="str">
        <f>IF($Q27="","",INDEX(TRANSACTIONS_MASTER!$K$5:$K$1204,$Q27))</f>
        <v/>
      </c>
      <c r="H27" s="25" t="str">
        <f>IF($Q27="","",INDEX(TRANSACTIONS_MASTER!$L$5:$L$1204,$Q27))</f>
        <v/>
      </c>
      <c r="I27" s="56" t="str">
        <f>IF($Q27="","",INDEX(TRANSACTIONS_MASTER!$N$5:$N$1204,$Q27))</f>
        <v/>
      </c>
      <c r="J27" s="25" t="str">
        <f>IF($Q27="","",INDEX(TRANSACTIONS_MASTER!$O$5:$O$1204,$Q27))</f>
        <v/>
      </c>
      <c r="K27" s="26" t="str">
        <f>IF($Q27="","",INDEX(TRANSACTIONS_MASTER!$Q$5:$Q$1204,$Q27))</f>
        <v/>
      </c>
      <c r="L27" s="25" t="str">
        <f>IF($Q27="","",INDEX(TRANSACTIONS_MASTER!$P$5:$P$1204,$Q27))</f>
        <v/>
      </c>
      <c r="M27" s="25" t="str">
        <f>IF($Q27="","",INDEX(TRANSACTIONS_MASTER!$AA$5:$AA$1204,$Q27))</f>
        <v/>
      </c>
      <c r="N27" s="25" t="str">
        <f>IF($Q27="","",INDEX(TRANSACTIONS_MASTER!$R$5:$R$1204,$Q27))</f>
        <v/>
      </c>
      <c r="O27" s="28" t="str">
        <f>IF($Q27="","",INDEX(TRANSACTIONS_MASTER!$AB$5:$AB$1204,$Q27))</f>
        <v/>
      </c>
      <c r="P27" s="55" t="str">
        <f>IF($Q27="","",INDEX(TRANSACTIONS_MASTER!$Z$5:$Z$1204,$Q27)&amp;"")</f>
        <v/>
      </c>
      <c r="Q27" s="67" t="str">
        <f>IFERROR(MATCH($C$2&amp;"|"&amp;20,TRANSACTIONS_MASTER!$AE$5:$AE$1204,0),"")</f>
        <v/>
      </c>
      <c r="S27" s="67" t="str">
        <f>IFERROR(MATCH(20,CASHBACK_RULES!$S$5:$S$304,0),"")</f>
        <v/>
      </c>
      <c r="T27" s="55" t="str">
        <f>IF($S27="","",INDEX(CASHBACK_RULES!$B$5:$B$304,$S27))</f>
        <v/>
      </c>
      <c r="U27" s="55" t="str">
        <f>IF($S27="","",INDEX(CASHBACK_RULES!$C$5:$C$304,$S27)&amp;" "&amp;INDEX(CASHBACK_RULES!$D$5:$D$304,$S27))</f>
        <v/>
      </c>
      <c r="V27" s="55" t="str">
        <f>IF($S27="","",INDEX(CASHBACK_RULES!$E$5:$E$304,$S27)&amp;"")</f>
        <v/>
      </c>
      <c r="W27" s="55" t="str">
        <f>IF($S27="","",INDEX(CASHBACK_RULES!$F$5:$F$304,$S27)&amp;"")</f>
        <v/>
      </c>
      <c r="X27" s="26" t="str">
        <f>IF($S27="","",SUMIFS(TRANSACTIONS_MASTER!$Q$5:$Q$1204,TRANSACTIONS_MASTER!$D$5:$D$1204,$T27,TRANSACTIONS_MASTER!$Z$5:$Z$1204,$V27,TRANSACTIONS_MASTER!$C$5:$C$1204,$C$2))</f>
        <v/>
      </c>
      <c r="Y27" s="25" t="str">
        <f>IF($S27="","",IF(ISNUMBER(INDEX(CASHBACK_RULES!$J$5:$J$304,$S27)),INDEX(CASHBACK_RULES!$J$5:$J$304,$S27),"∞"))</f>
        <v/>
      </c>
      <c r="Z27" s="25" t="str">
        <f>IF($S27="","",IF(ISNUMBER($Y27),MAX(0,$Y27-$X27),"∞"))</f>
        <v/>
      </c>
      <c r="AA27" s="27" t="str">
        <f>IF($S27="","",IF(ISNUMBER($Y27),IF($Y27=0,0,$X27/$Y27),""))</f>
        <v/>
      </c>
    </row>
    <row r="28" ht="20" customHeight="1">
      <c r="A28" s="81" t="str">
        <f>IF($Q28="","",21)</f>
        <v/>
      </c>
      <c r="B28" s="57" t="str">
        <f>IF($Q28="","",INDEX(TRANSACTIONS_MASTER!$B$5:$B$1204,$Q28))</f>
        <v/>
      </c>
      <c r="C28" s="55" t="str">
        <f>IF($Q28="","",INDEX(TRANSACTIONS_MASTER!$F$5:$F$1204,$Q28))</f>
        <v/>
      </c>
      <c r="D28" s="55" t="str">
        <f>IF($Q28="","",INDEX(TRANSACTIONS_MASTER!$E$5:$E$1204,$Q28))</f>
        <v/>
      </c>
      <c r="E28" s="55" t="str">
        <f>IF($Q28="","",INDEX(TRANSACTIONS_MASTER!$G$5:$G$1204,$Q28)&amp;"")</f>
        <v/>
      </c>
      <c r="F28" s="29" t="str">
        <f>IF($Q28="","",INDEX(TRANSACTIONS_MASTER!$I$5:$I$1204,$Q28))</f>
        <v/>
      </c>
      <c r="G28" s="55" t="str">
        <f>IF($Q28="","",INDEX(TRANSACTIONS_MASTER!$K$5:$K$1204,$Q28))</f>
        <v/>
      </c>
      <c r="H28" s="25" t="str">
        <f>IF($Q28="","",INDEX(TRANSACTIONS_MASTER!$L$5:$L$1204,$Q28))</f>
        <v/>
      </c>
      <c r="I28" s="56" t="str">
        <f>IF($Q28="","",INDEX(TRANSACTIONS_MASTER!$N$5:$N$1204,$Q28))</f>
        <v/>
      </c>
      <c r="J28" s="25" t="str">
        <f>IF($Q28="","",INDEX(TRANSACTIONS_MASTER!$O$5:$O$1204,$Q28))</f>
        <v/>
      </c>
      <c r="K28" s="26" t="str">
        <f>IF($Q28="","",INDEX(TRANSACTIONS_MASTER!$Q$5:$Q$1204,$Q28))</f>
        <v/>
      </c>
      <c r="L28" s="25" t="str">
        <f>IF($Q28="","",INDEX(TRANSACTIONS_MASTER!$P$5:$P$1204,$Q28))</f>
        <v/>
      </c>
      <c r="M28" s="25" t="str">
        <f>IF($Q28="","",INDEX(TRANSACTIONS_MASTER!$AA$5:$AA$1204,$Q28))</f>
        <v/>
      </c>
      <c r="N28" s="25" t="str">
        <f>IF($Q28="","",INDEX(TRANSACTIONS_MASTER!$R$5:$R$1204,$Q28))</f>
        <v/>
      </c>
      <c r="O28" s="28" t="str">
        <f>IF($Q28="","",INDEX(TRANSACTIONS_MASTER!$AB$5:$AB$1204,$Q28))</f>
        <v/>
      </c>
      <c r="P28" s="55" t="str">
        <f>IF($Q28="","",INDEX(TRANSACTIONS_MASTER!$Z$5:$Z$1204,$Q28)&amp;"")</f>
        <v/>
      </c>
      <c r="Q28" s="67" t="str">
        <f>IFERROR(MATCH($C$2&amp;"|"&amp;21,TRANSACTIONS_MASTER!$AE$5:$AE$1204,0),"")</f>
        <v/>
      </c>
      <c r="S28" s="67" t="str">
        <f>IFERROR(MATCH(21,CASHBACK_RULES!$S$5:$S$304,0),"")</f>
        <v/>
      </c>
      <c r="T28" s="55" t="str">
        <f>IF($S28="","",INDEX(CASHBACK_RULES!$B$5:$B$304,$S28))</f>
        <v/>
      </c>
      <c r="U28" s="55" t="str">
        <f>IF($S28="","",INDEX(CASHBACK_RULES!$C$5:$C$304,$S28)&amp;" "&amp;INDEX(CASHBACK_RULES!$D$5:$D$304,$S28))</f>
        <v/>
      </c>
      <c r="V28" s="55" t="str">
        <f>IF($S28="","",INDEX(CASHBACK_RULES!$E$5:$E$304,$S28)&amp;"")</f>
        <v/>
      </c>
      <c r="W28" s="55" t="str">
        <f>IF($S28="","",INDEX(CASHBACK_RULES!$F$5:$F$304,$S28)&amp;"")</f>
        <v/>
      </c>
      <c r="X28" s="26" t="str">
        <f>IF($S28="","",SUMIFS(TRANSACTIONS_MASTER!$Q$5:$Q$1204,TRANSACTIONS_MASTER!$D$5:$D$1204,$T28,TRANSACTIONS_MASTER!$Z$5:$Z$1204,$V28,TRANSACTIONS_MASTER!$C$5:$C$1204,$C$2))</f>
        <v/>
      </c>
      <c r="Y28" s="25" t="str">
        <f>IF($S28="","",IF(ISNUMBER(INDEX(CASHBACK_RULES!$J$5:$J$304,$S28)),INDEX(CASHBACK_RULES!$J$5:$J$304,$S28),"∞"))</f>
        <v/>
      </c>
      <c r="Z28" s="25" t="str">
        <f>IF($S28="","",IF(ISNUMBER($Y28),MAX(0,$Y28-$X28),"∞"))</f>
        <v/>
      </c>
      <c r="AA28" s="27" t="str">
        <f>IF($S28="","",IF(ISNUMBER($Y28),IF($Y28=0,0,$X28/$Y28),""))</f>
        <v/>
      </c>
    </row>
    <row r="29" ht="20" customHeight="1">
      <c r="A29" s="81" t="str">
        <f>IF($Q29="","",22)</f>
        <v/>
      </c>
      <c r="B29" s="57" t="str">
        <f>IF($Q29="","",INDEX(TRANSACTIONS_MASTER!$B$5:$B$1204,$Q29))</f>
        <v/>
      </c>
      <c r="C29" s="55" t="str">
        <f>IF($Q29="","",INDEX(TRANSACTIONS_MASTER!$F$5:$F$1204,$Q29))</f>
        <v/>
      </c>
      <c r="D29" s="55" t="str">
        <f>IF($Q29="","",INDEX(TRANSACTIONS_MASTER!$E$5:$E$1204,$Q29))</f>
        <v/>
      </c>
      <c r="E29" s="55" t="str">
        <f>IF($Q29="","",INDEX(TRANSACTIONS_MASTER!$G$5:$G$1204,$Q29)&amp;"")</f>
        <v/>
      </c>
      <c r="F29" s="29" t="str">
        <f>IF($Q29="","",INDEX(TRANSACTIONS_MASTER!$I$5:$I$1204,$Q29))</f>
        <v/>
      </c>
      <c r="G29" s="55" t="str">
        <f>IF($Q29="","",INDEX(TRANSACTIONS_MASTER!$K$5:$K$1204,$Q29))</f>
        <v/>
      </c>
      <c r="H29" s="25" t="str">
        <f>IF($Q29="","",INDEX(TRANSACTIONS_MASTER!$L$5:$L$1204,$Q29))</f>
        <v/>
      </c>
      <c r="I29" s="56" t="str">
        <f>IF($Q29="","",INDEX(TRANSACTIONS_MASTER!$N$5:$N$1204,$Q29))</f>
        <v/>
      </c>
      <c r="J29" s="25" t="str">
        <f>IF($Q29="","",INDEX(TRANSACTIONS_MASTER!$O$5:$O$1204,$Q29))</f>
        <v/>
      </c>
      <c r="K29" s="26" t="str">
        <f>IF($Q29="","",INDEX(TRANSACTIONS_MASTER!$Q$5:$Q$1204,$Q29))</f>
        <v/>
      </c>
      <c r="L29" s="25" t="str">
        <f>IF($Q29="","",INDEX(TRANSACTIONS_MASTER!$P$5:$P$1204,$Q29))</f>
        <v/>
      </c>
      <c r="M29" s="25" t="str">
        <f>IF($Q29="","",INDEX(TRANSACTIONS_MASTER!$AA$5:$AA$1204,$Q29))</f>
        <v/>
      </c>
      <c r="N29" s="25" t="str">
        <f>IF($Q29="","",INDEX(TRANSACTIONS_MASTER!$R$5:$R$1204,$Q29))</f>
        <v/>
      </c>
      <c r="O29" s="28" t="str">
        <f>IF($Q29="","",INDEX(TRANSACTIONS_MASTER!$AB$5:$AB$1204,$Q29))</f>
        <v/>
      </c>
      <c r="P29" s="55" t="str">
        <f>IF($Q29="","",INDEX(TRANSACTIONS_MASTER!$Z$5:$Z$1204,$Q29)&amp;"")</f>
        <v/>
      </c>
      <c r="Q29" s="67" t="str">
        <f>IFERROR(MATCH($C$2&amp;"|"&amp;22,TRANSACTIONS_MASTER!$AE$5:$AE$1204,0),"")</f>
        <v/>
      </c>
      <c r="S29" s="67" t="str">
        <f>IFERROR(MATCH(22,CASHBACK_RULES!$S$5:$S$304,0),"")</f>
        <v/>
      </c>
      <c r="T29" s="55" t="str">
        <f>IF($S29="","",INDEX(CASHBACK_RULES!$B$5:$B$304,$S29))</f>
        <v/>
      </c>
      <c r="U29" s="55" t="str">
        <f>IF($S29="","",INDEX(CASHBACK_RULES!$C$5:$C$304,$S29)&amp;" "&amp;INDEX(CASHBACK_RULES!$D$5:$D$304,$S29))</f>
        <v/>
      </c>
      <c r="V29" s="55" t="str">
        <f>IF($S29="","",INDEX(CASHBACK_RULES!$E$5:$E$304,$S29)&amp;"")</f>
        <v/>
      </c>
      <c r="W29" s="55" t="str">
        <f>IF($S29="","",INDEX(CASHBACK_RULES!$F$5:$F$304,$S29)&amp;"")</f>
        <v/>
      </c>
      <c r="X29" s="26" t="str">
        <f>IF($S29="","",SUMIFS(TRANSACTIONS_MASTER!$Q$5:$Q$1204,TRANSACTIONS_MASTER!$D$5:$D$1204,$T29,TRANSACTIONS_MASTER!$Z$5:$Z$1204,$V29,TRANSACTIONS_MASTER!$C$5:$C$1204,$C$2))</f>
        <v/>
      </c>
      <c r="Y29" s="25" t="str">
        <f>IF($S29="","",IF(ISNUMBER(INDEX(CASHBACK_RULES!$J$5:$J$304,$S29)),INDEX(CASHBACK_RULES!$J$5:$J$304,$S29),"∞"))</f>
        <v/>
      </c>
      <c r="Z29" s="25" t="str">
        <f>IF($S29="","",IF(ISNUMBER($Y29),MAX(0,$Y29-$X29),"∞"))</f>
        <v/>
      </c>
      <c r="AA29" s="27" t="str">
        <f>IF($S29="","",IF(ISNUMBER($Y29),IF($Y29=0,0,$X29/$Y29),""))</f>
        <v/>
      </c>
    </row>
    <row r="30" ht="20" customHeight="1">
      <c r="A30" s="81" t="str">
        <f>IF($Q30="","",23)</f>
        <v/>
      </c>
      <c r="B30" s="57" t="str">
        <f>IF($Q30="","",INDEX(TRANSACTIONS_MASTER!$B$5:$B$1204,$Q30))</f>
        <v/>
      </c>
      <c r="C30" s="55" t="str">
        <f>IF($Q30="","",INDEX(TRANSACTIONS_MASTER!$F$5:$F$1204,$Q30))</f>
        <v/>
      </c>
      <c r="D30" s="55" t="str">
        <f>IF($Q30="","",INDEX(TRANSACTIONS_MASTER!$E$5:$E$1204,$Q30))</f>
        <v/>
      </c>
      <c r="E30" s="55" t="str">
        <f>IF($Q30="","",INDEX(TRANSACTIONS_MASTER!$G$5:$G$1204,$Q30)&amp;"")</f>
        <v/>
      </c>
      <c r="F30" s="29" t="str">
        <f>IF($Q30="","",INDEX(TRANSACTIONS_MASTER!$I$5:$I$1204,$Q30))</f>
        <v/>
      </c>
      <c r="G30" s="55" t="str">
        <f>IF($Q30="","",INDEX(TRANSACTIONS_MASTER!$K$5:$K$1204,$Q30))</f>
        <v/>
      </c>
      <c r="H30" s="25" t="str">
        <f>IF($Q30="","",INDEX(TRANSACTIONS_MASTER!$L$5:$L$1204,$Q30))</f>
        <v/>
      </c>
      <c r="I30" s="56" t="str">
        <f>IF($Q30="","",INDEX(TRANSACTIONS_MASTER!$N$5:$N$1204,$Q30))</f>
        <v/>
      </c>
      <c r="J30" s="25" t="str">
        <f>IF($Q30="","",INDEX(TRANSACTIONS_MASTER!$O$5:$O$1204,$Q30))</f>
        <v/>
      </c>
      <c r="K30" s="26" t="str">
        <f>IF($Q30="","",INDEX(TRANSACTIONS_MASTER!$Q$5:$Q$1204,$Q30))</f>
        <v/>
      </c>
      <c r="L30" s="25" t="str">
        <f>IF($Q30="","",INDEX(TRANSACTIONS_MASTER!$P$5:$P$1204,$Q30))</f>
        <v/>
      </c>
      <c r="M30" s="25" t="str">
        <f>IF($Q30="","",INDEX(TRANSACTIONS_MASTER!$AA$5:$AA$1204,$Q30))</f>
        <v/>
      </c>
      <c r="N30" s="25" t="str">
        <f>IF($Q30="","",INDEX(TRANSACTIONS_MASTER!$R$5:$R$1204,$Q30))</f>
        <v/>
      </c>
      <c r="O30" s="28" t="str">
        <f>IF($Q30="","",INDEX(TRANSACTIONS_MASTER!$AB$5:$AB$1204,$Q30))</f>
        <v/>
      </c>
      <c r="P30" s="55" t="str">
        <f>IF($Q30="","",INDEX(TRANSACTIONS_MASTER!$Z$5:$Z$1204,$Q30)&amp;"")</f>
        <v/>
      </c>
      <c r="Q30" s="67" t="str">
        <f>IFERROR(MATCH($C$2&amp;"|"&amp;23,TRANSACTIONS_MASTER!$AE$5:$AE$1204,0),"")</f>
        <v/>
      </c>
      <c r="S30" s="67" t="str">
        <f>IFERROR(MATCH(23,CASHBACK_RULES!$S$5:$S$304,0),"")</f>
        <v/>
      </c>
      <c r="T30" s="55" t="str">
        <f>IF($S30="","",INDEX(CASHBACK_RULES!$B$5:$B$304,$S30))</f>
        <v/>
      </c>
      <c r="U30" s="55" t="str">
        <f>IF($S30="","",INDEX(CASHBACK_RULES!$C$5:$C$304,$S30)&amp;" "&amp;INDEX(CASHBACK_RULES!$D$5:$D$304,$S30))</f>
        <v/>
      </c>
      <c r="V30" s="55" t="str">
        <f>IF($S30="","",INDEX(CASHBACK_RULES!$E$5:$E$304,$S30)&amp;"")</f>
        <v/>
      </c>
      <c r="W30" s="55" t="str">
        <f>IF($S30="","",INDEX(CASHBACK_RULES!$F$5:$F$304,$S30)&amp;"")</f>
        <v/>
      </c>
      <c r="X30" s="26" t="str">
        <f>IF($S30="","",SUMIFS(TRANSACTIONS_MASTER!$Q$5:$Q$1204,TRANSACTIONS_MASTER!$D$5:$D$1204,$T30,TRANSACTIONS_MASTER!$Z$5:$Z$1204,$V30,TRANSACTIONS_MASTER!$C$5:$C$1204,$C$2))</f>
        <v/>
      </c>
      <c r="Y30" s="25" t="str">
        <f>IF($S30="","",IF(ISNUMBER(INDEX(CASHBACK_RULES!$J$5:$J$304,$S30)),INDEX(CASHBACK_RULES!$J$5:$J$304,$S30),"∞"))</f>
        <v/>
      </c>
      <c r="Z30" s="25" t="str">
        <f>IF($S30="","",IF(ISNUMBER($Y30),MAX(0,$Y30-$X30),"∞"))</f>
        <v/>
      </c>
      <c r="AA30" s="27" t="str">
        <f>IF($S30="","",IF(ISNUMBER($Y30),IF($Y30=0,0,$X30/$Y30),""))</f>
        <v/>
      </c>
    </row>
    <row r="31" ht="20" customHeight="1">
      <c r="A31" s="81" t="str">
        <f>IF($Q31="","",24)</f>
        <v/>
      </c>
      <c r="B31" s="57" t="str">
        <f>IF($Q31="","",INDEX(TRANSACTIONS_MASTER!$B$5:$B$1204,$Q31))</f>
        <v/>
      </c>
      <c r="C31" s="55" t="str">
        <f>IF($Q31="","",INDEX(TRANSACTIONS_MASTER!$F$5:$F$1204,$Q31))</f>
        <v/>
      </c>
      <c r="D31" s="55" t="str">
        <f>IF($Q31="","",INDEX(TRANSACTIONS_MASTER!$E$5:$E$1204,$Q31))</f>
        <v/>
      </c>
      <c r="E31" s="55" t="str">
        <f>IF($Q31="","",INDEX(TRANSACTIONS_MASTER!$G$5:$G$1204,$Q31)&amp;"")</f>
        <v/>
      </c>
      <c r="F31" s="29" t="str">
        <f>IF($Q31="","",INDEX(TRANSACTIONS_MASTER!$I$5:$I$1204,$Q31))</f>
        <v/>
      </c>
      <c r="G31" s="55" t="str">
        <f>IF($Q31="","",INDEX(TRANSACTIONS_MASTER!$K$5:$K$1204,$Q31))</f>
        <v/>
      </c>
      <c r="H31" s="25" t="str">
        <f>IF($Q31="","",INDEX(TRANSACTIONS_MASTER!$L$5:$L$1204,$Q31))</f>
        <v/>
      </c>
      <c r="I31" s="56" t="str">
        <f>IF($Q31="","",INDEX(TRANSACTIONS_MASTER!$N$5:$N$1204,$Q31))</f>
        <v/>
      </c>
      <c r="J31" s="25" t="str">
        <f>IF($Q31="","",INDEX(TRANSACTIONS_MASTER!$O$5:$O$1204,$Q31))</f>
        <v/>
      </c>
      <c r="K31" s="26" t="str">
        <f>IF($Q31="","",INDEX(TRANSACTIONS_MASTER!$Q$5:$Q$1204,$Q31))</f>
        <v/>
      </c>
      <c r="L31" s="25" t="str">
        <f>IF($Q31="","",INDEX(TRANSACTIONS_MASTER!$P$5:$P$1204,$Q31))</f>
        <v/>
      </c>
      <c r="M31" s="25" t="str">
        <f>IF($Q31="","",INDEX(TRANSACTIONS_MASTER!$AA$5:$AA$1204,$Q31))</f>
        <v/>
      </c>
      <c r="N31" s="25" t="str">
        <f>IF($Q31="","",INDEX(TRANSACTIONS_MASTER!$R$5:$R$1204,$Q31))</f>
        <v/>
      </c>
      <c r="O31" s="28" t="str">
        <f>IF($Q31="","",INDEX(TRANSACTIONS_MASTER!$AB$5:$AB$1204,$Q31))</f>
        <v/>
      </c>
      <c r="P31" s="55" t="str">
        <f>IF($Q31="","",INDEX(TRANSACTIONS_MASTER!$Z$5:$Z$1204,$Q31)&amp;"")</f>
        <v/>
      </c>
      <c r="Q31" s="67" t="str">
        <f>IFERROR(MATCH($C$2&amp;"|"&amp;24,TRANSACTIONS_MASTER!$AE$5:$AE$1204,0),"")</f>
        <v/>
      </c>
      <c r="S31" s="67" t="str">
        <f>IFERROR(MATCH(24,CASHBACK_RULES!$S$5:$S$304,0),"")</f>
        <v/>
      </c>
      <c r="T31" s="55" t="str">
        <f>IF($S31="","",INDEX(CASHBACK_RULES!$B$5:$B$304,$S31))</f>
        <v/>
      </c>
      <c r="U31" s="55" t="str">
        <f>IF($S31="","",INDEX(CASHBACK_RULES!$C$5:$C$304,$S31)&amp;" "&amp;INDEX(CASHBACK_RULES!$D$5:$D$304,$S31))</f>
        <v/>
      </c>
      <c r="V31" s="55" t="str">
        <f>IF($S31="","",INDEX(CASHBACK_RULES!$E$5:$E$304,$S31)&amp;"")</f>
        <v/>
      </c>
      <c r="W31" s="55" t="str">
        <f>IF($S31="","",INDEX(CASHBACK_RULES!$F$5:$F$304,$S31)&amp;"")</f>
        <v/>
      </c>
      <c r="X31" s="26" t="str">
        <f>IF($S31="","",SUMIFS(TRANSACTIONS_MASTER!$Q$5:$Q$1204,TRANSACTIONS_MASTER!$D$5:$D$1204,$T31,TRANSACTIONS_MASTER!$Z$5:$Z$1204,$V31,TRANSACTIONS_MASTER!$C$5:$C$1204,$C$2))</f>
        <v/>
      </c>
      <c r="Y31" s="25" t="str">
        <f>IF($S31="","",IF(ISNUMBER(INDEX(CASHBACK_RULES!$J$5:$J$304,$S31)),INDEX(CASHBACK_RULES!$J$5:$J$304,$S31),"∞"))</f>
        <v/>
      </c>
      <c r="Z31" s="25" t="str">
        <f>IF($S31="","",IF(ISNUMBER($Y31),MAX(0,$Y31-$X31),"∞"))</f>
        <v/>
      </c>
      <c r="AA31" s="27" t="str">
        <f>IF($S31="","",IF(ISNUMBER($Y31),IF($Y31=0,0,$X31/$Y31),""))</f>
        <v/>
      </c>
    </row>
    <row r="32" ht="20" customHeight="1">
      <c r="A32" s="81" t="str">
        <f>IF($Q32="","",25)</f>
        <v/>
      </c>
      <c r="B32" s="57" t="str">
        <f>IF($Q32="","",INDEX(TRANSACTIONS_MASTER!$B$5:$B$1204,$Q32))</f>
        <v/>
      </c>
      <c r="C32" s="55" t="str">
        <f>IF($Q32="","",INDEX(TRANSACTIONS_MASTER!$F$5:$F$1204,$Q32))</f>
        <v/>
      </c>
      <c r="D32" s="55" t="str">
        <f>IF($Q32="","",INDEX(TRANSACTIONS_MASTER!$E$5:$E$1204,$Q32))</f>
        <v/>
      </c>
      <c r="E32" s="55" t="str">
        <f>IF($Q32="","",INDEX(TRANSACTIONS_MASTER!$G$5:$G$1204,$Q32)&amp;"")</f>
        <v/>
      </c>
      <c r="F32" s="29" t="str">
        <f>IF($Q32="","",INDEX(TRANSACTIONS_MASTER!$I$5:$I$1204,$Q32))</f>
        <v/>
      </c>
      <c r="G32" s="55" t="str">
        <f>IF($Q32="","",INDEX(TRANSACTIONS_MASTER!$K$5:$K$1204,$Q32))</f>
        <v/>
      </c>
      <c r="H32" s="25" t="str">
        <f>IF($Q32="","",INDEX(TRANSACTIONS_MASTER!$L$5:$L$1204,$Q32))</f>
        <v/>
      </c>
      <c r="I32" s="56" t="str">
        <f>IF($Q32="","",INDEX(TRANSACTIONS_MASTER!$N$5:$N$1204,$Q32))</f>
        <v/>
      </c>
      <c r="J32" s="25" t="str">
        <f>IF($Q32="","",INDEX(TRANSACTIONS_MASTER!$O$5:$O$1204,$Q32))</f>
        <v/>
      </c>
      <c r="K32" s="26" t="str">
        <f>IF($Q32="","",INDEX(TRANSACTIONS_MASTER!$Q$5:$Q$1204,$Q32))</f>
        <v/>
      </c>
      <c r="L32" s="25" t="str">
        <f>IF($Q32="","",INDEX(TRANSACTIONS_MASTER!$P$5:$P$1204,$Q32))</f>
        <v/>
      </c>
      <c r="M32" s="25" t="str">
        <f>IF($Q32="","",INDEX(TRANSACTIONS_MASTER!$AA$5:$AA$1204,$Q32))</f>
        <v/>
      </c>
      <c r="N32" s="25" t="str">
        <f>IF($Q32="","",INDEX(TRANSACTIONS_MASTER!$R$5:$R$1204,$Q32))</f>
        <v/>
      </c>
      <c r="O32" s="28" t="str">
        <f>IF($Q32="","",INDEX(TRANSACTIONS_MASTER!$AB$5:$AB$1204,$Q32))</f>
        <v/>
      </c>
      <c r="P32" s="55" t="str">
        <f>IF($Q32="","",INDEX(TRANSACTIONS_MASTER!$Z$5:$Z$1204,$Q32)&amp;"")</f>
        <v/>
      </c>
      <c r="Q32" s="67" t="str">
        <f>IFERROR(MATCH($C$2&amp;"|"&amp;25,TRANSACTIONS_MASTER!$AE$5:$AE$1204,0),"")</f>
        <v/>
      </c>
      <c r="S32" s="67" t="str">
        <f>IFERROR(MATCH(25,CASHBACK_RULES!$S$5:$S$304,0),"")</f>
        <v/>
      </c>
      <c r="T32" s="55" t="str">
        <f>IF($S32="","",INDEX(CASHBACK_RULES!$B$5:$B$304,$S32))</f>
        <v/>
      </c>
      <c r="U32" s="55" t="str">
        <f>IF($S32="","",INDEX(CASHBACK_RULES!$C$5:$C$304,$S32)&amp;" "&amp;INDEX(CASHBACK_RULES!$D$5:$D$304,$S32))</f>
        <v/>
      </c>
      <c r="V32" s="55" t="str">
        <f>IF($S32="","",INDEX(CASHBACK_RULES!$E$5:$E$304,$S32)&amp;"")</f>
        <v/>
      </c>
      <c r="W32" s="55" t="str">
        <f>IF($S32="","",INDEX(CASHBACK_RULES!$F$5:$F$304,$S32)&amp;"")</f>
        <v/>
      </c>
      <c r="X32" s="26" t="str">
        <f>IF($S32="","",SUMIFS(TRANSACTIONS_MASTER!$Q$5:$Q$1204,TRANSACTIONS_MASTER!$D$5:$D$1204,$T32,TRANSACTIONS_MASTER!$Z$5:$Z$1204,$V32,TRANSACTIONS_MASTER!$C$5:$C$1204,$C$2))</f>
        <v/>
      </c>
      <c r="Y32" s="25" t="str">
        <f>IF($S32="","",IF(ISNUMBER(INDEX(CASHBACK_RULES!$J$5:$J$304,$S32)),INDEX(CASHBACK_RULES!$J$5:$J$304,$S32),"∞"))</f>
        <v/>
      </c>
      <c r="Z32" s="25" t="str">
        <f>IF($S32="","",IF(ISNUMBER($Y32),MAX(0,$Y32-$X32),"∞"))</f>
        <v/>
      </c>
      <c r="AA32" s="27" t="str">
        <f>IF($S32="","",IF(ISNUMBER($Y32),IF($Y32=0,0,$X32/$Y32),""))</f>
        <v/>
      </c>
    </row>
    <row r="33" ht="20" customHeight="1">
      <c r="A33" s="81" t="str">
        <f>IF($Q33="","",26)</f>
        <v/>
      </c>
      <c r="B33" s="57" t="str">
        <f>IF($Q33="","",INDEX(TRANSACTIONS_MASTER!$B$5:$B$1204,$Q33))</f>
        <v/>
      </c>
      <c r="C33" s="55" t="str">
        <f>IF($Q33="","",INDEX(TRANSACTIONS_MASTER!$F$5:$F$1204,$Q33))</f>
        <v/>
      </c>
      <c r="D33" s="55" t="str">
        <f>IF($Q33="","",INDEX(TRANSACTIONS_MASTER!$E$5:$E$1204,$Q33))</f>
        <v/>
      </c>
      <c r="E33" s="55" t="str">
        <f>IF($Q33="","",INDEX(TRANSACTIONS_MASTER!$G$5:$G$1204,$Q33)&amp;"")</f>
        <v/>
      </c>
      <c r="F33" s="29" t="str">
        <f>IF($Q33="","",INDEX(TRANSACTIONS_MASTER!$I$5:$I$1204,$Q33))</f>
        <v/>
      </c>
      <c r="G33" s="55" t="str">
        <f>IF($Q33="","",INDEX(TRANSACTIONS_MASTER!$K$5:$K$1204,$Q33))</f>
        <v/>
      </c>
      <c r="H33" s="25" t="str">
        <f>IF($Q33="","",INDEX(TRANSACTIONS_MASTER!$L$5:$L$1204,$Q33))</f>
        <v/>
      </c>
      <c r="I33" s="56" t="str">
        <f>IF($Q33="","",INDEX(TRANSACTIONS_MASTER!$N$5:$N$1204,$Q33))</f>
        <v/>
      </c>
      <c r="J33" s="25" t="str">
        <f>IF($Q33="","",INDEX(TRANSACTIONS_MASTER!$O$5:$O$1204,$Q33))</f>
        <v/>
      </c>
      <c r="K33" s="26" t="str">
        <f>IF($Q33="","",INDEX(TRANSACTIONS_MASTER!$Q$5:$Q$1204,$Q33))</f>
        <v/>
      </c>
      <c r="L33" s="25" t="str">
        <f>IF($Q33="","",INDEX(TRANSACTIONS_MASTER!$P$5:$P$1204,$Q33))</f>
        <v/>
      </c>
      <c r="M33" s="25" t="str">
        <f>IF($Q33="","",INDEX(TRANSACTIONS_MASTER!$AA$5:$AA$1204,$Q33))</f>
        <v/>
      </c>
      <c r="N33" s="25" t="str">
        <f>IF($Q33="","",INDEX(TRANSACTIONS_MASTER!$R$5:$R$1204,$Q33))</f>
        <v/>
      </c>
      <c r="O33" s="28" t="str">
        <f>IF($Q33="","",INDEX(TRANSACTIONS_MASTER!$AB$5:$AB$1204,$Q33))</f>
        <v/>
      </c>
      <c r="P33" s="55" t="str">
        <f>IF($Q33="","",INDEX(TRANSACTIONS_MASTER!$Z$5:$Z$1204,$Q33)&amp;"")</f>
        <v/>
      </c>
      <c r="Q33" s="67" t="str">
        <f>IFERROR(MATCH($C$2&amp;"|"&amp;26,TRANSACTIONS_MASTER!$AE$5:$AE$1204,0),"")</f>
        <v/>
      </c>
      <c r="S33" s="67" t="str">
        <f>IFERROR(MATCH(26,CASHBACK_RULES!$S$5:$S$304,0),"")</f>
        <v/>
      </c>
      <c r="T33" s="55" t="str">
        <f>IF($S33="","",INDEX(CASHBACK_RULES!$B$5:$B$304,$S33))</f>
        <v/>
      </c>
      <c r="U33" s="55" t="str">
        <f>IF($S33="","",INDEX(CASHBACK_RULES!$C$5:$C$304,$S33)&amp;" "&amp;INDEX(CASHBACK_RULES!$D$5:$D$304,$S33))</f>
        <v/>
      </c>
      <c r="V33" s="55" t="str">
        <f>IF($S33="","",INDEX(CASHBACK_RULES!$E$5:$E$304,$S33)&amp;"")</f>
        <v/>
      </c>
      <c r="W33" s="55" t="str">
        <f>IF($S33="","",INDEX(CASHBACK_RULES!$F$5:$F$304,$S33)&amp;"")</f>
        <v/>
      </c>
      <c r="X33" s="26" t="str">
        <f>IF($S33="","",SUMIFS(TRANSACTIONS_MASTER!$Q$5:$Q$1204,TRANSACTIONS_MASTER!$D$5:$D$1204,$T33,TRANSACTIONS_MASTER!$Z$5:$Z$1204,$V33,TRANSACTIONS_MASTER!$C$5:$C$1204,$C$2))</f>
        <v/>
      </c>
      <c r="Y33" s="25" t="str">
        <f>IF($S33="","",IF(ISNUMBER(INDEX(CASHBACK_RULES!$J$5:$J$304,$S33)),INDEX(CASHBACK_RULES!$J$5:$J$304,$S33),"∞"))</f>
        <v/>
      </c>
      <c r="Z33" s="25" t="str">
        <f>IF($S33="","",IF(ISNUMBER($Y33),MAX(0,$Y33-$X33),"∞"))</f>
        <v/>
      </c>
      <c r="AA33" s="27" t="str">
        <f>IF($S33="","",IF(ISNUMBER($Y33),IF($Y33=0,0,$X33/$Y33),""))</f>
        <v/>
      </c>
    </row>
    <row r="34" ht="20" customHeight="1">
      <c r="A34" s="81" t="str">
        <f>IF($Q34="","",27)</f>
        <v/>
      </c>
      <c r="B34" s="57" t="str">
        <f>IF($Q34="","",INDEX(TRANSACTIONS_MASTER!$B$5:$B$1204,$Q34))</f>
        <v/>
      </c>
      <c r="C34" s="55" t="str">
        <f>IF($Q34="","",INDEX(TRANSACTIONS_MASTER!$F$5:$F$1204,$Q34))</f>
        <v/>
      </c>
      <c r="D34" s="55" t="str">
        <f>IF($Q34="","",INDEX(TRANSACTIONS_MASTER!$E$5:$E$1204,$Q34))</f>
        <v/>
      </c>
      <c r="E34" s="55" t="str">
        <f>IF($Q34="","",INDEX(TRANSACTIONS_MASTER!$G$5:$G$1204,$Q34)&amp;"")</f>
        <v/>
      </c>
      <c r="F34" s="29" t="str">
        <f>IF($Q34="","",INDEX(TRANSACTIONS_MASTER!$I$5:$I$1204,$Q34))</f>
        <v/>
      </c>
      <c r="G34" s="55" t="str">
        <f>IF($Q34="","",INDEX(TRANSACTIONS_MASTER!$K$5:$K$1204,$Q34))</f>
        <v/>
      </c>
      <c r="H34" s="25" t="str">
        <f>IF($Q34="","",INDEX(TRANSACTIONS_MASTER!$L$5:$L$1204,$Q34))</f>
        <v/>
      </c>
      <c r="I34" s="56" t="str">
        <f>IF($Q34="","",INDEX(TRANSACTIONS_MASTER!$N$5:$N$1204,$Q34))</f>
        <v/>
      </c>
      <c r="J34" s="25" t="str">
        <f>IF($Q34="","",INDEX(TRANSACTIONS_MASTER!$O$5:$O$1204,$Q34))</f>
        <v/>
      </c>
      <c r="K34" s="26" t="str">
        <f>IF($Q34="","",INDEX(TRANSACTIONS_MASTER!$Q$5:$Q$1204,$Q34))</f>
        <v/>
      </c>
      <c r="L34" s="25" t="str">
        <f>IF($Q34="","",INDEX(TRANSACTIONS_MASTER!$P$5:$P$1204,$Q34))</f>
        <v/>
      </c>
      <c r="M34" s="25" t="str">
        <f>IF($Q34="","",INDEX(TRANSACTIONS_MASTER!$AA$5:$AA$1204,$Q34))</f>
        <v/>
      </c>
      <c r="N34" s="25" t="str">
        <f>IF($Q34="","",INDEX(TRANSACTIONS_MASTER!$R$5:$R$1204,$Q34))</f>
        <v/>
      </c>
      <c r="O34" s="28" t="str">
        <f>IF($Q34="","",INDEX(TRANSACTIONS_MASTER!$AB$5:$AB$1204,$Q34))</f>
        <v/>
      </c>
      <c r="P34" s="55" t="str">
        <f>IF($Q34="","",INDEX(TRANSACTIONS_MASTER!$Z$5:$Z$1204,$Q34)&amp;"")</f>
        <v/>
      </c>
      <c r="Q34" s="67" t="str">
        <f>IFERROR(MATCH($C$2&amp;"|"&amp;27,TRANSACTIONS_MASTER!$AE$5:$AE$1204,0),"")</f>
        <v/>
      </c>
      <c r="S34" s="67" t="str">
        <f>IFERROR(MATCH(27,CASHBACK_RULES!$S$5:$S$304,0),"")</f>
        <v/>
      </c>
      <c r="T34" s="55" t="str">
        <f>IF($S34="","",INDEX(CASHBACK_RULES!$B$5:$B$304,$S34))</f>
        <v/>
      </c>
      <c r="U34" s="55" t="str">
        <f>IF($S34="","",INDEX(CASHBACK_RULES!$C$5:$C$304,$S34)&amp;" "&amp;INDEX(CASHBACK_RULES!$D$5:$D$304,$S34))</f>
        <v/>
      </c>
      <c r="V34" s="55" t="str">
        <f>IF($S34="","",INDEX(CASHBACK_RULES!$E$5:$E$304,$S34)&amp;"")</f>
        <v/>
      </c>
      <c r="W34" s="55" t="str">
        <f>IF($S34="","",INDEX(CASHBACK_RULES!$F$5:$F$304,$S34)&amp;"")</f>
        <v/>
      </c>
      <c r="X34" s="26" t="str">
        <f>IF($S34="","",SUMIFS(TRANSACTIONS_MASTER!$Q$5:$Q$1204,TRANSACTIONS_MASTER!$D$5:$D$1204,$T34,TRANSACTIONS_MASTER!$Z$5:$Z$1204,$V34,TRANSACTIONS_MASTER!$C$5:$C$1204,$C$2))</f>
        <v/>
      </c>
      <c r="Y34" s="25" t="str">
        <f>IF($S34="","",IF(ISNUMBER(INDEX(CASHBACK_RULES!$J$5:$J$304,$S34)),INDEX(CASHBACK_RULES!$J$5:$J$304,$S34),"∞"))</f>
        <v/>
      </c>
      <c r="Z34" s="25" t="str">
        <f>IF($S34="","",IF(ISNUMBER($Y34),MAX(0,$Y34-$X34),"∞"))</f>
        <v/>
      </c>
      <c r="AA34" s="27" t="str">
        <f>IF($S34="","",IF(ISNUMBER($Y34),IF($Y34=0,0,$X34/$Y34),""))</f>
        <v/>
      </c>
    </row>
    <row r="35" ht="20" customHeight="1">
      <c r="A35" s="81" t="str">
        <f>IF($Q35="","",28)</f>
        <v/>
      </c>
      <c r="B35" s="57" t="str">
        <f>IF($Q35="","",INDEX(TRANSACTIONS_MASTER!$B$5:$B$1204,$Q35))</f>
        <v/>
      </c>
      <c r="C35" s="55" t="str">
        <f>IF($Q35="","",INDEX(TRANSACTIONS_MASTER!$F$5:$F$1204,$Q35))</f>
        <v/>
      </c>
      <c r="D35" s="55" t="str">
        <f>IF($Q35="","",INDEX(TRANSACTIONS_MASTER!$E$5:$E$1204,$Q35))</f>
        <v/>
      </c>
      <c r="E35" s="55" t="str">
        <f>IF($Q35="","",INDEX(TRANSACTIONS_MASTER!$G$5:$G$1204,$Q35)&amp;"")</f>
        <v/>
      </c>
      <c r="F35" s="29" t="str">
        <f>IF($Q35="","",INDEX(TRANSACTIONS_MASTER!$I$5:$I$1204,$Q35))</f>
        <v/>
      </c>
      <c r="G35" s="55" t="str">
        <f>IF($Q35="","",INDEX(TRANSACTIONS_MASTER!$K$5:$K$1204,$Q35))</f>
        <v/>
      </c>
      <c r="H35" s="25" t="str">
        <f>IF($Q35="","",INDEX(TRANSACTIONS_MASTER!$L$5:$L$1204,$Q35))</f>
        <v/>
      </c>
      <c r="I35" s="56" t="str">
        <f>IF($Q35="","",INDEX(TRANSACTIONS_MASTER!$N$5:$N$1204,$Q35))</f>
        <v/>
      </c>
      <c r="J35" s="25" t="str">
        <f>IF($Q35="","",INDEX(TRANSACTIONS_MASTER!$O$5:$O$1204,$Q35))</f>
        <v/>
      </c>
      <c r="K35" s="26" t="str">
        <f>IF($Q35="","",INDEX(TRANSACTIONS_MASTER!$Q$5:$Q$1204,$Q35))</f>
        <v/>
      </c>
      <c r="L35" s="25" t="str">
        <f>IF($Q35="","",INDEX(TRANSACTIONS_MASTER!$P$5:$P$1204,$Q35))</f>
        <v/>
      </c>
      <c r="M35" s="25" t="str">
        <f>IF($Q35="","",INDEX(TRANSACTIONS_MASTER!$AA$5:$AA$1204,$Q35))</f>
        <v/>
      </c>
      <c r="N35" s="25" t="str">
        <f>IF($Q35="","",INDEX(TRANSACTIONS_MASTER!$R$5:$R$1204,$Q35))</f>
        <v/>
      </c>
      <c r="O35" s="28" t="str">
        <f>IF($Q35="","",INDEX(TRANSACTIONS_MASTER!$AB$5:$AB$1204,$Q35))</f>
        <v/>
      </c>
      <c r="P35" s="55" t="str">
        <f>IF($Q35="","",INDEX(TRANSACTIONS_MASTER!$Z$5:$Z$1204,$Q35)&amp;"")</f>
        <v/>
      </c>
      <c r="Q35" s="67" t="str">
        <f>IFERROR(MATCH($C$2&amp;"|"&amp;28,TRANSACTIONS_MASTER!$AE$5:$AE$1204,0),"")</f>
        <v/>
      </c>
      <c r="S35" s="67" t="str">
        <f>IFERROR(MATCH(28,CASHBACK_RULES!$S$5:$S$304,0),"")</f>
        <v/>
      </c>
      <c r="T35" s="55" t="str">
        <f>IF($S35="","",INDEX(CASHBACK_RULES!$B$5:$B$304,$S35))</f>
        <v/>
      </c>
      <c r="U35" s="55" t="str">
        <f>IF($S35="","",INDEX(CASHBACK_RULES!$C$5:$C$304,$S35)&amp;" "&amp;INDEX(CASHBACK_RULES!$D$5:$D$304,$S35))</f>
        <v/>
      </c>
      <c r="V35" s="55" t="str">
        <f>IF($S35="","",INDEX(CASHBACK_RULES!$E$5:$E$304,$S35)&amp;"")</f>
        <v/>
      </c>
      <c r="W35" s="55" t="str">
        <f>IF($S35="","",INDEX(CASHBACK_RULES!$F$5:$F$304,$S35)&amp;"")</f>
        <v/>
      </c>
      <c r="X35" s="26" t="str">
        <f>IF($S35="","",SUMIFS(TRANSACTIONS_MASTER!$Q$5:$Q$1204,TRANSACTIONS_MASTER!$D$5:$D$1204,$T35,TRANSACTIONS_MASTER!$Z$5:$Z$1204,$V35,TRANSACTIONS_MASTER!$C$5:$C$1204,$C$2))</f>
        <v/>
      </c>
      <c r="Y35" s="25" t="str">
        <f>IF($S35="","",IF(ISNUMBER(INDEX(CASHBACK_RULES!$J$5:$J$304,$S35)),INDEX(CASHBACK_RULES!$J$5:$J$304,$S35),"∞"))</f>
        <v/>
      </c>
      <c r="Z35" s="25" t="str">
        <f>IF($S35="","",IF(ISNUMBER($Y35),MAX(0,$Y35-$X35),"∞"))</f>
        <v/>
      </c>
      <c r="AA35" s="27" t="str">
        <f>IF($S35="","",IF(ISNUMBER($Y35),IF($Y35=0,0,$X35/$Y35),""))</f>
        <v/>
      </c>
    </row>
    <row r="36" ht="20" customHeight="1">
      <c r="A36" s="81" t="str">
        <f>IF($Q36="","",29)</f>
        <v/>
      </c>
      <c r="B36" s="57" t="str">
        <f>IF($Q36="","",INDEX(TRANSACTIONS_MASTER!$B$5:$B$1204,$Q36))</f>
        <v/>
      </c>
      <c r="C36" s="55" t="str">
        <f>IF($Q36="","",INDEX(TRANSACTIONS_MASTER!$F$5:$F$1204,$Q36))</f>
        <v/>
      </c>
      <c r="D36" s="55" t="str">
        <f>IF($Q36="","",INDEX(TRANSACTIONS_MASTER!$E$5:$E$1204,$Q36))</f>
        <v/>
      </c>
      <c r="E36" s="55" t="str">
        <f>IF($Q36="","",INDEX(TRANSACTIONS_MASTER!$G$5:$G$1204,$Q36)&amp;"")</f>
        <v/>
      </c>
      <c r="F36" s="29" t="str">
        <f>IF($Q36="","",INDEX(TRANSACTIONS_MASTER!$I$5:$I$1204,$Q36))</f>
        <v/>
      </c>
      <c r="G36" s="55" t="str">
        <f>IF($Q36="","",INDEX(TRANSACTIONS_MASTER!$K$5:$K$1204,$Q36))</f>
        <v/>
      </c>
      <c r="H36" s="25" t="str">
        <f>IF($Q36="","",INDEX(TRANSACTIONS_MASTER!$L$5:$L$1204,$Q36))</f>
        <v/>
      </c>
      <c r="I36" s="56" t="str">
        <f>IF($Q36="","",INDEX(TRANSACTIONS_MASTER!$N$5:$N$1204,$Q36))</f>
        <v/>
      </c>
      <c r="J36" s="25" t="str">
        <f>IF($Q36="","",INDEX(TRANSACTIONS_MASTER!$O$5:$O$1204,$Q36))</f>
        <v/>
      </c>
      <c r="K36" s="26" t="str">
        <f>IF($Q36="","",INDEX(TRANSACTIONS_MASTER!$Q$5:$Q$1204,$Q36))</f>
        <v/>
      </c>
      <c r="L36" s="25" t="str">
        <f>IF($Q36="","",INDEX(TRANSACTIONS_MASTER!$P$5:$P$1204,$Q36))</f>
        <v/>
      </c>
      <c r="M36" s="25" t="str">
        <f>IF($Q36="","",INDEX(TRANSACTIONS_MASTER!$AA$5:$AA$1204,$Q36))</f>
        <v/>
      </c>
      <c r="N36" s="25" t="str">
        <f>IF($Q36="","",INDEX(TRANSACTIONS_MASTER!$R$5:$R$1204,$Q36))</f>
        <v/>
      </c>
      <c r="O36" s="28" t="str">
        <f>IF($Q36="","",INDEX(TRANSACTIONS_MASTER!$AB$5:$AB$1204,$Q36))</f>
        <v/>
      </c>
      <c r="P36" s="55" t="str">
        <f>IF($Q36="","",INDEX(TRANSACTIONS_MASTER!$Z$5:$Z$1204,$Q36)&amp;"")</f>
        <v/>
      </c>
      <c r="Q36" s="67" t="str">
        <f>IFERROR(MATCH($C$2&amp;"|"&amp;29,TRANSACTIONS_MASTER!$AE$5:$AE$1204,0),"")</f>
        <v/>
      </c>
      <c r="S36" s="67" t="str">
        <f>IFERROR(MATCH(29,CASHBACK_RULES!$S$5:$S$304,0),"")</f>
        <v/>
      </c>
      <c r="T36" s="55" t="str">
        <f>IF($S36="","",INDEX(CASHBACK_RULES!$B$5:$B$304,$S36))</f>
        <v/>
      </c>
      <c r="U36" s="55" t="str">
        <f>IF($S36="","",INDEX(CASHBACK_RULES!$C$5:$C$304,$S36)&amp;" "&amp;INDEX(CASHBACK_RULES!$D$5:$D$304,$S36))</f>
        <v/>
      </c>
      <c r="V36" s="55" t="str">
        <f>IF($S36="","",INDEX(CASHBACK_RULES!$E$5:$E$304,$S36)&amp;"")</f>
        <v/>
      </c>
      <c r="W36" s="55" t="str">
        <f>IF($S36="","",INDEX(CASHBACK_RULES!$F$5:$F$304,$S36)&amp;"")</f>
        <v/>
      </c>
      <c r="X36" s="26" t="str">
        <f>IF($S36="","",SUMIFS(TRANSACTIONS_MASTER!$Q$5:$Q$1204,TRANSACTIONS_MASTER!$D$5:$D$1204,$T36,TRANSACTIONS_MASTER!$Z$5:$Z$1204,$V36,TRANSACTIONS_MASTER!$C$5:$C$1204,$C$2))</f>
        <v/>
      </c>
      <c r="Y36" s="25" t="str">
        <f>IF($S36="","",IF(ISNUMBER(INDEX(CASHBACK_RULES!$J$5:$J$304,$S36)),INDEX(CASHBACK_RULES!$J$5:$J$304,$S36),"∞"))</f>
        <v/>
      </c>
      <c r="Z36" s="25" t="str">
        <f>IF($S36="","",IF(ISNUMBER($Y36),MAX(0,$Y36-$X36),"∞"))</f>
        <v/>
      </c>
      <c r="AA36" s="27" t="str">
        <f>IF($S36="","",IF(ISNUMBER($Y36),IF($Y36=0,0,$X36/$Y36),""))</f>
        <v/>
      </c>
    </row>
    <row r="37" ht="20" customHeight="1">
      <c r="A37" s="81" t="str">
        <f>IF($Q37="","",30)</f>
        <v/>
      </c>
      <c r="B37" s="57" t="str">
        <f>IF($Q37="","",INDEX(TRANSACTIONS_MASTER!$B$5:$B$1204,$Q37))</f>
        <v/>
      </c>
      <c r="C37" s="55" t="str">
        <f>IF($Q37="","",INDEX(TRANSACTIONS_MASTER!$F$5:$F$1204,$Q37))</f>
        <v/>
      </c>
      <c r="D37" s="55" t="str">
        <f>IF($Q37="","",INDEX(TRANSACTIONS_MASTER!$E$5:$E$1204,$Q37))</f>
        <v/>
      </c>
      <c r="E37" s="55" t="str">
        <f>IF($Q37="","",INDEX(TRANSACTIONS_MASTER!$G$5:$G$1204,$Q37)&amp;"")</f>
        <v/>
      </c>
      <c r="F37" s="29" t="str">
        <f>IF($Q37="","",INDEX(TRANSACTIONS_MASTER!$I$5:$I$1204,$Q37))</f>
        <v/>
      </c>
      <c r="G37" s="55" t="str">
        <f>IF($Q37="","",INDEX(TRANSACTIONS_MASTER!$K$5:$K$1204,$Q37))</f>
        <v/>
      </c>
      <c r="H37" s="25" t="str">
        <f>IF($Q37="","",INDEX(TRANSACTIONS_MASTER!$L$5:$L$1204,$Q37))</f>
        <v/>
      </c>
      <c r="I37" s="56" t="str">
        <f>IF($Q37="","",INDEX(TRANSACTIONS_MASTER!$N$5:$N$1204,$Q37))</f>
        <v/>
      </c>
      <c r="J37" s="25" t="str">
        <f>IF($Q37="","",INDEX(TRANSACTIONS_MASTER!$O$5:$O$1204,$Q37))</f>
        <v/>
      </c>
      <c r="K37" s="26" t="str">
        <f>IF($Q37="","",INDEX(TRANSACTIONS_MASTER!$Q$5:$Q$1204,$Q37))</f>
        <v/>
      </c>
      <c r="L37" s="25" t="str">
        <f>IF($Q37="","",INDEX(TRANSACTIONS_MASTER!$P$5:$P$1204,$Q37))</f>
        <v/>
      </c>
      <c r="M37" s="25" t="str">
        <f>IF($Q37="","",INDEX(TRANSACTIONS_MASTER!$AA$5:$AA$1204,$Q37))</f>
        <v/>
      </c>
      <c r="N37" s="25" t="str">
        <f>IF($Q37="","",INDEX(TRANSACTIONS_MASTER!$R$5:$R$1204,$Q37))</f>
        <v/>
      </c>
      <c r="O37" s="28" t="str">
        <f>IF($Q37="","",INDEX(TRANSACTIONS_MASTER!$AB$5:$AB$1204,$Q37))</f>
        <v/>
      </c>
      <c r="P37" s="55" t="str">
        <f>IF($Q37="","",INDEX(TRANSACTIONS_MASTER!$Z$5:$Z$1204,$Q37)&amp;"")</f>
        <v/>
      </c>
      <c r="Q37" s="67" t="str">
        <f>IFERROR(MATCH($C$2&amp;"|"&amp;30,TRANSACTIONS_MASTER!$AE$5:$AE$1204,0),"")</f>
        <v/>
      </c>
      <c r="S37" s="67" t="str">
        <f>IFERROR(MATCH(30,CASHBACK_RULES!$S$5:$S$304,0),"")</f>
        <v/>
      </c>
      <c r="T37" s="55" t="str">
        <f>IF($S37="","",INDEX(CASHBACK_RULES!$B$5:$B$304,$S37))</f>
        <v/>
      </c>
      <c r="U37" s="55" t="str">
        <f>IF($S37="","",INDEX(CASHBACK_RULES!$C$5:$C$304,$S37)&amp;" "&amp;INDEX(CASHBACK_RULES!$D$5:$D$304,$S37))</f>
        <v/>
      </c>
      <c r="V37" s="55" t="str">
        <f>IF($S37="","",INDEX(CASHBACK_RULES!$E$5:$E$304,$S37)&amp;"")</f>
        <v/>
      </c>
      <c r="W37" s="55" t="str">
        <f>IF($S37="","",INDEX(CASHBACK_RULES!$F$5:$F$304,$S37)&amp;"")</f>
        <v/>
      </c>
      <c r="X37" s="26" t="str">
        <f>IF($S37="","",SUMIFS(TRANSACTIONS_MASTER!$Q$5:$Q$1204,TRANSACTIONS_MASTER!$D$5:$D$1204,$T37,TRANSACTIONS_MASTER!$Z$5:$Z$1204,$V37,TRANSACTIONS_MASTER!$C$5:$C$1204,$C$2))</f>
        <v/>
      </c>
      <c r="Y37" s="25" t="str">
        <f>IF($S37="","",IF(ISNUMBER(INDEX(CASHBACK_RULES!$J$5:$J$304,$S37)),INDEX(CASHBACK_RULES!$J$5:$J$304,$S37),"∞"))</f>
        <v/>
      </c>
      <c r="Z37" s="25" t="str">
        <f>IF($S37="","",IF(ISNUMBER($Y37),MAX(0,$Y37-$X37),"∞"))</f>
        <v/>
      </c>
      <c r="AA37" s="27" t="str">
        <f>IF($S37="","",IF(ISNUMBER($Y37),IF($Y37=0,0,$X37/$Y37),""))</f>
        <v/>
      </c>
    </row>
    <row r="38" ht="20" customHeight="1">
      <c r="A38" s="81" t="str">
        <f>IF($Q38="","",31)</f>
        <v/>
      </c>
      <c r="B38" s="57" t="str">
        <f>IF($Q38="","",INDEX(TRANSACTIONS_MASTER!$B$5:$B$1204,$Q38))</f>
        <v/>
      </c>
      <c r="C38" s="55" t="str">
        <f>IF($Q38="","",INDEX(TRANSACTIONS_MASTER!$F$5:$F$1204,$Q38))</f>
        <v/>
      </c>
      <c r="D38" s="55" t="str">
        <f>IF($Q38="","",INDEX(TRANSACTIONS_MASTER!$E$5:$E$1204,$Q38))</f>
        <v/>
      </c>
      <c r="E38" s="55" t="str">
        <f>IF($Q38="","",INDEX(TRANSACTIONS_MASTER!$G$5:$G$1204,$Q38)&amp;"")</f>
        <v/>
      </c>
      <c r="F38" s="29" t="str">
        <f>IF($Q38="","",INDEX(TRANSACTIONS_MASTER!$I$5:$I$1204,$Q38))</f>
        <v/>
      </c>
      <c r="G38" s="55" t="str">
        <f>IF($Q38="","",INDEX(TRANSACTIONS_MASTER!$K$5:$K$1204,$Q38))</f>
        <v/>
      </c>
      <c r="H38" s="25" t="str">
        <f>IF($Q38="","",INDEX(TRANSACTIONS_MASTER!$L$5:$L$1204,$Q38))</f>
        <v/>
      </c>
      <c r="I38" s="56" t="str">
        <f>IF($Q38="","",INDEX(TRANSACTIONS_MASTER!$N$5:$N$1204,$Q38))</f>
        <v/>
      </c>
      <c r="J38" s="25" t="str">
        <f>IF($Q38="","",INDEX(TRANSACTIONS_MASTER!$O$5:$O$1204,$Q38))</f>
        <v/>
      </c>
      <c r="K38" s="26" t="str">
        <f>IF($Q38="","",INDEX(TRANSACTIONS_MASTER!$Q$5:$Q$1204,$Q38))</f>
        <v/>
      </c>
      <c r="L38" s="25" t="str">
        <f>IF($Q38="","",INDEX(TRANSACTIONS_MASTER!$P$5:$P$1204,$Q38))</f>
        <v/>
      </c>
      <c r="M38" s="25" t="str">
        <f>IF($Q38="","",INDEX(TRANSACTIONS_MASTER!$AA$5:$AA$1204,$Q38))</f>
        <v/>
      </c>
      <c r="N38" s="25" t="str">
        <f>IF($Q38="","",INDEX(TRANSACTIONS_MASTER!$R$5:$R$1204,$Q38))</f>
        <v/>
      </c>
      <c r="O38" s="28" t="str">
        <f>IF($Q38="","",INDEX(TRANSACTIONS_MASTER!$AB$5:$AB$1204,$Q38))</f>
        <v/>
      </c>
      <c r="P38" s="55" t="str">
        <f>IF($Q38="","",INDEX(TRANSACTIONS_MASTER!$Z$5:$Z$1204,$Q38)&amp;"")</f>
        <v/>
      </c>
      <c r="Q38" s="67" t="str">
        <f>IFERROR(MATCH($C$2&amp;"|"&amp;31,TRANSACTIONS_MASTER!$AE$5:$AE$1204,0),"")</f>
        <v/>
      </c>
      <c r="S38" s="67" t="str">
        <f>IFERROR(MATCH(31,CASHBACK_RULES!$S$5:$S$304,0),"")</f>
        <v/>
      </c>
      <c r="T38" s="55" t="str">
        <f>IF($S38="","",INDEX(CASHBACK_RULES!$B$5:$B$304,$S38))</f>
        <v/>
      </c>
      <c r="U38" s="55" t="str">
        <f>IF($S38="","",INDEX(CASHBACK_RULES!$C$5:$C$304,$S38)&amp;" "&amp;INDEX(CASHBACK_RULES!$D$5:$D$304,$S38))</f>
        <v/>
      </c>
      <c r="V38" s="55" t="str">
        <f>IF($S38="","",INDEX(CASHBACK_RULES!$E$5:$E$304,$S38)&amp;"")</f>
        <v/>
      </c>
      <c r="W38" s="55" t="str">
        <f>IF($S38="","",INDEX(CASHBACK_RULES!$F$5:$F$304,$S38)&amp;"")</f>
        <v/>
      </c>
      <c r="X38" s="26" t="str">
        <f>IF($S38="","",SUMIFS(TRANSACTIONS_MASTER!$Q$5:$Q$1204,TRANSACTIONS_MASTER!$D$5:$D$1204,$T38,TRANSACTIONS_MASTER!$Z$5:$Z$1204,$V38,TRANSACTIONS_MASTER!$C$5:$C$1204,$C$2))</f>
        <v/>
      </c>
      <c r="Y38" s="25" t="str">
        <f>IF($S38="","",IF(ISNUMBER(INDEX(CASHBACK_RULES!$J$5:$J$304,$S38)),INDEX(CASHBACK_RULES!$J$5:$J$304,$S38),"∞"))</f>
        <v/>
      </c>
      <c r="Z38" s="25" t="str">
        <f>IF($S38="","",IF(ISNUMBER($Y38),MAX(0,$Y38-$X38),"∞"))</f>
        <v/>
      </c>
      <c r="AA38" s="27" t="str">
        <f>IF($S38="","",IF(ISNUMBER($Y38),IF($Y38=0,0,$X38/$Y38),""))</f>
        <v/>
      </c>
    </row>
    <row r="39" ht="20" customHeight="1">
      <c r="A39" s="81" t="str">
        <f>IF($Q39="","",32)</f>
        <v/>
      </c>
      <c r="B39" s="57" t="str">
        <f>IF($Q39="","",INDEX(TRANSACTIONS_MASTER!$B$5:$B$1204,$Q39))</f>
        <v/>
      </c>
      <c r="C39" s="55" t="str">
        <f>IF($Q39="","",INDEX(TRANSACTIONS_MASTER!$F$5:$F$1204,$Q39))</f>
        <v/>
      </c>
      <c r="D39" s="55" t="str">
        <f>IF($Q39="","",INDEX(TRANSACTIONS_MASTER!$E$5:$E$1204,$Q39))</f>
        <v/>
      </c>
      <c r="E39" s="55" t="str">
        <f>IF($Q39="","",INDEX(TRANSACTIONS_MASTER!$G$5:$G$1204,$Q39)&amp;"")</f>
        <v/>
      </c>
      <c r="F39" s="29" t="str">
        <f>IF($Q39="","",INDEX(TRANSACTIONS_MASTER!$I$5:$I$1204,$Q39))</f>
        <v/>
      </c>
      <c r="G39" s="55" t="str">
        <f>IF($Q39="","",INDEX(TRANSACTIONS_MASTER!$K$5:$K$1204,$Q39))</f>
        <v/>
      </c>
      <c r="H39" s="25" t="str">
        <f>IF($Q39="","",INDEX(TRANSACTIONS_MASTER!$L$5:$L$1204,$Q39))</f>
        <v/>
      </c>
      <c r="I39" s="56" t="str">
        <f>IF($Q39="","",INDEX(TRANSACTIONS_MASTER!$N$5:$N$1204,$Q39))</f>
        <v/>
      </c>
      <c r="J39" s="25" t="str">
        <f>IF($Q39="","",INDEX(TRANSACTIONS_MASTER!$O$5:$O$1204,$Q39))</f>
        <v/>
      </c>
      <c r="K39" s="26" t="str">
        <f>IF($Q39="","",INDEX(TRANSACTIONS_MASTER!$Q$5:$Q$1204,$Q39))</f>
        <v/>
      </c>
      <c r="L39" s="25" t="str">
        <f>IF($Q39="","",INDEX(TRANSACTIONS_MASTER!$P$5:$P$1204,$Q39))</f>
        <v/>
      </c>
      <c r="M39" s="25" t="str">
        <f>IF($Q39="","",INDEX(TRANSACTIONS_MASTER!$AA$5:$AA$1204,$Q39))</f>
        <v/>
      </c>
      <c r="N39" s="25" t="str">
        <f>IF($Q39="","",INDEX(TRANSACTIONS_MASTER!$R$5:$R$1204,$Q39))</f>
        <v/>
      </c>
      <c r="O39" s="28" t="str">
        <f>IF($Q39="","",INDEX(TRANSACTIONS_MASTER!$AB$5:$AB$1204,$Q39))</f>
        <v/>
      </c>
      <c r="P39" s="55" t="str">
        <f>IF($Q39="","",INDEX(TRANSACTIONS_MASTER!$Z$5:$Z$1204,$Q39)&amp;"")</f>
        <v/>
      </c>
      <c r="Q39" s="67" t="str">
        <f>IFERROR(MATCH($C$2&amp;"|"&amp;32,TRANSACTIONS_MASTER!$AE$5:$AE$1204,0),"")</f>
        <v/>
      </c>
      <c r="S39" s="67" t="str">
        <f>IFERROR(MATCH(32,CASHBACK_RULES!$S$5:$S$304,0),"")</f>
        <v/>
      </c>
      <c r="T39" s="55" t="str">
        <f>IF($S39="","",INDEX(CASHBACK_RULES!$B$5:$B$304,$S39))</f>
        <v/>
      </c>
      <c r="U39" s="55" t="str">
        <f>IF($S39="","",INDEX(CASHBACK_RULES!$C$5:$C$304,$S39)&amp;" "&amp;INDEX(CASHBACK_RULES!$D$5:$D$304,$S39))</f>
        <v/>
      </c>
      <c r="V39" s="55" t="str">
        <f>IF($S39="","",INDEX(CASHBACK_RULES!$E$5:$E$304,$S39)&amp;"")</f>
        <v/>
      </c>
      <c r="W39" s="55" t="str">
        <f>IF($S39="","",INDEX(CASHBACK_RULES!$F$5:$F$304,$S39)&amp;"")</f>
        <v/>
      </c>
      <c r="X39" s="26" t="str">
        <f>IF($S39="","",SUMIFS(TRANSACTIONS_MASTER!$Q$5:$Q$1204,TRANSACTIONS_MASTER!$D$5:$D$1204,$T39,TRANSACTIONS_MASTER!$Z$5:$Z$1204,$V39,TRANSACTIONS_MASTER!$C$5:$C$1204,$C$2))</f>
        <v/>
      </c>
      <c r="Y39" s="25" t="str">
        <f>IF($S39="","",IF(ISNUMBER(INDEX(CASHBACK_RULES!$J$5:$J$304,$S39)),INDEX(CASHBACK_RULES!$J$5:$J$304,$S39),"∞"))</f>
        <v/>
      </c>
      <c r="Z39" s="25" t="str">
        <f>IF($S39="","",IF(ISNUMBER($Y39),MAX(0,$Y39-$X39),"∞"))</f>
        <v/>
      </c>
      <c r="AA39" s="27" t="str">
        <f>IF($S39="","",IF(ISNUMBER($Y39),IF($Y39=0,0,$X39/$Y39),""))</f>
        <v/>
      </c>
    </row>
    <row r="40" ht="20" customHeight="1">
      <c r="A40" s="81" t="str">
        <f>IF($Q40="","",33)</f>
        <v/>
      </c>
      <c r="B40" s="57" t="str">
        <f>IF($Q40="","",INDEX(TRANSACTIONS_MASTER!$B$5:$B$1204,$Q40))</f>
        <v/>
      </c>
      <c r="C40" s="55" t="str">
        <f>IF($Q40="","",INDEX(TRANSACTIONS_MASTER!$F$5:$F$1204,$Q40))</f>
        <v/>
      </c>
      <c r="D40" s="55" t="str">
        <f>IF($Q40="","",INDEX(TRANSACTIONS_MASTER!$E$5:$E$1204,$Q40))</f>
        <v/>
      </c>
      <c r="E40" s="55" t="str">
        <f>IF($Q40="","",INDEX(TRANSACTIONS_MASTER!$G$5:$G$1204,$Q40)&amp;"")</f>
        <v/>
      </c>
      <c r="F40" s="29" t="str">
        <f>IF($Q40="","",INDEX(TRANSACTIONS_MASTER!$I$5:$I$1204,$Q40))</f>
        <v/>
      </c>
      <c r="G40" s="55" t="str">
        <f>IF($Q40="","",INDEX(TRANSACTIONS_MASTER!$K$5:$K$1204,$Q40))</f>
        <v/>
      </c>
      <c r="H40" s="25" t="str">
        <f>IF($Q40="","",INDEX(TRANSACTIONS_MASTER!$L$5:$L$1204,$Q40))</f>
        <v/>
      </c>
      <c r="I40" s="56" t="str">
        <f>IF($Q40="","",INDEX(TRANSACTIONS_MASTER!$N$5:$N$1204,$Q40))</f>
        <v/>
      </c>
      <c r="J40" s="25" t="str">
        <f>IF($Q40="","",INDEX(TRANSACTIONS_MASTER!$O$5:$O$1204,$Q40))</f>
        <v/>
      </c>
      <c r="K40" s="26" t="str">
        <f>IF($Q40="","",INDEX(TRANSACTIONS_MASTER!$Q$5:$Q$1204,$Q40))</f>
        <v/>
      </c>
      <c r="L40" s="25" t="str">
        <f>IF($Q40="","",INDEX(TRANSACTIONS_MASTER!$P$5:$P$1204,$Q40))</f>
        <v/>
      </c>
      <c r="M40" s="25" t="str">
        <f>IF($Q40="","",INDEX(TRANSACTIONS_MASTER!$AA$5:$AA$1204,$Q40))</f>
        <v/>
      </c>
      <c r="N40" s="25" t="str">
        <f>IF($Q40="","",INDEX(TRANSACTIONS_MASTER!$R$5:$R$1204,$Q40))</f>
        <v/>
      </c>
      <c r="O40" s="28" t="str">
        <f>IF($Q40="","",INDEX(TRANSACTIONS_MASTER!$AB$5:$AB$1204,$Q40))</f>
        <v/>
      </c>
      <c r="P40" s="55" t="str">
        <f>IF($Q40="","",INDEX(TRANSACTIONS_MASTER!$Z$5:$Z$1204,$Q40)&amp;"")</f>
        <v/>
      </c>
      <c r="Q40" s="67" t="str">
        <f>IFERROR(MATCH($C$2&amp;"|"&amp;33,TRANSACTIONS_MASTER!$AE$5:$AE$1204,0),"")</f>
        <v/>
      </c>
      <c r="S40" s="67" t="str">
        <f>IFERROR(MATCH(33,CASHBACK_RULES!$S$5:$S$304,0),"")</f>
        <v/>
      </c>
      <c r="T40" s="55" t="str">
        <f>IF($S40="","",INDEX(CASHBACK_RULES!$B$5:$B$304,$S40))</f>
        <v/>
      </c>
      <c r="U40" s="55" t="str">
        <f>IF($S40="","",INDEX(CASHBACK_RULES!$C$5:$C$304,$S40)&amp;" "&amp;INDEX(CASHBACK_RULES!$D$5:$D$304,$S40))</f>
        <v/>
      </c>
      <c r="V40" s="55" t="str">
        <f>IF($S40="","",INDEX(CASHBACK_RULES!$E$5:$E$304,$S40)&amp;"")</f>
        <v/>
      </c>
      <c r="W40" s="55" t="str">
        <f>IF($S40="","",INDEX(CASHBACK_RULES!$F$5:$F$304,$S40)&amp;"")</f>
        <v/>
      </c>
      <c r="X40" s="26" t="str">
        <f>IF($S40="","",SUMIFS(TRANSACTIONS_MASTER!$Q$5:$Q$1204,TRANSACTIONS_MASTER!$D$5:$D$1204,$T40,TRANSACTIONS_MASTER!$Z$5:$Z$1204,$V40,TRANSACTIONS_MASTER!$C$5:$C$1204,$C$2))</f>
        <v/>
      </c>
      <c r="Y40" s="25" t="str">
        <f>IF($S40="","",IF(ISNUMBER(INDEX(CASHBACK_RULES!$J$5:$J$304,$S40)),INDEX(CASHBACK_RULES!$J$5:$J$304,$S40),"∞"))</f>
        <v/>
      </c>
      <c r="Z40" s="25" t="str">
        <f>IF($S40="","",IF(ISNUMBER($Y40),MAX(0,$Y40-$X40),"∞"))</f>
        <v/>
      </c>
      <c r="AA40" s="27" t="str">
        <f>IF($S40="","",IF(ISNUMBER($Y40),IF($Y40=0,0,$X40/$Y40),""))</f>
        <v/>
      </c>
    </row>
    <row r="41" ht="20" customHeight="1">
      <c r="A41" s="81" t="str">
        <f>IF($Q41="","",34)</f>
        <v/>
      </c>
      <c r="B41" s="57" t="str">
        <f>IF($Q41="","",INDEX(TRANSACTIONS_MASTER!$B$5:$B$1204,$Q41))</f>
        <v/>
      </c>
      <c r="C41" s="55" t="str">
        <f>IF($Q41="","",INDEX(TRANSACTIONS_MASTER!$F$5:$F$1204,$Q41))</f>
        <v/>
      </c>
      <c r="D41" s="55" t="str">
        <f>IF($Q41="","",INDEX(TRANSACTIONS_MASTER!$E$5:$E$1204,$Q41))</f>
        <v/>
      </c>
      <c r="E41" s="55" t="str">
        <f>IF($Q41="","",INDEX(TRANSACTIONS_MASTER!$G$5:$G$1204,$Q41)&amp;"")</f>
        <v/>
      </c>
      <c r="F41" s="29" t="str">
        <f>IF($Q41="","",INDEX(TRANSACTIONS_MASTER!$I$5:$I$1204,$Q41))</f>
        <v/>
      </c>
      <c r="G41" s="55" t="str">
        <f>IF($Q41="","",INDEX(TRANSACTIONS_MASTER!$K$5:$K$1204,$Q41))</f>
        <v/>
      </c>
      <c r="H41" s="25" t="str">
        <f>IF($Q41="","",INDEX(TRANSACTIONS_MASTER!$L$5:$L$1204,$Q41))</f>
        <v/>
      </c>
      <c r="I41" s="56" t="str">
        <f>IF($Q41="","",INDEX(TRANSACTIONS_MASTER!$N$5:$N$1204,$Q41))</f>
        <v/>
      </c>
      <c r="J41" s="25" t="str">
        <f>IF($Q41="","",INDEX(TRANSACTIONS_MASTER!$O$5:$O$1204,$Q41))</f>
        <v/>
      </c>
      <c r="K41" s="26" t="str">
        <f>IF($Q41="","",INDEX(TRANSACTIONS_MASTER!$Q$5:$Q$1204,$Q41))</f>
        <v/>
      </c>
      <c r="L41" s="25" t="str">
        <f>IF($Q41="","",INDEX(TRANSACTIONS_MASTER!$P$5:$P$1204,$Q41))</f>
        <v/>
      </c>
      <c r="M41" s="25" t="str">
        <f>IF($Q41="","",INDEX(TRANSACTIONS_MASTER!$AA$5:$AA$1204,$Q41))</f>
        <v/>
      </c>
      <c r="N41" s="25" t="str">
        <f>IF($Q41="","",INDEX(TRANSACTIONS_MASTER!$R$5:$R$1204,$Q41))</f>
        <v/>
      </c>
      <c r="O41" s="28" t="str">
        <f>IF($Q41="","",INDEX(TRANSACTIONS_MASTER!$AB$5:$AB$1204,$Q41))</f>
        <v/>
      </c>
      <c r="P41" s="55" t="str">
        <f>IF($Q41="","",INDEX(TRANSACTIONS_MASTER!$Z$5:$Z$1204,$Q41)&amp;"")</f>
        <v/>
      </c>
      <c r="Q41" s="67" t="str">
        <f>IFERROR(MATCH($C$2&amp;"|"&amp;34,TRANSACTIONS_MASTER!$AE$5:$AE$1204,0),"")</f>
        <v/>
      </c>
      <c r="S41" s="67" t="str">
        <f>IFERROR(MATCH(34,CASHBACK_RULES!$S$5:$S$304,0),"")</f>
        <v/>
      </c>
      <c r="T41" s="55" t="str">
        <f>IF($S41="","",INDEX(CASHBACK_RULES!$B$5:$B$304,$S41))</f>
        <v/>
      </c>
      <c r="U41" s="55" t="str">
        <f>IF($S41="","",INDEX(CASHBACK_RULES!$C$5:$C$304,$S41)&amp;" "&amp;INDEX(CASHBACK_RULES!$D$5:$D$304,$S41))</f>
        <v/>
      </c>
      <c r="V41" s="55" t="str">
        <f>IF($S41="","",INDEX(CASHBACK_RULES!$E$5:$E$304,$S41)&amp;"")</f>
        <v/>
      </c>
      <c r="W41" s="55" t="str">
        <f>IF($S41="","",INDEX(CASHBACK_RULES!$F$5:$F$304,$S41)&amp;"")</f>
        <v/>
      </c>
      <c r="X41" s="26" t="str">
        <f>IF($S41="","",SUMIFS(TRANSACTIONS_MASTER!$Q$5:$Q$1204,TRANSACTIONS_MASTER!$D$5:$D$1204,$T41,TRANSACTIONS_MASTER!$Z$5:$Z$1204,$V41,TRANSACTIONS_MASTER!$C$5:$C$1204,$C$2))</f>
        <v/>
      </c>
      <c r="Y41" s="25" t="str">
        <f>IF($S41="","",IF(ISNUMBER(INDEX(CASHBACK_RULES!$J$5:$J$304,$S41)),INDEX(CASHBACK_RULES!$J$5:$J$304,$S41),"∞"))</f>
        <v/>
      </c>
      <c r="Z41" s="25" t="str">
        <f>IF($S41="","",IF(ISNUMBER($Y41),MAX(0,$Y41-$X41),"∞"))</f>
        <v/>
      </c>
      <c r="AA41" s="27" t="str">
        <f>IF($S41="","",IF(ISNUMBER($Y41),IF($Y41=0,0,$X41/$Y41),""))</f>
        <v/>
      </c>
    </row>
    <row r="42" ht="20" customHeight="1">
      <c r="A42" s="81" t="str">
        <f>IF($Q42="","",35)</f>
        <v/>
      </c>
      <c r="B42" s="57" t="str">
        <f>IF($Q42="","",INDEX(TRANSACTIONS_MASTER!$B$5:$B$1204,$Q42))</f>
        <v/>
      </c>
      <c r="C42" s="55" t="str">
        <f>IF($Q42="","",INDEX(TRANSACTIONS_MASTER!$F$5:$F$1204,$Q42))</f>
        <v/>
      </c>
      <c r="D42" s="55" t="str">
        <f>IF($Q42="","",INDEX(TRANSACTIONS_MASTER!$E$5:$E$1204,$Q42))</f>
        <v/>
      </c>
      <c r="E42" s="55" t="str">
        <f>IF($Q42="","",INDEX(TRANSACTIONS_MASTER!$G$5:$G$1204,$Q42)&amp;"")</f>
        <v/>
      </c>
      <c r="F42" s="29" t="str">
        <f>IF($Q42="","",INDEX(TRANSACTIONS_MASTER!$I$5:$I$1204,$Q42))</f>
        <v/>
      </c>
      <c r="G42" s="55" t="str">
        <f>IF($Q42="","",INDEX(TRANSACTIONS_MASTER!$K$5:$K$1204,$Q42))</f>
        <v/>
      </c>
      <c r="H42" s="25" t="str">
        <f>IF($Q42="","",INDEX(TRANSACTIONS_MASTER!$L$5:$L$1204,$Q42))</f>
        <v/>
      </c>
      <c r="I42" s="56" t="str">
        <f>IF($Q42="","",INDEX(TRANSACTIONS_MASTER!$N$5:$N$1204,$Q42))</f>
        <v/>
      </c>
      <c r="J42" s="25" t="str">
        <f>IF($Q42="","",INDEX(TRANSACTIONS_MASTER!$O$5:$O$1204,$Q42))</f>
        <v/>
      </c>
      <c r="K42" s="26" t="str">
        <f>IF($Q42="","",INDEX(TRANSACTIONS_MASTER!$Q$5:$Q$1204,$Q42))</f>
        <v/>
      </c>
      <c r="L42" s="25" t="str">
        <f>IF($Q42="","",INDEX(TRANSACTIONS_MASTER!$P$5:$P$1204,$Q42))</f>
        <v/>
      </c>
      <c r="M42" s="25" t="str">
        <f>IF($Q42="","",INDEX(TRANSACTIONS_MASTER!$AA$5:$AA$1204,$Q42))</f>
        <v/>
      </c>
      <c r="N42" s="25" t="str">
        <f>IF($Q42="","",INDEX(TRANSACTIONS_MASTER!$R$5:$R$1204,$Q42))</f>
        <v/>
      </c>
      <c r="O42" s="28" t="str">
        <f>IF($Q42="","",INDEX(TRANSACTIONS_MASTER!$AB$5:$AB$1204,$Q42))</f>
        <v/>
      </c>
      <c r="P42" s="55" t="str">
        <f>IF($Q42="","",INDEX(TRANSACTIONS_MASTER!$Z$5:$Z$1204,$Q42)&amp;"")</f>
        <v/>
      </c>
      <c r="Q42" s="67" t="str">
        <f>IFERROR(MATCH($C$2&amp;"|"&amp;35,TRANSACTIONS_MASTER!$AE$5:$AE$1204,0),"")</f>
        <v/>
      </c>
      <c r="S42" s="67" t="str">
        <f>IFERROR(MATCH(35,CASHBACK_RULES!$S$5:$S$304,0),"")</f>
        <v/>
      </c>
      <c r="T42" s="55" t="str">
        <f>IF($S42="","",INDEX(CASHBACK_RULES!$B$5:$B$304,$S42))</f>
        <v/>
      </c>
      <c r="U42" s="55" t="str">
        <f>IF($S42="","",INDEX(CASHBACK_RULES!$C$5:$C$304,$S42)&amp;" "&amp;INDEX(CASHBACK_RULES!$D$5:$D$304,$S42))</f>
        <v/>
      </c>
      <c r="V42" s="55" t="str">
        <f>IF($S42="","",INDEX(CASHBACK_RULES!$E$5:$E$304,$S42)&amp;"")</f>
        <v/>
      </c>
      <c r="W42" s="55" t="str">
        <f>IF($S42="","",INDEX(CASHBACK_RULES!$F$5:$F$304,$S42)&amp;"")</f>
        <v/>
      </c>
      <c r="X42" s="26" t="str">
        <f>IF($S42="","",SUMIFS(TRANSACTIONS_MASTER!$Q$5:$Q$1204,TRANSACTIONS_MASTER!$D$5:$D$1204,$T42,TRANSACTIONS_MASTER!$Z$5:$Z$1204,$V42,TRANSACTIONS_MASTER!$C$5:$C$1204,$C$2))</f>
        <v/>
      </c>
      <c r="Y42" s="25" t="str">
        <f>IF($S42="","",IF(ISNUMBER(INDEX(CASHBACK_RULES!$J$5:$J$304,$S42)),INDEX(CASHBACK_RULES!$J$5:$J$304,$S42),"∞"))</f>
        <v/>
      </c>
      <c r="Z42" s="25" t="str">
        <f>IF($S42="","",IF(ISNUMBER($Y42),MAX(0,$Y42-$X42),"∞"))</f>
        <v/>
      </c>
      <c r="AA42" s="27" t="str">
        <f>IF($S42="","",IF(ISNUMBER($Y42),IF($Y42=0,0,$X42/$Y42),""))</f>
        <v/>
      </c>
    </row>
    <row r="43" ht="20" customHeight="1">
      <c r="A43" s="81" t="str">
        <f>IF($Q43="","",36)</f>
        <v/>
      </c>
      <c r="B43" s="57" t="str">
        <f>IF($Q43="","",INDEX(TRANSACTIONS_MASTER!$B$5:$B$1204,$Q43))</f>
        <v/>
      </c>
      <c r="C43" s="55" t="str">
        <f>IF($Q43="","",INDEX(TRANSACTIONS_MASTER!$F$5:$F$1204,$Q43))</f>
        <v/>
      </c>
      <c r="D43" s="55" t="str">
        <f>IF($Q43="","",INDEX(TRANSACTIONS_MASTER!$E$5:$E$1204,$Q43))</f>
        <v/>
      </c>
      <c r="E43" s="55" t="str">
        <f>IF($Q43="","",INDEX(TRANSACTIONS_MASTER!$G$5:$G$1204,$Q43)&amp;"")</f>
        <v/>
      </c>
      <c r="F43" s="29" t="str">
        <f>IF($Q43="","",INDEX(TRANSACTIONS_MASTER!$I$5:$I$1204,$Q43))</f>
        <v/>
      </c>
      <c r="G43" s="55" t="str">
        <f>IF($Q43="","",INDEX(TRANSACTIONS_MASTER!$K$5:$K$1204,$Q43))</f>
        <v/>
      </c>
      <c r="H43" s="25" t="str">
        <f>IF($Q43="","",INDEX(TRANSACTIONS_MASTER!$L$5:$L$1204,$Q43))</f>
        <v/>
      </c>
      <c r="I43" s="56" t="str">
        <f>IF($Q43="","",INDEX(TRANSACTIONS_MASTER!$N$5:$N$1204,$Q43))</f>
        <v/>
      </c>
      <c r="J43" s="25" t="str">
        <f>IF($Q43="","",INDEX(TRANSACTIONS_MASTER!$O$5:$O$1204,$Q43))</f>
        <v/>
      </c>
      <c r="K43" s="26" t="str">
        <f>IF($Q43="","",INDEX(TRANSACTIONS_MASTER!$Q$5:$Q$1204,$Q43))</f>
        <v/>
      </c>
      <c r="L43" s="25" t="str">
        <f>IF($Q43="","",INDEX(TRANSACTIONS_MASTER!$P$5:$P$1204,$Q43))</f>
        <v/>
      </c>
      <c r="M43" s="25" t="str">
        <f>IF($Q43="","",INDEX(TRANSACTIONS_MASTER!$AA$5:$AA$1204,$Q43))</f>
        <v/>
      </c>
      <c r="N43" s="25" t="str">
        <f>IF($Q43="","",INDEX(TRANSACTIONS_MASTER!$R$5:$R$1204,$Q43))</f>
        <v/>
      </c>
      <c r="O43" s="28" t="str">
        <f>IF($Q43="","",INDEX(TRANSACTIONS_MASTER!$AB$5:$AB$1204,$Q43))</f>
        <v/>
      </c>
      <c r="P43" s="55" t="str">
        <f>IF($Q43="","",INDEX(TRANSACTIONS_MASTER!$Z$5:$Z$1204,$Q43)&amp;"")</f>
        <v/>
      </c>
      <c r="Q43" s="67" t="str">
        <f>IFERROR(MATCH($C$2&amp;"|"&amp;36,TRANSACTIONS_MASTER!$AE$5:$AE$1204,0),"")</f>
        <v/>
      </c>
      <c r="S43" s="67" t="str">
        <f>IFERROR(MATCH(36,CASHBACK_RULES!$S$5:$S$304,0),"")</f>
        <v/>
      </c>
      <c r="T43" s="55" t="str">
        <f>IF($S43="","",INDEX(CASHBACK_RULES!$B$5:$B$304,$S43))</f>
        <v/>
      </c>
      <c r="U43" s="55" t="str">
        <f>IF($S43="","",INDEX(CASHBACK_RULES!$C$5:$C$304,$S43)&amp;" "&amp;INDEX(CASHBACK_RULES!$D$5:$D$304,$S43))</f>
        <v/>
      </c>
      <c r="V43" s="55" t="str">
        <f>IF($S43="","",INDEX(CASHBACK_RULES!$E$5:$E$304,$S43)&amp;"")</f>
        <v/>
      </c>
      <c r="W43" s="55" t="str">
        <f>IF($S43="","",INDEX(CASHBACK_RULES!$F$5:$F$304,$S43)&amp;"")</f>
        <v/>
      </c>
      <c r="X43" s="26" t="str">
        <f>IF($S43="","",SUMIFS(TRANSACTIONS_MASTER!$Q$5:$Q$1204,TRANSACTIONS_MASTER!$D$5:$D$1204,$T43,TRANSACTIONS_MASTER!$Z$5:$Z$1204,$V43,TRANSACTIONS_MASTER!$C$5:$C$1204,$C$2))</f>
        <v/>
      </c>
      <c r="Y43" s="25" t="str">
        <f>IF($S43="","",IF(ISNUMBER(INDEX(CASHBACK_RULES!$J$5:$J$304,$S43)),INDEX(CASHBACK_RULES!$J$5:$J$304,$S43),"∞"))</f>
        <v/>
      </c>
      <c r="Z43" s="25" t="str">
        <f>IF($S43="","",IF(ISNUMBER($Y43),MAX(0,$Y43-$X43),"∞"))</f>
        <v/>
      </c>
      <c r="AA43" s="27" t="str">
        <f>IF($S43="","",IF(ISNUMBER($Y43),IF($Y43=0,0,$X43/$Y43),""))</f>
        <v/>
      </c>
    </row>
    <row r="44" ht="20" customHeight="1">
      <c r="A44" s="81" t="str">
        <f>IF($Q44="","",37)</f>
        <v/>
      </c>
      <c r="B44" s="57" t="str">
        <f>IF($Q44="","",INDEX(TRANSACTIONS_MASTER!$B$5:$B$1204,$Q44))</f>
        <v/>
      </c>
      <c r="C44" s="55" t="str">
        <f>IF($Q44="","",INDEX(TRANSACTIONS_MASTER!$F$5:$F$1204,$Q44))</f>
        <v/>
      </c>
      <c r="D44" s="55" t="str">
        <f>IF($Q44="","",INDEX(TRANSACTIONS_MASTER!$E$5:$E$1204,$Q44))</f>
        <v/>
      </c>
      <c r="E44" s="55" t="str">
        <f>IF($Q44="","",INDEX(TRANSACTIONS_MASTER!$G$5:$G$1204,$Q44)&amp;"")</f>
        <v/>
      </c>
      <c r="F44" s="29" t="str">
        <f>IF($Q44="","",INDEX(TRANSACTIONS_MASTER!$I$5:$I$1204,$Q44))</f>
        <v/>
      </c>
      <c r="G44" s="55" t="str">
        <f>IF($Q44="","",INDEX(TRANSACTIONS_MASTER!$K$5:$K$1204,$Q44))</f>
        <v/>
      </c>
      <c r="H44" s="25" t="str">
        <f>IF($Q44="","",INDEX(TRANSACTIONS_MASTER!$L$5:$L$1204,$Q44))</f>
        <v/>
      </c>
      <c r="I44" s="56" t="str">
        <f>IF($Q44="","",INDEX(TRANSACTIONS_MASTER!$N$5:$N$1204,$Q44))</f>
        <v/>
      </c>
      <c r="J44" s="25" t="str">
        <f>IF($Q44="","",INDEX(TRANSACTIONS_MASTER!$O$5:$O$1204,$Q44))</f>
        <v/>
      </c>
      <c r="K44" s="26" t="str">
        <f>IF($Q44="","",INDEX(TRANSACTIONS_MASTER!$Q$5:$Q$1204,$Q44))</f>
        <v/>
      </c>
      <c r="L44" s="25" t="str">
        <f>IF($Q44="","",INDEX(TRANSACTIONS_MASTER!$P$5:$P$1204,$Q44))</f>
        <v/>
      </c>
      <c r="M44" s="25" t="str">
        <f>IF($Q44="","",INDEX(TRANSACTIONS_MASTER!$AA$5:$AA$1204,$Q44))</f>
        <v/>
      </c>
      <c r="N44" s="25" t="str">
        <f>IF($Q44="","",INDEX(TRANSACTIONS_MASTER!$R$5:$R$1204,$Q44))</f>
        <v/>
      </c>
      <c r="O44" s="28" t="str">
        <f>IF($Q44="","",INDEX(TRANSACTIONS_MASTER!$AB$5:$AB$1204,$Q44))</f>
        <v/>
      </c>
      <c r="P44" s="55" t="str">
        <f>IF($Q44="","",INDEX(TRANSACTIONS_MASTER!$Z$5:$Z$1204,$Q44)&amp;"")</f>
        <v/>
      </c>
      <c r="Q44" s="67" t="str">
        <f>IFERROR(MATCH($C$2&amp;"|"&amp;37,TRANSACTIONS_MASTER!$AE$5:$AE$1204,0),"")</f>
        <v/>
      </c>
      <c r="S44" s="67" t="str">
        <f>IFERROR(MATCH(37,CASHBACK_RULES!$S$5:$S$304,0),"")</f>
        <v/>
      </c>
      <c r="T44" s="55" t="str">
        <f>IF($S44="","",INDEX(CASHBACK_RULES!$B$5:$B$304,$S44))</f>
        <v/>
      </c>
      <c r="U44" s="55" t="str">
        <f>IF($S44="","",INDEX(CASHBACK_RULES!$C$5:$C$304,$S44)&amp;" "&amp;INDEX(CASHBACK_RULES!$D$5:$D$304,$S44))</f>
        <v/>
      </c>
      <c r="V44" s="55" t="str">
        <f>IF($S44="","",INDEX(CASHBACK_RULES!$E$5:$E$304,$S44)&amp;"")</f>
        <v/>
      </c>
      <c r="W44" s="55" t="str">
        <f>IF($S44="","",INDEX(CASHBACK_RULES!$F$5:$F$304,$S44)&amp;"")</f>
        <v/>
      </c>
      <c r="X44" s="26" t="str">
        <f>IF($S44="","",SUMIFS(TRANSACTIONS_MASTER!$Q$5:$Q$1204,TRANSACTIONS_MASTER!$D$5:$D$1204,$T44,TRANSACTIONS_MASTER!$Z$5:$Z$1204,$V44,TRANSACTIONS_MASTER!$C$5:$C$1204,$C$2))</f>
        <v/>
      </c>
      <c r="Y44" s="25" t="str">
        <f>IF($S44="","",IF(ISNUMBER(INDEX(CASHBACK_RULES!$J$5:$J$304,$S44)),INDEX(CASHBACK_RULES!$J$5:$J$304,$S44),"∞"))</f>
        <v/>
      </c>
      <c r="Z44" s="25" t="str">
        <f>IF($S44="","",IF(ISNUMBER($Y44),MAX(0,$Y44-$X44),"∞"))</f>
        <v/>
      </c>
      <c r="AA44" s="27" t="str">
        <f>IF($S44="","",IF(ISNUMBER($Y44),IF($Y44=0,0,$X44/$Y44),""))</f>
        <v/>
      </c>
    </row>
    <row r="45" ht="20" customHeight="1">
      <c r="A45" s="81" t="str">
        <f>IF($Q45="","",38)</f>
        <v/>
      </c>
      <c r="B45" s="57" t="str">
        <f>IF($Q45="","",INDEX(TRANSACTIONS_MASTER!$B$5:$B$1204,$Q45))</f>
        <v/>
      </c>
      <c r="C45" s="55" t="str">
        <f>IF($Q45="","",INDEX(TRANSACTIONS_MASTER!$F$5:$F$1204,$Q45))</f>
        <v/>
      </c>
      <c r="D45" s="55" t="str">
        <f>IF($Q45="","",INDEX(TRANSACTIONS_MASTER!$E$5:$E$1204,$Q45))</f>
        <v/>
      </c>
      <c r="E45" s="55" t="str">
        <f>IF($Q45="","",INDEX(TRANSACTIONS_MASTER!$G$5:$G$1204,$Q45)&amp;"")</f>
        <v/>
      </c>
      <c r="F45" s="29" t="str">
        <f>IF($Q45="","",INDEX(TRANSACTIONS_MASTER!$I$5:$I$1204,$Q45))</f>
        <v/>
      </c>
      <c r="G45" s="55" t="str">
        <f>IF($Q45="","",INDEX(TRANSACTIONS_MASTER!$K$5:$K$1204,$Q45))</f>
        <v/>
      </c>
      <c r="H45" s="25" t="str">
        <f>IF($Q45="","",INDEX(TRANSACTIONS_MASTER!$L$5:$L$1204,$Q45))</f>
        <v/>
      </c>
      <c r="I45" s="56" t="str">
        <f>IF($Q45="","",INDEX(TRANSACTIONS_MASTER!$N$5:$N$1204,$Q45))</f>
        <v/>
      </c>
      <c r="J45" s="25" t="str">
        <f>IF($Q45="","",INDEX(TRANSACTIONS_MASTER!$O$5:$O$1204,$Q45))</f>
        <v/>
      </c>
      <c r="K45" s="26" t="str">
        <f>IF($Q45="","",INDEX(TRANSACTIONS_MASTER!$Q$5:$Q$1204,$Q45))</f>
        <v/>
      </c>
      <c r="L45" s="25" t="str">
        <f>IF($Q45="","",INDEX(TRANSACTIONS_MASTER!$P$5:$P$1204,$Q45))</f>
        <v/>
      </c>
      <c r="M45" s="25" t="str">
        <f>IF($Q45="","",INDEX(TRANSACTIONS_MASTER!$AA$5:$AA$1204,$Q45))</f>
        <v/>
      </c>
      <c r="N45" s="25" t="str">
        <f>IF($Q45="","",INDEX(TRANSACTIONS_MASTER!$R$5:$R$1204,$Q45))</f>
        <v/>
      </c>
      <c r="O45" s="28" t="str">
        <f>IF($Q45="","",INDEX(TRANSACTIONS_MASTER!$AB$5:$AB$1204,$Q45))</f>
        <v/>
      </c>
      <c r="P45" s="55" t="str">
        <f>IF($Q45="","",INDEX(TRANSACTIONS_MASTER!$Z$5:$Z$1204,$Q45)&amp;"")</f>
        <v/>
      </c>
      <c r="Q45" s="67" t="str">
        <f>IFERROR(MATCH($C$2&amp;"|"&amp;38,TRANSACTIONS_MASTER!$AE$5:$AE$1204,0),"")</f>
        <v/>
      </c>
      <c r="S45" s="67" t="str">
        <f>IFERROR(MATCH(38,CASHBACK_RULES!$S$5:$S$304,0),"")</f>
        <v/>
      </c>
      <c r="T45" s="55" t="str">
        <f>IF($S45="","",INDEX(CASHBACK_RULES!$B$5:$B$304,$S45))</f>
        <v/>
      </c>
      <c r="U45" s="55" t="str">
        <f>IF($S45="","",INDEX(CASHBACK_RULES!$C$5:$C$304,$S45)&amp;" "&amp;INDEX(CASHBACK_RULES!$D$5:$D$304,$S45))</f>
        <v/>
      </c>
      <c r="V45" s="55" t="str">
        <f>IF($S45="","",INDEX(CASHBACK_RULES!$E$5:$E$304,$S45)&amp;"")</f>
        <v/>
      </c>
      <c r="W45" s="55" t="str">
        <f>IF($S45="","",INDEX(CASHBACK_RULES!$F$5:$F$304,$S45)&amp;"")</f>
        <v/>
      </c>
      <c r="X45" s="26" t="str">
        <f>IF($S45="","",SUMIFS(TRANSACTIONS_MASTER!$Q$5:$Q$1204,TRANSACTIONS_MASTER!$D$5:$D$1204,$T45,TRANSACTIONS_MASTER!$Z$5:$Z$1204,$V45,TRANSACTIONS_MASTER!$C$5:$C$1204,$C$2))</f>
        <v/>
      </c>
      <c r="Y45" s="25" t="str">
        <f>IF($S45="","",IF(ISNUMBER(INDEX(CASHBACK_RULES!$J$5:$J$304,$S45)),INDEX(CASHBACK_RULES!$J$5:$J$304,$S45),"∞"))</f>
        <v/>
      </c>
      <c r="Z45" s="25" t="str">
        <f>IF($S45="","",IF(ISNUMBER($Y45),MAX(0,$Y45-$X45),"∞"))</f>
        <v/>
      </c>
      <c r="AA45" s="27" t="str">
        <f>IF($S45="","",IF(ISNUMBER($Y45),IF($Y45=0,0,$X45/$Y45),""))</f>
        <v/>
      </c>
    </row>
    <row r="46" ht="20" customHeight="1">
      <c r="A46" s="81" t="str">
        <f>IF($Q46="","",39)</f>
        <v/>
      </c>
      <c r="B46" s="57" t="str">
        <f>IF($Q46="","",INDEX(TRANSACTIONS_MASTER!$B$5:$B$1204,$Q46))</f>
        <v/>
      </c>
      <c r="C46" s="55" t="str">
        <f>IF($Q46="","",INDEX(TRANSACTIONS_MASTER!$F$5:$F$1204,$Q46))</f>
        <v/>
      </c>
      <c r="D46" s="55" t="str">
        <f>IF($Q46="","",INDEX(TRANSACTIONS_MASTER!$E$5:$E$1204,$Q46))</f>
        <v/>
      </c>
      <c r="E46" s="55" t="str">
        <f>IF($Q46="","",INDEX(TRANSACTIONS_MASTER!$G$5:$G$1204,$Q46)&amp;"")</f>
        <v/>
      </c>
      <c r="F46" s="29" t="str">
        <f>IF($Q46="","",INDEX(TRANSACTIONS_MASTER!$I$5:$I$1204,$Q46))</f>
        <v/>
      </c>
      <c r="G46" s="55" t="str">
        <f>IF($Q46="","",INDEX(TRANSACTIONS_MASTER!$K$5:$K$1204,$Q46))</f>
        <v/>
      </c>
      <c r="H46" s="25" t="str">
        <f>IF($Q46="","",INDEX(TRANSACTIONS_MASTER!$L$5:$L$1204,$Q46))</f>
        <v/>
      </c>
      <c r="I46" s="56" t="str">
        <f>IF($Q46="","",INDEX(TRANSACTIONS_MASTER!$N$5:$N$1204,$Q46))</f>
        <v/>
      </c>
      <c r="J46" s="25" t="str">
        <f>IF($Q46="","",INDEX(TRANSACTIONS_MASTER!$O$5:$O$1204,$Q46))</f>
        <v/>
      </c>
      <c r="K46" s="26" t="str">
        <f>IF($Q46="","",INDEX(TRANSACTIONS_MASTER!$Q$5:$Q$1204,$Q46))</f>
        <v/>
      </c>
      <c r="L46" s="25" t="str">
        <f>IF($Q46="","",INDEX(TRANSACTIONS_MASTER!$P$5:$P$1204,$Q46))</f>
        <v/>
      </c>
      <c r="M46" s="25" t="str">
        <f>IF($Q46="","",INDEX(TRANSACTIONS_MASTER!$AA$5:$AA$1204,$Q46))</f>
        <v/>
      </c>
      <c r="N46" s="25" t="str">
        <f>IF($Q46="","",INDEX(TRANSACTIONS_MASTER!$R$5:$R$1204,$Q46))</f>
        <v/>
      </c>
      <c r="O46" s="28" t="str">
        <f>IF($Q46="","",INDEX(TRANSACTIONS_MASTER!$AB$5:$AB$1204,$Q46))</f>
        <v/>
      </c>
      <c r="P46" s="55" t="str">
        <f>IF($Q46="","",INDEX(TRANSACTIONS_MASTER!$Z$5:$Z$1204,$Q46)&amp;"")</f>
        <v/>
      </c>
      <c r="Q46" s="67" t="str">
        <f>IFERROR(MATCH($C$2&amp;"|"&amp;39,TRANSACTIONS_MASTER!$AE$5:$AE$1204,0),"")</f>
        <v/>
      </c>
      <c r="S46" s="67" t="str">
        <f>IFERROR(MATCH(39,CASHBACK_RULES!$S$5:$S$304,0),"")</f>
        <v/>
      </c>
      <c r="T46" s="55" t="str">
        <f>IF($S46="","",INDEX(CASHBACK_RULES!$B$5:$B$304,$S46))</f>
        <v/>
      </c>
      <c r="U46" s="55" t="str">
        <f>IF($S46="","",INDEX(CASHBACK_RULES!$C$5:$C$304,$S46)&amp;" "&amp;INDEX(CASHBACK_RULES!$D$5:$D$304,$S46))</f>
        <v/>
      </c>
      <c r="V46" s="55" t="str">
        <f>IF($S46="","",INDEX(CASHBACK_RULES!$E$5:$E$304,$S46)&amp;"")</f>
        <v/>
      </c>
      <c r="W46" s="55" t="str">
        <f>IF($S46="","",INDEX(CASHBACK_RULES!$F$5:$F$304,$S46)&amp;"")</f>
        <v/>
      </c>
      <c r="X46" s="26" t="str">
        <f>IF($S46="","",SUMIFS(TRANSACTIONS_MASTER!$Q$5:$Q$1204,TRANSACTIONS_MASTER!$D$5:$D$1204,$T46,TRANSACTIONS_MASTER!$Z$5:$Z$1204,$V46,TRANSACTIONS_MASTER!$C$5:$C$1204,$C$2))</f>
        <v/>
      </c>
      <c r="Y46" s="25" t="str">
        <f>IF($S46="","",IF(ISNUMBER(INDEX(CASHBACK_RULES!$J$5:$J$304,$S46)),INDEX(CASHBACK_RULES!$J$5:$J$304,$S46),"∞"))</f>
        <v/>
      </c>
      <c r="Z46" s="25" t="str">
        <f>IF($S46="","",IF(ISNUMBER($Y46),MAX(0,$Y46-$X46),"∞"))</f>
        <v/>
      </c>
      <c r="AA46" s="27" t="str">
        <f>IF($S46="","",IF(ISNUMBER($Y46),IF($Y46=0,0,$X46/$Y46),""))</f>
        <v/>
      </c>
    </row>
    <row r="47" ht="20" customHeight="1">
      <c r="A47" s="81" t="str">
        <f>IF($Q47="","",40)</f>
        <v/>
      </c>
      <c r="B47" s="57" t="str">
        <f>IF($Q47="","",INDEX(TRANSACTIONS_MASTER!$B$5:$B$1204,$Q47))</f>
        <v/>
      </c>
      <c r="C47" s="55" t="str">
        <f>IF($Q47="","",INDEX(TRANSACTIONS_MASTER!$F$5:$F$1204,$Q47))</f>
        <v/>
      </c>
      <c r="D47" s="55" t="str">
        <f>IF($Q47="","",INDEX(TRANSACTIONS_MASTER!$E$5:$E$1204,$Q47))</f>
        <v/>
      </c>
      <c r="E47" s="55" t="str">
        <f>IF($Q47="","",INDEX(TRANSACTIONS_MASTER!$G$5:$G$1204,$Q47)&amp;"")</f>
        <v/>
      </c>
      <c r="F47" s="29" t="str">
        <f>IF($Q47="","",INDEX(TRANSACTIONS_MASTER!$I$5:$I$1204,$Q47))</f>
        <v/>
      </c>
      <c r="G47" s="55" t="str">
        <f>IF($Q47="","",INDEX(TRANSACTIONS_MASTER!$K$5:$K$1204,$Q47))</f>
        <v/>
      </c>
      <c r="H47" s="25" t="str">
        <f>IF($Q47="","",INDEX(TRANSACTIONS_MASTER!$L$5:$L$1204,$Q47))</f>
        <v/>
      </c>
      <c r="I47" s="56" t="str">
        <f>IF($Q47="","",INDEX(TRANSACTIONS_MASTER!$N$5:$N$1204,$Q47))</f>
        <v/>
      </c>
      <c r="J47" s="25" t="str">
        <f>IF($Q47="","",INDEX(TRANSACTIONS_MASTER!$O$5:$O$1204,$Q47))</f>
        <v/>
      </c>
      <c r="K47" s="26" t="str">
        <f>IF($Q47="","",INDEX(TRANSACTIONS_MASTER!$Q$5:$Q$1204,$Q47))</f>
        <v/>
      </c>
      <c r="L47" s="25" t="str">
        <f>IF($Q47="","",INDEX(TRANSACTIONS_MASTER!$P$5:$P$1204,$Q47))</f>
        <v/>
      </c>
      <c r="M47" s="25" t="str">
        <f>IF($Q47="","",INDEX(TRANSACTIONS_MASTER!$AA$5:$AA$1204,$Q47))</f>
        <v/>
      </c>
      <c r="N47" s="25" t="str">
        <f>IF($Q47="","",INDEX(TRANSACTIONS_MASTER!$R$5:$R$1204,$Q47))</f>
        <v/>
      </c>
      <c r="O47" s="28" t="str">
        <f>IF($Q47="","",INDEX(TRANSACTIONS_MASTER!$AB$5:$AB$1204,$Q47))</f>
        <v/>
      </c>
      <c r="P47" s="55" t="str">
        <f>IF($Q47="","",INDEX(TRANSACTIONS_MASTER!$Z$5:$Z$1204,$Q47)&amp;"")</f>
        <v/>
      </c>
      <c r="Q47" s="67" t="str">
        <f>IFERROR(MATCH($C$2&amp;"|"&amp;40,TRANSACTIONS_MASTER!$AE$5:$AE$1204,0),"")</f>
        <v/>
      </c>
      <c r="S47" s="67" t="str">
        <f>IFERROR(MATCH(40,CASHBACK_RULES!$S$5:$S$304,0),"")</f>
        <v/>
      </c>
      <c r="T47" s="55" t="str">
        <f>IF($S47="","",INDEX(CASHBACK_RULES!$B$5:$B$304,$S47))</f>
        <v/>
      </c>
      <c r="U47" s="55" t="str">
        <f>IF($S47="","",INDEX(CASHBACK_RULES!$C$5:$C$304,$S47)&amp;" "&amp;INDEX(CASHBACK_RULES!$D$5:$D$304,$S47))</f>
        <v/>
      </c>
      <c r="V47" s="55" t="str">
        <f>IF($S47="","",INDEX(CASHBACK_RULES!$E$5:$E$304,$S47)&amp;"")</f>
        <v/>
      </c>
      <c r="W47" s="55" t="str">
        <f>IF($S47="","",INDEX(CASHBACK_RULES!$F$5:$F$304,$S47)&amp;"")</f>
        <v/>
      </c>
      <c r="X47" s="26" t="str">
        <f>IF($S47="","",SUMIFS(TRANSACTIONS_MASTER!$Q$5:$Q$1204,TRANSACTIONS_MASTER!$D$5:$D$1204,$T47,TRANSACTIONS_MASTER!$Z$5:$Z$1204,$V47,TRANSACTIONS_MASTER!$C$5:$C$1204,$C$2))</f>
        <v/>
      </c>
      <c r="Y47" s="25" t="str">
        <f>IF($S47="","",IF(ISNUMBER(INDEX(CASHBACK_RULES!$J$5:$J$304,$S47)),INDEX(CASHBACK_RULES!$J$5:$J$304,$S47),"∞"))</f>
        <v/>
      </c>
      <c r="Z47" s="25" t="str">
        <f>IF($S47="","",IF(ISNUMBER($Y47),MAX(0,$Y47-$X47),"∞"))</f>
        <v/>
      </c>
      <c r="AA47" s="27" t="str">
        <f>IF($S47="","",IF(ISNUMBER($Y47),IF($Y47=0,0,$X47/$Y47),""))</f>
        <v/>
      </c>
    </row>
    <row r="48" ht="20" customHeight="1">
      <c r="A48" s="81" t="str">
        <f>IF($Q48="","",41)</f>
        <v/>
      </c>
      <c r="B48" s="57" t="str">
        <f>IF($Q48="","",INDEX(TRANSACTIONS_MASTER!$B$5:$B$1204,$Q48))</f>
        <v/>
      </c>
      <c r="C48" s="55" t="str">
        <f>IF($Q48="","",INDEX(TRANSACTIONS_MASTER!$F$5:$F$1204,$Q48))</f>
        <v/>
      </c>
      <c r="D48" s="55" t="str">
        <f>IF($Q48="","",INDEX(TRANSACTIONS_MASTER!$E$5:$E$1204,$Q48))</f>
        <v/>
      </c>
      <c r="E48" s="55" t="str">
        <f>IF($Q48="","",INDEX(TRANSACTIONS_MASTER!$G$5:$G$1204,$Q48)&amp;"")</f>
        <v/>
      </c>
      <c r="F48" s="29" t="str">
        <f>IF($Q48="","",INDEX(TRANSACTIONS_MASTER!$I$5:$I$1204,$Q48))</f>
        <v/>
      </c>
      <c r="G48" s="55" t="str">
        <f>IF($Q48="","",INDEX(TRANSACTIONS_MASTER!$K$5:$K$1204,$Q48))</f>
        <v/>
      </c>
      <c r="H48" s="25" t="str">
        <f>IF($Q48="","",INDEX(TRANSACTIONS_MASTER!$L$5:$L$1204,$Q48))</f>
        <v/>
      </c>
      <c r="I48" s="56" t="str">
        <f>IF($Q48="","",INDEX(TRANSACTIONS_MASTER!$N$5:$N$1204,$Q48))</f>
        <v/>
      </c>
      <c r="J48" s="25" t="str">
        <f>IF($Q48="","",INDEX(TRANSACTIONS_MASTER!$O$5:$O$1204,$Q48))</f>
        <v/>
      </c>
      <c r="K48" s="26" t="str">
        <f>IF($Q48="","",INDEX(TRANSACTIONS_MASTER!$Q$5:$Q$1204,$Q48))</f>
        <v/>
      </c>
      <c r="L48" s="25" t="str">
        <f>IF($Q48="","",INDEX(TRANSACTIONS_MASTER!$P$5:$P$1204,$Q48))</f>
        <v/>
      </c>
      <c r="M48" s="25" t="str">
        <f>IF($Q48="","",INDEX(TRANSACTIONS_MASTER!$AA$5:$AA$1204,$Q48))</f>
        <v/>
      </c>
      <c r="N48" s="25" t="str">
        <f>IF($Q48="","",INDEX(TRANSACTIONS_MASTER!$R$5:$R$1204,$Q48))</f>
        <v/>
      </c>
      <c r="O48" s="28" t="str">
        <f>IF($Q48="","",INDEX(TRANSACTIONS_MASTER!$AB$5:$AB$1204,$Q48))</f>
        <v/>
      </c>
      <c r="P48" s="55" t="str">
        <f>IF($Q48="","",INDEX(TRANSACTIONS_MASTER!$Z$5:$Z$1204,$Q48)&amp;"")</f>
        <v/>
      </c>
      <c r="Q48" s="67" t="str">
        <f>IFERROR(MATCH($C$2&amp;"|"&amp;41,TRANSACTIONS_MASTER!$AE$5:$AE$1204,0),"")</f>
        <v/>
      </c>
      <c r="S48" s="67" t="str">
        <f>IFERROR(MATCH(41,CASHBACK_RULES!$S$5:$S$304,0),"")</f>
        <v/>
      </c>
      <c r="T48" s="55" t="str">
        <f>IF($S48="","",INDEX(CASHBACK_RULES!$B$5:$B$304,$S48))</f>
        <v/>
      </c>
      <c r="U48" s="55" t="str">
        <f>IF($S48="","",INDEX(CASHBACK_RULES!$C$5:$C$304,$S48)&amp;" "&amp;INDEX(CASHBACK_RULES!$D$5:$D$304,$S48))</f>
        <v/>
      </c>
      <c r="V48" s="55" t="str">
        <f>IF($S48="","",INDEX(CASHBACK_RULES!$E$5:$E$304,$S48)&amp;"")</f>
        <v/>
      </c>
      <c r="W48" s="55" t="str">
        <f>IF($S48="","",INDEX(CASHBACK_RULES!$F$5:$F$304,$S48)&amp;"")</f>
        <v/>
      </c>
      <c r="X48" s="26" t="str">
        <f>IF($S48="","",SUMIFS(TRANSACTIONS_MASTER!$Q$5:$Q$1204,TRANSACTIONS_MASTER!$D$5:$D$1204,$T48,TRANSACTIONS_MASTER!$Z$5:$Z$1204,$V48,TRANSACTIONS_MASTER!$C$5:$C$1204,$C$2))</f>
        <v/>
      </c>
      <c r="Y48" s="25" t="str">
        <f>IF($S48="","",IF(ISNUMBER(INDEX(CASHBACK_RULES!$J$5:$J$304,$S48)),INDEX(CASHBACK_RULES!$J$5:$J$304,$S48),"∞"))</f>
        <v/>
      </c>
      <c r="Z48" s="25" t="str">
        <f>IF($S48="","",IF(ISNUMBER($Y48),MAX(0,$Y48-$X48),"∞"))</f>
        <v/>
      </c>
      <c r="AA48" s="27" t="str">
        <f>IF($S48="","",IF(ISNUMBER($Y48),IF($Y48=0,0,$X48/$Y48),""))</f>
        <v/>
      </c>
    </row>
    <row r="49" ht="20" customHeight="1">
      <c r="A49" s="81" t="str">
        <f>IF($Q49="","",42)</f>
        <v/>
      </c>
      <c r="B49" s="57" t="str">
        <f>IF($Q49="","",INDEX(TRANSACTIONS_MASTER!$B$5:$B$1204,$Q49))</f>
        <v/>
      </c>
      <c r="C49" s="55" t="str">
        <f>IF($Q49="","",INDEX(TRANSACTIONS_MASTER!$F$5:$F$1204,$Q49))</f>
        <v/>
      </c>
      <c r="D49" s="55" t="str">
        <f>IF($Q49="","",INDEX(TRANSACTIONS_MASTER!$E$5:$E$1204,$Q49))</f>
        <v/>
      </c>
      <c r="E49" s="55" t="str">
        <f>IF($Q49="","",INDEX(TRANSACTIONS_MASTER!$G$5:$G$1204,$Q49)&amp;"")</f>
        <v/>
      </c>
      <c r="F49" s="29" t="str">
        <f>IF($Q49="","",INDEX(TRANSACTIONS_MASTER!$I$5:$I$1204,$Q49))</f>
        <v/>
      </c>
      <c r="G49" s="55" t="str">
        <f>IF($Q49="","",INDEX(TRANSACTIONS_MASTER!$K$5:$K$1204,$Q49))</f>
        <v/>
      </c>
      <c r="H49" s="25" t="str">
        <f>IF($Q49="","",INDEX(TRANSACTIONS_MASTER!$L$5:$L$1204,$Q49))</f>
        <v/>
      </c>
      <c r="I49" s="56" t="str">
        <f>IF($Q49="","",INDEX(TRANSACTIONS_MASTER!$N$5:$N$1204,$Q49))</f>
        <v/>
      </c>
      <c r="J49" s="25" t="str">
        <f>IF($Q49="","",INDEX(TRANSACTIONS_MASTER!$O$5:$O$1204,$Q49))</f>
        <v/>
      </c>
      <c r="K49" s="26" t="str">
        <f>IF($Q49="","",INDEX(TRANSACTIONS_MASTER!$Q$5:$Q$1204,$Q49))</f>
        <v/>
      </c>
      <c r="L49" s="25" t="str">
        <f>IF($Q49="","",INDEX(TRANSACTIONS_MASTER!$P$5:$P$1204,$Q49))</f>
        <v/>
      </c>
      <c r="M49" s="25" t="str">
        <f>IF($Q49="","",INDEX(TRANSACTIONS_MASTER!$AA$5:$AA$1204,$Q49))</f>
        <v/>
      </c>
      <c r="N49" s="25" t="str">
        <f>IF($Q49="","",INDEX(TRANSACTIONS_MASTER!$R$5:$R$1204,$Q49))</f>
        <v/>
      </c>
      <c r="O49" s="28" t="str">
        <f>IF($Q49="","",INDEX(TRANSACTIONS_MASTER!$AB$5:$AB$1204,$Q49))</f>
        <v/>
      </c>
      <c r="P49" s="55" t="str">
        <f>IF($Q49="","",INDEX(TRANSACTIONS_MASTER!$Z$5:$Z$1204,$Q49)&amp;"")</f>
        <v/>
      </c>
      <c r="Q49" s="67" t="str">
        <f>IFERROR(MATCH($C$2&amp;"|"&amp;42,TRANSACTIONS_MASTER!$AE$5:$AE$1204,0),"")</f>
        <v/>
      </c>
      <c r="S49" s="67" t="str">
        <f>IFERROR(MATCH(42,CASHBACK_RULES!$S$5:$S$304,0),"")</f>
        <v/>
      </c>
      <c r="T49" s="55" t="str">
        <f>IF($S49="","",INDEX(CASHBACK_RULES!$B$5:$B$304,$S49))</f>
        <v/>
      </c>
      <c r="U49" s="55" t="str">
        <f>IF($S49="","",INDEX(CASHBACK_RULES!$C$5:$C$304,$S49)&amp;" "&amp;INDEX(CASHBACK_RULES!$D$5:$D$304,$S49))</f>
        <v/>
      </c>
      <c r="V49" s="55" t="str">
        <f>IF($S49="","",INDEX(CASHBACK_RULES!$E$5:$E$304,$S49)&amp;"")</f>
        <v/>
      </c>
      <c r="W49" s="55" t="str">
        <f>IF($S49="","",INDEX(CASHBACK_RULES!$F$5:$F$304,$S49)&amp;"")</f>
        <v/>
      </c>
      <c r="X49" s="26" t="str">
        <f>IF($S49="","",SUMIFS(TRANSACTIONS_MASTER!$Q$5:$Q$1204,TRANSACTIONS_MASTER!$D$5:$D$1204,$T49,TRANSACTIONS_MASTER!$Z$5:$Z$1204,$V49,TRANSACTIONS_MASTER!$C$5:$C$1204,$C$2))</f>
        <v/>
      </c>
      <c r="Y49" s="25" t="str">
        <f>IF($S49="","",IF(ISNUMBER(INDEX(CASHBACK_RULES!$J$5:$J$304,$S49)),INDEX(CASHBACK_RULES!$J$5:$J$304,$S49),"∞"))</f>
        <v/>
      </c>
      <c r="Z49" s="25" t="str">
        <f>IF($S49="","",IF(ISNUMBER($Y49),MAX(0,$Y49-$X49),"∞"))</f>
        <v/>
      </c>
      <c r="AA49" s="27" t="str">
        <f>IF($S49="","",IF(ISNUMBER($Y49),IF($Y49=0,0,$X49/$Y49),""))</f>
        <v/>
      </c>
    </row>
    <row r="50" ht="20" customHeight="1">
      <c r="A50" s="81" t="str">
        <f>IF($Q50="","",43)</f>
        <v/>
      </c>
      <c r="B50" s="57" t="str">
        <f>IF($Q50="","",INDEX(TRANSACTIONS_MASTER!$B$5:$B$1204,$Q50))</f>
        <v/>
      </c>
      <c r="C50" s="55" t="str">
        <f>IF($Q50="","",INDEX(TRANSACTIONS_MASTER!$F$5:$F$1204,$Q50))</f>
        <v/>
      </c>
      <c r="D50" s="55" t="str">
        <f>IF($Q50="","",INDEX(TRANSACTIONS_MASTER!$E$5:$E$1204,$Q50))</f>
        <v/>
      </c>
      <c r="E50" s="55" t="str">
        <f>IF($Q50="","",INDEX(TRANSACTIONS_MASTER!$G$5:$G$1204,$Q50)&amp;"")</f>
        <v/>
      </c>
      <c r="F50" s="29" t="str">
        <f>IF($Q50="","",INDEX(TRANSACTIONS_MASTER!$I$5:$I$1204,$Q50))</f>
        <v/>
      </c>
      <c r="G50" s="55" t="str">
        <f>IF($Q50="","",INDEX(TRANSACTIONS_MASTER!$K$5:$K$1204,$Q50))</f>
        <v/>
      </c>
      <c r="H50" s="25" t="str">
        <f>IF($Q50="","",INDEX(TRANSACTIONS_MASTER!$L$5:$L$1204,$Q50))</f>
        <v/>
      </c>
      <c r="I50" s="56" t="str">
        <f>IF($Q50="","",INDEX(TRANSACTIONS_MASTER!$N$5:$N$1204,$Q50))</f>
        <v/>
      </c>
      <c r="J50" s="25" t="str">
        <f>IF($Q50="","",INDEX(TRANSACTIONS_MASTER!$O$5:$O$1204,$Q50))</f>
        <v/>
      </c>
      <c r="K50" s="26" t="str">
        <f>IF($Q50="","",INDEX(TRANSACTIONS_MASTER!$Q$5:$Q$1204,$Q50))</f>
        <v/>
      </c>
      <c r="L50" s="25" t="str">
        <f>IF($Q50="","",INDEX(TRANSACTIONS_MASTER!$P$5:$P$1204,$Q50))</f>
        <v/>
      </c>
      <c r="M50" s="25" t="str">
        <f>IF($Q50="","",INDEX(TRANSACTIONS_MASTER!$AA$5:$AA$1204,$Q50))</f>
        <v/>
      </c>
      <c r="N50" s="25" t="str">
        <f>IF($Q50="","",INDEX(TRANSACTIONS_MASTER!$R$5:$R$1204,$Q50))</f>
        <v/>
      </c>
      <c r="O50" s="28" t="str">
        <f>IF($Q50="","",INDEX(TRANSACTIONS_MASTER!$AB$5:$AB$1204,$Q50))</f>
        <v/>
      </c>
      <c r="P50" s="55" t="str">
        <f>IF($Q50="","",INDEX(TRANSACTIONS_MASTER!$Z$5:$Z$1204,$Q50)&amp;"")</f>
        <v/>
      </c>
      <c r="Q50" s="67" t="str">
        <f>IFERROR(MATCH($C$2&amp;"|"&amp;43,TRANSACTIONS_MASTER!$AE$5:$AE$1204,0),"")</f>
        <v/>
      </c>
      <c r="S50" s="67" t="str">
        <f>IFERROR(MATCH(43,CASHBACK_RULES!$S$5:$S$304,0),"")</f>
        <v/>
      </c>
      <c r="T50" s="55" t="str">
        <f>IF($S50="","",INDEX(CASHBACK_RULES!$B$5:$B$304,$S50))</f>
        <v/>
      </c>
      <c r="U50" s="55" t="str">
        <f>IF($S50="","",INDEX(CASHBACK_RULES!$C$5:$C$304,$S50)&amp;" "&amp;INDEX(CASHBACK_RULES!$D$5:$D$304,$S50))</f>
        <v/>
      </c>
      <c r="V50" s="55" t="str">
        <f>IF($S50="","",INDEX(CASHBACK_RULES!$E$5:$E$304,$S50)&amp;"")</f>
        <v/>
      </c>
      <c r="W50" s="55" t="str">
        <f>IF($S50="","",INDEX(CASHBACK_RULES!$F$5:$F$304,$S50)&amp;"")</f>
        <v/>
      </c>
      <c r="X50" s="26" t="str">
        <f>IF($S50="","",SUMIFS(TRANSACTIONS_MASTER!$Q$5:$Q$1204,TRANSACTIONS_MASTER!$D$5:$D$1204,$T50,TRANSACTIONS_MASTER!$Z$5:$Z$1204,$V50,TRANSACTIONS_MASTER!$C$5:$C$1204,$C$2))</f>
        <v/>
      </c>
      <c r="Y50" s="25" t="str">
        <f>IF($S50="","",IF(ISNUMBER(INDEX(CASHBACK_RULES!$J$5:$J$304,$S50)),INDEX(CASHBACK_RULES!$J$5:$J$304,$S50),"∞"))</f>
        <v/>
      </c>
      <c r="Z50" s="25" t="str">
        <f>IF($S50="","",IF(ISNUMBER($Y50),MAX(0,$Y50-$X50),"∞"))</f>
        <v/>
      </c>
      <c r="AA50" s="27" t="str">
        <f>IF($S50="","",IF(ISNUMBER($Y50),IF($Y50=0,0,$X50/$Y50),""))</f>
        <v/>
      </c>
    </row>
    <row r="51" ht="20" customHeight="1">
      <c r="A51" s="81" t="str">
        <f>IF($Q51="","",44)</f>
        <v/>
      </c>
      <c r="B51" s="57" t="str">
        <f>IF($Q51="","",INDEX(TRANSACTIONS_MASTER!$B$5:$B$1204,$Q51))</f>
        <v/>
      </c>
      <c r="C51" s="55" t="str">
        <f>IF($Q51="","",INDEX(TRANSACTIONS_MASTER!$F$5:$F$1204,$Q51))</f>
        <v/>
      </c>
      <c r="D51" s="55" t="str">
        <f>IF($Q51="","",INDEX(TRANSACTIONS_MASTER!$E$5:$E$1204,$Q51))</f>
        <v/>
      </c>
      <c r="E51" s="55" t="str">
        <f>IF($Q51="","",INDEX(TRANSACTIONS_MASTER!$G$5:$G$1204,$Q51)&amp;"")</f>
        <v/>
      </c>
      <c r="F51" s="29" t="str">
        <f>IF($Q51="","",INDEX(TRANSACTIONS_MASTER!$I$5:$I$1204,$Q51))</f>
        <v/>
      </c>
      <c r="G51" s="55" t="str">
        <f>IF($Q51="","",INDEX(TRANSACTIONS_MASTER!$K$5:$K$1204,$Q51))</f>
        <v/>
      </c>
      <c r="H51" s="25" t="str">
        <f>IF($Q51="","",INDEX(TRANSACTIONS_MASTER!$L$5:$L$1204,$Q51))</f>
        <v/>
      </c>
      <c r="I51" s="56" t="str">
        <f>IF($Q51="","",INDEX(TRANSACTIONS_MASTER!$N$5:$N$1204,$Q51))</f>
        <v/>
      </c>
      <c r="J51" s="25" t="str">
        <f>IF($Q51="","",INDEX(TRANSACTIONS_MASTER!$O$5:$O$1204,$Q51))</f>
        <v/>
      </c>
      <c r="K51" s="26" t="str">
        <f>IF($Q51="","",INDEX(TRANSACTIONS_MASTER!$Q$5:$Q$1204,$Q51))</f>
        <v/>
      </c>
      <c r="L51" s="25" t="str">
        <f>IF($Q51="","",INDEX(TRANSACTIONS_MASTER!$P$5:$P$1204,$Q51))</f>
        <v/>
      </c>
      <c r="M51" s="25" t="str">
        <f>IF($Q51="","",INDEX(TRANSACTIONS_MASTER!$AA$5:$AA$1204,$Q51))</f>
        <v/>
      </c>
      <c r="N51" s="25" t="str">
        <f>IF($Q51="","",INDEX(TRANSACTIONS_MASTER!$R$5:$R$1204,$Q51))</f>
        <v/>
      </c>
      <c r="O51" s="28" t="str">
        <f>IF($Q51="","",INDEX(TRANSACTIONS_MASTER!$AB$5:$AB$1204,$Q51))</f>
        <v/>
      </c>
      <c r="P51" s="55" t="str">
        <f>IF($Q51="","",INDEX(TRANSACTIONS_MASTER!$Z$5:$Z$1204,$Q51)&amp;"")</f>
        <v/>
      </c>
      <c r="Q51" s="67" t="str">
        <f>IFERROR(MATCH($C$2&amp;"|"&amp;44,TRANSACTIONS_MASTER!$AE$5:$AE$1204,0),"")</f>
        <v/>
      </c>
      <c r="S51" s="67" t="str">
        <f>IFERROR(MATCH(44,CASHBACK_RULES!$S$5:$S$304,0),"")</f>
        <v/>
      </c>
      <c r="T51" s="55" t="str">
        <f>IF($S51="","",INDEX(CASHBACK_RULES!$B$5:$B$304,$S51))</f>
        <v/>
      </c>
      <c r="U51" s="55" t="str">
        <f>IF($S51="","",INDEX(CASHBACK_RULES!$C$5:$C$304,$S51)&amp;" "&amp;INDEX(CASHBACK_RULES!$D$5:$D$304,$S51))</f>
        <v/>
      </c>
      <c r="V51" s="55" t="str">
        <f>IF($S51="","",INDEX(CASHBACK_RULES!$E$5:$E$304,$S51)&amp;"")</f>
        <v/>
      </c>
      <c r="W51" s="55" t="str">
        <f>IF($S51="","",INDEX(CASHBACK_RULES!$F$5:$F$304,$S51)&amp;"")</f>
        <v/>
      </c>
      <c r="X51" s="26" t="str">
        <f>IF($S51="","",SUMIFS(TRANSACTIONS_MASTER!$Q$5:$Q$1204,TRANSACTIONS_MASTER!$D$5:$D$1204,$T51,TRANSACTIONS_MASTER!$Z$5:$Z$1204,$V51,TRANSACTIONS_MASTER!$C$5:$C$1204,$C$2))</f>
        <v/>
      </c>
      <c r="Y51" s="25" t="str">
        <f>IF($S51="","",IF(ISNUMBER(INDEX(CASHBACK_RULES!$J$5:$J$304,$S51)),INDEX(CASHBACK_RULES!$J$5:$J$304,$S51),"∞"))</f>
        <v/>
      </c>
      <c r="Z51" s="25" t="str">
        <f>IF($S51="","",IF(ISNUMBER($Y51),MAX(0,$Y51-$X51),"∞"))</f>
        <v/>
      </c>
      <c r="AA51" s="27" t="str">
        <f>IF($S51="","",IF(ISNUMBER($Y51),IF($Y51=0,0,$X51/$Y51),""))</f>
        <v/>
      </c>
    </row>
    <row r="52" ht="20" customHeight="1">
      <c r="A52" s="81" t="str">
        <f>IF($Q52="","",45)</f>
        <v/>
      </c>
      <c r="B52" s="57" t="str">
        <f>IF($Q52="","",INDEX(TRANSACTIONS_MASTER!$B$5:$B$1204,$Q52))</f>
        <v/>
      </c>
      <c r="C52" s="55" t="str">
        <f>IF($Q52="","",INDEX(TRANSACTIONS_MASTER!$F$5:$F$1204,$Q52))</f>
        <v/>
      </c>
      <c r="D52" s="55" t="str">
        <f>IF($Q52="","",INDEX(TRANSACTIONS_MASTER!$E$5:$E$1204,$Q52))</f>
        <v/>
      </c>
      <c r="E52" s="55" t="str">
        <f>IF($Q52="","",INDEX(TRANSACTIONS_MASTER!$G$5:$G$1204,$Q52)&amp;"")</f>
        <v/>
      </c>
      <c r="F52" s="29" t="str">
        <f>IF($Q52="","",INDEX(TRANSACTIONS_MASTER!$I$5:$I$1204,$Q52))</f>
        <v/>
      </c>
      <c r="G52" s="55" t="str">
        <f>IF($Q52="","",INDEX(TRANSACTIONS_MASTER!$K$5:$K$1204,$Q52))</f>
        <v/>
      </c>
      <c r="H52" s="25" t="str">
        <f>IF($Q52="","",INDEX(TRANSACTIONS_MASTER!$L$5:$L$1204,$Q52))</f>
        <v/>
      </c>
      <c r="I52" s="56" t="str">
        <f>IF($Q52="","",INDEX(TRANSACTIONS_MASTER!$N$5:$N$1204,$Q52))</f>
        <v/>
      </c>
      <c r="J52" s="25" t="str">
        <f>IF($Q52="","",INDEX(TRANSACTIONS_MASTER!$O$5:$O$1204,$Q52))</f>
        <v/>
      </c>
      <c r="K52" s="26" t="str">
        <f>IF($Q52="","",INDEX(TRANSACTIONS_MASTER!$Q$5:$Q$1204,$Q52))</f>
        <v/>
      </c>
      <c r="L52" s="25" t="str">
        <f>IF($Q52="","",INDEX(TRANSACTIONS_MASTER!$P$5:$P$1204,$Q52))</f>
        <v/>
      </c>
      <c r="M52" s="25" t="str">
        <f>IF($Q52="","",INDEX(TRANSACTIONS_MASTER!$AA$5:$AA$1204,$Q52))</f>
        <v/>
      </c>
      <c r="N52" s="25" t="str">
        <f>IF($Q52="","",INDEX(TRANSACTIONS_MASTER!$R$5:$R$1204,$Q52))</f>
        <v/>
      </c>
      <c r="O52" s="28" t="str">
        <f>IF($Q52="","",INDEX(TRANSACTIONS_MASTER!$AB$5:$AB$1204,$Q52))</f>
        <v/>
      </c>
      <c r="P52" s="55" t="str">
        <f>IF($Q52="","",INDEX(TRANSACTIONS_MASTER!$Z$5:$Z$1204,$Q52)&amp;"")</f>
        <v/>
      </c>
      <c r="Q52" s="67" t="str">
        <f>IFERROR(MATCH($C$2&amp;"|"&amp;45,TRANSACTIONS_MASTER!$AE$5:$AE$1204,0),"")</f>
        <v/>
      </c>
      <c r="S52" s="67" t="str">
        <f>IFERROR(MATCH(45,CASHBACK_RULES!$S$5:$S$304,0),"")</f>
        <v/>
      </c>
      <c r="T52" s="55" t="str">
        <f>IF($S52="","",INDEX(CASHBACK_RULES!$B$5:$B$304,$S52))</f>
        <v/>
      </c>
      <c r="U52" s="55" t="str">
        <f>IF($S52="","",INDEX(CASHBACK_RULES!$C$5:$C$304,$S52)&amp;" "&amp;INDEX(CASHBACK_RULES!$D$5:$D$304,$S52))</f>
        <v/>
      </c>
      <c r="V52" s="55" t="str">
        <f>IF($S52="","",INDEX(CASHBACK_RULES!$E$5:$E$304,$S52)&amp;"")</f>
        <v/>
      </c>
      <c r="W52" s="55" t="str">
        <f>IF($S52="","",INDEX(CASHBACK_RULES!$F$5:$F$304,$S52)&amp;"")</f>
        <v/>
      </c>
      <c r="X52" s="26" t="str">
        <f>IF($S52="","",SUMIFS(TRANSACTIONS_MASTER!$Q$5:$Q$1204,TRANSACTIONS_MASTER!$D$5:$D$1204,$T52,TRANSACTIONS_MASTER!$Z$5:$Z$1204,$V52,TRANSACTIONS_MASTER!$C$5:$C$1204,$C$2))</f>
        <v/>
      </c>
      <c r="Y52" s="25" t="str">
        <f>IF($S52="","",IF(ISNUMBER(INDEX(CASHBACK_RULES!$J$5:$J$304,$S52)),INDEX(CASHBACK_RULES!$J$5:$J$304,$S52),"∞"))</f>
        <v/>
      </c>
      <c r="Z52" s="25" t="str">
        <f>IF($S52="","",IF(ISNUMBER($Y52),MAX(0,$Y52-$X52),"∞"))</f>
        <v/>
      </c>
      <c r="AA52" s="27" t="str">
        <f>IF($S52="","",IF(ISNUMBER($Y52),IF($Y52=0,0,$X52/$Y52),""))</f>
        <v/>
      </c>
    </row>
    <row r="53" ht="20" customHeight="1">
      <c r="A53" s="81" t="str">
        <f>IF($Q53="","",46)</f>
        <v/>
      </c>
      <c r="B53" s="57" t="str">
        <f>IF($Q53="","",INDEX(TRANSACTIONS_MASTER!$B$5:$B$1204,$Q53))</f>
        <v/>
      </c>
      <c r="C53" s="55" t="str">
        <f>IF($Q53="","",INDEX(TRANSACTIONS_MASTER!$F$5:$F$1204,$Q53))</f>
        <v/>
      </c>
      <c r="D53" s="55" t="str">
        <f>IF($Q53="","",INDEX(TRANSACTIONS_MASTER!$E$5:$E$1204,$Q53))</f>
        <v/>
      </c>
      <c r="E53" s="55" t="str">
        <f>IF($Q53="","",INDEX(TRANSACTIONS_MASTER!$G$5:$G$1204,$Q53)&amp;"")</f>
        <v/>
      </c>
      <c r="F53" s="29" t="str">
        <f>IF($Q53="","",INDEX(TRANSACTIONS_MASTER!$I$5:$I$1204,$Q53))</f>
        <v/>
      </c>
      <c r="G53" s="55" t="str">
        <f>IF($Q53="","",INDEX(TRANSACTIONS_MASTER!$K$5:$K$1204,$Q53))</f>
        <v/>
      </c>
      <c r="H53" s="25" t="str">
        <f>IF($Q53="","",INDEX(TRANSACTIONS_MASTER!$L$5:$L$1204,$Q53))</f>
        <v/>
      </c>
      <c r="I53" s="56" t="str">
        <f>IF($Q53="","",INDEX(TRANSACTIONS_MASTER!$N$5:$N$1204,$Q53))</f>
        <v/>
      </c>
      <c r="J53" s="25" t="str">
        <f>IF($Q53="","",INDEX(TRANSACTIONS_MASTER!$O$5:$O$1204,$Q53))</f>
        <v/>
      </c>
      <c r="K53" s="26" t="str">
        <f>IF($Q53="","",INDEX(TRANSACTIONS_MASTER!$Q$5:$Q$1204,$Q53))</f>
        <v/>
      </c>
      <c r="L53" s="25" t="str">
        <f>IF($Q53="","",INDEX(TRANSACTIONS_MASTER!$P$5:$P$1204,$Q53))</f>
        <v/>
      </c>
      <c r="M53" s="25" t="str">
        <f>IF($Q53="","",INDEX(TRANSACTIONS_MASTER!$AA$5:$AA$1204,$Q53))</f>
        <v/>
      </c>
      <c r="N53" s="25" t="str">
        <f>IF($Q53="","",INDEX(TRANSACTIONS_MASTER!$R$5:$R$1204,$Q53))</f>
        <v/>
      </c>
      <c r="O53" s="28" t="str">
        <f>IF($Q53="","",INDEX(TRANSACTIONS_MASTER!$AB$5:$AB$1204,$Q53))</f>
        <v/>
      </c>
      <c r="P53" s="55" t="str">
        <f>IF($Q53="","",INDEX(TRANSACTIONS_MASTER!$Z$5:$Z$1204,$Q53)&amp;"")</f>
        <v/>
      </c>
      <c r="Q53" s="67" t="str">
        <f>IFERROR(MATCH($C$2&amp;"|"&amp;46,TRANSACTIONS_MASTER!$AE$5:$AE$1204,0),"")</f>
        <v/>
      </c>
      <c r="S53" s="67" t="str">
        <f>IFERROR(MATCH(46,CASHBACK_RULES!$S$5:$S$304,0),"")</f>
        <v/>
      </c>
      <c r="T53" s="55" t="str">
        <f>IF($S53="","",INDEX(CASHBACK_RULES!$B$5:$B$304,$S53))</f>
        <v/>
      </c>
      <c r="U53" s="55" t="str">
        <f>IF($S53="","",INDEX(CASHBACK_RULES!$C$5:$C$304,$S53)&amp;" "&amp;INDEX(CASHBACK_RULES!$D$5:$D$304,$S53))</f>
        <v/>
      </c>
      <c r="V53" s="55" t="str">
        <f>IF($S53="","",INDEX(CASHBACK_RULES!$E$5:$E$304,$S53)&amp;"")</f>
        <v/>
      </c>
      <c r="W53" s="55" t="str">
        <f>IF($S53="","",INDEX(CASHBACK_RULES!$F$5:$F$304,$S53)&amp;"")</f>
        <v/>
      </c>
      <c r="X53" s="26" t="str">
        <f>IF($S53="","",SUMIFS(TRANSACTIONS_MASTER!$Q$5:$Q$1204,TRANSACTIONS_MASTER!$D$5:$D$1204,$T53,TRANSACTIONS_MASTER!$Z$5:$Z$1204,$V53,TRANSACTIONS_MASTER!$C$5:$C$1204,$C$2))</f>
        <v/>
      </c>
      <c r="Y53" s="25" t="str">
        <f>IF($S53="","",IF(ISNUMBER(INDEX(CASHBACK_RULES!$J$5:$J$304,$S53)),INDEX(CASHBACK_RULES!$J$5:$J$304,$S53),"∞"))</f>
        <v/>
      </c>
      <c r="Z53" s="25" t="str">
        <f>IF($S53="","",IF(ISNUMBER($Y53),MAX(0,$Y53-$X53),"∞"))</f>
        <v/>
      </c>
      <c r="AA53" s="27" t="str">
        <f>IF($S53="","",IF(ISNUMBER($Y53),IF($Y53=0,0,$X53/$Y53),""))</f>
        <v/>
      </c>
    </row>
    <row r="54" ht="20" customHeight="1">
      <c r="A54" s="81" t="str">
        <f>IF($Q54="","",47)</f>
        <v/>
      </c>
      <c r="B54" s="57" t="str">
        <f>IF($Q54="","",INDEX(TRANSACTIONS_MASTER!$B$5:$B$1204,$Q54))</f>
        <v/>
      </c>
      <c r="C54" s="55" t="str">
        <f>IF($Q54="","",INDEX(TRANSACTIONS_MASTER!$F$5:$F$1204,$Q54))</f>
        <v/>
      </c>
      <c r="D54" s="55" t="str">
        <f>IF($Q54="","",INDEX(TRANSACTIONS_MASTER!$E$5:$E$1204,$Q54))</f>
        <v/>
      </c>
      <c r="E54" s="55" t="str">
        <f>IF($Q54="","",INDEX(TRANSACTIONS_MASTER!$G$5:$G$1204,$Q54)&amp;"")</f>
        <v/>
      </c>
      <c r="F54" s="29" t="str">
        <f>IF($Q54="","",INDEX(TRANSACTIONS_MASTER!$I$5:$I$1204,$Q54))</f>
        <v/>
      </c>
      <c r="G54" s="55" t="str">
        <f>IF($Q54="","",INDEX(TRANSACTIONS_MASTER!$K$5:$K$1204,$Q54))</f>
        <v/>
      </c>
      <c r="H54" s="25" t="str">
        <f>IF($Q54="","",INDEX(TRANSACTIONS_MASTER!$L$5:$L$1204,$Q54))</f>
        <v/>
      </c>
      <c r="I54" s="56" t="str">
        <f>IF($Q54="","",INDEX(TRANSACTIONS_MASTER!$N$5:$N$1204,$Q54))</f>
        <v/>
      </c>
      <c r="J54" s="25" t="str">
        <f>IF($Q54="","",INDEX(TRANSACTIONS_MASTER!$O$5:$O$1204,$Q54))</f>
        <v/>
      </c>
      <c r="K54" s="26" t="str">
        <f>IF($Q54="","",INDEX(TRANSACTIONS_MASTER!$Q$5:$Q$1204,$Q54))</f>
        <v/>
      </c>
      <c r="L54" s="25" t="str">
        <f>IF($Q54="","",INDEX(TRANSACTIONS_MASTER!$P$5:$P$1204,$Q54))</f>
        <v/>
      </c>
      <c r="M54" s="25" t="str">
        <f>IF($Q54="","",INDEX(TRANSACTIONS_MASTER!$AA$5:$AA$1204,$Q54))</f>
        <v/>
      </c>
      <c r="N54" s="25" t="str">
        <f>IF($Q54="","",INDEX(TRANSACTIONS_MASTER!$R$5:$R$1204,$Q54))</f>
        <v/>
      </c>
      <c r="O54" s="28" t="str">
        <f>IF($Q54="","",INDEX(TRANSACTIONS_MASTER!$AB$5:$AB$1204,$Q54))</f>
        <v/>
      </c>
      <c r="P54" s="55" t="str">
        <f>IF($Q54="","",INDEX(TRANSACTIONS_MASTER!$Z$5:$Z$1204,$Q54)&amp;"")</f>
        <v/>
      </c>
      <c r="Q54" s="67" t="str">
        <f>IFERROR(MATCH($C$2&amp;"|"&amp;47,TRANSACTIONS_MASTER!$AE$5:$AE$1204,0),"")</f>
        <v/>
      </c>
      <c r="S54" s="67" t="str">
        <f>IFERROR(MATCH(47,CASHBACK_RULES!$S$5:$S$304,0),"")</f>
        <v/>
      </c>
      <c r="T54" s="55" t="str">
        <f>IF($S54="","",INDEX(CASHBACK_RULES!$B$5:$B$304,$S54))</f>
        <v/>
      </c>
      <c r="U54" s="55" t="str">
        <f>IF($S54="","",INDEX(CASHBACK_RULES!$C$5:$C$304,$S54)&amp;" "&amp;INDEX(CASHBACK_RULES!$D$5:$D$304,$S54))</f>
        <v/>
      </c>
      <c r="V54" s="55" t="str">
        <f>IF($S54="","",INDEX(CASHBACK_RULES!$E$5:$E$304,$S54)&amp;"")</f>
        <v/>
      </c>
      <c r="W54" s="55" t="str">
        <f>IF($S54="","",INDEX(CASHBACK_RULES!$F$5:$F$304,$S54)&amp;"")</f>
        <v/>
      </c>
      <c r="X54" s="26" t="str">
        <f>IF($S54="","",SUMIFS(TRANSACTIONS_MASTER!$Q$5:$Q$1204,TRANSACTIONS_MASTER!$D$5:$D$1204,$T54,TRANSACTIONS_MASTER!$Z$5:$Z$1204,$V54,TRANSACTIONS_MASTER!$C$5:$C$1204,$C$2))</f>
        <v/>
      </c>
      <c r="Y54" s="25" t="str">
        <f>IF($S54="","",IF(ISNUMBER(INDEX(CASHBACK_RULES!$J$5:$J$304,$S54)),INDEX(CASHBACK_RULES!$J$5:$J$304,$S54),"∞"))</f>
        <v/>
      </c>
      <c r="Z54" s="25" t="str">
        <f>IF($S54="","",IF(ISNUMBER($Y54),MAX(0,$Y54-$X54),"∞"))</f>
        <v/>
      </c>
      <c r="AA54" s="27" t="str">
        <f>IF($S54="","",IF(ISNUMBER($Y54),IF($Y54=0,0,$X54/$Y54),""))</f>
        <v/>
      </c>
    </row>
    <row r="55" ht="20" customHeight="1">
      <c r="A55" s="81" t="str">
        <f>IF($Q55="","",48)</f>
        <v/>
      </c>
      <c r="B55" s="57" t="str">
        <f>IF($Q55="","",INDEX(TRANSACTIONS_MASTER!$B$5:$B$1204,$Q55))</f>
        <v/>
      </c>
      <c r="C55" s="55" t="str">
        <f>IF($Q55="","",INDEX(TRANSACTIONS_MASTER!$F$5:$F$1204,$Q55))</f>
        <v/>
      </c>
      <c r="D55" s="55" t="str">
        <f>IF($Q55="","",INDEX(TRANSACTIONS_MASTER!$E$5:$E$1204,$Q55))</f>
        <v/>
      </c>
      <c r="E55" s="55" t="str">
        <f>IF($Q55="","",INDEX(TRANSACTIONS_MASTER!$G$5:$G$1204,$Q55)&amp;"")</f>
        <v/>
      </c>
      <c r="F55" s="29" t="str">
        <f>IF($Q55="","",INDEX(TRANSACTIONS_MASTER!$I$5:$I$1204,$Q55))</f>
        <v/>
      </c>
      <c r="G55" s="55" t="str">
        <f>IF($Q55="","",INDEX(TRANSACTIONS_MASTER!$K$5:$K$1204,$Q55))</f>
        <v/>
      </c>
      <c r="H55" s="25" t="str">
        <f>IF($Q55="","",INDEX(TRANSACTIONS_MASTER!$L$5:$L$1204,$Q55))</f>
        <v/>
      </c>
      <c r="I55" s="56" t="str">
        <f>IF($Q55="","",INDEX(TRANSACTIONS_MASTER!$N$5:$N$1204,$Q55))</f>
        <v/>
      </c>
      <c r="J55" s="25" t="str">
        <f>IF($Q55="","",INDEX(TRANSACTIONS_MASTER!$O$5:$O$1204,$Q55))</f>
        <v/>
      </c>
      <c r="K55" s="26" t="str">
        <f>IF($Q55="","",INDEX(TRANSACTIONS_MASTER!$Q$5:$Q$1204,$Q55))</f>
        <v/>
      </c>
      <c r="L55" s="25" t="str">
        <f>IF($Q55="","",INDEX(TRANSACTIONS_MASTER!$P$5:$P$1204,$Q55))</f>
        <v/>
      </c>
      <c r="M55" s="25" t="str">
        <f>IF($Q55="","",INDEX(TRANSACTIONS_MASTER!$AA$5:$AA$1204,$Q55))</f>
        <v/>
      </c>
      <c r="N55" s="25" t="str">
        <f>IF($Q55="","",INDEX(TRANSACTIONS_MASTER!$R$5:$R$1204,$Q55))</f>
        <v/>
      </c>
      <c r="O55" s="28" t="str">
        <f>IF($Q55="","",INDEX(TRANSACTIONS_MASTER!$AB$5:$AB$1204,$Q55))</f>
        <v/>
      </c>
      <c r="P55" s="55" t="str">
        <f>IF($Q55="","",INDEX(TRANSACTIONS_MASTER!$Z$5:$Z$1204,$Q55)&amp;"")</f>
        <v/>
      </c>
      <c r="Q55" s="67" t="str">
        <f>IFERROR(MATCH($C$2&amp;"|"&amp;48,TRANSACTIONS_MASTER!$AE$5:$AE$1204,0),"")</f>
        <v/>
      </c>
      <c r="S55" s="67" t="str">
        <f>IFERROR(MATCH(48,CASHBACK_RULES!$S$5:$S$304,0),"")</f>
        <v/>
      </c>
      <c r="T55" s="55" t="str">
        <f>IF($S55="","",INDEX(CASHBACK_RULES!$B$5:$B$304,$S55))</f>
        <v/>
      </c>
      <c r="U55" s="55" t="str">
        <f>IF($S55="","",INDEX(CASHBACK_RULES!$C$5:$C$304,$S55)&amp;" "&amp;INDEX(CASHBACK_RULES!$D$5:$D$304,$S55))</f>
        <v/>
      </c>
      <c r="V55" s="55" t="str">
        <f>IF($S55="","",INDEX(CASHBACK_RULES!$E$5:$E$304,$S55)&amp;"")</f>
        <v/>
      </c>
      <c r="W55" s="55" t="str">
        <f>IF($S55="","",INDEX(CASHBACK_RULES!$F$5:$F$304,$S55)&amp;"")</f>
        <v/>
      </c>
      <c r="X55" s="26" t="str">
        <f>IF($S55="","",SUMIFS(TRANSACTIONS_MASTER!$Q$5:$Q$1204,TRANSACTIONS_MASTER!$D$5:$D$1204,$T55,TRANSACTIONS_MASTER!$Z$5:$Z$1204,$V55,TRANSACTIONS_MASTER!$C$5:$C$1204,$C$2))</f>
        <v/>
      </c>
      <c r="Y55" s="25" t="str">
        <f>IF($S55="","",IF(ISNUMBER(INDEX(CASHBACK_RULES!$J$5:$J$304,$S55)),INDEX(CASHBACK_RULES!$J$5:$J$304,$S55),"∞"))</f>
        <v/>
      </c>
      <c r="Z55" s="25" t="str">
        <f>IF($S55="","",IF(ISNUMBER($Y55),MAX(0,$Y55-$X55),"∞"))</f>
        <v/>
      </c>
      <c r="AA55" s="27" t="str">
        <f>IF($S55="","",IF(ISNUMBER($Y55),IF($Y55=0,0,$X55/$Y55),""))</f>
        <v/>
      </c>
    </row>
    <row r="56" ht="20" customHeight="1">
      <c r="A56" s="81" t="str">
        <f>IF($Q56="","",49)</f>
        <v/>
      </c>
      <c r="B56" s="57" t="str">
        <f>IF($Q56="","",INDEX(TRANSACTIONS_MASTER!$B$5:$B$1204,$Q56))</f>
        <v/>
      </c>
      <c r="C56" s="55" t="str">
        <f>IF($Q56="","",INDEX(TRANSACTIONS_MASTER!$F$5:$F$1204,$Q56))</f>
        <v/>
      </c>
      <c r="D56" s="55" t="str">
        <f>IF($Q56="","",INDEX(TRANSACTIONS_MASTER!$E$5:$E$1204,$Q56))</f>
        <v/>
      </c>
      <c r="E56" s="55" t="str">
        <f>IF($Q56="","",INDEX(TRANSACTIONS_MASTER!$G$5:$G$1204,$Q56)&amp;"")</f>
        <v/>
      </c>
      <c r="F56" s="29" t="str">
        <f>IF($Q56="","",INDEX(TRANSACTIONS_MASTER!$I$5:$I$1204,$Q56))</f>
        <v/>
      </c>
      <c r="G56" s="55" t="str">
        <f>IF($Q56="","",INDEX(TRANSACTIONS_MASTER!$K$5:$K$1204,$Q56))</f>
        <v/>
      </c>
      <c r="H56" s="25" t="str">
        <f>IF($Q56="","",INDEX(TRANSACTIONS_MASTER!$L$5:$L$1204,$Q56))</f>
        <v/>
      </c>
      <c r="I56" s="56" t="str">
        <f>IF($Q56="","",INDEX(TRANSACTIONS_MASTER!$N$5:$N$1204,$Q56))</f>
        <v/>
      </c>
      <c r="J56" s="25" t="str">
        <f>IF($Q56="","",INDEX(TRANSACTIONS_MASTER!$O$5:$O$1204,$Q56))</f>
        <v/>
      </c>
      <c r="K56" s="26" t="str">
        <f>IF($Q56="","",INDEX(TRANSACTIONS_MASTER!$Q$5:$Q$1204,$Q56))</f>
        <v/>
      </c>
      <c r="L56" s="25" t="str">
        <f>IF($Q56="","",INDEX(TRANSACTIONS_MASTER!$P$5:$P$1204,$Q56))</f>
        <v/>
      </c>
      <c r="M56" s="25" t="str">
        <f>IF($Q56="","",INDEX(TRANSACTIONS_MASTER!$AA$5:$AA$1204,$Q56))</f>
        <v/>
      </c>
      <c r="N56" s="25" t="str">
        <f>IF($Q56="","",INDEX(TRANSACTIONS_MASTER!$R$5:$R$1204,$Q56))</f>
        <v/>
      </c>
      <c r="O56" s="28" t="str">
        <f>IF($Q56="","",INDEX(TRANSACTIONS_MASTER!$AB$5:$AB$1204,$Q56))</f>
        <v/>
      </c>
      <c r="P56" s="55" t="str">
        <f>IF($Q56="","",INDEX(TRANSACTIONS_MASTER!$Z$5:$Z$1204,$Q56)&amp;"")</f>
        <v/>
      </c>
      <c r="Q56" s="67" t="str">
        <f>IFERROR(MATCH($C$2&amp;"|"&amp;49,TRANSACTIONS_MASTER!$AE$5:$AE$1204,0),"")</f>
        <v/>
      </c>
      <c r="S56" s="67" t="str">
        <f>IFERROR(MATCH(49,CASHBACK_RULES!$S$5:$S$304,0),"")</f>
        <v/>
      </c>
      <c r="T56" s="55" t="str">
        <f>IF($S56="","",INDEX(CASHBACK_RULES!$B$5:$B$304,$S56))</f>
        <v/>
      </c>
      <c r="U56" s="55" t="str">
        <f>IF($S56="","",INDEX(CASHBACK_RULES!$C$5:$C$304,$S56)&amp;" "&amp;INDEX(CASHBACK_RULES!$D$5:$D$304,$S56))</f>
        <v/>
      </c>
      <c r="V56" s="55" t="str">
        <f>IF($S56="","",INDEX(CASHBACK_RULES!$E$5:$E$304,$S56)&amp;"")</f>
        <v/>
      </c>
      <c r="W56" s="55" t="str">
        <f>IF($S56="","",INDEX(CASHBACK_RULES!$F$5:$F$304,$S56)&amp;"")</f>
        <v/>
      </c>
      <c r="X56" s="26" t="str">
        <f>IF($S56="","",SUMIFS(TRANSACTIONS_MASTER!$Q$5:$Q$1204,TRANSACTIONS_MASTER!$D$5:$D$1204,$T56,TRANSACTIONS_MASTER!$Z$5:$Z$1204,$V56,TRANSACTIONS_MASTER!$C$5:$C$1204,$C$2))</f>
        <v/>
      </c>
      <c r="Y56" s="25" t="str">
        <f>IF($S56="","",IF(ISNUMBER(INDEX(CASHBACK_RULES!$J$5:$J$304,$S56)),INDEX(CASHBACK_RULES!$J$5:$J$304,$S56),"∞"))</f>
        <v/>
      </c>
      <c r="Z56" s="25" t="str">
        <f>IF($S56="","",IF(ISNUMBER($Y56),MAX(0,$Y56-$X56),"∞"))</f>
        <v/>
      </c>
      <c r="AA56" s="27" t="str">
        <f>IF($S56="","",IF(ISNUMBER($Y56),IF($Y56=0,0,$X56/$Y56),""))</f>
        <v/>
      </c>
    </row>
    <row r="57" ht="20" customHeight="1">
      <c r="A57" s="81" t="str">
        <f>IF($Q57="","",50)</f>
        <v/>
      </c>
      <c r="B57" s="57" t="str">
        <f>IF($Q57="","",INDEX(TRANSACTIONS_MASTER!$B$5:$B$1204,$Q57))</f>
        <v/>
      </c>
      <c r="C57" s="55" t="str">
        <f>IF($Q57="","",INDEX(TRANSACTIONS_MASTER!$F$5:$F$1204,$Q57))</f>
        <v/>
      </c>
      <c r="D57" s="55" t="str">
        <f>IF($Q57="","",INDEX(TRANSACTIONS_MASTER!$E$5:$E$1204,$Q57))</f>
        <v/>
      </c>
      <c r="E57" s="55" t="str">
        <f>IF($Q57="","",INDEX(TRANSACTIONS_MASTER!$G$5:$G$1204,$Q57)&amp;"")</f>
        <v/>
      </c>
      <c r="F57" s="29" t="str">
        <f>IF($Q57="","",INDEX(TRANSACTIONS_MASTER!$I$5:$I$1204,$Q57))</f>
        <v/>
      </c>
      <c r="G57" s="55" t="str">
        <f>IF($Q57="","",INDEX(TRANSACTIONS_MASTER!$K$5:$K$1204,$Q57))</f>
        <v/>
      </c>
      <c r="H57" s="25" t="str">
        <f>IF($Q57="","",INDEX(TRANSACTIONS_MASTER!$L$5:$L$1204,$Q57))</f>
        <v/>
      </c>
      <c r="I57" s="56" t="str">
        <f>IF($Q57="","",INDEX(TRANSACTIONS_MASTER!$N$5:$N$1204,$Q57))</f>
        <v/>
      </c>
      <c r="J57" s="25" t="str">
        <f>IF($Q57="","",INDEX(TRANSACTIONS_MASTER!$O$5:$O$1204,$Q57))</f>
        <v/>
      </c>
      <c r="K57" s="26" t="str">
        <f>IF($Q57="","",INDEX(TRANSACTIONS_MASTER!$Q$5:$Q$1204,$Q57))</f>
        <v/>
      </c>
      <c r="L57" s="25" t="str">
        <f>IF($Q57="","",INDEX(TRANSACTIONS_MASTER!$P$5:$P$1204,$Q57))</f>
        <v/>
      </c>
      <c r="M57" s="25" t="str">
        <f>IF($Q57="","",INDEX(TRANSACTIONS_MASTER!$AA$5:$AA$1204,$Q57))</f>
        <v/>
      </c>
      <c r="N57" s="25" t="str">
        <f>IF($Q57="","",INDEX(TRANSACTIONS_MASTER!$R$5:$R$1204,$Q57))</f>
        <v/>
      </c>
      <c r="O57" s="28" t="str">
        <f>IF($Q57="","",INDEX(TRANSACTIONS_MASTER!$AB$5:$AB$1204,$Q57))</f>
        <v/>
      </c>
      <c r="P57" s="55" t="str">
        <f>IF($Q57="","",INDEX(TRANSACTIONS_MASTER!$Z$5:$Z$1204,$Q57)&amp;"")</f>
        <v/>
      </c>
      <c r="Q57" s="67" t="str">
        <f>IFERROR(MATCH($C$2&amp;"|"&amp;50,TRANSACTIONS_MASTER!$AE$5:$AE$1204,0),"")</f>
        <v/>
      </c>
      <c r="S57" s="67" t="str">
        <f>IFERROR(MATCH(50,CASHBACK_RULES!$S$5:$S$304,0),"")</f>
        <v/>
      </c>
      <c r="T57" s="55" t="str">
        <f>IF($S57="","",INDEX(CASHBACK_RULES!$B$5:$B$304,$S57))</f>
        <v/>
      </c>
      <c r="U57" s="55" t="str">
        <f>IF($S57="","",INDEX(CASHBACK_RULES!$C$5:$C$304,$S57)&amp;" "&amp;INDEX(CASHBACK_RULES!$D$5:$D$304,$S57))</f>
        <v/>
      </c>
      <c r="V57" s="55" t="str">
        <f>IF($S57="","",INDEX(CASHBACK_RULES!$E$5:$E$304,$S57)&amp;"")</f>
        <v/>
      </c>
      <c r="W57" s="55" t="str">
        <f>IF($S57="","",INDEX(CASHBACK_RULES!$F$5:$F$304,$S57)&amp;"")</f>
        <v/>
      </c>
      <c r="X57" s="26" t="str">
        <f>IF($S57="","",SUMIFS(TRANSACTIONS_MASTER!$Q$5:$Q$1204,TRANSACTIONS_MASTER!$D$5:$D$1204,$T57,TRANSACTIONS_MASTER!$Z$5:$Z$1204,$V57,TRANSACTIONS_MASTER!$C$5:$C$1204,$C$2))</f>
        <v/>
      </c>
      <c r="Y57" s="25" t="str">
        <f>IF($S57="","",IF(ISNUMBER(INDEX(CASHBACK_RULES!$J$5:$J$304,$S57)),INDEX(CASHBACK_RULES!$J$5:$J$304,$S57),"∞"))</f>
        <v/>
      </c>
      <c r="Z57" s="25" t="str">
        <f>IF($S57="","",IF(ISNUMBER($Y57),MAX(0,$Y57-$X57),"∞"))</f>
        <v/>
      </c>
      <c r="AA57" s="27" t="str">
        <f>IF($S57="","",IF(ISNUMBER($Y57),IF($Y57=0,0,$X57/$Y57),""))</f>
        <v/>
      </c>
    </row>
    <row r="58">
      <c r="A58" s="81" t="str">
        <f>IF($Q58="","",51)</f>
        <v/>
      </c>
      <c r="B58" s="57" t="str">
        <f>IF($Q58="","",INDEX(TRANSACTIONS_MASTER!$B$5:$B$1204,$Q58))</f>
        <v/>
      </c>
      <c r="C58" s="55" t="str">
        <f>IF($Q58="","",INDEX(TRANSACTIONS_MASTER!$F$5:$F$1204,$Q58))</f>
        <v/>
      </c>
      <c r="D58" s="55" t="str">
        <f>IF($Q58="","",INDEX(TRANSACTIONS_MASTER!$E$5:$E$1204,$Q58))</f>
        <v/>
      </c>
      <c r="E58" s="55" t="str">
        <f>IF($Q58="","",INDEX(TRANSACTIONS_MASTER!$G$5:$G$1204,$Q58)&amp;"")</f>
        <v/>
      </c>
      <c r="F58" s="29" t="str">
        <f>IF($Q58="","",INDEX(TRANSACTIONS_MASTER!$I$5:$I$1204,$Q58))</f>
        <v/>
      </c>
      <c r="G58" s="55" t="str">
        <f>IF($Q58="","",INDEX(TRANSACTIONS_MASTER!$K$5:$K$1204,$Q58))</f>
        <v/>
      </c>
      <c r="H58" s="25" t="str">
        <f>IF($Q58="","",INDEX(TRANSACTIONS_MASTER!$L$5:$L$1204,$Q58))</f>
        <v/>
      </c>
      <c r="I58" s="56" t="str">
        <f>IF($Q58="","",INDEX(TRANSACTIONS_MASTER!$N$5:$N$1204,$Q58))</f>
        <v/>
      </c>
      <c r="J58" s="25" t="str">
        <f>IF($Q58="","",INDEX(TRANSACTIONS_MASTER!$O$5:$O$1204,$Q58))</f>
        <v/>
      </c>
      <c r="K58" s="26" t="str">
        <f>IF($Q58="","",INDEX(TRANSACTIONS_MASTER!$Q$5:$Q$1204,$Q58))</f>
        <v/>
      </c>
      <c r="L58" s="25" t="str">
        <f>IF($Q58="","",INDEX(TRANSACTIONS_MASTER!$P$5:$P$1204,$Q58))</f>
        <v/>
      </c>
      <c r="M58" s="25" t="str">
        <f>IF($Q58="","",INDEX(TRANSACTIONS_MASTER!$AA$5:$AA$1204,$Q58))</f>
        <v/>
      </c>
      <c r="N58" s="25" t="str">
        <f>IF($Q58="","",INDEX(TRANSACTIONS_MASTER!$R$5:$R$1204,$Q58))</f>
        <v/>
      </c>
      <c r="O58" s="28" t="str">
        <f>IF($Q58="","",INDEX(TRANSACTIONS_MASTER!$AB$5:$AB$1204,$Q58))</f>
        <v/>
      </c>
      <c r="P58" s="55" t="str">
        <f>IF($Q58="","",INDEX(TRANSACTIONS_MASTER!$Z$5:$Z$1204,$Q58)&amp;"")</f>
        <v/>
      </c>
      <c r="Q58" s="67" t="str">
        <f>IFERROR(MATCH($C$2&amp;"|"&amp;51,TRANSACTIONS_MASTER!$AE$5:$AE$1204,0),"")</f>
        <v/>
      </c>
    </row>
    <row r="59">
      <c r="A59" s="81" t="str">
        <f>IF($Q59="","",52)</f>
        <v/>
      </c>
      <c r="B59" s="57" t="str">
        <f>IF($Q59="","",INDEX(TRANSACTIONS_MASTER!$B$5:$B$1204,$Q59))</f>
        <v/>
      </c>
      <c r="C59" s="55" t="str">
        <f>IF($Q59="","",INDEX(TRANSACTIONS_MASTER!$F$5:$F$1204,$Q59))</f>
        <v/>
      </c>
      <c r="D59" s="55" t="str">
        <f>IF($Q59="","",INDEX(TRANSACTIONS_MASTER!$E$5:$E$1204,$Q59))</f>
        <v/>
      </c>
      <c r="E59" s="55" t="str">
        <f>IF($Q59="","",INDEX(TRANSACTIONS_MASTER!$G$5:$G$1204,$Q59)&amp;"")</f>
        <v/>
      </c>
      <c r="F59" s="29" t="str">
        <f>IF($Q59="","",INDEX(TRANSACTIONS_MASTER!$I$5:$I$1204,$Q59))</f>
        <v/>
      </c>
      <c r="G59" s="55" t="str">
        <f>IF($Q59="","",INDEX(TRANSACTIONS_MASTER!$K$5:$K$1204,$Q59))</f>
        <v/>
      </c>
      <c r="H59" s="25" t="str">
        <f>IF($Q59="","",INDEX(TRANSACTIONS_MASTER!$L$5:$L$1204,$Q59))</f>
        <v/>
      </c>
      <c r="I59" s="56" t="str">
        <f>IF($Q59="","",INDEX(TRANSACTIONS_MASTER!$N$5:$N$1204,$Q59))</f>
        <v/>
      </c>
      <c r="J59" s="25" t="str">
        <f>IF($Q59="","",INDEX(TRANSACTIONS_MASTER!$O$5:$O$1204,$Q59))</f>
        <v/>
      </c>
      <c r="K59" s="26" t="str">
        <f>IF($Q59="","",INDEX(TRANSACTIONS_MASTER!$Q$5:$Q$1204,$Q59))</f>
        <v/>
      </c>
      <c r="L59" s="25" t="str">
        <f>IF($Q59="","",INDEX(TRANSACTIONS_MASTER!$P$5:$P$1204,$Q59))</f>
        <v/>
      </c>
      <c r="M59" s="25" t="str">
        <f>IF($Q59="","",INDEX(TRANSACTIONS_MASTER!$AA$5:$AA$1204,$Q59))</f>
        <v/>
      </c>
      <c r="N59" s="25" t="str">
        <f>IF($Q59="","",INDEX(TRANSACTIONS_MASTER!$R$5:$R$1204,$Q59))</f>
        <v/>
      </c>
      <c r="O59" s="28" t="str">
        <f>IF($Q59="","",INDEX(TRANSACTIONS_MASTER!$AB$5:$AB$1204,$Q59))</f>
        <v/>
      </c>
      <c r="P59" s="55" t="str">
        <f>IF($Q59="","",INDEX(TRANSACTIONS_MASTER!$Z$5:$Z$1204,$Q59)&amp;"")</f>
        <v/>
      </c>
      <c r="Q59" s="67" t="str">
        <f>IFERROR(MATCH($C$2&amp;"|"&amp;52,TRANSACTIONS_MASTER!$AE$5:$AE$1204,0),"")</f>
        <v/>
      </c>
    </row>
    <row r="60" ht="22" customHeight="1">
      <c r="A60" s="81" t="str">
        <f>IF($Q60="","",53)</f>
        <v/>
      </c>
      <c r="B60" s="57" t="str">
        <f>IF($Q60="","",INDEX(TRANSACTIONS_MASTER!$B$5:$B$1204,$Q60))</f>
        <v/>
      </c>
      <c r="C60" s="55" t="str">
        <f>IF($Q60="","",INDEX(TRANSACTIONS_MASTER!$F$5:$F$1204,$Q60))</f>
        <v/>
      </c>
      <c r="D60" s="55" t="str">
        <f>IF($Q60="","",INDEX(TRANSACTIONS_MASTER!$E$5:$E$1204,$Q60))</f>
        <v/>
      </c>
      <c r="E60" s="55" t="str">
        <f>IF($Q60="","",INDEX(TRANSACTIONS_MASTER!$G$5:$G$1204,$Q60)&amp;"")</f>
        <v/>
      </c>
      <c r="F60" s="29" t="str">
        <f>IF($Q60="","",INDEX(TRANSACTIONS_MASTER!$I$5:$I$1204,$Q60))</f>
        <v/>
      </c>
      <c r="G60" s="55" t="str">
        <f>IF($Q60="","",INDEX(TRANSACTIONS_MASTER!$K$5:$K$1204,$Q60))</f>
        <v/>
      </c>
      <c r="H60" s="25" t="str">
        <f>IF($Q60="","",INDEX(TRANSACTIONS_MASTER!$L$5:$L$1204,$Q60))</f>
        <v/>
      </c>
      <c r="I60" s="56" t="str">
        <f>IF($Q60="","",INDEX(TRANSACTIONS_MASTER!$N$5:$N$1204,$Q60))</f>
        <v/>
      </c>
      <c r="J60" s="25" t="str">
        <f>IF($Q60="","",INDEX(TRANSACTIONS_MASTER!$O$5:$O$1204,$Q60))</f>
        <v/>
      </c>
      <c r="K60" s="26" t="str">
        <f>IF($Q60="","",INDEX(TRANSACTIONS_MASTER!$Q$5:$Q$1204,$Q60))</f>
        <v/>
      </c>
      <c r="L60" s="25" t="str">
        <f>IF($Q60="","",INDEX(TRANSACTIONS_MASTER!$P$5:$P$1204,$Q60))</f>
        <v/>
      </c>
      <c r="M60" s="25" t="str">
        <f>IF($Q60="","",INDEX(TRANSACTIONS_MASTER!$AA$5:$AA$1204,$Q60))</f>
        <v/>
      </c>
      <c r="N60" s="25" t="str">
        <f>IF($Q60="","",INDEX(TRANSACTIONS_MASTER!$R$5:$R$1204,$Q60))</f>
        <v/>
      </c>
      <c r="O60" s="28" t="str">
        <f>IF($Q60="","",INDEX(TRANSACTIONS_MASTER!$AB$5:$AB$1204,$Q60))</f>
        <v/>
      </c>
      <c r="P60" s="55" t="str">
        <f>IF($Q60="","",INDEX(TRANSACTIONS_MASTER!$Z$5:$Z$1204,$Q60)&amp;"")</f>
        <v/>
      </c>
      <c r="Q60" s="67" t="str">
        <f>IFERROR(MATCH($C$2&amp;"|"&amp;53,TRANSACTIONS_MASTER!$AE$5:$AE$1204,0),"")</f>
        <v/>
      </c>
      <c r="T60" s="19" t="inlineStr">
        <is>
          <t>TỔNG THEO THẺ — chi tiêu · cashback · cap thẻ / tháng</t>
        </is>
      </c>
      <c r="U60" s="20" t="n"/>
      <c r="V60" s="20" t="n"/>
      <c r="W60" s="20" t="n"/>
      <c r="X60" s="20" t="n"/>
      <c r="Y60" s="20" t="n"/>
      <c r="Z60" s="20" t="n"/>
      <c r="AA60" s="20" t="n"/>
    </row>
    <row r="61" ht="30" customHeight="1">
      <c r="A61" s="81" t="str">
        <f>IF($Q61="","",54)</f>
        <v/>
      </c>
      <c r="B61" s="57" t="str">
        <f>IF($Q61="","",INDEX(TRANSACTIONS_MASTER!$B$5:$B$1204,$Q61))</f>
        <v/>
      </c>
      <c r="C61" s="55" t="str">
        <f>IF($Q61="","",INDEX(TRANSACTIONS_MASTER!$F$5:$F$1204,$Q61))</f>
        <v/>
      </c>
      <c r="D61" s="55" t="str">
        <f>IF($Q61="","",INDEX(TRANSACTIONS_MASTER!$E$5:$E$1204,$Q61))</f>
        <v/>
      </c>
      <c r="E61" s="55" t="str">
        <f>IF($Q61="","",INDEX(TRANSACTIONS_MASTER!$G$5:$G$1204,$Q61)&amp;"")</f>
        <v/>
      </c>
      <c r="F61" s="29" t="str">
        <f>IF($Q61="","",INDEX(TRANSACTIONS_MASTER!$I$5:$I$1204,$Q61))</f>
        <v/>
      </c>
      <c r="G61" s="55" t="str">
        <f>IF($Q61="","",INDEX(TRANSACTIONS_MASTER!$K$5:$K$1204,$Q61))</f>
        <v/>
      </c>
      <c r="H61" s="25" t="str">
        <f>IF($Q61="","",INDEX(TRANSACTIONS_MASTER!$L$5:$L$1204,$Q61))</f>
        <v/>
      </c>
      <c r="I61" s="56" t="str">
        <f>IF($Q61="","",INDEX(TRANSACTIONS_MASTER!$N$5:$N$1204,$Q61))</f>
        <v/>
      </c>
      <c r="J61" s="25" t="str">
        <f>IF($Q61="","",INDEX(TRANSACTIONS_MASTER!$O$5:$O$1204,$Q61))</f>
        <v/>
      </c>
      <c r="K61" s="26" t="str">
        <f>IF($Q61="","",INDEX(TRANSACTIONS_MASTER!$Q$5:$Q$1204,$Q61))</f>
        <v/>
      </c>
      <c r="L61" s="25" t="str">
        <f>IF($Q61="","",INDEX(TRANSACTIONS_MASTER!$P$5:$P$1204,$Q61))</f>
        <v/>
      </c>
      <c r="M61" s="25" t="str">
        <f>IF($Q61="","",INDEX(TRANSACTIONS_MASTER!$AA$5:$AA$1204,$Q61))</f>
        <v/>
      </c>
      <c r="N61" s="25" t="str">
        <f>IF($Q61="","",INDEX(TRANSACTIONS_MASTER!$R$5:$R$1204,$Q61))</f>
        <v/>
      </c>
      <c r="O61" s="28" t="str">
        <f>IF($Q61="","",INDEX(TRANSACTIONS_MASTER!$AB$5:$AB$1204,$Q61))</f>
        <v/>
      </c>
      <c r="P61" s="55" t="str">
        <f>IF($Q61="","",INDEX(TRANSACTIONS_MASTER!$Z$5:$Z$1204,$Q61)&amp;"")</f>
        <v/>
      </c>
      <c r="Q61" s="67" t="str">
        <f>IFERROR(MATCH($C$2&amp;"|"&amp;54,TRANSACTIONS_MASTER!$AE$5:$AE$1204,0),"")</f>
        <v/>
      </c>
      <c r="S61" s="21" t="inlineStr">
        <is>
          <t>#</t>
        </is>
      </c>
      <c r="T61" s="21" t="inlineStr">
        <is>
          <t>Card ID</t>
        </is>
      </c>
      <c r="U61" s="21" t="inlineStr">
        <is>
          <t>Thẻ</t>
        </is>
      </c>
      <c r="V61" s="21" t="inlineStr">
        <is>
          <t>Chi tiêu</t>
        </is>
      </c>
      <c r="W61" s="21" t="inlineStr">
        <is>
          <t>Cashback</t>
        </is>
      </c>
      <c r="X61" s="21" t="inlineStr">
        <is>
          <t>Cap thẻ / tháng</t>
        </is>
      </c>
      <c r="Y61" s="21" t="inlineStr">
        <is>
          <t>Còn lại (tối đa)</t>
        </is>
      </c>
      <c r="Z61" s="21" t="inlineStr">
        <is>
          <t>Progress</t>
        </is>
      </c>
      <c r="AA61" s="21" t="inlineStr">
        <is>
          <t>Số GD</t>
        </is>
      </c>
    </row>
    <row r="62">
      <c r="A62" s="81" t="str">
        <f>IF($Q62="","",55)</f>
        <v/>
      </c>
      <c r="B62" s="57" t="str">
        <f>IF($Q62="","",INDEX(TRANSACTIONS_MASTER!$B$5:$B$1204,$Q62))</f>
        <v/>
      </c>
      <c r="C62" s="55" t="str">
        <f>IF($Q62="","",INDEX(TRANSACTIONS_MASTER!$F$5:$F$1204,$Q62))</f>
        <v/>
      </c>
      <c r="D62" s="55" t="str">
        <f>IF($Q62="","",INDEX(TRANSACTIONS_MASTER!$E$5:$E$1204,$Q62))</f>
        <v/>
      </c>
      <c r="E62" s="55" t="str">
        <f>IF($Q62="","",INDEX(TRANSACTIONS_MASTER!$G$5:$G$1204,$Q62)&amp;"")</f>
        <v/>
      </c>
      <c r="F62" s="29" t="str">
        <f>IF($Q62="","",INDEX(TRANSACTIONS_MASTER!$I$5:$I$1204,$Q62))</f>
        <v/>
      </c>
      <c r="G62" s="55" t="str">
        <f>IF($Q62="","",INDEX(TRANSACTIONS_MASTER!$K$5:$K$1204,$Q62))</f>
        <v/>
      </c>
      <c r="H62" s="25" t="str">
        <f>IF($Q62="","",INDEX(TRANSACTIONS_MASTER!$L$5:$L$1204,$Q62))</f>
        <v/>
      </c>
      <c r="I62" s="56" t="str">
        <f>IF($Q62="","",INDEX(TRANSACTIONS_MASTER!$N$5:$N$1204,$Q62))</f>
        <v/>
      </c>
      <c r="J62" s="25" t="str">
        <f>IF($Q62="","",INDEX(TRANSACTIONS_MASTER!$O$5:$O$1204,$Q62))</f>
        <v/>
      </c>
      <c r="K62" s="26" t="str">
        <f>IF($Q62="","",INDEX(TRANSACTIONS_MASTER!$Q$5:$Q$1204,$Q62))</f>
        <v/>
      </c>
      <c r="L62" s="25" t="str">
        <f>IF($Q62="","",INDEX(TRANSACTIONS_MASTER!$P$5:$P$1204,$Q62))</f>
        <v/>
      </c>
      <c r="M62" s="25" t="str">
        <f>IF($Q62="","",INDEX(TRANSACTIONS_MASTER!$AA$5:$AA$1204,$Q62))</f>
        <v/>
      </c>
      <c r="N62" s="25" t="str">
        <f>IF($Q62="","",INDEX(TRANSACTIONS_MASTER!$R$5:$R$1204,$Q62))</f>
        <v/>
      </c>
      <c r="O62" s="28" t="str">
        <f>IF($Q62="","",INDEX(TRANSACTIONS_MASTER!$AB$5:$AB$1204,$Q62))</f>
        <v/>
      </c>
      <c r="P62" s="55" t="str">
        <f>IF($Q62="","",INDEX(TRANSACTIONS_MASTER!$Z$5:$Z$1204,$Q62)&amp;"")</f>
        <v/>
      </c>
      <c r="Q62" s="67" t="str">
        <f>IFERROR(MATCH($C$2&amp;"|"&amp;55,TRANSACTIONS_MASTER!$AE$5:$AE$1204,0),"")</f>
        <v/>
      </c>
      <c r="S62" s="67" t="n">
        <v>1</v>
      </c>
      <c r="T62" s="55" t="str">
        <f>IF(CARDS!$A5="","",CARDS!$A5)</f>
        <v>VPB-JCBZ</v>
      </c>
      <c r="U62" s="55" t="str">
        <f>IF($T62="","",CARDS!$B5&amp;" "&amp;CARDS!$C5)</f>
        <v>VPBank JCB Z Card</v>
      </c>
      <c r="V62" s="25">
        <f>IF($T62="","",SUMIFS(TRANSACTIONS_MASTER!$L$5:$L$1204,TRANSACTIONS_MASTER!$D$5:$D$1204,$T62,TRANSACTIONS_MASTER!$C$5:$C$1204,$C$2,TRANSACTIONS_MASTER!$U$5:$U$1204,"&lt;&gt;Cancelled"))</f>
        <v>0</v>
      </c>
      <c r="W62" s="26">
        <f>IF($T62="","",SUMIFS(TRANSACTIONS_MASTER!$Q$5:$Q$1204,TRANSACTIONS_MASTER!$D$5:$D$1204,$T62,TRANSACTIONS_MASTER!$C$5:$C$1204,$C$2))</f>
        <v>0</v>
      </c>
      <c r="X62" s="25">
        <f>IF($T62="","",IFERROR(IF(ISNUMBER(INDEX(CASHBACK_RULES!$K$5:$K$304,MATCH($T62,CASHBACK_RULES!$B$5:$B$304,0))),INDEX(CASHBACK_RULES!$K$5:$K$304,MATCH($T62,CASHBACK_RULES!$B$5:$B$304,0)),"∞"),"—"))</f>
        <v>1000000</v>
      </c>
      <c r="Y62" s="25">
        <f>IF($T62="","",IF($X62="—","—",IF(COUNTIFS($T$8:$T$57,$T62,$Z$8:$Z$57,"∞")&gt;0,IF(ISNUMBER($X62),MAX(0,$X62-$W62),"∞"),IF(ISNUMBER($X62),MAX(0,MIN($X62-$W62,SUMIFS($Z$8:$Z$57,$T$8:$T$57,$T62))),SUMIFS($Z$8:$Z$57,$T$8:$T$57,$T62)))))</f>
        <v>1000000</v>
      </c>
      <c r="Z62" s="27">
        <f>IF($T62="","",IF(ISNUMBER($X62),IF($X62=0,0,$W62/$X62),IF(ISNUMBER($Y62),IF($W62+$Y62=0,0,$W62/($W62+$Y62)),"")))</f>
        <v>0</v>
      </c>
      <c r="AA62" s="29">
        <f>IF($T62="","",COUNTIFS(TRANSACTIONS_MASTER!$D$5:$D$1204,$T62,TRANSACTIONS_MASTER!$C$5:$C$1204,$C$2,TRANSACTIONS_MASTER!$U$5:$U$1204,"&lt;&gt;Cancelled"))</f>
        <v>0</v>
      </c>
    </row>
    <row r="63">
      <c r="A63" s="81" t="str">
        <f>IF($Q63="","",56)</f>
        <v/>
      </c>
      <c r="B63" s="57" t="str">
        <f>IF($Q63="","",INDEX(TRANSACTIONS_MASTER!$B$5:$B$1204,$Q63))</f>
        <v/>
      </c>
      <c r="C63" s="55" t="str">
        <f>IF($Q63="","",INDEX(TRANSACTIONS_MASTER!$F$5:$F$1204,$Q63))</f>
        <v/>
      </c>
      <c r="D63" s="55" t="str">
        <f>IF($Q63="","",INDEX(TRANSACTIONS_MASTER!$E$5:$E$1204,$Q63))</f>
        <v/>
      </c>
      <c r="E63" s="55" t="str">
        <f>IF($Q63="","",INDEX(TRANSACTIONS_MASTER!$G$5:$G$1204,$Q63)&amp;"")</f>
        <v/>
      </c>
      <c r="F63" s="29" t="str">
        <f>IF($Q63="","",INDEX(TRANSACTIONS_MASTER!$I$5:$I$1204,$Q63))</f>
        <v/>
      </c>
      <c r="G63" s="55" t="str">
        <f>IF($Q63="","",INDEX(TRANSACTIONS_MASTER!$K$5:$K$1204,$Q63))</f>
        <v/>
      </c>
      <c r="H63" s="25" t="str">
        <f>IF($Q63="","",INDEX(TRANSACTIONS_MASTER!$L$5:$L$1204,$Q63))</f>
        <v/>
      </c>
      <c r="I63" s="56" t="str">
        <f>IF($Q63="","",INDEX(TRANSACTIONS_MASTER!$N$5:$N$1204,$Q63))</f>
        <v/>
      </c>
      <c r="J63" s="25" t="str">
        <f>IF($Q63="","",INDEX(TRANSACTIONS_MASTER!$O$5:$O$1204,$Q63))</f>
        <v/>
      </c>
      <c r="K63" s="26" t="str">
        <f>IF($Q63="","",INDEX(TRANSACTIONS_MASTER!$Q$5:$Q$1204,$Q63))</f>
        <v/>
      </c>
      <c r="L63" s="25" t="str">
        <f>IF($Q63="","",INDEX(TRANSACTIONS_MASTER!$P$5:$P$1204,$Q63))</f>
        <v/>
      </c>
      <c r="M63" s="25" t="str">
        <f>IF($Q63="","",INDEX(TRANSACTIONS_MASTER!$AA$5:$AA$1204,$Q63))</f>
        <v/>
      </c>
      <c r="N63" s="25" t="str">
        <f>IF($Q63="","",INDEX(TRANSACTIONS_MASTER!$R$5:$R$1204,$Q63))</f>
        <v/>
      </c>
      <c r="O63" s="28" t="str">
        <f>IF($Q63="","",INDEX(TRANSACTIONS_MASTER!$AB$5:$AB$1204,$Q63))</f>
        <v/>
      </c>
      <c r="P63" s="55" t="str">
        <f>IF($Q63="","",INDEX(TRANSACTIONS_MASTER!$Z$5:$Z$1204,$Q63)&amp;"")</f>
        <v/>
      </c>
      <c r="Q63" s="67" t="str">
        <f>IFERROR(MATCH($C$2&amp;"|"&amp;56,TRANSACTIONS_MASTER!$AE$5:$AE$1204,0),"")</f>
        <v/>
      </c>
      <c r="S63" s="67" t="n">
        <v>2</v>
      </c>
      <c r="T63" s="55" t="str">
        <f>IF(CARDS!$A6="","",CARDS!$A6)</f>
        <v>VIB-A</v>
      </c>
      <c r="U63" s="55" t="str">
        <f>IF($T63="","",CARDS!$B6&amp;" "&amp;CARDS!$C6)</f>
        <v>VIB Cashback Demo A</v>
      </c>
      <c r="V63" s="25">
        <f>IF($T63="","",SUMIFS(TRANSACTIONS_MASTER!$L$5:$L$1204,TRANSACTIONS_MASTER!$D$5:$D$1204,$T63,TRANSACTIONS_MASTER!$C$5:$C$1204,$C$2,TRANSACTIONS_MASTER!$U$5:$U$1204,"&lt;&gt;Cancelled"))</f>
        <v>0</v>
      </c>
      <c r="W63" s="26">
        <f>IF($T63="","",SUMIFS(TRANSACTIONS_MASTER!$Q$5:$Q$1204,TRANSACTIONS_MASTER!$D$5:$D$1204,$T63,TRANSACTIONS_MASTER!$C$5:$C$1204,$C$2))</f>
        <v>0</v>
      </c>
      <c r="X63" s="25">
        <f>IF($T63="","",IFERROR(IF(ISNUMBER(INDEX(CASHBACK_RULES!$K$5:$K$304,MATCH($T63,CASHBACK_RULES!$B$5:$B$304,0))),INDEX(CASHBACK_RULES!$K$5:$K$304,MATCH($T63,CASHBACK_RULES!$B$5:$B$304,0)),"∞"),"—"))</f>
        <v>1000000</v>
      </c>
      <c r="Y63" s="25">
        <f>IF($T63="","",IF($X63="—","—",IF(COUNTIFS($T$8:$T$57,$T63,$Z$8:$Z$57,"∞")&gt;0,IF(ISNUMBER($X63),MAX(0,$X63-$W63),"∞"),IF(ISNUMBER($X63),MAX(0,MIN($X63-$W63,SUMIFS($Z$8:$Z$57,$T$8:$T$57,$T63))),SUMIFS($Z$8:$Z$57,$T$8:$T$57,$T63)))))</f>
        <v>1000000</v>
      </c>
      <c r="Z63" s="27">
        <f>IF($T63="","",IF(ISNUMBER($X63),IF($X63=0,0,$W63/$X63),IF(ISNUMBER($Y63),IF($W63+$Y63=0,0,$W63/($W63+$Y63)),"")))</f>
        <v>0</v>
      </c>
      <c r="AA63" s="29">
        <f>IF($T63="","",COUNTIFS(TRANSACTIONS_MASTER!$D$5:$D$1204,$T63,TRANSACTIONS_MASTER!$C$5:$C$1204,$C$2,TRANSACTIONS_MASTER!$U$5:$U$1204,"&lt;&gt;Cancelled"))</f>
        <v>0</v>
      </c>
    </row>
    <row r="64">
      <c r="A64" s="81" t="str">
        <f>IF($Q64="","",57)</f>
        <v/>
      </c>
      <c r="B64" s="57" t="str">
        <f>IF($Q64="","",INDEX(TRANSACTIONS_MASTER!$B$5:$B$1204,$Q64))</f>
        <v/>
      </c>
      <c r="C64" s="55" t="str">
        <f>IF($Q64="","",INDEX(TRANSACTIONS_MASTER!$F$5:$F$1204,$Q64))</f>
        <v/>
      </c>
      <c r="D64" s="55" t="str">
        <f>IF($Q64="","",INDEX(TRANSACTIONS_MASTER!$E$5:$E$1204,$Q64))</f>
        <v/>
      </c>
      <c r="E64" s="55" t="str">
        <f>IF($Q64="","",INDEX(TRANSACTIONS_MASTER!$G$5:$G$1204,$Q64)&amp;"")</f>
        <v/>
      </c>
      <c r="F64" s="29" t="str">
        <f>IF($Q64="","",INDEX(TRANSACTIONS_MASTER!$I$5:$I$1204,$Q64))</f>
        <v/>
      </c>
      <c r="G64" s="55" t="str">
        <f>IF($Q64="","",INDEX(TRANSACTIONS_MASTER!$K$5:$K$1204,$Q64))</f>
        <v/>
      </c>
      <c r="H64" s="25" t="str">
        <f>IF($Q64="","",INDEX(TRANSACTIONS_MASTER!$L$5:$L$1204,$Q64))</f>
        <v/>
      </c>
      <c r="I64" s="56" t="str">
        <f>IF($Q64="","",INDEX(TRANSACTIONS_MASTER!$N$5:$N$1204,$Q64))</f>
        <v/>
      </c>
      <c r="J64" s="25" t="str">
        <f>IF($Q64="","",INDEX(TRANSACTIONS_MASTER!$O$5:$O$1204,$Q64))</f>
        <v/>
      </c>
      <c r="K64" s="26" t="str">
        <f>IF($Q64="","",INDEX(TRANSACTIONS_MASTER!$Q$5:$Q$1204,$Q64))</f>
        <v/>
      </c>
      <c r="L64" s="25" t="str">
        <f>IF($Q64="","",INDEX(TRANSACTIONS_MASTER!$P$5:$P$1204,$Q64))</f>
        <v/>
      </c>
      <c r="M64" s="25" t="str">
        <f>IF($Q64="","",INDEX(TRANSACTIONS_MASTER!$AA$5:$AA$1204,$Q64))</f>
        <v/>
      </c>
      <c r="N64" s="25" t="str">
        <f>IF($Q64="","",INDEX(TRANSACTIONS_MASTER!$R$5:$R$1204,$Q64))</f>
        <v/>
      </c>
      <c r="O64" s="28" t="str">
        <f>IF($Q64="","",INDEX(TRANSACTIONS_MASTER!$AB$5:$AB$1204,$Q64))</f>
        <v/>
      </c>
      <c r="P64" s="55" t="str">
        <f>IF($Q64="","",INDEX(TRANSACTIONS_MASTER!$Z$5:$Z$1204,$Q64)&amp;"")</f>
        <v/>
      </c>
      <c r="Q64" s="67" t="str">
        <f>IFERROR(MATCH($C$2&amp;"|"&amp;57,TRANSACTIONS_MASTER!$AE$5:$AE$1204,0),"")</f>
        <v/>
      </c>
      <c r="S64" s="67" t="n">
        <v>3</v>
      </c>
      <c r="T64" s="55" t="str">
        <f>IF(CARDS!$A7="","",CARDS!$A7)</f>
        <v>TCB-B</v>
      </c>
      <c r="U64" s="55" t="str">
        <f>IF($T64="","",CARDS!$B7&amp;" "&amp;CARDS!$C7)</f>
        <v>Techcombank Cashback Demo B</v>
      </c>
      <c r="V64" s="25">
        <f>IF($T64="","",SUMIFS(TRANSACTIONS_MASTER!$L$5:$L$1204,TRANSACTIONS_MASTER!$D$5:$D$1204,$T64,TRANSACTIONS_MASTER!$C$5:$C$1204,$C$2,TRANSACTIONS_MASTER!$U$5:$U$1204,"&lt;&gt;Cancelled"))</f>
        <v>0</v>
      </c>
      <c r="W64" s="26">
        <f>IF($T64="","",SUMIFS(TRANSACTIONS_MASTER!$Q$5:$Q$1204,TRANSACTIONS_MASTER!$D$5:$D$1204,$T64,TRANSACTIONS_MASTER!$C$5:$C$1204,$C$2))</f>
        <v>0</v>
      </c>
      <c r="X64" s="25">
        <f>IF($T64="","",IFERROR(IF(ISNUMBER(INDEX(CASHBACK_RULES!$K$5:$K$304,MATCH($T64,CASHBACK_RULES!$B$5:$B$304,0))),INDEX(CASHBACK_RULES!$K$5:$K$304,MATCH($T64,CASHBACK_RULES!$B$5:$B$304,0)),"∞"),"—"))</f>
        <v>2000000</v>
      </c>
      <c r="Y64" s="25">
        <f>IF($T64="","",IF($X64="—","—",IF(COUNTIFS($T$8:$T$57,$T64,$Z$8:$Z$57,"∞")&gt;0,IF(ISNUMBER($X64),MAX(0,$X64-$W64),"∞"),IF(ISNUMBER($X64),MAX(0,MIN($X64-$W64,SUMIFS($Z$8:$Z$57,$T$8:$T$57,$T64))),SUMIFS($Z$8:$Z$57,$T$8:$T$57,$T64)))))</f>
        <v>900000</v>
      </c>
      <c r="Z64" s="27">
        <f>IF($T64="","",IF(ISNUMBER($X64),IF($X64=0,0,$W64/$X64),IF(ISNUMBER($Y64),IF($W64+$Y64=0,0,$W64/($W64+$Y64)),"")))</f>
        <v>0</v>
      </c>
      <c r="AA64" s="29">
        <f>IF($T64="","",COUNTIFS(TRANSACTIONS_MASTER!$D$5:$D$1204,$T64,TRANSACTIONS_MASTER!$C$5:$C$1204,$C$2,TRANSACTIONS_MASTER!$U$5:$U$1204,"&lt;&gt;Cancelled"))</f>
        <v>0</v>
      </c>
    </row>
    <row r="65">
      <c r="A65" s="81" t="str">
        <f>IF($Q65="","",58)</f>
        <v/>
      </c>
      <c r="B65" s="57" t="str">
        <f>IF($Q65="","",INDEX(TRANSACTIONS_MASTER!$B$5:$B$1204,$Q65))</f>
        <v/>
      </c>
      <c r="C65" s="55" t="str">
        <f>IF($Q65="","",INDEX(TRANSACTIONS_MASTER!$F$5:$F$1204,$Q65))</f>
        <v/>
      </c>
      <c r="D65" s="55" t="str">
        <f>IF($Q65="","",INDEX(TRANSACTIONS_MASTER!$E$5:$E$1204,$Q65))</f>
        <v/>
      </c>
      <c r="E65" s="55" t="str">
        <f>IF($Q65="","",INDEX(TRANSACTIONS_MASTER!$G$5:$G$1204,$Q65)&amp;"")</f>
        <v/>
      </c>
      <c r="F65" s="29" t="str">
        <f>IF($Q65="","",INDEX(TRANSACTIONS_MASTER!$I$5:$I$1204,$Q65))</f>
        <v/>
      </c>
      <c r="G65" s="55" t="str">
        <f>IF($Q65="","",INDEX(TRANSACTIONS_MASTER!$K$5:$K$1204,$Q65))</f>
        <v/>
      </c>
      <c r="H65" s="25" t="str">
        <f>IF($Q65="","",INDEX(TRANSACTIONS_MASTER!$L$5:$L$1204,$Q65))</f>
        <v/>
      </c>
      <c r="I65" s="56" t="str">
        <f>IF($Q65="","",INDEX(TRANSACTIONS_MASTER!$N$5:$N$1204,$Q65))</f>
        <v/>
      </c>
      <c r="J65" s="25" t="str">
        <f>IF($Q65="","",INDEX(TRANSACTIONS_MASTER!$O$5:$O$1204,$Q65))</f>
        <v/>
      </c>
      <c r="K65" s="26" t="str">
        <f>IF($Q65="","",INDEX(TRANSACTIONS_MASTER!$Q$5:$Q$1204,$Q65))</f>
        <v/>
      </c>
      <c r="L65" s="25" t="str">
        <f>IF($Q65="","",INDEX(TRANSACTIONS_MASTER!$P$5:$P$1204,$Q65))</f>
        <v/>
      </c>
      <c r="M65" s="25" t="str">
        <f>IF($Q65="","",INDEX(TRANSACTIONS_MASTER!$AA$5:$AA$1204,$Q65))</f>
        <v/>
      </c>
      <c r="N65" s="25" t="str">
        <f>IF($Q65="","",INDEX(TRANSACTIONS_MASTER!$R$5:$R$1204,$Q65))</f>
        <v/>
      </c>
      <c r="O65" s="28" t="str">
        <f>IF($Q65="","",INDEX(TRANSACTIONS_MASTER!$AB$5:$AB$1204,$Q65))</f>
        <v/>
      </c>
      <c r="P65" s="55" t="str">
        <f>IF($Q65="","",INDEX(TRANSACTIONS_MASTER!$Z$5:$Z$1204,$Q65)&amp;"")</f>
        <v/>
      </c>
      <c r="Q65" s="67" t="str">
        <f>IFERROR(MATCH($C$2&amp;"|"&amp;58,TRANSACTIONS_MASTER!$AE$5:$AE$1204,0),"")</f>
        <v/>
      </c>
      <c r="S65" s="67" t="n">
        <v>4</v>
      </c>
      <c r="T65" s="55" t="str">
        <f>IF(CARDS!$A8="","",CARDS!$A8)</f>
        <v>UOB-C</v>
      </c>
      <c r="U65" s="55" t="str">
        <f>IF($T65="","",CARDS!$B8&amp;" "&amp;CARDS!$C8)</f>
        <v>UOB Cashback Demo C</v>
      </c>
      <c r="V65" s="25">
        <f>IF($T65="","",SUMIFS(TRANSACTIONS_MASTER!$L$5:$L$1204,TRANSACTIONS_MASTER!$D$5:$D$1204,$T65,TRANSACTIONS_MASTER!$C$5:$C$1204,$C$2,TRANSACTIONS_MASTER!$U$5:$U$1204,"&lt;&gt;Cancelled"))</f>
        <v>0</v>
      </c>
      <c r="W65" s="26">
        <f>IF($T65="","",SUMIFS(TRANSACTIONS_MASTER!$Q$5:$Q$1204,TRANSACTIONS_MASTER!$D$5:$D$1204,$T65,TRANSACTIONS_MASTER!$C$5:$C$1204,$C$2))</f>
        <v>0</v>
      </c>
      <c r="X65" s="25" t="str">
        <f>IF($T65="","",IFERROR(IF(ISNUMBER(INDEX(CASHBACK_RULES!$K$5:$K$304,MATCH($T65,CASHBACK_RULES!$B$5:$B$304,0))),INDEX(CASHBACK_RULES!$K$5:$K$304,MATCH($T65,CASHBACK_RULES!$B$5:$B$304,0)),"∞"),"—"))</f>
        <v>∞</v>
      </c>
      <c r="Y65" s="25">
        <f>IF($T65="","",IF($X65="—","—",IF(COUNTIFS($T$8:$T$57,$T65,$Z$8:$Z$57,"∞")&gt;0,IF(ISNUMBER($X65),MAX(0,$X65-$W65),"∞"),IF(ISNUMBER($X65),MAX(0,MIN($X65-$W65,SUMIFS($Z$8:$Z$57,$T$8:$T$57,$T65))),SUMIFS($Z$8:$Z$57,$T$8:$T$57,$T65)))))</f>
        <v>1000000</v>
      </c>
      <c r="Z65" s="27">
        <f>IF($T65="","",IF(ISNUMBER($X65),IF($X65=0,0,$W65/$X65),IF(ISNUMBER($Y65),IF($W65+$Y65=0,0,$W65/($W65+$Y65)),"")))</f>
        <v>0</v>
      </c>
      <c r="AA65" s="29">
        <f>IF($T65="","",COUNTIFS(TRANSACTIONS_MASTER!$D$5:$D$1204,$T65,TRANSACTIONS_MASTER!$C$5:$C$1204,$C$2,TRANSACTIONS_MASTER!$U$5:$U$1204,"&lt;&gt;Cancelled"))</f>
        <v>0</v>
      </c>
    </row>
    <row r="66">
      <c r="A66" s="81" t="str">
        <f>IF($Q66="","",59)</f>
        <v/>
      </c>
      <c r="B66" s="57" t="str">
        <f>IF($Q66="","",INDEX(TRANSACTIONS_MASTER!$B$5:$B$1204,$Q66))</f>
        <v/>
      </c>
      <c r="C66" s="55" t="str">
        <f>IF($Q66="","",INDEX(TRANSACTIONS_MASTER!$F$5:$F$1204,$Q66))</f>
        <v/>
      </c>
      <c r="D66" s="55" t="str">
        <f>IF($Q66="","",INDEX(TRANSACTIONS_MASTER!$E$5:$E$1204,$Q66))</f>
        <v/>
      </c>
      <c r="E66" s="55" t="str">
        <f>IF($Q66="","",INDEX(TRANSACTIONS_MASTER!$G$5:$G$1204,$Q66)&amp;"")</f>
        <v/>
      </c>
      <c r="F66" s="29" t="str">
        <f>IF($Q66="","",INDEX(TRANSACTIONS_MASTER!$I$5:$I$1204,$Q66))</f>
        <v/>
      </c>
      <c r="G66" s="55" t="str">
        <f>IF($Q66="","",INDEX(TRANSACTIONS_MASTER!$K$5:$K$1204,$Q66))</f>
        <v/>
      </c>
      <c r="H66" s="25" t="str">
        <f>IF($Q66="","",INDEX(TRANSACTIONS_MASTER!$L$5:$L$1204,$Q66))</f>
        <v/>
      </c>
      <c r="I66" s="56" t="str">
        <f>IF($Q66="","",INDEX(TRANSACTIONS_MASTER!$N$5:$N$1204,$Q66))</f>
        <v/>
      </c>
      <c r="J66" s="25" t="str">
        <f>IF($Q66="","",INDEX(TRANSACTIONS_MASTER!$O$5:$O$1204,$Q66))</f>
        <v/>
      </c>
      <c r="K66" s="26" t="str">
        <f>IF($Q66="","",INDEX(TRANSACTIONS_MASTER!$Q$5:$Q$1204,$Q66))</f>
        <v/>
      </c>
      <c r="L66" s="25" t="str">
        <f>IF($Q66="","",INDEX(TRANSACTIONS_MASTER!$P$5:$P$1204,$Q66))</f>
        <v/>
      </c>
      <c r="M66" s="25" t="str">
        <f>IF($Q66="","",INDEX(TRANSACTIONS_MASTER!$AA$5:$AA$1204,$Q66))</f>
        <v/>
      </c>
      <c r="N66" s="25" t="str">
        <f>IF($Q66="","",INDEX(TRANSACTIONS_MASTER!$R$5:$R$1204,$Q66))</f>
        <v/>
      </c>
      <c r="O66" s="28" t="str">
        <f>IF($Q66="","",INDEX(TRANSACTIONS_MASTER!$AB$5:$AB$1204,$Q66))</f>
        <v/>
      </c>
      <c r="P66" s="55" t="str">
        <f>IF($Q66="","",INDEX(TRANSACTIONS_MASTER!$Z$5:$Z$1204,$Q66)&amp;"")</f>
        <v/>
      </c>
      <c r="Q66" s="67" t="str">
        <f>IFERROR(MATCH($C$2&amp;"|"&amp;59,TRANSACTIONS_MASTER!$AE$5:$AE$1204,0),"")</f>
        <v/>
      </c>
      <c r="S66" s="67" t="n">
        <v>5</v>
      </c>
      <c r="T66" s="55" t="str">
        <f>IF(CARDS!$A9="","",CARDS!$A9)</f>
        <v>MB-D</v>
      </c>
      <c r="U66" s="55" t="str">
        <f>IF($T66="","",CARDS!$B9&amp;" "&amp;CARDS!$C9)</f>
        <v>MB Cashback Demo D</v>
      </c>
      <c r="V66" s="25">
        <f>IF($T66="","",SUMIFS(TRANSACTIONS_MASTER!$L$5:$L$1204,TRANSACTIONS_MASTER!$D$5:$D$1204,$T66,TRANSACTIONS_MASTER!$C$5:$C$1204,$C$2,TRANSACTIONS_MASTER!$U$5:$U$1204,"&lt;&gt;Cancelled"))</f>
        <v>0</v>
      </c>
      <c r="W66" s="26">
        <f>IF($T66="","",SUMIFS(TRANSACTIONS_MASTER!$Q$5:$Q$1204,TRANSACTIONS_MASTER!$D$5:$D$1204,$T66,TRANSACTIONS_MASTER!$C$5:$C$1204,$C$2))</f>
        <v>0</v>
      </c>
      <c r="X66" s="25">
        <f>IF($T66="","",IFERROR(IF(ISNUMBER(INDEX(CASHBACK_RULES!$K$5:$K$304,MATCH($T66,CASHBACK_RULES!$B$5:$B$304,0))),INDEX(CASHBACK_RULES!$K$5:$K$304,MATCH($T66,CASHBACK_RULES!$B$5:$B$304,0)),"∞"),"—"))</f>
        <v>600000</v>
      </c>
      <c r="Y66" s="25">
        <f>IF($T66="","",IF($X66="—","—",IF(COUNTIFS($T$8:$T$57,$T66,$Z$8:$Z$57,"∞")&gt;0,IF(ISNUMBER($X66),MAX(0,$X66-$W66),"∞"),IF(ISNUMBER($X66),MAX(0,MIN($X66-$W66,SUMIFS($Z$8:$Z$57,$T$8:$T$57,$T66))),SUMIFS($Z$8:$Z$57,$T$8:$T$57,$T66)))))</f>
        <v>600000</v>
      </c>
      <c r="Z66" s="27">
        <f>IF($T66="","",IF(ISNUMBER($X66),IF($X66=0,0,$W66/$X66),IF(ISNUMBER($Y66),IF($W66+$Y66=0,0,$W66/($W66+$Y66)),"")))</f>
        <v>0</v>
      </c>
      <c r="AA66" s="29">
        <f>IF($T66="","",COUNTIFS(TRANSACTIONS_MASTER!$D$5:$D$1204,$T66,TRANSACTIONS_MASTER!$C$5:$C$1204,$C$2,TRANSACTIONS_MASTER!$U$5:$U$1204,"&lt;&gt;Cancelled"))</f>
        <v>0</v>
      </c>
    </row>
    <row r="67">
      <c r="A67" s="81" t="str">
        <f>IF($Q67="","",60)</f>
        <v/>
      </c>
      <c r="B67" s="57" t="str">
        <f>IF($Q67="","",INDEX(TRANSACTIONS_MASTER!$B$5:$B$1204,$Q67))</f>
        <v/>
      </c>
      <c r="C67" s="55" t="str">
        <f>IF($Q67="","",INDEX(TRANSACTIONS_MASTER!$F$5:$F$1204,$Q67))</f>
        <v/>
      </c>
      <c r="D67" s="55" t="str">
        <f>IF($Q67="","",INDEX(TRANSACTIONS_MASTER!$E$5:$E$1204,$Q67))</f>
        <v/>
      </c>
      <c r="E67" s="55" t="str">
        <f>IF($Q67="","",INDEX(TRANSACTIONS_MASTER!$G$5:$G$1204,$Q67)&amp;"")</f>
        <v/>
      </c>
      <c r="F67" s="29" t="str">
        <f>IF($Q67="","",INDEX(TRANSACTIONS_MASTER!$I$5:$I$1204,$Q67))</f>
        <v/>
      </c>
      <c r="G67" s="55" t="str">
        <f>IF($Q67="","",INDEX(TRANSACTIONS_MASTER!$K$5:$K$1204,$Q67))</f>
        <v/>
      </c>
      <c r="H67" s="25" t="str">
        <f>IF($Q67="","",INDEX(TRANSACTIONS_MASTER!$L$5:$L$1204,$Q67))</f>
        <v/>
      </c>
      <c r="I67" s="56" t="str">
        <f>IF($Q67="","",INDEX(TRANSACTIONS_MASTER!$N$5:$N$1204,$Q67))</f>
        <v/>
      </c>
      <c r="J67" s="25" t="str">
        <f>IF($Q67="","",INDEX(TRANSACTIONS_MASTER!$O$5:$O$1204,$Q67))</f>
        <v/>
      </c>
      <c r="K67" s="26" t="str">
        <f>IF($Q67="","",INDEX(TRANSACTIONS_MASTER!$Q$5:$Q$1204,$Q67))</f>
        <v/>
      </c>
      <c r="L67" s="25" t="str">
        <f>IF($Q67="","",INDEX(TRANSACTIONS_MASTER!$P$5:$P$1204,$Q67))</f>
        <v/>
      </c>
      <c r="M67" s="25" t="str">
        <f>IF($Q67="","",INDEX(TRANSACTIONS_MASTER!$AA$5:$AA$1204,$Q67))</f>
        <v/>
      </c>
      <c r="N67" s="25" t="str">
        <f>IF($Q67="","",INDEX(TRANSACTIONS_MASTER!$R$5:$R$1204,$Q67))</f>
        <v/>
      </c>
      <c r="O67" s="28" t="str">
        <f>IF($Q67="","",INDEX(TRANSACTIONS_MASTER!$AB$5:$AB$1204,$Q67))</f>
        <v/>
      </c>
      <c r="P67" s="55" t="str">
        <f>IF($Q67="","",INDEX(TRANSACTIONS_MASTER!$Z$5:$Z$1204,$Q67)&amp;"")</f>
        <v/>
      </c>
      <c r="Q67" s="67" t="str">
        <f>IFERROR(MATCH($C$2&amp;"|"&amp;60,TRANSACTIONS_MASTER!$AE$5:$AE$1204,0),"")</f>
        <v/>
      </c>
      <c r="S67" s="67" t="n">
        <v>6</v>
      </c>
      <c r="T67" s="55" t="str">
        <f>IF(CARDS!$A10="","",CARDS!$A10)</f>
        <v>ACB-E</v>
      </c>
      <c r="U67" s="55" t="str">
        <f>IF($T67="","",CARDS!$B10&amp;" "&amp;CARDS!$C10)</f>
        <v>ACB Demo E (không cashback)</v>
      </c>
      <c r="V67" s="25">
        <f>IF($T67="","",SUMIFS(TRANSACTIONS_MASTER!$L$5:$L$1204,TRANSACTIONS_MASTER!$D$5:$D$1204,$T67,TRANSACTIONS_MASTER!$C$5:$C$1204,$C$2,TRANSACTIONS_MASTER!$U$5:$U$1204,"&lt;&gt;Cancelled"))</f>
        <v>0</v>
      </c>
      <c r="W67" s="26">
        <f>IF($T67="","",SUMIFS(TRANSACTIONS_MASTER!$Q$5:$Q$1204,TRANSACTIONS_MASTER!$D$5:$D$1204,$T67,TRANSACTIONS_MASTER!$C$5:$C$1204,$C$2))</f>
        <v>0</v>
      </c>
      <c r="X67" s="25" t="str">
        <f>IF($T67="","",IFERROR(IF(ISNUMBER(INDEX(CASHBACK_RULES!$K$5:$K$304,MATCH($T67,CASHBACK_RULES!$B$5:$B$304,0))),INDEX(CASHBACK_RULES!$K$5:$K$304,MATCH($T67,CASHBACK_RULES!$B$5:$B$304,0)),"∞"),"—"))</f>
        <v>∞</v>
      </c>
      <c r="Y67" s="25">
        <f>IF($T67="","",IF($X67="—","—",IF(COUNTIFS($T$8:$T$57,$T67,$Z$8:$Z$57,"∞")&gt;0,IF(ISNUMBER($X67),MAX(0,$X67-$W67),"∞"),IF(ISNUMBER($X67),MAX(0,MIN($X67-$W67,SUMIFS($Z$8:$Z$57,$T$8:$T$57,$T67))),SUMIFS($Z$8:$Z$57,$T$8:$T$57,$T67)))))</f>
        <v>0</v>
      </c>
      <c r="Z67" s="27">
        <f>IF($T67="","",IF(ISNUMBER($X67),IF($X67=0,0,$W67/$X67),IF(ISNUMBER($Y67),IF($W67+$Y67=0,0,$W67/($W67+$Y67)),"")))</f>
        <v>0</v>
      </c>
      <c r="AA67" s="29">
        <f>IF($T67="","",COUNTIFS(TRANSACTIONS_MASTER!$D$5:$D$1204,$T67,TRANSACTIONS_MASTER!$C$5:$C$1204,$C$2,TRANSACTIONS_MASTER!$U$5:$U$1204,"&lt;&gt;Cancelled"))</f>
        <v>0</v>
      </c>
    </row>
    <row r="68">
      <c r="A68" s="81" t="str">
        <f>IF($Q68="","",61)</f>
        <v/>
      </c>
      <c r="B68" s="57" t="str">
        <f>IF($Q68="","",INDEX(TRANSACTIONS_MASTER!$B$5:$B$1204,$Q68))</f>
        <v/>
      </c>
      <c r="C68" s="55" t="str">
        <f>IF($Q68="","",INDEX(TRANSACTIONS_MASTER!$F$5:$F$1204,$Q68))</f>
        <v/>
      </c>
      <c r="D68" s="55" t="str">
        <f>IF($Q68="","",INDEX(TRANSACTIONS_MASTER!$E$5:$E$1204,$Q68))</f>
        <v/>
      </c>
      <c r="E68" s="55" t="str">
        <f>IF($Q68="","",INDEX(TRANSACTIONS_MASTER!$G$5:$G$1204,$Q68)&amp;"")</f>
        <v/>
      </c>
      <c r="F68" s="29" t="str">
        <f>IF($Q68="","",INDEX(TRANSACTIONS_MASTER!$I$5:$I$1204,$Q68))</f>
        <v/>
      </c>
      <c r="G68" s="55" t="str">
        <f>IF($Q68="","",INDEX(TRANSACTIONS_MASTER!$K$5:$K$1204,$Q68))</f>
        <v/>
      </c>
      <c r="H68" s="25" t="str">
        <f>IF($Q68="","",INDEX(TRANSACTIONS_MASTER!$L$5:$L$1204,$Q68))</f>
        <v/>
      </c>
      <c r="I68" s="56" t="str">
        <f>IF($Q68="","",INDEX(TRANSACTIONS_MASTER!$N$5:$N$1204,$Q68))</f>
        <v/>
      </c>
      <c r="J68" s="25" t="str">
        <f>IF($Q68="","",INDEX(TRANSACTIONS_MASTER!$O$5:$O$1204,$Q68))</f>
        <v/>
      </c>
      <c r="K68" s="26" t="str">
        <f>IF($Q68="","",INDEX(TRANSACTIONS_MASTER!$Q$5:$Q$1204,$Q68))</f>
        <v/>
      </c>
      <c r="L68" s="25" t="str">
        <f>IF($Q68="","",INDEX(TRANSACTIONS_MASTER!$P$5:$P$1204,$Q68))</f>
        <v/>
      </c>
      <c r="M68" s="25" t="str">
        <f>IF($Q68="","",INDEX(TRANSACTIONS_MASTER!$AA$5:$AA$1204,$Q68))</f>
        <v/>
      </c>
      <c r="N68" s="25" t="str">
        <f>IF($Q68="","",INDEX(TRANSACTIONS_MASTER!$R$5:$R$1204,$Q68))</f>
        <v/>
      </c>
      <c r="O68" s="28" t="str">
        <f>IF($Q68="","",INDEX(TRANSACTIONS_MASTER!$AB$5:$AB$1204,$Q68))</f>
        <v/>
      </c>
      <c r="P68" s="55" t="str">
        <f>IF($Q68="","",INDEX(TRANSACTIONS_MASTER!$Z$5:$Z$1204,$Q68)&amp;"")</f>
        <v/>
      </c>
      <c r="Q68" s="67" t="str">
        <f>IFERROR(MATCH($C$2&amp;"|"&amp;61,TRANSACTIONS_MASTER!$AE$5:$AE$1204,0),"")</f>
        <v/>
      </c>
      <c r="S68" s="67" t="n">
        <v>7</v>
      </c>
      <c r="T68" s="55" t="str">
        <f>IF(CARDS!$A11="","",CARDS!$A11)</f>
        <v/>
      </c>
      <c r="U68" s="55" t="str">
        <f>IF($T68="","",CARDS!$B11&amp;" "&amp;CARDS!$C11)</f>
        <v/>
      </c>
      <c r="V68" s="25" t="str">
        <f>IF($T68="","",SUMIFS(TRANSACTIONS_MASTER!$L$5:$L$1204,TRANSACTIONS_MASTER!$D$5:$D$1204,$T68,TRANSACTIONS_MASTER!$C$5:$C$1204,$C$2,TRANSACTIONS_MASTER!$U$5:$U$1204,"&lt;&gt;Cancelled"))</f>
        <v/>
      </c>
      <c r="W68" s="26" t="str">
        <f>IF($T68="","",SUMIFS(TRANSACTIONS_MASTER!$Q$5:$Q$1204,TRANSACTIONS_MASTER!$D$5:$D$1204,$T68,TRANSACTIONS_MASTER!$C$5:$C$1204,$C$2))</f>
        <v/>
      </c>
      <c r="X68" s="25" t="str">
        <f>IF($T68="","",IFERROR(IF(ISNUMBER(INDEX(CASHBACK_RULES!$K$5:$K$304,MATCH($T68,CASHBACK_RULES!$B$5:$B$304,0))),INDEX(CASHBACK_RULES!$K$5:$K$304,MATCH($T68,CASHBACK_RULES!$B$5:$B$304,0)),"∞"),"—"))</f>
        <v/>
      </c>
      <c r="Y68" s="25" t="str">
        <f>IF($T68="","",IF($X68="—","—",IF(COUNTIFS($T$8:$T$57,$T68,$Z$8:$Z$57,"∞")&gt;0,IF(ISNUMBER($X68),MAX(0,$X68-$W68),"∞"),IF(ISNUMBER($X68),MAX(0,MIN($X68-$W68,SUMIFS($Z$8:$Z$57,$T$8:$T$57,$T68))),SUMIFS($Z$8:$Z$57,$T$8:$T$57,$T68)))))</f>
        <v/>
      </c>
      <c r="Z68" s="27" t="str">
        <f>IF($T68="","",IF(ISNUMBER($X68),IF($X68=0,0,$W68/$X68),IF(ISNUMBER($Y68),IF($W68+$Y68=0,0,$W68/($W68+$Y68)),"")))</f>
        <v/>
      </c>
      <c r="AA68" s="29" t="str">
        <f>IF($T68="","",COUNTIFS(TRANSACTIONS_MASTER!$D$5:$D$1204,$T68,TRANSACTIONS_MASTER!$C$5:$C$1204,$C$2,TRANSACTIONS_MASTER!$U$5:$U$1204,"&lt;&gt;Cancelled"))</f>
        <v/>
      </c>
    </row>
    <row r="69">
      <c r="A69" s="81" t="str">
        <f>IF($Q69="","",62)</f>
        <v/>
      </c>
      <c r="B69" s="57" t="str">
        <f>IF($Q69="","",INDEX(TRANSACTIONS_MASTER!$B$5:$B$1204,$Q69))</f>
        <v/>
      </c>
      <c r="C69" s="55" t="str">
        <f>IF($Q69="","",INDEX(TRANSACTIONS_MASTER!$F$5:$F$1204,$Q69))</f>
        <v/>
      </c>
      <c r="D69" s="55" t="str">
        <f>IF($Q69="","",INDEX(TRANSACTIONS_MASTER!$E$5:$E$1204,$Q69))</f>
        <v/>
      </c>
      <c r="E69" s="55" t="str">
        <f>IF($Q69="","",INDEX(TRANSACTIONS_MASTER!$G$5:$G$1204,$Q69)&amp;"")</f>
        <v/>
      </c>
      <c r="F69" s="29" t="str">
        <f>IF($Q69="","",INDEX(TRANSACTIONS_MASTER!$I$5:$I$1204,$Q69))</f>
        <v/>
      </c>
      <c r="G69" s="55" t="str">
        <f>IF($Q69="","",INDEX(TRANSACTIONS_MASTER!$K$5:$K$1204,$Q69))</f>
        <v/>
      </c>
      <c r="H69" s="25" t="str">
        <f>IF($Q69="","",INDEX(TRANSACTIONS_MASTER!$L$5:$L$1204,$Q69))</f>
        <v/>
      </c>
      <c r="I69" s="56" t="str">
        <f>IF($Q69="","",INDEX(TRANSACTIONS_MASTER!$N$5:$N$1204,$Q69))</f>
        <v/>
      </c>
      <c r="J69" s="25" t="str">
        <f>IF($Q69="","",INDEX(TRANSACTIONS_MASTER!$O$5:$O$1204,$Q69))</f>
        <v/>
      </c>
      <c r="K69" s="26" t="str">
        <f>IF($Q69="","",INDEX(TRANSACTIONS_MASTER!$Q$5:$Q$1204,$Q69))</f>
        <v/>
      </c>
      <c r="L69" s="25" t="str">
        <f>IF($Q69="","",INDEX(TRANSACTIONS_MASTER!$P$5:$P$1204,$Q69))</f>
        <v/>
      </c>
      <c r="M69" s="25" t="str">
        <f>IF($Q69="","",INDEX(TRANSACTIONS_MASTER!$AA$5:$AA$1204,$Q69))</f>
        <v/>
      </c>
      <c r="N69" s="25" t="str">
        <f>IF($Q69="","",INDEX(TRANSACTIONS_MASTER!$R$5:$R$1204,$Q69))</f>
        <v/>
      </c>
      <c r="O69" s="28" t="str">
        <f>IF($Q69="","",INDEX(TRANSACTIONS_MASTER!$AB$5:$AB$1204,$Q69))</f>
        <v/>
      </c>
      <c r="P69" s="55" t="str">
        <f>IF($Q69="","",INDEX(TRANSACTIONS_MASTER!$Z$5:$Z$1204,$Q69)&amp;"")</f>
        <v/>
      </c>
      <c r="Q69" s="67" t="str">
        <f>IFERROR(MATCH($C$2&amp;"|"&amp;62,TRANSACTIONS_MASTER!$AE$5:$AE$1204,0),"")</f>
        <v/>
      </c>
      <c r="S69" s="67" t="n">
        <v>8</v>
      </c>
      <c r="T69" s="55" t="str">
        <f>IF(CARDS!$A12="","",CARDS!$A12)</f>
        <v/>
      </c>
      <c r="U69" s="55" t="str">
        <f>IF($T69="","",CARDS!$B12&amp;" "&amp;CARDS!$C12)</f>
        <v/>
      </c>
      <c r="V69" s="25" t="str">
        <f>IF($T69="","",SUMIFS(TRANSACTIONS_MASTER!$L$5:$L$1204,TRANSACTIONS_MASTER!$D$5:$D$1204,$T69,TRANSACTIONS_MASTER!$C$5:$C$1204,$C$2,TRANSACTIONS_MASTER!$U$5:$U$1204,"&lt;&gt;Cancelled"))</f>
        <v/>
      </c>
      <c r="W69" s="26" t="str">
        <f>IF($T69="","",SUMIFS(TRANSACTIONS_MASTER!$Q$5:$Q$1204,TRANSACTIONS_MASTER!$D$5:$D$1204,$T69,TRANSACTIONS_MASTER!$C$5:$C$1204,$C$2))</f>
        <v/>
      </c>
      <c r="X69" s="25" t="str">
        <f>IF($T69="","",IFERROR(IF(ISNUMBER(INDEX(CASHBACK_RULES!$K$5:$K$304,MATCH($T69,CASHBACK_RULES!$B$5:$B$304,0))),INDEX(CASHBACK_RULES!$K$5:$K$304,MATCH($T69,CASHBACK_RULES!$B$5:$B$304,0)),"∞"),"—"))</f>
        <v/>
      </c>
      <c r="Y69" s="25" t="str">
        <f>IF($T69="","",IF($X69="—","—",IF(COUNTIFS($T$8:$T$57,$T69,$Z$8:$Z$57,"∞")&gt;0,IF(ISNUMBER($X69),MAX(0,$X69-$W69),"∞"),IF(ISNUMBER($X69),MAX(0,MIN($X69-$W69,SUMIFS($Z$8:$Z$57,$T$8:$T$57,$T69))),SUMIFS($Z$8:$Z$57,$T$8:$T$57,$T69)))))</f>
        <v/>
      </c>
      <c r="Z69" s="27" t="str">
        <f>IF($T69="","",IF(ISNUMBER($X69),IF($X69=0,0,$W69/$X69),IF(ISNUMBER($Y69),IF($W69+$Y69=0,0,$W69/($W69+$Y69)),"")))</f>
        <v/>
      </c>
      <c r="AA69" s="29" t="str">
        <f>IF($T69="","",COUNTIFS(TRANSACTIONS_MASTER!$D$5:$D$1204,$T69,TRANSACTIONS_MASTER!$C$5:$C$1204,$C$2,TRANSACTIONS_MASTER!$U$5:$U$1204,"&lt;&gt;Cancelled"))</f>
        <v/>
      </c>
    </row>
    <row r="70">
      <c r="A70" s="81" t="str">
        <f>IF($Q70="","",63)</f>
        <v/>
      </c>
      <c r="B70" s="57" t="str">
        <f>IF($Q70="","",INDEX(TRANSACTIONS_MASTER!$B$5:$B$1204,$Q70))</f>
        <v/>
      </c>
      <c r="C70" s="55" t="str">
        <f>IF($Q70="","",INDEX(TRANSACTIONS_MASTER!$F$5:$F$1204,$Q70))</f>
        <v/>
      </c>
      <c r="D70" s="55" t="str">
        <f>IF($Q70="","",INDEX(TRANSACTIONS_MASTER!$E$5:$E$1204,$Q70))</f>
        <v/>
      </c>
      <c r="E70" s="55" t="str">
        <f>IF($Q70="","",INDEX(TRANSACTIONS_MASTER!$G$5:$G$1204,$Q70)&amp;"")</f>
        <v/>
      </c>
      <c r="F70" s="29" t="str">
        <f>IF($Q70="","",INDEX(TRANSACTIONS_MASTER!$I$5:$I$1204,$Q70))</f>
        <v/>
      </c>
      <c r="G70" s="55" t="str">
        <f>IF($Q70="","",INDEX(TRANSACTIONS_MASTER!$K$5:$K$1204,$Q70))</f>
        <v/>
      </c>
      <c r="H70" s="25" t="str">
        <f>IF($Q70="","",INDEX(TRANSACTIONS_MASTER!$L$5:$L$1204,$Q70))</f>
        <v/>
      </c>
      <c r="I70" s="56" t="str">
        <f>IF($Q70="","",INDEX(TRANSACTIONS_MASTER!$N$5:$N$1204,$Q70))</f>
        <v/>
      </c>
      <c r="J70" s="25" t="str">
        <f>IF($Q70="","",INDEX(TRANSACTIONS_MASTER!$O$5:$O$1204,$Q70))</f>
        <v/>
      </c>
      <c r="K70" s="26" t="str">
        <f>IF($Q70="","",INDEX(TRANSACTIONS_MASTER!$Q$5:$Q$1204,$Q70))</f>
        <v/>
      </c>
      <c r="L70" s="25" t="str">
        <f>IF($Q70="","",INDEX(TRANSACTIONS_MASTER!$P$5:$P$1204,$Q70))</f>
        <v/>
      </c>
      <c r="M70" s="25" t="str">
        <f>IF($Q70="","",INDEX(TRANSACTIONS_MASTER!$AA$5:$AA$1204,$Q70))</f>
        <v/>
      </c>
      <c r="N70" s="25" t="str">
        <f>IF($Q70="","",INDEX(TRANSACTIONS_MASTER!$R$5:$R$1204,$Q70))</f>
        <v/>
      </c>
      <c r="O70" s="28" t="str">
        <f>IF($Q70="","",INDEX(TRANSACTIONS_MASTER!$AB$5:$AB$1204,$Q70))</f>
        <v/>
      </c>
      <c r="P70" s="55" t="str">
        <f>IF($Q70="","",INDEX(TRANSACTIONS_MASTER!$Z$5:$Z$1204,$Q70)&amp;"")</f>
        <v/>
      </c>
      <c r="Q70" s="67" t="str">
        <f>IFERROR(MATCH($C$2&amp;"|"&amp;63,TRANSACTIONS_MASTER!$AE$5:$AE$1204,0),"")</f>
        <v/>
      </c>
      <c r="S70" s="67" t="n">
        <v>9</v>
      </c>
      <c r="T70" s="55" t="str">
        <f>IF(CARDS!$A13="","",CARDS!$A13)</f>
        <v/>
      </c>
      <c r="U70" s="55" t="str">
        <f>IF($T70="","",CARDS!$B13&amp;" "&amp;CARDS!$C13)</f>
        <v/>
      </c>
      <c r="V70" s="25" t="str">
        <f>IF($T70="","",SUMIFS(TRANSACTIONS_MASTER!$L$5:$L$1204,TRANSACTIONS_MASTER!$D$5:$D$1204,$T70,TRANSACTIONS_MASTER!$C$5:$C$1204,$C$2,TRANSACTIONS_MASTER!$U$5:$U$1204,"&lt;&gt;Cancelled"))</f>
        <v/>
      </c>
      <c r="W70" s="26" t="str">
        <f>IF($T70="","",SUMIFS(TRANSACTIONS_MASTER!$Q$5:$Q$1204,TRANSACTIONS_MASTER!$D$5:$D$1204,$T70,TRANSACTIONS_MASTER!$C$5:$C$1204,$C$2))</f>
        <v/>
      </c>
      <c r="X70" s="25" t="str">
        <f>IF($T70="","",IFERROR(IF(ISNUMBER(INDEX(CASHBACK_RULES!$K$5:$K$304,MATCH($T70,CASHBACK_RULES!$B$5:$B$304,0))),INDEX(CASHBACK_RULES!$K$5:$K$304,MATCH($T70,CASHBACK_RULES!$B$5:$B$304,0)),"∞"),"—"))</f>
        <v/>
      </c>
      <c r="Y70" s="25" t="str">
        <f>IF($T70="","",IF($X70="—","—",IF(COUNTIFS($T$8:$T$57,$T70,$Z$8:$Z$57,"∞")&gt;0,IF(ISNUMBER($X70),MAX(0,$X70-$W70),"∞"),IF(ISNUMBER($X70),MAX(0,MIN($X70-$W70,SUMIFS($Z$8:$Z$57,$T$8:$T$57,$T70))),SUMIFS($Z$8:$Z$57,$T$8:$T$57,$T70)))))</f>
        <v/>
      </c>
      <c r="Z70" s="27" t="str">
        <f>IF($T70="","",IF(ISNUMBER($X70),IF($X70=0,0,$W70/$X70),IF(ISNUMBER($Y70),IF($W70+$Y70=0,0,$W70/($W70+$Y70)),"")))</f>
        <v/>
      </c>
      <c r="AA70" s="29" t="str">
        <f>IF($T70="","",COUNTIFS(TRANSACTIONS_MASTER!$D$5:$D$1204,$T70,TRANSACTIONS_MASTER!$C$5:$C$1204,$C$2,TRANSACTIONS_MASTER!$U$5:$U$1204,"&lt;&gt;Cancelled"))</f>
        <v/>
      </c>
    </row>
    <row r="71">
      <c r="A71" s="81" t="str">
        <f>IF($Q71="","",64)</f>
        <v/>
      </c>
      <c r="B71" s="57" t="str">
        <f>IF($Q71="","",INDEX(TRANSACTIONS_MASTER!$B$5:$B$1204,$Q71))</f>
        <v/>
      </c>
      <c r="C71" s="55" t="str">
        <f>IF($Q71="","",INDEX(TRANSACTIONS_MASTER!$F$5:$F$1204,$Q71))</f>
        <v/>
      </c>
      <c r="D71" s="55" t="str">
        <f>IF($Q71="","",INDEX(TRANSACTIONS_MASTER!$E$5:$E$1204,$Q71))</f>
        <v/>
      </c>
      <c r="E71" s="55" t="str">
        <f>IF($Q71="","",INDEX(TRANSACTIONS_MASTER!$G$5:$G$1204,$Q71)&amp;"")</f>
        <v/>
      </c>
      <c r="F71" s="29" t="str">
        <f>IF($Q71="","",INDEX(TRANSACTIONS_MASTER!$I$5:$I$1204,$Q71))</f>
        <v/>
      </c>
      <c r="G71" s="55" t="str">
        <f>IF($Q71="","",INDEX(TRANSACTIONS_MASTER!$K$5:$K$1204,$Q71))</f>
        <v/>
      </c>
      <c r="H71" s="25" t="str">
        <f>IF($Q71="","",INDEX(TRANSACTIONS_MASTER!$L$5:$L$1204,$Q71))</f>
        <v/>
      </c>
      <c r="I71" s="56" t="str">
        <f>IF($Q71="","",INDEX(TRANSACTIONS_MASTER!$N$5:$N$1204,$Q71))</f>
        <v/>
      </c>
      <c r="J71" s="25" t="str">
        <f>IF($Q71="","",INDEX(TRANSACTIONS_MASTER!$O$5:$O$1204,$Q71))</f>
        <v/>
      </c>
      <c r="K71" s="26" t="str">
        <f>IF($Q71="","",INDEX(TRANSACTIONS_MASTER!$Q$5:$Q$1204,$Q71))</f>
        <v/>
      </c>
      <c r="L71" s="25" t="str">
        <f>IF($Q71="","",INDEX(TRANSACTIONS_MASTER!$P$5:$P$1204,$Q71))</f>
        <v/>
      </c>
      <c r="M71" s="25" t="str">
        <f>IF($Q71="","",INDEX(TRANSACTIONS_MASTER!$AA$5:$AA$1204,$Q71))</f>
        <v/>
      </c>
      <c r="N71" s="25" t="str">
        <f>IF($Q71="","",INDEX(TRANSACTIONS_MASTER!$R$5:$R$1204,$Q71))</f>
        <v/>
      </c>
      <c r="O71" s="28" t="str">
        <f>IF($Q71="","",INDEX(TRANSACTIONS_MASTER!$AB$5:$AB$1204,$Q71))</f>
        <v/>
      </c>
      <c r="P71" s="55" t="str">
        <f>IF($Q71="","",INDEX(TRANSACTIONS_MASTER!$Z$5:$Z$1204,$Q71)&amp;"")</f>
        <v/>
      </c>
      <c r="Q71" s="67" t="str">
        <f>IFERROR(MATCH($C$2&amp;"|"&amp;64,TRANSACTIONS_MASTER!$AE$5:$AE$1204,0),"")</f>
        <v/>
      </c>
      <c r="S71" s="67" t="n">
        <v>10</v>
      </c>
      <c r="T71" s="55" t="str">
        <f>IF(CARDS!$A14="","",CARDS!$A14)</f>
        <v/>
      </c>
      <c r="U71" s="55" t="str">
        <f>IF($T71="","",CARDS!$B14&amp;" "&amp;CARDS!$C14)</f>
        <v/>
      </c>
      <c r="V71" s="25" t="str">
        <f>IF($T71="","",SUMIFS(TRANSACTIONS_MASTER!$L$5:$L$1204,TRANSACTIONS_MASTER!$D$5:$D$1204,$T71,TRANSACTIONS_MASTER!$C$5:$C$1204,$C$2,TRANSACTIONS_MASTER!$U$5:$U$1204,"&lt;&gt;Cancelled"))</f>
        <v/>
      </c>
      <c r="W71" s="26" t="str">
        <f>IF($T71="","",SUMIFS(TRANSACTIONS_MASTER!$Q$5:$Q$1204,TRANSACTIONS_MASTER!$D$5:$D$1204,$T71,TRANSACTIONS_MASTER!$C$5:$C$1204,$C$2))</f>
        <v/>
      </c>
      <c r="X71" s="25" t="str">
        <f>IF($T71="","",IFERROR(IF(ISNUMBER(INDEX(CASHBACK_RULES!$K$5:$K$304,MATCH($T71,CASHBACK_RULES!$B$5:$B$304,0))),INDEX(CASHBACK_RULES!$K$5:$K$304,MATCH($T71,CASHBACK_RULES!$B$5:$B$304,0)),"∞"),"—"))</f>
        <v/>
      </c>
      <c r="Y71" s="25" t="str">
        <f>IF($T71="","",IF($X71="—","—",IF(COUNTIFS($T$8:$T$57,$T71,$Z$8:$Z$57,"∞")&gt;0,IF(ISNUMBER($X71),MAX(0,$X71-$W71),"∞"),IF(ISNUMBER($X71),MAX(0,MIN($X71-$W71,SUMIFS($Z$8:$Z$57,$T$8:$T$57,$T71))),SUMIFS($Z$8:$Z$57,$T$8:$T$57,$T71)))))</f>
        <v/>
      </c>
      <c r="Z71" s="27" t="str">
        <f>IF($T71="","",IF(ISNUMBER($X71),IF($X71=0,0,$W71/$X71),IF(ISNUMBER($Y71),IF($W71+$Y71=0,0,$W71/($W71+$Y71)),"")))</f>
        <v/>
      </c>
      <c r="AA71" s="29" t="str">
        <f>IF($T71="","",COUNTIFS(TRANSACTIONS_MASTER!$D$5:$D$1204,$T71,TRANSACTIONS_MASTER!$C$5:$C$1204,$C$2,TRANSACTIONS_MASTER!$U$5:$U$1204,"&lt;&gt;Cancelled"))</f>
        <v/>
      </c>
    </row>
    <row r="72">
      <c r="A72" s="81" t="str">
        <f>IF($Q72="","",65)</f>
        <v/>
      </c>
      <c r="B72" s="57" t="str">
        <f>IF($Q72="","",INDEX(TRANSACTIONS_MASTER!$B$5:$B$1204,$Q72))</f>
        <v/>
      </c>
      <c r="C72" s="55" t="str">
        <f>IF($Q72="","",INDEX(TRANSACTIONS_MASTER!$F$5:$F$1204,$Q72))</f>
        <v/>
      </c>
      <c r="D72" s="55" t="str">
        <f>IF($Q72="","",INDEX(TRANSACTIONS_MASTER!$E$5:$E$1204,$Q72))</f>
        <v/>
      </c>
      <c r="E72" s="55" t="str">
        <f>IF($Q72="","",INDEX(TRANSACTIONS_MASTER!$G$5:$G$1204,$Q72)&amp;"")</f>
        <v/>
      </c>
      <c r="F72" s="29" t="str">
        <f>IF($Q72="","",INDEX(TRANSACTIONS_MASTER!$I$5:$I$1204,$Q72))</f>
        <v/>
      </c>
      <c r="G72" s="55" t="str">
        <f>IF($Q72="","",INDEX(TRANSACTIONS_MASTER!$K$5:$K$1204,$Q72))</f>
        <v/>
      </c>
      <c r="H72" s="25" t="str">
        <f>IF($Q72="","",INDEX(TRANSACTIONS_MASTER!$L$5:$L$1204,$Q72))</f>
        <v/>
      </c>
      <c r="I72" s="56" t="str">
        <f>IF($Q72="","",INDEX(TRANSACTIONS_MASTER!$N$5:$N$1204,$Q72))</f>
        <v/>
      </c>
      <c r="J72" s="25" t="str">
        <f>IF($Q72="","",INDEX(TRANSACTIONS_MASTER!$O$5:$O$1204,$Q72))</f>
        <v/>
      </c>
      <c r="K72" s="26" t="str">
        <f>IF($Q72="","",INDEX(TRANSACTIONS_MASTER!$Q$5:$Q$1204,$Q72))</f>
        <v/>
      </c>
      <c r="L72" s="25" t="str">
        <f>IF($Q72="","",INDEX(TRANSACTIONS_MASTER!$P$5:$P$1204,$Q72))</f>
        <v/>
      </c>
      <c r="M72" s="25" t="str">
        <f>IF($Q72="","",INDEX(TRANSACTIONS_MASTER!$AA$5:$AA$1204,$Q72))</f>
        <v/>
      </c>
      <c r="N72" s="25" t="str">
        <f>IF($Q72="","",INDEX(TRANSACTIONS_MASTER!$R$5:$R$1204,$Q72))</f>
        <v/>
      </c>
      <c r="O72" s="28" t="str">
        <f>IF($Q72="","",INDEX(TRANSACTIONS_MASTER!$AB$5:$AB$1204,$Q72))</f>
        <v/>
      </c>
      <c r="P72" s="55" t="str">
        <f>IF($Q72="","",INDEX(TRANSACTIONS_MASTER!$Z$5:$Z$1204,$Q72)&amp;"")</f>
        <v/>
      </c>
      <c r="Q72" s="67" t="str">
        <f>IFERROR(MATCH($C$2&amp;"|"&amp;65,TRANSACTIONS_MASTER!$AE$5:$AE$1204,0),"")</f>
        <v/>
      </c>
      <c r="S72" s="67" t="n">
        <v>11</v>
      </c>
      <c r="T72" s="55" t="str">
        <f>IF(CARDS!$A15="","",CARDS!$A15)</f>
        <v/>
      </c>
      <c r="U72" s="55" t="str">
        <f>IF($T72="","",CARDS!$B15&amp;" "&amp;CARDS!$C15)</f>
        <v/>
      </c>
      <c r="V72" s="25" t="str">
        <f>IF($T72="","",SUMIFS(TRANSACTIONS_MASTER!$L$5:$L$1204,TRANSACTIONS_MASTER!$D$5:$D$1204,$T72,TRANSACTIONS_MASTER!$C$5:$C$1204,$C$2,TRANSACTIONS_MASTER!$U$5:$U$1204,"&lt;&gt;Cancelled"))</f>
        <v/>
      </c>
      <c r="W72" s="26" t="str">
        <f>IF($T72="","",SUMIFS(TRANSACTIONS_MASTER!$Q$5:$Q$1204,TRANSACTIONS_MASTER!$D$5:$D$1204,$T72,TRANSACTIONS_MASTER!$C$5:$C$1204,$C$2))</f>
        <v/>
      </c>
      <c r="X72" s="25" t="str">
        <f>IF($T72="","",IFERROR(IF(ISNUMBER(INDEX(CASHBACK_RULES!$K$5:$K$304,MATCH($T72,CASHBACK_RULES!$B$5:$B$304,0))),INDEX(CASHBACK_RULES!$K$5:$K$304,MATCH($T72,CASHBACK_RULES!$B$5:$B$304,0)),"∞"),"—"))</f>
        <v/>
      </c>
      <c r="Y72" s="25" t="str">
        <f>IF($T72="","",IF($X72="—","—",IF(COUNTIFS($T$8:$T$57,$T72,$Z$8:$Z$57,"∞")&gt;0,IF(ISNUMBER($X72),MAX(0,$X72-$W72),"∞"),IF(ISNUMBER($X72),MAX(0,MIN($X72-$W72,SUMIFS($Z$8:$Z$57,$T$8:$T$57,$T72))),SUMIFS($Z$8:$Z$57,$T$8:$T$57,$T72)))))</f>
        <v/>
      </c>
      <c r="Z72" s="27" t="str">
        <f>IF($T72="","",IF(ISNUMBER($X72),IF($X72=0,0,$W72/$X72),IF(ISNUMBER($Y72),IF($W72+$Y72=0,0,$W72/($W72+$Y72)),"")))</f>
        <v/>
      </c>
      <c r="AA72" s="29" t="str">
        <f>IF($T72="","",COUNTIFS(TRANSACTIONS_MASTER!$D$5:$D$1204,$T72,TRANSACTIONS_MASTER!$C$5:$C$1204,$C$2,TRANSACTIONS_MASTER!$U$5:$U$1204,"&lt;&gt;Cancelled"))</f>
        <v/>
      </c>
    </row>
    <row r="73">
      <c r="A73" s="81" t="str">
        <f>IF($Q73="","",66)</f>
        <v/>
      </c>
      <c r="B73" s="57" t="str">
        <f>IF($Q73="","",INDEX(TRANSACTIONS_MASTER!$B$5:$B$1204,$Q73))</f>
        <v/>
      </c>
      <c r="C73" s="55" t="str">
        <f>IF($Q73="","",INDEX(TRANSACTIONS_MASTER!$F$5:$F$1204,$Q73))</f>
        <v/>
      </c>
      <c r="D73" s="55" t="str">
        <f>IF($Q73="","",INDEX(TRANSACTIONS_MASTER!$E$5:$E$1204,$Q73))</f>
        <v/>
      </c>
      <c r="E73" s="55" t="str">
        <f>IF($Q73="","",INDEX(TRANSACTIONS_MASTER!$G$5:$G$1204,$Q73)&amp;"")</f>
        <v/>
      </c>
      <c r="F73" s="29" t="str">
        <f>IF($Q73="","",INDEX(TRANSACTIONS_MASTER!$I$5:$I$1204,$Q73))</f>
        <v/>
      </c>
      <c r="G73" s="55" t="str">
        <f>IF($Q73="","",INDEX(TRANSACTIONS_MASTER!$K$5:$K$1204,$Q73))</f>
        <v/>
      </c>
      <c r="H73" s="25" t="str">
        <f>IF($Q73="","",INDEX(TRANSACTIONS_MASTER!$L$5:$L$1204,$Q73))</f>
        <v/>
      </c>
      <c r="I73" s="56" t="str">
        <f>IF($Q73="","",INDEX(TRANSACTIONS_MASTER!$N$5:$N$1204,$Q73))</f>
        <v/>
      </c>
      <c r="J73" s="25" t="str">
        <f>IF($Q73="","",INDEX(TRANSACTIONS_MASTER!$O$5:$O$1204,$Q73))</f>
        <v/>
      </c>
      <c r="K73" s="26" t="str">
        <f>IF($Q73="","",INDEX(TRANSACTIONS_MASTER!$Q$5:$Q$1204,$Q73))</f>
        <v/>
      </c>
      <c r="L73" s="25" t="str">
        <f>IF($Q73="","",INDEX(TRANSACTIONS_MASTER!$P$5:$P$1204,$Q73))</f>
        <v/>
      </c>
      <c r="M73" s="25" t="str">
        <f>IF($Q73="","",INDEX(TRANSACTIONS_MASTER!$AA$5:$AA$1204,$Q73))</f>
        <v/>
      </c>
      <c r="N73" s="25" t="str">
        <f>IF($Q73="","",INDEX(TRANSACTIONS_MASTER!$R$5:$R$1204,$Q73))</f>
        <v/>
      </c>
      <c r="O73" s="28" t="str">
        <f>IF($Q73="","",INDEX(TRANSACTIONS_MASTER!$AB$5:$AB$1204,$Q73))</f>
        <v/>
      </c>
      <c r="P73" s="55" t="str">
        <f>IF($Q73="","",INDEX(TRANSACTIONS_MASTER!$Z$5:$Z$1204,$Q73)&amp;"")</f>
        <v/>
      </c>
      <c r="Q73" s="67" t="str">
        <f>IFERROR(MATCH($C$2&amp;"|"&amp;66,TRANSACTIONS_MASTER!$AE$5:$AE$1204,0),"")</f>
        <v/>
      </c>
      <c r="S73" s="67" t="n">
        <v>12</v>
      </c>
      <c r="T73" s="55" t="str">
        <f>IF(CARDS!$A16="","",CARDS!$A16)</f>
        <v/>
      </c>
      <c r="U73" s="55" t="str">
        <f>IF($T73="","",CARDS!$B16&amp;" "&amp;CARDS!$C16)</f>
        <v/>
      </c>
      <c r="V73" s="25" t="str">
        <f>IF($T73="","",SUMIFS(TRANSACTIONS_MASTER!$L$5:$L$1204,TRANSACTIONS_MASTER!$D$5:$D$1204,$T73,TRANSACTIONS_MASTER!$C$5:$C$1204,$C$2,TRANSACTIONS_MASTER!$U$5:$U$1204,"&lt;&gt;Cancelled"))</f>
        <v/>
      </c>
      <c r="W73" s="26" t="str">
        <f>IF($T73="","",SUMIFS(TRANSACTIONS_MASTER!$Q$5:$Q$1204,TRANSACTIONS_MASTER!$D$5:$D$1204,$T73,TRANSACTIONS_MASTER!$C$5:$C$1204,$C$2))</f>
        <v/>
      </c>
      <c r="X73" s="25" t="str">
        <f>IF($T73="","",IFERROR(IF(ISNUMBER(INDEX(CASHBACK_RULES!$K$5:$K$304,MATCH($T73,CASHBACK_RULES!$B$5:$B$304,0))),INDEX(CASHBACK_RULES!$K$5:$K$304,MATCH($T73,CASHBACK_RULES!$B$5:$B$304,0)),"∞"),"—"))</f>
        <v/>
      </c>
      <c r="Y73" s="25" t="str">
        <f>IF($T73="","",IF($X73="—","—",IF(COUNTIFS($T$8:$T$57,$T73,$Z$8:$Z$57,"∞")&gt;0,IF(ISNUMBER($X73),MAX(0,$X73-$W73),"∞"),IF(ISNUMBER($X73),MAX(0,MIN($X73-$W73,SUMIFS($Z$8:$Z$57,$T$8:$T$57,$T73))),SUMIFS($Z$8:$Z$57,$T$8:$T$57,$T73)))))</f>
        <v/>
      </c>
      <c r="Z73" s="27" t="str">
        <f>IF($T73="","",IF(ISNUMBER($X73),IF($X73=0,0,$W73/$X73),IF(ISNUMBER($Y73),IF($W73+$Y73=0,0,$W73/($W73+$Y73)),"")))</f>
        <v/>
      </c>
      <c r="AA73" s="29" t="str">
        <f>IF($T73="","",COUNTIFS(TRANSACTIONS_MASTER!$D$5:$D$1204,$T73,TRANSACTIONS_MASTER!$C$5:$C$1204,$C$2,TRANSACTIONS_MASTER!$U$5:$U$1204,"&lt;&gt;Cancelled"))</f>
        <v/>
      </c>
    </row>
    <row r="74">
      <c r="A74" s="81" t="str">
        <f>IF($Q74="","",67)</f>
        <v/>
      </c>
      <c r="B74" s="57" t="str">
        <f>IF($Q74="","",INDEX(TRANSACTIONS_MASTER!$B$5:$B$1204,$Q74))</f>
        <v/>
      </c>
      <c r="C74" s="55" t="str">
        <f>IF($Q74="","",INDEX(TRANSACTIONS_MASTER!$F$5:$F$1204,$Q74))</f>
        <v/>
      </c>
      <c r="D74" s="55" t="str">
        <f>IF($Q74="","",INDEX(TRANSACTIONS_MASTER!$E$5:$E$1204,$Q74))</f>
        <v/>
      </c>
      <c r="E74" s="55" t="str">
        <f>IF($Q74="","",INDEX(TRANSACTIONS_MASTER!$G$5:$G$1204,$Q74)&amp;"")</f>
        <v/>
      </c>
      <c r="F74" s="29" t="str">
        <f>IF($Q74="","",INDEX(TRANSACTIONS_MASTER!$I$5:$I$1204,$Q74))</f>
        <v/>
      </c>
      <c r="G74" s="55" t="str">
        <f>IF($Q74="","",INDEX(TRANSACTIONS_MASTER!$K$5:$K$1204,$Q74))</f>
        <v/>
      </c>
      <c r="H74" s="25" t="str">
        <f>IF($Q74="","",INDEX(TRANSACTIONS_MASTER!$L$5:$L$1204,$Q74))</f>
        <v/>
      </c>
      <c r="I74" s="56" t="str">
        <f>IF($Q74="","",INDEX(TRANSACTIONS_MASTER!$N$5:$N$1204,$Q74))</f>
        <v/>
      </c>
      <c r="J74" s="25" t="str">
        <f>IF($Q74="","",INDEX(TRANSACTIONS_MASTER!$O$5:$O$1204,$Q74))</f>
        <v/>
      </c>
      <c r="K74" s="26" t="str">
        <f>IF($Q74="","",INDEX(TRANSACTIONS_MASTER!$Q$5:$Q$1204,$Q74))</f>
        <v/>
      </c>
      <c r="L74" s="25" t="str">
        <f>IF($Q74="","",INDEX(TRANSACTIONS_MASTER!$P$5:$P$1204,$Q74))</f>
        <v/>
      </c>
      <c r="M74" s="25" t="str">
        <f>IF($Q74="","",INDEX(TRANSACTIONS_MASTER!$AA$5:$AA$1204,$Q74))</f>
        <v/>
      </c>
      <c r="N74" s="25" t="str">
        <f>IF($Q74="","",INDEX(TRANSACTIONS_MASTER!$R$5:$R$1204,$Q74))</f>
        <v/>
      </c>
      <c r="O74" s="28" t="str">
        <f>IF($Q74="","",INDEX(TRANSACTIONS_MASTER!$AB$5:$AB$1204,$Q74))</f>
        <v/>
      </c>
      <c r="P74" s="55" t="str">
        <f>IF($Q74="","",INDEX(TRANSACTIONS_MASTER!$Z$5:$Z$1204,$Q74)&amp;"")</f>
        <v/>
      </c>
      <c r="Q74" s="67" t="str">
        <f>IFERROR(MATCH($C$2&amp;"|"&amp;67,TRANSACTIONS_MASTER!$AE$5:$AE$1204,0),"")</f>
        <v/>
      </c>
      <c r="S74" s="67" t="n">
        <v>13</v>
      </c>
      <c r="T74" s="55" t="str">
        <f>IF(CARDS!$A17="","",CARDS!$A17)</f>
        <v/>
      </c>
      <c r="U74" s="55" t="str">
        <f>IF($T74="","",CARDS!$B17&amp;" "&amp;CARDS!$C17)</f>
        <v/>
      </c>
      <c r="V74" s="25" t="str">
        <f>IF($T74="","",SUMIFS(TRANSACTIONS_MASTER!$L$5:$L$1204,TRANSACTIONS_MASTER!$D$5:$D$1204,$T74,TRANSACTIONS_MASTER!$C$5:$C$1204,$C$2,TRANSACTIONS_MASTER!$U$5:$U$1204,"&lt;&gt;Cancelled"))</f>
        <v/>
      </c>
      <c r="W74" s="26" t="str">
        <f>IF($T74="","",SUMIFS(TRANSACTIONS_MASTER!$Q$5:$Q$1204,TRANSACTIONS_MASTER!$D$5:$D$1204,$T74,TRANSACTIONS_MASTER!$C$5:$C$1204,$C$2))</f>
        <v/>
      </c>
      <c r="X74" s="25" t="str">
        <f>IF($T74="","",IFERROR(IF(ISNUMBER(INDEX(CASHBACK_RULES!$K$5:$K$304,MATCH($T74,CASHBACK_RULES!$B$5:$B$304,0))),INDEX(CASHBACK_RULES!$K$5:$K$304,MATCH($T74,CASHBACK_RULES!$B$5:$B$304,0)),"∞"),"—"))</f>
        <v/>
      </c>
      <c r="Y74" s="25" t="str">
        <f>IF($T74="","",IF($X74="—","—",IF(COUNTIFS($T$8:$T$57,$T74,$Z$8:$Z$57,"∞")&gt;0,IF(ISNUMBER($X74),MAX(0,$X74-$W74),"∞"),IF(ISNUMBER($X74),MAX(0,MIN($X74-$W74,SUMIFS($Z$8:$Z$57,$T$8:$T$57,$T74))),SUMIFS($Z$8:$Z$57,$T$8:$T$57,$T74)))))</f>
        <v/>
      </c>
      <c r="Z74" s="27" t="str">
        <f>IF($T74="","",IF(ISNUMBER($X74),IF($X74=0,0,$W74/$X74),IF(ISNUMBER($Y74),IF($W74+$Y74=0,0,$W74/($W74+$Y74)),"")))</f>
        <v/>
      </c>
      <c r="AA74" s="29" t="str">
        <f>IF($T74="","",COUNTIFS(TRANSACTIONS_MASTER!$D$5:$D$1204,$T74,TRANSACTIONS_MASTER!$C$5:$C$1204,$C$2,TRANSACTIONS_MASTER!$U$5:$U$1204,"&lt;&gt;Cancelled"))</f>
        <v/>
      </c>
    </row>
    <row r="75">
      <c r="A75" s="81" t="str">
        <f>IF($Q75="","",68)</f>
        <v/>
      </c>
      <c r="B75" s="57" t="str">
        <f>IF($Q75="","",INDEX(TRANSACTIONS_MASTER!$B$5:$B$1204,$Q75))</f>
        <v/>
      </c>
      <c r="C75" s="55" t="str">
        <f>IF($Q75="","",INDEX(TRANSACTIONS_MASTER!$F$5:$F$1204,$Q75))</f>
        <v/>
      </c>
      <c r="D75" s="55" t="str">
        <f>IF($Q75="","",INDEX(TRANSACTIONS_MASTER!$E$5:$E$1204,$Q75))</f>
        <v/>
      </c>
      <c r="E75" s="55" t="str">
        <f>IF($Q75="","",INDEX(TRANSACTIONS_MASTER!$G$5:$G$1204,$Q75)&amp;"")</f>
        <v/>
      </c>
      <c r="F75" s="29" t="str">
        <f>IF($Q75="","",INDEX(TRANSACTIONS_MASTER!$I$5:$I$1204,$Q75))</f>
        <v/>
      </c>
      <c r="G75" s="55" t="str">
        <f>IF($Q75="","",INDEX(TRANSACTIONS_MASTER!$K$5:$K$1204,$Q75))</f>
        <v/>
      </c>
      <c r="H75" s="25" t="str">
        <f>IF($Q75="","",INDEX(TRANSACTIONS_MASTER!$L$5:$L$1204,$Q75))</f>
        <v/>
      </c>
      <c r="I75" s="56" t="str">
        <f>IF($Q75="","",INDEX(TRANSACTIONS_MASTER!$N$5:$N$1204,$Q75))</f>
        <v/>
      </c>
      <c r="J75" s="25" t="str">
        <f>IF($Q75="","",INDEX(TRANSACTIONS_MASTER!$O$5:$O$1204,$Q75))</f>
        <v/>
      </c>
      <c r="K75" s="26" t="str">
        <f>IF($Q75="","",INDEX(TRANSACTIONS_MASTER!$Q$5:$Q$1204,$Q75))</f>
        <v/>
      </c>
      <c r="L75" s="25" t="str">
        <f>IF($Q75="","",INDEX(TRANSACTIONS_MASTER!$P$5:$P$1204,$Q75))</f>
        <v/>
      </c>
      <c r="M75" s="25" t="str">
        <f>IF($Q75="","",INDEX(TRANSACTIONS_MASTER!$AA$5:$AA$1204,$Q75))</f>
        <v/>
      </c>
      <c r="N75" s="25" t="str">
        <f>IF($Q75="","",INDEX(TRANSACTIONS_MASTER!$R$5:$R$1204,$Q75))</f>
        <v/>
      </c>
      <c r="O75" s="28" t="str">
        <f>IF($Q75="","",INDEX(TRANSACTIONS_MASTER!$AB$5:$AB$1204,$Q75))</f>
        <v/>
      </c>
      <c r="P75" s="55" t="str">
        <f>IF($Q75="","",INDEX(TRANSACTIONS_MASTER!$Z$5:$Z$1204,$Q75)&amp;"")</f>
        <v/>
      </c>
      <c r="Q75" s="67" t="str">
        <f>IFERROR(MATCH($C$2&amp;"|"&amp;68,TRANSACTIONS_MASTER!$AE$5:$AE$1204,0),"")</f>
        <v/>
      </c>
      <c r="S75" s="67" t="n">
        <v>14</v>
      </c>
      <c r="T75" s="55" t="str">
        <f>IF(CARDS!$A18="","",CARDS!$A18)</f>
        <v/>
      </c>
      <c r="U75" s="55" t="str">
        <f>IF($T75="","",CARDS!$B18&amp;" "&amp;CARDS!$C18)</f>
        <v/>
      </c>
      <c r="V75" s="25" t="str">
        <f>IF($T75="","",SUMIFS(TRANSACTIONS_MASTER!$L$5:$L$1204,TRANSACTIONS_MASTER!$D$5:$D$1204,$T75,TRANSACTIONS_MASTER!$C$5:$C$1204,$C$2,TRANSACTIONS_MASTER!$U$5:$U$1204,"&lt;&gt;Cancelled"))</f>
        <v/>
      </c>
      <c r="W75" s="26" t="str">
        <f>IF($T75="","",SUMIFS(TRANSACTIONS_MASTER!$Q$5:$Q$1204,TRANSACTIONS_MASTER!$D$5:$D$1204,$T75,TRANSACTIONS_MASTER!$C$5:$C$1204,$C$2))</f>
        <v/>
      </c>
      <c r="X75" s="25" t="str">
        <f>IF($T75="","",IFERROR(IF(ISNUMBER(INDEX(CASHBACK_RULES!$K$5:$K$304,MATCH($T75,CASHBACK_RULES!$B$5:$B$304,0))),INDEX(CASHBACK_RULES!$K$5:$K$304,MATCH($T75,CASHBACK_RULES!$B$5:$B$304,0)),"∞"),"—"))</f>
        <v/>
      </c>
      <c r="Y75" s="25" t="str">
        <f>IF($T75="","",IF($X75="—","—",IF(COUNTIFS($T$8:$T$57,$T75,$Z$8:$Z$57,"∞")&gt;0,IF(ISNUMBER($X75),MAX(0,$X75-$W75),"∞"),IF(ISNUMBER($X75),MAX(0,MIN($X75-$W75,SUMIFS($Z$8:$Z$57,$T$8:$T$57,$T75))),SUMIFS($Z$8:$Z$57,$T$8:$T$57,$T75)))))</f>
        <v/>
      </c>
      <c r="Z75" s="27" t="str">
        <f>IF($T75="","",IF(ISNUMBER($X75),IF($X75=0,0,$W75/$X75),IF(ISNUMBER($Y75),IF($W75+$Y75=0,0,$W75/($W75+$Y75)),"")))</f>
        <v/>
      </c>
      <c r="AA75" s="29" t="str">
        <f>IF($T75="","",COUNTIFS(TRANSACTIONS_MASTER!$D$5:$D$1204,$T75,TRANSACTIONS_MASTER!$C$5:$C$1204,$C$2,TRANSACTIONS_MASTER!$U$5:$U$1204,"&lt;&gt;Cancelled"))</f>
        <v/>
      </c>
    </row>
    <row r="76">
      <c r="A76" s="81" t="str">
        <f>IF($Q76="","",69)</f>
        <v/>
      </c>
      <c r="B76" s="57" t="str">
        <f>IF($Q76="","",INDEX(TRANSACTIONS_MASTER!$B$5:$B$1204,$Q76))</f>
        <v/>
      </c>
      <c r="C76" s="55" t="str">
        <f>IF($Q76="","",INDEX(TRANSACTIONS_MASTER!$F$5:$F$1204,$Q76))</f>
        <v/>
      </c>
      <c r="D76" s="55" t="str">
        <f>IF($Q76="","",INDEX(TRANSACTIONS_MASTER!$E$5:$E$1204,$Q76))</f>
        <v/>
      </c>
      <c r="E76" s="55" t="str">
        <f>IF($Q76="","",INDEX(TRANSACTIONS_MASTER!$G$5:$G$1204,$Q76)&amp;"")</f>
        <v/>
      </c>
      <c r="F76" s="29" t="str">
        <f>IF($Q76="","",INDEX(TRANSACTIONS_MASTER!$I$5:$I$1204,$Q76))</f>
        <v/>
      </c>
      <c r="G76" s="55" t="str">
        <f>IF($Q76="","",INDEX(TRANSACTIONS_MASTER!$K$5:$K$1204,$Q76))</f>
        <v/>
      </c>
      <c r="H76" s="25" t="str">
        <f>IF($Q76="","",INDEX(TRANSACTIONS_MASTER!$L$5:$L$1204,$Q76))</f>
        <v/>
      </c>
      <c r="I76" s="56" t="str">
        <f>IF($Q76="","",INDEX(TRANSACTIONS_MASTER!$N$5:$N$1204,$Q76))</f>
        <v/>
      </c>
      <c r="J76" s="25" t="str">
        <f>IF($Q76="","",INDEX(TRANSACTIONS_MASTER!$O$5:$O$1204,$Q76))</f>
        <v/>
      </c>
      <c r="K76" s="26" t="str">
        <f>IF($Q76="","",INDEX(TRANSACTIONS_MASTER!$Q$5:$Q$1204,$Q76))</f>
        <v/>
      </c>
      <c r="L76" s="25" t="str">
        <f>IF($Q76="","",INDEX(TRANSACTIONS_MASTER!$P$5:$P$1204,$Q76))</f>
        <v/>
      </c>
      <c r="M76" s="25" t="str">
        <f>IF($Q76="","",INDEX(TRANSACTIONS_MASTER!$AA$5:$AA$1204,$Q76))</f>
        <v/>
      </c>
      <c r="N76" s="25" t="str">
        <f>IF($Q76="","",INDEX(TRANSACTIONS_MASTER!$R$5:$R$1204,$Q76))</f>
        <v/>
      </c>
      <c r="O76" s="28" t="str">
        <f>IF($Q76="","",INDEX(TRANSACTIONS_MASTER!$AB$5:$AB$1204,$Q76))</f>
        <v/>
      </c>
      <c r="P76" s="55" t="str">
        <f>IF($Q76="","",INDEX(TRANSACTIONS_MASTER!$Z$5:$Z$1204,$Q76)&amp;"")</f>
        <v/>
      </c>
      <c r="Q76" s="67" t="str">
        <f>IFERROR(MATCH($C$2&amp;"|"&amp;69,TRANSACTIONS_MASTER!$AE$5:$AE$1204,0),"")</f>
        <v/>
      </c>
      <c r="S76" s="67" t="n">
        <v>15</v>
      </c>
      <c r="T76" s="55" t="str">
        <f>IF(CARDS!$A19="","",CARDS!$A19)</f>
        <v/>
      </c>
      <c r="U76" s="55" t="str">
        <f>IF($T76="","",CARDS!$B19&amp;" "&amp;CARDS!$C19)</f>
        <v/>
      </c>
      <c r="V76" s="25" t="str">
        <f>IF($T76="","",SUMIFS(TRANSACTIONS_MASTER!$L$5:$L$1204,TRANSACTIONS_MASTER!$D$5:$D$1204,$T76,TRANSACTIONS_MASTER!$C$5:$C$1204,$C$2,TRANSACTIONS_MASTER!$U$5:$U$1204,"&lt;&gt;Cancelled"))</f>
        <v/>
      </c>
      <c r="W76" s="26" t="str">
        <f>IF($T76="","",SUMIFS(TRANSACTIONS_MASTER!$Q$5:$Q$1204,TRANSACTIONS_MASTER!$D$5:$D$1204,$T76,TRANSACTIONS_MASTER!$C$5:$C$1204,$C$2))</f>
        <v/>
      </c>
      <c r="X76" s="25" t="str">
        <f>IF($T76="","",IFERROR(IF(ISNUMBER(INDEX(CASHBACK_RULES!$K$5:$K$304,MATCH($T76,CASHBACK_RULES!$B$5:$B$304,0))),INDEX(CASHBACK_RULES!$K$5:$K$304,MATCH($T76,CASHBACK_RULES!$B$5:$B$304,0)),"∞"),"—"))</f>
        <v/>
      </c>
      <c r="Y76" s="25" t="str">
        <f>IF($T76="","",IF($X76="—","—",IF(COUNTIFS($T$8:$T$57,$T76,$Z$8:$Z$57,"∞")&gt;0,IF(ISNUMBER($X76),MAX(0,$X76-$W76),"∞"),IF(ISNUMBER($X76),MAX(0,MIN($X76-$W76,SUMIFS($Z$8:$Z$57,$T$8:$T$57,$T76))),SUMIFS($Z$8:$Z$57,$T$8:$T$57,$T76)))))</f>
        <v/>
      </c>
      <c r="Z76" s="27" t="str">
        <f>IF($T76="","",IF(ISNUMBER($X76),IF($X76=0,0,$W76/$X76),IF(ISNUMBER($Y76),IF($W76+$Y76=0,0,$W76/($W76+$Y76)),"")))</f>
        <v/>
      </c>
      <c r="AA76" s="29" t="str">
        <f>IF($T76="","",COUNTIFS(TRANSACTIONS_MASTER!$D$5:$D$1204,$T76,TRANSACTIONS_MASTER!$C$5:$C$1204,$C$2,TRANSACTIONS_MASTER!$U$5:$U$1204,"&lt;&gt;Cancelled"))</f>
        <v/>
      </c>
    </row>
    <row r="77">
      <c r="A77" s="81" t="str">
        <f>IF($Q77="","",70)</f>
        <v/>
      </c>
      <c r="B77" s="57" t="str">
        <f>IF($Q77="","",INDEX(TRANSACTIONS_MASTER!$B$5:$B$1204,$Q77))</f>
        <v/>
      </c>
      <c r="C77" s="55" t="str">
        <f>IF($Q77="","",INDEX(TRANSACTIONS_MASTER!$F$5:$F$1204,$Q77))</f>
        <v/>
      </c>
      <c r="D77" s="55" t="str">
        <f>IF($Q77="","",INDEX(TRANSACTIONS_MASTER!$E$5:$E$1204,$Q77))</f>
        <v/>
      </c>
      <c r="E77" s="55" t="str">
        <f>IF($Q77="","",INDEX(TRANSACTIONS_MASTER!$G$5:$G$1204,$Q77)&amp;"")</f>
        <v/>
      </c>
      <c r="F77" s="29" t="str">
        <f>IF($Q77="","",INDEX(TRANSACTIONS_MASTER!$I$5:$I$1204,$Q77))</f>
        <v/>
      </c>
      <c r="G77" s="55" t="str">
        <f>IF($Q77="","",INDEX(TRANSACTIONS_MASTER!$K$5:$K$1204,$Q77))</f>
        <v/>
      </c>
      <c r="H77" s="25" t="str">
        <f>IF($Q77="","",INDEX(TRANSACTIONS_MASTER!$L$5:$L$1204,$Q77))</f>
        <v/>
      </c>
      <c r="I77" s="56" t="str">
        <f>IF($Q77="","",INDEX(TRANSACTIONS_MASTER!$N$5:$N$1204,$Q77))</f>
        <v/>
      </c>
      <c r="J77" s="25" t="str">
        <f>IF($Q77="","",INDEX(TRANSACTIONS_MASTER!$O$5:$O$1204,$Q77))</f>
        <v/>
      </c>
      <c r="K77" s="26" t="str">
        <f>IF($Q77="","",INDEX(TRANSACTIONS_MASTER!$Q$5:$Q$1204,$Q77))</f>
        <v/>
      </c>
      <c r="L77" s="25" t="str">
        <f>IF($Q77="","",INDEX(TRANSACTIONS_MASTER!$P$5:$P$1204,$Q77))</f>
        <v/>
      </c>
      <c r="M77" s="25" t="str">
        <f>IF($Q77="","",INDEX(TRANSACTIONS_MASTER!$AA$5:$AA$1204,$Q77))</f>
        <v/>
      </c>
      <c r="N77" s="25" t="str">
        <f>IF($Q77="","",INDEX(TRANSACTIONS_MASTER!$R$5:$R$1204,$Q77))</f>
        <v/>
      </c>
      <c r="O77" s="28" t="str">
        <f>IF($Q77="","",INDEX(TRANSACTIONS_MASTER!$AB$5:$AB$1204,$Q77))</f>
        <v/>
      </c>
      <c r="P77" s="55" t="str">
        <f>IF($Q77="","",INDEX(TRANSACTIONS_MASTER!$Z$5:$Z$1204,$Q77)&amp;"")</f>
        <v/>
      </c>
      <c r="Q77" s="67" t="str">
        <f>IFERROR(MATCH($C$2&amp;"|"&amp;70,TRANSACTIONS_MASTER!$AE$5:$AE$1204,0),"")</f>
        <v/>
      </c>
      <c r="S77" s="67" t="n">
        <v>16</v>
      </c>
      <c r="T77" s="55" t="str">
        <f>IF(CARDS!$A20="","",CARDS!$A20)</f>
        <v/>
      </c>
      <c r="U77" s="55" t="str">
        <f>IF($T77="","",CARDS!$B20&amp;" "&amp;CARDS!$C20)</f>
        <v/>
      </c>
      <c r="V77" s="25" t="str">
        <f>IF($T77="","",SUMIFS(TRANSACTIONS_MASTER!$L$5:$L$1204,TRANSACTIONS_MASTER!$D$5:$D$1204,$T77,TRANSACTIONS_MASTER!$C$5:$C$1204,$C$2,TRANSACTIONS_MASTER!$U$5:$U$1204,"&lt;&gt;Cancelled"))</f>
        <v/>
      </c>
      <c r="W77" s="26" t="str">
        <f>IF($T77="","",SUMIFS(TRANSACTIONS_MASTER!$Q$5:$Q$1204,TRANSACTIONS_MASTER!$D$5:$D$1204,$T77,TRANSACTIONS_MASTER!$C$5:$C$1204,$C$2))</f>
        <v/>
      </c>
      <c r="X77" s="25" t="str">
        <f>IF($T77="","",IFERROR(IF(ISNUMBER(INDEX(CASHBACK_RULES!$K$5:$K$304,MATCH($T77,CASHBACK_RULES!$B$5:$B$304,0))),INDEX(CASHBACK_RULES!$K$5:$K$304,MATCH($T77,CASHBACK_RULES!$B$5:$B$304,0)),"∞"),"—"))</f>
        <v/>
      </c>
      <c r="Y77" s="25" t="str">
        <f>IF($T77="","",IF($X77="—","—",IF(COUNTIFS($T$8:$T$57,$T77,$Z$8:$Z$57,"∞")&gt;0,IF(ISNUMBER($X77),MAX(0,$X77-$W77),"∞"),IF(ISNUMBER($X77),MAX(0,MIN($X77-$W77,SUMIFS($Z$8:$Z$57,$T$8:$T$57,$T77))),SUMIFS($Z$8:$Z$57,$T$8:$T$57,$T77)))))</f>
        <v/>
      </c>
      <c r="Z77" s="27" t="str">
        <f>IF($T77="","",IF(ISNUMBER($X77),IF($X77=0,0,$W77/$X77),IF(ISNUMBER($Y77),IF($W77+$Y77=0,0,$W77/($W77+$Y77)),"")))</f>
        <v/>
      </c>
      <c r="AA77" s="29" t="str">
        <f>IF($T77="","",COUNTIFS(TRANSACTIONS_MASTER!$D$5:$D$1204,$T77,TRANSACTIONS_MASTER!$C$5:$C$1204,$C$2,TRANSACTIONS_MASTER!$U$5:$U$1204,"&lt;&gt;Cancelled"))</f>
        <v/>
      </c>
    </row>
    <row r="78">
      <c r="A78" s="81" t="str">
        <f>IF($Q78="","",71)</f>
        <v/>
      </c>
      <c r="B78" s="57" t="str">
        <f>IF($Q78="","",INDEX(TRANSACTIONS_MASTER!$B$5:$B$1204,$Q78))</f>
        <v/>
      </c>
      <c r="C78" s="55" t="str">
        <f>IF($Q78="","",INDEX(TRANSACTIONS_MASTER!$F$5:$F$1204,$Q78))</f>
        <v/>
      </c>
      <c r="D78" s="55" t="str">
        <f>IF($Q78="","",INDEX(TRANSACTIONS_MASTER!$E$5:$E$1204,$Q78))</f>
        <v/>
      </c>
      <c r="E78" s="55" t="str">
        <f>IF($Q78="","",INDEX(TRANSACTIONS_MASTER!$G$5:$G$1204,$Q78)&amp;"")</f>
        <v/>
      </c>
      <c r="F78" s="29" t="str">
        <f>IF($Q78="","",INDEX(TRANSACTIONS_MASTER!$I$5:$I$1204,$Q78))</f>
        <v/>
      </c>
      <c r="G78" s="55" t="str">
        <f>IF($Q78="","",INDEX(TRANSACTIONS_MASTER!$K$5:$K$1204,$Q78))</f>
        <v/>
      </c>
      <c r="H78" s="25" t="str">
        <f>IF($Q78="","",INDEX(TRANSACTIONS_MASTER!$L$5:$L$1204,$Q78))</f>
        <v/>
      </c>
      <c r="I78" s="56" t="str">
        <f>IF($Q78="","",INDEX(TRANSACTIONS_MASTER!$N$5:$N$1204,$Q78))</f>
        <v/>
      </c>
      <c r="J78" s="25" t="str">
        <f>IF($Q78="","",INDEX(TRANSACTIONS_MASTER!$O$5:$O$1204,$Q78))</f>
        <v/>
      </c>
      <c r="K78" s="26" t="str">
        <f>IF($Q78="","",INDEX(TRANSACTIONS_MASTER!$Q$5:$Q$1204,$Q78))</f>
        <v/>
      </c>
      <c r="L78" s="25" t="str">
        <f>IF($Q78="","",INDEX(TRANSACTIONS_MASTER!$P$5:$P$1204,$Q78))</f>
        <v/>
      </c>
      <c r="M78" s="25" t="str">
        <f>IF($Q78="","",INDEX(TRANSACTIONS_MASTER!$AA$5:$AA$1204,$Q78))</f>
        <v/>
      </c>
      <c r="N78" s="25" t="str">
        <f>IF($Q78="","",INDEX(TRANSACTIONS_MASTER!$R$5:$R$1204,$Q78))</f>
        <v/>
      </c>
      <c r="O78" s="28" t="str">
        <f>IF($Q78="","",INDEX(TRANSACTIONS_MASTER!$AB$5:$AB$1204,$Q78))</f>
        <v/>
      </c>
      <c r="P78" s="55" t="str">
        <f>IF($Q78="","",INDEX(TRANSACTIONS_MASTER!$Z$5:$Z$1204,$Q78)&amp;"")</f>
        <v/>
      </c>
      <c r="Q78" s="67" t="str">
        <f>IFERROR(MATCH($C$2&amp;"|"&amp;71,TRANSACTIONS_MASTER!$AE$5:$AE$1204,0),"")</f>
        <v/>
      </c>
      <c r="S78" s="67" t="n">
        <v>17</v>
      </c>
      <c r="T78" s="55" t="str">
        <f>IF(CARDS!$A21="","",CARDS!$A21)</f>
        <v/>
      </c>
      <c r="U78" s="55" t="str">
        <f>IF($T78="","",CARDS!$B21&amp;" "&amp;CARDS!$C21)</f>
        <v/>
      </c>
      <c r="V78" s="25" t="str">
        <f>IF($T78="","",SUMIFS(TRANSACTIONS_MASTER!$L$5:$L$1204,TRANSACTIONS_MASTER!$D$5:$D$1204,$T78,TRANSACTIONS_MASTER!$C$5:$C$1204,$C$2,TRANSACTIONS_MASTER!$U$5:$U$1204,"&lt;&gt;Cancelled"))</f>
        <v/>
      </c>
      <c r="W78" s="26" t="str">
        <f>IF($T78="","",SUMIFS(TRANSACTIONS_MASTER!$Q$5:$Q$1204,TRANSACTIONS_MASTER!$D$5:$D$1204,$T78,TRANSACTIONS_MASTER!$C$5:$C$1204,$C$2))</f>
        <v/>
      </c>
      <c r="X78" s="25" t="str">
        <f>IF($T78="","",IFERROR(IF(ISNUMBER(INDEX(CASHBACK_RULES!$K$5:$K$304,MATCH($T78,CASHBACK_RULES!$B$5:$B$304,0))),INDEX(CASHBACK_RULES!$K$5:$K$304,MATCH($T78,CASHBACK_RULES!$B$5:$B$304,0)),"∞"),"—"))</f>
        <v/>
      </c>
      <c r="Y78" s="25" t="str">
        <f>IF($T78="","",IF($X78="—","—",IF(COUNTIFS($T$8:$T$57,$T78,$Z$8:$Z$57,"∞")&gt;0,IF(ISNUMBER($X78),MAX(0,$X78-$W78),"∞"),IF(ISNUMBER($X78),MAX(0,MIN($X78-$W78,SUMIFS($Z$8:$Z$57,$T$8:$T$57,$T78))),SUMIFS($Z$8:$Z$57,$T$8:$T$57,$T78)))))</f>
        <v/>
      </c>
      <c r="Z78" s="27" t="str">
        <f>IF($T78="","",IF(ISNUMBER($X78),IF($X78=0,0,$W78/$X78),IF(ISNUMBER($Y78),IF($W78+$Y78=0,0,$W78/($W78+$Y78)),"")))</f>
        <v/>
      </c>
      <c r="AA78" s="29" t="str">
        <f>IF($T78="","",COUNTIFS(TRANSACTIONS_MASTER!$D$5:$D$1204,$T78,TRANSACTIONS_MASTER!$C$5:$C$1204,$C$2,TRANSACTIONS_MASTER!$U$5:$U$1204,"&lt;&gt;Cancelled"))</f>
        <v/>
      </c>
    </row>
    <row r="79">
      <c r="A79" s="81" t="str">
        <f>IF($Q79="","",72)</f>
        <v/>
      </c>
      <c r="B79" s="57" t="str">
        <f>IF($Q79="","",INDEX(TRANSACTIONS_MASTER!$B$5:$B$1204,$Q79))</f>
        <v/>
      </c>
      <c r="C79" s="55" t="str">
        <f>IF($Q79="","",INDEX(TRANSACTIONS_MASTER!$F$5:$F$1204,$Q79))</f>
        <v/>
      </c>
      <c r="D79" s="55" t="str">
        <f>IF($Q79="","",INDEX(TRANSACTIONS_MASTER!$E$5:$E$1204,$Q79))</f>
        <v/>
      </c>
      <c r="E79" s="55" t="str">
        <f>IF($Q79="","",INDEX(TRANSACTIONS_MASTER!$G$5:$G$1204,$Q79)&amp;"")</f>
        <v/>
      </c>
      <c r="F79" s="29" t="str">
        <f>IF($Q79="","",INDEX(TRANSACTIONS_MASTER!$I$5:$I$1204,$Q79))</f>
        <v/>
      </c>
      <c r="G79" s="55" t="str">
        <f>IF($Q79="","",INDEX(TRANSACTIONS_MASTER!$K$5:$K$1204,$Q79))</f>
        <v/>
      </c>
      <c r="H79" s="25" t="str">
        <f>IF($Q79="","",INDEX(TRANSACTIONS_MASTER!$L$5:$L$1204,$Q79))</f>
        <v/>
      </c>
      <c r="I79" s="56" t="str">
        <f>IF($Q79="","",INDEX(TRANSACTIONS_MASTER!$N$5:$N$1204,$Q79))</f>
        <v/>
      </c>
      <c r="J79" s="25" t="str">
        <f>IF($Q79="","",INDEX(TRANSACTIONS_MASTER!$O$5:$O$1204,$Q79))</f>
        <v/>
      </c>
      <c r="K79" s="26" t="str">
        <f>IF($Q79="","",INDEX(TRANSACTIONS_MASTER!$Q$5:$Q$1204,$Q79))</f>
        <v/>
      </c>
      <c r="L79" s="25" t="str">
        <f>IF($Q79="","",INDEX(TRANSACTIONS_MASTER!$P$5:$P$1204,$Q79))</f>
        <v/>
      </c>
      <c r="M79" s="25" t="str">
        <f>IF($Q79="","",INDEX(TRANSACTIONS_MASTER!$AA$5:$AA$1204,$Q79))</f>
        <v/>
      </c>
      <c r="N79" s="25" t="str">
        <f>IF($Q79="","",INDEX(TRANSACTIONS_MASTER!$R$5:$R$1204,$Q79))</f>
        <v/>
      </c>
      <c r="O79" s="28" t="str">
        <f>IF($Q79="","",INDEX(TRANSACTIONS_MASTER!$AB$5:$AB$1204,$Q79))</f>
        <v/>
      </c>
      <c r="P79" s="55" t="str">
        <f>IF($Q79="","",INDEX(TRANSACTIONS_MASTER!$Z$5:$Z$1204,$Q79)&amp;"")</f>
        <v/>
      </c>
      <c r="Q79" s="67" t="str">
        <f>IFERROR(MATCH($C$2&amp;"|"&amp;72,TRANSACTIONS_MASTER!$AE$5:$AE$1204,0),"")</f>
        <v/>
      </c>
      <c r="S79" s="67" t="n">
        <v>18</v>
      </c>
      <c r="T79" s="55" t="str">
        <f>IF(CARDS!$A22="","",CARDS!$A22)</f>
        <v/>
      </c>
      <c r="U79" s="55" t="str">
        <f>IF($T79="","",CARDS!$B22&amp;" "&amp;CARDS!$C22)</f>
        <v/>
      </c>
      <c r="V79" s="25" t="str">
        <f>IF($T79="","",SUMIFS(TRANSACTIONS_MASTER!$L$5:$L$1204,TRANSACTIONS_MASTER!$D$5:$D$1204,$T79,TRANSACTIONS_MASTER!$C$5:$C$1204,$C$2,TRANSACTIONS_MASTER!$U$5:$U$1204,"&lt;&gt;Cancelled"))</f>
        <v/>
      </c>
      <c r="W79" s="26" t="str">
        <f>IF($T79="","",SUMIFS(TRANSACTIONS_MASTER!$Q$5:$Q$1204,TRANSACTIONS_MASTER!$D$5:$D$1204,$T79,TRANSACTIONS_MASTER!$C$5:$C$1204,$C$2))</f>
        <v/>
      </c>
      <c r="X79" s="25" t="str">
        <f>IF($T79="","",IFERROR(IF(ISNUMBER(INDEX(CASHBACK_RULES!$K$5:$K$304,MATCH($T79,CASHBACK_RULES!$B$5:$B$304,0))),INDEX(CASHBACK_RULES!$K$5:$K$304,MATCH($T79,CASHBACK_RULES!$B$5:$B$304,0)),"∞"),"—"))</f>
        <v/>
      </c>
      <c r="Y79" s="25" t="str">
        <f>IF($T79="","",IF($X79="—","—",IF(COUNTIFS($T$8:$T$57,$T79,$Z$8:$Z$57,"∞")&gt;0,IF(ISNUMBER($X79),MAX(0,$X79-$W79),"∞"),IF(ISNUMBER($X79),MAX(0,MIN($X79-$W79,SUMIFS($Z$8:$Z$57,$T$8:$T$57,$T79))),SUMIFS($Z$8:$Z$57,$T$8:$T$57,$T79)))))</f>
        <v/>
      </c>
      <c r="Z79" s="27" t="str">
        <f>IF($T79="","",IF(ISNUMBER($X79),IF($X79=0,0,$W79/$X79),IF(ISNUMBER($Y79),IF($W79+$Y79=0,0,$W79/($W79+$Y79)),"")))</f>
        <v/>
      </c>
      <c r="AA79" s="29" t="str">
        <f>IF($T79="","",COUNTIFS(TRANSACTIONS_MASTER!$D$5:$D$1204,$T79,TRANSACTIONS_MASTER!$C$5:$C$1204,$C$2,TRANSACTIONS_MASTER!$U$5:$U$1204,"&lt;&gt;Cancelled"))</f>
        <v/>
      </c>
    </row>
    <row r="80">
      <c r="A80" s="81" t="str">
        <f>IF($Q80="","",73)</f>
        <v/>
      </c>
      <c r="B80" s="57" t="str">
        <f>IF($Q80="","",INDEX(TRANSACTIONS_MASTER!$B$5:$B$1204,$Q80))</f>
        <v/>
      </c>
      <c r="C80" s="55" t="str">
        <f>IF($Q80="","",INDEX(TRANSACTIONS_MASTER!$F$5:$F$1204,$Q80))</f>
        <v/>
      </c>
      <c r="D80" s="55" t="str">
        <f>IF($Q80="","",INDEX(TRANSACTIONS_MASTER!$E$5:$E$1204,$Q80))</f>
        <v/>
      </c>
      <c r="E80" s="55" t="str">
        <f>IF($Q80="","",INDEX(TRANSACTIONS_MASTER!$G$5:$G$1204,$Q80)&amp;"")</f>
        <v/>
      </c>
      <c r="F80" s="29" t="str">
        <f>IF($Q80="","",INDEX(TRANSACTIONS_MASTER!$I$5:$I$1204,$Q80))</f>
        <v/>
      </c>
      <c r="G80" s="55" t="str">
        <f>IF($Q80="","",INDEX(TRANSACTIONS_MASTER!$K$5:$K$1204,$Q80))</f>
        <v/>
      </c>
      <c r="H80" s="25" t="str">
        <f>IF($Q80="","",INDEX(TRANSACTIONS_MASTER!$L$5:$L$1204,$Q80))</f>
        <v/>
      </c>
      <c r="I80" s="56" t="str">
        <f>IF($Q80="","",INDEX(TRANSACTIONS_MASTER!$N$5:$N$1204,$Q80))</f>
        <v/>
      </c>
      <c r="J80" s="25" t="str">
        <f>IF($Q80="","",INDEX(TRANSACTIONS_MASTER!$O$5:$O$1204,$Q80))</f>
        <v/>
      </c>
      <c r="K80" s="26" t="str">
        <f>IF($Q80="","",INDEX(TRANSACTIONS_MASTER!$Q$5:$Q$1204,$Q80))</f>
        <v/>
      </c>
      <c r="L80" s="25" t="str">
        <f>IF($Q80="","",INDEX(TRANSACTIONS_MASTER!$P$5:$P$1204,$Q80))</f>
        <v/>
      </c>
      <c r="M80" s="25" t="str">
        <f>IF($Q80="","",INDEX(TRANSACTIONS_MASTER!$AA$5:$AA$1204,$Q80))</f>
        <v/>
      </c>
      <c r="N80" s="25" t="str">
        <f>IF($Q80="","",INDEX(TRANSACTIONS_MASTER!$R$5:$R$1204,$Q80))</f>
        <v/>
      </c>
      <c r="O80" s="28" t="str">
        <f>IF($Q80="","",INDEX(TRANSACTIONS_MASTER!$AB$5:$AB$1204,$Q80))</f>
        <v/>
      </c>
      <c r="P80" s="55" t="str">
        <f>IF($Q80="","",INDEX(TRANSACTIONS_MASTER!$Z$5:$Z$1204,$Q80)&amp;"")</f>
        <v/>
      </c>
      <c r="Q80" s="67" t="str">
        <f>IFERROR(MATCH($C$2&amp;"|"&amp;73,TRANSACTIONS_MASTER!$AE$5:$AE$1204,0),"")</f>
        <v/>
      </c>
      <c r="S80" s="67" t="n">
        <v>19</v>
      </c>
      <c r="T80" s="55" t="str">
        <f>IF(CARDS!$A23="","",CARDS!$A23)</f>
        <v/>
      </c>
      <c r="U80" s="55" t="str">
        <f>IF($T80="","",CARDS!$B23&amp;" "&amp;CARDS!$C23)</f>
        <v/>
      </c>
      <c r="V80" s="25" t="str">
        <f>IF($T80="","",SUMIFS(TRANSACTIONS_MASTER!$L$5:$L$1204,TRANSACTIONS_MASTER!$D$5:$D$1204,$T80,TRANSACTIONS_MASTER!$C$5:$C$1204,$C$2,TRANSACTIONS_MASTER!$U$5:$U$1204,"&lt;&gt;Cancelled"))</f>
        <v/>
      </c>
      <c r="W80" s="26" t="str">
        <f>IF($T80="","",SUMIFS(TRANSACTIONS_MASTER!$Q$5:$Q$1204,TRANSACTIONS_MASTER!$D$5:$D$1204,$T80,TRANSACTIONS_MASTER!$C$5:$C$1204,$C$2))</f>
        <v/>
      </c>
      <c r="X80" s="25" t="str">
        <f>IF($T80="","",IFERROR(IF(ISNUMBER(INDEX(CASHBACK_RULES!$K$5:$K$304,MATCH($T80,CASHBACK_RULES!$B$5:$B$304,0))),INDEX(CASHBACK_RULES!$K$5:$K$304,MATCH($T80,CASHBACK_RULES!$B$5:$B$304,0)),"∞"),"—"))</f>
        <v/>
      </c>
      <c r="Y80" s="25" t="str">
        <f>IF($T80="","",IF($X80="—","—",IF(COUNTIFS($T$8:$T$57,$T80,$Z$8:$Z$57,"∞")&gt;0,IF(ISNUMBER($X80),MAX(0,$X80-$W80),"∞"),IF(ISNUMBER($X80),MAX(0,MIN($X80-$W80,SUMIFS($Z$8:$Z$57,$T$8:$T$57,$T80))),SUMIFS($Z$8:$Z$57,$T$8:$T$57,$T80)))))</f>
        <v/>
      </c>
      <c r="Z80" s="27" t="str">
        <f>IF($T80="","",IF(ISNUMBER($X80),IF($X80=0,0,$W80/$X80),IF(ISNUMBER($Y80),IF($W80+$Y80=0,0,$W80/($W80+$Y80)),"")))</f>
        <v/>
      </c>
      <c r="AA80" s="29" t="str">
        <f>IF($T80="","",COUNTIFS(TRANSACTIONS_MASTER!$D$5:$D$1204,$T80,TRANSACTIONS_MASTER!$C$5:$C$1204,$C$2,TRANSACTIONS_MASTER!$U$5:$U$1204,"&lt;&gt;Cancelled"))</f>
        <v/>
      </c>
    </row>
    <row r="81">
      <c r="A81" s="81" t="str">
        <f>IF($Q81="","",74)</f>
        <v/>
      </c>
      <c r="B81" s="57" t="str">
        <f>IF($Q81="","",INDEX(TRANSACTIONS_MASTER!$B$5:$B$1204,$Q81))</f>
        <v/>
      </c>
      <c r="C81" s="55" t="str">
        <f>IF($Q81="","",INDEX(TRANSACTIONS_MASTER!$F$5:$F$1204,$Q81))</f>
        <v/>
      </c>
      <c r="D81" s="55" t="str">
        <f>IF($Q81="","",INDEX(TRANSACTIONS_MASTER!$E$5:$E$1204,$Q81))</f>
        <v/>
      </c>
      <c r="E81" s="55" t="str">
        <f>IF($Q81="","",INDEX(TRANSACTIONS_MASTER!$G$5:$G$1204,$Q81)&amp;"")</f>
        <v/>
      </c>
      <c r="F81" s="29" t="str">
        <f>IF($Q81="","",INDEX(TRANSACTIONS_MASTER!$I$5:$I$1204,$Q81))</f>
        <v/>
      </c>
      <c r="G81" s="55" t="str">
        <f>IF($Q81="","",INDEX(TRANSACTIONS_MASTER!$K$5:$K$1204,$Q81))</f>
        <v/>
      </c>
      <c r="H81" s="25" t="str">
        <f>IF($Q81="","",INDEX(TRANSACTIONS_MASTER!$L$5:$L$1204,$Q81))</f>
        <v/>
      </c>
      <c r="I81" s="56" t="str">
        <f>IF($Q81="","",INDEX(TRANSACTIONS_MASTER!$N$5:$N$1204,$Q81))</f>
        <v/>
      </c>
      <c r="J81" s="25" t="str">
        <f>IF($Q81="","",INDEX(TRANSACTIONS_MASTER!$O$5:$O$1204,$Q81))</f>
        <v/>
      </c>
      <c r="K81" s="26" t="str">
        <f>IF($Q81="","",INDEX(TRANSACTIONS_MASTER!$Q$5:$Q$1204,$Q81))</f>
        <v/>
      </c>
      <c r="L81" s="25" t="str">
        <f>IF($Q81="","",INDEX(TRANSACTIONS_MASTER!$P$5:$P$1204,$Q81))</f>
        <v/>
      </c>
      <c r="M81" s="25" t="str">
        <f>IF($Q81="","",INDEX(TRANSACTIONS_MASTER!$AA$5:$AA$1204,$Q81))</f>
        <v/>
      </c>
      <c r="N81" s="25" t="str">
        <f>IF($Q81="","",INDEX(TRANSACTIONS_MASTER!$R$5:$R$1204,$Q81))</f>
        <v/>
      </c>
      <c r="O81" s="28" t="str">
        <f>IF($Q81="","",INDEX(TRANSACTIONS_MASTER!$AB$5:$AB$1204,$Q81))</f>
        <v/>
      </c>
      <c r="P81" s="55" t="str">
        <f>IF($Q81="","",INDEX(TRANSACTIONS_MASTER!$Z$5:$Z$1204,$Q81)&amp;"")</f>
        <v/>
      </c>
      <c r="Q81" s="67" t="str">
        <f>IFERROR(MATCH($C$2&amp;"|"&amp;74,TRANSACTIONS_MASTER!$AE$5:$AE$1204,0),"")</f>
        <v/>
      </c>
      <c r="S81" s="67" t="n">
        <v>20</v>
      </c>
      <c r="T81" s="55" t="str">
        <f>IF(CARDS!$A24="","",CARDS!$A24)</f>
        <v/>
      </c>
      <c r="U81" s="55" t="str">
        <f>IF($T81="","",CARDS!$B24&amp;" "&amp;CARDS!$C24)</f>
        <v/>
      </c>
      <c r="V81" s="25" t="str">
        <f>IF($T81="","",SUMIFS(TRANSACTIONS_MASTER!$L$5:$L$1204,TRANSACTIONS_MASTER!$D$5:$D$1204,$T81,TRANSACTIONS_MASTER!$C$5:$C$1204,$C$2,TRANSACTIONS_MASTER!$U$5:$U$1204,"&lt;&gt;Cancelled"))</f>
        <v/>
      </c>
      <c r="W81" s="26" t="str">
        <f>IF($T81="","",SUMIFS(TRANSACTIONS_MASTER!$Q$5:$Q$1204,TRANSACTIONS_MASTER!$D$5:$D$1204,$T81,TRANSACTIONS_MASTER!$C$5:$C$1204,$C$2))</f>
        <v/>
      </c>
      <c r="X81" s="25" t="str">
        <f>IF($T81="","",IFERROR(IF(ISNUMBER(INDEX(CASHBACK_RULES!$K$5:$K$304,MATCH($T81,CASHBACK_RULES!$B$5:$B$304,0))),INDEX(CASHBACK_RULES!$K$5:$K$304,MATCH($T81,CASHBACK_RULES!$B$5:$B$304,0)),"∞"),"—"))</f>
        <v/>
      </c>
      <c r="Y81" s="25" t="str">
        <f>IF($T81="","",IF($X81="—","—",IF(COUNTIFS($T$8:$T$57,$T81,$Z$8:$Z$57,"∞")&gt;0,IF(ISNUMBER($X81),MAX(0,$X81-$W81),"∞"),IF(ISNUMBER($X81),MAX(0,MIN($X81-$W81,SUMIFS($Z$8:$Z$57,$T$8:$T$57,$T81))),SUMIFS($Z$8:$Z$57,$T$8:$T$57,$T81)))))</f>
        <v/>
      </c>
      <c r="Z81" s="27" t="str">
        <f>IF($T81="","",IF(ISNUMBER($X81),IF($X81=0,0,$W81/$X81),IF(ISNUMBER($Y81),IF($W81+$Y81=0,0,$W81/($W81+$Y81)),"")))</f>
        <v/>
      </c>
      <c r="AA81" s="29" t="str">
        <f>IF($T81="","",COUNTIFS(TRANSACTIONS_MASTER!$D$5:$D$1204,$T81,TRANSACTIONS_MASTER!$C$5:$C$1204,$C$2,TRANSACTIONS_MASTER!$U$5:$U$1204,"&lt;&gt;Cancelled"))</f>
        <v/>
      </c>
    </row>
    <row r="82">
      <c r="A82" s="81" t="str">
        <f>IF($Q82="","",75)</f>
        <v/>
      </c>
      <c r="B82" s="57" t="str">
        <f>IF($Q82="","",INDEX(TRANSACTIONS_MASTER!$B$5:$B$1204,$Q82))</f>
        <v/>
      </c>
      <c r="C82" s="55" t="str">
        <f>IF($Q82="","",INDEX(TRANSACTIONS_MASTER!$F$5:$F$1204,$Q82))</f>
        <v/>
      </c>
      <c r="D82" s="55" t="str">
        <f>IF($Q82="","",INDEX(TRANSACTIONS_MASTER!$E$5:$E$1204,$Q82))</f>
        <v/>
      </c>
      <c r="E82" s="55" t="str">
        <f>IF($Q82="","",INDEX(TRANSACTIONS_MASTER!$G$5:$G$1204,$Q82)&amp;"")</f>
        <v/>
      </c>
      <c r="F82" s="29" t="str">
        <f>IF($Q82="","",INDEX(TRANSACTIONS_MASTER!$I$5:$I$1204,$Q82))</f>
        <v/>
      </c>
      <c r="G82" s="55" t="str">
        <f>IF($Q82="","",INDEX(TRANSACTIONS_MASTER!$K$5:$K$1204,$Q82))</f>
        <v/>
      </c>
      <c r="H82" s="25" t="str">
        <f>IF($Q82="","",INDEX(TRANSACTIONS_MASTER!$L$5:$L$1204,$Q82))</f>
        <v/>
      </c>
      <c r="I82" s="56" t="str">
        <f>IF($Q82="","",INDEX(TRANSACTIONS_MASTER!$N$5:$N$1204,$Q82))</f>
        <v/>
      </c>
      <c r="J82" s="25" t="str">
        <f>IF($Q82="","",INDEX(TRANSACTIONS_MASTER!$O$5:$O$1204,$Q82))</f>
        <v/>
      </c>
      <c r="K82" s="26" t="str">
        <f>IF($Q82="","",INDEX(TRANSACTIONS_MASTER!$Q$5:$Q$1204,$Q82))</f>
        <v/>
      </c>
      <c r="L82" s="25" t="str">
        <f>IF($Q82="","",INDEX(TRANSACTIONS_MASTER!$P$5:$P$1204,$Q82))</f>
        <v/>
      </c>
      <c r="M82" s="25" t="str">
        <f>IF($Q82="","",INDEX(TRANSACTIONS_MASTER!$AA$5:$AA$1204,$Q82))</f>
        <v/>
      </c>
      <c r="N82" s="25" t="str">
        <f>IF($Q82="","",INDEX(TRANSACTIONS_MASTER!$R$5:$R$1204,$Q82))</f>
        <v/>
      </c>
      <c r="O82" s="28" t="str">
        <f>IF($Q82="","",INDEX(TRANSACTIONS_MASTER!$AB$5:$AB$1204,$Q82))</f>
        <v/>
      </c>
      <c r="P82" s="55" t="str">
        <f>IF($Q82="","",INDEX(TRANSACTIONS_MASTER!$Z$5:$Z$1204,$Q82)&amp;"")</f>
        <v/>
      </c>
      <c r="Q82" s="67" t="str">
        <f>IFERROR(MATCH($C$2&amp;"|"&amp;75,TRANSACTIONS_MASTER!$AE$5:$AE$1204,0),"")</f>
        <v/>
      </c>
      <c r="S82" s="67" t="n">
        <v>21</v>
      </c>
      <c r="T82" s="55" t="str">
        <f>IF(CARDS!$A25="","",CARDS!$A25)</f>
        <v/>
      </c>
      <c r="U82" s="55" t="str">
        <f>IF($T82="","",CARDS!$B25&amp;" "&amp;CARDS!$C25)</f>
        <v/>
      </c>
      <c r="V82" s="25" t="str">
        <f>IF($T82="","",SUMIFS(TRANSACTIONS_MASTER!$L$5:$L$1204,TRANSACTIONS_MASTER!$D$5:$D$1204,$T82,TRANSACTIONS_MASTER!$C$5:$C$1204,$C$2,TRANSACTIONS_MASTER!$U$5:$U$1204,"&lt;&gt;Cancelled"))</f>
        <v/>
      </c>
      <c r="W82" s="26" t="str">
        <f>IF($T82="","",SUMIFS(TRANSACTIONS_MASTER!$Q$5:$Q$1204,TRANSACTIONS_MASTER!$D$5:$D$1204,$T82,TRANSACTIONS_MASTER!$C$5:$C$1204,$C$2))</f>
        <v/>
      </c>
      <c r="X82" s="25" t="str">
        <f>IF($T82="","",IFERROR(IF(ISNUMBER(INDEX(CASHBACK_RULES!$K$5:$K$304,MATCH($T82,CASHBACK_RULES!$B$5:$B$304,0))),INDEX(CASHBACK_RULES!$K$5:$K$304,MATCH($T82,CASHBACK_RULES!$B$5:$B$304,0)),"∞"),"—"))</f>
        <v/>
      </c>
      <c r="Y82" s="25" t="str">
        <f>IF($T82="","",IF($X82="—","—",IF(COUNTIFS($T$8:$T$57,$T82,$Z$8:$Z$57,"∞")&gt;0,IF(ISNUMBER($X82),MAX(0,$X82-$W82),"∞"),IF(ISNUMBER($X82),MAX(0,MIN($X82-$W82,SUMIFS($Z$8:$Z$57,$T$8:$T$57,$T82))),SUMIFS($Z$8:$Z$57,$T$8:$T$57,$T82)))))</f>
        <v/>
      </c>
      <c r="Z82" s="27" t="str">
        <f>IF($T82="","",IF(ISNUMBER($X82),IF($X82=0,0,$W82/$X82),IF(ISNUMBER($Y82),IF($W82+$Y82=0,0,$W82/($W82+$Y82)),"")))</f>
        <v/>
      </c>
      <c r="AA82" s="29" t="str">
        <f>IF($T82="","",COUNTIFS(TRANSACTIONS_MASTER!$D$5:$D$1204,$T82,TRANSACTIONS_MASTER!$C$5:$C$1204,$C$2,TRANSACTIONS_MASTER!$U$5:$U$1204,"&lt;&gt;Cancelled"))</f>
        <v/>
      </c>
    </row>
    <row r="83">
      <c r="A83" s="81" t="str">
        <f>IF($Q83="","",76)</f>
        <v/>
      </c>
      <c r="B83" s="57" t="str">
        <f>IF($Q83="","",INDEX(TRANSACTIONS_MASTER!$B$5:$B$1204,$Q83))</f>
        <v/>
      </c>
      <c r="C83" s="55" t="str">
        <f>IF($Q83="","",INDEX(TRANSACTIONS_MASTER!$F$5:$F$1204,$Q83))</f>
        <v/>
      </c>
      <c r="D83" s="55" t="str">
        <f>IF($Q83="","",INDEX(TRANSACTIONS_MASTER!$E$5:$E$1204,$Q83))</f>
        <v/>
      </c>
      <c r="E83" s="55" t="str">
        <f>IF($Q83="","",INDEX(TRANSACTIONS_MASTER!$G$5:$G$1204,$Q83)&amp;"")</f>
        <v/>
      </c>
      <c r="F83" s="29" t="str">
        <f>IF($Q83="","",INDEX(TRANSACTIONS_MASTER!$I$5:$I$1204,$Q83))</f>
        <v/>
      </c>
      <c r="G83" s="55" t="str">
        <f>IF($Q83="","",INDEX(TRANSACTIONS_MASTER!$K$5:$K$1204,$Q83))</f>
        <v/>
      </c>
      <c r="H83" s="25" t="str">
        <f>IF($Q83="","",INDEX(TRANSACTIONS_MASTER!$L$5:$L$1204,$Q83))</f>
        <v/>
      </c>
      <c r="I83" s="56" t="str">
        <f>IF($Q83="","",INDEX(TRANSACTIONS_MASTER!$N$5:$N$1204,$Q83))</f>
        <v/>
      </c>
      <c r="J83" s="25" t="str">
        <f>IF($Q83="","",INDEX(TRANSACTIONS_MASTER!$O$5:$O$1204,$Q83))</f>
        <v/>
      </c>
      <c r="K83" s="26" t="str">
        <f>IF($Q83="","",INDEX(TRANSACTIONS_MASTER!$Q$5:$Q$1204,$Q83))</f>
        <v/>
      </c>
      <c r="L83" s="25" t="str">
        <f>IF($Q83="","",INDEX(TRANSACTIONS_MASTER!$P$5:$P$1204,$Q83))</f>
        <v/>
      </c>
      <c r="M83" s="25" t="str">
        <f>IF($Q83="","",INDEX(TRANSACTIONS_MASTER!$AA$5:$AA$1204,$Q83))</f>
        <v/>
      </c>
      <c r="N83" s="25" t="str">
        <f>IF($Q83="","",INDEX(TRANSACTIONS_MASTER!$R$5:$R$1204,$Q83))</f>
        <v/>
      </c>
      <c r="O83" s="28" t="str">
        <f>IF($Q83="","",INDEX(TRANSACTIONS_MASTER!$AB$5:$AB$1204,$Q83))</f>
        <v/>
      </c>
      <c r="P83" s="55" t="str">
        <f>IF($Q83="","",INDEX(TRANSACTIONS_MASTER!$Z$5:$Z$1204,$Q83)&amp;"")</f>
        <v/>
      </c>
      <c r="Q83" s="67" t="str">
        <f>IFERROR(MATCH($C$2&amp;"|"&amp;76,TRANSACTIONS_MASTER!$AE$5:$AE$1204,0),"")</f>
        <v/>
      </c>
      <c r="S83" s="67" t="n">
        <v>22</v>
      </c>
      <c r="T83" s="55" t="str">
        <f>IF(CARDS!$A26="","",CARDS!$A26)</f>
        <v/>
      </c>
      <c r="U83" s="55" t="str">
        <f>IF($T83="","",CARDS!$B26&amp;" "&amp;CARDS!$C26)</f>
        <v/>
      </c>
      <c r="V83" s="25" t="str">
        <f>IF($T83="","",SUMIFS(TRANSACTIONS_MASTER!$L$5:$L$1204,TRANSACTIONS_MASTER!$D$5:$D$1204,$T83,TRANSACTIONS_MASTER!$C$5:$C$1204,$C$2,TRANSACTIONS_MASTER!$U$5:$U$1204,"&lt;&gt;Cancelled"))</f>
        <v/>
      </c>
      <c r="W83" s="26" t="str">
        <f>IF($T83="","",SUMIFS(TRANSACTIONS_MASTER!$Q$5:$Q$1204,TRANSACTIONS_MASTER!$D$5:$D$1204,$T83,TRANSACTIONS_MASTER!$C$5:$C$1204,$C$2))</f>
        <v/>
      </c>
      <c r="X83" s="25" t="str">
        <f>IF($T83="","",IFERROR(IF(ISNUMBER(INDEX(CASHBACK_RULES!$K$5:$K$304,MATCH($T83,CASHBACK_RULES!$B$5:$B$304,0))),INDEX(CASHBACK_RULES!$K$5:$K$304,MATCH($T83,CASHBACK_RULES!$B$5:$B$304,0)),"∞"),"—"))</f>
        <v/>
      </c>
      <c r="Y83" s="25" t="str">
        <f>IF($T83="","",IF($X83="—","—",IF(COUNTIFS($T$8:$T$57,$T83,$Z$8:$Z$57,"∞")&gt;0,IF(ISNUMBER($X83),MAX(0,$X83-$W83),"∞"),IF(ISNUMBER($X83),MAX(0,MIN($X83-$W83,SUMIFS($Z$8:$Z$57,$T$8:$T$57,$T83))),SUMIFS($Z$8:$Z$57,$T$8:$T$57,$T83)))))</f>
        <v/>
      </c>
      <c r="Z83" s="27" t="str">
        <f>IF($T83="","",IF(ISNUMBER($X83),IF($X83=0,0,$W83/$X83),IF(ISNUMBER($Y83),IF($W83+$Y83=0,0,$W83/($W83+$Y83)),"")))</f>
        <v/>
      </c>
      <c r="AA83" s="29" t="str">
        <f>IF($T83="","",COUNTIFS(TRANSACTIONS_MASTER!$D$5:$D$1204,$T83,TRANSACTIONS_MASTER!$C$5:$C$1204,$C$2,TRANSACTIONS_MASTER!$U$5:$U$1204,"&lt;&gt;Cancelled"))</f>
        <v/>
      </c>
    </row>
    <row r="84">
      <c r="A84" s="81" t="str">
        <f>IF($Q84="","",77)</f>
        <v/>
      </c>
      <c r="B84" s="57" t="str">
        <f>IF($Q84="","",INDEX(TRANSACTIONS_MASTER!$B$5:$B$1204,$Q84))</f>
        <v/>
      </c>
      <c r="C84" s="55" t="str">
        <f>IF($Q84="","",INDEX(TRANSACTIONS_MASTER!$F$5:$F$1204,$Q84))</f>
        <v/>
      </c>
      <c r="D84" s="55" t="str">
        <f>IF($Q84="","",INDEX(TRANSACTIONS_MASTER!$E$5:$E$1204,$Q84))</f>
        <v/>
      </c>
      <c r="E84" s="55" t="str">
        <f>IF($Q84="","",INDEX(TRANSACTIONS_MASTER!$G$5:$G$1204,$Q84)&amp;"")</f>
        <v/>
      </c>
      <c r="F84" s="29" t="str">
        <f>IF($Q84="","",INDEX(TRANSACTIONS_MASTER!$I$5:$I$1204,$Q84))</f>
        <v/>
      </c>
      <c r="G84" s="55" t="str">
        <f>IF($Q84="","",INDEX(TRANSACTIONS_MASTER!$K$5:$K$1204,$Q84))</f>
        <v/>
      </c>
      <c r="H84" s="25" t="str">
        <f>IF($Q84="","",INDEX(TRANSACTIONS_MASTER!$L$5:$L$1204,$Q84))</f>
        <v/>
      </c>
      <c r="I84" s="56" t="str">
        <f>IF($Q84="","",INDEX(TRANSACTIONS_MASTER!$N$5:$N$1204,$Q84))</f>
        <v/>
      </c>
      <c r="J84" s="25" t="str">
        <f>IF($Q84="","",INDEX(TRANSACTIONS_MASTER!$O$5:$O$1204,$Q84))</f>
        <v/>
      </c>
      <c r="K84" s="26" t="str">
        <f>IF($Q84="","",INDEX(TRANSACTIONS_MASTER!$Q$5:$Q$1204,$Q84))</f>
        <v/>
      </c>
      <c r="L84" s="25" t="str">
        <f>IF($Q84="","",INDEX(TRANSACTIONS_MASTER!$P$5:$P$1204,$Q84))</f>
        <v/>
      </c>
      <c r="M84" s="25" t="str">
        <f>IF($Q84="","",INDEX(TRANSACTIONS_MASTER!$AA$5:$AA$1204,$Q84))</f>
        <v/>
      </c>
      <c r="N84" s="25" t="str">
        <f>IF($Q84="","",INDEX(TRANSACTIONS_MASTER!$R$5:$R$1204,$Q84))</f>
        <v/>
      </c>
      <c r="O84" s="28" t="str">
        <f>IF($Q84="","",INDEX(TRANSACTIONS_MASTER!$AB$5:$AB$1204,$Q84))</f>
        <v/>
      </c>
      <c r="P84" s="55" t="str">
        <f>IF($Q84="","",INDEX(TRANSACTIONS_MASTER!$Z$5:$Z$1204,$Q84)&amp;"")</f>
        <v/>
      </c>
      <c r="Q84" s="67" t="str">
        <f>IFERROR(MATCH($C$2&amp;"|"&amp;77,TRANSACTIONS_MASTER!$AE$5:$AE$1204,0),"")</f>
        <v/>
      </c>
      <c r="S84" s="67" t="n">
        <v>23</v>
      </c>
      <c r="T84" s="55" t="str">
        <f>IF(CARDS!$A27="","",CARDS!$A27)</f>
        <v/>
      </c>
      <c r="U84" s="55" t="str">
        <f>IF($T84="","",CARDS!$B27&amp;" "&amp;CARDS!$C27)</f>
        <v/>
      </c>
      <c r="V84" s="25" t="str">
        <f>IF($T84="","",SUMIFS(TRANSACTIONS_MASTER!$L$5:$L$1204,TRANSACTIONS_MASTER!$D$5:$D$1204,$T84,TRANSACTIONS_MASTER!$C$5:$C$1204,$C$2,TRANSACTIONS_MASTER!$U$5:$U$1204,"&lt;&gt;Cancelled"))</f>
        <v/>
      </c>
      <c r="W84" s="26" t="str">
        <f>IF($T84="","",SUMIFS(TRANSACTIONS_MASTER!$Q$5:$Q$1204,TRANSACTIONS_MASTER!$D$5:$D$1204,$T84,TRANSACTIONS_MASTER!$C$5:$C$1204,$C$2))</f>
        <v/>
      </c>
      <c r="X84" s="25" t="str">
        <f>IF($T84="","",IFERROR(IF(ISNUMBER(INDEX(CASHBACK_RULES!$K$5:$K$304,MATCH($T84,CASHBACK_RULES!$B$5:$B$304,0))),INDEX(CASHBACK_RULES!$K$5:$K$304,MATCH($T84,CASHBACK_RULES!$B$5:$B$304,0)),"∞"),"—"))</f>
        <v/>
      </c>
      <c r="Y84" s="25" t="str">
        <f>IF($T84="","",IF($X84="—","—",IF(COUNTIFS($T$8:$T$57,$T84,$Z$8:$Z$57,"∞")&gt;0,IF(ISNUMBER($X84),MAX(0,$X84-$W84),"∞"),IF(ISNUMBER($X84),MAX(0,MIN($X84-$W84,SUMIFS($Z$8:$Z$57,$T$8:$T$57,$T84))),SUMIFS($Z$8:$Z$57,$T$8:$T$57,$T84)))))</f>
        <v/>
      </c>
      <c r="Z84" s="27" t="str">
        <f>IF($T84="","",IF(ISNUMBER($X84),IF($X84=0,0,$W84/$X84),IF(ISNUMBER($Y84),IF($W84+$Y84=0,0,$W84/($W84+$Y84)),"")))</f>
        <v/>
      </c>
      <c r="AA84" s="29" t="str">
        <f>IF($T84="","",COUNTIFS(TRANSACTIONS_MASTER!$D$5:$D$1204,$T84,TRANSACTIONS_MASTER!$C$5:$C$1204,$C$2,TRANSACTIONS_MASTER!$U$5:$U$1204,"&lt;&gt;Cancelled"))</f>
        <v/>
      </c>
    </row>
    <row r="85">
      <c r="A85" s="81" t="str">
        <f>IF($Q85="","",78)</f>
        <v/>
      </c>
      <c r="B85" s="57" t="str">
        <f>IF($Q85="","",INDEX(TRANSACTIONS_MASTER!$B$5:$B$1204,$Q85))</f>
        <v/>
      </c>
      <c r="C85" s="55" t="str">
        <f>IF($Q85="","",INDEX(TRANSACTIONS_MASTER!$F$5:$F$1204,$Q85))</f>
        <v/>
      </c>
      <c r="D85" s="55" t="str">
        <f>IF($Q85="","",INDEX(TRANSACTIONS_MASTER!$E$5:$E$1204,$Q85))</f>
        <v/>
      </c>
      <c r="E85" s="55" t="str">
        <f>IF($Q85="","",INDEX(TRANSACTIONS_MASTER!$G$5:$G$1204,$Q85)&amp;"")</f>
        <v/>
      </c>
      <c r="F85" s="29" t="str">
        <f>IF($Q85="","",INDEX(TRANSACTIONS_MASTER!$I$5:$I$1204,$Q85))</f>
        <v/>
      </c>
      <c r="G85" s="55" t="str">
        <f>IF($Q85="","",INDEX(TRANSACTIONS_MASTER!$K$5:$K$1204,$Q85))</f>
        <v/>
      </c>
      <c r="H85" s="25" t="str">
        <f>IF($Q85="","",INDEX(TRANSACTIONS_MASTER!$L$5:$L$1204,$Q85))</f>
        <v/>
      </c>
      <c r="I85" s="56" t="str">
        <f>IF($Q85="","",INDEX(TRANSACTIONS_MASTER!$N$5:$N$1204,$Q85))</f>
        <v/>
      </c>
      <c r="J85" s="25" t="str">
        <f>IF($Q85="","",INDEX(TRANSACTIONS_MASTER!$O$5:$O$1204,$Q85))</f>
        <v/>
      </c>
      <c r="K85" s="26" t="str">
        <f>IF($Q85="","",INDEX(TRANSACTIONS_MASTER!$Q$5:$Q$1204,$Q85))</f>
        <v/>
      </c>
      <c r="L85" s="25" t="str">
        <f>IF($Q85="","",INDEX(TRANSACTIONS_MASTER!$P$5:$P$1204,$Q85))</f>
        <v/>
      </c>
      <c r="M85" s="25" t="str">
        <f>IF($Q85="","",INDEX(TRANSACTIONS_MASTER!$AA$5:$AA$1204,$Q85))</f>
        <v/>
      </c>
      <c r="N85" s="25" t="str">
        <f>IF($Q85="","",INDEX(TRANSACTIONS_MASTER!$R$5:$R$1204,$Q85))</f>
        <v/>
      </c>
      <c r="O85" s="28" t="str">
        <f>IF($Q85="","",INDEX(TRANSACTIONS_MASTER!$AB$5:$AB$1204,$Q85))</f>
        <v/>
      </c>
      <c r="P85" s="55" t="str">
        <f>IF($Q85="","",INDEX(TRANSACTIONS_MASTER!$Z$5:$Z$1204,$Q85)&amp;"")</f>
        <v/>
      </c>
      <c r="Q85" s="67" t="str">
        <f>IFERROR(MATCH($C$2&amp;"|"&amp;78,TRANSACTIONS_MASTER!$AE$5:$AE$1204,0),"")</f>
        <v/>
      </c>
      <c r="S85" s="67" t="n">
        <v>24</v>
      </c>
      <c r="T85" s="55" t="str">
        <f>IF(CARDS!$A28="","",CARDS!$A28)</f>
        <v/>
      </c>
      <c r="U85" s="55" t="str">
        <f>IF($T85="","",CARDS!$B28&amp;" "&amp;CARDS!$C28)</f>
        <v/>
      </c>
      <c r="V85" s="25" t="str">
        <f>IF($T85="","",SUMIFS(TRANSACTIONS_MASTER!$L$5:$L$1204,TRANSACTIONS_MASTER!$D$5:$D$1204,$T85,TRANSACTIONS_MASTER!$C$5:$C$1204,$C$2,TRANSACTIONS_MASTER!$U$5:$U$1204,"&lt;&gt;Cancelled"))</f>
        <v/>
      </c>
      <c r="W85" s="26" t="str">
        <f>IF($T85="","",SUMIFS(TRANSACTIONS_MASTER!$Q$5:$Q$1204,TRANSACTIONS_MASTER!$D$5:$D$1204,$T85,TRANSACTIONS_MASTER!$C$5:$C$1204,$C$2))</f>
        <v/>
      </c>
      <c r="X85" s="25" t="str">
        <f>IF($T85="","",IFERROR(IF(ISNUMBER(INDEX(CASHBACK_RULES!$K$5:$K$304,MATCH($T85,CASHBACK_RULES!$B$5:$B$304,0))),INDEX(CASHBACK_RULES!$K$5:$K$304,MATCH($T85,CASHBACK_RULES!$B$5:$B$304,0)),"∞"),"—"))</f>
        <v/>
      </c>
      <c r="Y85" s="25" t="str">
        <f>IF($T85="","",IF($X85="—","—",IF(COUNTIFS($T$8:$T$57,$T85,$Z$8:$Z$57,"∞")&gt;0,IF(ISNUMBER($X85),MAX(0,$X85-$W85),"∞"),IF(ISNUMBER($X85),MAX(0,MIN($X85-$W85,SUMIFS($Z$8:$Z$57,$T$8:$T$57,$T85))),SUMIFS($Z$8:$Z$57,$T$8:$T$57,$T85)))))</f>
        <v/>
      </c>
      <c r="Z85" s="27" t="str">
        <f>IF($T85="","",IF(ISNUMBER($X85),IF($X85=0,0,$W85/$X85),IF(ISNUMBER($Y85),IF($W85+$Y85=0,0,$W85/($W85+$Y85)),"")))</f>
        <v/>
      </c>
      <c r="AA85" s="29" t="str">
        <f>IF($T85="","",COUNTIFS(TRANSACTIONS_MASTER!$D$5:$D$1204,$T85,TRANSACTIONS_MASTER!$C$5:$C$1204,$C$2,TRANSACTIONS_MASTER!$U$5:$U$1204,"&lt;&gt;Cancelled"))</f>
        <v/>
      </c>
    </row>
    <row r="86">
      <c r="A86" s="81" t="str">
        <f>IF($Q86="","",79)</f>
        <v/>
      </c>
      <c r="B86" s="57" t="str">
        <f>IF($Q86="","",INDEX(TRANSACTIONS_MASTER!$B$5:$B$1204,$Q86))</f>
        <v/>
      </c>
      <c r="C86" s="55" t="str">
        <f>IF($Q86="","",INDEX(TRANSACTIONS_MASTER!$F$5:$F$1204,$Q86))</f>
        <v/>
      </c>
      <c r="D86" s="55" t="str">
        <f>IF($Q86="","",INDEX(TRANSACTIONS_MASTER!$E$5:$E$1204,$Q86))</f>
        <v/>
      </c>
      <c r="E86" s="55" t="str">
        <f>IF($Q86="","",INDEX(TRANSACTIONS_MASTER!$G$5:$G$1204,$Q86)&amp;"")</f>
        <v/>
      </c>
      <c r="F86" s="29" t="str">
        <f>IF($Q86="","",INDEX(TRANSACTIONS_MASTER!$I$5:$I$1204,$Q86))</f>
        <v/>
      </c>
      <c r="G86" s="55" t="str">
        <f>IF($Q86="","",INDEX(TRANSACTIONS_MASTER!$K$5:$K$1204,$Q86))</f>
        <v/>
      </c>
      <c r="H86" s="25" t="str">
        <f>IF($Q86="","",INDEX(TRANSACTIONS_MASTER!$L$5:$L$1204,$Q86))</f>
        <v/>
      </c>
      <c r="I86" s="56" t="str">
        <f>IF($Q86="","",INDEX(TRANSACTIONS_MASTER!$N$5:$N$1204,$Q86))</f>
        <v/>
      </c>
      <c r="J86" s="25" t="str">
        <f>IF($Q86="","",INDEX(TRANSACTIONS_MASTER!$O$5:$O$1204,$Q86))</f>
        <v/>
      </c>
      <c r="K86" s="26" t="str">
        <f>IF($Q86="","",INDEX(TRANSACTIONS_MASTER!$Q$5:$Q$1204,$Q86))</f>
        <v/>
      </c>
      <c r="L86" s="25" t="str">
        <f>IF($Q86="","",INDEX(TRANSACTIONS_MASTER!$P$5:$P$1204,$Q86))</f>
        <v/>
      </c>
      <c r="M86" s="25" t="str">
        <f>IF($Q86="","",INDEX(TRANSACTIONS_MASTER!$AA$5:$AA$1204,$Q86))</f>
        <v/>
      </c>
      <c r="N86" s="25" t="str">
        <f>IF($Q86="","",INDEX(TRANSACTIONS_MASTER!$R$5:$R$1204,$Q86))</f>
        <v/>
      </c>
      <c r="O86" s="28" t="str">
        <f>IF($Q86="","",INDEX(TRANSACTIONS_MASTER!$AB$5:$AB$1204,$Q86))</f>
        <v/>
      </c>
      <c r="P86" s="55" t="str">
        <f>IF($Q86="","",INDEX(TRANSACTIONS_MASTER!$Z$5:$Z$1204,$Q86)&amp;"")</f>
        <v/>
      </c>
      <c r="Q86" s="67" t="str">
        <f>IFERROR(MATCH($C$2&amp;"|"&amp;79,TRANSACTIONS_MASTER!$AE$5:$AE$1204,0),"")</f>
        <v/>
      </c>
      <c r="S86" s="67" t="n">
        <v>25</v>
      </c>
      <c r="T86" s="55" t="str">
        <f>IF(CARDS!$A29="","",CARDS!$A29)</f>
        <v/>
      </c>
      <c r="U86" s="55" t="str">
        <f>IF($T86="","",CARDS!$B29&amp;" "&amp;CARDS!$C29)</f>
        <v/>
      </c>
      <c r="V86" s="25" t="str">
        <f>IF($T86="","",SUMIFS(TRANSACTIONS_MASTER!$L$5:$L$1204,TRANSACTIONS_MASTER!$D$5:$D$1204,$T86,TRANSACTIONS_MASTER!$C$5:$C$1204,$C$2,TRANSACTIONS_MASTER!$U$5:$U$1204,"&lt;&gt;Cancelled"))</f>
        <v/>
      </c>
      <c r="W86" s="26" t="str">
        <f>IF($T86="","",SUMIFS(TRANSACTIONS_MASTER!$Q$5:$Q$1204,TRANSACTIONS_MASTER!$D$5:$D$1204,$T86,TRANSACTIONS_MASTER!$C$5:$C$1204,$C$2))</f>
        <v/>
      </c>
      <c r="X86" s="25" t="str">
        <f>IF($T86="","",IFERROR(IF(ISNUMBER(INDEX(CASHBACK_RULES!$K$5:$K$304,MATCH($T86,CASHBACK_RULES!$B$5:$B$304,0))),INDEX(CASHBACK_RULES!$K$5:$K$304,MATCH($T86,CASHBACK_RULES!$B$5:$B$304,0)),"∞"),"—"))</f>
        <v/>
      </c>
      <c r="Y86" s="25" t="str">
        <f>IF($T86="","",IF($X86="—","—",IF(COUNTIFS($T$8:$T$57,$T86,$Z$8:$Z$57,"∞")&gt;0,IF(ISNUMBER($X86),MAX(0,$X86-$W86),"∞"),IF(ISNUMBER($X86),MAX(0,MIN($X86-$W86,SUMIFS($Z$8:$Z$57,$T$8:$T$57,$T86))),SUMIFS($Z$8:$Z$57,$T$8:$T$57,$T86)))))</f>
        <v/>
      </c>
      <c r="Z86" s="27" t="str">
        <f>IF($T86="","",IF(ISNUMBER($X86),IF($X86=0,0,$W86/$X86),IF(ISNUMBER($Y86),IF($W86+$Y86=0,0,$W86/($W86+$Y86)),"")))</f>
        <v/>
      </c>
      <c r="AA86" s="29" t="str">
        <f>IF($T86="","",COUNTIFS(TRANSACTIONS_MASTER!$D$5:$D$1204,$T86,TRANSACTIONS_MASTER!$C$5:$C$1204,$C$2,TRANSACTIONS_MASTER!$U$5:$U$1204,"&lt;&gt;Cancelled"))</f>
        <v/>
      </c>
    </row>
    <row r="87">
      <c r="A87" s="81" t="str">
        <f>IF($Q87="","",80)</f>
        <v/>
      </c>
      <c r="B87" s="57" t="str">
        <f>IF($Q87="","",INDEX(TRANSACTIONS_MASTER!$B$5:$B$1204,$Q87))</f>
        <v/>
      </c>
      <c r="C87" s="55" t="str">
        <f>IF($Q87="","",INDEX(TRANSACTIONS_MASTER!$F$5:$F$1204,$Q87))</f>
        <v/>
      </c>
      <c r="D87" s="55" t="str">
        <f>IF($Q87="","",INDEX(TRANSACTIONS_MASTER!$E$5:$E$1204,$Q87))</f>
        <v/>
      </c>
      <c r="E87" s="55" t="str">
        <f>IF($Q87="","",INDEX(TRANSACTIONS_MASTER!$G$5:$G$1204,$Q87)&amp;"")</f>
        <v/>
      </c>
      <c r="F87" s="29" t="str">
        <f>IF($Q87="","",INDEX(TRANSACTIONS_MASTER!$I$5:$I$1204,$Q87))</f>
        <v/>
      </c>
      <c r="G87" s="55" t="str">
        <f>IF($Q87="","",INDEX(TRANSACTIONS_MASTER!$K$5:$K$1204,$Q87))</f>
        <v/>
      </c>
      <c r="H87" s="25" t="str">
        <f>IF($Q87="","",INDEX(TRANSACTIONS_MASTER!$L$5:$L$1204,$Q87))</f>
        <v/>
      </c>
      <c r="I87" s="56" t="str">
        <f>IF($Q87="","",INDEX(TRANSACTIONS_MASTER!$N$5:$N$1204,$Q87))</f>
        <v/>
      </c>
      <c r="J87" s="25" t="str">
        <f>IF($Q87="","",INDEX(TRANSACTIONS_MASTER!$O$5:$O$1204,$Q87))</f>
        <v/>
      </c>
      <c r="K87" s="26" t="str">
        <f>IF($Q87="","",INDEX(TRANSACTIONS_MASTER!$Q$5:$Q$1204,$Q87))</f>
        <v/>
      </c>
      <c r="L87" s="25" t="str">
        <f>IF($Q87="","",INDEX(TRANSACTIONS_MASTER!$P$5:$P$1204,$Q87))</f>
        <v/>
      </c>
      <c r="M87" s="25" t="str">
        <f>IF($Q87="","",INDEX(TRANSACTIONS_MASTER!$AA$5:$AA$1204,$Q87))</f>
        <v/>
      </c>
      <c r="N87" s="25" t="str">
        <f>IF($Q87="","",INDEX(TRANSACTIONS_MASTER!$R$5:$R$1204,$Q87))</f>
        <v/>
      </c>
      <c r="O87" s="28" t="str">
        <f>IF($Q87="","",INDEX(TRANSACTIONS_MASTER!$AB$5:$AB$1204,$Q87))</f>
        <v/>
      </c>
      <c r="P87" s="55" t="str">
        <f>IF($Q87="","",INDEX(TRANSACTIONS_MASTER!$Z$5:$Z$1204,$Q87)&amp;"")</f>
        <v/>
      </c>
      <c r="Q87" s="67" t="str">
        <f>IFERROR(MATCH($C$2&amp;"|"&amp;80,TRANSACTIONS_MASTER!$AE$5:$AE$1204,0),"")</f>
        <v/>
      </c>
      <c r="S87" s="67" t="n">
        <v>26</v>
      </c>
      <c r="T87" s="55" t="str">
        <f>IF(CARDS!$A30="","",CARDS!$A30)</f>
        <v/>
      </c>
      <c r="U87" s="55" t="str">
        <f>IF($T87="","",CARDS!$B30&amp;" "&amp;CARDS!$C30)</f>
        <v/>
      </c>
      <c r="V87" s="25" t="str">
        <f>IF($T87="","",SUMIFS(TRANSACTIONS_MASTER!$L$5:$L$1204,TRANSACTIONS_MASTER!$D$5:$D$1204,$T87,TRANSACTIONS_MASTER!$C$5:$C$1204,$C$2,TRANSACTIONS_MASTER!$U$5:$U$1204,"&lt;&gt;Cancelled"))</f>
        <v/>
      </c>
      <c r="W87" s="26" t="str">
        <f>IF($T87="","",SUMIFS(TRANSACTIONS_MASTER!$Q$5:$Q$1204,TRANSACTIONS_MASTER!$D$5:$D$1204,$T87,TRANSACTIONS_MASTER!$C$5:$C$1204,$C$2))</f>
        <v/>
      </c>
      <c r="X87" s="25" t="str">
        <f>IF($T87="","",IFERROR(IF(ISNUMBER(INDEX(CASHBACK_RULES!$K$5:$K$304,MATCH($T87,CASHBACK_RULES!$B$5:$B$304,0))),INDEX(CASHBACK_RULES!$K$5:$K$304,MATCH($T87,CASHBACK_RULES!$B$5:$B$304,0)),"∞"),"—"))</f>
        <v/>
      </c>
      <c r="Y87" s="25" t="str">
        <f>IF($T87="","",IF($X87="—","—",IF(COUNTIFS($T$8:$T$57,$T87,$Z$8:$Z$57,"∞")&gt;0,IF(ISNUMBER($X87),MAX(0,$X87-$W87),"∞"),IF(ISNUMBER($X87),MAX(0,MIN($X87-$W87,SUMIFS($Z$8:$Z$57,$T$8:$T$57,$T87))),SUMIFS($Z$8:$Z$57,$T$8:$T$57,$T87)))))</f>
        <v/>
      </c>
      <c r="Z87" s="27" t="str">
        <f>IF($T87="","",IF(ISNUMBER($X87),IF($X87=0,0,$W87/$X87),IF(ISNUMBER($Y87),IF($W87+$Y87=0,0,$W87/($W87+$Y87)),"")))</f>
        <v/>
      </c>
      <c r="AA87" s="29" t="str">
        <f>IF($T87="","",COUNTIFS(TRANSACTIONS_MASTER!$D$5:$D$1204,$T87,TRANSACTIONS_MASTER!$C$5:$C$1204,$C$2,TRANSACTIONS_MASTER!$U$5:$U$1204,"&lt;&gt;Cancelled"))</f>
        <v/>
      </c>
    </row>
    <row r="88">
      <c r="A88" s="81" t="str">
        <f>IF($Q88="","",81)</f>
        <v/>
      </c>
      <c r="B88" s="57" t="str">
        <f>IF($Q88="","",INDEX(TRANSACTIONS_MASTER!$B$5:$B$1204,$Q88))</f>
        <v/>
      </c>
      <c r="C88" s="55" t="str">
        <f>IF($Q88="","",INDEX(TRANSACTIONS_MASTER!$F$5:$F$1204,$Q88))</f>
        <v/>
      </c>
      <c r="D88" s="55" t="str">
        <f>IF($Q88="","",INDEX(TRANSACTIONS_MASTER!$E$5:$E$1204,$Q88))</f>
        <v/>
      </c>
      <c r="E88" s="55" t="str">
        <f>IF($Q88="","",INDEX(TRANSACTIONS_MASTER!$G$5:$G$1204,$Q88)&amp;"")</f>
        <v/>
      </c>
      <c r="F88" s="29" t="str">
        <f>IF($Q88="","",INDEX(TRANSACTIONS_MASTER!$I$5:$I$1204,$Q88))</f>
        <v/>
      </c>
      <c r="G88" s="55" t="str">
        <f>IF($Q88="","",INDEX(TRANSACTIONS_MASTER!$K$5:$K$1204,$Q88))</f>
        <v/>
      </c>
      <c r="H88" s="25" t="str">
        <f>IF($Q88="","",INDEX(TRANSACTIONS_MASTER!$L$5:$L$1204,$Q88))</f>
        <v/>
      </c>
      <c r="I88" s="56" t="str">
        <f>IF($Q88="","",INDEX(TRANSACTIONS_MASTER!$N$5:$N$1204,$Q88))</f>
        <v/>
      </c>
      <c r="J88" s="25" t="str">
        <f>IF($Q88="","",INDEX(TRANSACTIONS_MASTER!$O$5:$O$1204,$Q88))</f>
        <v/>
      </c>
      <c r="K88" s="26" t="str">
        <f>IF($Q88="","",INDEX(TRANSACTIONS_MASTER!$Q$5:$Q$1204,$Q88))</f>
        <v/>
      </c>
      <c r="L88" s="25" t="str">
        <f>IF($Q88="","",INDEX(TRANSACTIONS_MASTER!$P$5:$P$1204,$Q88))</f>
        <v/>
      </c>
      <c r="M88" s="25" t="str">
        <f>IF($Q88="","",INDEX(TRANSACTIONS_MASTER!$AA$5:$AA$1204,$Q88))</f>
        <v/>
      </c>
      <c r="N88" s="25" t="str">
        <f>IF($Q88="","",INDEX(TRANSACTIONS_MASTER!$R$5:$R$1204,$Q88))</f>
        <v/>
      </c>
      <c r="O88" s="28" t="str">
        <f>IF($Q88="","",INDEX(TRANSACTIONS_MASTER!$AB$5:$AB$1204,$Q88))</f>
        <v/>
      </c>
      <c r="P88" s="55" t="str">
        <f>IF($Q88="","",INDEX(TRANSACTIONS_MASTER!$Z$5:$Z$1204,$Q88)&amp;"")</f>
        <v/>
      </c>
      <c r="Q88" s="67" t="str">
        <f>IFERROR(MATCH($C$2&amp;"|"&amp;81,TRANSACTIONS_MASTER!$AE$5:$AE$1204,0),"")</f>
        <v/>
      </c>
      <c r="S88" s="67" t="n">
        <v>27</v>
      </c>
      <c r="T88" s="55" t="str">
        <f>IF(CARDS!$A31="","",CARDS!$A31)</f>
        <v/>
      </c>
      <c r="U88" s="55" t="str">
        <f>IF($T88="","",CARDS!$B31&amp;" "&amp;CARDS!$C31)</f>
        <v/>
      </c>
      <c r="V88" s="25" t="str">
        <f>IF($T88="","",SUMIFS(TRANSACTIONS_MASTER!$L$5:$L$1204,TRANSACTIONS_MASTER!$D$5:$D$1204,$T88,TRANSACTIONS_MASTER!$C$5:$C$1204,$C$2,TRANSACTIONS_MASTER!$U$5:$U$1204,"&lt;&gt;Cancelled"))</f>
        <v/>
      </c>
      <c r="W88" s="26" t="str">
        <f>IF($T88="","",SUMIFS(TRANSACTIONS_MASTER!$Q$5:$Q$1204,TRANSACTIONS_MASTER!$D$5:$D$1204,$T88,TRANSACTIONS_MASTER!$C$5:$C$1204,$C$2))</f>
        <v/>
      </c>
      <c r="X88" s="25" t="str">
        <f>IF($T88="","",IFERROR(IF(ISNUMBER(INDEX(CASHBACK_RULES!$K$5:$K$304,MATCH($T88,CASHBACK_RULES!$B$5:$B$304,0))),INDEX(CASHBACK_RULES!$K$5:$K$304,MATCH($T88,CASHBACK_RULES!$B$5:$B$304,0)),"∞"),"—"))</f>
        <v/>
      </c>
      <c r="Y88" s="25" t="str">
        <f>IF($T88="","",IF($X88="—","—",IF(COUNTIFS($T$8:$T$57,$T88,$Z$8:$Z$57,"∞")&gt;0,IF(ISNUMBER($X88),MAX(0,$X88-$W88),"∞"),IF(ISNUMBER($X88),MAX(0,MIN($X88-$W88,SUMIFS($Z$8:$Z$57,$T$8:$T$57,$T88))),SUMIFS($Z$8:$Z$57,$T$8:$T$57,$T88)))))</f>
        <v/>
      </c>
      <c r="Z88" s="27" t="str">
        <f>IF($T88="","",IF(ISNUMBER($X88),IF($X88=0,0,$W88/$X88),IF(ISNUMBER($Y88),IF($W88+$Y88=0,0,$W88/($W88+$Y88)),"")))</f>
        <v/>
      </c>
      <c r="AA88" s="29" t="str">
        <f>IF($T88="","",COUNTIFS(TRANSACTIONS_MASTER!$D$5:$D$1204,$T88,TRANSACTIONS_MASTER!$C$5:$C$1204,$C$2,TRANSACTIONS_MASTER!$U$5:$U$1204,"&lt;&gt;Cancelled"))</f>
        <v/>
      </c>
    </row>
    <row r="89">
      <c r="A89" s="81" t="str">
        <f>IF($Q89="","",82)</f>
        <v/>
      </c>
      <c r="B89" s="57" t="str">
        <f>IF($Q89="","",INDEX(TRANSACTIONS_MASTER!$B$5:$B$1204,$Q89))</f>
        <v/>
      </c>
      <c r="C89" s="55" t="str">
        <f>IF($Q89="","",INDEX(TRANSACTIONS_MASTER!$F$5:$F$1204,$Q89))</f>
        <v/>
      </c>
      <c r="D89" s="55" t="str">
        <f>IF($Q89="","",INDEX(TRANSACTIONS_MASTER!$E$5:$E$1204,$Q89))</f>
        <v/>
      </c>
      <c r="E89" s="55" t="str">
        <f>IF($Q89="","",INDEX(TRANSACTIONS_MASTER!$G$5:$G$1204,$Q89)&amp;"")</f>
        <v/>
      </c>
      <c r="F89" s="29" t="str">
        <f>IF($Q89="","",INDEX(TRANSACTIONS_MASTER!$I$5:$I$1204,$Q89))</f>
        <v/>
      </c>
      <c r="G89" s="55" t="str">
        <f>IF($Q89="","",INDEX(TRANSACTIONS_MASTER!$K$5:$K$1204,$Q89))</f>
        <v/>
      </c>
      <c r="H89" s="25" t="str">
        <f>IF($Q89="","",INDEX(TRANSACTIONS_MASTER!$L$5:$L$1204,$Q89))</f>
        <v/>
      </c>
      <c r="I89" s="56" t="str">
        <f>IF($Q89="","",INDEX(TRANSACTIONS_MASTER!$N$5:$N$1204,$Q89))</f>
        <v/>
      </c>
      <c r="J89" s="25" t="str">
        <f>IF($Q89="","",INDEX(TRANSACTIONS_MASTER!$O$5:$O$1204,$Q89))</f>
        <v/>
      </c>
      <c r="K89" s="26" t="str">
        <f>IF($Q89="","",INDEX(TRANSACTIONS_MASTER!$Q$5:$Q$1204,$Q89))</f>
        <v/>
      </c>
      <c r="L89" s="25" t="str">
        <f>IF($Q89="","",INDEX(TRANSACTIONS_MASTER!$P$5:$P$1204,$Q89))</f>
        <v/>
      </c>
      <c r="M89" s="25" t="str">
        <f>IF($Q89="","",INDEX(TRANSACTIONS_MASTER!$AA$5:$AA$1204,$Q89))</f>
        <v/>
      </c>
      <c r="N89" s="25" t="str">
        <f>IF($Q89="","",INDEX(TRANSACTIONS_MASTER!$R$5:$R$1204,$Q89))</f>
        <v/>
      </c>
      <c r="O89" s="28" t="str">
        <f>IF($Q89="","",INDEX(TRANSACTIONS_MASTER!$AB$5:$AB$1204,$Q89))</f>
        <v/>
      </c>
      <c r="P89" s="55" t="str">
        <f>IF($Q89="","",INDEX(TRANSACTIONS_MASTER!$Z$5:$Z$1204,$Q89)&amp;"")</f>
        <v/>
      </c>
      <c r="Q89" s="67" t="str">
        <f>IFERROR(MATCH($C$2&amp;"|"&amp;82,TRANSACTIONS_MASTER!$AE$5:$AE$1204,0),"")</f>
        <v/>
      </c>
      <c r="S89" s="67" t="n">
        <v>28</v>
      </c>
      <c r="T89" s="55" t="str">
        <f>IF(CARDS!$A32="","",CARDS!$A32)</f>
        <v/>
      </c>
      <c r="U89" s="55" t="str">
        <f>IF($T89="","",CARDS!$B32&amp;" "&amp;CARDS!$C32)</f>
        <v/>
      </c>
      <c r="V89" s="25" t="str">
        <f>IF($T89="","",SUMIFS(TRANSACTIONS_MASTER!$L$5:$L$1204,TRANSACTIONS_MASTER!$D$5:$D$1204,$T89,TRANSACTIONS_MASTER!$C$5:$C$1204,$C$2,TRANSACTIONS_MASTER!$U$5:$U$1204,"&lt;&gt;Cancelled"))</f>
        <v/>
      </c>
      <c r="W89" s="26" t="str">
        <f>IF($T89="","",SUMIFS(TRANSACTIONS_MASTER!$Q$5:$Q$1204,TRANSACTIONS_MASTER!$D$5:$D$1204,$T89,TRANSACTIONS_MASTER!$C$5:$C$1204,$C$2))</f>
        <v/>
      </c>
      <c r="X89" s="25" t="str">
        <f>IF($T89="","",IFERROR(IF(ISNUMBER(INDEX(CASHBACK_RULES!$K$5:$K$304,MATCH($T89,CASHBACK_RULES!$B$5:$B$304,0))),INDEX(CASHBACK_RULES!$K$5:$K$304,MATCH($T89,CASHBACK_RULES!$B$5:$B$304,0)),"∞"),"—"))</f>
        <v/>
      </c>
      <c r="Y89" s="25" t="str">
        <f>IF($T89="","",IF($X89="—","—",IF(COUNTIFS($T$8:$T$57,$T89,$Z$8:$Z$57,"∞")&gt;0,IF(ISNUMBER($X89),MAX(0,$X89-$W89),"∞"),IF(ISNUMBER($X89),MAX(0,MIN($X89-$W89,SUMIFS($Z$8:$Z$57,$T$8:$T$57,$T89))),SUMIFS($Z$8:$Z$57,$T$8:$T$57,$T89)))))</f>
        <v/>
      </c>
      <c r="Z89" s="27" t="str">
        <f>IF($T89="","",IF(ISNUMBER($X89),IF($X89=0,0,$W89/$X89),IF(ISNUMBER($Y89),IF($W89+$Y89=0,0,$W89/($W89+$Y89)),"")))</f>
        <v/>
      </c>
      <c r="AA89" s="29" t="str">
        <f>IF($T89="","",COUNTIFS(TRANSACTIONS_MASTER!$D$5:$D$1204,$T89,TRANSACTIONS_MASTER!$C$5:$C$1204,$C$2,TRANSACTIONS_MASTER!$U$5:$U$1204,"&lt;&gt;Cancelled"))</f>
        <v/>
      </c>
    </row>
    <row r="90">
      <c r="A90" s="81" t="str">
        <f>IF($Q90="","",83)</f>
        <v/>
      </c>
      <c r="B90" s="57" t="str">
        <f>IF($Q90="","",INDEX(TRANSACTIONS_MASTER!$B$5:$B$1204,$Q90))</f>
        <v/>
      </c>
      <c r="C90" s="55" t="str">
        <f>IF($Q90="","",INDEX(TRANSACTIONS_MASTER!$F$5:$F$1204,$Q90))</f>
        <v/>
      </c>
      <c r="D90" s="55" t="str">
        <f>IF($Q90="","",INDEX(TRANSACTIONS_MASTER!$E$5:$E$1204,$Q90))</f>
        <v/>
      </c>
      <c r="E90" s="55" t="str">
        <f>IF($Q90="","",INDEX(TRANSACTIONS_MASTER!$G$5:$G$1204,$Q90)&amp;"")</f>
        <v/>
      </c>
      <c r="F90" s="29" t="str">
        <f>IF($Q90="","",INDEX(TRANSACTIONS_MASTER!$I$5:$I$1204,$Q90))</f>
        <v/>
      </c>
      <c r="G90" s="55" t="str">
        <f>IF($Q90="","",INDEX(TRANSACTIONS_MASTER!$K$5:$K$1204,$Q90))</f>
        <v/>
      </c>
      <c r="H90" s="25" t="str">
        <f>IF($Q90="","",INDEX(TRANSACTIONS_MASTER!$L$5:$L$1204,$Q90))</f>
        <v/>
      </c>
      <c r="I90" s="56" t="str">
        <f>IF($Q90="","",INDEX(TRANSACTIONS_MASTER!$N$5:$N$1204,$Q90))</f>
        <v/>
      </c>
      <c r="J90" s="25" t="str">
        <f>IF($Q90="","",INDEX(TRANSACTIONS_MASTER!$O$5:$O$1204,$Q90))</f>
        <v/>
      </c>
      <c r="K90" s="26" t="str">
        <f>IF($Q90="","",INDEX(TRANSACTIONS_MASTER!$Q$5:$Q$1204,$Q90))</f>
        <v/>
      </c>
      <c r="L90" s="25" t="str">
        <f>IF($Q90="","",INDEX(TRANSACTIONS_MASTER!$P$5:$P$1204,$Q90))</f>
        <v/>
      </c>
      <c r="M90" s="25" t="str">
        <f>IF($Q90="","",INDEX(TRANSACTIONS_MASTER!$AA$5:$AA$1204,$Q90))</f>
        <v/>
      </c>
      <c r="N90" s="25" t="str">
        <f>IF($Q90="","",INDEX(TRANSACTIONS_MASTER!$R$5:$R$1204,$Q90))</f>
        <v/>
      </c>
      <c r="O90" s="28" t="str">
        <f>IF($Q90="","",INDEX(TRANSACTIONS_MASTER!$AB$5:$AB$1204,$Q90))</f>
        <v/>
      </c>
      <c r="P90" s="55" t="str">
        <f>IF($Q90="","",INDEX(TRANSACTIONS_MASTER!$Z$5:$Z$1204,$Q90)&amp;"")</f>
        <v/>
      </c>
      <c r="Q90" s="67" t="str">
        <f>IFERROR(MATCH($C$2&amp;"|"&amp;83,TRANSACTIONS_MASTER!$AE$5:$AE$1204,0),"")</f>
        <v/>
      </c>
      <c r="S90" s="67" t="n">
        <v>29</v>
      </c>
      <c r="T90" s="55" t="str">
        <f>IF(CARDS!$A33="","",CARDS!$A33)</f>
        <v/>
      </c>
      <c r="U90" s="55" t="str">
        <f>IF($T90="","",CARDS!$B33&amp;" "&amp;CARDS!$C33)</f>
        <v/>
      </c>
      <c r="V90" s="25" t="str">
        <f>IF($T90="","",SUMIFS(TRANSACTIONS_MASTER!$L$5:$L$1204,TRANSACTIONS_MASTER!$D$5:$D$1204,$T90,TRANSACTIONS_MASTER!$C$5:$C$1204,$C$2,TRANSACTIONS_MASTER!$U$5:$U$1204,"&lt;&gt;Cancelled"))</f>
        <v/>
      </c>
      <c r="W90" s="26" t="str">
        <f>IF($T90="","",SUMIFS(TRANSACTIONS_MASTER!$Q$5:$Q$1204,TRANSACTIONS_MASTER!$D$5:$D$1204,$T90,TRANSACTIONS_MASTER!$C$5:$C$1204,$C$2))</f>
        <v/>
      </c>
      <c r="X90" s="25" t="str">
        <f>IF($T90="","",IFERROR(IF(ISNUMBER(INDEX(CASHBACK_RULES!$K$5:$K$304,MATCH($T90,CASHBACK_RULES!$B$5:$B$304,0))),INDEX(CASHBACK_RULES!$K$5:$K$304,MATCH($T90,CASHBACK_RULES!$B$5:$B$304,0)),"∞"),"—"))</f>
        <v/>
      </c>
      <c r="Y90" s="25" t="str">
        <f>IF($T90="","",IF($X90="—","—",IF(COUNTIFS($T$8:$T$57,$T90,$Z$8:$Z$57,"∞")&gt;0,IF(ISNUMBER($X90),MAX(0,$X90-$W90),"∞"),IF(ISNUMBER($X90),MAX(0,MIN($X90-$W90,SUMIFS($Z$8:$Z$57,$T$8:$T$57,$T90))),SUMIFS($Z$8:$Z$57,$T$8:$T$57,$T90)))))</f>
        <v/>
      </c>
      <c r="Z90" s="27" t="str">
        <f>IF($T90="","",IF(ISNUMBER($X90),IF($X90=0,0,$W90/$X90),IF(ISNUMBER($Y90),IF($W90+$Y90=0,0,$W90/($W90+$Y90)),"")))</f>
        <v/>
      </c>
      <c r="AA90" s="29" t="str">
        <f>IF($T90="","",COUNTIFS(TRANSACTIONS_MASTER!$D$5:$D$1204,$T90,TRANSACTIONS_MASTER!$C$5:$C$1204,$C$2,TRANSACTIONS_MASTER!$U$5:$U$1204,"&lt;&gt;Cancelled"))</f>
        <v/>
      </c>
    </row>
    <row r="91">
      <c r="A91" s="81" t="str">
        <f>IF($Q91="","",84)</f>
        <v/>
      </c>
      <c r="B91" s="57" t="str">
        <f>IF($Q91="","",INDEX(TRANSACTIONS_MASTER!$B$5:$B$1204,$Q91))</f>
        <v/>
      </c>
      <c r="C91" s="55" t="str">
        <f>IF($Q91="","",INDEX(TRANSACTIONS_MASTER!$F$5:$F$1204,$Q91))</f>
        <v/>
      </c>
      <c r="D91" s="55" t="str">
        <f>IF($Q91="","",INDEX(TRANSACTIONS_MASTER!$E$5:$E$1204,$Q91))</f>
        <v/>
      </c>
      <c r="E91" s="55" t="str">
        <f>IF($Q91="","",INDEX(TRANSACTIONS_MASTER!$G$5:$G$1204,$Q91)&amp;"")</f>
        <v/>
      </c>
      <c r="F91" s="29" t="str">
        <f>IF($Q91="","",INDEX(TRANSACTIONS_MASTER!$I$5:$I$1204,$Q91))</f>
        <v/>
      </c>
      <c r="G91" s="55" t="str">
        <f>IF($Q91="","",INDEX(TRANSACTIONS_MASTER!$K$5:$K$1204,$Q91))</f>
        <v/>
      </c>
      <c r="H91" s="25" t="str">
        <f>IF($Q91="","",INDEX(TRANSACTIONS_MASTER!$L$5:$L$1204,$Q91))</f>
        <v/>
      </c>
      <c r="I91" s="56" t="str">
        <f>IF($Q91="","",INDEX(TRANSACTIONS_MASTER!$N$5:$N$1204,$Q91))</f>
        <v/>
      </c>
      <c r="J91" s="25" t="str">
        <f>IF($Q91="","",INDEX(TRANSACTIONS_MASTER!$O$5:$O$1204,$Q91))</f>
        <v/>
      </c>
      <c r="K91" s="26" t="str">
        <f>IF($Q91="","",INDEX(TRANSACTIONS_MASTER!$Q$5:$Q$1204,$Q91))</f>
        <v/>
      </c>
      <c r="L91" s="25" t="str">
        <f>IF($Q91="","",INDEX(TRANSACTIONS_MASTER!$P$5:$P$1204,$Q91))</f>
        <v/>
      </c>
      <c r="M91" s="25" t="str">
        <f>IF($Q91="","",INDEX(TRANSACTIONS_MASTER!$AA$5:$AA$1204,$Q91))</f>
        <v/>
      </c>
      <c r="N91" s="25" t="str">
        <f>IF($Q91="","",INDEX(TRANSACTIONS_MASTER!$R$5:$R$1204,$Q91))</f>
        <v/>
      </c>
      <c r="O91" s="28" t="str">
        <f>IF($Q91="","",INDEX(TRANSACTIONS_MASTER!$AB$5:$AB$1204,$Q91))</f>
        <v/>
      </c>
      <c r="P91" s="55" t="str">
        <f>IF($Q91="","",INDEX(TRANSACTIONS_MASTER!$Z$5:$Z$1204,$Q91)&amp;"")</f>
        <v/>
      </c>
      <c r="Q91" s="67" t="str">
        <f>IFERROR(MATCH($C$2&amp;"|"&amp;84,TRANSACTIONS_MASTER!$AE$5:$AE$1204,0),"")</f>
        <v/>
      </c>
      <c r="S91" s="67" t="n">
        <v>30</v>
      </c>
      <c r="T91" s="55" t="str">
        <f>IF(CARDS!$A34="","",CARDS!$A34)</f>
        <v/>
      </c>
      <c r="U91" s="55" t="str">
        <f>IF($T91="","",CARDS!$B34&amp;" "&amp;CARDS!$C34)</f>
        <v/>
      </c>
      <c r="V91" s="25" t="str">
        <f>IF($T91="","",SUMIFS(TRANSACTIONS_MASTER!$L$5:$L$1204,TRANSACTIONS_MASTER!$D$5:$D$1204,$T91,TRANSACTIONS_MASTER!$C$5:$C$1204,$C$2,TRANSACTIONS_MASTER!$U$5:$U$1204,"&lt;&gt;Cancelled"))</f>
        <v/>
      </c>
      <c r="W91" s="26" t="str">
        <f>IF($T91="","",SUMIFS(TRANSACTIONS_MASTER!$Q$5:$Q$1204,TRANSACTIONS_MASTER!$D$5:$D$1204,$T91,TRANSACTIONS_MASTER!$C$5:$C$1204,$C$2))</f>
        <v/>
      </c>
      <c r="X91" s="25" t="str">
        <f>IF($T91="","",IFERROR(IF(ISNUMBER(INDEX(CASHBACK_RULES!$K$5:$K$304,MATCH($T91,CASHBACK_RULES!$B$5:$B$304,0))),INDEX(CASHBACK_RULES!$K$5:$K$304,MATCH($T91,CASHBACK_RULES!$B$5:$B$304,0)),"∞"),"—"))</f>
        <v/>
      </c>
      <c r="Y91" s="25" t="str">
        <f>IF($T91="","",IF($X91="—","—",IF(COUNTIFS($T$8:$T$57,$T91,$Z$8:$Z$57,"∞")&gt;0,IF(ISNUMBER($X91),MAX(0,$X91-$W91),"∞"),IF(ISNUMBER($X91),MAX(0,MIN($X91-$W91,SUMIFS($Z$8:$Z$57,$T$8:$T$57,$T91))),SUMIFS($Z$8:$Z$57,$T$8:$T$57,$T91)))))</f>
        <v/>
      </c>
      <c r="Z91" s="27" t="str">
        <f>IF($T91="","",IF(ISNUMBER($X91),IF($X91=0,0,$W91/$X91),IF(ISNUMBER($Y91),IF($W91+$Y91=0,0,$W91/($W91+$Y91)),"")))</f>
        <v/>
      </c>
      <c r="AA91" s="29" t="str">
        <f>IF($T91="","",COUNTIFS(TRANSACTIONS_MASTER!$D$5:$D$1204,$T91,TRANSACTIONS_MASTER!$C$5:$C$1204,$C$2,TRANSACTIONS_MASTER!$U$5:$U$1204,"&lt;&gt;Cancelled"))</f>
        <v/>
      </c>
    </row>
    <row r="92">
      <c r="A92" s="81" t="str">
        <f>IF($Q92="","",85)</f>
        <v/>
      </c>
      <c r="B92" s="57" t="str">
        <f>IF($Q92="","",INDEX(TRANSACTIONS_MASTER!$B$5:$B$1204,$Q92))</f>
        <v/>
      </c>
      <c r="C92" s="55" t="str">
        <f>IF($Q92="","",INDEX(TRANSACTIONS_MASTER!$F$5:$F$1204,$Q92))</f>
        <v/>
      </c>
      <c r="D92" s="55" t="str">
        <f>IF($Q92="","",INDEX(TRANSACTIONS_MASTER!$E$5:$E$1204,$Q92))</f>
        <v/>
      </c>
      <c r="E92" s="55" t="str">
        <f>IF($Q92="","",INDEX(TRANSACTIONS_MASTER!$G$5:$G$1204,$Q92)&amp;"")</f>
        <v/>
      </c>
      <c r="F92" s="29" t="str">
        <f>IF($Q92="","",INDEX(TRANSACTIONS_MASTER!$I$5:$I$1204,$Q92))</f>
        <v/>
      </c>
      <c r="G92" s="55" t="str">
        <f>IF($Q92="","",INDEX(TRANSACTIONS_MASTER!$K$5:$K$1204,$Q92))</f>
        <v/>
      </c>
      <c r="H92" s="25" t="str">
        <f>IF($Q92="","",INDEX(TRANSACTIONS_MASTER!$L$5:$L$1204,$Q92))</f>
        <v/>
      </c>
      <c r="I92" s="56" t="str">
        <f>IF($Q92="","",INDEX(TRANSACTIONS_MASTER!$N$5:$N$1204,$Q92))</f>
        <v/>
      </c>
      <c r="J92" s="25" t="str">
        <f>IF($Q92="","",INDEX(TRANSACTIONS_MASTER!$O$5:$O$1204,$Q92))</f>
        <v/>
      </c>
      <c r="K92" s="26" t="str">
        <f>IF($Q92="","",INDEX(TRANSACTIONS_MASTER!$Q$5:$Q$1204,$Q92))</f>
        <v/>
      </c>
      <c r="L92" s="25" t="str">
        <f>IF($Q92="","",INDEX(TRANSACTIONS_MASTER!$P$5:$P$1204,$Q92))</f>
        <v/>
      </c>
      <c r="M92" s="25" t="str">
        <f>IF($Q92="","",INDEX(TRANSACTIONS_MASTER!$AA$5:$AA$1204,$Q92))</f>
        <v/>
      </c>
      <c r="N92" s="25" t="str">
        <f>IF($Q92="","",INDEX(TRANSACTIONS_MASTER!$R$5:$R$1204,$Q92))</f>
        <v/>
      </c>
      <c r="O92" s="28" t="str">
        <f>IF($Q92="","",INDEX(TRANSACTIONS_MASTER!$AB$5:$AB$1204,$Q92))</f>
        <v/>
      </c>
      <c r="P92" s="55" t="str">
        <f>IF($Q92="","",INDEX(TRANSACTIONS_MASTER!$Z$5:$Z$1204,$Q92)&amp;"")</f>
        <v/>
      </c>
      <c r="Q92" s="67" t="str">
        <f>IFERROR(MATCH($C$2&amp;"|"&amp;85,TRANSACTIONS_MASTER!$AE$5:$AE$1204,0),"")</f>
        <v/>
      </c>
      <c r="T92" s="68" t="n"/>
      <c r="U92" s="69" t="inlineStr">
        <is>
          <t>TỔNG</t>
        </is>
      </c>
      <c r="V92" s="31">
        <f>SUM(V62:V91)</f>
        <v>0</v>
      </c>
      <c r="W92" s="31">
        <f>SUM(W62:W91)</f>
        <v>0</v>
      </c>
      <c r="X92" s="68" t="n"/>
      <c r="Y92" s="31">
        <f>SUM(Y62:Y91)</f>
        <v>4500000</v>
      </c>
      <c r="Z92" s="68" t="n"/>
      <c r="AA92" s="32">
        <f>SUM(AA62:AA91)</f>
        <v>0</v>
      </c>
    </row>
    <row r="93">
      <c r="A93" s="81" t="str">
        <f>IF($Q93="","",86)</f>
        <v/>
      </c>
      <c r="B93" s="57" t="str">
        <f>IF($Q93="","",INDEX(TRANSACTIONS_MASTER!$B$5:$B$1204,$Q93))</f>
        <v/>
      </c>
      <c r="C93" s="55" t="str">
        <f>IF($Q93="","",INDEX(TRANSACTIONS_MASTER!$F$5:$F$1204,$Q93))</f>
        <v/>
      </c>
      <c r="D93" s="55" t="str">
        <f>IF($Q93="","",INDEX(TRANSACTIONS_MASTER!$E$5:$E$1204,$Q93))</f>
        <v/>
      </c>
      <c r="E93" s="55" t="str">
        <f>IF($Q93="","",INDEX(TRANSACTIONS_MASTER!$G$5:$G$1204,$Q93)&amp;"")</f>
        <v/>
      </c>
      <c r="F93" s="29" t="str">
        <f>IF($Q93="","",INDEX(TRANSACTIONS_MASTER!$I$5:$I$1204,$Q93))</f>
        <v/>
      </c>
      <c r="G93" s="55" t="str">
        <f>IF($Q93="","",INDEX(TRANSACTIONS_MASTER!$K$5:$K$1204,$Q93))</f>
        <v/>
      </c>
      <c r="H93" s="25" t="str">
        <f>IF($Q93="","",INDEX(TRANSACTIONS_MASTER!$L$5:$L$1204,$Q93))</f>
        <v/>
      </c>
      <c r="I93" s="56" t="str">
        <f>IF($Q93="","",INDEX(TRANSACTIONS_MASTER!$N$5:$N$1204,$Q93))</f>
        <v/>
      </c>
      <c r="J93" s="25" t="str">
        <f>IF($Q93="","",INDEX(TRANSACTIONS_MASTER!$O$5:$O$1204,$Q93))</f>
        <v/>
      </c>
      <c r="K93" s="26" t="str">
        <f>IF($Q93="","",INDEX(TRANSACTIONS_MASTER!$Q$5:$Q$1204,$Q93))</f>
        <v/>
      </c>
      <c r="L93" s="25" t="str">
        <f>IF($Q93="","",INDEX(TRANSACTIONS_MASTER!$P$5:$P$1204,$Q93))</f>
        <v/>
      </c>
      <c r="M93" s="25" t="str">
        <f>IF($Q93="","",INDEX(TRANSACTIONS_MASTER!$AA$5:$AA$1204,$Q93))</f>
        <v/>
      </c>
      <c r="N93" s="25" t="str">
        <f>IF($Q93="","",INDEX(TRANSACTIONS_MASTER!$R$5:$R$1204,$Q93))</f>
        <v/>
      </c>
      <c r="O93" s="28" t="str">
        <f>IF($Q93="","",INDEX(TRANSACTIONS_MASTER!$AB$5:$AB$1204,$Q93))</f>
        <v/>
      </c>
      <c r="P93" s="55" t="str">
        <f>IF($Q93="","",INDEX(TRANSACTIONS_MASTER!$Z$5:$Z$1204,$Q93)&amp;"")</f>
        <v/>
      </c>
      <c r="Q93" s="67" t="str">
        <f>IFERROR(MATCH($C$2&amp;"|"&amp;86,TRANSACTIONS_MASTER!$AE$5:$AE$1204,0),"")</f>
        <v/>
      </c>
    </row>
    <row r="94">
      <c r="A94" s="81" t="str">
        <f>IF($Q94="","",87)</f>
        <v/>
      </c>
      <c r="B94" s="57" t="str">
        <f>IF($Q94="","",INDEX(TRANSACTIONS_MASTER!$B$5:$B$1204,$Q94))</f>
        <v/>
      </c>
      <c r="C94" s="55" t="str">
        <f>IF($Q94="","",INDEX(TRANSACTIONS_MASTER!$F$5:$F$1204,$Q94))</f>
        <v/>
      </c>
      <c r="D94" s="55" t="str">
        <f>IF($Q94="","",INDEX(TRANSACTIONS_MASTER!$E$5:$E$1204,$Q94))</f>
        <v/>
      </c>
      <c r="E94" s="55" t="str">
        <f>IF($Q94="","",INDEX(TRANSACTIONS_MASTER!$G$5:$G$1204,$Q94)&amp;"")</f>
        <v/>
      </c>
      <c r="F94" s="29" t="str">
        <f>IF($Q94="","",INDEX(TRANSACTIONS_MASTER!$I$5:$I$1204,$Q94))</f>
        <v/>
      </c>
      <c r="G94" s="55" t="str">
        <f>IF($Q94="","",INDEX(TRANSACTIONS_MASTER!$K$5:$K$1204,$Q94))</f>
        <v/>
      </c>
      <c r="H94" s="25" t="str">
        <f>IF($Q94="","",INDEX(TRANSACTIONS_MASTER!$L$5:$L$1204,$Q94))</f>
        <v/>
      </c>
      <c r="I94" s="56" t="str">
        <f>IF($Q94="","",INDEX(TRANSACTIONS_MASTER!$N$5:$N$1204,$Q94))</f>
        <v/>
      </c>
      <c r="J94" s="25" t="str">
        <f>IF($Q94="","",INDEX(TRANSACTIONS_MASTER!$O$5:$O$1204,$Q94))</f>
        <v/>
      </c>
      <c r="K94" s="26" t="str">
        <f>IF($Q94="","",INDEX(TRANSACTIONS_MASTER!$Q$5:$Q$1204,$Q94))</f>
        <v/>
      </c>
      <c r="L94" s="25" t="str">
        <f>IF($Q94="","",INDEX(TRANSACTIONS_MASTER!$P$5:$P$1204,$Q94))</f>
        <v/>
      </c>
      <c r="M94" s="25" t="str">
        <f>IF($Q94="","",INDEX(TRANSACTIONS_MASTER!$AA$5:$AA$1204,$Q94))</f>
        <v/>
      </c>
      <c r="N94" s="25" t="str">
        <f>IF($Q94="","",INDEX(TRANSACTIONS_MASTER!$R$5:$R$1204,$Q94))</f>
        <v/>
      </c>
      <c r="O94" s="28" t="str">
        <f>IF($Q94="","",INDEX(TRANSACTIONS_MASTER!$AB$5:$AB$1204,$Q94))</f>
        <v/>
      </c>
      <c r="P94" s="55" t="str">
        <f>IF($Q94="","",INDEX(TRANSACTIONS_MASTER!$Z$5:$Z$1204,$Q94)&amp;"")</f>
        <v/>
      </c>
      <c r="Q94" s="67" t="str">
        <f>IFERROR(MATCH($C$2&amp;"|"&amp;87,TRANSACTIONS_MASTER!$AE$5:$AE$1204,0),"")</f>
        <v/>
      </c>
    </row>
    <row r="95" ht="22" customHeight="1">
      <c r="A95" s="81" t="str">
        <f>IF($Q95="","",88)</f>
        <v/>
      </c>
      <c r="B95" s="57" t="str">
        <f>IF($Q95="","",INDEX(TRANSACTIONS_MASTER!$B$5:$B$1204,$Q95))</f>
        <v/>
      </c>
      <c r="C95" s="55" t="str">
        <f>IF($Q95="","",INDEX(TRANSACTIONS_MASTER!$F$5:$F$1204,$Q95))</f>
        <v/>
      </c>
      <c r="D95" s="55" t="str">
        <f>IF($Q95="","",INDEX(TRANSACTIONS_MASTER!$E$5:$E$1204,$Q95))</f>
        <v/>
      </c>
      <c r="E95" s="55" t="str">
        <f>IF($Q95="","",INDEX(TRANSACTIONS_MASTER!$G$5:$G$1204,$Q95)&amp;"")</f>
        <v/>
      </c>
      <c r="F95" s="29" t="str">
        <f>IF($Q95="","",INDEX(TRANSACTIONS_MASTER!$I$5:$I$1204,$Q95))</f>
        <v/>
      </c>
      <c r="G95" s="55" t="str">
        <f>IF($Q95="","",INDEX(TRANSACTIONS_MASTER!$K$5:$K$1204,$Q95))</f>
        <v/>
      </c>
      <c r="H95" s="25" t="str">
        <f>IF($Q95="","",INDEX(TRANSACTIONS_MASTER!$L$5:$L$1204,$Q95))</f>
        <v/>
      </c>
      <c r="I95" s="56" t="str">
        <f>IF($Q95="","",INDEX(TRANSACTIONS_MASTER!$N$5:$N$1204,$Q95))</f>
        <v/>
      </c>
      <c r="J95" s="25" t="str">
        <f>IF($Q95="","",INDEX(TRANSACTIONS_MASTER!$O$5:$O$1204,$Q95))</f>
        <v/>
      </c>
      <c r="K95" s="26" t="str">
        <f>IF($Q95="","",INDEX(TRANSACTIONS_MASTER!$Q$5:$Q$1204,$Q95))</f>
        <v/>
      </c>
      <c r="L95" s="25" t="str">
        <f>IF($Q95="","",INDEX(TRANSACTIONS_MASTER!$P$5:$P$1204,$Q95))</f>
        <v/>
      </c>
      <c r="M95" s="25" t="str">
        <f>IF($Q95="","",INDEX(TRANSACTIONS_MASTER!$AA$5:$AA$1204,$Q95))</f>
        <v/>
      </c>
      <c r="N95" s="25" t="str">
        <f>IF($Q95="","",INDEX(TRANSACTIONS_MASTER!$R$5:$R$1204,$Q95))</f>
        <v/>
      </c>
      <c r="O95" s="28" t="str">
        <f>IF($Q95="","",INDEX(TRANSACTIONS_MASTER!$AB$5:$AB$1204,$Q95))</f>
        <v/>
      </c>
      <c r="P95" s="55" t="str">
        <f>IF($Q95="","",INDEX(TRANSACTIONS_MASTER!$Z$5:$Z$1204,$Q95)&amp;"")</f>
        <v/>
      </c>
      <c r="Q95" s="67" t="str">
        <f>IFERROR(MATCH($C$2&amp;"|"&amp;88,TRANSACTIONS_MASTER!$AE$5:$AE$1204,0),"")</f>
        <v/>
      </c>
      <c r="T95" s="19" t="inlineStr">
        <is>
          <t>THEO NGÂN HÀNG</t>
        </is>
      </c>
      <c r="U95" s="20" t="n"/>
      <c r="V95" s="20" t="n"/>
      <c r="W95" s="20" t="n"/>
      <c r="X95" s="20" t="n"/>
      <c r="Y95" s="20" t="n"/>
      <c r="Z95" s="20" t="n"/>
      <c r="AA95" s="20" t="n"/>
    </row>
    <row r="96" ht="28" customHeight="1">
      <c r="A96" s="81" t="str">
        <f>IF($Q96="","",89)</f>
        <v/>
      </c>
      <c r="B96" s="57" t="str">
        <f>IF($Q96="","",INDEX(TRANSACTIONS_MASTER!$B$5:$B$1204,$Q96))</f>
        <v/>
      </c>
      <c r="C96" s="55" t="str">
        <f>IF($Q96="","",INDEX(TRANSACTIONS_MASTER!$F$5:$F$1204,$Q96))</f>
        <v/>
      </c>
      <c r="D96" s="55" t="str">
        <f>IF($Q96="","",INDEX(TRANSACTIONS_MASTER!$E$5:$E$1204,$Q96))</f>
        <v/>
      </c>
      <c r="E96" s="55" t="str">
        <f>IF($Q96="","",INDEX(TRANSACTIONS_MASTER!$G$5:$G$1204,$Q96)&amp;"")</f>
        <v/>
      </c>
      <c r="F96" s="29" t="str">
        <f>IF($Q96="","",INDEX(TRANSACTIONS_MASTER!$I$5:$I$1204,$Q96))</f>
        <v/>
      </c>
      <c r="G96" s="55" t="str">
        <f>IF($Q96="","",INDEX(TRANSACTIONS_MASTER!$K$5:$K$1204,$Q96))</f>
        <v/>
      </c>
      <c r="H96" s="25" t="str">
        <f>IF($Q96="","",INDEX(TRANSACTIONS_MASTER!$L$5:$L$1204,$Q96))</f>
        <v/>
      </c>
      <c r="I96" s="56" t="str">
        <f>IF($Q96="","",INDEX(TRANSACTIONS_MASTER!$N$5:$N$1204,$Q96))</f>
        <v/>
      </c>
      <c r="J96" s="25" t="str">
        <f>IF($Q96="","",INDEX(TRANSACTIONS_MASTER!$O$5:$O$1204,$Q96))</f>
        <v/>
      </c>
      <c r="K96" s="26" t="str">
        <f>IF($Q96="","",INDEX(TRANSACTIONS_MASTER!$Q$5:$Q$1204,$Q96))</f>
        <v/>
      </c>
      <c r="L96" s="25" t="str">
        <f>IF($Q96="","",INDEX(TRANSACTIONS_MASTER!$P$5:$P$1204,$Q96))</f>
        <v/>
      </c>
      <c r="M96" s="25" t="str">
        <f>IF($Q96="","",INDEX(TRANSACTIONS_MASTER!$AA$5:$AA$1204,$Q96))</f>
        <v/>
      </c>
      <c r="N96" s="25" t="str">
        <f>IF($Q96="","",INDEX(TRANSACTIONS_MASTER!$R$5:$R$1204,$Q96))</f>
        <v/>
      </c>
      <c r="O96" s="28" t="str">
        <f>IF($Q96="","",INDEX(TRANSACTIONS_MASTER!$AB$5:$AB$1204,$Q96))</f>
        <v/>
      </c>
      <c r="P96" s="55" t="str">
        <f>IF($Q96="","",INDEX(TRANSACTIONS_MASTER!$Z$5:$Z$1204,$Q96)&amp;"")</f>
        <v/>
      </c>
      <c r="Q96" s="67" t="str">
        <f>IFERROR(MATCH($C$2&amp;"|"&amp;89,TRANSACTIONS_MASTER!$AE$5:$AE$1204,0),"")</f>
        <v/>
      </c>
      <c r="S96" s="21" t="inlineStr">
        <is>
          <t>#</t>
        </is>
      </c>
      <c r="T96" s="21" t="inlineStr"/>
      <c r="U96" s="21" t="inlineStr">
        <is>
          <t>Ngân hàng</t>
        </is>
      </c>
      <c r="V96" s="21" t="inlineStr">
        <is>
          <t>Chi tiêu</t>
        </is>
      </c>
      <c r="W96" s="21" t="inlineStr">
        <is>
          <t>Cashback</t>
        </is>
      </c>
    </row>
    <row r="97">
      <c r="A97" s="81" t="str">
        <f>IF($Q97="","",90)</f>
        <v/>
      </c>
      <c r="B97" s="57" t="str">
        <f>IF($Q97="","",INDEX(TRANSACTIONS_MASTER!$B$5:$B$1204,$Q97))</f>
        <v/>
      </c>
      <c r="C97" s="55" t="str">
        <f>IF($Q97="","",INDEX(TRANSACTIONS_MASTER!$F$5:$F$1204,$Q97))</f>
        <v/>
      </c>
      <c r="D97" s="55" t="str">
        <f>IF($Q97="","",INDEX(TRANSACTIONS_MASTER!$E$5:$E$1204,$Q97))</f>
        <v/>
      </c>
      <c r="E97" s="55" t="str">
        <f>IF($Q97="","",INDEX(TRANSACTIONS_MASTER!$G$5:$G$1204,$Q97)&amp;"")</f>
        <v/>
      </c>
      <c r="F97" s="29" t="str">
        <f>IF($Q97="","",INDEX(TRANSACTIONS_MASTER!$I$5:$I$1204,$Q97))</f>
        <v/>
      </c>
      <c r="G97" s="55" t="str">
        <f>IF($Q97="","",INDEX(TRANSACTIONS_MASTER!$K$5:$K$1204,$Q97))</f>
        <v/>
      </c>
      <c r="H97" s="25" t="str">
        <f>IF($Q97="","",INDEX(TRANSACTIONS_MASTER!$L$5:$L$1204,$Q97))</f>
        <v/>
      </c>
      <c r="I97" s="56" t="str">
        <f>IF($Q97="","",INDEX(TRANSACTIONS_MASTER!$N$5:$N$1204,$Q97))</f>
        <v/>
      </c>
      <c r="J97" s="25" t="str">
        <f>IF($Q97="","",INDEX(TRANSACTIONS_MASTER!$O$5:$O$1204,$Q97))</f>
        <v/>
      </c>
      <c r="K97" s="26" t="str">
        <f>IF($Q97="","",INDEX(TRANSACTIONS_MASTER!$Q$5:$Q$1204,$Q97))</f>
        <v/>
      </c>
      <c r="L97" s="25" t="str">
        <f>IF($Q97="","",INDEX(TRANSACTIONS_MASTER!$P$5:$P$1204,$Q97))</f>
        <v/>
      </c>
      <c r="M97" s="25" t="str">
        <f>IF($Q97="","",INDEX(TRANSACTIONS_MASTER!$AA$5:$AA$1204,$Q97))</f>
        <v/>
      </c>
      <c r="N97" s="25" t="str">
        <f>IF($Q97="","",INDEX(TRANSACTIONS_MASTER!$R$5:$R$1204,$Q97))</f>
        <v/>
      </c>
      <c r="O97" s="28" t="str">
        <f>IF($Q97="","",INDEX(TRANSACTIONS_MASTER!$AB$5:$AB$1204,$Q97))</f>
        <v/>
      </c>
      <c r="P97" s="55" t="str">
        <f>IF($Q97="","",INDEX(TRANSACTIONS_MASTER!$Z$5:$Z$1204,$Q97)&amp;"")</f>
        <v/>
      </c>
      <c r="Q97" s="67" t="str">
        <f>IFERROR(MATCH($C$2&amp;"|"&amp;90,TRANSACTIONS_MASTER!$AE$5:$AE$1204,0),"")</f>
        <v/>
      </c>
      <c r="S97" s="67">
        <f>IFERROR(MATCH(1,CARDS!$O$5:$O$34,0),"")</f>
        <v>1</v>
      </c>
      <c r="T97" s="55" t="n"/>
      <c r="U97" s="55" t="str">
        <f>IF($S97="","",INDEX(CARDS!$B$5:$B$34,$S97))</f>
        <v>VPBank</v>
      </c>
      <c r="V97" s="25">
        <f>IF($S97="","",SUMIFS(TRANSACTIONS_MASTER!$L$5:$L$1204,TRANSACTIONS_MASTER!$E$5:$E$1204,$U97,TRANSACTIONS_MASTER!$C$5:$C$1204,$C$2,TRANSACTIONS_MASTER!$U$5:$U$1204,"&lt;&gt;Cancelled"))</f>
        <v>0</v>
      </c>
      <c r="W97" s="26">
        <f>IF($S97="","",SUMIFS(TRANSACTIONS_MASTER!$Q$5:$Q$1204,TRANSACTIONS_MASTER!$E$5:$E$1204,$U97,TRANSACTIONS_MASTER!$C$5:$C$1204,$C$2))</f>
        <v>0</v>
      </c>
    </row>
    <row r="98">
      <c r="A98" s="81" t="str">
        <f>IF($Q98="","",91)</f>
        <v/>
      </c>
      <c r="B98" s="57" t="str">
        <f>IF($Q98="","",INDEX(TRANSACTIONS_MASTER!$B$5:$B$1204,$Q98))</f>
        <v/>
      </c>
      <c r="C98" s="55" t="str">
        <f>IF($Q98="","",INDEX(TRANSACTIONS_MASTER!$F$5:$F$1204,$Q98))</f>
        <v/>
      </c>
      <c r="D98" s="55" t="str">
        <f>IF($Q98="","",INDEX(TRANSACTIONS_MASTER!$E$5:$E$1204,$Q98))</f>
        <v/>
      </c>
      <c r="E98" s="55" t="str">
        <f>IF($Q98="","",INDEX(TRANSACTIONS_MASTER!$G$5:$G$1204,$Q98)&amp;"")</f>
        <v/>
      </c>
      <c r="F98" s="29" t="str">
        <f>IF($Q98="","",INDEX(TRANSACTIONS_MASTER!$I$5:$I$1204,$Q98))</f>
        <v/>
      </c>
      <c r="G98" s="55" t="str">
        <f>IF($Q98="","",INDEX(TRANSACTIONS_MASTER!$K$5:$K$1204,$Q98))</f>
        <v/>
      </c>
      <c r="H98" s="25" t="str">
        <f>IF($Q98="","",INDEX(TRANSACTIONS_MASTER!$L$5:$L$1204,$Q98))</f>
        <v/>
      </c>
      <c r="I98" s="56" t="str">
        <f>IF($Q98="","",INDEX(TRANSACTIONS_MASTER!$N$5:$N$1204,$Q98))</f>
        <v/>
      </c>
      <c r="J98" s="25" t="str">
        <f>IF($Q98="","",INDEX(TRANSACTIONS_MASTER!$O$5:$O$1204,$Q98))</f>
        <v/>
      </c>
      <c r="K98" s="26" t="str">
        <f>IF($Q98="","",INDEX(TRANSACTIONS_MASTER!$Q$5:$Q$1204,$Q98))</f>
        <v/>
      </c>
      <c r="L98" s="25" t="str">
        <f>IF($Q98="","",INDEX(TRANSACTIONS_MASTER!$P$5:$P$1204,$Q98))</f>
        <v/>
      </c>
      <c r="M98" s="25" t="str">
        <f>IF($Q98="","",INDEX(TRANSACTIONS_MASTER!$AA$5:$AA$1204,$Q98))</f>
        <v/>
      </c>
      <c r="N98" s="25" t="str">
        <f>IF($Q98="","",INDEX(TRANSACTIONS_MASTER!$R$5:$R$1204,$Q98))</f>
        <v/>
      </c>
      <c r="O98" s="28" t="str">
        <f>IF($Q98="","",INDEX(TRANSACTIONS_MASTER!$AB$5:$AB$1204,$Q98))</f>
        <v/>
      </c>
      <c r="P98" s="55" t="str">
        <f>IF($Q98="","",INDEX(TRANSACTIONS_MASTER!$Z$5:$Z$1204,$Q98)&amp;"")</f>
        <v/>
      </c>
      <c r="Q98" s="67" t="str">
        <f>IFERROR(MATCH($C$2&amp;"|"&amp;91,TRANSACTIONS_MASTER!$AE$5:$AE$1204,0),"")</f>
        <v/>
      </c>
      <c r="S98" s="67">
        <f>IFERROR(MATCH(2,CARDS!$O$5:$O$34,0),"")</f>
        <v>2</v>
      </c>
      <c r="T98" s="55" t="n"/>
      <c r="U98" s="55" t="str">
        <f>IF($S98="","",INDEX(CARDS!$B$5:$B$34,$S98))</f>
        <v>VIB</v>
      </c>
      <c r="V98" s="25">
        <f>IF($S98="","",SUMIFS(TRANSACTIONS_MASTER!$L$5:$L$1204,TRANSACTIONS_MASTER!$E$5:$E$1204,$U98,TRANSACTIONS_MASTER!$C$5:$C$1204,$C$2,TRANSACTIONS_MASTER!$U$5:$U$1204,"&lt;&gt;Cancelled"))</f>
        <v>0</v>
      </c>
      <c r="W98" s="26">
        <f>IF($S98="","",SUMIFS(TRANSACTIONS_MASTER!$Q$5:$Q$1204,TRANSACTIONS_MASTER!$E$5:$E$1204,$U98,TRANSACTIONS_MASTER!$C$5:$C$1204,$C$2))</f>
        <v>0</v>
      </c>
    </row>
    <row r="99">
      <c r="A99" s="81" t="str">
        <f>IF($Q99="","",92)</f>
        <v/>
      </c>
      <c r="B99" s="57" t="str">
        <f>IF($Q99="","",INDEX(TRANSACTIONS_MASTER!$B$5:$B$1204,$Q99))</f>
        <v/>
      </c>
      <c r="C99" s="55" t="str">
        <f>IF($Q99="","",INDEX(TRANSACTIONS_MASTER!$F$5:$F$1204,$Q99))</f>
        <v/>
      </c>
      <c r="D99" s="55" t="str">
        <f>IF($Q99="","",INDEX(TRANSACTIONS_MASTER!$E$5:$E$1204,$Q99))</f>
        <v/>
      </c>
      <c r="E99" s="55" t="str">
        <f>IF($Q99="","",INDEX(TRANSACTIONS_MASTER!$G$5:$G$1204,$Q99)&amp;"")</f>
        <v/>
      </c>
      <c r="F99" s="29" t="str">
        <f>IF($Q99="","",INDEX(TRANSACTIONS_MASTER!$I$5:$I$1204,$Q99))</f>
        <v/>
      </c>
      <c r="G99" s="55" t="str">
        <f>IF($Q99="","",INDEX(TRANSACTIONS_MASTER!$K$5:$K$1204,$Q99))</f>
        <v/>
      </c>
      <c r="H99" s="25" t="str">
        <f>IF($Q99="","",INDEX(TRANSACTIONS_MASTER!$L$5:$L$1204,$Q99))</f>
        <v/>
      </c>
      <c r="I99" s="56" t="str">
        <f>IF($Q99="","",INDEX(TRANSACTIONS_MASTER!$N$5:$N$1204,$Q99))</f>
        <v/>
      </c>
      <c r="J99" s="25" t="str">
        <f>IF($Q99="","",INDEX(TRANSACTIONS_MASTER!$O$5:$O$1204,$Q99))</f>
        <v/>
      </c>
      <c r="K99" s="26" t="str">
        <f>IF($Q99="","",INDEX(TRANSACTIONS_MASTER!$Q$5:$Q$1204,$Q99))</f>
        <v/>
      </c>
      <c r="L99" s="25" t="str">
        <f>IF($Q99="","",INDEX(TRANSACTIONS_MASTER!$P$5:$P$1204,$Q99))</f>
        <v/>
      </c>
      <c r="M99" s="25" t="str">
        <f>IF($Q99="","",INDEX(TRANSACTIONS_MASTER!$AA$5:$AA$1204,$Q99))</f>
        <v/>
      </c>
      <c r="N99" s="25" t="str">
        <f>IF($Q99="","",INDEX(TRANSACTIONS_MASTER!$R$5:$R$1204,$Q99))</f>
        <v/>
      </c>
      <c r="O99" s="28" t="str">
        <f>IF($Q99="","",INDEX(TRANSACTIONS_MASTER!$AB$5:$AB$1204,$Q99))</f>
        <v/>
      </c>
      <c r="P99" s="55" t="str">
        <f>IF($Q99="","",INDEX(TRANSACTIONS_MASTER!$Z$5:$Z$1204,$Q99)&amp;"")</f>
        <v/>
      </c>
      <c r="Q99" s="67" t="str">
        <f>IFERROR(MATCH($C$2&amp;"|"&amp;92,TRANSACTIONS_MASTER!$AE$5:$AE$1204,0),"")</f>
        <v/>
      </c>
      <c r="S99" s="67">
        <f>IFERROR(MATCH(3,CARDS!$O$5:$O$34,0),"")</f>
        <v>3</v>
      </c>
      <c r="T99" s="55" t="n"/>
      <c r="U99" s="55" t="str">
        <f>IF($S99="","",INDEX(CARDS!$B$5:$B$34,$S99))</f>
        <v>Techcombank</v>
      </c>
      <c r="V99" s="25">
        <f>IF($S99="","",SUMIFS(TRANSACTIONS_MASTER!$L$5:$L$1204,TRANSACTIONS_MASTER!$E$5:$E$1204,$U99,TRANSACTIONS_MASTER!$C$5:$C$1204,$C$2,TRANSACTIONS_MASTER!$U$5:$U$1204,"&lt;&gt;Cancelled"))</f>
        <v>0</v>
      </c>
      <c r="W99" s="26">
        <f>IF($S99="","",SUMIFS(TRANSACTIONS_MASTER!$Q$5:$Q$1204,TRANSACTIONS_MASTER!$E$5:$E$1204,$U99,TRANSACTIONS_MASTER!$C$5:$C$1204,$C$2))</f>
        <v>0</v>
      </c>
    </row>
    <row r="100">
      <c r="A100" s="81" t="str">
        <f>IF($Q100="","",93)</f>
        <v/>
      </c>
      <c r="B100" s="57" t="str">
        <f>IF($Q100="","",INDEX(TRANSACTIONS_MASTER!$B$5:$B$1204,$Q100))</f>
        <v/>
      </c>
      <c r="C100" s="55" t="str">
        <f>IF($Q100="","",INDEX(TRANSACTIONS_MASTER!$F$5:$F$1204,$Q100))</f>
        <v/>
      </c>
      <c r="D100" s="55" t="str">
        <f>IF($Q100="","",INDEX(TRANSACTIONS_MASTER!$E$5:$E$1204,$Q100))</f>
        <v/>
      </c>
      <c r="E100" s="55" t="str">
        <f>IF($Q100="","",INDEX(TRANSACTIONS_MASTER!$G$5:$G$1204,$Q100)&amp;"")</f>
        <v/>
      </c>
      <c r="F100" s="29" t="str">
        <f>IF($Q100="","",INDEX(TRANSACTIONS_MASTER!$I$5:$I$1204,$Q100))</f>
        <v/>
      </c>
      <c r="G100" s="55" t="str">
        <f>IF($Q100="","",INDEX(TRANSACTIONS_MASTER!$K$5:$K$1204,$Q100))</f>
        <v/>
      </c>
      <c r="H100" s="25" t="str">
        <f>IF($Q100="","",INDEX(TRANSACTIONS_MASTER!$L$5:$L$1204,$Q100))</f>
        <v/>
      </c>
      <c r="I100" s="56" t="str">
        <f>IF($Q100="","",INDEX(TRANSACTIONS_MASTER!$N$5:$N$1204,$Q100))</f>
        <v/>
      </c>
      <c r="J100" s="25" t="str">
        <f>IF($Q100="","",INDEX(TRANSACTIONS_MASTER!$O$5:$O$1204,$Q100))</f>
        <v/>
      </c>
      <c r="K100" s="26" t="str">
        <f>IF($Q100="","",INDEX(TRANSACTIONS_MASTER!$Q$5:$Q$1204,$Q100))</f>
        <v/>
      </c>
      <c r="L100" s="25" t="str">
        <f>IF($Q100="","",INDEX(TRANSACTIONS_MASTER!$P$5:$P$1204,$Q100))</f>
        <v/>
      </c>
      <c r="M100" s="25" t="str">
        <f>IF($Q100="","",INDEX(TRANSACTIONS_MASTER!$AA$5:$AA$1204,$Q100))</f>
        <v/>
      </c>
      <c r="N100" s="25" t="str">
        <f>IF($Q100="","",INDEX(TRANSACTIONS_MASTER!$R$5:$R$1204,$Q100))</f>
        <v/>
      </c>
      <c r="O100" s="28" t="str">
        <f>IF($Q100="","",INDEX(TRANSACTIONS_MASTER!$AB$5:$AB$1204,$Q100))</f>
        <v/>
      </c>
      <c r="P100" s="55" t="str">
        <f>IF($Q100="","",INDEX(TRANSACTIONS_MASTER!$Z$5:$Z$1204,$Q100)&amp;"")</f>
        <v/>
      </c>
      <c r="Q100" s="67" t="str">
        <f>IFERROR(MATCH($C$2&amp;"|"&amp;93,TRANSACTIONS_MASTER!$AE$5:$AE$1204,0),"")</f>
        <v/>
      </c>
      <c r="S100" s="67">
        <f>IFERROR(MATCH(4,CARDS!$O$5:$O$34,0),"")</f>
        <v>4</v>
      </c>
      <c r="T100" s="55" t="n"/>
      <c r="U100" s="55" t="str">
        <f>IF($S100="","",INDEX(CARDS!$B$5:$B$34,$S100))</f>
        <v>UOB</v>
      </c>
      <c r="V100" s="25">
        <f>IF($S100="","",SUMIFS(TRANSACTIONS_MASTER!$L$5:$L$1204,TRANSACTIONS_MASTER!$E$5:$E$1204,$U100,TRANSACTIONS_MASTER!$C$5:$C$1204,$C$2,TRANSACTIONS_MASTER!$U$5:$U$1204,"&lt;&gt;Cancelled"))</f>
        <v>0</v>
      </c>
      <c r="W100" s="26">
        <f>IF($S100="","",SUMIFS(TRANSACTIONS_MASTER!$Q$5:$Q$1204,TRANSACTIONS_MASTER!$E$5:$E$1204,$U100,TRANSACTIONS_MASTER!$C$5:$C$1204,$C$2))</f>
        <v>0</v>
      </c>
    </row>
    <row r="101">
      <c r="A101" s="81" t="str">
        <f>IF($Q101="","",94)</f>
        <v/>
      </c>
      <c r="B101" s="57" t="str">
        <f>IF($Q101="","",INDEX(TRANSACTIONS_MASTER!$B$5:$B$1204,$Q101))</f>
        <v/>
      </c>
      <c r="C101" s="55" t="str">
        <f>IF($Q101="","",INDEX(TRANSACTIONS_MASTER!$F$5:$F$1204,$Q101))</f>
        <v/>
      </c>
      <c r="D101" s="55" t="str">
        <f>IF($Q101="","",INDEX(TRANSACTIONS_MASTER!$E$5:$E$1204,$Q101))</f>
        <v/>
      </c>
      <c r="E101" s="55" t="str">
        <f>IF($Q101="","",INDEX(TRANSACTIONS_MASTER!$G$5:$G$1204,$Q101)&amp;"")</f>
        <v/>
      </c>
      <c r="F101" s="29" t="str">
        <f>IF($Q101="","",INDEX(TRANSACTIONS_MASTER!$I$5:$I$1204,$Q101))</f>
        <v/>
      </c>
      <c r="G101" s="55" t="str">
        <f>IF($Q101="","",INDEX(TRANSACTIONS_MASTER!$K$5:$K$1204,$Q101))</f>
        <v/>
      </c>
      <c r="H101" s="25" t="str">
        <f>IF($Q101="","",INDEX(TRANSACTIONS_MASTER!$L$5:$L$1204,$Q101))</f>
        <v/>
      </c>
      <c r="I101" s="56" t="str">
        <f>IF($Q101="","",INDEX(TRANSACTIONS_MASTER!$N$5:$N$1204,$Q101))</f>
        <v/>
      </c>
      <c r="J101" s="25" t="str">
        <f>IF($Q101="","",INDEX(TRANSACTIONS_MASTER!$O$5:$O$1204,$Q101))</f>
        <v/>
      </c>
      <c r="K101" s="26" t="str">
        <f>IF($Q101="","",INDEX(TRANSACTIONS_MASTER!$Q$5:$Q$1204,$Q101))</f>
        <v/>
      </c>
      <c r="L101" s="25" t="str">
        <f>IF($Q101="","",INDEX(TRANSACTIONS_MASTER!$P$5:$P$1204,$Q101))</f>
        <v/>
      </c>
      <c r="M101" s="25" t="str">
        <f>IF($Q101="","",INDEX(TRANSACTIONS_MASTER!$AA$5:$AA$1204,$Q101))</f>
        <v/>
      </c>
      <c r="N101" s="25" t="str">
        <f>IF($Q101="","",INDEX(TRANSACTIONS_MASTER!$R$5:$R$1204,$Q101))</f>
        <v/>
      </c>
      <c r="O101" s="28" t="str">
        <f>IF($Q101="","",INDEX(TRANSACTIONS_MASTER!$AB$5:$AB$1204,$Q101))</f>
        <v/>
      </c>
      <c r="P101" s="55" t="str">
        <f>IF($Q101="","",INDEX(TRANSACTIONS_MASTER!$Z$5:$Z$1204,$Q101)&amp;"")</f>
        <v/>
      </c>
      <c r="Q101" s="67" t="str">
        <f>IFERROR(MATCH($C$2&amp;"|"&amp;94,TRANSACTIONS_MASTER!$AE$5:$AE$1204,0),"")</f>
        <v/>
      </c>
      <c r="S101" s="67">
        <f>IFERROR(MATCH(5,CARDS!$O$5:$O$34,0),"")</f>
        <v>5</v>
      </c>
      <c r="T101" s="55" t="n"/>
      <c r="U101" s="55" t="str">
        <f>IF($S101="","",INDEX(CARDS!$B$5:$B$34,$S101))</f>
        <v>MB</v>
      </c>
      <c r="V101" s="25">
        <f>IF($S101="","",SUMIFS(TRANSACTIONS_MASTER!$L$5:$L$1204,TRANSACTIONS_MASTER!$E$5:$E$1204,$U101,TRANSACTIONS_MASTER!$C$5:$C$1204,$C$2,TRANSACTIONS_MASTER!$U$5:$U$1204,"&lt;&gt;Cancelled"))</f>
        <v>0</v>
      </c>
      <c r="W101" s="26">
        <f>IF($S101="","",SUMIFS(TRANSACTIONS_MASTER!$Q$5:$Q$1204,TRANSACTIONS_MASTER!$E$5:$E$1204,$U101,TRANSACTIONS_MASTER!$C$5:$C$1204,$C$2))</f>
        <v>0</v>
      </c>
    </row>
    <row r="102">
      <c r="A102" s="81" t="str">
        <f>IF($Q102="","",95)</f>
        <v/>
      </c>
      <c r="B102" s="57" t="str">
        <f>IF($Q102="","",INDEX(TRANSACTIONS_MASTER!$B$5:$B$1204,$Q102))</f>
        <v/>
      </c>
      <c r="C102" s="55" t="str">
        <f>IF($Q102="","",INDEX(TRANSACTIONS_MASTER!$F$5:$F$1204,$Q102))</f>
        <v/>
      </c>
      <c r="D102" s="55" t="str">
        <f>IF($Q102="","",INDEX(TRANSACTIONS_MASTER!$E$5:$E$1204,$Q102))</f>
        <v/>
      </c>
      <c r="E102" s="55" t="str">
        <f>IF($Q102="","",INDEX(TRANSACTIONS_MASTER!$G$5:$G$1204,$Q102)&amp;"")</f>
        <v/>
      </c>
      <c r="F102" s="29" t="str">
        <f>IF($Q102="","",INDEX(TRANSACTIONS_MASTER!$I$5:$I$1204,$Q102))</f>
        <v/>
      </c>
      <c r="G102" s="55" t="str">
        <f>IF($Q102="","",INDEX(TRANSACTIONS_MASTER!$K$5:$K$1204,$Q102))</f>
        <v/>
      </c>
      <c r="H102" s="25" t="str">
        <f>IF($Q102="","",INDEX(TRANSACTIONS_MASTER!$L$5:$L$1204,$Q102))</f>
        <v/>
      </c>
      <c r="I102" s="56" t="str">
        <f>IF($Q102="","",INDEX(TRANSACTIONS_MASTER!$N$5:$N$1204,$Q102))</f>
        <v/>
      </c>
      <c r="J102" s="25" t="str">
        <f>IF($Q102="","",INDEX(TRANSACTIONS_MASTER!$O$5:$O$1204,$Q102))</f>
        <v/>
      </c>
      <c r="K102" s="26" t="str">
        <f>IF($Q102="","",INDEX(TRANSACTIONS_MASTER!$Q$5:$Q$1204,$Q102))</f>
        <v/>
      </c>
      <c r="L102" s="25" t="str">
        <f>IF($Q102="","",INDEX(TRANSACTIONS_MASTER!$P$5:$P$1204,$Q102))</f>
        <v/>
      </c>
      <c r="M102" s="25" t="str">
        <f>IF($Q102="","",INDEX(TRANSACTIONS_MASTER!$AA$5:$AA$1204,$Q102))</f>
        <v/>
      </c>
      <c r="N102" s="25" t="str">
        <f>IF($Q102="","",INDEX(TRANSACTIONS_MASTER!$R$5:$R$1204,$Q102))</f>
        <v/>
      </c>
      <c r="O102" s="28" t="str">
        <f>IF($Q102="","",INDEX(TRANSACTIONS_MASTER!$AB$5:$AB$1204,$Q102))</f>
        <v/>
      </c>
      <c r="P102" s="55" t="str">
        <f>IF($Q102="","",INDEX(TRANSACTIONS_MASTER!$Z$5:$Z$1204,$Q102)&amp;"")</f>
        <v/>
      </c>
      <c r="Q102" s="67" t="str">
        <f>IFERROR(MATCH($C$2&amp;"|"&amp;95,TRANSACTIONS_MASTER!$AE$5:$AE$1204,0),"")</f>
        <v/>
      </c>
      <c r="S102" s="67">
        <f>IFERROR(MATCH(6,CARDS!$O$5:$O$34,0),"")</f>
        <v>6</v>
      </c>
      <c r="T102" s="55" t="n"/>
      <c r="U102" s="55" t="str">
        <f>IF($S102="","",INDEX(CARDS!$B$5:$B$34,$S102))</f>
        <v>ACB</v>
      </c>
      <c r="V102" s="25">
        <f>IF($S102="","",SUMIFS(TRANSACTIONS_MASTER!$L$5:$L$1204,TRANSACTIONS_MASTER!$E$5:$E$1204,$U102,TRANSACTIONS_MASTER!$C$5:$C$1204,$C$2,TRANSACTIONS_MASTER!$U$5:$U$1204,"&lt;&gt;Cancelled"))</f>
        <v>0</v>
      </c>
      <c r="W102" s="26">
        <f>IF($S102="","",SUMIFS(TRANSACTIONS_MASTER!$Q$5:$Q$1204,TRANSACTIONS_MASTER!$E$5:$E$1204,$U102,TRANSACTIONS_MASTER!$C$5:$C$1204,$C$2))</f>
        <v>0</v>
      </c>
    </row>
    <row r="103">
      <c r="A103" s="81" t="str">
        <f>IF($Q103="","",96)</f>
        <v/>
      </c>
      <c r="B103" s="57" t="str">
        <f>IF($Q103="","",INDEX(TRANSACTIONS_MASTER!$B$5:$B$1204,$Q103))</f>
        <v/>
      </c>
      <c r="C103" s="55" t="str">
        <f>IF($Q103="","",INDEX(TRANSACTIONS_MASTER!$F$5:$F$1204,$Q103))</f>
        <v/>
      </c>
      <c r="D103" s="55" t="str">
        <f>IF($Q103="","",INDEX(TRANSACTIONS_MASTER!$E$5:$E$1204,$Q103))</f>
        <v/>
      </c>
      <c r="E103" s="55" t="str">
        <f>IF($Q103="","",INDEX(TRANSACTIONS_MASTER!$G$5:$G$1204,$Q103)&amp;"")</f>
        <v/>
      </c>
      <c r="F103" s="29" t="str">
        <f>IF($Q103="","",INDEX(TRANSACTIONS_MASTER!$I$5:$I$1204,$Q103))</f>
        <v/>
      </c>
      <c r="G103" s="55" t="str">
        <f>IF($Q103="","",INDEX(TRANSACTIONS_MASTER!$K$5:$K$1204,$Q103))</f>
        <v/>
      </c>
      <c r="H103" s="25" t="str">
        <f>IF($Q103="","",INDEX(TRANSACTIONS_MASTER!$L$5:$L$1204,$Q103))</f>
        <v/>
      </c>
      <c r="I103" s="56" t="str">
        <f>IF($Q103="","",INDEX(TRANSACTIONS_MASTER!$N$5:$N$1204,$Q103))</f>
        <v/>
      </c>
      <c r="J103" s="25" t="str">
        <f>IF($Q103="","",INDEX(TRANSACTIONS_MASTER!$O$5:$O$1204,$Q103))</f>
        <v/>
      </c>
      <c r="K103" s="26" t="str">
        <f>IF($Q103="","",INDEX(TRANSACTIONS_MASTER!$Q$5:$Q$1204,$Q103))</f>
        <v/>
      </c>
      <c r="L103" s="25" t="str">
        <f>IF($Q103="","",INDEX(TRANSACTIONS_MASTER!$P$5:$P$1204,$Q103))</f>
        <v/>
      </c>
      <c r="M103" s="25" t="str">
        <f>IF($Q103="","",INDEX(TRANSACTIONS_MASTER!$AA$5:$AA$1204,$Q103))</f>
        <v/>
      </c>
      <c r="N103" s="25" t="str">
        <f>IF($Q103="","",INDEX(TRANSACTIONS_MASTER!$R$5:$R$1204,$Q103))</f>
        <v/>
      </c>
      <c r="O103" s="28" t="str">
        <f>IF($Q103="","",INDEX(TRANSACTIONS_MASTER!$AB$5:$AB$1204,$Q103))</f>
        <v/>
      </c>
      <c r="P103" s="55" t="str">
        <f>IF($Q103="","",INDEX(TRANSACTIONS_MASTER!$Z$5:$Z$1204,$Q103)&amp;"")</f>
        <v/>
      </c>
      <c r="Q103" s="67" t="str">
        <f>IFERROR(MATCH($C$2&amp;"|"&amp;96,TRANSACTIONS_MASTER!$AE$5:$AE$1204,0),"")</f>
        <v/>
      </c>
      <c r="S103" s="67" t="str">
        <f>IFERROR(MATCH(7,CARDS!$O$5:$O$34,0),"")</f>
        <v/>
      </c>
      <c r="T103" s="55" t="n"/>
      <c r="U103" s="55" t="str">
        <f>IF($S103="","",INDEX(CARDS!$B$5:$B$34,$S103))</f>
        <v/>
      </c>
      <c r="V103" s="25" t="str">
        <f>IF($S103="","",SUMIFS(TRANSACTIONS_MASTER!$L$5:$L$1204,TRANSACTIONS_MASTER!$E$5:$E$1204,$U103,TRANSACTIONS_MASTER!$C$5:$C$1204,$C$2,TRANSACTIONS_MASTER!$U$5:$U$1204,"&lt;&gt;Cancelled"))</f>
        <v/>
      </c>
      <c r="W103" s="26" t="str">
        <f>IF($S103="","",SUMIFS(TRANSACTIONS_MASTER!$Q$5:$Q$1204,TRANSACTIONS_MASTER!$E$5:$E$1204,$U103,TRANSACTIONS_MASTER!$C$5:$C$1204,$C$2))</f>
        <v/>
      </c>
    </row>
    <row r="104">
      <c r="A104" s="81" t="str">
        <f>IF($Q104="","",97)</f>
        <v/>
      </c>
      <c r="B104" s="57" t="str">
        <f>IF($Q104="","",INDEX(TRANSACTIONS_MASTER!$B$5:$B$1204,$Q104))</f>
        <v/>
      </c>
      <c r="C104" s="55" t="str">
        <f>IF($Q104="","",INDEX(TRANSACTIONS_MASTER!$F$5:$F$1204,$Q104))</f>
        <v/>
      </c>
      <c r="D104" s="55" t="str">
        <f>IF($Q104="","",INDEX(TRANSACTIONS_MASTER!$E$5:$E$1204,$Q104))</f>
        <v/>
      </c>
      <c r="E104" s="55" t="str">
        <f>IF($Q104="","",INDEX(TRANSACTIONS_MASTER!$G$5:$G$1204,$Q104)&amp;"")</f>
        <v/>
      </c>
      <c r="F104" s="29" t="str">
        <f>IF($Q104="","",INDEX(TRANSACTIONS_MASTER!$I$5:$I$1204,$Q104))</f>
        <v/>
      </c>
      <c r="G104" s="55" t="str">
        <f>IF($Q104="","",INDEX(TRANSACTIONS_MASTER!$K$5:$K$1204,$Q104))</f>
        <v/>
      </c>
      <c r="H104" s="25" t="str">
        <f>IF($Q104="","",INDEX(TRANSACTIONS_MASTER!$L$5:$L$1204,$Q104))</f>
        <v/>
      </c>
      <c r="I104" s="56" t="str">
        <f>IF($Q104="","",INDEX(TRANSACTIONS_MASTER!$N$5:$N$1204,$Q104))</f>
        <v/>
      </c>
      <c r="J104" s="25" t="str">
        <f>IF($Q104="","",INDEX(TRANSACTIONS_MASTER!$O$5:$O$1204,$Q104))</f>
        <v/>
      </c>
      <c r="K104" s="26" t="str">
        <f>IF($Q104="","",INDEX(TRANSACTIONS_MASTER!$Q$5:$Q$1204,$Q104))</f>
        <v/>
      </c>
      <c r="L104" s="25" t="str">
        <f>IF($Q104="","",INDEX(TRANSACTIONS_MASTER!$P$5:$P$1204,$Q104))</f>
        <v/>
      </c>
      <c r="M104" s="25" t="str">
        <f>IF($Q104="","",INDEX(TRANSACTIONS_MASTER!$AA$5:$AA$1204,$Q104))</f>
        <v/>
      </c>
      <c r="N104" s="25" t="str">
        <f>IF($Q104="","",INDEX(TRANSACTIONS_MASTER!$R$5:$R$1204,$Q104))</f>
        <v/>
      </c>
      <c r="O104" s="28" t="str">
        <f>IF($Q104="","",INDEX(TRANSACTIONS_MASTER!$AB$5:$AB$1204,$Q104))</f>
        <v/>
      </c>
      <c r="P104" s="55" t="str">
        <f>IF($Q104="","",INDEX(TRANSACTIONS_MASTER!$Z$5:$Z$1204,$Q104)&amp;"")</f>
        <v/>
      </c>
      <c r="Q104" s="67" t="str">
        <f>IFERROR(MATCH($C$2&amp;"|"&amp;97,TRANSACTIONS_MASTER!$AE$5:$AE$1204,0),"")</f>
        <v/>
      </c>
      <c r="S104" s="67" t="str">
        <f>IFERROR(MATCH(8,CARDS!$O$5:$O$34,0),"")</f>
        <v/>
      </c>
      <c r="T104" s="55" t="n"/>
      <c r="U104" s="55" t="str">
        <f>IF($S104="","",INDEX(CARDS!$B$5:$B$34,$S104))</f>
        <v/>
      </c>
      <c r="V104" s="25" t="str">
        <f>IF($S104="","",SUMIFS(TRANSACTIONS_MASTER!$L$5:$L$1204,TRANSACTIONS_MASTER!$E$5:$E$1204,$U104,TRANSACTIONS_MASTER!$C$5:$C$1204,$C$2,TRANSACTIONS_MASTER!$U$5:$U$1204,"&lt;&gt;Cancelled"))</f>
        <v/>
      </c>
      <c r="W104" s="26" t="str">
        <f>IF($S104="","",SUMIFS(TRANSACTIONS_MASTER!$Q$5:$Q$1204,TRANSACTIONS_MASTER!$E$5:$E$1204,$U104,TRANSACTIONS_MASTER!$C$5:$C$1204,$C$2))</f>
        <v/>
      </c>
    </row>
    <row r="105">
      <c r="A105" s="81" t="str">
        <f>IF($Q105="","",98)</f>
        <v/>
      </c>
      <c r="B105" s="57" t="str">
        <f>IF($Q105="","",INDEX(TRANSACTIONS_MASTER!$B$5:$B$1204,$Q105))</f>
        <v/>
      </c>
      <c r="C105" s="55" t="str">
        <f>IF($Q105="","",INDEX(TRANSACTIONS_MASTER!$F$5:$F$1204,$Q105))</f>
        <v/>
      </c>
      <c r="D105" s="55" t="str">
        <f>IF($Q105="","",INDEX(TRANSACTIONS_MASTER!$E$5:$E$1204,$Q105))</f>
        <v/>
      </c>
      <c r="E105" s="55" t="str">
        <f>IF($Q105="","",INDEX(TRANSACTIONS_MASTER!$G$5:$G$1204,$Q105)&amp;"")</f>
        <v/>
      </c>
      <c r="F105" s="29" t="str">
        <f>IF($Q105="","",INDEX(TRANSACTIONS_MASTER!$I$5:$I$1204,$Q105))</f>
        <v/>
      </c>
      <c r="G105" s="55" t="str">
        <f>IF($Q105="","",INDEX(TRANSACTIONS_MASTER!$K$5:$K$1204,$Q105))</f>
        <v/>
      </c>
      <c r="H105" s="25" t="str">
        <f>IF($Q105="","",INDEX(TRANSACTIONS_MASTER!$L$5:$L$1204,$Q105))</f>
        <v/>
      </c>
      <c r="I105" s="56" t="str">
        <f>IF($Q105="","",INDEX(TRANSACTIONS_MASTER!$N$5:$N$1204,$Q105))</f>
        <v/>
      </c>
      <c r="J105" s="25" t="str">
        <f>IF($Q105="","",INDEX(TRANSACTIONS_MASTER!$O$5:$O$1204,$Q105))</f>
        <v/>
      </c>
      <c r="K105" s="26" t="str">
        <f>IF($Q105="","",INDEX(TRANSACTIONS_MASTER!$Q$5:$Q$1204,$Q105))</f>
        <v/>
      </c>
      <c r="L105" s="25" t="str">
        <f>IF($Q105="","",INDEX(TRANSACTIONS_MASTER!$P$5:$P$1204,$Q105))</f>
        <v/>
      </c>
      <c r="M105" s="25" t="str">
        <f>IF($Q105="","",INDEX(TRANSACTIONS_MASTER!$AA$5:$AA$1204,$Q105))</f>
        <v/>
      </c>
      <c r="N105" s="25" t="str">
        <f>IF($Q105="","",INDEX(TRANSACTIONS_MASTER!$R$5:$R$1204,$Q105))</f>
        <v/>
      </c>
      <c r="O105" s="28" t="str">
        <f>IF($Q105="","",INDEX(TRANSACTIONS_MASTER!$AB$5:$AB$1204,$Q105))</f>
        <v/>
      </c>
      <c r="P105" s="55" t="str">
        <f>IF($Q105="","",INDEX(TRANSACTIONS_MASTER!$Z$5:$Z$1204,$Q105)&amp;"")</f>
        <v/>
      </c>
      <c r="Q105" s="67" t="str">
        <f>IFERROR(MATCH($C$2&amp;"|"&amp;98,TRANSACTIONS_MASTER!$AE$5:$AE$1204,0),"")</f>
        <v/>
      </c>
      <c r="S105" s="67" t="str">
        <f>IFERROR(MATCH(9,CARDS!$O$5:$O$34,0),"")</f>
        <v/>
      </c>
      <c r="T105" s="55" t="n"/>
      <c r="U105" s="55" t="str">
        <f>IF($S105="","",INDEX(CARDS!$B$5:$B$34,$S105))</f>
        <v/>
      </c>
      <c r="V105" s="25" t="str">
        <f>IF($S105="","",SUMIFS(TRANSACTIONS_MASTER!$L$5:$L$1204,TRANSACTIONS_MASTER!$E$5:$E$1204,$U105,TRANSACTIONS_MASTER!$C$5:$C$1204,$C$2,TRANSACTIONS_MASTER!$U$5:$U$1204,"&lt;&gt;Cancelled"))</f>
        <v/>
      </c>
      <c r="W105" s="26" t="str">
        <f>IF($S105="","",SUMIFS(TRANSACTIONS_MASTER!$Q$5:$Q$1204,TRANSACTIONS_MASTER!$E$5:$E$1204,$U105,TRANSACTIONS_MASTER!$C$5:$C$1204,$C$2))</f>
        <v/>
      </c>
    </row>
    <row r="106">
      <c r="A106" s="81" t="str">
        <f>IF($Q106="","",99)</f>
        <v/>
      </c>
      <c r="B106" s="57" t="str">
        <f>IF($Q106="","",INDEX(TRANSACTIONS_MASTER!$B$5:$B$1204,$Q106))</f>
        <v/>
      </c>
      <c r="C106" s="55" t="str">
        <f>IF($Q106="","",INDEX(TRANSACTIONS_MASTER!$F$5:$F$1204,$Q106))</f>
        <v/>
      </c>
      <c r="D106" s="55" t="str">
        <f>IF($Q106="","",INDEX(TRANSACTIONS_MASTER!$E$5:$E$1204,$Q106))</f>
        <v/>
      </c>
      <c r="E106" s="55" t="str">
        <f>IF($Q106="","",INDEX(TRANSACTIONS_MASTER!$G$5:$G$1204,$Q106)&amp;"")</f>
        <v/>
      </c>
      <c r="F106" s="29" t="str">
        <f>IF($Q106="","",INDEX(TRANSACTIONS_MASTER!$I$5:$I$1204,$Q106))</f>
        <v/>
      </c>
      <c r="G106" s="55" t="str">
        <f>IF($Q106="","",INDEX(TRANSACTIONS_MASTER!$K$5:$K$1204,$Q106))</f>
        <v/>
      </c>
      <c r="H106" s="25" t="str">
        <f>IF($Q106="","",INDEX(TRANSACTIONS_MASTER!$L$5:$L$1204,$Q106))</f>
        <v/>
      </c>
      <c r="I106" s="56" t="str">
        <f>IF($Q106="","",INDEX(TRANSACTIONS_MASTER!$N$5:$N$1204,$Q106))</f>
        <v/>
      </c>
      <c r="J106" s="25" t="str">
        <f>IF($Q106="","",INDEX(TRANSACTIONS_MASTER!$O$5:$O$1204,$Q106))</f>
        <v/>
      </c>
      <c r="K106" s="26" t="str">
        <f>IF($Q106="","",INDEX(TRANSACTIONS_MASTER!$Q$5:$Q$1204,$Q106))</f>
        <v/>
      </c>
      <c r="L106" s="25" t="str">
        <f>IF($Q106="","",INDEX(TRANSACTIONS_MASTER!$P$5:$P$1204,$Q106))</f>
        <v/>
      </c>
      <c r="M106" s="25" t="str">
        <f>IF($Q106="","",INDEX(TRANSACTIONS_MASTER!$AA$5:$AA$1204,$Q106))</f>
        <v/>
      </c>
      <c r="N106" s="25" t="str">
        <f>IF($Q106="","",INDEX(TRANSACTIONS_MASTER!$R$5:$R$1204,$Q106))</f>
        <v/>
      </c>
      <c r="O106" s="28" t="str">
        <f>IF($Q106="","",INDEX(TRANSACTIONS_MASTER!$AB$5:$AB$1204,$Q106))</f>
        <v/>
      </c>
      <c r="P106" s="55" t="str">
        <f>IF($Q106="","",INDEX(TRANSACTIONS_MASTER!$Z$5:$Z$1204,$Q106)&amp;"")</f>
        <v/>
      </c>
      <c r="Q106" s="67" t="str">
        <f>IFERROR(MATCH($C$2&amp;"|"&amp;99,TRANSACTIONS_MASTER!$AE$5:$AE$1204,0),"")</f>
        <v/>
      </c>
      <c r="S106" s="67" t="str">
        <f>IFERROR(MATCH(10,CARDS!$O$5:$O$34,0),"")</f>
        <v/>
      </c>
      <c r="T106" s="55" t="n"/>
      <c r="U106" s="55" t="str">
        <f>IF($S106="","",INDEX(CARDS!$B$5:$B$34,$S106))</f>
        <v/>
      </c>
      <c r="V106" s="25" t="str">
        <f>IF($S106="","",SUMIFS(TRANSACTIONS_MASTER!$L$5:$L$1204,TRANSACTIONS_MASTER!$E$5:$E$1204,$U106,TRANSACTIONS_MASTER!$C$5:$C$1204,$C$2,TRANSACTIONS_MASTER!$U$5:$U$1204,"&lt;&gt;Cancelled"))</f>
        <v/>
      </c>
      <c r="W106" s="26" t="str">
        <f>IF($S106="","",SUMIFS(TRANSACTIONS_MASTER!$Q$5:$Q$1204,TRANSACTIONS_MASTER!$E$5:$E$1204,$U106,TRANSACTIONS_MASTER!$C$5:$C$1204,$C$2))</f>
        <v/>
      </c>
    </row>
    <row r="107">
      <c r="A107" s="81" t="str">
        <f>IF($Q107="","",100)</f>
        <v/>
      </c>
      <c r="B107" s="57" t="str">
        <f>IF($Q107="","",INDEX(TRANSACTIONS_MASTER!$B$5:$B$1204,$Q107))</f>
        <v/>
      </c>
      <c r="C107" s="55" t="str">
        <f>IF($Q107="","",INDEX(TRANSACTIONS_MASTER!$F$5:$F$1204,$Q107))</f>
        <v/>
      </c>
      <c r="D107" s="55" t="str">
        <f>IF($Q107="","",INDEX(TRANSACTIONS_MASTER!$E$5:$E$1204,$Q107))</f>
        <v/>
      </c>
      <c r="E107" s="55" t="str">
        <f>IF($Q107="","",INDEX(TRANSACTIONS_MASTER!$G$5:$G$1204,$Q107)&amp;"")</f>
        <v/>
      </c>
      <c r="F107" s="29" t="str">
        <f>IF($Q107="","",INDEX(TRANSACTIONS_MASTER!$I$5:$I$1204,$Q107))</f>
        <v/>
      </c>
      <c r="G107" s="55" t="str">
        <f>IF($Q107="","",INDEX(TRANSACTIONS_MASTER!$K$5:$K$1204,$Q107))</f>
        <v/>
      </c>
      <c r="H107" s="25" t="str">
        <f>IF($Q107="","",INDEX(TRANSACTIONS_MASTER!$L$5:$L$1204,$Q107))</f>
        <v/>
      </c>
      <c r="I107" s="56" t="str">
        <f>IF($Q107="","",INDEX(TRANSACTIONS_MASTER!$N$5:$N$1204,$Q107))</f>
        <v/>
      </c>
      <c r="J107" s="25" t="str">
        <f>IF($Q107="","",INDEX(TRANSACTIONS_MASTER!$O$5:$O$1204,$Q107))</f>
        <v/>
      </c>
      <c r="K107" s="26" t="str">
        <f>IF($Q107="","",INDEX(TRANSACTIONS_MASTER!$Q$5:$Q$1204,$Q107))</f>
        <v/>
      </c>
      <c r="L107" s="25" t="str">
        <f>IF($Q107="","",INDEX(TRANSACTIONS_MASTER!$P$5:$P$1204,$Q107))</f>
        <v/>
      </c>
      <c r="M107" s="25" t="str">
        <f>IF($Q107="","",INDEX(TRANSACTIONS_MASTER!$AA$5:$AA$1204,$Q107))</f>
        <v/>
      </c>
      <c r="N107" s="25" t="str">
        <f>IF($Q107="","",INDEX(TRANSACTIONS_MASTER!$R$5:$R$1204,$Q107))</f>
        <v/>
      </c>
      <c r="O107" s="28" t="str">
        <f>IF($Q107="","",INDEX(TRANSACTIONS_MASTER!$AB$5:$AB$1204,$Q107))</f>
        <v/>
      </c>
      <c r="P107" s="55" t="str">
        <f>IF($Q107="","",INDEX(TRANSACTIONS_MASTER!$Z$5:$Z$1204,$Q107)&amp;"")</f>
        <v/>
      </c>
      <c r="Q107" s="67" t="str">
        <f>IFERROR(MATCH($C$2&amp;"|"&amp;100,TRANSACTIONS_MASTER!$AE$5:$AE$1204,0),"")</f>
        <v/>
      </c>
      <c r="S107" s="67" t="str">
        <f>IFERROR(MATCH(11,CARDS!$O$5:$O$34,0),"")</f>
        <v/>
      </c>
      <c r="T107" s="55" t="n"/>
      <c r="U107" s="55" t="str">
        <f>IF($S107="","",INDEX(CARDS!$B$5:$B$34,$S107))</f>
        <v/>
      </c>
      <c r="V107" s="25" t="str">
        <f>IF($S107="","",SUMIFS(TRANSACTIONS_MASTER!$L$5:$L$1204,TRANSACTIONS_MASTER!$E$5:$E$1204,$U107,TRANSACTIONS_MASTER!$C$5:$C$1204,$C$2,TRANSACTIONS_MASTER!$U$5:$U$1204,"&lt;&gt;Cancelled"))</f>
        <v/>
      </c>
      <c r="W107" s="26" t="str">
        <f>IF($S107="","",SUMIFS(TRANSACTIONS_MASTER!$Q$5:$Q$1204,TRANSACTIONS_MASTER!$E$5:$E$1204,$U107,TRANSACTIONS_MASTER!$C$5:$C$1204,$C$2))</f>
        <v/>
      </c>
    </row>
    <row r="108">
      <c r="A108" s="81" t="str">
        <f>IF($Q108="","",101)</f>
        <v/>
      </c>
      <c r="B108" s="57" t="str">
        <f>IF($Q108="","",INDEX(TRANSACTIONS_MASTER!$B$5:$B$1204,$Q108))</f>
        <v/>
      </c>
      <c r="C108" s="55" t="str">
        <f>IF($Q108="","",INDEX(TRANSACTIONS_MASTER!$F$5:$F$1204,$Q108))</f>
        <v/>
      </c>
      <c r="D108" s="55" t="str">
        <f>IF($Q108="","",INDEX(TRANSACTIONS_MASTER!$E$5:$E$1204,$Q108))</f>
        <v/>
      </c>
      <c r="E108" s="55" t="str">
        <f>IF($Q108="","",INDEX(TRANSACTIONS_MASTER!$G$5:$G$1204,$Q108)&amp;"")</f>
        <v/>
      </c>
      <c r="F108" s="29" t="str">
        <f>IF($Q108="","",INDEX(TRANSACTIONS_MASTER!$I$5:$I$1204,$Q108))</f>
        <v/>
      </c>
      <c r="G108" s="55" t="str">
        <f>IF($Q108="","",INDEX(TRANSACTIONS_MASTER!$K$5:$K$1204,$Q108))</f>
        <v/>
      </c>
      <c r="H108" s="25" t="str">
        <f>IF($Q108="","",INDEX(TRANSACTIONS_MASTER!$L$5:$L$1204,$Q108))</f>
        <v/>
      </c>
      <c r="I108" s="56" t="str">
        <f>IF($Q108="","",INDEX(TRANSACTIONS_MASTER!$N$5:$N$1204,$Q108))</f>
        <v/>
      </c>
      <c r="J108" s="25" t="str">
        <f>IF($Q108="","",INDEX(TRANSACTIONS_MASTER!$O$5:$O$1204,$Q108))</f>
        <v/>
      </c>
      <c r="K108" s="26" t="str">
        <f>IF($Q108="","",INDEX(TRANSACTIONS_MASTER!$Q$5:$Q$1204,$Q108))</f>
        <v/>
      </c>
      <c r="L108" s="25" t="str">
        <f>IF($Q108="","",INDEX(TRANSACTIONS_MASTER!$P$5:$P$1204,$Q108))</f>
        <v/>
      </c>
      <c r="M108" s="25" t="str">
        <f>IF($Q108="","",INDEX(TRANSACTIONS_MASTER!$AA$5:$AA$1204,$Q108))</f>
        <v/>
      </c>
      <c r="N108" s="25" t="str">
        <f>IF($Q108="","",INDEX(TRANSACTIONS_MASTER!$R$5:$R$1204,$Q108))</f>
        <v/>
      </c>
      <c r="O108" s="28" t="str">
        <f>IF($Q108="","",INDEX(TRANSACTIONS_MASTER!$AB$5:$AB$1204,$Q108))</f>
        <v/>
      </c>
      <c r="P108" s="55" t="str">
        <f>IF($Q108="","",INDEX(TRANSACTIONS_MASTER!$Z$5:$Z$1204,$Q108)&amp;"")</f>
        <v/>
      </c>
      <c r="Q108" s="67" t="str">
        <f>IFERROR(MATCH($C$2&amp;"|"&amp;101,TRANSACTIONS_MASTER!$AE$5:$AE$1204,0),"")</f>
        <v/>
      </c>
      <c r="S108" s="67" t="str">
        <f>IFERROR(MATCH(12,CARDS!$O$5:$O$34,0),"")</f>
        <v/>
      </c>
      <c r="T108" s="55" t="n"/>
      <c r="U108" s="55" t="str">
        <f>IF($S108="","",INDEX(CARDS!$B$5:$B$34,$S108))</f>
        <v/>
      </c>
      <c r="V108" s="25" t="str">
        <f>IF($S108="","",SUMIFS(TRANSACTIONS_MASTER!$L$5:$L$1204,TRANSACTIONS_MASTER!$E$5:$E$1204,$U108,TRANSACTIONS_MASTER!$C$5:$C$1204,$C$2,TRANSACTIONS_MASTER!$U$5:$U$1204,"&lt;&gt;Cancelled"))</f>
        <v/>
      </c>
      <c r="W108" s="26" t="str">
        <f>IF($S108="","",SUMIFS(TRANSACTIONS_MASTER!$Q$5:$Q$1204,TRANSACTIONS_MASTER!$E$5:$E$1204,$U108,TRANSACTIONS_MASTER!$C$5:$C$1204,$C$2))</f>
        <v/>
      </c>
    </row>
    <row r="109">
      <c r="A109" s="81" t="str">
        <f>IF($Q109="","",102)</f>
        <v/>
      </c>
      <c r="B109" s="57" t="str">
        <f>IF($Q109="","",INDEX(TRANSACTIONS_MASTER!$B$5:$B$1204,$Q109))</f>
        <v/>
      </c>
      <c r="C109" s="55" t="str">
        <f>IF($Q109="","",INDEX(TRANSACTIONS_MASTER!$F$5:$F$1204,$Q109))</f>
        <v/>
      </c>
      <c r="D109" s="55" t="str">
        <f>IF($Q109="","",INDEX(TRANSACTIONS_MASTER!$E$5:$E$1204,$Q109))</f>
        <v/>
      </c>
      <c r="E109" s="55" t="str">
        <f>IF($Q109="","",INDEX(TRANSACTIONS_MASTER!$G$5:$G$1204,$Q109)&amp;"")</f>
        <v/>
      </c>
      <c r="F109" s="29" t="str">
        <f>IF($Q109="","",INDEX(TRANSACTIONS_MASTER!$I$5:$I$1204,$Q109))</f>
        <v/>
      </c>
      <c r="G109" s="55" t="str">
        <f>IF($Q109="","",INDEX(TRANSACTIONS_MASTER!$K$5:$K$1204,$Q109))</f>
        <v/>
      </c>
      <c r="H109" s="25" t="str">
        <f>IF($Q109="","",INDEX(TRANSACTIONS_MASTER!$L$5:$L$1204,$Q109))</f>
        <v/>
      </c>
      <c r="I109" s="56" t="str">
        <f>IF($Q109="","",INDEX(TRANSACTIONS_MASTER!$N$5:$N$1204,$Q109))</f>
        <v/>
      </c>
      <c r="J109" s="25" t="str">
        <f>IF($Q109="","",INDEX(TRANSACTIONS_MASTER!$O$5:$O$1204,$Q109))</f>
        <v/>
      </c>
      <c r="K109" s="26" t="str">
        <f>IF($Q109="","",INDEX(TRANSACTIONS_MASTER!$Q$5:$Q$1204,$Q109))</f>
        <v/>
      </c>
      <c r="L109" s="25" t="str">
        <f>IF($Q109="","",INDEX(TRANSACTIONS_MASTER!$P$5:$P$1204,$Q109))</f>
        <v/>
      </c>
      <c r="M109" s="25" t="str">
        <f>IF($Q109="","",INDEX(TRANSACTIONS_MASTER!$AA$5:$AA$1204,$Q109))</f>
        <v/>
      </c>
      <c r="N109" s="25" t="str">
        <f>IF($Q109="","",INDEX(TRANSACTIONS_MASTER!$R$5:$R$1204,$Q109))</f>
        <v/>
      </c>
      <c r="O109" s="28" t="str">
        <f>IF($Q109="","",INDEX(TRANSACTIONS_MASTER!$AB$5:$AB$1204,$Q109))</f>
        <v/>
      </c>
      <c r="P109" s="55" t="str">
        <f>IF($Q109="","",INDEX(TRANSACTIONS_MASTER!$Z$5:$Z$1204,$Q109)&amp;"")</f>
        <v/>
      </c>
      <c r="Q109" s="67" t="str">
        <f>IFERROR(MATCH($C$2&amp;"|"&amp;102,TRANSACTIONS_MASTER!$AE$5:$AE$1204,0),"")</f>
        <v/>
      </c>
      <c r="S109" s="67" t="str">
        <f>IFERROR(MATCH(13,CARDS!$O$5:$O$34,0),"")</f>
        <v/>
      </c>
      <c r="T109" s="55" t="n"/>
      <c r="U109" s="55" t="str">
        <f>IF($S109="","",INDEX(CARDS!$B$5:$B$34,$S109))</f>
        <v/>
      </c>
      <c r="V109" s="25" t="str">
        <f>IF($S109="","",SUMIFS(TRANSACTIONS_MASTER!$L$5:$L$1204,TRANSACTIONS_MASTER!$E$5:$E$1204,$U109,TRANSACTIONS_MASTER!$C$5:$C$1204,$C$2,TRANSACTIONS_MASTER!$U$5:$U$1204,"&lt;&gt;Cancelled"))</f>
        <v/>
      </c>
      <c r="W109" s="26" t="str">
        <f>IF($S109="","",SUMIFS(TRANSACTIONS_MASTER!$Q$5:$Q$1204,TRANSACTIONS_MASTER!$E$5:$E$1204,$U109,TRANSACTIONS_MASTER!$C$5:$C$1204,$C$2))</f>
        <v/>
      </c>
    </row>
    <row r="110">
      <c r="A110" s="81" t="str">
        <f>IF($Q110="","",103)</f>
        <v/>
      </c>
      <c r="B110" s="57" t="str">
        <f>IF($Q110="","",INDEX(TRANSACTIONS_MASTER!$B$5:$B$1204,$Q110))</f>
        <v/>
      </c>
      <c r="C110" s="55" t="str">
        <f>IF($Q110="","",INDEX(TRANSACTIONS_MASTER!$F$5:$F$1204,$Q110))</f>
        <v/>
      </c>
      <c r="D110" s="55" t="str">
        <f>IF($Q110="","",INDEX(TRANSACTIONS_MASTER!$E$5:$E$1204,$Q110))</f>
        <v/>
      </c>
      <c r="E110" s="55" t="str">
        <f>IF($Q110="","",INDEX(TRANSACTIONS_MASTER!$G$5:$G$1204,$Q110)&amp;"")</f>
        <v/>
      </c>
      <c r="F110" s="29" t="str">
        <f>IF($Q110="","",INDEX(TRANSACTIONS_MASTER!$I$5:$I$1204,$Q110))</f>
        <v/>
      </c>
      <c r="G110" s="55" t="str">
        <f>IF($Q110="","",INDEX(TRANSACTIONS_MASTER!$K$5:$K$1204,$Q110))</f>
        <v/>
      </c>
      <c r="H110" s="25" t="str">
        <f>IF($Q110="","",INDEX(TRANSACTIONS_MASTER!$L$5:$L$1204,$Q110))</f>
        <v/>
      </c>
      <c r="I110" s="56" t="str">
        <f>IF($Q110="","",INDEX(TRANSACTIONS_MASTER!$N$5:$N$1204,$Q110))</f>
        <v/>
      </c>
      <c r="J110" s="25" t="str">
        <f>IF($Q110="","",INDEX(TRANSACTIONS_MASTER!$O$5:$O$1204,$Q110))</f>
        <v/>
      </c>
      <c r="K110" s="26" t="str">
        <f>IF($Q110="","",INDEX(TRANSACTIONS_MASTER!$Q$5:$Q$1204,$Q110))</f>
        <v/>
      </c>
      <c r="L110" s="25" t="str">
        <f>IF($Q110="","",INDEX(TRANSACTIONS_MASTER!$P$5:$P$1204,$Q110))</f>
        <v/>
      </c>
      <c r="M110" s="25" t="str">
        <f>IF($Q110="","",INDEX(TRANSACTIONS_MASTER!$AA$5:$AA$1204,$Q110))</f>
        <v/>
      </c>
      <c r="N110" s="25" t="str">
        <f>IF($Q110="","",INDEX(TRANSACTIONS_MASTER!$R$5:$R$1204,$Q110))</f>
        <v/>
      </c>
      <c r="O110" s="28" t="str">
        <f>IF($Q110="","",INDEX(TRANSACTIONS_MASTER!$AB$5:$AB$1204,$Q110))</f>
        <v/>
      </c>
      <c r="P110" s="55" t="str">
        <f>IF($Q110="","",INDEX(TRANSACTIONS_MASTER!$Z$5:$Z$1204,$Q110)&amp;"")</f>
        <v/>
      </c>
      <c r="Q110" s="67" t="str">
        <f>IFERROR(MATCH($C$2&amp;"|"&amp;103,TRANSACTIONS_MASTER!$AE$5:$AE$1204,0),"")</f>
        <v/>
      </c>
      <c r="S110" s="67" t="str">
        <f>IFERROR(MATCH(14,CARDS!$O$5:$O$34,0),"")</f>
        <v/>
      </c>
      <c r="T110" s="55" t="n"/>
      <c r="U110" s="55" t="str">
        <f>IF($S110="","",INDEX(CARDS!$B$5:$B$34,$S110))</f>
        <v/>
      </c>
      <c r="V110" s="25" t="str">
        <f>IF($S110="","",SUMIFS(TRANSACTIONS_MASTER!$L$5:$L$1204,TRANSACTIONS_MASTER!$E$5:$E$1204,$U110,TRANSACTIONS_MASTER!$C$5:$C$1204,$C$2,TRANSACTIONS_MASTER!$U$5:$U$1204,"&lt;&gt;Cancelled"))</f>
        <v/>
      </c>
      <c r="W110" s="26" t="str">
        <f>IF($S110="","",SUMIFS(TRANSACTIONS_MASTER!$Q$5:$Q$1204,TRANSACTIONS_MASTER!$E$5:$E$1204,$U110,TRANSACTIONS_MASTER!$C$5:$C$1204,$C$2))</f>
        <v/>
      </c>
    </row>
    <row r="111">
      <c r="A111" s="81" t="str">
        <f>IF($Q111="","",104)</f>
        <v/>
      </c>
      <c r="B111" s="57" t="str">
        <f>IF($Q111="","",INDEX(TRANSACTIONS_MASTER!$B$5:$B$1204,$Q111))</f>
        <v/>
      </c>
      <c r="C111" s="55" t="str">
        <f>IF($Q111="","",INDEX(TRANSACTIONS_MASTER!$F$5:$F$1204,$Q111))</f>
        <v/>
      </c>
      <c r="D111" s="55" t="str">
        <f>IF($Q111="","",INDEX(TRANSACTIONS_MASTER!$E$5:$E$1204,$Q111))</f>
        <v/>
      </c>
      <c r="E111" s="55" t="str">
        <f>IF($Q111="","",INDEX(TRANSACTIONS_MASTER!$G$5:$G$1204,$Q111)&amp;"")</f>
        <v/>
      </c>
      <c r="F111" s="29" t="str">
        <f>IF($Q111="","",INDEX(TRANSACTIONS_MASTER!$I$5:$I$1204,$Q111))</f>
        <v/>
      </c>
      <c r="G111" s="55" t="str">
        <f>IF($Q111="","",INDEX(TRANSACTIONS_MASTER!$K$5:$K$1204,$Q111))</f>
        <v/>
      </c>
      <c r="H111" s="25" t="str">
        <f>IF($Q111="","",INDEX(TRANSACTIONS_MASTER!$L$5:$L$1204,$Q111))</f>
        <v/>
      </c>
      <c r="I111" s="56" t="str">
        <f>IF($Q111="","",INDEX(TRANSACTIONS_MASTER!$N$5:$N$1204,$Q111))</f>
        <v/>
      </c>
      <c r="J111" s="25" t="str">
        <f>IF($Q111="","",INDEX(TRANSACTIONS_MASTER!$O$5:$O$1204,$Q111))</f>
        <v/>
      </c>
      <c r="K111" s="26" t="str">
        <f>IF($Q111="","",INDEX(TRANSACTIONS_MASTER!$Q$5:$Q$1204,$Q111))</f>
        <v/>
      </c>
      <c r="L111" s="25" t="str">
        <f>IF($Q111="","",INDEX(TRANSACTIONS_MASTER!$P$5:$P$1204,$Q111))</f>
        <v/>
      </c>
      <c r="M111" s="25" t="str">
        <f>IF($Q111="","",INDEX(TRANSACTIONS_MASTER!$AA$5:$AA$1204,$Q111))</f>
        <v/>
      </c>
      <c r="N111" s="25" t="str">
        <f>IF($Q111="","",INDEX(TRANSACTIONS_MASTER!$R$5:$R$1204,$Q111))</f>
        <v/>
      </c>
      <c r="O111" s="28" t="str">
        <f>IF($Q111="","",INDEX(TRANSACTIONS_MASTER!$AB$5:$AB$1204,$Q111))</f>
        <v/>
      </c>
      <c r="P111" s="55" t="str">
        <f>IF($Q111="","",INDEX(TRANSACTIONS_MASTER!$Z$5:$Z$1204,$Q111)&amp;"")</f>
        <v/>
      </c>
      <c r="Q111" s="67" t="str">
        <f>IFERROR(MATCH($C$2&amp;"|"&amp;104,TRANSACTIONS_MASTER!$AE$5:$AE$1204,0),"")</f>
        <v/>
      </c>
      <c r="S111" s="67" t="str">
        <f>IFERROR(MATCH(15,CARDS!$O$5:$O$34,0),"")</f>
        <v/>
      </c>
      <c r="T111" s="55" t="n"/>
      <c r="U111" s="55" t="str">
        <f>IF($S111="","",INDEX(CARDS!$B$5:$B$34,$S111))</f>
        <v/>
      </c>
      <c r="V111" s="25" t="str">
        <f>IF($S111="","",SUMIFS(TRANSACTIONS_MASTER!$L$5:$L$1204,TRANSACTIONS_MASTER!$E$5:$E$1204,$U111,TRANSACTIONS_MASTER!$C$5:$C$1204,$C$2,TRANSACTIONS_MASTER!$U$5:$U$1204,"&lt;&gt;Cancelled"))</f>
        <v/>
      </c>
      <c r="W111" s="26" t="str">
        <f>IF($S111="","",SUMIFS(TRANSACTIONS_MASTER!$Q$5:$Q$1204,TRANSACTIONS_MASTER!$E$5:$E$1204,$U111,TRANSACTIONS_MASTER!$C$5:$C$1204,$C$2))</f>
        <v/>
      </c>
    </row>
    <row r="112">
      <c r="A112" s="81" t="str">
        <f>IF($Q112="","",105)</f>
        <v/>
      </c>
      <c r="B112" s="57" t="str">
        <f>IF($Q112="","",INDEX(TRANSACTIONS_MASTER!$B$5:$B$1204,$Q112))</f>
        <v/>
      </c>
      <c r="C112" s="55" t="str">
        <f>IF($Q112="","",INDEX(TRANSACTIONS_MASTER!$F$5:$F$1204,$Q112))</f>
        <v/>
      </c>
      <c r="D112" s="55" t="str">
        <f>IF($Q112="","",INDEX(TRANSACTIONS_MASTER!$E$5:$E$1204,$Q112))</f>
        <v/>
      </c>
      <c r="E112" s="55" t="str">
        <f>IF($Q112="","",INDEX(TRANSACTIONS_MASTER!$G$5:$G$1204,$Q112)&amp;"")</f>
        <v/>
      </c>
      <c r="F112" s="29" t="str">
        <f>IF($Q112="","",INDEX(TRANSACTIONS_MASTER!$I$5:$I$1204,$Q112))</f>
        <v/>
      </c>
      <c r="G112" s="55" t="str">
        <f>IF($Q112="","",INDEX(TRANSACTIONS_MASTER!$K$5:$K$1204,$Q112))</f>
        <v/>
      </c>
      <c r="H112" s="25" t="str">
        <f>IF($Q112="","",INDEX(TRANSACTIONS_MASTER!$L$5:$L$1204,$Q112))</f>
        <v/>
      </c>
      <c r="I112" s="56" t="str">
        <f>IF($Q112="","",INDEX(TRANSACTIONS_MASTER!$N$5:$N$1204,$Q112))</f>
        <v/>
      </c>
      <c r="J112" s="25" t="str">
        <f>IF($Q112="","",INDEX(TRANSACTIONS_MASTER!$O$5:$O$1204,$Q112))</f>
        <v/>
      </c>
      <c r="K112" s="26" t="str">
        <f>IF($Q112="","",INDEX(TRANSACTIONS_MASTER!$Q$5:$Q$1204,$Q112))</f>
        <v/>
      </c>
      <c r="L112" s="25" t="str">
        <f>IF($Q112="","",INDEX(TRANSACTIONS_MASTER!$P$5:$P$1204,$Q112))</f>
        <v/>
      </c>
      <c r="M112" s="25" t="str">
        <f>IF($Q112="","",INDEX(TRANSACTIONS_MASTER!$AA$5:$AA$1204,$Q112))</f>
        <v/>
      </c>
      <c r="N112" s="25" t="str">
        <f>IF($Q112="","",INDEX(TRANSACTIONS_MASTER!$R$5:$R$1204,$Q112))</f>
        <v/>
      </c>
      <c r="O112" s="28" t="str">
        <f>IF($Q112="","",INDEX(TRANSACTIONS_MASTER!$AB$5:$AB$1204,$Q112))</f>
        <v/>
      </c>
      <c r="P112" s="55" t="str">
        <f>IF($Q112="","",INDEX(TRANSACTIONS_MASTER!$Z$5:$Z$1204,$Q112)&amp;"")</f>
        <v/>
      </c>
      <c r="Q112" s="67" t="str">
        <f>IFERROR(MATCH($C$2&amp;"|"&amp;105,TRANSACTIONS_MASTER!$AE$5:$AE$1204,0),"")</f>
        <v/>
      </c>
      <c r="T112" s="68" t="n"/>
      <c r="U112" s="69" t="inlineStr">
        <is>
          <t>TỔNG</t>
        </is>
      </c>
      <c r="V112" s="31">
        <f>SUM(V97:V111)</f>
        <v>0</v>
      </c>
      <c r="W112" s="31">
        <f>SUM(W97:W111)</f>
        <v>0</v>
      </c>
    </row>
    <row r="113">
      <c r="A113" s="81" t="str">
        <f>IF($Q113="","",106)</f>
        <v/>
      </c>
      <c r="B113" s="57" t="str">
        <f>IF($Q113="","",INDEX(TRANSACTIONS_MASTER!$B$5:$B$1204,$Q113))</f>
        <v/>
      </c>
      <c r="C113" s="55" t="str">
        <f>IF($Q113="","",INDEX(TRANSACTIONS_MASTER!$F$5:$F$1204,$Q113))</f>
        <v/>
      </c>
      <c r="D113" s="55" t="str">
        <f>IF($Q113="","",INDEX(TRANSACTIONS_MASTER!$E$5:$E$1204,$Q113))</f>
        <v/>
      </c>
      <c r="E113" s="55" t="str">
        <f>IF($Q113="","",INDEX(TRANSACTIONS_MASTER!$G$5:$G$1204,$Q113)&amp;"")</f>
        <v/>
      </c>
      <c r="F113" s="29" t="str">
        <f>IF($Q113="","",INDEX(TRANSACTIONS_MASTER!$I$5:$I$1204,$Q113))</f>
        <v/>
      </c>
      <c r="G113" s="55" t="str">
        <f>IF($Q113="","",INDEX(TRANSACTIONS_MASTER!$K$5:$K$1204,$Q113))</f>
        <v/>
      </c>
      <c r="H113" s="25" t="str">
        <f>IF($Q113="","",INDEX(TRANSACTIONS_MASTER!$L$5:$L$1204,$Q113))</f>
        <v/>
      </c>
      <c r="I113" s="56" t="str">
        <f>IF($Q113="","",INDEX(TRANSACTIONS_MASTER!$N$5:$N$1204,$Q113))</f>
        <v/>
      </c>
      <c r="J113" s="25" t="str">
        <f>IF($Q113="","",INDEX(TRANSACTIONS_MASTER!$O$5:$O$1204,$Q113))</f>
        <v/>
      </c>
      <c r="K113" s="26" t="str">
        <f>IF($Q113="","",INDEX(TRANSACTIONS_MASTER!$Q$5:$Q$1204,$Q113))</f>
        <v/>
      </c>
      <c r="L113" s="25" t="str">
        <f>IF($Q113="","",INDEX(TRANSACTIONS_MASTER!$P$5:$P$1204,$Q113))</f>
        <v/>
      </c>
      <c r="M113" s="25" t="str">
        <f>IF($Q113="","",INDEX(TRANSACTIONS_MASTER!$AA$5:$AA$1204,$Q113))</f>
        <v/>
      </c>
      <c r="N113" s="25" t="str">
        <f>IF($Q113="","",INDEX(TRANSACTIONS_MASTER!$R$5:$R$1204,$Q113))</f>
        <v/>
      </c>
      <c r="O113" s="28" t="str">
        <f>IF($Q113="","",INDEX(TRANSACTIONS_MASTER!$AB$5:$AB$1204,$Q113))</f>
        <v/>
      </c>
      <c r="P113" s="55" t="str">
        <f>IF($Q113="","",INDEX(TRANSACTIONS_MASTER!$Z$5:$Z$1204,$Q113)&amp;"")</f>
        <v/>
      </c>
      <c r="Q113" s="67" t="str">
        <f>IFERROR(MATCH($C$2&amp;"|"&amp;106,TRANSACTIONS_MASTER!$AE$5:$AE$1204,0),"")</f>
        <v/>
      </c>
    </row>
    <row r="114">
      <c r="A114" s="81" t="str">
        <f>IF($Q114="","",107)</f>
        <v/>
      </c>
      <c r="B114" s="57" t="str">
        <f>IF($Q114="","",INDEX(TRANSACTIONS_MASTER!$B$5:$B$1204,$Q114))</f>
        <v/>
      </c>
      <c r="C114" s="55" t="str">
        <f>IF($Q114="","",INDEX(TRANSACTIONS_MASTER!$F$5:$F$1204,$Q114))</f>
        <v/>
      </c>
      <c r="D114" s="55" t="str">
        <f>IF($Q114="","",INDEX(TRANSACTIONS_MASTER!$E$5:$E$1204,$Q114))</f>
        <v/>
      </c>
      <c r="E114" s="55" t="str">
        <f>IF($Q114="","",INDEX(TRANSACTIONS_MASTER!$G$5:$G$1204,$Q114)&amp;"")</f>
        <v/>
      </c>
      <c r="F114" s="29" t="str">
        <f>IF($Q114="","",INDEX(TRANSACTIONS_MASTER!$I$5:$I$1204,$Q114))</f>
        <v/>
      </c>
      <c r="G114" s="55" t="str">
        <f>IF($Q114="","",INDEX(TRANSACTIONS_MASTER!$K$5:$K$1204,$Q114))</f>
        <v/>
      </c>
      <c r="H114" s="25" t="str">
        <f>IF($Q114="","",INDEX(TRANSACTIONS_MASTER!$L$5:$L$1204,$Q114))</f>
        <v/>
      </c>
      <c r="I114" s="56" t="str">
        <f>IF($Q114="","",INDEX(TRANSACTIONS_MASTER!$N$5:$N$1204,$Q114))</f>
        <v/>
      </c>
      <c r="J114" s="25" t="str">
        <f>IF($Q114="","",INDEX(TRANSACTIONS_MASTER!$O$5:$O$1204,$Q114))</f>
        <v/>
      </c>
      <c r="K114" s="26" t="str">
        <f>IF($Q114="","",INDEX(TRANSACTIONS_MASTER!$Q$5:$Q$1204,$Q114))</f>
        <v/>
      </c>
      <c r="L114" s="25" t="str">
        <f>IF($Q114="","",INDEX(TRANSACTIONS_MASTER!$P$5:$P$1204,$Q114))</f>
        <v/>
      </c>
      <c r="M114" s="25" t="str">
        <f>IF($Q114="","",INDEX(TRANSACTIONS_MASTER!$AA$5:$AA$1204,$Q114))</f>
        <v/>
      </c>
      <c r="N114" s="25" t="str">
        <f>IF($Q114="","",INDEX(TRANSACTIONS_MASTER!$R$5:$R$1204,$Q114))</f>
        <v/>
      </c>
      <c r="O114" s="28" t="str">
        <f>IF($Q114="","",INDEX(TRANSACTIONS_MASTER!$AB$5:$AB$1204,$Q114))</f>
        <v/>
      </c>
      <c r="P114" s="55" t="str">
        <f>IF($Q114="","",INDEX(TRANSACTIONS_MASTER!$Z$5:$Z$1204,$Q114)&amp;"")</f>
        <v/>
      </c>
      <c r="Q114" s="67" t="str">
        <f>IFERROR(MATCH($C$2&amp;"|"&amp;107,TRANSACTIONS_MASTER!$AE$5:$AE$1204,0),"")</f>
        <v/>
      </c>
    </row>
    <row r="115" ht="22" customHeight="1">
      <c r="A115" s="81" t="str">
        <f>IF($Q115="","",108)</f>
        <v/>
      </c>
      <c r="B115" s="57" t="str">
        <f>IF($Q115="","",INDEX(TRANSACTIONS_MASTER!$B$5:$B$1204,$Q115))</f>
        <v/>
      </c>
      <c r="C115" s="55" t="str">
        <f>IF($Q115="","",INDEX(TRANSACTIONS_MASTER!$F$5:$F$1204,$Q115))</f>
        <v/>
      </c>
      <c r="D115" s="55" t="str">
        <f>IF($Q115="","",INDEX(TRANSACTIONS_MASTER!$E$5:$E$1204,$Q115))</f>
        <v/>
      </c>
      <c r="E115" s="55" t="str">
        <f>IF($Q115="","",INDEX(TRANSACTIONS_MASTER!$G$5:$G$1204,$Q115)&amp;"")</f>
        <v/>
      </c>
      <c r="F115" s="29" t="str">
        <f>IF($Q115="","",INDEX(TRANSACTIONS_MASTER!$I$5:$I$1204,$Q115))</f>
        <v/>
      </c>
      <c r="G115" s="55" t="str">
        <f>IF($Q115="","",INDEX(TRANSACTIONS_MASTER!$K$5:$K$1204,$Q115))</f>
        <v/>
      </c>
      <c r="H115" s="25" t="str">
        <f>IF($Q115="","",INDEX(TRANSACTIONS_MASTER!$L$5:$L$1204,$Q115))</f>
        <v/>
      </c>
      <c r="I115" s="56" t="str">
        <f>IF($Q115="","",INDEX(TRANSACTIONS_MASTER!$N$5:$N$1204,$Q115))</f>
        <v/>
      </c>
      <c r="J115" s="25" t="str">
        <f>IF($Q115="","",INDEX(TRANSACTIONS_MASTER!$O$5:$O$1204,$Q115))</f>
        <v/>
      </c>
      <c r="K115" s="26" t="str">
        <f>IF($Q115="","",INDEX(TRANSACTIONS_MASTER!$Q$5:$Q$1204,$Q115))</f>
        <v/>
      </c>
      <c r="L115" s="25" t="str">
        <f>IF($Q115="","",INDEX(TRANSACTIONS_MASTER!$P$5:$P$1204,$Q115))</f>
        <v/>
      </c>
      <c r="M115" s="25" t="str">
        <f>IF($Q115="","",INDEX(TRANSACTIONS_MASTER!$AA$5:$AA$1204,$Q115))</f>
        <v/>
      </c>
      <c r="N115" s="25" t="str">
        <f>IF($Q115="","",INDEX(TRANSACTIONS_MASTER!$R$5:$R$1204,$Q115))</f>
        <v/>
      </c>
      <c r="O115" s="28" t="str">
        <f>IF($Q115="","",INDEX(TRANSACTIONS_MASTER!$AB$5:$AB$1204,$Q115))</f>
        <v/>
      </c>
      <c r="P115" s="55" t="str">
        <f>IF($Q115="","",INDEX(TRANSACTIONS_MASTER!$Z$5:$Z$1204,$Q115)&amp;"")</f>
        <v/>
      </c>
      <c r="Q115" s="67" t="str">
        <f>IFERROR(MATCH($C$2&amp;"|"&amp;108,TRANSACTIONS_MASTER!$AE$5:$AE$1204,0),"")</f>
        <v/>
      </c>
      <c r="T115" s="19" t="inlineStr">
        <is>
          <t>THEO DANH MỤC (Category)</t>
        </is>
      </c>
      <c r="U115" s="20" t="n"/>
      <c r="V115" s="20" t="n"/>
      <c r="W115" s="20" t="n"/>
      <c r="X115" s="20" t="n"/>
      <c r="Y115" s="20" t="n"/>
      <c r="Z115" s="20" t="n"/>
      <c r="AA115" s="20" t="n"/>
    </row>
    <row r="116" ht="28" customHeight="1">
      <c r="A116" s="81" t="str">
        <f>IF($Q116="","",109)</f>
        <v/>
      </c>
      <c r="B116" s="57" t="str">
        <f>IF($Q116="","",INDEX(TRANSACTIONS_MASTER!$B$5:$B$1204,$Q116))</f>
        <v/>
      </c>
      <c r="C116" s="55" t="str">
        <f>IF($Q116="","",INDEX(TRANSACTIONS_MASTER!$F$5:$F$1204,$Q116))</f>
        <v/>
      </c>
      <c r="D116" s="55" t="str">
        <f>IF($Q116="","",INDEX(TRANSACTIONS_MASTER!$E$5:$E$1204,$Q116))</f>
        <v/>
      </c>
      <c r="E116" s="55" t="str">
        <f>IF($Q116="","",INDEX(TRANSACTIONS_MASTER!$G$5:$G$1204,$Q116)&amp;"")</f>
        <v/>
      </c>
      <c r="F116" s="29" t="str">
        <f>IF($Q116="","",INDEX(TRANSACTIONS_MASTER!$I$5:$I$1204,$Q116))</f>
        <v/>
      </c>
      <c r="G116" s="55" t="str">
        <f>IF($Q116="","",INDEX(TRANSACTIONS_MASTER!$K$5:$K$1204,$Q116))</f>
        <v/>
      </c>
      <c r="H116" s="25" t="str">
        <f>IF($Q116="","",INDEX(TRANSACTIONS_MASTER!$L$5:$L$1204,$Q116))</f>
        <v/>
      </c>
      <c r="I116" s="56" t="str">
        <f>IF($Q116="","",INDEX(TRANSACTIONS_MASTER!$N$5:$N$1204,$Q116))</f>
        <v/>
      </c>
      <c r="J116" s="25" t="str">
        <f>IF($Q116="","",INDEX(TRANSACTIONS_MASTER!$O$5:$O$1204,$Q116))</f>
        <v/>
      </c>
      <c r="K116" s="26" t="str">
        <f>IF($Q116="","",INDEX(TRANSACTIONS_MASTER!$Q$5:$Q$1204,$Q116))</f>
        <v/>
      </c>
      <c r="L116" s="25" t="str">
        <f>IF($Q116="","",INDEX(TRANSACTIONS_MASTER!$P$5:$P$1204,$Q116))</f>
        <v/>
      </c>
      <c r="M116" s="25" t="str">
        <f>IF($Q116="","",INDEX(TRANSACTIONS_MASTER!$AA$5:$AA$1204,$Q116))</f>
        <v/>
      </c>
      <c r="N116" s="25" t="str">
        <f>IF($Q116="","",INDEX(TRANSACTIONS_MASTER!$R$5:$R$1204,$Q116))</f>
        <v/>
      </c>
      <c r="O116" s="28" t="str">
        <f>IF($Q116="","",INDEX(TRANSACTIONS_MASTER!$AB$5:$AB$1204,$Q116))</f>
        <v/>
      </c>
      <c r="P116" s="55" t="str">
        <f>IF($Q116="","",INDEX(TRANSACTIONS_MASTER!$Z$5:$Z$1204,$Q116)&amp;"")</f>
        <v/>
      </c>
      <c r="Q116" s="67" t="str">
        <f>IFERROR(MATCH($C$2&amp;"|"&amp;109,TRANSACTIONS_MASTER!$AE$5:$AE$1204,0),"")</f>
        <v/>
      </c>
      <c r="S116" s="21" t="inlineStr">
        <is>
          <t>#</t>
        </is>
      </c>
      <c r="T116" s="21" t="inlineStr"/>
      <c r="U116" s="21" t="inlineStr">
        <is>
          <t>Danh mục</t>
        </is>
      </c>
      <c r="V116" s="21" t="inlineStr">
        <is>
          <t>Chi tiêu</t>
        </is>
      </c>
      <c r="W116" s="21" t="inlineStr">
        <is>
          <t>Cashback</t>
        </is>
      </c>
    </row>
    <row r="117">
      <c r="A117" s="81" t="str">
        <f>IF($Q117="","",110)</f>
        <v/>
      </c>
      <c r="B117" s="57" t="str">
        <f>IF($Q117="","",INDEX(TRANSACTIONS_MASTER!$B$5:$B$1204,$Q117))</f>
        <v/>
      </c>
      <c r="C117" s="55" t="str">
        <f>IF($Q117="","",INDEX(TRANSACTIONS_MASTER!$F$5:$F$1204,$Q117))</f>
        <v/>
      </c>
      <c r="D117" s="55" t="str">
        <f>IF($Q117="","",INDEX(TRANSACTIONS_MASTER!$E$5:$E$1204,$Q117))</f>
        <v/>
      </c>
      <c r="E117" s="55" t="str">
        <f>IF($Q117="","",INDEX(TRANSACTIONS_MASTER!$G$5:$G$1204,$Q117)&amp;"")</f>
        <v/>
      </c>
      <c r="F117" s="29" t="str">
        <f>IF($Q117="","",INDEX(TRANSACTIONS_MASTER!$I$5:$I$1204,$Q117))</f>
        <v/>
      </c>
      <c r="G117" s="55" t="str">
        <f>IF($Q117="","",INDEX(TRANSACTIONS_MASTER!$K$5:$K$1204,$Q117))</f>
        <v/>
      </c>
      <c r="H117" s="25" t="str">
        <f>IF($Q117="","",INDEX(TRANSACTIONS_MASTER!$L$5:$L$1204,$Q117))</f>
        <v/>
      </c>
      <c r="I117" s="56" t="str">
        <f>IF($Q117="","",INDEX(TRANSACTIONS_MASTER!$N$5:$N$1204,$Q117))</f>
        <v/>
      </c>
      <c r="J117" s="25" t="str">
        <f>IF($Q117="","",INDEX(TRANSACTIONS_MASTER!$O$5:$O$1204,$Q117))</f>
        <v/>
      </c>
      <c r="K117" s="26" t="str">
        <f>IF($Q117="","",INDEX(TRANSACTIONS_MASTER!$Q$5:$Q$1204,$Q117))</f>
        <v/>
      </c>
      <c r="L117" s="25" t="str">
        <f>IF($Q117="","",INDEX(TRANSACTIONS_MASTER!$P$5:$P$1204,$Q117))</f>
        <v/>
      </c>
      <c r="M117" s="25" t="str">
        <f>IF($Q117="","",INDEX(TRANSACTIONS_MASTER!$AA$5:$AA$1204,$Q117))</f>
        <v/>
      </c>
      <c r="N117" s="25" t="str">
        <f>IF($Q117="","",INDEX(TRANSACTIONS_MASTER!$R$5:$R$1204,$Q117))</f>
        <v/>
      </c>
      <c r="O117" s="28" t="str">
        <f>IF($Q117="","",INDEX(TRANSACTIONS_MASTER!$AB$5:$AB$1204,$Q117))</f>
        <v/>
      </c>
      <c r="P117" s="55" t="str">
        <f>IF($Q117="","",INDEX(TRANSACTIONS_MASTER!$Z$5:$Z$1204,$Q117)&amp;"")</f>
        <v/>
      </c>
      <c r="Q117" s="67" t="str">
        <f>IFERROR(MATCH($C$2&amp;"|"&amp;110,TRANSACTIONS_MASTER!$AE$5:$AE$1204,0),"")</f>
        <v/>
      </c>
      <c r="S117" s="67" t="str">
        <f>IFERROR(MATCH(1,INDEX((TRANSACTIONS_MASTER!$C$5:$C$1204=$C$2)*(TRANSACTIONS_MASTER!$AL$5:$AL$1204=1),0),0),"")</f>
        <v/>
      </c>
      <c r="T117" s="55" t="n"/>
      <c r="U117" s="55" t="str">
        <f>IF($S117="","",INDEX(TRANSACTIONS_MASTER!$K$5:$K$1204,$S117))</f>
        <v/>
      </c>
      <c r="V117" s="25" t="str">
        <f>IF($S117="","",SUMIFS(TRANSACTIONS_MASTER!$L$5:$L$1204,TRANSACTIONS_MASTER!$K$5:$K$1204,$U117,TRANSACTIONS_MASTER!$C$5:$C$1204,$C$2,TRANSACTIONS_MASTER!$U$5:$U$1204,"&lt;&gt;Cancelled"))</f>
        <v/>
      </c>
      <c r="W117" s="26" t="str">
        <f>IF($S117="","",SUMIFS(TRANSACTIONS_MASTER!$Q$5:$Q$1204,TRANSACTIONS_MASTER!$K$5:$K$1204,$U117,TRANSACTIONS_MASTER!$C$5:$C$1204,$C$2))</f>
        <v/>
      </c>
    </row>
    <row r="118">
      <c r="A118" s="81" t="str">
        <f>IF($Q118="","",111)</f>
        <v/>
      </c>
      <c r="B118" s="57" t="str">
        <f>IF($Q118="","",INDEX(TRANSACTIONS_MASTER!$B$5:$B$1204,$Q118))</f>
        <v/>
      </c>
      <c r="C118" s="55" t="str">
        <f>IF($Q118="","",INDEX(TRANSACTIONS_MASTER!$F$5:$F$1204,$Q118))</f>
        <v/>
      </c>
      <c r="D118" s="55" t="str">
        <f>IF($Q118="","",INDEX(TRANSACTIONS_MASTER!$E$5:$E$1204,$Q118))</f>
        <v/>
      </c>
      <c r="E118" s="55" t="str">
        <f>IF($Q118="","",INDEX(TRANSACTIONS_MASTER!$G$5:$G$1204,$Q118)&amp;"")</f>
        <v/>
      </c>
      <c r="F118" s="29" t="str">
        <f>IF($Q118="","",INDEX(TRANSACTIONS_MASTER!$I$5:$I$1204,$Q118))</f>
        <v/>
      </c>
      <c r="G118" s="55" t="str">
        <f>IF($Q118="","",INDEX(TRANSACTIONS_MASTER!$K$5:$K$1204,$Q118))</f>
        <v/>
      </c>
      <c r="H118" s="25" t="str">
        <f>IF($Q118="","",INDEX(TRANSACTIONS_MASTER!$L$5:$L$1204,$Q118))</f>
        <v/>
      </c>
      <c r="I118" s="56" t="str">
        <f>IF($Q118="","",INDEX(TRANSACTIONS_MASTER!$N$5:$N$1204,$Q118))</f>
        <v/>
      </c>
      <c r="J118" s="25" t="str">
        <f>IF($Q118="","",INDEX(TRANSACTIONS_MASTER!$O$5:$O$1204,$Q118))</f>
        <v/>
      </c>
      <c r="K118" s="26" t="str">
        <f>IF($Q118="","",INDEX(TRANSACTIONS_MASTER!$Q$5:$Q$1204,$Q118))</f>
        <v/>
      </c>
      <c r="L118" s="25" t="str">
        <f>IF($Q118="","",INDEX(TRANSACTIONS_MASTER!$P$5:$P$1204,$Q118))</f>
        <v/>
      </c>
      <c r="M118" s="25" t="str">
        <f>IF($Q118="","",INDEX(TRANSACTIONS_MASTER!$AA$5:$AA$1204,$Q118))</f>
        <v/>
      </c>
      <c r="N118" s="25" t="str">
        <f>IF($Q118="","",INDEX(TRANSACTIONS_MASTER!$R$5:$R$1204,$Q118))</f>
        <v/>
      </c>
      <c r="O118" s="28" t="str">
        <f>IF($Q118="","",INDEX(TRANSACTIONS_MASTER!$AB$5:$AB$1204,$Q118))</f>
        <v/>
      </c>
      <c r="P118" s="55" t="str">
        <f>IF($Q118="","",INDEX(TRANSACTIONS_MASTER!$Z$5:$Z$1204,$Q118)&amp;"")</f>
        <v/>
      </c>
      <c r="Q118" s="67" t="str">
        <f>IFERROR(MATCH($C$2&amp;"|"&amp;111,TRANSACTIONS_MASTER!$AE$5:$AE$1204,0),"")</f>
        <v/>
      </c>
      <c r="S118" s="67" t="str">
        <f>IFERROR(MATCH(1,INDEX((TRANSACTIONS_MASTER!$C$5:$C$1204=$C$2)*(TRANSACTIONS_MASTER!$AL$5:$AL$1204=2),0),0),"")</f>
        <v/>
      </c>
      <c r="T118" s="55" t="n"/>
      <c r="U118" s="55" t="str">
        <f>IF($S118="","",INDEX(TRANSACTIONS_MASTER!$K$5:$K$1204,$S118))</f>
        <v/>
      </c>
      <c r="V118" s="25" t="str">
        <f>IF($S118="","",SUMIFS(TRANSACTIONS_MASTER!$L$5:$L$1204,TRANSACTIONS_MASTER!$K$5:$K$1204,$U118,TRANSACTIONS_MASTER!$C$5:$C$1204,$C$2,TRANSACTIONS_MASTER!$U$5:$U$1204,"&lt;&gt;Cancelled"))</f>
        <v/>
      </c>
      <c r="W118" s="26" t="str">
        <f>IF($S118="","",SUMIFS(TRANSACTIONS_MASTER!$Q$5:$Q$1204,TRANSACTIONS_MASTER!$K$5:$K$1204,$U118,TRANSACTIONS_MASTER!$C$5:$C$1204,$C$2))</f>
        <v/>
      </c>
    </row>
    <row r="119">
      <c r="A119" s="81" t="str">
        <f>IF($Q119="","",112)</f>
        <v/>
      </c>
      <c r="B119" s="57" t="str">
        <f>IF($Q119="","",INDEX(TRANSACTIONS_MASTER!$B$5:$B$1204,$Q119))</f>
        <v/>
      </c>
      <c r="C119" s="55" t="str">
        <f>IF($Q119="","",INDEX(TRANSACTIONS_MASTER!$F$5:$F$1204,$Q119))</f>
        <v/>
      </c>
      <c r="D119" s="55" t="str">
        <f>IF($Q119="","",INDEX(TRANSACTIONS_MASTER!$E$5:$E$1204,$Q119))</f>
        <v/>
      </c>
      <c r="E119" s="55" t="str">
        <f>IF($Q119="","",INDEX(TRANSACTIONS_MASTER!$G$5:$G$1204,$Q119)&amp;"")</f>
        <v/>
      </c>
      <c r="F119" s="29" t="str">
        <f>IF($Q119="","",INDEX(TRANSACTIONS_MASTER!$I$5:$I$1204,$Q119))</f>
        <v/>
      </c>
      <c r="G119" s="55" t="str">
        <f>IF($Q119="","",INDEX(TRANSACTIONS_MASTER!$K$5:$K$1204,$Q119))</f>
        <v/>
      </c>
      <c r="H119" s="25" t="str">
        <f>IF($Q119="","",INDEX(TRANSACTIONS_MASTER!$L$5:$L$1204,$Q119))</f>
        <v/>
      </c>
      <c r="I119" s="56" t="str">
        <f>IF($Q119="","",INDEX(TRANSACTIONS_MASTER!$N$5:$N$1204,$Q119))</f>
        <v/>
      </c>
      <c r="J119" s="25" t="str">
        <f>IF($Q119="","",INDEX(TRANSACTIONS_MASTER!$O$5:$O$1204,$Q119))</f>
        <v/>
      </c>
      <c r="K119" s="26" t="str">
        <f>IF($Q119="","",INDEX(TRANSACTIONS_MASTER!$Q$5:$Q$1204,$Q119))</f>
        <v/>
      </c>
      <c r="L119" s="25" t="str">
        <f>IF($Q119="","",INDEX(TRANSACTIONS_MASTER!$P$5:$P$1204,$Q119))</f>
        <v/>
      </c>
      <c r="M119" s="25" t="str">
        <f>IF($Q119="","",INDEX(TRANSACTIONS_MASTER!$AA$5:$AA$1204,$Q119))</f>
        <v/>
      </c>
      <c r="N119" s="25" t="str">
        <f>IF($Q119="","",INDEX(TRANSACTIONS_MASTER!$R$5:$R$1204,$Q119))</f>
        <v/>
      </c>
      <c r="O119" s="28" t="str">
        <f>IF($Q119="","",INDEX(TRANSACTIONS_MASTER!$AB$5:$AB$1204,$Q119))</f>
        <v/>
      </c>
      <c r="P119" s="55" t="str">
        <f>IF($Q119="","",INDEX(TRANSACTIONS_MASTER!$Z$5:$Z$1204,$Q119)&amp;"")</f>
        <v/>
      </c>
      <c r="Q119" s="67" t="str">
        <f>IFERROR(MATCH($C$2&amp;"|"&amp;112,TRANSACTIONS_MASTER!$AE$5:$AE$1204,0),"")</f>
        <v/>
      </c>
      <c r="S119" s="67" t="str">
        <f>IFERROR(MATCH(1,INDEX((TRANSACTIONS_MASTER!$C$5:$C$1204=$C$2)*(TRANSACTIONS_MASTER!$AL$5:$AL$1204=3),0),0),"")</f>
        <v/>
      </c>
      <c r="T119" s="55" t="n"/>
      <c r="U119" s="55" t="str">
        <f>IF($S119="","",INDEX(TRANSACTIONS_MASTER!$K$5:$K$1204,$S119))</f>
        <v/>
      </c>
      <c r="V119" s="25" t="str">
        <f>IF($S119="","",SUMIFS(TRANSACTIONS_MASTER!$L$5:$L$1204,TRANSACTIONS_MASTER!$K$5:$K$1204,$U119,TRANSACTIONS_MASTER!$C$5:$C$1204,$C$2,TRANSACTIONS_MASTER!$U$5:$U$1204,"&lt;&gt;Cancelled"))</f>
        <v/>
      </c>
      <c r="W119" s="26" t="str">
        <f>IF($S119="","",SUMIFS(TRANSACTIONS_MASTER!$Q$5:$Q$1204,TRANSACTIONS_MASTER!$K$5:$K$1204,$U119,TRANSACTIONS_MASTER!$C$5:$C$1204,$C$2))</f>
        <v/>
      </c>
    </row>
    <row r="120">
      <c r="A120" s="81" t="str">
        <f>IF($Q120="","",113)</f>
        <v/>
      </c>
      <c r="B120" s="57" t="str">
        <f>IF($Q120="","",INDEX(TRANSACTIONS_MASTER!$B$5:$B$1204,$Q120))</f>
        <v/>
      </c>
      <c r="C120" s="55" t="str">
        <f>IF($Q120="","",INDEX(TRANSACTIONS_MASTER!$F$5:$F$1204,$Q120))</f>
        <v/>
      </c>
      <c r="D120" s="55" t="str">
        <f>IF($Q120="","",INDEX(TRANSACTIONS_MASTER!$E$5:$E$1204,$Q120))</f>
        <v/>
      </c>
      <c r="E120" s="55" t="str">
        <f>IF($Q120="","",INDEX(TRANSACTIONS_MASTER!$G$5:$G$1204,$Q120)&amp;"")</f>
        <v/>
      </c>
      <c r="F120" s="29" t="str">
        <f>IF($Q120="","",INDEX(TRANSACTIONS_MASTER!$I$5:$I$1204,$Q120))</f>
        <v/>
      </c>
      <c r="G120" s="55" t="str">
        <f>IF($Q120="","",INDEX(TRANSACTIONS_MASTER!$K$5:$K$1204,$Q120))</f>
        <v/>
      </c>
      <c r="H120" s="25" t="str">
        <f>IF($Q120="","",INDEX(TRANSACTIONS_MASTER!$L$5:$L$1204,$Q120))</f>
        <v/>
      </c>
      <c r="I120" s="56" t="str">
        <f>IF($Q120="","",INDEX(TRANSACTIONS_MASTER!$N$5:$N$1204,$Q120))</f>
        <v/>
      </c>
      <c r="J120" s="25" t="str">
        <f>IF($Q120="","",INDEX(TRANSACTIONS_MASTER!$O$5:$O$1204,$Q120))</f>
        <v/>
      </c>
      <c r="K120" s="26" t="str">
        <f>IF($Q120="","",INDEX(TRANSACTIONS_MASTER!$Q$5:$Q$1204,$Q120))</f>
        <v/>
      </c>
      <c r="L120" s="25" t="str">
        <f>IF($Q120="","",INDEX(TRANSACTIONS_MASTER!$P$5:$P$1204,$Q120))</f>
        <v/>
      </c>
      <c r="M120" s="25" t="str">
        <f>IF($Q120="","",INDEX(TRANSACTIONS_MASTER!$AA$5:$AA$1204,$Q120))</f>
        <v/>
      </c>
      <c r="N120" s="25" t="str">
        <f>IF($Q120="","",INDEX(TRANSACTIONS_MASTER!$R$5:$R$1204,$Q120))</f>
        <v/>
      </c>
      <c r="O120" s="28" t="str">
        <f>IF($Q120="","",INDEX(TRANSACTIONS_MASTER!$AB$5:$AB$1204,$Q120))</f>
        <v/>
      </c>
      <c r="P120" s="55" t="str">
        <f>IF($Q120="","",INDEX(TRANSACTIONS_MASTER!$Z$5:$Z$1204,$Q120)&amp;"")</f>
        <v/>
      </c>
      <c r="Q120" s="67" t="str">
        <f>IFERROR(MATCH($C$2&amp;"|"&amp;113,TRANSACTIONS_MASTER!$AE$5:$AE$1204,0),"")</f>
        <v/>
      </c>
      <c r="S120" s="67" t="str">
        <f>IFERROR(MATCH(1,INDEX((TRANSACTIONS_MASTER!$C$5:$C$1204=$C$2)*(TRANSACTIONS_MASTER!$AL$5:$AL$1204=4),0),0),"")</f>
        <v/>
      </c>
      <c r="T120" s="55" t="n"/>
      <c r="U120" s="55" t="str">
        <f>IF($S120="","",INDEX(TRANSACTIONS_MASTER!$K$5:$K$1204,$S120))</f>
        <v/>
      </c>
      <c r="V120" s="25" t="str">
        <f>IF($S120="","",SUMIFS(TRANSACTIONS_MASTER!$L$5:$L$1204,TRANSACTIONS_MASTER!$K$5:$K$1204,$U120,TRANSACTIONS_MASTER!$C$5:$C$1204,$C$2,TRANSACTIONS_MASTER!$U$5:$U$1204,"&lt;&gt;Cancelled"))</f>
        <v/>
      </c>
      <c r="W120" s="26" t="str">
        <f>IF($S120="","",SUMIFS(TRANSACTIONS_MASTER!$Q$5:$Q$1204,TRANSACTIONS_MASTER!$K$5:$K$1204,$U120,TRANSACTIONS_MASTER!$C$5:$C$1204,$C$2))</f>
        <v/>
      </c>
    </row>
    <row r="121">
      <c r="A121" s="81" t="str">
        <f>IF($Q121="","",114)</f>
        <v/>
      </c>
      <c r="B121" s="57" t="str">
        <f>IF($Q121="","",INDEX(TRANSACTIONS_MASTER!$B$5:$B$1204,$Q121))</f>
        <v/>
      </c>
      <c r="C121" s="55" t="str">
        <f>IF($Q121="","",INDEX(TRANSACTIONS_MASTER!$F$5:$F$1204,$Q121))</f>
        <v/>
      </c>
      <c r="D121" s="55" t="str">
        <f>IF($Q121="","",INDEX(TRANSACTIONS_MASTER!$E$5:$E$1204,$Q121))</f>
        <v/>
      </c>
      <c r="E121" s="55" t="str">
        <f>IF($Q121="","",INDEX(TRANSACTIONS_MASTER!$G$5:$G$1204,$Q121)&amp;"")</f>
        <v/>
      </c>
      <c r="F121" s="29" t="str">
        <f>IF($Q121="","",INDEX(TRANSACTIONS_MASTER!$I$5:$I$1204,$Q121))</f>
        <v/>
      </c>
      <c r="G121" s="55" t="str">
        <f>IF($Q121="","",INDEX(TRANSACTIONS_MASTER!$K$5:$K$1204,$Q121))</f>
        <v/>
      </c>
      <c r="H121" s="25" t="str">
        <f>IF($Q121="","",INDEX(TRANSACTIONS_MASTER!$L$5:$L$1204,$Q121))</f>
        <v/>
      </c>
      <c r="I121" s="56" t="str">
        <f>IF($Q121="","",INDEX(TRANSACTIONS_MASTER!$N$5:$N$1204,$Q121))</f>
        <v/>
      </c>
      <c r="J121" s="25" t="str">
        <f>IF($Q121="","",INDEX(TRANSACTIONS_MASTER!$O$5:$O$1204,$Q121))</f>
        <v/>
      </c>
      <c r="K121" s="26" t="str">
        <f>IF($Q121="","",INDEX(TRANSACTIONS_MASTER!$Q$5:$Q$1204,$Q121))</f>
        <v/>
      </c>
      <c r="L121" s="25" t="str">
        <f>IF($Q121="","",INDEX(TRANSACTIONS_MASTER!$P$5:$P$1204,$Q121))</f>
        <v/>
      </c>
      <c r="M121" s="25" t="str">
        <f>IF($Q121="","",INDEX(TRANSACTIONS_MASTER!$AA$5:$AA$1204,$Q121))</f>
        <v/>
      </c>
      <c r="N121" s="25" t="str">
        <f>IF($Q121="","",INDEX(TRANSACTIONS_MASTER!$R$5:$R$1204,$Q121))</f>
        <v/>
      </c>
      <c r="O121" s="28" t="str">
        <f>IF($Q121="","",INDEX(TRANSACTIONS_MASTER!$AB$5:$AB$1204,$Q121))</f>
        <v/>
      </c>
      <c r="P121" s="55" t="str">
        <f>IF($Q121="","",INDEX(TRANSACTIONS_MASTER!$Z$5:$Z$1204,$Q121)&amp;"")</f>
        <v/>
      </c>
      <c r="Q121" s="67" t="str">
        <f>IFERROR(MATCH($C$2&amp;"|"&amp;114,TRANSACTIONS_MASTER!$AE$5:$AE$1204,0),"")</f>
        <v/>
      </c>
      <c r="S121" s="67" t="str">
        <f>IFERROR(MATCH(1,INDEX((TRANSACTIONS_MASTER!$C$5:$C$1204=$C$2)*(TRANSACTIONS_MASTER!$AL$5:$AL$1204=5),0),0),"")</f>
        <v/>
      </c>
      <c r="T121" s="55" t="n"/>
      <c r="U121" s="55" t="str">
        <f>IF($S121="","",INDEX(TRANSACTIONS_MASTER!$K$5:$K$1204,$S121))</f>
        <v/>
      </c>
      <c r="V121" s="25" t="str">
        <f>IF($S121="","",SUMIFS(TRANSACTIONS_MASTER!$L$5:$L$1204,TRANSACTIONS_MASTER!$K$5:$K$1204,$U121,TRANSACTIONS_MASTER!$C$5:$C$1204,$C$2,TRANSACTIONS_MASTER!$U$5:$U$1204,"&lt;&gt;Cancelled"))</f>
        <v/>
      </c>
      <c r="W121" s="26" t="str">
        <f>IF($S121="","",SUMIFS(TRANSACTIONS_MASTER!$Q$5:$Q$1204,TRANSACTIONS_MASTER!$K$5:$K$1204,$U121,TRANSACTIONS_MASTER!$C$5:$C$1204,$C$2))</f>
        <v/>
      </c>
    </row>
    <row r="122">
      <c r="A122" s="81" t="str">
        <f>IF($Q122="","",115)</f>
        <v/>
      </c>
      <c r="B122" s="57" t="str">
        <f>IF($Q122="","",INDEX(TRANSACTIONS_MASTER!$B$5:$B$1204,$Q122))</f>
        <v/>
      </c>
      <c r="C122" s="55" t="str">
        <f>IF($Q122="","",INDEX(TRANSACTIONS_MASTER!$F$5:$F$1204,$Q122))</f>
        <v/>
      </c>
      <c r="D122" s="55" t="str">
        <f>IF($Q122="","",INDEX(TRANSACTIONS_MASTER!$E$5:$E$1204,$Q122))</f>
        <v/>
      </c>
      <c r="E122" s="55" t="str">
        <f>IF($Q122="","",INDEX(TRANSACTIONS_MASTER!$G$5:$G$1204,$Q122)&amp;"")</f>
        <v/>
      </c>
      <c r="F122" s="29" t="str">
        <f>IF($Q122="","",INDEX(TRANSACTIONS_MASTER!$I$5:$I$1204,$Q122))</f>
        <v/>
      </c>
      <c r="G122" s="55" t="str">
        <f>IF($Q122="","",INDEX(TRANSACTIONS_MASTER!$K$5:$K$1204,$Q122))</f>
        <v/>
      </c>
      <c r="H122" s="25" t="str">
        <f>IF($Q122="","",INDEX(TRANSACTIONS_MASTER!$L$5:$L$1204,$Q122))</f>
        <v/>
      </c>
      <c r="I122" s="56" t="str">
        <f>IF($Q122="","",INDEX(TRANSACTIONS_MASTER!$N$5:$N$1204,$Q122))</f>
        <v/>
      </c>
      <c r="J122" s="25" t="str">
        <f>IF($Q122="","",INDEX(TRANSACTIONS_MASTER!$O$5:$O$1204,$Q122))</f>
        <v/>
      </c>
      <c r="K122" s="26" t="str">
        <f>IF($Q122="","",INDEX(TRANSACTIONS_MASTER!$Q$5:$Q$1204,$Q122))</f>
        <v/>
      </c>
      <c r="L122" s="25" t="str">
        <f>IF($Q122="","",INDEX(TRANSACTIONS_MASTER!$P$5:$P$1204,$Q122))</f>
        <v/>
      </c>
      <c r="M122" s="25" t="str">
        <f>IF($Q122="","",INDEX(TRANSACTIONS_MASTER!$AA$5:$AA$1204,$Q122))</f>
        <v/>
      </c>
      <c r="N122" s="25" t="str">
        <f>IF($Q122="","",INDEX(TRANSACTIONS_MASTER!$R$5:$R$1204,$Q122))</f>
        <v/>
      </c>
      <c r="O122" s="28" t="str">
        <f>IF($Q122="","",INDEX(TRANSACTIONS_MASTER!$AB$5:$AB$1204,$Q122))</f>
        <v/>
      </c>
      <c r="P122" s="55" t="str">
        <f>IF($Q122="","",INDEX(TRANSACTIONS_MASTER!$Z$5:$Z$1204,$Q122)&amp;"")</f>
        <v/>
      </c>
      <c r="Q122" s="67" t="str">
        <f>IFERROR(MATCH($C$2&amp;"|"&amp;115,TRANSACTIONS_MASTER!$AE$5:$AE$1204,0),"")</f>
        <v/>
      </c>
      <c r="S122" s="67" t="str">
        <f>IFERROR(MATCH(1,INDEX((TRANSACTIONS_MASTER!$C$5:$C$1204=$C$2)*(TRANSACTIONS_MASTER!$AL$5:$AL$1204=6),0),0),"")</f>
        <v/>
      </c>
      <c r="T122" s="55" t="n"/>
      <c r="U122" s="55" t="str">
        <f>IF($S122="","",INDEX(TRANSACTIONS_MASTER!$K$5:$K$1204,$S122))</f>
        <v/>
      </c>
      <c r="V122" s="25" t="str">
        <f>IF($S122="","",SUMIFS(TRANSACTIONS_MASTER!$L$5:$L$1204,TRANSACTIONS_MASTER!$K$5:$K$1204,$U122,TRANSACTIONS_MASTER!$C$5:$C$1204,$C$2,TRANSACTIONS_MASTER!$U$5:$U$1204,"&lt;&gt;Cancelled"))</f>
        <v/>
      </c>
      <c r="W122" s="26" t="str">
        <f>IF($S122="","",SUMIFS(TRANSACTIONS_MASTER!$Q$5:$Q$1204,TRANSACTIONS_MASTER!$K$5:$K$1204,$U122,TRANSACTIONS_MASTER!$C$5:$C$1204,$C$2))</f>
        <v/>
      </c>
    </row>
    <row r="123">
      <c r="A123" s="81" t="str">
        <f>IF($Q123="","",116)</f>
        <v/>
      </c>
      <c r="B123" s="57" t="str">
        <f>IF($Q123="","",INDEX(TRANSACTIONS_MASTER!$B$5:$B$1204,$Q123))</f>
        <v/>
      </c>
      <c r="C123" s="55" t="str">
        <f>IF($Q123="","",INDEX(TRANSACTIONS_MASTER!$F$5:$F$1204,$Q123))</f>
        <v/>
      </c>
      <c r="D123" s="55" t="str">
        <f>IF($Q123="","",INDEX(TRANSACTIONS_MASTER!$E$5:$E$1204,$Q123))</f>
        <v/>
      </c>
      <c r="E123" s="55" t="str">
        <f>IF($Q123="","",INDEX(TRANSACTIONS_MASTER!$G$5:$G$1204,$Q123)&amp;"")</f>
        <v/>
      </c>
      <c r="F123" s="29" t="str">
        <f>IF($Q123="","",INDEX(TRANSACTIONS_MASTER!$I$5:$I$1204,$Q123))</f>
        <v/>
      </c>
      <c r="G123" s="55" t="str">
        <f>IF($Q123="","",INDEX(TRANSACTIONS_MASTER!$K$5:$K$1204,$Q123))</f>
        <v/>
      </c>
      <c r="H123" s="25" t="str">
        <f>IF($Q123="","",INDEX(TRANSACTIONS_MASTER!$L$5:$L$1204,$Q123))</f>
        <v/>
      </c>
      <c r="I123" s="56" t="str">
        <f>IF($Q123="","",INDEX(TRANSACTIONS_MASTER!$N$5:$N$1204,$Q123))</f>
        <v/>
      </c>
      <c r="J123" s="25" t="str">
        <f>IF($Q123="","",INDEX(TRANSACTIONS_MASTER!$O$5:$O$1204,$Q123))</f>
        <v/>
      </c>
      <c r="K123" s="26" t="str">
        <f>IF($Q123="","",INDEX(TRANSACTIONS_MASTER!$Q$5:$Q$1204,$Q123))</f>
        <v/>
      </c>
      <c r="L123" s="25" t="str">
        <f>IF($Q123="","",INDEX(TRANSACTIONS_MASTER!$P$5:$P$1204,$Q123))</f>
        <v/>
      </c>
      <c r="M123" s="25" t="str">
        <f>IF($Q123="","",INDEX(TRANSACTIONS_MASTER!$AA$5:$AA$1204,$Q123))</f>
        <v/>
      </c>
      <c r="N123" s="25" t="str">
        <f>IF($Q123="","",INDEX(TRANSACTIONS_MASTER!$R$5:$R$1204,$Q123))</f>
        <v/>
      </c>
      <c r="O123" s="28" t="str">
        <f>IF($Q123="","",INDEX(TRANSACTIONS_MASTER!$AB$5:$AB$1204,$Q123))</f>
        <v/>
      </c>
      <c r="P123" s="55" t="str">
        <f>IF($Q123="","",INDEX(TRANSACTIONS_MASTER!$Z$5:$Z$1204,$Q123)&amp;"")</f>
        <v/>
      </c>
      <c r="Q123" s="67" t="str">
        <f>IFERROR(MATCH($C$2&amp;"|"&amp;116,TRANSACTIONS_MASTER!$AE$5:$AE$1204,0),"")</f>
        <v/>
      </c>
      <c r="S123" s="67" t="str">
        <f>IFERROR(MATCH(1,INDEX((TRANSACTIONS_MASTER!$C$5:$C$1204=$C$2)*(TRANSACTIONS_MASTER!$AL$5:$AL$1204=7),0),0),"")</f>
        <v/>
      </c>
      <c r="T123" s="55" t="n"/>
      <c r="U123" s="55" t="str">
        <f>IF($S123="","",INDEX(TRANSACTIONS_MASTER!$K$5:$K$1204,$S123))</f>
        <v/>
      </c>
      <c r="V123" s="25" t="str">
        <f>IF($S123="","",SUMIFS(TRANSACTIONS_MASTER!$L$5:$L$1204,TRANSACTIONS_MASTER!$K$5:$K$1204,$U123,TRANSACTIONS_MASTER!$C$5:$C$1204,$C$2,TRANSACTIONS_MASTER!$U$5:$U$1204,"&lt;&gt;Cancelled"))</f>
        <v/>
      </c>
      <c r="W123" s="26" t="str">
        <f>IF($S123="","",SUMIFS(TRANSACTIONS_MASTER!$Q$5:$Q$1204,TRANSACTIONS_MASTER!$K$5:$K$1204,$U123,TRANSACTIONS_MASTER!$C$5:$C$1204,$C$2))</f>
        <v/>
      </c>
    </row>
    <row r="124">
      <c r="A124" s="81" t="str">
        <f>IF($Q124="","",117)</f>
        <v/>
      </c>
      <c r="B124" s="57" t="str">
        <f>IF($Q124="","",INDEX(TRANSACTIONS_MASTER!$B$5:$B$1204,$Q124))</f>
        <v/>
      </c>
      <c r="C124" s="55" t="str">
        <f>IF($Q124="","",INDEX(TRANSACTIONS_MASTER!$F$5:$F$1204,$Q124))</f>
        <v/>
      </c>
      <c r="D124" s="55" t="str">
        <f>IF($Q124="","",INDEX(TRANSACTIONS_MASTER!$E$5:$E$1204,$Q124))</f>
        <v/>
      </c>
      <c r="E124" s="55" t="str">
        <f>IF($Q124="","",INDEX(TRANSACTIONS_MASTER!$G$5:$G$1204,$Q124)&amp;"")</f>
        <v/>
      </c>
      <c r="F124" s="29" t="str">
        <f>IF($Q124="","",INDEX(TRANSACTIONS_MASTER!$I$5:$I$1204,$Q124))</f>
        <v/>
      </c>
      <c r="G124" s="55" t="str">
        <f>IF($Q124="","",INDEX(TRANSACTIONS_MASTER!$K$5:$K$1204,$Q124))</f>
        <v/>
      </c>
      <c r="H124" s="25" t="str">
        <f>IF($Q124="","",INDEX(TRANSACTIONS_MASTER!$L$5:$L$1204,$Q124))</f>
        <v/>
      </c>
      <c r="I124" s="56" t="str">
        <f>IF($Q124="","",INDEX(TRANSACTIONS_MASTER!$N$5:$N$1204,$Q124))</f>
        <v/>
      </c>
      <c r="J124" s="25" t="str">
        <f>IF($Q124="","",INDEX(TRANSACTIONS_MASTER!$O$5:$O$1204,$Q124))</f>
        <v/>
      </c>
      <c r="K124" s="26" t="str">
        <f>IF($Q124="","",INDEX(TRANSACTIONS_MASTER!$Q$5:$Q$1204,$Q124))</f>
        <v/>
      </c>
      <c r="L124" s="25" t="str">
        <f>IF($Q124="","",INDEX(TRANSACTIONS_MASTER!$P$5:$P$1204,$Q124))</f>
        <v/>
      </c>
      <c r="M124" s="25" t="str">
        <f>IF($Q124="","",INDEX(TRANSACTIONS_MASTER!$AA$5:$AA$1204,$Q124))</f>
        <v/>
      </c>
      <c r="N124" s="25" t="str">
        <f>IF($Q124="","",INDEX(TRANSACTIONS_MASTER!$R$5:$R$1204,$Q124))</f>
        <v/>
      </c>
      <c r="O124" s="28" t="str">
        <f>IF($Q124="","",INDEX(TRANSACTIONS_MASTER!$AB$5:$AB$1204,$Q124))</f>
        <v/>
      </c>
      <c r="P124" s="55" t="str">
        <f>IF($Q124="","",INDEX(TRANSACTIONS_MASTER!$Z$5:$Z$1204,$Q124)&amp;"")</f>
        <v/>
      </c>
      <c r="Q124" s="67" t="str">
        <f>IFERROR(MATCH($C$2&amp;"|"&amp;117,TRANSACTIONS_MASTER!$AE$5:$AE$1204,0),"")</f>
        <v/>
      </c>
      <c r="S124" s="67" t="str">
        <f>IFERROR(MATCH(1,INDEX((TRANSACTIONS_MASTER!$C$5:$C$1204=$C$2)*(TRANSACTIONS_MASTER!$AL$5:$AL$1204=8),0),0),"")</f>
        <v/>
      </c>
      <c r="T124" s="55" t="n"/>
      <c r="U124" s="55" t="str">
        <f>IF($S124="","",INDEX(TRANSACTIONS_MASTER!$K$5:$K$1204,$S124))</f>
        <v/>
      </c>
      <c r="V124" s="25" t="str">
        <f>IF($S124="","",SUMIFS(TRANSACTIONS_MASTER!$L$5:$L$1204,TRANSACTIONS_MASTER!$K$5:$K$1204,$U124,TRANSACTIONS_MASTER!$C$5:$C$1204,$C$2,TRANSACTIONS_MASTER!$U$5:$U$1204,"&lt;&gt;Cancelled"))</f>
        <v/>
      </c>
      <c r="W124" s="26" t="str">
        <f>IF($S124="","",SUMIFS(TRANSACTIONS_MASTER!$Q$5:$Q$1204,TRANSACTIONS_MASTER!$K$5:$K$1204,$U124,TRANSACTIONS_MASTER!$C$5:$C$1204,$C$2))</f>
        <v/>
      </c>
    </row>
    <row r="125">
      <c r="A125" s="81" t="str">
        <f>IF($Q125="","",118)</f>
        <v/>
      </c>
      <c r="B125" s="57" t="str">
        <f>IF($Q125="","",INDEX(TRANSACTIONS_MASTER!$B$5:$B$1204,$Q125))</f>
        <v/>
      </c>
      <c r="C125" s="55" t="str">
        <f>IF($Q125="","",INDEX(TRANSACTIONS_MASTER!$F$5:$F$1204,$Q125))</f>
        <v/>
      </c>
      <c r="D125" s="55" t="str">
        <f>IF($Q125="","",INDEX(TRANSACTIONS_MASTER!$E$5:$E$1204,$Q125))</f>
        <v/>
      </c>
      <c r="E125" s="55" t="str">
        <f>IF($Q125="","",INDEX(TRANSACTIONS_MASTER!$G$5:$G$1204,$Q125)&amp;"")</f>
        <v/>
      </c>
      <c r="F125" s="29" t="str">
        <f>IF($Q125="","",INDEX(TRANSACTIONS_MASTER!$I$5:$I$1204,$Q125))</f>
        <v/>
      </c>
      <c r="G125" s="55" t="str">
        <f>IF($Q125="","",INDEX(TRANSACTIONS_MASTER!$K$5:$K$1204,$Q125))</f>
        <v/>
      </c>
      <c r="H125" s="25" t="str">
        <f>IF($Q125="","",INDEX(TRANSACTIONS_MASTER!$L$5:$L$1204,$Q125))</f>
        <v/>
      </c>
      <c r="I125" s="56" t="str">
        <f>IF($Q125="","",INDEX(TRANSACTIONS_MASTER!$N$5:$N$1204,$Q125))</f>
        <v/>
      </c>
      <c r="J125" s="25" t="str">
        <f>IF($Q125="","",INDEX(TRANSACTIONS_MASTER!$O$5:$O$1204,$Q125))</f>
        <v/>
      </c>
      <c r="K125" s="26" t="str">
        <f>IF($Q125="","",INDEX(TRANSACTIONS_MASTER!$Q$5:$Q$1204,$Q125))</f>
        <v/>
      </c>
      <c r="L125" s="25" t="str">
        <f>IF($Q125="","",INDEX(TRANSACTIONS_MASTER!$P$5:$P$1204,$Q125))</f>
        <v/>
      </c>
      <c r="M125" s="25" t="str">
        <f>IF($Q125="","",INDEX(TRANSACTIONS_MASTER!$AA$5:$AA$1204,$Q125))</f>
        <v/>
      </c>
      <c r="N125" s="25" t="str">
        <f>IF($Q125="","",INDEX(TRANSACTIONS_MASTER!$R$5:$R$1204,$Q125))</f>
        <v/>
      </c>
      <c r="O125" s="28" t="str">
        <f>IF($Q125="","",INDEX(TRANSACTIONS_MASTER!$AB$5:$AB$1204,$Q125))</f>
        <v/>
      </c>
      <c r="P125" s="55" t="str">
        <f>IF($Q125="","",INDEX(TRANSACTIONS_MASTER!$Z$5:$Z$1204,$Q125)&amp;"")</f>
        <v/>
      </c>
      <c r="Q125" s="67" t="str">
        <f>IFERROR(MATCH($C$2&amp;"|"&amp;118,TRANSACTIONS_MASTER!$AE$5:$AE$1204,0),"")</f>
        <v/>
      </c>
      <c r="S125" s="67" t="str">
        <f>IFERROR(MATCH(1,INDEX((TRANSACTIONS_MASTER!$C$5:$C$1204=$C$2)*(TRANSACTIONS_MASTER!$AL$5:$AL$1204=9),0),0),"")</f>
        <v/>
      </c>
      <c r="T125" s="55" t="n"/>
      <c r="U125" s="55" t="str">
        <f>IF($S125="","",INDEX(TRANSACTIONS_MASTER!$K$5:$K$1204,$S125))</f>
        <v/>
      </c>
      <c r="V125" s="25" t="str">
        <f>IF($S125="","",SUMIFS(TRANSACTIONS_MASTER!$L$5:$L$1204,TRANSACTIONS_MASTER!$K$5:$K$1204,$U125,TRANSACTIONS_MASTER!$C$5:$C$1204,$C$2,TRANSACTIONS_MASTER!$U$5:$U$1204,"&lt;&gt;Cancelled"))</f>
        <v/>
      </c>
      <c r="W125" s="26" t="str">
        <f>IF($S125="","",SUMIFS(TRANSACTIONS_MASTER!$Q$5:$Q$1204,TRANSACTIONS_MASTER!$K$5:$K$1204,$U125,TRANSACTIONS_MASTER!$C$5:$C$1204,$C$2))</f>
        <v/>
      </c>
    </row>
    <row r="126">
      <c r="A126" s="81" t="str">
        <f>IF($Q126="","",119)</f>
        <v/>
      </c>
      <c r="B126" s="57" t="str">
        <f>IF($Q126="","",INDEX(TRANSACTIONS_MASTER!$B$5:$B$1204,$Q126))</f>
        <v/>
      </c>
      <c r="C126" s="55" t="str">
        <f>IF($Q126="","",INDEX(TRANSACTIONS_MASTER!$F$5:$F$1204,$Q126))</f>
        <v/>
      </c>
      <c r="D126" s="55" t="str">
        <f>IF($Q126="","",INDEX(TRANSACTIONS_MASTER!$E$5:$E$1204,$Q126))</f>
        <v/>
      </c>
      <c r="E126" s="55" t="str">
        <f>IF($Q126="","",INDEX(TRANSACTIONS_MASTER!$G$5:$G$1204,$Q126)&amp;"")</f>
        <v/>
      </c>
      <c r="F126" s="29" t="str">
        <f>IF($Q126="","",INDEX(TRANSACTIONS_MASTER!$I$5:$I$1204,$Q126))</f>
        <v/>
      </c>
      <c r="G126" s="55" t="str">
        <f>IF($Q126="","",INDEX(TRANSACTIONS_MASTER!$K$5:$K$1204,$Q126))</f>
        <v/>
      </c>
      <c r="H126" s="25" t="str">
        <f>IF($Q126="","",INDEX(TRANSACTIONS_MASTER!$L$5:$L$1204,$Q126))</f>
        <v/>
      </c>
      <c r="I126" s="56" t="str">
        <f>IF($Q126="","",INDEX(TRANSACTIONS_MASTER!$N$5:$N$1204,$Q126))</f>
        <v/>
      </c>
      <c r="J126" s="25" t="str">
        <f>IF($Q126="","",INDEX(TRANSACTIONS_MASTER!$O$5:$O$1204,$Q126))</f>
        <v/>
      </c>
      <c r="K126" s="26" t="str">
        <f>IF($Q126="","",INDEX(TRANSACTIONS_MASTER!$Q$5:$Q$1204,$Q126))</f>
        <v/>
      </c>
      <c r="L126" s="25" t="str">
        <f>IF($Q126="","",INDEX(TRANSACTIONS_MASTER!$P$5:$P$1204,$Q126))</f>
        <v/>
      </c>
      <c r="M126" s="25" t="str">
        <f>IF($Q126="","",INDEX(TRANSACTIONS_MASTER!$AA$5:$AA$1204,$Q126))</f>
        <v/>
      </c>
      <c r="N126" s="25" t="str">
        <f>IF($Q126="","",INDEX(TRANSACTIONS_MASTER!$R$5:$R$1204,$Q126))</f>
        <v/>
      </c>
      <c r="O126" s="28" t="str">
        <f>IF($Q126="","",INDEX(TRANSACTIONS_MASTER!$AB$5:$AB$1204,$Q126))</f>
        <v/>
      </c>
      <c r="P126" s="55" t="str">
        <f>IF($Q126="","",INDEX(TRANSACTIONS_MASTER!$Z$5:$Z$1204,$Q126)&amp;"")</f>
        <v/>
      </c>
      <c r="Q126" s="67" t="str">
        <f>IFERROR(MATCH($C$2&amp;"|"&amp;119,TRANSACTIONS_MASTER!$AE$5:$AE$1204,0),"")</f>
        <v/>
      </c>
      <c r="S126" s="67" t="str">
        <f>IFERROR(MATCH(1,INDEX((TRANSACTIONS_MASTER!$C$5:$C$1204=$C$2)*(TRANSACTIONS_MASTER!$AL$5:$AL$1204=10),0),0),"")</f>
        <v/>
      </c>
      <c r="T126" s="55" t="n"/>
      <c r="U126" s="55" t="str">
        <f>IF($S126="","",INDEX(TRANSACTIONS_MASTER!$K$5:$K$1204,$S126))</f>
        <v/>
      </c>
      <c r="V126" s="25" t="str">
        <f>IF($S126="","",SUMIFS(TRANSACTIONS_MASTER!$L$5:$L$1204,TRANSACTIONS_MASTER!$K$5:$K$1204,$U126,TRANSACTIONS_MASTER!$C$5:$C$1204,$C$2,TRANSACTIONS_MASTER!$U$5:$U$1204,"&lt;&gt;Cancelled"))</f>
        <v/>
      </c>
      <c r="W126" s="26" t="str">
        <f>IF($S126="","",SUMIFS(TRANSACTIONS_MASTER!$Q$5:$Q$1204,TRANSACTIONS_MASTER!$K$5:$K$1204,$U126,TRANSACTIONS_MASTER!$C$5:$C$1204,$C$2))</f>
        <v/>
      </c>
    </row>
    <row r="127">
      <c r="A127" s="81" t="str">
        <f>IF($Q127="","",120)</f>
        <v/>
      </c>
      <c r="B127" s="57" t="str">
        <f>IF($Q127="","",INDEX(TRANSACTIONS_MASTER!$B$5:$B$1204,$Q127))</f>
        <v/>
      </c>
      <c r="C127" s="55" t="str">
        <f>IF($Q127="","",INDEX(TRANSACTIONS_MASTER!$F$5:$F$1204,$Q127))</f>
        <v/>
      </c>
      <c r="D127" s="55" t="str">
        <f>IF($Q127="","",INDEX(TRANSACTIONS_MASTER!$E$5:$E$1204,$Q127))</f>
        <v/>
      </c>
      <c r="E127" s="55" t="str">
        <f>IF($Q127="","",INDEX(TRANSACTIONS_MASTER!$G$5:$G$1204,$Q127)&amp;"")</f>
        <v/>
      </c>
      <c r="F127" s="29" t="str">
        <f>IF($Q127="","",INDEX(TRANSACTIONS_MASTER!$I$5:$I$1204,$Q127))</f>
        <v/>
      </c>
      <c r="G127" s="55" t="str">
        <f>IF($Q127="","",INDEX(TRANSACTIONS_MASTER!$K$5:$K$1204,$Q127))</f>
        <v/>
      </c>
      <c r="H127" s="25" t="str">
        <f>IF($Q127="","",INDEX(TRANSACTIONS_MASTER!$L$5:$L$1204,$Q127))</f>
        <v/>
      </c>
      <c r="I127" s="56" t="str">
        <f>IF($Q127="","",INDEX(TRANSACTIONS_MASTER!$N$5:$N$1204,$Q127))</f>
        <v/>
      </c>
      <c r="J127" s="25" t="str">
        <f>IF($Q127="","",INDEX(TRANSACTIONS_MASTER!$O$5:$O$1204,$Q127))</f>
        <v/>
      </c>
      <c r="K127" s="26" t="str">
        <f>IF($Q127="","",INDEX(TRANSACTIONS_MASTER!$Q$5:$Q$1204,$Q127))</f>
        <v/>
      </c>
      <c r="L127" s="25" t="str">
        <f>IF($Q127="","",INDEX(TRANSACTIONS_MASTER!$P$5:$P$1204,$Q127))</f>
        <v/>
      </c>
      <c r="M127" s="25" t="str">
        <f>IF($Q127="","",INDEX(TRANSACTIONS_MASTER!$AA$5:$AA$1204,$Q127))</f>
        <v/>
      </c>
      <c r="N127" s="25" t="str">
        <f>IF($Q127="","",INDEX(TRANSACTIONS_MASTER!$R$5:$R$1204,$Q127))</f>
        <v/>
      </c>
      <c r="O127" s="28" t="str">
        <f>IF($Q127="","",INDEX(TRANSACTIONS_MASTER!$AB$5:$AB$1204,$Q127))</f>
        <v/>
      </c>
      <c r="P127" s="55" t="str">
        <f>IF($Q127="","",INDEX(TRANSACTIONS_MASTER!$Z$5:$Z$1204,$Q127)&amp;"")</f>
        <v/>
      </c>
      <c r="Q127" s="67" t="str">
        <f>IFERROR(MATCH($C$2&amp;"|"&amp;120,TRANSACTIONS_MASTER!$AE$5:$AE$1204,0),"")</f>
        <v/>
      </c>
      <c r="S127" s="67" t="str">
        <f>IFERROR(MATCH(1,INDEX((TRANSACTIONS_MASTER!$C$5:$C$1204=$C$2)*(TRANSACTIONS_MASTER!$AL$5:$AL$1204=11),0),0),"")</f>
        <v/>
      </c>
      <c r="T127" s="55" t="n"/>
      <c r="U127" s="55" t="str">
        <f>IF($S127="","",INDEX(TRANSACTIONS_MASTER!$K$5:$K$1204,$S127))</f>
        <v/>
      </c>
      <c r="V127" s="25" t="str">
        <f>IF($S127="","",SUMIFS(TRANSACTIONS_MASTER!$L$5:$L$1204,TRANSACTIONS_MASTER!$K$5:$K$1204,$U127,TRANSACTIONS_MASTER!$C$5:$C$1204,$C$2,TRANSACTIONS_MASTER!$U$5:$U$1204,"&lt;&gt;Cancelled"))</f>
        <v/>
      </c>
      <c r="W127" s="26" t="str">
        <f>IF($S127="","",SUMIFS(TRANSACTIONS_MASTER!$Q$5:$Q$1204,TRANSACTIONS_MASTER!$K$5:$K$1204,$U127,TRANSACTIONS_MASTER!$C$5:$C$1204,$C$2))</f>
        <v/>
      </c>
    </row>
    <row r="128">
      <c r="A128" s="81" t="str">
        <f>IF($Q128="","",121)</f>
        <v/>
      </c>
      <c r="B128" s="57" t="str">
        <f>IF($Q128="","",INDEX(TRANSACTIONS_MASTER!$B$5:$B$1204,$Q128))</f>
        <v/>
      </c>
      <c r="C128" s="55" t="str">
        <f>IF($Q128="","",INDEX(TRANSACTIONS_MASTER!$F$5:$F$1204,$Q128))</f>
        <v/>
      </c>
      <c r="D128" s="55" t="str">
        <f>IF($Q128="","",INDEX(TRANSACTIONS_MASTER!$E$5:$E$1204,$Q128))</f>
        <v/>
      </c>
      <c r="E128" s="55" t="str">
        <f>IF($Q128="","",INDEX(TRANSACTIONS_MASTER!$G$5:$G$1204,$Q128)&amp;"")</f>
        <v/>
      </c>
      <c r="F128" s="29" t="str">
        <f>IF($Q128="","",INDEX(TRANSACTIONS_MASTER!$I$5:$I$1204,$Q128))</f>
        <v/>
      </c>
      <c r="G128" s="55" t="str">
        <f>IF($Q128="","",INDEX(TRANSACTIONS_MASTER!$K$5:$K$1204,$Q128))</f>
        <v/>
      </c>
      <c r="H128" s="25" t="str">
        <f>IF($Q128="","",INDEX(TRANSACTIONS_MASTER!$L$5:$L$1204,$Q128))</f>
        <v/>
      </c>
      <c r="I128" s="56" t="str">
        <f>IF($Q128="","",INDEX(TRANSACTIONS_MASTER!$N$5:$N$1204,$Q128))</f>
        <v/>
      </c>
      <c r="J128" s="25" t="str">
        <f>IF($Q128="","",INDEX(TRANSACTIONS_MASTER!$O$5:$O$1204,$Q128))</f>
        <v/>
      </c>
      <c r="K128" s="26" t="str">
        <f>IF($Q128="","",INDEX(TRANSACTIONS_MASTER!$Q$5:$Q$1204,$Q128))</f>
        <v/>
      </c>
      <c r="L128" s="25" t="str">
        <f>IF($Q128="","",INDEX(TRANSACTIONS_MASTER!$P$5:$P$1204,$Q128))</f>
        <v/>
      </c>
      <c r="M128" s="25" t="str">
        <f>IF($Q128="","",INDEX(TRANSACTIONS_MASTER!$AA$5:$AA$1204,$Q128))</f>
        <v/>
      </c>
      <c r="N128" s="25" t="str">
        <f>IF($Q128="","",INDEX(TRANSACTIONS_MASTER!$R$5:$R$1204,$Q128))</f>
        <v/>
      </c>
      <c r="O128" s="28" t="str">
        <f>IF($Q128="","",INDEX(TRANSACTIONS_MASTER!$AB$5:$AB$1204,$Q128))</f>
        <v/>
      </c>
      <c r="P128" s="55" t="str">
        <f>IF($Q128="","",INDEX(TRANSACTIONS_MASTER!$Z$5:$Z$1204,$Q128)&amp;"")</f>
        <v/>
      </c>
      <c r="Q128" s="67" t="str">
        <f>IFERROR(MATCH($C$2&amp;"|"&amp;121,TRANSACTIONS_MASTER!$AE$5:$AE$1204,0),"")</f>
        <v/>
      </c>
      <c r="S128" s="67" t="str">
        <f>IFERROR(MATCH(1,INDEX((TRANSACTIONS_MASTER!$C$5:$C$1204=$C$2)*(TRANSACTIONS_MASTER!$AL$5:$AL$1204=12),0),0),"")</f>
        <v/>
      </c>
      <c r="T128" s="55" t="n"/>
      <c r="U128" s="55" t="str">
        <f>IF($S128="","",INDEX(TRANSACTIONS_MASTER!$K$5:$K$1204,$S128))</f>
        <v/>
      </c>
      <c r="V128" s="25" t="str">
        <f>IF($S128="","",SUMIFS(TRANSACTIONS_MASTER!$L$5:$L$1204,TRANSACTIONS_MASTER!$K$5:$K$1204,$U128,TRANSACTIONS_MASTER!$C$5:$C$1204,$C$2,TRANSACTIONS_MASTER!$U$5:$U$1204,"&lt;&gt;Cancelled"))</f>
        <v/>
      </c>
      <c r="W128" s="26" t="str">
        <f>IF($S128="","",SUMIFS(TRANSACTIONS_MASTER!$Q$5:$Q$1204,TRANSACTIONS_MASTER!$K$5:$K$1204,$U128,TRANSACTIONS_MASTER!$C$5:$C$1204,$C$2))</f>
        <v/>
      </c>
    </row>
    <row r="129">
      <c r="A129" s="81" t="str">
        <f>IF($Q129="","",122)</f>
        <v/>
      </c>
      <c r="B129" s="57" t="str">
        <f>IF($Q129="","",INDEX(TRANSACTIONS_MASTER!$B$5:$B$1204,$Q129))</f>
        <v/>
      </c>
      <c r="C129" s="55" t="str">
        <f>IF($Q129="","",INDEX(TRANSACTIONS_MASTER!$F$5:$F$1204,$Q129))</f>
        <v/>
      </c>
      <c r="D129" s="55" t="str">
        <f>IF($Q129="","",INDEX(TRANSACTIONS_MASTER!$E$5:$E$1204,$Q129))</f>
        <v/>
      </c>
      <c r="E129" s="55" t="str">
        <f>IF($Q129="","",INDEX(TRANSACTIONS_MASTER!$G$5:$G$1204,$Q129)&amp;"")</f>
        <v/>
      </c>
      <c r="F129" s="29" t="str">
        <f>IF($Q129="","",INDEX(TRANSACTIONS_MASTER!$I$5:$I$1204,$Q129))</f>
        <v/>
      </c>
      <c r="G129" s="55" t="str">
        <f>IF($Q129="","",INDEX(TRANSACTIONS_MASTER!$K$5:$K$1204,$Q129))</f>
        <v/>
      </c>
      <c r="H129" s="25" t="str">
        <f>IF($Q129="","",INDEX(TRANSACTIONS_MASTER!$L$5:$L$1204,$Q129))</f>
        <v/>
      </c>
      <c r="I129" s="56" t="str">
        <f>IF($Q129="","",INDEX(TRANSACTIONS_MASTER!$N$5:$N$1204,$Q129))</f>
        <v/>
      </c>
      <c r="J129" s="25" t="str">
        <f>IF($Q129="","",INDEX(TRANSACTIONS_MASTER!$O$5:$O$1204,$Q129))</f>
        <v/>
      </c>
      <c r="K129" s="26" t="str">
        <f>IF($Q129="","",INDEX(TRANSACTIONS_MASTER!$Q$5:$Q$1204,$Q129))</f>
        <v/>
      </c>
      <c r="L129" s="25" t="str">
        <f>IF($Q129="","",INDEX(TRANSACTIONS_MASTER!$P$5:$P$1204,$Q129))</f>
        <v/>
      </c>
      <c r="M129" s="25" t="str">
        <f>IF($Q129="","",INDEX(TRANSACTIONS_MASTER!$AA$5:$AA$1204,$Q129))</f>
        <v/>
      </c>
      <c r="N129" s="25" t="str">
        <f>IF($Q129="","",INDEX(TRANSACTIONS_MASTER!$R$5:$R$1204,$Q129))</f>
        <v/>
      </c>
      <c r="O129" s="28" t="str">
        <f>IF($Q129="","",INDEX(TRANSACTIONS_MASTER!$AB$5:$AB$1204,$Q129))</f>
        <v/>
      </c>
      <c r="P129" s="55" t="str">
        <f>IF($Q129="","",INDEX(TRANSACTIONS_MASTER!$Z$5:$Z$1204,$Q129)&amp;"")</f>
        <v/>
      </c>
      <c r="Q129" s="67" t="str">
        <f>IFERROR(MATCH($C$2&amp;"|"&amp;122,TRANSACTIONS_MASTER!$AE$5:$AE$1204,0),"")</f>
        <v/>
      </c>
      <c r="S129" s="67" t="str">
        <f>IFERROR(MATCH(1,INDEX((TRANSACTIONS_MASTER!$C$5:$C$1204=$C$2)*(TRANSACTIONS_MASTER!$AL$5:$AL$1204=13),0),0),"")</f>
        <v/>
      </c>
      <c r="T129" s="55" t="n"/>
      <c r="U129" s="55" t="str">
        <f>IF($S129="","",INDEX(TRANSACTIONS_MASTER!$K$5:$K$1204,$S129))</f>
        <v/>
      </c>
      <c r="V129" s="25" t="str">
        <f>IF($S129="","",SUMIFS(TRANSACTIONS_MASTER!$L$5:$L$1204,TRANSACTIONS_MASTER!$K$5:$K$1204,$U129,TRANSACTIONS_MASTER!$C$5:$C$1204,$C$2,TRANSACTIONS_MASTER!$U$5:$U$1204,"&lt;&gt;Cancelled"))</f>
        <v/>
      </c>
      <c r="W129" s="26" t="str">
        <f>IF($S129="","",SUMIFS(TRANSACTIONS_MASTER!$Q$5:$Q$1204,TRANSACTIONS_MASTER!$K$5:$K$1204,$U129,TRANSACTIONS_MASTER!$C$5:$C$1204,$C$2))</f>
        <v/>
      </c>
    </row>
    <row r="130">
      <c r="A130" s="81" t="str">
        <f>IF($Q130="","",123)</f>
        <v/>
      </c>
      <c r="B130" s="57" t="str">
        <f>IF($Q130="","",INDEX(TRANSACTIONS_MASTER!$B$5:$B$1204,$Q130))</f>
        <v/>
      </c>
      <c r="C130" s="55" t="str">
        <f>IF($Q130="","",INDEX(TRANSACTIONS_MASTER!$F$5:$F$1204,$Q130))</f>
        <v/>
      </c>
      <c r="D130" s="55" t="str">
        <f>IF($Q130="","",INDEX(TRANSACTIONS_MASTER!$E$5:$E$1204,$Q130))</f>
        <v/>
      </c>
      <c r="E130" s="55" t="str">
        <f>IF($Q130="","",INDEX(TRANSACTIONS_MASTER!$G$5:$G$1204,$Q130)&amp;"")</f>
        <v/>
      </c>
      <c r="F130" s="29" t="str">
        <f>IF($Q130="","",INDEX(TRANSACTIONS_MASTER!$I$5:$I$1204,$Q130))</f>
        <v/>
      </c>
      <c r="G130" s="55" t="str">
        <f>IF($Q130="","",INDEX(TRANSACTIONS_MASTER!$K$5:$K$1204,$Q130))</f>
        <v/>
      </c>
      <c r="H130" s="25" t="str">
        <f>IF($Q130="","",INDEX(TRANSACTIONS_MASTER!$L$5:$L$1204,$Q130))</f>
        <v/>
      </c>
      <c r="I130" s="56" t="str">
        <f>IF($Q130="","",INDEX(TRANSACTIONS_MASTER!$N$5:$N$1204,$Q130))</f>
        <v/>
      </c>
      <c r="J130" s="25" t="str">
        <f>IF($Q130="","",INDEX(TRANSACTIONS_MASTER!$O$5:$O$1204,$Q130))</f>
        <v/>
      </c>
      <c r="K130" s="26" t="str">
        <f>IF($Q130="","",INDEX(TRANSACTIONS_MASTER!$Q$5:$Q$1204,$Q130))</f>
        <v/>
      </c>
      <c r="L130" s="25" t="str">
        <f>IF($Q130="","",INDEX(TRANSACTIONS_MASTER!$P$5:$P$1204,$Q130))</f>
        <v/>
      </c>
      <c r="M130" s="25" t="str">
        <f>IF($Q130="","",INDEX(TRANSACTIONS_MASTER!$AA$5:$AA$1204,$Q130))</f>
        <v/>
      </c>
      <c r="N130" s="25" t="str">
        <f>IF($Q130="","",INDEX(TRANSACTIONS_MASTER!$R$5:$R$1204,$Q130))</f>
        <v/>
      </c>
      <c r="O130" s="28" t="str">
        <f>IF($Q130="","",INDEX(TRANSACTIONS_MASTER!$AB$5:$AB$1204,$Q130))</f>
        <v/>
      </c>
      <c r="P130" s="55" t="str">
        <f>IF($Q130="","",INDEX(TRANSACTIONS_MASTER!$Z$5:$Z$1204,$Q130)&amp;"")</f>
        <v/>
      </c>
      <c r="Q130" s="67" t="str">
        <f>IFERROR(MATCH($C$2&amp;"|"&amp;123,TRANSACTIONS_MASTER!$AE$5:$AE$1204,0),"")</f>
        <v/>
      </c>
      <c r="S130" s="67" t="str">
        <f>IFERROR(MATCH(1,INDEX((TRANSACTIONS_MASTER!$C$5:$C$1204=$C$2)*(TRANSACTIONS_MASTER!$AL$5:$AL$1204=14),0),0),"")</f>
        <v/>
      </c>
      <c r="T130" s="55" t="n"/>
      <c r="U130" s="55" t="str">
        <f>IF($S130="","",INDEX(TRANSACTIONS_MASTER!$K$5:$K$1204,$S130))</f>
        <v/>
      </c>
      <c r="V130" s="25" t="str">
        <f>IF($S130="","",SUMIFS(TRANSACTIONS_MASTER!$L$5:$L$1204,TRANSACTIONS_MASTER!$K$5:$K$1204,$U130,TRANSACTIONS_MASTER!$C$5:$C$1204,$C$2,TRANSACTIONS_MASTER!$U$5:$U$1204,"&lt;&gt;Cancelled"))</f>
        <v/>
      </c>
      <c r="W130" s="26" t="str">
        <f>IF($S130="","",SUMIFS(TRANSACTIONS_MASTER!$Q$5:$Q$1204,TRANSACTIONS_MASTER!$K$5:$K$1204,$U130,TRANSACTIONS_MASTER!$C$5:$C$1204,$C$2))</f>
        <v/>
      </c>
    </row>
    <row r="131">
      <c r="A131" s="81" t="str">
        <f>IF($Q131="","",124)</f>
        <v/>
      </c>
      <c r="B131" s="57" t="str">
        <f>IF($Q131="","",INDEX(TRANSACTIONS_MASTER!$B$5:$B$1204,$Q131))</f>
        <v/>
      </c>
      <c r="C131" s="55" t="str">
        <f>IF($Q131="","",INDEX(TRANSACTIONS_MASTER!$F$5:$F$1204,$Q131))</f>
        <v/>
      </c>
      <c r="D131" s="55" t="str">
        <f>IF($Q131="","",INDEX(TRANSACTIONS_MASTER!$E$5:$E$1204,$Q131))</f>
        <v/>
      </c>
      <c r="E131" s="55" t="str">
        <f>IF($Q131="","",INDEX(TRANSACTIONS_MASTER!$G$5:$G$1204,$Q131)&amp;"")</f>
        <v/>
      </c>
      <c r="F131" s="29" t="str">
        <f>IF($Q131="","",INDEX(TRANSACTIONS_MASTER!$I$5:$I$1204,$Q131))</f>
        <v/>
      </c>
      <c r="G131" s="55" t="str">
        <f>IF($Q131="","",INDEX(TRANSACTIONS_MASTER!$K$5:$K$1204,$Q131))</f>
        <v/>
      </c>
      <c r="H131" s="25" t="str">
        <f>IF($Q131="","",INDEX(TRANSACTIONS_MASTER!$L$5:$L$1204,$Q131))</f>
        <v/>
      </c>
      <c r="I131" s="56" t="str">
        <f>IF($Q131="","",INDEX(TRANSACTIONS_MASTER!$N$5:$N$1204,$Q131))</f>
        <v/>
      </c>
      <c r="J131" s="25" t="str">
        <f>IF($Q131="","",INDEX(TRANSACTIONS_MASTER!$O$5:$O$1204,$Q131))</f>
        <v/>
      </c>
      <c r="K131" s="26" t="str">
        <f>IF($Q131="","",INDEX(TRANSACTIONS_MASTER!$Q$5:$Q$1204,$Q131))</f>
        <v/>
      </c>
      <c r="L131" s="25" t="str">
        <f>IF($Q131="","",INDEX(TRANSACTIONS_MASTER!$P$5:$P$1204,$Q131))</f>
        <v/>
      </c>
      <c r="M131" s="25" t="str">
        <f>IF($Q131="","",INDEX(TRANSACTIONS_MASTER!$AA$5:$AA$1204,$Q131))</f>
        <v/>
      </c>
      <c r="N131" s="25" t="str">
        <f>IF($Q131="","",INDEX(TRANSACTIONS_MASTER!$R$5:$R$1204,$Q131))</f>
        <v/>
      </c>
      <c r="O131" s="28" t="str">
        <f>IF($Q131="","",INDEX(TRANSACTIONS_MASTER!$AB$5:$AB$1204,$Q131))</f>
        <v/>
      </c>
      <c r="P131" s="55" t="str">
        <f>IF($Q131="","",INDEX(TRANSACTIONS_MASTER!$Z$5:$Z$1204,$Q131)&amp;"")</f>
        <v/>
      </c>
      <c r="Q131" s="67" t="str">
        <f>IFERROR(MATCH($C$2&amp;"|"&amp;124,TRANSACTIONS_MASTER!$AE$5:$AE$1204,0),"")</f>
        <v/>
      </c>
      <c r="S131" s="67" t="str">
        <f>IFERROR(MATCH(1,INDEX((TRANSACTIONS_MASTER!$C$5:$C$1204=$C$2)*(TRANSACTIONS_MASTER!$AL$5:$AL$1204=15),0),0),"")</f>
        <v/>
      </c>
      <c r="T131" s="55" t="n"/>
      <c r="U131" s="55" t="str">
        <f>IF($S131="","",INDEX(TRANSACTIONS_MASTER!$K$5:$K$1204,$S131))</f>
        <v/>
      </c>
      <c r="V131" s="25" t="str">
        <f>IF($S131="","",SUMIFS(TRANSACTIONS_MASTER!$L$5:$L$1204,TRANSACTIONS_MASTER!$K$5:$K$1204,$U131,TRANSACTIONS_MASTER!$C$5:$C$1204,$C$2,TRANSACTIONS_MASTER!$U$5:$U$1204,"&lt;&gt;Cancelled"))</f>
        <v/>
      </c>
      <c r="W131" s="26" t="str">
        <f>IF($S131="","",SUMIFS(TRANSACTIONS_MASTER!$Q$5:$Q$1204,TRANSACTIONS_MASTER!$K$5:$K$1204,$U131,TRANSACTIONS_MASTER!$C$5:$C$1204,$C$2))</f>
        <v/>
      </c>
    </row>
    <row r="132">
      <c r="A132" s="81" t="str">
        <f>IF($Q132="","",125)</f>
        <v/>
      </c>
      <c r="B132" s="57" t="str">
        <f>IF($Q132="","",INDEX(TRANSACTIONS_MASTER!$B$5:$B$1204,$Q132))</f>
        <v/>
      </c>
      <c r="C132" s="55" t="str">
        <f>IF($Q132="","",INDEX(TRANSACTIONS_MASTER!$F$5:$F$1204,$Q132))</f>
        <v/>
      </c>
      <c r="D132" s="55" t="str">
        <f>IF($Q132="","",INDEX(TRANSACTIONS_MASTER!$E$5:$E$1204,$Q132))</f>
        <v/>
      </c>
      <c r="E132" s="55" t="str">
        <f>IF($Q132="","",INDEX(TRANSACTIONS_MASTER!$G$5:$G$1204,$Q132)&amp;"")</f>
        <v/>
      </c>
      <c r="F132" s="29" t="str">
        <f>IF($Q132="","",INDEX(TRANSACTIONS_MASTER!$I$5:$I$1204,$Q132))</f>
        <v/>
      </c>
      <c r="G132" s="55" t="str">
        <f>IF($Q132="","",INDEX(TRANSACTIONS_MASTER!$K$5:$K$1204,$Q132))</f>
        <v/>
      </c>
      <c r="H132" s="25" t="str">
        <f>IF($Q132="","",INDEX(TRANSACTIONS_MASTER!$L$5:$L$1204,$Q132))</f>
        <v/>
      </c>
      <c r="I132" s="56" t="str">
        <f>IF($Q132="","",INDEX(TRANSACTIONS_MASTER!$N$5:$N$1204,$Q132))</f>
        <v/>
      </c>
      <c r="J132" s="25" t="str">
        <f>IF($Q132="","",INDEX(TRANSACTIONS_MASTER!$O$5:$O$1204,$Q132))</f>
        <v/>
      </c>
      <c r="K132" s="26" t="str">
        <f>IF($Q132="","",INDEX(TRANSACTIONS_MASTER!$Q$5:$Q$1204,$Q132))</f>
        <v/>
      </c>
      <c r="L132" s="25" t="str">
        <f>IF($Q132="","",INDEX(TRANSACTIONS_MASTER!$P$5:$P$1204,$Q132))</f>
        <v/>
      </c>
      <c r="M132" s="25" t="str">
        <f>IF($Q132="","",INDEX(TRANSACTIONS_MASTER!$AA$5:$AA$1204,$Q132))</f>
        <v/>
      </c>
      <c r="N132" s="25" t="str">
        <f>IF($Q132="","",INDEX(TRANSACTIONS_MASTER!$R$5:$R$1204,$Q132))</f>
        <v/>
      </c>
      <c r="O132" s="28" t="str">
        <f>IF($Q132="","",INDEX(TRANSACTIONS_MASTER!$AB$5:$AB$1204,$Q132))</f>
        <v/>
      </c>
      <c r="P132" s="55" t="str">
        <f>IF($Q132="","",INDEX(TRANSACTIONS_MASTER!$Z$5:$Z$1204,$Q132)&amp;"")</f>
        <v/>
      </c>
      <c r="Q132" s="67" t="str">
        <f>IFERROR(MATCH($C$2&amp;"|"&amp;125,TRANSACTIONS_MASTER!$AE$5:$AE$1204,0),"")</f>
        <v/>
      </c>
      <c r="T132" s="45" t="n"/>
      <c r="U132" s="82" t="inlineStr">
        <is>
          <t>Khác (ngoài danh sách)</t>
        </is>
      </c>
      <c r="V132" s="48">
        <f>MAX(0,SUMIFS(TRANSACTIONS_MASTER!$L$5:$L$1204,TRANSACTIONS_MASTER!$C$5:$C$1204,$C$2,TRANSACTIONS_MASTER!$U$5:$U$1204,"&lt;&gt;Cancelled")-SUM(V117:V131))</f>
        <v>0</v>
      </c>
      <c r="W132" s="48">
        <f>MAX(0,SUMIFS(TRANSACTIONS_MASTER!$Q$5:$Q$1204,TRANSACTIONS_MASTER!$C$5:$C$1204,$C$2)-SUM(W117:W131))</f>
        <v>0</v>
      </c>
    </row>
    <row r="133">
      <c r="A133" s="81" t="str">
        <f>IF($Q133="","",126)</f>
        <v/>
      </c>
      <c r="B133" s="57" t="str">
        <f>IF($Q133="","",INDEX(TRANSACTIONS_MASTER!$B$5:$B$1204,$Q133))</f>
        <v/>
      </c>
      <c r="C133" s="55" t="str">
        <f>IF($Q133="","",INDEX(TRANSACTIONS_MASTER!$F$5:$F$1204,$Q133))</f>
        <v/>
      </c>
      <c r="D133" s="55" t="str">
        <f>IF($Q133="","",INDEX(TRANSACTIONS_MASTER!$E$5:$E$1204,$Q133))</f>
        <v/>
      </c>
      <c r="E133" s="55" t="str">
        <f>IF($Q133="","",INDEX(TRANSACTIONS_MASTER!$G$5:$G$1204,$Q133)&amp;"")</f>
        <v/>
      </c>
      <c r="F133" s="29" t="str">
        <f>IF($Q133="","",INDEX(TRANSACTIONS_MASTER!$I$5:$I$1204,$Q133))</f>
        <v/>
      </c>
      <c r="G133" s="55" t="str">
        <f>IF($Q133="","",INDEX(TRANSACTIONS_MASTER!$K$5:$K$1204,$Q133))</f>
        <v/>
      </c>
      <c r="H133" s="25" t="str">
        <f>IF($Q133="","",INDEX(TRANSACTIONS_MASTER!$L$5:$L$1204,$Q133))</f>
        <v/>
      </c>
      <c r="I133" s="56" t="str">
        <f>IF($Q133="","",INDEX(TRANSACTIONS_MASTER!$N$5:$N$1204,$Q133))</f>
        <v/>
      </c>
      <c r="J133" s="25" t="str">
        <f>IF($Q133="","",INDEX(TRANSACTIONS_MASTER!$O$5:$O$1204,$Q133))</f>
        <v/>
      </c>
      <c r="K133" s="26" t="str">
        <f>IF($Q133="","",INDEX(TRANSACTIONS_MASTER!$Q$5:$Q$1204,$Q133))</f>
        <v/>
      </c>
      <c r="L133" s="25" t="str">
        <f>IF($Q133="","",INDEX(TRANSACTIONS_MASTER!$P$5:$P$1204,$Q133))</f>
        <v/>
      </c>
      <c r="M133" s="25" t="str">
        <f>IF($Q133="","",INDEX(TRANSACTIONS_MASTER!$AA$5:$AA$1204,$Q133))</f>
        <v/>
      </c>
      <c r="N133" s="25" t="str">
        <f>IF($Q133="","",INDEX(TRANSACTIONS_MASTER!$R$5:$R$1204,$Q133))</f>
        <v/>
      </c>
      <c r="O133" s="28" t="str">
        <f>IF($Q133="","",INDEX(TRANSACTIONS_MASTER!$AB$5:$AB$1204,$Q133))</f>
        <v/>
      </c>
      <c r="P133" s="55" t="str">
        <f>IF($Q133="","",INDEX(TRANSACTIONS_MASTER!$Z$5:$Z$1204,$Q133)&amp;"")</f>
        <v/>
      </c>
      <c r="Q133" s="67" t="str">
        <f>IFERROR(MATCH($C$2&amp;"|"&amp;126,TRANSACTIONS_MASTER!$AE$5:$AE$1204,0),"")</f>
        <v/>
      </c>
      <c r="T133" s="68" t="n"/>
      <c r="U133" s="69" t="inlineStr">
        <is>
          <t>TỔNG</t>
        </is>
      </c>
      <c r="V133" s="31">
        <f>SUM(V117:V132)</f>
        <v>0</v>
      </c>
      <c r="W133" s="31">
        <f>SUM(W117:W132)</f>
        <v>0</v>
      </c>
    </row>
    <row r="134">
      <c r="A134" s="81" t="str">
        <f>IF($Q134="","",127)</f>
        <v/>
      </c>
      <c r="B134" s="57" t="str">
        <f>IF($Q134="","",INDEX(TRANSACTIONS_MASTER!$B$5:$B$1204,$Q134))</f>
        <v/>
      </c>
      <c r="C134" s="55" t="str">
        <f>IF($Q134="","",INDEX(TRANSACTIONS_MASTER!$F$5:$F$1204,$Q134))</f>
        <v/>
      </c>
      <c r="D134" s="55" t="str">
        <f>IF($Q134="","",INDEX(TRANSACTIONS_MASTER!$E$5:$E$1204,$Q134))</f>
        <v/>
      </c>
      <c r="E134" s="55" t="str">
        <f>IF($Q134="","",INDEX(TRANSACTIONS_MASTER!$G$5:$G$1204,$Q134)&amp;"")</f>
        <v/>
      </c>
      <c r="F134" s="29" t="str">
        <f>IF($Q134="","",INDEX(TRANSACTIONS_MASTER!$I$5:$I$1204,$Q134))</f>
        <v/>
      </c>
      <c r="G134" s="55" t="str">
        <f>IF($Q134="","",INDEX(TRANSACTIONS_MASTER!$K$5:$K$1204,$Q134))</f>
        <v/>
      </c>
      <c r="H134" s="25" t="str">
        <f>IF($Q134="","",INDEX(TRANSACTIONS_MASTER!$L$5:$L$1204,$Q134))</f>
        <v/>
      </c>
      <c r="I134" s="56" t="str">
        <f>IF($Q134="","",INDEX(TRANSACTIONS_MASTER!$N$5:$N$1204,$Q134))</f>
        <v/>
      </c>
      <c r="J134" s="25" t="str">
        <f>IF($Q134="","",INDEX(TRANSACTIONS_MASTER!$O$5:$O$1204,$Q134))</f>
        <v/>
      </c>
      <c r="K134" s="26" t="str">
        <f>IF($Q134="","",INDEX(TRANSACTIONS_MASTER!$Q$5:$Q$1204,$Q134))</f>
        <v/>
      </c>
      <c r="L134" s="25" t="str">
        <f>IF($Q134="","",INDEX(TRANSACTIONS_MASTER!$P$5:$P$1204,$Q134))</f>
        <v/>
      </c>
      <c r="M134" s="25" t="str">
        <f>IF($Q134="","",INDEX(TRANSACTIONS_MASTER!$AA$5:$AA$1204,$Q134))</f>
        <v/>
      </c>
      <c r="N134" s="25" t="str">
        <f>IF($Q134="","",INDEX(TRANSACTIONS_MASTER!$R$5:$R$1204,$Q134))</f>
        <v/>
      </c>
      <c r="O134" s="28" t="str">
        <f>IF($Q134="","",INDEX(TRANSACTIONS_MASTER!$AB$5:$AB$1204,$Q134))</f>
        <v/>
      </c>
      <c r="P134" s="55" t="str">
        <f>IF($Q134="","",INDEX(TRANSACTIONS_MASTER!$Z$5:$Z$1204,$Q134)&amp;"")</f>
        <v/>
      </c>
      <c r="Q134" s="67" t="str">
        <f>IFERROR(MATCH($C$2&amp;"|"&amp;127,TRANSACTIONS_MASTER!$AE$5:$AE$1204,0),"")</f>
        <v/>
      </c>
    </row>
    <row r="135">
      <c r="A135" s="81" t="str">
        <f>IF($Q135="","",128)</f>
        <v/>
      </c>
      <c r="B135" s="57" t="str">
        <f>IF($Q135="","",INDEX(TRANSACTIONS_MASTER!$B$5:$B$1204,$Q135))</f>
        <v/>
      </c>
      <c r="C135" s="55" t="str">
        <f>IF($Q135="","",INDEX(TRANSACTIONS_MASTER!$F$5:$F$1204,$Q135))</f>
        <v/>
      </c>
      <c r="D135" s="55" t="str">
        <f>IF($Q135="","",INDEX(TRANSACTIONS_MASTER!$E$5:$E$1204,$Q135))</f>
        <v/>
      </c>
      <c r="E135" s="55" t="str">
        <f>IF($Q135="","",INDEX(TRANSACTIONS_MASTER!$G$5:$G$1204,$Q135)&amp;"")</f>
        <v/>
      </c>
      <c r="F135" s="29" t="str">
        <f>IF($Q135="","",INDEX(TRANSACTIONS_MASTER!$I$5:$I$1204,$Q135))</f>
        <v/>
      </c>
      <c r="G135" s="55" t="str">
        <f>IF($Q135="","",INDEX(TRANSACTIONS_MASTER!$K$5:$K$1204,$Q135))</f>
        <v/>
      </c>
      <c r="H135" s="25" t="str">
        <f>IF($Q135="","",INDEX(TRANSACTIONS_MASTER!$L$5:$L$1204,$Q135))</f>
        <v/>
      </c>
      <c r="I135" s="56" t="str">
        <f>IF($Q135="","",INDEX(TRANSACTIONS_MASTER!$N$5:$N$1204,$Q135))</f>
        <v/>
      </c>
      <c r="J135" s="25" t="str">
        <f>IF($Q135="","",INDEX(TRANSACTIONS_MASTER!$O$5:$O$1204,$Q135))</f>
        <v/>
      </c>
      <c r="K135" s="26" t="str">
        <f>IF($Q135="","",INDEX(TRANSACTIONS_MASTER!$Q$5:$Q$1204,$Q135))</f>
        <v/>
      </c>
      <c r="L135" s="25" t="str">
        <f>IF($Q135="","",INDEX(TRANSACTIONS_MASTER!$P$5:$P$1204,$Q135))</f>
        <v/>
      </c>
      <c r="M135" s="25" t="str">
        <f>IF($Q135="","",INDEX(TRANSACTIONS_MASTER!$AA$5:$AA$1204,$Q135))</f>
        <v/>
      </c>
      <c r="N135" s="25" t="str">
        <f>IF($Q135="","",INDEX(TRANSACTIONS_MASTER!$R$5:$R$1204,$Q135))</f>
        <v/>
      </c>
      <c r="O135" s="28" t="str">
        <f>IF($Q135="","",INDEX(TRANSACTIONS_MASTER!$AB$5:$AB$1204,$Q135))</f>
        <v/>
      </c>
      <c r="P135" s="55" t="str">
        <f>IF($Q135="","",INDEX(TRANSACTIONS_MASTER!$Z$5:$Z$1204,$Q135)&amp;"")</f>
        <v/>
      </c>
      <c r="Q135" s="67" t="str">
        <f>IFERROR(MATCH($C$2&amp;"|"&amp;128,TRANSACTIONS_MASTER!$AE$5:$AE$1204,0),"")</f>
        <v/>
      </c>
    </row>
    <row r="136" ht="22" customHeight="1">
      <c r="A136" s="81" t="str">
        <f>IF($Q136="","",129)</f>
        <v/>
      </c>
      <c r="B136" s="57" t="str">
        <f>IF($Q136="","",INDEX(TRANSACTIONS_MASTER!$B$5:$B$1204,$Q136))</f>
        <v/>
      </c>
      <c r="C136" s="55" t="str">
        <f>IF($Q136="","",INDEX(TRANSACTIONS_MASTER!$F$5:$F$1204,$Q136))</f>
        <v/>
      </c>
      <c r="D136" s="55" t="str">
        <f>IF($Q136="","",INDEX(TRANSACTIONS_MASTER!$E$5:$E$1204,$Q136))</f>
        <v/>
      </c>
      <c r="E136" s="55" t="str">
        <f>IF($Q136="","",INDEX(TRANSACTIONS_MASTER!$G$5:$G$1204,$Q136)&amp;"")</f>
        <v/>
      </c>
      <c r="F136" s="29" t="str">
        <f>IF($Q136="","",INDEX(TRANSACTIONS_MASTER!$I$5:$I$1204,$Q136))</f>
        <v/>
      </c>
      <c r="G136" s="55" t="str">
        <f>IF($Q136="","",INDEX(TRANSACTIONS_MASTER!$K$5:$K$1204,$Q136))</f>
        <v/>
      </c>
      <c r="H136" s="25" t="str">
        <f>IF($Q136="","",INDEX(TRANSACTIONS_MASTER!$L$5:$L$1204,$Q136))</f>
        <v/>
      </c>
      <c r="I136" s="56" t="str">
        <f>IF($Q136="","",INDEX(TRANSACTIONS_MASTER!$N$5:$N$1204,$Q136))</f>
        <v/>
      </c>
      <c r="J136" s="25" t="str">
        <f>IF($Q136="","",INDEX(TRANSACTIONS_MASTER!$O$5:$O$1204,$Q136))</f>
        <v/>
      </c>
      <c r="K136" s="26" t="str">
        <f>IF($Q136="","",INDEX(TRANSACTIONS_MASTER!$Q$5:$Q$1204,$Q136))</f>
        <v/>
      </c>
      <c r="L136" s="25" t="str">
        <f>IF($Q136="","",INDEX(TRANSACTIONS_MASTER!$P$5:$P$1204,$Q136))</f>
        <v/>
      </c>
      <c r="M136" s="25" t="str">
        <f>IF($Q136="","",INDEX(TRANSACTIONS_MASTER!$AA$5:$AA$1204,$Q136))</f>
        <v/>
      </c>
      <c r="N136" s="25" t="str">
        <f>IF($Q136="","",INDEX(TRANSACTIONS_MASTER!$R$5:$R$1204,$Q136))</f>
        <v/>
      </c>
      <c r="O136" s="28" t="str">
        <f>IF($Q136="","",INDEX(TRANSACTIONS_MASTER!$AB$5:$AB$1204,$Q136))</f>
        <v/>
      </c>
      <c r="P136" s="55" t="str">
        <f>IF($Q136="","",INDEX(TRANSACTIONS_MASTER!$Z$5:$Z$1204,$Q136)&amp;"")</f>
        <v/>
      </c>
      <c r="Q136" s="67" t="str">
        <f>IFERROR(MATCH($C$2&amp;"|"&amp;129,TRANSACTIONS_MASTER!$AE$5:$AE$1204,0),"")</f>
        <v/>
      </c>
      <c r="T136" s="19" t="inlineStr">
        <is>
          <t>THEO MCC</t>
        </is>
      </c>
      <c r="U136" s="20" t="n"/>
      <c r="V136" s="20" t="n"/>
      <c r="W136" s="20" t="n"/>
      <c r="X136" s="20" t="n"/>
      <c r="Y136" s="20" t="n"/>
      <c r="Z136" s="20" t="n"/>
      <c r="AA136" s="20" t="n"/>
    </row>
    <row r="137" ht="28" customHeight="1">
      <c r="A137" s="81" t="str">
        <f>IF($Q137="","",130)</f>
        <v/>
      </c>
      <c r="B137" s="57" t="str">
        <f>IF($Q137="","",INDEX(TRANSACTIONS_MASTER!$B$5:$B$1204,$Q137))</f>
        <v/>
      </c>
      <c r="C137" s="55" t="str">
        <f>IF($Q137="","",INDEX(TRANSACTIONS_MASTER!$F$5:$F$1204,$Q137))</f>
        <v/>
      </c>
      <c r="D137" s="55" t="str">
        <f>IF($Q137="","",INDEX(TRANSACTIONS_MASTER!$E$5:$E$1204,$Q137))</f>
        <v/>
      </c>
      <c r="E137" s="55" t="str">
        <f>IF($Q137="","",INDEX(TRANSACTIONS_MASTER!$G$5:$G$1204,$Q137)&amp;"")</f>
        <v/>
      </c>
      <c r="F137" s="29" t="str">
        <f>IF($Q137="","",INDEX(TRANSACTIONS_MASTER!$I$5:$I$1204,$Q137))</f>
        <v/>
      </c>
      <c r="G137" s="55" t="str">
        <f>IF($Q137="","",INDEX(TRANSACTIONS_MASTER!$K$5:$K$1204,$Q137))</f>
        <v/>
      </c>
      <c r="H137" s="25" t="str">
        <f>IF($Q137="","",INDEX(TRANSACTIONS_MASTER!$L$5:$L$1204,$Q137))</f>
        <v/>
      </c>
      <c r="I137" s="56" t="str">
        <f>IF($Q137="","",INDEX(TRANSACTIONS_MASTER!$N$5:$N$1204,$Q137))</f>
        <v/>
      </c>
      <c r="J137" s="25" t="str">
        <f>IF($Q137="","",INDEX(TRANSACTIONS_MASTER!$O$5:$O$1204,$Q137))</f>
        <v/>
      </c>
      <c r="K137" s="26" t="str">
        <f>IF($Q137="","",INDEX(TRANSACTIONS_MASTER!$Q$5:$Q$1204,$Q137))</f>
        <v/>
      </c>
      <c r="L137" s="25" t="str">
        <f>IF($Q137="","",INDEX(TRANSACTIONS_MASTER!$P$5:$P$1204,$Q137))</f>
        <v/>
      </c>
      <c r="M137" s="25" t="str">
        <f>IF($Q137="","",INDEX(TRANSACTIONS_MASTER!$AA$5:$AA$1204,$Q137))</f>
        <v/>
      </c>
      <c r="N137" s="25" t="str">
        <f>IF($Q137="","",INDEX(TRANSACTIONS_MASTER!$R$5:$R$1204,$Q137))</f>
        <v/>
      </c>
      <c r="O137" s="28" t="str">
        <f>IF($Q137="","",INDEX(TRANSACTIONS_MASTER!$AB$5:$AB$1204,$Q137))</f>
        <v/>
      </c>
      <c r="P137" s="55" t="str">
        <f>IF($Q137="","",INDEX(TRANSACTIONS_MASTER!$Z$5:$Z$1204,$Q137)&amp;"")</f>
        <v/>
      </c>
      <c r="Q137" s="67" t="str">
        <f>IFERROR(MATCH($C$2&amp;"|"&amp;130,TRANSACTIONS_MASTER!$AE$5:$AE$1204,0),"")</f>
        <v/>
      </c>
      <c r="S137" s="21" t="inlineStr">
        <is>
          <t>#</t>
        </is>
      </c>
      <c r="T137" s="21" t="inlineStr">
        <is>
          <t>MCC</t>
        </is>
      </c>
      <c r="U137" s="21" t="inlineStr">
        <is>
          <t>Tên MCC</t>
        </is>
      </c>
      <c r="V137" s="21" t="inlineStr">
        <is>
          <t>Chi tiêu</t>
        </is>
      </c>
      <c r="W137" s="21" t="inlineStr">
        <is>
          <t>Cashback</t>
        </is>
      </c>
    </row>
    <row r="138">
      <c r="A138" s="81" t="str">
        <f>IF($Q138="","",131)</f>
        <v/>
      </c>
      <c r="B138" s="57" t="str">
        <f>IF($Q138="","",INDEX(TRANSACTIONS_MASTER!$B$5:$B$1204,$Q138))</f>
        <v/>
      </c>
      <c r="C138" s="55" t="str">
        <f>IF($Q138="","",INDEX(TRANSACTIONS_MASTER!$F$5:$F$1204,$Q138))</f>
        <v/>
      </c>
      <c r="D138" s="55" t="str">
        <f>IF($Q138="","",INDEX(TRANSACTIONS_MASTER!$E$5:$E$1204,$Q138))</f>
        <v/>
      </c>
      <c r="E138" s="55" t="str">
        <f>IF($Q138="","",INDEX(TRANSACTIONS_MASTER!$G$5:$G$1204,$Q138)&amp;"")</f>
        <v/>
      </c>
      <c r="F138" s="29" t="str">
        <f>IF($Q138="","",INDEX(TRANSACTIONS_MASTER!$I$5:$I$1204,$Q138))</f>
        <v/>
      </c>
      <c r="G138" s="55" t="str">
        <f>IF($Q138="","",INDEX(TRANSACTIONS_MASTER!$K$5:$K$1204,$Q138))</f>
        <v/>
      </c>
      <c r="H138" s="25" t="str">
        <f>IF($Q138="","",INDEX(TRANSACTIONS_MASTER!$L$5:$L$1204,$Q138))</f>
        <v/>
      </c>
      <c r="I138" s="56" t="str">
        <f>IF($Q138="","",INDEX(TRANSACTIONS_MASTER!$N$5:$N$1204,$Q138))</f>
        <v/>
      </c>
      <c r="J138" s="25" t="str">
        <f>IF($Q138="","",INDEX(TRANSACTIONS_MASTER!$O$5:$O$1204,$Q138))</f>
        <v/>
      </c>
      <c r="K138" s="26" t="str">
        <f>IF($Q138="","",INDEX(TRANSACTIONS_MASTER!$Q$5:$Q$1204,$Q138))</f>
        <v/>
      </c>
      <c r="L138" s="25" t="str">
        <f>IF($Q138="","",INDEX(TRANSACTIONS_MASTER!$P$5:$P$1204,$Q138))</f>
        <v/>
      </c>
      <c r="M138" s="25" t="str">
        <f>IF($Q138="","",INDEX(TRANSACTIONS_MASTER!$AA$5:$AA$1204,$Q138))</f>
        <v/>
      </c>
      <c r="N138" s="25" t="str">
        <f>IF($Q138="","",INDEX(TRANSACTIONS_MASTER!$R$5:$R$1204,$Q138))</f>
        <v/>
      </c>
      <c r="O138" s="28" t="str">
        <f>IF($Q138="","",INDEX(TRANSACTIONS_MASTER!$AB$5:$AB$1204,$Q138))</f>
        <v/>
      </c>
      <c r="P138" s="55" t="str">
        <f>IF($Q138="","",INDEX(TRANSACTIONS_MASTER!$Z$5:$Z$1204,$Q138)&amp;"")</f>
        <v/>
      </c>
      <c r="Q138" s="67" t="str">
        <f>IFERROR(MATCH($C$2&amp;"|"&amp;131,TRANSACTIONS_MASTER!$AE$5:$AE$1204,0),"")</f>
        <v/>
      </c>
      <c r="S138" s="67" t="str">
        <f>IFERROR(MATCH(1,INDEX((TRANSACTIONS_MASTER!$C$5:$C$1204=$C$2)*(TRANSACTIONS_MASTER!$AJ$5:$AJ$1204=1),0),0),"")</f>
        <v/>
      </c>
      <c r="T138" s="29" t="str">
        <f>IF($S138="","",INDEX(TRANSACTIONS_MASTER!$I$5:$I$1204,$S138))</f>
        <v/>
      </c>
      <c r="U138" s="55" t="str">
        <f>IF($S138="","",INDEX(TRANSACTIONS_MASTER!$J$5:$J$1204,$S138))</f>
        <v/>
      </c>
      <c r="V138" s="25" t="str">
        <f>IF($S138="","",SUMIFS(TRANSACTIONS_MASTER!$L$5:$L$1204,TRANSACTIONS_MASTER!$I$5:$I$1204,$T138,TRANSACTIONS_MASTER!$C$5:$C$1204,$C$2,TRANSACTIONS_MASTER!$U$5:$U$1204,"&lt;&gt;Cancelled"))</f>
        <v/>
      </c>
      <c r="W138" s="26" t="str">
        <f>IF($S138="","",SUMIFS(TRANSACTIONS_MASTER!$Q$5:$Q$1204,TRANSACTIONS_MASTER!$I$5:$I$1204,$T138,TRANSACTIONS_MASTER!$C$5:$C$1204,$C$2))</f>
        <v/>
      </c>
    </row>
    <row r="139">
      <c r="A139" s="81" t="str">
        <f>IF($Q139="","",132)</f>
        <v/>
      </c>
      <c r="B139" s="57" t="str">
        <f>IF($Q139="","",INDEX(TRANSACTIONS_MASTER!$B$5:$B$1204,$Q139))</f>
        <v/>
      </c>
      <c r="C139" s="55" t="str">
        <f>IF($Q139="","",INDEX(TRANSACTIONS_MASTER!$F$5:$F$1204,$Q139))</f>
        <v/>
      </c>
      <c r="D139" s="55" t="str">
        <f>IF($Q139="","",INDEX(TRANSACTIONS_MASTER!$E$5:$E$1204,$Q139))</f>
        <v/>
      </c>
      <c r="E139" s="55" t="str">
        <f>IF($Q139="","",INDEX(TRANSACTIONS_MASTER!$G$5:$G$1204,$Q139)&amp;"")</f>
        <v/>
      </c>
      <c r="F139" s="29" t="str">
        <f>IF($Q139="","",INDEX(TRANSACTIONS_MASTER!$I$5:$I$1204,$Q139))</f>
        <v/>
      </c>
      <c r="G139" s="55" t="str">
        <f>IF($Q139="","",INDEX(TRANSACTIONS_MASTER!$K$5:$K$1204,$Q139))</f>
        <v/>
      </c>
      <c r="H139" s="25" t="str">
        <f>IF($Q139="","",INDEX(TRANSACTIONS_MASTER!$L$5:$L$1204,$Q139))</f>
        <v/>
      </c>
      <c r="I139" s="56" t="str">
        <f>IF($Q139="","",INDEX(TRANSACTIONS_MASTER!$N$5:$N$1204,$Q139))</f>
        <v/>
      </c>
      <c r="J139" s="25" t="str">
        <f>IF($Q139="","",INDEX(TRANSACTIONS_MASTER!$O$5:$O$1204,$Q139))</f>
        <v/>
      </c>
      <c r="K139" s="26" t="str">
        <f>IF($Q139="","",INDEX(TRANSACTIONS_MASTER!$Q$5:$Q$1204,$Q139))</f>
        <v/>
      </c>
      <c r="L139" s="25" t="str">
        <f>IF($Q139="","",INDEX(TRANSACTIONS_MASTER!$P$5:$P$1204,$Q139))</f>
        <v/>
      </c>
      <c r="M139" s="25" t="str">
        <f>IF($Q139="","",INDEX(TRANSACTIONS_MASTER!$AA$5:$AA$1204,$Q139))</f>
        <v/>
      </c>
      <c r="N139" s="25" t="str">
        <f>IF($Q139="","",INDEX(TRANSACTIONS_MASTER!$R$5:$R$1204,$Q139))</f>
        <v/>
      </c>
      <c r="O139" s="28" t="str">
        <f>IF($Q139="","",INDEX(TRANSACTIONS_MASTER!$AB$5:$AB$1204,$Q139))</f>
        <v/>
      </c>
      <c r="P139" s="55" t="str">
        <f>IF($Q139="","",INDEX(TRANSACTIONS_MASTER!$Z$5:$Z$1204,$Q139)&amp;"")</f>
        <v/>
      </c>
      <c r="Q139" s="67" t="str">
        <f>IFERROR(MATCH($C$2&amp;"|"&amp;132,TRANSACTIONS_MASTER!$AE$5:$AE$1204,0),"")</f>
        <v/>
      </c>
      <c r="S139" s="67" t="str">
        <f>IFERROR(MATCH(1,INDEX((TRANSACTIONS_MASTER!$C$5:$C$1204=$C$2)*(TRANSACTIONS_MASTER!$AJ$5:$AJ$1204=2),0),0),"")</f>
        <v/>
      </c>
      <c r="T139" s="29" t="str">
        <f>IF($S139="","",INDEX(TRANSACTIONS_MASTER!$I$5:$I$1204,$S139))</f>
        <v/>
      </c>
      <c r="U139" s="55" t="str">
        <f>IF($S139="","",INDEX(TRANSACTIONS_MASTER!$J$5:$J$1204,$S139))</f>
        <v/>
      </c>
      <c r="V139" s="25" t="str">
        <f>IF($S139="","",SUMIFS(TRANSACTIONS_MASTER!$L$5:$L$1204,TRANSACTIONS_MASTER!$I$5:$I$1204,$T139,TRANSACTIONS_MASTER!$C$5:$C$1204,$C$2,TRANSACTIONS_MASTER!$U$5:$U$1204,"&lt;&gt;Cancelled"))</f>
        <v/>
      </c>
      <c r="W139" s="26" t="str">
        <f>IF($S139="","",SUMIFS(TRANSACTIONS_MASTER!$Q$5:$Q$1204,TRANSACTIONS_MASTER!$I$5:$I$1204,$T139,TRANSACTIONS_MASTER!$C$5:$C$1204,$C$2))</f>
        <v/>
      </c>
    </row>
    <row r="140">
      <c r="A140" s="81" t="str">
        <f>IF($Q140="","",133)</f>
        <v/>
      </c>
      <c r="B140" s="57" t="str">
        <f>IF($Q140="","",INDEX(TRANSACTIONS_MASTER!$B$5:$B$1204,$Q140))</f>
        <v/>
      </c>
      <c r="C140" s="55" t="str">
        <f>IF($Q140="","",INDEX(TRANSACTIONS_MASTER!$F$5:$F$1204,$Q140))</f>
        <v/>
      </c>
      <c r="D140" s="55" t="str">
        <f>IF($Q140="","",INDEX(TRANSACTIONS_MASTER!$E$5:$E$1204,$Q140))</f>
        <v/>
      </c>
      <c r="E140" s="55" t="str">
        <f>IF($Q140="","",INDEX(TRANSACTIONS_MASTER!$G$5:$G$1204,$Q140)&amp;"")</f>
        <v/>
      </c>
      <c r="F140" s="29" t="str">
        <f>IF($Q140="","",INDEX(TRANSACTIONS_MASTER!$I$5:$I$1204,$Q140))</f>
        <v/>
      </c>
      <c r="G140" s="55" t="str">
        <f>IF($Q140="","",INDEX(TRANSACTIONS_MASTER!$K$5:$K$1204,$Q140))</f>
        <v/>
      </c>
      <c r="H140" s="25" t="str">
        <f>IF($Q140="","",INDEX(TRANSACTIONS_MASTER!$L$5:$L$1204,$Q140))</f>
        <v/>
      </c>
      <c r="I140" s="56" t="str">
        <f>IF($Q140="","",INDEX(TRANSACTIONS_MASTER!$N$5:$N$1204,$Q140))</f>
        <v/>
      </c>
      <c r="J140" s="25" t="str">
        <f>IF($Q140="","",INDEX(TRANSACTIONS_MASTER!$O$5:$O$1204,$Q140))</f>
        <v/>
      </c>
      <c r="K140" s="26" t="str">
        <f>IF($Q140="","",INDEX(TRANSACTIONS_MASTER!$Q$5:$Q$1204,$Q140))</f>
        <v/>
      </c>
      <c r="L140" s="25" t="str">
        <f>IF($Q140="","",INDEX(TRANSACTIONS_MASTER!$P$5:$P$1204,$Q140))</f>
        <v/>
      </c>
      <c r="M140" s="25" t="str">
        <f>IF($Q140="","",INDEX(TRANSACTIONS_MASTER!$AA$5:$AA$1204,$Q140))</f>
        <v/>
      </c>
      <c r="N140" s="25" t="str">
        <f>IF($Q140="","",INDEX(TRANSACTIONS_MASTER!$R$5:$R$1204,$Q140))</f>
        <v/>
      </c>
      <c r="O140" s="28" t="str">
        <f>IF($Q140="","",INDEX(TRANSACTIONS_MASTER!$AB$5:$AB$1204,$Q140))</f>
        <v/>
      </c>
      <c r="P140" s="55" t="str">
        <f>IF($Q140="","",INDEX(TRANSACTIONS_MASTER!$Z$5:$Z$1204,$Q140)&amp;"")</f>
        <v/>
      </c>
      <c r="Q140" s="67" t="str">
        <f>IFERROR(MATCH($C$2&amp;"|"&amp;133,TRANSACTIONS_MASTER!$AE$5:$AE$1204,0),"")</f>
        <v/>
      </c>
      <c r="S140" s="67" t="str">
        <f>IFERROR(MATCH(1,INDEX((TRANSACTIONS_MASTER!$C$5:$C$1204=$C$2)*(TRANSACTIONS_MASTER!$AJ$5:$AJ$1204=3),0),0),"")</f>
        <v/>
      </c>
      <c r="T140" s="29" t="str">
        <f>IF($S140="","",INDEX(TRANSACTIONS_MASTER!$I$5:$I$1204,$S140))</f>
        <v/>
      </c>
      <c r="U140" s="55" t="str">
        <f>IF($S140="","",INDEX(TRANSACTIONS_MASTER!$J$5:$J$1204,$S140))</f>
        <v/>
      </c>
      <c r="V140" s="25" t="str">
        <f>IF($S140="","",SUMIFS(TRANSACTIONS_MASTER!$L$5:$L$1204,TRANSACTIONS_MASTER!$I$5:$I$1204,$T140,TRANSACTIONS_MASTER!$C$5:$C$1204,$C$2,TRANSACTIONS_MASTER!$U$5:$U$1204,"&lt;&gt;Cancelled"))</f>
        <v/>
      </c>
      <c r="W140" s="26" t="str">
        <f>IF($S140="","",SUMIFS(TRANSACTIONS_MASTER!$Q$5:$Q$1204,TRANSACTIONS_MASTER!$I$5:$I$1204,$T140,TRANSACTIONS_MASTER!$C$5:$C$1204,$C$2))</f>
        <v/>
      </c>
    </row>
    <row r="141">
      <c r="A141" s="81" t="str">
        <f>IF($Q141="","",134)</f>
        <v/>
      </c>
      <c r="B141" s="57" t="str">
        <f>IF($Q141="","",INDEX(TRANSACTIONS_MASTER!$B$5:$B$1204,$Q141))</f>
        <v/>
      </c>
      <c r="C141" s="55" t="str">
        <f>IF($Q141="","",INDEX(TRANSACTIONS_MASTER!$F$5:$F$1204,$Q141))</f>
        <v/>
      </c>
      <c r="D141" s="55" t="str">
        <f>IF($Q141="","",INDEX(TRANSACTIONS_MASTER!$E$5:$E$1204,$Q141))</f>
        <v/>
      </c>
      <c r="E141" s="55" t="str">
        <f>IF($Q141="","",INDEX(TRANSACTIONS_MASTER!$G$5:$G$1204,$Q141)&amp;"")</f>
        <v/>
      </c>
      <c r="F141" s="29" t="str">
        <f>IF($Q141="","",INDEX(TRANSACTIONS_MASTER!$I$5:$I$1204,$Q141))</f>
        <v/>
      </c>
      <c r="G141" s="55" t="str">
        <f>IF($Q141="","",INDEX(TRANSACTIONS_MASTER!$K$5:$K$1204,$Q141))</f>
        <v/>
      </c>
      <c r="H141" s="25" t="str">
        <f>IF($Q141="","",INDEX(TRANSACTIONS_MASTER!$L$5:$L$1204,$Q141))</f>
        <v/>
      </c>
      <c r="I141" s="56" t="str">
        <f>IF($Q141="","",INDEX(TRANSACTIONS_MASTER!$N$5:$N$1204,$Q141))</f>
        <v/>
      </c>
      <c r="J141" s="25" t="str">
        <f>IF($Q141="","",INDEX(TRANSACTIONS_MASTER!$O$5:$O$1204,$Q141))</f>
        <v/>
      </c>
      <c r="K141" s="26" t="str">
        <f>IF($Q141="","",INDEX(TRANSACTIONS_MASTER!$Q$5:$Q$1204,$Q141))</f>
        <v/>
      </c>
      <c r="L141" s="25" t="str">
        <f>IF($Q141="","",INDEX(TRANSACTIONS_MASTER!$P$5:$P$1204,$Q141))</f>
        <v/>
      </c>
      <c r="M141" s="25" t="str">
        <f>IF($Q141="","",INDEX(TRANSACTIONS_MASTER!$AA$5:$AA$1204,$Q141))</f>
        <v/>
      </c>
      <c r="N141" s="25" t="str">
        <f>IF($Q141="","",INDEX(TRANSACTIONS_MASTER!$R$5:$R$1204,$Q141))</f>
        <v/>
      </c>
      <c r="O141" s="28" t="str">
        <f>IF($Q141="","",INDEX(TRANSACTIONS_MASTER!$AB$5:$AB$1204,$Q141))</f>
        <v/>
      </c>
      <c r="P141" s="55" t="str">
        <f>IF($Q141="","",INDEX(TRANSACTIONS_MASTER!$Z$5:$Z$1204,$Q141)&amp;"")</f>
        <v/>
      </c>
      <c r="Q141" s="67" t="str">
        <f>IFERROR(MATCH($C$2&amp;"|"&amp;134,TRANSACTIONS_MASTER!$AE$5:$AE$1204,0),"")</f>
        <v/>
      </c>
      <c r="S141" s="67" t="str">
        <f>IFERROR(MATCH(1,INDEX((TRANSACTIONS_MASTER!$C$5:$C$1204=$C$2)*(TRANSACTIONS_MASTER!$AJ$5:$AJ$1204=4),0),0),"")</f>
        <v/>
      </c>
      <c r="T141" s="29" t="str">
        <f>IF($S141="","",INDEX(TRANSACTIONS_MASTER!$I$5:$I$1204,$S141))</f>
        <v/>
      </c>
      <c r="U141" s="55" t="str">
        <f>IF($S141="","",INDEX(TRANSACTIONS_MASTER!$J$5:$J$1204,$S141))</f>
        <v/>
      </c>
      <c r="V141" s="25" t="str">
        <f>IF($S141="","",SUMIFS(TRANSACTIONS_MASTER!$L$5:$L$1204,TRANSACTIONS_MASTER!$I$5:$I$1204,$T141,TRANSACTIONS_MASTER!$C$5:$C$1204,$C$2,TRANSACTIONS_MASTER!$U$5:$U$1204,"&lt;&gt;Cancelled"))</f>
        <v/>
      </c>
      <c r="W141" s="26" t="str">
        <f>IF($S141="","",SUMIFS(TRANSACTIONS_MASTER!$Q$5:$Q$1204,TRANSACTIONS_MASTER!$I$5:$I$1204,$T141,TRANSACTIONS_MASTER!$C$5:$C$1204,$C$2))</f>
        <v/>
      </c>
    </row>
    <row r="142">
      <c r="A142" s="81" t="str">
        <f>IF($Q142="","",135)</f>
        <v/>
      </c>
      <c r="B142" s="57" t="str">
        <f>IF($Q142="","",INDEX(TRANSACTIONS_MASTER!$B$5:$B$1204,$Q142))</f>
        <v/>
      </c>
      <c r="C142" s="55" t="str">
        <f>IF($Q142="","",INDEX(TRANSACTIONS_MASTER!$F$5:$F$1204,$Q142))</f>
        <v/>
      </c>
      <c r="D142" s="55" t="str">
        <f>IF($Q142="","",INDEX(TRANSACTIONS_MASTER!$E$5:$E$1204,$Q142))</f>
        <v/>
      </c>
      <c r="E142" s="55" t="str">
        <f>IF($Q142="","",INDEX(TRANSACTIONS_MASTER!$G$5:$G$1204,$Q142)&amp;"")</f>
        <v/>
      </c>
      <c r="F142" s="29" t="str">
        <f>IF($Q142="","",INDEX(TRANSACTIONS_MASTER!$I$5:$I$1204,$Q142))</f>
        <v/>
      </c>
      <c r="G142" s="55" t="str">
        <f>IF($Q142="","",INDEX(TRANSACTIONS_MASTER!$K$5:$K$1204,$Q142))</f>
        <v/>
      </c>
      <c r="H142" s="25" t="str">
        <f>IF($Q142="","",INDEX(TRANSACTIONS_MASTER!$L$5:$L$1204,$Q142))</f>
        <v/>
      </c>
      <c r="I142" s="56" t="str">
        <f>IF($Q142="","",INDEX(TRANSACTIONS_MASTER!$N$5:$N$1204,$Q142))</f>
        <v/>
      </c>
      <c r="J142" s="25" t="str">
        <f>IF($Q142="","",INDEX(TRANSACTIONS_MASTER!$O$5:$O$1204,$Q142))</f>
        <v/>
      </c>
      <c r="K142" s="26" t="str">
        <f>IF($Q142="","",INDEX(TRANSACTIONS_MASTER!$Q$5:$Q$1204,$Q142))</f>
        <v/>
      </c>
      <c r="L142" s="25" t="str">
        <f>IF($Q142="","",INDEX(TRANSACTIONS_MASTER!$P$5:$P$1204,$Q142))</f>
        <v/>
      </c>
      <c r="M142" s="25" t="str">
        <f>IF($Q142="","",INDEX(TRANSACTIONS_MASTER!$AA$5:$AA$1204,$Q142))</f>
        <v/>
      </c>
      <c r="N142" s="25" t="str">
        <f>IF($Q142="","",INDEX(TRANSACTIONS_MASTER!$R$5:$R$1204,$Q142))</f>
        <v/>
      </c>
      <c r="O142" s="28" t="str">
        <f>IF($Q142="","",INDEX(TRANSACTIONS_MASTER!$AB$5:$AB$1204,$Q142))</f>
        <v/>
      </c>
      <c r="P142" s="55" t="str">
        <f>IF($Q142="","",INDEX(TRANSACTIONS_MASTER!$Z$5:$Z$1204,$Q142)&amp;"")</f>
        <v/>
      </c>
      <c r="Q142" s="67" t="str">
        <f>IFERROR(MATCH($C$2&amp;"|"&amp;135,TRANSACTIONS_MASTER!$AE$5:$AE$1204,0),"")</f>
        <v/>
      </c>
      <c r="S142" s="67" t="str">
        <f>IFERROR(MATCH(1,INDEX((TRANSACTIONS_MASTER!$C$5:$C$1204=$C$2)*(TRANSACTIONS_MASTER!$AJ$5:$AJ$1204=5),0),0),"")</f>
        <v/>
      </c>
      <c r="T142" s="29" t="str">
        <f>IF($S142="","",INDEX(TRANSACTIONS_MASTER!$I$5:$I$1204,$S142))</f>
        <v/>
      </c>
      <c r="U142" s="55" t="str">
        <f>IF($S142="","",INDEX(TRANSACTIONS_MASTER!$J$5:$J$1204,$S142))</f>
        <v/>
      </c>
      <c r="V142" s="25" t="str">
        <f>IF($S142="","",SUMIFS(TRANSACTIONS_MASTER!$L$5:$L$1204,TRANSACTIONS_MASTER!$I$5:$I$1204,$T142,TRANSACTIONS_MASTER!$C$5:$C$1204,$C$2,TRANSACTIONS_MASTER!$U$5:$U$1204,"&lt;&gt;Cancelled"))</f>
        <v/>
      </c>
      <c r="W142" s="26" t="str">
        <f>IF($S142="","",SUMIFS(TRANSACTIONS_MASTER!$Q$5:$Q$1204,TRANSACTIONS_MASTER!$I$5:$I$1204,$T142,TRANSACTIONS_MASTER!$C$5:$C$1204,$C$2))</f>
        <v/>
      </c>
    </row>
    <row r="143">
      <c r="A143" s="81" t="str">
        <f>IF($Q143="","",136)</f>
        <v/>
      </c>
      <c r="B143" s="57" t="str">
        <f>IF($Q143="","",INDEX(TRANSACTIONS_MASTER!$B$5:$B$1204,$Q143))</f>
        <v/>
      </c>
      <c r="C143" s="55" t="str">
        <f>IF($Q143="","",INDEX(TRANSACTIONS_MASTER!$F$5:$F$1204,$Q143))</f>
        <v/>
      </c>
      <c r="D143" s="55" t="str">
        <f>IF($Q143="","",INDEX(TRANSACTIONS_MASTER!$E$5:$E$1204,$Q143))</f>
        <v/>
      </c>
      <c r="E143" s="55" t="str">
        <f>IF($Q143="","",INDEX(TRANSACTIONS_MASTER!$G$5:$G$1204,$Q143)&amp;"")</f>
        <v/>
      </c>
      <c r="F143" s="29" t="str">
        <f>IF($Q143="","",INDEX(TRANSACTIONS_MASTER!$I$5:$I$1204,$Q143))</f>
        <v/>
      </c>
      <c r="G143" s="55" t="str">
        <f>IF($Q143="","",INDEX(TRANSACTIONS_MASTER!$K$5:$K$1204,$Q143))</f>
        <v/>
      </c>
      <c r="H143" s="25" t="str">
        <f>IF($Q143="","",INDEX(TRANSACTIONS_MASTER!$L$5:$L$1204,$Q143))</f>
        <v/>
      </c>
      <c r="I143" s="56" t="str">
        <f>IF($Q143="","",INDEX(TRANSACTIONS_MASTER!$N$5:$N$1204,$Q143))</f>
        <v/>
      </c>
      <c r="J143" s="25" t="str">
        <f>IF($Q143="","",INDEX(TRANSACTIONS_MASTER!$O$5:$O$1204,$Q143))</f>
        <v/>
      </c>
      <c r="K143" s="26" t="str">
        <f>IF($Q143="","",INDEX(TRANSACTIONS_MASTER!$Q$5:$Q$1204,$Q143))</f>
        <v/>
      </c>
      <c r="L143" s="25" t="str">
        <f>IF($Q143="","",INDEX(TRANSACTIONS_MASTER!$P$5:$P$1204,$Q143))</f>
        <v/>
      </c>
      <c r="M143" s="25" t="str">
        <f>IF($Q143="","",INDEX(TRANSACTIONS_MASTER!$AA$5:$AA$1204,$Q143))</f>
        <v/>
      </c>
      <c r="N143" s="25" t="str">
        <f>IF($Q143="","",INDEX(TRANSACTIONS_MASTER!$R$5:$R$1204,$Q143))</f>
        <v/>
      </c>
      <c r="O143" s="28" t="str">
        <f>IF($Q143="","",INDEX(TRANSACTIONS_MASTER!$AB$5:$AB$1204,$Q143))</f>
        <v/>
      </c>
      <c r="P143" s="55" t="str">
        <f>IF($Q143="","",INDEX(TRANSACTIONS_MASTER!$Z$5:$Z$1204,$Q143)&amp;"")</f>
        <v/>
      </c>
      <c r="Q143" s="67" t="str">
        <f>IFERROR(MATCH($C$2&amp;"|"&amp;136,TRANSACTIONS_MASTER!$AE$5:$AE$1204,0),"")</f>
        <v/>
      </c>
      <c r="S143" s="67" t="str">
        <f>IFERROR(MATCH(1,INDEX((TRANSACTIONS_MASTER!$C$5:$C$1204=$C$2)*(TRANSACTIONS_MASTER!$AJ$5:$AJ$1204=6),0),0),"")</f>
        <v/>
      </c>
      <c r="T143" s="29" t="str">
        <f>IF($S143="","",INDEX(TRANSACTIONS_MASTER!$I$5:$I$1204,$S143))</f>
        <v/>
      </c>
      <c r="U143" s="55" t="str">
        <f>IF($S143="","",INDEX(TRANSACTIONS_MASTER!$J$5:$J$1204,$S143))</f>
        <v/>
      </c>
      <c r="V143" s="25" t="str">
        <f>IF($S143="","",SUMIFS(TRANSACTIONS_MASTER!$L$5:$L$1204,TRANSACTIONS_MASTER!$I$5:$I$1204,$T143,TRANSACTIONS_MASTER!$C$5:$C$1204,$C$2,TRANSACTIONS_MASTER!$U$5:$U$1204,"&lt;&gt;Cancelled"))</f>
        <v/>
      </c>
      <c r="W143" s="26" t="str">
        <f>IF($S143="","",SUMIFS(TRANSACTIONS_MASTER!$Q$5:$Q$1204,TRANSACTIONS_MASTER!$I$5:$I$1204,$T143,TRANSACTIONS_MASTER!$C$5:$C$1204,$C$2))</f>
        <v/>
      </c>
    </row>
    <row r="144">
      <c r="A144" s="81" t="str">
        <f>IF($Q144="","",137)</f>
        <v/>
      </c>
      <c r="B144" s="57" t="str">
        <f>IF($Q144="","",INDEX(TRANSACTIONS_MASTER!$B$5:$B$1204,$Q144))</f>
        <v/>
      </c>
      <c r="C144" s="55" t="str">
        <f>IF($Q144="","",INDEX(TRANSACTIONS_MASTER!$F$5:$F$1204,$Q144))</f>
        <v/>
      </c>
      <c r="D144" s="55" t="str">
        <f>IF($Q144="","",INDEX(TRANSACTIONS_MASTER!$E$5:$E$1204,$Q144))</f>
        <v/>
      </c>
      <c r="E144" s="55" t="str">
        <f>IF($Q144="","",INDEX(TRANSACTIONS_MASTER!$G$5:$G$1204,$Q144)&amp;"")</f>
        <v/>
      </c>
      <c r="F144" s="29" t="str">
        <f>IF($Q144="","",INDEX(TRANSACTIONS_MASTER!$I$5:$I$1204,$Q144))</f>
        <v/>
      </c>
      <c r="G144" s="55" t="str">
        <f>IF($Q144="","",INDEX(TRANSACTIONS_MASTER!$K$5:$K$1204,$Q144))</f>
        <v/>
      </c>
      <c r="H144" s="25" t="str">
        <f>IF($Q144="","",INDEX(TRANSACTIONS_MASTER!$L$5:$L$1204,$Q144))</f>
        <v/>
      </c>
      <c r="I144" s="56" t="str">
        <f>IF($Q144="","",INDEX(TRANSACTIONS_MASTER!$N$5:$N$1204,$Q144))</f>
        <v/>
      </c>
      <c r="J144" s="25" t="str">
        <f>IF($Q144="","",INDEX(TRANSACTIONS_MASTER!$O$5:$O$1204,$Q144))</f>
        <v/>
      </c>
      <c r="K144" s="26" t="str">
        <f>IF($Q144="","",INDEX(TRANSACTIONS_MASTER!$Q$5:$Q$1204,$Q144))</f>
        <v/>
      </c>
      <c r="L144" s="25" t="str">
        <f>IF($Q144="","",INDEX(TRANSACTIONS_MASTER!$P$5:$P$1204,$Q144))</f>
        <v/>
      </c>
      <c r="M144" s="25" t="str">
        <f>IF($Q144="","",INDEX(TRANSACTIONS_MASTER!$AA$5:$AA$1204,$Q144))</f>
        <v/>
      </c>
      <c r="N144" s="25" t="str">
        <f>IF($Q144="","",INDEX(TRANSACTIONS_MASTER!$R$5:$R$1204,$Q144))</f>
        <v/>
      </c>
      <c r="O144" s="28" t="str">
        <f>IF($Q144="","",INDEX(TRANSACTIONS_MASTER!$AB$5:$AB$1204,$Q144))</f>
        <v/>
      </c>
      <c r="P144" s="55" t="str">
        <f>IF($Q144="","",INDEX(TRANSACTIONS_MASTER!$Z$5:$Z$1204,$Q144)&amp;"")</f>
        <v/>
      </c>
      <c r="Q144" s="67" t="str">
        <f>IFERROR(MATCH($C$2&amp;"|"&amp;137,TRANSACTIONS_MASTER!$AE$5:$AE$1204,0),"")</f>
        <v/>
      </c>
      <c r="S144" s="67" t="str">
        <f>IFERROR(MATCH(1,INDEX((TRANSACTIONS_MASTER!$C$5:$C$1204=$C$2)*(TRANSACTIONS_MASTER!$AJ$5:$AJ$1204=7),0),0),"")</f>
        <v/>
      </c>
      <c r="T144" s="29" t="str">
        <f>IF($S144="","",INDEX(TRANSACTIONS_MASTER!$I$5:$I$1204,$S144))</f>
        <v/>
      </c>
      <c r="U144" s="55" t="str">
        <f>IF($S144="","",INDEX(TRANSACTIONS_MASTER!$J$5:$J$1204,$S144))</f>
        <v/>
      </c>
      <c r="V144" s="25" t="str">
        <f>IF($S144="","",SUMIFS(TRANSACTIONS_MASTER!$L$5:$L$1204,TRANSACTIONS_MASTER!$I$5:$I$1204,$T144,TRANSACTIONS_MASTER!$C$5:$C$1204,$C$2,TRANSACTIONS_MASTER!$U$5:$U$1204,"&lt;&gt;Cancelled"))</f>
        <v/>
      </c>
      <c r="W144" s="26" t="str">
        <f>IF($S144="","",SUMIFS(TRANSACTIONS_MASTER!$Q$5:$Q$1204,TRANSACTIONS_MASTER!$I$5:$I$1204,$T144,TRANSACTIONS_MASTER!$C$5:$C$1204,$C$2))</f>
        <v/>
      </c>
    </row>
    <row r="145">
      <c r="A145" s="81" t="str">
        <f>IF($Q145="","",138)</f>
        <v/>
      </c>
      <c r="B145" s="57" t="str">
        <f>IF($Q145="","",INDEX(TRANSACTIONS_MASTER!$B$5:$B$1204,$Q145))</f>
        <v/>
      </c>
      <c r="C145" s="55" t="str">
        <f>IF($Q145="","",INDEX(TRANSACTIONS_MASTER!$F$5:$F$1204,$Q145))</f>
        <v/>
      </c>
      <c r="D145" s="55" t="str">
        <f>IF($Q145="","",INDEX(TRANSACTIONS_MASTER!$E$5:$E$1204,$Q145))</f>
        <v/>
      </c>
      <c r="E145" s="55" t="str">
        <f>IF($Q145="","",INDEX(TRANSACTIONS_MASTER!$G$5:$G$1204,$Q145)&amp;"")</f>
        <v/>
      </c>
      <c r="F145" s="29" t="str">
        <f>IF($Q145="","",INDEX(TRANSACTIONS_MASTER!$I$5:$I$1204,$Q145))</f>
        <v/>
      </c>
      <c r="G145" s="55" t="str">
        <f>IF($Q145="","",INDEX(TRANSACTIONS_MASTER!$K$5:$K$1204,$Q145))</f>
        <v/>
      </c>
      <c r="H145" s="25" t="str">
        <f>IF($Q145="","",INDEX(TRANSACTIONS_MASTER!$L$5:$L$1204,$Q145))</f>
        <v/>
      </c>
      <c r="I145" s="56" t="str">
        <f>IF($Q145="","",INDEX(TRANSACTIONS_MASTER!$N$5:$N$1204,$Q145))</f>
        <v/>
      </c>
      <c r="J145" s="25" t="str">
        <f>IF($Q145="","",INDEX(TRANSACTIONS_MASTER!$O$5:$O$1204,$Q145))</f>
        <v/>
      </c>
      <c r="K145" s="26" t="str">
        <f>IF($Q145="","",INDEX(TRANSACTIONS_MASTER!$Q$5:$Q$1204,$Q145))</f>
        <v/>
      </c>
      <c r="L145" s="25" t="str">
        <f>IF($Q145="","",INDEX(TRANSACTIONS_MASTER!$P$5:$P$1204,$Q145))</f>
        <v/>
      </c>
      <c r="M145" s="25" t="str">
        <f>IF($Q145="","",INDEX(TRANSACTIONS_MASTER!$AA$5:$AA$1204,$Q145))</f>
        <v/>
      </c>
      <c r="N145" s="25" t="str">
        <f>IF($Q145="","",INDEX(TRANSACTIONS_MASTER!$R$5:$R$1204,$Q145))</f>
        <v/>
      </c>
      <c r="O145" s="28" t="str">
        <f>IF($Q145="","",INDEX(TRANSACTIONS_MASTER!$AB$5:$AB$1204,$Q145))</f>
        <v/>
      </c>
      <c r="P145" s="55" t="str">
        <f>IF($Q145="","",INDEX(TRANSACTIONS_MASTER!$Z$5:$Z$1204,$Q145)&amp;"")</f>
        <v/>
      </c>
      <c r="Q145" s="67" t="str">
        <f>IFERROR(MATCH($C$2&amp;"|"&amp;138,TRANSACTIONS_MASTER!$AE$5:$AE$1204,0),"")</f>
        <v/>
      </c>
      <c r="S145" s="67" t="str">
        <f>IFERROR(MATCH(1,INDEX((TRANSACTIONS_MASTER!$C$5:$C$1204=$C$2)*(TRANSACTIONS_MASTER!$AJ$5:$AJ$1204=8),0),0),"")</f>
        <v/>
      </c>
      <c r="T145" s="29" t="str">
        <f>IF($S145="","",INDEX(TRANSACTIONS_MASTER!$I$5:$I$1204,$S145))</f>
        <v/>
      </c>
      <c r="U145" s="55" t="str">
        <f>IF($S145="","",INDEX(TRANSACTIONS_MASTER!$J$5:$J$1204,$S145))</f>
        <v/>
      </c>
      <c r="V145" s="25" t="str">
        <f>IF($S145="","",SUMIFS(TRANSACTIONS_MASTER!$L$5:$L$1204,TRANSACTIONS_MASTER!$I$5:$I$1204,$T145,TRANSACTIONS_MASTER!$C$5:$C$1204,$C$2,TRANSACTIONS_MASTER!$U$5:$U$1204,"&lt;&gt;Cancelled"))</f>
        <v/>
      </c>
      <c r="W145" s="26" t="str">
        <f>IF($S145="","",SUMIFS(TRANSACTIONS_MASTER!$Q$5:$Q$1204,TRANSACTIONS_MASTER!$I$5:$I$1204,$T145,TRANSACTIONS_MASTER!$C$5:$C$1204,$C$2))</f>
        <v/>
      </c>
    </row>
    <row r="146">
      <c r="A146" s="81" t="str">
        <f>IF($Q146="","",139)</f>
        <v/>
      </c>
      <c r="B146" s="57" t="str">
        <f>IF($Q146="","",INDEX(TRANSACTIONS_MASTER!$B$5:$B$1204,$Q146))</f>
        <v/>
      </c>
      <c r="C146" s="55" t="str">
        <f>IF($Q146="","",INDEX(TRANSACTIONS_MASTER!$F$5:$F$1204,$Q146))</f>
        <v/>
      </c>
      <c r="D146" s="55" t="str">
        <f>IF($Q146="","",INDEX(TRANSACTIONS_MASTER!$E$5:$E$1204,$Q146))</f>
        <v/>
      </c>
      <c r="E146" s="55" t="str">
        <f>IF($Q146="","",INDEX(TRANSACTIONS_MASTER!$G$5:$G$1204,$Q146)&amp;"")</f>
        <v/>
      </c>
      <c r="F146" s="29" t="str">
        <f>IF($Q146="","",INDEX(TRANSACTIONS_MASTER!$I$5:$I$1204,$Q146))</f>
        <v/>
      </c>
      <c r="G146" s="55" t="str">
        <f>IF($Q146="","",INDEX(TRANSACTIONS_MASTER!$K$5:$K$1204,$Q146))</f>
        <v/>
      </c>
      <c r="H146" s="25" t="str">
        <f>IF($Q146="","",INDEX(TRANSACTIONS_MASTER!$L$5:$L$1204,$Q146))</f>
        <v/>
      </c>
      <c r="I146" s="56" t="str">
        <f>IF($Q146="","",INDEX(TRANSACTIONS_MASTER!$N$5:$N$1204,$Q146))</f>
        <v/>
      </c>
      <c r="J146" s="25" t="str">
        <f>IF($Q146="","",INDEX(TRANSACTIONS_MASTER!$O$5:$O$1204,$Q146))</f>
        <v/>
      </c>
      <c r="K146" s="26" t="str">
        <f>IF($Q146="","",INDEX(TRANSACTIONS_MASTER!$Q$5:$Q$1204,$Q146))</f>
        <v/>
      </c>
      <c r="L146" s="25" t="str">
        <f>IF($Q146="","",INDEX(TRANSACTIONS_MASTER!$P$5:$P$1204,$Q146))</f>
        <v/>
      </c>
      <c r="M146" s="25" t="str">
        <f>IF($Q146="","",INDEX(TRANSACTIONS_MASTER!$AA$5:$AA$1204,$Q146))</f>
        <v/>
      </c>
      <c r="N146" s="25" t="str">
        <f>IF($Q146="","",INDEX(TRANSACTIONS_MASTER!$R$5:$R$1204,$Q146))</f>
        <v/>
      </c>
      <c r="O146" s="28" t="str">
        <f>IF($Q146="","",INDEX(TRANSACTIONS_MASTER!$AB$5:$AB$1204,$Q146))</f>
        <v/>
      </c>
      <c r="P146" s="55" t="str">
        <f>IF($Q146="","",INDEX(TRANSACTIONS_MASTER!$Z$5:$Z$1204,$Q146)&amp;"")</f>
        <v/>
      </c>
      <c r="Q146" s="67" t="str">
        <f>IFERROR(MATCH($C$2&amp;"|"&amp;139,TRANSACTIONS_MASTER!$AE$5:$AE$1204,0),"")</f>
        <v/>
      </c>
      <c r="S146" s="67" t="str">
        <f>IFERROR(MATCH(1,INDEX((TRANSACTIONS_MASTER!$C$5:$C$1204=$C$2)*(TRANSACTIONS_MASTER!$AJ$5:$AJ$1204=9),0),0),"")</f>
        <v/>
      </c>
      <c r="T146" s="29" t="str">
        <f>IF($S146="","",INDEX(TRANSACTIONS_MASTER!$I$5:$I$1204,$S146))</f>
        <v/>
      </c>
      <c r="U146" s="55" t="str">
        <f>IF($S146="","",INDEX(TRANSACTIONS_MASTER!$J$5:$J$1204,$S146))</f>
        <v/>
      </c>
      <c r="V146" s="25" t="str">
        <f>IF($S146="","",SUMIFS(TRANSACTIONS_MASTER!$L$5:$L$1204,TRANSACTIONS_MASTER!$I$5:$I$1204,$T146,TRANSACTIONS_MASTER!$C$5:$C$1204,$C$2,TRANSACTIONS_MASTER!$U$5:$U$1204,"&lt;&gt;Cancelled"))</f>
        <v/>
      </c>
      <c r="W146" s="26" t="str">
        <f>IF($S146="","",SUMIFS(TRANSACTIONS_MASTER!$Q$5:$Q$1204,TRANSACTIONS_MASTER!$I$5:$I$1204,$T146,TRANSACTIONS_MASTER!$C$5:$C$1204,$C$2))</f>
        <v/>
      </c>
    </row>
    <row r="147">
      <c r="A147" s="81" t="str">
        <f>IF($Q147="","",140)</f>
        <v/>
      </c>
      <c r="B147" s="57" t="str">
        <f>IF($Q147="","",INDEX(TRANSACTIONS_MASTER!$B$5:$B$1204,$Q147))</f>
        <v/>
      </c>
      <c r="C147" s="55" t="str">
        <f>IF($Q147="","",INDEX(TRANSACTIONS_MASTER!$F$5:$F$1204,$Q147))</f>
        <v/>
      </c>
      <c r="D147" s="55" t="str">
        <f>IF($Q147="","",INDEX(TRANSACTIONS_MASTER!$E$5:$E$1204,$Q147))</f>
        <v/>
      </c>
      <c r="E147" s="55" t="str">
        <f>IF($Q147="","",INDEX(TRANSACTIONS_MASTER!$G$5:$G$1204,$Q147)&amp;"")</f>
        <v/>
      </c>
      <c r="F147" s="29" t="str">
        <f>IF($Q147="","",INDEX(TRANSACTIONS_MASTER!$I$5:$I$1204,$Q147))</f>
        <v/>
      </c>
      <c r="G147" s="55" t="str">
        <f>IF($Q147="","",INDEX(TRANSACTIONS_MASTER!$K$5:$K$1204,$Q147))</f>
        <v/>
      </c>
      <c r="H147" s="25" t="str">
        <f>IF($Q147="","",INDEX(TRANSACTIONS_MASTER!$L$5:$L$1204,$Q147))</f>
        <v/>
      </c>
      <c r="I147" s="56" t="str">
        <f>IF($Q147="","",INDEX(TRANSACTIONS_MASTER!$N$5:$N$1204,$Q147))</f>
        <v/>
      </c>
      <c r="J147" s="25" t="str">
        <f>IF($Q147="","",INDEX(TRANSACTIONS_MASTER!$O$5:$O$1204,$Q147))</f>
        <v/>
      </c>
      <c r="K147" s="26" t="str">
        <f>IF($Q147="","",INDEX(TRANSACTIONS_MASTER!$Q$5:$Q$1204,$Q147))</f>
        <v/>
      </c>
      <c r="L147" s="25" t="str">
        <f>IF($Q147="","",INDEX(TRANSACTIONS_MASTER!$P$5:$P$1204,$Q147))</f>
        <v/>
      </c>
      <c r="M147" s="25" t="str">
        <f>IF($Q147="","",INDEX(TRANSACTIONS_MASTER!$AA$5:$AA$1204,$Q147))</f>
        <v/>
      </c>
      <c r="N147" s="25" t="str">
        <f>IF($Q147="","",INDEX(TRANSACTIONS_MASTER!$R$5:$R$1204,$Q147))</f>
        <v/>
      </c>
      <c r="O147" s="28" t="str">
        <f>IF($Q147="","",INDEX(TRANSACTIONS_MASTER!$AB$5:$AB$1204,$Q147))</f>
        <v/>
      </c>
      <c r="P147" s="55" t="str">
        <f>IF($Q147="","",INDEX(TRANSACTIONS_MASTER!$Z$5:$Z$1204,$Q147)&amp;"")</f>
        <v/>
      </c>
      <c r="Q147" s="67" t="str">
        <f>IFERROR(MATCH($C$2&amp;"|"&amp;140,TRANSACTIONS_MASTER!$AE$5:$AE$1204,0),"")</f>
        <v/>
      </c>
      <c r="S147" s="67" t="str">
        <f>IFERROR(MATCH(1,INDEX((TRANSACTIONS_MASTER!$C$5:$C$1204=$C$2)*(TRANSACTIONS_MASTER!$AJ$5:$AJ$1204=10),0),0),"")</f>
        <v/>
      </c>
      <c r="T147" s="29" t="str">
        <f>IF($S147="","",INDEX(TRANSACTIONS_MASTER!$I$5:$I$1204,$S147))</f>
        <v/>
      </c>
      <c r="U147" s="55" t="str">
        <f>IF($S147="","",INDEX(TRANSACTIONS_MASTER!$J$5:$J$1204,$S147))</f>
        <v/>
      </c>
      <c r="V147" s="25" t="str">
        <f>IF($S147="","",SUMIFS(TRANSACTIONS_MASTER!$L$5:$L$1204,TRANSACTIONS_MASTER!$I$5:$I$1204,$T147,TRANSACTIONS_MASTER!$C$5:$C$1204,$C$2,TRANSACTIONS_MASTER!$U$5:$U$1204,"&lt;&gt;Cancelled"))</f>
        <v/>
      </c>
      <c r="W147" s="26" t="str">
        <f>IF($S147="","",SUMIFS(TRANSACTIONS_MASTER!$Q$5:$Q$1204,TRANSACTIONS_MASTER!$I$5:$I$1204,$T147,TRANSACTIONS_MASTER!$C$5:$C$1204,$C$2))</f>
        <v/>
      </c>
    </row>
    <row r="148">
      <c r="A148" s="81" t="str">
        <f>IF($Q148="","",141)</f>
        <v/>
      </c>
      <c r="B148" s="57" t="str">
        <f>IF($Q148="","",INDEX(TRANSACTIONS_MASTER!$B$5:$B$1204,$Q148))</f>
        <v/>
      </c>
      <c r="C148" s="55" t="str">
        <f>IF($Q148="","",INDEX(TRANSACTIONS_MASTER!$F$5:$F$1204,$Q148))</f>
        <v/>
      </c>
      <c r="D148" s="55" t="str">
        <f>IF($Q148="","",INDEX(TRANSACTIONS_MASTER!$E$5:$E$1204,$Q148))</f>
        <v/>
      </c>
      <c r="E148" s="55" t="str">
        <f>IF($Q148="","",INDEX(TRANSACTIONS_MASTER!$G$5:$G$1204,$Q148)&amp;"")</f>
        <v/>
      </c>
      <c r="F148" s="29" t="str">
        <f>IF($Q148="","",INDEX(TRANSACTIONS_MASTER!$I$5:$I$1204,$Q148))</f>
        <v/>
      </c>
      <c r="G148" s="55" t="str">
        <f>IF($Q148="","",INDEX(TRANSACTIONS_MASTER!$K$5:$K$1204,$Q148))</f>
        <v/>
      </c>
      <c r="H148" s="25" t="str">
        <f>IF($Q148="","",INDEX(TRANSACTIONS_MASTER!$L$5:$L$1204,$Q148))</f>
        <v/>
      </c>
      <c r="I148" s="56" t="str">
        <f>IF($Q148="","",INDEX(TRANSACTIONS_MASTER!$N$5:$N$1204,$Q148))</f>
        <v/>
      </c>
      <c r="J148" s="25" t="str">
        <f>IF($Q148="","",INDEX(TRANSACTIONS_MASTER!$O$5:$O$1204,$Q148))</f>
        <v/>
      </c>
      <c r="K148" s="26" t="str">
        <f>IF($Q148="","",INDEX(TRANSACTIONS_MASTER!$Q$5:$Q$1204,$Q148))</f>
        <v/>
      </c>
      <c r="L148" s="25" t="str">
        <f>IF($Q148="","",INDEX(TRANSACTIONS_MASTER!$P$5:$P$1204,$Q148))</f>
        <v/>
      </c>
      <c r="M148" s="25" t="str">
        <f>IF($Q148="","",INDEX(TRANSACTIONS_MASTER!$AA$5:$AA$1204,$Q148))</f>
        <v/>
      </c>
      <c r="N148" s="25" t="str">
        <f>IF($Q148="","",INDEX(TRANSACTIONS_MASTER!$R$5:$R$1204,$Q148))</f>
        <v/>
      </c>
      <c r="O148" s="28" t="str">
        <f>IF($Q148="","",INDEX(TRANSACTIONS_MASTER!$AB$5:$AB$1204,$Q148))</f>
        <v/>
      </c>
      <c r="P148" s="55" t="str">
        <f>IF($Q148="","",INDEX(TRANSACTIONS_MASTER!$Z$5:$Z$1204,$Q148)&amp;"")</f>
        <v/>
      </c>
      <c r="Q148" s="67" t="str">
        <f>IFERROR(MATCH($C$2&amp;"|"&amp;141,TRANSACTIONS_MASTER!$AE$5:$AE$1204,0),"")</f>
        <v/>
      </c>
      <c r="S148" s="67" t="str">
        <f>IFERROR(MATCH(1,INDEX((TRANSACTIONS_MASTER!$C$5:$C$1204=$C$2)*(TRANSACTIONS_MASTER!$AJ$5:$AJ$1204=11),0),0),"")</f>
        <v/>
      </c>
      <c r="T148" s="29" t="str">
        <f>IF($S148="","",INDEX(TRANSACTIONS_MASTER!$I$5:$I$1204,$S148))</f>
        <v/>
      </c>
      <c r="U148" s="55" t="str">
        <f>IF($S148="","",INDEX(TRANSACTIONS_MASTER!$J$5:$J$1204,$S148))</f>
        <v/>
      </c>
      <c r="V148" s="25" t="str">
        <f>IF($S148="","",SUMIFS(TRANSACTIONS_MASTER!$L$5:$L$1204,TRANSACTIONS_MASTER!$I$5:$I$1204,$T148,TRANSACTIONS_MASTER!$C$5:$C$1204,$C$2,TRANSACTIONS_MASTER!$U$5:$U$1204,"&lt;&gt;Cancelled"))</f>
        <v/>
      </c>
      <c r="W148" s="26" t="str">
        <f>IF($S148="","",SUMIFS(TRANSACTIONS_MASTER!$Q$5:$Q$1204,TRANSACTIONS_MASTER!$I$5:$I$1204,$T148,TRANSACTIONS_MASTER!$C$5:$C$1204,$C$2))</f>
        <v/>
      </c>
    </row>
    <row r="149">
      <c r="A149" s="81" t="str">
        <f>IF($Q149="","",142)</f>
        <v/>
      </c>
      <c r="B149" s="57" t="str">
        <f>IF($Q149="","",INDEX(TRANSACTIONS_MASTER!$B$5:$B$1204,$Q149))</f>
        <v/>
      </c>
      <c r="C149" s="55" t="str">
        <f>IF($Q149="","",INDEX(TRANSACTIONS_MASTER!$F$5:$F$1204,$Q149))</f>
        <v/>
      </c>
      <c r="D149" s="55" t="str">
        <f>IF($Q149="","",INDEX(TRANSACTIONS_MASTER!$E$5:$E$1204,$Q149))</f>
        <v/>
      </c>
      <c r="E149" s="55" t="str">
        <f>IF($Q149="","",INDEX(TRANSACTIONS_MASTER!$G$5:$G$1204,$Q149)&amp;"")</f>
        <v/>
      </c>
      <c r="F149" s="29" t="str">
        <f>IF($Q149="","",INDEX(TRANSACTIONS_MASTER!$I$5:$I$1204,$Q149))</f>
        <v/>
      </c>
      <c r="G149" s="55" t="str">
        <f>IF($Q149="","",INDEX(TRANSACTIONS_MASTER!$K$5:$K$1204,$Q149))</f>
        <v/>
      </c>
      <c r="H149" s="25" t="str">
        <f>IF($Q149="","",INDEX(TRANSACTIONS_MASTER!$L$5:$L$1204,$Q149))</f>
        <v/>
      </c>
      <c r="I149" s="56" t="str">
        <f>IF($Q149="","",INDEX(TRANSACTIONS_MASTER!$N$5:$N$1204,$Q149))</f>
        <v/>
      </c>
      <c r="J149" s="25" t="str">
        <f>IF($Q149="","",INDEX(TRANSACTIONS_MASTER!$O$5:$O$1204,$Q149))</f>
        <v/>
      </c>
      <c r="K149" s="26" t="str">
        <f>IF($Q149="","",INDEX(TRANSACTIONS_MASTER!$Q$5:$Q$1204,$Q149))</f>
        <v/>
      </c>
      <c r="L149" s="25" t="str">
        <f>IF($Q149="","",INDEX(TRANSACTIONS_MASTER!$P$5:$P$1204,$Q149))</f>
        <v/>
      </c>
      <c r="M149" s="25" t="str">
        <f>IF($Q149="","",INDEX(TRANSACTIONS_MASTER!$AA$5:$AA$1204,$Q149))</f>
        <v/>
      </c>
      <c r="N149" s="25" t="str">
        <f>IF($Q149="","",INDEX(TRANSACTIONS_MASTER!$R$5:$R$1204,$Q149))</f>
        <v/>
      </c>
      <c r="O149" s="28" t="str">
        <f>IF($Q149="","",INDEX(TRANSACTIONS_MASTER!$AB$5:$AB$1204,$Q149))</f>
        <v/>
      </c>
      <c r="P149" s="55" t="str">
        <f>IF($Q149="","",INDEX(TRANSACTIONS_MASTER!$Z$5:$Z$1204,$Q149)&amp;"")</f>
        <v/>
      </c>
      <c r="Q149" s="67" t="str">
        <f>IFERROR(MATCH($C$2&amp;"|"&amp;142,TRANSACTIONS_MASTER!$AE$5:$AE$1204,0),"")</f>
        <v/>
      </c>
      <c r="S149" s="67" t="str">
        <f>IFERROR(MATCH(1,INDEX((TRANSACTIONS_MASTER!$C$5:$C$1204=$C$2)*(TRANSACTIONS_MASTER!$AJ$5:$AJ$1204=12),0),0),"")</f>
        <v/>
      </c>
      <c r="T149" s="29" t="str">
        <f>IF($S149="","",INDEX(TRANSACTIONS_MASTER!$I$5:$I$1204,$S149))</f>
        <v/>
      </c>
      <c r="U149" s="55" t="str">
        <f>IF($S149="","",INDEX(TRANSACTIONS_MASTER!$J$5:$J$1204,$S149))</f>
        <v/>
      </c>
      <c r="V149" s="25" t="str">
        <f>IF($S149="","",SUMIFS(TRANSACTIONS_MASTER!$L$5:$L$1204,TRANSACTIONS_MASTER!$I$5:$I$1204,$T149,TRANSACTIONS_MASTER!$C$5:$C$1204,$C$2,TRANSACTIONS_MASTER!$U$5:$U$1204,"&lt;&gt;Cancelled"))</f>
        <v/>
      </c>
      <c r="W149" s="26" t="str">
        <f>IF($S149="","",SUMIFS(TRANSACTIONS_MASTER!$Q$5:$Q$1204,TRANSACTIONS_MASTER!$I$5:$I$1204,$T149,TRANSACTIONS_MASTER!$C$5:$C$1204,$C$2))</f>
        <v/>
      </c>
    </row>
    <row r="150">
      <c r="A150" s="81" t="str">
        <f>IF($Q150="","",143)</f>
        <v/>
      </c>
      <c r="B150" s="57" t="str">
        <f>IF($Q150="","",INDEX(TRANSACTIONS_MASTER!$B$5:$B$1204,$Q150))</f>
        <v/>
      </c>
      <c r="C150" s="55" t="str">
        <f>IF($Q150="","",INDEX(TRANSACTIONS_MASTER!$F$5:$F$1204,$Q150))</f>
        <v/>
      </c>
      <c r="D150" s="55" t="str">
        <f>IF($Q150="","",INDEX(TRANSACTIONS_MASTER!$E$5:$E$1204,$Q150))</f>
        <v/>
      </c>
      <c r="E150" s="55" t="str">
        <f>IF($Q150="","",INDEX(TRANSACTIONS_MASTER!$G$5:$G$1204,$Q150)&amp;"")</f>
        <v/>
      </c>
      <c r="F150" s="29" t="str">
        <f>IF($Q150="","",INDEX(TRANSACTIONS_MASTER!$I$5:$I$1204,$Q150))</f>
        <v/>
      </c>
      <c r="G150" s="55" t="str">
        <f>IF($Q150="","",INDEX(TRANSACTIONS_MASTER!$K$5:$K$1204,$Q150))</f>
        <v/>
      </c>
      <c r="H150" s="25" t="str">
        <f>IF($Q150="","",INDEX(TRANSACTIONS_MASTER!$L$5:$L$1204,$Q150))</f>
        <v/>
      </c>
      <c r="I150" s="56" t="str">
        <f>IF($Q150="","",INDEX(TRANSACTIONS_MASTER!$N$5:$N$1204,$Q150))</f>
        <v/>
      </c>
      <c r="J150" s="25" t="str">
        <f>IF($Q150="","",INDEX(TRANSACTIONS_MASTER!$O$5:$O$1204,$Q150))</f>
        <v/>
      </c>
      <c r="K150" s="26" t="str">
        <f>IF($Q150="","",INDEX(TRANSACTIONS_MASTER!$Q$5:$Q$1204,$Q150))</f>
        <v/>
      </c>
      <c r="L150" s="25" t="str">
        <f>IF($Q150="","",INDEX(TRANSACTIONS_MASTER!$P$5:$P$1204,$Q150))</f>
        <v/>
      </c>
      <c r="M150" s="25" t="str">
        <f>IF($Q150="","",INDEX(TRANSACTIONS_MASTER!$AA$5:$AA$1204,$Q150))</f>
        <v/>
      </c>
      <c r="N150" s="25" t="str">
        <f>IF($Q150="","",INDEX(TRANSACTIONS_MASTER!$R$5:$R$1204,$Q150))</f>
        <v/>
      </c>
      <c r="O150" s="28" t="str">
        <f>IF($Q150="","",INDEX(TRANSACTIONS_MASTER!$AB$5:$AB$1204,$Q150))</f>
        <v/>
      </c>
      <c r="P150" s="55" t="str">
        <f>IF($Q150="","",INDEX(TRANSACTIONS_MASTER!$Z$5:$Z$1204,$Q150)&amp;"")</f>
        <v/>
      </c>
      <c r="Q150" s="67" t="str">
        <f>IFERROR(MATCH($C$2&amp;"|"&amp;143,TRANSACTIONS_MASTER!$AE$5:$AE$1204,0),"")</f>
        <v/>
      </c>
      <c r="S150" s="67" t="str">
        <f>IFERROR(MATCH(1,INDEX((TRANSACTIONS_MASTER!$C$5:$C$1204=$C$2)*(TRANSACTIONS_MASTER!$AJ$5:$AJ$1204=13),0),0),"")</f>
        <v/>
      </c>
      <c r="T150" s="29" t="str">
        <f>IF($S150="","",INDEX(TRANSACTIONS_MASTER!$I$5:$I$1204,$S150))</f>
        <v/>
      </c>
      <c r="U150" s="55" t="str">
        <f>IF($S150="","",INDEX(TRANSACTIONS_MASTER!$J$5:$J$1204,$S150))</f>
        <v/>
      </c>
      <c r="V150" s="25" t="str">
        <f>IF($S150="","",SUMIFS(TRANSACTIONS_MASTER!$L$5:$L$1204,TRANSACTIONS_MASTER!$I$5:$I$1204,$T150,TRANSACTIONS_MASTER!$C$5:$C$1204,$C$2,TRANSACTIONS_MASTER!$U$5:$U$1204,"&lt;&gt;Cancelled"))</f>
        <v/>
      </c>
      <c r="W150" s="26" t="str">
        <f>IF($S150="","",SUMIFS(TRANSACTIONS_MASTER!$Q$5:$Q$1204,TRANSACTIONS_MASTER!$I$5:$I$1204,$T150,TRANSACTIONS_MASTER!$C$5:$C$1204,$C$2))</f>
        <v/>
      </c>
    </row>
    <row r="151">
      <c r="A151" s="81" t="str">
        <f>IF($Q151="","",144)</f>
        <v/>
      </c>
      <c r="B151" s="57" t="str">
        <f>IF($Q151="","",INDEX(TRANSACTIONS_MASTER!$B$5:$B$1204,$Q151))</f>
        <v/>
      </c>
      <c r="C151" s="55" t="str">
        <f>IF($Q151="","",INDEX(TRANSACTIONS_MASTER!$F$5:$F$1204,$Q151))</f>
        <v/>
      </c>
      <c r="D151" s="55" t="str">
        <f>IF($Q151="","",INDEX(TRANSACTIONS_MASTER!$E$5:$E$1204,$Q151))</f>
        <v/>
      </c>
      <c r="E151" s="55" t="str">
        <f>IF($Q151="","",INDEX(TRANSACTIONS_MASTER!$G$5:$G$1204,$Q151)&amp;"")</f>
        <v/>
      </c>
      <c r="F151" s="29" t="str">
        <f>IF($Q151="","",INDEX(TRANSACTIONS_MASTER!$I$5:$I$1204,$Q151))</f>
        <v/>
      </c>
      <c r="G151" s="55" t="str">
        <f>IF($Q151="","",INDEX(TRANSACTIONS_MASTER!$K$5:$K$1204,$Q151))</f>
        <v/>
      </c>
      <c r="H151" s="25" t="str">
        <f>IF($Q151="","",INDEX(TRANSACTIONS_MASTER!$L$5:$L$1204,$Q151))</f>
        <v/>
      </c>
      <c r="I151" s="56" t="str">
        <f>IF($Q151="","",INDEX(TRANSACTIONS_MASTER!$N$5:$N$1204,$Q151))</f>
        <v/>
      </c>
      <c r="J151" s="25" t="str">
        <f>IF($Q151="","",INDEX(TRANSACTIONS_MASTER!$O$5:$O$1204,$Q151))</f>
        <v/>
      </c>
      <c r="K151" s="26" t="str">
        <f>IF($Q151="","",INDEX(TRANSACTIONS_MASTER!$Q$5:$Q$1204,$Q151))</f>
        <v/>
      </c>
      <c r="L151" s="25" t="str">
        <f>IF($Q151="","",INDEX(TRANSACTIONS_MASTER!$P$5:$P$1204,$Q151))</f>
        <v/>
      </c>
      <c r="M151" s="25" t="str">
        <f>IF($Q151="","",INDEX(TRANSACTIONS_MASTER!$AA$5:$AA$1204,$Q151))</f>
        <v/>
      </c>
      <c r="N151" s="25" t="str">
        <f>IF($Q151="","",INDEX(TRANSACTIONS_MASTER!$R$5:$R$1204,$Q151))</f>
        <v/>
      </c>
      <c r="O151" s="28" t="str">
        <f>IF($Q151="","",INDEX(TRANSACTIONS_MASTER!$AB$5:$AB$1204,$Q151))</f>
        <v/>
      </c>
      <c r="P151" s="55" t="str">
        <f>IF($Q151="","",INDEX(TRANSACTIONS_MASTER!$Z$5:$Z$1204,$Q151)&amp;"")</f>
        <v/>
      </c>
      <c r="Q151" s="67" t="str">
        <f>IFERROR(MATCH($C$2&amp;"|"&amp;144,TRANSACTIONS_MASTER!$AE$5:$AE$1204,0),"")</f>
        <v/>
      </c>
      <c r="S151" s="67" t="str">
        <f>IFERROR(MATCH(1,INDEX((TRANSACTIONS_MASTER!$C$5:$C$1204=$C$2)*(TRANSACTIONS_MASTER!$AJ$5:$AJ$1204=14),0),0),"")</f>
        <v/>
      </c>
      <c r="T151" s="29" t="str">
        <f>IF($S151="","",INDEX(TRANSACTIONS_MASTER!$I$5:$I$1204,$S151))</f>
        <v/>
      </c>
      <c r="U151" s="55" t="str">
        <f>IF($S151="","",INDEX(TRANSACTIONS_MASTER!$J$5:$J$1204,$S151))</f>
        <v/>
      </c>
      <c r="V151" s="25" t="str">
        <f>IF($S151="","",SUMIFS(TRANSACTIONS_MASTER!$L$5:$L$1204,TRANSACTIONS_MASTER!$I$5:$I$1204,$T151,TRANSACTIONS_MASTER!$C$5:$C$1204,$C$2,TRANSACTIONS_MASTER!$U$5:$U$1204,"&lt;&gt;Cancelled"))</f>
        <v/>
      </c>
      <c r="W151" s="26" t="str">
        <f>IF($S151="","",SUMIFS(TRANSACTIONS_MASTER!$Q$5:$Q$1204,TRANSACTIONS_MASTER!$I$5:$I$1204,$T151,TRANSACTIONS_MASTER!$C$5:$C$1204,$C$2))</f>
        <v/>
      </c>
    </row>
    <row r="152">
      <c r="A152" s="81" t="str">
        <f>IF($Q152="","",145)</f>
        <v/>
      </c>
      <c r="B152" s="57" t="str">
        <f>IF($Q152="","",INDEX(TRANSACTIONS_MASTER!$B$5:$B$1204,$Q152))</f>
        <v/>
      </c>
      <c r="C152" s="55" t="str">
        <f>IF($Q152="","",INDEX(TRANSACTIONS_MASTER!$F$5:$F$1204,$Q152))</f>
        <v/>
      </c>
      <c r="D152" s="55" t="str">
        <f>IF($Q152="","",INDEX(TRANSACTIONS_MASTER!$E$5:$E$1204,$Q152))</f>
        <v/>
      </c>
      <c r="E152" s="55" t="str">
        <f>IF($Q152="","",INDEX(TRANSACTIONS_MASTER!$G$5:$G$1204,$Q152)&amp;"")</f>
        <v/>
      </c>
      <c r="F152" s="29" t="str">
        <f>IF($Q152="","",INDEX(TRANSACTIONS_MASTER!$I$5:$I$1204,$Q152))</f>
        <v/>
      </c>
      <c r="G152" s="55" t="str">
        <f>IF($Q152="","",INDEX(TRANSACTIONS_MASTER!$K$5:$K$1204,$Q152))</f>
        <v/>
      </c>
      <c r="H152" s="25" t="str">
        <f>IF($Q152="","",INDEX(TRANSACTIONS_MASTER!$L$5:$L$1204,$Q152))</f>
        <v/>
      </c>
      <c r="I152" s="56" t="str">
        <f>IF($Q152="","",INDEX(TRANSACTIONS_MASTER!$N$5:$N$1204,$Q152))</f>
        <v/>
      </c>
      <c r="J152" s="25" t="str">
        <f>IF($Q152="","",INDEX(TRANSACTIONS_MASTER!$O$5:$O$1204,$Q152))</f>
        <v/>
      </c>
      <c r="K152" s="26" t="str">
        <f>IF($Q152="","",INDEX(TRANSACTIONS_MASTER!$Q$5:$Q$1204,$Q152))</f>
        <v/>
      </c>
      <c r="L152" s="25" t="str">
        <f>IF($Q152="","",INDEX(TRANSACTIONS_MASTER!$P$5:$P$1204,$Q152))</f>
        <v/>
      </c>
      <c r="M152" s="25" t="str">
        <f>IF($Q152="","",INDEX(TRANSACTIONS_MASTER!$AA$5:$AA$1204,$Q152))</f>
        <v/>
      </c>
      <c r="N152" s="25" t="str">
        <f>IF($Q152="","",INDEX(TRANSACTIONS_MASTER!$R$5:$R$1204,$Q152))</f>
        <v/>
      </c>
      <c r="O152" s="28" t="str">
        <f>IF($Q152="","",INDEX(TRANSACTIONS_MASTER!$AB$5:$AB$1204,$Q152))</f>
        <v/>
      </c>
      <c r="P152" s="55" t="str">
        <f>IF($Q152="","",INDEX(TRANSACTIONS_MASTER!$Z$5:$Z$1204,$Q152)&amp;"")</f>
        <v/>
      </c>
      <c r="Q152" s="67" t="str">
        <f>IFERROR(MATCH($C$2&amp;"|"&amp;145,TRANSACTIONS_MASTER!$AE$5:$AE$1204,0),"")</f>
        <v/>
      </c>
      <c r="S152" s="67" t="str">
        <f>IFERROR(MATCH(1,INDEX((TRANSACTIONS_MASTER!$C$5:$C$1204=$C$2)*(TRANSACTIONS_MASTER!$AJ$5:$AJ$1204=15),0),0),"")</f>
        <v/>
      </c>
      <c r="T152" s="29" t="str">
        <f>IF($S152="","",INDEX(TRANSACTIONS_MASTER!$I$5:$I$1204,$S152))</f>
        <v/>
      </c>
      <c r="U152" s="55" t="str">
        <f>IF($S152="","",INDEX(TRANSACTIONS_MASTER!$J$5:$J$1204,$S152))</f>
        <v/>
      </c>
      <c r="V152" s="25" t="str">
        <f>IF($S152="","",SUMIFS(TRANSACTIONS_MASTER!$L$5:$L$1204,TRANSACTIONS_MASTER!$I$5:$I$1204,$T152,TRANSACTIONS_MASTER!$C$5:$C$1204,$C$2,TRANSACTIONS_MASTER!$U$5:$U$1204,"&lt;&gt;Cancelled"))</f>
        <v/>
      </c>
      <c r="W152" s="26" t="str">
        <f>IF($S152="","",SUMIFS(TRANSACTIONS_MASTER!$Q$5:$Q$1204,TRANSACTIONS_MASTER!$I$5:$I$1204,$T152,TRANSACTIONS_MASTER!$C$5:$C$1204,$C$2))</f>
        <v/>
      </c>
    </row>
    <row r="153">
      <c r="A153" s="81" t="str">
        <f>IF($Q153="","",146)</f>
        <v/>
      </c>
      <c r="B153" s="57" t="str">
        <f>IF($Q153="","",INDEX(TRANSACTIONS_MASTER!$B$5:$B$1204,$Q153))</f>
        <v/>
      </c>
      <c r="C153" s="55" t="str">
        <f>IF($Q153="","",INDEX(TRANSACTIONS_MASTER!$F$5:$F$1204,$Q153))</f>
        <v/>
      </c>
      <c r="D153" s="55" t="str">
        <f>IF($Q153="","",INDEX(TRANSACTIONS_MASTER!$E$5:$E$1204,$Q153))</f>
        <v/>
      </c>
      <c r="E153" s="55" t="str">
        <f>IF($Q153="","",INDEX(TRANSACTIONS_MASTER!$G$5:$G$1204,$Q153)&amp;"")</f>
        <v/>
      </c>
      <c r="F153" s="29" t="str">
        <f>IF($Q153="","",INDEX(TRANSACTIONS_MASTER!$I$5:$I$1204,$Q153))</f>
        <v/>
      </c>
      <c r="G153" s="55" t="str">
        <f>IF($Q153="","",INDEX(TRANSACTIONS_MASTER!$K$5:$K$1204,$Q153))</f>
        <v/>
      </c>
      <c r="H153" s="25" t="str">
        <f>IF($Q153="","",INDEX(TRANSACTIONS_MASTER!$L$5:$L$1204,$Q153))</f>
        <v/>
      </c>
      <c r="I153" s="56" t="str">
        <f>IF($Q153="","",INDEX(TRANSACTIONS_MASTER!$N$5:$N$1204,$Q153))</f>
        <v/>
      </c>
      <c r="J153" s="25" t="str">
        <f>IF($Q153="","",INDEX(TRANSACTIONS_MASTER!$O$5:$O$1204,$Q153))</f>
        <v/>
      </c>
      <c r="K153" s="26" t="str">
        <f>IF($Q153="","",INDEX(TRANSACTIONS_MASTER!$Q$5:$Q$1204,$Q153))</f>
        <v/>
      </c>
      <c r="L153" s="25" t="str">
        <f>IF($Q153="","",INDEX(TRANSACTIONS_MASTER!$P$5:$P$1204,$Q153))</f>
        <v/>
      </c>
      <c r="M153" s="25" t="str">
        <f>IF($Q153="","",INDEX(TRANSACTIONS_MASTER!$AA$5:$AA$1204,$Q153))</f>
        <v/>
      </c>
      <c r="N153" s="25" t="str">
        <f>IF($Q153="","",INDEX(TRANSACTIONS_MASTER!$R$5:$R$1204,$Q153))</f>
        <v/>
      </c>
      <c r="O153" s="28" t="str">
        <f>IF($Q153="","",INDEX(TRANSACTIONS_MASTER!$AB$5:$AB$1204,$Q153))</f>
        <v/>
      </c>
      <c r="P153" s="55" t="str">
        <f>IF($Q153="","",INDEX(TRANSACTIONS_MASTER!$Z$5:$Z$1204,$Q153)&amp;"")</f>
        <v/>
      </c>
      <c r="Q153" s="67" t="str">
        <f>IFERROR(MATCH($C$2&amp;"|"&amp;146,TRANSACTIONS_MASTER!$AE$5:$AE$1204,0),"")</f>
        <v/>
      </c>
      <c r="T153" s="45" t="n"/>
      <c r="U153" s="82" t="inlineStr">
        <is>
          <t>Khác (ngoài danh sách)</t>
        </is>
      </c>
      <c r="V153" s="48">
        <f>MAX(0,SUMIFS(TRANSACTIONS_MASTER!$L$5:$L$1204,TRANSACTIONS_MASTER!$C$5:$C$1204,$C$2,TRANSACTIONS_MASTER!$U$5:$U$1204,"&lt;&gt;Cancelled")-SUM(V138:V152))</f>
        <v>0</v>
      </c>
      <c r="W153" s="48">
        <f>MAX(0,SUMIFS(TRANSACTIONS_MASTER!$Q$5:$Q$1204,TRANSACTIONS_MASTER!$C$5:$C$1204,$C$2)-SUM(W138:W152))</f>
        <v>0</v>
      </c>
    </row>
    <row r="154">
      <c r="A154" s="81" t="str">
        <f>IF($Q154="","",147)</f>
        <v/>
      </c>
      <c r="B154" s="57" t="str">
        <f>IF($Q154="","",INDEX(TRANSACTIONS_MASTER!$B$5:$B$1204,$Q154))</f>
        <v/>
      </c>
      <c r="C154" s="55" t="str">
        <f>IF($Q154="","",INDEX(TRANSACTIONS_MASTER!$F$5:$F$1204,$Q154))</f>
        <v/>
      </c>
      <c r="D154" s="55" t="str">
        <f>IF($Q154="","",INDEX(TRANSACTIONS_MASTER!$E$5:$E$1204,$Q154))</f>
        <v/>
      </c>
      <c r="E154" s="55" t="str">
        <f>IF($Q154="","",INDEX(TRANSACTIONS_MASTER!$G$5:$G$1204,$Q154)&amp;"")</f>
        <v/>
      </c>
      <c r="F154" s="29" t="str">
        <f>IF($Q154="","",INDEX(TRANSACTIONS_MASTER!$I$5:$I$1204,$Q154))</f>
        <v/>
      </c>
      <c r="G154" s="55" t="str">
        <f>IF($Q154="","",INDEX(TRANSACTIONS_MASTER!$K$5:$K$1204,$Q154))</f>
        <v/>
      </c>
      <c r="H154" s="25" t="str">
        <f>IF($Q154="","",INDEX(TRANSACTIONS_MASTER!$L$5:$L$1204,$Q154))</f>
        <v/>
      </c>
      <c r="I154" s="56" t="str">
        <f>IF($Q154="","",INDEX(TRANSACTIONS_MASTER!$N$5:$N$1204,$Q154))</f>
        <v/>
      </c>
      <c r="J154" s="25" t="str">
        <f>IF($Q154="","",INDEX(TRANSACTIONS_MASTER!$O$5:$O$1204,$Q154))</f>
        <v/>
      </c>
      <c r="K154" s="26" t="str">
        <f>IF($Q154="","",INDEX(TRANSACTIONS_MASTER!$Q$5:$Q$1204,$Q154))</f>
        <v/>
      </c>
      <c r="L154" s="25" t="str">
        <f>IF($Q154="","",INDEX(TRANSACTIONS_MASTER!$P$5:$P$1204,$Q154))</f>
        <v/>
      </c>
      <c r="M154" s="25" t="str">
        <f>IF($Q154="","",INDEX(TRANSACTIONS_MASTER!$AA$5:$AA$1204,$Q154))</f>
        <v/>
      </c>
      <c r="N154" s="25" t="str">
        <f>IF($Q154="","",INDEX(TRANSACTIONS_MASTER!$R$5:$R$1204,$Q154))</f>
        <v/>
      </c>
      <c r="O154" s="28" t="str">
        <f>IF($Q154="","",INDEX(TRANSACTIONS_MASTER!$AB$5:$AB$1204,$Q154))</f>
        <v/>
      </c>
      <c r="P154" s="55" t="str">
        <f>IF($Q154="","",INDEX(TRANSACTIONS_MASTER!$Z$5:$Z$1204,$Q154)&amp;"")</f>
        <v/>
      </c>
      <c r="Q154" s="67" t="str">
        <f>IFERROR(MATCH($C$2&amp;"|"&amp;147,TRANSACTIONS_MASTER!$AE$5:$AE$1204,0),"")</f>
        <v/>
      </c>
      <c r="T154" s="68" t="n"/>
      <c r="U154" s="69" t="inlineStr">
        <is>
          <t>TỔNG</t>
        </is>
      </c>
      <c r="V154" s="31">
        <f>SUM(V138:V153)</f>
        <v>0</v>
      </c>
      <c r="W154" s="31">
        <f>SUM(W138:W153)</f>
        <v>0</v>
      </c>
    </row>
    <row r="155">
      <c r="A155" s="81" t="str">
        <f>IF($Q155="","",148)</f>
        <v/>
      </c>
      <c r="B155" s="57" t="str">
        <f>IF($Q155="","",INDEX(TRANSACTIONS_MASTER!$B$5:$B$1204,$Q155))</f>
        <v/>
      </c>
      <c r="C155" s="55" t="str">
        <f>IF($Q155="","",INDEX(TRANSACTIONS_MASTER!$F$5:$F$1204,$Q155))</f>
        <v/>
      </c>
      <c r="D155" s="55" t="str">
        <f>IF($Q155="","",INDEX(TRANSACTIONS_MASTER!$E$5:$E$1204,$Q155))</f>
        <v/>
      </c>
      <c r="E155" s="55" t="str">
        <f>IF($Q155="","",INDEX(TRANSACTIONS_MASTER!$G$5:$G$1204,$Q155)&amp;"")</f>
        <v/>
      </c>
      <c r="F155" s="29" t="str">
        <f>IF($Q155="","",INDEX(TRANSACTIONS_MASTER!$I$5:$I$1204,$Q155))</f>
        <v/>
      </c>
      <c r="G155" s="55" t="str">
        <f>IF($Q155="","",INDEX(TRANSACTIONS_MASTER!$K$5:$K$1204,$Q155))</f>
        <v/>
      </c>
      <c r="H155" s="25" t="str">
        <f>IF($Q155="","",INDEX(TRANSACTIONS_MASTER!$L$5:$L$1204,$Q155))</f>
        <v/>
      </c>
      <c r="I155" s="56" t="str">
        <f>IF($Q155="","",INDEX(TRANSACTIONS_MASTER!$N$5:$N$1204,$Q155))</f>
        <v/>
      </c>
      <c r="J155" s="25" t="str">
        <f>IF($Q155="","",INDEX(TRANSACTIONS_MASTER!$O$5:$O$1204,$Q155))</f>
        <v/>
      </c>
      <c r="K155" s="26" t="str">
        <f>IF($Q155="","",INDEX(TRANSACTIONS_MASTER!$Q$5:$Q$1204,$Q155))</f>
        <v/>
      </c>
      <c r="L155" s="25" t="str">
        <f>IF($Q155="","",INDEX(TRANSACTIONS_MASTER!$P$5:$P$1204,$Q155))</f>
        <v/>
      </c>
      <c r="M155" s="25" t="str">
        <f>IF($Q155="","",INDEX(TRANSACTIONS_MASTER!$AA$5:$AA$1204,$Q155))</f>
        <v/>
      </c>
      <c r="N155" s="25" t="str">
        <f>IF($Q155="","",INDEX(TRANSACTIONS_MASTER!$R$5:$R$1204,$Q155))</f>
        <v/>
      </c>
      <c r="O155" s="28" t="str">
        <f>IF($Q155="","",INDEX(TRANSACTIONS_MASTER!$AB$5:$AB$1204,$Q155))</f>
        <v/>
      </c>
      <c r="P155" s="55" t="str">
        <f>IF($Q155="","",INDEX(TRANSACTIONS_MASTER!$Z$5:$Z$1204,$Q155)&amp;"")</f>
        <v/>
      </c>
      <c r="Q155" s="67" t="str">
        <f>IFERROR(MATCH($C$2&amp;"|"&amp;148,TRANSACTIONS_MASTER!$AE$5:$AE$1204,0),"")</f>
        <v/>
      </c>
    </row>
    <row r="156">
      <c r="A156" s="81" t="str">
        <f>IF($Q156="","",149)</f>
        <v/>
      </c>
      <c r="B156" s="57" t="str">
        <f>IF($Q156="","",INDEX(TRANSACTIONS_MASTER!$B$5:$B$1204,$Q156))</f>
        <v/>
      </c>
      <c r="C156" s="55" t="str">
        <f>IF($Q156="","",INDEX(TRANSACTIONS_MASTER!$F$5:$F$1204,$Q156))</f>
        <v/>
      </c>
      <c r="D156" s="55" t="str">
        <f>IF($Q156="","",INDEX(TRANSACTIONS_MASTER!$E$5:$E$1204,$Q156))</f>
        <v/>
      </c>
      <c r="E156" s="55" t="str">
        <f>IF($Q156="","",INDEX(TRANSACTIONS_MASTER!$G$5:$G$1204,$Q156)&amp;"")</f>
        <v/>
      </c>
      <c r="F156" s="29" t="str">
        <f>IF($Q156="","",INDEX(TRANSACTIONS_MASTER!$I$5:$I$1204,$Q156))</f>
        <v/>
      </c>
      <c r="G156" s="55" t="str">
        <f>IF($Q156="","",INDEX(TRANSACTIONS_MASTER!$K$5:$K$1204,$Q156))</f>
        <v/>
      </c>
      <c r="H156" s="25" t="str">
        <f>IF($Q156="","",INDEX(TRANSACTIONS_MASTER!$L$5:$L$1204,$Q156))</f>
        <v/>
      </c>
      <c r="I156" s="56" t="str">
        <f>IF($Q156="","",INDEX(TRANSACTIONS_MASTER!$N$5:$N$1204,$Q156))</f>
        <v/>
      </c>
      <c r="J156" s="25" t="str">
        <f>IF($Q156="","",INDEX(TRANSACTIONS_MASTER!$O$5:$O$1204,$Q156))</f>
        <v/>
      </c>
      <c r="K156" s="26" t="str">
        <f>IF($Q156="","",INDEX(TRANSACTIONS_MASTER!$Q$5:$Q$1204,$Q156))</f>
        <v/>
      </c>
      <c r="L156" s="25" t="str">
        <f>IF($Q156="","",INDEX(TRANSACTIONS_MASTER!$P$5:$P$1204,$Q156))</f>
        <v/>
      </c>
      <c r="M156" s="25" t="str">
        <f>IF($Q156="","",INDEX(TRANSACTIONS_MASTER!$AA$5:$AA$1204,$Q156))</f>
        <v/>
      </c>
      <c r="N156" s="25" t="str">
        <f>IF($Q156="","",INDEX(TRANSACTIONS_MASTER!$R$5:$R$1204,$Q156))</f>
        <v/>
      </c>
      <c r="O156" s="28" t="str">
        <f>IF($Q156="","",INDEX(TRANSACTIONS_MASTER!$AB$5:$AB$1204,$Q156))</f>
        <v/>
      </c>
      <c r="P156" s="55" t="str">
        <f>IF($Q156="","",INDEX(TRANSACTIONS_MASTER!$Z$5:$Z$1204,$Q156)&amp;"")</f>
        <v/>
      </c>
      <c r="Q156" s="67" t="str">
        <f>IFERROR(MATCH($C$2&amp;"|"&amp;149,TRANSACTIONS_MASTER!$AE$5:$AE$1204,0),"")</f>
        <v/>
      </c>
    </row>
    <row r="157" ht="22" customHeight="1">
      <c r="A157" s="81" t="str">
        <f>IF($Q157="","",150)</f>
        <v/>
      </c>
      <c r="B157" s="57" t="str">
        <f>IF($Q157="","",INDEX(TRANSACTIONS_MASTER!$B$5:$B$1204,$Q157))</f>
        <v/>
      </c>
      <c r="C157" s="55" t="str">
        <f>IF($Q157="","",INDEX(TRANSACTIONS_MASTER!$F$5:$F$1204,$Q157))</f>
        <v/>
      </c>
      <c r="D157" s="55" t="str">
        <f>IF($Q157="","",INDEX(TRANSACTIONS_MASTER!$E$5:$E$1204,$Q157))</f>
        <v/>
      </c>
      <c r="E157" s="55" t="str">
        <f>IF($Q157="","",INDEX(TRANSACTIONS_MASTER!$G$5:$G$1204,$Q157)&amp;"")</f>
        <v/>
      </c>
      <c r="F157" s="29" t="str">
        <f>IF($Q157="","",INDEX(TRANSACTIONS_MASTER!$I$5:$I$1204,$Q157))</f>
        <v/>
      </c>
      <c r="G157" s="55" t="str">
        <f>IF($Q157="","",INDEX(TRANSACTIONS_MASTER!$K$5:$K$1204,$Q157))</f>
        <v/>
      </c>
      <c r="H157" s="25" t="str">
        <f>IF($Q157="","",INDEX(TRANSACTIONS_MASTER!$L$5:$L$1204,$Q157))</f>
        <v/>
      </c>
      <c r="I157" s="56" t="str">
        <f>IF($Q157="","",INDEX(TRANSACTIONS_MASTER!$N$5:$N$1204,$Q157))</f>
        <v/>
      </c>
      <c r="J157" s="25" t="str">
        <f>IF($Q157="","",INDEX(TRANSACTIONS_MASTER!$O$5:$O$1204,$Q157))</f>
        <v/>
      </c>
      <c r="K157" s="26" t="str">
        <f>IF($Q157="","",INDEX(TRANSACTIONS_MASTER!$Q$5:$Q$1204,$Q157))</f>
        <v/>
      </c>
      <c r="L157" s="25" t="str">
        <f>IF($Q157="","",INDEX(TRANSACTIONS_MASTER!$P$5:$P$1204,$Q157))</f>
        <v/>
      </c>
      <c r="M157" s="25" t="str">
        <f>IF($Q157="","",INDEX(TRANSACTIONS_MASTER!$AA$5:$AA$1204,$Q157))</f>
        <v/>
      </c>
      <c r="N157" s="25" t="str">
        <f>IF($Q157="","",INDEX(TRANSACTIONS_MASTER!$R$5:$R$1204,$Q157))</f>
        <v/>
      </c>
      <c r="O157" s="28" t="str">
        <f>IF($Q157="","",INDEX(TRANSACTIONS_MASTER!$AB$5:$AB$1204,$Q157))</f>
        <v/>
      </c>
      <c r="P157" s="55" t="str">
        <f>IF($Q157="","",INDEX(TRANSACTIONS_MASTER!$Z$5:$Z$1204,$Q157)&amp;"")</f>
        <v/>
      </c>
      <c r="Q157" s="67" t="str">
        <f>IFERROR(MATCH($C$2&amp;"|"&amp;150,TRANSACTIONS_MASTER!$AE$5:$AE$1204,0),"")</f>
        <v/>
      </c>
      <c r="T157" s="19" t="inlineStr">
        <is>
          <t>THEO MERCHANT</t>
        </is>
      </c>
      <c r="U157" s="20" t="n"/>
      <c r="V157" s="20" t="n"/>
      <c r="W157" s="20" t="n"/>
      <c r="X157" s="20" t="n"/>
      <c r="Y157" s="20" t="n"/>
      <c r="Z157" s="20" t="n"/>
      <c r="AA157" s="20" t="n"/>
    </row>
    <row r="158" ht="28" customHeight="1">
      <c r="A158" s="81" t="str">
        <f>IF($Q158="","",151)</f>
        <v/>
      </c>
      <c r="B158" s="57" t="str">
        <f>IF($Q158="","",INDEX(TRANSACTIONS_MASTER!$B$5:$B$1204,$Q158))</f>
        <v/>
      </c>
      <c r="C158" s="55" t="str">
        <f>IF($Q158="","",INDEX(TRANSACTIONS_MASTER!$F$5:$F$1204,$Q158))</f>
        <v/>
      </c>
      <c r="D158" s="55" t="str">
        <f>IF($Q158="","",INDEX(TRANSACTIONS_MASTER!$E$5:$E$1204,$Q158))</f>
        <v/>
      </c>
      <c r="E158" s="55" t="str">
        <f>IF($Q158="","",INDEX(TRANSACTIONS_MASTER!$G$5:$G$1204,$Q158)&amp;"")</f>
        <v/>
      </c>
      <c r="F158" s="29" t="str">
        <f>IF($Q158="","",INDEX(TRANSACTIONS_MASTER!$I$5:$I$1204,$Q158))</f>
        <v/>
      </c>
      <c r="G158" s="55" t="str">
        <f>IF($Q158="","",INDEX(TRANSACTIONS_MASTER!$K$5:$K$1204,$Q158))</f>
        <v/>
      </c>
      <c r="H158" s="25" t="str">
        <f>IF($Q158="","",INDEX(TRANSACTIONS_MASTER!$L$5:$L$1204,$Q158))</f>
        <v/>
      </c>
      <c r="I158" s="56" t="str">
        <f>IF($Q158="","",INDEX(TRANSACTIONS_MASTER!$N$5:$N$1204,$Q158))</f>
        <v/>
      </c>
      <c r="J158" s="25" t="str">
        <f>IF($Q158="","",INDEX(TRANSACTIONS_MASTER!$O$5:$O$1204,$Q158))</f>
        <v/>
      </c>
      <c r="K158" s="26" t="str">
        <f>IF($Q158="","",INDEX(TRANSACTIONS_MASTER!$Q$5:$Q$1204,$Q158))</f>
        <v/>
      </c>
      <c r="L158" s="25" t="str">
        <f>IF($Q158="","",INDEX(TRANSACTIONS_MASTER!$P$5:$P$1204,$Q158))</f>
        <v/>
      </c>
      <c r="M158" s="25" t="str">
        <f>IF($Q158="","",INDEX(TRANSACTIONS_MASTER!$AA$5:$AA$1204,$Q158))</f>
        <v/>
      </c>
      <c r="N158" s="25" t="str">
        <f>IF($Q158="","",INDEX(TRANSACTIONS_MASTER!$R$5:$R$1204,$Q158))</f>
        <v/>
      </c>
      <c r="O158" s="28" t="str">
        <f>IF($Q158="","",INDEX(TRANSACTIONS_MASTER!$AB$5:$AB$1204,$Q158))</f>
        <v/>
      </c>
      <c r="P158" s="55" t="str">
        <f>IF($Q158="","",INDEX(TRANSACTIONS_MASTER!$Z$5:$Z$1204,$Q158)&amp;"")</f>
        <v/>
      </c>
      <c r="Q158" s="67" t="str">
        <f>IFERROR(MATCH($C$2&amp;"|"&amp;151,TRANSACTIONS_MASTER!$AE$5:$AE$1204,0),"")</f>
        <v/>
      </c>
      <c r="S158" s="21" t="inlineStr">
        <is>
          <t>#</t>
        </is>
      </c>
      <c r="T158" s="21" t="inlineStr"/>
      <c r="U158" s="21" t="inlineStr">
        <is>
          <t>Merchant</t>
        </is>
      </c>
      <c r="V158" s="21" t="inlineStr">
        <is>
          <t>Chi tiêu</t>
        </is>
      </c>
      <c r="W158" s="21" t="inlineStr">
        <is>
          <t>Cashback</t>
        </is>
      </c>
    </row>
    <row r="159">
      <c r="A159" s="81" t="str">
        <f>IF($Q159="","",152)</f>
        <v/>
      </c>
      <c r="B159" s="57" t="str">
        <f>IF($Q159="","",INDEX(TRANSACTIONS_MASTER!$B$5:$B$1204,$Q159))</f>
        <v/>
      </c>
      <c r="C159" s="55" t="str">
        <f>IF($Q159="","",INDEX(TRANSACTIONS_MASTER!$F$5:$F$1204,$Q159))</f>
        <v/>
      </c>
      <c r="D159" s="55" t="str">
        <f>IF($Q159="","",INDEX(TRANSACTIONS_MASTER!$E$5:$E$1204,$Q159))</f>
        <v/>
      </c>
      <c r="E159" s="55" t="str">
        <f>IF($Q159="","",INDEX(TRANSACTIONS_MASTER!$G$5:$G$1204,$Q159)&amp;"")</f>
        <v/>
      </c>
      <c r="F159" s="29" t="str">
        <f>IF($Q159="","",INDEX(TRANSACTIONS_MASTER!$I$5:$I$1204,$Q159))</f>
        <v/>
      </c>
      <c r="G159" s="55" t="str">
        <f>IF($Q159="","",INDEX(TRANSACTIONS_MASTER!$K$5:$K$1204,$Q159))</f>
        <v/>
      </c>
      <c r="H159" s="25" t="str">
        <f>IF($Q159="","",INDEX(TRANSACTIONS_MASTER!$L$5:$L$1204,$Q159))</f>
        <v/>
      </c>
      <c r="I159" s="56" t="str">
        <f>IF($Q159="","",INDEX(TRANSACTIONS_MASTER!$N$5:$N$1204,$Q159))</f>
        <v/>
      </c>
      <c r="J159" s="25" t="str">
        <f>IF($Q159="","",INDEX(TRANSACTIONS_MASTER!$O$5:$O$1204,$Q159))</f>
        <v/>
      </c>
      <c r="K159" s="26" t="str">
        <f>IF($Q159="","",INDEX(TRANSACTIONS_MASTER!$Q$5:$Q$1204,$Q159))</f>
        <v/>
      </c>
      <c r="L159" s="25" t="str">
        <f>IF($Q159="","",INDEX(TRANSACTIONS_MASTER!$P$5:$P$1204,$Q159))</f>
        <v/>
      </c>
      <c r="M159" s="25" t="str">
        <f>IF($Q159="","",INDEX(TRANSACTIONS_MASTER!$AA$5:$AA$1204,$Q159))</f>
        <v/>
      </c>
      <c r="N159" s="25" t="str">
        <f>IF($Q159="","",INDEX(TRANSACTIONS_MASTER!$R$5:$R$1204,$Q159))</f>
        <v/>
      </c>
      <c r="O159" s="28" t="str">
        <f>IF($Q159="","",INDEX(TRANSACTIONS_MASTER!$AB$5:$AB$1204,$Q159))</f>
        <v/>
      </c>
      <c r="P159" s="55" t="str">
        <f>IF($Q159="","",INDEX(TRANSACTIONS_MASTER!$Z$5:$Z$1204,$Q159)&amp;"")</f>
        <v/>
      </c>
      <c r="Q159" s="67" t="str">
        <f>IFERROR(MATCH($C$2&amp;"|"&amp;152,TRANSACTIONS_MASTER!$AE$5:$AE$1204,0),"")</f>
        <v/>
      </c>
      <c r="S159" s="67" t="str">
        <f>IFERROR(MATCH(1,INDEX((TRANSACTIONS_MASTER!$C$5:$C$1204=$C$2)*(TRANSACTIONS_MASTER!$AN$5:$AN$1204=1),0),0),"")</f>
        <v/>
      </c>
      <c r="T159" s="55" t="n"/>
      <c r="U159" s="55" t="str">
        <f>IF($S159="","",INDEX(TRANSACTIONS_MASTER!$G$5:$G$1204,$S159)&amp;"")</f>
        <v/>
      </c>
      <c r="V159" s="25" t="str">
        <f>IF($S159="","",SUMIFS(TRANSACTIONS_MASTER!$L$5:$L$1204,TRANSACTIONS_MASTER!$G$5:$G$1204,$U159,TRANSACTIONS_MASTER!$C$5:$C$1204,$C$2,TRANSACTIONS_MASTER!$U$5:$U$1204,"&lt;&gt;Cancelled"))</f>
        <v/>
      </c>
      <c r="W159" s="26" t="str">
        <f>IF($S159="","",SUMIFS(TRANSACTIONS_MASTER!$Q$5:$Q$1204,TRANSACTIONS_MASTER!$G$5:$G$1204,$U159,TRANSACTIONS_MASTER!$C$5:$C$1204,$C$2))</f>
        <v/>
      </c>
    </row>
    <row r="160">
      <c r="A160" s="81" t="str">
        <f>IF($Q160="","",153)</f>
        <v/>
      </c>
      <c r="B160" s="57" t="str">
        <f>IF($Q160="","",INDEX(TRANSACTIONS_MASTER!$B$5:$B$1204,$Q160))</f>
        <v/>
      </c>
      <c r="C160" s="55" t="str">
        <f>IF($Q160="","",INDEX(TRANSACTIONS_MASTER!$F$5:$F$1204,$Q160))</f>
        <v/>
      </c>
      <c r="D160" s="55" t="str">
        <f>IF($Q160="","",INDEX(TRANSACTIONS_MASTER!$E$5:$E$1204,$Q160))</f>
        <v/>
      </c>
      <c r="E160" s="55" t="str">
        <f>IF($Q160="","",INDEX(TRANSACTIONS_MASTER!$G$5:$G$1204,$Q160)&amp;"")</f>
        <v/>
      </c>
      <c r="F160" s="29" t="str">
        <f>IF($Q160="","",INDEX(TRANSACTIONS_MASTER!$I$5:$I$1204,$Q160))</f>
        <v/>
      </c>
      <c r="G160" s="55" t="str">
        <f>IF($Q160="","",INDEX(TRANSACTIONS_MASTER!$K$5:$K$1204,$Q160))</f>
        <v/>
      </c>
      <c r="H160" s="25" t="str">
        <f>IF($Q160="","",INDEX(TRANSACTIONS_MASTER!$L$5:$L$1204,$Q160))</f>
        <v/>
      </c>
      <c r="I160" s="56" t="str">
        <f>IF($Q160="","",INDEX(TRANSACTIONS_MASTER!$N$5:$N$1204,$Q160))</f>
        <v/>
      </c>
      <c r="J160" s="25" t="str">
        <f>IF($Q160="","",INDEX(TRANSACTIONS_MASTER!$O$5:$O$1204,$Q160))</f>
        <v/>
      </c>
      <c r="K160" s="26" t="str">
        <f>IF($Q160="","",INDEX(TRANSACTIONS_MASTER!$Q$5:$Q$1204,$Q160))</f>
        <v/>
      </c>
      <c r="L160" s="25" t="str">
        <f>IF($Q160="","",INDEX(TRANSACTIONS_MASTER!$P$5:$P$1204,$Q160))</f>
        <v/>
      </c>
      <c r="M160" s="25" t="str">
        <f>IF($Q160="","",INDEX(TRANSACTIONS_MASTER!$AA$5:$AA$1204,$Q160))</f>
        <v/>
      </c>
      <c r="N160" s="25" t="str">
        <f>IF($Q160="","",INDEX(TRANSACTIONS_MASTER!$R$5:$R$1204,$Q160))</f>
        <v/>
      </c>
      <c r="O160" s="28" t="str">
        <f>IF($Q160="","",INDEX(TRANSACTIONS_MASTER!$AB$5:$AB$1204,$Q160))</f>
        <v/>
      </c>
      <c r="P160" s="55" t="str">
        <f>IF($Q160="","",INDEX(TRANSACTIONS_MASTER!$Z$5:$Z$1204,$Q160)&amp;"")</f>
        <v/>
      </c>
      <c r="Q160" s="67" t="str">
        <f>IFERROR(MATCH($C$2&amp;"|"&amp;153,TRANSACTIONS_MASTER!$AE$5:$AE$1204,0),"")</f>
        <v/>
      </c>
      <c r="S160" s="67" t="str">
        <f>IFERROR(MATCH(1,INDEX((TRANSACTIONS_MASTER!$C$5:$C$1204=$C$2)*(TRANSACTIONS_MASTER!$AN$5:$AN$1204=2),0),0),"")</f>
        <v/>
      </c>
      <c r="T160" s="55" t="n"/>
      <c r="U160" s="55" t="str">
        <f>IF($S160="","",INDEX(TRANSACTIONS_MASTER!$G$5:$G$1204,$S160)&amp;"")</f>
        <v/>
      </c>
      <c r="V160" s="25" t="str">
        <f>IF($S160="","",SUMIFS(TRANSACTIONS_MASTER!$L$5:$L$1204,TRANSACTIONS_MASTER!$G$5:$G$1204,$U160,TRANSACTIONS_MASTER!$C$5:$C$1204,$C$2,TRANSACTIONS_MASTER!$U$5:$U$1204,"&lt;&gt;Cancelled"))</f>
        <v/>
      </c>
      <c r="W160" s="26" t="str">
        <f>IF($S160="","",SUMIFS(TRANSACTIONS_MASTER!$Q$5:$Q$1204,TRANSACTIONS_MASTER!$G$5:$G$1204,$U160,TRANSACTIONS_MASTER!$C$5:$C$1204,$C$2))</f>
        <v/>
      </c>
    </row>
    <row r="161">
      <c r="A161" s="81" t="str">
        <f>IF($Q161="","",154)</f>
        <v/>
      </c>
      <c r="B161" s="57" t="str">
        <f>IF($Q161="","",INDEX(TRANSACTIONS_MASTER!$B$5:$B$1204,$Q161))</f>
        <v/>
      </c>
      <c r="C161" s="55" t="str">
        <f>IF($Q161="","",INDEX(TRANSACTIONS_MASTER!$F$5:$F$1204,$Q161))</f>
        <v/>
      </c>
      <c r="D161" s="55" t="str">
        <f>IF($Q161="","",INDEX(TRANSACTIONS_MASTER!$E$5:$E$1204,$Q161))</f>
        <v/>
      </c>
      <c r="E161" s="55" t="str">
        <f>IF($Q161="","",INDEX(TRANSACTIONS_MASTER!$G$5:$G$1204,$Q161)&amp;"")</f>
        <v/>
      </c>
      <c r="F161" s="29" t="str">
        <f>IF($Q161="","",INDEX(TRANSACTIONS_MASTER!$I$5:$I$1204,$Q161))</f>
        <v/>
      </c>
      <c r="G161" s="55" t="str">
        <f>IF($Q161="","",INDEX(TRANSACTIONS_MASTER!$K$5:$K$1204,$Q161))</f>
        <v/>
      </c>
      <c r="H161" s="25" t="str">
        <f>IF($Q161="","",INDEX(TRANSACTIONS_MASTER!$L$5:$L$1204,$Q161))</f>
        <v/>
      </c>
      <c r="I161" s="56" t="str">
        <f>IF($Q161="","",INDEX(TRANSACTIONS_MASTER!$N$5:$N$1204,$Q161))</f>
        <v/>
      </c>
      <c r="J161" s="25" t="str">
        <f>IF($Q161="","",INDEX(TRANSACTIONS_MASTER!$O$5:$O$1204,$Q161))</f>
        <v/>
      </c>
      <c r="K161" s="26" t="str">
        <f>IF($Q161="","",INDEX(TRANSACTIONS_MASTER!$Q$5:$Q$1204,$Q161))</f>
        <v/>
      </c>
      <c r="L161" s="25" t="str">
        <f>IF($Q161="","",INDEX(TRANSACTIONS_MASTER!$P$5:$P$1204,$Q161))</f>
        <v/>
      </c>
      <c r="M161" s="25" t="str">
        <f>IF($Q161="","",INDEX(TRANSACTIONS_MASTER!$AA$5:$AA$1204,$Q161))</f>
        <v/>
      </c>
      <c r="N161" s="25" t="str">
        <f>IF($Q161="","",INDEX(TRANSACTIONS_MASTER!$R$5:$R$1204,$Q161))</f>
        <v/>
      </c>
      <c r="O161" s="28" t="str">
        <f>IF($Q161="","",INDEX(TRANSACTIONS_MASTER!$AB$5:$AB$1204,$Q161))</f>
        <v/>
      </c>
      <c r="P161" s="55" t="str">
        <f>IF($Q161="","",INDEX(TRANSACTIONS_MASTER!$Z$5:$Z$1204,$Q161)&amp;"")</f>
        <v/>
      </c>
      <c r="Q161" s="67" t="str">
        <f>IFERROR(MATCH($C$2&amp;"|"&amp;154,TRANSACTIONS_MASTER!$AE$5:$AE$1204,0),"")</f>
        <v/>
      </c>
      <c r="S161" s="67" t="str">
        <f>IFERROR(MATCH(1,INDEX((TRANSACTIONS_MASTER!$C$5:$C$1204=$C$2)*(TRANSACTIONS_MASTER!$AN$5:$AN$1204=3),0),0),"")</f>
        <v/>
      </c>
      <c r="T161" s="55" t="n"/>
      <c r="U161" s="55" t="str">
        <f>IF($S161="","",INDEX(TRANSACTIONS_MASTER!$G$5:$G$1204,$S161)&amp;"")</f>
        <v/>
      </c>
      <c r="V161" s="25" t="str">
        <f>IF($S161="","",SUMIFS(TRANSACTIONS_MASTER!$L$5:$L$1204,TRANSACTIONS_MASTER!$G$5:$G$1204,$U161,TRANSACTIONS_MASTER!$C$5:$C$1204,$C$2,TRANSACTIONS_MASTER!$U$5:$U$1204,"&lt;&gt;Cancelled"))</f>
        <v/>
      </c>
      <c r="W161" s="26" t="str">
        <f>IF($S161="","",SUMIFS(TRANSACTIONS_MASTER!$Q$5:$Q$1204,TRANSACTIONS_MASTER!$G$5:$G$1204,$U161,TRANSACTIONS_MASTER!$C$5:$C$1204,$C$2))</f>
        <v/>
      </c>
    </row>
    <row r="162">
      <c r="A162" s="81" t="str">
        <f>IF($Q162="","",155)</f>
        <v/>
      </c>
      <c r="B162" s="57" t="str">
        <f>IF($Q162="","",INDEX(TRANSACTIONS_MASTER!$B$5:$B$1204,$Q162))</f>
        <v/>
      </c>
      <c r="C162" s="55" t="str">
        <f>IF($Q162="","",INDEX(TRANSACTIONS_MASTER!$F$5:$F$1204,$Q162))</f>
        <v/>
      </c>
      <c r="D162" s="55" t="str">
        <f>IF($Q162="","",INDEX(TRANSACTIONS_MASTER!$E$5:$E$1204,$Q162))</f>
        <v/>
      </c>
      <c r="E162" s="55" t="str">
        <f>IF($Q162="","",INDEX(TRANSACTIONS_MASTER!$G$5:$G$1204,$Q162)&amp;"")</f>
        <v/>
      </c>
      <c r="F162" s="29" t="str">
        <f>IF($Q162="","",INDEX(TRANSACTIONS_MASTER!$I$5:$I$1204,$Q162))</f>
        <v/>
      </c>
      <c r="G162" s="55" t="str">
        <f>IF($Q162="","",INDEX(TRANSACTIONS_MASTER!$K$5:$K$1204,$Q162))</f>
        <v/>
      </c>
      <c r="H162" s="25" t="str">
        <f>IF($Q162="","",INDEX(TRANSACTIONS_MASTER!$L$5:$L$1204,$Q162))</f>
        <v/>
      </c>
      <c r="I162" s="56" t="str">
        <f>IF($Q162="","",INDEX(TRANSACTIONS_MASTER!$N$5:$N$1204,$Q162))</f>
        <v/>
      </c>
      <c r="J162" s="25" t="str">
        <f>IF($Q162="","",INDEX(TRANSACTIONS_MASTER!$O$5:$O$1204,$Q162))</f>
        <v/>
      </c>
      <c r="K162" s="26" t="str">
        <f>IF($Q162="","",INDEX(TRANSACTIONS_MASTER!$Q$5:$Q$1204,$Q162))</f>
        <v/>
      </c>
      <c r="L162" s="25" t="str">
        <f>IF($Q162="","",INDEX(TRANSACTIONS_MASTER!$P$5:$P$1204,$Q162))</f>
        <v/>
      </c>
      <c r="M162" s="25" t="str">
        <f>IF($Q162="","",INDEX(TRANSACTIONS_MASTER!$AA$5:$AA$1204,$Q162))</f>
        <v/>
      </c>
      <c r="N162" s="25" t="str">
        <f>IF($Q162="","",INDEX(TRANSACTIONS_MASTER!$R$5:$R$1204,$Q162))</f>
        <v/>
      </c>
      <c r="O162" s="28" t="str">
        <f>IF($Q162="","",INDEX(TRANSACTIONS_MASTER!$AB$5:$AB$1204,$Q162))</f>
        <v/>
      </c>
      <c r="P162" s="55" t="str">
        <f>IF($Q162="","",INDEX(TRANSACTIONS_MASTER!$Z$5:$Z$1204,$Q162)&amp;"")</f>
        <v/>
      </c>
      <c r="Q162" s="67" t="str">
        <f>IFERROR(MATCH($C$2&amp;"|"&amp;155,TRANSACTIONS_MASTER!$AE$5:$AE$1204,0),"")</f>
        <v/>
      </c>
      <c r="S162" s="67" t="str">
        <f>IFERROR(MATCH(1,INDEX((TRANSACTIONS_MASTER!$C$5:$C$1204=$C$2)*(TRANSACTIONS_MASTER!$AN$5:$AN$1204=4),0),0),"")</f>
        <v/>
      </c>
      <c r="T162" s="55" t="n"/>
      <c r="U162" s="55" t="str">
        <f>IF($S162="","",INDEX(TRANSACTIONS_MASTER!$G$5:$G$1204,$S162)&amp;"")</f>
        <v/>
      </c>
      <c r="V162" s="25" t="str">
        <f>IF($S162="","",SUMIFS(TRANSACTIONS_MASTER!$L$5:$L$1204,TRANSACTIONS_MASTER!$G$5:$G$1204,$U162,TRANSACTIONS_MASTER!$C$5:$C$1204,$C$2,TRANSACTIONS_MASTER!$U$5:$U$1204,"&lt;&gt;Cancelled"))</f>
        <v/>
      </c>
      <c r="W162" s="26" t="str">
        <f>IF($S162="","",SUMIFS(TRANSACTIONS_MASTER!$Q$5:$Q$1204,TRANSACTIONS_MASTER!$G$5:$G$1204,$U162,TRANSACTIONS_MASTER!$C$5:$C$1204,$C$2))</f>
        <v/>
      </c>
    </row>
    <row r="163">
      <c r="A163" s="81" t="str">
        <f>IF($Q163="","",156)</f>
        <v/>
      </c>
      <c r="B163" s="57" t="str">
        <f>IF($Q163="","",INDEX(TRANSACTIONS_MASTER!$B$5:$B$1204,$Q163))</f>
        <v/>
      </c>
      <c r="C163" s="55" t="str">
        <f>IF($Q163="","",INDEX(TRANSACTIONS_MASTER!$F$5:$F$1204,$Q163))</f>
        <v/>
      </c>
      <c r="D163" s="55" t="str">
        <f>IF($Q163="","",INDEX(TRANSACTIONS_MASTER!$E$5:$E$1204,$Q163))</f>
        <v/>
      </c>
      <c r="E163" s="55" t="str">
        <f>IF($Q163="","",INDEX(TRANSACTIONS_MASTER!$G$5:$G$1204,$Q163)&amp;"")</f>
        <v/>
      </c>
      <c r="F163" s="29" t="str">
        <f>IF($Q163="","",INDEX(TRANSACTIONS_MASTER!$I$5:$I$1204,$Q163))</f>
        <v/>
      </c>
      <c r="G163" s="55" t="str">
        <f>IF($Q163="","",INDEX(TRANSACTIONS_MASTER!$K$5:$K$1204,$Q163))</f>
        <v/>
      </c>
      <c r="H163" s="25" t="str">
        <f>IF($Q163="","",INDEX(TRANSACTIONS_MASTER!$L$5:$L$1204,$Q163))</f>
        <v/>
      </c>
      <c r="I163" s="56" t="str">
        <f>IF($Q163="","",INDEX(TRANSACTIONS_MASTER!$N$5:$N$1204,$Q163))</f>
        <v/>
      </c>
      <c r="J163" s="25" t="str">
        <f>IF($Q163="","",INDEX(TRANSACTIONS_MASTER!$O$5:$O$1204,$Q163))</f>
        <v/>
      </c>
      <c r="K163" s="26" t="str">
        <f>IF($Q163="","",INDEX(TRANSACTIONS_MASTER!$Q$5:$Q$1204,$Q163))</f>
        <v/>
      </c>
      <c r="L163" s="25" t="str">
        <f>IF($Q163="","",INDEX(TRANSACTIONS_MASTER!$P$5:$P$1204,$Q163))</f>
        <v/>
      </c>
      <c r="M163" s="25" t="str">
        <f>IF($Q163="","",INDEX(TRANSACTIONS_MASTER!$AA$5:$AA$1204,$Q163))</f>
        <v/>
      </c>
      <c r="N163" s="25" t="str">
        <f>IF($Q163="","",INDEX(TRANSACTIONS_MASTER!$R$5:$R$1204,$Q163))</f>
        <v/>
      </c>
      <c r="O163" s="28" t="str">
        <f>IF($Q163="","",INDEX(TRANSACTIONS_MASTER!$AB$5:$AB$1204,$Q163))</f>
        <v/>
      </c>
      <c r="P163" s="55" t="str">
        <f>IF($Q163="","",INDEX(TRANSACTIONS_MASTER!$Z$5:$Z$1204,$Q163)&amp;"")</f>
        <v/>
      </c>
      <c r="Q163" s="67" t="str">
        <f>IFERROR(MATCH($C$2&amp;"|"&amp;156,TRANSACTIONS_MASTER!$AE$5:$AE$1204,0),"")</f>
        <v/>
      </c>
      <c r="S163" s="67" t="str">
        <f>IFERROR(MATCH(1,INDEX((TRANSACTIONS_MASTER!$C$5:$C$1204=$C$2)*(TRANSACTIONS_MASTER!$AN$5:$AN$1204=5),0),0),"")</f>
        <v/>
      </c>
      <c r="T163" s="55" t="n"/>
      <c r="U163" s="55" t="str">
        <f>IF($S163="","",INDEX(TRANSACTIONS_MASTER!$G$5:$G$1204,$S163)&amp;"")</f>
        <v/>
      </c>
      <c r="V163" s="25" t="str">
        <f>IF($S163="","",SUMIFS(TRANSACTIONS_MASTER!$L$5:$L$1204,TRANSACTIONS_MASTER!$G$5:$G$1204,$U163,TRANSACTIONS_MASTER!$C$5:$C$1204,$C$2,TRANSACTIONS_MASTER!$U$5:$U$1204,"&lt;&gt;Cancelled"))</f>
        <v/>
      </c>
      <c r="W163" s="26" t="str">
        <f>IF($S163="","",SUMIFS(TRANSACTIONS_MASTER!$Q$5:$Q$1204,TRANSACTIONS_MASTER!$G$5:$G$1204,$U163,TRANSACTIONS_MASTER!$C$5:$C$1204,$C$2))</f>
        <v/>
      </c>
    </row>
    <row r="164">
      <c r="A164" s="81" t="str">
        <f>IF($Q164="","",157)</f>
        <v/>
      </c>
      <c r="B164" s="57" t="str">
        <f>IF($Q164="","",INDEX(TRANSACTIONS_MASTER!$B$5:$B$1204,$Q164))</f>
        <v/>
      </c>
      <c r="C164" s="55" t="str">
        <f>IF($Q164="","",INDEX(TRANSACTIONS_MASTER!$F$5:$F$1204,$Q164))</f>
        <v/>
      </c>
      <c r="D164" s="55" t="str">
        <f>IF($Q164="","",INDEX(TRANSACTIONS_MASTER!$E$5:$E$1204,$Q164))</f>
        <v/>
      </c>
      <c r="E164" s="55" t="str">
        <f>IF($Q164="","",INDEX(TRANSACTIONS_MASTER!$G$5:$G$1204,$Q164)&amp;"")</f>
        <v/>
      </c>
      <c r="F164" s="29" t="str">
        <f>IF($Q164="","",INDEX(TRANSACTIONS_MASTER!$I$5:$I$1204,$Q164))</f>
        <v/>
      </c>
      <c r="G164" s="55" t="str">
        <f>IF($Q164="","",INDEX(TRANSACTIONS_MASTER!$K$5:$K$1204,$Q164))</f>
        <v/>
      </c>
      <c r="H164" s="25" t="str">
        <f>IF($Q164="","",INDEX(TRANSACTIONS_MASTER!$L$5:$L$1204,$Q164))</f>
        <v/>
      </c>
      <c r="I164" s="56" t="str">
        <f>IF($Q164="","",INDEX(TRANSACTIONS_MASTER!$N$5:$N$1204,$Q164))</f>
        <v/>
      </c>
      <c r="J164" s="25" t="str">
        <f>IF($Q164="","",INDEX(TRANSACTIONS_MASTER!$O$5:$O$1204,$Q164))</f>
        <v/>
      </c>
      <c r="K164" s="26" t="str">
        <f>IF($Q164="","",INDEX(TRANSACTIONS_MASTER!$Q$5:$Q$1204,$Q164))</f>
        <v/>
      </c>
      <c r="L164" s="25" t="str">
        <f>IF($Q164="","",INDEX(TRANSACTIONS_MASTER!$P$5:$P$1204,$Q164))</f>
        <v/>
      </c>
      <c r="M164" s="25" t="str">
        <f>IF($Q164="","",INDEX(TRANSACTIONS_MASTER!$AA$5:$AA$1204,$Q164))</f>
        <v/>
      </c>
      <c r="N164" s="25" t="str">
        <f>IF($Q164="","",INDEX(TRANSACTIONS_MASTER!$R$5:$R$1204,$Q164))</f>
        <v/>
      </c>
      <c r="O164" s="28" t="str">
        <f>IF($Q164="","",INDEX(TRANSACTIONS_MASTER!$AB$5:$AB$1204,$Q164))</f>
        <v/>
      </c>
      <c r="P164" s="55" t="str">
        <f>IF($Q164="","",INDEX(TRANSACTIONS_MASTER!$Z$5:$Z$1204,$Q164)&amp;"")</f>
        <v/>
      </c>
      <c r="Q164" s="67" t="str">
        <f>IFERROR(MATCH($C$2&amp;"|"&amp;157,TRANSACTIONS_MASTER!$AE$5:$AE$1204,0),"")</f>
        <v/>
      </c>
      <c r="S164" s="67" t="str">
        <f>IFERROR(MATCH(1,INDEX((TRANSACTIONS_MASTER!$C$5:$C$1204=$C$2)*(TRANSACTIONS_MASTER!$AN$5:$AN$1204=6),0),0),"")</f>
        <v/>
      </c>
      <c r="T164" s="55" t="n"/>
      <c r="U164" s="55" t="str">
        <f>IF($S164="","",INDEX(TRANSACTIONS_MASTER!$G$5:$G$1204,$S164)&amp;"")</f>
        <v/>
      </c>
      <c r="V164" s="25" t="str">
        <f>IF($S164="","",SUMIFS(TRANSACTIONS_MASTER!$L$5:$L$1204,TRANSACTIONS_MASTER!$G$5:$G$1204,$U164,TRANSACTIONS_MASTER!$C$5:$C$1204,$C$2,TRANSACTIONS_MASTER!$U$5:$U$1204,"&lt;&gt;Cancelled"))</f>
        <v/>
      </c>
      <c r="W164" s="26" t="str">
        <f>IF($S164="","",SUMIFS(TRANSACTIONS_MASTER!$Q$5:$Q$1204,TRANSACTIONS_MASTER!$G$5:$G$1204,$U164,TRANSACTIONS_MASTER!$C$5:$C$1204,$C$2))</f>
        <v/>
      </c>
    </row>
    <row r="165">
      <c r="A165" s="81" t="str">
        <f>IF($Q165="","",158)</f>
        <v/>
      </c>
      <c r="B165" s="57" t="str">
        <f>IF($Q165="","",INDEX(TRANSACTIONS_MASTER!$B$5:$B$1204,$Q165))</f>
        <v/>
      </c>
      <c r="C165" s="55" t="str">
        <f>IF($Q165="","",INDEX(TRANSACTIONS_MASTER!$F$5:$F$1204,$Q165))</f>
        <v/>
      </c>
      <c r="D165" s="55" t="str">
        <f>IF($Q165="","",INDEX(TRANSACTIONS_MASTER!$E$5:$E$1204,$Q165))</f>
        <v/>
      </c>
      <c r="E165" s="55" t="str">
        <f>IF($Q165="","",INDEX(TRANSACTIONS_MASTER!$G$5:$G$1204,$Q165)&amp;"")</f>
        <v/>
      </c>
      <c r="F165" s="29" t="str">
        <f>IF($Q165="","",INDEX(TRANSACTIONS_MASTER!$I$5:$I$1204,$Q165))</f>
        <v/>
      </c>
      <c r="G165" s="55" t="str">
        <f>IF($Q165="","",INDEX(TRANSACTIONS_MASTER!$K$5:$K$1204,$Q165))</f>
        <v/>
      </c>
      <c r="H165" s="25" t="str">
        <f>IF($Q165="","",INDEX(TRANSACTIONS_MASTER!$L$5:$L$1204,$Q165))</f>
        <v/>
      </c>
      <c r="I165" s="56" t="str">
        <f>IF($Q165="","",INDEX(TRANSACTIONS_MASTER!$N$5:$N$1204,$Q165))</f>
        <v/>
      </c>
      <c r="J165" s="25" t="str">
        <f>IF($Q165="","",INDEX(TRANSACTIONS_MASTER!$O$5:$O$1204,$Q165))</f>
        <v/>
      </c>
      <c r="K165" s="26" t="str">
        <f>IF($Q165="","",INDEX(TRANSACTIONS_MASTER!$Q$5:$Q$1204,$Q165))</f>
        <v/>
      </c>
      <c r="L165" s="25" t="str">
        <f>IF($Q165="","",INDEX(TRANSACTIONS_MASTER!$P$5:$P$1204,$Q165))</f>
        <v/>
      </c>
      <c r="M165" s="25" t="str">
        <f>IF($Q165="","",INDEX(TRANSACTIONS_MASTER!$AA$5:$AA$1204,$Q165))</f>
        <v/>
      </c>
      <c r="N165" s="25" t="str">
        <f>IF($Q165="","",INDEX(TRANSACTIONS_MASTER!$R$5:$R$1204,$Q165))</f>
        <v/>
      </c>
      <c r="O165" s="28" t="str">
        <f>IF($Q165="","",INDEX(TRANSACTIONS_MASTER!$AB$5:$AB$1204,$Q165))</f>
        <v/>
      </c>
      <c r="P165" s="55" t="str">
        <f>IF($Q165="","",INDEX(TRANSACTIONS_MASTER!$Z$5:$Z$1204,$Q165)&amp;"")</f>
        <v/>
      </c>
      <c r="Q165" s="67" t="str">
        <f>IFERROR(MATCH($C$2&amp;"|"&amp;158,TRANSACTIONS_MASTER!$AE$5:$AE$1204,0),"")</f>
        <v/>
      </c>
      <c r="S165" s="67" t="str">
        <f>IFERROR(MATCH(1,INDEX((TRANSACTIONS_MASTER!$C$5:$C$1204=$C$2)*(TRANSACTIONS_MASTER!$AN$5:$AN$1204=7),0),0),"")</f>
        <v/>
      </c>
      <c r="T165" s="55" t="n"/>
      <c r="U165" s="55" t="str">
        <f>IF($S165="","",INDEX(TRANSACTIONS_MASTER!$G$5:$G$1204,$S165)&amp;"")</f>
        <v/>
      </c>
      <c r="V165" s="25" t="str">
        <f>IF($S165="","",SUMIFS(TRANSACTIONS_MASTER!$L$5:$L$1204,TRANSACTIONS_MASTER!$G$5:$G$1204,$U165,TRANSACTIONS_MASTER!$C$5:$C$1204,$C$2,TRANSACTIONS_MASTER!$U$5:$U$1204,"&lt;&gt;Cancelled"))</f>
        <v/>
      </c>
      <c r="W165" s="26" t="str">
        <f>IF($S165="","",SUMIFS(TRANSACTIONS_MASTER!$Q$5:$Q$1204,TRANSACTIONS_MASTER!$G$5:$G$1204,$U165,TRANSACTIONS_MASTER!$C$5:$C$1204,$C$2))</f>
        <v/>
      </c>
    </row>
    <row r="166">
      <c r="A166" s="81" t="str">
        <f>IF($Q166="","",159)</f>
        <v/>
      </c>
      <c r="B166" s="57" t="str">
        <f>IF($Q166="","",INDEX(TRANSACTIONS_MASTER!$B$5:$B$1204,$Q166))</f>
        <v/>
      </c>
      <c r="C166" s="55" t="str">
        <f>IF($Q166="","",INDEX(TRANSACTIONS_MASTER!$F$5:$F$1204,$Q166))</f>
        <v/>
      </c>
      <c r="D166" s="55" t="str">
        <f>IF($Q166="","",INDEX(TRANSACTIONS_MASTER!$E$5:$E$1204,$Q166))</f>
        <v/>
      </c>
      <c r="E166" s="55" t="str">
        <f>IF($Q166="","",INDEX(TRANSACTIONS_MASTER!$G$5:$G$1204,$Q166)&amp;"")</f>
        <v/>
      </c>
      <c r="F166" s="29" t="str">
        <f>IF($Q166="","",INDEX(TRANSACTIONS_MASTER!$I$5:$I$1204,$Q166))</f>
        <v/>
      </c>
      <c r="G166" s="55" t="str">
        <f>IF($Q166="","",INDEX(TRANSACTIONS_MASTER!$K$5:$K$1204,$Q166))</f>
        <v/>
      </c>
      <c r="H166" s="25" t="str">
        <f>IF($Q166="","",INDEX(TRANSACTIONS_MASTER!$L$5:$L$1204,$Q166))</f>
        <v/>
      </c>
      <c r="I166" s="56" t="str">
        <f>IF($Q166="","",INDEX(TRANSACTIONS_MASTER!$N$5:$N$1204,$Q166))</f>
        <v/>
      </c>
      <c r="J166" s="25" t="str">
        <f>IF($Q166="","",INDEX(TRANSACTIONS_MASTER!$O$5:$O$1204,$Q166))</f>
        <v/>
      </c>
      <c r="K166" s="26" t="str">
        <f>IF($Q166="","",INDEX(TRANSACTIONS_MASTER!$Q$5:$Q$1204,$Q166))</f>
        <v/>
      </c>
      <c r="L166" s="25" t="str">
        <f>IF($Q166="","",INDEX(TRANSACTIONS_MASTER!$P$5:$P$1204,$Q166))</f>
        <v/>
      </c>
      <c r="M166" s="25" t="str">
        <f>IF($Q166="","",INDEX(TRANSACTIONS_MASTER!$AA$5:$AA$1204,$Q166))</f>
        <v/>
      </c>
      <c r="N166" s="25" t="str">
        <f>IF($Q166="","",INDEX(TRANSACTIONS_MASTER!$R$5:$R$1204,$Q166))</f>
        <v/>
      </c>
      <c r="O166" s="28" t="str">
        <f>IF($Q166="","",INDEX(TRANSACTIONS_MASTER!$AB$5:$AB$1204,$Q166))</f>
        <v/>
      </c>
      <c r="P166" s="55" t="str">
        <f>IF($Q166="","",INDEX(TRANSACTIONS_MASTER!$Z$5:$Z$1204,$Q166)&amp;"")</f>
        <v/>
      </c>
      <c r="Q166" s="67" t="str">
        <f>IFERROR(MATCH($C$2&amp;"|"&amp;159,TRANSACTIONS_MASTER!$AE$5:$AE$1204,0),"")</f>
        <v/>
      </c>
      <c r="S166" s="67" t="str">
        <f>IFERROR(MATCH(1,INDEX((TRANSACTIONS_MASTER!$C$5:$C$1204=$C$2)*(TRANSACTIONS_MASTER!$AN$5:$AN$1204=8),0),0),"")</f>
        <v/>
      </c>
      <c r="T166" s="55" t="n"/>
      <c r="U166" s="55" t="str">
        <f>IF($S166="","",INDEX(TRANSACTIONS_MASTER!$G$5:$G$1204,$S166)&amp;"")</f>
        <v/>
      </c>
      <c r="V166" s="25" t="str">
        <f>IF($S166="","",SUMIFS(TRANSACTIONS_MASTER!$L$5:$L$1204,TRANSACTIONS_MASTER!$G$5:$G$1204,$U166,TRANSACTIONS_MASTER!$C$5:$C$1204,$C$2,TRANSACTIONS_MASTER!$U$5:$U$1204,"&lt;&gt;Cancelled"))</f>
        <v/>
      </c>
      <c r="W166" s="26" t="str">
        <f>IF($S166="","",SUMIFS(TRANSACTIONS_MASTER!$Q$5:$Q$1204,TRANSACTIONS_MASTER!$G$5:$G$1204,$U166,TRANSACTIONS_MASTER!$C$5:$C$1204,$C$2))</f>
        <v/>
      </c>
    </row>
    <row r="167">
      <c r="A167" s="81" t="str">
        <f>IF($Q167="","",160)</f>
        <v/>
      </c>
      <c r="B167" s="57" t="str">
        <f>IF($Q167="","",INDEX(TRANSACTIONS_MASTER!$B$5:$B$1204,$Q167))</f>
        <v/>
      </c>
      <c r="C167" s="55" t="str">
        <f>IF($Q167="","",INDEX(TRANSACTIONS_MASTER!$F$5:$F$1204,$Q167))</f>
        <v/>
      </c>
      <c r="D167" s="55" t="str">
        <f>IF($Q167="","",INDEX(TRANSACTIONS_MASTER!$E$5:$E$1204,$Q167))</f>
        <v/>
      </c>
      <c r="E167" s="55" t="str">
        <f>IF($Q167="","",INDEX(TRANSACTIONS_MASTER!$G$5:$G$1204,$Q167)&amp;"")</f>
        <v/>
      </c>
      <c r="F167" s="29" t="str">
        <f>IF($Q167="","",INDEX(TRANSACTIONS_MASTER!$I$5:$I$1204,$Q167))</f>
        <v/>
      </c>
      <c r="G167" s="55" t="str">
        <f>IF($Q167="","",INDEX(TRANSACTIONS_MASTER!$K$5:$K$1204,$Q167))</f>
        <v/>
      </c>
      <c r="H167" s="25" t="str">
        <f>IF($Q167="","",INDEX(TRANSACTIONS_MASTER!$L$5:$L$1204,$Q167))</f>
        <v/>
      </c>
      <c r="I167" s="56" t="str">
        <f>IF($Q167="","",INDEX(TRANSACTIONS_MASTER!$N$5:$N$1204,$Q167))</f>
        <v/>
      </c>
      <c r="J167" s="25" t="str">
        <f>IF($Q167="","",INDEX(TRANSACTIONS_MASTER!$O$5:$O$1204,$Q167))</f>
        <v/>
      </c>
      <c r="K167" s="26" t="str">
        <f>IF($Q167="","",INDEX(TRANSACTIONS_MASTER!$Q$5:$Q$1204,$Q167))</f>
        <v/>
      </c>
      <c r="L167" s="25" t="str">
        <f>IF($Q167="","",INDEX(TRANSACTIONS_MASTER!$P$5:$P$1204,$Q167))</f>
        <v/>
      </c>
      <c r="M167" s="25" t="str">
        <f>IF($Q167="","",INDEX(TRANSACTIONS_MASTER!$AA$5:$AA$1204,$Q167))</f>
        <v/>
      </c>
      <c r="N167" s="25" t="str">
        <f>IF($Q167="","",INDEX(TRANSACTIONS_MASTER!$R$5:$R$1204,$Q167))</f>
        <v/>
      </c>
      <c r="O167" s="28" t="str">
        <f>IF($Q167="","",INDEX(TRANSACTIONS_MASTER!$AB$5:$AB$1204,$Q167))</f>
        <v/>
      </c>
      <c r="P167" s="55" t="str">
        <f>IF($Q167="","",INDEX(TRANSACTIONS_MASTER!$Z$5:$Z$1204,$Q167)&amp;"")</f>
        <v/>
      </c>
      <c r="Q167" s="67" t="str">
        <f>IFERROR(MATCH($C$2&amp;"|"&amp;160,TRANSACTIONS_MASTER!$AE$5:$AE$1204,0),"")</f>
        <v/>
      </c>
      <c r="S167" s="67" t="str">
        <f>IFERROR(MATCH(1,INDEX((TRANSACTIONS_MASTER!$C$5:$C$1204=$C$2)*(TRANSACTIONS_MASTER!$AN$5:$AN$1204=9),0),0),"")</f>
        <v/>
      </c>
      <c r="T167" s="55" t="n"/>
      <c r="U167" s="55" t="str">
        <f>IF($S167="","",INDEX(TRANSACTIONS_MASTER!$G$5:$G$1204,$S167)&amp;"")</f>
        <v/>
      </c>
      <c r="V167" s="25" t="str">
        <f>IF($S167="","",SUMIFS(TRANSACTIONS_MASTER!$L$5:$L$1204,TRANSACTIONS_MASTER!$G$5:$G$1204,$U167,TRANSACTIONS_MASTER!$C$5:$C$1204,$C$2,TRANSACTIONS_MASTER!$U$5:$U$1204,"&lt;&gt;Cancelled"))</f>
        <v/>
      </c>
      <c r="W167" s="26" t="str">
        <f>IF($S167="","",SUMIFS(TRANSACTIONS_MASTER!$Q$5:$Q$1204,TRANSACTIONS_MASTER!$G$5:$G$1204,$U167,TRANSACTIONS_MASTER!$C$5:$C$1204,$C$2))</f>
        <v/>
      </c>
    </row>
    <row r="168">
      <c r="A168" s="81" t="str">
        <f>IF($Q168="","",161)</f>
        <v/>
      </c>
      <c r="B168" s="57" t="str">
        <f>IF($Q168="","",INDEX(TRANSACTIONS_MASTER!$B$5:$B$1204,$Q168))</f>
        <v/>
      </c>
      <c r="C168" s="55" t="str">
        <f>IF($Q168="","",INDEX(TRANSACTIONS_MASTER!$F$5:$F$1204,$Q168))</f>
        <v/>
      </c>
      <c r="D168" s="55" t="str">
        <f>IF($Q168="","",INDEX(TRANSACTIONS_MASTER!$E$5:$E$1204,$Q168))</f>
        <v/>
      </c>
      <c r="E168" s="55" t="str">
        <f>IF($Q168="","",INDEX(TRANSACTIONS_MASTER!$G$5:$G$1204,$Q168)&amp;"")</f>
        <v/>
      </c>
      <c r="F168" s="29" t="str">
        <f>IF($Q168="","",INDEX(TRANSACTIONS_MASTER!$I$5:$I$1204,$Q168))</f>
        <v/>
      </c>
      <c r="G168" s="55" t="str">
        <f>IF($Q168="","",INDEX(TRANSACTIONS_MASTER!$K$5:$K$1204,$Q168))</f>
        <v/>
      </c>
      <c r="H168" s="25" t="str">
        <f>IF($Q168="","",INDEX(TRANSACTIONS_MASTER!$L$5:$L$1204,$Q168))</f>
        <v/>
      </c>
      <c r="I168" s="56" t="str">
        <f>IF($Q168="","",INDEX(TRANSACTIONS_MASTER!$N$5:$N$1204,$Q168))</f>
        <v/>
      </c>
      <c r="J168" s="25" t="str">
        <f>IF($Q168="","",INDEX(TRANSACTIONS_MASTER!$O$5:$O$1204,$Q168))</f>
        <v/>
      </c>
      <c r="K168" s="26" t="str">
        <f>IF($Q168="","",INDEX(TRANSACTIONS_MASTER!$Q$5:$Q$1204,$Q168))</f>
        <v/>
      </c>
      <c r="L168" s="25" t="str">
        <f>IF($Q168="","",INDEX(TRANSACTIONS_MASTER!$P$5:$P$1204,$Q168))</f>
        <v/>
      </c>
      <c r="M168" s="25" t="str">
        <f>IF($Q168="","",INDEX(TRANSACTIONS_MASTER!$AA$5:$AA$1204,$Q168))</f>
        <v/>
      </c>
      <c r="N168" s="25" t="str">
        <f>IF($Q168="","",INDEX(TRANSACTIONS_MASTER!$R$5:$R$1204,$Q168))</f>
        <v/>
      </c>
      <c r="O168" s="28" t="str">
        <f>IF($Q168="","",INDEX(TRANSACTIONS_MASTER!$AB$5:$AB$1204,$Q168))</f>
        <v/>
      </c>
      <c r="P168" s="55" t="str">
        <f>IF($Q168="","",INDEX(TRANSACTIONS_MASTER!$Z$5:$Z$1204,$Q168)&amp;"")</f>
        <v/>
      </c>
      <c r="Q168" s="67" t="str">
        <f>IFERROR(MATCH($C$2&amp;"|"&amp;161,TRANSACTIONS_MASTER!$AE$5:$AE$1204,0),"")</f>
        <v/>
      </c>
      <c r="S168" s="67" t="str">
        <f>IFERROR(MATCH(1,INDEX((TRANSACTIONS_MASTER!$C$5:$C$1204=$C$2)*(TRANSACTIONS_MASTER!$AN$5:$AN$1204=10),0),0),"")</f>
        <v/>
      </c>
      <c r="T168" s="55" t="n"/>
      <c r="U168" s="55" t="str">
        <f>IF($S168="","",INDEX(TRANSACTIONS_MASTER!$G$5:$G$1204,$S168)&amp;"")</f>
        <v/>
      </c>
      <c r="V168" s="25" t="str">
        <f>IF($S168="","",SUMIFS(TRANSACTIONS_MASTER!$L$5:$L$1204,TRANSACTIONS_MASTER!$G$5:$G$1204,$U168,TRANSACTIONS_MASTER!$C$5:$C$1204,$C$2,TRANSACTIONS_MASTER!$U$5:$U$1204,"&lt;&gt;Cancelled"))</f>
        <v/>
      </c>
      <c r="W168" s="26" t="str">
        <f>IF($S168="","",SUMIFS(TRANSACTIONS_MASTER!$Q$5:$Q$1204,TRANSACTIONS_MASTER!$G$5:$G$1204,$U168,TRANSACTIONS_MASTER!$C$5:$C$1204,$C$2))</f>
        <v/>
      </c>
    </row>
    <row r="169">
      <c r="A169" s="81" t="str">
        <f>IF($Q169="","",162)</f>
        <v/>
      </c>
      <c r="B169" s="57" t="str">
        <f>IF($Q169="","",INDEX(TRANSACTIONS_MASTER!$B$5:$B$1204,$Q169))</f>
        <v/>
      </c>
      <c r="C169" s="55" t="str">
        <f>IF($Q169="","",INDEX(TRANSACTIONS_MASTER!$F$5:$F$1204,$Q169))</f>
        <v/>
      </c>
      <c r="D169" s="55" t="str">
        <f>IF($Q169="","",INDEX(TRANSACTIONS_MASTER!$E$5:$E$1204,$Q169))</f>
        <v/>
      </c>
      <c r="E169" s="55" t="str">
        <f>IF($Q169="","",INDEX(TRANSACTIONS_MASTER!$G$5:$G$1204,$Q169)&amp;"")</f>
        <v/>
      </c>
      <c r="F169" s="29" t="str">
        <f>IF($Q169="","",INDEX(TRANSACTIONS_MASTER!$I$5:$I$1204,$Q169))</f>
        <v/>
      </c>
      <c r="G169" s="55" t="str">
        <f>IF($Q169="","",INDEX(TRANSACTIONS_MASTER!$K$5:$K$1204,$Q169))</f>
        <v/>
      </c>
      <c r="H169" s="25" t="str">
        <f>IF($Q169="","",INDEX(TRANSACTIONS_MASTER!$L$5:$L$1204,$Q169))</f>
        <v/>
      </c>
      <c r="I169" s="56" t="str">
        <f>IF($Q169="","",INDEX(TRANSACTIONS_MASTER!$N$5:$N$1204,$Q169))</f>
        <v/>
      </c>
      <c r="J169" s="25" t="str">
        <f>IF($Q169="","",INDEX(TRANSACTIONS_MASTER!$O$5:$O$1204,$Q169))</f>
        <v/>
      </c>
      <c r="K169" s="26" t="str">
        <f>IF($Q169="","",INDEX(TRANSACTIONS_MASTER!$Q$5:$Q$1204,$Q169))</f>
        <v/>
      </c>
      <c r="L169" s="25" t="str">
        <f>IF($Q169="","",INDEX(TRANSACTIONS_MASTER!$P$5:$P$1204,$Q169))</f>
        <v/>
      </c>
      <c r="M169" s="25" t="str">
        <f>IF($Q169="","",INDEX(TRANSACTIONS_MASTER!$AA$5:$AA$1204,$Q169))</f>
        <v/>
      </c>
      <c r="N169" s="25" t="str">
        <f>IF($Q169="","",INDEX(TRANSACTIONS_MASTER!$R$5:$R$1204,$Q169))</f>
        <v/>
      </c>
      <c r="O169" s="28" t="str">
        <f>IF($Q169="","",INDEX(TRANSACTIONS_MASTER!$AB$5:$AB$1204,$Q169))</f>
        <v/>
      </c>
      <c r="P169" s="55" t="str">
        <f>IF($Q169="","",INDEX(TRANSACTIONS_MASTER!$Z$5:$Z$1204,$Q169)&amp;"")</f>
        <v/>
      </c>
      <c r="Q169" s="67" t="str">
        <f>IFERROR(MATCH($C$2&amp;"|"&amp;162,TRANSACTIONS_MASTER!$AE$5:$AE$1204,0),"")</f>
        <v/>
      </c>
      <c r="S169" s="67" t="str">
        <f>IFERROR(MATCH(1,INDEX((TRANSACTIONS_MASTER!$C$5:$C$1204=$C$2)*(TRANSACTIONS_MASTER!$AN$5:$AN$1204=11),0),0),"")</f>
        <v/>
      </c>
      <c r="T169" s="55" t="n"/>
      <c r="U169" s="55" t="str">
        <f>IF($S169="","",INDEX(TRANSACTIONS_MASTER!$G$5:$G$1204,$S169)&amp;"")</f>
        <v/>
      </c>
      <c r="V169" s="25" t="str">
        <f>IF($S169="","",SUMIFS(TRANSACTIONS_MASTER!$L$5:$L$1204,TRANSACTIONS_MASTER!$G$5:$G$1204,$U169,TRANSACTIONS_MASTER!$C$5:$C$1204,$C$2,TRANSACTIONS_MASTER!$U$5:$U$1204,"&lt;&gt;Cancelled"))</f>
        <v/>
      </c>
      <c r="W169" s="26" t="str">
        <f>IF($S169="","",SUMIFS(TRANSACTIONS_MASTER!$Q$5:$Q$1204,TRANSACTIONS_MASTER!$G$5:$G$1204,$U169,TRANSACTIONS_MASTER!$C$5:$C$1204,$C$2))</f>
        <v/>
      </c>
    </row>
    <row r="170">
      <c r="A170" s="81" t="str">
        <f>IF($Q170="","",163)</f>
        <v/>
      </c>
      <c r="B170" s="57" t="str">
        <f>IF($Q170="","",INDEX(TRANSACTIONS_MASTER!$B$5:$B$1204,$Q170))</f>
        <v/>
      </c>
      <c r="C170" s="55" t="str">
        <f>IF($Q170="","",INDEX(TRANSACTIONS_MASTER!$F$5:$F$1204,$Q170))</f>
        <v/>
      </c>
      <c r="D170" s="55" t="str">
        <f>IF($Q170="","",INDEX(TRANSACTIONS_MASTER!$E$5:$E$1204,$Q170))</f>
        <v/>
      </c>
      <c r="E170" s="55" t="str">
        <f>IF($Q170="","",INDEX(TRANSACTIONS_MASTER!$G$5:$G$1204,$Q170)&amp;"")</f>
        <v/>
      </c>
      <c r="F170" s="29" t="str">
        <f>IF($Q170="","",INDEX(TRANSACTIONS_MASTER!$I$5:$I$1204,$Q170))</f>
        <v/>
      </c>
      <c r="G170" s="55" t="str">
        <f>IF($Q170="","",INDEX(TRANSACTIONS_MASTER!$K$5:$K$1204,$Q170))</f>
        <v/>
      </c>
      <c r="H170" s="25" t="str">
        <f>IF($Q170="","",INDEX(TRANSACTIONS_MASTER!$L$5:$L$1204,$Q170))</f>
        <v/>
      </c>
      <c r="I170" s="56" t="str">
        <f>IF($Q170="","",INDEX(TRANSACTIONS_MASTER!$N$5:$N$1204,$Q170))</f>
        <v/>
      </c>
      <c r="J170" s="25" t="str">
        <f>IF($Q170="","",INDEX(TRANSACTIONS_MASTER!$O$5:$O$1204,$Q170))</f>
        <v/>
      </c>
      <c r="K170" s="26" t="str">
        <f>IF($Q170="","",INDEX(TRANSACTIONS_MASTER!$Q$5:$Q$1204,$Q170))</f>
        <v/>
      </c>
      <c r="L170" s="25" t="str">
        <f>IF($Q170="","",INDEX(TRANSACTIONS_MASTER!$P$5:$P$1204,$Q170))</f>
        <v/>
      </c>
      <c r="M170" s="25" t="str">
        <f>IF($Q170="","",INDEX(TRANSACTIONS_MASTER!$AA$5:$AA$1204,$Q170))</f>
        <v/>
      </c>
      <c r="N170" s="25" t="str">
        <f>IF($Q170="","",INDEX(TRANSACTIONS_MASTER!$R$5:$R$1204,$Q170))</f>
        <v/>
      </c>
      <c r="O170" s="28" t="str">
        <f>IF($Q170="","",INDEX(TRANSACTIONS_MASTER!$AB$5:$AB$1204,$Q170))</f>
        <v/>
      </c>
      <c r="P170" s="55" t="str">
        <f>IF($Q170="","",INDEX(TRANSACTIONS_MASTER!$Z$5:$Z$1204,$Q170)&amp;"")</f>
        <v/>
      </c>
      <c r="Q170" s="67" t="str">
        <f>IFERROR(MATCH($C$2&amp;"|"&amp;163,TRANSACTIONS_MASTER!$AE$5:$AE$1204,0),"")</f>
        <v/>
      </c>
      <c r="S170" s="67" t="str">
        <f>IFERROR(MATCH(1,INDEX((TRANSACTIONS_MASTER!$C$5:$C$1204=$C$2)*(TRANSACTIONS_MASTER!$AN$5:$AN$1204=12),0),0),"")</f>
        <v/>
      </c>
      <c r="T170" s="55" t="n"/>
      <c r="U170" s="55" t="str">
        <f>IF($S170="","",INDEX(TRANSACTIONS_MASTER!$G$5:$G$1204,$S170)&amp;"")</f>
        <v/>
      </c>
      <c r="V170" s="25" t="str">
        <f>IF($S170="","",SUMIFS(TRANSACTIONS_MASTER!$L$5:$L$1204,TRANSACTIONS_MASTER!$G$5:$G$1204,$U170,TRANSACTIONS_MASTER!$C$5:$C$1204,$C$2,TRANSACTIONS_MASTER!$U$5:$U$1204,"&lt;&gt;Cancelled"))</f>
        <v/>
      </c>
      <c r="W170" s="26" t="str">
        <f>IF($S170="","",SUMIFS(TRANSACTIONS_MASTER!$Q$5:$Q$1204,TRANSACTIONS_MASTER!$G$5:$G$1204,$U170,TRANSACTIONS_MASTER!$C$5:$C$1204,$C$2))</f>
        <v/>
      </c>
    </row>
    <row r="171">
      <c r="A171" s="81" t="str">
        <f>IF($Q171="","",164)</f>
        <v/>
      </c>
      <c r="B171" s="57" t="str">
        <f>IF($Q171="","",INDEX(TRANSACTIONS_MASTER!$B$5:$B$1204,$Q171))</f>
        <v/>
      </c>
      <c r="C171" s="55" t="str">
        <f>IF($Q171="","",INDEX(TRANSACTIONS_MASTER!$F$5:$F$1204,$Q171))</f>
        <v/>
      </c>
      <c r="D171" s="55" t="str">
        <f>IF($Q171="","",INDEX(TRANSACTIONS_MASTER!$E$5:$E$1204,$Q171))</f>
        <v/>
      </c>
      <c r="E171" s="55" t="str">
        <f>IF($Q171="","",INDEX(TRANSACTIONS_MASTER!$G$5:$G$1204,$Q171)&amp;"")</f>
        <v/>
      </c>
      <c r="F171" s="29" t="str">
        <f>IF($Q171="","",INDEX(TRANSACTIONS_MASTER!$I$5:$I$1204,$Q171))</f>
        <v/>
      </c>
      <c r="G171" s="55" t="str">
        <f>IF($Q171="","",INDEX(TRANSACTIONS_MASTER!$K$5:$K$1204,$Q171))</f>
        <v/>
      </c>
      <c r="H171" s="25" t="str">
        <f>IF($Q171="","",INDEX(TRANSACTIONS_MASTER!$L$5:$L$1204,$Q171))</f>
        <v/>
      </c>
      <c r="I171" s="56" t="str">
        <f>IF($Q171="","",INDEX(TRANSACTIONS_MASTER!$N$5:$N$1204,$Q171))</f>
        <v/>
      </c>
      <c r="J171" s="25" t="str">
        <f>IF($Q171="","",INDEX(TRANSACTIONS_MASTER!$O$5:$O$1204,$Q171))</f>
        <v/>
      </c>
      <c r="K171" s="26" t="str">
        <f>IF($Q171="","",INDEX(TRANSACTIONS_MASTER!$Q$5:$Q$1204,$Q171))</f>
        <v/>
      </c>
      <c r="L171" s="25" t="str">
        <f>IF($Q171="","",INDEX(TRANSACTIONS_MASTER!$P$5:$P$1204,$Q171))</f>
        <v/>
      </c>
      <c r="M171" s="25" t="str">
        <f>IF($Q171="","",INDEX(TRANSACTIONS_MASTER!$AA$5:$AA$1204,$Q171))</f>
        <v/>
      </c>
      <c r="N171" s="25" t="str">
        <f>IF($Q171="","",INDEX(TRANSACTIONS_MASTER!$R$5:$R$1204,$Q171))</f>
        <v/>
      </c>
      <c r="O171" s="28" t="str">
        <f>IF($Q171="","",INDEX(TRANSACTIONS_MASTER!$AB$5:$AB$1204,$Q171))</f>
        <v/>
      </c>
      <c r="P171" s="55" t="str">
        <f>IF($Q171="","",INDEX(TRANSACTIONS_MASTER!$Z$5:$Z$1204,$Q171)&amp;"")</f>
        <v/>
      </c>
      <c r="Q171" s="67" t="str">
        <f>IFERROR(MATCH($C$2&amp;"|"&amp;164,TRANSACTIONS_MASTER!$AE$5:$AE$1204,0),"")</f>
        <v/>
      </c>
      <c r="S171" s="67" t="str">
        <f>IFERROR(MATCH(1,INDEX((TRANSACTIONS_MASTER!$C$5:$C$1204=$C$2)*(TRANSACTIONS_MASTER!$AN$5:$AN$1204=13),0),0),"")</f>
        <v/>
      </c>
      <c r="T171" s="55" t="n"/>
      <c r="U171" s="55" t="str">
        <f>IF($S171="","",INDEX(TRANSACTIONS_MASTER!$G$5:$G$1204,$S171)&amp;"")</f>
        <v/>
      </c>
      <c r="V171" s="25" t="str">
        <f>IF($S171="","",SUMIFS(TRANSACTIONS_MASTER!$L$5:$L$1204,TRANSACTIONS_MASTER!$G$5:$G$1204,$U171,TRANSACTIONS_MASTER!$C$5:$C$1204,$C$2,TRANSACTIONS_MASTER!$U$5:$U$1204,"&lt;&gt;Cancelled"))</f>
        <v/>
      </c>
      <c r="W171" s="26" t="str">
        <f>IF($S171="","",SUMIFS(TRANSACTIONS_MASTER!$Q$5:$Q$1204,TRANSACTIONS_MASTER!$G$5:$G$1204,$U171,TRANSACTIONS_MASTER!$C$5:$C$1204,$C$2))</f>
        <v/>
      </c>
    </row>
    <row r="172">
      <c r="A172" s="81" t="str">
        <f>IF($Q172="","",165)</f>
        <v/>
      </c>
      <c r="B172" s="57" t="str">
        <f>IF($Q172="","",INDEX(TRANSACTIONS_MASTER!$B$5:$B$1204,$Q172))</f>
        <v/>
      </c>
      <c r="C172" s="55" t="str">
        <f>IF($Q172="","",INDEX(TRANSACTIONS_MASTER!$F$5:$F$1204,$Q172))</f>
        <v/>
      </c>
      <c r="D172" s="55" t="str">
        <f>IF($Q172="","",INDEX(TRANSACTIONS_MASTER!$E$5:$E$1204,$Q172))</f>
        <v/>
      </c>
      <c r="E172" s="55" t="str">
        <f>IF($Q172="","",INDEX(TRANSACTIONS_MASTER!$G$5:$G$1204,$Q172)&amp;"")</f>
        <v/>
      </c>
      <c r="F172" s="29" t="str">
        <f>IF($Q172="","",INDEX(TRANSACTIONS_MASTER!$I$5:$I$1204,$Q172))</f>
        <v/>
      </c>
      <c r="G172" s="55" t="str">
        <f>IF($Q172="","",INDEX(TRANSACTIONS_MASTER!$K$5:$K$1204,$Q172))</f>
        <v/>
      </c>
      <c r="H172" s="25" t="str">
        <f>IF($Q172="","",INDEX(TRANSACTIONS_MASTER!$L$5:$L$1204,$Q172))</f>
        <v/>
      </c>
      <c r="I172" s="56" t="str">
        <f>IF($Q172="","",INDEX(TRANSACTIONS_MASTER!$N$5:$N$1204,$Q172))</f>
        <v/>
      </c>
      <c r="J172" s="25" t="str">
        <f>IF($Q172="","",INDEX(TRANSACTIONS_MASTER!$O$5:$O$1204,$Q172))</f>
        <v/>
      </c>
      <c r="K172" s="26" t="str">
        <f>IF($Q172="","",INDEX(TRANSACTIONS_MASTER!$Q$5:$Q$1204,$Q172))</f>
        <v/>
      </c>
      <c r="L172" s="25" t="str">
        <f>IF($Q172="","",INDEX(TRANSACTIONS_MASTER!$P$5:$P$1204,$Q172))</f>
        <v/>
      </c>
      <c r="M172" s="25" t="str">
        <f>IF($Q172="","",INDEX(TRANSACTIONS_MASTER!$AA$5:$AA$1204,$Q172))</f>
        <v/>
      </c>
      <c r="N172" s="25" t="str">
        <f>IF($Q172="","",INDEX(TRANSACTIONS_MASTER!$R$5:$R$1204,$Q172))</f>
        <v/>
      </c>
      <c r="O172" s="28" t="str">
        <f>IF($Q172="","",INDEX(TRANSACTIONS_MASTER!$AB$5:$AB$1204,$Q172))</f>
        <v/>
      </c>
      <c r="P172" s="55" t="str">
        <f>IF($Q172="","",INDEX(TRANSACTIONS_MASTER!$Z$5:$Z$1204,$Q172)&amp;"")</f>
        <v/>
      </c>
      <c r="Q172" s="67" t="str">
        <f>IFERROR(MATCH($C$2&amp;"|"&amp;165,TRANSACTIONS_MASTER!$AE$5:$AE$1204,0),"")</f>
        <v/>
      </c>
      <c r="S172" s="67" t="str">
        <f>IFERROR(MATCH(1,INDEX((TRANSACTIONS_MASTER!$C$5:$C$1204=$C$2)*(TRANSACTIONS_MASTER!$AN$5:$AN$1204=14),0),0),"")</f>
        <v/>
      </c>
      <c r="T172" s="55" t="n"/>
      <c r="U172" s="55" t="str">
        <f>IF($S172="","",INDEX(TRANSACTIONS_MASTER!$G$5:$G$1204,$S172)&amp;"")</f>
        <v/>
      </c>
      <c r="V172" s="25" t="str">
        <f>IF($S172="","",SUMIFS(TRANSACTIONS_MASTER!$L$5:$L$1204,TRANSACTIONS_MASTER!$G$5:$G$1204,$U172,TRANSACTIONS_MASTER!$C$5:$C$1204,$C$2,TRANSACTIONS_MASTER!$U$5:$U$1204,"&lt;&gt;Cancelled"))</f>
        <v/>
      </c>
      <c r="W172" s="26" t="str">
        <f>IF($S172="","",SUMIFS(TRANSACTIONS_MASTER!$Q$5:$Q$1204,TRANSACTIONS_MASTER!$G$5:$G$1204,$U172,TRANSACTIONS_MASTER!$C$5:$C$1204,$C$2))</f>
        <v/>
      </c>
    </row>
    <row r="173">
      <c r="A173" s="81" t="str">
        <f>IF($Q173="","",166)</f>
        <v/>
      </c>
      <c r="B173" s="57" t="str">
        <f>IF($Q173="","",INDEX(TRANSACTIONS_MASTER!$B$5:$B$1204,$Q173))</f>
        <v/>
      </c>
      <c r="C173" s="55" t="str">
        <f>IF($Q173="","",INDEX(TRANSACTIONS_MASTER!$F$5:$F$1204,$Q173))</f>
        <v/>
      </c>
      <c r="D173" s="55" t="str">
        <f>IF($Q173="","",INDEX(TRANSACTIONS_MASTER!$E$5:$E$1204,$Q173))</f>
        <v/>
      </c>
      <c r="E173" s="55" t="str">
        <f>IF($Q173="","",INDEX(TRANSACTIONS_MASTER!$G$5:$G$1204,$Q173)&amp;"")</f>
        <v/>
      </c>
      <c r="F173" s="29" t="str">
        <f>IF($Q173="","",INDEX(TRANSACTIONS_MASTER!$I$5:$I$1204,$Q173))</f>
        <v/>
      </c>
      <c r="G173" s="55" t="str">
        <f>IF($Q173="","",INDEX(TRANSACTIONS_MASTER!$K$5:$K$1204,$Q173))</f>
        <v/>
      </c>
      <c r="H173" s="25" t="str">
        <f>IF($Q173="","",INDEX(TRANSACTIONS_MASTER!$L$5:$L$1204,$Q173))</f>
        <v/>
      </c>
      <c r="I173" s="56" t="str">
        <f>IF($Q173="","",INDEX(TRANSACTIONS_MASTER!$N$5:$N$1204,$Q173))</f>
        <v/>
      </c>
      <c r="J173" s="25" t="str">
        <f>IF($Q173="","",INDEX(TRANSACTIONS_MASTER!$O$5:$O$1204,$Q173))</f>
        <v/>
      </c>
      <c r="K173" s="26" t="str">
        <f>IF($Q173="","",INDEX(TRANSACTIONS_MASTER!$Q$5:$Q$1204,$Q173))</f>
        <v/>
      </c>
      <c r="L173" s="25" t="str">
        <f>IF($Q173="","",INDEX(TRANSACTIONS_MASTER!$P$5:$P$1204,$Q173))</f>
        <v/>
      </c>
      <c r="M173" s="25" t="str">
        <f>IF($Q173="","",INDEX(TRANSACTIONS_MASTER!$AA$5:$AA$1204,$Q173))</f>
        <v/>
      </c>
      <c r="N173" s="25" t="str">
        <f>IF($Q173="","",INDEX(TRANSACTIONS_MASTER!$R$5:$R$1204,$Q173))</f>
        <v/>
      </c>
      <c r="O173" s="28" t="str">
        <f>IF($Q173="","",INDEX(TRANSACTIONS_MASTER!$AB$5:$AB$1204,$Q173))</f>
        <v/>
      </c>
      <c r="P173" s="55" t="str">
        <f>IF($Q173="","",INDEX(TRANSACTIONS_MASTER!$Z$5:$Z$1204,$Q173)&amp;"")</f>
        <v/>
      </c>
      <c r="Q173" s="67" t="str">
        <f>IFERROR(MATCH($C$2&amp;"|"&amp;166,TRANSACTIONS_MASTER!$AE$5:$AE$1204,0),"")</f>
        <v/>
      </c>
      <c r="S173" s="67" t="str">
        <f>IFERROR(MATCH(1,INDEX((TRANSACTIONS_MASTER!$C$5:$C$1204=$C$2)*(TRANSACTIONS_MASTER!$AN$5:$AN$1204=15),0),0),"")</f>
        <v/>
      </c>
      <c r="T173" s="55" t="n"/>
      <c r="U173" s="55" t="str">
        <f>IF($S173="","",INDEX(TRANSACTIONS_MASTER!$G$5:$G$1204,$S173)&amp;"")</f>
        <v/>
      </c>
      <c r="V173" s="25" t="str">
        <f>IF($S173="","",SUMIFS(TRANSACTIONS_MASTER!$L$5:$L$1204,TRANSACTIONS_MASTER!$G$5:$G$1204,$U173,TRANSACTIONS_MASTER!$C$5:$C$1204,$C$2,TRANSACTIONS_MASTER!$U$5:$U$1204,"&lt;&gt;Cancelled"))</f>
        <v/>
      </c>
      <c r="W173" s="26" t="str">
        <f>IF($S173="","",SUMIFS(TRANSACTIONS_MASTER!$Q$5:$Q$1204,TRANSACTIONS_MASTER!$G$5:$G$1204,$U173,TRANSACTIONS_MASTER!$C$5:$C$1204,$C$2))</f>
        <v/>
      </c>
    </row>
    <row r="174">
      <c r="A174" s="81" t="str">
        <f>IF($Q174="","",167)</f>
        <v/>
      </c>
      <c r="B174" s="57" t="str">
        <f>IF($Q174="","",INDEX(TRANSACTIONS_MASTER!$B$5:$B$1204,$Q174))</f>
        <v/>
      </c>
      <c r="C174" s="55" t="str">
        <f>IF($Q174="","",INDEX(TRANSACTIONS_MASTER!$F$5:$F$1204,$Q174))</f>
        <v/>
      </c>
      <c r="D174" s="55" t="str">
        <f>IF($Q174="","",INDEX(TRANSACTIONS_MASTER!$E$5:$E$1204,$Q174))</f>
        <v/>
      </c>
      <c r="E174" s="55" t="str">
        <f>IF($Q174="","",INDEX(TRANSACTIONS_MASTER!$G$5:$G$1204,$Q174)&amp;"")</f>
        <v/>
      </c>
      <c r="F174" s="29" t="str">
        <f>IF($Q174="","",INDEX(TRANSACTIONS_MASTER!$I$5:$I$1204,$Q174))</f>
        <v/>
      </c>
      <c r="G174" s="55" t="str">
        <f>IF($Q174="","",INDEX(TRANSACTIONS_MASTER!$K$5:$K$1204,$Q174))</f>
        <v/>
      </c>
      <c r="H174" s="25" t="str">
        <f>IF($Q174="","",INDEX(TRANSACTIONS_MASTER!$L$5:$L$1204,$Q174))</f>
        <v/>
      </c>
      <c r="I174" s="56" t="str">
        <f>IF($Q174="","",INDEX(TRANSACTIONS_MASTER!$N$5:$N$1204,$Q174))</f>
        <v/>
      </c>
      <c r="J174" s="25" t="str">
        <f>IF($Q174="","",INDEX(TRANSACTIONS_MASTER!$O$5:$O$1204,$Q174))</f>
        <v/>
      </c>
      <c r="K174" s="26" t="str">
        <f>IF($Q174="","",INDEX(TRANSACTIONS_MASTER!$Q$5:$Q$1204,$Q174))</f>
        <v/>
      </c>
      <c r="L174" s="25" t="str">
        <f>IF($Q174="","",INDEX(TRANSACTIONS_MASTER!$P$5:$P$1204,$Q174))</f>
        <v/>
      </c>
      <c r="M174" s="25" t="str">
        <f>IF($Q174="","",INDEX(TRANSACTIONS_MASTER!$AA$5:$AA$1204,$Q174))</f>
        <v/>
      </c>
      <c r="N174" s="25" t="str">
        <f>IF($Q174="","",INDEX(TRANSACTIONS_MASTER!$R$5:$R$1204,$Q174))</f>
        <v/>
      </c>
      <c r="O174" s="28" t="str">
        <f>IF($Q174="","",INDEX(TRANSACTIONS_MASTER!$AB$5:$AB$1204,$Q174))</f>
        <v/>
      </c>
      <c r="P174" s="55" t="str">
        <f>IF($Q174="","",INDEX(TRANSACTIONS_MASTER!$Z$5:$Z$1204,$Q174)&amp;"")</f>
        <v/>
      </c>
      <c r="Q174" s="67" t="str">
        <f>IFERROR(MATCH($C$2&amp;"|"&amp;167,TRANSACTIONS_MASTER!$AE$5:$AE$1204,0),"")</f>
        <v/>
      </c>
      <c r="S174" s="67" t="str">
        <f>IFERROR(MATCH(1,INDEX((TRANSACTIONS_MASTER!$C$5:$C$1204=$C$2)*(TRANSACTIONS_MASTER!$AN$5:$AN$1204=16),0),0),"")</f>
        <v/>
      </c>
      <c r="T174" s="55" t="n"/>
      <c r="U174" s="55" t="str">
        <f>IF($S174="","",INDEX(TRANSACTIONS_MASTER!$G$5:$G$1204,$S174)&amp;"")</f>
        <v/>
      </c>
      <c r="V174" s="25" t="str">
        <f>IF($S174="","",SUMIFS(TRANSACTIONS_MASTER!$L$5:$L$1204,TRANSACTIONS_MASTER!$G$5:$G$1204,$U174,TRANSACTIONS_MASTER!$C$5:$C$1204,$C$2,TRANSACTIONS_MASTER!$U$5:$U$1204,"&lt;&gt;Cancelled"))</f>
        <v/>
      </c>
      <c r="W174" s="26" t="str">
        <f>IF($S174="","",SUMIFS(TRANSACTIONS_MASTER!$Q$5:$Q$1204,TRANSACTIONS_MASTER!$G$5:$G$1204,$U174,TRANSACTIONS_MASTER!$C$5:$C$1204,$C$2))</f>
        <v/>
      </c>
    </row>
    <row r="175">
      <c r="A175" s="81" t="str">
        <f>IF($Q175="","",168)</f>
        <v/>
      </c>
      <c r="B175" s="57" t="str">
        <f>IF($Q175="","",INDEX(TRANSACTIONS_MASTER!$B$5:$B$1204,$Q175))</f>
        <v/>
      </c>
      <c r="C175" s="55" t="str">
        <f>IF($Q175="","",INDEX(TRANSACTIONS_MASTER!$F$5:$F$1204,$Q175))</f>
        <v/>
      </c>
      <c r="D175" s="55" t="str">
        <f>IF($Q175="","",INDEX(TRANSACTIONS_MASTER!$E$5:$E$1204,$Q175))</f>
        <v/>
      </c>
      <c r="E175" s="55" t="str">
        <f>IF($Q175="","",INDEX(TRANSACTIONS_MASTER!$G$5:$G$1204,$Q175)&amp;"")</f>
        <v/>
      </c>
      <c r="F175" s="29" t="str">
        <f>IF($Q175="","",INDEX(TRANSACTIONS_MASTER!$I$5:$I$1204,$Q175))</f>
        <v/>
      </c>
      <c r="G175" s="55" t="str">
        <f>IF($Q175="","",INDEX(TRANSACTIONS_MASTER!$K$5:$K$1204,$Q175))</f>
        <v/>
      </c>
      <c r="H175" s="25" t="str">
        <f>IF($Q175="","",INDEX(TRANSACTIONS_MASTER!$L$5:$L$1204,$Q175))</f>
        <v/>
      </c>
      <c r="I175" s="56" t="str">
        <f>IF($Q175="","",INDEX(TRANSACTIONS_MASTER!$N$5:$N$1204,$Q175))</f>
        <v/>
      </c>
      <c r="J175" s="25" t="str">
        <f>IF($Q175="","",INDEX(TRANSACTIONS_MASTER!$O$5:$O$1204,$Q175))</f>
        <v/>
      </c>
      <c r="K175" s="26" t="str">
        <f>IF($Q175="","",INDEX(TRANSACTIONS_MASTER!$Q$5:$Q$1204,$Q175))</f>
        <v/>
      </c>
      <c r="L175" s="25" t="str">
        <f>IF($Q175="","",INDEX(TRANSACTIONS_MASTER!$P$5:$P$1204,$Q175))</f>
        <v/>
      </c>
      <c r="M175" s="25" t="str">
        <f>IF($Q175="","",INDEX(TRANSACTIONS_MASTER!$AA$5:$AA$1204,$Q175))</f>
        <v/>
      </c>
      <c r="N175" s="25" t="str">
        <f>IF($Q175="","",INDEX(TRANSACTIONS_MASTER!$R$5:$R$1204,$Q175))</f>
        <v/>
      </c>
      <c r="O175" s="28" t="str">
        <f>IF($Q175="","",INDEX(TRANSACTIONS_MASTER!$AB$5:$AB$1204,$Q175))</f>
        <v/>
      </c>
      <c r="P175" s="55" t="str">
        <f>IF($Q175="","",INDEX(TRANSACTIONS_MASTER!$Z$5:$Z$1204,$Q175)&amp;"")</f>
        <v/>
      </c>
      <c r="Q175" s="67" t="str">
        <f>IFERROR(MATCH($C$2&amp;"|"&amp;168,TRANSACTIONS_MASTER!$AE$5:$AE$1204,0),"")</f>
        <v/>
      </c>
      <c r="S175" s="67" t="str">
        <f>IFERROR(MATCH(1,INDEX((TRANSACTIONS_MASTER!$C$5:$C$1204=$C$2)*(TRANSACTIONS_MASTER!$AN$5:$AN$1204=17),0),0),"")</f>
        <v/>
      </c>
      <c r="T175" s="55" t="n"/>
      <c r="U175" s="55" t="str">
        <f>IF($S175="","",INDEX(TRANSACTIONS_MASTER!$G$5:$G$1204,$S175)&amp;"")</f>
        <v/>
      </c>
      <c r="V175" s="25" t="str">
        <f>IF($S175="","",SUMIFS(TRANSACTIONS_MASTER!$L$5:$L$1204,TRANSACTIONS_MASTER!$G$5:$G$1204,$U175,TRANSACTIONS_MASTER!$C$5:$C$1204,$C$2,TRANSACTIONS_MASTER!$U$5:$U$1204,"&lt;&gt;Cancelled"))</f>
        <v/>
      </c>
      <c r="W175" s="26" t="str">
        <f>IF($S175="","",SUMIFS(TRANSACTIONS_MASTER!$Q$5:$Q$1204,TRANSACTIONS_MASTER!$G$5:$G$1204,$U175,TRANSACTIONS_MASTER!$C$5:$C$1204,$C$2))</f>
        <v/>
      </c>
    </row>
    <row r="176">
      <c r="A176" s="81" t="str">
        <f>IF($Q176="","",169)</f>
        <v/>
      </c>
      <c r="B176" s="57" t="str">
        <f>IF($Q176="","",INDEX(TRANSACTIONS_MASTER!$B$5:$B$1204,$Q176))</f>
        <v/>
      </c>
      <c r="C176" s="55" t="str">
        <f>IF($Q176="","",INDEX(TRANSACTIONS_MASTER!$F$5:$F$1204,$Q176))</f>
        <v/>
      </c>
      <c r="D176" s="55" t="str">
        <f>IF($Q176="","",INDEX(TRANSACTIONS_MASTER!$E$5:$E$1204,$Q176))</f>
        <v/>
      </c>
      <c r="E176" s="55" t="str">
        <f>IF($Q176="","",INDEX(TRANSACTIONS_MASTER!$G$5:$G$1204,$Q176)&amp;"")</f>
        <v/>
      </c>
      <c r="F176" s="29" t="str">
        <f>IF($Q176="","",INDEX(TRANSACTIONS_MASTER!$I$5:$I$1204,$Q176))</f>
        <v/>
      </c>
      <c r="G176" s="55" t="str">
        <f>IF($Q176="","",INDEX(TRANSACTIONS_MASTER!$K$5:$K$1204,$Q176))</f>
        <v/>
      </c>
      <c r="H176" s="25" t="str">
        <f>IF($Q176="","",INDEX(TRANSACTIONS_MASTER!$L$5:$L$1204,$Q176))</f>
        <v/>
      </c>
      <c r="I176" s="56" t="str">
        <f>IF($Q176="","",INDEX(TRANSACTIONS_MASTER!$N$5:$N$1204,$Q176))</f>
        <v/>
      </c>
      <c r="J176" s="25" t="str">
        <f>IF($Q176="","",INDEX(TRANSACTIONS_MASTER!$O$5:$O$1204,$Q176))</f>
        <v/>
      </c>
      <c r="K176" s="26" t="str">
        <f>IF($Q176="","",INDEX(TRANSACTIONS_MASTER!$Q$5:$Q$1204,$Q176))</f>
        <v/>
      </c>
      <c r="L176" s="25" t="str">
        <f>IF($Q176="","",INDEX(TRANSACTIONS_MASTER!$P$5:$P$1204,$Q176))</f>
        <v/>
      </c>
      <c r="M176" s="25" t="str">
        <f>IF($Q176="","",INDEX(TRANSACTIONS_MASTER!$AA$5:$AA$1204,$Q176))</f>
        <v/>
      </c>
      <c r="N176" s="25" t="str">
        <f>IF($Q176="","",INDEX(TRANSACTIONS_MASTER!$R$5:$R$1204,$Q176))</f>
        <v/>
      </c>
      <c r="O176" s="28" t="str">
        <f>IF($Q176="","",INDEX(TRANSACTIONS_MASTER!$AB$5:$AB$1204,$Q176))</f>
        <v/>
      </c>
      <c r="P176" s="55" t="str">
        <f>IF($Q176="","",INDEX(TRANSACTIONS_MASTER!$Z$5:$Z$1204,$Q176)&amp;"")</f>
        <v/>
      </c>
      <c r="Q176" s="67" t="str">
        <f>IFERROR(MATCH($C$2&amp;"|"&amp;169,TRANSACTIONS_MASTER!$AE$5:$AE$1204,0),"")</f>
        <v/>
      </c>
      <c r="S176" s="67" t="str">
        <f>IFERROR(MATCH(1,INDEX((TRANSACTIONS_MASTER!$C$5:$C$1204=$C$2)*(TRANSACTIONS_MASTER!$AN$5:$AN$1204=18),0),0),"")</f>
        <v/>
      </c>
      <c r="T176" s="55" t="n"/>
      <c r="U176" s="55" t="str">
        <f>IF($S176="","",INDEX(TRANSACTIONS_MASTER!$G$5:$G$1204,$S176)&amp;"")</f>
        <v/>
      </c>
      <c r="V176" s="25" t="str">
        <f>IF($S176="","",SUMIFS(TRANSACTIONS_MASTER!$L$5:$L$1204,TRANSACTIONS_MASTER!$G$5:$G$1204,$U176,TRANSACTIONS_MASTER!$C$5:$C$1204,$C$2,TRANSACTIONS_MASTER!$U$5:$U$1204,"&lt;&gt;Cancelled"))</f>
        <v/>
      </c>
      <c r="W176" s="26" t="str">
        <f>IF($S176="","",SUMIFS(TRANSACTIONS_MASTER!$Q$5:$Q$1204,TRANSACTIONS_MASTER!$G$5:$G$1204,$U176,TRANSACTIONS_MASTER!$C$5:$C$1204,$C$2))</f>
        <v/>
      </c>
    </row>
    <row r="177">
      <c r="A177" s="81" t="str">
        <f>IF($Q177="","",170)</f>
        <v/>
      </c>
      <c r="B177" s="57" t="str">
        <f>IF($Q177="","",INDEX(TRANSACTIONS_MASTER!$B$5:$B$1204,$Q177))</f>
        <v/>
      </c>
      <c r="C177" s="55" t="str">
        <f>IF($Q177="","",INDEX(TRANSACTIONS_MASTER!$F$5:$F$1204,$Q177))</f>
        <v/>
      </c>
      <c r="D177" s="55" t="str">
        <f>IF($Q177="","",INDEX(TRANSACTIONS_MASTER!$E$5:$E$1204,$Q177))</f>
        <v/>
      </c>
      <c r="E177" s="55" t="str">
        <f>IF($Q177="","",INDEX(TRANSACTIONS_MASTER!$G$5:$G$1204,$Q177)&amp;"")</f>
        <v/>
      </c>
      <c r="F177" s="29" t="str">
        <f>IF($Q177="","",INDEX(TRANSACTIONS_MASTER!$I$5:$I$1204,$Q177))</f>
        <v/>
      </c>
      <c r="G177" s="55" t="str">
        <f>IF($Q177="","",INDEX(TRANSACTIONS_MASTER!$K$5:$K$1204,$Q177))</f>
        <v/>
      </c>
      <c r="H177" s="25" t="str">
        <f>IF($Q177="","",INDEX(TRANSACTIONS_MASTER!$L$5:$L$1204,$Q177))</f>
        <v/>
      </c>
      <c r="I177" s="56" t="str">
        <f>IF($Q177="","",INDEX(TRANSACTIONS_MASTER!$N$5:$N$1204,$Q177))</f>
        <v/>
      </c>
      <c r="J177" s="25" t="str">
        <f>IF($Q177="","",INDEX(TRANSACTIONS_MASTER!$O$5:$O$1204,$Q177))</f>
        <v/>
      </c>
      <c r="K177" s="26" t="str">
        <f>IF($Q177="","",INDEX(TRANSACTIONS_MASTER!$Q$5:$Q$1204,$Q177))</f>
        <v/>
      </c>
      <c r="L177" s="25" t="str">
        <f>IF($Q177="","",INDEX(TRANSACTIONS_MASTER!$P$5:$P$1204,$Q177))</f>
        <v/>
      </c>
      <c r="M177" s="25" t="str">
        <f>IF($Q177="","",INDEX(TRANSACTIONS_MASTER!$AA$5:$AA$1204,$Q177))</f>
        <v/>
      </c>
      <c r="N177" s="25" t="str">
        <f>IF($Q177="","",INDEX(TRANSACTIONS_MASTER!$R$5:$R$1204,$Q177))</f>
        <v/>
      </c>
      <c r="O177" s="28" t="str">
        <f>IF($Q177="","",INDEX(TRANSACTIONS_MASTER!$AB$5:$AB$1204,$Q177))</f>
        <v/>
      </c>
      <c r="P177" s="55" t="str">
        <f>IF($Q177="","",INDEX(TRANSACTIONS_MASTER!$Z$5:$Z$1204,$Q177)&amp;"")</f>
        <v/>
      </c>
      <c r="Q177" s="67" t="str">
        <f>IFERROR(MATCH($C$2&amp;"|"&amp;170,TRANSACTIONS_MASTER!$AE$5:$AE$1204,0),"")</f>
        <v/>
      </c>
      <c r="S177" s="67" t="str">
        <f>IFERROR(MATCH(1,INDEX((TRANSACTIONS_MASTER!$C$5:$C$1204=$C$2)*(TRANSACTIONS_MASTER!$AN$5:$AN$1204=19),0),0),"")</f>
        <v/>
      </c>
      <c r="T177" s="55" t="n"/>
      <c r="U177" s="55" t="str">
        <f>IF($S177="","",INDEX(TRANSACTIONS_MASTER!$G$5:$G$1204,$S177)&amp;"")</f>
        <v/>
      </c>
      <c r="V177" s="25" t="str">
        <f>IF($S177="","",SUMIFS(TRANSACTIONS_MASTER!$L$5:$L$1204,TRANSACTIONS_MASTER!$G$5:$G$1204,$U177,TRANSACTIONS_MASTER!$C$5:$C$1204,$C$2,TRANSACTIONS_MASTER!$U$5:$U$1204,"&lt;&gt;Cancelled"))</f>
        <v/>
      </c>
      <c r="W177" s="26" t="str">
        <f>IF($S177="","",SUMIFS(TRANSACTIONS_MASTER!$Q$5:$Q$1204,TRANSACTIONS_MASTER!$G$5:$G$1204,$U177,TRANSACTIONS_MASTER!$C$5:$C$1204,$C$2))</f>
        <v/>
      </c>
    </row>
    <row r="178">
      <c r="A178" s="81" t="str">
        <f>IF($Q178="","",171)</f>
        <v/>
      </c>
      <c r="B178" s="57" t="str">
        <f>IF($Q178="","",INDEX(TRANSACTIONS_MASTER!$B$5:$B$1204,$Q178))</f>
        <v/>
      </c>
      <c r="C178" s="55" t="str">
        <f>IF($Q178="","",INDEX(TRANSACTIONS_MASTER!$F$5:$F$1204,$Q178))</f>
        <v/>
      </c>
      <c r="D178" s="55" t="str">
        <f>IF($Q178="","",INDEX(TRANSACTIONS_MASTER!$E$5:$E$1204,$Q178))</f>
        <v/>
      </c>
      <c r="E178" s="55" t="str">
        <f>IF($Q178="","",INDEX(TRANSACTIONS_MASTER!$G$5:$G$1204,$Q178)&amp;"")</f>
        <v/>
      </c>
      <c r="F178" s="29" t="str">
        <f>IF($Q178="","",INDEX(TRANSACTIONS_MASTER!$I$5:$I$1204,$Q178))</f>
        <v/>
      </c>
      <c r="G178" s="55" t="str">
        <f>IF($Q178="","",INDEX(TRANSACTIONS_MASTER!$K$5:$K$1204,$Q178))</f>
        <v/>
      </c>
      <c r="H178" s="25" t="str">
        <f>IF($Q178="","",INDEX(TRANSACTIONS_MASTER!$L$5:$L$1204,$Q178))</f>
        <v/>
      </c>
      <c r="I178" s="56" t="str">
        <f>IF($Q178="","",INDEX(TRANSACTIONS_MASTER!$N$5:$N$1204,$Q178))</f>
        <v/>
      </c>
      <c r="J178" s="25" t="str">
        <f>IF($Q178="","",INDEX(TRANSACTIONS_MASTER!$O$5:$O$1204,$Q178))</f>
        <v/>
      </c>
      <c r="K178" s="26" t="str">
        <f>IF($Q178="","",INDEX(TRANSACTIONS_MASTER!$Q$5:$Q$1204,$Q178))</f>
        <v/>
      </c>
      <c r="L178" s="25" t="str">
        <f>IF($Q178="","",INDEX(TRANSACTIONS_MASTER!$P$5:$P$1204,$Q178))</f>
        <v/>
      </c>
      <c r="M178" s="25" t="str">
        <f>IF($Q178="","",INDEX(TRANSACTIONS_MASTER!$AA$5:$AA$1204,$Q178))</f>
        <v/>
      </c>
      <c r="N178" s="25" t="str">
        <f>IF($Q178="","",INDEX(TRANSACTIONS_MASTER!$R$5:$R$1204,$Q178))</f>
        <v/>
      </c>
      <c r="O178" s="28" t="str">
        <f>IF($Q178="","",INDEX(TRANSACTIONS_MASTER!$AB$5:$AB$1204,$Q178))</f>
        <v/>
      </c>
      <c r="P178" s="55" t="str">
        <f>IF($Q178="","",INDEX(TRANSACTIONS_MASTER!$Z$5:$Z$1204,$Q178)&amp;"")</f>
        <v/>
      </c>
      <c r="Q178" s="67" t="str">
        <f>IFERROR(MATCH($C$2&amp;"|"&amp;171,TRANSACTIONS_MASTER!$AE$5:$AE$1204,0),"")</f>
        <v/>
      </c>
      <c r="S178" s="67" t="str">
        <f>IFERROR(MATCH(1,INDEX((TRANSACTIONS_MASTER!$C$5:$C$1204=$C$2)*(TRANSACTIONS_MASTER!$AN$5:$AN$1204=20),0),0),"")</f>
        <v/>
      </c>
      <c r="T178" s="55" t="n"/>
      <c r="U178" s="55" t="str">
        <f>IF($S178="","",INDEX(TRANSACTIONS_MASTER!$G$5:$G$1204,$S178)&amp;"")</f>
        <v/>
      </c>
      <c r="V178" s="25" t="str">
        <f>IF($S178="","",SUMIFS(TRANSACTIONS_MASTER!$L$5:$L$1204,TRANSACTIONS_MASTER!$G$5:$G$1204,$U178,TRANSACTIONS_MASTER!$C$5:$C$1204,$C$2,TRANSACTIONS_MASTER!$U$5:$U$1204,"&lt;&gt;Cancelled"))</f>
        <v/>
      </c>
      <c r="W178" s="26" t="str">
        <f>IF($S178="","",SUMIFS(TRANSACTIONS_MASTER!$Q$5:$Q$1204,TRANSACTIONS_MASTER!$G$5:$G$1204,$U178,TRANSACTIONS_MASTER!$C$5:$C$1204,$C$2))</f>
        <v/>
      </c>
    </row>
    <row r="179">
      <c r="A179" s="81" t="str">
        <f>IF($Q179="","",172)</f>
        <v/>
      </c>
      <c r="B179" s="57" t="str">
        <f>IF($Q179="","",INDEX(TRANSACTIONS_MASTER!$B$5:$B$1204,$Q179))</f>
        <v/>
      </c>
      <c r="C179" s="55" t="str">
        <f>IF($Q179="","",INDEX(TRANSACTIONS_MASTER!$F$5:$F$1204,$Q179))</f>
        <v/>
      </c>
      <c r="D179" s="55" t="str">
        <f>IF($Q179="","",INDEX(TRANSACTIONS_MASTER!$E$5:$E$1204,$Q179))</f>
        <v/>
      </c>
      <c r="E179" s="55" t="str">
        <f>IF($Q179="","",INDEX(TRANSACTIONS_MASTER!$G$5:$G$1204,$Q179)&amp;"")</f>
        <v/>
      </c>
      <c r="F179" s="29" t="str">
        <f>IF($Q179="","",INDEX(TRANSACTIONS_MASTER!$I$5:$I$1204,$Q179))</f>
        <v/>
      </c>
      <c r="G179" s="55" t="str">
        <f>IF($Q179="","",INDEX(TRANSACTIONS_MASTER!$K$5:$K$1204,$Q179))</f>
        <v/>
      </c>
      <c r="H179" s="25" t="str">
        <f>IF($Q179="","",INDEX(TRANSACTIONS_MASTER!$L$5:$L$1204,$Q179))</f>
        <v/>
      </c>
      <c r="I179" s="56" t="str">
        <f>IF($Q179="","",INDEX(TRANSACTIONS_MASTER!$N$5:$N$1204,$Q179))</f>
        <v/>
      </c>
      <c r="J179" s="25" t="str">
        <f>IF($Q179="","",INDEX(TRANSACTIONS_MASTER!$O$5:$O$1204,$Q179))</f>
        <v/>
      </c>
      <c r="K179" s="26" t="str">
        <f>IF($Q179="","",INDEX(TRANSACTIONS_MASTER!$Q$5:$Q$1204,$Q179))</f>
        <v/>
      </c>
      <c r="L179" s="25" t="str">
        <f>IF($Q179="","",INDEX(TRANSACTIONS_MASTER!$P$5:$P$1204,$Q179))</f>
        <v/>
      </c>
      <c r="M179" s="25" t="str">
        <f>IF($Q179="","",INDEX(TRANSACTIONS_MASTER!$AA$5:$AA$1204,$Q179))</f>
        <v/>
      </c>
      <c r="N179" s="25" t="str">
        <f>IF($Q179="","",INDEX(TRANSACTIONS_MASTER!$R$5:$R$1204,$Q179))</f>
        <v/>
      </c>
      <c r="O179" s="28" t="str">
        <f>IF($Q179="","",INDEX(TRANSACTIONS_MASTER!$AB$5:$AB$1204,$Q179))</f>
        <v/>
      </c>
      <c r="P179" s="55" t="str">
        <f>IF($Q179="","",INDEX(TRANSACTIONS_MASTER!$Z$5:$Z$1204,$Q179)&amp;"")</f>
        <v/>
      </c>
      <c r="Q179" s="67" t="str">
        <f>IFERROR(MATCH($C$2&amp;"|"&amp;172,TRANSACTIONS_MASTER!$AE$5:$AE$1204,0),"")</f>
        <v/>
      </c>
      <c r="T179" s="45" t="n"/>
      <c r="U179" s="82" t="inlineStr">
        <is>
          <t>Khác (ngoài danh sách)</t>
        </is>
      </c>
      <c r="V179" s="48">
        <f>MAX(0,SUMIFS(TRANSACTIONS_MASTER!$L$5:$L$1204,TRANSACTIONS_MASTER!$C$5:$C$1204,$C$2,TRANSACTIONS_MASTER!$U$5:$U$1204,"&lt;&gt;Cancelled")-SUM(V159:V178))</f>
        <v>0</v>
      </c>
      <c r="W179" s="48">
        <f>MAX(0,SUMIFS(TRANSACTIONS_MASTER!$Q$5:$Q$1204,TRANSACTIONS_MASTER!$C$5:$C$1204,$C$2)-SUM(W159:W178))</f>
        <v>0</v>
      </c>
    </row>
    <row r="180">
      <c r="A180" s="81" t="str">
        <f>IF($Q180="","",173)</f>
        <v/>
      </c>
      <c r="B180" s="57" t="str">
        <f>IF($Q180="","",INDEX(TRANSACTIONS_MASTER!$B$5:$B$1204,$Q180))</f>
        <v/>
      </c>
      <c r="C180" s="55" t="str">
        <f>IF($Q180="","",INDEX(TRANSACTIONS_MASTER!$F$5:$F$1204,$Q180))</f>
        <v/>
      </c>
      <c r="D180" s="55" t="str">
        <f>IF($Q180="","",INDEX(TRANSACTIONS_MASTER!$E$5:$E$1204,$Q180))</f>
        <v/>
      </c>
      <c r="E180" s="55" t="str">
        <f>IF($Q180="","",INDEX(TRANSACTIONS_MASTER!$G$5:$G$1204,$Q180)&amp;"")</f>
        <v/>
      </c>
      <c r="F180" s="29" t="str">
        <f>IF($Q180="","",INDEX(TRANSACTIONS_MASTER!$I$5:$I$1204,$Q180))</f>
        <v/>
      </c>
      <c r="G180" s="55" t="str">
        <f>IF($Q180="","",INDEX(TRANSACTIONS_MASTER!$K$5:$K$1204,$Q180))</f>
        <v/>
      </c>
      <c r="H180" s="25" t="str">
        <f>IF($Q180="","",INDEX(TRANSACTIONS_MASTER!$L$5:$L$1204,$Q180))</f>
        <v/>
      </c>
      <c r="I180" s="56" t="str">
        <f>IF($Q180="","",INDEX(TRANSACTIONS_MASTER!$N$5:$N$1204,$Q180))</f>
        <v/>
      </c>
      <c r="J180" s="25" t="str">
        <f>IF($Q180="","",INDEX(TRANSACTIONS_MASTER!$O$5:$O$1204,$Q180))</f>
        <v/>
      </c>
      <c r="K180" s="26" t="str">
        <f>IF($Q180="","",INDEX(TRANSACTIONS_MASTER!$Q$5:$Q$1204,$Q180))</f>
        <v/>
      </c>
      <c r="L180" s="25" t="str">
        <f>IF($Q180="","",INDEX(TRANSACTIONS_MASTER!$P$5:$P$1204,$Q180))</f>
        <v/>
      </c>
      <c r="M180" s="25" t="str">
        <f>IF($Q180="","",INDEX(TRANSACTIONS_MASTER!$AA$5:$AA$1204,$Q180))</f>
        <v/>
      </c>
      <c r="N180" s="25" t="str">
        <f>IF($Q180="","",INDEX(TRANSACTIONS_MASTER!$R$5:$R$1204,$Q180))</f>
        <v/>
      </c>
      <c r="O180" s="28" t="str">
        <f>IF($Q180="","",INDEX(TRANSACTIONS_MASTER!$AB$5:$AB$1204,$Q180))</f>
        <v/>
      </c>
      <c r="P180" s="55" t="str">
        <f>IF($Q180="","",INDEX(TRANSACTIONS_MASTER!$Z$5:$Z$1204,$Q180)&amp;"")</f>
        <v/>
      </c>
      <c r="Q180" s="67" t="str">
        <f>IFERROR(MATCH($C$2&amp;"|"&amp;173,TRANSACTIONS_MASTER!$AE$5:$AE$1204,0),"")</f>
        <v/>
      </c>
      <c r="T180" s="68" t="n"/>
      <c r="U180" s="69" t="inlineStr">
        <is>
          <t>TỔNG</t>
        </is>
      </c>
      <c r="V180" s="31">
        <f>SUM(V159:V179)</f>
        <v>0</v>
      </c>
      <c r="W180" s="31">
        <f>SUM(W159:W179)</f>
        <v>0</v>
      </c>
    </row>
    <row r="181">
      <c r="A181" s="81" t="str">
        <f>IF($Q181="","",174)</f>
        <v/>
      </c>
      <c r="B181" s="57" t="str">
        <f>IF($Q181="","",INDEX(TRANSACTIONS_MASTER!$B$5:$B$1204,$Q181))</f>
        <v/>
      </c>
      <c r="C181" s="55" t="str">
        <f>IF($Q181="","",INDEX(TRANSACTIONS_MASTER!$F$5:$F$1204,$Q181))</f>
        <v/>
      </c>
      <c r="D181" s="55" t="str">
        <f>IF($Q181="","",INDEX(TRANSACTIONS_MASTER!$E$5:$E$1204,$Q181))</f>
        <v/>
      </c>
      <c r="E181" s="55" t="str">
        <f>IF($Q181="","",INDEX(TRANSACTIONS_MASTER!$G$5:$G$1204,$Q181)&amp;"")</f>
        <v/>
      </c>
      <c r="F181" s="29" t="str">
        <f>IF($Q181="","",INDEX(TRANSACTIONS_MASTER!$I$5:$I$1204,$Q181))</f>
        <v/>
      </c>
      <c r="G181" s="55" t="str">
        <f>IF($Q181="","",INDEX(TRANSACTIONS_MASTER!$K$5:$K$1204,$Q181))</f>
        <v/>
      </c>
      <c r="H181" s="25" t="str">
        <f>IF($Q181="","",INDEX(TRANSACTIONS_MASTER!$L$5:$L$1204,$Q181))</f>
        <v/>
      </c>
      <c r="I181" s="56" t="str">
        <f>IF($Q181="","",INDEX(TRANSACTIONS_MASTER!$N$5:$N$1204,$Q181))</f>
        <v/>
      </c>
      <c r="J181" s="25" t="str">
        <f>IF($Q181="","",INDEX(TRANSACTIONS_MASTER!$O$5:$O$1204,$Q181))</f>
        <v/>
      </c>
      <c r="K181" s="26" t="str">
        <f>IF($Q181="","",INDEX(TRANSACTIONS_MASTER!$Q$5:$Q$1204,$Q181))</f>
        <v/>
      </c>
      <c r="L181" s="25" t="str">
        <f>IF($Q181="","",INDEX(TRANSACTIONS_MASTER!$P$5:$P$1204,$Q181))</f>
        <v/>
      </c>
      <c r="M181" s="25" t="str">
        <f>IF($Q181="","",INDEX(TRANSACTIONS_MASTER!$AA$5:$AA$1204,$Q181))</f>
        <v/>
      </c>
      <c r="N181" s="25" t="str">
        <f>IF($Q181="","",INDEX(TRANSACTIONS_MASTER!$R$5:$R$1204,$Q181))</f>
        <v/>
      </c>
      <c r="O181" s="28" t="str">
        <f>IF($Q181="","",INDEX(TRANSACTIONS_MASTER!$AB$5:$AB$1204,$Q181))</f>
        <v/>
      </c>
      <c r="P181" s="55" t="str">
        <f>IF($Q181="","",INDEX(TRANSACTIONS_MASTER!$Z$5:$Z$1204,$Q181)&amp;"")</f>
        <v/>
      </c>
      <c r="Q181" s="67" t="str">
        <f>IFERROR(MATCH($C$2&amp;"|"&amp;174,TRANSACTIONS_MASTER!$AE$5:$AE$1204,0),"")</f>
        <v/>
      </c>
    </row>
    <row r="182">
      <c r="A182" s="81" t="str">
        <f>IF($Q182="","",175)</f>
        <v/>
      </c>
      <c r="B182" s="57" t="str">
        <f>IF($Q182="","",INDEX(TRANSACTIONS_MASTER!$B$5:$B$1204,$Q182))</f>
        <v/>
      </c>
      <c r="C182" s="55" t="str">
        <f>IF($Q182="","",INDEX(TRANSACTIONS_MASTER!$F$5:$F$1204,$Q182))</f>
        <v/>
      </c>
      <c r="D182" s="55" t="str">
        <f>IF($Q182="","",INDEX(TRANSACTIONS_MASTER!$E$5:$E$1204,$Q182))</f>
        <v/>
      </c>
      <c r="E182" s="55" t="str">
        <f>IF($Q182="","",INDEX(TRANSACTIONS_MASTER!$G$5:$G$1204,$Q182)&amp;"")</f>
        <v/>
      </c>
      <c r="F182" s="29" t="str">
        <f>IF($Q182="","",INDEX(TRANSACTIONS_MASTER!$I$5:$I$1204,$Q182))</f>
        <v/>
      </c>
      <c r="G182" s="55" t="str">
        <f>IF($Q182="","",INDEX(TRANSACTIONS_MASTER!$K$5:$K$1204,$Q182))</f>
        <v/>
      </c>
      <c r="H182" s="25" t="str">
        <f>IF($Q182="","",INDEX(TRANSACTIONS_MASTER!$L$5:$L$1204,$Q182))</f>
        <v/>
      </c>
      <c r="I182" s="56" t="str">
        <f>IF($Q182="","",INDEX(TRANSACTIONS_MASTER!$N$5:$N$1204,$Q182))</f>
        <v/>
      </c>
      <c r="J182" s="25" t="str">
        <f>IF($Q182="","",INDEX(TRANSACTIONS_MASTER!$O$5:$O$1204,$Q182))</f>
        <v/>
      </c>
      <c r="K182" s="26" t="str">
        <f>IF($Q182="","",INDEX(TRANSACTIONS_MASTER!$Q$5:$Q$1204,$Q182))</f>
        <v/>
      </c>
      <c r="L182" s="25" t="str">
        <f>IF($Q182="","",INDEX(TRANSACTIONS_MASTER!$P$5:$P$1204,$Q182))</f>
        <v/>
      </c>
      <c r="M182" s="25" t="str">
        <f>IF($Q182="","",INDEX(TRANSACTIONS_MASTER!$AA$5:$AA$1204,$Q182))</f>
        <v/>
      </c>
      <c r="N182" s="25" t="str">
        <f>IF($Q182="","",INDEX(TRANSACTIONS_MASTER!$R$5:$R$1204,$Q182))</f>
        <v/>
      </c>
      <c r="O182" s="28" t="str">
        <f>IF($Q182="","",INDEX(TRANSACTIONS_MASTER!$AB$5:$AB$1204,$Q182))</f>
        <v/>
      </c>
      <c r="P182" s="55" t="str">
        <f>IF($Q182="","",INDEX(TRANSACTIONS_MASTER!$Z$5:$Z$1204,$Q182)&amp;"")</f>
        <v/>
      </c>
      <c r="Q182" s="67" t="str">
        <f>IFERROR(MATCH($C$2&amp;"|"&amp;175,TRANSACTIONS_MASTER!$AE$5:$AE$1204,0),"")</f>
        <v/>
      </c>
    </row>
    <row r="183">
      <c r="A183" s="81" t="str">
        <f>IF($Q183="","",176)</f>
        <v/>
      </c>
      <c r="B183" s="57" t="str">
        <f>IF($Q183="","",INDEX(TRANSACTIONS_MASTER!$B$5:$B$1204,$Q183))</f>
        <v/>
      </c>
      <c r="C183" s="55" t="str">
        <f>IF($Q183="","",INDEX(TRANSACTIONS_MASTER!$F$5:$F$1204,$Q183))</f>
        <v/>
      </c>
      <c r="D183" s="55" t="str">
        <f>IF($Q183="","",INDEX(TRANSACTIONS_MASTER!$E$5:$E$1204,$Q183))</f>
        <v/>
      </c>
      <c r="E183" s="55" t="str">
        <f>IF($Q183="","",INDEX(TRANSACTIONS_MASTER!$G$5:$G$1204,$Q183)&amp;"")</f>
        <v/>
      </c>
      <c r="F183" s="29" t="str">
        <f>IF($Q183="","",INDEX(TRANSACTIONS_MASTER!$I$5:$I$1204,$Q183))</f>
        <v/>
      </c>
      <c r="G183" s="55" t="str">
        <f>IF($Q183="","",INDEX(TRANSACTIONS_MASTER!$K$5:$K$1204,$Q183))</f>
        <v/>
      </c>
      <c r="H183" s="25" t="str">
        <f>IF($Q183="","",INDEX(TRANSACTIONS_MASTER!$L$5:$L$1204,$Q183))</f>
        <v/>
      </c>
      <c r="I183" s="56" t="str">
        <f>IF($Q183="","",INDEX(TRANSACTIONS_MASTER!$N$5:$N$1204,$Q183))</f>
        <v/>
      </c>
      <c r="J183" s="25" t="str">
        <f>IF($Q183="","",INDEX(TRANSACTIONS_MASTER!$O$5:$O$1204,$Q183))</f>
        <v/>
      </c>
      <c r="K183" s="26" t="str">
        <f>IF($Q183="","",INDEX(TRANSACTIONS_MASTER!$Q$5:$Q$1204,$Q183))</f>
        <v/>
      </c>
      <c r="L183" s="25" t="str">
        <f>IF($Q183="","",INDEX(TRANSACTIONS_MASTER!$P$5:$P$1204,$Q183))</f>
        <v/>
      </c>
      <c r="M183" s="25" t="str">
        <f>IF($Q183="","",INDEX(TRANSACTIONS_MASTER!$AA$5:$AA$1204,$Q183))</f>
        <v/>
      </c>
      <c r="N183" s="25" t="str">
        <f>IF($Q183="","",INDEX(TRANSACTIONS_MASTER!$R$5:$R$1204,$Q183))</f>
        <v/>
      </c>
      <c r="O183" s="28" t="str">
        <f>IF($Q183="","",INDEX(TRANSACTIONS_MASTER!$AB$5:$AB$1204,$Q183))</f>
        <v/>
      </c>
      <c r="P183" s="55" t="str">
        <f>IF($Q183="","",INDEX(TRANSACTIONS_MASTER!$Z$5:$Z$1204,$Q183)&amp;"")</f>
        <v/>
      </c>
      <c r="Q183" s="67" t="str">
        <f>IFERROR(MATCH($C$2&amp;"|"&amp;176,TRANSACTIONS_MASTER!$AE$5:$AE$1204,0),"")</f>
        <v/>
      </c>
    </row>
    <row r="184">
      <c r="A184" s="81" t="str">
        <f>IF($Q184="","",177)</f>
        <v/>
      </c>
      <c r="B184" s="57" t="str">
        <f>IF($Q184="","",INDEX(TRANSACTIONS_MASTER!$B$5:$B$1204,$Q184))</f>
        <v/>
      </c>
      <c r="C184" s="55" t="str">
        <f>IF($Q184="","",INDEX(TRANSACTIONS_MASTER!$F$5:$F$1204,$Q184))</f>
        <v/>
      </c>
      <c r="D184" s="55" t="str">
        <f>IF($Q184="","",INDEX(TRANSACTIONS_MASTER!$E$5:$E$1204,$Q184))</f>
        <v/>
      </c>
      <c r="E184" s="55" t="str">
        <f>IF($Q184="","",INDEX(TRANSACTIONS_MASTER!$G$5:$G$1204,$Q184)&amp;"")</f>
        <v/>
      </c>
      <c r="F184" s="29" t="str">
        <f>IF($Q184="","",INDEX(TRANSACTIONS_MASTER!$I$5:$I$1204,$Q184))</f>
        <v/>
      </c>
      <c r="G184" s="55" t="str">
        <f>IF($Q184="","",INDEX(TRANSACTIONS_MASTER!$K$5:$K$1204,$Q184))</f>
        <v/>
      </c>
      <c r="H184" s="25" t="str">
        <f>IF($Q184="","",INDEX(TRANSACTIONS_MASTER!$L$5:$L$1204,$Q184))</f>
        <v/>
      </c>
      <c r="I184" s="56" t="str">
        <f>IF($Q184="","",INDEX(TRANSACTIONS_MASTER!$N$5:$N$1204,$Q184))</f>
        <v/>
      </c>
      <c r="J184" s="25" t="str">
        <f>IF($Q184="","",INDEX(TRANSACTIONS_MASTER!$O$5:$O$1204,$Q184))</f>
        <v/>
      </c>
      <c r="K184" s="26" t="str">
        <f>IF($Q184="","",INDEX(TRANSACTIONS_MASTER!$Q$5:$Q$1204,$Q184))</f>
        <v/>
      </c>
      <c r="L184" s="25" t="str">
        <f>IF($Q184="","",INDEX(TRANSACTIONS_MASTER!$P$5:$P$1204,$Q184))</f>
        <v/>
      </c>
      <c r="M184" s="25" t="str">
        <f>IF($Q184="","",INDEX(TRANSACTIONS_MASTER!$AA$5:$AA$1204,$Q184))</f>
        <v/>
      </c>
      <c r="N184" s="25" t="str">
        <f>IF($Q184="","",INDEX(TRANSACTIONS_MASTER!$R$5:$R$1204,$Q184))</f>
        <v/>
      </c>
      <c r="O184" s="28" t="str">
        <f>IF($Q184="","",INDEX(TRANSACTIONS_MASTER!$AB$5:$AB$1204,$Q184))</f>
        <v/>
      </c>
      <c r="P184" s="55" t="str">
        <f>IF($Q184="","",INDEX(TRANSACTIONS_MASTER!$Z$5:$Z$1204,$Q184)&amp;"")</f>
        <v/>
      </c>
      <c r="Q184" s="67" t="str">
        <f>IFERROR(MATCH($C$2&amp;"|"&amp;177,TRANSACTIONS_MASTER!$AE$5:$AE$1204,0),"")</f>
        <v/>
      </c>
    </row>
    <row r="185">
      <c r="A185" s="81" t="str">
        <f>IF($Q185="","",178)</f>
        <v/>
      </c>
      <c r="B185" s="57" t="str">
        <f>IF($Q185="","",INDEX(TRANSACTIONS_MASTER!$B$5:$B$1204,$Q185))</f>
        <v/>
      </c>
      <c r="C185" s="55" t="str">
        <f>IF($Q185="","",INDEX(TRANSACTIONS_MASTER!$F$5:$F$1204,$Q185))</f>
        <v/>
      </c>
      <c r="D185" s="55" t="str">
        <f>IF($Q185="","",INDEX(TRANSACTIONS_MASTER!$E$5:$E$1204,$Q185))</f>
        <v/>
      </c>
      <c r="E185" s="55" t="str">
        <f>IF($Q185="","",INDEX(TRANSACTIONS_MASTER!$G$5:$G$1204,$Q185)&amp;"")</f>
        <v/>
      </c>
      <c r="F185" s="29" t="str">
        <f>IF($Q185="","",INDEX(TRANSACTIONS_MASTER!$I$5:$I$1204,$Q185))</f>
        <v/>
      </c>
      <c r="G185" s="55" t="str">
        <f>IF($Q185="","",INDEX(TRANSACTIONS_MASTER!$K$5:$K$1204,$Q185))</f>
        <v/>
      </c>
      <c r="H185" s="25" t="str">
        <f>IF($Q185="","",INDEX(TRANSACTIONS_MASTER!$L$5:$L$1204,$Q185))</f>
        <v/>
      </c>
      <c r="I185" s="56" t="str">
        <f>IF($Q185="","",INDEX(TRANSACTIONS_MASTER!$N$5:$N$1204,$Q185))</f>
        <v/>
      </c>
      <c r="J185" s="25" t="str">
        <f>IF($Q185="","",INDEX(TRANSACTIONS_MASTER!$O$5:$O$1204,$Q185))</f>
        <v/>
      </c>
      <c r="K185" s="26" t="str">
        <f>IF($Q185="","",INDEX(TRANSACTIONS_MASTER!$Q$5:$Q$1204,$Q185))</f>
        <v/>
      </c>
      <c r="L185" s="25" t="str">
        <f>IF($Q185="","",INDEX(TRANSACTIONS_MASTER!$P$5:$P$1204,$Q185))</f>
        <v/>
      </c>
      <c r="M185" s="25" t="str">
        <f>IF($Q185="","",INDEX(TRANSACTIONS_MASTER!$AA$5:$AA$1204,$Q185))</f>
        <v/>
      </c>
      <c r="N185" s="25" t="str">
        <f>IF($Q185="","",INDEX(TRANSACTIONS_MASTER!$R$5:$R$1204,$Q185))</f>
        <v/>
      </c>
      <c r="O185" s="28" t="str">
        <f>IF($Q185="","",INDEX(TRANSACTIONS_MASTER!$AB$5:$AB$1204,$Q185))</f>
        <v/>
      </c>
      <c r="P185" s="55" t="str">
        <f>IF($Q185="","",INDEX(TRANSACTIONS_MASTER!$Z$5:$Z$1204,$Q185)&amp;"")</f>
        <v/>
      </c>
      <c r="Q185" s="67" t="str">
        <f>IFERROR(MATCH($C$2&amp;"|"&amp;178,TRANSACTIONS_MASTER!$AE$5:$AE$1204,0),"")</f>
        <v/>
      </c>
    </row>
    <row r="186">
      <c r="A186" s="81" t="str">
        <f>IF($Q186="","",179)</f>
        <v/>
      </c>
      <c r="B186" s="57" t="str">
        <f>IF($Q186="","",INDEX(TRANSACTIONS_MASTER!$B$5:$B$1204,$Q186))</f>
        <v/>
      </c>
      <c r="C186" s="55" t="str">
        <f>IF($Q186="","",INDEX(TRANSACTIONS_MASTER!$F$5:$F$1204,$Q186))</f>
        <v/>
      </c>
      <c r="D186" s="55" t="str">
        <f>IF($Q186="","",INDEX(TRANSACTIONS_MASTER!$E$5:$E$1204,$Q186))</f>
        <v/>
      </c>
      <c r="E186" s="55" t="str">
        <f>IF($Q186="","",INDEX(TRANSACTIONS_MASTER!$G$5:$G$1204,$Q186)&amp;"")</f>
        <v/>
      </c>
      <c r="F186" s="29" t="str">
        <f>IF($Q186="","",INDEX(TRANSACTIONS_MASTER!$I$5:$I$1204,$Q186))</f>
        <v/>
      </c>
      <c r="G186" s="55" t="str">
        <f>IF($Q186="","",INDEX(TRANSACTIONS_MASTER!$K$5:$K$1204,$Q186))</f>
        <v/>
      </c>
      <c r="H186" s="25" t="str">
        <f>IF($Q186="","",INDEX(TRANSACTIONS_MASTER!$L$5:$L$1204,$Q186))</f>
        <v/>
      </c>
      <c r="I186" s="56" t="str">
        <f>IF($Q186="","",INDEX(TRANSACTIONS_MASTER!$N$5:$N$1204,$Q186))</f>
        <v/>
      </c>
      <c r="J186" s="25" t="str">
        <f>IF($Q186="","",INDEX(TRANSACTIONS_MASTER!$O$5:$O$1204,$Q186))</f>
        <v/>
      </c>
      <c r="K186" s="26" t="str">
        <f>IF($Q186="","",INDEX(TRANSACTIONS_MASTER!$Q$5:$Q$1204,$Q186))</f>
        <v/>
      </c>
      <c r="L186" s="25" t="str">
        <f>IF($Q186="","",INDEX(TRANSACTIONS_MASTER!$P$5:$P$1204,$Q186))</f>
        <v/>
      </c>
      <c r="M186" s="25" t="str">
        <f>IF($Q186="","",INDEX(TRANSACTIONS_MASTER!$AA$5:$AA$1204,$Q186))</f>
        <v/>
      </c>
      <c r="N186" s="25" t="str">
        <f>IF($Q186="","",INDEX(TRANSACTIONS_MASTER!$R$5:$R$1204,$Q186))</f>
        <v/>
      </c>
      <c r="O186" s="28" t="str">
        <f>IF($Q186="","",INDEX(TRANSACTIONS_MASTER!$AB$5:$AB$1204,$Q186))</f>
        <v/>
      </c>
      <c r="P186" s="55" t="str">
        <f>IF($Q186="","",INDEX(TRANSACTIONS_MASTER!$Z$5:$Z$1204,$Q186)&amp;"")</f>
        <v/>
      </c>
      <c r="Q186" s="67" t="str">
        <f>IFERROR(MATCH($C$2&amp;"|"&amp;179,TRANSACTIONS_MASTER!$AE$5:$AE$1204,0),"")</f>
        <v/>
      </c>
    </row>
    <row r="187">
      <c r="A187" s="81" t="str">
        <f>IF($Q187="","",180)</f>
        <v/>
      </c>
      <c r="B187" s="57" t="str">
        <f>IF($Q187="","",INDEX(TRANSACTIONS_MASTER!$B$5:$B$1204,$Q187))</f>
        <v/>
      </c>
      <c r="C187" s="55" t="str">
        <f>IF($Q187="","",INDEX(TRANSACTIONS_MASTER!$F$5:$F$1204,$Q187))</f>
        <v/>
      </c>
      <c r="D187" s="55" t="str">
        <f>IF($Q187="","",INDEX(TRANSACTIONS_MASTER!$E$5:$E$1204,$Q187))</f>
        <v/>
      </c>
      <c r="E187" s="55" t="str">
        <f>IF($Q187="","",INDEX(TRANSACTIONS_MASTER!$G$5:$G$1204,$Q187)&amp;"")</f>
        <v/>
      </c>
      <c r="F187" s="29" t="str">
        <f>IF($Q187="","",INDEX(TRANSACTIONS_MASTER!$I$5:$I$1204,$Q187))</f>
        <v/>
      </c>
      <c r="G187" s="55" t="str">
        <f>IF($Q187="","",INDEX(TRANSACTIONS_MASTER!$K$5:$K$1204,$Q187))</f>
        <v/>
      </c>
      <c r="H187" s="25" t="str">
        <f>IF($Q187="","",INDEX(TRANSACTIONS_MASTER!$L$5:$L$1204,$Q187))</f>
        <v/>
      </c>
      <c r="I187" s="56" t="str">
        <f>IF($Q187="","",INDEX(TRANSACTIONS_MASTER!$N$5:$N$1204,$Q187))</f>
        <v/>
      </c>
      <c r="J187" s="25" t="str">
        <f>IF($Q187="","",INDEX(TRANSACTIONS_MASTER!$O$5:$O$1204,$Q187))</f>
        <v/>
      </c>
      <c r="K187" s="26" t="str">
        <f>IF($Q187="","",INDEX(TRANSACTIONS_MASTER!$Q$5:$Q$1204,$Q187))</f>
        <v/>
      </c>
      <c r="L187" s="25" t="str">
        <f>IF($Q187="","",INDEX(TRANSACTIONS_MASTER!$P$5:$P$1204,$Q187))</f>
        <v/>
      </c>
      <c r="M187" s="25" t="str">
        <f>IF($Q187="","",INDEX(TRANSACTIONS_MASTER!$AA$5:$AA$1204,$Q187))</f>
        <v/>
      </c>
      <c r="N187" s="25" t="str">
        <f>IF($Q187="","",INDEX(TRANSACTIONS_MASTER!$R$5:$R$1204,$Q187))</f>
        <v/>
      </c>
      <c r="O187" s="28" t="str">
        <f>IF($Q187="","",INDEX(TRANSACTIONS_MASTER!$AB$5:$AB$1204,$Q187))</f>
        <v/>
      </c>
      <c r="P187" s="55" t="str">
        <f>IF($Q187="","",INDEX(TRANSACTIONS_MASTER!$Z$5:$Z$1204,$Q187)&amp;"")</f>
        <v/>
      </c>
      <c r="Q187" s="67" t="str">
        <f>IFERROR(MATCH($C$2&amp;"|"&amp;180,TRANSACTIONS_MASTER!$AE$5:$AE$1204,0),"")</f>
        <v/>
      </c>
    </row>
    <row r="188">
      <c r="A188" s="81" t="str">
        <f>IF($Q188="","",181)</f>
        <v/>
      </c>
      <c r="B188" s="57" t="str">
        <f>IF($Q188="","",INDEX(TRANSACTIONS_MASTER!$B$5:$B$1204,$Q188))</f>
        <v/>
      </c>
      <c r="C188" s="55" t="str">
        <f>IF($Q188="","",INDEX(TRANSACTIONS_MASTER!$F$5:$F$1204,$Q188))</f>
        <v/>
      </c>
      <c r="D188" s="55" t="str">
        <f>IF($Q188="","",INDEX(TRANSACTIONS_MASTER!$E$5:$E$1204,$Q188))</f>
        <v/>
      </c>
      <c r="E188" s="55" t="str">
        <f>IF($Q188="","",INDEX(TRANSACTIONS_MASTER!$G$5:$G$1204,$Q188)&amp;"")</f>
        <v/>
      </c>
      <c r="F188" s="29" t="str">
        <f>IF($Q188="","",INDEX(TRANSACTIONS_MASTER!$I$5:$I$1204,$Q188))</f>
        <v/>
      </c>
      <c r="G188" s="55" t="str">
        <f>IF($Q188="","",INDEX(TRANSACTIONS_MASTER!$K$5:$K$1204,$Q188))</f>
        <v/>
      </c>
      <c r="H188" s="25" t="str">
        <f>IF($Q188="","",INDEX(TRANSACTIONS_MASTER!$L$5:$L$1204,$Q188))</f>
        <v/>
      </c>
      <c r="I188" s="56" t="str">
        <f>IF($Q188="","",INDEX(TRANSACTIONS_MASTER!$N$5:$N$1204,$Q188))</f>
        <v/>
      </c>
      <c r="J188" s="25" t="str">
        <f>IF($Q188="","",INDEX(TRANSACTIONS_MASTER!$O$5:$O$1204,$Q188))</f>
        <v/>
      </c>
      <c r="K188" s="26" t="str">
        <f>IF($Q188="","",INDEX(TRANSACTIONS_MASTER!$Q$5:$Q$1204,$Q188))</f>
        <v/>
      </c>
      <c r="L188" s="25" t="str">
        <f>IF($Q188="","",INDEX(TRANSACTIONS_MASTER!$P$5:$P$1204,$Q188))</f>
        <v/>
      </c>
      <c r="M188" s="25" t="str">
        <f>IF($Q188="","",INDEX(TRANSACTIONS_MASTER!$AA$5:$AA$1204,$Q188))</f>
        <v/>
      </c>
      <c r="N188" s="25" t="str">
        <f>IF($Q188="","",INDEX(TRANSACTIONS_MASTER!$R$5:$R$1204,$Q188))</f>
        <v/>
      </c>
      <c r="O188" s="28" t="str">
        <f>IF($Q188="","",INDEX(TRANSACTIONS_MASTER!$AB$5:$AB$1204,$Q188))</f>
        <v/>
      </c>
      <c r="P188" s="55" t="str">
        <f>IF($Q188="","",INDEX(TRANSACTIONS_MASTER!$Z$5:$Z$1204,$Q188)&amp;"")</f>
        <v/>
      </c>
      <c r="Q188" s="67" t="str">
        <f>IFERROR(MATCH($C$2&amp;"|"&amp;181,TRANSACTIONS_MASTER!$AE$5:$AE$1204,0),"")</f>
        <v/>
      </c>
    </row>
    <row r="189">
      <c r="A189" s="81" t="str">
        <f>IF($Q189="","",182)</f>
        <v/>
      </c>
      <c r="B189" s="57" t="str">
        <f>IF($Q189="","",INDEX(TRANSACTIONS_MASTER!$B$5:$B$1204,$Q189))</f>
        <v/>
      </c>
      <c r="C189" s="55" t="str">
        <f>IF($Q189="","",INDEX(TRANSACTIONS_MASTER!$F$5:$F$1204,$Q189))</f>
        <v/>
      </c>
      <c r="D189" s="55" t="str">
        <f>IF($Q189="","",INDEX(TRANSACTIONS_MASTER!$E$5:$E$1204,$Q189))</f>
        <v/>
      </c>
      <c r="E189" s="55" t="str">
        <f>IF($Q189="","",INDEX(TRANSACTIONS_MASTER!$G$5:$G$1204,$Q189)&amp;"")</f>
        <v/>
      </c>
      <c r="F189" s="29" t="str">
        <f>IF($Q189="","",INDEX(TRANSACTIONS_MASTER!$I$5:$I$1204,$Q189))</f>
        <v/>
      </c>
      <c r="G189" s="55" t="str">
        <f>IF($Q189="","",INDEX(TRANSACTIONS_MASTER!$K$5:$K$1204,$Q189))</f>
        <v/>
      </c>
      <c r="H189" s="25" t="str">
        <f>IF($Q189="","",INDEX(TRANSACTIONS_MASTER!$L$5:$L$1204,$Q189))</f>
        <v/>
      </c>
      <c r="I189" s="56" t="str">
        <f>IF($Q189="","",INDEX(TRANSACTIONS_MASTER!$N$5:$N$1204,$Q189))</f>
        <v/>
      </c>
      <c r="J189" s="25" t="str">
        <f>IF($Q189="","",INDEX(TRANSACTIONS_MASTER!$O$5:$O$1204,$Q189))</f>
        <v/>
      </c>
      <c r="K189" s="26" t="str">
        <f>IF($Q189="","",INDEX(TRANSACTIONS_MASTER!$Q$5:$Q$1204,$Q189))</f>
        <v/>
      </c>
      <c r="L189" s="25" t="str">
        <f>IF($Q189="","",INDEX(TRANSACTIONS_MASTER!$P$5:$P$1204,$Q189))</f>
        <v/>
      </c>
      <c r="M189" s="25" t="str">
        <f>IF($Q189="","",INDEX(TRANSACTIONS_MASTER!$AA$5:$AA$1204,$Q189))</f>
        <v/>
      </c>
      <c r="N189" s="25" t="str">
        <f>IF($Q189="","",INDEX(TRANSACTIONS_MASTER!$R$5:$R$1204,$Q189))</f>
        <v/>
      </c>
      <c r="O189" s="28" t="str">
        <f>IF($Q189="","",INDEX(TRANSACTIONS_MASTER!$AB$5:$AB$1204,$Q189))</f>
        <v/>
      </c>
      <c r="P189" s="55" t="str">
        <f>IF($Q189="","",INDEX(TRANSACTIONS_MASTER!$Z$5:$Z$1204,$Q189)&amp;"")</f>
        <v/>
      </c>
      <c r="Q189" s="67" t="str">
        <f>IFERROR(MATCH($C$2&amp;"|"&amp;182,TRANSACTIONS_MASTER!$AE$5:$AE$1204,0),"")</f>
        <v/>
      </c>
    </row>
    <row r="190">
      <c r="A190" s="81" t="str">
        <f>IF($Q190="","",183)</f>
        <v/>
      </c>
      <c r="B190" s="57" t="str">
        <f>IF($Q190="","",INDEX(TRANSACTIONS_MASTER!$B$5:$B$1204,$Q190))</f>
        <v/>
      </c>
      <c r="C190" s="55" t="str">
        <f>IF($Q190="","",INDEX(TRANSACTIONS_MASTER!$F$5:$F$1204,$Q190))</f>
        <v/>
      </c>
      <c r="D190" s="55" t="str">
        <f>IF($Q190="","",INDEX(TRANSACTIONS_MASTER!$E$5:$E$1204,$Q190))</f>
        <v/>
      </c>
      <c r="E190" s="55" t="str">
        <f>IF($Q190="","",INDEX(TRANSACTIONS_MASTER!$G$5:$G$1204,$Q190)&amp;"")</f>
        <v/>
      </c>
      <c r="F190" s="29" t="str">
        <f>IF($Q190="","",INDEX(TRANSACTIONS_MASTER!$I$5:$I$1204,$Q190))</f>
        <v/>
      </c>
      <c r="G190" s="55" t="str">
        <f>IF($Q190="","",INDEX(TRANSACTIONS_MASTER!$K$5:$K$1204,$Q190))</f>
        <v/>
      </c>
      <c r="H190" s="25" t="str">
        <f>IF($Q190="","",INDEX(TRANSACTIONS_MASTER!$L$5:$L$1204,$Q190))</f>
        <v/>
      </c>
      <c r="I190" s="56" t="str">
        <f>IF($Q190="","",INDEX(TRANSACTIONS_MASTER!$N$5:$N$1204,$Q190))</f>
        <v/>
      </c>
      <c r="J190" s="25" t="str">
        <f>IF($Q190="","",INDEX(TRANSACTIONS_MASTER!$O$5:$O$1204,$Q190))</f>
        <v/>
      </c>
      <c r="K190" s="26" t="str">
        <f>IF($Q190="","",INDEX(TRANSACTIONS_MASTER!$Q$5:$Q$1204,$Q190))</f>
        <v/>
      </c>
      <c r="L190" s="25" t="str">
        <f>IF($Q190="","",INDEX(TRANSACTIONS_MASTER!$P$5:$P$1204,$Q190))</f>
        <v/>
      </c>
      <c r="M190" s="25" t="str">
        <f>IF($Q190="","",INDEX(TRANSACTIONS_MASTER!$AA$5:$AA$1204,$Q190))</f>
        <v/>
      </c>
      <c r="N190" s="25" t="str">
        <f>IF($Q190="","",INDEX(TRANSACTIONS_MASTER!$R$5:$R$1204,$Q190))</f>
        <v/>
      </c>
      <c r="O190" s="28" t="str">
        <f>IF($Q190="","",INDEX(TRANSACTIONS_MASTER!$AB$5:$AB$1204,$Q190))</f>
        <v/>
      </c>
      <c r="P190" s="55" t="str">
        <f>IF($Q190="","",INDEX(TRANSACTIONS_MASTER!$Z$5:$Z$1204,$Q190)&amp;"")</f>
        <v/>
      </c>
      <c r="Q190" s="67" t="str">
        <f>IFERROR(MATCH($C$2&amp;"|"&amp;183,TRANSACTIONS_MASTER!$AE$5:$AE$1204,0),"")</f>
        <v/>
      </c>
    </row>
    <row r="191">
      <c r="A191" s="81" t="str">
        <f>IF($Q191="","",184)</f>
        <v/>
      </c>
      <c r="B191" s="57" t="str">
        <f>IF($Q191="","",INDEX(TRANSACTIONS_MASTER!$B$5:$B$1204,$Q191))</f>
        <v/>
      </c>
      <c r="C191" s="55" t="str">
        <f>IF($Q191="","",INDEX(TRANSACTIONS_MASTER!$F$5:$F$1204,$Q191))</f>
        <v/>
      </c>
      <c r="D191" s="55" t="str">
        <f>IF($Q191="","",INDEX(TRANSACTIONS_MASTER!$E$5:$E$1204,$Q191))</f>
        <v/>
      </c>
      <c r="E191" s="55" t="str">
        <f>IF($Q191="","",INDEX(TRANSACTIONS_MASTER!$G$5:$G$1204,$Q191)&amp;"")</f>
        <v/>
      </c>
      <c r="F191" s="29" t="str">
        <f>IF($Q191="","",INDEX(TRANSACTIONS_MASTER!$I$5:$I$1204,$Q191))</f>
        <v/>
      </c>
      <c r="G191" s="55" t="str">
        <f>IF($Q191="","",INDEX(TRANSACTIONS_MASTER!$K$5:$K$1204,$Q191))</f>
        <v/>
      </c>
      <c r="H191" s="25" t="str">
        <f>IF($Q191="","",INDEX(TRANSACTIONS_MASTER!$L$5:$L$1204,$Q191))</f>
        <v/>
      </c>
      <c r="I191" s="56" t="str">
        <f>IF($Q191="","",INDEX(TRANSACTIONS_MASTER!$N$5:$N$1204,$Q191))</f>
        <v/>
      </c>
      <c r="J191" s="25" t="str">
        <f>IF($Q191="","",INDEX(TRANSACTIONS_MASTER!$O$5:$O$1204,$Q191))</f>
        <v/>
      </c>
      <c r="K191" s="26" t="str">
        <f>IF($Q191="","",INDEX(TRANSACTIONS_MASTER!$Q$5:$Q$1204,$Q191))</f>
        <v/>
      </c>
      <c r="L191" s="25" t="str">
        <f>IF($Q191="","",INDEX(TRANSACTIONS_MASTER!$P$5:$P$1204,$Q191))</f>
        <v/>
      </c>
      <c r="M191" s="25" t="str">
        <f>IF($Q191="","",INDEX(TRANSACTIONS_MASTER!$AA$5:$AA$1204,$Q191))</f>
        <v/>
      </c>
      <c r="N191" s="25" t="str">
        <f>IF($Q191="","",INDEX(TRANSACTIONS_MASTER!$R$5:$R$1204,$Q191))</f>
        <v/>
      </c>
      <c r="O191" s="28" t="str">
        <f>IF($Q191="","",INDEX(TRANSACTIONS_MASTER!$AB$5:$AB$1204,$Q191))</f>
        <v/>
      </c>
      <c r="P191" s="55" t="str">
        <f>IF($Q191="","",INDEX(TRANSACTIONS_MASTER!$Z$5:$Z$1204,$Q191)&amp;"")</f>
        <v/>
      </c>
      <c r="Q191" s="67" t="str">
        <f>IFERROR(MATCH($C$2&amp;"|"&amp;184,TRANSACTIONS_MASTER!$AE$5:$AE$1204,0),"")</f>
        <v/>
      </c>
    </row>
    <row r="192">
      <c r="A192" s="81" t="str">
        <f>IF($Q192="","",185)</f>
        <v/>
      </c>
      <c r="B192" s="57" t="str">
        <f>IF($Q192="","",INDEX(TRANSACTIONS_MASTER!$B$5:$B$1204,$Q192))</f>
        <v/>
      </c>
      <c r="C192" s="55" t="str">
        <f>IF($Q192="","",INDEX(TRANSACTIONS_MASTER!$F$5:$F$1204,$Q192))</f>
        <v/>
      </c>
      <c r="D192" s="55" t="str">
        <f>IF($Q192="","",INDEX(TRANSACTIONS_MASTER!$E$5:$E$1204,$Q192))</f>
        <v/>
      </c>
      <c r="E192" s="55" t="str">
        <f>IF($Q192="","",INDEX(TRANSACTIONS_MASTER!$G$5:$G$1204,$Q192)&amp;"")</f>
        <v/>
      </c>
      <c r="F192" s="29" t="str">
        <f>IF($Q192="","",INDEX(TRANSACTIONS_MASTER!$I$5:$I$1204,$Q192))</f>
        <v/>
      </c>
      <c r="G192" s="55" t="str">
        <f>IF($Q192="","",INDEX(TRANSACTIONS_MASTER!$K$5:$K$1204,$Q192))</f>
        <v/>
      </c>
      <c r="H192" s="25" t="str">
        <f>IF($Q192="","",INDEX(TRANSACTIONS_MASTER!$L$5:$L$1204,$Q192))</f>
        <v/>
      </c>
      <c r="I192" s="56" t="str">
        <f>IF($Q192="","",INDEX(TRANSACTIONS_MASTER!$N$5:$N$1204,$Q192))</f>
        <v/>
      </c>
      <c r="J192" s="25" t="str">
        <f>IF($Q192="","",INDEX(TRANSACTIONS_MASTER!$O$5:$O$1204,$Q192))</f>
        <v/>
      </c>
      <c r="K192" s="26" t="str">
        <f>IF($Q192="","",INDEX(TRANSACTIONS_MASTER!$Q$5:$Q$1204,$Q192))</f>
        <v/>
      </c>
      <c r="L192" s="25" t="str">
        <f>IF($Q192="","",INDEX(TRANSACTIONS_MASTER!$P$5:$P$1204,$Q192))</f>
        <v/>
      </c>
      <c r="M192" s="25" t="str">
        <f>IF($Q192="","",INDEX(TRANSACTIONS_MASTER!$AA$5:$AA$1204,$Q192))</f>
        <v/>
      </c>
      <c r="N192" s="25" t="str">
        <f>IF($Q192="","",INDEX(TRANSACTIONS_MASTER!$R$5:$R$1204,$Q192))</f>
        <v/>
      </c>
      <c r="O192" s="28" t="str">
        <f>IF($Q192="","",INDEX(TRANSACTIONS_MASTER!$AB$5:$AB$1204,$Q192))</f>
        <v/>
      </c>
      <c r="P192" s="55" t="str">
        <f>IF($Q192="","",INDEX(TRANSACTIONS_MASTER!$Z$5:$Z$1204,$Q192)&amp;"")</f>
        <v/>
      </c>
      <c r="Q192" s="67" t="str">
        <f>IFERROR(MATCH($C$2&amp;"|"&amp;185,TRANSACTIONS_MASTER!$AE$5:$AE$1204,0),"")</f>
        <v/>
      </c>
    </row>
    <row r="193">
      <c r="A193" s="81" t="str">
        <f>IF($Q193="","",186)</f>
        <v/>
      </c>
      <c r="B193" s="57" t="str">
        <f>IF($Q193="","",INDEX(TRANSACTIONS_MASTER!$B$5:$B$1204,$Q193))</f>
        <v/>
      </c>
      <c r="C193" s="55" t="str">
        <f>IF($Q193="","",INDEX(TRANSACTIONS_MASTER!$F$5:$F$1204,$Q193))</f>
        <v/>
      </c>
      <c r="D193" s="55" t="str">
        <f>IF($Q193="","",INDEX(TRANSACTIONS_MASTER!$E$5:$E$1204,$Q193))</f>
        <v/>
      </c>
      <c r="E193" s="55" t="str">
        <f>IF($Q193="","",INDEX(TRANSACTIONS_MASTER!$G$5:$G$1204,$Q193)&amp;"")</f>
        <v/>
      </c>
      <c r="F193" s="29" t="str">
        <f>IF($Q193="","",INDEX(TRANSACTIONS_MASTER!$I$5:$I$1204,$Q193))</f>
        <v/>
      </c>
      <c r="G193" s="55" t="str">
        <f>IF($Q193="","",INDEX(TRANSACTIONS_MASTER!$K$5:$K$1204,$Q193))</f>
        <v/>
      </c>
      <c r="H193" s="25" t="str">
        <f>IF($Q193="","",INDEX(TRANSACTIONS_MASTER!$L$5:$L$1204,$Q193))</f>
        <v/>
      </c>
      <c r="I193" s="56" t="str">
        <f>IF($Q193="","",INDEX(TRANSACTIONS_MASTER!$N$5:$N$1204,$Q193))</f>
        <v/>
      </c>
      <c r="J193" s="25" t="str">
        <f>IF($Q193="","",INDEX(TRANSACTIONS_MASTER!$O$5:$O$1204,$Q193))</f>
        <v/>
      </c>
      <c r="K193" s="26" t="str">
        <f>IF($Q193="","",INDEX(TRANSACTIONS_MASTER!$Q$5:$Q$1204,$Q193))</f>
        <v/>
      </c>
      <c r="L193" s="25" t="str">
        <f>IF($Q193="","",INDEX(TRANSACTIONS_MASTER!$P$5:$P$1204,$Q193))</f>
        <v/>
      </c>
      <c r="M193" s="25" t="str">
        <f>IF($Q193="","",INDEX(TRANSACTIONS_MASTER!$AA$5:$AA$1204,$Q193))</f>
        <v/>
      </c>
      <c r="N193" s="25" t="str">
        <f>IF($Q193="","",INDEX(TRANSACTIONS_MASTER!$R$5:$R$1204,$Q193))</f>
        <v/>
      </c>
      <c r="O193" s="28" t="str">
        <f>IF($Q193="","",INDEX(TRANSACTIONS_MASTER!$AB$5:$AB$1204,$Q193))</f>
        <v/>
      </c>
      <c r="P193" s="55" t="str">
        <f>IF($Q193="","",INDEX(TRANSACTIONS_MASTER!$Z$5:$Z$1204,$Q193)&amp;"")</f>
        <v/>
      </c>
      <c r="Q193" s="67" t="str">
        <f>IFERROR(MATCH($C$2&amp;"|"&amp;186,TRANSACTIONS_MASTER!$AE$5:$AE$1204,0),"")</f>
        <v/>
      </c>
    </row>
    <row r="194">
      <c r="A194" s="81" t="str">
        <f>IF($Q194="","",187)</f>
        <v/>
      </c>
      <c r="B194" s="57" t="str">
        <f>IF($Q194="","",INDEX(TRANSACTIONS_MASTER!$B$5:$B$1204,$Q194))</f>
        <v/>
      </c>
      <c r="C194" s="55" t="str">
        <f>IF($Q194="","",INDEX(TRANSACTIONS_MASTER!$F$5:$F$1204,$Q194))</f>
        <v/>
      </c>
      <c r="D194" s="55" t="str">
        <f>IF($Q194="","",INDEX(TRANSACTIONS_MASTER!$E$5:$E$1204,$Q194))</f>
        <v/>
      </c>
      <c r="E194" s="55" t="str">
        <f>IF($Q194="","",INDEX(TRANSACTIONS_MASTER!$G$5:$G$1204,$Q194)&amp;"")</f>
        <v/>
      </c>
      <c r="F194" s="29" t="str">
        <f>IF($Q194="","",INDEX(TRANSACTIONS_MASTER!$I$5:$I$1204,$Q194))</f>
        <v/>
      </c>
      <c r="G194" s="55" t="str">
        <f>IF($Q194="","",INDEX(TRANSACTIONS_MASTER!$K$5:$K$1204,$Q194))</f>
        <v/>
      </c>
      <c r="H194" s="25" t="str">
        <f>IF($Q194="","",INDEX(TRANSACTIONS_MASTER!$L$5:$L$1204,$Q194))</f>
        <v/>
      </c>
      <c r="I194" s="56" t="str">
        <f>IF($Q194="","",INDEX(TRANSACTIONS_MASTER!$N$5:$N$1204,$Q194))</f>
        <v/>
      </c>
      <c r="J194" s="25" t="str">
        <f>IF($Q194="","",INDEX(TRANSACTIONS_MASTER!$O$5:$O$1204,$Q194))</f>
        <v/>
      </c>
      <c r="K194" s="26" t="str">
        <f>IF($Q194="","",INDEX(TRANSACTIONS_MASTER!$Q$5:$Q$1204,$Q194))</f>
        <v/>
      </c>
      <c r="L194" s="25" t="str">
        <f>IF($Q194="","",INDEX(TRANSACTIONS_MASTER!$P$5:$P$1204,$Q194))</f>
        <v/>
      </c>
      <c r="M194" s="25" t="str">
        <f>IF($Q194="","",INDEX(TRANSACTIONS_MASTER!$AA$5:$AA$1204,$Q194))</f>
        <v/>
      </c>
      <c r="N194" s="25" t="str">
        <f>IF($Q194="","",INDEX(TRANSACTIONS_MASTER!$R$5:$R$1204,$Q194))</f>
        <v/>
      </c>
      <c r="O194" s="28" t="str">
        <f>IF($Q194="","",INDEX(TRANSACTIONS_MASTER!$AB$5:$AB$1204,$Q194))</f>
        <v/>
      </c>
      <c r="P194" s="55" t="str">
        <f>IF($Q194="","",INDEX(TRANSACTIONS_MASTER!$Z$5:$Z$1204,$Q194)&amp;"")</f>
        <v/>
      </c>
      <c r="Q194" s="67" t="str">
        <f>IFERROR(MATCH($C$2&amp;"|"&amp;187,TRANSACTIONS_MASTER!$AE$5:$AE$1204,0),"")</f>
        <v/>
      </c>
    </row>
    <row r="195">
      <c r="A195" s="81" t="str">
        <f>IF($Q195="","",188)</f>
        <v/>
      </c>
      <c r="B195" s="57" t="str">
        <f>IF($Q195="","",INDEX(TRANSACTIONS_MASTER!$B$5:$B$1204,$Q195))</f>
        <v/>
      </c>
      <c r="C195" s="55" t="str">
        <f>IF($Q195="","",INDEX(TRANSACTIONS_MASTER!$F$5:$F$1204,$Q195))</f>
        <v/>
      </c>
      <c r="D195" s="55" t="str">
        <f>IF($Q195="","",INDEX(TRANSACTIONS_MASTER!$E$5:$E$1204,$Q195))</f>
        <v/>
      </c>
      <c r="E195" s="55" t="str">
        <f>IF($Q195="","",INDEX(TRANSACTIONS_MASTER!$G$5:$G$1204,$Q195)&amp;"")</f>
        <v/>
      </c>
      <c r="F195" s="29" t="str">
        <f>IF($Q195="","",INDEX(TRANSACTIONS_MASTER!$I$5:$I$1204,$Q195))</f>
        <v/>
      </c>
      <c r="G195" s="55" t="str">
        <f>IF($Q195="","",INDEX(TRANSACTIONS_MASTER!$K$5:$K$1204,$Q195))</f>
        <v/>
      </c>
      <c r="H195" s="25" t="str">
        <f>IF($Q195="","",INDEX(TRANSACTIONS_MASTER!$L$5:$L$1204,$Q195))</f>
        <v/>
      </c>
      <c r="I195" s="56" t="str">
        <f>IF($Q195="","",INDEX(TRANSACTIONS_MASTER!$N$5:$N$1204,$Q195))</f>
        <v/>
      </c>
      <c r="J195" s="25" t="str">
        <f>IF($Q195="","",INDEX(TRANSACTIONS_MASTER!$O$5:$O$1204,$Q195))</f>
        <v/>
      </c>
      <c r="K195" s="26" t="str">
        <f>IF($Q195="","",INDEX(TRANSACTIONS_MASTER!$Q$5:$Q$1204,$Q195))</f>
        <v/>
      </c>
      <c r="L195" s="25" t="str">
        <f>IF($Q195="","",INDEX(TRANSACTIONS_MASTER!$P$5:$P$1204,$Q195))</f>
        <v/>
      </c>
      <c r="M195" s="25" t="str">
        <f>IF($Q195="","",INDEX(TRANSACTIONS_MASTER!$AA$5:$AA$1204,$Q195))</f>
        <v/>
      </c>
      <c r="N195" s="25" t="str">
        <f>IF($Q195="","",INDEX(TRANSACTIONS_MASTER!$R$5:$R$1204,$Q195))</f>
        <v/>
      </c>
      <c r="O195" s="28" t="str">
        <f>IF($Q195="","",INDEX(TRANSACTIONS_MASTER!$AB$5:$AB$1204,$Q195))</f>
        <v/>
      </c>
      <c r="P195" s="55" t="str">
        <f>IF($Q195="","",INDEX(TRANSACTIONS_MASTER!$Z$5:$Z$1204,$Q195)&amp;"")</f>
        <v/>
      </c>
      <c r="Q195" s="67" t="str">
        <f>IFERROR(MATCH($C$2&amp;"|"&amp;188,TRANSACTIONS_MASTER!$AE$5:$AE$1204,0),"")</f>
        <v/>
      </c>
    </row>
    <row r="196">
      <c r="A196" s="81" t="str">
        <f>IF($Q196="","",189)</f>
        <v/>
      </c>
      <c r="B196" s="57" t="str">
        <f>IF($Q196="","",INDEX(TRANSACTIONS_MASTER!$B$5:$B$1204,$Q196))</f>
        <v/>
      </c>
      <c r="C196" s="55" t="str">
        <f>IF($Q196="","",INDEX(TRANSACTIONS_MASTER!$F$5:$F$1204,$Q196))</f>
        <v/>
      </c>
      <c r="D196" s="55" t="str">
        <f>IF($Q196="","",INDEX(TRANSACTIONS_MASTER!$E$5:$E$1204,$Q196))</f>
        <v/>
      </c>
      <c r="E196" s="55" t="str">
        <f>IF($Q196="","",INDEX(TRANSACTIONS_MASTER!$G$5:$G$1204,$Q196)&amp;"")</f>
        <v/>
      </c>
      <c r="F196" s="29" t="str">
        <f>IF($Q196="","",INDEX(TRANSACTIONS_MASTER!$I$5:$I$1204,$Q196))</f>
        <v/>
      </c>
      <c r="G196" s="55" t="str">
        <f>IF($Q196="","",INDEX(TRANSACTIONS_MASTER!$K$5:$K$1204,$Q196))</f>
        <v/>
      </c>
      <c r="H196" s="25" t="str">
        <f>IF($Q196="","",INDEX(TRANSACTIONS_MASTER!$L$5:$L$1204,$Q196))</f>
        <v/>
      </c>
      <c r="I196" s="56" t="str">
        <f>IF($Q196="","",INDEX(TRANSACTIONS_MASTER!$N$5:$N$1204,$Q196))</f>
        <v/>
      </c>
      <c r="J196" s="25" t="str">
        <f>IF($Q196="","",INDEX(TRANSACTIONS_MASTER!$O$5:$O$1204,$Q196))</f>
        <v/>
      </c>
      <c r="K196" s="26" t="str">
        <f>IF($Q196="","",INDEX(TRANSACTIONS_MASTER!$Q$5:$Q$1204,$Q196))</f>
        <v/>
      </c>
      <c r="L196" s="25" t="str">
        <f>IF($Q196="","",INDEX(TRANSACTIONS_MASTER!$P$5:$P$1204,$Q196))</f>
        <v/>
      </c>
      <c r="M196" s="25" t="str">
        <f>IF($Q196="","",INDEX(TRANSACTIONS_MASTER!$AA$5:$AA$1204,$Q196))</f>
        <v/>
      </c>
      <c r="N196" s="25" t="str">
        <f>IF($Q196="","",INDEX(TRANSACTIONS_MASTER!$R$5:$R$1204,$Q196))</f>
        <v/>
      </c>
      <c r="O196" s="28" t="str">
        <f>IF($Q196="","",INDEX(TRANSACTIONS_MASTER!$AB$5:$AB$1204,$Q196))</f>
        <v/>
      </c>
      <c r="P196" s="55" t="str">
        <f>IF($Q196="","",INDEX(TRANSACTIONS_MASTER!$Z$5:$Z$1204,$Q196)&amp;"")</f>
        <v/>
      </c>
      <c r="Q196" s="67" t="str">
        <f>IFERROR(MATCH($C$2&amp;"|"&amp;189,TRANSACTIONS_MASTER!$AE$5:$AE$1204,0),"")</f>
        <v/>
      </c>
    </row>
    <row r="197">
      <c r="A197" s="81" t="str">
        <f>IF($Q197="","",190)</f>
        <v/>
      </c>
      <c r="B197" s="57" t="str">
        <f>IF($Q197="","",INDEX(TRANSACTIONS_MASTER!$B$5:$B$1204,$Q197))</f>
        <v/>
      </c>
      <c r="C197" s="55" t="str">
        <f>IF($Q197="","",INDEX(TRANSACTIONS_MASTER!$F$5:$F$1204,$Q197))</f>
        <v/>
      </c>
      <c r="D197" s="55" t="str">
        <f>IF($Q197="","",INDEX(TRANSACTIONS_MASTER!$E$5:$E$1204,$Q197))</f>
        <v/>
      </c>
      <c r="E197" s="55" t="str">
        <f>IF($Q197="","",INDEX(TRANSACTIONS_MASTER!$G$5:$G$1204,$Q197)&amp;"")</f>
        <v/>
      </c>
      <c r="F197" s="29" t="str">
        <f>IF($Q197="","",INDEX(TRANSACTIONS_MASTER!$I$5:$I$1204,$Q197))</f>
        <v/>
      </c>
      <c r="G197" s="55" t="str">
        <f>IF($Q197="","",INDEX(TRANSACTIONS_MASTER!$K$5:$K$1204,$Q197))</f>
        <v/>
      </c>
      <c r="H197" s="25" t="str">
        <f>IF($Q197="","",INDEX(TRANSACTIONS_MASTER!$L$5:$L$1204,$Q197))</f>
        <v/>
      </c>
      <c r="I197" s="56" t="str">
        <f>IF($Q197="","",INDEX(TRANSACTIONS_MASTER!$N$5:$N$1204,$Q197))</f>
        <v/>
      </c>
      <c r="J197" s="25" t="str">
        <f>IF($Q197="","",INDEX(TRANSACTIONS_MASTER!$O$5:$O$1204,$Q197))</f>
        <v/>
      </c>
      <c r="K197" s="26" t="str">
        <f>IF($Q197="","",INDEX(TRANSACTIONS_MASTER!$Q$5:$Q$1204,$Q197))</f>
        <v/>
      </c>
      <c r="L197" s="25" t="str">
        <f>IF($Q197="","",INDEX(TRANSACTIONS_MASTER!$P$5:$P$1204,$Q197))</f>
        <v/>
      </c>
      <c r="M197" s="25" t="str">
        <f>IF($Q197="","",INDEX(TRANSACTIONS_MASTER!$AA$5:$AA$1204,$Q197))</f>
        <v/>
      </c>
      <c r="N197" s="25" t="str">
        <f>IF($Q197="","",INDEX(TRANSACTIONS_MASTER!$R$5:$R$1204,$Q197))</f>
        <v/>
      </c>
      <c r="O197" s="28" t="str">
        <f>IF($Q197="","",INDEX(TRANSACTIONS_MASTER!$AB$5:$AB$1204,$Q197))</f>
        <v/>
      </c>
      <c r="P197" s="55" t="str">
        <f>IF($Q197="","",INDEX(TRANSACTIONS_MASTER!$Z$5:$Z$1204,$Q197)&amp;"")</f>
        <v/>
      </c>
      <c r="Q197" s="67" t="str">
        <f>IFERROR(MATCH($C$2&amp;"|"&amp;190,TRANSACTIONS_MASTER!$AE$5:$AE$1204,0),"")</f>
        <v/>
      </c>
    </row>
    <row r="198">
      <c r="A198" s="81" t="str">
        <f>IF($Q198="","",191)</f>
        <v/>
      </c>
      <c r="B198" s="57" t="str">
        <f>IF($Q198="","",INDEX(TRANSACTIONS_MASTER!$B$5:$B$1204,$Q198))</f>
        <v/>
      </c>
      <c r="C198" s="55" t="str">
        <f>IF($Q198="","",INDEX(TRANSACTIONS_MASTER!$F$5:$F$1204,$Q198))</f>
        <v/>
      </c>
      <c r="D198" s="55" t="str">
        <f>IF($Q198="","",INDEX(TRANSACTIONS_MASTER!$E$5:$E$1204,$Q198))</f>
        <v/>
      </c>
      <c r="E198" s="55" t="str">
        <f>IF($Q198="","",INDEX(TRANSACTIONS_MASTER!$G$5:$G$1204,$Q198)&amp;"")</f>
        <v/>
      </c>
      <c r="F198" s="29" t="str">
        <f>IF($Q198="","",INDEX(TRANSACTIONS_MASTER!$I$5:$I$1204,$Q198))</f>
        <v/>
      </c>
      <c r="G198" s="55" t="str">
        <f>IF($Q198="","",INDEX(TRANSACTIONS_MASTER!$K$5:$K$1204,$Q198))</f>
        <v/>
      </c>
      <c r="H198" s="25" t="str">
        <f>IF($Q198="","",INDEX(TRANSACTIONS_MASTER!$L$5:$L$1204,$Q198))</f>
        <v/>
      </c>
      <c r="I198" s="56" t="str">
        <f>IF($Q198="","",INDEX(TRANSACTIONS_MASTER!$N$5:$N$1204,$Q198))</f>
        <v/>
      </c>
      <c r="J198" s="25" t="str">
        <f>IF($Q198="","",INDEX(TRANSACTIONS_MASTER!$O$5:$O$1204,$Q198))</f>
        <v/>
      </c>
      <c r="K198" s="26" t="str">
        <f>IF($Q198="","",INDEX(TRANSACTIONS_MASTER!$Q$5:$Q$1204,$Q198))</f>
        <v/>
      </c>
      <c r="L198" s="25" t="str">
        <f>IF($Q198="","",INDEX(TRANSACTIONS_MASTER!$P$5:$P$1204,$Q198))</f>
        <v/>
      </c>
      <c r="M198" s="25" t="str">
        <f>IF($Q198="","",INDEX(TRANSACTIONS_MASTER!$AA$5:$AA$1204,$Q198))</f>
        <v/>
      </c>
      <c r="N198" s="25" t="str">
        <f>IF($Q198="","",INDEX(TRANSACTIONS_MASTER!$R$5:$R$1204,$Q198))</f>
        <v/>
      </c>
      <c r="O198" s="28" t="str">
        <f>IF($Q198="","",INDEX(TRANSACTIONS_MASTER!$AB$5:$AB$1204,$Q198))</f>
        <v/>
      </c>
      <c r="P198" s="55" t="str">
        <f>IF($Q198="","",INDEX(TRANSACTIONS_MASTER!$Z$5:$Z$1204,$Q198)&amp;"")</f>
        <v/>
      </c>
      <c r="Q198" s="67" t="str">
        <f>IFERROR(MATCH($C$2&amp;"|"&amp;191,TRANSACTIONS_MASTER!$AE$5:$AE$1204,0),"")</f>
        <v/>
      </c>
    </row>
    <row r="199">
      <c r="A199" s="81" t="str">
        <f>IF($Q199="","",192)</f>
        <v/>
      </c>
      <c r="B199" s="57" t="str">
        <f>IF($Q199="","",INDEX(TRANSACTIONS_MASTER!$B$5:$B$1204,$Q199))</f>
        <v/>
      </c>
      <c r="C199" s="55" t="str">
        <f>IF($Q199="","",INDEX(TRANSACTIONS_MASTER!$F$5:$F$1204,$Q199))</f>
        <v/>
      </c>
      <c r="D199" s="55" t="str">
        <f>IF($Q199="","",INDEX(TRANSACTIONS_MASTER!$E$5:$E$1204,$Q199))</f>
        <v/>
      </c>
      <c r="E199" s="55" t="str">
        <f>IF($Q199="","",INDEX(TRANSACTIONS_MASTER!$G$5:$G$1204,$Q199)&amp;"")</f>
        <v/>
      </c>
      <c r="F199" s="29" t="str">
        <f>IF($Q199="","",INDEX(TRANSACTIONS_MASTER!$I$5:$I$1204,$Q199))</f>
        <v/>
      </c>
      <c r="G199" s="55" t="str">
        <f>IF($Q199="","",INDEX(TRANSACTIONS_MASTER!$K$5:$K$1204,$Q199))</f>
        <v/>
      </c>
      <c r="H199" s="25" t="str">
        <f>IF($Q199="","",INDEX(TRANSACTIONS_MASTER!$L$5:$L$1204,$Q199))</f>
        <v/>
      </c>
      <c r="I199" s="56" t="str">
        <f>IF($Q199="","",INDEX(TRANSACTIONS_MASTER!$N$5:$N$1204,$Q199))</f>
        <v/>
      </c>
      <c r="J199" s="25" t="str">
        <f>IF($Q199="","",INDEX(TRANSACTIONS_MASTER!$O$5:$O$1204,$Q199))</f>
        <v/>
      </c>
      <c r="K199" s="26" t="str">
        <f>IF($Q199="","",INDEX(TRANSACTIONS_MASTER!$Q$5:$Q$1204,$Q199))</f>
        <v/>
      </c>
      <c r="L199" s="25" t="str">
        <f>IF($Q199="","",INDEX(TRANSACTIONS_MASTER!$P$5:$P$1204,$Q199))</f>
        <v/>
      </c>
      <c r="M199" s="25" t="str">
        <f>IF($Q199="","",INDEX(TRANSACTIONS_MASTER!$AA$5:$AA$1204,$Q199))</f>
        <v/>
      </c>
      <c r="N199" s="25" t="str">
        <f>IF($Q199="","",INDEX(TRANSACTIONS_MASTER!$R$5:$R$1204,$Q199))</f>
        <v/>
      </c>
      <c r="O199" s="28" t="str">
        <f>IF($Q199="","",INDEX(TRANSACTIONS_MASTER!$AB$5:$AB$1204,$Q199))</f>
        <v/>
      </c>
      <c r="P199" s="55" t="str">
        <f>IF($Q199="","",INDEX(TRANSACTIONS_MASTER!$Z$5:$Z$1204,$Q199)&amp;"")</f>
        <v/>
      </c>
      <c r="Q199" s="67" t="str">
        <f>IFERROR(MATCH($C$2&amp;"|"&amp;192,TRANSACTIONS_MASTER!$AE$5:$AE$1204,0),"")</f>
        <v/>
      </c>
    </row>
    <row r="200">
      <c r="A200" s="81" t="str">
        <f>IF($Q200="","",193)</f>
        <v/>
      </c>
      <c r="B200" s="57" t="str">
        <f>IF($Q200="","",INDEX(TRANSACTIONS_MASTER!$B$5:$B$1204,$Q200))</f>
        <v/>
      </c>
      <c r="C200" s="55" t="str">
        <f>IF($Q200="","",INDEX(TRANSACTIONS_MASTER!$F$5:$F$1204,$Q200))</f>
        <v/>
      </c>
      <c r="D200" s="55" t="str">
        <f>IF($Q200="","",INDEX(TRANSACTIONS_MASTER!$E$5:$E$1204,$Q200))</f>
        <v/>
      </c>
      <c r="E200" s="55" t="str">
        <f>IF($Q200="","",INDEX(TRANSACTIONS_MASTER!$G$5:$G$1204,$Q200)&amp;"")</f>
        <v/>
      </c>
      <c r="F200" s="29" t="str">
        <f>IF($Q200="","",INDEX(TRANSACTIONS_MASTER!$I$5:$I$1204,$Q200))</f>
        <v/>
      </c>
      <c r="G200" s="55" t="str">
        <f>IF($Q200="","",INDEX(TRANSACTIONS_MASTER!$K$5:$K$1204,$Q200))</f>
        <v/>
      </c>
      <c r="H200" s="25" t="str">
        <f>IF($Q200="","",INDEX(TRANSACTIONS_MASTER!$L$5:$L$1204,$Q200))</f>
        <v/>
      </c>
      <c r="I200" s="56" t="str">
        <f>IF($Q200="","",INDEX(TRANSACTIONS_MASTER!$N$5:$N$1204,$Q200))</f>
        <v/>
      </c>
      <c r="J200" s="25" t="str">
        <f>IF($Q200="","",INDEX(TRANSACTIONS_MASTER!$O$5:$O$1204,$Q200))</f>
        <v/>
      </c>
      <c r="K200" s="26" t="str">
        <f>IF($Q200="","",INDEX(TRANSACTIONS_MASTER!$Q$5:$Q$1204,$Q200))</f>
        <v/>
      </c>
      <c r="L200" s="25" t="str">
        <f>IF($Q200="","",INDEX(TRANSACTIONS_MASTER!$P$5:$P$1204,$Q200))</f>
        <v/>
      </c>
      <c r="M200" s="25" t="str">
        <f>IF($Q200="","",INDEX(TRANSACTIONS_MASTER!$AA$5:$AA$1204,$Q200))</f>
        <v/>
      </c>
      <c r="N200" s="25" t="str">
        <f>IF($Q200="","",INDEX(TRANSACTIONS_MASTER!$R$5:$R$1204,$Q200))</f>
        <v/>
      </c>
      <c r="O200" s="28" t="str">
        <f>IF($Q200="","",INDEX(TRANSACTIONS_MASTER!$AB$5:$AB$1204,$Q200))</f>
        <v/>
      </c>
      <c r="P200" s="55" t="str">
        <f>IF($Q200="","",INDEX(TRANSACTIONS_MASTER!$Z$5:$Z$1204,$Q200)&amp;"")</f>
        <v/>
      </c>
      <c r="Q200" s="67" t="str">
        <f>IFERROR(MATCH($C$2&amp;"|"&amp;193,TRANSACTIONS_MASTER!$AE$5:$AE$1204,0),"")</f>
        <v/>
      </c>
    </row>
    <row r="201">
      <c r="A201" s="81" t="str">
        <f>IF($Q201="","",194)</f>
        <v/>
      </c>
      <c r="B201" s="57" t="str">
        <f>IF($Q201="","",INDEX(TRANSACTIONS_MASTER!$B$5:$B$1204,$Q201))</f>
        <v/>
      </c>
      <c r="C201" s="55" t="str">
        <f>IF($Q201="","",INDEX(TRANSACTIONS_MASTER!$F$5:$F$1204,$Q201))</f>
        <v/>
      </c>
      <c r="D201" s="55" t="str">
        <f>IF($Q201="","",INDEX(TRANSACTIONS_MASTER!$E$5:$E$1204,$Q201))</f>
        <v/>
      </c>
      <c r="E201" s="55" t="str">
        <f>IF($Q201="","",INDEX(TRANSACTIONS_MASTER!$G$5:$G$1204,$Q201)&amp;"")</f>
        <v/>
      </c>
      <c r="F201" s="29" t="str">
        <f>IF($Q201="","",INDEX(TRANSACTIONS_MASTER!$I$5:$I$1204,$Q201))</f>
        <v/>
      </c>
      <c r="G201" s="55" t="str">
        <f>IF($Q201="","",INDEX(TRANSACTIONS_MASTER!$K$5:$K$1204,$Q201))</f>
        <v/>
      </c>
      <c r="H201" s="25" t="str">
        <f>IF($Q201="","",INDEX(TRANSACTIONS_MASTER!$L$5:$L$1204,$Q201))</f>
        <v/>
      </c>
      <c r="I201" s="56" t="str">
        <f>IF($Q201="","",INDEX(TRANSACTIONS_MASTER!$N$5:$N$1204,$Q201))</f>
        <v/>
      </c>
      <c r="J201" s="25" t="str">
        <f>IF($Q201="","",INDEX(TRANSACTIONS_MASTER!$O$5:$O$1204,$Q201))</f>
        <v/>
      </c>
      <c r="K201" s="26" t="str">
        <f>IF($Q201="","",INDEX(TRANSACTIONS_MASTER!$Q$5:$Q$1204,$Q201))</f>
        <v/>
      </c>
      <c r="L201" s="25" t="str">
        <f>IF($Q201="","",INDEX(TRANSACTIONS_MASTER!$P$5:$P$1204,$Q201))</f>
        <v/>
      </c>
      <c r="M201" s="25" t="str">
        <f>IF($Q201="","",INDEX(TRANSACTIONS_MASTER!$AA$5:$AA$1204,$Q201))</f>
        <v/>
      </c>
      <c r="N201" s="25" t="str">
        <f>IF($Q201="","",INDEX(TRANSACTIONS_MASTER!$R$5:$R$1204,$Q201))</f>
        <v/>
      </c>
      <c r="O201" s="28" t="str">
        <f>IF($Q201="","",INDEX(TRANSACTIONS_MASTER!$AB$5:$AB$1204,$Q201))</f>
        <v/>
      </c>
      <c r="P201" s="55" t="str">
        <f>IF($Q201="","",INDEX(TRANSACTIONS_MASTER!$Z$5:$Z$1204,$Q201)&amp;"")</f>
        <v/>
      </c>
      <c r="Q201" s="67" t="str">
        <f>IFERROR(MATCH($C$2&amp;"|"&amp;194,TRANSACTIONS_MASTER!$AE$5:$AE$1204,0),"")</f>
        <v/>
      </c>
    </row>
    <row r="202">
      <c r="A202" s="81" t="str">
        <f>IF($Q202="","",195)</f>
        <v/>
      </c>
      <c r="B202" s="57" t="str">
        <f>IF($Q202="","",INDEX(TRANSACTIONS_MASTER!$B$5:$B$1204,$Q202))</f>
        <v/>
      </c>
      <c r="C202" s="55" t="str">
        <f>IF($Q202="","",INDEX(TRANSACTIONS_MASTER!$F$5:$F$1204,$Q202))</f>
        <v/>
      </c>
      <c r="D202" s="55" t="str">
        <f>IF($Q202="","",INDEX(TRANSACTIONS_MASTER!$E$5:$E$1204,$Q202))</f>
        <v/>
      </c>
      <c r="E202" s="55" t="str">
        <f>IF($Q202="","",INDEX(TRANSACTIONS_MASTER!$G$5:$G$1204,$Q202)&amp;"")</f>
        <v/>
      </c>
      <c r="F202" s="29" t="str">
        <f>IF($Q202="","",INDEX(TRANSACTIONS_MASTER!$I$5:$I$1204,$Q202))</f>
        <v/>
      </c>
      <c r="G202" s="55" t="str">
        <f>IF($Q202="","",INDEX(TRANSACTIONS_MASTER!$K$5:$K$1204,$Q202))</f>
        <v/>
      </c>
      <c r="H202" s="25" t="str">
        <f>IF($Q202="","",INDEX(TRANSACTIONS_MASTER!$L$5:$L$1204,$Q202))</f>
        <v/>
      </c>
      <c r="I202" s="56" t="str">
        <f>IF($Q202="","",INDEX(TRANSACTIONS_MASTER!$N$5:$N$1204,$Q202))</f>
        <v/>
      </c>
      <c r="J202" s="25" t="str">
        <f>IF($Q202="","",INDEX(TRANSACTIONS_MASTER!$O$5:$O$1204,$Q202))</f>
        <v/>
      </c>
      <c r="K202" s="26" t="str">
        <f>IF($Q202="","",INDEX(TRANSACTIONS_MASTER!$Q$5:$Q$1204,$Q202))</f>
        <v/>
      </c>
      <c r="L202" s="25" t="str">
        <f>IF($Q202="","",INDEX(TRANSACTIONS_MASTER!$P$5:$P$1204,$Q202))</f>
        <v/>
      </c>
      <c r="M202" s="25" t="str">
        <f>IF($Q202="","",INDEX(TRANSACTIONS_MASTER!$AA$5:$AA$1204,$Q202))</f>
        <v/>
      </c>
      <c r="N202" s="25" t="str">
        <f>IF($Q202="","",INDEX(TRANSACTIONS_MASTER!$R$5:$R$1204,$Q202))</f>
        <v/>
      </c>
      <c r="O202" s="28" t="str">
        <f>IF($Q202="","",INDEX(TRANSACTIONS_MASTER!$AB$5:$AB$1204,$Q202))</f>
        <v/>
      </c>
      <c r="P202" s="55" t="str">
        <f>IF($Q202="","",INDEX(TRANSACTIONS_MASTER!$Z$5:$Z$1204,$Q202)&amp;"")</f>
        <v/>
      </c>
      <c r="Q202" s="67" t="str">
        <f>IFERROR(MATCH($C$2&amp;"|"&amp;195,TRANSACTIONS_MASTER!$AE$5:$AE$1204,0),"")</f>
        <v/>
      </c>
    </row>
    <row r="203">
      <c r="A203" s="81" t="str">
        <f>IF($Q203="","",196)</f>
        <v/>
      </c>
      <c r="B203" s="57" t="str">
        <f>IF($Q203="","",INDEX(TRANSACTIONS_MASTER!$B$5:$B$1204,$Q203))</f>
        <v/>
      </c>
      <c r="C203" s="55" t="str">
        <f>IF($Q203="","",INDEX(TRANSACTIONS_MASTER!$F$5:$F$1204,$Q203))</f>
        <v/>
      </c>
      <c r="D203" s="55" t="str">
        <f>IF($Q203="","",INDEX(TRANSACTIONS_MASTER!$E$5:$E$1204,$Q203))</f>
        <v/>
      </c>
      <c r="E203" s="55" t="str">
        <f>IF($Q203="","",INDEX(TRANSACTIONS_MASTER!$G$5:$G$1204,$Q203)&amp;"")</f>
        <v/>
      </c>
      <c r="F203" s="29" t="str">
        <f>IF($Q203="","",INDEX(TRANSACTIONS_MASTER!$I$5:$I$1204,$Q203))</f>
        <v/>
      </c>
      <c r="G203" s="55" t="str">
        <f>IF($Q203="","",INDEX(TRANSACTIONS_MASTER!$K$5:$K$1204,$Q203))</f>
        <v/>
      </c>
      <c r="H203" s="25" t="str">
        <f>IF($Q203="","",INDEX(TRANSACTIONS_MASTER!$L$5:$L$1204,$Q203))</f>
        <v/>
      </c>
      <c r="I203" s="56" t="str">
        <f>IF($Q203="","",INDEX(TRANSACTIONS_MASTER!$N$5:$N$1204,$Q203))</f>
        <v/>
      </c>
      <c r="J203" s="25" t="str">
        <f>IF($Q203="","",INDEX(TRANSACTIONS_MASTER!$O$5:$O$1204,$Q203))</f>
        <v/>
      </c>
      <c r="K203" s="26" t="str">
        <f>IF($Q203="","",INDEX(TRANSACTIONS_MASTER!$Q$5:$Q$1204,$Q203))</f>
        <v/>
      </c>
      <c r="L203" s="25" t="str">
        <f>IF($Q203="","",INDEX(TRANSACTIONS_MASTER!$P$5:$P$1204,$Q203))</f>
        <v/>
      </c>
      <c r="M203" s="25" t="str">
        <f>IF($Q203="","",INDEX(TRANSACTIONS_MASTER!$AA$5:$AA$1204,$Q203))</f>
        <v/>
      </c>
      <c r="N203" s="25" t="str">
        <f>IF($Q203="","",INDEX(TRANSACTIONS_MASTER!$R$5:$R$1204,$Q203))</f>
        <v/>
      </c>
      <c r="O203" s="28" t="str">
        <f>IF($Q203="","",INDEX(TRANSACTIONS_MASTER!$AB$5:$AB$1204,$Q203))</f>
        <v/>
      </c>
      <c r="P203" s="55" t="str">
        <f>IF($Q203="","",INDEX(TRANSACTIONS_MASTER!$Z$5:$Z$1204,$Q203)&amp;"")</f>
        <v/>
      </c>
      <c r="Q203" s="67" t="str">
        <f>IFERROR(MATCH($C$2&amp;"|"&amp;196,TRANSACTIONS_MASTER!$AE$5:$AE$1204,0),"")</f>
        <v/>
      </c>
    </row>
    <row r="204">
      <c r="A204" s="81" t="str">
        <f>IF($Q204="","",197)</f>
        <v/>
      </c>
      <c r="B204" s="57" t="str">
        <f>IF($Q204="","",INDEX(TRANSACTIONS_MASTER!$B$5:$B$1204,$Q204))</f>
        <v/>
      </c>
      <c r="C204" s="55" t="str">
        <f>IF($Q204="","",INDEX(TRANSACTIONS_MASTER!$F$5:$F$1204,$Q204))</f>
        <v/>
      </c>
      <c r="D204" s="55" t="str">
        <f>IF($Q204="","",INDEX(TRANSACTIONS_MASTER!$E$5:$E$1204,$Q204))</f>
        <v/>
      </c>
      <c r="E204" s="55" t="str">
        <f>IF($Q204="","",INDEX(TRANSACTIONS_MASTER!$G$5:$G$1204,$Q204)&amp;"")</f>
        <v/>
      </c>
      <c r="F204" s="29" t="str">
        <f>IF($Q204="","",INDEX(TRANSACTIONS_MASTER!$I$5:$I$1204,$Q204))</f>
        <v/>
      </c>
      <c r="G204" s="55" t="str">
        <f>IF($Q204="","",INDEX(TRANSACTIONS_MASTER!$K$5:$K$1204,$Q204))</f>
        <v/>
      </c>
      <c r="H204" s="25" t="str">
        <f>IF($Q204="","",INDEX(TRANSACTIONS_MASTER!$L$5:$L$1204,$Q204))</f>
        <v/>
      </c>
      <c r="I204" s="56" t="str">
        <f>IF($Q204="","",INDEX(TRANSACTIONS_MASTER!$N$5:$N$1204,$Q204))</f>
        <v/>
      </c>
      <c r="J204" s="25" t="str">
        <f>IF($Q204="","",INDEX(TRANSACTIONS_MASTER!$O$5:$O$1204,$Q204))</f>
        <v/>
      </c>
      <c r="K204" s="26" t="str">
        <f>IF($Q204="","",INDEX(TRANSACTIONS_MASTER!$Q$5:$Q$1204,$Q204))</f>
        <v/>
      </c>
      <c r="L204" s="25" t="str">
        <f>IF($Q204="","",INDEX(TRANSACTIONS_MASTER!$P$5:$P$1204,$Q204))</f>
        <v/>
      </c>
      <c r="M204" s="25" t="str">
        <f>IF($Q204="","",INDEX(TRANSACTIONS_MASTER!$AA$5:$AA$1204,$Q204))</f>
        <v/>
      </c>
      <c r="N204" s="25" t="str">
        <f>IF($Q204="","",INDEX(TRANSACTIONS_MASTER!$R$5:$R$1204,$Q204))</f>
        <v/>
      </c>
      <c r="O204" s="28" t="str">
        <f>IF($Q204="","",INDEX(TRANSACTIONS_MASTER!$AB$5:$AB$1204,$Q204))</f>
        <v/>
      </c>
      <c r="P204" s="55" t="str">
        <f>IF($Q204="","",INDEX(TRANSACTIONS_MASTER!$Z$5:$Z$1204,$Q204)&amp;"")</f>
        <v/>
      </c>
      <c r="Q204" s="67" t="str">
        <f>IFERROR(MATCH($C$2&amp;"|"&amp;197,TRANSACTIONS_MASTER!$AE$5:$AE$1204,0),"")</f>
        <v/>
      </c>
    </row>
    <row r="205">
      <c r="A205" s="81" t="str">
        <f>IF($Q205="","",198)</f>
        <v/>
      </c>
      <c r="B205" s="57" t="str">
        <f>IF($Q205="","",INDEX(TRANSACTIONS_MASTER!$B$5:$B$1204,$Q205))</f>
        <v/>
      </c>
      <c r="C205" s="55" t="str">
        <f>IF($Q205="","",INDEX(TRANSACTIONS_MASTER!$F$5:$F$1204,$Q205))</f>
        <v/>
      </c>
      <c r="D205" s="55" t="str">
        <f>IF($Q205="","",INDEX(TRANSACTIONS_MASTER!$E$5:$E$1204,$Q205))</f>
        <v/>
      </c>
      <c r="E205" s="55" t="str">
        <f>IF($Q205="","",INDEX(TRANSACTIONS_MASTER!$G$5:$G$1204,$Q205)&amp;"")</f>
        <v/>
      </c>
      <c r="F205" s="29" t="str">
        <f>IF($Q205="","",INDEX(TRANSACTIONS_MASTER!$I$5:$I$1204,$Q205))</f>
        <v/>
      </c>
      <c r="G205" s="55" t="str">
        <f>IF($Q205="","",INDEX(TRANSACTIONS_MASTER!$K$5:$K$1204,$Q205))</f>
        <v/>
      </c>
      <c r="H205" s="25" t="str">
        <f>IF($Q205="","",INDEX(TRANSACTIONS_MASTER!$L$5:$L$1204,$Q205))</f>
        <v/>
      </c>
      <c r="I205" s="56" t="str">
        <f>IF($Q205="","",INDEX(TRANSACTIONS_MASTER!$N$5:$N$1204,$Q205))</f>
        <v/>
      </c>
      <c r="J205" s="25" t="str">
        <f>IF($Q205="","",INDEX(TRANSACTIONS_MASTER!$O$5:$O$1204,$Q205))</f>
        <v/>
      </c>
      <c r="K205" s="26" t="str">
        <f>IF($Q205="","",INDEX(TRANSACTIONS_MASTER!$Q$5:$Q$1204,$Q205))</f>
        <v/>
      </c>
      <c r="L205" s="25" t="str">
        <f>IF($Q205="","",INDEX(TRANSACTIONS_MASTER!$P$5:$P$1204,$Q205))</f>
        <v/>
      </c>
      <c r="M205" s="25" t="str">
        <f>IF($Q205="","",INDEX(TRANSACTIONS_MASTER!$AA$5:$AA$1204,$Q205))</f>
        <v/>
      </c>
      <c r="N205" s="25" t="str">
        <f>IF($Q205="","",INDEX(TRANSACTIONS_MASTER!$R$5:$R$1204,$Q205))</f>
        <v/>
      </c>
      <c r="O205" s="28" t="str">
        <f>IF($Q205="","",INDEX(TRANSACTIONS_MASTER!$AB$5:$AB$1204,$Q205))</f>
        <v/>
      </c>
      <c r="P205" s="55" t="str">
        <f>IF($Q205="","",INDEX(TRANSACTIONS_MASTER!$Z$5:$Z$1204,$Q205)&amp;"")</f>
        <v/>
      </c>
      <c r="Q205" s="67" t="str">
        <f>IFERROR(MATCH($C$2&amp;"|"&amp;198,TRANSACTIONS_MASTER!$AE$5:$AE$1204,0),"")</f>
        <v/>
      </c>
    </row>
    <row r="206">
      <c r="A206" s="81" t="str">
        <f>IF($Q206="","",199)</f>
        <v/>
      </c>
      <c r="B206" s="57" t="str">
        <f>IF($Q206="","",INDEX(TRANSACTIONS_MASTER!$B$5:$B$1204,$Q206))</f>
        <v/>
      </c>
      <c r="C206" s="55" t="str">
        <f>IF($Q206="","",INDEX(TRANSACTIONS_MASTER!$F$5:$F$1204,$Q206))</f>
        <v/>
      </c>
      <c r="D206" s="55" t="str">
        <f>IF($Q206="","",INDEX(TRANSACTIONS_MASTER!$E$5:$E$1204,$Q206))</f>
        <v/>
      </c>
      <c r="E206" s="55" t="str">
        <f>IF($Q206="","",INDEX(TRANSACTIONS_MASTER!$G$5:$G$1204,$Q206)&amp;"")</f>
        <v/>
      </c>
      <c r="F206" s="29" t="str">
        <f>IF($Q206="","",INDEX(TRANSACTIONS_MASTER!$I$5:$I$1204,$Q206))</f>
        <v/>
      </c>
      <c r="G206" s="55" t="str">
        <f>IF($Q206="","",INDEX(TRANSACTIONS_MASTER!$K$5:$K$1204,$Q206))</f>
        <v/>
      </c>
      <c r="H206" s="25" t="str">
        <f>IF($Q206="","",INDEX(TRANSACTIONS_MASTER!$L$5:$L$1204,$Q206))</f>
        <v/>
      </c>
      <c r="I206" s="56" t="str">
        <f>IF($Q206="","",INDEX(TRANSACTIONS_MASTER!$N$5:$N$1204,$Q206))</f>
        <v/>
      </c>
      <c r="J206" s="25" t="str">
        <f>IF($Q206="","",INDEX(TRANSACTIONS_MASTER!$O$5:$O$1204,$Q206))</f>
        <v/>
      </c>
      <c r="K206" s="26" t="str">
        <f>IF($Q206="","",INDEX(TRANSACTIONS_MASTER!$Q$5:$Q$1204,$Q206))</f>
        <v/>
      </c>
      <c r="L206" s="25" t="str">
        <f>IF($Q206="","",INDEX(TRANSACTIONS_MASTER!$P$5:$P$1204,$Q206))</f>
        <v/>
      </c>
      <c r="M206" s="25" t="str">
        <f>IF($Q206="","",INDEX(TRANSACTIONS_MASTER!$AA$5:$AA$1204,$Q206))</f>
        <v/>
      </c>
      <c r="N206" s="25" t="str">
        <f>IF($Q206="","",INDEX(TRANSACTIONS_MASTER!$R$5:$R$1204,$Q206))</f>
        <v/>
      </c>
      <c r="O206" s="28" t="str">
        <f>IF($Q206="","",INDEX(TRANSACTIONS_MASTER!$AB$5:$AB$1204,$Q206))</f>
        <v/>
      </c>
      <c r="P206" s="55" t="str">
        <f>IF($Q206="","",INDEX(TRANSACTIONS_MASTER!$Z$5:$Z$1204,$Q206)&amp;"")</f>
        <v/>
      </c>
      <c r="Q206" s="67" t="str">
        <f>IFERROR(MATCH($C$2&amp;"|"&amp;199,TRANSACTIONS_MASTER!$AE$5:$AE$1204,0),"")</f>
        <v/>
      </c>
    </row>
    <row r="207">
      <c r="A207" s="81" t="str">
        <f>IF($Q207="","",200)</f>
        <v/>
      </c>
      <c r="B207" s="57" t="str">
        <f>IF($Q207="","",INDEX(TRANSACTIONS_MASTER!$B$5:$B$1204,$Q207))</f>
        <v/>
      </c>
      <c r="C207" s="55" t="str">
        <f>IF($Q207="","",INDEX(TRANSACTIONS_MASTER!$F$5:$F$1204,$Q207))</f>
        <v/>
      </c>
      <c r="D207" s="55" t="str">
        <f>IF($Q207="","",INDEX(TRANSACTIONS_MASTER!$E$5:$E$1204,$Q207))</f>
        <v/>
      </c>
      <c r="E207" s="55" t="str">
        <f>IF($Q207="","",INDEX(TRANSACTIONS_MASTER!$G$5:$G$1204,$Q207)&amp;"")</f>
        <v/>
      </c>
      <c r="F207" s="29" t="str">
        <f>IF($Q207="","",INDEX(TRANSACTIONS_MASTER!$I$5:$I$1204,$Q207))</f>
        <v/>
      </c>
      <c r="G207" s="55" t="str">
        <f>IF($Q207="","",INDEX(TRANSACTIONS_MASTER!$K$5:$K$1204,$Q207))</f>
        <v/>
      </c>
      <c r="H207" s="25" t="str">
        <f>IF($Q207="","",INDEX(TRANSACTIONS_MASTER!$L$5:$L$1204,$Q207))</f>
        <v/>
      </c>
      <c r="I207" s="56" t="str">
        <f>IF($Q207="","",INDEX(TRANSACTIONS_MASTER!$N$5:$N$1204,$Q207))</f>
        <v/>
      </c>
      <c r="J207" s="25" t="str">
        <f>IF($Q207="","",INDEX(TRANSACTIONS_MASTER!$O$5:$O$1204,$Q207))</f>
        <v/>
      </c>
      <c r="K207" s="26" t="str">
        <f>IF($Q207="","",INDEX(TRANSACTIONS_MASTER!$Q$5:$Q$1204,$Q207))</f>
        <v/>
      </c>
      <c r="L207" s="25" t="str">
        <f>IF($Q207="","",INDEX(TRANSACTIONS_MASTER!$P$5:$P$1204,$Q207))</f>
        <v/>
      </c>
      <c r="M207" s="25" t="str">
        <f>IF($Q207="","",INDEX(TRANSACTIONS_MASTER!$AA$5:$AA$1204,$Q207))</f>
        <v/>
      </c>
      <c r="N207" s="25" t="str">
        <f>IF($Q207="","",INDEX(TRANSACTIONS_MASTER!$R$5:$R$1204,$Q207))</f>
        <v/>
      </c>
      <c r="O207" s="28" t="str">
        <f>IF($Q207="","",INDEX(TRANSACTIONS_MASTER!$AB$5:$AB$1204,$Q207))</f>
        <v/>
      </c>
      <c r="P207" s="55" t="str">
        <f>IF($Q207="","",INDEX(TRANSACTIONS_MASTER!$Z$5:$Z$1204,$Q207)&amp;"")</f>
        <v/>
      </c>
      <c r="Q207" s="67" t="str">
        <f>IFERROR(MATCH($C$2&amp;"|"&amp;200,TRANSACTIONS_MASTER!$AE$5:$AE$1204,0),"")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autoFilter ref="A7:P207"/>
  <mergeCells count="14">
    <mergeCell ref="I4:J4"/>
    <mergeCell ref="T3:W3"/>
    <mergeCell ref="B3:C3"/>
    <mergeCell ref="T4:W4"/>
    <mergeCell ref="M4:O4"/>
    <mergeCell ref="M3:O3"/>
    <mergeCell ref="F4:H4"/>
    <mergeCell ref="D4:E4"/>
    <mergeCell ref="K4:L4"/>
    <mergeCell ref="F3:H3"/>
    <mergeCell ref="D3:E3"/>
    <mergeCell ref="B4:C4"/>
    <mergeCell ref="K3:L3"/>
    <mergeCell ref="I3:J3"/>
  </mergeCells>
  <conditionalFormatting sqref="AA8:AA57">
    <cfRule type="dataBar" priority="1">
      <dataBar showValue="1">
        <cfvo type="num" val="0"/>
        <cfvo type="num" val="1"/>
        <color rgb="00F2A1BF"/>
      </dataBar>
    </cfRule>
    <cfRule type="expression" priority="2" dxfId="8">
      <formula>AND(ISNUMBER(AA8),AA8&gt;=1)</formula>
    </cfRule>
  </conditionalFormatting>
  <conditionalFormatting sqref="Z8:Z57">
    <cfRule type="cellIs" priority="3" operator="equal" dxfId="1">
      <formula>0</formula>
    </cfRule>
  </conditionalFormatting>
  <conditionalFormatting sqref="Z62:Z91">
    <cfRule type="dataBar" priority="4">
      <dataBar showValue="1">
        <cfvo type="num" val="0"/>
        <cfvo type="num" val="1"/>
        <color rgb="00F2A1BF"/>
      </dataBar>
    </cfRule>
    <cfRule type="expression" priority="5" dxfId="8">
      <formula>AND(ISNUMBER(Z62),Z62&gt;=1)</formula>
    </cfRule>
  </conditionalFormatting>
  <conditionalFormatting sqref="Y62:Y91">
    <cfRule type="cellIs" priority="6" operator="equal" dxfId="1">
      <formula>0</formula>
    </cfRule>
  </conditionalFormatting>
  <conditionalFormatting sqref="A8:P207">
    <cfRule type="expression" priority="7" dxfId="5" stopIfTrue="0">
      <formula>MOD(ROW(),2)=0</formula>
    </cfRule>
  </conditionalFormatting>
  <conditionalFormatting sqref="O8:O207">
    <cfRule type="cellIs" priority="8" operator="equal" dxfId="3">
      <formula>"Được hoàn"</formula>
    </cfRule>
    <cfRule type="cellIs" priority="9" operator="equal" dxfId="2">
      <formula>"Hoàn một phần"</formula>
    </cfRule>
    <cfRule type="cellIs" priority="10" operator="equal" dxfId="1">
      <formula>"Đã đạt cap"</formula>
    </cfRule>
    <cfRule type="cellIs" priority="11" operator="equal" dxfId="4">
      <formula>"Không được hoàn"</formula>
    </cfRule>
    <cfRule type="cellIs" priority="12" operator="equal" dxfId="0">
      <formula>"Đã hủy"</formula>
    </cfRule>
  </conditionalFormatting>
  <conditionalFormatting sqref="K8:K207">
    <cfRule type="expression" priority="13" dxfId="7">
      <formula>AND(ISNUMBER($K8),$K8&gt;0)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F8C8DC"/>
    <outlinePr summaryBelow="1" summaryRight="1"/>
    <pageSetUpPr/>
  </sheetPr>
  <dimension ref="A1:AA20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13" customWidth="1" min="4" max="4"/>
    <col width="22" customWidth="1" min="5" max="5"/>
    <col width="8" customWidth="1" min="6" max="6"/>
    <col width="17" customWidth="1" min="7" max="7"/>
    <col width="14" customWidth="1" min="8" max="8"/>
    <col width="10" customWidth="1" min="9" max="9"/>
    <col width="15" customWidth="1" min="10" max="10"/>
    <col width="15" customWidth="1" min="11" max="11"/>
    <col width="14" customWidth="1" min="12" max="12"/>
    <col width="14" customWidth="1" min="13" max="13"/>
    <col width="15" customWidth="1" min="14" max="14"/>
    <col width="16" customWidth="1" min="15" max="15"/>
    <col width="14" customWidth="1" min="16" max="16"/>
    <col width="3" customWidth="1" min="17" max="17"/>
    <col width="3" customWidth="1" min="18" max="18"/>
    <col width="4" customWidth="1" min="19" max="19"/>
    <col width="12" customWidth="1" min="20" max="20"/>
    <col width="30" customWidth="1" min="21" max="21"/>
    <col width="15" customWidth="1" min="22" max="22"/>
    <col width="17" customWidth="1" min="23" max="23"/>
    <col width="15" customWidth="1" min="24" max="24"/>
    <col width="15" customWidth="1" min="25" max="25"/>
    <col width="15" customWidth="1" min="26" max="26"/>
    <col width="12" customWidth="1" min="27" max="27"/>
  </cols>
  <sheetData>
    <row r="1" ht="28" customHeight="1">
      <c r="B1" s="70" t="str">
        <f>"THÁNG "&amp;MOD($C$2,100)&amp;"/"&amp;INT($C$2/100)&amp;"   ♥"</f>
        <v>THÁNG 8/2026   ♥</v>
      </c>
    </row>
    <row r="2" ht="20" customHeight="1">
      <c r="B2" s="71" t="inlineStr">
        <is>
          <t>Mã tháng</t>
        </is>
      </c>
      <c r="C2" s="72" t="n">
        <v>202608</v>
      </c>
      <c r="E2" s="66" t="str">
        <f>HYPERLINK("#Dashboard!A1","← Dashboard")</f>
        <v>← Dashboard</v>
      </c>
      <c r="G2" s="66" t="str">
        <f>HYPERLINK("#TRANSACTIONS_MASTER!A1","Giao dịch (nhập ở đây) →")</f>
        <v>Giao dịch (nhập ở đây) →</v>
      </c>
      <c r="J2" s="66" t="str">
        <f>HYPERLINK("#'2026-08'!S6","Cap &amp; thẻ →")</f>
        <v>Cap &amp; thẻ →</v>
      </c>
      <c r="L2" s="66" t="str">
        <f>HYPERLINK("#'2026-08'!S95","Phân tích →")</f>
        <v>Phân tích →</v>
      </c>
      <c r="N2" s="66" t="str">
        <f>HYPERLINK("#'2026-08'!A1","↑ Đầu trang")</f>
        <v>↑ Đầu trang</v>
      </c>
      <c r="O2" s="73" t="inlineStr">
        <is>
          <t>Sheet này là bản xem tự động — nhập giao dịch ở TRANSACTIONS_MASTER</t>
        </is>
      </c>
    </row>
    <row r="3" ht="17" customHeight="1">
      <c r="B3" s="74" t="inlineStr">
        <is>
          <t>💰 Tổng chi tiêu</t>
        </is>
      </c>
      <c r="C3" s="75" t="n"/>
      <c r="D3" s="74" t="inlineStr">
        <is>
          <t>★ Tổng cashback (thực nhận)</t>
        </is>
      </c>
      <c r="E3" s="75" t="n"/>
      <c r="F3" s="74" t="inlineStr">
        <is>
          <t>Cashback còn có thể nhận</t>
        </is>
      </c>
      <c r="G3" s="75" t="n"/>
      <c r="H3" s="75" t="n"/>
      <c r="I3" s="74" t="inlineStr">
        <is>
          <t>Số giao dịch</t>
        </is>
      </c>
      <c r="J3" s="75" t="n"/>
      <c r="K3" s="74" t="inlineStr">
        <is>
          <t>Số thẻ sử dụng</t>
        </is>
      </c>
      <c r="L3" s="75" t="n"/>
      <c r="M3" s="74" t="inlineStr">
        <is>
          <t>Thẻ có cashback cao nhất</t>
        </is>
      </c>
      <c r="N3" s="75" t="n"/>
      <c r="O3" s="75" t="n"/>
      <c r="T3" s="74" t="inlineStr">
        <is>
          <t>Danh mục chi tiêu nhiều nhất</t>
        </is>
      </c>
      <c r="U3" s="75" t="n"/>
      <c r="V3" s="75" t="n"/>
      <c r="W3" s="75" t="n"/>
    </row>
    <row r="4" ht="30" customHeight="1">
      <c r="B4" s="76">
        <f>SUMIFS(TRANSACTIONS_MASTER!$L$5:$L$1204,TRANSACTIONS_MASTER!$C$5:$C$1204,$C$2,TRANSACTIONS_MASTER!$U$5:$U$1204,"&lt;&gt;Cancelled")</f>
        <v>0</v>
      </c>
      <c r="C4" s="77" t="n"/>
      <c r="D4" s="76">
        <f>SUMIFS(TRANSACTIONS_MASTER!$Q$5:$Q$1204,TRANSACTIONS_MASTER!$C$5:$C$1204,$C$2)</f>
        <v>0</v>
      </c>
      <c r="E4" s="77" t="n"/>
      <c r="F4" s="76">
        <f>SUM($Y$62:$Y$91)</f>
        <v>4500000</v>
      </c>
      <c r="G4" s="77" t="n"/>
      <c r="H4" s="77" t="n"/>
      <c r="I4" s="78">
        <f>COUNTIFS(TRANSACTIONS_MASTER!$C$5:$C$1204,$C$2,TRANSACTIONS_MASTER!$U$5:$U$1204,"&lt;&gt;Cancelled")</f>
        <v>0</v>
      </c>
      <c r="J4" s="77" t="n"/>
      <c r="K4" s="78">
        <f>COUNTIF($AA$62:$AA$91,"&gt;0")</f>
        <v>0</v>
      </c>
      <c r="L4" s="77" t="n"/>
      <c r="M4" s="79" t="str">
        <f>IF(MAX($W$62:$W$91)&gt;0,INDEX($U$62:$U$91,MATCH(MAX($W$62:$W$91),$W$62:$W$91,0)),"—")</f>
        <v>—</v>
      </c>
      <c r="N4" s="77" t="n"/>
      <c r="O4" s="77" t="n"/>
      <c r="T4" s="79" t="str">
        <f>IF(MAX($V$117:$V$131)&gt;0,INDEX($U$117:$U$131,MATCH(MAX($V$117:$V$131),$V$117:$V$131,0)),"—")</f>
        <v>—</v>
      </c>
      <c r="U4" s="77" t="n"/>
      <c r="V4" s="77" t="n"/>
      <c r="W4" s="77" t="n"/>
    </row>
    <row r="5" ht="6" customHeight="1"/>
    <row r="6" ht="22" customHeight="1">
      <c r="A6" s="19" t="inlineStr">
        <is>
          <t>GIAO DỊCH TRONG THÁNG</t>
        </is>
      </c>
      <c r="B6" s="20" t="n"/>
      <c r="C6" s="20" t="n"/>
      <c r="D6" s="20" t="n"/>
      <c r="E6" s="20" t="n"/>
      <c r="F6" s="20" t="n"/>
      <c r="G6" s="20" t="n"/>
      <c r="H6" s="80" t="str">
        <f>IF(COUNTIFS(TRANSACTIONS_MASTER!$C$5:$C$1204,$C$2)&gt;200,"⚠ Còn "&amp;(COUNTIFS(TRANSACTIONS_MASTER!$C$5:$C$1204,$C$2)-200)&amp;" giao dịch chưa hiển thị — xem TRANSACTIONS_MASTER","")</f>
        <v/>
      </c>
      <c r="I6" s="20" t="n"/>
      <c r="J6" s="20" t="n"/>
      <c r="K6" s="20" t="n"/>
      <c r="L6" s="20" t="n"/>
      <c r="M6" s="20" t="n"/>
      <c r="N6" s="20" t="n"/>
      <c r="O6" s="20" t="n"/>
      <c r="P6" s="20" t="n"/>
      <c r="T6" s="19" t="inlineStr">
        <is>
          <t>THEO DÕI CAP — TỪNG NHÓM CASHBACK (progress bar)</t>
        </is>
      </c>
      <c r="U6" s="20" t="n"/>
      <c r="V6" s="20" t="n"/>
      <c r="W6" s="20" t="n"/>
      <c r="X6" s="20" t="n"/>
      <c r="Y6" s="20" t="n"/>
      <c r="Z6" s="20" t="n"/>
      <c r="AA6" s="20" t="n"/>
    </row>
    <row r="7" ht="30" customHeight="1">
      <c r="A7" s="21" t="inlineStr">
        <is>
          <t>#</t>
        </is>
      </c>
      <c r="B7" s="21" t="inlineStr">
        <is>
          <t>Ngày</t>
        </is>
      </c>
      <c r="C7" s="21" t="inlineStr">
        <is>
          <t>Thẻ</t>
        </is>
      </c>
      <c r="D7" s="21" t="inlineStr">
        <is>
          <t>Ngân hàng</t>
        </is>
      </c>
      <c r="E7" s="21" t="inlineStr">
        <is>
          <t>Merchant</t>
        </is>
      </c>
      <c r="F7" s="21" t="inlineStr">
        <is>
          <t>MCC</t>
        </is>
      </c>
      <c r="G7" s="21" t="inlineStr">
        <is>
          <t>Danh mục</t>
        </is>
      </c>
      <c r="H7" s="21" t="inlineStr">
        <is>
          <t>Số tiền</t>
        </is>
      </c>
      <c r="I7" s="21" t="inlineStr">
        <is>
          <t>Cashback %</t>
        </is>
      </c>
      <c r="J7" s="21" t="inlineStr">
        <is>
          <t>Cashback tính toán</t>
        </is>
      </c>
      <c r="K7" s="21" t="inlineStr">
        <is>
          <t>Cashback thực nhận</t>
        </is>
      </c>
      <c r="L7" s="21" t="inlineStr">
        <is>
          <t>Cap danh mục</t>
        </is>
      </c>
      <c r="M7" s="21" t="inlineStr">
        <is>
          <t>Cap thẻ</t>
        </is>
      </c>
      <c r="N7" s="21" t="inlineStr">
        <is>
          <t>Cashback còn lại</t>
        </is>
      </c>
      <c r="O7" s="21" t="inlineStr">
        <is>
          <t>Trạng thái hoàn</t>
        </is>
      </c>
      <c r="P7" s="21" t="inlineStr">
        <is>
          <t>Nhóm cashback</t>
        </is>
      </c>
      <c r="Q7" s="21" t="inlineStr">
        <is>
          <t>⚙</t>
        </is>
      </c>
      <c r="S7" s="21" t="inlineStr">
        <is>
          <t>#</t>
        </is>
      </c>
      <c r="T7" s="21" t="inlineStr">
        <is>
          <t>Card ID</t>
        </is>
      </c>
      <c r="U7" s="21" t="inlineStr">
        <is>
          <t>Thẻ</t>
        </is>
      </c>
      <c r="V7" s="21" t="inlineStr">
        <is>
          <t>Nhóm</t>
        </is>
      </c>
      <c r="W7" s="21" t="inlineStr">
        <is>
          <t>Danh mục</t>
        </is>
      </c>
      <c r="X7" s="21" t="inlineStr">
        <is>
          <t>Đã cashback</t>
        </is>
      </c>
      <c r="Y7" s="21" t="inlineStr">
        <is>
          <t>Cap nhóm</t>
        </is>
      </c>
      <c r="Z7" s="21" t="inlineStr">
        <is>
          <t>Còn lại</t>
        </is>
      </c>
      <c r="AA7" s="21" t="inlineStr">
        <is>
          <t>Progress</t>
        </is>
      </c>
    </row>
    <row r="8" ht="20" customHeight="1">
      <c r="A8" s="81" t="str">
        <f>IF($Q8="","",1)</f>
        <v/>
      </c>
      <c r="B8" s="57" t="str">
        <f>IF($Q8="","",INDEX(TRANSACTIONS_MASTER!$B$5:$B$1204,$Q8))</f>
        <v/>
      </c>
      <c r="C8" s="55" t="str">
        <f>IF($Q8="","",INDEX(TRANSACTIONS_MASTER!$F$5:$F$1204,$Q8))</f>
        <v/>
      </c>
      <c r="D8" s="55" t="str">
        <f>IF($Q8="","",INDEX(TRANSACTIONS_MASTER!$E$5:$E$1204,$Q8))</f>
        <v/>
      </c>
      <c r="E8" s="55" t="str">
        <f>IF($Q8="","",INDEX(TRANSACTIONS_MASTER!$G$5:$G$1204,$Q8)&amp;"")</f>
        <v/>
      </c>
      <c r="F8" s="29" t="str">
        <f>IF($Q8="","",INDEX(TRANSACTIONS_MASTER!$I$5:$I$1204,$Q8))</f>
        <v/>
      </c>
      <c r="G8" s="55" t="str">
        <f>IF($Q8="","",INDEX(TRANSACTIONS_MASTER!$K$5:$K$1204,$Q8))</f>
        <v/>
      </c>
      <c r="H8" s="25" t="str">
        <f>IF($Q8="","",INDEX(TRANSACTIONS_MASTER!$L$5:$L$1204,$Q8))</f>
        <v/>
      </c>
      <c r="I8" s="56" t="str">
        <f>IF($Q8="","",INDEX(TRANSACTIONS_MASTER!$N$5:$N$1204,$Q8))</f>
        <v/>
      </c>
      <c r="J8" s="25" t="str">
        <f>IF($Q8="","",INDEX(TRANSACTIONS_MASTER!$O$5:$O$1204,$Q8))</f>
        <v/>
      </c>
      <c r="K8" s="26" t="str">
        <f>IF($Q8="","",INDEX(TRANSACTIONS_MASTER!$Q$5:$Q$1204,$Q8))</f>
        <v/>
      </c>
      <c r="L8" s="25" t="str">
        <f>IF($Q8="","",INDEX(TRANSACTIONS_MASTER!$P$5:$P$1204,$Q8))</f>
        <v/>
      </c>
      <c r="M8" s="25" t="str">
        <f>IF($Q8="","",INDEX(TRANSACTIONS_MASTER!$AA$5:$AA$1204,$Q8))</f>
        <v/>
      </c>
      <c r="N8" s="25" t="str">
        <f>IF($Q8="","",INDEX(TRANSACTIONS_MASTER!$R$5:$R$1204,$Q8))</f>
        <v/>
      </c>
      <c r="O8" s="28" t="str">
        <f>IF($Q8="","",INDEX(TRANSACTIONS_MASTER!$AB$5:$AB$1204,$Q8))</f>
        <v/>
      </c>
      <c r="P8" s="55" t="str">
        <f>IF($Q8="","",INDEX(TRANSACTIONS_MASTER!$Z$5:$Z$1204,$Q8)&amp;"")</f>
        <v/>
      </c>
      <c r="Q8" s="67" t="str">
        <f>IFERROR(MATCH($C$2&amp;"|"&amp;1,TRANSACTIONS_MASTER!$AE$5:$AE$1204,0),"")</f>
        <v/>
      </c>
      <c r="S8" s="67">
        <f>IFERROR(MATCH(1,CASHBACK_RULES!$S$5:$S$304,0),"")</f>
        <v>1</v>
      </c>
      <c r="T8" s="55" t="str">
        <f>IF($S8="","",INDEX(CASHBACK_RULES!$B$5:$B$304,$S8))</f>
        <v>VPB-JCBZ</v>
      </c>
      <c r="U8" s="55" t="str">
        <f>IF($S8="","",INDEX(CASHBACK_RULES!$C$5:$C$304,$S8)&amp;" "&amp;INDEX(CASHBACK_RULES!$D$5:$D$304,$S8))</f>
        <v>VPBank JCB Z Card</v>
      </c>
      <c r="V8" s="55" t="str">
        <f>IF($S8="","",INDEX(CASHBACK_RULES!$E$5:$E$304,$S8)&amp;"")</f>
        <v>Group 1</v>
      </c>
      <c r="W8" s="55" t="str">
        <f>IF($S8="","",INDEX(CASHBACK_RULES!$F$5:$F$304,$S8)&amp;"")</f>
        <v>Dining</v>
      </c>
      <c r="X8" s="26">
        <f>IF($S8="","",SUMIFS(TRANSACTIONS_MASTER!$Q$5:$Q$1204,TRANSACTIONS_MASTER!$D$5:$D$1204,$T8,TRANSACTIONS_MASTER!$Z$5:$Z$1204,$V8,TRANSACTIONS_MASTER!$C$5:$C$1204,$C$2))</f>
        <v>0</v>
      </c>
      <c r="Y8" s="25">
        <f>IF($S8="","",IF(ISNUMBER(INDEX(CASHBACK_RULES!$J$5:$J$304,$S8)),INDEX(CASHBACK_RULES!$J$5:$J$304,$S8),"∞"))</f>
        <v>500000</v>
      </c>
      <c r="Z8" s="25">
        <f>IF($S8="","",IF(ISNUMBER($Y8),MAX(0,$Y8-$X8),"∞"))</f>
        <v>500000</v>
      </c>
      <c r="AA8" s="27">
        <f>IF($S8="","",IF(ISNUMBER($Y8),IF($Y8=0,0,$X8/$Y8),""))</f>
        <v>0</v>
      </c>
    </row>
    <row r="9" ht="20" customHeight="1">
      <c r="A9" s="81" t="str">
        <f>IF($Q9="","",2)</f>
        <v/>
      </c>
      <c r="B9" s="57" t="str">
        <f>IF($Q9="","",INDEX(TRANSACTIONS_MASTER!$B$5:$B$1204,$Q9))</f>
        <v/>
      </c>
      <c r="C9" s="55" t="str">
        <f>IF($Q9="","",INDEX(TRANSACTIONS_MASTER!$F$5:$F$1204,$Q9))</f>
        <v/>
      </c>
      <c r="D9" s="55" t="str">
        <f>IF($Q9="","",INDEX(TRANSACTIONS_MASTER!$E$5:$E$1204,$Q9))</f>
        <v/>
      </c>
      <c r="E9" s="55" t="str">
        <f>IF($Q9="","",INDEX(TRANSACTIONS_MASTER!$G$5:$G$1204,$Q9)&amp;"")</f>
        <v/>
      </c>
      <c r="F9" s="29" t="str">
        <f>IF($Q9="","",INDEX(TRANSACTIONS_MASTER!$I$5:$I$1204,$Q9))</f>
        <v/>
      </c>
      <c r="G9" s="55" t="str">
        <f>IF($Q9="","",INDEX(TRANSACTIONS_MASTER!$K$5:$K$1204,$Q9))</f>
        <v/>
      </c>
      <c r="H9" s="25" t="str">
        <f>IF($Q9="","",INDEX(TRANSACTIONS_MASTER!$L$5:$L$1204,$Q9))</f>
        <v/>
      </c>
      <c r="I9" s="56" t="str">
        <f>IF($Q9="","",INDEX(TRANSACTIONS_MASTER!$N$5:$N$1204,$Q9))</f>
        <v/>
      </c>
      <c r="J9" s="25" t="str">
        <f>IF($Q9="","",INDEX(TRANSACTIONS_MASTER!$O$5:$O$1204,$Q9))</f>
        <v/>
      </c>
      <c r="K9" s="26" t="str">
        <f>IF($Q9="","",INDEX(TRANSACTIONS_MASTER!$Q$5:$Q$1204,$Q9))</f>
        <v/>
      </c>
      <c r="L9" s="25" t="str">
        <f>IF($Q9="","",INDEX(TRANSACTIONS_MASTER!$P$5:$P$1204,$Q9))</f>
        <v/>
      </c>
      <c r="M9" s="25" t="str">
        <f>IF($Q9="","",INDEX(TRANSACTIONS_MASTER!$AA$5:$AA$1204,$Q9))</f>
        <v/>
      </c>
      <c r="N9" s="25" t="str">
        <f>IF($Q9="","",INDEX(TRANSACTIONS_MASTER!$R$5:$R$1204,$Q9))</f>
        <v/>
      </c>
      <c r="O9" s="28" t="str">
        <f>IF($Q9="","",INDEX(TRANSACTIONS_MASTER!$AB$5:$AB$1204,$Q9))</f>
        <v/>
      </c>
      <c r="P9" s="55" t="str">
        <f>IF($Q9="","",INDEX(TRANSACTIONS_MASTER!$Z$5:$Z$1204,$Q9)&amp;"")</f>
        <v/>
      </c>
      <c r="Q9" s="67" t="str">
        <f>IFERROR(MATCH($C$2&amp;"|"&amp;2,TRANSACTIONS_MASTER!$AE$5:$AE$1204,0),"")</f>
        <v/>
      </c>
      <c r="S9" s="67">
        <f>IFERROR(MATCH(2,CASHBACK_RULES!$S$5:$S$304,0),"")</f>
        <v>5</v>
      </c>
      <c r="T9" s="55" t="str">
        <f>IF($S9="","",INDEX(CASHBACK_RULES!$B$5:$B$304,$S9))</f>
        <v>VPB-JCBZ</v>
      </c>
      <c r="U9" s="55" t="str">
        <f>IF($S9="","",INDEX(CASHBACK_RULES!$C$5:$C$304,$S9)&amp;" "&amp;INDEX(CASHBACK_RULES!$D$5:$D$304,$S9))</f>
        <v>VPBank JCB Z Card</v>
      </c>
      <c r="V9" s="55" t="str">
        <f>IF($S9="","",INDEX(CASHBACK_RULES!$E$5:$E$304,$S9)&amp;"")</f>
        <v>Group 2</v>
      </c>
      <c r="W9" s="55" t="str">
        <f>IF($S9="","",INDEX(CASHBACK_RULES!$F$5:$F$304,$S9)&amp;"")</f>
        <v>Entertainment / Fitness</v>
      </c>
      <c r="X9" s="26">
        <f>IF($S9="","",SUMIFS(TRANSACTIONS_MASTER!$Q$5:$Q$1204,TRANSACTIONS_MASTER!$D$5:$D$1204,$T9,TRANSACTIONS_MASTER!$Z$5:$Z$1204,$V9,TRANSACTIONS_MASTER!$C$5:$C$1204,$C$2))</f>
        <v>0</v>
      </c>
      <c r="Y9" s="25">
        <f>IF($S9="","",IF(ISNUMBER(INDEX(CASHBACK_RULES!$J$5:$J$304,$S9)),INDEX(CASHBACK_RULES!$J$5:$J$304,$S9),"∞"))</f>
        <v>500000</v>
      </c>
      <c r="Z9" s="25">
        <f>IF($S9="","",IF(ISNUMBER($Y9),MAX(0,$Y9-$X9),"∞"))</f>
        <v>500000</v>
      </c>
      <c r="AA9" s="27">
        <f>IF($S9="","",IF(ISNUMBER($Y9),IF($Y9=0,0,$X9/$Y9),""))</f>
        <v>0</v>
      </c>
    </row>
    <row r="10" ht="20" customHeight="1">
      <c r="A10" s="81" t="str">
        <f>IF($Q10="","",3)</f>
        <v/>
      </c>
      <c r="B10" s="57" t="str">
        <f>IF($Q10="","",INDEX(TRANSACTIONS_MASTER!$B$5:$B$1204,$Q10))</f>
        <v/>
      </c>
      <c r="C10" s="55" t="str">
        <f>IF($Q10="","",INDEX(TRANSACTIONS_MASTER!$F$5:$F$1204,$Q10))</f>
        <v/>
      </c>
      <c r="D10" s="55" t="str">
        <f>IF($Q10="","",INDEX(TRANSACTIONS_MASTER!$E$5:$E$1204,$Q10))</f>
        <v/>
      </c>
      <c r="E10" s="55" t="str">
        <f>IF($Q10="","",INDEX(TRANSACTIONS_MASTER!$G$5:$G$1204,$Q10)&amp;"")</f>
        <v/>
      </c>
      <c r="F10" s="29" t="str">
        <f>IF($Q10="","",INDEX(TRANSACTIONS_MASTER!$I$5:$I$1204,$Q10))</f>
        <v/>
      </c>
      <c r="G10" s="55" t="str">
        <f>IF($Q10="","",INDEX(TRANSACTIONS_MASTER!$K$5:$K$1204,$Q10))</f>
        <v/>
      </c>
      <c r="H10" s="25" t="str">
        <f>IF($Q10="","",INDEX(TRANSACTIONS_MASTER!$L$5:$L$1204,$Q10))</f>
        <v/>
      </c>
      <c r="I10" s="56" t="str">
        <f>IF($Q10="","",INDEX(TRANSACTIONS_MASTER!$N$5:$N$1204,$Q10))</f>
        <v/>
      </c>
      <c r="J10" s="25" t="str">
        <f>IF($Q10="","",INDEX(TRANSACTIONS_MASTER!$O$5:$O$1204,$Q10))</f>
        <v/>
      </c>
      <c r="K10" s="26" t="str">
        <f>IF($Q10="","",INDEX(TRANSACTIONS_MASTER!$Q$5:$Q$1204,$Q10))</f>
        <v/>
      </c>
      <c r="L10" s="25" t="str">
        <f>IF($Q10="","",INDEX(TRANSACTIONS_MASTER!$P$5:$P$1204,$Q10))</f>
        <v/>
      </c>
      <c r="M10" s="25" t="str">
        <f>IF($Q10="","",INDEX(TRANSACTIONS_MASTER!$AA$5:$AA$1204,$Q10))</f>
        <v/>
      </c>
      <c r="N10" s="25" t="str">
        <f>IF($Q10="","",INDEX(TRANSACTIONS_MASTER!$R$5:$R$1204,$Q10))</f>
        <v/>
      </c>
      <c r="O10" s="28" t="str">
        <f>IF($Q10="","",INDEX(TRANSACTIONS_MASTER!$AB$5:$AB$1204,$Q10))</f>
        <v/>
      </c>
      <c r="P10" s="55" t="str">
        <f>IF($Q10="","",INDEX(TRANSACTIONS_MASTER!$Z$5:$Z$1204,$Q10)&amp;"")</f>
        <v/>
      </c>
      <c r="Q10" s="67" t="str">
        <f>IFERROR(MATCH($C$2&amp;"|"&amp;3,TRANSACTIONS_MASTER!$AE$5:$AE$1204,0),"")</f>
        <v/>
      </c>
      <c r="S10" s="67">
        <f>IFERROR(MATCH(3,CASHBACK_RULES!$S$5:$S$304,0),"")</f>
        <v>9</v>
      </c>
      <c r="T10" s="55" t="str">
        <f>IF($S10="","",INDEX(CASHBACK_RULES!$B$5:$B$304,$S10))</f>
        <v>VPB-JCBZ</v>
      </c>
      <c r="U10" s="55" t="str">
        <f>IF($S10="","",INDEX(CASHBACK_RULES!$C$5:$C$304,$S10)&amp;" "&amp;INDEX(CASHBACK_RULES!$D$5:$D$304,$S10))</f>
        <v>VPBank JCB Z Card</v>
      </c>
      <c r="V10" s="55" t="str">
        <f>IF($S10="","",INDEX(CASHBACK_RULES!$E$5:$E$304,$S10)&amp;"")</f>
        <v>Group 3</v>
      </c>
      <c r="W10" s="55" t="str">
        <f>IF($S10="","",INDEX(CASHBACK_RULES!$F$5:$F$304,$S10)&amp;"")</f>
        <v>Transport / Food Delivery</v>
      </c>
      <c r="X10" s="26">
        <f>IF($S10="","",SUMIFS(TRANSACTIONS_MASTER!$Q$5:$Q$1204,TRANSACTIONS_MASTER!$D$5:$D$1204,$T10,TRANSACTIONS_MASTER!$Z$5:$Z$1204,$V10,TRANSACTIONS_MASTER!$C$5:$C$1204,$C$2))</f>
        <v>0</v>
      </c>
      <c r="Y10" s="25">
        <f>IF($S10="","",IF(ISNUMBER(INDEX(CASHBACK_RULES!$J$5:$J$304,$S10)),INDEX(CASHBACK_RULES!$J$5:$J$304,$S10),"∞"))</f>
        <v>500000</v>
      </c>
      <c r="Z10" s="25">
        <f>IF($S10="","",IF(ISNUMBER($Y10),MAX(0,$Y10-$X10),"∞"))</f>
        <v>500000</v>
      </c>
      <c r="AA10" s="27">
        <f>IF($S10="","",IF(ISNUMBER($Y10),IF($Y10=0,0,$X10/$Y10),""))</f>
        <v>0</v>
      </c>
    </row>
    <row r="11" ht="20" customHeight="1">
      <c r="A11" s="81" t="str">
        <f>IF($Q11="","",4)</f>
        <v/>
      </c>
      <c r="B11" s="57" t="str">
        <f>IF($Q11="","",INDEX(TRANSACTIONS_MASTER!$B$5:$B$1204,$Q11))</f>
        <v/>
      </c>
      <c r="C11" s="55" t="str">
        <f>IF($Q11="","",INDEX(TRANSACTIONS_MASTER!$F$5:$F$1204,$Q11))</f>
        <v/>
      </c>
      <c r="D11" s="55" t="str">
        <f>IF($Q11="","",INDEX(TRANSACTIONS_MASTER!$E$5:$E$1204,$Q11))</f>
        <v/>
      </c>
      <c r="E11" s="55" t="str">
        <f>IF($Q11="","",INDEX(TRANSACTIONS_MASTER!$G$5:$G$1204,$Q11)&amp;"")</f>
        <v/>
      </c>
      <c r="F11" s="29" t="str">
        <f>IF($Q11="","",INDEX(TRANSACTIONS_MASTER!$I$5:$I$1204,$Q11))</f>
        <v/>
      </c>
      <c r="G11" s="55" t="str">
        <f>IF($Q11="","",INDEX(TRANSACTIONS_MASTER!$K$5:$K$1204,$Q11))</f>
        <v/>
      </c>
      <c r="H11" s="25" t="str">
        <f>IF($Q11="","",INDEX(TRANSACTIONS_MASTER!$L$5:$L$1204,$Q11))</f>
        <v/>
      </c>
      <c r="I11" s="56" t="str">
        <f>IF($Q11="","",INDEX(TRANSACTIONS_MASTER!$N$5:$N$1204,$Q11))</f>
        <v/>
      </c>
      <c r="J11" s="25" t="str">
        <f>IF($Q11="","",INDEX(TRANSACTIONS_MASTER!$O$5:$O$1204,$Q11))</f>
        <v/>
      </c>
      <c r="K11" s="26" t="str">
        <f>IF($Q11="","",INDEX(TRANSACTIONS_MASTER!$Q$5:$Q$1204,$Q11))</f>
        <v/>
      </c>
      <c r="L11" s="25" t="str">
        <f>IF($Q11="","",INDEX(TRANSACTIONS_MASTER!$P$5:$P$1204,$Q11))</f>
        <v/>
      </c>
      <c r="M11" s="25" t="str">
        <f>IF($Q11="","",INDEX(TRANSACTIONS_MASTER!$AA$5:$AA$1204,$Q11))</f>
        <v/>
      </c>
      <c r="N11" s="25" t="str">
        <f>IF($Q11="","",INDEX(TRANSACTIONS_MASTER!$R$5:$R$1204,$Q11))</f>
        <v/>
      </c>
      <c r="O11" s="28" t="str">
        <f>IF($Q11="","",INDEX(TRANSACTIONS_MASTER!$AB$5:$AB$1204,$Q11))</f>
        <v/>
      </c>
      <c r="P11" s="55" t="str">
        <f>IF($Q11="","",INDEX(TRANSACTIONS_MASTER!$Z$5:$Z$1204,$Q11)&amp;"")</f>
        <v/>
      </c>
      <c r="Q11" s="67" t="str">
        <f>IFERROR(MATCH($C$2&amp;"|"&amp;4,TRANSACTIONS_MASTER!$AE$5:$AE$1204,0),"")</f>
        <v/>
      </c>
      <c r="S11" s="67">
        <f>IFERROR(MATCH(4,CASHBACK_RULES!$S$5:$S$304,0),"")</f>
        <v>11</v>
      </c>
      <c r="T11" s="55" t="str">
        <f>IF($S11="","",INDEX(CASHBACK_RULES!$B$5:$B$304,$S11))</f>
        <v>VIB-A</v>
      </c>
      <c r="U11" s="55" t="str">
        <f>IF($S11="","",INDEX(CASHBACK_RULES!$C$5:$C$304,$S11)&amp;" "&amp;INDEX(CASHBACK_RULES!$D$5:$D$304,$S11))</f>
        <v>VIB Cashback Demo A</v>
      </c>
      <c r="V11" s="55" t="str">
        <f>IF($S11="","",INDEX(CASHBACK_RULES!$E$5:$E$304,$S11)&amp;"")</f>
        <v>Group 1</v>
      </c>
      <c r="W11" s="55" t="str">
        <f>IF($S11="","",INDEX(CASHBACK_RULES!$F$5:$F$304,$S11)&amp;"")</f>
        <v>Groceries</v>
      </c>
      <c r="X11" s="26">
        <f>IF($S11="","",SUMIFS(TRANSACTIONS_MASTER!$Q$5:$Q$1204,TRANSACTIONS_MASTER!$D$5:$D$1204,$T11,TRANSACTIONS_MASTER!$Z$5:$Z$1204,$V11,TRANSACTIONS_MASTER!$C$5:$C$1204,$C$2))</f>
        <v>0</v>
      </c>
      <c r="Y11" s="25">
        <f>IF($S11="","",IF(ISNUMBER(INDEX(CASHBACK_RULES!$J$5:$J$304,$S11)),INDEX(CASHBACK_RULES!$J$5:$J$304,$S11),"∞"))</f>
        <v>500000</v>
      </c>
      <c r="Z11" s="25">
        <f>IF($S11="","",IF(ISNUMBER($Y11),MAX(0,$Y11-$X11),"∞"))</f>
        <v>500000</v>
      </c>
      <c r="AA11" s="27">
        <f>IF($S11="","",IF(ISNUMBER($Y11),IF($Y11=0,0,$X11/$Y11),""))</f>
        <v>0</v>
      </c>
    </row>
    <row r="12" ht="20" customHeight="1">
      <c r="A12" s="81" t="str">
        <f>IF($Q12="","",5)</f>
        <v/>
      </c>
      <c r="B12" s="57" t="str">
        <f>IF($Q12="","",INDEX(TRANSACTIONS_MASTER!$B$5:$B$1204,$Q12))</f>
        <v/>
      </c>
      <c r="C12" s="55" t="str">
        <f>IF($Q12="","",INDEX(TRANSACTIONS_MASTER!$F$5:$F$1204,$Q12))</f>
        <v/>
      </c>
      <c r="D12" s="55" t="str">
        <f>IF($Q12="","",INDEX(TRANSACTIONS_MASTER!$E$5:$E$1204,$Q12))</f>
        <v/>
      </c>
      <c r="E12" s="55" t="str">
        <f>IF($Q12="","",INDEX(TRANSACTIONS_MASTER!$G$5:$G$1204,$Q12)&amp;"")</f>
        <v/>
      </c>
      <c r="F12" s="29" t="str">
        <f>IF($Q12="","",INDEX(TRANSACTIONS_MASTER!$I$5:$I$1204,$Q12))</f>
        <v/>
      </c>
      <c r="G12" s="55" t="str">
        <f>IF($Q12="","",INDEX(TRANSACTIONS_MASTER!$K$5:$K$1204,$Q12))</f>
        <v/>
      </c>
      <c r="H12" s="25" t="str">
        <f>IF($Q12="","",INDEX(TRANSACTIONS_MASTER!$L$5:$L$1204,$Q12))</f>
        <v/>
      </c>
      <c r="I12" s="56" t="str">
        <f>IF($Q12="","",INDEX(TRANSACTIONS_MASTER!$N$5:$N$1204,$Q12))</f>
        <v/>
      </c>
      <c r="J12" s="25" t="str">
        <f>IF($Q12="","",INDEX(TRANSACTIONS_MASTER!$O$5:$O$1204,$Q12))</f>
        <v/>
      </c>
      <c r="K12" s="26" t="str">
        <f>IF($Q12="","",INDEX(TRANSACTIONS_MASTER!$Q$5:$Q$1204,$Q12))</f>
        <v/>
      </c>
      <c r="L12" s="25" t="str">
        <f>IF($Q12="","",INDEX(TRANSACTIONS_MASTER!$P$5:$P$1204,$Q12))</f>
        <v/>
      </c>
      <c r="M12" s="25" t="str">
        <f>IF($Q12="","",INDEX(TRANSACTIONS_MASTER!$AA$5:$AA$1204,$Q12))</f>
        <v/>
      </c>
      <c r="N12" s="25" t="str">
        <f>IF($Q12="","",INDEX(TRANSACTIONS_MASTER!$R$5:$R$1204,$Q12))</f>
        <v/>
      </c>
      <c r="O12" s="28" t="str">
        <f>IF($Q12="","",INDEX(TRANSACTIONS_MASTER!$AB$5:$AB$1204,$Q12))</f>
        <v/>
      </c>
      <c r="P12" s="55" t="str">
        <f>IF($Q12="","",INDEX(TRANSACTIONS_MASTER!$Z$5:$Z$1204,$Q12)&amp;"")</f>
        <v/>
      </c>
      <c r="Q12" s="67" t="str">
        <f>IFERROR(MATCH($C$2&amp;"|"&amp;5,TRANSACTIONS_MASTER!$AE$5:$AE$1204,0),"")</f>
        <v/>
      </c>
      <c r="S12" s="67">
        <f>IFERROR(MATCH(5,CASHBACK_RULES!$S$5:$S$304,0),"")</f>
        <v>13</v>
      </c>
      <c r="T12" s="55" t="str">
        <f>IF($S12="","",INDEX(CASHBACK_RULES!$B$5:$B$304,$S12))</f>
        <v>VIB-A</v>
      </c>
      <c r="U12" s="55" t="str">
        <f>IF($S12="","",INDEX(CASHBACK_RULES!$C$5:$C$304,$S12)&amp;" "&amp;INDEX(CASHBACK_RULES!$D$5:$D$304,$S12))</f>
        <v>VIB Cashback Demo A</v>
      </c>
      <c r="V12" s="55" t="str">
        <f>IF($S12="","",INDEX(CASHBACK_RULES!$E$5:$E$304,$S12)&amp;"")</f>
        <v>Group 2</v>
      </c>
      <c r="W12" s="55" t="str">
        <f>IF($S12="","",INDEX(CASHBACK_RULES!$F$5:$F$304,$S12)&amp;"")</f>
        <v>Shopping</v>
      </c>
      <c r="X12" s="26">
        <f>IF($S12="","",SUMIFS(TRANSACTIONS_MASTER!$Q$5:$Q$1204,TRANSACTIONS_MASTER!$D$5:$D$1204,$T12,TRANSACTIONS_MASTER!$Z$5:$Z$1204,$V12,TRANSACTIONS_MASTER!$C$5:$C$1204,$C$2))</f>
        <v>0</v>
      </c>
      <c r="Y12" s="25">
        <f>IF($S12="","",IF(ISNUMBER(INDEX(CASHBACK_RULES!$J$5:$J$304,$S12)),INDEX(CASHBACK_RULES!$J$5:$J$304,$S12),"∞"))</f>
        <v>500000</v>
      </c>
      <c r="Z12" s="25">
        <f>IF($S12="","",IF(ISNUMBER($Y12),MAX(0,$Y12-$X12),"∞"))</f>
        <v>500000</v>
      </c>
      <c r="AA12" s="27">
        <f>IF($S12="","",IF(ISNUMBER($Y12),IF($Y12=0,0,$X12/$Y12),""))</f>
        <v>0</v>
      </c>
    </row>
    <row r="13" ht="20" customHeight="1">
      <c r="A13" s="81" t="str">
        <f>IF($Q13="","",6)</f>
        <v/>
      </c>
      <c r="B13" s="57" t="str">
        <f>IF($Q13="","",INDEX(TRANSACTIONS_MASTER!$B$5:$B$1204,$Q13))</f>
        <v/>
      </c>
      <c r="C13" s="55" t="str">
        <f>IF($Q13="","",INDEX(TRANSACTIONS_MASTER!$F$5:$F$1204,$Q13))</f>
        <v/>
      </c>
      <c r="D13" s="55" t="str">
        <f>IF($Q13="","",INDEX(TRANSACTIONS_MASTER!$E$5:$E$1204,$Q13))</f>
        <v/>
      </c>
      <c r="E13" s="55" t="str">
        <f>IF($Q13="","",INDEX(TRANSACTIONS_MASTER!$G$5:$G$1204,$Q13)&amp;"")</f>
        <v/>
      </c>
      <c r="F13" s="29" t="str">
        <f>IF($Q13="","",INDEX(TRANSACTIONS_MASTER!$I$5:$I$1204,$Q13))</f>
        <v/>
      </c>
      <c r="G13" s="55" t="str">
        <f>IF($Q13="","",INDEX(TRANSACTIONS_MASTER!$K$5:$K$1204,$Q13))</f>
        <v/>
      </c>
      <c r="H13" s="25" t="str">
        <f>IF($Q13="","",INDEX(TRANSACTIONS_MASTER!$L$5:$L$1204,$Q13))</f>
        <v/>
      </c>
      <c r="I13" s="56" t="str">
        <f>IF($Q13="","",INDEX(TRANSACTIONS_MASTER!$N$5:$N$1204,$Q13))</f>
        <v/>
      </c>
      <c r="J13" s="25" t="str">
        <f>IF($Q13="","",INDEX(TRANSACTIONS_MASTER!$O$5:$O$1204,$Q13))</f>
        <v/>
      </c>
      <c r="K13" s="26" t="str">
        <f>IF($Q13="","",INDEX(TRANSACTIONS_MASTER!$Q$5:$Q$1204,$Q13))</f>
        <v/>
      </c>
      <c r="L13" s="25" t="str">
        <f>IF($Q13="","",INDEX(TRANSACTIONS_MASTER!$P$5:$P$1204,$Q13))</f>
        <v/>
      </c>
      <c r="M13" s="25" t="str">
        <f>IF($Q13="","",INDEX(TRANSACTIONS_MASTER!$AA$5:$AA$1204,$Q13))</f>
        <v/>
      </c>
      <c r="N13" s="25" t="str">
        <f>IF($Q13="","",INDEX(TRANSACTIONS_MASTER!$R$5:$R$1204,$Q13))</f>
        <v/>
      </c>
      <c r="O13" s="28" t="str">
        <f>IF($Q13="","",INDEX(TRANSACTIONS_MASTER!$AB$5:$AB$1204,$Q13))</f>
        <v/>
      </c>
      <c r="P13" s="55" t="str">
        <f>IF($Q13="","",INDEX(TRANSACTIONS_MASTER!$Z$5:$Z$1204,$Q13)&amp;"")</f>
        <v/>
      </c>
      <c r="Q13" s="67" t="str">
        <f>IFERROR(MATCH($C$2&amp;"|"&amp;6,TRANSACTIONS_MASTER!$AE$5:$AE$1204,0),"")</f>
        <v/>
      </c>
      <c r="S13" s="67">
        <f>IFERROR(MATCH(6,CASHBACK_RULES!$S$5:$S$304,0),"")</f>
        <v>15</v>
      </c>
      <c r="T13" s="55" t="str">
        <f>IF($S13="","",INDEX(CASHBACK_RULES!$B$5:$B$304,$S13))</f>
        <v>TCB-B</v>
      </c>
      <c r="U13" s="55" t="str">
        <f>IF($S13="","",INDEX(CASHBACK_RULES!$C$5:$C$304,$S13)&amp;" "&amp;INDEX(CASHBACK_RULES!$D$5:$D$304,$S13))</f>
        <v>Techcombank Cashback Demo B</v>
      </c>
      <c r="V13" s="55" t="str">
        <f>IF($S13="","",INDEX(CASHBACK_RULES!$E$5:$E$304,$S13)&amp;"")</f>
        <v>Group 1</v>
      </c>
      <c r="W13" s="55" t="str">
        <f>IF($S13="","",INDEX(CASHBACK_RULES!$F$5:$F$304,$S13)&amp;"")</f>
        <v>Fuel &amp; Transport</v>
      </c>
      <c r="X13" s="26">
        <f>IF($S13="","",SUMIFS(TRANSACTIONS_MASTER!$Q$5:$Q$1204,TRANSACTIONS_MASTER!$D$5:$D$1204,$T13,TRANSACTIONS_MASTER!$Z$5:$Z$1204,$V13,TRANSACTIONS_MASTER!$C$5:$C$1204,$C$2))</f>
        <v>0</v>
      </c>
      <c r="Y13" s="25">
        <f>IF($S13="","",IF(ISNUMBER(INDEX(CASHBACK_RULES!$J$5:$J$304,$S13)),INDEX(CASHBACK_RULES!$J$5:$J$304,$S13),"∞"))</f>
        <v>300000</v>
      </c>
      <c r="Z13" s="25">
        <f>IF($S13="","",IF(ISNUMBER($Y13),MAX(0,$Y13-$X13),"∞"))</f>
        <v>300000</v>
      </c>
      <c r="AA13" s="27">
        <f>IF($S13="","",IF(ISNUMBER($Y13),IF($Y13=0,0,$X13/$Y13),""))</f>
        <v>0</v>
      </c>
    </row>
    <row r="14" ht="20" customHeight="1">
      <c r="A14" s="81" t="str">
        <f>IF($Q14="","",7)</f>
        <v/>
      </c>
      <c r="B14" s="57" t="str">
        <f>IF($Q14="","",INDEX(TRANSACTIONS_MASTER!$B$5:$B$1204,$Q14))</f>
        <v/>
      </c>
      <c r="C14" s="55" t="str">
        <f>IF($Q14="","",INDEX(TRANSACTIONS_MASTER!$F$5:$F$1204,$Q14))</f>
        <v/>
      </c>
      <c r="D14" s="55" t="str">
        <f>IF($Q14="","",INDEX(TRANSACTIONS_MASTER!$E$5:$E$1204,$Q14))</f>
        <v/>
      </c>
      <c r="E14" s="55" t="str">
        <f>IF($Q14="","",INDEX(TRANSACTIONS_MASTER!$G$5:$G$1204,$Q14)&amp;"")</f>
        <v/>
      </c>
      <c r="F14" s="29" t="str">
        <f>IF($Q14="","",INDEX(TRANSACTIONS_MASTER!$I$5:$I$1204,$Q14))</f>
        <v/>
      </c>
      <c r="G14" s="55" t="str">
        <f>IF($Q14="","",INDEX(TRANSACTIONS_MASTER!$K$5:$K$1204,$Q14))</f>
        <v/>
      </c>
      <c r="H14" s="25" t="str">
        <f>IF($Q14="","",INDEX(TRANSACTIONS_MASTER!$L$5:$L$1204,$Q14))</f>
        <v/>
      </c>
      <c r="I14" s="56" t="str">
        <f>IF($Q14="","",INDEX(TRANSACTIONS_MASTER!$N$5:$N$1204,$Q14))</f>
        <v/>
      </c>
      <c r="J14" s="25" t="str">
        <f>IF($Q14="","",INDEX(TRANSACTIONS_MASTER!$O$5:$O$1204,$Q14))</f>
        <v/>
      </c>
      <c r="K14" s="26" t="str">
        <f>IF($Q14="","",INDEX(TRANSACTIONS_MASTER!$Q$5:$Q$1204,$Q14))</f>
        <v/>
      </c>
      <c r="L14" s="25" t="str">
        <f>IF($Q14="","",INDEX(TRANSACTIONS_MASTER!$P$5:$P$1204,$Q14))</f>
        <v/>
      </c>
      <c r="M14" s="25" t="str">
        <f>IF($Q14="","",INDEX(TRANSACTIONS_MASTER!$AA$5:$AA$1204,$Q14))</f>
        <v/>
      </c>
      <c r="N14" s="25" t="str">
        <f>IF($Q14="","",INDEX(TRANSACTIONS_MASTER!$R$5:$R$1204,$Q14))</f>
        <v/>
      </c>
      <c r="O14" s="28" t="str">
        <f>IF($Q14="","",INDEX(TRANSACTIONS_MASTER!$AB$5:$AB$1204,$Q14))</f>
        <v/>
      </c>
      <c r="P14" s="55" t="str">
        <f>IF($Q14="","",INDEX(TRANSACTIONS_MASTER!$Z$5:$Z$1204,$Q14)&amp;"")</f>
        <v/>
      </c>
      <c r="Q14" s="67" t="str">
        <f>IFERROR(MATCH($C$2&amp;"|"&amp;7,TRANSACTIONS_MASTER!$AE$5:$AE$1204,0),"")</f>
        <v/>
      </c>
      <c r="S14" s="67">
        <f>IFERROR(MATCH(7,CASHBACK_RULES!$S$5:$S$304,0),"")</f>
        <v>18</v>
      </c>
      <c r="T14" s="55" t="str">
        <f>IF($S14="","",INDEX(CASHBACK_RULES!$B$5:$B$304,$S14))</f>
        <v>TCB-B</v>
      </c>
      <c r="U14" s="55" t="str">
        <f>IF($S14="","",INDEX(CASHBACK_RULES!$C$5:$C$304,$S14)&amp;" "&amp;INDEX(CASHBACK_RULES!$D$5:$D$304,$S14))</f>
        <v>Techcombank Cashback Demo B</v>
      </c>
      <c r="V14" s="55" t="str">
        <f>IF($S14="","",INDEX(CASHBACK_RULES!$E$5:$E$304,$S14)&amp;"")</f>
        <v>Group 2</v>
      </c>
      <c r="W14" s="55" t="str">
        <f>IF($S14="","",INDEX(CASHBACK_RULES!$F$5:$F$304,$S14)&amp;"")</f>
        <v>Healthcare</v>
      </c>
      <c r="X14" s="26">
        <f>IF($S14="","",SUMIFS(TRANSACTIONS_MASTER!$Q$5:$Q$1204,TRANSACTIONS_MASTER!$D$5:$D$1204,$T14,TRANSACTIONS_MASTER!$Z$5:$Z$1204,$V14,TRANSACTIONS_MASTER!$C$5:$C$1204,$C$2))</f>
        <v>0</v>
      </c>
      <c r="Y14" s="25">
        <f>IF($S14="","",IF(ISNUMBER(INDEX(CASHBACK_RULES!$J$5:$J$304,$S14)),INDEX(CASHBACK_RULES!$J$5:$J$304,$S14),"∞"))</f>
        <v>300000</v>
      </c>
      <c r="Z14" s="25">
        <f>IF($S14="","",IF(ISNUMBER($Y14),MAX(0,$Y14-$X14),"∞"))</f>
        <v>300000</v>
      </c>
      <c r="AA14" s="27">
        <f>IF($S14="","",IF(ISNUMBER($Y14),IF($Y14=0,0,$X14/$Y14),""))</f>
        <v>0</v>
      </c>
    </row>
    <row r="15" ht="20" customHeight="1">
      <c r="A15" s="81" t="str">
        <f>IF($Q15="","",8)</f>
        <v/>
      </c>
      <c r="B15" s="57" t="str">
        <f>IF($Q15="","",INDEX(TRANSACTIONS_MASTER!$B$5:$B$1204,$Q15))</f>
        <v/>
      </c>
      <c r="C15" s="55" t="str">
        <f>IF($Q15="","",INDEX(TRANSACTIONS_MASTER!$F$5:$F$1204,$Q15))</f>
        <v/>
      </c>
      <c r="D15" s="55" t="str">
        <f>IF($Q15="","",INDEX(TRANSACTIONS_MASTER!$E$5:$E$1204,$Q15))</f>
        <v/>
      </c>
      <c r="E15" s="55" t="str">
        <f>IF($Q15="","",INDEX(TRANSACTIONS_MASTER!$G$5:$G$1204,$Q15)&amp;"")</f>
        <v/>
      </c>
      <c r="F15" s="29" t="str">
        <f>IF($Q15="","",INDEX(TRANSACTIONS_MASTER!$I$5:$I$1204,$Q15))</f>
        <v/>
      </c>
      <c r="G15" s="55" t="str">
        <f>IF($Q15="","",INDEX(TRANSACTIONS_MASTER!$K$5:$K$1204,$Q15))</f>
        <v/>
      </c>
      <c r="H15" s="25" t="str">
        <f>IF($Q15="","",INDEX(TRANSACTIONS_MASTER!$L$5:$L$1204,$Q15))</f>
        <v/>
      </c>
      <c r="I15" s="56" t="str">
        <f>IF($Q15="","",INDEX(TRANSACTIONS_MASTER!$N$5:$N$1204,$Q15))</f>
        <v/>
      </c>
      <c r="J15" s="25" t="str">
        <f>IF($Q15="","",INDEX(TRANSACTIONS_MASTER!$O$5:$O$1204,$Q15))</f>
        <v/>
      </c>
      <c r="K15" s="26" t="str">
        <f>IF($Q15="","",INDEX(TRANSACTIONS_MASTER!$Q$5:$Q$1204,$Q15))</f>
        <v/>
      </c>
      <c r="L15" s="25" t="str">
        <f>IF($Q15="","",INDEX(TRANSACTIONS_MASTER!$P$5:$P$1204,$Q15))</f>
        <v/>
      </c>
      <c r="M15" s="25" t="str">
        <f>IF($Q15="","",INDEX(TRANSACTIONS_MASTER!$AA$5:$AA$1204,$Q15))</f>
        <v/>
      </c>
      <c r="N15" s="25" t="str">
        <f>IF($Q15="","",INDEX(TRANSACTIONS_MASTER!$R$5:$R$1204,$Q15))</f>
        <v/>
      </c>
      <c r="O15" s="28" t="str">
        <f>IF($Q15="","",INDEX(TRANSACTIONS_MASTER!$AB$5:$AB$1204,$Q15))</f>
        <v/>
      </c>
      <c r="P15" s="55" t="str">
        <f>IF($Q15="","",INDEX(TRANSACTIONS_MASTER!$Z$5:$Z$1204,$Q15)&amp;"")</f>
        <v/>
      </c>
      <c r="Q15" s="67" t="str">
        <f>IFERROR(MATCH($C$2&amp;"|"&amp;8,TRANSACTIONS_MASTER!$AE$5:$AE$1204,0),"")</f>
        <v/>
      </c>
      <c r="S15" s="67">
        <f>IFERROR(MATCH(8,CASHBACK_RULES!$S$5:$S$304,0),"")</f>
        <v>20</v>
      </c>
      <c r="T15" s="55" t="str">
        <f>IF($S15="","",INDEX(CASHBACK_RULES!$B$5:$B$304,$S15))</f>
        <v>TCB-B</v>
      </c>
      <c r="U15" s="55" t="str">
        <f>IF($S15="","",INDEX(CASHBACK_RULES!$C$5:$C$304,$S15)&amp;" "&amp;INDEX(CASHBACK_RULES!$D$5:$D$304,$S15))</f>
        <v>Techcombank Cashback Demo B</v>
      </c>
      <c r="V15" s="55" t="str">
        <f>IF($S15="","",INDEX(CASHBACK_RULES!$E$5:$E$304,$S15)&amp;"")</f>
        <v>Group 3</v>
      </c>
      <c r="W15" s="55" t="str">
        <f>IF($S15="","",INDEX(CASHBACK_RULES!$F$5:$F$304,$S15)&amp;"")</f>
        <v>Utilities &amp; Telecom</v>
      </c>
      <c r="X15" s="26">
        <f>IF($S15="","",SUMIFS(TRANSACTIONS_MASTER!$Q$5:$Q$1204,TRANSACTIONS_MASTER!$D$5:$D$1204,$T15,TRANSACTIONS_MASTER!$Z$5:$Z$1204,$V15,TRANSACTIONS_MASTER!$C$5:$C$1204,$C$2))</f>
        <v>0</v>
      </c>
      <c r="Y15" s="25">
        <f>IF($S15="","",IF(ISNUMBER(INDEX(CASHBACK_RULES!$J$5:$J$304,$S15)),INDEX(CASHBACK_RULES!$J$5:$J$304,$S15),"∞"))</f>
        <v>300000</v>
      </c>
      <c r="Z15" s="25">
        <f>IF($S15="","",IF(ISNUMBER($Y15),MAX(0,$Y15-$X15),"∞"))</f>
        <v>300000</v>
      </c>
      <c r="AA15" s="27">
        <f>IF($S15="","",IF(ISNUMBER($Y15),IF($Y15=0,0,$X15/$Y15),""))</f>
        <v>0</v>
      </c>
    </row>
    <row r="16" ht="20" customHeight="1">
      <c r="A16" s="81" t="str">
        <f>IF($Q16="","",9)</f>
        <v/>
      </c>
      <c r="B16" s="57" t="str">
        <f>IF($Q16="","",INDEX(TRANSACTIONS_MASTER!$B$5:$B$1204,$Q16))</f>
        <v/>
      </c>
      <c r="C16" s="55" t="str">
        <f>IF($Q16="","",INDEX(TRANSACTIONS_MASTER!$F$5:$F$1204,$Q16))</f>
        <v/>
      </c>
      <c r="D16" s="55" t="str">
        <f>IF($Q16="","",INDEX(TRANSACTIONS_MASTER!$E$5:$E$1204,$Q16))</f>
        <v/>
      </c>
      <c r="E16" s="55" t="str">
        <f>IF($Q16="","",INDEX(TRANSACTIONS_MASTER!$G$5:$G$1204,$Q16)&amp;"")</f>
        <v/>
      </c>
      <c r="F16" s="29" t="str">
        <f>IF($Q16="","",INDEX(TRANSACTIONS_MASTER!$I$5:$I$1204,$Q16))</f>
        <v/>
      </c>
      <c r="G16" s="55" t="str">
        <f>IF($Q16="","",INDEX(TRANSACTIONS_MASTER!$K$5:$K$1204,$Q16))</f>
        <v/>
      </c>
      <c r="H16" s="25" t="str">
        <f>IF($Q16="","",INDEX(TRANSACTIONS_MASTER!$L$5:$L$1204,$Q16))</f>
        <v/>
      </c>
      <c r="I16" s="56" t="str">
        <f>IF($Q16="","",INDEX(TRANSACTIONS_MASTER!$N$5:$N$1204,$Q16))</f>
        <v/>
      </c>
      <c r="J16" s="25" t="str">
        <f>IF($Q16="","",INDEX(TRANSACTIONS_MASTER!$O$5:$O$1204,$Q16))</f>
        <v/>
      </c>
      <c r="K16" s="26" t="str">
        <f>IF($Q16="","",INDEX(TRANSACTIONS_MASTER!$Q$5:$Q$1204,$Q16))</f>
        <v/>
      </c>
      <c r="L16" s="25" t="str">
        <f>IF($Q16="","",INDEX(TRANSACTIONS_MASTER!$P$5:$P$1204,$Q16))</f>
        <v/>
      </c>
      <c r="M16" s="25" t="str">
        <f>IF($Q16="","",INDEX(TRANSACTIONS_MASTER!$AA$5:$AA$1204,$Q16))</f>
        <v/>
      </c>
      <c r="N16" s="25" t="str">
        <f>IF($Q16="","",INDEX(TRANSACTIONS_MASTER!$R$5:$R$1204,$Q16))</f>
        <v/>
      </c>
      <c r="O16" s="28" t="str">
        <f>IF($Q16="","",INDEX(TRANSACTIONS_MASTER!$AB$5:$AB$1204,$Q16))</f>
        <v/>
      </c>
      <c r="P16" s="55" t="str">
        <f>IF($Q16="","",INDEX(TRANSACTIONS_MASTER!$Z$5:$Z$1204,$Q16)&amp;"")</f>
        <v/>
      </c>
      <c r="Q16" s="67" t="str">
        <f>IFERROR(MATCH($C$2&amp;"|"&amp;9,TRANSACTIONS_MASTER!$AE$5:$AE$1204,0),"")</f>
        <v/>
      </c>
      <c r="S16" s="67">
        <f>IFERROR(MATCH(9,CASHBACK_RULES!$S$5:$S$304,0),"")</f>
        <v>22</v>
      </c>
      <c r="T16" s="55" t="str">
        <f>IF($S16="","",INDEX(CASHBACK_RULES!$B$5:$B$304,$S16))</f>
        <v>UOB-C</v>
      </c>
      <c r="U16" s="55" t="str">
        <f>IF($S16="","",INDEX(CASHBACK_RULES!$C$5:$C$304,$S16)&amp;" "&amp;INDEX(CASHBACK_RULES!$D$5:$D$304,$S16))</f>
        <v>UOB Cashback Demo C</v>
      </c>
      <c r="V16" s="55" t="str">
        <f>IF($S16="","",INDEX(CASHBACK_RULES!$E$5:$E$304,$S16)&amp;"")</f>
        <v>Group 1</v>
      </c>
      <c r="W16" s="55" t="str">
        <f>IF($S16="","",INDEX(CASHBACK_RULES!$F$5:$F$304,$S16)&amp;"")</f>
        <v>Dining</v>
      </c>
      <c r="X16" s="26">
        <f>IF($S16="","",SUMIFS(TRANSACTIONS_MASTER!$Q$5:$Q$1204,TRANSACTIONS_MASTER!$D$5:$D$1204,$T16,TRANSACTIONS_MASTER!$Z$5:$Z$1204,$V16,TRANSACTIONS_MASTER!$C$5:$C$1204,$C$2))</f>
        <v>0</v>
      </c>
      <c r="Y16" s="25">
        <f>IF($S16="","",IF(ISNUMBER(INDEX(CASHBACK_RULES!$J$5:$J$304,$S16)),INDEX(CASHBACK_RULES!$J$5:$J$304,$S16),"∞"))</f>
        <v>1000000</v>
      </c>
      <c r="Z16" s="25">
        <f>IF($S16="","",IF(ISNUMBER($Y16),MAX(0,$Y16-$X16),"∞"))</f>
        <v>1000000</v>
      </c>
      <c r="AA16" s="27">
        <f>IF($S16="","",IF(ISNUMBER($Y16),IF($Y16=0,0,$X16/$Y16),""))</f>
        <v>0</v>
      </c>
    </row>
    <row r="17" ht="20" customHeight="1">
      <c r="A17" s="81" t="str">
        <f>IF($Q17="","",10)</f>
        <v/>
      </c>
      <c r="B17" s="57" t="str">
        <f>IF($Q17="","",INDEX(TRANSACTIONS_MASTER!$B$5:$B$1204,$Q17))</f>
        <v/>
      </c>
      <c r="C17" s="55" t="str">
        <f>IF($Q17="","",INDEX(TRANSACTIONS_MASTER!$F$5:$F$1204,$Q17))</f>
        <v/>
      </c>
      <c r="D17" s="55" t="str">
        <f>IF($Q17="","",INDEX(TRANSACTIONS_MASTER!$E$5:$E$1204,$Q17))</f>
        <v/>
      </c>
      <c r="E17" s="55" t="str">
        <f>IF($Q17="","",INDEX(TRANSACTIONS_MASTER!$G$5:$G$1204,$Q17)&amp;"")</f>
        <v/>
      </c>
      <c r="F17" s="29" t="str">
        <f>IF($Q17="","",INDEX(TRANSACTIONS_MASTER!$I$5:$I$1204,$Q17))</f>
        <v/>
      </c>
      <c r="G17" s="55" t="str">
        <f>IF($Q17="","",INDEX(TRANSACTIONS_MASTER!$K$5:$K$1204,$Q17))</f>
        <v/>
      </c>
      <c r="H17" s="25" t="str">
        <f>IF($Q17="","",INDEX(TRANSACTIONS_MASTER!$L$5:$L$1204,$Q17))</f>
        <v/>
      </c>
      <c r="I17" s="56" t="str">
        <f>IF($Q17="","",INDEX(TRANSACTIONS_MASTER!$N$5:$N$1204,$Q17))</f>
        <v/>
      </c>
      <c r="J17" s="25" t="str">
        <f>IF($Q17="","",INDEX(TRANSACTIONS_MASTER!$O$5:$O$1204,$Q17))</f>
        <v/>
      </c>
      <c r="K17" s="26" t="str">
        <f>IF($Q17="","",INDEX(TRANSACTIONS_MASTER!$Q$5:$Q$1204,$Q17))</f>
        <v/>
      </c>
      <c r="L17" s="25" t="str">
        <f>IF($Q17="","",INDEX(TRANSACTIONS_MASTER!$P$5:$P$1204,$Q17))</f>
        <v/>
      </c>
      <c r="M17" s="25" t="str">
        <f>IF($Q17="","",INDEX(TRANSACTIONS_MASTER!$AA$5:$AA$1204,$Q17))</f>
        <v/>
      </c>
      <c r="N17" s="25" t="str">
        <f>IF($Q17="","",INDEX(TRANSACTIONS_MASTER!$R$5:$R$1204,$Q17))</f>
        <v/>
      </c>
      <c r="O17" s="28" t="str">
        <f>IF($Q17="","",INDEX(TRANSACTIONS_MASTER!$AB$5:$AB$1204,$Q17))</f>
        <v/>
      </c>
      <c r="P17" s="55" t="str">
        <f>IF($Q17="","",INDEX(TRANSACTIONS_MASTER!$Z$5:$Z$1204,$Q17)&amp;"")</f>
        <v/>
      </c>
      <c r="Q17" s="67" t="str">
        <f>IFERROR(MATCH($C$2&amp;"|"&amp;10,TRANSACTIONS_MASTER!$AE$5:$AE$1204,0),"")</f>
        <v/>
      </c>
      <c r="S17" s="67">
        <f>IFERROR(MATCH(10,CASHBACK_RULES!$S$5:$S$304,0),"")</f>
        <v>24</v>
      </c>
      <c r="T17" s="55" t="str">
        <f>IF($S17="","",INDEX(CASHBACK_RULES!$B$5:$B$304,$S17))</f>
        <v>MB-D</v>
      </c>
      <c r="U17" s="55" t="str">
        <f>IF($S17="","",INDEX(CASHBACK_RULES!$C$5:$C$304,$S17)&amp;" "&amp;INDEX(CASHBACK_RULES!$D$5:$D$304,$S17))</f>
        <v>MB Cashback Demo D</v>
      </c>
      <c r="V17" s="55" t="str">
        <f>IF($S17="","",INDEX(CASHBACK_RULES!$E$5:$E$304,$S17)&amp;"")</f>
        <v>Dining</v>
      </c>
      <c r="W17" s="55" t="str">
        <f>IF($S17="","",INDEX(CASHBACK_RULES!$F$5:$F$304,$S17)&amp;"")</f>
        <v>Dining</v>
      </c>
      <c r="X17" s="26">
        <f>IF($S17="","",SUMIFS(TRANSACTIONS_MASTER!$Q$5:$Q$1204,TRANSACTIONS_MASTER!$D$5:$D$1204,$T17,TRANSACTIONS_MASTER!$Z$5:$Z$1204,$V17,TRANSACTIONS_MASTER!$C$5:$C$1204,$C$2))</f>
        <v>0</v>
      </c>
      <c r="Y17" s="25">
        <f>IF($S17="","",IF(ISNUMBER(INDEX(CASHBACK_RULES!$J$5:$J$304,$S17)),INDEX(CASHBACK_RULES!$J$5:$J$304,$S17),"∞"))</f>
        <v>500000</v>
      </c>
      <c r="Z17" s="25">
        <f>IF($S17="","",IF(ISNUMBER($Y17),MAX(0,$Y17-$X17),"∞"))</f>
        <v>500000</v>
      </c>
      <c r="AA17" s="27">
        <f>IF($S17="","",IF(ISNUMBER($Y17),IF($Y17=0,0,$X17/$Y17),""))</f>
        <v>0</v>
      </c>
    </row>
    <row r="18" ht="20" customHeight="1">
      <c r="A18" s="81" t="str">
        <f>IF($Q18="","",11)</f>
        <v/>
      </c>
      <c r="B18" s="57" t="str">
        <f>IF($Q18="","",INDEX(TRANSACTIONS_MASTER!$B$5:$B$1204,$Q18))</f>
        <v/>
      </c>
      <c r="C18" s="55" t="str">
        <f>IF($Q18="","",INDEX(TRANSACTIONS_MASTER!$F$5:$F$1204,$Q18))</f>
        <v/>
      </c>
      <c r="D18" s="55" t="str">
        <f>IF($Q18="","",INDEX(TRANSACTIONS_MASTER!$E$5:$E$1204,$Q18))</f>
        <v/>
      </c>
      <c r="E18" s="55" t="str">
        <f>IF($Q18="","",INDEX(TRANSACTIONS_MASTER!$G$5:$G$1204,$Q18)&amp;"")</f>
        <v/>
      </c>
      <c r="F18" s="29" t="str">
        <f>IF($Q18="","",INDEX(TRANSACTIONS_MASTER!$I$5:$I$1204,$Q18))</f>
        <v/>
      </c>
      <c r="G18" s="55" t="str">
        <f>IF($Q18="","",INDEX(TRANSACTIONS_MASTER!$K$5:$K$1204,$Q18))</f>
        <v/>
      </c>
      <c r="H18" s="25" t="str">
        <f>IF($Q18="","",INDEX(TRANSACTIONS_MASTER!$L$5:$L$1204,$Q18))</f>
        <v/>
      </c>
      <c r="I18" s="56" t="str">
        <f>IF($Q18="","",INDEX(TRANSACTIONS_MASTER!$N$5:$N$1204,$Q18))</f>
        <v/>
      </c>
      <c r="J18" s="25" t="str">
        <f>IF($Q18="","",INDEX(TRANSACTIONS_MASTER!$O$5:$O$1204,$Q18))</f>
        <v/>
      </c>
      <c r="K18" s="26" t="str">
        <f>IF($Q18="","",INDEX(TRANSACTIONS_MASTER!$Q$5:$Q$1204,$Q18))</f>
        <v/>
      </c>
      <c r="L18" s="25" t="str">
        <f>IF($Q18="","",INDEX(TRANSACTIONS_MASTER!$P$5:$P$1204,$Q18))</f>
        <v/>
      </c>
      <c r="M18" s="25" t="str">
        <f>IF($Q18="","",INDEX(TRANSACTIONS_MASTER!$AA$5:$AA$1204,$Q18))</f>
        <v/>
      </c>
      <c r="N18" s="25" t="str">
        <f>IF($Q18="","",INDEX(TRANSACTIONS_MASTER!$R$5:$R$1204,$Q18))</f>
        <v/>
      </c>
      <c r="O18" s="28" t="str">
        <f>IF($Q18="","",INDEX(TRANSACTIONS_MASTER!$AB$5:$AB$1204,$Q18))</f>
        <v/>
      </c>
      <c r="P18" s="55" t="str">
        <f>IF($Q18="","",INDEX(TRANSACTIONS_MASTER!$Z$5:$Z$1204,$Q18)&amp;"")</f>
        <v/>
      </c>
      <c r="Q18" s="67" t="str">
        <f>IFERROR(MATCH($C$2&amp;"|"&amp;11,TRANSACTIONS_MASTER!$AE$5:$AE$1204,0),"")</f>
        <v/>
      </c>
      <c r="S18" s="67">
        <f>IFERROR(MATCH(11,CASHBACK_RULES!$S$5:$S$304,0),"")</f>
        <v>25</v>
      </c>
      <c r="T18" s="55" t="str">
        <f>IF($S18="","",INDEX(CASHBACK_RULES!$B$5:$B$304,$S18))</f>
        <v>MB-D</v>
      </c>
      <c r="U18" s="55" t="str">
        <f>IF($S18="","",INDEX(CASHBACK_RULES!$C$5:$C$304,$S18)&amp;" "&amp;INDEX(CASHBACK_RULES!$D$5:$D$304,$S18))</f>
        <v>MB Cashback Demo D</v>
      </c>
      <c r="V18" s="55" t="str">
        <f>IF($S18="","",INDEX(CASHBACK_RULES!$E$5:$E$304,$S18)&amp;"")</f>
        <v>Fuel</v>
      </c>
      <c r="W18" s="55" t="str">
        <f>IF($S18="","",INDEX(CASHBACK_RULES!$F$5:$F$304,$S18)&amp;"")</f>
        <v>Fuel</v>
      </c>
      <c r="X18" s="26">
        <f>IF($S18="","",SUMIFS(TRANSACTIONS_MASTER!$Q$5:$Q$1204,TRANSACTIONS_MASTER!$D$5:$D$1204,$T18,TRANSACTIONS_MASTER!$Z$5:$Z$1204,$V18,TRANSACTIONS_MASTER!$C$5:$C$1204,$C$2))</f>
        <v>0</v>
      </c>
      <c r="Y18" s="25">
        <f>IF($S18="","",IF(ISNUMBER(INDEX(CASHBACK_RULES!$J$5:$J$304,$S18)),INDEX(CASHBACK_RULES!$J$5:$J$304,$S18),"∞"))</f>
        <v>200000</v>
      </c>
      <c r="Z18" s="25">
        <f>IF($S18="","",IF(ISNUMBER($Y18),MAX(0,$Y18-$X18),"∞"))</f>
        <v>200000</v>
      </c>
      <c r="AA18" s="27">
        <f>IF($S18="","",IF(ISNUMBER($Y18),IF($Y18=0,0,$X18/$Y18),""))</f>
        <v>0</v>
      </c>
    </row>
    <row r="19" ht="20" customHeight="1">
      <c r="A19" s="81" t="str">
        <f>IF($Q19="","",12)</f>
        <v/>
      </c>
      <c r="B19" s="57" t="str">
        <f>IF($Q19="","",INDEX(TRANSACTIONS_MASTER!$B$5:$B$1204,$Q19))</f>
        <v/>
      </c>
      <c r="C19" s="55" t="str">
        <f>IF($Q19="","",INDEX(TRANSACTIONS_MASTER!$F$5:$F$1204,$Q19))</f>
        <v/>
      </c>
      <c r="D19" s="55" t="str">
        <f>IF($Q19="","",INDEX(TRANSACTIONS_MASTER!$E$5:$E$1204,$Q19))</f>
        <v/>
      </c>
      <c r="E19" s="55" t="str">
        <f>IF($Q19="","",INDEX(TRANSACTIONS_MASTER!$G$5:$G$1204,$Q19)&amp;"")</f>
        <v/>
      </c>
      <c r="F19" s="29" t="str">
        <f>IF($Q19="","",INDEX(TRANSACTIONS_MASTER!$I$5:$I$1204,$Q19))</f>
        <v/>
      </c>
      <c r="G19" s="55" t="str">
        <f>IF($Q19="","",INDEX(TRANSACTIONS_MASTER!$K$5:$K$1204,$Q19))</f>
        <v/>
      </c>
      <c r="H19" s="25" t="str">
        <f>IF($Q19="","",INDEX(TRANSACTIONS_MASTER!$L$5:$L$1204,$Q19))</f>
        <v/>
      </c>
      <c r="I19" s="56" t="str">
        <f>IF($Q19="","",INDEX(TRANSACTIONS_MASTER!$N$5:$N$1204,$Q19))</f>
        <v/>
      </c>
      <c r="J19" s="25" t="str">
        <f>IF($Q19="","",INDEX(TRANSACTIONS_MASTER!$O$5:$O$1204,$Q19))</f>
        <v/>
      </c>
      <c r="K19" s="26" t="str">
        <f>IF($Q19="","",INDEX(TRANSACTIONS_MASTER!$Q$5:$Q$1204,$Q19))</f>
        <v/>
      </c>
      <c r="L19" s="25" t="str">
        <f>IF($Q19="","",INDEX(TRANSACTIONS_MASTER!$P$5:$P$1204,$Q19))</f>
        <v/>
      </c>
      <c r="M19" s="25" t="str">
        <f>IF($Q19="","",INDEX(TRANSACTIONS_MASTER!$AA$5:$AA$1204,$Q19))</f>
        <v/>
      </c>
      <c r="N19" s="25" t="str">
        <f>IF($Q19="","",INDEX(TRANSACTIONS_MASTER!$R$5:$R$1204,$Q19))</f>
        <v/>
      </c>
      <c r="O19" s="28" t="str">
        <f>IF($Q19="","",INDEX(TRANSACTIONS_MASTER!$AB$5:$AB$1204,$Q19))</f>
        <v/>
      </c>
      <c r="P19" s="55" t="str">
        <f>IF($Q19="","",INDEX(TRANSACTIONS_MASTER!$Z$5:$Z$1204,$Q19)&amp;"")</f>
        <v/>
      </c>
      <c r="Q19" s="67" t="str">
        <f>IFERROR(MATCH($C$2&amp;"|"&amp;12,TRANSACTIONS_MASTER!$AE$5:$AE$1204,0),"")</f>
        <v/>
      </c>
      <c r="S19" s="67">
        <f>IFERROR(MATCH(12,CASHBACK_RULES!$S$5:$S$304,0),"")</f>
        <v>26</v>
      </c>
      <c r="T19" s="55" t="str">
        <f>IF($S19="","",INDEX(CASHBACK_RULES!$B$5:$B$304,$S19))</f>
        <v>MB-D</v>
      </c>
      <c r="U19" s="55" t="str">
        <f>IF($S19="","",INDEX(CASHBACK_RULES!$C$5:$C$304,$S19)&amp;" "&amp;INDEX(CASHBACK_RULES!$D$5:$D$304,$S19))</f>
        <v>MB Cashback Demo D</v>
      </c>
      <c r="V19" s="55" t="str">
        <f>IF($S19="","",INDEX(CASHBACK_RULES!$E$5:$E$304,$S19)&amp;"")</f>
        <v>Groceries</v>
      </c>
      <c r="W19" s="55" t="str">
        <f>IF($S19="","",INDEX(CASHBACK_RULES!$F$5:$F$304,$S19)&amp;"")</f>
        <v>Groceries</v>
      </c>
      <c r="X19" s="26">
        <f>IF($S19="","",SUMIFS(TRANSACTIONS_MASTER!$Q$5:$Q$1204,TRANSACTIONS_MASTER!$D$5:$D$1204,$T19,TRANSACTIONS_MASTER!$Z$5:$Z$1204,$V19,TRANSACTIONS_MASTER!$C$5:$C$1204,$C$2))</f>
        <v>0</v>
      </c>
      <c r="Y19" s="25">
        <f>IF($S19="","",IF(ISNUMBER(INDEX(CASHBACK_RULES!$J$5:$J$304,$S19)),INDEX(CASHBACK_RULES!$J$5:$J$304,$S19),"∞"))</f>
        <v>100000</v>
      </c>
      <c r="Z19" s="25">
        <f>IF($S19="","",IF(ISNUMBER($Y19),MAX(0,$Y19-$X19),"∞"))</f>
        <v>100000</v>
      </c>
      <c r="AA19" s="27">
        <f>IF($S19="","",IF(ISNUMBER($Y19),IF($Y19=0,0,$X19/$Y19),""))</f>
        <v>0</v>
      </c>
    </row>
    <row r="20" ht="20" customHeight="1">
      <c r="A20" s="81" t="str">
        <f>IF($Q20="","",13)</f>
        <v/>
      </c>
      <c r="B20" s="57" t="str">
        <f>IF($Q20="","",INDEX(TRANSACTIONS_MASTER!$B$5:$B$1204,$Q20))</f>
        <v/>
      </c>
      <c r="C20" s="55" t="str">
        <f>IF($Q20="","",INDEX(TRANSACTIONS_MASTER!$F$5:$F$1204,$Q20))</f>
        <v/>
      </c>
      <c r="D20" s="55" t="str">
        <f>IF($Q20="","",INDEX(TRANSACTIONS_MASTER!$E$5:$E$1204,$Q20))</f>
        <v/>
      </c>
      <c r="E20" s="55" t="str">
        <f>IF($Q20="","",INDEX(TRANSACTIONS_MASTER!$G$5:$G$1204,$Q20)&amp;"")</f>
        <v/>
      </c>
      <c r="F20" s="29" t="str">
        <f>IF($Q20="","",INDEX(TRANSACTIONS_MASTER!$I$5:$I$1204,$Q20))</f>
        <v/>
      </c>
      <c r="G20" s="55" t="str">
        <f>IF($Q20="","",INDEX(TRANSACTIONS_MASTER!$K$5:$K$1204,$Q20))</f>
        <v/>
      </c>
      <c r="H20" s="25" t="str">
        <f>IF($Q20="","",INDEX(TRANSACTIONS_MASTER!$L$5:$L$1204,$Q20))</f>
        <v/>
      </c>
      <c r="I20" s="56" t="str">
        <f>IF($Q20="","",INDEX(TRANSACTIONS_MASTER!$N$5:$N$1204,$Q20))</f>
        <v/>
      </c>
      <c r="J20" s="25" t="str">
        <f>IF($Q20="","",INDEX(TRANSACTIONS_MASTER!$O$5:$O$1204,$Q20))</f>
        <v/>
      </c>
      <c r="K20" s="26" t="str">
        <f>IF($Q20="","",INDEX(TRANSACTIONS_MASTER!$Q$5:$Q$1204,$Q20))</f>
        <v/>
      </c>
      <c r="L20" s="25" t="str">
        <f>IF($Q20="","",INDEX(TRANSACTIONS_MASTER!$P$5:$P$1204,$Q20))</f>
        <v/>
      </c>
      <c r="M20" s="25" t="str">
        <f>IF($Q20="","",INDEX(TRANSACTIONS_MASTER!$AA$5:$AA$1204,$Q20))</f>
        <v/>
      </c>
      <c r="N20" s="25" t="str">
        <f>IF($Q20="","",INDEX(TRANSACTIONS_MASTER!$R$5:$R$1204,$Q20))</f>
        <v/>
      </c>
      <c r="O20" s="28" t="str">
        <f>IF($Q20="","",INDEX(TRANSACTIONS_MASTER!$AB$5:$AB$1204,$Q20))</f>
        <v/>
      </c>
      <c r="P20" s="55" t="str">
        <f>IF($Q20="","",INDEX(TRANSACTIONS_MASTER!$Z$5:$Z$1204,$Q20)&amp;"")</f>
        <v/>
      </c>
      <c r="Q20" s="67" t="str">
        <f>IFERROR(MATCH($C$2&amp;"|"&amp;13,TRANSACTIONS_MASTER!$AE$5:$AE$1204,0),"")</f>
        <v/>
      </c>
      <c r="S20" s="67">
        <f>IFERROR(MATCH(13,CASHBACK_RULES!$S$5:$S$304,0),"")</f>
        <v>27</v>
      </c>
      <c r="T20" s="55" t="str">
        <f>IF($S20="","",INDEX(CASHBACK_RULES!$B$5:$B$304,$S20))</f>
        <v>MB-D</v>
      </c>
      <c r="U20" s="55" t="str">
        <f>IF($S20="","",INDEX(CASHBACK_RULES!$C$5:$C$304,$S20)&amp;" "&amp;INDEX(CASHBACK_RULES!$D$5:$D$304,$S20))</f>
        <v>MB Cashback Demo D</v>
      </c>
      <c r="V20" s="55" t="str">
        <f>IF($S20="","",INDEX(CASHBACK_RULES!$E$5:$E$304,$S20)&amp;"")</f>
        <v>Shopping</v>
      </c>
      <c r="W20" s="55" t="str">
        <f>IF($S20="","",INDEX(CASHBACK_RULES!$F$5:$F$304,$S20)&amp;"")</f>
        <v>Shopping</v>
      </c>
      <c r="X20" s="26">
        <f>IF($S20="","",SUMIFS(TRANSACTIONS_MASTER!$Q$5:$Q$1204,TRANSACTIONS_MASTER!$D$5:$D$1204,$T20,TRANSACTIONS_MASTER!$Z$5:$Z$1204,$V20,TRANSACTIONS_MASTER!$C$5:$C$1204,$C$2))</f>
        <v>0</v>
      </c>
      <c r="Y20" s="25">
        <f>IF($S20="","",IF(ISNUMBER(INDEX(CASHBACK_RULES!$J$5:$J$304,$S20)),INDEX(CASHBACK_RULES!$J$5:$J$304,$S20),"∞"))</f>
        <v>100000</v>
      </c>
      <c r="Z20" s="25">
        <f>IF($S20="","",IF(ISNUMBER($Y20),MAX(0,$Y20-$X20),"∞"))</f>
        <v>100000</v>
      </c>
      <c r="AA20" s="27">
        <f>IF($S20="","",IF(ISNUMBER($Y20),IF($Y20=0,0,$X20/$Y20),""))</f>
        <v>0</v>
      </c>
    </row>
    <row r="21" ht="20" customHeight="1">
      <c r="A21" s="81" t="str">
        <f>IF($Q21="","",14)</f>
        <v/>
      </c>
      <c r="B21" s="57" t="str">
        <f>IF($Q21="","",INDEX(TRANSACTIONS_MASTER!$B$5:$B$1204,$Q21))</f>
        <v/>
      </c>
      <c r="C21" s="55" t="str">
        <f>IF($Q21="","",INDEX(TRANSACTIONS_MASTER!$F$5:$F$1204,$Q21))</f>
        <v/>
      </c>
      <c r="D21" s="55" t="str">
        <f>IF($Q21="","",INDEX(TRANSACTIONS_MASTER!$E$5:$E$1204,$Q21))</f>
        <v/>
      </c>
      <c r="E21" s="55" t="str">
        <f>IF($Q21="","",INDEX(TRANSACTIONS_MASTER!$G$5:$G$1204,$Q21)&amp;"")</f>
        <v/>
      </c>
      <c r="F21" s="29" t="str">
        <f>IF($Q21="","",INDEX(TRANSACTIONS_MASTER!$I$5:$I$1204,$Q21))</f>
        <v/>
      </c>
      <c r="G21" s="55" t="str">
        <f>IF($Q21="","",INDEX(TRANSACTIONS_MASTER!$K$5:$K$1204,$Q21))</f>
        <v/>
      </c>
      <c r="H21" s="25" t="str">
        <f>IF($Q21="","",INDEX(TRANSACTIONS_MASTER!$L$5:$L$1204,$Q21))</f>
        <v/>
      </c>
      <c r="I21" s="56" t="str">
        <f>IF($Q21="","",INDEX(TRANSACTIONS_MASTER!$N$5:$N$1204,$Q21))</f>
        <v/>
      </c>
      <c r="J21" s="25" t="str">
        <f>IF($Q21="","",INDEX(TRANSACTIONS_MASTER!$O$5:$O$1204,$Q21))</f>
        <v/>
      </c>
      <c r="K21" s="26" t="str">
        <f>IF($Q21="","",INDEX(TRANSACTIONS_MASTER!$Q$5:$Q$1204,$Q21))</f>
        <v/>
      </c>
      <c r="L21" s="25" t="str">
        <f>IF($Q21="","",INDEX(TRANSACTIONS_MASTER!$P$5:$P$1204,$Q21))</f>
        <v/>
      </c>
      <c r="M21" s="25" t="str">
        <f>IF($Q21="","",INDEX(TRANSACTIONS_MASTER!$AA$5:$AA$1204,$Q21))</f>
        <v/>
      </c>
      <c r="N21" s="25" t="str">
        <f>IF($Q21="","",INDEX(TRANSACTIONS_MASTER!$R$5:$R$1204,$Q21))</f>
        <v/>
      </c>
      <c r="O21" s="28" t="str">
        <f>IF($Q21="","",INDEX(TRANSACTIONS_MASTER!$AB$5:$AB$1204,$Q21))</f>
        <v/>
      </c>
      <c r="P21" s="55" t="str">
        <f>IF($Q21="","",INDEX(TRANSACTIONS_MASTER!$Z$5:$Z$1204,$Q21)&amp;"")</f>
        <v/>
      </c>
      <c r="Q21" s="67" t="str">
        <f>IFERROR(MATCH($C$2&amp;"|"&amp;14,TRANSACTIONS_MASTER!$AE$5:$AE$1204,0),"")</f>
        <v/>
      </c>
      <c r="S21" s="67" t="str">
        <f>IFERROR(MATCH(14,CASHBACK_RULES!$S$5:$S$304,0),"")</f>
        <v/>
      </c>
      <c r="T21" s="55" t="str">
        <f>IF($S21="","",INDEX(CASHBACK_RULES!$B$5:$B$304,$S21))</f>
        <v/>
      </c>
      <c r="U21" s="55" t="str">
        <f>IF($S21="","",INDEX(CASHBACK_RULES!$C$5:$C$304,$S21)&amp;" "&amp;INDEX(CASHBACK_RULES!$D$5:$D$304,$S21))</f>
        <v/>
      </c>
      <c r="V21" s="55" t="str">
        <f>IF($S21="","",INDEX(CASHBACK_RULES!$E$5:$E$304,$S21)&amp;"")</f>
        <v/>
      </c>
      <c r="W21" s="55" t="str">
        <f>IF($S21="","",INDEX(CASHBACK_RULES!$F$5:$F$304,$S21)&amp;"")</f>
        <v/>
      </c>
      <c r="X21" s="26" t="str">
        <f>IF($S21="","",SUMIFS(TRANSACTIONS_MASTER!$Q$5:$Q$1204,TRANSACTIONS_MASTER!$D$5:$D$1204,$T21,TRANSACTIONS_MASTER!$Z$5:$Z$1204,$V21,TRANSACTIONS_MASTER!$C$5:$C$1204,$C$2))</f>
        <v/>
      </c>
      <c r="Y21" s="25" t="str">
        <f>IF($S21="","",IF(ISNUMBER(INDEX(CASHBACK_RULES!$J$5:$J$304,$S21)),INDEX(CASHBACK_RULES!$J$5:$J$304,$S21),"∞"))</f>
        <v/>
      </c>
      <c r="Z21" s="25" t="str">
        <f>IF($S21="","",IF(ISNUMBER($Y21),MAX(0,$Y21-$X21),"∞"))</f>
        <v/>
      </c>
      <c r="AA21" s="27" t="str">
        <f>IF($S21="","",IF(ISNUMBER($Y21),IF($Y21=0,0,$X21/$Y21),""))</f>
        <v/>
      </c>
    </row>
    <row r="22" ht="20" customHeight="1">
      <c r="A22" s="81" t="str">
        <f>IF($Q22="","",15)</f>
        <v/>
      </c>
      <c r="B22" s="57" t="str">
        <f>IF($Q22="","",INDEX(TRANSACTIONS_MASTER!$B$5:$B$1204,$Q22))</f>
        <v/>
      </c>
      <c r="C22" s="55" t="str">
        <f>IF($Q22="","",INDEX(TRANSACTIONS_MASTER!$F$5:$F$1204,$Q22))</f>
        <v/>
      </c>
      <c r="D22" s="55" t="str">
        <f>IF($Q22="","",INDEX(TRANSACTIONS_MASTER!$E$5:$E$1204,$Q22))</f>
        <v/>
      </c>
      <c r="E22" s="55" t="str">
        <f>IF($Q22="","",INDEX(TRANSACTIONS_MASTER!$G$5:$G$1204,$Q22)&amp;"")</f>
        <v/>
      </c>
      <c r="F22" s="29" t="str">
        <f>IF($Q22="","",INDEX(TRANSACTIONS_MASTER!$I$5:$I$1204,$Q22))</f>
        <v/>
      </c>
      <c r="G22" s="55" t="str">
        <f>IF($Q22="","",INDEX(TRANSACTIONS_MASTER!$K$5:$K$1204,$Q22))</f>
        <v/>
      </c>
      <c r="H22" s="25" t="str">
        <f>IF($Q22="","",INDEX(TRANSACTIONS_MASTER!$L$5:$L$1204,$Q22))</f>
        <v/>
      </c>
      <c r="I22" s="56" t="str">
        <f>IF($Q22="","",INDEX(TRANSACTIONS_MASTER!$N$5:$N$1204,$Q22))</f>
        <v/>
      </c>
      <c r="J22" s="25" t="str">
        <f>IF($Q22="","",INDEX(TRANSACTIONS_MASTER!$O$5:$O$1204,$Q22))</f>
        <v/>
      </c>
      <c r="K22" s="26" t="str">
        <f>IF($Q22="","",INDEX(TRANSACTIONS_MASTER!$Q$5:$Q$1204,$Q22))</f>
        <v/>
      </c>
      <c r="L22" s="25" t="str">
        <f>IF($Q22="","",INDEX(TRANSACTIONS_MASTER!$P$5:$P$1204,$Q22))</f>
        <v/>
      </c>
      <c r="M22" s="25" t="str">
        <f>IF($Q22="","",INDEX(TRANSACTIONS_MASTER!$AA$5:$AA$1204,$Q22))</f>
        <v/>
      </c>
      <c r="N22" s="25" t="str">
        <f>IF($Q22="","",INDEX(TRANSACTIONS_MASTER!$R$5:$R$1204,$Q22))</f>
        <v/>
      </c>
      <c r="O22" s="28" t="str">
        <f>IF($Q22="","",INDEX(TRANSACTIONS_MASTER!$AB$5:$AB$1204,$Q22))</f>
        <v/>
      </c>
      <c r="P22" s="55" t="str">
        <f>IF($Q22="","",INDEX(TRANSACTIONS_MASTER!$Z$5:$Z$1204,$Q22)&amp;"")</f>
        <v/>
      </c>
      <c r="Q22" s="67" t="str">
        <f>IFERROR(MATCH($C$2&amp;"|"&amp;15,TRANSACTIONS_MASTER!$AE$5:$AE$1204,0),"")</f>
        <v/>
      </c>
      <c r="S22" s="67" t="str">
        <f>IFERROR(MATCH(15,CASHBACK_RULES!$S$5:$S$304,0),"")</f>
        <v/>
      </c>
      <c r="T22" s="55" t="str">
        <f>IF($S22="","",INDEX(CASHBACK_RULES!$B$5:$B$304,$S22))</f>
        <v/>
      </c>
      <c r="U22" s="55" t="str">
        <f>IF($S22="","",INDEX(CASHBACK_RULES!$C$5:$C$304,$S22)&amp;" "&amp;INDEX(CASHBACK_RULES!$D$5:$D$304,$S22))</f>
        <v/>
      </c>
      <c r="V22" s="55" t="str">
        <f>IF($S22="","",INDEX(CASHBACK_RULES!$E$5:$E$304,$S22)&amp;"")</f>
        <v/>
      </c>
      <c r="W22" s="55" t="str">
        <f>IF($S22="","",INDEX(CASHBACK_RULES!$F$5:$F$304,$S22)&amp;"")</f>
        <v/>
      </c>
      <c r="X22" s="26" t="str">
        <f>IF($S22="","",SUMIFS(TRANSACTIONS_MASTER!$Q$5:$Q$1204,TRANSACTIONS_MASTER!$D$5:$D$1204,$T22,TRANSACTIONS_MASTER!$Z$5:$Z$1204,$V22,TRANSACTIONS_MASTER!$C$5:$C$1204,$C$2))</f>
        <v/>
      </c>
      <c r="Y22" s="25" t="str">
        <f>IF($S22="","",IF(ISNUMBER(INDEX(CASHBACK_RULES!$J$5:$J$304,$S22)),INDEX(CASHBACK_RULES!$J$5:$J$304,$S22),"∞"))</f>
        <v/>
      </c>
      <c r="Z22" s="25" t="str">
        <f>IF($S22="","",IF(ISNUMBER($Y22),MAX(0,$Y22-$X22),"∞"))</f>
        <v/>
      </c>
      <c r="AA22" s="27" t="str">
        <f>IF($S22="","",IF(ISNUMBER($Y22),IF($Y22=0,0,$X22/$Y22),""))</f>
        <v/>
      </c>
    </row>
    <row r="23" ht="20" customHeight="1">
      <c r="A23" s="81" t="str">
        <f>IF($Q23="","",16)</f>
        <v/>
      </c>
      <c r="B23" s="57" t="str">
        <f>IF($Q23="","",INDEX(TRANSACTIONS_MASTER!$B$5:$B$1204,$Q23))</f>
        <v/>
      </c>
      <c r="C23" s="55" t="str">
        <f>IF($Q23="","",INDEX(TRANSACTIONS_MASTER!$F$5:$F$1204,$Q23))</f>
        <v/>
      </c>
      <c r="D23" s="55" t="str">
        <f>IF($Q23="","",INDEX(TRANSACTIONS_MASTER!$E$5:$E$1204,$Q23))</f>
        <v/>
      </c>
      <c r="E23" s="55" t="str">
        <f>IF($Q23="","",INDEX(TRANSACTIONS_MASTER!$G$5:$G$1204,$Q23)&amp;"")</f>
        <v/>
      </c>
      <c r="F23" s="29" t="str">
        <f>IF($Q23="","",INDEX(TRANSACTIONS_MASTER!$I$5:$I$1204,$Q23))</f>
        <v/>
      </c>
      <c r="G23" s="55" t="str">
        <f>IF($Q23="","",INDEX(TRANSACTIONS_MASTER!$K$5:$K$1204,$Q23))</f>
        <v/>
      </c>
      <c r="H23" s="25" t="str">
        <f>IF($Q23="","",INDEX(TRANSACTIONS_MASTER!$L$5:$L$1204,$Q23))</f>
        <v/>
      </c>
      <c r="I23" s="56" t="str">
        <f>IF($Q23="","",INDEX(TRANSACTIONS_MASTER!$N$5:$N$1204,$Q23))</f>
        <v/>
      </c>
      <c r="J23" s="25" t="str">
        <f>IF($Q23="","",INDEX(TRANSACTIONS_MASTER!$O$5:$O$1204,$Q23))</f>
        <v/>
      </c>
      <c r="K23" s="26" t="str">
        <f>IF($Q23="","",INDEX(TRANSACTIONS_MASTER!$Q$5:$Q$1204,$Q23))</f>
        <v/>
      </c>
      <c r="L23" s="25" t="str">
        <f>IF($Q23="","",INDEX(TRANSACTIONS_MASTER!$P$5:$P$1204,$Q23))</f>
        <v/>
      </c>
      <c r="M23" s="25" t="str">
        <f>IF($Q23="","",INDEX(TRANSACTIONS_MASTER!$AA$5:$AA$1204,$Q23))</f>
        <v/>
      </c>
      <c r="N23" s="25" t="str">
        <f>IF($Q23="","",INDEX(TRANSACTIONS_MASTER!$R$5:$R$1204,$Q23))</f>
        <v/>
      </c>
      <c r="O23" s="28" t="str">
        <f>IF($Q23="","",INDEX(TRANSACTIONS_MASTER!$AB$5:$AB$1204,$Q23))</f>
        <v/>
      </c>
      <c r="P23" s="55" t="str">
        <f>IF($Q23="","",INDEX(TRANSACTIONS_MASTER!$Z$5:$Z$1204,$Q23)&amp;"")</f>
        <v/>
      </c>
      <c r="Q23" s="67" t="str">
        <f>IFERROR(MATCH($C$2&amp;"|"&amp;16,TRANSACTIONS_MASTER!$AE$5:$AE$1204,0),"")</f>
        <v/>
      </c>
      <c r="S23" s="67" t="str">
        <f>IFERROR(MATCH(16,CASHBACK_RULES!$S$5:$S$304,0),"")</f>
        <v/>
      </c>
      <c r="T23" s="55" t="str">
        <f>IF($S23="","",INDEX(CASHBACK_RULES!$B$5:$B$304,$S23))</f>
        <v/>
      </c>
      <c r="U23" s="55" t="str">
        <f>IF($S23="","",INDEX(CASHBACK_RULES!$C$5:$C$304,$S23)&amp;" "&amp;INDEX(CASHBACK_RULES!$D$5:$D$304,$S23))</f>
        <v/>
      </c>
      <c r="V23" s="55" t="str">
        <f>IF($S23="","",INDEX(CASHBACK_RULES!$E$5:$E$304,$S23)&amp;"")</f>
        <v/>
      </c>
      <c r="W23" s="55" t="str">
        <f>IF($S23="","",INDEX(CASHBACK_RULES!$F$5:$F$304,$S23)&amp;"")</f>
        <v/>
      </c>
      <c r="X23" s="26" t="str">
        <f>IF($S23="","",SUMIFS(TRANSACTIONS_MASTER!$Q$5:$Q$1204,TRANSACTIONS_MASTER!$D$5:$D$1204,$T23,TRANSACTIONS_MASTER!$Z$5:$Z$1204,$V23,TRANSACTIONS_MASTER!$C$5:$C$1204,$C$2))</f>
        <v/>
      </c>
      <c r="Y23" s="25" t="str">
        <f>IF($S23="","",IF(ISNUMBER(INDEX(CASHBACK_RULES!$J$5:$J$304,$S23)),INDEX(CASHBACK_RULES!$J$5:$J$304,$S23),"∞"))</f>
        <v/>
      </c>
      <c r="Z23" s="25" t="str">
        <f>IF($S23="","",IF(ISNUMBER($Y23),MAX(0,$Y23-$X23),"∞"))</f>
        <v/>
      </c>
      <c r="AA23" s="27" t="str">
        <f>IF($S23="","",IF(ISNUMBER($Y23),IF($Y23=0,0,$X23/$Y23),""))</f>
        <v/>
      </c>
    </row>
    <row r="24" ht="20" customHeight="1">
      <c r="A24" s="81" t="str">
        <f>IF($Q24="","",17)</f>
        <v/>
      </c>
      <c r="B24" s="57" t="str">
        <f>IF($Q24="","",INDEX(TRANSACTIONS_MASTER!$B$5:$B$1204,$Q24))</f>
        <v/>
      </c>
      <c r="C24" s="55" t="str">
        <f>IF($Q24="","",INDEX(TRANSACTIONS_MASTER!$F$5:$F$1204,$Q24))</f>
        <v/>
      </c>
      <c r="D24" s="55" t="str">
        <f>IF($Q24="","",INDEX(TRANSACTIONS_MASTER!$E$5:$E$1204,$Q24))</f>
        <v/>
      </c>
      <c r="E24" s="55" t="str">
        <f>IF($Q24="","",INDEX(TRANSACTIONS_MASTER!$G$5:$G$1204,$Q24)&amp;"")</f>
        <v/>
      </c>
      <c r="F24" s="29" t="str">
        <f>IF($Q24="","",INDEX(TRANSACTIONS_MASTER!$I$5:$I$1204,$Q24))</f>
        <v/>
      </c>
      <c r="G24" s="55" t="str">
        <f>IF($Q24="","",INDEX(TRANSACTIONS_MASTER!$K$5:$K$1204,$Q24))</f>
        <v/>
      </c>
      <c r="H24" s="25" t="str">
        <f>IF($Q24="","",INDEX(TRANSACTIONS_MASTER!$L$5:$L$1204,$Q24))</f>
        <v/>
      </c>
      <c r="I24" s="56" t="str">
        <f>IF($Q24="","",INDEX(TRANSACTIONS_MASTER!$N$5:$N$1204,$Q24))</f>
        <v/>
      </c>
      <c r="J24" s="25" t="str">
        <f>IF($Q24="","",INDEX(TRANSACTIONS_MASTER!$O$5:$O$1204,$Q24))</f>
        <v/>
      </c>
      <c r="K24" s="26" t="str">
        <f>IF($Q24="","",INDEX(TRANSACTIONS_MASTER!$Q$5:$Q$1204,$Q24))</f>
        <v/>
      </c>
      <c r="L24" s="25" t="str">
        <f>IF($Q24="","",INDEX(TRANSACTIONS_MASTER!$P$5:$P$1204,$Q24))</f>
        <v/>
      </c>
      <c r="M24" s="25" t="str">
        <f>IF($Q24="","",INDEX(TRANSACTIONS_MASTER!$AA$5:$AA$1204,$Q24))</f>
        <v/>
      </c>
      <c r="N24" s="25" t="str">
        <f>IF($Q24="","",INDEX(TRANSACTIONS_MASTER!$R$5:$R$1204,$Q24))</f>
        <v/>
      </c>
      <c r="O24" s="28" t="str">
        <f>IF($Q24="","",INDEX(TRANSACTIONS_MASTER!$AB$5:$AB$1204,$Q24))</f>
        <v/>
      </c>
      <c r="P24" s="55" t="str">
        <f>IF($Q24="","",INDEX(TRANSACTIONS_MASTER!$Z$5:$Z$1204,$Q24)&amp;"")</f>
        <v/>
      </c>
      <c r="Q24" s="67" t="str">
        <f>IFERROR(MATCH($C$2&amp;"|"&amp;17,TRANSACTIONS_MASTER!$AE$5:$AE$1204,0),"")</f>
        <v/>
      </c>
      <c r="S24" s="67" t="str">
        <f>IFERROR(MATCH(17,CASHBACK_RULES!$S$5:$S$304,0),"")</f>
        <v/>
      </c>
      <c r="T24" s="55" t="str">
        <f>IF($S24="","",INDEX(CASHBACK_RULES!$B$5:$B$304,$S24))</f>
        <v/>
      </c>
      <c r="U24" s="55" t="str">
        <f>IF($S24="","",INDEX(CASHBACK_RULES!$C$5:$C$304,$S24)&amp;" "&amp;INDEX(CASHBACK_RULES!$D$5:$D$304,$S24))</f>
        <v/>
      </c>
      <c r="V24" s="55" t="str">
        <f>IF($S24="","",INDEX(CASHBACK_RULES!$E$5:$E$304,$S24)&amp;"")</f>
        <v/>
      </c>
      <c r="W24" s="55" t="str">
        <f>IF($S24="","",INDEX(CASHBACK_RULES!$F$5:$F$304,$S24)&amp;"")</f>
        <v/>
      </c>
      <c r="X24" s="26" t="str">
        <f>IF($S24="","",SUMIFS(TRANSACTIONS_MASTER!$Q$5:$Q$1204,TRANSACTIONS_MASTER!$D$5:$D$1204,$T24,TRANSACTIONS_MASTER!$Z$5:$Z$1204,$V24,TRANSACTIONS_MASTER!$C$5:$C$1204,$C$2))</f>
        <v/>
      </c>
      <c r="Y24" s="25" t="str">
        <f>IF($S24="","",IF(ISNUMBER(INDEX(CASHBACK_RULES!$J$5:$J$304,$S24)),INDEX(CASHBACK_RULES!$J$5:$J$304,$S24),"∞"))</f>
        <v/>
      </c>
      <c r="Z24" s="25" t="str">
        <f>IF($S24="","",IF(ISNUMBER($Y24),MAX(0,$Y24-$X24),"∞"))</f>
        <v/>
      </c>
      <c r="AA24" s="27" t="str">
        <f>IF($S24="","",IF(ISNUMBER($Y24),IF($Y24=0,0,$X24/$Y24),""))</f>
        <v/>
      </c>
    </row>
    <row r="25" ht="20" customHeight="1">
      <c r="A25" s="81" t="str">
        <f>IF($Q25="","",18)</f>
        <v/>
      </c>
      <c r="B25" s="57" t="str">
        <f>IF($Q25="","",INDEX(TRANSACTIONS_MASTER!$B$5:$B$1204,$Q25))</f>
        <v/>
      </c>
      <c r="C25" s="55" t="str">
        <f>IF($Q25="","",INDEX(TRANSACTIONS_MASTER!$F$5:$F$1204,$Q25))</f>
        <v/>
      </c>
      <c r="D25" s="55" t="str">
        <f>IF($Q25="","",INDEX(TRANSACTIONS_MASTER!$E$5:$E$1204,$Q25))</f>
        <v/>
      </c>
      <c r="E25" s="55" t="str">
        <f>IF($Q25="","",INDEX(TRANSACTIONS_MASTER!$G$5:$G$1204,$Q25)&amp;"")</f>
        <v/>
      </c>
      <c r="F25" s="29" t="str">
        <f>IF($Q25="","",INDEX(TRANSACTIONS_MASTER!$I$5:$I$1204,$Q25))</f>
        <v/>
      </c>
      <c r="G25" s="55" t="str">
        <f>IF($Q25="","",INDEX(TRANSACTIONS_MASTER!$K$5:$K$1204,$Q25))</f>
        <v/>
      </c>
      <c r="H25" s="25" t="str">
        <f>IF($Q25="","",INDEX(TRANSACTIONS_MASTER!$L$5:$L$1204,$Q25))</f>
        <v/>
      </c>
      <c r="I25" s="56" t="str">
        <f>IF($Q25="","",INDEX(TRANSACTIONS_MASTER!$N$5:$N$1204,$Q25))</f>
        <v/>
      </c>
      <c r="J25" s="25" t="str">
        <f>IF($Q25="","",INDEX(TRANSACTIONS_MASTER!$O$5:$O$1204,$Q25))</f>
        <v/>
      </c>
      <c r="K25" s="26" t="str">
        <f>IF($Q25="","",INDEX(TRANSACTIONS_MASTER!$Q$5:$Q$1204,$Q25))</f>
        <v/>
      </c>
      <c r="L25" s="25" t="str">
        <f>IF($Q25="","",INDEX(TRANSACTIONS_MASTER!$P$5:$P$1204,$Q25))</f>
        <v/>
      </c>
      <c r="M25" s="25" t="str">
        <f>IF($Q25="","",INDEX(TRANSACTIONS_MASTER!$AA$5:$AA$1204,$Q25))</f>
        <v/>
      </c>
      <c r="N25" s="25" t="str">
        <f>IF($Q25="","",INDEX(TRANSACTIONS_MASTER!$R$5:$R$1204,$Q25))</f>
        <v/>
      </c>
      <c r="O25" s="28" t="str">
        <f>IF($Q25="","",INDEX(TRANSACTIONS_MASTER!$AB$5:$AB$1204,$Q25))</f>
        <v/>
      </c>
      <c r="P25" s="55" t="str">
        <f>IF($Q25="","",INDEX(TRANSACTIONS_MASTER!$Z$5:$Z$1204,$Q25)&amp;"")</f>
        <v/>
      </c>
      <c r="Q25" s="67" t="str">
        <f>IFERROR(MATCH($C$2&amp;"|"&amp;18,TRANSACTIONS_MASTER!$AE$5:$AE$1204,0),"")</f>
        <v/>
      </c>
      <c r="S25" s="67" t="str">
        <f>IFERROR(MATCH(18,CASHBACK_RULES!$S$5:$S$304,0),"")</f>
        <v/>
      </c>
      <c r="T25" s="55" t="str">
        <f>IF($S25="","",INDEX(CASHBACK_RULES!$B$5:$B$304,$S25))</f>
        <v/>
      </c>
      <c r="U25" s="55" t="str">
        <f>IF($S25="","",INDEX(CASHBACK_RULES!$C$5:$C$304,$S25)&amp;" "&amp;INDEX(CASHBACK_RULES!$D$5:$D$304,$S25))</f>
        <v/>
      </c>
      <c r="V25" s="55" t="str">
        <f>IF($S25="","",INDEX(CASHBACK_RULES!$E$5:$E$304,$S25)&amp;"")</f>
        <v/>
      </c>
      <c r="W25" s="55" t="str">
        <f>IF($S25="","",INDEX(CASHBACK_RULES!$F$5:$F$304,$S25)&amp;"")</f>
        <v/>
      </c>
      <c r="X25" s="26" t="str">
        <f>IF($S25="","",SUMIFS(TRANSACTIONS_MASTER!$Q$5:$Q$1204,TRANSACTIONS_MASTER!$D$5:$D$1204,$T25,TRANSACTIONS_MASTER!$Z$5:$Z$1204,$V25,TRANSACTIONS_MASTER!$C$5:$C$1204,$C$2))</f>
        <v/>
      </c>
      <c r="Y25" s="25" t="str">
        <f>IF($S25="","",IF(ISNUMBER(INDEX(CASHBACK_RULES!$J$5:$J$304,$S25)),INDEX(CASHBACK_RULES!$J$5:$J$304,$S25),"∞"))</f>
        <v/>
      </c>
      <c r="Z25" s="25" t="str">
        <f>IF($S25="","",IF(ISNUMBER($Y25),MAX(0,$Y25-$X25),"∞"))</f>
        <v/>
      </c>
      <c r="AA25" s="27" t="str">
        <f>IF($S25="","",IF(ISNUMBER($Y25),IF($Y25=0,0,$X25/$Y25),""))</f>
        <v/>
      </c>
    </row>
    <row r="26" ht="20" customHeight="1">
      <c r="A26" s="81" t="str">
        <f>IF($Q26="","",19)</f>
        <v/>
      </c>
      <c r="B26" s="57" t="str">
        <f>IF($Q26="","",INDEX(TRANSACTIONS_MASTER!$B$5:$B$1204,$Q26))</f>
        <v/>
      </c>
      <c r="C26" s="55" t="str">
        <f>IF($Q26="","",INDEX(TRANSACTIONS_MASTER!$F$5:$F$1204,$Q26))</f>
        <v/>
      </c>
      <c r="D26" s="55" t="str">
        <f>IF($Q26="","",INDEX(TRANSACTIONS_MASTER!$E$5:$E$1204,$Q26))</f>
        <v/>
      </c>
      <c r="E26" s="55" t="str">
        <f>IF($Q26="","",INDEX(TRANSACTIONS_MASTER!$G$5:$G$1204,$Q26)&amp;"")</f>
        <v/>
      </c>
      <c r="F26" s="29" t="str">
        <f>IF($Q26="","",INDEX(TRANSACTIONS_MASTER!$I$5:$I$1204,$Q26))</f>
        <v/>
      </c>
      <c r="G26" s="55" t="str">
        <f>IF($Q26="","",INDEX(TRANSACTIONS_MASTER!$K$5:$K$1204,$Q26))</f>
        <v/>
      </c>
      <c r="H26" s="25" t="str">
        <f>IF($Q26="","",INDEX(TRANSACTIONS_MASTER!$L$5:$L$1204,$Q26))</f>
        <v/>
      </c>
      <c r="I26" s="56" t="str">
        <f>IF($Q26="","",INDEX(TRANSACTIONS_MASTER!$N$5:$N$1204,$Q26))</f>
        <v/>
      </c>
      <c r="J26" s="25" t="str">
        <f>IF($Q26="","",INDEX(TRANSACTIONS_MASTER!$O$5:$O$1204,$Q26))</f>
        <v/>
      </c>
      <c r="K26" s="26" t="str">
        <f>IF($Q26="","",INDEX(TRANSACTIONS_MASTER!$Q$5:$Q$1204,$Q26))</f>
        <v/>
      </c>
      <c r="L26" s="25" t="str">
        <f>IF($Q26="","",INDEX(TRANSACTIONS_MASTER!$P$5:$P$1204,$Q26))</f>
        <v/>
      </c>
      <c r="M26" s="25" t="str">
        <f>IF($Q26="","",INDEX(TRANSACTIONS_MASTER!$AA$5:$AA$1204,$Q26))</f>
        <v/>
      </c>
      <c r="N26" s="25" t="str">
        <f>IF($Q26="","",INDEX(TRANSACTIONS_MASTER!$R$5:$R$1204,$Q26))</f>
        <v/>
      </c>
      <c r="O26" s="28" t="str">
        <f>IF($Q26="","",INDEX(TRANSACTIONS_MASTER!$AB$5:$AB$1204,$Q26))</f>
        <v/>
      </c>
      <c r="P26" s="55" t="str">
        <f>IF($Q26="","",INDEX(TRANSACTIONS_MASTER!$Z$5:$Z$1204,$Q26)&amp;"")</f>
        <v/>
      </c>
      <c r="Q26" s="67" t="str">
        <f>IFERROR(MATCH($C$2&amp;"|"&amp;19,TRANSACTIONS_MASTER!$AE$5:$AE$1204,0),"")</f>
        <v/>
      </c>
      <c r="S26" s="67" t="str">
        <f>IFERROR(MATCH(19,CASHBACK_RULES!$S$5:$S$304,0),"")</f>
        <v/>
      </c>
      <c r="T26" s="55" t="str">
        <f>IF($S26="","",INDEX(CASHBACK_RULES!$B$5:$B$304,$S26))</f>
        <v/>
      </c>
      <c r="U26" s="55" t="str">
        <f>IF($S26="","",INDEX(CASHBACK_RULES!$C$5:$C$304,$S26)&amp;" "&amp;INDEX(CASHBACK_RULES!$D$5:$D$304,$S26))</f>
        <v/>
      </c>
      <c r="V26" s="55" t="str">
        <f>IF($S26="","",INDEX(CASHBACK_RULES!$E$5:$E$304,$S26)&amp;"")</f>
        <v/>
      </c>
      <c r="W26" s="55" t="str">
        <f>IF($S26="","",INDEX(CASHBACK_RULES!$F$5:$F$304,$S26)&amp;"")</f>
        <v/>
      </c>
      <c r="X26" s="26" t="str">
        <f>IF($S26="","",SUMIFS(TRANSACTIONS_MASTER!$Q$5:$Q$1204,TRANSACTIONS_MASTER!$D$5:$D$1204,$T26,TRANSACTIONS_MASTER!$Z$5:$Z$1204,$V26,TRANSACTIONS_MASTER!$C$5:$C$1204,$C$2))</f>
        <v/>
      </c>
      <c r="Y26" s="25" t="str">
        <f>IF($S26="","",IF(ISNUMBER(INDEX(CASHBACK_RULES!$J$5:$J$304,$S26)),INDEX(CASHBACK_RULES!$J$5:$J$304,$S26),"∞"))</f>
        <v/>
      </c>
      <c r="Z26" s="25" t="str">
        <f>IF($S26="","",IF(ISNUMBER($Y26),MAX(0,$Y26-$X26),"∞"))</f>
        <v/>
      </c>
      <c r="AA26" s="27" t="str">
        <f>IF($S26="","",IF(ISNUMBER($Y26),IF($Y26=0,0,$X26/$Y26),""))</f>
        <v/>
      </c>
    </row>
    <row r="27" ht="20" customHeight="1">
      <c r="A27" s="81" t="str">
        <f>IF($Q27="","",20)</f>
        <v/>
      </c>
      <c r="B27" s="57" t="str">
        <f>IF($Q27="","",INDEX(TRANSACTIONS_MASTER!$B$5:$B$1204,$Q27))</f>
        <v/>
      </c>
      <c r="C27" s="55" t="str">
        <f>IF($Q27="","",INDEX(TRANSACTIONS_MASTER!$F$5:$F$1204,$Q27))</f>
        <v/>
      </c>
      <c r="D27" s="55" t="str">
        <f>IF($Q27="","",INDEX(TRANSACTIONS_MASTER!$E$5:$E$1204,$Q27))</f>
        <v/>
      </c>
      <c r="E27" s="55" t="str">
        <f>IF($Q27="","",INDEX(TRANSACTIONS_MASTER!$G$5:$G$1204,$Q27)&amp;"")</f>
        <v/>
      </c>
      <c r="F27" s="29" t="str">
        <f>IF($Q27="","",INDEX(TRANSACTIONS_MASTER!$I$5:$I$1204,$Q27))</f>
        <v/>
      </c>
      <c r="G27" s="55" t="str">
        <f>IF($Q27="","",INDEX(TRANSACTIONS_MASTER!$K$5:$K$1204,$Q27))</f>
        <v/>
      </c>
      <c r="H27" s="25" t="str">
        <f>IF($Q27="","",INDEX(TRANSACTIONS_MASTER!$L$5:$L$1204,$Q27))</f>
        <v/>
      </c>
      <c r="I27" s="56" t="str">
        <f>IF($Q27="","",INDEX(TRANSACTIONS_MASTER!$N$5:$N$1204,$Q27))</f>
        <v/>
      </c>
      <c r="J27" s="25" t="str">
        <f>IF($Q27="","",INDEX(TRANSACTIONS_MASTER!$O$5:$O$1204,$Q27))</f>
        <v/>
      </c>
      <c r="K27" s="26" t="str">
        <f>IF($Q27="","",INDEX(TRANSACTIONS_MASTER!$Q$5:$Q$1204,$Q27))</f>
        <v/>
      </c>
      <c r="L27" s="25" t="str">
        <f>IF($Q27="","",INDEX(TRANSACTIONS_MASTER!$P$5:$P$1204,$Q27))</f>
        <v/>
      </c>
      <c r="M27" s="25" t="str">
        <f>IF($Q27="","",INDEX(TRANSACTIONS_MASTER!$AA$5:$AA$1204,$Q27))</f>
        <v/>
      </c>
      <c r="N27" s="25" t="str">
        <f>IF($Q27="","",INDEX(TRANSACTIONS_MASTER!$R$5:$R$1204,$Q27))</f>
        <v/>
      </c>
      <c r="O27" s="28" t="str">
        <f>IF($Q27="","",INDEX(TRANSACTIONS_MASTER!$AB$5:$AB$1204,$Q27))</f>
        <v/>
      </c>
      <c r="P27" s="55" t="str">
        <f>IF($Q27="","",INDEX(TRANSACTIONS_MASTER!$Z$5:$Z$1204,$Q27)&amp;"")</f>
        <v/>
      </c>
      <c r="Q27" s="67" t="str">
        <f>IFERROR(MATCH($C$2&amp;"|"&amp;20,TRANSACTIONS_MASTER!$AE$5:$AE$1204,0),"")</f>
        <v/>
      </c>
      <c r="S27" s="67" t="str">
        <f>IFERROR(MATCH(20,CASHBACK_RULES!$S$5:$S$304,0),"")</f>
        <v/>
      </c>
      <c r="T27" s="55" t="str">
        <f>IF($S27="","",INDEX(CASHBACK_RULES!$B$5:$B$304,$S27))</f>
        <v/>
      </c>
      <c r="U27" s="55" t="str">
        <f>IF($S27="","",INDEX(CASHBACK_RULES!$C$5:$C$304,$S27)&amp;" "&amp;INDEX(CASHBACK_RULES!$D$5:$D$304,$S27))</f>
        <v/>
      </c>
      <c r="V27" s="55" t="str">
        <f>IF($S27="","",INDEX(CASHBACK_RULES!$E$5:$E$304,$S27)&amp;"")</f>
        <v/>
      </c>
      <c r="W27" s="55" t="str">
        <f>IF($S27="","",INDEX(CASHBACK_RULES!$F$5:$F$304,$S27)&amp;"")</f>
        <v/>
      </c>
      <c r="X27" s="26" t="str">
        <f>IF($S27="","",SUMIFS(TRANSACTIONS_MASTER!$Q$5:$Q$1204,TRANSACTIONS_MASTER!$D$5:$D$1204,$T27,TRANSACTIONS_MASTER!$Z$5:$Z$1204,$V27,TRANSACTIONS_MASTER!$C$5:$C$1204,$C$2))</f>
        <v/>
      </c>
      <c r="Y27" s="25" t="str">
        <f>IF($S27="","",IF(ISNUMBER(INDEX(CASHBACK_RULES!$J$5:$J$304,$S27)),INDEX(CASHBACK_RULES!$J$5:$J$304,$S27),"∞"))</f>
        <v/>
      </c>
      <c r="Z27" s="25" t="str">
        <f>IF($S27="","",IF(ISNUMBER($Y27),MAX(0,$Y27-$X27),"∞"))</f>
        <v/>
      </c>
      <c r="AA27" s="27" t="str">
        <f>IF($S27="","",IF(ISNUMBER($Y27),IF($Y27=0,0,$X27/$Y27),""))</f>
        <v/>
      </c>
    </row>
    <row r="28" ht="20" customHeight="1">
      <c r="A28" s="81" t="str">
        <f>IF($Q28="","",21)</f>
        <v/>
      </c>
      <c r="B28" s="57" t="str">
        <f>IF($Q28="","",INDEX(TRANSACTIONS_MASTER!$B$5:$B$1204,$Q28))</f>
        <v/>
      </c>
      <c r="C28" s="55" t="str">
        <f>IF($Q28="","",INDEX(TRANSACTIONS_MASTER!$F$5:$F$1204,$Q28))</f>
        <v/>
      </c>
      <c r="D28" s="55" t="str">
        <f>IF($Q28="","",INDEX(TRANSACTIONS_MASTER!$E$5:$E$1204,$Q28))</f>
        <v/>
      </c>
      <c r="E28" s="55" t="str">
        <f>IF($Q28="","",INDEX(TRANSACTIONS_MASTER!$G$5:$G$1204,$Q28)&amp;"")</f>
        <v/>
      </c>
      <c r="F28" s="29" t="str">
        <f>IF($Q28="","",INDEX(TRANSACTIONS_MASTER!$I$5:$I$1204,$Q28))</f>
        <v/>
      </c>
      <c r="G28" s="55" t="str">
        <f>IF($Q28="","",INDEX(TRANSACTIONS_MASTER!$K$5:$K$1204,$Q28))</f>
        <v/>
      </c>
      <c r="H28" s="25" t="str">
        <f>IF($Q28="","",INDEX(TRANSACTIONS_MASTER!$L$5:$L$1204,$Q28))</f>
        <v/>
      </c>
      <c r="I28" s="56" t="str">
        <f>IF($Q28="","",INDEX(TRANSACTIONS_MASTER!$N$5:$N$1204,$Q28))</f>
        <v/>
      </c>
      <c r="J28" s="25" t="str">
        <f>IF($Q28="","",INDEX(TRANSACTIONS_MASTER!$O$5:$O$1204,$Q28))</f>
        <v/>
      </c>
      <c r="K28" s="26" t="str">
        <f>IF($Q28="","",INDEX(TRANSACTIONS_MASTER!$Q$5:$Q$1204,$Q28))</f>
        <v/>
      </c>
      <c r="L28" s="25" t="str">
        <f>IF($Q28="","",INDEX(TRANSACTIONS_MASTER!$P$5:$P$1204,$Q28))</f>
        <v/>
      </c>
      <c r="M28" s="25" t="str">
        <f>IF($Q28="","",INDEX(TRANSACTIONS_MASTER!$AA$5:$AA$1204,$Q28))</f>
        <v/>
      </c>
      <c r="N28" s="25" t="str">
        <f>IF($Q28="","",INDEX(TRANSACTIONS_MASTER!$R$5:$R$1204,$Q28))</f>
        <v/>
      </c>
      <c r="O28" s="28" t="str">
        <f>IF($Q28="","",INDEX(TRANSACTIONS_MASTER!$AB$5:$AB$1204,$Q28))</f>
        <v/>
      </c>
      <c r="P28" s="55" t="str">
        <f>IF($Q28="","",INDEX(TRANSACTIONS_MASTER!$Z$5:$Z$1204,$Q28)&amp;"")</f>
        <v/>
      </c>
      <c r="Q28" s="67" t="str">
        <f>IFERROR(MATCH($C$2&amp;"|"&amp;21,TRANSACTIONS_MASTER!$AE$5:$AE$1204,0),"")</f>
        <v/>
      </c>
      <c r="S28" s="67" t="str">
        <f>IFERROR(MATCH(21,CASHBACK_RULES!$S$5:$S$304,0),"")</f>
        <v/>
      </c>
      <c r="T28" s="55" t="str">
        <f>IF($S28="","",INDEX(CASHBACK_RULES!$B$5:$B$304,$S28))</f>
        <v/>
      </c>
      <c r="U28" s="55" t="str">
        <f>IF($S28="","",INDEX(CASHBACK_RULES!$C$5:$C$304,$S28)&amp;" "&amp;INDEX(CASHBACK_RULES!$D$5:$D$304,$S28))</f>
        <v/>
      </c>
      <c r="V28" s="55" t="str">
        <f>IF($S28="","",INDEX(CASHBACK_RULES!$E$5:$E$304,$S28)&amp;"")</f>
        <v/>
      </c>
      <c r="W28" s="55" t="str">
        <f>IF($S28="","",INDEX(CASHBACK_RULES!$F$5:$F$304,$S28)&amp;"")</f>
        <v/>
      </c>
      <c r="X28" s="26" t="str">
        <f>IF($S28="","",SUMIFS(TRANSACTIONS_MASTER!$Q$5:$Q$1204,TRANSACTIONS_MASTER!$D$5:$D$1204,$T28,TRANSACTIONS_MASTER!$Z$5:$Z$1204,$V28,TRANSACTIONS_MASTER!$C$5:$C$1204,$C$2))</f>
        <v/>
      </c>
      <c r="Y28" s="25" t="str">
        <f>IF($S28="","",IF(ISNUMBER(INDEX(CASHBACK_RULES!$J$5:$J$304,$S28)),INDEX(CASHBACK_RULES!$J$5:$J$304,$S28),"∞"))</f>
        <v/>
      </c>
      <c r="Z28" s="25" t="str">
        <f>IF($S28="","",IF(ISNUMBER($Y28),MAX(0,$Y28-$X28),"∞"))</f>
        <v/>
      </c>
      <c r="AA28" s="27" t="str">
        <f>IF($S28="","",IF(ISNUMBER($Y28),IF($Y28=0,0,$X28/$Y28),""))</f>
        <v/>
      </c>
    </row>
    <row r="29" ht="20" customHeight="1">
      <c r="A29" s="81" t="str">
        <f>IF($Q29="","",22)</f>
        <v/>
      </c>
      <c r="B29" s="57" t="str">
        <f>IF($Q29="","",INDEX(TRANSACTIONS_MASTER!$B$5:$B$1204,$Q29))</f>
        <v/>
      </c>
      <c r="C29" s="55" t="str">
        <f>IF($Q29="","",INDEX(TRANSACTIONS_MASTER!$F$5:$F$1204,$Q29))</f>
        <v/>
      </c>
      <c r="D29" s="55" t="str">
        <f>IF($Q29="","",INDEX(TRANSACTIONS_MASTER!$E$5:$E$1204,$Q29))</f>
        <v/>
      </c>
      <c r="E29" s="55" t="str">
        <f>IF($Q29="","",INDEX(TRANSACTIONS_MASTER!$G$5:$G$1204,$Q29)&amp;"")</f>
        <v/>
      </c>
      <c r="F29" s="29" t="str">
        <f>IF($Q29="","",INDEX(TRANSACTIONS_MASTER!$I$5:$I$1204,$Q29))</f>
        <v/>
      </c>
      <c r="G29" s="55" t="str">
        <f>IF($Q29="","",INDEX(TRANSACTIONS_MASTER!$K$5:$K$1204,$Q29))</f>
        <v/>
      </c>
      <c r="H29" s="25" t="str">
        <f>IF($Q29="","",INDEX(TRANSACTIONS_MASTER!$L$5:$L$1204,$Q29))</f>
        <v/>
      </c>
      <c r="I29" s="56" t="str">
        <f>IF($Q29="","",INDEX(TRANSACTIONS_MASTER!$N$5:$N$1204,$Q29))</f>
        <v/>
      </c>
      <c r="J29" s="25" t="str">
        <f>IF($Q29="","",INDEX(TRANSACTIONS_MASTER!$O$5:$O$1204,$Q29))</f>
        <v/>
      </c>
      <c r="K29" s="26" t="str">
        <f>IF($Q29="","",INDEX(TRANSACTIONS_MASTER!$Q$5:$Q$1204,$Q29))</f>
        <v/>
      </c>
      <c r="L29" s="25" t="str">
        <f>IF($Q29="","",INDEX(TRANSACTIONS_MASTER!$P$5:$P$1204,$Q29))</f>
        <v/>
      </c>
      <c r="M29" s="25" t="str">
        <f>IF($Q29="","",INDEX(TRANSACTIONS_MASTER!$AA$5:$AA$1204,$Q29))</f>
        <v/>
      </c>
      <c r="N29" s="25" t="str">
        <f>IF($Q29="","",INDEX(TRANSACTIONS_MASTER!$R$5:$R$1204,$Q29))</f>
        <v/>
      </c>
      <c r="O29" s="28" t="str">
        <f>IF($Q29="","",INDEX(TRANSACTIONS_MASTER!$AB$5:$AB$1204,$Q29))</f>
        <v/>
      </c>
      <c r="P29" s="55" t="str">
        <f>IF($Q29="","",INDEX(TRANSACTIONS_MASTER!$Z$5:$Z$1204,$Q29)&amp;"")</f>
        <v/>
      </c>
      <c r="Q29" s="67" t="str">
        <f>IFERROR(MATCH($C$2&amp;"|"&amp;22,TRANSACTIONS_MASTER!$AE$5:$AE$1204,0),"")</f>
        <v/>
      </c>
      <c r="S29" s="67" t="str">
        <f>IFERROR(MATCH(22,CASHBACK_RULES!$S$5:$S$304,0),"")</f>
        <v/>
      </c>
      <c r="T29" s="55" t="str">
        <f>IF($S29="","",INDEX(CASHBACK_RULES!$B$5:$B$304,$S29))</f>
        <v/>
      </c>
      <c r="U29" s="55" t="str">
        <f>IF($S29="","",INDEX(CASHBACK_RULES!$C$5:$C$304,$S29)&amp;" "&amp;INDEX(CASHBACK_RULES!$D$5:$D$304,$S29))</f>
        <v/>
      </c>
      <c r="V29" s="55" t="str">
        <f>IF($S29="","",INDEX(CASHBACK_RULES!$E$5:$E$304,$S29)&amp;"")</f>
        <v/>
      </c>
      <c r="W29" s="55" t="str">
        <f>IF($S29="","",INDEX(CASHBACK_RULES!$F$5:$F$304,$S29)&amp;"")</f>
        <v/>
      </c>
      <c r="X29" s="26" t="str">
        <f>IF($S29="","",SUMIFS(TRANSACTIONS_MASTER!$Q$5:$Q$1204,TRANSACTIONS_MASTER!$D$5:$D$1204,$T29,TRANSACTIONS_MASTER!$Z$5:$Z$1204,$V29,TRANSACTIONS_MASTER!$C$5:$C$1204,$C$2))</f>
        <v/>
      </c>
      <c r="Y29" s="25" t="str">
        <f>IF($S29="","",IF(ISNUMBER(INDEX(CASHBACK_RULES!$J$5:$J$304,$S29)),INDEX(CASHBACK_RULES!$J$5:$J$304,$S29),"∞"))</f>
        <v/>
      </c>
      <c r="Z29" s="25" t="str">
        <f>IF($S29="","",IF(ISNUMBER($Y29),MAX(0,$Y29-$X29),"∞"))</f>
        <v/>
      </c>
      <c r="AA29" s="27" t="str">
        <f>IF($S29="","",IF(ISNUMBER($Y29),IF($Y29=0,0,$X29/$Y29),""))</f>
        <v/>
      </c>
    </row>
    <row r="30" ht="20" customHeight="1">
      <c r="A30" s="81" t="str">
        <f>IF($Q30="","",23)</f>
        <v/>
      </c>
      <c r="B30" s="57" t="str">
        <f>IF($Q30="","",INDEX(TRANSACTIONS_MASTER!$B$5:$B$1204,$Q30))</f>
        <v/>
      </c>
      <c r="C30" s="55" t="str">
        <f>IF($Q30="","",INDEX(TRANSACTIONS_MASTER!$F$5:$F$1204,$Q30))</f>
        <v/>
      </c>
      <c r="D30" s="55" t="str">
        <f>IF($Q30="","",INDEX(TRANSACTIONS_MASTER!$E$5:$E$1204,$Q30))</f>
        <v/>
      </c>
      <c r="E30" s="55" t="str">
        <f>IF($Q30="","",INDEX(TRANSACTIONS_MASTER!$G$5:$G$1204,$Q30)&amp;"")</f>
        <v/>
      </c>
      <c r="F30" s="29" t="str">
        <f>IF($Q30="","",INDEX(TRANSACTIONS_MASTER!$I$5:$I$1204,$Q30))</f>
        <v/>
      </c>
      <c r="G30" s="55" t="str">
        <f>IF($Q30="","",INDEX(TRANSACTIONS_MASTER!$K$5:$K$1204,$Q30))</f>
        <v/>
      </c>
      <c r="H30" s="25" t="str">
        <f>IF($Q30="","",INDEX(TRANSACTIONS_MASTER!$L$5:$L$1204,$Q30))</f>
        <v/>
      </c>
      <c r="I30" s="56" t="str">
        <f>IF($Q30="","",INDEX(TRANSACTIONS_MASTER!$N$5:$N$1204,$Q30))</f>
        <v/>
      </c>
      <c r="J30" s="25" t="str">
        <f>IF($Q30="","",INDEX(TRANSACTIONS_MASTER!$O$5:$O$1204,$Q30))</f>
        <v/>
      </c>
      <c r="K30" s="26" t="str">
        <f>IF($Q30="","",INDEX(TRANSACTIONS_MASTER!$Q$5:$Q$1204,$Q30))</f>
        <v/>
      </c>
      <c r="L30" s="25" t="str">
        <f>IF($Q30="","",INDEX(TRANSACTIONS_MASTER!$P$5:$P$1204,$Q30))</f>
        <v/>
      </c>
      <c r="M30" s="25" t="str">
        <f>IF($Q30="","",INDEX(TRANSACTIONS_MASTER!$AA$5:$AA$1204,$Q30))</f>
        <v/>
      </c>
      <c r="N30" s="25" t="str">
        <f>IF($Q30="","",INDEX(TRANSACTIONS_MASTER!$R$5:$R$1204,$Q30))</f>
        <v/>
      </c>
      <c r="O30" s="28" t="str">
        <f>IF($Q30="","",INDEX(TRANSACTIONS_MASTER!$AB$5:$AB$1204,$Q30))</f>
        <v/>
      </c>
      <c r="P30" s="55" t="str">
        <f>IF($Q30="","",INDEX(TRANSACTIONS_MASTER!$Z$5:$Z$1204,$Q30)&amp;"")</f>
        <v/>
      </c>
      <c r="Q30" s="67" t="str">
        <f>IFERROR(MATCH($C$2&amp;"|"&amp;23,TRANSACTIONS_MASTER!$AE$5:$AE$1204,0),"")</f>
        <v/>
      </c>
      <c r="S30" s="67" t="str">
        <f>IFERROR(MATCH(23,CASHBACK_RULES!$S$5:$S$304,0),"")</f>
        <v/>
      </c>
      <c r="T30" s="55" t="str">
        <f>IF($S30="","",INDEX(CASHBACK_RULES!$B$5:$B$304,$S30))</f>
        <v/>
      </c>
      <c r="U30" s="55" t="str">
        <f>IF($S30="","",INDEX(CASHBACK_RULES!$C$5:$C$304,$S30)&amp;" "&amp;INDEX(CASHBACK_RULES!$D$5:$D$304,$S30))</f>
        <v/>
      </c>
      <c r="V30" s="55" t="str">
        <f>IF($S30="","",INDEX(CASHBACK_RULES!$E$5:$E$304,$S30)&amp;"")</f>
        <v/>
      </c>
      <c r="W30" s="55" t="str">
        <f>IF($S30="","",INDEX(CASHBACK_RULES!$F$5:$F$304,$S30)&amp;"")</f>
        <v/>
      </c>
      <c r="X30" s="26" t="str">
        <f>IF($S30="","",SUMIFS(TRANSACTIONS_MASTER!$Q$5:$Q$1204,TRANSACTIONS_MASTER!$D$5:$D$1204,$T30,TRANSACTIONS_MASTER!$Z$5:$Z$1204,$V30,TRANSACTIONS_MASTER!$C$5:$C$1204,$C$2))</f>
        <v/>
      </c>
      <c r="Y30" s="25" t="str">
        <f>IF($S30="","",IF(ISNUMBER(INDEX(CASHBACK_RULES!$J$5:$J$304,$S30)),INDEX(CASHBACK_RULES!$J$5:$J$304,$S30),"∞"))</f>
        <v/>
      </c>
      <c r="Z30" s="25" t="str">
        <f>IF($S30="","",IF(ISNUMBER($Y30),MAX(0,$Y30-$X30),"∞"))</f>
        <v/>
      </c>
      <c r="AA30" s="27" t="str">
        <f>IF($S30="","",IF(ISNUMBER($Y30),IF($Y30=0,0,$X30/$Y30),""))</f>
        <v/>
      </c>
    </row>
    <row r="31" ht="20" customHeight="1">
      <c r="A31" s="81" t="str">
        <f>IF($Q31="","",24)</f>
        <v/>
      </c>
      <c r="B31" s="57" t="str">
        <f>IF($Q31="","",INDEX(TRANSACTIONS_MASTER!$B$5:$B$1204,$Q31))</f>
        <v/>
      </c>
      <c r="C31" s="55" t="str">
        <f>IF($Q31="","",INDEX(TRANSACTIONS_MASTER!$F$5:$F$1204,$Q31))</f>
        <v/>
      </c>
      <c r="D31" s="55" t="str">
        <f>IF($Q31="","",INDEX(TRANSACTIONS_MASTER!$E$5:$E$1204,$Q31))</f>
        <v/>
      </c>
      <c r="E31" s="55" t="str">
        <f>IF($Q31="","",INDEX(TRANSACTIONS_MASTER!$G$5:$G$1204,$Q31)&amp;"")</f>
        <v/>
      </c>
      <c r="F31" s="29" t="str">
        <f>IF($Q31="","",INDEX(TRANSACTIONS_MASTER!$I$5:$I$1204,$Q31))</f>
        <v/>
      </c>
      <c r="G31" s="55" t="str">
        <f>IF($Q31="","",INDEX(TRANSACTIONS_MASTER!$K$5:$K$1204,$Q31))</f>
        <v/>
      </c>
      <c r="H31" s="25" t="str">
        <f>IF($Q31="","",INDEX(TRANSACTIONS_MASTER!$L$5:$L$1204,$Q31))</f>
        <v/>
      </c>
      <c r="I31" s="56" t="str">
        <f>IF($Q31="","",INDEX(TRANSACTIONS_MASTER!$N$5:$N$1204,$Q31))</f>
        <v/>
      </c>
      <c r="J31" s="25" t="str">
        <f>IF($Q31="","",INDEX(TRANSACTIONS_MASTER!$O$5:$O$1204,$Q31))</f>
        <v/>
      </c>
      <c r="K31" s="26" t="str">
        <f>IF($Q31="","",INDEX(TRANSACTIONS_MASTER!$Q$5:$Q$1204,$Q31))</f>
        <v/>
      </c>
      <c r="L31" s="25" t="str">
        <f>IF($Q31="","",INDEX(TRANSACTIONS_MASTER!$P$5:$P$1204,$Q31))</f>
        <v/>
      </c>
      <c r="M31" s="25" t="str">
        <f>IF($Q31="","",INDEX(TRANSACTIONS_MASTER!$AA$5:$AA$1204,$Q31))</f>
        <v/>
      </c>
      <c r="N31" s="25" t="str">
        <f>IF($Q31="","",INDEX(TRANSACTIONS_MASTER!$R$5:$R$1204,$Q31))</f>
        <v/>
      </c>
      <c r="O31" s="28" t="str">
        <f>IF($Q31="","",INDEX(TRANSACTIONS_MASTER!$AB$5:$AB$1204,$Q31))</f>
        <v/>
      </c>
      <c r="P31" s="55" t="str">
        <f>IF($Q31="","",INDEX(TRANSACTIONS_MASTER!$Z$5:$Z$1204,$Q31)&amp;"")</f>
        <v/>
      </c>
      <c r="Q31" s="67" t="str">
        <f>IFERROR(MATCH($C$2&amp;"|"&amp;24,TRANSACTIONS_MASTER!$AE$5:$AE$1204,0),"")</f>
        <v/>
      </c>
      <c r="S31" s="67" t="str">
        <f>IFERROR(MATCH(24,CASHBACK_RULES!$S$5:$S$304,0),"")</f>
        <v/>
      </c>
      <c r="T31" s="55" t="str">
        <f>IF($S31="","",INDEX(CASHBACK_RULES!$B$5:$B$304,$S31))</f>
        <v/>
      </c>
      <c r="U31" s="55" t="str">
        <f>IF($S31="","",INDEX(CASHBACK_RULES!$C$5:$C$304,$S31)&amp;" "&amp;INDEX(CASHBACK_RULES!$D$5:$D$304,$S31))</f>
        <v/>
      </c>
      <c r="V31" s="55" t="str">
        <f>IF($S31="","",INDEX(CASHBACK_RULES!$E$5:$E$304,$S31)&amp;"")</f>
        <v/>
      </c>
      <c r="W31" s="55" t="str">
        <f>IF($S31="","",INDEX(CASHBACK_RULES!$F$5:$F$304,$S31)&amp;"")</f>
        <v/>
      </c>
      <c r="X31" s="26" t="str">
        <f>IF($S31="","",SUMIFS(TRANSACTIONS_MASTER!$Q$5:$Q$1204,TRANSACTIONS_MASTER!$D$5:$D$1204,$T31,TRANSACTIONS_MASTER!$Z$5:$Z$1204,$V31,TRANSACTIONS_MASTER!$C$5:$C$1204,$C$2))</f>
        <v/>
      </c>
      <c r="Y31" s="25" t="str">
        <f>IF($S31="","",IF(ISNUMBER(INDEX(CASHBACK_RULES!$J$5:$J$304,$S31)),INDEX(CASHBACK_RULES!$J$5:$J$304,$S31),"∞"))</f>
        <v/>
      </c>
      <c r="Z31" s="25" t="str">
        <f>IF($S31="","",IF(ISNUMBER($Y31),MAX(0,$Y31-$X31),"∞"))</f>
        <v/>
      </c>
      <c r="AA31" s="27" t="str">
        <f>IF($S31="","",IF(ISNUMBER($Y31),IF($Y31=0,0,$X31/$Y31),""))</f>
        <v/>
      </c>
    </row>
    <row r="32" ht="20" customHeight="1">
      <c r="A32" s="81" t="str">
        <f>IF($Q32="","",25)</f>
        <v/>
      </c>
      <c r="B32" s="57" t="str">
        <f>IF($Q32="","",INDEX(TRANSACTIONS_MASTER!$B$5:$B$1204,$Q32))</f>
        <v/>
      </c>
      <c r="C32" s="55" t="str">
        <f>IF($Q32="","",INDEX(TRANSACTIONS_MASTER!$F$5:$F$1204,$Q32))</f>
        <v/>
      </c>
      <c r="D32" s="55" t="str">
        <f>IF($Q32="","",INDEX(TRANSACTIONS_MASTER!$E$5:$E$1204,$Q32))</f>
        <v/>
      </c>
      <c r="E32" s="55" t="str">
        <f>IF($Q32="","",INDEX(TRANSACTIONS_MASTER!$G$5:$G$1204,$Q32)&amp;"")</f>
        <v/>
      </c>
      <c r="F32" s="29" t="str">
        <f>IF($Q32="","",INDEX(TRANSACTIONS_MASTER!$I$5:$I$1204,$Q32))</f>
        <v/>
      </c>
      <c r="G32" s="55" t="str">
        <f>IF($Q32="","",INDEX(TRANSACTIONS_MASTER!$K$5:$K$1204,$Q32))</f>
        <v/>
      </c>
      <c r="H32" s="25" t="str">
        <f>IF($Q32="","",INDEX(TRANSACTIONS_MASTER!$L$5:$L$1204,$Q32))</f>
        <v/>
      </c>
      <c r="I32" s="56" t="str">
        <f>IF($Q32="","",INDEX(TRANSACTIONS_MASTER!$N$5:$N$1204,$Q32))</f>
        <v/>
      </c>
      <c r="J32" s="25" t="str">
        <f>IF($Q32="","",INDEX(TRANSACTIONS_MASTER!$O$5:$O$1204,$Q32))</f>
        <v/>
      </c>
      <c r="K32" s="26" t="str">
        <f>IF($Q32="","",INDEX(TRANSACTIONS_MASTER!$Q$5:$Q$1204,$Q32))</f>
        <v/>
      </c>
      <c r="L32" s="25" t="str">
        <f>IF($Q32="","",INDEX(TRANSACTIONS_MASTER!$P$5:$P$1204,$Q32))</f>
        <v/>
      </c>
      <c r="M32" s="25" t="str">
        <f>IF($Q32="","",INDEX(TRANSACTIONS_MASTER!$AA$5:$AA$1204,$Q32))</f>
        <v/>
      </c>
      <c r="N32" s="25" t="str">
        <f>IF($Q32="","",INDEX(TRANSACTIONS_MASTER!$R$5:$R$1204,$Q32))</f>
        <v/>
      </c>
      <c r="O32" s="28" t="str">
        <f>IF($Q32="","",INDEX(TRANSACTIONS_MASTER!$AB$5:$AB$1204,$Q32))</f>
        <v/>
      </c>
      <c r="P32" s="55" t="str">
        <f>IF($Q32="","",INDEX(TRANSACTIONS_MASTER!$Z$5:$Z$1204,$Q32)&amp;"")</f>
        <v/>
      </c>
      <c r="Q32" s="67" t="str">
        <f>IFERROR(MATCH($C$2&amp;"|"&amp;25,TRANSACTIONS_MASTER!$AE$5:$AE$1204,0),"")</f>
        <v/>
      </c>
      <c r="S32" s="67" t="str">
        <f>IFERROR(MATCH(25,CASHBACK_RULES!$S$5:$S$304,0),"")</f>
        <v/>
      </c>
      <c r="T32" s="55" t="str">
        <f>IF($S32="","",INDEX(CASHBACK_RULES!$B$5:$B$304,$S32))</f>
        <v/>
      </c>
      <c r="U32" s="55" t="str">
        <f>IF($S32="","",INDEX(CASHBACK_RULES!$C$5:$C$304,$S32)&amp;" "&amp;INDEX(CASHBACK_RULES!$D$5:$D$304,$S32))</f>
        <v/>
      </c>
      <c r="V32" s="55" t="str">
        <f>IF($S32="","",INDEX(CASHBACK_RULES!$E$5:$E$304,$S32)&amp;"")</f>
        <v/>
      </c>
      <c r="W32" s="55" t="str">
        <f>IF($S32="","",INDEX(CASHBACK_RULES!$F$5:$F$304,$S32)&amp;"")</f>
        <v/>
      </c>
      <c r="X32" s="26" t="str">
        <f>IF($S32="","",SUMIFS(TRANSACTIONS_MASTER!$Q$5:$Q$1204,TRANSACTIONS_MASTER!$D$5:$D$1204,$T32,TRANSACTIONS_MASTER!$Z$5:$Z$1204,$V32,TRANSACTIONS_MASTER!$C$5:$C$1204,$C$2))</f>
        <v/>
      </c>
      <c r="Y32" s="25" t="str">
        <f>IF($S32="","",IF(ISNUMBER(INDEX(CASHBACK_RULES!$J$5:$J$304,$S32)),INDEX(CASHBACK_RULES!$J$5:$J$304,$S32),"∞"))</f>
        <v/>
      </c>
      <c r="Z32" s="25" t="str">
        <f>IF($S32="","",IF(ISNUMBER($Y32),MAX(0,$Y32-$X32),"∞"))</f>
        <v/>
      </c>
      <c r="AA32" s="27" t="str">
        <f>IF($S32="","",IF(ISNUMBER($Y32),IF($Y32=0,0,$X32/$Y32),""))</f>
        <v/>
      </c>
    </row>
    <row r="33" ht="20" customHeight="1">
      <c r="A33" s="81" t="str">
        <f>IF($Q33="","",26)</f>
        <v/>
      </c>
      <c r="B33" s="57" t="str">
        <f>IF($Q33="","",INDEX(TRANSACTIONS_MASTER!$B$5:$B$1204,$Q33))</f>
        <v/>
      </c>
      <c r="C33" s="55" t="str">
        <f>IF($Q33="","",INDEX(TRANSACTIONS_MASTER!$F$5:$F$1204,$Q33))</f>
        <v/>
      </c>
      <c r="D33" s="55" t="str">
        <f>IF($Q33="","",INDEX(TRANSACTIONS_MASTER!$E$5:$E$1204,$Q33))</f>
        <v/>
      </c>
      <c r="E33" s="55" t="str">
        <f>IF($Q33="","",INDEX(TRANSACTIONS_MASTER!$G$5:$G$1204,$Q33)&amp;"")</f>
        <v/>
      </c>
      <c r="F33" s="29" t="str">
        <f>IF($Q33="","",INDEX(TRANSACTIONS_MASTER!$I$5:$I$1204,$Q33))</f>
        <v/>
      </c>
      <c r="G33" s="55" t="str">
        <f>IF($Q33="","",INDEX(TRANSACTIONS_MASTER!$K$5:$K$1204,$Q33))</f>
        <v/>
      </c>
      <c r="H33" s="25" t="str">
        <f>IF($Q33="","",INDEX(TRANSACTIONS_MASTER!$L$5:$L$1204,$Q33))</f>
        <v/>
      </c>
      <c r="I33" s="56" t="str">
        <f>IF($Q33="","",INDEX(TRANSACTIONS_MASTER!$N$5:$N$1204,$Q33))</f>
        <v/>
      </c>
      <c r="J33" s="25" t="str">
        <f>IF($Q33="","",INDEX(TRANSACTIONS_MASTER!$O$5:$O$1204,$Q33))</f>
        <v/>
      </c>
      <c r="K33" s="26" t="str">
        <f>IF($Q33="","",INDEX(TRANSACTIONS_MASTER!$Q$5:$Q$1204,$Q33))</f>
        <v/>
      </c>
      <c r="L33" s="25" t="str">
        <f>IF($Q33="","",INDEX(TRANSACTIONS_MASTER!$P$5:$P$1204,$Q33))</f>
        <v/>
      </c>
      <c r="M33" s="25" t="str">
        <f>IF($Q33="","",INDEX(TRANSACTIONS_MASTER!$AA$5:$AA$1204,$Q33))</f>
        <v/>
      </c>
      <c r="N33" s="25" t="str">
        <f>IF($Q33="","",INDEX(TRANSACTIONS_MASTER!$R$5:$R$1204,$Q33))</f>
        <v/>
      </c>
      <c r="O33" s="28" t="str">
        <f>IF($Q33="","",INDEX(TRANSACTIONS_MASTER!$AB$5:$AB$1204,$Q33))</f>
        <v/>
      </c>
      <c r="P33" s="55" t="str">
        <f>IF($Q33="","",INDEX(TRANSACTIONS_MASTER!$Z$5:$Z$1204,$Q33)&amp;"")</f>
        <v/>
      </c>
      <c r="Q33" s="67" t="str">
        <f>IFERROR(MATCH($C$2&amp;"|"&amp;26,TRANSACTIONS_MASTER!$AE$5:$AE$1204,0),"")</f>
        <v/>
      </c>
      <c r="S33" s="67" t="str">
        <f>IFERROR(MATCH(26,CASHBACK_RULES!$S$5:$S$304,0),"")</f>
        <v/>
      </c>
      <c r="T33" s="55" t="str">
        <f>IF($S33="","",INDEX(CASHBACK_RULES!$B$5:$B$304,$S33))</f>
        <v/>
      </c>
      <c r="U33" s="55" t="str">
        <f>IF($S33="","",INDEX(CASHBACK_RULES!$C$5:$C$304,$S33)&amp;" "&amp;INDEX(CASHBACK_RULES!$D$5:$D$304,$S33))</f>
        <v/>
      </c>
      <c r="V33" s="55" t="str">
        <f>IF($S33="","",INDEX(CASHBACK_RULES!$E$5:$E$304,$S33)&amp;"")</f>
        <v/>
      </c>
      <c r="W33" s="55" t="str">
        <f>IF($S33="","",INDEX(CASHBACK_RULES!$F$5:$F$304,$S33)&amp;"")</f>
        <v/>
      </c>
      <c r="X33" s="26" t="str">
        <f>IF($S33="","",SUMIFS(TRANSACTIONS_MASTER!$Q$5:$Q$1204,TRANSACTIONS_MASTER!$D$5:$D$1204,$T33,TRANSACTIONS_MASTER!$Z$5:$Z$1204,$V33,TRANSACTIONS_MASTER!$C$5:$C$1204,$C$2))</f>
        <v/>
      </c>
      <c r="Y33" s="25" t="str">
        <f>IF($S33="","",IF(ISNUMBER(INDEX(CASHBACK_RULES!$J$5:$J$304,$S33)),INDEX(CASHBACK_RULES!$J$5:$J$304,$S33),"∞"))</f>
        <v/>
      </c>
      <c r="Z33" s="25" t="str">
        <f>IF($S33="","",IF(ISNUMBER($Y33),MAX(0,$Y33-$X33),"∞"))</f>
        <v/>
      </c>
      <c r="AA33" s="27" t="str">
        <f>IF($S33="","",IF(ISNUMBER($Y33),IF($Y33=0,0,$X33/$Y33),""))</f>
        <v/>
      </c>
    </row>
    <row r="34" ht="20" customHeight="1">
      <c r="A34" s="81" t="str">
        <f>IF($Q34="","",27)</f>
        <v/>
      </c>
      <c r="B34" s="57" t="str">
        <f>IF($Q34="","",INDEX(TRANSACTIONS_MASTER!$B$5:$B$1204,$Q34))</f>
        <v/>
      </c>
      <c r="C34" s="55" t="str">
        <f>IF($Q34="","",INDEX(TRANSACTIONS_MASTER!$F$5:$F$1204,$Q34))</f>
        <v/>
      </c>
      <c r="D34" s="55" t="str">
        <f>IF($Q34="","",INDEX(TRANSACTIONS_MASTER!$E$5:$E$1204,$Q34))</f>
        <v/>
      </c>
      <c r="E34" s="55" t="str">
        <f>IF($Q34="","",INDEX(TRANSACTIONS_MASTER!$G$5:$G$1204,$Q34)&amp;"")</f>
        <v/>
      </c>
      <c r="F34" s="29" t="str">
        <f>IF($Q34="","",INDEX(TRANSACTIONS_MASTER!$I$5:$I$1204,$Q34))</f>
        <v/>
      </c>
      <c r="G34" s="55" t="str">
        <f>IF($Q34="","",INDEX(TRANSACTIONS_MASTER!$K$5:$K$1204,$Q34))</f>
        <v/>
      </c>
      <c r="H34" s="25" t="str">
        <f>IF($Q34="","",INDEX(TRANSACTIONS_MASTER!$L$5:$L$1204,$Q34))</f>
        <v/>
      </c>
      <c r="I34" s="56" t="str">
        <f>IF($Q34="","",INDEX(TRANSACTIONS_MASTER!$N$5:$N$1204,$Q34))</f>
        <v/>
      </c>
      <c r="J34" s="25" t="str">
        <f>IF($Q34="","",INDEX(TRANSACTIONS_MASTER!$O$5:$O$1204,$Q34))</f>
        <v/>
      </c>
      <c r="K34" s="26" t="str">
        <f>IF($Q34="","",INDEX(TRANSACTIONS_MASTER!$Q$5:$Q$1204,$Q34))</f>
        <v/>
      </c>
      <c r="L34" s="25" t="str">
        <f>IF($Q34="","",INDEX(TRANSACTIONS_MASTER!$P$5:$P$1204,$Q34))</f>
        <v/>
      </c>
      <c r="M34" s="25" t="str">
        <f>IF($Q34="","",INDEX(TRANSACTIONS_MASTER!$AA$5:$AA$1204,$Q34))</f>
        <v/>
      </c>
      <c r="N34" s="25" t="str">
        <f>IF($Q34="","",INDEX(TRANSACTIONS_MASTER!$R$5:$R$1204,$Q34))</f>
        <v/>
      </c>
      <c r="O34" s="28" t="str">
        <f>IF($Q34="","",INDEX(TRANSACTIONS_MASTER!$AB$5:$AB$1204,$Q34))</f>
        <v/>
      </c>
      <c r="P34" s="55" t="str">
        <f>IF($Q34="","",INDEX(TRANSACTIONS_MASTER!$Z$5:$Z$1204,$Q34)&amp;"")</f>
        <v/>
      </c>
      <c r="Q34" s="67" t="str">
        <f>IFERROR(MATCH($C$2&amp;"|"&amp;27,TRANSACTIONS_MASTER!$AE$5:$AE$1204,0),"")</f>
        <v/>
      </c>
      <c r="S34" s="67" t="str">
        <f>IFERROR(MATCH(27,CASHBACK_RULES!$S$5:$S$304,0),"")</f>
        <v/>
      </c>
      <c r="T34" s="55" t="str">
        <f>IF($S34="","",INDEX(CASHBACK_RULES!$B$5:$B$304,$S34))</f>
        <v/>
      </c>
      <c r="U34" s="55" t="str">
        <f>IF($S34="","",INDEX(CASHBACK_RULES!$C$5:$C$304,$S34)&amp;" "&amp;INDEX(CASHBACK_RULES!$D$5:$D$304,$S34))</f>
        <v/>
      </c>
      <c r="V34" s="55" t="str">
        <f>IF($S34="","",INDEX(CASHBACK_RULES!$E$5:$E$304,$S34)&amp;"")</f>
        <v/>
      </c>
      <c r="W34" s="55" t="str">
        <f>IF($S34="","",INDEX(CASHBACK_RULES!$F$5:$F$304,$S34)&amp;"")</f>
        <v/>
      </c>
      <c r="X34" s="26" t="str">
        <f>IF($S34="","",SUMIFS(TRANSACTIONS_MASTER!$Q$5:$Q$1204,TRANSACTIONS_MASTER!$D$5:$D$1204,$T34,TRANSACTIONS_MASTER!$Z$5:$Z$1204,$V34,TRANSACTIONS_MASTER!$C$5:$C$1204,$C$2))</f>
        <v/>
      </c>
      <c r="Y34" s="25" t="str">
        <f>IF($S34="","",IF(ISNUMBER(INDEX(CASHBACK_RULES!$J$5:$J$304,$S34)),INDEX(CASHBACK_RULES!$J$5:$J$304,$S34),"∞"))</f>
        <v/>
      </c>
      <c r="Z34" s="25" t="str">
        <f>IF($S34="","",IF(ISNUMBER($Y34),MAX(0,$Y34-$X34),"∞"))</f>
        <v/>
      </c>
      <c r="AA34" s="27" t="str">
        <f>IF($S34="","",IF(ISNUMBER($Y34),IF($Y34=0,0,$X34/$Y34),""))</f>
        <v/>
      </c>
    </row>
    <row r="35" ht="20" customHeight="1">
      <c r="A35" s="81" t="str">
        <f>IF($Q35="","",28)</f>
        <v/>
      </c>
      <c r="B35" s="57" t="str">
        <f>IF($Q35="","",INDEX(TRANSACTIONS_MASTER!$B$5:$B$1204,$Q35))</f>
        <v/>
      </c>
      <c r="C35" s="55" t="str">
        <f>IF($Q35="","",INDEX(TRANSACTIONS_MASTER!$F$5:$F$1204,$Q35))</f>
        <v/>
      </c>
      <c r="D35" s="55" t="str">
        <f>IF($Q35="","",INDEX(TRANSACTIONS_MASTER!$E$5:$E$1204,$Q35))</f>
        <v/>
      </c>
      <c r="E35" s="55" t="str">
        <f>IF($Q35="","",INDEX(TRANSACTIONS_MASTER!$G$5:$G$1204,$Q35)&amp;"")</f>
        <v/>
      </c>
      <c r="F35" s="29" t="str">
        <f>IF($Q35="","",INDEX(TRANSACTIONS_MASTER!$I$5:$I$1204,$Q35))</f>
        <v/>
      </c>
      <c r="G35" s="55" t="str">
        <f>IF($Q35="","",INDEX(TRANSACTIONS_MASTER!$K$5:$K$1204,$Q35))</f>
        <v/>
      </c>
      <c r="H35" s="25" t="str">
        <f>IF($Q35="","",INDEX(TRANSACTIONS_MASTER!$L$5:$L$1204,$Q35))</f>
        <v/>
      </c>
      <c r="I35" s="56" t="str">
        <f>IF($Q35="","",INDEX(TRANSACTIONS_MASTER!$N$5:$N$1204,$Q35))</f>
        <v/>
      </c>
      <c r="J35" s="25" t="str">
        <f>IF($Q35="","",INDEX(TRANSACTIONS_MASTER!$O$5:$O$1204,$Q35))</f>
        <v/>
      </c>
      <c r="K35" s="26" t="str">
        <f>IF($Q35="","",INDEX(TRANSACTIONS_MASTER!$Q$5:$Q$1204,$Q35))</f>
        <v/>
      </c>
      <c r="L35" s="25" t="str">
        <f>IF($Q35="","",INDEX(TRANSACTIONS_MASTER!$P$5:$P$1204,$Q35))</f>
        <v/>
      </c>
      <c r="M35" s="25" t="str">
        <f>IF($Q35="","",INDEX(TRANSACTIONS_MASTER!$AA$5:$AA$1204,$Q35))</f>
        <v/>
      </c>
      <c r="N35" s="25" t="str">
        <f>IF($Q35="","",INDEX(TRANSACTIONS_MASTER!$R$5:$R$1204,$Q35))</f>
        <v/>
      </c>
      <c r="O35" s="28" t="str">
        <f>IF($Q35="","",INDEX(TRANSACTIONS_MASTER!$AB$5:$AB$1204,$Q35))</f>
        <v/>
      </c>
      <c r="P35" s="55" t="str">
        <f>IF($Q35="","",INDEX(TRANSACTIONS_MASTER!$Z$5:$Z$1204,$Q35)&amp;"")</f>
        <v/>
      </c>
      <c r="Q35" s="67" t="str">
        <f>IFERROR(MATCH($C$2&amp;"|"&amp;28,TRANSACTIONS_MASTER!$AE$5:$AE$1204,0),"")</f>
        <v/>
      </c>
      <c r="S35" s="67" t="str">
        <f>IFERROR(MATCH(28,CASHBACK_RULES!$S$5:$S$304,0),"")</f>
        <v/>
      </c>
      <c r="T35" s="55" t="str">
        <f>IF($S35="","",INDEX(CASHBACK_RULES!$B$5:$B$304,$S35))</f>
        <v/>
      </c>
      <c r="U35" s="55" t="str">
        <f>IF($S35="","",INDEX(CASHBACK_RULES!$C$5:$C$304,$S35)&amp;" "&amp;INDEX(CASHBACK_RULES!$D$5:$D$304,$S35))</f>
        <v/>
      </c>
      <c r="V35" s="55" t="str">
        <f>IF($S35="","",INDEX(CASHBACK_RULES!$E$5:$E$304,$S35)&amp;"")</f>
        <v/>
      </c>
      <c r="W35" s="55" t="str">
        <f>IF($S35="","",INDEX(CASHBACK_RULES!$F$5:$F$304,$S35)&amp;"")</f>
        <v/>
      </c>
      <c r="X35" s="26" t="str">
        <f>IF($S35="","",SUMIFS(TRANSACTIONS_MASTER!$Q$5:$Q$1204,TRANSACTIONS_MASTER!$D$5:$D$1204,$T35,TRANSACTIONS_MASTER!$Z$5:$Z$1204,$V35,TRANSACTIONS_MASTER!$C$5:$C$1204,$C$2))</f>
        <v/>
      </c>
      <c r="Y35" s="25" t="str">
        <f>IF($S35="","",IF(ISNUMBER(INDEX(CASHBACK_RULES!$J$5:$J$304,$S35)),INDEX(CASHBACK_RULES!$J$5:$J$304,$S35),"∞"))</f>
        <v/>
      </c>
      <c r="Z35" s="25" t="str">
        <f>IF($S35="","",IF(ISNUMBER($Y35),MAX(0,$Y35-$X35),"∞"))</f>
        <v/>
      </c>
      <c r="AA35" s="27" t="str">
        <f>IF($S35="","",IF(ISNUMBER($Y35),IF($Y35=0,0,$X35/$Y35),""))</f>
        <v/>
      </c>
    </row>
    <row r="36" ht="20" customHeight="1">
      <c r="A36" s="81" t="str">
        <f>IF($Q36="","",29)</f>
        <v/>
      </c>
      <c r="B36" s="57" t="str">
        <f>IF($Q36="","",INDEX(TRANSACTIONS_MASTER!$B$5:$B$1204,$Q36))</f>
        <v/>
      </c>
      <c r="C36" s="55" t="str">
        <f>IF($Q36="","",INDEX(TRANSACTIONS_MASTER!$F$5:$F$1204,$Q36))</f>
        <v/>
      </c>
      <c r="D36" s="55" t="str">
        <f>IF($Q36="","",INDEX(TRANSACTIONS_MASTER!$E$5:$E$1204,$Q36))</f>
        <v/>
      </c>
      <c r="E36" s="55" t="str">
        <f>IF($Q36="","",INDEX(TRANSACTIONS_MASTER!$G$5:$G$1204,$Q36)&amp;"")</f>
        <v/>
      </c>
      <c r="F36" s="29" t="str">
        <f>IF($Q36="","",INDEX(TRANSACTIONS_MASTER!$I$5:$I$1204,$Q36))</f>
        <v/>
      </c>
      <c r="G36" s="55" t="str">
        <f>IF($Q36="","",INDEX(TRANSACTIONS_MASTER!$K$5:$K$1204,$Q36))</f>
        <v/>
      </c>
      <c r="H36" s="25" t="str">
        <f>IF($Q36="","",INDEX(TRANSACTIONS_MASTER!$L$5:$L$1204,$Q36))</f>
        <v/>
      </c>
      <c r="I36" s="56" t="str">
        <f>IF($Q36="","",INDEX(TRANSACTIONS_MASTER!$N$5:$N$1204,$Q36))</f>
        <v/>
      </c>
      <c r="J36" s="25" t="str">
        <f>IF($Q36="","",INDEX(TRANSACTIONS_MASTER!$O$5:$O$1204,$Q36))</f>
        <v/>
      </c>
      <c r="K36" s="26" t="str">
        <f>IF($Q36="","",INDEX(TRANSACTIONS_MASTER!$Q$5:$Q$1204,$Q36))</f>
        <v/>
      </c>
      <c r="L36" s="25" t="str">
        <f>IF($Q36="","",INDEX(TRANSACTIONS_MASTER!$P$5:$P$1204,$Q36))</f>
        <v/>
      </c>
      <c r="M36" s="25" t="str">
        <f>IF($Q36="","",INDEX(TRANSACTIONS_MASTER!$AA$5:$AA$1204,$Q36))</f>
        <v/>
      </c>
      <c r="N36" s="25" t="str">
        <f>IF($Q36="","",INDEX(TRANSACTIONS_MASTER!$R$5:$R$1204,$Q36))</f>
        <v/>
      </c>
      <c r="O36" s="28" t="str">
        <f>IF($Q36="","",INDEX(TRANSACTIONS_MASTER!$AB$5:$AB$1204,$Q36))</f>
        <v/>
      </c>
      <c r="P36" s="55" t="str">
        <f>IF($Q36="","",INDEX(TRANSACTIONS_MASTER!$Z$5:$Z$1204,$Q36)&amp;"")</f>
        <v/>
      </c>
      <c r="Q36" s="67" t="str">
        <f>IFERROR(MATCH($C$2&amp;"|"&amp;29,TRANSACTIONS_MASTER!$AE$5:$AE$1204,0),"")</f>
        <v/>
      </c>
      <c r="S36" s="67" t="str">
        <f>IFERROR(MATCH(29,CASHBACK_RULES!$S$5:$S$304,0),"")</f>
        <v/>
      </c>
      <c r="T36" s="55" t="str">
        <f>IF($S36="","",INDEX(CASHBACK_RULES!$B$5:$B$304,$S36))</f>
        <v/>
      </c>
      <c r="U36" s="55" t="str">
        <f>IF($S36="","",INDEX(CASHBACK_RULES!$C$5:$C$304,$S36)&amp;" "&amp;INDEX(CASHBACK_RULES!$D$5:$D$304,$S36))</f>
        <v/>
      </c>
      <c r="V36" s="55" t="str">
        <f>IF($S36="","",INDEX(CASHBACK_RULES!$E$5:$E$304,$S36)&amp;"")</f>
        <v/>
      </c>
      <c r="W36" s="55" t="str">
        <f>IF($S36="","",INDEX(CASHBACK_RULES!$F$5:$F$304,$S36)&amp;"")</f>
        <v/>
      </c>
      <c r="X36" s="26" t="str">
        <f>IF($S36="","",SUMIFS(TRANSACTIONS_MASTER!$Q$5:$Q$1204,TRANSACTIONS_MASTER!$D$5:$D$1204,$T36,TRANSACTIONS_MASTER!$Z$5:$Z$1204,$V36,TRANSACTIONS_MASTER!$C$5:$C$1204,$C$2))</f>
        <v/>
      </c>
      <c r="Y36" s="25" t="str">
        <f>IF($S36="","",IF(ISNUMBER(INDEX(CASHBACK_RULES!$J$5:$J$304,$S36)),INDEX(CASHBACK_RULES!$J$5:$J$304,$S36),"∞"))</f>
        <v/>
      </c>
      <c r="Z36" s="25" t="str">
        <f>IF($S36="","",IF(ISNUMBER($Y36),MAX(0,$Y36-$X36),"∞"))</f>
        <v/>
      </c>
      <c r="AA36" s="27" t="str">
        <f>IF($S36="","",IF(ISNUMBER($Y36),IF($Y36=0,0,$X36/$Y36),""))</f>
        <v/>
      </c>
    </row>
    <row r="37" ht="20" customHeight="1">
      <c r="A37" s="81" t="str">
        <f>IF($Q37="","",30)</f>
        <v/>
      </c>
      <c r="B37" s="57" t="str">
        <f>IF($Q37="","",INDEX(TRANSACTIONS_MASTER!$B$5:$B$1204,$Q37))</f>
        <v/>
      </c>
      <c r="C37" s="55" t="str">
        <f>IF($Q37="","",INDEX(TRANSACTIONS_MASTER!$F$5:$F$1204,$Q37))</f>
        <v/>
      </c>
      <c r="D37" s="55" t="str">
        <f>IF($Q37="","",INDEX(TRANSACTIONS_MASTER!$E$5:$E$1204,$Q37))</f>
        <v/>
      </c>
      <c r="E37" s="55" t="str">
        <f>IF($Q37="","",INDEX(TRANSACTIONS_MASTER!$G$5:$G$1204,$Q37)&amp;"")</f>
        <v/>
      </c>
      <c r="F37" s="29" t="str">
        <f>IF($Q37="","",INDEX(TRANSACTIONS_MASTER!$I$5:$I$1204,$Q37))</f>
        <v/>
      </c>
      <c r="G37" s="55" t="str">
        <f>IF($Q37="","",INDEX(TRANSACTIONS_MASTER!$K$5:$K$1204,$Q37))</f>
        <v/>
      </c>
      <c r="H37" s="25" t="str">
        <f>IF($Q37="","",INDEX(TRANSACTIONS_MASTER!$L$5:$L$1204,$Q37))</f>
        <v/>
      </c>
      <c r="I37" s="56" t="str">
        <f>IF($Q37="","",INDEX(TRANSACTIONS_MASTER!$N$5:$N$1204,$Q37))</f>
        <v/>
      </c>
      <c r="J37" s="25" t="str">
        <f>IF($Q37="","",INDEX(TRANSACTIONS_MASTER!$O$5:$O$1204,$Q37))</f>
        <v/>
      </c>
      <c r="K37" s="26" t="str">
        <f>IF($Q37="","",INDEX(TRANSACTIONS_MASTER!$Q$5:$Q$1204,$Q37))</f>
        <v/>
      </c>
      <c r="L37" s="25" t="str">
        <f>IF($Q37="","",INDEX(TRANSACTIONS_MASTER!$P$5:$P$1204,$Q37))</f>
        <v/>
      </c>
      <c r="M37" s="25" t="str">
        <f>IF($Q37="","",INDEX(TRANSACTIONS_MASTER!$AA$5:$AA$1204,$Q37))</f>
        <v/>
      </c>
      <c r="N37" s="25" t="str">
        <f>IF($Q37="","",INDEX(TRANSACTIONS_MASTER!$R$5:$R$1204,$Q37))</f>
        <v/>
      </c>
      <c r="O37" s="28" t="str">
        <f>IF($Q37="","",INDEX(TRANSACTIONS_MASTER!$AB$5:$AB$1204,$Q37))</f>
        <v/>
      </c>
      <c r="P37" s="55" t="str">
        <f>IF($Q37="","",INDEX(TRANSACTIONS_MASTER!$Z$5:$Z$1204,$Q37)&amp;"")</f>
        <v/>
      </c>
      <c r="Q37" s="67" t="str">
        <f>IFERROR(MATCH($C$2&amp;"|"&amp;30,TRANSACTIONS_MASTER!$AE$5:$AE$1204,0),"")</f>
        <v/>
      </c>
      <c r="S37" s="67" t="str">
        <f>IFERROR(MATCH(30,CASHBACK_RULES!$S$5:$S$304,0),"")</f>
        <v/>
      </c>
      <c r="T37" s="55" t="str">
        <f>IF($S37="","",INDEX(CASHBACK_RULES!$B$5:$B$304,$S37))</f>
        <v/>
      </c>
      <c r="U37" s="55" t="str">
        <f>IF($S37="","",INDEX(CASHBACK_RULES!$C$5:$C$304,$S37)&amp;" "&amp;INDEX(CASHBACK_RULES!$D$5:$D$304,$S37))</f>
        <v/>
      </c>
      <c r="V37" s="55" t="str">
        <f>IF($S37="","",INDEX(CASHBACK_RULES!$E$5:$E$304,$S37)&amp;"")</f>
        <v/>
      </c>
      <c r="W37" s="55" t="str">
        <f>IF($S37="","",INDEX(CASHBACK_RULES!$F$5:$F$304,$S37)&amp;"")</f>
        <v/>
      </c>
      <c r="X37" s="26" t="str">
        <f>IF($S37="","",SUMIFS(TRANSACTIONS_MASTER!$Q$5:$Q$1204,TRANSACTIONS_MASTER!$D$5:$D$1204,$T37,TRANSACTIONS_MASTER!$Z$5:$Z$1204,$V37,TRANSACTIONS_MASTER!$C$5:$C$1204,$C$2))</f>
        <v/>
      </c>
      <c r="Y37" s="25" t="str">
        <f>IF($S37="","",IF(ISNUMBER(INDEX(CASHBACK_RULES!$J$5:$J$304,$S37)),INDEX(CASHBACK_RULES!$J$5:$J$304,$S37),"∞"))</f>
        <v/>
      </c>
      <c r="Z37" s="25" t="str">
        <f>IF($S37="","",IF(ISNUMBER($Y37),MAX(0,$Y37-$X37),"∞"))</f>
        <v/>
      </c>
      <c r="AA37" s="27" t="str">
        <f>IF($S37="","",IF(ISNUMBER($Y37),IF($Y37=0,0,$X37/$Y37),""))</f>
        <v/>
      </c>
    </row>
    <row r="38" ht="20" customHeight="1">
      <c r="A38" s="81" t="str">
        <f>IF($Q38="","",31)</f>
        <v/>
      </c>
      <c r="B38" s="57" t="str">
        <f>IF($Q38="","",INDEX(TRANSACTIONS_MASTER!$B$5:$B$1204,$Q38))</f>
        <v/>
      </c>
      <c r="C38" s="55" t="str">
        <f>IF($Q38="","",INDEX(TRANSACTIONS_MASTER!$F$5:$F$1204,$Q38))</f>
        <v/>
      </c>
      <c r="D38" s="55" t="str">
        <f>IF($Q38="","",INDEX(TRANSACTIONS_MASTER!$E$5:$E$1204,$Q38))</f>
        <v/>
      </c>
      <c r="E38" s="55" t="str">
        <f>IF($Q38="","",INDEX(TRANSACTIONS_MASTER!$G$5:$G$1204,$Q38)&amp;"")</f>
        <v/>
      </c>
      <c r="F38" s="29" t="str">
        <f>IF($Q38="","",INDEX(TRANSACTIONS_MASTER!$I$5:$I$1204,$Q38))</f>
        <v/>
      </c>
      <c r="G38" s="55" t="str">
        <f>IF($Q38="","",INDEX(TRANSACTIONS_MASTER!$K$5:$K$1204,$Q38))</f>
        <v/>
      </c>
      <c r="H38" s="25" t="str">
        <f>IF($Q38="","",INDEX(TRANSACTIONS_MASTER!$L$5:$L$1204,$Q38))</f>
        <v/>
      </c>
      <c r="I38" s="56" t="str">
        <f>IF($Q38="","",INDEX(TRANSACTIONS_MASTER!$N$5:$N$1204,$Q38))</f>
        <v/>
      </c>
      <c r="J38" s="25" t="str">
        <f>IF($Q38="","",INDEX(TRANSACTIONS_MASTER!$O$5:$O$1204,$Q38))</f>
        <v/>
      </c>
      <c r="K38" s="26" t="str">
        <f>IF($Q38="","",INDEX(TRANSACTIONS_MASTER!$Q$5:$Q$1204,$Q38))</f>
        <v/>
      </c>
      <c r="L38" s="25" t="str">
        <f>IF($Q38="","",INDEX(TRANSACTIONS_MASTER!$P$5:$P$1204,$Q38))</f>
        <v/>
      </c>
      <c r="M38" s="25" t="str">
        <f>IF($Q38="","",INDEX(TRANSACTIONS_MASTER!$AA$5:$AA$1204,$Q38))</f>
        <v/>
      </c>
      <c r="N38" s="25" t="str">
        <f>IF($Q38="","",INDEX(TRANSACTIONS_MASTER!$R$5:$R$1204,$Q38))</f>
        <v/>
      </c>
      <c r="O38" s="28" t="str">
        <f>IF($Q38="","",INDEX(TRANSACTIONS_MASTER!$AB$5:$AB$1204,$Q38))</f>
        <v/>
      </c>
      <c r="P38" s="55" t="str">
        <f>IF($Q38="","",INDEX(TRANSACTIONS_MASTER!$Z$5:$Z$1204,$Q38)&amp;"")</f>
        <v/>
      </c>
      <c r="Q38" s="67" t="str">
        <f>IFERROR(MATCH($C$2&amp;"|"&amp;31,TRANSACTIONS_MASTER!$AE$5:$AE$1204,0),"")</f>
        <v/>
      </c>
      <c r="S38" s="67" t="str">
        <f>IFERROR(MATCH(31,CASHBACK_RULES!$S$5:$S$304,0),"")</f>
        <v/>
      </c>
      <c r="T38" s="55" t="str">
        <f>IF($S38="","",INDEX(CASHBACK_RULES!$B$5:$B$304,$S38))</f>
        <v/>
      </c>
      <c r="U38" s="55" t="str">
        <f>IF($S38="","",INDEX(CASHBACK_RULES!$C$5:$C$304,$S38)&amp;" "&amp;INDEX(CASHBACK_RULES!$D$5:$D$304,$S38))</f>
        <v/>
      </c>
      <c r="V38" s="55" t="str">
        <f>IF($S38="","",INDEX(CASHBACK_RULES!$E$5:$E$304,$S38)&amp;"")</f>
        <v/>
      </c>
      <c r="W38" s="55" t="str">
        <f>IF($S38="","",INDEX(CASHBACK_RULES!$F$5:$F$304,$S38)&amp;"")</f>
        <v/>
      </c>
      <c r="X38" s="26" t="str">
        <f>IF($S38="","",SUMIFS(TRANSACTIONS_MASTER!$Q$5:$Q$1204,TRANSACTIONS_MASTER!$D$5:$D$1204,$T38,TRANSACTIONS_MASTER!$Z$5:$Z$1204,$V38,TRANSACTIONS_MASTER!$C$5:$C$1204,$C$2))</f>
        <v/>
      </c>
      <c r="Y38" s="25" t="str">
        <f>IF($S38="","",IF(ISNUMBER(INDEX(CASHBACK_RULES!$J$5:$J$304,$S38)),INDEX(CASHBACK_RULES!$J$5:$J$304,$S38),"∞"))</f>
        <v/>
      </c>
      <c r="Z38" s="25" t="str">
        <f>IF($S38="","",IF(ISNUMBER($Y38),MAX(0,$Y38-$X38),"∞"))</f>
        <v/>
      </c>
      <c r="AA38" s="27" t="str">
        <f>IF($S38="","",IF(ISNUMBER($Y38),IF($Y38=0,0,$X38/$Y38),""))</f>
        <v/>
      </c>
    </row>
    <row r="39" ht="20" customHeight="1">
      <c r="A39" s="81" t="str">
        <f>IF($Q39="","",32)</f>
        <v/>
      </c>
      <c r="B39" s="57" t="str">
        <f>IF($Q39="","",INDEX(TRANSACTIONS_MASTER!$B$5:$B$1204,$Q39))</f>
        <v/>
      </c>
      <c r="C39" s="55" t="str">
        <f>IF($Q39="","",INDEX(TRANSACTIONS_MASTER!$F$5:$F$1204,$Q39))</f>
        <v/>
      </c>
      <c r="D39" s="55" t="str">
        <f>IF($Q39="","",INDEX(TRANSACTIONS_MASTER!$E$5:$E$1204,$Q39))</f>
        <v/>
      </c>
      <c r="E39" s="55" t="str">
        <f>IF($Q39="","",INDEX(TRANSACTIONS_MASTER!$G$5:$G$1204,$Q39)&amp;"")</f>
        <v/>
      </c>
      <c r="F39" s="29" t="str">
        <f>IF($Q39="","",INDEX(TRANSACTIONS_MASTER!$I$5:$I$1204,$Q39))</f>
        <v/>
      </c>
      <c r="G39" s="55" t="str">
        <f>IF($Q39="","",INDEX(TRANSACTIONS_MASTER!$K$5:$K$1204,$Q39))</f>
        <v/>
      </c>
      <c r="H39" s="25" t="str">
        <f>IF($Q39="","",INDEX(TRANSACTIONS_MASTER!$L$5:$L$1204,$Q39))</f>
        <v/>
      </c>
      <c r="I39" s="56" t="str">
        <f>IF($Q39="","",INDEX(TRANSACTIONS_MASTER!$N$5:$N$1204,$Q39))</f>
        <v/>
      </c>
      <c r="J39" s="25" t="str">
        <f>IF($Q39="","",INDEX(TRANSACTIONS_MASTER!$O$5:$O$1204,$Q39))</f>
        <v/>
      </c>
      <c r="K39" s="26" t="str">
        <f>IF($Q39="","",INDEX(TRANSACTIONS_MASTER!$Q$5:$Q$1204,$Q39))</f>
        <v/>
      </c>
      <c r="L39" s="25" t="str">
        <f>IF($Q39="","",INDEX(TRANSACTIONS_MASTER!$P$5:$P$1204,$Q39))</f>
        <v/>
      </c>
      <c r="M39" s="25" t="str">
        <f>IF($Q39="","",INDEX(TRANSACTIONS_MASTER!$AA$5:$AA$1204,$Q39))</f>
        <v/>
      </c>
      <c r="N39" s="25" t="str">
        <f>IF($Q39="","",INDEX(TRANSACTIONS_MASTER!$R$5:$R$1204,$Q39))</f>
        <v/>
      </c>
      <c r="O39" s="28" t="str">
        <f>IF($Q39="","",INDEX(TRANSACTIONS_MASTER!$AB$5:$AB$1204,$Q39))</f>
        <v/>
      </c>
      <c r="P39" s="55" t="str">
        <f>IF($Q39="","",INDEX(TRANSACTIONS_MASTER!$Z$5:$Z$1204,$Q39)&amp;"")</f>
        <v/>
      </c>
      <c r="Q39" s="67" t="str">
        <f>IFERROR(MATCH($C$2&amp;"|"&amp;32,TRANSACTIONS_MASTER!$AE$5:$AE$1204,0),"")</f>
        <v/>
      </c>
      <c r="S39" s="67" t="str">
        <f>IFERROR(MATCH(32,CASHBACK_RULES!$S$5:$S$304,0),"")</f>
        <v/>
      </c>
      <c r="T39" s="55" t="str">
        <f>IF($S39="","",INDEX(CASHBACK_RULES!$B$5:$B$304,$S39))</f>
        <v/>
      </c>
      <c r="U39" s="55" t="str">
        <f>IF($S39="","",INDEX(CASHBACK_RULES!$C$5:$C$304,$S39)&amp;" "&amp;INDEX(CASHBACK_RULES!$D$5:$D$304,$S39))</f>
        <v/>
      </c>
      <c r="V39" s="55" t="str">
        <f>IF($S39="","",INDEX(CASHBACK_RULES!$E$5:$E$304,$S39)&amp;"")</f>
        <v/>
      </c>
      <c r="W39" s="55" t="str">
        <f>IF($S39="","",INDEX(CASHBACK_RULES!$F$5:$F$304,$S39)&amp;"")</f>
        <v/>
      </c>
      <c r="X39" s="26" t="str">
        <f>IF($S39="","",SUMIFS(TRANSACTIONS_MASTER!$Q$5:$Q$1204,TRANSACTIONS_MASTER!$D$5:$D$1204,$T39,TRANSACTIONS_MASTER!$Z$5:$Z$1204,$V39,TRANSACTIONS_MASTER!$C$5:$C$1204,$C$2))</f>
        <v/>
      </c>
      <c r="Y39" s="25" t="str">
        <f>IF($S39="","",IF(ISNUMBER(INDEX(CASHBACK_RULES!$J$5:$J$304,$S39)),INDEX(CASHBACK_RULES!$J$5:$J$304,$S39),"∞"))</f>
        <v/>
      </c>
      <c r="Z39" s="25" t="str">
        <f>IF($S39="","",IF(ISNUMBER($Y39),MAX(0,$Y39-$X39),"∞"))</f>
        <v/>
      </c>
      <c r="AA39" s="27" t="str">
        <f>IF($S39="","",IF(ISNUMBER($Y39),IF($Y39=0,0,$X39/$Y39),""))</f>
        <v/>
      </c>
    </row>
    <row r="40" ht="20" customHeight="1">
      <c r="A40" s="81" t="str">
        <f>IF($Q40="","",33)</f>
        <v/>
      </c>
      <c r="B40" s="57" t="str">
        <f>IF($Q40="","",INDEX(TRANSACTIONS_MASTER!$B$5:$B$1204,$Q40))</f>
        <v/>
      </c>
      <c r="C40" s="55" t="str">
        <f>IF($Q40="","",INDEX(TRANSACTIONS_MASTER!$F$5:$F$1204,$Q40))</f>
        <v/>
      </c>
      <c r="D40" s="55" t="str">
        <f>IF($Q40="","",INDEX(TRANSACTIONS_MASTER!$E$5:$E$1204,$Q40))</f>
        <v/>
      </c>
      <c r="E40" s="55" t="str">
        <f>IF($Q40="","",INDEX(TRANSACTIONS_MASTER!$G$5:$G$1204,$Q40)&amp;"")</f>
        <v/>
      </c>
      <c r="F40" s="29" t="str">
        <f>IF($Q40="","",INDEX(TRANSACTIONS_MASTER!$I$5:$I$1204,$Q40))</f>
        <v/>
      </c>
      <c r="G40" s="55" t="str">
        <f>IF($Q40="","",INDEX(TRANSACTIONS_MASTER!$K$5:$K$1204,$Q40))</f>
        <v/>
      </c>
      <c r="H40" s="25" t="str">
        <f>IF($Q40="","",INDEX(TRANSACTIONS_MASTER!$L$5:$L$1204,$Q40))</f>
        <v/>
      </c>
      <c r="I40" s="56" t="str">
        <f>IF($Q40="","",INDEX(TRANSACTIONS_MASTER!$N$5:$N$1204,$Q40))</f>
        <v/>
      </c>
      <c r="J40" s="25" t="str">
        <f>IF($Q40="","",INDEX(TRANSACTIONS_MASTER!$O$5:$O$1204,$Q40))</f>
        <v/>
      </c>
      <c r="K40" s="26" t="str">
        <f>IF($Q40="","",INDEX(TRANSACTIONS_MASTER!$Q$5:$Q$1204,$Q40))</f>
        <v/>
      </c>
      <c r="L40" s="25" t="str">
        <f>IF($Q40="","",INDEX(TRANSACTIONS_MASTER!$P$5:$P$1204,$Q40))</f>
        <v/>
      </c>
      <c r="M40" s="25" t="str">
        <f>IF($Q40="","",INDEX(TRANSACTIONS_MASTER!$AA$5:$AA$1204,$Q40))</f>
        <v/>
      </c>
      <c r="N40" s="25" t="str">
        <f>IF($Q40="","",INDEX(TRANSACTIONS_MASTER!$R$5:$R$1204,$Q40))</f>
        <v/>
      </c>
      <c r="O40" s="28" t="str">
        <f>IF($Q40="","",INDEX(TRANSACTIONS_MASTER!$AB$5:$AB$1204,$Q40))</f>
        <v/>
      </c>
      <c r="P40" s="55" t="str">
        <f>IF($Q40="","",INDEX(TRANSACTIONS_MASTER!$Z$5:$Z$1204,$Q40)&amp;"")</f>
        <v/>
      </c>
      <c r="Q40" s="67" t="str">
        <f>IFERROR(MATCH($C$2&amp;"|"&amp;33,TRANSACTIONS_MASTER!$AE$5:$AE$1204,0),"")</f>
        <v/>
      </c>
      <c r="S40" s="67" t="str">
        <f>IFERROR(MATCH(33,CASHBACK_RULES!$S$5:$S$304,0),"")</f>
        <v/>
      </c>
      <c r="T40" s="55" t="str">
        <f>IF($S40="","",INDEX(CASHBACK_RULES!$B$5:$B$304,$S40))</f>
        <v/>
      </c>
      <c r="U40" s="55" t="str">
        <f>IF($S40="","",INDEX(CASHBACK_RULES!$C$5:$C$304,$S40)&amp;" "&amp;INDEX(CASHBACK_RULES!$D$5:$D$304,$S40))</f>
        <v/>
      </c>
      <c r="V40" s="55" t="str">
        <f>IF($S40="","",INDEX(CASHBACK_RULES!$E$5:$E$304,$S40)&amp;"")</f>
        <v/>
      </c>
      <c r="W40" s="55" t="str">
        <f>IF($S40="","",INDEX(CASHBACK_RULES!$F$5:$F$304,$S40)&amp;"")</f>
        <v/>
      </c>
      <c r="X40" s="26" t="str">
        <f>IF($S40="","",SUMIFS(TRANSACTIONS_MASTER!$Q$5:$Q$1204,TRANSACTIONS_MASTER!$D$5:$D$1204,$T40,TRANSACTIONS_MASTER!$Z$5:$Z$1204,$V40,TRANSACTIONS_MASTER!$C$5:$C$1204,$C$2))</f>
        <v/>
      </c>
      <c r="Y40" s="25" t="str">
        <f>IF($S40="","",IF(ISNUMBER(INDEX(CASHBACK_RULES!$J$5:$J$304,$S40)),INDEX(CASHBACK_RULES!$J$5:$J$304,$S40),"∞"))</f>
        <v/>
      </c>
      <c r="Z40" s="25" t="str">
        <f>IF($S40="","",IF(ISNUMBER($Y40),MAX(0,$Y40-$X40),"∞"))</f>
        <v/>
      </c>
      <c r="AA40" s="27" t="str">
        <f>IF($S40="","",IF(ISNUMBER($Y40),IF($Y40=0,0,$X40/$Y40),""))</f>
        <v/>
      </c>
    </row>
    <row r="41" ht="20" customHeight="1">
      <c r="A41" s="81" t="str">
        <f>IF($Q41="","",34)</f>
        <v/>
      </c>
      <c r="B41" s="57" t="str">
        <f>IF($Q41="","",INDEX(TRANSACTIONS_MASTER!$B$5:$B$1204,$Q41))</f>
        <v/>
      </c>
      <c r="C41" s="55" t="str">
        <f>IF($Q41="","",INDEX(TRANSACTIONS_MASTER!$F$5:$F$1204,$Q41))</f>
        <v/>
      </c>
      <c r="D41" s="55" t="str">
        <f>IF($Q41="","",INDEX(TRANSACTIONS_MASTER!$E$5:$E$1204,$Q41))</f>
        <v/>
      </c>
      <c r="E41" s="55" t="str">
        <f>IF($Q41="","",INDEX(TRANSACTIONS_MASTER!$G$5:$G$1204,$Q41)&amp;"")</f>
        <v/>
      </c>
      <c r="F41" s="29" t="str">
        <f>IF($Q41="","",INDEX(TRANSACTIONS_MASTER!$I$5:$I$1204,$Q41))</f>
        <v/>
      </c>
      <c r="G41" s="55" t="str">
        <f>IF($Q41="","",INDEX(TRANSACTIONS_MASTER!$K$5:$K$1204,$Q41))</f>
        <v/>
      </c>
      <c r="H41" s="25" t="str">
        <f>IF($Q41="","",INDEX(TRANSACTIONS_MASTER!$L$5:$L$1204,$Q41))</f>
        <v/>
      </c>
      <c r="I41" s="56" t="str">
        <f>IF($Q41="","",INDEX(TRANSACTIONS_MASTER!$N$5:$N$1204,$Q41))</f>
        <v/>
      </c>
      <c r="J41" s="25" t="str">
        <f>IF($Q41="","",INDEX(TRANSACTIONS_MASTER!$O$5:$O$1204,$Q41))</f>
        <v/>
      </c>
      <c r="K41" s="26" t="str">
        <f>IF($Q41="","",INDEX(TRANSACTIONS_MASTER!$Q$5:$Q$1204,$Q41))</f>
        <v/>
      </c>
      <c r="L41" s="25" t="str">
        <f>IF($Q41="","",INDEX(TRANSACTIONS_MASTER!$P$5:$P$1204,$Q41))</f>
        <v/>
      </c>
      <c r="M41" s="25" t="str">
        <f>IF($Q41="","",INDEX(TRANSACTIONS_MASTER!$AA$5:$AA$1204,$Q41))</f>
        <v/>
      </c>
      <c r="N41" s="25" t="str">
        <f>IF($Q41="","",INDEX(TRANSACTIONS_MASTER!$R$5:$R$1204,$Q41))</f>
        <v/>
      </c>
      <c r="O41" s="28" t="str">
        <f>IF($Q41="","",INDEX(TRANSACTIONS_MASTER!$AB$5:$AB$1204,$Q41))</f>
        <v/>
      </c>
      <c r="P41" s="55" t="str">
        <f>IF($Q41="","",INDEX(TRANSACTIONS_MASTER!$Z$5:$Z$1204,$Q41)&amp;"")</f>
        <v/>
      </c>
      <c r="Q41" s="67" t="str">
        <f>IFERROR(MATCH($C$2&amp;"|"&amp;34,TRANSACTIONS_MASTER!$AE$5:$AE$1204,0),"")</f>
        <v/>
      </c>
      <c r="S41" s="67" t="str">
        <f>IFERROR(MATCH(34,CASHBACK_RULES!$S$5:$S$304,0),"")</f>
        <v/>
      </c>
      <c r="T41" s="55" t="str">
        <f>IF($S41="","",INDEX(CASHBACK_RULES!$B$5:$B$304,$S41))</f>
        <v/>
      </c>
      <c r="U41" s="55" t="str">
        <f>IF($S41="","",INDEX(CASHBACK_RULES!$C$5:$C$304,$S41)&amp;" "&amp;INDEX(CASHBACK_RULES!$D$5:$D$304,$S41))</f>
        <v/>
      </c>
      <c r="V41" s="55" t="str">
        <f>IF($S41="","",INDEX(CASHBACK_RULES!$E$5:$E$304,$S41)&amp;"")</f>
        <v/>
      </c>
      <c r="W41" s="55" t="str">
        <f>IF($S41="","",INDEX(CASHBACK_RULES!$F$5:$F$304,$S41)&amp;"")</f>
        <v/>
      </c>
      <c r="X41" s="26" t="str">
        <f>IF($S41="","",SUMIFS(TRANSACTIONS_MASTER!$Q$5:$Q$1204,TRANSACTIONS_MASTER!$D$5:$D$1204,$T41,TRANSACTIONS_MASTER!$Z$5:$Z$1204,$V41,TRANSACTIONS_MASTER!$C$5:$C$1204,$C$2))</f>
        <v/>
      </c>
      <c r="Y41" s="25" t="str">
        <f>IF($S41="","",IF(ISNUMBER(INDEX(CASHBACK_RULES!$J$5:$J$304,$S41)),INDEX(CASHBACK_RULES!$J$5:$J$304,$S41),"∞"))</f>
        <v/>
      </c>
      <c r="Z41" s="25" t="str">
        <f>IF($S41="","",IF(ISNUMBER($Y41),MAX(0,$Y41-$X41),"∞"))</f>
        <v/>
      </c>
      <c r="AA41" s="27" t="str">
        <f>IF($S41="","",IF(ISNUMBER($Y41),IF($Y41=0,0,$X41/$Y41),""))</f>
        <v/>
      </c>
    </row>
    <row r="42" ht="20" customHeight="1">
      <c r="A42" s="81" t="str">
        <f>IF($Q42="","",35)</f>
        <v/>
      </c>
      <c r="B42" s="57" t="str">
        <f>IF($Q42="","",INDEX(TRANSACTIONS_MASTER!$B$5:$B$1204,$Q42))</f>
        <v/>
      </c>
      <c r="C42" s="55" t="str">
        <f>IF($Q42="","",INDEX(TRANSACTIONS_MASTER!$F$5:$F$1204,$Q42))</f>
        <v/>
      </c>
      <c r="D42" s="55" t="str">
        <f>IF($Q42="","",INDEX(TRANSACTIONS_MASTER!$E$5:$E$1204,$Q42))</f>
        <v/>
      </c>
      <c r="E42" s="55" t="str">
        <f>IF($Q42="","",INDEX(TRANSACTIONS_MASTER!$G$5:$G$1204,$Q42)&amp;"")</f>
        <v/>
      </c>
      <c r="F42" s="29" t="str">
        <f>IF($Q42="","",INDEX(TRANSACTIONS_MASTER!$I$5:$I$1204,$Q42))</f>
        <v/>
      </c>
      <c r="G42" s="55" t="str">
        <f>IF($Q42="","",INDEX(TRANSACTIONS_MASTER!$K$5:$K$1204,$Q42))</f>
        <v/>
      </c>
      <c r="H42" s="25" t="str">
        <f>IF($Q42="","",INDEX(TRANSACTIONS_MASTER!$L$5:$L$1204,$Q42))</f>
        <v/>
      </c>
      <c r="I42" s="56" t="str">
        <f>IF($Q42="","",INDEX(TRANSACTIONS_MASTER!$N$5:$N$1204,$Q42))</f>
        <v/>
      </c>
      <c r="J42" s="25" t="str">
        <f>IF($Q42="","",INDEX(TRANSACTIONS_MASTER!$O$5:$O$1204,$Q42))</f>
        <v/>
      </c>
      <c r="K42" s="26" t="str">
        <f>IF($Q42="","",INDEX(TRANSACTIONS_MASTER!$Q$5:$Q$1204,$Q42))</f>
        <v/>
      </c>
      <c r="L42" s="25" t="str">
        <f>IF($Q42="","",INDEX(TRANSACTIONS_MASTER!$P$5:$P$1204,$Q42))</f>
        <v/>
      </c>
      <c r="M42" s="25" t="str">
        <f>IF($Q42="","",INDEX(TRANSACTIONS_MASTER!$AA$5:$AA$1204,$Q42))</f>
        <v/>
      </c>
      <c r="N42" s="25" t="str">
        <f>IF($Q42="","",INDEX(TRANSACTIONS_MASTER!$R$5:$R$1204,$Q42))</f>
        <v/>
      </c>
      <c r="O42" s="28" t="str">
        <f>IF($Q42="","",INDEX(TRANSACTIONS_MASTER!$AB$5:$AB$1204,$Q42))</f>
        <v/>
      </c>
      <c r="P42" s="55" t="str">
        <f>IF($Q42="","",INDEX(TRANSACTIONS_MASTER!$Z$5:$Z$1204,$Q42)&amp;"")</f>
        <v/>
      </c>
      <c r="Q42" s="67" t="str">
        <f>IFERROR(MATCH($C$2&amp;"|"&amp;35,TRANSACTIONS_MASTER!$AE$5:$AE$1204,0),"")</f>
        <v/>
      </c>
      <c r="S42" s="67" t="str">
        <f>IFERROR(MATCH(35,CASHBACK_RULES!$S$5:$S$304,0),"")</f>
        <v/>
      </c>
      <c r="T42" s="55" t="str">
        <f>IF($S42="","",INDEX(CASHBACK_RULES!$B$5:$B$304,$S42))</f>
        <v/>
      </c>
      <c r="U42" s="55" t="str">
        <f>IF($S42="","",INDEX(CASHBACK_RULES!$C$5:$C$304,$S42)&amp;" "&amp;INDEX(CASHBACK_RULES!$D$5:$D$304,$S42))</f>
        <v/>
      </c>
      <c r="V42" s="55" t="str">
        <f>IF($S42="","",INDEX(CASHBACK_RULES!$E$5:$E$304,$S42)&amp;"")</f>
        <v/>
      </c>
      <c r="W42" s="55" t="str">
        <f>IF($S42="","",INDEX(CASHBACK_RULES!$F$5:$F$304,$S42)&amp;"")</f>
        <v/>
      </c>
      <c r="X42" s="26" t="str">
        <f>IF($S42="","",SUMIFS(TRANSACTIONS_MASTER!$Q$5:$Q$1204,TRANSACTIONS_MASTER!$D$5:$D$1204,$T42,TRANSACTIONS_MASTER!$Z$5:$Z$1204,$V42,TRANSACTIONS_MASTER!$C$5:$C$1204,$C$2))</f>
        <v/>
      </c>
      <c r="Y42" s="25" t="str">
        <f>IF($S42="","",IF(ISNUMBER(INDEX(CASHBACK_RULES!$J$5:$J$304,$S42)),INDEX(CASHBACK_RULES!$J$5:$J$304,$S42),"∞"))</f>
        <v/>
      </c>
      <c r="Z42" s="25" t="str">
        <f>IF($S42="","",IF(ISNUMBER($Y42),MAX(0,$Y42-$X42),"∞"))</f>
        <v/>
      </c>
      <c r="AA42" s="27" t="str">
        <f>IF($S42="","",IF(ISNUMBER($Y42),IF($Y42=0,0,$X42/$Y42),""))</f>
        <v/>
      </c>
    </row>
    <row r="43" ht="20" customHeight="1">
      <c r="A43" s="81" t="str">
        <f>IF($Q43="","",36)</f>
        <v/>
      </c>
      <c r="B43" s="57" t="str">
        <f>IF($Q43="","",INDEX(TRANSACTIONS_MASTER!$B$5:$B$1204,$Q43))</f>
        <v/>
      </c>
      <c r="C43" s="55" t="str">
        <f>IF($Q43="","",INDEX(TRANSACTIONS_MASTER!$F$5:$F$1204,$Q43))</f>
        <v/>
      </c>
      <c r="D43" s="55" t="str">
        <f>IF($Q43="","",INDEX(TRANSACTIONS_MASTER!$E$5:$E$1204,$Q43))</f>
        <v/>
      </c>
      <c r="E43" s="55" t="str">
        <f>IF($Q43="","",INDEX(TRANSACTIONS_MASTER!$G$5:$G$1204,$Q43)&amp;"")</f>
        <v/>
      </c>
      <c r="F43" s="29" t="str">
        <f>IF($Q43="","",INDEX(TRANSACTIONS_MASTER!$I$5:$I$1204,$Q43))</f>
        <v/>
      </c>
      <c r="G43" s="55" t="str">
        <f>IF($Q43="","",INDEX(TRANSACTIONS_MASTER!$K$5:$K$1204,$Q43))</f>
        <v/>
      </c>
      <c r="H43" s="25" t="str">
        <f>IF($Q43="","",INDEX(TRANSACTIONS_MASTER!$L$5:$L$1204,$Q43))</f>
        <v/>
      </c>
      <c r="I43" s="56" t="str">
        <f>IF($Q43="","",INDEX(TRANSACTIONS_MASTER!$N$5:$N$1204,$Q43))</f>
        <v/>
      </c>
      <c r="J43" s="25" t="str">
        <f>IF($Q43="","",INDEX(TRANSACTIONS_MASTER!$O$5:$O$1204,$Q43))</f>
        <v/>
      </c>
      <c r="K43" s="26" t="str">
        <f>IF($Q43="","",INDEX(TRANSACTIONS_MASTER!$Q$5:$Q$1204,$Q43))</f>
        <v/>
      </c>
      <c r="L43" s="25" t="str">
        <f>IF($Q43="","",INDEX(TRANSACTIONS_MASTER!$P$5:$P$1204,$Q43))</f>
        <v/>
      </c>
      <c r="M43" s="25" t="str">
        <f>IF($Q43="","",INDEX(TRANSACTIONS_MASTER!$AA$5:$AA$1204,$Q43))</f>
        <v/>
      </c>
      <c r="N43" s="25" t="str">
        <f>IF($Q43="","",INDEX(TRANSACTIONS_MASTER!$R$5:$R$1204,$Q43))</f>
        <v/>
      </c>
      <c r="O43" s="28" t="str">
        <f>IF($Q43="","",INDEX(TRANSACTIONS_MASTER!$AB$5:$AB$1204,$Q43))</f>
        <v/>
      </c>
      <c r="P43" s="55" t="str">
        <f>IF($Q43="","",INDEX(TRANSACTIONS_MASTER!$Z$5:$Z$1204,$Q43)&amp;"")</f>
        <v/>
      </c>
      <c r="Q43" s="67" t="str">
        <f>IFERROR(MATCH($C$2&amp;"|"&amp;36,TRANSACTIONS_MASTER!$AE$5:$AE$1204,0),"")</f>
        <v/>
      </c>
      <c r="S43" s="67" t="str">
        <f>IFERROR(MATCH(36,CASHBACK_RULES!$S$5:$S$304,0),"")</f>
        <v/>
      </c>
      <c r="T43" s="55" t="str">
        <f>IF($S43="","",INDEX(CASHBACK_RULES!$B$5:$B$304,$S43))</f>
        <v/>
      </c>
      <c r="U43" s="55" t="str">
        <f>IF($S43="","",INDEX(CASHBACK_RULES!$C$5:$C$304,$S43)&amp;" "&amp;INDEX(CASHBACK_RULES!$D$5:$D$304,$S43))</f>
        <v/>
      </c>
      <c r="V43" s="55" t="str">
        <f>IF($S43="","",INDEX(CASHBACK_RULES!$E$5:$E$304,$S43)&amp;"")</f>
        <v/>
      </c>
      <c r="W43" s="55" t="str">
        <f>IF($S43="","",INDEX(CASHBACK_RULES!$F$5:$F$304,$S43)&amp;"")</f>
        <v/>
      </c>
      <c r="X43" s="26" t="str">
        <f>IF($S43="","",SUMIFS(TRANSACTIONS_MASTER!$Q$5:$Q$1204,TRANSACTIONS_MASTER!$D$5:$D$1204,$T43,TRANSACTIONS_MASTER!$Z$5:$Z$1204,$V43,TRANSACTIONS_MASTER!$C$5:$C$1204,$C$2))</f>
        <v/>
      </c>
      <c r="Y43" s="25" t="str">
        <f>IF($S43="","",IF(ISNUMBER(INDEX(CASHBACK_RULES!$J$5:$J$304,$S43)),INDEX(CASHBACK_RULES!$J$5:$J$304,$S43),"∞"))</f>
        <v/>
      </c>
      <c r="Z43" s="25" t="str">
        <f>IF($S43="","",IF(ISNUMBER($Y43),MAX(0,$Y43-$X43),"∞"))</f>
        <v/>
      </c>
      <c r="AA43" s="27" t="str">
        <f>IF($S43="","",IF(ISNUMBER($Y43),IF($Y43=0,0,$X43/$Y43),""))</f>
        <v/>
      </c>
    </row>
    <row r="44" ht="20" customHeight="1">
      <c r="A44" s="81" t="str">
        <f>IF($Q44="","",37)</f>
        <v/>
      </c>
      <c r="B44" s="57" t="str">
        <f>IF($Q44="","",INDEX(TRANSACTIONS_MASTER!$B$5:$B$1204,$Q44))</f>
        <v/>
      </c>
      <c r="C44" s="55" t="str">
        <f>IF($Q44="","",INDEX(TRANSACTIONS_MASTER!$F$5:$F$1204,$Q44))</f>
        <v/>
      </c>
      <c r="D44" s="55" t="str">
        <f>IF($Q44="","",INDEX(TRANSACTIONS_MASTER!$E$5:$E$1204,$Q44))</f>
        <v/>
      </c>
      <c r="E44" s="55" t="str">
        <f>IF($Q44="","",INDEX(TRANSACTIONS_MASTER!$G$5:$G$1204,$Q44)&amp;"")</f>
        <v/>
      </c>
      <c r="F44" s="29" t="str">
        <f>IF($Q44="","",INDEX(TRANSACTIONS_MASTER!$I$5:$I$1204,$Q44))</f>
        <v/>
      </c>
      <c r="G44" s="55" t="str">
        <f>IF($Q44="","",INDEX(TRANSACTIONS_MASTER!$K$5:$K$1204,$Q44))</f>
        <v/>
      </c>
      <c r="H44" s="25" t="str">
        <f>IF($Q44="","",INDEX(TRANSACTIONS_MASTER!$L$5:$L$1204,$Q44))</f>
        <v/>
      </c>
      <c r="I44" s="56" t="str">
        <f>IF($Q44="","",INDEX(TRANSACTIONS_MASTER!$N$5:$N$1204,$Q44))</f>
        <v/>
      </c>
      <c r="J44" s="25" t="str">
        <f>IF($Q44="","",INDEX(TRANSACTIONS_MASTER!$O$5:$O$1204,$Q44))</f>
        <v/>
      </c>
      <c r="K44" s="26" t="str">
        <f>IF($Q44="","",INDEX(TRANSACTIONS_MASTER!$Q$5:$Q$1204,$Q44))</f>
        <v/>
      </c>
      <c r="L44" s="25" t="str">
        <f>IF($Q44="","",INDEX(TRANSACTIONS_MASTER!$P$5:$P$1204,$Q44))</f>
        <v/>
      </c>
      <c r="M44" s="25" t="str">
        <f>IF($Q44="","",INDEX(TRANSACTIONS_MASTER!$AA$5:$AA$1204,$Q44))</f>
        <v/>
      </c>
      <c r="N44" s="25" t="str">
        <f>IF($Q44="","",INDEX(TRANSACTIONS_MASTER!$R$5:$R$1204,$Q44))</f>
        <v/>
      </c>
      <c r="O44" s="28" t="str">
        <f>IF($Q44="","",INDEX(TRANSACTIONS_MASTER!$AB$5:$AB$1204,$Q44))</f>
        <v/>
      </c>
      <c r="P44" s="55" t="str">
        <f>IF($Q44="","",INDEX(TRANSACTIONS_MASTER!$Z$5:$Z$1204,$Q44)&amp;"")</f>
        <v/>
      </c>
      <c r="Q44" s="67" t="str">
        <f>IFERROR(MATCH($C$2&amp;"|"&amp;37,TRANSACTIONS_MASTER!$AE$5:$AE$1204,0),"")</f>
        <v/>
      </c>
      <c r="S44" s="67" t="str">
        <f>IFERROR(MATCH(37,CASHBACK_RULES!$S$5:$S$304,0),"")</f>
        <v/>
      </c>
      <c r="T44" s="55" t="str">
        <f>IF($S44="","",INDEX(CASHBACK_RULES!$B$5:$B$304,$S44))</f>
        <v/>
      </c>
      <c r="U44" s="55" t="str">
        <f>IF($S44="","",INDEX(CASHBACK_RULES!$C$5:$C$304,$S44)&amp;" "&amp;INDEX(CASHBACK_RULES!$D$5:$D$304,$S44))</f>
        <v/>
      </c>
      <c r="V44" s="55" t="str">
        <f>IF($S44="","",INDEX(CASHBACK_RULES!$E$5:$E$304,$S44)&amp;"")</f>
        <v/>
      </c>
      <c r="W44" s="55" t="str">
        <f>IF($S44="","",INDEX(CASHBACK_RULES!$F$5:$F$304,$S44)&amp;"")</f>
        <v/>
      </c>
      <c r="X44" s="26" t="str">
        <f>IF($S44="","",SUMIFS(TRANSACTIONS_MASTER!$Q$5:$Q$1204,TRANSACTIONS_MASTER!$D$5:$D$1204,$T44,TRANSACTIONS_MASTER!$Z$5:$Z$1204,$V44,TRANSACTIONS_MASTER!$C$5:$C$1204,$C$2))</f>
        <v/>
      </c>
      <c r="Y44" s="25" t="str">
        <f>IF($S44="","",IF(ISNUMBER(INDEX(CASHBACK_RULES!$J$5:$J$304,$S44)),INDEX(CASHBACK_RULES!$J$5:$J$304,$S44),"∞"))</f>
        <v/>
      </c>
      <c r="Z44" s="25" t="str">
        <f>IF($S44="","",IF(ISNUMBER($Y44),MAX(0,$Y44-$X44),"∞"))</f>
        <v/>
      </c>
      <c r="AA44" s="27" t="str">
        <f>IF($S44="","",IF(ISNUMBER($Y44),IF($Y44=0,0,$X44/$Y44),""))</f>
        <v/>
      </c>
    </row>
    <row r="45" ht="20" customHeight="1">
      <c r="A45" s="81" t="str">
        <f>IF($Q45="","",38)</f>
        <v/>
      </c>
      <c r="B45" s="57" t="str">
        <f>IF($Q45="","",INDEX(TRANSACTIONS_MASTER!$B$5:$B$1204,$Q45))</f>
        <v/>
      </c>
      <c r="C45" s="55" t="str">
        <f>IF($Q45="","",INDEX(TRANSACTIONS_MASTER!$F$5:$F$1204,$Q45))</f>
        <v/>
      </c>
      <c r="D45" s="55" t="str">
        <f>IF($Q45="","",INDEX(TRANSACTIONS_MASTER!$E$5:$E$1204,$Q45))</f>
        <v/>
      </c>
      <c r="E45" s="55" t="str">
        <f>IF($Q45="","",INDEX(TRANSACTIONS_MASTER!$G$5:$G$1204,$Q45)&amp;"")</f>
        <v/>
      </c>
      <c r="F45" s="29" t="str">
        <f>IF($Q45="","",INDEX(TRANSACTIONS_MASTER!$I$5:$I$1204,$Q45))</f>
        <v/>
      </c>
      <c r="G45" s="55" t="str">
        <f>IF($Q45="","",INDEX(TRANSACTIONS_MASTER!$K$5:$K$1204,$Q45))</f>
        <v/>
      </c>
      <c r="H45" s="25" t="str">
        <f>IF($Q45="","",INDEX(TRANSACTIONS_MASTER!$L$5:$L$1204,$Q45))</f>
        <v/>
      </c>
      <c r="I45" s="56" t="str">
        <f>IF($Q45="","",INDEX(TRANSACTIONS_MASTER!$N$5:$N$1204,$Q45))</f>
        <v/>
      </c>
      <c r="J45" s="25" t="str">
        <f>IF($Q45="","",INDEX(TRANSACTIONS_MASTER!$O$5:$O$1204,$Q45))</f>
        <v/>
      </c>
      <c r="K45" s="26" t="str">
        <f>IF($Q45="","",INDEX(TRANSACTIONS_MASTER!$Q$5:$Q$1204,$Q45))</f>
        <v/>
      </c>
      <c r="L45" s="25" t="str">
        <f>IF($Q45="","",INDEX(TRANSACTIONS_MASTER!$P$5:$P$1204,$Q45))</f>
        <v/>
      </c>
      <c r="M45" s="25" t="str">
        <f>IF($Q45="","",INDEX(TRANSACTIONS_MASTER!$AA$5:$AA$1204,$Q45))</f>
        <v/>
      </c>
      <c r="N45" s="25" t="str">
        <f>IF($Q45="","",INDEX(TRANSACTIONS_MASTER!$R$5:$R$1204,$Q45))</f>
        <v/>
      </c>
      <c r="O45" s="28" t="str">
        <f>IF($Q45="","",INDEX(TRANSACTIONS_MASTER!$AB$5:$AB$1204,$Q45))</f>
        <v/>
      </c>
      <c r="P45" s="55" t="str">
        <f>IF($Q45="","",INDEX(TRANSACTIONS_MASTER!$Z$5:$Z$1204,$Q45)&amp;"")</f>
        <v/>
      </c>
      <c r="Q45" s="67" t="str">
        <f>IFERROR(MATCH($C$2&amp;"|"&amp;38,TRANSACTIONS_MASTER!$AE$5:$AE$1204,0),"")</f>
        <v/>
      </c>
      <c r="S45" s="67" t="str">
        <f>IFERROR(MATCH(38,CASHBACK_RULES!$S$5:$S$304,0),"")</f>
        <v/>
      </c>
      <c r="T45" s="55" t="str">
        <f>IF($S45="","",INDEX(CASHBACK_RULES!$B$5:$B$304,$S45))</f>
        <v/>
      </c>
      <c r="U45" s="55" t="str">
        <f>IF($S45="","",INDEX(CASHBACK_RULES!$C$5:$C$304,$S45)&amp;" "&amp;INDEX(CASHBACK_RULES!$D$5:$D$304,$S45))</f>
        <v/>
      </c>
      <c r="V45" s="55" t="str">
        <f>IF($S45="","",INDEX(CASHBACK_RULES!$E$5:$E$304,$S45)&amp;"")</f>
        <v/>
      </c>
      <c r="W45" s="55" t="str">
        <f>IF($S45="","",INDEX(CASHBACK_RULES!$F$5:$F$304,$S45)&amp;"")</f>
        <v/>
      </c>
      <c r="X45" s="26" t="str">
        <f>IF($S45="","",SUMIFS(TRANSACTIONS_MASTER!$Q$5:$Q$1204,TRANSACTIONS_MASTER!$D$5:$D$1204,$T45,TRANSACTIONS_MASTER!$Z$5:$Z$1204,$V45,TRANSACTIONS_MASTER!$C$5:$C$1204,$C$2))</f>
        <v/>
      </c>
      <c r="Y45" s="25" t="str">
        <f>IF($S45="","",IF(ISNUMBER(INDEX(CASHBACK_RULES!$J$5:$J$304,$S45)),INDEX(CASHBACK_RULES!$J$5:$J$304,$S45),"∞"))</f>
        <v/>
      </c>
      <c r="Z45" s="25" t="str">
        <f>IF($S45="","",IF(ISNUMBER($Y45),MAX(0,$Y45-$X45),"∞"))</f>
        <v/>
      </c>
      <c r="AA45" s="27" t="str">
        <f>IF($S45="","",IF(ISNUMBER($Y45),IF($Y45=0,0,$X45/$Y45),""))</f>
        <v/>
      </c>
    </row>
    <row r="46" ht="20" customHeight="1">
      <c r="A46" s="81" t="str">
        <f>IF($Q46="","",39)</f>
        <v/>
      </c>
      <c r="B46" s="57" t="str">
        <f>IF($Q46="","",INDEX(TRANSACTIONS_MASTER!$B$5:$B$1204,$Q46))</f>
        <v/>
      </c>
      <c r="C46" s="55" t="str">
        <f>IF($Q46="","",INDEX(TRANSACTIONS_MASTER!$F$5:$F$1204,$Q46))</f>
        <v/>
      </c>
      <c r="D46" s="55" t="str">
        <f>IF($Q46="","",INDEX(TRANSACTIONS_MASTER!$E$5:$E$1204,$Q46))</f>
        <v/>
      </c>
      <c r="E46" s="55" t="str">
        <f>IF($Q46="","",INDEX(TRANSACTIONS_MASTER!$G$5:$G$1204,$Q46)&amp;"")</f>
        <v/>
      </c>
      <c r="F46" s="29" t="str">
        <f>IF($Q46="","",INDEX(TRANSACTIONS_MASTER!$I$5:$I$1204,$Q46))</f>
        <v/>
      </c>
      <c r="G46" s="55" t="str">
        <f>IF($Q46="","",INDEX(TRANSACTIONS_MASTER!$K$5:$K$1204,$Q46))</f>
        <v/>
      </c>
      <c r="H46" s="25" t="str">
        <f>IF($Q46="","",INDEX(TRANSACTIONS_MASTER!$L$5:$L$1204,$Q46))</f>
        <v/>
      </c>
      <c r="I46" s="56" t="str">
        <f>IF($Q46="","",INDEX(TRANSACTIONS_MASTER!$N$5:$N$1204,$Q46))</f>
        <v/>
      </c>
      <c r="J46" s="25" t="str">
        <f>IF($Q46="","",INDEX(TRANSACTIONS_MASTER!$O$5:$O$1204,$Q46))</f>
        <v/>
      </c>
      <c r="K46" s="26" t="str">
        <f>IF($Q46="","",INDEX(TRANSACTIONS_MASTER!$Q$5:$Q$1204,$Q46))</f>
        <v/>
      </c>
      <c r="L46" s="25" t="str">
        <f>IF($Q46="","",INDEX(TRANSACTIONS_MASTER!$P$5:$P$1204,$Q46))</f>
        <v/>
      </c>
      <c r="M46" s="25" t="str">
        <f>IF($Q46="","",INDEX(TRANSACTIONS_MASTER!$AA$5:$AA$1204,$Q46))</f>
        <v/>
      </c>
      <c r="N46" s="25" t="str">
        <f>IF($Q46="","",INDEX(TRANSACTIONS_MASTER!$R$5:$R$1204,$Q46))</f>
        <v/>
      </c>
      <c r="O46" s="28" t="str">
        <f>IF($Q46="","",INDEX(TRANSACTIONS_MASTER!$AB$5:$AB$1204,$Q46))</f>
        <v/>
      </c>
      <c r="P46" s="55" t="str">
        <f>IF($Q46="","",INDEX(TRANSACTIONS_MASTER!$Z$5:$Z$1204,$Q46)&amp;"")</f>
        <v/>
      </c>
      <c r="Q46" s="67" t="str">
        <f>IFERROR(MATCH($C$2&amp;"|"&amp;39,TRANSACTIONS_MASTER!$AE$5:$AE$1204,0),"")</f>
        <v/>
      </c>
      <c r="S46" s="67" t="str">
        <f>IFERROR(MATCH(39,CASHBACK_RULES!$S$5:$S$304,0),"")</f>
        <v/>
      </c>
      <c r="T46" s="55" t="str">
        <f>IF($S46="","",INDEX(CASHBACK_RULES!$B$5:$B$304,$S46))</f>
        <v/>
      </c>
      <c r="U46" s="55" t="str">
        <f>IF($S46="","",INDEX(CASHBACK_RULES!$C$5:$C$304,$S46)&amp;" "&amp;INDEX(CASHBACK_RULES!$D$5:$D$304,$S46))</f>
        <v/>
      </c>
      <c r="V46" s="55" t="str">
        <f>IF($S46="","",INDEX(CASHBACK_RULES!$E$5:$E$304,$S46)&amp;"")</f>
        <v/>
      </c>
      <c r="W46" s="55" t="str">
        <f>IF($S46="","",INDEX(CASHBACK_RULES!$F$5:$F$304,$S46)&amp;"")</f>
        <v/>
      </c>
      <c r="X46" s="26" t="str">
        <f>IF($S46="","",SUMIFS(TRANSACTIONS_MASTER!$Q$5:$Q$1204,TRANSACTIONS_MASTER!$D$5:$D$1204,$T46,TRANSACTIONS_MASTER!$Z$5:$Z$1204,$V46,TRANSACTIONS_MASTER!$C$5:$C$1204,$C$2))</f>
        <v/>
      </c>
      <c r="Y46" s="25" t="str">
        <f>IF($S46="","",IF(ISNUMBER(INDEX(CASHBACK_RULES!$J$5:$J$304,$S46)),INDEX(CASHBACK_RULES!$J$5:$J$304,$S46),"∞"))</f>
        <v/>
      </c>
      <c r="Z46" s="25" t="str">
        <f>IF($S46="","",IF(ISNUMBER($Y46),MAX(0,$Y46-$X46),"∞"))</f>
        <v/>
      </c>
      <c r="AA46" s="27" t="str">
        <f>IF($S46="","",IF(ISNUMBER($Y46),IF($Y46=0,0,$X46/$Y46),""))</f>
        <v/>
      </c>
    </row>
    <row r="47" ht="20" customHeight="1">
      <c r="A47" s="81" t="str">
        <f>IF($Q47="","",40)</f>
        <v/>
      </c>
      <c r="B47" s="57" t="str">
        <f>IF($Q47="","",INDEX(TRANSACTIONS_MASTER!$B$5:$B$1204,$Q47))</f>
        <v/>
      </c>
      <c r="C47" s="55" t="str">
        <f>IF($Q47="","",INDEX(TRANSACTIONS_MASTER!$F$5:$F$1204,$Q47))</f>
        <v/>
      </c>
      <c r="D47" s="55" t="str">
        <f>IF($Q47="","",INDEX(TRANSACTIONS_MASTER!$E$5:$E$1204,$Q47))</f>
        <v/>
      </c>
      <c r="E47" s="55" t="str">
        <f>IF($Q47="","",INDEX(TRANSACTIONS_MASTER!$G$5:$G$1204,$Q47)&amp;"")</f>
        <v/>
      </c>
      <c r="F47" s="29" t="str">
        <f>IF($Q47="","",INDEX(TRANSACTIONS_MASTER!$I$5:$I$1204,$Q47))</f>
        <v/>
      </c>
      <c r="G47" s="55" t="str">
        <f>IF($Q47="","",INDEX(TRANSACTIONS_MASTER!$K$5:$K$1204,$Q47))</f>
        <v/>
      </c>
      <c r="H47" s="25" t="str">
        <f>IF($Q47="","",INDEX(TRANSACTIONS_MASTER!$L$5:$L$1204,$Q47))</f>
        <v/>
      </c>
      <c r="I47" s="56" t="str">
        <f>IF($Q47="","",INDEX(TRANSACTIONS_MASTER!$N$5:$N$1204,$Q47))</f>
        <v/>
      </c>
      <c r="J47" s="25" t="str">
        <f>IF($Q47="","",INDEX(TRANSACTIONS_MASTER!$O$5:$O$1204,$Q47))</f>
        <v/>
      </c>
      <c r="K47" s="26" t="str">
        <f>IF($Q47="","",INDEX(TRANSACTIONS_MASTER!$Q$5:$Q$1204,$Q47))</f>
        <v/>
      </c>
      <c r="L47" s="25" t="str">
        <f>IF($Q47="","",INDEX(TRANSACTIONS_MASTER!$P$5:$P$1204,$Q47))</f>
        <v/>
      </c>
      <c r="M47" s="25" t="str">
        <f>IF($Q47="","",INDEX(TRANSACTIONS_MASTER!$AA$5:$AA$1204,$Q47))</f>
        <v/>
      </c>
      <c r="N47" s="25" t="str">
        <f>IF($Q47="","",INDEX(TRANSACTIONS_MASTER!$R$5:$R$1204,$Q47))</f>
        <v/>
      </c>
      <c r="O47" s="28" t="str">
        <f>IF($Q47="","",INDEX(TRANSACTIONS_MASTER!$AB$5:$AB$1204,$Q47))</f>
        <v/>
      </c>
      <c r="P47" s="55" t="str">
        <f>IF($Q47="","",INDEX(TRANSACTIONS_MASTER!$Z$5:$Z$1204,$Q47)&amp;"")</f>
        <v/>
      </c>
      <c r="Q47" s="67" t="str">
        <f>IFERROR(MATCH($C$2&amp;"|"&amp;40,TRANSACTIONS_MASTER!$AE$5:$AE$1204,0),"")</f>
        <v/>
      </c>
      <c r="S47" s="67" t="str">
        <f>IFERROR(MATCH(40,CASHBACK_RULES!$S$5:$S$304,0),"")</f>
        <v/>
      </c>
      <c r="T47" s="55" t="str">
        <f>IF($S47="","",INDEX(CASHBACK_RULES!$B$5:$B$304,$S47))</f>
        <v/>
      </c>
      <c r="U47" s="55" t="str">
        <f>IF($S47="","",INDEX(CASHBACK_RULES!$C$5:$C$304,$S47)&amp;" "&amp;INDEX(CASHBACK_RULES!$D$5:$D$304,$S47))</f>
        <v/>
      </c>
      <c r="V47" s="55" t="str">
        <f>IF($S47="","",INDEX(CASHBACK_RULES!$E$5:$E$304,$S47)&amp;"")</f>
        <v/>
      </c>
      <c r="W47" s="55" t="str">
        <f>IF($S47="","",INDEX(CASHBACK_RULES!$F$5:$F$304,$S47)&amp;"")</f>
        <v/>
      </c>
      <c r="X47" s="26" t="str">
        <f>IF($S47="","",SUMIFS(TRANSACTIONS_MASTER!$Q$5:$Q$1204,TRANSACTIONS_MASTER!$D$5:$D$1204,$T47,TRANSACTIONS_MASTER!$Z$5:$Z$1204,$V47,TRANSACTIONS_MASTER!$C$5:$C$1204,$C$2))</f>
        <v/>
      </c>
      <c r="Y47" s="25" t="str">
        <f>IF($S47="","",IF(ISNUMBER(INDEX(CASHBACK_RULES!$J$5:$J$304,$S47)),INDEX(CASHBACK_RULES!$J$5:$J$304,$S47),"∞"))</f>
        <v/>
      </c>
      <c r="Z47" s="25" t="str">
        <f>IF($S47="","",IF(ISNUMBER($Y47),MAX(0,$Y47-$X47),"∞"))</f>
        <v/>
      </c>
      <c r="AA47" s="27" t="str">
        <f>IF($S47="","",IF(ISNUMBER($Y47),IF($Y47=0,0,$X47/$Y47),""))</f>
        <v/>
      </c>
    </row>
    <row r="48" ht="20" customHeight="1">
      <c r="A48" s="81" t="str">
        <f>IF($Q48="","",41)</f>
        <v/>
      </c>
      <c r="B48" s="57" t="str">
        <f>IF($Q48="","",INDEX(TRANSACTIONS_MASTER!$B$5:$B$1204,$Q48))</f>
        <v/>
      </c>
      <c r="C48" s="55" t="str">
        <f>IF($Q48="","",INDEX(TRANSACTIONS_MASTER!$F$5:$F$1204,$Q48))</f>
        <v/>
      </c>
      <c r="D48" s="55" t="str">
        <f>IF($Q48="","",INDEX(TRANSACTIONS_MASTER!$E$5:$E$1204,$Q48))</f>
        <v/>
      </c>
      <c r="E48" s="55" t="str">
        <f>IF($Q48="","",INDEX(TRANSACTIONS_MASTER!$G$5:$G$1204,$Q48)&amp;"")</f>
        <v/>
      </c>
      <c r="F48" s="29" t="str">
        <f>IF($Q48="","",INDEX(TRANSACTIONS_MASTER!$I$5:$I$1204,$Q48))</f>
        <v/>
      </c>
      <c r="G48" s="55" t="str">
        <f>IF($Q48="","",INDEX(TRANSACTIONS_MASTER!$K$5:$K$1204,$Q48))</f>
        <v/>
      </c>
      <c r="H48" s="25" t="str">
        <f>IF($Q48="","",INDEX(TRANSACTIONS_MASTER!$L$5:$L$1204,$Q48))</f>
        <v/>
      </c>
      <c r="I48" s="56" t="str">
        <f>IF($Q48="","",INDEX(TRANSACTIONS_MASTER!$N$5:$N$1204,$Q48))</f>
        <v/>
      </c>
      <c r="J48" s="25" t="str">
        <f>IF($Q48="","",INDEX(TRANSACTIONS_MASTER!$O$5:$O$1204,$Q48))</f>
        <v/>
      </c>
      <c r="K48" s="26" t="str">
        <f>IF($Q48="","",INDEX(TRANSACTIONS_MASTER!$Q$5:$Q$1204,$Q48))</f>
        <v/>
      </c>
      <c r="L48" s="25" t="str">
        <f>IF($Q48="","",INDEX(TRANSACTIONS_MASTER!$P$5:$P$1204,$Q48))</f>
        <v/>
      </c>
      <c r="M48" s="25" t="str">
        <f>IF($Q48="","",INDEX(TRANSACTIONS_MASTER!$AA$5:$AA$1204,$Q48))</f>
        <v/>
      </c>
      <c r="N48" s="25" t="str">
        <f>IF($Q48="","",INDEX(TRANSACTIONS_MASTER!$R$5:$R$1204,$Q48))</f>
        <v/>
      </c>
      <c r="O48" s="28" t="str">
        <f>IF($Q48="","",INDEX(TRANSACTIONS_MASTER!$AB$5:$AB$1204,$Q48))</f>
        <v/>
      </c>
      <c r="P48" s="55" t="str">
        <f>IF($Q48="","",INDEX(TRANSACTIONS_MASTER!$Z$5:$Z$1204,$Q48)&amp;"")</f>
        <v/>
      </c>
      <c r="Q48" s="67" t="str">
        <f>IFERROR(MATCH($C$2&amp;"|"&amp;41,TRANSACTIONS_MASTER!$AE$5:$AE$1204,0),"")</f>
        <v/>
      </c>
      <c r="S48" s="67" t="str">
        <f>IFERROR(MATCH(41,CASHBACK_RULES!$S$5:$S$304,0),"")</f>
        <v/>
      </c>
      <c r="T48" s="55" t="str">
        <f>IF($S48="","",INDEX(CASHBACK_RULES!$B$5:$B$304,$S48))</f>
        <v/>
      </c>
      <c r="U48" s="55" t="str">
        <f>IF($S48="","",INDEX(CASHBACK_RULES!$C$5:$C$304,$S48)&amp;" "&amp;INDEX(CASHBACK_RULES!$D$5:$D$304,$S48))</f>
        <v/>
      </c>
      <c r="V48" s="55" t="str">
        <f>IF($S48="","",INDEX(CASHBACK_RULES!$E$5:$E$304,$S48)&amp;"")</f>
        <v/>
      </c>
      <c r="W48" s="55" t="str">
        <f>IF($S48="","",INDEX(CASHBACK_RULES!$F$5:$F$304,$S48)&amp;"")</f>
        <v/>
      </c>
      <c r="X48" s="26" t="str">
        <f>IF($S48="","",SUMIFS(TRANSACTIONS_MASTER!$Q$5:$Q$1204,TRANSACTIONS_MASTER!$D$5:$D$1204,$T48,TRANSACTIONS_MASTER!$Z$5:$Z$1204,$V48,TRANSACTIONS_MASTER!$C$5:$C$1204,$C$2))</f>
        <v/>
      </c>
      <c r="Y48" s="25" t="str">
        <f>IF($S48="","",IF(ISNUMBER(INDEX(CASHBACK_RULES!$J$5:$J$304,$S48)),INDEX(CASHBACK_RULES!$J$5:$J$304,$S48),"∞"))</f>
        <v/>
      </c>
      <c r="Z48" s="25" t="str">
        <f>IF($S48="","",IF(ISNUMBER($Y48),MAX(0,$Y48-$X48),"∞"))</f>
        <v/>
      </c>
      <c r="AA48" s="27" t="str">
        <f>IF($S48="","",IF(ISNUMBER($Y48),IF($Y48=0,0,$X48/$Y48),""))</f>
        <v/>
      </c>
    </row>
    <row r="49" ht="20" customHeight="1">
      <c r="A49" s="81" t="str">
        <f>IF($Q49="","",42)</f>
        <v/>
      </c>
      <c r="B49" s="57" t="str">
        <f>IF($Q49="","",INDEX(TRANSACTIONS_MASTER!$B$5:$B$1204,$Q49))</f>
        <v/>
      </c>
      <c r="C49" s="55" t="str">
        <f>IF($Q49="","",INDEX(TRANSACTIONS_MASTER!$F$5:$F$1204,$Q49))</f>
        <v/>
      </c>
      <c r="D49" s="55" t="str">
        <f>IF($Q49="","",INDEX(TRANSACTIONS_MASTER!$E$5:$E$1204,$Q49))</f>
        <v/>
      </c>
      <c r="E49" s="55" t="str">
        <f>IF($Q49="","",INDEX(TRANSACTIONS_MASTER!$G$5:$G$1204,$Q49)&amp;"")</f>
        <v/>
      </c>
      <c r="F49" s="29" t="str">
        <f>IF($Q49="","",INDEX(TRANSACTIONS_MASTER!$I$5:$I$1204,$Q49))</f>
        <v/>
      </c>
      <c r="G49" s="55" t="str">
        <f>IF($Q49="","",INDEX(TRANSACTIONS_MASTER!$K$5:$K$1204,$Q49))</f>
        <v/>
      </c>
      <c r="H49" s="25" t="str">
        <f>IF($Q49="","",INDEX(TRANSACTIONS_MASTER!$L$5:$L$1204,$Q49))</f>
        <v/>
      </c>
      <c r="I49" s="56" t="str">
        <f>IF($Q49="","",INDEX(TRANSACTIONS_MASTER!$N$5:$N$1204,$Q49))</f>
        <v/>
      </c>
      <c r="J49" s="25" t="str">
        <f>IF($Q49="","",INDEX(TRANSACTIONS_MASTER!$O$5:$O$1204,$Q49))</f>
        <v/>
      </c>
      <c r="K49" s="26" t="str">
        <f>IF($Q49="","",INDEX(TRANSACTIONS_MASTER!$Q$5:$Q$1204,$Q49))</f>
        <v/>
      </c>
      <c r="L49" s="25" t="str">
        <f>IF($Q49="","",INDEX(TRANSACTIONS_MASTER!$P$5:$P$1204,$Q49))</f>
        <v/>
      </c>
      <c r="M49" s="25" t="str">
        <f>IF($Q49="","",INDEX(TRANSACTIONS_MASTER!$AA$5:$AA$1204,$Q49))</f>
        <v/>
      </c>
      <c r="N49" s="25" t="str">
        <f>IF($Q49="","",INDEX(TRANSACTIONS_MASTER!$R$5:$R$1204,$Q49))</f>
        <v/>
      </c>
      <c r="O49" s="28" t="str">
        <f>IF($Q49="","",INDEX(TRANSACTIONS_MASTER!$AB$5:$AB$1204,$Q49))</f>
        <v/>
      </c>
      <c r="P49" s="55" t="str">
        <f>IF($Q49="","",INDEX(TRANSACTIONS_MASTER!$Z$5:$Z$1204,$Q49)&amp;"")</f>
        <v/>
      </c>
      <c r="Q49" s="67" t="str">
        <f>IFERROR(MATCH($C$2&amp;"|"&amp;42,TRANSACTIONS_MASTER!$AE$5:$AE$1204,0),"")</f>
        <v/>
      </c>
      <c r="S49" s="67" t="str">
        <f>IFERROR(MATCH(42,CASHBACK_RULES!$S$5:$S$304,0),"")</f>
        <v/>
      </c>
      <c r="T49" s="55" t="str">
        <f>IF($S49="","",INDEX(CASHBACK_RULES!$B$5:$B$304,$S49))</f>
        <v/>
      </c>
      <c r="U49" s="55" t="str">
        <f>IF($S49="","",INDEX(CASHBACK_RULES!$C$5:$C$304,$S49)&amp;" "&amp;INDEX(CASHBACK_RULES!$D$5:$D$304,$S49))</f>
        <v/>
      </c>
      <c r="V49" s="55" t="str">
        <f>IF($S49="","",INDEX(CASHBACK_RULES!$E$5:$E$304,$S49)&amp;"")</f>
        <v/>
      </c>
      <c r="W49" s="55" t="str">
        <f>IF($S49="","",INDEX(CASHBACK_RULES!$F$5:$F$304,$S49)&amp;"")</f>
        <v/>
      </c>
      <c r="X49" s="26" t="str">
        <f>IF($S49="","",SUMIFS(TRANSACTIONS_MASTER!$Q$5:$Q$1204,TRANSACTIONS_MASTER!$D$5:$D$1204,$T49,TRANSACTIONS_MASTER!$Z$5:$Z$1204,$V49,TRANSACTIONS_MASTER!$C$5:$C$1204,$C$2))</f>
        <v/>
      </c>
      <c r="Y49" s="25" t="str">
        <f>IF($S49="","",IF(ISNUMBER(INDEX(CASHBACK_RULES!$J$5:$J$304,$S49)),INDEX(CASHBACK_RULES!$J$5:$J$304,$S49),"∞"))</f>
        <v/>
      </c>
      <c r="Z49" s="25" t="str">
        <f>IF($S49="","",IF(ISNUMBER($Y49),MAX(0,$Y49-$X49),"∞"))</f>
        <v/>
      </c>
      <c r="AA49" s="27" t="str">
        <f>IF($S49="","",IF(ISNUMBER($Y49),IF($Y49=0,0,$X49/$Y49),""))</f>
        <v/>
      </c>
    </row>
    <row r="50" ht="20" customHeight="1">
      <c r="A50" s="81" t="str">
        <f>IF($Q50="","",43)</f>
        <v/>
      </c>
      <c r="B50" s="57" t="str">
        <f>IF($Q50="","",INDEX(TRANSACTIONS_MASTER!$B$5:$B$1204,$Q50))</f>
        <v/>
      </c>
      <c r="C50" s="55" t="str">
        <f>IF($Q50="","",INDEX(TRANSACTIONS_MASTER!$F$5:$F$1204,$Q50))</f>
        <v/>
      </c>
      <c r="D50" s="55" t="str">
        <f>IF($Q50="","",INDEX(TRANSACTIONS_MASTER!$E$5:$E$1204,$Q50))</f>
        <v/>
      </c>
      <c r="E50" s="55" t="str">
        <f>IF($Q50="","",INDEX(TRANSACTIONS_MASTER!$G$5:$G$1204,$Q50)&amp;"")</f>
        <v/>
      </c>
      <c r="F50" s="29" t="str">
        <f>IF($Q50="","",INDEX(TRANSACTIONS_MASTER!$I$5:$I$1204,$Q50))</f>
        <v/>
      </c>
      <c r="G50" s="55" t="str">
        <f>IF($Q50="","",INDEX(TRANSACTIONS_MASTER!$K$5:$K$1204,$Q50))</f>
        <v/>
      </c>
      <c r="H50" s="25" t="str">
        <f>IF($Q50="","",INDEX(TRANSACTIONS_MASTER!$L$5:$L$1204,$Q50))</f>
        <v/>
      </c>
      <c r="I50" s="56" t="str">
        <f>IF($Q50="","",INDEX(TRANSACTIONS_MASTER!$N$5:$N$1204,$Q50))</f>
        <v/>
      </c>
      <c r="J50" s="25" t="str">
        <f>IF($Q50="","",INDEX(TRANSACTIONS_MASTER!$O$5:$O$1204,$Q50))</f>
        <v/>
      </c>
      <c r="K50" s="26" t="str">
        <f>IF($Q50="","",INDEX(TRANSACTIONS_MASTER!$Q$5:$Q$1204,$Q50))</f>
        <v/>
      </c>
      <c r="L50" s="25" t="str">
        <f>IF($Q50="","",INDEX(TRANSACTIONS_MASTER!$P$5:$P$1204,$Q50))</f>
        <v/>
      </c>
      <c r="M50" s="25" t="str">
        <f>IF($Q50="","",INDEX(TRANSACTIONS_MASTER!$AA$5:$AA$1204,$Q50))</f>
        <v/>
      </c>
      <c r="N50" s="25" t="str">
        <f>IF($Q50="","",INDEX(TRANSACTIONS_MASTER!$R$5:$R$1204,$Q50))</f>
        <v/>
      </c>
      <c r="O50" s="28" t="str">
        <f>IF($Q50="","",INDEX(TRANSACTIONS_MASTER!$AB$5:$AB$1204,$Q50))</f>
        <v/>
      </c>
      <c r="P50" s="55" t="str">
        <f>IF($Q50="","",INDEX(TRANSACTIONS_MASTER!$Z$5:$Z$1204,$Q50)&amp;"")</f>
        <v/>
      </c>
      <c r="Q50" s="67" t="str">
        <f>IFERROR(MATCH($C$2&amp;"|"&amp;43,TRANSACTIONS_MASTER!$AE$5:$AE$1204,0),"")</f>
        <v/>
      </c>
      <c r="S50" s="67" t="str">
        <f>IFERROR(MATCH(43,CASHBACK_RULES!$S$5:$S$304,0),"")</f>
        <v/>
      </c>
      <c r="T50" s="55" t="str">
        <f>IF($S50="","",INDEX(CASHBACK_RULES!$B$5:$B$304,$S50))</f>
        <v/>
      </c>
      <c r="U50" s="55" t="str">
        <f>IF($S50="","",INDEX(CASHBACK_RULES!$C$5:$C$304,$S50)&amp;" "&amp;INDEX(CASHBACK_RULES!$D$5:$D$304,$S50))</f>
        <v/>
      </c>
      <c r="V50" s="55" t="str">
        <f>IF($S50="","",INDEX(CASHBACK_RULES!$E$5:$E$304,$S50)&amp;"")</f>
        <v/>
      </c>
      <c r="W50" s="55" t="str">
        <f>IF($S50="","",INDEX(CASHBACK_RULES!$F$5:$F$304,$S50)&amp;"")</f>
        <v/>
      </c>
      <c r="X50" s="26" t="str">
        <f>IF($S50="","",SUMIFS(TRANSACTIONS_MASTER!$Q$5:$Q$1204,TRANSACTIONS_MASTER!$D$5:$D$1204,$T50,TRANSACTIONS_MASTER!$Z$5:$Z$1204,$V50,TRANSACTIONS_MASTER!$C$5:$C$1204,$C$2))</f>
        <v/>
      </c>
      <c r="Y50" s="25" t="str">
        <f>IF($S50="","",IF(ISNUMBER(INDEX(CASHBACK_RULES!$J$5:$J$304,$S50)),INDEX(CASHBACK_RULES!$J$5:$J$304,$S50),"∞"))</f>
        <v/>
      </c>
      <c r="Z50" s="25" t="str">
        <f>IF($S50="","",IF(ISNUMBER($Y50),MAX(0,$Y50-$X50),"∞"))</f>
        <v/>
      </c>
      <c r="AA50" s="27" t="str">
        <f>IF($S50="","",IF(ISNUMBER($Y50),IF($Y50=0,0,$X50/$Y50),""))</f>
        <v/>
      </c>
    </row>
    <row r="51" ht="20" customHeight="1">
      <c r="A51" s="81" t="str">
        <f>IF($Q51="","",44)</f>
        <v/>
      </c>
      <c r="B51" s="57" t="str">
        <f>IF($Q51="","",INDEX(TRANSACTIONS_MASTER!$B$5:$B$1204,$Q51))</f>
        <v/>
      </c>
      <c r="C51" s="55" t="str">
        <f>IF($Q51="","",INDEX(TRANSACTIONS_MASTER!$F$5:$F$1204,$Q51))</f>
        <v/>
      </c>
      <c r="D51" s="55" t="str">
        <f>IF($Q51="","",INDEX(TRANSACTIONS_MASTER!$E$5:$E$1204,$Q51))</f>
        <v/>
      </c>
      <c r="E51" s="55" t="str">
        <f>IF($Q51="","",INDEX(TRANSACTIONS_MASTER!$G$5:$G$1204,$Q51)&amp;"")</f>
        <v/>
      </c>
      <c r="F51" s="29" t="str">
        <f>IF($Q51="","",INDEX(TRANSACTIONS_MASTER!$I$5:$I$1204,$Q51))</f>
        <v/>
      </c>
      <c r="G51" s="55" t="str">
        <f>IF($Q51="","",INDEX(TRANSACTIONS_MASTER!$K$5:$K$1204,$Q51))</f>
        <v/>
      </c>
      <c r="H51" s="25" t="str">
        <f>IF($Q51="","",INDEX(TRANSACTIONS_MASTER!$L$5:$L$1204,$Q51))</f>
        <v/>
      </c>
      <c r="I51" s="56" t="str">
        <f>IF($Q51="","",INDEX(TRANSACTIONS_MASTER!$N$5:$N$1204,$Q51))</f>
        <v/>
      </c>
      <c r="J51" s="25" t="str">
        <f>IF($Q51="","",INDEX(TRANSACTIONS_MASTER!$O$5:$O$1204,$Q51))</f>
        <v/>
      </c>
      <c r="K51" s="26" t="str">
        <f>IF($Q51="","",INDEX(TRANSACTIONS_MASTER!$Q$5:$Q$1204,$Q51))</f>
        <v/>
      </c>
      <c r="L51" s="25" t="str">
        <f>IF($Q51="","",INDEX(TRANSACTIONS_MASTER!$P$5:$P$1204,$Q51))</f>
        <v/>
      </c>
      <c r="M51" s="25" t="str">
        <f>IF($Q51="","",INDEX(TRANSACTIONS_MASTER!$AA$5:$AA$1204,$Q51))</f>
        <v/>
      </c>
      <c r="N51" s="25" t="str">
        <f>IF($Q51="","",INDEX(TRANSACTIONS_MASTER!$R$5:$R$1204,$Q51))</f>
        <v/>
      </c>
      <c r="O51" s="28" t="str">
        <f>IF($Q51="","",INDEX(TRANSACTIONS_MASTER!$AB$5:$AB$1204,$Q51))</f>
        <v/>
      </c>
      <c r="P51" s="55" t="str">
        <f>IF($Q51="","",INDEX(TRANSACTIONS_MASTER!$Z$5:$Z$1204,$Q51)&amp;"")</f>
        <v/>
      </c>
      <c r="Q51" s="67" t="str">
        <f>IFERROR(MATCH($C$2&amp;"|"&amp;44,TRANSACTIONS_MASTER!$AE$5:$AE$1204,0),"")</f>
        <v/>
      </c>
      <c r="S51" s="67" t="str">
        <f>IFERROR(MATCH(44,CASHBACK_RULES!$S$5:$S$304,0),"")</f>
        <v/>
      </c>
      <c r="T51" s="55" t="str">
        <f>IF($S51="","",INDEX(CASHBACK_RULES!$B$5:$B$304,$S51))</f>
        <v/>
      </c>
      <c r="U51" s="55" t="str">
        <f>IF($S51="","",INDEX(CASHBACK_RULES!$C$5:$C$304,$S51)&amp;" "&amp;INDEX(CASHBACK_RULES!$D$5:$D$304,$S51))</f>
        <v/>
      </c>
      <c r="V51" s="55" t="str">
        <f>IF($S51="","",INDEX(CASHBACK_RULES!$E$5:$E$304,$S51)&amp;"")</f>
        <v/>
      </c>
      <c r="W51" s="55" t="str">
        <f>IF($S51="","",INDEX(CASHBACK_RULES!$F$5:$F$304,$S51)&amp;"")</f>
        <v/>
      </c>
      <c r="X51" s="26" t="str">
        <f>IF($S51="","",SUMIFS(TRANSACTIONS_MASTER!$Q$5:$Q$1204,TRANSACTIONS_MASTER!$D$5:$D$1204,$T51,TRANSACTIONS_MASTER!$Z$5:$Z$1204,$V51,TRANSACTIONS_MASTER!$C$5:$C$1204,$C$2))</f>
        <v/>
      </c>
      <c r="Y51" s="25" t="str">
        <f>IF($S51="","",IF(ISNUMBER(INDEX(CASHBACK_RULES!$J$5:$J$304,$S51)),INDEX(CASHBACK_RULES!$J$5:$J$304,$S51),"∞"))</f>
        <v/>
      </c>
      <c r="Z51" s="25" t="str">
        <f>IF($S51="","",IF(ISNUMBER($Y51),MAX(0,$Y51-$X51),"∞"))</f>
        <v/>
      </c>
      <c r="AA51" s="27" t="str">
        <f>IF($S51="","",IF(ISNUMBER($Y51),IF($Y51=0,0,$X51/$Y51),""))</f>
        <v/>
      </c>
    </row>
    <row r="52" ht="20" customHeight="1">
      <c r="A52" s="81" t="str">
        <f>IF($Q52="","",45)</f>
        <v/>
      </c>
      <c r="B52" s="57" t="str">
        <f>IF($Q52="","",INDEX(TRANSACTIONS_MASTER!$B$5:$B$1204,$Q52))</f>
        <v/>
      </c>
      <c r="C52" s="55" t="str">
        <f>IF($Q52="","",INDEX(TRANSACTIONS_MASTER!$F$5:$F$1204,$Q52))</f>
        <v/>
      </c>
      <c r="D52" s="55" t="str">
        <f>IF($Q52="","",INDEX(TRANSACTIONS_MASTER!$E$5:$E$1204,$Q52))</f>
        <v/>
      </c>
      <c r="E52" s="55" t="str">
        <f>IF($Q52="","",INDEX(TRANSACTIONS_MASTER!$G$5:$G$1204,$Q52)&amp;"")</f>
        <v/>
      </c>
      <c r="F52" s="29" t="str">
        <f>IF($Q52="","",INDEX(TRANSACTIONS_MASTER!$I$5:$I$1204,$Q52))</f>
        <v/>
      </c>
      <c r="G52" s="55" t="str">
        <f>IF($Q52="","",INDEX(TRANSACTIONS_MASTER!$K$5:$K$1204,$Q52))</f>
        <v/>
      </c>
      <c r="H52" s="25" t="str">
        <f>IF($Q52="","",INDEX(TRANSACTIONS_MASTER!$L$5:$L$1204,$Q52))</f>
        <v/>
      </c>
      <c r="I52" s="56" t="str">
        <f>IF($Q52="","",INDEX(TRANSACTIONS_MASTER!$N$5:$N$1204,$Q52))</f>
        <v/>
      </c>
      <c r="J52" s="25" t="str">
        <f>IF($Q52="","",INDEX(TRANSACTIONS_MASTER!$O$5:$O$1204,$Q52))</f>
        <v/>
      </c>
      <c r="K52" s="26" t="str">
        <f>IF($Q52="","",INDEX(TRANSACTIONS_MASTER!$Q$5:$Q$1204,$Q52))</f>
        <v/>
      </c>
      <c r="L52" s="25" t="str">
        <f>IF($Q52="","",INDEX(TRANSACTIONS_MASTER!$P$5:$P$1204,$Q52))</f>
        <v/>
      </c>
      <c r="M52" s="25" t="str">
        <f>IF($Q52="","",INDEX(TRANSACTIONS_MASTER!$AA$5:$AA$1204,$Q52))</f>
        <v/>
      </c>
      <c r="N52" s="25" t="str">
        <f>IF($Q52="","",INDEX(TRANSACTIONS_MASTER!$R$5:$R$1204,$Q52))</f>
        <v/>
      </c>
      <c r="O52" s="28" t="str">
        <f>IF($Q52="","",INDEX(TRANSACTIONS_MASTER!$AB$5:$AB$1204,$Q52))</f>
        <v/>
      </c>
      <c r="P52" s="55" t="str">
        <f>IF($Q52="","",INDEX(TRANSACTIONS_MASTER!$Z$5:$Z$1204,$Q52)&amp;"")</f>
        <v/>
      </c>
      <c r="Q52" s="67" t="str">
        <f>IFERROR(MATCH($C$2&amp;"|"&amp;45,TRANSACTIONS_MASTER!$AE$5:$AE$1204,0),"")</f>
        <v/>
      </c>
      <c r="S52" s="67" t="str">
        <f>IFERROR(MATCH(45,CASHBACK_RULES!$S$5:$S$304,0),"")</f>
        <v/>
      </c>
      <c r="T52" s="55" t="str">
        <f>IF($S52="","",INDEX(CASHBACK_RULES!$B$5:$B$304,$S52))</f>
        <v/>
      </c>
      <c r="U52" s="55" t="str">
        <f>IF($S52="","",INDEX(CASHBACK_RULES!$C$5:$C$304,$S52)&amp;" "&amp;INDEX(CASHBACK_RULES!$D$5:$D$304,$S52))</f>
        <v/>
      </c>
      <c r="V52" s="55" t="str">
        <f>IF($S52="","",INDEX(CASHBACK_RULES!$E$5:$E$304,$S52)&amp;"")</f>
        <v/>
      </c>
      <c r="W52" s="55" t="str">
        <f>IF($S52="","",INDEX(CASHBACK_RULES!$F$5:$F$304,$S52)&amp;"")</f>
        <v/>
      </c>
      <c r="X52" s="26" t="str">
        <f>IF($S52="","",SUMIFS(TRANSACTIONS_MASTER!$Q$5:$Q$1204,TRANSACTIONS_MASTER!$D$5:$D$1204,$T52,TRANSACTIONS_MASTER!$Z$5:$Z$1204,$V52,TRANSACTIONS_MASTER!$C$5:$C$1204,$C$2))</f>
        <v/>
      </c>
      <c r="Y52" s="25" t="str">
        <f>IF($S52="","",IF(ISNUMBER(INDEX(CASHBACK_RULES!$J$5:$J$304,$S52)),INDEX(CASHBACK_RULES!$J$5:$J$304,$S52),"∞"))</f>
        <v/>
      </c>
      <c r="Z52" s="25" t="str">
        <f>IF($S52="","",IF(ISNUMBER($Y52),MAX(0,$Y52-$X52),"∞"))</f>
        <v/>
      </c>
      <c r="AA52" s="27" t="str">
        <f>IF($S52="","",IF(ISNUMBER($Y52),IF($Y52=0,0,$X52/$Y52),""))</f>
        <v/>
      </c>
    </row>
    <row r="53" ht="20" customHeight="1">
      <c r="A53" s="81" t="str">
        <f>IF($Q53="","",46)</f>
        <v/>
      </c>
      <c r="B53" s="57" t="str">
        <f>IF($Q53="","",INDEX(TRANSACTIONS_MASTER!$B$5:$B$1204,$Q53))</f>
        <v/>
      </c>
      <c r="C53" s="55" t="str">
        <f>IF($Q53="","",INDEX(TRANSACTIONS_MASTER!$F$5:$F$1204,$Q53))</f>
        <v/>
      </c>
      <c r="D53" s="55" t="str">
        <f>IF($Q53="","",INDEX(TRANSACTIONS_MASTER!$E$5:$E$1204,$Q53))</f>
        <v/>
      </c>
      <c r="E53" s="55" t="str">
        <f>IF($Q53="","",INDEX(TRANSACTIONS_MASTER!$G$5:$G$1204,$Q53)&amp;"")</f>
        <v/>
      </c>
      <c r="F53" s="29" t="str">
        <f>IF($Q53="","",INDEX(TRANSACTIONS_MASTER!$I$5:$I$1204,$Q53))</f>
        <v/>
      </c>
      <c r="G53" s="55" t="str">
        <f>IF($Q53="","",INDEX(TRANSACTIONS_MASTER!$K$5:$K$1204,$Q53))</f>
        <v/>
      </c>
      <c r="H53" s="25" t="str">
        <f>IF($Q53="","",INDEX(TRANSACTIONS_MASTER!$L$5:$L$1204,$Q53))</f>
        <v/>
      </c>
      <c r="I53" s="56" t="str">
        <f>IF($Q53="","",INDEX(TRANSACTIONS_MASTER!$N$5:$N$1204,$Q53))</f>
        <v/>
      </c>
      <c r="J53" s="25" t="str">
        <f>IF($Q53="","",INDEX(TRANSACTIONS_MASTER!$O$5:$O$1204,$Q53))</f>
        <v/>
      </c>
      <c r="K53" s="26" t="str">
        <f>IF($Q53="","",INDEX(TRANSACTIONS_MASTER!$Q$5:$Q$1204,$Q53))</f>
        <v/>
      </c>
      <c r="L53" s="25" t="str">
        <f>IF($Q53="","",INDEX(TRANSACTIONS_MASTER!$P$5:$P$1204,$Q53))</f>
        <v/>
      </c>
      <c r="M53" s="25" t="str">
        <f>IF($Q53="","",INDEX(TRANSACTIONS_MASTER!$AA$5:$AA$1204,$Q53))</f>
        <v/>
      </c>
      <c r="N53" s="25" t="str">
        <f>IF($Q53="","",INDEX(TRANSACTIONS_MASTER!$R$5:$R$1204,$Q53))</f>
        <v/>
      </c>
      <c r="O53" s="28" t="str">
        <f>IF($Q53="","",INDEX(TRANSACTIONS_MASTER!$AB$5:$AB$1204,$Q53))</f>
        <v/>
      </c>
      <c r="P53" s="55" t="str">
        <f>IF($Q53="","",INDEX(TRANSACTIONS_MASTER!$Z$5:$Z$1204,$Q53)&amp;"")</f>
        <v/>
      </c>
      <c r="Q53" s="67" t="str">
        <f>IFERROR(MATCH($C$2&amp;"|"&amp;46,TRANSACTIONS_MASTER!$AE$5:$AE$1204,0),"")</f>
        <v/>
      </c>
      <c r="S53" s="67" t="str">
        <f>IFERROR(MATCH(46,CASHBACK_RULES!$S$5:$S$304,0),"")</f>
        <v/>
      </c>
      <c r="T53" s="55" t="str">
        <f>IF($S53="","",INDEX(CASHBACK_RULES!$B$5:$B$304,$S53))</f>
        <v/>
      </c>
      <c r="U53" s="55" t="str">
        <f>IF($S53="","",INDEX(CASHBACK_RULES!$C$5:$C$304,$S53)&amp;" "&amp;INDEX(CASHBACK_RULES!$D$5:$D$304,$S53))</f>
        <v/>
      </c>
      <c r="V53" s="55" t="str">
        <f>IF($S53="","",INDEX(CASHBACK_RULES!$E$5:$E$304,$S53)&amp;"")</f>
        <v/>
      </c>
      <c r="W53" s="55" t="str">
        <f>IF($S53="","",INDEX(CASHBACK_RULES!$F$5:$F$304,$S53)&amp;"")</f>
        <v/>
      </c>
      <c r="X53" s="26" t="str">
        <f>IF($S53="","",SUMIFS(TRANSACTIONS_MASTER!$Q$5:$Q$1204,TRANSACTIONS_MASTER!$D$5:$D$1204,$T53,TRANSACTIONS_MASTER!$Z$5:$Z$1204,$V53,TRANSACTIONS_MASTER!$C$5:$C$1204,$C$2))</f>
        <v/>
      </c>
      <c r="Y53" s="25" t="str">
        <f>IF($S53="","",IF(ISNUMBER(INDEX(CASHBACK_RULES!$J$5:$J$304,$S53)),INDEX(CASHBACK_RULES!$J$5:$J$304,$S53),"∞"))</f>
        <v/>
      </c>
      <c r="Z53" s="25" t="str">
        <f>IF($S53="","",IF(ISNUMBER($Y53),MAX(0,$Y53-$X53),"∞"))</f>
        <v/>
      </c>
      <c r="AA53" s="27" t="str">
        <f>IF($S53="","",IF(ISNUMBER($Y53),IF($Y53=0,0,$X53/$Y53),""))</f>
        <v/>
      </c>
    </row>
    <row r="54" ht="20" customHeight="1">
      <c r="A54" s="81" t="str">
        <f>IF($Q54="","",47)</f>
        <v/>
      </c>
      <c r="B54" s="57" t="str">
        <f>IF($Q54="","",INDEX(TRANSACTIONS_MASTER!$B$5:$B$1204,$Q54))</f>
        <v/>
      </c>
      <c r="C54" s="55" t="str">
        <f>IF($Q54="","",INDEX(TRANSACTIONS_MASTER!$F$5:$F$1204,$Q54))</f>
        <v/>
      </c>
      <c r="D54" s="55" t="str">
        <f>IF($Q54="","",INDEX(TRANSACTIONS_MASTER!$E$5:$E$1204,$Q54))</f>
        <v/>
      </c>
      <c r="E54" s="55" t="str">
        <f>IF($Q54="","",INDEX(TRANSACTIONS_MASTER!$G$5:$G$1204,$Q54)&amp;"")</f>
        <v/>
      </c>
      <c r="F54" s="29" t="str">
        <f>IF($Q54="","",INDEX(TRANSACTIONS_MASTER!$I$5:$I$1204,$Q54))</f>
        <v/>
      </c>
      <c r="G54" s="55" t="str">
        <f>IF($Q54="","",INDEX(TRANSACTIONS_MASTER!$K$5:$K$1204,$Q54))</f>
        <v/>
      </c>
      <c r="H54" s="25" t="str">
        <f>IF($Q54="","",INDEX(TRANSACTIONS_MASTER!$L$5:$L$1204,$Q54))</f>
        <v/>
      </c>
      <c r="I54" s="56" t="str">
        <f>IF($Q54="","",INDEX(TRANSACTIONS_MASTER!$N$5:$N$1204,$Q54))</f>
        <v/>
      </c>
      <c r="J54" s="25" t="str">
        <f>IF($Q54="","",INDEX(TRANSACTIONS_MASTER!$O$5:$O$1204,$Q54))</f>
        <v/>
      </c>
      <c r="K54" s="26" t="str">
        <f>IF($Q54="","",INDEX(TRANSACTIONS_MASTER!$Q$5:$Q$1204,$Q54))</f>
        <v/>
      </c>
      <c r="L54" s="25" t="str">
        <f>IF($Q54="","",INDEX(TRANSACTIONS_MASTER!$P$5:$P$1204,$Q54))</f>
        <v/>
      </c>
      <c r="M54" s="25" t="str">
        <f>IF($Q54="","",INDEX(TRANSACTIONS_MASTER!$AA$5:$AA$1204,$Q54))</f>
        <v/>
      </c>
      <c r="N54" s="25" t="str">
        <f>IF($Q54="","",INDEX(TRANSACTIONS_MASTER!$R$5:$R$1204,$Q54))</f>
        <v/>
      </c>
      <c r="O54" s="28" t="str">
        <f>IF($Q54="","",INDEX(TRANSACTIONS_MASTER!$AB$5:$AB$1204,$Q54))</f>
        <v/>
      </c>
      <c r="P54" s="55" t="str">
        <f>IF($Q54="","",INDEX(TRANSACTIONS_MASTER!$Z$5:$Z$1204,$Q54)&amp;"")</f>
        <v/>
      </c>
      <c r="Q54" s="67" t="str">
        <f>IFERROR(MATCH($C$2&amp;"|"&amp;47,TRANSACTIONS_MASTER!$AE$5:$AE$1204,0),"")</f>
        <v/>
      </c>
      <c r="S54" s="67" t="str">
        <f>IFERROR(MATCH(47,CASHBACK_RULES!$S$5:$S$304,0),"")</f>
        <v/>
      </c>
      <c r="T54" s="55" t="str">
        <f>IF($S54="","",INDEX(CASHBACK_RULES!$B$5:$B$304,$S54))</f>
        <v/>
      </c>
      <c r="U54" s="55" t="str">
        <f>IF($S54="","",INDEX(CASHBACK_RULES!$C$5:$C$304,$S54)&amp;" "&amp;INDEX(CASHBACK_RULES!$D$5:$D$304,$S54))</f>
        <v/>
      </c>
      <c r="V54" s="55" t="str">
        <f>IF($S54="","",INDEX(CASHBACK_RULES!$E$5:$E$304,$S54)&amp;"")</f>
        <v/>
      </c>
      <c r="W54" s="55" t="str">
        <f>IF($S54="","",INDEX(CASHBACK_RULES!$F$5:$F$304,$S54)&amp;"")</f>
        <v/>
      </c>
      <c r="X54" s="26" t="str">
        <f>IF($S54="","",SUMIFS(TRANSACTIONS_MASTER!$Q$5:$Q$1204,TRANSACTIONS_MASTER!$D$5:$D$1204,$T54,TRANSACTIONS_MASTER!$Z$5:$Z$1204,$V54,TRANSACTIONS_MASTER!$C$5:$C$1204,$C$2))</f>
        <v/>
      </c>
      <c r="Y54" s="25" t="str">
        <f>IF($S54="","",IF(ISNUMBER(INDEX(CASHBACK_RULES!$J$5:$J$304,$S54)),INDEX(CASHBACK_RULES!$J$5:$J$304,$S54),"∞"))</f>
        <v/>
      </c>
      <c r="Z54" s="25" t="str">
        <f>IF($S54="","",IF(ISNUMBER($Y54),MAX(0,$Y54-$X54),"∞"))</f>
        <v/>
      </c>
      <c r="AA54" s="27" t="str">
        <f>IF($S54="","",IF(ISNUMBER($Y54),IF($Y54=0,0,$X54/$Y54),""))</f>
        <v/>
      </c>
    </row>
    <row r="55" ht="20" customHeight="1">
      <c r="A55" s="81" t="str">
        <f>IF($Q55="","",48)</f>
        <v/>
      </c>
      <c r="B55" s="57" t="str">
        <f>IF($Q55="","",INDEX(TRANSACTIONS_MASTER!$B$5:$B$1204,$Q55))</f>
        <v/>
      </c>
      <c r="C55" s="55" t="str">
        <f>IF($Q55="","",INDEX(TRANSACTIONS_MASTER!$F$5:$F$1204,$Q55))</f>
        <v/>
      </c>
      <c r="D55" s="55" t="str">
        <f>IF($Q55="","",INDEX(TRANSACTIONS_MASTER!$E$5:$E$1204,$Q55))</f>
        <v/>
      </c>
      <c r="E55" s="55" t="str">
        <f>IF($Q55="","",INDEX(TRANSACTIONS_MASTER!$G$5:$G$1204,$Q55)&amp;"")</f>
        <v/>
      </c>
      <c r="F55" s="29" t="str">
        <f>IF($Q55="","",INDEX(TRANSACTIONS_MASTER!$I$5:$I$1204,$Q55))</f>
        <v/>
      </c>
      <c r="G55" s="55" t="str">
        <f>IF($Q55="","",INDEX(TRANSACTIONS_MASTER!$K$5:$K$1204,$Q55))</f>
        <v/>
      </c>
      <c r="H55" s="25" t="str">
        <f>IF($Q55="","",INDEX(TRANSACTIONS_MASTER!$L$5:$L$1204,$Q55))</f>
        <v/>
      </c>
      <c r="I55" s="56" t="str">
        <f>IF($Q55="","",INDEX(TRANSACTIONS_MASTER!$N$5:$N$1204,$Q55))</f>
        <v/>
      </c>
      <c r="J55" s="25" t="str">
        <f>IF($Q55="","",INDEX(TRANSACTIONS_MASTER!$O$5:$O$1204,$Q55))</f>
        <v/>
      </c>
      <c r="K55" s="26" t="str">
        <f>IF($Q55="","",INDEX(TRANSACTIONS_MASTER!$Q$5:$Q$1204,$Q55))</f>
        <v/>
      </c>
      <c r="L55" s="25" t="str">
        <f>IF($Q55="","",INDEX(TRANSACTIONS_MASTER!$P$5:$P$1204,$Q55))</f>
        <v/>
      </c>
      <c r="M55" s="25" t="str">
        <f>IF($Q55="","",INDEX(TRANSACTIONS_MASTER!$AA$5:$AA$1204,$Q55))</f>
        <v/>
      </c>
      <c r="N55" s="25" t="str">
        <f>IF($Q55="","",INDEX(TRANSACTIONS_MASTER!$R$5:$R$1204,$Q55))</f>
        <v/>
      </c>
      <c r="O55" s="28" t="str">
        <f>IF($Q55="","",INDEX(TRANSACTIONS_MASTER!$AB$5:$AB$1204,$Q55))</f>
        <v/>
      </c>
      <c r="P55" s="55" t="str">
        <f>IF($Q55="","",INDEX(TRANSACTIONS_MASTER!$Z$5:$Z$1204,$Q55)&amp;"")</f>
        <v/>
      </c>
      <c r="Q55" s="67" t="str">
        <f>IFERROR(MATCH($C$2&amp;"|"&amp;48,TRANSACTIONS_MASTER!$AE$5:$AE$1204,0),"")</f>
        <v/>
      </c>
      <c r="S55" s="67" t="str">
        <f>IFERROR(MATCH(48,CASHBACK_RULES!$S$5:$S$304,0),"")</f>
        <v/>
      </c>
      <c r="T55" s="55" t="str">
        <f>IF($S55="","",INDEX(CASHBACK_RULES!$B$5:$B$304,$S55))</f>
        <v/>
      </c>
      <c r="U55" s="55" t="str">
        <f>IF($S55="","",INDEX(CASHBACK_RULES!$C$5:$C$304,$S55)&amp;" "&amp;INDEX(CASHBACK_RULES!$D$5:$D$304,$S55))</f>
        <v/>
      </c>
      <c r="V55" s="55" t="str">
        <f>IF($S55="","",INDEX(CASHBACK_RULES!$E$5:$E$304,$S55)&amp;"")</f>
        <v/>
      </c>
      <c r="W55" s="55" t="str">
        <f>IF($S55="","",INDEX(CASHBACK_RULES!$F$5:$F$304,$S55)&amp;"")</f>
        <v/>
      </c>
      <c r="X55" s="26" t="str">
        <f>IF($S55="","",SUMIFS(TRANSACTIONS_MASTER!$Q$5:$Q$1204,TRANSACTIONS_MASTER!$D$5:$D$1204,$T55,TRANSACTIONS_MASTER!$Z$5:$Z$1204,$V55,TRANSACTIONS_MASTER!$C$5:$C$1204,$C$2))</f>
        <v/>
      </c>
      <c r="Y55" s="25" t="str">
        <f>IF($S55="","",IF(ISNUMBER(INDEX(CASHBACK_RULES!$J$5:$J$304,$S55)),INDEX(CASHBACK_RULES!$J$5:$J$304,$S55),"∞"))</f>
        <v/>
      </c>
      <c r="Z55" s="25" t="str">
        <f>IF($S55="","",IF(ISNUMBER($Y55),MAX(0,$Y55-$X55),"∞"))</f>
        <v/>
      </c>
      <c r="AA55" s="27" t="str">
        <f>IF($S55="","",IF(ISNUMBER($Y55),IF($Y55=0,0,$X55/$Y55),""))</f>
        <v/>
      </c>
    </row>
    <row r="56" ht="20" customHeight="1">
      <c r="A56" s="81" t="str">
        <f>IF($Q56="","",49)</f>
        <v/>
      </c>
      <c r="B56" s="57" t="str">
        <f>IF($Q56="","",INDEX(TRANSACTIONS_MASTER!$B$5:$B$1204,$Q56))</f>
        <v/>
      </c>
      <c r="C56" s="55" t="str">
        <f>IF($Q56="","",INDEX(TRANSACTIONS_MASTER!$F$5:$F$1204,$Q56))</f>
        <v/>
      </c>
      <c r="D56" s="55" t="str">
        <f>IF($Q56="","",INDEX(TRANSACTIONS_MASTER!$E$5:$E$1204,$Q56))</f>
        <v/>
      </c>
      <c r="E56" s="55" t="str">
        <f>IF($Q56="","",INDEX(TRANSACTIONS_MASTER!$G$5:$G$1204,$Q56)&amp;"")</f>
        <v/>
      </c>
      <c r="F56" s="29" t="str">
        <f>IF($Q56="","",INDEX(TRANSACTIONS_MASTER!$I$5:$I$1204,$Q56))</f>
        <v/>
      </c>
      <c r="G56" s="55" t="str">
        <f>IF($Q56="","",INDEX(TRANSACTIONS_MASTER!$K$5:$K$1204,$Q56))</f>
        <v/>
      </c>
      <c r="H56" s="25" t="str">
        <f>IF($Q56="","",INDEX(TRANSACTIONS_MASTER!$L$5:$L$1204,$Q56))</f>
        <v/>
      </c>
      <c r="I56" s="56" t="str">
        <f>IF($Q56="","",INDEX(TRANSACTIONS_MASTER!$N$5:$N$1204,$Q56))</f>
        <v/>
      </c>
      <c r="J56" s="25" t="str">
        <f>IF($Q56="","",INDEX(TRANSACTIONS_MASTER!$O$5:$O$1204,$Q56))</f>
        <v/>
      </c>
      <c r="K56" s="26" t="str">
        <f>IF($Q56="","",INDEX(TRANSACTIONS_MASTER!$Q$5:$Q$1204,$Q56))</f>
        <v/>
      </c>
      <c r="L56" s="25" t="str">
        <f>IF($Q56="","",INDEX(TRANSACTIONS_MASTER!$P$5:$P$1204,$Q56))</f>
        <v/>
      </c>
      <c r="M56" s="25" t="str">
        <f>IF($Q56="","",INDEX(TRANSACTIONS_MASTER!$AA$5:$AA$1204,$Q56))</f>
        <v/>
      </c>
      <c r="N56" s="25" t="str">
        <f>IF($Q56="","",INDEX(TRANSACTIONS_MASTER!$R$5:$R$1204,$Q56))</f>
        <v/>
      </c>
      <c r="O56" s="28" t="str">
        <f>IF($Q56="","",INDEX(TRANSACTIONS_MASTER!$AB$5:$AB$1204,$Q56))</f>
        <v/>
      </c>
      <c r="P56" s="55" t="str">
        <f>IF($Q56="","",INDEX(TRANSACTIONS_MASTER!$Z$5:$Z$1204,$Q56)&amp;"")</f>
        <v/>
      </c>
      <c r="Q56" s="67" t="str">
        <f>IFERROR(MATCH($C$2&amp;"|"&amp;49,TRANSACTIONS_MASTER!$AE$5:$AE$1204,0),"")</f>
        <v/>
      </c>
      <c r="S56" s="67" t="str">
        <f>IFERROR(MATCH(49,CASHBACK_RULES!$S$5:$S$304,0),"")</f>
        <v/>
      </c>
      <c r="T56" s="55" t="str">
        <f>IF($S56="","",INDEX(CASHBACK_RULES!$B$5:$B$304,$S56))</f>
        <v/>
      </c>
      <c r="U56" s="55" t="str">
        <f>IF($S56="","",INDEX(CASHBACK_RULES!$C$5:$C$304,$S56)&amp;" "&amp;INDEX(CASHBACK_RULES!$D$5:$D$304,$S56))</f>
        <v/>
      </c>
      <c r="V56" s="55" t="str">
        <f>IF($S56="","",INDEX(CASHBACK_RULES!$E$5:$E$304,$S56)&amp;"")</f>
        <v/>
      </c>
      <c r="W56" s="55" t="str">
        <f>IF($S56="","",INDEX(CASHBACK_RULES!$F$5:$F$304,$S56)&amp;"")</f>
        <v/>
      </c>
      <c r="X56" s="26" t="str">
        <f>IF($S56="","",SUMIFS(TRANSACTIONS_MASTER!$Q$5:$Q$1204,TRANSACTIONS_MASTER!$D$5:$D$1204,$T56,TRANSACTIONS_MASTER!$Z$5:$Z$1204,$V56,TRANSACTIONS_MASTER!$C$5:$C$1204,$C$2))</f>
        <v/>
      </c>
      <c r="Y56" s="25" t="str">
        <f>IF($S56="","",IF(ISNUMBER(INDEX(CASHBACK_RULES!$J$5:$J$304,$S56)),INDEX(CASHBACK_RULES!$J$5:$J$304,$S56),"∞"))</f>
        <v/>
      </c>
      <c r="Z56" s="25" t="str">
        <f>IF($S56="","",IF(ISNUMBER($Y56),MAX(0,$Y56-$X56),"∞"))</f>
        <v/>
      </c>
      <c r="AA56" s="27" t="str">
        <f>IF($S56="","",IF(ISNUMBER($Y56),IF($Y56=0,0,$X56/$Y56),""))</f>
        <v/>
      </c>
    </row>
    <row r="57" ht="20" customHeight="1">
      <c r="A57" s="81" t="str">
        <f>IF($Q57="","",50)</f>
        <v/>
      </c>
      <c r="B57" s="57" t="str">
        <f>IF($Q57="","",INDEX(TRANSACTIONS_MASTER!$B$5:$B$1204,$Q57))</f>
        <v/>
      </c>
      <c r="C57" s="55" t="str">
        <f>IF($Q57="","",INDEX(TRANSACTIONS_MASTER!$F$5:$F$1204,$Q57))</f>
        <v/>
      </c>
      <c r="D57" s="55" t="str">
        <f>IF($Q57="","",INDEX(TRANSACTIONS_MASTER!$E$5:$E$1204,$Q57))</f>
        <v/>
      </c>
      <c r="E57" s="55" t="str">
        <f>IF($Q57="","",INDEX(TRANSACTIONS_MASTER!$G$5:$G$1204,$Q57)&amp;"")</f>
        <v/>
      </c>
      <c r="F57" s="29" t="str">
        <f>IF($Q57="","",INDEX(TRANSACTIONS_MASTER!$I$5:$I$1204,$Q57))</f>
        <v/>
      </c>
      <c r="G57" s="55" t="str">
        <f>IF($Q57="","",INDEX(TRANSACTIONS_MASTER!$K$5:$K$1204,$Q57))</f>
        <v/>
      </c>
      <c r="H57" s="25" t="str">
        <f>IF($Q57="","",INDEX(TRANSACTIONS_MASTER!$L$5:$L$1204,$Q57))</f>
        <v/>
      </c>
      <c r="I57" s="56" t="str">
        <f>IF($Q57="","",INDEX(TRANSACTIONS_MASTER!$N$5:$N$1204,$Q57))</f>
        <v/>
      </c>
      <c r="J57" s="25" t="str">
        <f>IF($Q57="","",INDEX(TRANSACTIONS_MASTER!$O$5:$O$1204,$Q57))</f>
        <v/>
      </c>
      <c r="K57" s="26" t="str">
        <f>IF($Q57="","",INDEX(TRANSACTIONS_MASTER!$Q$5:$Q$1204,$Q57))</f>
        <v/>
      </c>
      <c r="L57" s="25" t="str">
        <f>IF($Q57="","",INDEX(TRANSACTIONS_MASTER!$P$5:$P$1204,$Q57))</f>
        <v/>
      </c>
      <c r="M57" s="25" t="str">
        <f>IF($Q57="","",INDEX(TRANSACTIONS_MASTER!$AA$5:$AA$1204,$Q57))</f>
        <v/>
      </c>
      <c r="N57" s="25" t="str">
        <f>IF($Q57="","",INDEX(TRANSACTIONS_MASTER!$R$5:$R$1204,$Q57))</f>
        <v/>
      </c>
      <c r="O57" s="28" t="str">
        <f>IF($Q57="","",INDEX(TRANSACTIONS_MASTER!$AB$5:$AB$1204,$Q57))</f>
        <v/>
      </c>
      <c r="P57" s="55" t="str">
        <f>IF($Q57="","",INDEX(TRANSACTIONS_MASTER!$Z$5:$Z$1204,$Q57)&amp;"")</f>
        <v/>
      </c>
      <c r="Q57" s="67" t="str">
        <f>IFERROR(MATCH($C$2&amp;"|"&amp;50,TRANSACTIONS_MASTER!$AE$5:$AE$1204,0),"")</f>
        <v/>
      </c>
      <c r="S57" s="67" t="str">
        <f>IFERROR(MATCH(50,CASHBACK_RULES!$S$5:$S$304,0),"")</f>
        <v/>
      </c>
      <c r="T57" s="55" t="str">
        <f>IF($S57="","",INDEX(CASHBACK_RULES!$B$5:$B$304,$S57))</f>
        <v/>
      </c>
      <c r="U57" s="55" t="str">
        <f>IF($S57="","",INDEX(CASHBACK_RULES!$C$5:$C$304,$S57)&amp;" "&amp;INDEX(CASHBACK_RULES!$D$5:$D$304,$S57))</f>
        <v/>
      </c>
      <c r="V57" s="55" t="str">
        <f>IF($S57="","",INDEX(CASHBACK_RULES!$E$5:$E$304,$S57)&amp;"")</f>
        <v/>
      </c>
      <c r="W57" s="55" t="str">
        <f>IF($S57="","",INDEX(CASHBACK_RULES!$F$5:$F$304,$S57)&amp;"")</f>
        <v/>
      </c>
      <c r="X57" s="26" t="str">
        <f>IF($S57="","",SUMIFS(TRANSACTIONS_MASTER!$Q$5:$Q$1204,TRANSACTIONS_MASTER!$D$5:$D$1204,$T57,TRANSACTIONS_MASTER!$Z$5:$Z$1204,$V57,TRANSACTIONS_MASTER!$C$5:$C$1204,$C$2))</f>
        <v/>
      </c>
      <c r="Y57" s="25" t="str">
        <f>IF($S57="","",IF(ISNUMBER(INDEX(CASHBACK_RULES!$J$5:$J$304,$S57)),INDEX(CASHBACK_RULES!$J$5:$J$304,$S57),"∞"))</f>
        <v/>
      </c>
      <c r="Z57" s="25" t="str">
        <f>IF($S57="","",IF(ISNUMBER($Y57),MAX(0,$Y57-$X57),"∞"))</f>
        <v/>
      </c>
      <c r="AA57" s="27" t="str">
        <f>IF($S57="","",IF(ISNUMBER($Y57),IF($Y57=0,0,$X57/$Y57),""))</f>
        <v/>
      </c>
    </row>
    <row r="58">
      <c r="A58" s="81" t="str">
        <f>IF($Q58="","",51)</f>
        <v/>
      </c>
      <c r="B58" s="57" t="str">
        <f>IF($Q58="","",INDEX(TRANSACTIONS_MASTER!$B$5:$B$1204,$Q58))</f>
        <v/>
      </c>
      <c r="C58" s="55" t="str">
        <f>IF($Q58="","",INDEX(TRANSACTIONS_MASTER!$F$5:$F$1204,$Q58))</f>
        <v/>
      </c>
      <c r="D58" s="55" t="str">
        <f>IF($Q58="","",INDEX(TRANSACTIONS_MASTER!$E$5:$E$1204,$Q58))</f>
        <v/>
      </c>
      <c r="E58" s="55" t="str">
        <f>IF($Q58="","",INDEX(TRANSACTIONS_MASTER!$G$5:$G$1204,$Q58)&amp;"")</f>
        <v/>
      </c>
      <c r="F58" s="29" t="str">
        <f>IF($Q58="","",INDEX(TRANSACTIONS_MASTER!$I$5:$I$1204,$Q58))</f>
        <v/>
      </c>
      <c r="G58" s="55" t="str">
        <f>IF($Q58="","",INDEX(TRANSACTIONS_MASTER!$K$5:$K$1204,$Q58))</f>
        <v/>
      </c>
      <c r="H58" s="25" t="str">
        <f>IF($Q58="","",INDEX(TRANSACTIONS_MASTER!$L$5:$L$1204,$Q58))</f>
        <v/>
      </c>
      <c r="I58" s="56" t="str">
        <f>IF($Q58="","",INDEX(TRANSACTIONS_MASTER!$N$5:$N$1204,$Q58))</f>
        <v/>
      </c>
      <c r="J58" s="25" t="str">
        <f>IF($Q58="","",INDEX(TRANSACTIONS_MASTER!$O$5:$O$1204,$Q58))</f>
        <v/>
      </c>
      <c r="K58" s="26" t="str">
        <f>IF($Q58="","",INDEX(TRANSACTIONS_MASTER!$Q$5:$Q$1204,$Q58))</f>
        <v/>
      </c>
      <c r="L58" s="25" t="str">
        <f>IF($Q58="","",INDEX(TRANSACTIONS_MASTER!$P$5:$P$1204,$Q58))</f>
        <v/>
      </c>
      <c r="M58" s="25" t="str">
        <f>IF($Q58="","",INDEX(TRANSACTIONS_MASTER!$AA$5:$AA$1204,$Q58))</f>
        <v/>
      </c>
      <c r="N58" s="25" t="str">
        <f>IF($Q58="","",INDEX(TRANSACTIONS_MASTER!$R$5:$R$1204,$Q58))</f>
        <v/>
      </c>
      <c r="O58" s="28" t="str">
        <f>IF($Q58="","",INDEX(TRANSACTIONS_MASTER!$AB$5:$AB$1204,$Q58))</f>
        <v/>
      </c>
      <c r="P58" s="55" t="str">
        <f>IF($Q58="","",INDEX(TRANSACTIONS_MASTER!$Z$5:$Z$1204,$Q58)&amp;"")</f>
        <v/>
      </c>
      <c r="Q58" s="67" t="str">
        <f>IFERROR(MATCH($C$2&amp;"|"&amp;51,TRANSACTIONS_MASTER!$AE$5:$AE$1204,0),"")</f>
        <v/>
      </c>
    </row>
    <row r="59">
      <c r="A59" s="81" t="str">
        <f>IF($Q59="","",52)</f>
        <v/>
      </c>
      <c r="B59" s="57" t="str">
        <f>IF($Q59="","",INDEX(TRANSACTIONS_MASTER!$B$5:$B$1204,$Q59))</f>
        <v/>
      </c>
      <c r="C59" s="55" t="str">
        <f>IF($Q59="","",INDEX(TRANSACTIONS_MASTER!$F$5:$F$1204,$Q59))</f>
        <v/>
      </c>
      <c r="D59" s="55" t="str">
        <f>IF($Q59="","",INDEX(TRANSACTIONS_MASTER!$E$5:$E$1204,$Q59))</f>
        <v/>
      </c>
      <c r="E59" s="55" t="str">
        <f>IF($Q59="","",INDEX(TRANSACTIONS_MASTER!$G$5:$G$1204,$Q59)&amp;"")</f>
        <v/>
      </c>
      <c r="F59" s="29" t="str">
        <f>IF($Q59="","",INDEX(TRANSACTIONS_MASTER!$I$5:$I$1204,$Q59))</f>
        <v/>
      </c>
      <c r="G59" s="55" t="str">
        <f>IF($Q59="","",INDEX(TRANSACTIONS_MASTER!$K$5:$K$1204,$Q59))</f>
        <v/>
      </c>
      <c r="H59" s="25" t="str">
        <f>IF($Q59="","",INDEX(TRANSACTIONS_MASTER!$L$5:$L$1204,$Q59))</f>
        <v/>
      </c>
      <c r="I59" s="56" t="str">
        <f>IF($Q59="","",INDEX(TRANSACTIONS_MASTER!$N$5:$N$1204,$Q59))</f>
        <v/>
      </c>
      <c r="J59" s="25" t="str">
        <f>IF($Q59="","",INDEX(TRANSACTIONS_MASTER!$O$5:$O$1204,$Q59))</f>
        <v/>
      </c>
      <c r="K59" s="26" t="str">
        <f>IF($Q59="","",INDEX(TRANSACTIONS_MASTER!$Q$5:$Q$1204,$Q59))</f>
        <v/>
      </c>
      <c r="L59" s="25" t="str">
        <f>IF($Q59="","",INDEX(TRANSACTIONS_MASTER!$P$5:$P$1204,$Q59))</f>
        <v/>
      </c>
      <c r="M59" s="25" t="str">
        <f>IF($Q59="","",INDEX(TRANSACTIONS_MASTER!$AA$5:$AA$1204,$Q59))</f>
        <v/>
      </c>
      <c r="N59" s="25" t="str">
        <f>IF($Q59="","",INDEX(TRANSACTIONS_MASTER!$R$5:$R$1204,$Q59))</f>
        <v/>
      </c>
      <c r="O59" s="28" t="str">
        <f>IF($Q59="","",INDEX(TRANSACTIONS_MASTER!$AB$5:$AB$1204,$Q59))</f>
        <v/>
      </c>
      <c r="P59" s="55" t="str">
        <f>IF($Q59="","",INDEX(TRANSACTIONS_MASTER!$Z$5:$Z$1204,$Q59)&amp;"")</f>
        <v/>
      </c>
      <c r="Q59" s="67" t="str">
        <f>IFERROR(MATCH($C$2&amp;"|"&amp;52,TRANSACTIONS_MASTER!$AE$5:$AE$1204,0),"")</f>
        <v/>
      </c>
    </row>
    <row r="60" ht="22" customHeight="1">
      <c r="A60" s="81" t="str">
        <f>IF($Q60="","",53)</f>
        <v/>
      </c>
      <c r="B60" s="57" t="str">
        <f>IF($Q60="","",INDEX(TRANSACTIONS_MASTER!$B$5:$B$1204,$Q60))</f>
        <v/>
      </c>
      <c r="C60" s="55" t="str">
        <f>IF($Q60="","",INDEX(TRANSACTIONS_MASTER!$F$5:$F$1204,$Q60))</f>
        <v/>
      </c>
      <c r="D60" s="55" t="str">
        <f>IF($Q60="","",INDEX(TRANSACTIONS_MASTER!$E$5:$E$1204,$Q60))</f>
        <v/>
      </c>
      <c r="E60" s="55" t="str">
        <f>IF($Q60="","",INDEX(TRANSACTIONS_MASTER!$G$5:$G$1204,$Q60)&amp;"")</f>
        <v/>
      </c>
      <c r="F60" s="29" t="str">
        <f>IF($Q60="","",INDEX(TRANSACTIONS_MASTER!$I$5:$I$1204,$Q60))</f>
        <v/>
      </c>
      <c r="G60" s="55" t="str">
        <f>IF($Q60="","",INDEX(TRANSACTIONS_MASTER!$K$5:$K$1204,$Q60))</f>
        <v/>
      </c>
      <c r="H60" s="25" t="str">
        <f>IF($Q60="","",INDEX(TRANSACTIONS_MASTER!$L$5:$L$1204,$Q60))</f>
        <v/>
      </c>
      <c r="I60" s="56" t="str">
        <f>IF($Q60="","",INDEX(TRANSACTIONS_MASTER!$N$5:$N$1204,$Q60))</f>
        <v/>
      </c>
      <c r="J60" s="25" t="str">
        <f>IF($Q60="","",INDEX(TRANSACTIONS_MASTER!$O$5:$O$1204,$Q60))</f>
        <v/>
      </c>
      <c r="K60" s="26" t="str">
        <f>IF($Q60="","",INDEX(TRANSACTIONS_MASTER!$Q$5:$Q$1204,$Q60))</f>
        <v/>
      </c>
      <c r="L60" s="25" t="str">
        <f>IF($Q60="","",INDEX(TRANSACTIONS_MASTER!$P$5:$P$1204,$Q60))</f>
        <v/>
      </c>
      <c r="M60" s="25" t="str">
        <f>IF($Q60="","",INDEX(TRANSACTIONS_MASTER!$AA$5:$AA$1204,$Q60))</f>
        <v/>
      </c>
      <c r="N60" s="25" t="str">
        <f>IF($Q60="","",INDEX(TRANSACTIONS_MASTER!$R$5:$R$1204,$Q60))</f>
        <v/>
      </c>
      <c r="O60" s="28" t="str">
        <f>IF($Q60="","",INDEX(TRANSACTIONS_MASTER!$AB$5:$AB$1204,$Q60))</f>
        <v/>
      </c>
      <c r="P60" s="55" t="str">
        <f>IF($Q60="","",INDEX(TRANSACTIONS_MASTER!$Z$5:$Z$1204,$Q60)&amp;"")</f>
        <v/>
      </c>
      <c r="Q60" s="67" t="str">
        <f>IFERROR(MATCH($C$2&amp;"|"&amp;53,TRANSACTIONS_MASTER!$AE$5:$AE$1204,0),"")</f>
        <v/>
      </c>
      <c r="T60" s="19" t="inlineStr">
        <is>
          <t>TỔNG THEO THẺ — chi tiêu · cashback · cap thẻ / tháng</t>
        </is>
      </c>
      <c r="U60" s="20" t="n"/>
      <c r="V60" s="20" t="n"/>
      <c r="W60" s="20" t="n"/>
      <c r="X60" s="20" t="n"/>
      <c r="Y60" s="20" t="n"/>
      <c r="Z60" s="20" t="n"/>
      <c r="AA60" s="20" t="n"/>
    </row>
    <row r="61" ht="30" customHeight="1">
      <c r="A61" s="81" t="str">
        <f>IF($Q61="","",54)</f>
        <v/>
      </c>
      <c r="B61" s="57" t="str">
        <f>IF($Q61="","",INDEX(TRANSACTIONS_MASTER!$B$5:$B$1204,$Q61))</f>
        <v/>
      </c>
      <c r="C61" s="55" t="str">
        <f>IF($Q61="","",INDEX(TRANSACTIONS_MASTER!$F$5:$F$1204,$Q61))</f>
        <v/>
      </c>
      <c r="D61" s="55" t="str">
        <f>IF($Q61="","",INDEX(TRANSACTIONS_MASTER!$E$5:$E$1204,$Q61))</f>
        <v/>
      </c>
      <c r="E61" s="55" t="str">
        <f>IF($Q61="","",INDEX(TRANSACTIONS_MASTER!$G$5:$G$1204,$Q61)&amp;"")</f>
        <v/>
      </c>
      <c r="F61" s="29" t="str">
        <f>IF($Q61="","",INDEX(TRANSACTIONS_MASTER!$I$5:$I$1204,$Q61))</f>
        <v/>
      </c>
      <c r="G61" s="55" t="str">
        <f>IF($Q61="","",INDEX(TRANSACTIONS_MASTER!$K$5:$K$1204,$Q61))</f>
        <v/>
      </c>
      <c r="H61" s="25" t="str">
        <f>IF($Q61="","",INDEX(TRANSACTIONS_MASTER!$L$5:$L$1204,$Q61))</f>
        <v/>
      </c>
      <c r="I61" s="56" t="str">
        <f>IF($Q61="","",INDEX(TRANSACTIONS_MASTER!$N$5:$N$1204,$Q61))</f>
        <v/>
      </c>
      <c r="J61" s="25" t="str">
        <f>IF($Q61="","",INDEX(TRANSACTIONS_MASTER!$O$5:$O$1204,$Q61))</f>
        <v/>
      </c>
      <c r="K61" s="26" t="str">
        <f>IF($Q61="","",INDEX(TRANSACTIONS_MASTER!$Q$5:$Q$1204,$Q61))</f>
        <v/>
      </c>
      <c r="L61" s="25" t="str">
        <f>IF($Q61="","",INDEX(TRANSACTIONS_MASTER!$P$5:$P$1204,$Q61))</f>
        <v/>
      </c>
      <c r="M61" s="25" t="str">
        <f>IF($Q61="","",INDEX(TRANSACTIONS_MASTER!$AA$5:$AA$1204,$Q61))</f>
        <v/>
      </c>
      <c r="N61" s="25" t="str">
        <f>IF($Q61="","",INDEX(TRANSACTIONS_MASTER!$R$5:$R$1204,$Q61))</f>
        <v/>
      </c>
      <c r="O61" s="28" t="str">
        <f>IF($Q61="","",INDEX(TRANSACTIONS_MASTER!$AB$5:$AB$1204,$Q61))</f>
        <v/>
      </c>
      <c r="P61" s="55" t="str">
        <f>IF($Q61="","",INDEX(TRANSACTIONS_MASTER!$Z$5:$Z$1204,$Q61)&amp;"")</f>
        <v/>
      </c>
      <c r="Q61" s="67" t="str">
        <f>IFERROR(MATCH($C$2&amp;"|"&amp;54,TRANSACTIONS_MASTER!$AE$5:$AE$1204,0),"")</f>
        <v/>
      </c>
      <c r="S61" s="21" t="inlineStr">
        <is>
          <t>#</t>
        </is>
      </c>
      <c r="T61" s="21" t="inlineStr">
        <is>
          <t>Card ID</t>
        </is>
      </c>
      <c r="U61" s="21" t="inlineStr">
        <is>
          <t>Thẻ</t>
        </is>
      </c>
      <c r="V61" s="21" t="inlineStr">
        <is>
          <t>Chi tiêu</t>
        </is>
      </c>
      <c r="W61" s="21" t="inlineStr">
        <is>
          <t>Cashback</t>
        </is>
      </c>
      <c r="X61" s="21" t="inlineStr">
        <is>
          <t>Cap thẻ / tháng</t>
        </is>
      </c>
      <c r="Y61" s="21" t="inlineStr">
        <is>
          <t>Còn lại (tối đa)</t>
        </is>
      </c>
      <c r="Z61" s="21" t="inlineStr">
        <is>
          <t>Progress</t>
        </is>
      </c>
      <c r="AA61" s="21" t="inlineStr">
        <is>
          <t>Số GD</t>
        </is>
      </c>
    </row>
    <row r="62">
      <c r="A62" s="81" t="str">
        <f>IF($Q62="","",55)</f>
        <v/>
      </c>
      <c r="B62" s="57" t="str">
        <f>IF($Q62="","",INDEX(TRANSACTIONS_MASTER!$B$5:$B$1204,$Q62))</f>
        <v/>
      </c>
      <c r="C62" s="55" t="str">
        <f>IF($Q62="","",INDEX(TRANSACTIONS_MASTER!$F$5:$F$1204,$Q62))</f>
        <v/>
      </c>
      <c r="D62" s="55" t="str">
        <f>IF($Q62="","",INDEX(TRANSACTIONS_MASTER!$E$5:$E$1204,$Q62))</f>
        <v/>
      </c>
      <c r="E62" s="55" t="str">
        <f>IF($Q62="","",INDEX(TRANSACTIONS_MASTER!$G$5:$G$1204,$Q62)&amp;"")</f>
        <v/>
      </c>
      <c r="F62" s="29" t="str">
        <f>IF($Q62="","",INDEX(TRANSACTIONS_MASTER!$I$5:$I$1204,$Q62))</f>
        <v/>
      </c>
      <c r="G62" s="55" t="str">
        <f>IF($Q62="","",INDEX(TRANSACTIONS_MASTER!$K$5:$K$1204,$Q62))</f>
        <v/>
      </c>
      <c r="H62" s="25" t="str">
        <f>IF($Q62="","",INDEX(TRANSACTIONS_MASTER!$L$5:$L$1204,$Q62))</f>
        <v/>
      </c>
      <c r="I62" s="56" t="str">
        <f>IF($Q62="","",INDEX(TRANSACTIONS_MASTER!$N$5:$N$1204,$Q62))</f>
        <v/>
      </c>
      <c r="J62" s="25" t="str">
        <f>IF($Q62="","",INDEX(TRANSACTIONS_MASTER!$O$5:$O$1204,$Q62))</f>
        <v/>
      </c>
      <c r="K62" s="26" t="str">
        <f>IF($Q62="","",INDEX(TRANSACTIONS_MASTER!$Q$5:$Q$1204,$Q62))</f>
        <v/>
      </c>
      <c r="L62" s="25" t="str">
        <f>IF($Q62="","",INDEX(TRANSACTIONS_MASTER!$P$5:$P$1204,$Q62))</f>
        <v/>
      </c>
      <c r="M62" s="25" t="str">
        <f>IF($Q62="","",INDEX(TRANSACTIONS_MASTER!$AA$5:$AA$1204,$Q62))</f>
        <v/>
      </c>
      <c r="N62" s="25" t="str">
        <f>IF($Q62="","",INDEX(TRANSACTIONS_MASTER!$R$5:$R$1204,$Q62))</f>
        <v/>
      </c>
      <c r="O62" s="28" t="str">
        <f>IF($Q62="","",INDEX(TRANSACTIONS_MASTER!$AB$5:$AB$1204,$Q62))</f>
        <v/>
      </c>
      <c r="P62" s="55" t="str">
        <f>IF($Q62="","",INDEX(TRANSACTIONS_MASTER!$Z$5:$Z$1204,$Q62)&amp;"")</f>
        <v/>
      </c>
      <c r="Q62" s="67" t="str">
        <f>IFERROR(MATCH($C$2&amp;"|"&amp;55,TRANSACTIONS_MASTER!$AE$5:$AE$1204,0),"")</f>
        <v/>
      </c>
      <c r="S62" s="67" t="n">
        <v>1</v>
      </c>
      <c r="T62" s="55" t="str">
        <f>IF(CARDS!$A5="","",CARDS!$A5)</f>
        <v>VPB-JCBZ</v>
      </c>
      <c r="U62" s="55" t="str">
        <f>IF($T62="","",CARDS!$B5&amp;" "&amp;CARDS!$C5)</f>
        <v>VPBank JCB Z Card</v>
      </c>
      <c r="V62" s="25">
        <f>IF($T62="","",SUMIFS(TRANSACTIONS_MASTER!$L$5:$L$1204,TRANSACTIONS_MASTER!$D$5:$D$1204,$T62,TRANSACTIONS_MASTER!$C$5:$C$1204,$C$2,TRANSACTIONS_MASTER!$U$5:$U$1204,"&lt;&gt;Cancelled"))</f>
        <v>0</v>
      </c>
      <c r="W62" s="26">
        <f>IF($T62="","",SUMIFS(TRANSACTIONS_MASTER!$Q$5:$Q$1204,TRANSACTIONS_MASTER!$D$5:$D$1204,$T62,TRANSACTIONS_MASTER!$C$5:$C$1204,$C$2))</f>
        <v>0</v>
      </c>
      <c r="X62" s="25">
        <f>IF($T62="","",IFERROR(IF(ISNUMBER(INDEX(CASHBACK_RULES!$K$5:$K$304,MATCH($T62,CASHBACK_RULES!$B$5:$B$304,0))),INDEX(CASHBACK_RULES!$K$5:$K$304,MATCH($T62,CASHBACK_RULES!$B$5:$B$304,0)),"∞"),"—"))</f>
        <v>1000000</v>
      </c>
      <c r="Y62" s="25">
        <f>IF($T62="","",IF($X62="—","—",IF(COUNTIFS($T$8:$T$57,$T62,$Z$8:$Z$57,"∞")&gt;0,IF(ISNUMBER($X62),MAX(0,$X62-$W62),"∞"),IF(ISNUMBER($X62),MAX(0,MIN($X62-$W62,SUMIFS($Z$8:$Z$57,$T$8:$T$57,$T62))),SUMIFS($Z$8:$Z$57,$T$8:$T$57,$T62)))))</f>
        <v>1000000</v>
      </c>
      <c r="Z62" s="27">
        <f>IF($T62="","",IF(ISNUMBER($X62),IF($X62=0,0,$W62/$X62),IF(ISNUMBER($Y62),IF($W62+$Y62=0,0,$W62/($W62+$Y62)),"")))</f>
        <v>0</v>
      </c>
      <c r="AA62" s="29">
        <f>IF($T62="","",COUNTIFS(TRANSACTIONS_MASTER!$D$5:$D$1204,$T62,TRANSACTIONS_MASTER!$C$5:$C$1204,$C$2,TRANSACTIONS_MASTER!$U$5:$U$1204,"&lt;&gt;Cancelled"))</f>
        <v>0</v>
      </c>
    </row>
    <row r="63">
      <c r="A63" s="81" t="str">
        <f>IF($Q63="","",56)</f>
        <v/>
      </c>
      <c r="B63" s="57" t="str">
        <f>IF($Q63="","",INDEX(TRANSACTIONS_MASTER!$B$5:$B$1204,$Q63))</f>
        <v/>
      </c>
      <c r="C63" s="55" t="str">
        <f>IF($Q63="","",INDEX(TRANSACTIONS_MASTER!$F$5:$F$1204,$Q63))</f>
        <v/>
      </c>
      <c r="D63" s="55" t="str">
        <f>IF($Q63="","",INDEX(TRANSACTIONS_MASTER!$E$5:$E$1204,$Q63))</f>
        <v/>
      </c>
      <c r="E63" s="55" t="str">
        <f>IF($Q63="","",INDEX(TRANSACTIONS_MASTER!$G$5:$G$1204,$Q63)&amp;"")</f>
        <v/>
      </c>
      <c r="F63" s="29" t="str">
        <f>IF($Q63="","",INDEX(TRANSACTIONS_MASTER!$I$5:$I$1204,$Q63))</f>
        <v/>
      </c>
      <c r="G63" s="55" t="str">
        <f>IF($Q63="","",INDEX(TRANSACTIONS_MASTER!$K$5:$K$1204,$Q63))</f>
        <v/>
      </c>
      <c r="H63" s="25" t="str">
        <f>IF($Q63="","",INDEX(TRANSACTIONS_MASTER!$L$5:$L$1204,$Q63))</f>
        <v/>
      </c>
      <c r="I63" s="56" t="str">
        <f>IF($Q63="","",INDEX(TRANSACTIONS_MASTER!$N$5:$N$1204,$Q63))</f>
        <v/>
      </c>
      <c r="J63" s="25" t="str">
        <f>IF($Q63="","",INDEX(TRANSACTIONS_MASTER!$O$5:$O$1204,$Q63))</f>
        <v/>
      </c>
      <c r="K63" s="26" t="str">
        <f>IF($Q63="","",INDEX(TRANSACTIONS_MASTER!$Q$5:$Q$1204,$Q63))</f>
        <v/>
      </c>
      <c r="L63" s="25" t="str">
        <f>IF($Q63="","",INDEX(TRANSACTIONS_MASTER!$P$5:$P$1204,$Q63))</f>
        <v/>
      </c>
      <c r="M63" s="25" t="str">
        <f>IF($Q63="","",INDEX(TRANSACTIONS_MASTER!$AA$5:$AA$1204,$Q63))</f>
        <v/>
      </c>
      <c r="N63" s="25" t="str">
        <f>IF($Q63="","",INDEX(TRANSACTIONS_MASTER!$R$5:$R$1204,$Q63))</f>
        <v/>
      </c>
      <c r="O63" s="28" t="str">
        <f>IF($Q63="","",INDEX(TRANSACTIONS_MASTER!$AB$5:$AB$1204,$Q63))</f>
        <v/>
      </c>
      <c r="P63" s="55" t="str">
        <f>IF($Q63="","",INDEX(TRANSACTIONS_MASTER!$Z$5:$Z$1204,$Q63)&amp;"")</f>
        <v/>
      </c>
      <c r="Q63" s="67" t="str">
        <f>IFERROR(MATCH($C$2&amp;"|"&amp;56,TRANSACTIONS_MASTER!$AE$5:$AE$1204,0),"")</f>
        <v/>
      </c>
      <c r="S63" s="67" t="n">
        <v>2</v>
      </c>
      <c r="T63" s="55" t="str">
        <f>IF(CARDS!$A6="","",CARDS!$A6)</f>
        <v>VIB-A</v>
      </c>
      <c r="U63" s="55" t="str">
        <f>IF($T63="","",CARDS!$B6&amp;" "&amp;CARDS!$C6)</f>
        <v>VIB Cashback Demo A</v>
      </c>
      <c r="V63" s="25">
        <f>IF($T63="","",SUMIFS(TRANSACTIONS_MASTER!$L$5:$L$1204,TRANSACTIONS_MASTER!$D$5:$D$1204,$T63,TRANSACTIONS_MASTER!$C$5:$C$1204,$C$2,TRANSACTIONS_MASTER!$U$5:$U$1204,"&lt;&gt;Cancelled"))</f>
        <v>0</v>
      </c>
      <c r="W63" s="26">
        <f>IF($T63="","",SUMIFS(TRANSACTIONS_MASTER!$Q$5:$Q$1204,TRANSACTIONS_MASTER!$D$5:$D$1204,$T63,TRANSACTIONS_MASTER!$C$5:$C$1204,$C$2))</f>
        <v>0</v>
      </c>
      <c r="X63" s="25">
        <f>IF($T63="","",IFERROR(IF(ISNUMBER(INDEX(CASHBACK_RULES!$K$5:$K$304,MATCH($T63,CASHBACK_RULES!$B$5:$B$304,0))),INDEX(CASHBACK_RULES!$K$5:$K$304,MATCH($T63,CASHBACK_RULES!$B$5:$B$304,0)),"∞"),"—"))</f>
        <v>1000000</v>
      </c>
      <c r="Y63" s="25">
        <f>IF($T63="","",IF($X63="—","—",IF(COUNTIFS($T$8:$T$57,$T63,$Z$8:$Z$57,"∞")&gt;0,IF(ISNUMBER($X63),MAX(0,$X63-$W63),"∞"),IF(ISNUMBER($X63),MAX(0,MIN($X63-$W63,SUMIFS($Z$8:$Z$57,$T$8:$T$57,$T63))),SUMIFS($Z$8:$Z$57,$T$8:$T$57,$T63)))))</f>
        <v>1000000</v>
      </c>
      <c r="Z63" s="27">
        <f>IF($T63="","",IF(ISNUMBER($X63),IF($X63=0,0,$W63/$X63),IF(ISNUMBER($Y63),IF($W63+$Y63=0,0,$W63/($W63+$Y63)),"")))</f>
        <v>0</v>
      </c>
      <c r="AA63" s="29">
        <f>IF($T63="","",COUNTIFS(TRANSACTIONS_MASTER!$D$5:$D$1204,$T63,TRANSACTIONS_MASTER!$C$5:$C$1204,$C$2,TRANSACTIONS_MASTER!$U$5:$U$1204,"&lt;&gt;Cancelled"))</f>
        <v>0</v>
      </c>
    </row>
    <row r="64">
      <c r="A64" s="81" t="str">
        <f>IF($Q64="","",57)</f>
        <v/>
      </c>
      <c r="B64" s="57" t="str">
        <f>IF($Q64="","",INDEX(TRANSACTIONS_MASTER!$B$5:$B$1204,$Q64))</f>
        <v/>
      </c>
      <c r="C64" s="55" t="str">
        <f>IF($Q64="","",INDEX(TRANSACTIONS_MASTER!$F$5:$F$1204,$Q64))</f>
        <v/>
      </c>
      <c r="D64" s="55" t="str">
        <f>IF($Q64="","",INDEX(TRANSACTIONS_MASTER!$E$5:$E$1204,$Q64))</f>
        <v/>
      </c>
      <c r="E64" s="55" t="str">
        <f>IF($Q64="","",INDEX(TRANSACTIONS_MASTER!$G$5:$G$1204,$Q64)&amp;"")</f>
        <v/>
      </c>
      <c r="F64" s="29" t="str">
        <f>IF($Q64="","",INDEX(TRANSACTIONS_MASTER!$I$5:$I$1204,$Q64))</f>
        <v/>
      </c>
      <c r="G64" s="55" t="str">
        <f>IF($Q64="","",INDEX(TRANSACTIONS_MASTER!$K$5:$K$1204,$Q64))</f>
        <v/>
      </c>
      <c r="H64" s="25" t="str">
        <f>IF($Q64="","",INDEX(TRANSACTIONS_MASTER!$L$5:$L$1204,$Q64))</f>
        <v/>
      </c>
      <c r="I64" s="56" t="str">
        <f>IF($Q64="","",INDEX(TRANSACTIONS_MASTER!$N$5:$N$1204,$Q64))</f>
        <v/>
      </c>
      <c r="J64" s="25" t="str">
        <f>IF($Q64="","",INDEX(TRANSACTIONS_MASTER!$O$5:$O$1204,$Q64))</f>
        <v/>
      </c>
      <c r="K64" s="26" t="str">
        <f>IF($Q64="","",INDEX(TRANSACTIONS_MASTER!$Q$5:$Q$1204,$Q64))</f>
        <v/>
      </c>
      <c r="L64" s="25" t="str">
        <f>IF($Q64="","",INDEX(TRANSACTIONS_MASTER!$P$5:$P$1204,$Q64))</f>
        <v/>
      </c>
      <c r="M64" s="25" t="str">
        <f>IF($Q64="","",INDEX(TRANSACTIONS_MASTER!$AA$5:$AA$1204,$Q64))</f>
        <v/>
      </c>
      <c r="N64" s="25" t="str">
        <f>IF($Q64="","",INDEX(TRANSACTIONS_MASTER!$R$5:$R$1204,$Q64))</f>
        <v/>
      </c>
      <c r="O64" s="28" t="str">
        <f>IF($Q64="","",INDEX(TRANSACTIONS_MASTER!$AB$5:$AB$1204,$Q64))</f>
        <v/>
      </c>
      <c r="P64" s="55" t="str">
        <f>IF($Q64="","",INDEX(TRANSACTIONS_MASTER!$Z$5:$Z$1204,$Q64)&amp;"")</f>
        <v/>
      </c>
      <c r="Q64" s="67" t="str">
        <f>IFERROR(MATCH($C$2&amp;"|"&amp;57,TRANSACTIONS_MASTER!$AE$5:$AE$1204,0),"")</f>
        <v/>
      </c>
      <c r="S64" s="67" t="n">
        <v>3</v>
      </c>
      <c r="T64" s="55" t="str">
        <f>IF(CARDS!$A7="","",CARDS!$A7)</f>
        <v>TCB-B</v>
      </c>
      <c r="U64" s="55" t="str">
        <f>IF($T64="","",CARDS!$B7&amp;" "&amp;CARDS!$C7)</f>
        <v>Techcombank Cashback Demo B</v>
      </c>
      <c r="V64" s="25">
        <f>IF($T64="","",SUMIFS(TRANSACTIONS_MASTER!$L$5:$L$1204,TRANSACTIONS_MASTER!$D$5:$D$1204,$T64,TRANSACTIONS_MASTER!$C$5:$C$1204,$C$2,TRANSACTIONS_MASTER!$U$5:$U$1204,"&lt;&gt;Cancelled"))</f>
        <v>0</v>
      </c>
      <c r="W64" s="26">
        <f>IF($T64="","",SUMIFS(TRANSACTIONS_MASTER!$Q$5:$Q$1204,TRANSACTIONS_MASTER!$D$5:$D$1204,$T64,TRANSACTIONS_MASTER!$C$5:$C$1204,$C$2))</f>
        <v>0</v>
      </c>
      <c r="X64" s="25">
        <f>IF($T64="","",IFERROR(IF(ISNUMBER(INDEX(CASHBACK_RULES!$K$5:$K$304,MATCH($T64,CASHBACK_RULES!$B$5:$B$304,0))),INDEX(CASHBACK_RULES!$K$5:$K$304,MATCH($T64,CASHBACK_RULES!$B$5:$B$304,0)),"∞"),"—"))</f>
        <v>2000000</v>
      </c>
      <c r="Y64" s="25">
        <f>IF($T64="","",IF($X64="—","—",IF(COUNTIFS($T$8:$T$57,$T64,$Z$8:$Z$57,"∞")&gt;0,IF(ISNUMBER($X64),MAX(0,$X64-$W64),"∞"),IF(ISNUMBER($X64),MAX(0,MIN($X64-$W64,SUMIFS($Z$8:$Z$57,$T$8:$T$57,$T64))),SUMIFS($Z$8:$Z$57,$T$8:$T$57,$T64)))))</f>
        <v>900000</v>
      </c>
      <c r="Z64" s="27">
        <f>IF($T64="","",IF(ISNUMBER($X64),IF($X64=0,0,$W64/$X64),IF(ISNUMBER($Y64),IF($W64+$Y64=0,0,$W64/($W64+$Y64)),"")))</f>
        <v>0</v>
      </c>
      <c r="AA64" s="29">
        <f>IF($T64="","",COUNTIFS(TRANSACTIONS_MASTER!$D$5:$D$1204,$T64,TRANSACTIONS_MASTER!$C$5:$C$1204,$C$2,TRANSACTIONS_MASTER!$U$5:$U$1204,"&lt;&gt;Cancelled"))</f>
        <v>0</v>
      </c>
    </row>
    <row r="65">
      <c r="A65" s="81" t="str">
        <f>IF($Q65="","",58)</f>
        <v/>
      </c>
      <c r="B65" s="57" t="str">
        <f>IF($Q65="","",INDEX(TRANSACTIONS_MASTER!$B$5:$B$1204,$Q65))</f>
        <v/>
      </c>
      <c r="C65" s="55" t="str">
        <f>IF($Q65="","",INDEX(TRANSACTIONS_MASTER!$F$5:$F$1204,$Q65))</f>
        <v/>
      </c>
      <c r="D65" s="55" t="str">
        <f>IF($Q65="","",INDEX(TRANSACTIONS_MASTER!$E$5:$E$1204,$Q65))</f>
        <v/>
      </c>
      <c r="E65" s="55" t="str">
        <f>IF($Q65="","",INDEX(TRANSACTIONS_MASTER!$G$5:$G$1204,$Q65)&amp;"")</f>
        <v/>
      </c>
      <c r="F65" s="29" t="str">
        <f>IF($Q65="","",INDEX(TRANSACTIONS_MASTER!$I$5:$I$1204,$Q65))</f>
        <v/>
      </c>
      <c r="G65" s="55" t="str">
        <f>IF($Q65="","",INDEX(TRANSACTIONS_MASTER!$K$5:$K$1204,$Q65))</f>
        <v/>
      </c>
      <c r="H65" s="25" t="str">
        <f>IF($Q65="","",INDEX(TRANSACTIONS_MASTER!$L$5:$L$1204,$Q65))</f>
        <v/>
      </c>
      <c r="I65" s="56" t="str">
        <f>IF($Q65="","",INDEX(TRANSACTIONS_MASTER!$N$5:$N$1204,$Q65))</f>
        <v/>
      </c>
      <c r="J65" s="25" t="str">
        <f>IF($Q65="","",INDEX(TRANSACTIONS_MASTER!$O$5:$O$1204,$Q65))</f>
        <v/>
      </c>
      <c r="K65" s="26" t="str">
        <f>IF($Q65="","",INDEX(TRANSACTIONS_MASTER!$Q$5:$Q$1204,$Q65))</f>
        <v/>
      </c>
      <c r="L65" s="25" t="str">
        <f>IF($Q65="","",INDEX(TRANSACTIONS_MASTER!$P$5:$P$1204,$Q65))</f>
        <v/>
      </c>
      <c r="M65" s="25" t="str">
        <f>IF($Q65="","",INDEX(TRANSACTIONS_MASTER!$AA$5:$AA$1204,$Q65))</f>
        <v/>
      </c>
      <c r="N65" s="25" t="str">
        <f>IF($Q65="","",INDEX(TRANSACTIONS_MASTER!$R$5:$R$1204,$Q65))</f>
        <v/>
      </c>
      <c r="O65" s="28" t="str">
        <f>IF($Q65="","",INDEX(TRANSACTIONS_MASTER!$AB$5:$AB$1204,$Q65))</f>
        <v/>
      </c>
      <c r="P65" s="55" t="str">
        <f>IF($Q65="","",INDEX(TRANSACTIONS_MASTER!$Z$5:$Z$1204,$Q65)&amp;"")</f>
        <v/>
      </c>
      <c r="Q65" s="67" t="str">
        <f>IFERROR(MATCH($C$2&amp;"|"&amp;58,TRANSACTIONS_MASTER!$AE$5:$AE$1204,0),"")</f>
        <v/>
      </c>
      <c r="S65" s="67" t="n">
        <v>4</v>
      </c>
      <c r="T65" s="55" t="str">
        <f>IF(CARDS!$A8="","",CARDS!$A8)</f>
        <v>UOB-C</v>
      </c>
      <c r="U65" s="55" t="str">
        <f>IF($T65="","",CARDS!$B8&amp;" "&amp;CARDS!$C8)</f>
        <v>UOB Cashback Demo C</v>
      </c>
      <c r="V65" s="25">
        <f>IF($T65="","",SUMIFS(TRANSACTIONS_MASTER!$L$5:$L$1204,TRANSACTIONS_MASTER!$D$5:$D$1204,$T65,TRANSACTIONS_MASTER!$C$5:$C$1204,$C$2,TRANSACTIONS_MASTER!$U$5:$U$1204,"&lt;&gt;Cancelled"))</f>
        <v>0</v>
      </c>
      <c r="W65" s="26">
        <f>IF($T65="","",SUMIFS(TRANSACTIONS_MASTER!$Q$5:$Q$1204,TRANSACTIONS_MASTER!$D$5:$D$1204,$T65,TRANSACTIONS_MASTER!$C$5:$C$1204,$C$2))</f>
        <v>0</v>
      </c>
      <c r="X65" s="25" t="str">
        <f>IF($T65="","",IFERROR(IF(ISNUMBER(INDEX(CASHBACK_RULES!$K$5:$K$304,MATCH($T65,CASHBACK_RULES!$B$5:$B$304,0))),INDEX(CASHBACK_RULES!$K$5:$K$304,MATCH($T65,CASHBACK_RULES!$B$5:$B$304,0)),"∞"),"—"))</f>
        <v>∞</v>
      </c>
      <c r="Y65" s="25">
        <f>IF($T65="","",IF($X65="—","—",IF(COUNTIFS($T$8:$T$57,$T65,$Z$8:$Z$57,"∞")&gt;0,IF(ISNUMBER($X65),MAX(0,$X65-$W65),"∞"),IF(ISNUMBER($X65),MAX(0,MIN($X65-$W65,SUMIFS($Z$8:$Z$57,$T$8:$T$57,$T65))),SUMIFS($Z$8:$Z$57,$T$8:$T$57,$T65)))))</f>
        <v>1000000</v>
      </c>
      <c r="Z65" s="27">
        <f>IF($T65="","",IF(ISNUMBER($X65),IF($X65=0,0,$W65/$X65),IF(ISNUMBER($Y65),IF($W65+$Y65=0,0,$W65/($W65+$Y65)),"")))</f>
        <v>0</v>
      </c>
      <c r="AA65" s="29">
        <f>IF($T65="","",COUNTIFS(TRANSACTIONS_MASTER!$D$5:$D$1204,$T65,TRANSACTIONS_MASTER!$C$5:$C$1204,$C$2,TRANSACTIONS_MASTER!$U$5:$U$1204,"&lt;&gt;Cancelled"))</f>
        <v>0</v>
      </c>
    </row>
    <row r="66">
      <c r="A66" s="81" t="str">
        <f>IF($Q66="","",59)</f>
        <v/>
      </c>
      <c r="B66" s="57" t="str">
        <f>IF($Q66="","",INDEX(TRANSACTIONS_MASTER!$B$5:$B$1204,$Q66))</f>
        <v/>
      </c>
      <c r="C66" s="55" t="str">
        <f>IF($Q66="","",INDEX(TRANSACTIONS_MASTER!$F$5:$F$1204,$Q66))</f>
        <v/>
      </c>
      <c r="D66" s="55" t="str">
        <f>IF($Q66="","",INDEX(TRANSACTIONS_MASTER!$E$5:$E$1204,$Q66))</f>
        <v/>
      </c>
      <c r="E66" s="55" t="str">
        <f>IF($Q66="","",INDEX(TRANSACTIONS_MASTER!$G$5:$G$1204,$Q66)&amp;"")</f>
        <v/>
      </c>
      <c r="F66" s="29" t="str">
        <f>IF($Q66="","",INDEX(TRANSACTIONS_MASTER!$I$5:$I$1204,$Q66))</f>
        <v/>
      </c>
      <c r="G66" s="55" t="str">
        <f>IF($Q66="","",INDEX(TRANSACTIONS_MASTER!$K$5:$K$1204,$Q66))</f>
        <v/>
      </c>
      <c r="H66" s="25" t="str">
        <f>IF($Q66="","",INDEX(TRANSACTIONS_MASTER!$L$5:$L$1204,$Q66))</f>
        <v/>
      </c>
      <c r="I66" s="56" t="str">
        <f>IF($Q66="","",INDEX(TRANSACTIONS_MASTER!$N$5:$N$1204,$Q66))</f>
        <v/>
      </c>
      <c r="J66" s="25" t="str">
        <f>IF($Q66="","",INDEX(TRANSACTIONS_MASTER!$O$5:$O$1204,$Q66))</f>
        <v/>
      </c>
      <c r="K66" s="26" t="str">
        <f>IF($Q66="","",INDEX(TRANSACTIONS_MASTER!$Q$5:$Q$1204,$Q66))</f>
        <v/>
      </c>
      <c r="L66" s="25" t="str">
        <f>IF($Q66="","",INDEX(TRANSACTIONS_MASTER!$P$5:$P$1204,$Q66))</f>
        <v/>
      </c>
      <c r="M66" s="25" t="str">
        <f>IF($Q66="","",INDEX(TRANSACTIONS_MASTER!$AA$5:$AA$1204,$Q66))</f>
        <v/>
      </c>
      <c r="N66" s="25" t="str">
        <f>IF($Q66="","",INDEX(TRANSACTIONS_MASTER!$R$5:$R$1204,$Q66))</f>
        <v/>
      </c>
      <c r="O66" s="28" t="str">
        <f>IF($Q66="","",INDEX(TRANSACTIONS_MASTER!$AB$5:$AB$1204,$Q66))</f>
        <v/>
      </c>
      <c r="P66" s="55" t="str">
        <f>IF($Q66="","",INDEX(TRANSACTIONS_MASTER!$Z$5:$Z$1204,$Q66)&amp;"")</f>
        <v/>
      </c>
      <c r="Q66" s="67" t="str">
        <f>IFERROR(MATCH($C$2&amp;"|"&amp;59,TRANSACTIONS_MASTER!$AE$5:$AE$1204,0),"")</f>
        <v/>
      </c>
      <c r="S66" s="67" t="n">
        <v>5</v>
      </c>
      <c r="T66" s="55" t="str">
        <f>IF(CARDS!$A9="","",CARDS!$A9)</f>
        <v>MB-D</v>
      </c>
      <c r="U66" s="55" t="str">
        <f>IF($T66="","",CARDS!$B9&amp;" "&amp;CARDS!$C9)</f>
        <v>MB Cashback Demo D</v>
      </c>
      <c r="V66" s="25">
        <f>IF($T66="","",SUMIFS(TRANSACTIONS_MASTER!$L$5:$L$1204,TRANSACTIONS_MASTER!$D$5:$D$1204,$T66,TRANSACTIONS_MASTER!$C$5:$C$1204,$C$2,TRANSACTIONS_MASTER!$U$5:$U$1204,"&lt;&gt;Cancelled"))</f>
        <v>0</v>
      </c>
      <c r="W66" s="26">
        <f>IF($T66="","",SUMIFS(TRANSACTIONS_MASTER!$Q$5:$Q$1204,TRANSACTIONS_MASTER!$D$5:$D$1204,$T66,TRANSACTIONS_MASTER!$C$5:$C$1204,$C$2))</f>
        <v>0</v>
      </c>
      <c r="X66" s="25">
        <f>IF($T66="","",IFERROR(IF(ISNUMBER(INDEX(CASHBACK_RULES!$K$5:$K$304,MATCH($T66,CASHBACK_RULES!$B$5:$B$304,0))),INDEX(CASHBACK_RULES!$K$5:$K$304,MATCH($T66,CASHBACK_RULES!$B$5:$B$304,0)),"∞"),"—"))</f>
        <v>600000</v>
      </c>
      <c r="Y66" s="25">
        <f>IF($T66="","",IF($X66="—","—",IF(COUNTIFS($T$8:$T$57,$T66,$Z$8:$Z$57,"∞")&gt;0,IF(ISNUMBER($X66),MAX(0,$X66-$W66),"∞"),IF(ISNUMBER($X66),MAX(0,MIN($X66-$W66,SUMIFS($Z$8:$Z$57,$T$8:$T$57,$T66))),SUMIFS($Z$8:$Z$57,$T$8:$T$57,$T66)))))</f>
        <v>600000</v>
      </c>
      <c r="Z66" s="27">
        <f>IF($T66="","",IF(ISNUMBER($X66),IF($X66=0,0,$W66/$X66),IF(ISNUMBER($Y66),IF($W66+$Y66=0,0,$W66/($W66+$Y66)),"")))</f>
        <v>0</v>
      </c>
      <c r="AA66" s="29">
        <f>IF($T66="","",COUNTIFS(TRANSACTIONS_MASTER!$D$5:$D$1204,$T66,TRANSACTIONS_MASTER!$C$5:$C$1204,$C$2,TRANSACTIONS_MASTER!$U$5:$U$1204,"&lt;&gt;Cancelled"))</f>
        <v>0</v>
      </c>
    </row>
    <row r="67">
      <c r="A67" s="81" t="str">
        <f>IF($Q67="","",60)</f>
        <v/>
      </c>
      <c r="B67" s="57" t="str">
        <f>IF($Q67="","",INDEX(TRANSACTIONS_MASTER!$B$5:$B$1204,$Q67))</f>
        <v/>
      </c>
      <c r="C67" s="55" t="str">
        <f>IF($Q67="","",INDEX(TRANSACTIONS_MASTER!$F$5:$F$1204,$Q67))</f>
        <v/>
      </c>
      <c r="D67" s="55" t="str">
        <f>IF($Q67="","",INDEX(TRANSACTIONS_MASTER!$E$5:$E$1204,$Q67))</f>
        <v/>
      </c>
      <c r="E67" s="55" t="str">
        <f>IF($Q67="","",INDEX(TRANSACTIONS_MASTER!$G$5:$G$1204,$Q67)&amp;"")</f>
        <v/>
      </c>
      <c r="F67" s="29" t="str">
        <f>IF($Q67="","",INDEX(TRANSACTIONS_MASTER!$I$5:$I$1204,$Q67))</f>
        <v/>
      </c>
      <c r="G67" s="55" t="str">
        <f>IF($Q67="","",INDEX(TRANSACTIONS_MASTER!$K$5:$K$1204,$Q67))</f>
        <v/>
      </c>
      <c r="H67" s="25" t="str">
        <f>IF($Q67="","",INDEX(TRANSACTIONS_MASTER!$L$5:$L$1204,$Q67))</f>
        <v/>
      </c>
      <c r="I67" s="56" t="str">
        <f>IF($Q67="","",INDEX(TRANSACTIONS_MASTER!$N$5:$N$1204,$Q67))</f>
        <v/>
      </c>
      <c r="J67" s="25" t="str">
        <f>IF($Q67="","",INDEX(TRANSACTIONS_MASTER!$O$5:$O$1204,$Q67))</f>
        <v/>
      </c>
      <c r="K67" s="26" t="str">
        <f>IF($Q67="","",INDEX(TRANSACTIONS_MASTER!$Q$5:$Q$1204,$Q67))</f>
        <v/>
      </c>
      <c r="L67" s="25" t="str">
        <f>IF($Q67="","",INDEX(TRANSACTIONS_MASTER!$P$5:$P$1204,$Q67))</f>
        <v/>
      </c>
      <c r="M67" s="25" t="str">
        <f>IF($Q67="","",INDEX(TRANSACTIONS_MASTER!$AA$5:$AA$1204,$Q67))</f>
        <v/>
      </c>
      <c r="N67" s="25" t="str">
        <f>IF($Q67="","",INDEX(TRANSACTIONS_MASTER!$R$5:$R$1204,$Q67))</f>
        <v/>
      </c>
      <c r="O67" s="28" t="str">
        <f>IF($Q67="","",INDEX(TRANSACTIONS_MASTER!$AB$5:$AB$1204,$Q67))</f>
        <v/>
      </c>
      <c r="P67" s="55" t="str">
        <f>IF($Q67="","",INDEX(TRANSACTIONS_MASTER!$Z$5:$Z$1204,$Q67)&amp;"")</f>
        <v/>
      </c>
      <c r="Q67" s="67" t="str">
        <f>IFERROR(MATCH($C$2&amp;"|"&amp;60,TRANSACTIONS_MASTER!$AE$5:$AE$1204,0),"")</f>
        <v/>
      </c>
      <c r="S67" s="67" t="n">
        <v>6</v>
      </c>
      <c r="T67" s="55" t="str">
        <f>IF(CARDS!$A10="","",CARDS!$A10)</f>
        <v>ACB-E</v>
      </c>
      <c r="U67" s="55" t="str">
        <f>IF($T67="","",CARDS!$B10&amp;" "&amp;CARDS!$C10)</f>
        <v>ACB Demo E (không cashback)</v>
      </c>
      <c r="V67" s="25">
        <f>IF($T67="","",SUMIFS(TRANSACTIONS_MASTER!$L$5:$L$1204,TRANSACTIONS_MASTER!$D$5:$D$1204,$T67,TRANSACTIONS_MASTER!$C$5:$C$1204,$C$2,TRANSACTIONS_MASTER!$U$5:$U$1204,"&lt;&gt;Cancelled"))</f>
        <v>0</v>
      </c>
      <c r="W67" s="26">
        <f>IF($T67="","",SUMIFS(TRANSACTIONS_MASTER!$Q$5:$Q$1204,TRANSACTIONS_MASTER!$D$5:$D$1204,$T67,TRANSACTIONS_MASTER!$C$5:$C$1204,$C$2))</f>
        <v>0</v>
      </c>
      <c r="X67" s="25" t="str">
        <f>IF($T67="","",IFERROR(IF(ISNUMBER(INDEX(CASHBACK_RULES!$K$5:$K$304,MATCH($T67,CASHBACK_RULES!$B$5:$B$304,0))),INDEX(CASHBACK_RULES!$K$5:$K$304,MATCH($T67,CASHBACK_RULES!$B$5:$B$304,0)),"∞"),"—"))</f>
        <v>∞</v>
      </c>
      <c r="Y67" s="25">
        <f>IF($T67="","",IF($X67="—","—",IF(COUNTIFS($T$8:$T$57,$T67,$Z$8:$Z$57,"∞")&gt;0,IF(ISNUMBER($X67),MAX(0,$X67-$W67),"∞"),IF(ISNUMBER($X67),MAX(0,MIN($X67-$W67,SUMIFS($Z$8:$Z$57,$T$8:$T$57,$T67))),SUMIFS($Z$8:$Z$57,$T$8:$T$57,$T67)))))</f>
        <v>0</v>
      </c>
      <c r="Z67" s="27">
        <f>IF($T67="","",IF(ISNUMBER($X67),IF($X67=0,0,$W67/$X67),IF(ISNUMBER($Y67),IF($W67+$Y67=0,0,$W67/($W67+$Y67)),"")))</f>
        <v>0</v>
      </c>
      <c r="AA67" s="29">
        <f>IF($T67="","",COUNTIFS(TRANSACTIONS_MASTER!$D$5:$D$1204,$T67,TRANSACTIONS_MASTER!$C$5:$C$1204,$C$2,TRANSACTIONS_MASTER!$U$5:$U$1204,"&lt;&gt;Cancelled"))</f>
        <v>0</v>
      </c>
    </row>
    <row r="68">
      <c r="A68" s="81" t="str">
        <f>IF($Q68="","",61)</f>
        <v/>
      </c>
      <c r="B68" s="57" t="str">
        <f>IF($Q68="","",INDEX(TRANSACTIONS_MASTER!$B$5:$B$1204,$Q68))</f>
        <v/>
      </c>
      <c r="C68" s="55" t="str">
        <f>IF($Q68="","",INDEX(TRANSACTIONS_MASTER!$F$5:$F$1204,$Q68))</f>
        <v/>
      </c>
      <c r="D68" s="55" t="str">
        <f>IF($Q68="","",INDEX(TRANSACTIONS_MASTER!$E$5:$E$1204,$Q68))</f>
        <v/>
      </c>
      <c r="E68" s="55" t="str">
        <f>IF($Q68="","",INDEX(TRANSACTIONS_MASTER!$G$5:$G$1204,$Q68)&amp;"")</f>
        <v/>
      </c>
      <c r="F68" s="29" t="str">
        <f>IF($Q68="","",INDEX(TRANSACTIONS_MASTER!$I$5:$I$1204,$Q68))</f>
        <v/>
      </c>
      <c r="G68" s="55" t="str">
        <f>IF($Q68="","",INDEX(TRANSACTIONS_MASTER!$K$5:$K$1204,$Q68))</f>
        <v/>
      </c>
      <c r="H68" s="25" t="str">
        <f>IF($Q68="","",INDEX(TRANSACTIONS_MASTER!$L$5:$L$1204,$Q68))</f>
        <v/>
      </c>
      <c r="I68" s="56" t="str">
        <f>IF($Q68="","",INDEX(TRANSACTIONS_MASTER!$N$5:$N$1204,$Q68))</f>
        <v/>
      </c>
      <c r="J68" s="25" t="str">
        <f>IF($Q68="","",INDEX(TRANSACTIONS_MASTER!$O$5:$O$1204,$Q68))</f>
        <v/>
      </c>
      <c r="K68" s="26" t="str">
        <f>IF($Q68="","",INDEX(TRANSACTIONS_MASTER!$Q$5:$Q$1204,$Q68))</f>
        <v/>
      </c>
      <c r="L68" s="25" t="str">
        <f>IF($Q68="","",INDEX(TRANSACTIONS_MASTER!$P$5:$P$1204,$Q68))</f>
        <v/>
      </c>
      <c r="M68" s="25" t="str">
        <f>IF($Q68="","",INDEX(TRANSACTIONS_MASTER!$AA$5:$AA$1204,$Q68))</f>
        <v/>
      </c>
      <c r="N68" s="25" t="str">
        <f>IF($Q68="","",INDEX(TRANSACTIONS_MASTER!$R$5:$R$1204,$Q68))</f>
        <v/>
      </c>
      <c r="O68" s="28" t="str">
        <f>IF($Q68="","",INDEX(TRANSACTIONS_MASTER!$AB$5:$AB$1204,$Q68))</f>
        <v/>
      </c>
      <c r="P68" s="55" t="str">
        <f>IF($Q68="","",INDEX(TRANSACTIONS_MASTER!$Z$5:$Z$1204,$Q68)&amp;"")</f>
        <v/>
      </c>
      <c r="Q68" s="67" t="str">
        <f>IFERROR(MATCH($C$2&amp;"|"&amp;61,TRANSACTIONS_MASTER!$AE$5:$AE$1204,0),"")</f>
        <v/>
      </c>
      <c r="S68" s="67" t="n">
        <v>7</v>
      </c>
      <c r="T68" s="55" t="str">
        <f>IF(CARDS!$A11="","",CARDS!$A11)</f>
        <v/>
      </c>
      <c r="U68" s="55" t="str">
        <f>IF($T68="","",CARDS!$B11&amp;" "&amp;CARDS!$C11)</f>
        <v/>
      </c>
      <c r="V68" s="25" t="str">
        <f>IF($T68="","",SUMIFS(TRANSACTIONS_MASTER!$L$5:$L$1204,TRANSACTIONS_MASTER!$D$5:$D$1204,$T68,TRANSACTIONS_MASTER!$C$5:$C$1204,$C$2,TRANSACTIONS_MASTER!$U$5:$U$1204,"&lt;&gt;Cancelled"))</f>
        <v/>
      </c>
      <c r="W68" s="26" t="str">
        <f>IF($T68="","",SUMIFS(TRANSACTIONS_MASTER!$Q$5:$Q$1204,TRANSACTIONS_MASTER!$D$5:$D$1204,$T68,TRANSACTIONS_MASTER!$C$5:$C$1204,$C$2))</f>
        <v/>
      </c>
      <c r="X68" s="25" t="str">
        <f>IF($T68="","",IFERROR(IF(ISNUMBER(INDEX(CASHBACK_RULES!$K$5:$K$304,MATCH($T68,CASHBACK_RULES!$B$5:$B$304,0))),INDEX(CASHBACK_RULES!$K$5:$K$304,MATCH($T68,CASHBACK_RULES!$B$5:$B$304,0)),"∞"),"—"))</f>
        <v/>
      </c>
      <c r="Y68" s="25" t="str">
        <f>IF($T68="","",IF($X68="—","—",IF(COUNTIFS($T$8:$T$57,$T68,$Z$8:$Z$57,"∞")&gt;0,IF(ISNUMBER($X68),MAX(0,$X68-$W68),"∞"),IF(ISNUMBER($X68),MAX(0,MIN($X68-$W68,SUMIFS($Z$8:$Z$57,$T$8:$T$57,$T68))),SUMIFS($Z$8:$Z$57,$T$8:$T$57,$T68)))))</f>
        <v/>
      </c>
      <c r="Z68" s="27" t="str">
        <f>IF($T68="","",IF(ISNUMBER($X68),IF($X68=0,0,$W68/$X68),IF(ISNUMBER($Y68),IF($W68+$Y68=0,0,$W68/($W68+$Y68)),"")))</f>
        <v/>
      </c>
      <c r="AA68" s="29" t="str">
        <f>IF($T68="","",COUNTIFS(TRANSACTIONS_MASTER!$D$5:$D$1204,$T68,TRANSACTIONS_MASTER!$C$5:$C$1204,$C$2,TRANSACTIONS_MASTER!$U$5:$U$1204,"&lt;&gt;Cancelled"))</f>
        <v/>
      </c>
    </row>
    <row r="69">
      <c r="A69" s="81" t="str">
        <f>IF($Q69="","",62)</f>
        <v/>
      </c>
      <c r="B69" s="57" t="str">
        <f>IF($Q69="","",INDEX(TRANSACTIONS_MASTER!$B$5:$B$1204,$Q69))</f>
        <v/>
      </c>
      <c r="C69" s="55" t="str">
        <f>IF($Q69="","",INDEX(TRANSACTIONS_MASTER!$F$5:$F$1204,$Q69))</f>
        <v/>
      </c>
      <c r="D69" s="55" t="str">
        <f>IF($Q69="","",INDEX(TRANSACTIONS_MASTER!$E$5:$E$1204,$Q69))</f>
        <v/>
      </c>
      <c r="E69" s="55" t="str">
        <f>IF($Q69="","",INDEX(TRANSACTIONS_MASTER!$G$5:$G$1204,$Q69)&amp;"")</f>
        <v/>
      </c>
      <c r="F69" s="29" t="str">
        <f>IF($Q69="","",INDEX(TRANSACTIONS_MASTER!$I$5:$I$1204,$Q69))</f>
        <v/>
      </c>
      <c r="G69" s="55" t="str">
        <f>IF($Q69="","",INDEX(TRANSACTIONS_MASTER!$K$5:$K$1204,$Q69))</f>
        <v/>
      </c>
      <c r="H69" s="25" t="str">
        <f>IF($Q69="","",INDEX(TRANSACTIONS_MASTER!$L$5:$L$1204,$Q69))</f>
        <v/>
      </c>
      <c r="I69" s="56" t="str">
        <f>IF($Q69="","",INDEX(TRANSACTIONS_MASTER!$N$5:$N$1204,$Q69))</f>
        <v/>
      </c>
      <c r="J69" s="25" t="str">
        <f>IF($Q69="","",INDEX(TRANSACTIONS_MASTER!$O$5:$O$1204,$Q69))</f>
        <v/>
      </c>
      <c r="K69" s="26" t="str">
        <f>IF($Q69="","",INDEX(TRANSACTIONS_MASTER!$Q$5:$Q$1204,$Q69))</f>
        <v/>
      </c>
      <c r="L69" s="25" t="str">
        <f>IF($Q69="","",INDEX(TRANSACTIONS_MASTER!$P$5:$P$1204,$Q69))</f>
        <v/>
      </c>
      <c r="M69" s="25" t="str">
        <f>IF($Q69="","",INDEX(TRANSACTIONS_MASTER!$AA$5:$AA$1204,$Q69))</f>
        <v/>
      </c>
      <c r="N69" s="25" t="str">
        <f>IF($Q69="","",INDEX(TRANSACTIONS_MASTER!$R$5:$R$1204,$Q69))</f>
        <v/>
      </c>
      <c r="O69" s="28" t="str">
        <f>IF($Q69="","",INDEX(TRANSACTIONS_MASTER!$AB$5:$AB$1204,$Q69))</f>
        <v/>
      </c>
      <c r="P69" s="55" t="str">
        <f>IF($Q69="","",INDEX(TRANSACTIONS_MASTER!$Z$5:$Z$1204,$Q69)&amp;"")</f>
        <v/>
      </c>
      <c r="Q69" s="67" t="str">
        <f>IFERROR(MATCH($C$2&amp;"|"&amp;62,TRANSACTIONS_MASTER!$AE$5:$AE$1204,0),"")</f>
        <v/>
      </c>
      <c r="S69" s="67" t="n">
        <v>8</v>
      </c>
      <c r="T69" s="55" t="str">
        <f>IF(CARDS!$A12="","",CARDS!$A12)</f>
        <v/>
      </c>
      <c r="U69" s="55" t="str">
        <f>IF($T69="","",CARDS!$B12&amp;" "&amp;CARDS!$C12)</f>
        <v/>
      </c>
      <c r="V69" s="25" t="str">
        <f>IF($T69="","",SUMIFS(TRANSACTIONS_MASTER!$L$5:$L$1204,TRANSACTIONS_MASTER!$D$5:$D$1204,$T69,TRANSACTIONS_MASTER!$C$5:$C$1204,$C$2,TRANSACTIONS_MASTER!$U$5:$U$1204,"&lt;&gt;Cancelled"))</f>
        <v/>
      </c>
      <c r="W69" s="26" t="str">
        <f>IF($T69="","",SUMIFS(TRANSACTIONS_MASTER!$Q$5:$Q$1204,TRANSACTIONS_MASTER!$D$5:$D$1204,$T69,TRANSACTIONS_MASTER!$C$5:$C$1204,$C$2))</f>
        <v/>
      </c>
      <c r="X69" s="25" t="str">
        <f>IF($T69="","",IFERROR(IF(ISNUMBER(INDEX(CASHBACK_RULES!$K$5:$K$304,MATCH($T69,CASHBACK_RULES!$B$5:$B$304,0))),INDEX(CASHBACK_RULES!$K$5:$K$304,MATCH($T69,CASHBACK_RULES!$B$5:$B$304,0)),"∞"),"—"))</f>
        <v/>
      </c>
      <c r="Y69" s="25" t="str">
        <f>IF($T69="","",IF($X69="—","—",IF(COUNTIFS($T$8:$T$57,$T69,$Z$8:$Z$57,"∞")&gt;0,IF(ISNUMBER($X69),MAX(0,$X69-$W69),"∞"),IF(ISNUMBER($X69),MAX(0,MIN($X69-$W69,SUMIFS($Z$8:$Z$57,$T$8:$T$57,$T69))),SUMIFS($Z$8:$Z$57,$T$8:$T$57,$T69)))))</f>
        <v/>
      </c>
      <c r="Z69" s="27" t="str">
        <f>IF($T69="","",IF(ISNUMBER($X69),IF($X69=0,0,$W69/$X69),IF(ISNUMBER($Y69),IF($W69+$Y69=0,0,$W69/($W69+$Y69)),"")))</f>
        <v/>
      </c>
      <c r="AA69" s="29" t="str">
        <f>IF($T69="","",COUNTIFS(TRANSACTIONS_MASTER!$D$5:$D$1204,$T69,TRANSACTIONS_MASTER!$C$5:$C$1204,$C$2,TRANSACTIONS_MASTER!$U$5:$U$1204,"&lt;&gt;Cancelled"))</f>
        <v/>
      </c>
    </row>
    <row r="70">
      <c r="A70" s="81" t="str">
        <f>IF($Q70="","",63)</f>
        <v/>
      </c>
      <c r="B70" s="57" t="str">
        <f>IF($Q70="","",INDEX(TRANSACTIONS_MASTER!$B$5:$B$1204,$Q70))</f>
        <v/>
      </c>
      <c r="C70" s="55" t="str">
        <f>IF($Q70="","",INDEX(TRANSACTIONS_MASTER!$F$5:$F$1204,$Q70))</f>
        <v/>
      </c>
      <c r="D70" s="55" t="str">
        <f>IF($Q70="","",INDEX(TRANSACTIONS_MASTER!$E$5:$E$1204,$Q70))</f>
        <v/>
      </c>
      <c r="E70" s="55" t="str">
        <f>IF($Q70="","",INDEX(TRANSACTIONS_MASTER!$G$5:$G$1204,$Q70)&amp;"")</f>
        <v/>
      </c>
      <c r="F70" s="29" t="str">
        <f>IF($Q70="","",INDEX(TRANSACTIONS_MASTER!$I$5:$I$1204,$Q70))</f>
        <v/>
      </c>
      <c r="G70" s="55" t="str">
        <f>IF($Q70="","",INDEX(TRANSACTIONS_MASTER!$K$5:$K$1204,$Q70))</f>
        <v/>
      </c>
      <c r="H70" s="25" t="str">
        <f>IF($Q70="","",INDEX(TRANSACTIONS_MASTER!$L$5:$L$1204,$Q70))</f>
        <v/>
      </c>
      <c r="I70" s="56" t="str">
        <f>IF($Q70="","",INDEX(TRANSACTIONS_MASTER!$N$5:$N$1204,$Q70))</f>
        <v/>
      </c>
      <c r="J70" s="25" t="str">
        <f>IF($Q70="","",INDEX(TRANSACTIONS_MASTER!$O$5:$O$1204,$Q70))</f>
        <v/>
      </c>
      <c r="K70" s="26" t="str">
        <f>IF($Q70="","",INDEX(TRANSACTIONS_MASTER!$Q$5:$Q$1204,$Q70))</f>
        <v/>
      </c>
      <c r="L70" s="25" t="str">
        <f>IF($Q70="","",INDEX(TRANSACTIONS_MASTER!$P$5:$P$1204,$Q70))</f>
        <v/>
      </c>
      <c r="M70" s="25" t="str">
        <f>IF($Q70="","",INDEX(TRANSACTIONS_MASTER!$AA$5:$AA$1204,$Q70))</f>
        <v/>
      </c>
      <c r="N70" s="25" t="str">
        <f>IF($Q70="","",INDEX(TRANSACTIONS_MASTER!$R$5:$R$1204,$Q70))</f>
        <v/>
      </c>
      <c r="O70" s="28" t="str">
        <f>IF($Q70="","",INDEX(TRANSACTIONS_MASTER!$AB$5:$AB$1204,$Q70))</f>
        <v/>
      </c>
      <c r="P70" s="55" t="str">
        <f>IF($Q70="","",INDEX(TRANSACTIONS_MASTER!$Z$5:$Z$1204,$Q70)&amp;"")</f>
        <v/>
      </c>
      <c r="Q70" s="67" t="str">
        <f>IFERROR(MATCH($C$2&amp;"|"&amp;63,TRANSACTIONS_MASTER!$AE$5:$AE$1204,0),"")</f>
        <v/>
      </c>
      <c r="S70" s="67" t="n">
        <v>9</v>
      </c>
      <c r="T70" s="55" t="str">
        <f>IF(CARDS!$A13="","",CARDS!$A13)</f>
        <v/>
      </c>
      <c r="U70" s="55" t="str">
        <f>IF($T70="","",CARDS!$B13&amp;" "&amp;CARDS!$C13)</f>
        <v/>
      </c>
      <c r="V70" s="25" t="str">
        <f>IF($T70="","",SUMIFS(TRANSACTIONS_MASTER!$L$5:$L$1204,TRANSACTIONS_MASTER!$D$5:$D$1204,$T70,TRANSACTIONS_MASTER!$C$5:$C$1204,$C$2,TRANSACTIONS_MASTER!$U$5:$U$1204,"&lt;&gt;Cancelled"))</f>
        <v/>
      </c>
      <c r="W70" s="26" t="str">
        <f>IF($T70="","",SUMIFS(TRANSACTIONS_MASTER!$Q$5:$Q$1204,TRANSACTIONS_MASTER!$D$5:$D$1204,$T70,TRANSACTIONS_MASTER!$C$5:$C$1204,$C$2))</f>
        <v/>
      </c>
      <c r="X70" s="25" t="str">
        <f>IF($T70="","",IFERROR(IF(ISNUMBER(INDEX(CASHBACK_RULES!$K$5:$K$304,MATCH($T70,CASHBACK_RULES!$B$5:$B$304,0))),INDEX(CASHBACK_RULES!$K$5:$K$304,MATCH($T70,CASHBACK_RULES!$B$5:$B$304,0)),"∞"),"—"))</f>
        <v/>
      </c>
      <c r="Y70" s="25" t="str">
        <f>IF($T70="","",IF($X70="—","—",IF(COUNTIFS($T$8:$T$57,$T70,$Z$8:$Z$57,"∞")&gt;0,IF(ISNUMBER($X70),MAX(0,$X70-$W70),"∞"),IF(ISNUMBER($X70),MAX(0,MIN($X70-$W70,SUMIFS($Z$8:$Z$57,$T$8:$T$57,$T70))),SUMIFS($Z$8:$Z$57,$T$8:$T$57,$T70)))))</f>
        <v/>
      </c>
      <c r="Z70" s="27" t="str">
        <f>IF($T70="","",IF(ISNUMBER($X70),IF($X70=0,0,$W70/$X70),IF(ISNUMBER($Y70),IF($W70+$Y70=0,0,$W70/($W70+$Y70)),"")))</f>
        <v/>
      </c>
      <c r="AA70" s="29" t="str">
        <f>IF($T70="","",COUNTIFS(TRANSACTIONS_MASTER!$D$5:$D$1204,$T70,TRANSACTIONS_MASTER!$C$5:$C$1204,$C$2,TRANSACTIONS_MASTER!$U$5:$U$1204,"&lt;&gt;Cancelled"))</f>
        <v/>
      </c>
    </row>
    <row r="71">
      <c r="A71" s="81" t="str">
        <f>IF($Q71="","",64)</f>
        <v/>
      </c>
      <c r="B71" s="57" t="str">
        <f>IF($Q71="","",INDEX(TRANSACTIONS_MASTER!$B$5:$B$1204,$Q71))</f>
        <v/>
      </c>
      <c r="C71" s="55" t="str">
        <f>IF($Q71="","",INDEX(TRANSACTIONS_MASTER!$F$5:$F$1204,$Q71))</f>
        <v/>
      </c>
      <c r="D71" s="55" t="str">
        <f>IF($Q71="","",INDEX(TRANSACTIONS_MASTER!$E$5:$E$1204,$Q71))</f>
        <v/>
      </c>
      <c r="E71" s="55" t="str">
        <f>IF($Q71="","",INDEX(TRANSACTIONS_MASTER!$G$5:$G$1204,$Q71)&amp;"")</f>
        <v/>
      </c>
      <c r="F71" s="29" t="str">
        <f>IF($Q71="","",INDEX(TRANSACTIONS_MASTER!$I$5:$I$1204,$Q71))</f>
        <v/>
      </c>
      <c r="G71" s="55" t="str">
        <f>IF($Q71="","",INDEX(TRANSACTIONS_MASTER!$K$5:$K$1204,$Q71))</f>
        <v/>
      </c>
      <c r="H71" s="25" t="str">
        <f>IF($Q71="","",INDEX(TRANSACTIONS_MASTER!$L$5:$L$1204,$Q71))</f>
        <v/>
      </c>
      <c r="I71" s="56" t="str">
        <f>IF($Q71="","",INDEX(TRANSACTIONS_MASTER!$N$5:$N$1204,$Q71))</f>
        <v/>
      </c>
      <c r="J71" s="25" t="str">
        <f>IF($Q71="","",INDEX(TRANSACTIONS_MASTER!$O$5:$O$1204,$Q71))</f>
        <v/>
      </c>
      <c r="K71" s="26" t="str">
        <f>IF($Q71="","",INDEX(TRANSACTIONS_MASTER!$Q$5:$Q$1204,$Q71))</f>
        <v/>
      </c>
      <c r="L71" s="25" t="str">
        <f>IF($Q71="","",INDEX(TRANSACTIONS_MASTER!$P$5:$P$1204,$Q71))</f>
        <v/>
      </c>
      <c r="M71" s="25" t="str">
        <f>IF($Q71="","",INDEX(TRANSACTIONS_MASTER!$AA$5:$AA$1204,$Q71))</f>
        <v/>
      </c>
      <c r="N71" s="25" t="str">
        <f>IF($Q71="","",INDEX(TRANSACTIONS_MASTER!$R$5:$R$1204,$Q71))</f>
        <v/>
      </c>
      <c r="O71" s="28" t="str">
        <f>IF($Q71="","",INDEX(TRANSACTIONS_MASTER!$AB$5:$AB$1204,$Q71))</f>
        <v/>
      </c>
      <c r="P71" s="55" t="str">
        <f>IF($Q71="","",INDEX(TRANSACTIONS_MASTER!$Z$5:$Z$1204,$Q71)&amp;"")</f>
        <v/>
      </c>
      <c r="Q71" s="67" t="str">
        <f>IFERROR(MATCH($C$2&amp;"|"&amp;64,TRANSACTIONS_MASTER!$AE$5:$AE$1204,0),"")</f>
        <v/>
      </c>
      <c r="S71" s="67" t="n">
        <v>10</v>
      </c>
      <c r="T71" s="55" t="str">
        <f>IF(CARDS!$A14="","",CARDS!$A14)</f>
        <v/>
      </c>
      <c r="U71" s="55" t="str">
        <f>IF($T71="","",CARDS!$B14&amp;" "&amp;CARDS!$C14)</f>
        <v/>
      </c>
      <c r="V71" s="25" t="str">
        <f>IF($T71="","",SUMIFS(TRANSACTIONS_MASTER!$L$5:$L$1204,TRANSACTIONS_MASTER!$D$5:$D$1204,$T71,TRANSACTIONS_MASTER!$C$5:$C$1204,$C$2,TRANSACTIONS_MASTER!$U$5:$U$1204,"&lt;&gt;Cancelled"))</f>
        <v/>
      </c>
      <c r="W71" s="26" t="str">
        <f>IF($T71="","",SUMIFS(TRANSACTIONS_MASTER!$Q$5:$Q$1204,TRANSACTIONS_MASTER!$D$5:$D$1204,$T71,TRANSACTIONS_MASTER!$C$5:$C$1204,$C$2))</f>
        <v/>
      </c>
      <c r="X71" s="25" t="str">
        <f>IF($T71="","",IFERROR(IF(ISNUMBER(INDEX(CASHBACK_RULES!$K$5:$K$304,MATCH($T71,CASHBACK_RULES!$B$5:$B$304,0))),INDEX(CASHBACK_RULES!$K$5:$K$304,MATCH($T71,CASHBACK_RULES!$B$5:$B$304,0)),"∞"),"—"))</f>
        <v/>
      </c>
      <c r="Y71" s="25" t="str">
        <f>IF($T71="","",IF($X71="—","—",IF(COUNTIFS($T$8:$T$57,$T71,$Z$8:$Z$57,"∞")&gt;0,IF(ISNUMBER($X71),MAX(0,$X71-$W71),"∞"),IF(ISNUMBER($X71),MAX(0,MIN($X71-$W71,SUMIFS($Z$8:$Z$57,$T$8:$T$57,$T71))),SUMIFS($Z$8:$Z$57,$T$8:$T$57,$T71)))))</f>
        <v/>
      </c>
      <c r="Z71" s="27" t="str">
        <f>IF($T71="","",IF(ISNUMBER($X71),IF($X71=0,0,$W71/$X71),IF(ISNUMBER($Y71),IF($W71+$Y71=0,0,$W71/($W71+$Y71)),"")))</f>
        <v/>
      </c>
      <c r="AA71" s="29" t="str">
        <f>IF($T71="","",COUNTIFS(TRANSACTIONS_MASTER!$D$5:$D$1204,$T71,TRANSACTIONS_MASTER!$C$5:$C$1204,$C$2,TRANSACTIONS_MASTER!$U$5:$U$1204,"&lt;&gt;Cancelled"))</f>
        <v/>
      </c>
    </row>
    <row r="72">
      <c r="A72" s="81" t="str">
        <f>IF($Q72="","",65)</f>
        <v/>
      </c>
      <c r="B72" s="57" t="str">
        <f>IF($Q72="","",INDEX(TRANSACTIONS_MASTER!$B$5:$B$1204,$Q72))</f>
        <v/>
      </c>
      <c r="C72" s="55" t="str">
        <f>IF($Q72="","",INDEX(TRANSACTIONS_MASTER!$F$5:$F$1204,$Q72))</f>
        <v/>
      </c>
      <c r="D72" s="55" t="str">
        <f>IF($Q72="","",INDEX(TRANSACTIONS_MASTER!$E$5:$E$1204,$Q72))</f>
        <v/>
      </c>
      <c r="E72" s="55" t="str">
        <f>IF($Q72="","",INDEX(TRANSACTIONS_MASTER!$G$5:$G$1204,$Q72)&amp;"")</f>
        <v/>
      </c>
      <c r="F72" s="29" t="str">
        <f>IF($Q72="","",INDEX(TRANSACTIONS_MASTER!$I$5:$I$1204,$Q72))</f>
        <v/>
      </c>
      <c r="G72" s="55" t="str">
        <f>IF($Q72="","",INDEX(TRANSACTIONS_MASTER!$K$5:$K$1204,$Q72))</f>
        <v/>
      </c>
      <c r="H72" s="25" t="str">
        <f>IF($Q72="","",INDEX(TRANSACTIONS_MASTER!$L$5:$L$1204,$Q72))</f>
        <v/>
      </c>
      <c r="I72" s="56" t="str">
        <f>IF($Q72="","",INDEX(TRANSACTIONS_MASTER!$N$5:$N$1204,$Q72))</f>
        <v/>
      </c>
      <c r="J72" s="25" t="str">
        <f>IF($Q72="","",INDEX(TRANSACTIONS_MASTER!$O$5:$O$1204,$Q72))</f>
        <v/>
      </c>
      <c r="K72" s="26" t="str">
        <f>IF($Q72="","",INDEX(TRANSACTIONS_MASTER!$Q$5:$Q$1204,$Q72))</f>
        <v/>
      </c>
      <c r="L72" s="25" t="str">
        <f>IF($Q72="","",INDEX(TRANSACTIONS_MASTER!$P$5:$P$1204,$Q72))</f>
        <v/>
      </c>
      <c r="M72" s="25" t="str">
        <f>IF($Q72="","",INDEX(TRANSACTIONS_MASTER!$AA$5:$AA$1204,$Q72))</f>
        <v/>
      </c>
      <c r="N72" s="25" t="str">
        <f>IF($Q72="","",INDEX(TRANSACTIONS_MASTER!$R$5:$R$1204,$Q72))</f>
        <v/>
      </c>
      <c r="O72" s="28" t="str">
        <f>IF($Q72="","",INDEX(TRANSACTIONS_MASTER!$AB$5:$AB$1204,$Q72))</f>
        <v/>
      </c>
      <c r="P72" s="55" t="str">
        <f>IF($Q72="","",INDEX(TRANSACTIONS_MASTER!$Z$5:$Z$1204,$Q72)&amp;"")</f>
        <v/>
      </c>
      <c r="Q72" s="67" t="str">
        <f>IFERROR(MATCH($C$2&amp;"|"&amp;65,TRANSACTIONS_MASTER!$AE$5:$AE$1204,0),"")</f>
        <v/>
      </c>
      <c r="S72" s="67" t="n">
        <v>11</v>
      </c>
      <c r="T72" s="55" t="str">
        <f>IF(CARDS!$A15="","",CARDS!$A15)</f>
        <v/>
      </c>
      <c r="U72" s="55" t="str">
        <f>IF($T72="","",CARDS!$B15&amp;" "&amp;CARDS!$C15)</f>
        <v/>
      </c>
      <c r="V72" s="25" t="str">
        <f>IF($T72="","",SUMIFS(TRANSACTIONS_MASTER!$L$5:$L$1204,TRANSACTIONS_MASTER!$D$5:$D$1204,$T72,TRANSACTIONS_MASTER!$C$5:$C$1204,$C$2,TRANSACTIONS_MASTER!$U$5:$U$1204,"&lt;&gt;Cancelled"))</f>
        <v/>
      </c>
      <c r="W72" s="26" t="str">
        <f>IF($T72="","",SUMIFS(TRANSACTIONS_MASTER!$Q$5:$Q$1204,TRANSACTIONS_MASTER!$D$5:$D$1204,$T72,TRANSACTIONS_MASTER!$C$5:$C$1204,$C$2))</f>
        <v/>
      </c>
      <c r="X72" s="25" t="str">
        <f>IF($T72="","",IFERROR(IF(ISNUMBER(INDEX(CASHBACK_RULES!$K$5:$K$304,MATCH($T72,CASHBACK_RULES!$B$5:$B$304,0))),INDEX(CASHBACK_RULES!$K$5:$K$304,MATCH($T72,CASHBACK_RULES!$B$5:$B$304,0)),"∞"),"—"))</f>
        <v/>
      </c>
      <c r="Y72" s="25" t="str">
        <f>IF($T72="","",IF($X72="—","—",IF(COUNTIFS($T$8:$T$57,$T72,$Z$8:$Z$57,"∞")&gt;0,IF(ISNUMBER($X72),MAX(0,$X72-$W72),"∞"),IF(ISNUMBER($X72),MAX(0,MIN($X72-$W72,SUMIFS($Z$8:$Z$57,$T$8:$T$57,$T72))),SUMIFS($Z$8:$Z$57,$T$8:$T$57,$T72)))))</f>
        <v/>
      </c>
      <c r="Z72" s="27" t="str">
        <f>IF($T72="","",IF(ISNUMBER($X72),IF($X72=0,0,$W72/$X72),IF(ISNUMBER($Y72),IF($W72+$Y72=0,0,$W72/($W72+$Y72)),"")))</f>
        <v/>
      </c>
      <c r="AA72" s="29" t="str">
        <f>IF($T72="","",COUNTIFS(TRANSACTIONS_MASTER!$D$5:$D$1204,$T72,TRANSACTIONS_MASTER!$C$5:$C$1204,$C$2,TRANSACTIONS_MASTER!$U$5:$U$1204,"&lt;&gt;Cancelled"))</f>
        <v/>
      </c>
    </row>
    <row r="73">
      <c r="A73" s="81" t="str">
        <f>IF($Q73="","",66)</f>
        <v/>
      </c>
      <c r="B73" s="57" t="str">
        <f>IF($Q73="","",INDEX(TRANSACTIONS_MASTER!$B$5:$B$1204,$Q73))</f>
        <v/>
      </c>
      <c r="C73" s="55" t="str">
        <f>IF($Q73="","",INDEX(TRANSACTIONS_MASTER!$F$5:$F$1204,$Q73))</f>
        <v/>
      </c>
      <c r="D73" s="55" t="str">
        <f>IF($Q73="","",INDEX(TRANSACTIONS_MASTER!$E$5:$E$1204,$Q73))</f>
        <v/>
      </c>
      <c r="E73" s="55" t="str">
        <f>IF($Q73="","",INDEX(TRANSACTIONS_MASTER!$G$5:$G$1204,$Q73)&amp;"")</f>
        <v/>
      </c>
      <c r="F73" s="29" t="str">
        <f>IF($Q73="","",INDEX(TRANSACTIONS_MASTER!$I$5:$I$1204,$Q73))</f>
        <v/>
      </c>
      <c r="G73" s="55" t="str">
        <f>IF($Q73="","",INDEX(TRANSACTIONS_MASTER!$K$5:$K$1204,$Q73))</f>
        <v/>
      </c>
      <c r="H73" s="25" t="str">
        <f>IF($Q73="","",INDEX(TRANSACTIONS_MASTER!$L$5:$L$1204,$Q73))</f>
        <v/>
      </c>
      <c r="I73" s="56" t="str">
        <f>IF($Q73="","",INDEX(TRANSACTIONS_MASTER!$N$5:$N$1204,$Q73))</f>
        <v/>
      </c>
      <c r="J73" s="25" t="str">
        <f>IF($Q73="","",INDEX(TRANSACTIONS_MASTER!$O$5:$O$1204,$Q73))</f>
        <v/>
      </c>
      <c r="K73" s="26" t="str">
        <f>IF($Q73="","",INDEX(TRANSACTIONS_MASTER!$Q$5:$Q$1204,$Q73))</f>
        <v/>
      </c>
      <c r="L73" s="25" t="str">
        <f>IF($Q73="","",INDEX(TRANSACTIONS_MASTER!$P$5:$P$1204,$Q73))</f>
        <v/>
      </c>
      <c r="M73" s="25" t="str">
        <f>IF($Q73="","",INDEX(TRANSACTIONS_MASTER!$AA$5:$AA$1204,$Q73))</f>
        <v/>
      </c>
      <c r="N73" s="25" t="str">
        <f>IF($Q73="","",INDEX(TRANSACTIONS_MASTER!$R$5:$R$1204,$Q73))</f>
        <v/>
      </c>
      <c r="O73" s="28" t="str">
        <f>IF($Q73="","",INDEX(TRANSACTIONS_MASTER!$AB$5:$AB$1204,$Q73))</f>
        <v/>
      </c>
      <c r="P73" s="55" t="str">
        <f>IF($Q73="","",INDEX(TRANSACTIONS_MASTER!$Z$5:$Z$1204,$Q73)&amp;"")</f>
        <v/>
      </c>
      <c r="Q73" s="67" t="str">
        <f>IFERROR(MATCH($C$2&amp;"|"&amp;66,TRANSACTIONS_MASTER!$AE$5:$AE$1204,0),"")</f>
        <v/>
      </c>
      <c r="S73" s="67" t="n">
        <v>12</v>
      </c>
      <c r="T73" s="55" t="str">
        <f>IF(CARDS!$A16="","",CARDS!$A16)</f>
        <v/>
      </c>
      <c r="U73" s="55" t="str">
        <f>IF($T73="","",CARDS!$B16&amp;" "&amp;CARDS!$C16)</f>
        <v/>
      </c>
      <c r="V73" s="25" t="str">
        <f>IF($T73="","",SUMIFS(TRANSACTIONS_MASTER!$L$5:$L$1204,TRANSACTIONS_MASTER!$D$5:$D$1204,$T73,TRANSACTIONS_MASTER!$C$5:$C$1204,$C$2,TRANSACTIONS_MASTER!$U$5:$U$1204,"&lt;&gt;Cancelled"))</f>
        <v/>
      </c>
      <c r="W73" s="26" t="str">
        <f>IF($T73="","",SUMIFS(TRANSACTIONS_MASTER!$Q$5:$Q$1204,TRANSACTIONS_MASTER!$D$5:$D$1204,$T73,TRANSACTIONS_MASTER!$C$5:$C$1204,$C$2))</f>
        <v/>
      </c>
      <c r="X73" s="25" t="str">
        <f>IF($T73="","",IFERROR(IF(ISNUMBER(INDEX(CASHBACK_RULES!$K$5:$K$304,MATCH($T73,CASHBACK_RULES!$B$5:$B$304,0))),INDEX(CASHBACK_RULES!$K$5:$K$304,MATCH($T73,CASHBACK_RULES!$B$5:$B$304,0)),"∞"),"—"))</f>
        <v/>
      </c>
      <c r="Y73" s="25" t="str">
        <f>IF($T73="","",IF($X73="—","—",IF(COUNTIFS($T$8:$T$57,$T73,$Z$8:$Z$57,"∞")&gt;0,IF(ISNUMBER($X73),MAX(0,$X73-$W73),"∞"),IF(ISNUMBER($X73),MAX(0,MIN($X73-$W73,SUMIFS($Z$8:$Z$57,$T$8:$T$57,$T73))),SUMIFS($Z$8:$Z$57,$T$8:$T$57,$T73)))))</f>
        <v/>
      </c>
      <c r="Z73" s="27" t="str">
        <f>IF($T73="","",IF(ISNUMBER($X73),IF($X73=0,0,$W73/$X73),IF(ISNUMBER($Y73),IF($W73+$Y73=0,0,$W73/($W73+$Y73)),"")))</f>
        <v/>
      </c>
      <c r="AA73" s="29" t="str">
        <f>IF($T73="","",COUNTIFS(TRANSACTIONS_MASTER!$D$5:$D$1204,$T73,TRANSACTIONS_MASTER!$C$5:$C$1204,$C$2,TRANSACTIONS_MASTER!$U$5:$U$1204,"&lt;&gt;Cancelled"))</f>
        <v/>
      </c>
    </row>
    <row r="74">
      <c r="A74" s="81" t="str">
        <f>IF($Q74="","",67)</f>
        <v/>
      </c>
      <c r="B74" s="57" t="str">
        <f>IF($Q74="","",INDEX(TRANSACTIONS_MASTER!$B$5:$B$1204,$Q74))</f>
        <v/>
      </c>
      <c r="C74" s="55" t="str">
        <f>IF($Q74="","",INDEX(TRANSACTIONS_MASTER!$F$5:$F$1204,$Q74))</f>
        <v/>
      </c>
      <c r="D74" s="55" t="str">
        <f>IF($Q74="","",INDEX(TRANSACTIONS_MASTER!$E$5:$E$1204,$Q74))</f>
        <v/>
      </c>
      <c r="E74" s="55" t="str">
        <f>IF($Q74="","",INDEX(TRANSACTIONS_MASTER!$G$5:$G$1204,$Q74)&amp;"")</f>
        <v/>
      </c>
      <c r="F74" s="29" t="str">
        <f>IF($Q74="","",INDEX(TRANSACTIONS_MASTER!$I$5:$I$1204,$Q74))</f>
        <v/>
      </c>
      <c r="G74" s="55" t="str">
        <f>IF($Q74="","",INDEX(TRANSACTIONS_MASTER!$K$5:$K$1204,$Q74))</f>
        <v/>
      </c>
      <c r="H74" s="25" t="str">
        <f>IF($Q74="","",INDEX(TRANSACTIONS_MASTER!$L$5:$L$1204,$Q74))</f>
        <v/>
      </c>
      <c r="I74" s="56" t="str">
        <f>IF($Q74="","",INDEX(TRANSACTIONS_MASTER!$N$5:$N$1204,$Q74))</f>
        <v/>
      </c>
      <c r="J74" s="25" t="str">
        <f>IF($Q74="","",INDEX(TRANSACTIONS_MASTER!$O$5:$O$1204,$Q74))</f>
        <v/>
      </c>
      <c r="K74" s="26" t="str">
        <f>IF($Q74="","",INDEX(TRANSACTIONS_MASTER!$Q$5:$Q$1204,$Q74))</f>
        <v/>
      </c>
      <c r="L74" s="25" t="str">
        <f>IF($Q74="","",INDEX(TRANSACTIONS_MASTER!$P$5:$P$1204,$Q74))</f>
        <v/>
      </c>
      <c r="M74" s="25" t="str">
        <f>IF($Q74="","",INDEX(TRANSACTIONS_MASTER!$AA$5:$AA$1204,$Q74))</f>
        <v/>
      </c>
      <c r="N74" s="25" t="str">
        <f>IF($Q74="","",INDEX(TRANSACTIONS_MASTER!$R$5:$R$1204,$Q74))</f>
        <v/>
      </c>
      <c r="O74" s="28" t="str">
        <f>IF($Q74="","",INDEX(TRANSACTIONS_MASTER!$AB$5:$AB$1204,$Q74))</f>
        <v/>
      </c>
      <c r="P74" s="55" t="str">
        <f>IF($Q74="","",INDEX(TRANSACTIONS_MASTER!$Z$5:$Z$1204,$Q74)&amp;"")</f>
        <v/>
      </c>
      <c r="Q74" s="67" t="str">
        <f>IFERROR(MATCH($C$2&amp;"|"&amp;67,TRANSACTIONS_MASTER!$AE$5:$AE$1204,0),"")</f>
        <v/>
      </c>
      <c r="S74" s="67" t="n">
        <v>13</v>
      </c>
      <c r="T74" s="55" t="str">
        <f>IF(CARDS!$A17="","",CARDS!$A17)</f>
        <v/>
      </c>
      <c r="U74" s="55" t="str">
        <f>IF($T74="","",CARDS!$B17&amp;" "&amp;CARDS!$C17)</f>
        <v/>
      </c>
      <c r="V74" s="25" t="str">
        <f>IF($T74="","",SUMIFS(TRANSACTIONS_MASTER!$L$5:$L$1204,TRANSACTIONS_MASTER!$D$5:$D$1204,$T74,TRANSACTIONS_MASTER!$C$5:$C$1204,$C$2,TRANSACTIONS_MASTER!$U$5:$U$1204,"&lt;&gt;Cancelled"))</f>
        <v/>
      </c>
      <c r="W74" s="26" t="str">
        <f>IF($T74="","",SUMIFS(TRANSACTIONS_MASTER!$Q$5:$Q$1204,TRANSACTIONS_MASTER!$D$5:$D$1204,$T74,TRANSACTIONS_MASTER!$C$5:$C$1204,$C$2))</f>
        <v/>
      </c>
      <c r="X74" s="25" t="str">
        <f>IF($T74="","",IFERROR(IF(ISNUMBER(INDEX(CASHBACK_RULES!$K$5:$K$304,MATCH($T74,CASHBACK_RULES!$B$5:$B$304,0))),INDEX(CASHBACK_RULES!$K$5:$K$304,MATCH($T74,CASHBACK_RULES!$B$5:$B$304,0)),"∞"),"—"))</f>
        <v/>
      </c>
      <c r="Y74" s="25" t="str">
        <f>IF($T74="","",IF($X74="—","—",IF(COUNTIFS($T$8:$T$57,$T74,$Z$8:$Z$57,"∞")&gt;0,IF(ISNUMBER($X74),MAX(0,$X74-$W74),"∞"),IF(ISNUMBER($X74),MAX(0,MIN($X74-$W74,SUMIFS($Z$8:$Z$57,$T$8:$T$57,$T74))),SUMIFS($Z$8:$Z$57,$T$8:$T$57,$T74)))))</f>
        <v/>
      </c>
      <c r="Z74" s="27" t="str">
        <f>IF($T74="","",IF(ISNUMBER($X74),IF($X74=0,0,$W74/$X74),IF(ISNUMBER($Y74),IF($W74+$Y74=0,0,$W74/($W74+$Y74)),"")))</f>
        <v/>
      </c>
      <c r="AA74" s="29" t="str">
        <f>IF($T74="","",COUNTIFS(TRANSACTIONS_MASTER!$D$5:$D$1204,$T74,TRANSACTIONS_MASTER!$C$5:$C$1204,$C$2,TRANSACTIONS_MASTER!$U$5:$U$1204,"&lt;&gt;Cancelled"))</f>
        <v/>
      </c>
    </row>
    <row r="75">
      <c r="A75" s="81" t="str">
        <f>IF($Q75="","",68)</f>
        <v/>
      </c>
      <c r="B75" s="57" t="str">
        <f>IF($Q75="","",INDEX(TRANSACTIONS_MASTER!$B$5:$B$1204,$Q75))</f>
        <v/>
      </c>
      <c r="C75" s="55" t="str">
        <f>IF($Q75="","",INDEX(TRANSACTIONS_MASTER!$F$5:$F$1204,$Q75))</f>
        <v/>
      </c>
      <c r="D75" s="55" t="str">
        <f>IF($Q75="","",INDEX(TRANSACTIONS_MASTER!$E$5:$E$1204,$Q75))</f>
        <v/>
      </c>
      <c r="E75" s="55" t="str">
        <f>IF($Q75="","",INDEX(TRANSACTIONS_MASTER!$G$5:$G$1204,$Q75)&amp;"")</f>
        <v/>
      </c>
      <c r="F75" s="29" t="str">
        <f>IF($Q75="","",INDEX(TRANSACTIONS_MASTER!$I$5:$I$1204,$Q75))</f>
        <v/>
      </c>
      <c r="G75" s="55" t="str">
        <f>IF($Q75="","",INDEX(TRANSACTIONS_MASTER!$K$5:$K$1204,$Q75))</f>
        <v/>
      </c>
      <c r="H75" s="25" t="str">
        <f>IF($Q75="","",INDEX(TRANSACTIONS_MASTER!$L$5:$L$1204,$Q75))</f>
        <v/>
      </c>
      <c r="I75" s="56" t="str">
        <f>IF($Q75="","",INDEX(TRANSACTIONS_MASTER!$N$5:$N$1204,$Q75))</f>
        <v/>
      </c>
      <c r="J75" s="25" t="str">
        <f>IF($Q75="","",INDEX(TRANSACTIONS_MASTER!$O$5:$O$1204,$Q75))</f>
        <v/>
      </c>
      <c r="K75" s="26" t="str">
        <f>IF($Q75="","",INDEX(TRANSACTIONS_MASTER!$Q$5:$Q$1204,$Q75))</f>
        <v/>
      </c>
      <c r="L75" s="25" t="str">
        <f>IF($Q75="","",INDEX(TRANSACTIONS_MASTER!$P$5:$P$1204,$Q75))</f>
        <v/>
      </c>
      <c r="M75" s="25" t="str">
        <f>IF($Q75="","",INDEX(TRANSACTIONS_MASTER!$AA$5:$AA$1204,$Q75))</f>
        <v/>
      </c>
      <c r="N75" s="25" t="str">
        <f>IF($Q75="","",INDEX(TRANSACTIONS_MASTER!$R$5:$R$1204,$Q75))</f>
        <v/>
      </c>
      <c r="O75" s="28" t="str">
        <f>IF($Q75="","",INDEX(TRANSACTIONS_MASTER!$AB$5:$AB$1204,$Q75))</f>
        <v/>
      </c>
      <c r="P75" s="55" t="str">
        <f>IF($Q75="","",INDEX(TRANSACTIONS_MASTER!$Z$5:$Z$1204,$Q75)&amp;"")</f>
        <v/>
      </c>
      <c r="Q75" s="67" t="str">
        <f>IFERROR(MATCH($C$2&amp;"|"&amp;68,TRANSACTIONS_MASTER!$AE$5:$AE$1204,0),"")</f>
        <v/>
      </c>
      <c r="S75" s="67" t="n">
        <v>14</v>
      </c>
      <c r="T75" s="55" t="str">
        <f>IF(CARDS!$A18="","",CARDS!$A18)</f>
        <v/>
      </c>
      <c r="U75" s="55" t="str">
        <f>IF($T75="","",CARDS!$B18&amp;" "&amp;CARDS!$C18)</f>
        <v/>
      </c>
      <c r="V75" s="25" t="str">
        <f>IF($T75="","",SUMIFS(TRANSACTIONS_MASTER!$L$5:$L$1204,TRANSACTIONS_MASTER!$D$5:$D$1204,$T75,TRANSACTIONS_MASTER!$C$5:$C$1204,$C$2,TRANSACTIONS_MASTER!$U$5:$U$1204,"&lt;&gt;Cancelled"))</f>
        <v/>
      </c>
      <c r="W75" s="26" t="str">
        <f>IF($T75="","",SUMIFS(TRANSACTIONS_MASTER!$Q$5:$Q$1204,TRANSACTIONS_MASTER!$D$5:$D$1204,$T75,TRANSACTIONS_MASTER!$C$5:$C$1204,$C$2))</f>
        <v/>
      </c>
      <c r="X75" s="25" t="str">
        <f>IF($T75="","",IFERROR(IF(ISNUMBER(INDEX(CASHBACK_RULES!$K$5:$K$304,MATCH($T75,CASHBACK_RULES!$B$5:$B$304,0))),INDEX(CASHBACK_RULES!$K$5:$K$304,MATCH($T75,CASHBACK_RULES!$B$5:$B$304,0)),"∞"),"—"))</f>
        <v/>
      </c>
      <c r="Y75" s="25" t="str">
        <f>IF($T75="","",IF($X75="—","—",IF(COUNTIFS($T$8:$T$57,$T75,$Z$8:$Z$57,"∞")&gt;0,IF(ISNUMBER($X75),MAX(0,$X75-$W75),"∞"),IF(ISNUMBER($X75),MAX(0,MIN($X75-$W75,SUMIFS($Z$8:$Z$57,$T$8:$T$57,$T75))),SUMIFS($Z$8:$Z$57,$T$8:$T$57,$T75)))))</f>
        <v/>
      </c>
      <c r="Z75" s="27" t="str">
        <f>IF($T75="","",IF(ISNUMBER($X75),IF($X75=0,0,$W75/$X75),IF(ISNUMBER($Y75),IF($W75+$Y75=0,0,$W75/($W75+$Y75)),"")))</f>
        <v/>
      </c>
      <c r="AA75" s="29" t="str">
        <f>IF($T75="","",COUNTIFS(TRANSACTIONS_MASTER!$D$5:$D$1204,$T75,TRANSACTIONS_MASTER!$C$5:$C$1204,$C$2,TRANSACTIONS_MASTER!$U$5:$U$1204,"&lt;&gt;Cancelled"))</f>
        <v/>
      </c>
    </row>
    <row r="76">
      <c r="A76" s="81" t="str">
        <f>IF($Q76="","",69)</f>
        <v/>
      </c>
      <c r="B76" s="57" t="str">
        <f>IF($Q76="","",INDEX(TRANSACTIONS_MASTER!$B$5:$B$1204,$Q76))</f>
        <v/>
      </c>
      <c r="C76" s="55" t="str">
        <f>IF($Q76="","",INDEX(TRANSACTIONS_MASTER!$F$5:$F$1204,$Q76))</f>
        <v/>
      </c>
      <c r="D76" s="55" t="str">
        <f>IF($Q76="","",INDEX(TRANSACTIONS_MASTER!$E$5:$E$1204,$Q76))</f>
        <v/>
      </c>
      <c r="E76" s="55" t="str">
        <f>IF($Q76="","",INDEX(TRANSACTIONS_MASTER!$G$5:$G$1204,$Q76)&amp;"")</f>
        <v/>
      </c>
      <c r="F76" s="29" t="str">
        <f>IF($Q76="","",INDEX(TRANSACTIONS_MASTER!$I$5:$I$1204,$Q76))</f>
        <v/>
      </c>
      <c r="G76" s="55" t="str">
        <f>IF($Q76="","",INDEX(TRANSACTIONS_MASTER!$K$5:$K$1204,$Q76))</f>
        <v/>
      </c>
      <c r="H76" s="25" t="str">
        <f>IF($Q76="","",INDEX(TRANSACTIONS_MASTER!$L$5:$L$1204,$Q76))</f>
        <v/>
      </c>
      <c r="I76" s="56" t="str">
        <f>IF($Q76="","",INDEX(TRANSACTIONS_MASTER!$N$5:$N$1204,$Q76))</f>
        <v/>
      </c>
      <c r="J76" s="25" t="str">
        <f>IF($Q76="","",INDEX(TRANSACTIONS_MASTER!$O$5:$O$1204,$Q76))</f>
        <v/>
      </c>
      <c r="K76" s="26" t="str">
        <f>IF($Q76="","",INDEX(TRANSACTIONS_MASTER!$Q$5:$Q$1204,$Q76))</f>
        <v/>
      </c>
      <c r="L76" s="25" t="str">
        <f>IF($Q76="","",INDEX(TRANSACTIONS_MASTER!$P$5:$P$1204,$Q76))</f>
        <v/>
      </c>
      <c r="M76" s="25" t="str">
        <f>IF($Q76="","",INDEX(TRANSACTIONS_MASTER!$AA$5:$AA$1204,$Q76))</f>
        <v/>
      </c>
      <c r="N76" s="25" t="str">
        <f>IF($Q76="","",INDEX(TRANSACTIONS_MASTER!$R$5:$R$1204,$Q76))</f>
        <v/>
      </c>
      <c r="O76" s="28" t="str">
        <f>IF($Q76="","",INDEX(TRANSACTIONS_MASTER!$AB$5:$AB$1204,$Q76))</f>
        <v/>
      </c>
      <c r="P76" s="55" t="str">
        <f>IF($Q76="","",INDEX(TRANSACTIONS_MASTER!$Z$5:$Z$1204,$Q76)&amp;"")</f>
        <v/>
      </c>
      <c r="Q76" s="67" t="str">
        <f>IFERROR(MATCH($C$2&amp;"|"&amp;69,TRANSACTIONS_MASTER!$AE$5:$AE$1204,0),"")</f>
        <v/>
      </c>
      <c r="S76" s="67" t="n">
        <v>15</v>
      </c>
      <c r="T76" s="55" t="str">
        <f>IF(CARDS!$A19="","",CARDS!$A19)</f>
        <v/>
      </c>
      <c r="U76" s="55" t="str">
        <f>IF($T76="","",CARDS!$B19&amp;" "&amp;CARDS!$C19)</f>
        <v/>
      </c>
      <c r="V76" s="25" t="str">
        <f>IF($T76="","",SUMIFS(TRANSACTIONS_MASTER!$L$5:$L$1204,TRANSACTIONS_MASTER!$D$5:$D$1204,$T76,TRANSACTIONS_MASTER!$C$5:$C$1204,$C$2,TRANSACTIONS_MASTER!$U$5:$U$1204,"&lt;&gt;Cancelled"))</f>
        <v/>
      </c>
      <c r="W76" s="26" t="str">
        <f>IF($T76="","",SUMIFS(TRANSACTIONS_MASTER!$Q$5:$Q$1204,TRANSACTIONS_MASTER!$D$5:$D$1204,$T76,TRANSACTIONS_MASTER!$C$5:$C$1204,$C$2))</f>
        <v/>
      </c>
      <c r="X76" s="25" t="str">
        <f>IF($T76="","",IFERROR(IF(ISNUMBER(INDEX(CASHBACK_RULES!$K$5:$K$304,MATCH($T76,CASHBACK_RULES!$B$5:$B$304,0))),INDEX(CASHBACK_RULES!$K$5:$K$304,MATCH($T76,CASHBACK_RULES!$B$5:$B$304,0)),"∞"),"—"))</f>
        <v/>
      </c>
      <c r="Y76" s="25" t="str">
        <f>IF($T76="","",IF($X76="—","—",IF(COUNTIFS($T$8:$T$57,$T76,$Z$8:$Z$57,"∞")&gt;0,IF(ISNUMBER($X76),MAX(0,$X76-$W76),"∞"),IF(ISNUMBER($X76),MAX(0,MIN($X76-$W76,SUMIFS($Z$8:$Z$57,$T$8:$T$57,$T76))),SUMIFS($Z$8:$Z$57,$T$8:$T$57,$T76)))))</f>
        <v/>
      </c>
      <c r="Z76" s="27" t="str">
        <f>IF($T76="","",IF(ISNUMBER($X76),IF($X76=0,0,$W76/$X76),IF(ISNUMBER($Y76),IF($W76+$Y76=0,0,$W76/($W76+$Y76)),"")))</f>
        <v/>
      </c>
      <c r="AA76" s="29" t="str">
        <f>IF($T76="","",COUNTIFS(TRANSACTIONS_MASTER!$D$5:$D$1204,$T76,TRANSACTIONS_MASTER!$C$5:$C$1204,$C$2,TRANSACTIONS_MASTER!$U$5:$U$1204,"&lt;&gt;Cancelled"))</f>
        <v/>
      </c>
    </row>
    <row r="77">
      <c r="A77" s="81" t="str">
        <f>IF($Q77="","",70)</f>
        <v/>
      </c>
      <c r="B77" s="57" t="str">
        <f>IF($Q77="","",INDEX(TRANSACTIONS_MASTER!$B$5:$B$1204,$Q77))</f>
        <v/>
      </c>
      <c r="C77" s="55" t="str">
        <f>IF($Q77="","",INDEX(TRANSACTIONS_MASTER!$F$5:$F$1204,$Q77))</f>
        <v/>
      </c>
      <c r="D77" s="55" t="str">
        <f>IF($Q77="","",INDEX(TRANSACTIONS_MASTER!$E$5:$E$1204,$Q77))</f>
        <v/>
      </c>
      <c r="E77" s="55" t="str">
        <f>IF($Q77="","",INDEX(TRANSACTIONS_MASTER!$G$5:$G$1204,$Q77)&amp;"")</f>
        <v/>
      </c>
      <c r="F77" s="29" t="str">
        <f>IF($Q77="","",INDEX(TRANSACTIONS_MASTER!$I$5:$I$1204,$Q77))</f>
        <v/>
      </c>
      <c r="G77" s="55" t="str">
        <f>IF($Q77="","",INDEX(TRANSACTIONS_MASTER!$K$5:$K$1204,$Q77))</f>
        <v/>
      </c>
      <c r="H77" s="25" t="str">
        <f>IF($Q77="","",INDEX(TRANSACTIONS_MASTER!$L$5:$L$1204,$Q77))</f>
        <v/>
      </c>
      <c r="I77" s="56" t="str">
        <f>IF($Q77="","",INDEX(TRANSACTIONS_MASTER!$N$5:$N$1204,$Q77))</f>
        <v/>
      </c>
      <c r="J77" s="25" t="str">
        <f>IF($Q77="","",INDEX(TRANSACTIONS_MASTER!$O$5:$O$1204,$Q77))</f>
        <v/>
      </c>
      <c r="K77" s="26" t="str">
        <f>IF($Q77="","",INDEX(TRANSACTIONS_MASTER!$Q$5:$Q$1204,$Q77))</f>
        <v/>
      </c>
      <c r="L77" s="25" t="str">
        <f>IF($Q77="","",INDEX(TRANSACTIONS_MASTER!$P$5:$P$1204,$Q77))</f>
        <v/>
      </c>
      <c r="M77" s="25" t="str">
        <f>IF($Q77="","",INDEX(TRANSACTIONS_MASTER!$AA$5:$AA$1204,$Q77))</f>
        <v/>
      </c>
      <c r="N77" s="25" t="str">
        <f>IF($Q77="","",INDEX(TRANSACTIONS_MASTER!$R$5:$R$1204,$Q77))</f>
        <v/>
      </c>
      <c r="O77" s="28" t="str">
        <f>IF($Q77="","",INDEX(TRANSACTIONS_MASTER!$AB$5:$AB$1204,$Q77))</f>
        <v/>
      </c>
      <c r="P77" s="55" t="str">
        <f>IF($Q77="","",INDEX(TRANSACTIONS_MASTER!$Z$5:$Z$1204,$Q77)&amp;"")</f>
        <v/>
      </c>
      <c r="Q77" s="67" t="str">
        <f>IFERROR(MATCH($C$2&amp;"|"&amp;70,TRANSACTIONS_MASTER!$AE$5:$AE$1204,0),"")</f>
        <v/>
      </c>
      <c r="S77" s="67" t="n">
        <v>16</v>
      </c>
      <c r="T77" s="55" t="str">
        <f>IF(CARDS!$A20="","",CARDS!$A20)</f>
        <v/>
      </c>
      <c r="U77" s="55" t="str">
        <f>IF($T77="","",CARDS!$B20&amp;" "&amp;CARDS!$C20)</f>
        <v/>
      </c>
      <c r="V77" s="25" t="str">
        <f>IF($T77="","",SUMIFS(TRANSACTIONS_MASTER!$L$5:$L$1204,TRANSACTIONS_MASTER!$D$5:$D$1204,$T77,TRANSACTIONS_MASTER!$C$5:$C$1204,$C$2,TRANSACTIONS_MASTER!$U$5:$U$1204,"&lt;&gt;Cancelled"))</f>
        <v/>
      </c>
      <c r="W77" s="26" t="str">
        <f>IF($T77="","",SUMIFS(TRANSACTIONS_MASTER!$Q$5:$Q$1204,TRANSACTIONS_MASTER!$D$5:$D$1204,$T77,TRANSACTIONS_MASTER!$C$5:$C$1204,$C$2))</f>
        <v/>
      </c>
      <c r="X77" s="25" t="str">
        <f>IF($T77="","",IFERROR(IF(ISNUMBER(INDEX(CASHBACK_RULES!$K$5:$K$304,MATCH($T77,CASHBACK_RULES!$B$5:$B$304,0))),INDEX(CASHBACK_RULES!$K$5:$K$304,MATCH($T77,CASHBACK_RULES!$B$5:$B$304,0)),"∞"),"—"))</f>
        <v/>
      </c>
      <c r="Y77" s="25" t="str">
        <f>IF($T77="","",IF($X77="—","—",IF(COUNTIFS($T$8:$T$57,$T77,$Z$8:$Z$57,"∞")&gt;0,IF(ISNUMBER($X77),MAX(0,$X77-$W77),"∞"),IF(ISNUMBER($X77),MAX(0,MIN($X77-$W77,SUMIFS($Z$8:$Z$57,$T$8:$T$57,$T77))),SUMIFS($Z$8:$Z$57,$T$8:$T$57,$T77)))))</f>
        <v/>
      </c>
      <c r="Z77" s="27" t="str">
        <f>IF($T77="","",IF(ISNUMBER($X77),IF($X77=0,0,$W77/$X77),IF(ISNUMBER($Y77),IF($W77+$Y77=0,0,$W77/($W77+$Y77)),"")))</f>
        <v/>
      </c>
      <c r="AA77" s="29" t="str">
        <f>IF($T77="","",COUNTIFS(TRANSACTIONS_MASTER!$D$5:$D$1204,$T77,TRANSACTIONS_MASTER!$C$5:$C$1204,$C$2,TRANSACTIONS_MASTER!$U$5:$U$1204,"&lt;&gt;Cancelled"))</f>
        <v/>
      </c>
    </row>
    <row r="78">
      <c r="A78" s="81" t="str">
        <f>IF($Q78="","",71)</f>
        <v/>
      </c>
      <c r="B78" s="57" t="str">
        <f>IF($Q78="","",INDEX(TRANSACTIONS_MASTER!$B$5:$B$1204,$Q78))</f>
        <v/>
      </c>
      <c r="C78" s="55" t="str">
        <f>IF($Q78="","",INDEX(TRANSACTIONS_MASTER!$F$5:$F$1204,$Q78))</f>
        <v/>
      </c>
      <c r="D78" s="55" t="str">
        <f>IF($Q78="","",INDEX(TRANSACTIONS_MASTER!$E$5:$E$1204,$Q78))</f>
        <v/>
      </c>
      <c r="E78" s="55" t="str">
        <f>IF($Q78="","",INDEX(TRANSACTIONS_MASTER!$G$5:$G$1204,$Q78)&amp;"")</f>
        <v/>
      </c>
      <c r="F78" s="29" t="str">
        <f>IF($Q78="","",INDEX(TRANSACTIONS_MASTER!$I$5:$I$1204,$Q78))</f>
        <v/>
      </c>
      <c r="G78" s="55" t="str">
        <f>IF($Q78="","",INDEX(TRANSACTIONS_MASTER!$K$5:$K$1204,$Q78))</f>
        <v/>
      </c>
      <c r="H78" s="25" t="str">
        <f>IF($Q78="","",INDEX(TRANSACTIONS_MASTER!$L$5:$L$1204,$Q78))</f>
        <v/>
      </c>
      <c r="I78" s="56" t="str">
        <f>IF($Q78="","",INDEX(TRANSACTIONS_MASTER!$N$5:$N$1204,$Q78))</f>
        <v/>
      </c>
      <c r="J78" s="25" t="str">
        <f>IF($Q78="","",INDEX(TRANSACTIONS_MASTER!$O$5:$O$1204,$Q78))</f>
        <v/>
      </c>
      <c r="K78" s="26" t="str">
        <f>IF($Q78="","",INDEX(TRANSACTIONS_MASTER!$Q$5:$Q$1204,$Q78))</f>
        <v/>
      </c>
      <c r="L78" s="25" t="str">
        <f>IF($Q78="","",INDEX(TRANSACTIONS_MASTER!$P$5:$P$1204,$Q78))</f>
        <v/>
      </c>
      <c r="M78" s="25" t="str">
        <f>IF($Q78="","",INDEX(TRANSACTIONS_MASTER!$AA$5:$AA$1204,$Q78))</f>
        <v/>
      </c>
      <c r="N78" s="25" t="str">
        <f>IF($Q78="","",INDEX(TRANSACTIONS_MASTER!$R$5:$R$1204,$Q78))</f>
        <v/>
      </c>
      <c r="O78" s="28" t="str">
        <f>IF($Q78="","",INDEX(TRANSACTIONS_MASTER!$AB$5:$AB$1204,$Q78))</f>
        <v/>
      </c>
      <c r="P78" s="55" t="str">
        <f>IF($Q78="","",INDEX(TRANSACTIONS_MASTER!$Z$5:$Z$1204,$Q78)&amp;"")</f>
        <v/>
      </c>
      <c r="Q78" s="67" t="str">
        <f>IFERROR(MATCH($C$2&amp;"|"&amp;71,TRANSACTIONS_MASTER!$AE$5:$AE$1204,0),"")</f>
        <v/>
      </c>
      <c r="S78" s="67" t="n">
        <v>17</v>
      </c>
      <c r="T78" s="55" t="str">
        <f>IF(CARDS!$A21="","",CARDS!$A21)</f>
        <v/>
      </c>
      <c r="U78" s="55" t="str">
        <f>IF($T78="","",CARDS!$B21&amp;" "&amp;CARDS!$C21)</f>
        <v/>
      </c>
      <c r="V78" s="25" t="str">
        <f>IF($T78="","",SUMIFS(TRANSACTIONS_MASTER!$L$5:$L$1204,TRANSACTIONS_MASTER!$D$5:$D$1204,$T78,TRANSACTIONS_MASTER!$C$5:$C$1204,$C$2,TRANSACTIONS_MASTER!$U$5:$U$1204,"&lt;&gt;Cancelled"))</f>
        <v/>
      </c>
      <c r="W78" s="26" t="str">
        <f>IF($T78="","",SUMIFS(TRANSACTIONS_MASTER!$Q$5:$Q$1204,TRANSACTIONS_MASTER!$D$5:$D$1204,$T78,TRANSACTIONS_MASTER!$C$5:$C$1204,$C$2))</f>
        <v/>
      </c>
      <c r="X78" s="25" t="str">
        <f>IF($T78="","",IFERROR(IF(ISNUMBER(INDEX(CASHBACK_RULES!$K$5:$K$304,MATCH($T78,CASHBACK_RULES!$B$5:$B$304,0))),INDEX(CASHBACK_RULES!$K$5:$K$304,MATCH($T78,CASHBACK_RULES!$B$5:$B$304,0)),"∞"),"—"))</f>
        <v/>
      </c>
      <c r="Y78" s="25" t="str">
        <f>IF($T78="","",IF($X78="—","—",IF(COUNTIFS($T$8:$T$57,$T78,$Z$8:$Z$57,"∞")&gt;0,IF(ISNUMBER($X78),MAX(0,$X78-$W78),"∞"),IF(ISNUMBER($X78),MAX(0,MIN($X78-$W78,SUMIFS($Z$8:$Z$57,$T$8:$T$57,$T78))),SUMIFS($Z$8:$Z$57,$T$8:$T$57,$T78)))))</f>
        <v/>
      </c>
      <c r="Z78" s="27" t="str">
        <f>IF($T78="","",IF(ISNUMBER($X78),IF($X78=0,0,$W78/$X78),IF(ISNUMBER($Y78),IF($W78+$Y78=0,0,$W78/($W78+$Y78)),"")))</f>
        <v/>
      </c>
      <c r="AA78" s="29" t="str">
        <f>IF($T78="","",COUNTIFS(TRANSACTIONS_MASTER!$D$5:$D$1204,$T78,TRANSACTIONS_MASTER!$C$5:$C$1204,$C$2,TRANSACTIONS_MASTER!$U$5:$U$1204,"&lt;&gt;Cancelled"))</f>
        <v/>
      </c>
    </row>
    <row r="79">
      <c r="A79" s="81" t="str">
        <f>IF($Q79="","",72)</f>
        <v/>
      </c>
      <c r="B79" s="57" t="str">
        <f>IF($Q79="","",INDEX(TRANSACTIONS_MASTER!$B$5:$B$1204,$Q79))</f>
        <v/>
      </c>
      <c r="C79" s="55" t="str">
        <f>IF($Q79="","",INDEX(TRANSACTIONS_MASTER!$F$5:$F$1204,$Q79))</f>
        <v/>
      </c>
      <c r="D79" s="55" t="str">
        <f>IF($Q79="","",INDEX(TRANSACTIONS_MASTER!$E$5:$E$1204,$Q79))</f>
        <v/>
      </c>
      <c r="E79" s="55" t="str">
        <f>IF($Q79="","",INDEX(TRANSACTIONS_MASTER!$G$5:$G$1204,$Q79)&amp;"")</f>
        <v/>
      </c>
      <c r="F79" s="29" t="str">
        <f>IF($Q79="","",INDEX(TRANSACTIONS_MASTER!$I$5:$I$1204,$Q79))</f>
        <v/>
      </c>
      <c r="G79" s="55" t="str">
        <f>IF($Q79="","",INDEX(TRANSACTIONS_MASTER!$K$5:$K$1204,$Q79))</f>
        <v/>
      </c>
      <c r="H79" s="25" t="str">
        <f>IF($Q79="","",INDEX(TRANSACTIONS_MASTER!$L$5:$L$1204,$Q79))</f>
        <v/>
      </c>
      <c r="I79" s="56" t="str">
        <f>IF($Q79="","",INDEX(TRANSACTIONS_MASTER!$N$5:$N$1204,$Q79))</f>
        <v/>
      </c>
      <c r="J79" s="25" t="str">
        <f>IF($Q79="","",INDEX(TRANSACTIONS_MASTER!$O$5:$O$1204,$Q79))</f>
        <v/>
      </c>
      <c r="K79" s="26" t="str">
        <f>IF($Q79="","",INDEX(TRANSACTIONS_MASTER!$Q$5:$Q$1204,$Q79))</f>
        <v/>
      </c>
      <c r="L79" s="25" t="str">
        <f>IF($Q79="","",INDEX(TRANSACTIONS_MASTER!$P$5:$P$1204,$Q79))</f>
        <v/>
      </c>
      <c r="M79" s="25" t="str">
        <f>IF($Q79="","",INDEX(TRANSACTIONS_MASTER!$AA$5:$AA$1204,$Q79))</f>
        <v/>
      </c>
      <c r="N79" s="25" t="str">
        <f>IF($Q79="","",INDEX(TRANSACTIONS_MASTER!$R$5:$R$1204,$Q79))</f>
        <v/>
      </c>
      <c r="O79" s="28" t="str">
        <f>IF($Q79="","",INDEX(TRANSACTIONS_MASTER!$AB$5:$AB$1204,$Q79))</f>
        <v/>
      </c>
      <c r="P79" s="55" t="str">
        <f>IF($Q79="","",INDEX(TRANSACTIONS_MASTER!$Z$5:$Z$1204,$Q79)&amp;"")</f>
        <v/>
      </c>
      <c r="Q79" s="67" t="str">
        <f>IFERROR(MATCH($C$2&amp;"|"&amp;72,TRANSACTIONS_MASTER!$AE$5:$AE$1204,0),"")</f>
        <v/>
      </c>
      <c r="S79" s="67" t="n">
        <v>18</v>
      </c>
      <c r="T79" s="55" t="str">
        <f>IF(CARDS!$A22="","",CARDS!$A22)</f>
        <v/>
      </c>
      <c r="U79" s="55" t="str">
        <f>IF($T79="","",CARDS!$B22&amp;" "&amp;CARDS!$C22)</f>
        <v/>
      </c>
      <c r="V79" s="25" t="str">
        <f>IF($T79="","",SUMIFS(TRANSACTIONS_MASTER!$L$5:$L$1204,TRANSACTIONS_MASTER!$D$5:$D$1204,$T79,TRANSACTIONS_MASTER!$C$5:$C$1204,$C$2,TRANSACTIONS_MASTER!$U$5:$U$1204,"&lt;&gt;Cancelled"))</f>
        <v/>
      </c>
      <c r="W79" s="26" t="str">
        <f>IF($T79="","",SUMIFS(TRANSACTIONS_MASTER!$Q$5:$Q$1204,TRANSACTIONS_MASTER!$D$5:$D$1204,$T79,TRANSACTIONS_MASTER!$C$5:$C$1204,$C$2))</f>
        <v/>
      </c>
      <c r="X79" s="25" t="str">
        <f>IF($T79="","",IFERROR(IF(ISNUMBER(INDEX(CASHBACK_RULES!$K$5:$K$304,MATCH($T79,CASHBACK_RULES!$B$5:$B$304,0))),INDEX(CASHBACK_RULES!$K$5:$K$304,MATCH($T79,CASHBACK_RULES!$B$5:$B$304,0)),"∞"),"—"))</f>
        <v/>
      </c>
      <c r="Y79" s="25" t="str">
        <f>IF($T79="","",IF($X79="—","—",IF(COUNTIFS($T$8:$T$57,$T79,$Z$8:$Z$57,"∞")&gt;0,IF(ISNUMBER($X79),MAX(0,$X79-$W79),"∞"),IF(ISNUMBER($X79),MAX(0,MIN($X79-$W79,SUMIFS($Z$8:$Z$57,$T$8:$T$57,$T79))),SUMIFS($Z$8:$Z$57,$T$8:$T$57,$T79)))))</f>
        <v/>
      </c>
      <c r="Z79" s="27" t="str">
        <f>IF($T79="","",IF(ISNUMBER($X79),IF($X79=0,0,$W79/$X79),IF(ISNUMBER($Y79),IF($W79+$Y79=0,0,$W79/($W79+$Y79)),"")))</f>
        <v/>
      </c>
      <c r="AA79" s="29" t="str">
        <f>IF($T79="","",COUNTIFS(TRANSACTIONS_MASTER!$D$5:$D$1204,$T79,TRANSACTIONS_MASTER!$C$5:$C$1204,$C$2,TRANSACTIONS_MASTER!$U$5:$U$1204,"&lt;&gt;Cancelled"))</f>
        <v/>
      </c>
    </row>
    <row r="80">
      <c r="A80" s="81" t="str">
        <f>IF($Q80="","",73)</f>
        <v/>
      </c>
      <c r="B80" s="57" t="str">
        <f>IF($Q80="","",INDEX(TRANSACTIONS_MASTER!$B$5:$B$1204,$Q80))</f>
        <v/>
      </c>
      <c r="C80" s="55" t="str">
        <f>IF($Q80="","",INDEX(TRANSACTIONS_MASTER!$F$5:$F$1204,$Q80))</f>
        <v/>
      </c>
      <c r="D80" s="55" t="str">
        <f>IF($Q80="","",INDEX(TRANSACTIONS_MASTER!$E$5:$E$1204,$Q80))</f>
        <v/>
      </c>
      <c r="E80" s="55" t="str">
        <f>IF($Q80="","",INDEX(TRANSACTIONS_MASTER!$G$5:$G$1204,$Q80)&amp;"")</f>
        <v/>
      </c>
      <c r="F80" s="29" t="str">
        <f>IF($Q80="","",INDEX(TRANSACTIONS_MASTER!$I$5:$I$1204,$Q80))</f>
        <v/>
      </c>
      <c r="G80" s="55" t="str">
        <f>IF($Q80="","",INDEX(TRANSACTIONS_MASTER!$K$5:$K$1204,$Q80))</f>
        <v/>
      </c>
      <c r="H80" s="25" t="str">
        <f>IF($Q80="","",INDEX(TRANSACTIONS_MASTER!$L$5:$L$1204,$Q80))</f>
        <v/>
      </c>
      <c r="I80" s="56" t="str">
        <f>IF($Q80="","",INDEX(TRANSACTIONS_MASTER!$N$5:$N$1204,$Q80))</f>
        <v/>
      </c>
      <c r="J80" s="25" t="str">
        <f>IF($Q80="","",INDEX(TRANSACTIONS_MASTER!$O$5:$O$1204,$Q80))</f>
        <v/>
      </c>
      <c r="K80" s="26" t="str">
        <f>IF($Q80="","",INDEX(TRANSACTIONS_MASTER!$Q$5:$Q$1204,$Q80))</f>
        <v/>
      </c>
      <c r="L80" s="25" t="str">
        <f>IF($Q80="","",INDEX(TRANSACTIONS_MASTER!$P$5:$P$1204,$Q80))</f>
        <v/>
      </c>
      <c r="M80" s="25" t="str">
        <f>IF($Q80="","",INDEX(TRANSACTIONS_MASTER!$AA$5:$AA$1204,$Q80))</f>
        <v/>
      </c>
      <c r="N80" s="25" t="str">
        <f>IF($Q80="","",INDEX(TRANSACTIONS_MASTER!$R$5:$R$1204,$Q80))</f>
        <v/>
      </c>
      <c r="O80" s="28" t="str">
        <f>IF($Q80="","",INDEX(TRANSACTIONS_MASTER!$AB$5:$AB$1204,$Q80))</f>
        <v/>
      </c>
      <c r="P80" s="55" t="str">
        <f>IF($Q80="","",INDEX(TRANSACTIONS_MASTER!$Z$5:$Z$1204,$Q80)&amp;"")</f>
        <v/>
      </c>
      <c r="Q80" s="67" t="str">
        <f>IFERROR(MATCH($C$2&amp;"|"&amp;73,TRANSACTIONS_MASTER!$AE$5:$AE$1204,0),"")</f>
        <v/>
      </c>
      <c r="S80" s="67" t="n">
        <v>19</v>
      </c>
      <c r="T80" s="55" t="str">
        <f>IF(CARDS!$A23="","",CARDS!$A23)</f>
        <v/>
      </c>
      <c r="U80" s="55" t="str">
        <f>IF($T80="","",CARDS!$B23&amp;" "&amp;CARDS!$C23)</f>
        <v/>
      </c>
      <c r="V80" s="25" t="str">
        <f>IF($T80="","",SUMIFS(TRANSACTIONS_MASTER!$L$5:$L$1204,TRANSACTIONS_MASTER!$D$5:$D$1204,$T80,TRANSACTIONS_MASTER!$C$5:$C$1204,$C$2,TRANSACTIONS_MASTER!$U$5:$U$1204,"&lt;&gt;Cancelled"))</f>
        <v/>
      </c>
      <c r="W80" s="26" t="str">
        <f>IF($T80="","",SUMIFS(TRANSACTIONS_MASTER!$Q$5:$Q$1204,TRANSACTIONS_MASTER!$D$5:$D$1204,$T80,TRANSACTIONS_MASTER!$C$5:$C$1204,$C$2))</f>
        <v/>
      </c>
      <c r="X80" s="25" t="str">
        <f>IF($T80="","",IFERROR(IF(ISNUMBER(INDEX(CASHBACK_RULES!$K$5:$K$304,MATCH($T80,CASHBACK_RULES!$B$5:$B$304,0))),INDEX(CASHBACK_RULES!$K$5:$K$304,MATCH($T80,CASHBACK_RULES!$B$5:$B$304,0)),"∞"),"—"))</f>
        <v/>
      </c>
      <c r="Y80" s="25" t="str">
        <f>IF($T80="","",IF($X80="—","—",IF(COUNTIFS($T$8:$T$57,$T80,$Z$8:$Z$57,"∞")&gt;0,IF(ISNUMBER($X80),MAX(0,$X80-$W80),"∞"),IF(ISNUMBER($X80),MAX(0,MIN($X80-$W80,SUMIFS($Z$8:$Z$57,$T$8:$T$57,$T80))),SUMIFS($Z$8:$Z$57,$T$8:$T$57,$T80)))))</f>
        <v/>
      </c>
      <c r="Z80" s="27" t="str">
        <f>IF($T80="","",IF(ISNUMBER($X80),IF($X80=0,0,$W80/$X80),IF(ISNUMBER($Y80),IF($W80+$Y80=0,0,$W80/($W80+$Y80)),"")))</f>
        <v/>
      </c>
      <c r="AA80" s="29" t="str">
        <f>IF($T80="","",COUNTIFS(TRANSACTIONS_MASTER!$D$5:$D$1204,$T80,TRANSACTIONS_MASTER!$C$5:$C$1204,$C$2,TRANSACTIONS_MASTER!$U$5:$U$1204,"&lt;&gt;Cancelled"))</f>
        <v/>
      </c>
    </row>
    <row r="81">
      <c r="A81" s="81" t="str">
        <f>IF($Q81="","",74)</f>
        <v/>
      </c>
      <c r="B81" s="57" t="str">
        <f>IF($Q81="","",INDEX(TRANSACTIONS_MASTER!$B$5:$B$1204,$Q81))</f>
        <v/>
      </c>
      <c r="C81" s="55" t="str">
        <f>IF($Q81="","",INDEX(TRANSACTIONS_MASTER!$F$5:$F$1204,$Q81))</f>
        <v/>
      </c>
      <c r="D81" s="55" t="str">
        <f>IF($Q81="","",INDEX(TRANSACTIONS_MASTER!$E$5:$E$1204,$Q81))</f>
        <v/>
      </c>
      <c r="E81" s="55" t="str">
        <f>IF($Q81="","",INDEX(TRANSACTIONS_MASTER!$G$5:$G$1204,$Q81)&amp;"")</f>
        <v/>
      </c>
      <c r="F81" s="29" t="str">
        <f>IF($Q81="","",INDEX(TRANSACTIONS_MASTER!$I$5:$I$1204,$Q81))</f>
        <v/>
      </c>
      <c r="G81" s="55" t="str">
        <f>IF($Q81="","",INDEX(TRANSACTIONS_MASTER!$K$5:$K$1204,$Q81))</f>
        <v/>
      </c>
      <c r="H81" s="25" t="str">
        <f>IF($Q81="","",INDEX(TRANSACTIONS_MASTER!$L$5:$L$1204,$Q81))</f>
        <v/>
      </c>
      <c r="I81" s="56" t="str">
        <f>IF($Q81="","",INDEX(TRANSACTIONS_MASTER!$N$5:$N$1204,$Q81))</f>
        <v/>
      </c>
      <c r="J81" s="25" t="str">
        <f>IF($Q81="","",INDEX(TRANSACTIONS_MASTER!$O$5:$O$1204,$Q81))</f>
        <v/>
      </c>
      <c r="K81" s="26" t="str">
        <f>IF($Q81="","",INDEX(TRANSACTIONS_MASTER!$Q$5:$Q$1204,$Q81))</f>
        <v/>
      </c>
      <c r="L81" s="25" t="str">
        <f>IF($Q81="","",INDEX(TRANSACTIONS_MASTER!$P$5:$P$1204,$Q81))</f>
        <v/>
      </c>
      <c r="M81" s="25" t="str">
        <f>IF($Q81="","",INDEX(TRANSACTIONS_MASTER!$AA$5:$AA$1204,$Q81))</f>
        <v/>
      </c>
      <c r="N81" s="25" t="str">
        <f>IF($Q81="","",INDEX(TRANSACTIONS_MASTER!$R$5:$R$1204,$Q81))</f>
        <v/>
      </c>
      <c r="O81" s="28" t="str">
        <f>IF($Q81="","",INDEX(TRANSACTIONS_MASTER!$AB$5:$AB$1204,$Q81))</f>
        <v/>
      </c>
      <c r="P81" s="55" t="str">
        <f>IF($Q81="","",INDEX(TRANSACTIONS_MASTER!$Z$5:$Z$1204,$Q81)&amp;"")</f>
        <v/>
      </c>
      <c r="Q81" s="67" t="str">
        <f>IFERROR(MATCH($C$2&amp;"|"&amp;74,TRANSACTIONS_MASTER!$AE$5:$AE$1204,0),"")</f>
        <v/>
      </c>
      <c r="S81" s="67" t="n">
        <v>20</v>
      </c>
      <c r="T81" s="55" t="str">
        <f>IF(CARDS!$A24="","",CARDS!$A24)</f>
        <v/>
      </c>
      <c r="U81" s="55" t="str">
        <f>IF($T81="","",CARDS!$B24&amp;" "&amp;CARDS!$C24)</f>
        <v/>
      </c>
      <c r="V81" s="25" t="str">
        <f>IF($T81="","",SUMIFS(TRANSACTIONS_MASTER!$L$5:$L$1204,TRANSACTIONS_MASTER!$D$5:$D$1204,$T81,TRANSACTIONS_MASTER!$C$5:$C$1204,$C$2,TRANSACTIONS_MASTER!$U$5:$U$1204,"&lt;&gt;Cancelled"))</f>
        <v/>
      </c>
      <c r="W81" s="26" t="str">
        <f>IF($T81="","",SUMIFS(TRANSACTIONS_MASTER!$Q$5:$Q$1204,TRANSACTIONS_MASTER!$D$5:$D$1204,$T81,TRANSACTIONS_MASTER!$C$5:$C$1204,$C$2))</f>
        <v/>
      </c>
      <c r="X81" s="25" t="str">
        <f>IF($T81="","",IFERROR(IF(ISNUMBER(INDEX(CASHBACK_RULES!$K$5:$K$304,MATCH($T81,CASHBACK_RULES!$B$5:$B$304,0))),INDEX(CASHBACK_RULES!$K$5:$K$304,MATCH($T81,CASHBACK_RULES!$B$5:$B$304,0)),"∞"),"—"))</f>
        <v/>
      </c>
      <c r="Y81" s="25" t="str">
        <f>IF($T81="","",IF($X81="—","—",IF(COUNTIFS($T$8:$T$57,$T81,$Z$8:$Z$57,"∞")&gt;0,IF(ISNUMBER($X81),MAX(0,$X81-$W81),"∞"),IF(ISNUMBER($X81),MAX(0,MIN($X81-$W81,SUMIFS($Z$8:$Z$57,$T$8:$T$57,$T81))),SUMIFS($Z$8:$Z$57,$T$8:$T$57,$T81)))))</f>
        <v/>
      </c>
      <c r="Z81" s="27" t="str">
        <f>IF($T81="","",IF(ISNUMBER($X81),IF($X81=0,0,$W81/$X81),IF(ISNUMBER($Y81),IF($W81+$Y81=0,0,$W81/($W81+$Y81)),"")))</f>
        <v/>
      </c>
      <c r="AA81" s="29" t="str">
        <f>IF($T81="","",COUNTIFS(TRANSACTIONS_MASTER!$D$5:$D$1204,$T81,TRANSACTIONS_MASTER!$C$5:$C$1204,$C$2,TRANSACTIONS_MASTER!$U$5:$U$1204,"&lt;&gt;Cancelled"))</f>
        <v/>
      </c>
    </row>
    <row r="82">
      <c r="A82" s="81" t="str">
        <f>IF($Q82="","",75)</f>
        <v/>
      </c>
      <c r="B82" s="57" t="str">
        <f>IF($Q82="","",INDEX(TRANSACTIONS_MASTER!$B$5:$B$1204,$Q82))</f>
        <v/>
      </c>
      <c r="C82" s="55" t="str">
        <f>IF($Q82="","",INDEX(TRANSACTIONS_MASTER!$F$5:$F$1204,$Q82))</f>
        <v/>
      </c>
      <c r="D82" s="55" t="str">
        <f>IF($Q82="","",INDEX(TRANSACTIONS_MASTER!$E$5:$E$1204,$Q82))</f>
        <v/>
      </c>
      <c r="E82" s="55" t="str">
        <f>IF($Q82="","",INDEX(TRANSACTIONS_MASTER!$G$5:$G$1204,$Q82)&amp;"")</f>
        <v/>
      </c>
      <c r="F82" s="29" t="str">
        <f>IF($Q82="","",INDEX(TRANSACTIONS_MASTER!$I$5:$I$1204,$Q82))</f>
        <v/>
      </c>
      <c r="G82" s="55" t="str">
        <f>IF($Q82="","",INDEX(TRANSACTIONS_MASTER!$K$5:$K$1204,$Q82))</f>
        <v/>
      </c>
      <c r="H82" s="25" t="str">
        <f>IF($Q82="","",INDEX(TRANSACTIONS_MASTER!$L$5:$L$1204,$Q82))</f>
        <v/>
      </c>
      <c r="I82" s="56" t="str">
        <f>IF($Q82="","",INDEX(TRANSACTIONS_MASTER!$N$5:$N$1204,$Q82))</f>
        <v/>
      </c>
      <c r="J82" s="25" t="str">
        <f>IF($Q82="","",INDEX(TRANSACTIONS_MASTER!$O$5:$O$1204,$Q82))</f>
        <v/>
      </c>
      <c r="K82" s="26" t="str">
        <f>IF($Q82="","",INDEX(TRANSACTIONS_MASTER!$Q$5:$Q$1204,$Q82))</f>
        <v/>
      </c>
      <c r="L82" s="25" t="str">
        <f>IF($Q82="","",INDEX(TRANSACTIONS_MASTER!$P$5:$P$1204,$Q82))</f>
        <v/>
      </c>
      <c r="M82" s="25" t="str">
        <f>IF($Q82="","",INDEX(TRANSACTIONS_MASTER!$AA$5:$AA$1204,$Q82))</f>
        <v/>
      </c>
      <c r="N82" s="25" t="str">
        <f>IF($Q82="","",INDEX(TRANSACTIONS_MASTER!$R$5:$R$1204,$Q82))</f>
        <v/>
      </c>
      <c r="O82" s="28" t="str">
        <f>IF($Q82="","",INDEX(TRANSACTIONS_MASTER!$AB$5:$AB$1204,$Q82))</f>
        <v/>
      </c>
      <c r="P82" s="55" t="str">
        <f>IF($Q82="","",INDEX(TRANSACTIONS_MASTER!$Z$5:$Z$1204,$Q82)&amp;"")</f>
        <v/>
      </c>
      <c r="Q82" s="67" t="str">
        <f>IFERROR(MATCH($C$2&amp;"|"&amp;75,TRANSACTIONS_MASTER!$AE$5:$AE$1204,0),"")</f>
        <v/>
      </c>
      <c r="S82" s="67" t="n">
        <v>21</v>
      </c>
      <c r="T82" s="55" t="str">
        <f>IF(CARDS!$A25="","",CARDS!$A25)</f>
        <v/>
      </c>
      <c r="U82" s="55" t="str">
        <f>IF($T82="","",CARDS!$B25&amp;" "&amp;CARDS!$C25)</f>
        <v/>
      </c>
      <c r="V82" s="25" t="str">
        <f>IF($T82="","",SUMIFS(TRANSACTIONS_MASTER!$L$5:$L$1204,TRANSACTIONS_MASTER!$D$5:$D$1204,$T82,TRANSACTIONS_MASTER!$C$5:$C$1204,$C$2,TRANSACTIONS_MASTER!$U$5:$U$1204,"&lt;&gt;Cancelled"))</f>
        <v/>
      </c>
      <c r="W82" s="26" t="str">
        <f>IF($T82="","",SUMIFS(TRANSACTIONS_MASTER!$Q$5:$Q$1204,TRANSACTIONS_MASTER!$D$5:$D$1204,$T82,TRANSACTIONS_MASTER!$C$5:$C$1204,$C$2))</f>
        <v/>
      </c>
      <c r="X82" s="25" t="str">
        <f>IF($T82="","",IFERROR(IF(ISNUMBER(INDEX(CASHBACK_RULES!$K$5:$K$304,MATCH($T82,CASHBACK_RULES!$B$5:$B$304,0))),INDEX(CASHBACK_RULES!$K$5:$K$304,MATCH($T82,CASHBACK_RULES!$B$5:$B$304,0)),"∞"),"—"))</f>
        <v/>
      </c>
      <c r="Y82" s="25" t="str">
        <f>IF($T82="","",IF($X82="—","—",IF(COUNTIFS($T$8:$T$57,$T82,$Z$8:$Z$57,"∞")&gt;0,IF(ISNUMBER($X82),MAX(0,$X82-$W82),"∞"),IF(ISNUMBER($X82),MAX(0,MIN($X82-$W82,SUMIFS($Z$8:$Z$57,$T$8:$T$57,$T82))),SUMIFS($Z$8:$Z$57,$T$8:$T$57,$T82)))))</f>
        <v/>
      </c>
      <c r="Z82" s="27" t="str">
        <f>IF($T82="","",IF(ISNUMBER($X82),IF($X82=0,0,$W82/$X82),IF(ISNUMBER($Y82),IF($W82+$Y82=0,0,$W82/($W82+$Y82)),"")))</f>
        <v/>
      </c>
      <c r="AA82" s="29" t="str">
        <f>IF($T82="","",COUNTIFS(TRANSACTIONS_MASTER!$D$5:$D$1204,$T82,TRANSACTIONS_MASTER!$C$5:$C$1204,$C$2,TRANSACTIONS_MASTER!$U$5:$U$1204,"&lt;&gt;Cancelled"))</f>
        <v/>
      </c>
    </row>
    <row r="83">
      <c r="A83" s="81" t="str">
        <f>IF($Q83="","",76)</f>
        <v/>
      </c>
      <c r="B83" s="57" t="str">
        <f>IF($Q83="","",INDEX(TRANSACTIONS_MASTER!$B$5:$B$1204,$Q83))</f>
        <v/>
      </c>
      <c r="C83" s="55" t="str">
        <f>IF($Q83="","",INDEX(TRANSACTIONS_MASTER!$F$5:$F$1204,$Q83))</f>
        <v/>
      </c>
      <c r="D83" s="55" t="str">
        <f>IF($Q83="","",INDEX(TRANSACTIONS_MASTER!$E$5:$E$1204,$Q83))</f>
        <v/>
      </c>
      <c r="E83" s="55" t="str">
        <f>IF($Q83="","",INDEX(TRANSACTIONS_MASTER!$G$5:$G$1204,$Q83)&amp;"")</f>
        <v/>
      </c>
      <c r="F83" s="29" t="str">
        <f>IF($Q83="","",INDEX(TRANSACTIONS_MASTER!$I$5:$I$1204,$Q83))</f>
        <v/>
      </c>
      <c r="G83" s="55" t="str">
        <f>IF($Q83="","",INDEX(TRANSACTIONS_MASTER!$K$5:$K$1204,$Q83))</f>
        <v/>
      </c>
      <c r="H83" s="25" t="str">
        <f>IF($Q83="","",INDEX(TRANSACTIONS_MASTER!$L$5:$L$1204,$Q83))</f>
        <v/>
      </c>
      <c r="I83" s="56" t="str">
        <f>IF($Q83="","",INDEX(TRANSACTIONS_MASTER!$N$5:$N$1204,$Q83))</f>
        <v/>
      </c>
      <c r="J83" s="25" t="str">
        <f>IF($Q83="","",INDEX(TRANSACTIONS_MASTER!$O$5:$O$1204,$Q83))</f>
        <v/>
      </c>
      <c r="K83" s="26" t="str">
        <f>IF($Q83="","",INDEX(TRANSACTIONS_MASTER!$Q$5:$Q$1204,$Q83))</f>
        <v/>
      </c>
      <c r="L83" s="25" t="str">
        <f>IF($Q83="","",INDEX(TRANSACTIONS_MASTER!$P$5:$P$1204,$Q83))</f>
        <v/>
      </c>
      <c r="M83" s="25" t="str">
        <f>IF($Q83="","",INDEX(TRANSACTIONS_MASTER!$AA$5:$AA$1204,$Q83))</f>
        <v/>
      </c>
      <c r="N83" s="25" t="str">
        <f>IF($Q83="","",INDEX(TRANSACTIONS_MASTER!$R$5:$R$1204,$Q83))</f>
        <v/>
      </c>
      <c r="O83" s="28" t="str">
        <f>IF($Q83="","",INDEX(TRANSACTIONS_MASTER!$AB$5:$AB$1204,$Q83))</f>
        <v/>
      </c>
      <c r="P83" s="55" t="str">
        <f>IF($Q83="","",INDEX(TRANSACTIONS_MASTER!$Z$5:$Z$1204,$Q83)&amp;"")</f>
        <v/>
      </c>
      <c r="Q83" s="67" t="str">
        <f>IFERROR(MATCH($C$2&amp;"|"&amp;76,TRANSACTIONS_MASTER!$AE$5:$AE$1204,0),"")</f>
        <v/>
      </c>
      <c r="S83" s="67" t="n">
        <v>22</v>
      </c>
      <c r="T83" s="55" t="str">
        <f>IF(CARDS!$A26="","",CARDS!$A26)</f>
        <v/>
      </c>
      <c r="U83" s="55" t="str">
        <f>IF($T83="","",CARDS!$B26&amp;" "&amp;CARDS!$C26)</f>
        <v/>
      </c>
      <c r="V83" s="25" t="str">
        <f>IF($T83="","",SUMIFS(TRANSACTIONS_MASTER!$L$5:$L$1204,TRANSACTIONS_MASTER!$D$5:$D$1204,$T83,TRANSACTIONS_MASTER!$C$5:$C$1204,$C$2,TRANSACTIONS_MASTER!$U$5:$U$1204,"&lt;&gt;Cancelled"))</f>
        <v/>
      </c>
      <c r="W83" s="26" t="str">
        <f>IF($T83="","",SUMIFS(TRANSACTIONS_MASTER!$Q$5:$Q$1204,TRANSACTIONS_MASTER!$D$5:$D$1204,$T83,TRANSACTIONS_MASTER!$C$5:$C$1204,$C$2))</f>
        <v/>
      </c>
      <c r="X83" s="25" t="str">
        <f>IF($T83="","",IFERROR(IF(ISNUMBER(INDEX(CASHBACK_RULES!$K$5:$K$304,MATCH($T83,CASHBACK_RULES!$B$5:$B$304,0))),INDEX(CASHBACK_RULES!$K$5:$K$304,MATCH($T83,CASHBACK_RULES!$B$5:$B$304,0)),"∞"),"—"))</f>
        <v/>
      </c>
      <c r="Y83" s="25" t="str">
        <f>IF($T83="","",IF($X83="—","—",IF(COUNTIFS($T$8:$T$57,$T83,$Z$8:$Z$57,"∞")&gt;0,IF(ISNUMBER($X83),MAX(0,$X83-$W83),"∞"),IF(ISNUMBER($X83),MAX(0,MIN($X83-$W83,SUMIFS($Z$8:$Z$57,$T$8:$T$57,$T83))),SUMIFS($Z$8:$Z$57,$T$8:$T$57,$T83)))))</f>
        <v/>
      </c>
      <c r="Z83" s="27" t="str">
        <f>IF($T83="","",IF(ISNUMBER($X83),IF($X83=0,0,$W83/$X83),IF(ISNUMBER($Y83),IF($W83+$Y83=0,0,$W83/($W83+$Y83)),"")))</f>
        <v/>
      </c>
      <c r="AA83" s="29" t="str">
        <f>IF($T83="","",COUNTIFS(TRANSACTIONS_MASTER!$D$5:$D$1204,$T83,TRANSACTIONS_MASTER!$C$5:$C$1204,$C$2,TRANSACTIONS_MASTER!$U$5:$U$1204,"&lt;&gt;Cancelled"))</f>
        <v/>
      </c>
    </row>
    <row r="84">
      <c r="A84" s="81" t="str">
        <f>IF($Q84="","",77)</f>
        <v/>
      </c>
      <c r="B84" s="57" t="str">
        <f>IF($Q84="","",INDEX(TRANSACTIONS_MASTER!$B$5:$B$1204,$Q84))</f>
        <v/>
      </c>
      <c r="C84" s="55" t="str">
        <f>IF($Q84="","",INDEX(TRANSACTIONS_MASTER!$F$5:$F$1204,$Q84))</f>
        <v/>
      </c>
      <c r="D84" s="55" t="str">
        <f>IF($Q84="","",INDEX(TRANSACTIONS_MASTER!$E$5:$E$1204,$Q84))</f>
        <v/>
      </c>
      <c r="E84" s="55" t="str">
        <f>IF($Q84="","",INDEX(TRANSACTIONS_MASTER!$G$5:$G$1204,$Q84)&amp;"")</f>
        <v/>
      </c>
      <c r="F84" s="29" t="str">
        <f>IF($Q84="","",INDEX(TRANSACTIONS_MASTER!$I$5:$I$1204,$Q84))</f>
        <v/>
      </c>
      <c r="G84" s="55" t="str">
        <f>IF($Q84="","",INDEX(TRANSACTIONS_MASTER!$K$5:$K$1204,$Q84))</f>
        <v/>
      </c>
      <c r="H84" s="25" t="str">
        <f>IF($Q84="","",INDEX(TRANSACTIONS_MASTER!$L$5:$L$1204,$Q84))</f>
        <v/>
      </c>
      <c r="I84" s="56" t="str">
        <f>IF($Q84="","",INDEX(TRANSACTIONS_MASTER!$N$5:$N$1204,$Q84))</f>
        <v/>
      </c>
      <c r="J84" s="25" t="str">
        <f>IF($Q84="","",INDEX(TRANSACTIONS_MASTER!$O$5:$O$1204,$Q84))</f>
        <v/>
      </c>
      <c r="K84" s="26" t="str">
        <f>IF($Q84="","",INDEX(TRANSACTIONS_MASTER!$Q$5:$Q$1204,$Q84))</f>
        <v/>
      </c>
      <c r="L84" s="25" t="str">
        <f>IF($Q84="","",INDEX(TRANSACTIONS_MASTER!$P$5:$P$1204,$Q84))</f>
        <v/>
      </c>
      <c r="M84" s="25" t="str">
        <f>IF($Q84="","",INDEX(TRANSACTIONS_MASTER!$AA$5:$AA$1204,$Q84))</f>
        <v/>
      </c>
      <c r="N84" s="25" t="str">
        <f>IF($Q84="","",INDEX(TRANSACTIONS_MASTER!$R$5:$R$1204,$Q84))</f>
        <v/>
      </c>
      <c r="O84" s="28" t="str">
        <f>IF($Q84="","",INDEX(TRANSACTIONS_MASTER!$AB$5:$AB$1204,$Q84))</f>
        <v/>
      </c>
      <c r="P84" s="55" t="str">
        <f>IF($Q84="","",INDEX(TRANSACTIONS_MASTER!$Z$5:$Z$1204,$Q84)&amp;"")</f>
        <v/>
      </c>
      <c r="Q84" s="67" t="str">
        <f>IFERROR(MATCH($C$2&amp;"|"&amp;77,TRANSACTIONS_MASTER!$AE$5:$AE$1204,0),"")</f>
        <v/>
      </c>
      <c r="S84" s="67" t="n">
        <v>23</v>
      </c>
      <c r="T84" s="55" t="str">
        <f>IF(CARDS!$A27="","",CARDS!$A27)</f>
        <v/>
      </c>
      <c r="U84" s="55" t="str">
        <f>IF($T84="","",CARDS!$B27&amp;" "&amp;CARDS!$C27)</f>
        <v/>
      </c>
      <c r="V84" s="25" t="str">
        <f>IF($T84="","",SUMIFS(TRANSACTIONS_MASTER!$L$5:$L$1204,TRANSACTIONS_MASTER!$D$5:$D$1204,$T84,TRANSACTIONS_MASTER!$C$5:$C$1204,$C$2,TRANSACTIONS_MASTER!$U$5:$U$1204,"&lt;&gt;Cancelled"))</f>
        <v/>
      </c>
      <c r="W84" s="26" t="str">
        <f>IF($T84="","",SUMIFS(TRANSACTIONS_MASTER!$Q$5:$Q$1204,TRANSACTIONS_MASTER!$D$5:$D$1204,$T84,TRANSACTIONS_MASTER!$C$5:$C$1204,$C$2))</f>
        <v/>
      </c>
      <c r="X84" s="25" t="str">
        <f>IF($T84="","",IFERROR(IF(ISNUMBER(INDEX(CASHBACK_RULES!$K$5:$K$304,MATCH($T84,CASHBACK_RULES!$B$5:$B$304,0))),INDEX(CASHBACK_RULES!$K$5:$K$304,MATCH($T84,CASHBACK_RULES!$B$5:$B$304,0)),"∞"),"—"))</f>
        <v/>
      </c>
      <c r="Y84" s="25" t="str">
        <f>IF($T84="","",IF($X84="—","—",IF(COUNTIFS($T$8:$T$57,$T84,$Z$8:$Z$57,"∞")&gt;0,IF(ISNUMBER($X84),MAX(0,$X84-$W84),"∞"),IF(ISNUMBER($X84),MAX(0,MIN($X84-$W84,SUMIFS($Z$8:$Z$57,$T$8:$T$57,$T84))),SUMIFS($Z$8:$Z$57,$T$8:$T$57,$T84)))))</f>
        <v/>
      </c>
      <c r="Z84" s="27" t="str">
        <f>IF($T84="","",IF(ISNUMBER($X84),IF($X84=0,0,$W84/$X84),IF(ISNUMBER($Y84),IF($W84+$Y84=0,0,$W84/($W84+$Y84)),"")))</f>
        <v/>
      </c>
      <c r="AA84" s="29" t="str">
        <f>IF($T84="","",COUNTIFS(TRANSACTIONS_MASTER!$D$5:$D$1204,$T84,TRANSACTIONS_MASTER!$C$5:$C$1204,$C$2,TRANSACTIONS_MASTER!$U$5:$U$1204,"&lt;&gt;Cancelled"))</f>
        <v/>
      </c>
    </row>
    <row r="85">
      <c r="A85" s="81" t="str">
        <f>IF($Q85="","",78)</f>
        <v/>
      </c>
      <c r="B85" s="57" t="str">
        <f>IF($Q85="","",INDEX(TRANSACTIONS_MASTER!$B$5:$B$1204,$Q85))</f>
        <v/>
      </c>
      <c r="C85" s="55" t="str">
        <f>IF($Q85="","",INDEX(TRANSACTIONS_MASTER!$F$5:$F$1204,$Q85))</f>
        <v/>
      </c>
      <c r="D85" s="55" t="str">
        <f>IF($Q85="","",INDEX(TRANSACTIONS_MASTER!$E$5:$E$1204,$Q85))</f>
        <v/>
      </c>
      <c r="E85" s="55" t="str">
        <f>IF($Q85="","",INDEX(TRANSACTIONS_MASTER!$G$5:$G$1204,$Q85)&amp;"")</f>
        <v/>
      </c>
      <c r="F85" s="29" t="str">
        <f>IF($Q85="","",INDEX(TRANSACTIONS_MASTER!$I$5:$I$1204,$Q85))</f>
        <v/>
      </c>
      <c r="G85" s="55" t="str">
        <f>IF($Q85="","",INDEX(TRANSACTIONS_MASTER!$K$5:$K$1204,$Q85))</f>
        <v/>
      </c>
      <c r="H85" s="25" t="str">
        <f>IF($Q85="","",INDEX(TRANSACTIONS_MASTER!$L$5:$L$1204,$Q85))</f>
        <v/>
      </c>
      <c r="I85" s="56" t="str">
        <f>IF($Q85="","",INDEX(TRANSACTIONS_MASTER!$N$5:$N$1204,$Q85))</f>
        <v/>
      </c>
      <c r="J85" s="25" t="str">
        <f>IF($Q85="","",INDEX(TRANSACTIONS_MASTER!$O$5:$O$1204,$Q85))</f>
        <v/>
      </c>
      <c r="K85" s="26" t="str">
        <f>IF($Q85="","",INDEX(TRANSACTIONS_MASTER!$Q$5:$Q$1204,$Q85))</f>
        <v/>
      </c>
      <c r="L85" s="25" t="str">
        <f>IF($Q85="","",INDEX(TRANSACTIONS_MASTER!$P$5:$P$1204,$Q85))</f>
        <v/>
      </c>
      <c r="M85" s="25" t="str">
        <f>IF($Q85="","",INDEX(TRANSACTIONS_MASTER!$AA$5:$AA$1204,$Q85))</f>
        <v/>
      </c>
      <c r="N85" s="25" t="str">
        <f>IF($Q85="","",INDEX(TRANSACTIONS_MASTER!$R$5:$R$1204,$Q85))</f>
        <v/>
      </c>
      <c r="O85" s="28" t="str">
        <f>IF($Q85="","",INDEX(TRANSACTIONS_MASTER!$AB$5:$AB$1204,$Q85))</f>
        <v/>
      </c>
      <c r="P85" s="55" t="str">
        <f>IF($Q85="","",INDEX(TRANSACTIONS_MASTER!$Z$5:$Z$1204,$Q85)&amp;"")</f>
        <v/>
      </c>
      <c r="Q85" s="67" t="str">
        <f>IFERROR(MATCH($C$2&amp;"|"&amp;78,TRANSACTIONS_MASTER!$AE$5:$AE$1204,0),"")</f>
        <v/>
      </c>
      <c r="S85" s="67" t="n">
        <v>24</v>
      </c>
      <c r="T85" s="55" t="str">
        <f>IF(CARDS!$A28="","",CARDS!$A28)</f>
        <v/>
      </c>
      <c r="U85" s="55" t="str">
        <f>IF($T85="","",CARDS!$B28&amp;" "&amp;CARDS!$C28)</f>
        <v/>
      </c>
      <c r="V85" s="25" t="str">
        <f>IF($T85="","",SUMIFS(TRANSACTIONS_MASTER!$L$5:$L$1204,TRANSACTIONS_MASTER!$D$5:$D$1204,$T85,TRANSACTIONS_MASTER!$C$5:$C$1204,$C$2,TRANSACTIONS_MASTER!$U$5:$U$1204,"&lt;&gt;Cancelled"))</f>
        <v/>
      </c>
      <c r="W85" s="26" t="str">
        <f>IF($T85="","",SUMIFS(TRANSACTIONS_MASTER!$Q$5:$Q$1204,TRANSACTIONS_MASTER!$D$5:$D$1204,$T85,TRANSACTIONS_MASTER!$C$5:$C$1204,$C$2))</f>
        <v/>
      </c>
      <c r="X85" s="25" t="str">
        <f>IF($T85="","",IFERROR(IF(ISNUMBER(INDEX(CASHBACK_RULES!$K$5:$K$304,MATCH($T85,CASHBACK_RULES!$B$5:$B$304,0))),INDEX(CASHBACK_RULES!$K$5:$K$304,MATCH($T85,CASHBACK_RULES!$B$5:$B$304,0)),"∞"),"—"))</f>
        <v/>
      </c>
      <c r="Y85" s="25" t="str">
        <f>IF($T85="","",IF($X85="—","—",IF(COUNTIFS($T$8:$T$57,$T85,$Z$8:$Z$57,"∞")&gt;0,IF(ISNUMBER($X85),MAX(0,$X85-$W85),"∞"),IF(ISNUMBER($X85),MAX(0,MIN($X85-$W85,SUMIFS($Z$8:$Z$57,$T$8:$T$57,$T85))),SUMIFS($Z$8:$Z$57,$T$8:$T$57,$T85)))))</f>
        <v/>
      </c>
      <c r="Z85" s="27" t="str">
        <f>IF($T85="","",IF(ISNUMBER($X85),IF($X85=0,0,$W85/$X85),IF(ISNUMBER($Y85),IF($W85+$Y85=0,0,$W85/($W85+$Y85)),"")))</f>
        <v/>
      </c>
      <c r="AA85" s="29" t="str">
        <f>IF($T85="","",COUNTIFS(TRANSACTIONS_MASTER!$D$5:$D$1204,$T85,TRANSACTIONS_MASTER!$C$5:$C$1204,$C$2,TRANSACTIONS_MASTER!$U$5:$U$1204,"&lt;&gt;Cancelled"))</f>
        <v/>
      </c>
    </row>
    <row r="86">
      <c r="A86" s="81" t="str">
        <f>IF($Q86="","",79)</f>
        <v/>
      </c>
      <c r="B86" s="57" t="str">
        <f>IF($Q86="","",INDEX(TRANSACTIONS_MASTER!$B$5:$B$1204,$Q86))</f>
        <v/>
      </c>
      <c r="C86" s="55" t="str">
        <f>IF($Q86="","",INDEX(TRANSACTIONS_MASTER!$F$5:$F$1204,$Q86))</f>
        <v/>
      </c>
      <c r="D86" s="55" t="str">
        <f>IF($Q86="","",INDEX(TRANSACTIONS_MASTER!$E$5:$E$1204,$Q86))</f>
        <v/>
      </c>
      <c r="E86" s="55" t="str">
        <f>IF($Q86="","",INDEX(TRANSACTIONS_MASTER!$G$5:$G$1204,$Q86)&amp;"")</f>
        <v/>
      </c>
      <c r="F86" s="29" t="str">
        <f>IF($Q86="","",INDEX(TRANSACTIONS_MASTER!$I$5:$I$1204,$Q86))</f>
        <v/>
      </c>
      <c r="G86" s="55" t="str">
        <f>IF($Q86="","",INDEX(TRANSACTIONS_MASTER!$K$5:$K$1204,$Q86))</f>
        <v/>
      </c>
      <c r="H86" s="25" t="str">
        <f>IF($Q86="","",INDEX(TRANSACTIONS_MASTER!$L$5:$L$1204,$Q86))</f>
        <v/>
      </c>
      <c r="I86" s="56" t="str">
        <f>IF($Q86="","",INDEX(TRANSACTIONS_MASTER!$N$5:$N$1204,$Q86))</f>
        <v/>
      </c>
      <c r="J86" s="25" t="str">
        <f>IF($Q86="","",INDEX(TRANSACTIONS_MASTER!$O$5:$O$1204,$Q86))</f>
        <v/>
      </c>
      <c r="K86" s="26" t="str">
        <f>IF($Q86="","",INDEX(TRANSACTIONS_MASTER!$Q$5:$Q$1204,$Q86))</f>
        <v/>
      </c>
      <c r="L86" s="25" t="str">
        <f>IF($Q86="","",INDEX(TRANSACTIONS_MASTER!$P$5:$P$1204,$Q86))</f>
        <v/>
      </c>
      <c r="M86" s="25" t="str">
        <f>IF($Q86="","",INDEX(TRANSACTIONS_MASTER!$AA$5:$AA$1204,$Q86))</f>
        <v/>
      </c>
      <c r="N86" s="25" t="str">
        <f>IF($Q86="","",INDEX(TRANSACTIONS_MASTER!$R$5:$R$1204,$Q86))</f>
        <v/>
      </c>
      <c r="O86" s="28" t="str">
        <f>IF($Q86="","",INDEX(TRANSACTIONS_MASTER!$AB$5:$AB$1204,$Q86))</f>
        <v/>
      </c>
      <c r="P86" s="55" t="str">
        <f>IF($Q86="","",INDEX(TRANSACTIONS_MASTER!$Z$5:$Z$1204,$Q86)&amp;"")</f>
        <v/>
      </c>
      <c r="Q86" s="67" t="str">
        <f>IFERROR(MATCH($C$2&amp;"|"&amp;79,TRANSACTIONS_MASTER!$AE$5:$AE$1204,0),"")</f>
        <v/>
      </c>
      <c r="S86" s="67" t="n">
        <v>25</v>
      </c>
      <c r="T86" s="55" t="str">
        <f>IF(CARDS!$A29="","",CARDS!$A29)</f>
        <v/>
      </c>
      <c r="U86" s="55" t="str">
        <f>IF($T86="","",CARDS!$B29&amp;" "&amp;CARDS!$C29)</f>
        <v/>
      </c>
      <c r="V86" s="25" t="str">
        <f>IF($T86="","",SUMIFS(TRANSACTIONS_MASTER!$L$5:$L$1204,TRANSACTIONS_MASTER!$D$5:$D$1204,$T86,TRANSACTIONS_MASTER!$C$5:$C$1204,$C$2,TRANSACTIONS_MASTER!$U$5:$U$1204,"&lt;&gt;Cancelled"))</f>
        <v/>
      </c>
      <c r="W86" s="26" t="str">
        <f>IF($T86="","",SUMIFS(TRANSACTIONS_MASTER!$Q$5:$Q$1204,TRANSACTIONS_MASTER!$D$5:$D$1204,$T86,TRANSACTIONS_MASTER!$C$5:$C$1204,$C$2))</f>
        <v/>
      </c>
      <c r="X86" s="25" t="str">
        <f>IF($T86="","",IFERROR(IF(ISNUMBER(INDEX(CASHBACK_RULES!$K$5:$K$304,MATCH($T86,CASHBACK_RULES!$B$5:$B$304,0))),INDEX(CASHBACK_RULES!$K$5:$K$304,MATCH($T86,CASHBACK_RULES!$B$5:$B$304,0)),"∞"),"—"))</f>
        <v/>
      </c>
      <c r="Y86" s="25" t="str">
        <f>IF($T86="","",IF($X86="—","—",IF(COUNTIFS($T$8:$T$57,$T86,$Z$8:$Z$57,"∞")&gt;0,IF(ISNUMBER($X86),MAX(0,$X86-$W86),"∞"),IF(ISNUMBER($X86),MAX(0,MIN($X86-$W86,SUMIFS($Z$8:$Z$57,$T$8:$T$57,$T86))),SUMIFS($Z$8:$Z$57,$T$8:$T$57,$T86)))))</f>
        <v/>
      </c>
      <c r="Z86" s="27" t="str">
        <f>IF($T86="","",IF(ISNUMBER($X86),IF($X86=0,0,$W86/$X86),IF(ISNUMBER($Y86),IF($W86+$Y86=0,0,$W86/($W86+$Y86)),"")))</f>
        <v/>
      </c>
      <c r="AA86" s="29" t="str">
        <f>IF($T86="","",COUNTIFS(TRANSACTIONS_MASTER!$D$5:$D$1204,$T86,TRANSACTIONS_MASTER!$C$5:$C$1204,$C$2,TRANSACTIONS_MASTER!$U$5:$U$1204,"&lt;&gt;Cancelled"))</f>
        <v/>
      </c>
    </row>
    <row r="87">
      <c r="A87" s="81" t="str">
        <f>IF($Q87="","",80)</f>
        <v/>
      </c>
      <c r="B87" s="57" t="str">
        <f>IF($Q87="","",INDEX(TRANSACTIONS_MASTER!$B$5:$B$1204,$Q87))</f>
        <v/>
      </c>
      <c r="C87" s="55" t="str">
        <f>IF($Q87="","",INDEX(TRANSACTIONS_MASTER!$F$5:$F$1204,$Q87))</f>
        <v/>
      </c>
      <c r="D87" s="55" t="str">
        <f>IF($Q87="","",INDEX(TRANSACTIONS_MASTER!$E$5:$E$1204,$Q87))</f>
        <v/>
      </c>
      <c r="E87" s="55" t="str">
        <f>IF($Q87="","",INDEX(TRANSACTIONS_MASTER!$G$5:$G$1204,$Q87)&amp;"")</f>
        <v/>
      </c>
      <c r="F87" s="29" t="str">
        <f>IF($Q87="","",INDEX(TRANSACTIONS_MASTER!$I$5:$I$1204,$Q87))</f>
        <v/>
      </c>
      <c r="G87" s="55" t="str">
        <f>IF($Q87="","",INDEX(TRANSACTIONS_MASTER!$K$5:$K$1204,$Q87))</f>
        <v/>
      </c>
      <c r="H87" s="25" t="str">
        <f>IF($Q87="","",INDEX(TRANSACTIONS_MASTER!$L$5:$L$1204,$Q87))</f>
        <v/>
      </c>
      <c r="I87" s="56" t="str">
        <f>IF($Q87="","",INDEX(TRANSACTIONS_MASTER!$N$5:$N$1204,$Q87))</f>
        <v/>
      </c>
      <c r="J87" s="25" t="str">
        <f>IF($Q87="","",INDEX(TRANSACTIONS_MASTER!$O$5:$O$1204,$Q87))</f>
        <v/>
      </c>
      <c r="K87" s="26" t="str">
        <f>IF($Q87="","",INDEX(TRANSACTIONS_MASTER!$Q$5:$Q$1204,$Q87))</f>
        <v/>
      </c>
      <c r="L87" s="25" t="str">
        <f>IF($Q87="","",INDEX(TRANSACTIONS_MASTER!$P$5:$P$1204,$Q87))</f>
        <v/>
      </c>
      <c r="M87" s="25" t="str">
        <f>IF($Q87="","",INDEX(TRANSACTIONS_MASTER!$AA$5:$AA$1204,$Q87))</f>
        <v/>
      </c>
      <c r="N87" s="25" t="str">
        <f>IF($Q87="","",INDEX(TRANSACTIONS_MASTER!$R$5:$R$1204,$Q87))</f>
        <v/>
      </c>
      <c r="O87" s="28" t="str">
        <f>IF($Q87="","",INDEX(TRANSACTIONS_MASTER!$AB$5:$AB$1204,$Q87))</f>
        <v/>
      </c>
      <c r="P87" s="55" t="str">
        <f>IF($Q87="","",INDEX(TRANSACTIONS_MASTER!$Z$5:$Z$1204,$Q87)&amp;"")</f>
        <v/>
      </c>
      <c r="Q87" s="67" t="str">
        <f>IFERROR(MATCH($C$2&amp;"|"&amp;80,TRANSACTIONS_MASTER!$AE$5:$AE$1204,0),"")</f>
        <v/>
      </c>
      <c r="S87" s="67" t="n">
        <v>26</v>
      </c>
      <c r="T87" s="55" t="str">
        <f>IF(CARDS!$A30="","",CARDS!$A30)</f>
        <v/>
      </c>
      <c r="U87" s="55" t="str">
        <f>IF($T87="","",CARDS!$B30&amp;" "&amp;CARDS!$C30)</f>
        <v/>
      </c>
      <c r="V87" s="25" t="str">
        <f>IF($T87="","",SUMIFS(TRANSACTIONS_MASTER!$L$5:$L$1204,TRANSACTIONS_MASTER!$D$5:$D$1204,$T87,TRANSACTIONS_MASTER!$C$5:$C$1204,$C$2,TRANSACTIONS_MASTER!$U$5:$U$1204,"&lt;&gt;Cancelled"))</f>
        <v/>
      </c>
      <c r="W87" s="26" t="str">
        <f>IF($T87="","",SUMIFS(TRANSACTIONS_MASTER!$Q$5:$Q$1204,TRANSACTIONS_MASTER!$D$5:$D$1204,$T87,TRANSACTIONS_MASTER!$C$5:$C$1204,$C$2))</f>
        <v/>
      </c>
      <c r="X87" s="25" t="str">
        <f>IF($T87="","",IFERROR(IF(ISNUMBER(INDEX(CASHBACK_RULES!$K$5:$K$304,MATCH($T87,CASHBACK_RULES!$B$5:$B$304,0))),INDEX(CASHBACK_RULES!$K$5:$K$304,MATCH($T87,CASHBACK_RULES!$B$5:$B$304,0)),"∞"),"—"))</f>
        <v/>
      </c>
      <c r="Y87" s="25" t="str">
        <f>IF($T87="","",IF($X87="—","—",IF(COUNTIFS($T$8:$T$57,$T87,$Z$8:$Z$57,"∞")&gt;0,IF(ISNUMBER($X87),MAX(0,$X87-$W87),"∞"),IF(ISNUMBER($X87),MAX(0,MIN($X87-$W87,SUMIFS($Z$8:$Z$57,$T$8:$T$57,$T87))),SUMIFS($Z$8:$Z$57,$T$8:$T$57,$T87)))))</f>
        <v/>
      </c>
      <c r="Z87" s="27" t="str">
        <f>IF($T87="","",IF(ISNUMBER($X87),IF($X87=0,0,$W87/$X87),IF(ISNUMBER($Y87),IF($W87+$Y87=0,0,$W87/($W87+$Y87)),"")))</f>
        <v/>
      </c>
      <c r="AA87" s="29" t="str">
        <f>IF($T87="","",COUNTIFS(TRANSACTIONS_MASTER!$D$5:$D$1204,$T87,TRANSACTIONS_MASTER!$C$5:$C$1204,$C$2,TRANSACTIONS_MASTER!$U$5:$U$1204,"&lt;&gt;Cancelled"))</f>
        <v/>
      </c>
    </row>
    <row r="88">
      <c r="A88" s="81" t="str">
        <f>IF($Q88="","",81)</f>
        <v/>
      </c>
      <c r="B88" s="57" t="str">
        <f>IF($Q88="","",INDEX(TRANSACTIONS_MASTER!$B$5:$B$1204,$Q88))</f>
        <v/>
      </c>
      <c r="C88" s="55" t="str">
        <f>IF($Q88="","",INDEX(TRANSACTIONS_MASTER!$F$5:$F$1204,$Q88))</f>
        <v/>
      </c>
      <c r="D88" s="55" t="str">
        <f>IF($Q88="","",INDEX(TRANSACTIONS_MASTER!$E$5:$E$1204,$Q88))</f>
        <v/>
      </c>
      <c r="E88" s="55" t="str">
        <f>IF($Q88="","",INDEX(TRANSACTIONS_MASTER!$G$5:$G$1204,$Q88)&amp;"")</f>
        <v/>
      </c>
      <c r="F88" s="29" t="str">
        <f>IF($Q88="","",INDEX(TRANSACTIONS_MASTER!$I$5:$I$1204,$Q88))</f>
        <v/>
      </c>
      <c r="G88" s="55" t="str">
        <f>IF($Q88="","",INDEX(TRANSACTIONS_MASTER!$K$5:$K$1204,$Q88))</f>
        <v/>
      </c>
      <c r="H88" s="25" t="str">
        <f>IF($Q88="","",INDEX(TRANSACTIONS_MASTER!$L$5:$L$1204,$Q88))</f>
        <v/>
      </c>
      <c r="I88" s="56" t="str">
        <f>IF($Q88="","",INDEX(TRANSACTIONS_MASTER!$N$5:$N$1204,$Q88))</f>
        <v/>
      </c>
      <c r="J88" s="25" t="str">
        <f>IF($Q88="","",INDEX(TRANSACTIONS_MASTER!$O$5:$O$1204,$Q88))</f>
        <v/>
      </c>
      <c r="K88" s="26" t="str">
        <f>IF($Q88="","",INDEX(TRANSACTIONS_MASTER!$Q$5:$Q$1204,$Q88))</f>
        <v/>
      </c>
      <c r="L88" s="25" t="str">
        <f>IF($Q88="","",INDEX(TRANSACTIONS_MASTER!$P$5:$P$1204,$Q88))</f>
        <v/>
      </c>
      <c r="M88" s="25" t="str">
        <f>IF($Q88="","",INDEX(TRANSACTIONS_MASTER!$AA$5:$AA$1204,$Q88))</f>
        <v/>
      </c>
      <c r="N88" s="25" t="str">
        <f>IF($Q88="","",INDEX(TRANSACTIONS_MASTER!$R$5:$R$1204,$Q88))</f>
        <v/>
      </c>
      <c r="O88" s="28" t="str">
        <f>IF($Q88="","",INDEX(TRANSACTIONS_MASTER!$AB$5:$AB$1204,$Q88))</f>
        <v/>
      </c>
      <c r="P88" s="55" t="str">
        <f>IF($Q88="","",INDEX(TRANSACTIONS_MASTER!$Z$5:$Z$1204,$Q88)&amp;"")</f>
        <v/>
      </c>
      <c r="Q88" s="67" t="str">
        <f>IFERROR(MATCH($C$2&amp;"|"&amp;81,TRANSACTIONS_MASTER!$AE$5:$AE$1204,0),"")</f>
        <v/>
      </c>
      <c r="S88" s="67" t="n">
        <v>27</v>
      </c>
      <c r="T88" s="55" t="str">
        <f>IF(CARDS!$A31="","",CARDS!$A31)</f>
        <v/>
      </c>
      <c r="U88" s="55" t="str">
        <f>IF($T88="","",CARDS!$B31&amp;" "&amp;CARDS!$C31)</f>
        <v/>
      </c>
      <c r="V88" s="25" t="str">
        <f>IF($T88="","",SUMIFS(TRANSACTIONS_MASTER!$L$5:$L$1204,TRANSACTIONS_MASTER!$D$5:$D$1204,$T88,TRANSACTIONS_MASTER!$C$5:$C$1204,$C$2,TRANSACTIONS_MASTER!$U$5:$U$1204,"&lt;&gt;Cancelled"))</f>
        <v/>
      </c>
      <c r="W88" s="26" t="str">
        <f>IF($T88="","",SUMIFS(TRANSACTIONS_MASTER!$Q$5:$Q$1204,TRANSACTIONS_MASTER!$D$5:$D$1204,$T88,TRANSACTIONS_MASTER!$C$5:$C$1204,$C$2))</f>
        <v/>
      </c>
      <c r="X88" s="25" t="str">
        <f>IF($T88="","",IFERROR(IF(ISNUMBER(INDEX(CASHBACK_RULES!$K$5:$K$304,MATCH($T88,CASHBACK_RULES!$B$5:$B$304,0))),INDEX(CASHBACK_RULES!$K$5:$K$304,MATCH($T88,CASHBACK_RULES!$B$5:$B$304,0)),"∞"),"—"))</f>
        <v/>
      </c>
      <c r="Y88" s="25" t="str">
        <f>IF($T88="","",IF($X88="—","—",IF(COUNTIFS($T$8:$T$57,$T88,$Z$8:$Z$57,"∞")&gt;0,IF(ISNUMBER($X88),MAX(0,$X88-$W88),"∞"),IF(ISNUMBER($X88),MAX(0,MIN($X88-$W88,SUMIFS($Z$8:$Z$57,$T$8:$T$57,$T88))),SUMIFS($Z$8:$Z$57,$T$8:$T$57,$T88)))))</f>
        <v/>
      </c>
      <c r="Z88" s="27" t="str">
        <f>IF($T88="","",IF(ISNUMBER($X88),IF($X88=0,0,$W88/$X88),IF(ISNUMBER($Y88),IF($W88+$Y88=0,0,$W88/($W88+$Y88)),"")))</f>
        <v/>
      </c>
      <c r="AA88" s="29" t="str">
        <f>IF($T88="","",COUNTIFS(TRANSACTIONS_MASTER!$D$5:$D$1204,$T88,TRANSACTIONS_MASTER!$C$5:$C$1204,$C$2,TRANSACTIONS_MASTER!$U$5:$U$1204,"&lt;&gt;Cancelled"))</f>
        <v/>
      </c>
    </row>
    <row r="89">
      <c r="A89" s="81" t="str">
        <f>IF($Q89="","",82)</f>
        <v/>
      </c>
      <c r="B89" s="57" t="str">
        <f>IF($Q89="","",INDEX(TRANSACTIONS_MASTER!$B$5:$B$1204,$Q89))</f>
        <v/>
      </c>
      <c r="C89" s="55" t="str">
        <f>IF($Q89="","",INDEX(TRANSACTIONS_MASTER!$F$5:$F$1204,$Q89))</f>
        <v/>
      </c>
      <c r="D89" s="55" t="str">
        <f>IF($Q89="","",INDEX(TRANSACTIONS_MASTER!$E$5:$E$1204,$Q89))</f>
        <v/>
      </c>
      <c r="E89" s="55" t="str">
        <f>IF($Q89="","",INDEX(TRANSACTIONS_MASTER!$G$5:$G$1204,$Q89)&amp;"")</f>
        <v/>
      </c>
      <c r="F89" s="29" t="str">
        <f>IF($Q89="","",INDEX(TRANSACTIONS_MASTER!$I$5:$I$1204,$Q89))</f>
        <v/>
      </c>
      <c r="G89" s="55" t="str">
        <f>IF($Q89="","",INDEX(TRANSACTIONS_MASTER!$K$5:$K$1204,$Q89))</f>
        <v/>
      </c>
      <c r="H89" s="25" t="str">
        <f>IF($Q89="","",INDEX(TRANSACTIONS_MASTER!$L$5:$L$1204,$Q89))</f>
        <v/>
      </c>
      <c r="I89" s="56" t="str">
        <f>IF($Q89="","",INDEX(TRANSACTIONS_MASTER!$N$5:$N$1204,$Q89))</f>
        <v/>
      </c>
      <c r="J89" s="25" t="str">
        <f>IF($Q89="","",INDEX(TRANSACTIONS_MASTER!$O$5:$O$1204,$Q89))</f>
        <v/>
      </c>
      <c r="K89" s="26" t="str">
        <f>IF($Q89="","",INDEX(TRANSACTIONS_MASTER!$Q$5:$Q$1204,$Q89))</f>
        <v/>
      </c>
      <c r="L89" s="25" t="str">
        <f>IF($Q89="","",INDEX(TRANSACTIONS_MASTER!$P$5:$P$1204,$Q89))</f>
        <v/>
      </c>
      <c r="M89" s="25" t="str">
        <f>IF($Q89="","",INDEX(TRANSACTIONS_MASTER!$AA$5:$AA$1204,$Q89))</f>
        <v/>
      </c>
      <c r="N89" s="25" t="str">
        <f>IF($Q89="","",INDEX(TRANSACTIONS_MASTER!$R$5:$R$1204,$Q89))</f>
        <v/>
      </c>
      <c r="O89" s="28" t="str">
        <f>IF($Q89="","",INDEX(TRANSACTIONS_MASTER!$AB$5:$AB$1204,$Q89))</f>
        <v/>
      </c>
      <c r="P89" s="55" t="str">
        <f>IF($Q89="","",INDEX(TRANSACTIONS_MASTER!$Z$5:$Z$1204,$Q89)&amp;"")</f>
        <v/>
      </c>
      <c r="Q89" s="67" t="str">
        <f>IFERROR(MATCH($C$2&amp;"|"&amp;82,TRANSACTIONS_MASTER!$AE$5:$AE$1204,0),"")</f>
        <v/>
      </c>
      <c r="S89" s="67" t="n">
        <v>28</v>
      </c>
      <c r="T89" s="55" t="str">
        <f>IF(CARDS!$A32="","",CARDS!$A32)</f>
        <v/>
      </c>
      <c r="U89" s="55" t="str">
        <f>IF($T89="","",CARDS!$B32&amp;" "&amp;CARDS!$C32)</f>
        <v/>
      </c>
      <c r="V89" s="25" t="str">
        <f>IF($T89="","",SUMIFS(TRANSACTIONS_MASTER!$L$5:$L$1204,TRANSACTIONS_MASTER!$D$5:$D$1204,$T89,TRANSACTIONS_MASTER!$C$5:$C$1204,$C$2,TRANSACTIONS_MASTER!$U$5:$U$1204,"&lt;&gt;Cancelled"))</f>
        <v/>
      </c>
      <c r="W89" s="26" t="str">
        <f>IF($T89="","",SUMIFS(TRANSACTIONS_MASTER!$Q$5:$Q$1204,TRANSACTIONS_MASTER!$D$5:$D$1204,$T89,TRANSACTIONS_MASTER!$C$5:$C$1204,$C$2))</f>
        <v/>
      </c>
      <c r="X89" s="25" t="str">
        <f>IF($T89="","",IFERROR(IF(ISNUMBER(INDEX(CASHBACK_RULES!$K$5:$K$304,MATCH($T89,CASHBACK_RULES!$B$5:$B$304,0))),INDEX(CASHBACK_RULES!$K$5:$K$304,MATCH($T89,CASHBACK_RULES!$B$5:$B$304,0)),"∞"),"—"))</f>
        <v/>
      </c>
      <c r="Y89" s="25" t="str">
        <f>IF($T89="","",IF($X89="—","—",IF(COUNTIFS($T$8:$T$57,$T89,$Z$8:$Z$57,"∞")&gt;0,IF(ISNUMBER($X89),MAX(0,$X89-$W89),"∞"),IF(ISNUMBER($X89),MAX(0,MIN($X89-$W89,SUMIFS($Z$8:$Z$57,$T$8:$T$57,$T89))),SUMIFS($Z$8:$Z$57,$T$8:$T$57,$T89)))))</f>
        <v/>
      </c>
      <c r="Z89" s="27" t="str">
        <f>IF($T89="","",IF(ISNUMBER($X89),IF($X89=0,0,$W89/$X89),IF(ISNUMBER($Y89),IF($W89+$Y89=0,0,$W89/($W89+$Y89)),"")))</f>
        <v/>
      </c>
      <c r="AA89" s="29" t="str">
        <f>IF($T89="","",COUNTIFS(TRANSACTIONS_MASTER!$D$5:$D$1204,$T89,TRANSACTIONS_MASTER!$C$5:$C$1204,$C$2,TRANSACTIONS_MASTER!$U$5:$U$1204,"&lt;&gt;Cancelled"))</f>
        <v/>
      </c>
    </row>
    <row r="90">
      <c r="A90" s="81" t="str">
        <f>IF($Q90="","",83)</f>
        <v/>
      </c>
      <c r="B90" s="57" t="str">
        <f>IF($Q90="","",INDEX(TRANSACTIONS_MASTER!$B$5:$B$1204,$Q90))</f>
        <v/>
      </c>
      <c r="C90" s="55" t="str">
        <f>IF($Q90="","",INDEX(TRANSACTIONS_MASTER!$F$5:$F$1204,$Q90))</f>
        <v/>
      </c>
      <c r="D90" s="55" t="str">
        <f>IF($Q90="","",INDEX(TRANSACTIONS_MASTER!$E$5:$E$1204,$Q90))</f>
        <v/>
      </c>
      <c r="E90" s="55" t="str">
        <f>IF($Q90="","",INDEX(TRANSACTIONS_MASTER!$G$5:$G$1204,$Q90)&amp;"")</f>
        <v/>
      </c>
      <c r="F90" s="29" t="str">
        <f>IF($Q90="","",INDEX(TRANSACTIONS_MASTER!$I$5:$I$1204,$Q90))</f>
        <v/>
      </c>
      <c r="G90" s="55" t="str">
        <f>IF($Q90="","",INDEX(TRANSACTIONS_MASTER!$K$5:$K$1204,$Q90))</f>
        <v/>
      </c>
      <c r="H90" s="25" t="str">
        <f>IF($Q90="","",INDEX(TRANSACTIONS_MASTER!$L$5:$L$1204,$Q90))</f>
        <v/>
      </c>
      <c r="I90" s="56" t="str">
        <f>IF($Q90="","",INDEX(TRANSACTIONS_MASTER!$N$5:$N$1204,$Q90))</f>
        <v/>
      </c>
      <c r="J90" s="25" t="str">
        <f>IF($Q90="","",INDEX(TRANSACTIONS_MASTER!$O$5:$O$1204,$Q90))</f>
        <v/>
      </c>
      <c r="K90" s="26" t="str">
        <f>IF($Q90="","",INDEX(TRANSACTIONS_MASTER!$Q$5:$Q$1204,$Q90))</f>
        <v/>
      </c>
      <c r="L90" s="25" t="str">
        <f>IF($Q90="","",INDEX(TRANSACTIONS_MASTER!$P$5:$P$1204,$Q90))</f>
        <v/>
      </c>
      <c r="M90" s="25" t="str">
        <f>IF($Q90="","",INDEX(TRANSACTIONS_MASTER!$AA$5:$AA$1204,$Q90))</f>
        <v/>
      </c>
      <c r="N90" s="25" t="str">
        <f>IF($Q90="","",INDEX(TRANSACTIONS_MASTER!$R$5:$R$1204,$Q90))</f>
        <v/>
      </c>
      <c r="O90" s="28" t="str">
        <f>IF($Q90="","",INDEX(TRANSACTIONS_MASTER!$AB$5:$AB$1204,$Q90))</f>
        <v/>
      </c>
      <c r="P90" s="55" t="str">
        <f>IF($Q90="","",INDEX(TRANSACTIONS_MASTER!$Z$5:$Z$1204,$Q90)&amp;"")</f>
        <v/>
      </c>
      <c r="Q90" s="67" t="str">
        <f>IFERROR(MATCH($C$2&amp;"|"&amp;83,TRANSACTIONS_MASTER!$AE$5:$AE$1204,0),"")</f>
        <v/>
      </c>
      <c r="S90" s="67" t="n">
        <v>29</v>
      </c>
      <c r="T90" s="55" t="str">
        <f>IF(CARDS!$A33="","",CARDS!$A33)</f>
        <v/>
      </c>
      <c r="U90" s="55" t="str">
        <f>IF($T90="","",CARDS!$B33&amp;" "&amp;CARDS!$C33)</f>
        <v/>
      </c>
      <c r="V90" s="25" t="str">
        <f>IF($T90="","",SUMIFS(TRANSACTIONS_MASTER!$L$5:$L$1204,TRANSACTIONS_MASTER!$D$5:$D$1204,$T90,TRANSACTIONS_MASTER!$C$5:$C$1204,$C$2,TRANSACTIONS_MASTER!$U$5:$U$1204,"&lt;&gt;Cancelled"))</f>
        <v/>
      </c>
      <c r="W90" s="26" t="str">
        <f>IF($T90="","",SUMIFS(TRANSACTIONS_MASTER!$Q$5:$Q$1204,TRANSACTIONS_MASTER!$D$5:$D$1204,$T90,TRANSACTIONS_MASTER!$C$5:$C$1204,$C$2))</f>
        <v/>
      </c>
      <c r="X90" s="25" t="str">
        <f>IF($T90="","",IFERROR(IF(ISNUMBER(INDEX(CASHBACK_RULES!$K$5:$K$304,MATCH($T90,CASHBACK_RULES!$B$5:$B$304,0))),INDEX(CASHBACK_RULES!$K$5:$K$304,MATCH($T90,CASHBACK_RULES!$B$5:$B$304,0)),"∞"),"—"))</f>
        <v/>
      </c>
      <c r="Y90" s="25" t="str">
        <f>IF($T90="","",IF($X90="—","—",IF(COUNTIFS($T$8:$T$57,$T90,$Z$8:$Z$57,"∞")&gt;0,IF(ISNUMBER($X90),MAX(0,$X90-$W90),"∞"),IF(ISNUMBER($X90),MAX(0,MIN($X90-$W90,SUMIFS($Z$8:$Z$57,$T$8:$T$57,$T90))),SUMIFS($Z$8:$Z$57,$T$8:$T$57,$T90)))))</f>
        <v/>
      </c>
      <c r="Z90" s="27" t="str">
        <f>IF($T90="","",IF(ISNUMBER($X90),IF($X90=0,0,$W90/$X90),IF(ISNUMBER($Y90),IF($W90+$Y90=0,0,$W90/($W90+$Y90)),"")))</f>
        <v/>
      </c>
      <c r="AA90" s="29" t="str">
        <f>IF($T90="","",COUNTIFS(TRANSACTIONS_MASTER!$D$5:$D$1204,$T90,TRANSACTIONS_MASTER!$C$5:$C$1204,$C$2,TRANSACTIONS_MASTER!$U$5:$U$1204,"&lt;&gt;Cancelled"))</f>
        <v/>
      </c>
    </row>
    <row r="91">
      <c r="A91" s="81" t="str">
        <f>IF($Q91="","",84)</f>
        <v/>
      </c>
      <c r="B91" s="57" t="str">
        <f>IF($Q91="","",INDEX(TRANSACTIONS_MASTER!$B$5:$B$1204,$Q91))</f>
        <v/>
      </c>
      <c r="C91" s="55" t="str">
        <f>IF($Q91="","",INDEX(TRANSACTIONS_MASTER!$F$5:$F$1204,$Q91))</f>
        <v/>
      </c>
      <c r="D91" s="55" t="str">
        <f>IF($Q91="","",INDEX(TRANSACTIONS_MASTER!$E$5:$E$1204,$Q91))</f>
        <v/>
      </c>
      <c r="E91" s="55" t="str">
        <f>IF($Q91="","",INDEX(TRANSACTIONS_MASTER!$G$5:$G$1204,$Q91)&amp;"")</f>
        <v/>
      </c>
      <c r="F91" s="29" t="str">
        <f>IF($Q91="","",INDEX(TRANSACTIONS_MASTER!$I$5:$I$1204,$Q91))</f>
        <v/>
      </c>
      <c r="G91" s="55" t="str">
        <f>IF($Q91="","",INDEX(TRANSACTIONS_MASTER!$K$5:$K$1204,$Q91))</f>
        <v/>
      </c>
      <c r="H91" s="25" t="str">
        <f>IF($Q91="","",INDEX(TRANSACTIONS_MASTER!$L$5:$L$1204,$Q91))</f>
        <v/>
      </c>
      <c r="I91" s="56" t="str">
        <f>IF($Q91="","",INDEX(TRANSACTIONS_MASTER!$N$5:$N$1204,$Q91))</f>
        <v/>
      </c>
      <c r="J91" s="25" t="str">
        <f>IF($Q91="","",INDEX(TRANSACTIONS_MASTER!$O$5:$O$1204,$Q91))</f>
        <v/>
      </c>
      <c r="K91" s="26" t="str">
        <f>IF($Q91="","",INDEX(TRANSACTIONS_MASTER!$Q$5:$Q$1204,$Q91))</f>
        <v/>
      </c>
      <c r="L91" s="25" t="str">
        <f>IF($Q91="","",INDEX(TRANSACTIONS_MASTER!$P$5:$P$1204,$Q91))</f>
        <v/>
      </c>
      <c r="M91" s="25" t="str">
        <f>IF($Q91="","",INDEX(TRANSACTIONS_MASTER!$AA$5:$AA$1204,$Q91))</f>
        <v/>
      </c>
      <c r="N91" s="25" t="str">
        <f>IF($Q91="","",INDEX(TRANSACTIONS_MASTER!$R$5:$R$1204,$Q91))</f>
        <v/>
      </c>
      <c r="O91" s="28" t="str">
        <f>IF($Q91="","",INDEX(TRANSACTIONS_MASTER!$AB$5:$AB$1204,$Q91))</f>
        <v/>
      </c>
      <c r="P91" s="55" t="str">
        <f>IF($Q91="","",INDEX(TRANSACTIONS_MASTER!$Z$5:$Z$1204,$Q91)&amp;"")</f>
        <v/>
      </c>
      <c r="Q91" s="67" t="str">
        <f>IFERROR(MATCH($C$2&amp;"|"&amp;84,TRANSACTIONS_MASTER!$AE$5:$AE$1204,0),"")</f>
        <v/>
      </c>
      <c r="S91" s="67" t="n">
        <v>30</v>
      </c>
      <c r="T91" s="55" t="str">
        <f>IF(CARDS!$A34="","",CARDS!$A34)</f>
        <v/>
      </c>
      <c r="U91" s="55" t="str">
        <f>IF($T91="","",CARDS!$B34&amp;" "&amp;CARDS!$C34)</f>
        <v/>
      </c>
      <c r="V91" s="25" t="str">
        <f>IF($T91="","",SUMIFS(TRANSACTIONS_MASTER!$L$5:$L$1204,TRANSACTIONS_MASTER!$D$5:$D$1204,$T91,TRANSACTIONS_MASTER!$C$5:$C$1204,$C$2,TRANSACTIONS_MASTER!$U$5:$U$1204,"&lt;&gt;Cancelled"))</f>
        <v/>
      </c>
      <c r="W91" s="26" t="str">
        <f>IF($T91="","",SUMIFS(TRANSACTIONS_MASTER!$Q$5:$Q$1204,TRANSACTIONS_MASTER!$D$5:$D$1204,$T91,TRANSACTIONS_MASTER!$C$5:$C$1204,$C$2))</f>
        <v/>
      </c>
      <c r="X91" s="25" t="str">
        <f>IF($T91="","",IFERROR(IF(ISNUMBER(INDEX(CASHBACK_RULES!$K$5:$K$304,MATCH($T91,CASHBACK_RULES!$B$5:$B$304,0))),INDEX(CASHBACK_RULES!$K$5:$K$304,MATCH($T91,CASHBACK_RULES!$B$5:$B$304,0)),"∞"),"—"))</f>
        <v/>
      </c>
      <c r="Y91" s="25" t="str">
        <f>IF($T91="","",IF($X91="—","—",IF(COUNTIFS($T$8:$T$57,$T91,$Z$8:$Z$57,"∞")&gt;0,IF(ISNUMBER($X91),MAX(0,$X91-$W91),"∞"),IF(ISNUMBER($X91),MAX(0,MIN($X91-$W91,SUMIFS($Z$8:$Z$57,$T$8:$T$57,$T91))),SUMIFS($Z$8:$Z$57,$T$8:$T$57,$T91)))))</f>
        <v/>
      </c>
      <c r="Z91" s="27" t="str">
        <f>IF($T91="","",IF(ISNUMBER($X91),IF($X91=0,0,$W91/$X91),IF(ISNUMBER($Y91),IF($W91+$Y91=0,0,$W91/($W91+$Y91)),"")))</f>
        <v/>
      </c>
      <c r="AA91" s="29" t="str">
        <f>IF($T91="","",COUNTIFS(TRANSACTIONS_MASTER!$D$5:$D$1204,$T91,TRANSACTIONS_MASTER!$C$5:$C$1204,$C$2,TRANSACTIONS_MASTER!$U$5:$U$1204,"&lt;&gt;Cancelled"))</f>
        <v/>
      </c>
    </row>
    <row r="92">
      <c r="A92" s="81" t="str">
        <f>IF($Q92="","",85)</f>
        <v/>
      </c>
      <c r="B92" s="57" t="str">
        <f>IF($Q92="","",INDEX(TRANSACTIONS_MASTER!$B$5:$B$1204,$Q92))</f>
        <v/>
      </c>
      <c r="C92" s="55" t="str">
        <f>IF($Q92="","",INDEX(TRANSACTIONS_MASTER!$F$5:$F$1204,$Q92))</f>
        <v/>
      </c>
      <c r="D92" s="55" t="str">
        <f>IF($Q92="","",INDEX(TRANSACTIONS_MASTER!$E$5:$E$1204,$Q92))</f>
        <v/>
      </c>
      <c r="E92" s="55" t="str">
        <f>IF($Q92="","",INDEX(TRANSACTIONS_MASTER!$G$5:$G$1204,$Q92)&amp;"")</f>
        <v/>
      </c>
      <c r="F92" s="29" t="str">
        <f>IF($Q92="","",INDEX(TRANSACTIONS_MASTER!$I$5:$I$1204,$Q92))</f>
        <v/>
      </c>
      <c r="G92" s="55" t="str">
        <f>IF($Q92="","",INDEX(TRANSACTIONS_MASTER!$K$5:$K$1204,$Q92))</f>
        <v/>
      </c>
      <c r="H92" s="25" t="str">
        <f>IF($Q92="","",INDEX(TRANSACTIONS_MASTER!$L$5:$L$1204,$Q92))</f>
        <v/>
      </c>
      <c r="I92" s="56" t="str">
        <f>IF($Q92="","",INDEX(TRANSACTIONS_MASTER!$N$5:$N$1204,$Q92))</f>
        <v/>
      </c>
      <c r="J92" s="25" t="str">
        <f>IF($Q92="","",INDEX(TRANSACTIONS_MASTER!$O$5:$O$1204,$Q92))</f>
        <v/>
      </c>
      <c r="K92" s="26" t="str">
        <f>IF($Q92="","",INDEX(TRANSACTIONS_MASTER!$Q$5:$Q$1204,$Q92))</f>
        <v/>
      </c>
      <c r="L92" s="25" t="str">
        <f>IF($Q92="","",INDEX(TRANSACTIONS_MASTER!$P$5:$P$1204,$Q92))</f>
        <v/>
      </c>
      <c r="M92" s="25" t="str">
        <f>IF($Q92="","",INDEX(TRANSACTIONS_MASTER!$AA$5:$AA$1204,$Q92))</f>
        <v/>
      </c>
      <c r="N92" s="25" t="str">
        <f>IF($Q92="","",INDEX(TRANSACTIONS_MASTER!$R$5:$R$1204,$Q92))</f>
        <v/>
      </c>
      <c r="O92" s="28" t="str">
        <f>IF($Q92="","",INDEX(TRANSACTIONS_MASTER!$AB$5:$AB$1204,$Q92))</f>
        <v/>
      </c>
      <c r="P92" s="55" t="str">
        <f>IF($Q92="","",INDEX(TRANSACTIONS_MASTER!$Z$5:$Z$1204,$Q92)&amp;"")</f>
        <v/>
      </c>
      <c r="Q92" s="67" t="str">
        <f>IFERROR(MATCH($C$2&amp;"|"&amp;85,TRANSACTIONS_MASTER!$AE$5:$AE$1204,0),"")</f>
        <v/>
      </c>
      <c r="T92" s="68" t="n"/>
      <c r="U92" s="69" t="inlineStr">
        <is>
          <t>TỔNG</t>
        </is>
      </c>
      <c r="V92" s="31">
        <f>SUM(V62:V91)</f>
        <v>0</v>
      </c>
      <c r="W92" s="31">
        <f>SUM(W62:W91)</f>
        <v>0</v>
      </c>
      <c r="X92" s="68" t="n"/>
      <c r="Y92" s="31">
        <f>SUM(Y62:Y91)</f>
        <v>4500000</v>
      </c>
      <c r="Z92" s="68" t="n"/>
      <c r="AA92" s="32">
        <f>SUM(AA62:AA91)</f>
        <v>0</v>
      </c>
    </row>
    <row r="93">
      <c r="A93" s="81" t="str">
        <f>IF($Q93="","",86)</f>
        <v/>
      </c>
      <c r="B93" s="57" t="str">
        <f>IF($Q93="","",INDEX(TRANSACTIONS_MASTER!$B$5:$B$1204,$Q93))</f>
        <v/>
      </c>
      <c r="C93" s="55" t="str">
        <f>IF($Q93="","",INDEX(TRANSACTIONS_MASTER!$F$5:$F$1204,$Q93))</f>
        <v/>
      </c>
      <c r="D93" s="55" t="str">
        <f>IF($Q93="","",INDEX(TRANSACTIONS_MASTER!$E$5:$E$1204,$Q93))</f>
        <v/>
      </c>
      <c r="E93" s="55" t="str">
        <f>IF($Q93="","",INDEX(TRANSACTIONS_MASTER!$G$5:$G$1204,$Q93)&amp;"")</f>
        <v/>
      </c>
      <c r="F93" s="29" t="str">
        <f>IF($Q93="","",INDEX(TRANSACTIONS_MASTER!$I$5:$I$1204,$Q93))</f>
        <v/>
      </c>
      <c r="G93" s="55" t="str">
        <f>IF($Q93="","",INDEX(TRANSACTIONS_MASTER!$K$5:$K$1204,$Q93))</f>
        <v/>
      </c>
      <c r="H93" s="25" t="str">
        <f>IF($Q93="","",INDEX(TRANSACTIONS_MASTER!$L$5:$L$1204,$Q93))</f>
        <v/>
      </c>
      <c r="I93" s="56" t="str">
        <f>IF($Q93="","",INDEX(TRANSACTIONS_MASTER!$N$5:$N$1204,$Q93))</f>
        <v/>
      </c>
      <c r="J93" s="25" t="str">
        <f>IF($Q93="","",INDEX(TRANSACTIONS_MASTER!$O$5:$O$1204,$Q93))</f>
        <v/>
      </c>
      <c r="K93" s="26" t="str">
        <f>IF($Q93="","",INDEX(TRANSACTIONS_MASTER!$Q$5:$Q$1204,$Q93))</f>
        <v/>
      </c>
      <c r="L93" s="25" t="str">
        <f>IF($Q93="","",INDEX(TRANSACTIONS_MASTER!$P$5:$P$1204,$Q93))</f>
        <v/>
      </c>
      <c r="M93" s="25" t="str">
        <f>IF($Q93="","",INDEX(TRANSACTIONS_MASTER!$AA$5:$AA$1204,$Q93))</f>
        <v/>
      </c>
      <c r="N93" s="25" t="str">
        <f>IF($Q93="","",INDEX(TRANSACTIONS_MASTER!$R$5:$R$1204,$Q93))</f>
        <v/>
      </c>
      <c r="O93" s="28" t="str">
        <f>IF($Q93="","",INDEX(TRANSACTIONS_MASTER!$AB$5:$AB$1204,$Q93))</f>
        <v/>
      </c>
      <c r="P93" s="55" t="str">
        <f>IF($Q93="","",INDEX(TRANSACTIONS_MASTER!$Z$5:$Z$1204,$Q93)&amp;"")</f>
        <v/>
      </c>
      <c r="Q93" s="67" t="str">
        <f>IFERROR(MATCH($C$2&amp;"|"&amp;86,TRANSACTIONS_MASTER!$AE$5:$AE$1204,0),"")</f>
        <v/>
      </c>
    </row>
    <row r="94">
      <c r="A94" s="81" t="str">
        <f>IF($Q94="","",87)</f>
        <v/>
      </c>
      <c r="B94" s="57" t="str">
        <f>IF($Q94="","",INDEX(TRANSACTIONS_MASTER!$B$5:$B$1204,$Q94))</f>
        <v/>
      </c>
      <c r="C94" s="55" t="str">
        <f>IF($Q94="","",INDEX(TRANSACTIONS_MASTER!$F$5:$F$1204,$Q94))</f>
        <v/>
      </c>
      <c r="D94" s="55" t="str">
        <f>IF($Q94="","",INDEX(TRANSACTIONS_MASTER!$E$5:$E$1204,$Q94))</f>
        <v/>
      </c>
      <c r="E94" s="55" t="str">
        <f>IF($Q94="","",INDEX(TRANSACTIONS_MASTER!$G$5:$G$1204,$Q94)&amp;"")</f>
        <v/>
      </c>
      <c r="F94" s="29" t="str">
        <f>IF($Q94="","",INDEX(TRANSACTIONS_MASTER!$I$5:$I$1204,$Q94))</f>
        <v/>
      </c>
      <c r="G94" s="55" t="str">
        <f>IF($Q94="","",INDEX(TRANSACTIONS_MASTER!$K$5:$K$1204,$Q94))</f>
        <v/>
      </c>
      <c r="H94" s="25" t="str">
        <f>IF($Q94="","",INDEX(TRANSACTIONS_MASTER!$L$5:$L$1204,$Q94))</f>
        <v/>
      </c>
      <c r="I94" s="56" t="str">
        <f>IF($Q94="","",INDEX(TRANSACTIONS_MASTER!$N$5:$N$1204,$Q94))</f>
        <v/>
      </c>
      <c r="J94" s="25" t="str">
        <f>IF($Q94="","",INDEX(TRANSACTIONS_MASTER!$O$5:$O$1204,$Q94))</f>
        <v/>
      </c>
      <c r="K94" s="26" t="str">
        <f>IF($Q94="","",INDEX(TRANSACTIONS_MASTER!$Q$5:$Q$1204,$Q94))</f>
        <v/>
      </c>
      <c r="L94" s="25" t="str">
        <f>IF($Q94="","",INDEX(TRANSACTIONS_MASTER!$P$5:$P$1204,$Q94))</f>
        <v/>
      </c>
      <c r="M94" s="25" t="str">
        <f>IF($Q94="","",INDEX(TRANSACTIONS_MASTER!$AA$5:$AA$1204,$Q94))</f>
        <v/>
      </c>
      <c r="N94" s="25" t="str">
        <f>IF($Q94="","",INDEX(TRANSACTIONS_MASTER!$R$5:$R$1204,$Q94))</f>
        <v/>
      </c>
      <c r="O94" s="28" t="str">
        <f>IF($Q94="","",INDEX(TRANSACTIONS_MASTER!$AB$5:$AB$1204,$Q94))</f>
        <v/>
      </c>
      <c r="P94" s="55" t="str">
        <f>IF($Q94="","",INDEX(TRANSACTIONS_MASTER!$Z$5:$Z$1204,$Q94)&amp;"")</f>
        <v/>
      </c>
      <c r="Q94" s="67" t="str">
        <f>IFERROR(MATCH($C$2&amp;"|"&amp;87,TRANSACTIONS_MASTER!$AE$5:$AE$1204,0),"")</f>
        <v/>
      </c>
    </row>
    <row r="95" ht="22" customHeight="1">
      <c r="A95" s="81" t="str">
        <f>IF($Q95="","",88)</f>
        <v/>
      </c>
      <c r="B95" s="57" t="str">
        <f>IF($Q95="","",INDEX(TRANSACTIONS_MASTER!$B$5:$B$1204,$Q95))</f>
        <v/>
      </c>
      <c r="C95" s="55" t="str">
        <f>IF($Q95="","",INDEX(TRANSACTIONS_MASTER!$F$5:$F$1204,$Q95))</f>
        <v/>
      </c>
      <c r="D95" s="55" t="str">
        <f>IF($Q95="","",INDEX(TRANSACTIONS_MASTER!$E$5:$E$1204,$Q95))</f>
        <v/>
      </c>
      <c r="E95" s="55" t="str">
        <f>IF($Q95="","",INDEX(TRANSACTIONS_MASTER!$G$5:$G$1204,$Q95)&amp;"")</f>
        <v/>
      </c>
      <c r="F95" s="29" t="str">
        <f>IF($Q95="","",INDEX(TRANSACTIONS_MASTER!$I$5:$I$1204,$Q95))</f>
        <v/>
      </c>
      <c r="G95" s="55" t="str">
        <f>IF($Q95="","",INDEX(TRANSACTIONS_MASTER!$K$5:$K$1204,$Q95))</f>
        <v/>
      </c>
      <c r="H95" s="25" t="str">
        <f>IF($Q95="","",INDEX(TRANSACTIONS_MASTER!$L$5:$L$1204,$Q95))</f>
        <v/>
      </c>
      <c r="I95" s="56" t="str">
        <f>IF($Q95="","",INDEX(TRANSACTIONS_MASTER!$N$5:$N$1204,$Q95))</f>
        <v/>
      </c>
      <c r="J95" s="25" t="str">
        <f>IF($Q95="","",INDEX(TRANSACTIONS_MASTER!$O$5:$O$1204,$Q95))</f>
        <v/>
      </c>
      <c r="K95" s="26" t="str">
        <f>IF($Q95="","",INDEX(TRANSACTIONS_MASTER!$Q$5:$Q$1204,$Q95))</f>
        <v/>
      </c>
      <c r="L95" s="25" t="str">
        <f>IF($Q95="","",INDEX(TRANSACTIONS_MASTER!$P$5:$P$1204,$Q95))</f>
        <v/>
      </c>
      <c r="M95" s="25" t="str">
        <f>IF($Q95="","",INDEX(TRANSACTIONS_MASTER!$AA$5:$AA$1204,$Q95))</f>
        <v/>
      </c>
      <c r="N95" s="25" t="str">
        <f>IF($Q95="","",INDEX(TRANSACTIONS_MASTER!$R$5:$R$1204,$Q95))</f>
        <v/>
      </c>
      <c r="O95" s="28" t="str">
        <f>IF($Q95="","",INDEX(TRANSACTIONS_MASTER!$AB$5:$AB$1204,$Q95))</f>
        <v/>
      </c>
      <c r="P95" s="55" t="str">
        <f>IF($Q95="","",INDEX(TRANSACTIONS_MASTER!$Z$5:$Z$1204,$Q95)&amp;"")</f>
        <v/>
      </c>
      <c r="Q95" s="67" t="str">
        <f>IFERROR(MATCH($C$2&amp;"|"&amp;88,TRANSACTIONS_MASTER!$AE$5:$AE$1204,0),"")</f>
        <v/>
      </c>
      <c r="T95" s="19" t="inlineStr">
        <is>
          <t>THEO NGÂN HÀNG</t>
        </is>
      </c>
      <c r="U95" s="20" t="n"/>
      <c r="V95" s="20" t="n"/>
      <c r="W95" s="20" t="n"/>
      <c r="X95" s="20" t="n"/>
      <c r="Y95" s="20" t="n"/>
      <c r="Z95" s="20" t="n"/>
      <c r="AA95" s="20" t="n"/>
    </row>
    <row r="96" ht="28" customHeight="1">
      <c r="A96" s="81" t="str">
        <f>IF($Q96="","",89)</f>
        <v/>
      </c>
      <c r="B96" s="57" t="str">
        <f>IF($Q96="","",INDEX(TRANSACTIONS_MASTER!$B$5:$B$1204,$Q96))</f>
        <v/>
      </c>
      <c r="C96" s="55" t="str">
        <f>IF($Q96="","",INDEX(TRANSACTIONS_MASTER!$F$5:$F$1204,$Q96))</f>
        <v/>
      </c>
      <c r="D96" s="55" t="str">
        <f>IF($Q96="","",INDEX(TRANSACTIONS_MASTER!$E$5:$E$1204,$Q96))</f>
        <v/>
      </c>
      <c r="E96" s="55" t="str">
        <f>IF($Q96="","",INDEX(TRANSACTIONS_MASTER!$G$5:$G$1204,$Q96)&amp;"")</f>
        <v/>
      </c>
      <c r="F96" s="29" t="str">
        <f>IF($Q96="","",INDEX(TRANSACTIONS_MASTER!$I$5:$I$1204,$Q96))</f>
        <v/>
      </c>
      <c r="G96" s="55" t="str">
        <f>IF($Q96="","",INDEX(TRANSACTIONS_MASTER!$K$5:$K$1204,$Q96))</f>
        <v/>
      </c>
      <c r="H96" s="25" t="str">
        <f>IF($Q96="","",INDEX(TRANSACTIONS_MASTER!$L$5:$L$1204,$Q96))</f>
        <v/>
      </c>
      <c r="I96" s="56" t="str">
        <f>IF($Q96="","",INDEX(TRANSACTIONS_MASTER!$N$5:$N$1204,$Q96))</f>
        <v/>
      </c>
      <c r="J96" s="25" t="str">
        <f>IF($Q96="","",INDEX(TRANSACTIONS_MASTER!$O$5:$O$1204,$Q96))</f>
        <v/>
      </c>
      <c r="K96" s="26" t="str">
        <f>IF($Q96="","",INDEX(TRANSACTIONS_MASTER!$Q$5:$Q$1204,$Q96))</f>
        <v/>
      </c>
      <c r="L96" s="25" t="str">
        <f>IF($Q96="","",INDEX(TRANSACTIONS_MASTER!$P$5:$P$1204,$Q96))</f>
        <v/>
      </c>
      <c r="M96" s="25" t="str">
        <f>IF($Q96="","",INDEX(TRANSACTIONS_MASTER!$AA$5:$AA$1204,$Q96))</f>
        <v/>
      </c>
      <c r="N96" s="25" t="str">
        <f>IF($Q96="","",INDEX(TRANSACTIONS_MASTER!$R$5:$R$1204,$Q96))</f>
        <v/>
      </c>
      <c r="O96" s="28" t="str">
        <f>IF($Q96="","",INDEX(TRANSACTIONS_MASTER!$AB$5:$AB$1204,$Q96))</f>
        <v/>
      </c>
      <c r="P96" s="55" t="str">
        <f>IF($Q96="","",INDEX(TRANSACTIONS_MASTER!$Z$5:$Z$1204,$Q96)&amp;"")</f>
        <v/>
      </c>
      <c r="Q96" s="67" t="str">
        <f>IFERROR(MATCH($C$2&amp;"|"&amp;89,TRANSACTIONS_MASTER!$AE$5:$AE$1204,0),"")</f>
        <v/>
      </c>
      <c r="S96" s="21" t="inlineStr">
        <is>
          <t>#</t>
        </is>
      </c>
      <c r="T96" s="21" t="inlineStr"/>
      <c r="U96" s="21" t="inlineStr">
        <is>
          <t>Ngân hàng</t>
        </is>
      </c>
      <c r="V96" s="21" t="inlineStr">
        <is>
          <t>Chi tiêu</t>
        </is>
      </c>
      <c r="W96" s="21" t="inlineStr">
        <is>
          <t>Cashback</t>
        </is>
      </c>
    </row>
    <row r="97">
      <c r="A97" s="81" t="str">
        <f>IF($Q97="","",90)</f>
        <v/>
      </c>
      <c r="B97" s="57" t="str">
        <f>IF($Q97="","",INDEX(TRANSACTIONS_MASTER!$B$5:$B$1204,$Q97))</f>
        <v/>
      </c>
      <c r="C97" s="55" t="str">
        <f>IF($Q97="","",INDEX(TRANSACTIONS_MASTER!$F$5:$F$1204,$Q97))</f>
        <v/>
      </c>
      <c r="D97" s="55" t="str">
        <f>IF($Q97="","",INDEX(TRANSACTIONS_MASTER!$E$5:$E$1204,$Q97))</f>
        <v/>
      </c>
      <c r="E97" s="55" t="str">
        <f>IF($Q97="","",INDEX(TRANSACTIONS_MASTER!$G$5:$G$1204,$Q97)&amp;"")</f>
        <v/>
      </c>
      <c r="F97" s="29" t="str">
        <f>IF($Q97="","",INDEX(TRANSACTIONS_MASTER!$I$5:$I$1204,$Q97))</f>
        <v/>
      </c>
      <c r="G97" s="55" t="str">
        <f>IF($Q97="","",INDEX(TRANSACTIONS_MASTER!$K$5:$K$1204,$Q97))</f>
        <v/>
      </c>
      <c r="H97" s="25" t="str">
        <f>IF($Q97="","",INDEX(TRANSACTIONS_MASTER!$L$5:$L$1204,$Q97))</f>
        <v/>
      </c>
      <c r="I97" s="56" t="str">
        <f>IF($Q97="","",INDEX(TRANSACTIONS_MASTER!$N$5:$N$1204,$Q97))</f>
        <v/>
      </c>
      <c r="J97" s="25" t="str">
        <f>IF($Q97="","",INDEX(TRANSACTIONS_MASTER!$O$5:$O$1204,$Q97))</f>
        <v/>
      </c>
      <c r="K97" s="26" t="str">
        <f>IF($Q97="","",INDEX(TRANSACTIONS_MASTER!$Q$5:$Q$1204,$Q97))</f>
        <v/>
      </c>
      <c r="L97" s="25" t="str">
        <f>IF($Q97="","",INDEX(TRANSACTIONS_MASTER!$P$5:$P$1204,$Q97))</f>
        <v/>
      </c>
      <c r="M97" s="25" t="str">
        <f>IF($Q97="","",INDEX(TRANSACTIONS_MASTER!$AA$5:$AA$1204,$Q97))</f>
        <v/>
      </c>
      <c r="N97" s="25" t="str">
        <f>IF($Q97="","",INDEX(TRANSACTIONS_MASTER!$R$5:$R$1204,$Q97))</f>
        <v/>
      </c>
      <c r="O97" s="28" t="str">
        <f>IF($Q97="","",INDEX(TRANSACTIONS_MASTER!$AB$5:$AB$1204,$Q97))</f>
        <v/>
      </c>
      <c r="P97" s="55" t="str">
        <f>IF($Q97="","",INDEX(TRANSACTIONS_MASTER!$Z$5:$Z$1204,$Q97)&amp;"")</f>
        <v/>
      </c>
      <c r="Q97" s="67" t="str">
        <f>IFERROR(MATCH($C$2&amp;"|"&amp;90,TRANSACTIONS_MASTER!$AE$5:$AE$1204,0),"")</f>
        <v/>
      </c>
      <c r="S97" s="67">
        <f>IFERROR(MATCH(1,CARDS!$O$5:$O$34,0),"")</f>
        <v>1</v>
      </c>
      <c r="T97" s="55" t="n"/>
      <c r="U97" s="55" t="str">
        <f>IF($S97="","",INDEX(CARDS!$B$5:$B$34,$S97))</f>
        <v>VPBank</v>
      </c>
      <c r="V97" s="25">
        <f>IF($S97="","",SUMIFS(TRANSACTIONS_MASTER!$L$5:$L$1204,TRANSACTIONS_MASTER!$E$5:$E$1204,$U97,TRANSACTIONS_MASTER!$C$5:$C$1204,$C$2,TRANSACTIONS_MASTER!$U$5:$U$1204,"&lt;&gt;Cancelled"))</f>
        <v>0</v>
      </c>
      <c r="W97" s="26">
        <f>IF($S97="","",SUMIFS(TRANSACTIONS_MASTER!$Q$5:$Q$1204,TRANSACTIONS_MASTER!$E$5:$E$1204,$U97,TRANSACTIONS_MASTER!$C$5:$C$1204,$C$2))</f>
        <v>0</v>
      </c>
    </row>
    <row r="98">
      <c r="A98" s="81" t="str">
        <f>IF($Q98="","",91)</f>
        <v/>
      </c>
      <c r="B98" s="57" t="str">
        <f>IF($Q98="","",INDEX(TRANSACTIONS_MASTER!$B$5:$B$1204,$Q98))</f>
        <v/>
      </c>
      <c r="C98" s="55" t="str">
        <f>IF($Q98="","",INDEX(TRANSACTIONS_MASTER!$F$5:$F$1204,$Q98))</f>
        <v/>
      </c>
      <c r="D98" s="55" t="str">
        <f>IF($Q98="","",INDEX(TRANSACTIONS_MASTER!$E$5:$E$1204,$Q98))</f>
        <v/>
      </c>
      <c r="E98" s="55" t="str">
        <f>IF($Q98="","",INDEX(TRANSACTIONS_MASTER!$G$5:$G$1204,$Q98)&amp;"")</f>
        <v/>
      </c>
      <c r="F98" s="29" t="str">
        <f>IF($Q98="","",INDEX(TRANSACTIONS_MASTER!$I$5:$I$1204,$Q98))</f>
        <v/>
      </c>
      <c r="G98" s="55" t="str">
        <f>IF($Q98="","",INDEX(TRANSACTIONS_MASTER!$K$5:$K$1204,$Q98))</f>
        <v/>
      </c>
      <c r="H98" s="25" t="str">
        <f>IF($Q98="","",INDEX(TRANSACTIONS_MASTER!$L$5:$L$1204,$Q98))</f>
        <v/>
      </c>
      <c r="I98" s="56" t="str">
        <f>IF($Q98="","",INDEX(TRANSACTIONS_MASTER!$N$5:$N$1204,$Q98))</f>
        <v/>
      </c>
      <c r="J98" s="25" t="str">
        <f>IF($Q98="","",INDEX(TRANSACTIONS_MASTER!$O$5:$O$1204,$Q98))</f>
        <v/>
      </c>
      <c r="K98" s="26" t="str">
        <f>IF($Q98="","",INDEX(TRANSACTIONS_MASTER!$Q$5:$Q$1204,$Q98))</f>
        <v/>
      </c>
      <c r="L98" s="25" t="str">
        <f>IF($Q98="","",INDEX(TRANSACTIONS_MASTER!$P$5:$P$1204,$Q98))</f>
        <v/>
      </c>
      <c r="M98" s="25" t="str">
        <f>IF($Q98="","",INDEX(TRANSACTIONS_MASTER!$AA$5:$AA$1204,$Q98))</f>
        <v/>
      </c>
      <c r="N98" s="25" t="str">
        <f>IF($Q98="","",INDEX(TRANSACTIONS_MASTER!$R$5:$R$1204,$Q98))</f>
        <v/>
      </c>
      <c r="O98" s="28" t="str">
        <f>IF($Q98="","",INDEX(TRANSACTIONS_MASTER!$AB$5:$AB$1204,$Q98))</f>
        <v/>
      </c>
      <c r="P98" s="55" t="str">
        <f>IF($Q98="","",INDEX(TRANSACTIONS_MASTER!$Z$5:$Z$1204,$Q98)&amp;"")</f>
        <v/>
      </c>
      <c r="Q98" s="67" t="str">
        <f>IFERROR(MATCH($C$2&amp;"|"&amp;91,TRANSACTIONS_MASTER!$AE$5:$AE$1204,0),"")</f>
        <v/>
      </c>
      <c r="S98" s="67">
        <f>IFERROR(MATCH(2,CARDS!$O$5:$O$34,0),"")</f>
        <v>2</v>
      </c>
      <c r="T98" s="55" t="n"/>
      <c r="U98" s="55" t="str">
        <f>IF($S98="","",INDEX(CARDS!$B$5:$B$34,$S98))</f>
        <v>VIB</v>
      </c>
      <c r="V98" s="25">
        <f>IF($S98="","",SUMIFS(TRANSACTIONS_MASTER!$L$5:$L$1204,TRANSACTIONS_MASTER!$E$5:$E$1204,$U98,TRANSACTIONS_MASTER!$C$5:$C$1204,$C$2,TRANSACTIONS_MASTER!$U$5:$U$1204,"&lt;&gt;Cancelled"))</f>
        <v>0</v>
      </c>
      <c r="W98" s="26">
        <f>IF($S98="","",SUMIFS(TRANSACTIONS_MASTER!$Q$5:$Q$1204,TRANSACTIONS_MASTER!$E$5:$E$1204,$U98,TRANSACTIONS_MASTER!$C$5:$C$1204,$C$2))</f>
        <v>0</v>
      </c>
    </row>
    <row r="99">
      <c r="A99" s="81" t="str">
        <f>IF($Q99="","",92)</f>
        <v/>
      </c>
      <c r="B99" s="57" t="str">
        <f>IF($Q99="","",INDEX(TRANSACTIONS_MASTER!$B$5:$B$1204,$Q99))</f>
        <v/>
      </c>
      <c r="C99" s="55" t="str">
        <f>IF($Q99="","",INDEX(TRANSACTIONS_MASTER!$F$5:$F$1204,$Q99))</f>
        <v/>
      </c>
      <c r="D99" s="55" t="str">
        <f>IF($Q99="","",INDEX(TRANSACTIONS_MASTER!$E$5:$E$1204,$Q99))</f>
        <v/>
      </c>
      <c r="E99" s="55" t="str">
        <f>IF($Q99="","",INDEX(TRANSACTIONS_MASTER!$G$5:$G$1204,$Q99)&amp;"")</f>
        <v/>
      </c>
      <c r="F99" s="29" t="str">
        <f>IF($Q99="","",INDEX(TRANSACTIONS_MASTER!$I$5:$I$1204,$Q99))</f>
        <v/>
      </c>
      <c r="G99" s="55" t="str">
        <f>IF($Q99="","",INDEX(TRANSACTIONS_MASTER!$K$5:$K$1204,$Q99))</f>
        <v/>
      </c>
      <c r="H99" s="25" t="str">
        <f>IF($Q99="","",INDEX(TRANSACTIONS_MASTER!$L$5:$L$1204,$Q99))</f>
        <v/>
      </c>
      <c r="I99" s="56" t="str">
        <f>IF($Q99="","",INDEX(TRANSACTIONS_MASTER!$N$5:$N$1204,$Q99))</f>
        <v/>
      </c>
      <c r="J99" s="25" t="str">
        <f>IF($Q99="","",INDEX(TRANSACTIONS_MASTER!$O$5:$O$1204,$Q99))</f>
        <v/>
      </c>
      <c r="K99" s="26" t="str">
        <f>IF($Q99="","",INDEX(TRANSACTIONS_MASTER!$Q$5:$Q$1204,$Q99))</f>
        <v/>
      </c>
      <c r="L99" s="25" t="str">
        <f>IF($Q99="","",INDEX(TRANSACTIONS_MASTER!$P$5:$P$1204,$Q99))</f>
        <v/>
      </c>
      <c r="M99" s="25" t="str">
        <f>IF($Q99="","",INDEX(TRANSACTIONS_MASTER!$AA$5:$AA$1204,$Q99))</f>
        <v/>
      </c>
      <c r="N99" s="25" t="str">
        <f>IF($Q99="","",INDEX(TRANSACTIONS_MASTER!$R$5:$R$1204,$Q99))</f>
        <v/>
      </c>
      <c r="O99" s="28" t="str">
        <f>IF($Q99="","",INDEX(TRANSACTIONS_MASTER!$AB$5:$AB$1204,$Q99))</f>
        <v/>
      </c>
      <c r="P99" s="55" t="str">
        <f>IF($Q99="","",INDEX(TRANSACTIONS_MASTER!$Z$5:$Z$1204,$Q99)&amp;"")</f>
        <v/>
      </c>
      <c r="Q99" s="67" t="str">
        <f>IFERROR(MATCH($C$2&amp;"|"&amp;92,TRANSACTIONS_MASTER!$AE$5:$AE$1204,0),"")</f>
        <v/>
      </c>
      <c r="S99" s="67">
        <f>IFERROR(MATCH(3,CARDS!$O$5:$O$34,0),"")</f>
        <v>3</v>
      </c>
      <c r="T99" s="55" t="n"/>
      <c r="U99" s="55" t="str">
        <f>IF($S99="","",INDEX(CARDS!$B$5:$B$34,$S99))</f>
        <v>Techcombank</v>
      </c>
      <c r="V99" s="25">
        <f>IF($S99="","",SUMIFS(TRANSACTIONS_MASTER!$L$5:$L$1204,TRANSACTIONS_MASTER!$E$5:$E$1204,$U99,TRANSACTIONS_MASTER!$C$5:$C$1204,$C$2,TRANSACTIONS_MASTER!$U$5:$U$1204,"&lt;&gt;Cancelled"))</f>
        <v>0</v>
      </c>
      <c r="W99" s="26">
        <f>IF($S99="","",SUMIFS(TRANSACTIONS_MASTER!$Q$5:$Q$1204,TRANSACTIONS_MASTER!$E$5:$E$1204,$U99,TRANSACTIONS_MASTER!$C$5:$C$1204,$C$2))</f>
        <v>0</v>
      </c>
    </row>
    <row r="100">
      <c r="A100" s="81" t="str">
        <f>IF($Q100="","",93)</f>
        <v/>
      </c>
      <c r="B100" s="57" t="str">
        <f>IF($Q100="","",INDEX(TRANSACTIONS_MASTER!$B$5:$B$1204,$Q100))</f>
        <v/>
      </c>
      <c r="C100" s="55" t="str">
        <f>IF($Q100="","",INDEX(TRANSACTIONS_MASTER!$F$5:$F$1204,$Q100))</f>
        <v/>
      </c>
      <c r="D100" s="55" t="str">
        <f>IF($Q100="","",INDEX(TRANSACTIONS_MASTER!$E$5:$E$1204,$Q100))</f>
        <v/>
      </c>
      <c r="E100" s="55" t="str">
        <f>IF($Q100="","",INDEX(TRANSACTIONS_MASTER!$G$5:$G$1204,$Q100)&amp;"")</f>
        <v/>
      </c>
      <c r="F100" s="29" t="str">
        <f>IF($Q100="","",INDEX(TRANSACTIONS_MASTER!$I$5:$I$1204,$Q100))</f>
        <v/>
      </c>
      <c r="G100" s="55" t="str">
        <f>IF($Q100="","",INDEX(TRANSACTIONS_MASTER!$K$5:$K$1204,$Q100))</f>
        <v/>
      </c>
      <c r="H100" s="25" t="str">
        <f>IF($Q100="","",INDEX(TRANSACTIONS_MASTER!$L$5:$L$1204,$Q100))</f>
        <v/>
      </c>
      <c r="I100" s="56" t="str">
        <f>IF($Q100="","",INDEX(TRANSACTIONS_MASTER!$N$5:$N$1204,$Q100))</f>
        <v/>
      </c>
      <c r="J100" s="25" t="str">
        <f>IF($Q100="","",INDEX(TRANSACTIONS_MASTER!$O$5:$O$1204,$Q100))</f>
        <v/>
      </c>
      <c r="K100" s="26" t="str">
        <f>IF($Q100="","",INDEX(TRANSACTIONS_MASTER!$Q$5:$Q$1204,$Q100))</f>
        <v/>
      </c>
      <c r="L100" s="25" t="str">
        <f>IF($Q100="","",INDEX(TRANSACTIONS_MASTER!$P$5:$P$1204,$Q100))</f>
        <v/>
      </c>
      <c r="M100" s="25" t="str">
        <f>IF($Q100="","",INDEX(TRANSACTIONS_MASTER!$AA$5:$AA$1204,$Q100))</f>
        <v/>
      </c>
      <c r="N100" s="25" t="str">
        <f>IF($Q100="","",INDEX(TRANSACTIONS_MASTER!$R$5:$R$1204,$Q100))</f>
        <v/>
      </c>
      <c r="O100" s="28" t="str">
        <f>IF($Q100="","",INDEX(TRANSACTIONS_MASTER!$AB$5:$AB$1204,$Q100))</f>
        <v/>
      </c>
      <c r="P100" s="55" t="str">
        <f>IF($Q100="","",INDEX(TRANSACTIONS_MASTER!$Z$5:$Z$1204,$Q100)&amp;"")</f>
        <v/>
      </c>
      <c r="Q100" s="67" t="str">
        <f>IFERROR(MATCH($C$2&amp;"|"&amp;93,TRANSACTIONS_MASTER!$AE$5:$AE$1204,0),"")</f>
        <v/>
      </c>
      <c r="S100" s="67">
        <f>IFERROR(MATCH(4,CARDS!$O$5:$O$34,0),"")</f>
        <v>4</v>
      </c>
      <c r="T100" s="55" t="n"/>
      <c r="U100" s="55" t="str">
        <f>IF($S100="","",INDEX(CARDS!$B$5:$B$34,$S100))</f>
        <v>UOB</v>
      </c>
      <c r="V100" s="25">
        <f>IF($S100="","",SUMIFS(TRANSACTIONS_MASTER!$L$5:$L$1204,TRANSACTIONS_MASTER!$E$5:$E$1204,$U100,TRANSACTIONS_MASTER!$C$5:$C$1204,$C$2,TRANSACTIONS_MASTER!$U$5:$U$1204,"&lt;&gt;Cancelled"))</f>
        <v>0</v>
      </c>
      <c r="W100" s="26">
        <f>IF($S100="","",SUMIFS(TRANSACTIONS_MASTER!$Q$5:$Q$1204,TRANSACTIONS_MASTER!$E$5:$E$1204,$U100,TRANSACTIONS_MASTER!$C$5:$C$1204,$C$2))</f>
        <v>0</v>
      </c>
    </row>
    <row r="101">
      <c r="A101" s="81" t="str">
        <f>IF($Q101="","",94)</f>
        <v/>
      </c>
      <c r="B101" s="57" t="str">
        <f>IF($Q101="","",INDEX(TRANSACTIONS_MASTER!$B$5:$B$1204,$Q101))</f>
        <v/>
      </c>
      <c r="C101" s="55" t="str">
        <f>IF($Q101="","",INDEX(TRANSACTIONS_MASTER!$F$5:$F$1204,$Q101))</f>
        <v/>
      </c>
      <c r="D101" s="55" t="str">
        <f>IF($Q101="","",INDEX(TRANSACTIONS_MASTER!$E$5:$E$1204,$Q101))</f>
        <v/>
      </c>
      <c r="E101" s="55" t="str">
        <f>IF($Q101="","",INDEX(TRANSACTIONS_MASTER!$G$5:$G$1204,$Q101)&amp;"")</f>
        <v/>
      </c>
      <c r="F101" s="29" t="str">
        <f>IF($Q101="","",INDEX(TRANSACTIONS_MASTER!$I$5:$I$1204,$Q101))</f>
        <v/>
      </c>
      <c r="G101" s="55" t="str">
        <f>IF($Q101="","",INDEX(TRANSACTIONS_MASTER!$K$5:$K$1204,$Q101))</f>
        <v/>
      </c>
      <c r="H101" s="25" t="str">
        <f>IF($Q101="","",INDEX(TRANSACTIONS_MASTER!$L$5:$L$1204,$Q101))</f>
        <v/>
      </c>
      <c r="I101" s="56" t="str">
        <f>IF($Q101="","",INDEX(TRANSACTIONS_MASTER!$N$5:$N$1204,$Q101))</f>
        <v/>
      </c>
      <c r="J101" s="25" t="str">
        <f>IF($Q101="","",INDEX(TRANSACTIONS_MASTER!$O$5:$O$1204,$Q101))</f>
        <v/>
      </c>
      <c r="K101" s="26" t="str">
        <f>IF($Q101="","",INDEX(TRANSACTIONS_MASTER!$Q$5:$Q$1204,$Q101))</f>
        <v/>
      </c>
      <c r="L101" s="25" t="str">
        <f>IF($Q101="","",INDEX(TRANSACTIONS_MASTER!$P$5:$P$1204,$Q101))</f>
        <v/>
      </c>
      <c r="M101" s="25" t="str">
        <f>IF($Q101="","",INDEX(TRANSACTIONS_MASTER!$AA$5:$AA$1204,$Q101))</f>
        <v/>
      </c>
      <c r="N101" s="25" t="str">
        <f>IF($Q101="","",INDEX(TRANSACTIONS_MASTER!$R$5:$R$1204,$Q101))</f>
        <v/>
      </c>
      <c r="O101" s="28" t="str">
        <f>IF($Q101="","",INDEX(TRANSACTIONS_MASTER!$AB$5:$AB$1204,$Q101))</f>
        <v/>
      </c>
      <c r="P101" s="55" t="str">
        <f>IF($Q101="","",INDEX(TRANSACTIONS_MASTER!$Z$5:$Z$1204,$Q101)&amp;"")</f>
        <v/>
      </c>
      <c r="Q101" s="67" t="str">
        <f>IFERROR(MATCH($C$2&amp;"|"&amp;94,TRANSACTIONS_MASTER!$AE$5:$AE$1204,0),"")</f>
        <v/>
      </c>
      <c r="S101" s="67">
        <f>IFERROR(MATCH(5,CARDS!$O$5:$O$34,0),"")</f>
        <v>5</v>
      </c>
      <c r="T101" s="55" t="n"/>
      <c r="U101" s="55" t="str">
        <f>IF($S101="","",INDEX(CARDS!$B$5:$B$34,$S101))</f>
        <v>MB</v>
      </c>
      <c r="V101" s="25">
        <f>IF($S101="","",SUMIFS(TRANSACTIONS_MASTER!$L$5:$L$1204,TRANSACTIONS_MASTER!$E$5:$E$1204,$U101,TRANSACTIONS_MASTER!$C$5:$C$1204,$C$2,TRANSACTIONS_MASTER!$U$5:$U$1204,"&lt;&gt;Cancelled"))</f>
        <v>0</v>
      </c>
      <c r="W101" s="26">
        <f>IF($S101="","",SUMIFS(TRANSACTIONS_MASTER!$Q$5:$Q$1204,TRANSACTIONS_MASTER!$E$5:$E$1204,$U101,TRANSACTIONS_MASTER!$C$5:$C$1204,$C$2))</f>
        <v>0</v>
      </c>
    </row>
    <row r="102">
      <c r="A102" s="81" t="str">
        <f>IF($Q102="","",95)</f>
        <v/>
      </c>
      <c r="B102" s="57" t="str">
        <f>IF($Q102="","",INDEX(TRANSACTIONS_MASTER!$B$5:$B$1204,$Q102))</f>
        <v/>
      </c>
      <c r="C102" s="55" t="str">
        <f>IF($Q102="","",INDEX(TRANSACTIONS_MASTER!$F$5:$F$1204,$Q102))</f>
        <v/>
      </c>
      <c r="D102" s="55" t="str">
        <f>IF($Q102="","",INDEX(TRANSACTIONS_MASTER!$E$5:$E$1204,$Q102))</f>
        <v/>
      </c>
      <c r="E102" s="55" t="str">
        <f>IF($Q102="","",INDEX(TRANSACTIONS_MASTER!$G$5:$G$1204,$Q102)&amp;"")</f>
        <v/>
      </c>
      <c r="F102" s="29" t="str">
        <f>IF($Q102="","",INDEX(TRANSACTIONS_MASTER!$I$5:$I$1204,$Q102))</f>
        <v/>
      </c>
      <c r="G102" s="55" t="str">
        <f>IF($Q102="","",INDEX(TRANSACTIONS_MASTER!$K$5:$K$1204,$Q102))</f>
        <v/>
      </c>
      <c r="H102" s="25" t="str">
        <f>IF($Q102="","",INDEX(TRANSACTIONS_MASTER!$L$5:$L$1204,$Q102))</f>
        <v/>
      </c>
      <c r="I102" s="56" t="str">
        <f>IF($Q102="","",INDEX(TRANSACTIONS_MASTER!$N$5:$N$1204,$Q102))</f>
        <v/>
      </c>
      <c r="J102" s="25" t="str">
        <f>IF($Q102="","",INDEX(TRANSACTIONS_MASTER!$O$5:$O$1204,$Q102))</f>
        <v/>
      </c>
      <c r="K102" s="26" t="str">
        <f>IF($Q102="","",INDEX(TRANSACTIONS_MASTER!$Q$5:$Q$1204,$Q102))</f>
        <v/>
      </c>
      <c r="L102" s="25" t="str">
        <f>IF($Q102="","",INDEX(TRANSACTIONS_MASTER!$P$5:$P$1204,$Q102))</f>
        <v/>
      </c>
      <c r="M102" s="25" t="str">
        <f>IF($Q102="","",INDEX(TRANSACTIONS_MASTER!$AA$5:$AA$1204,$Q102))</f>
        <v/>
      </c>
      <c r="N102" s="25" t="str">
        <f>IF($Q102="","",INDEX(TRANSACTIONS_MASTER!$R$5:$R$1204,$Q102))</f>
        <v/>
      </c>
      <c r="O102" s="28" t="str">
        <f>IF($Q102="","",INDEX(TRANSACTIONS_MASTER!$AB$5:$AB$1204,$Q102))</f>
        <v/>
      </c>
      <c r="P102" s="55" t="str">
        <f>IF($Q102="","",INDEX(TRANSACTIONS_MASTER!$Z$5:$Z$1204,$Q102)&amp;"")</f>
        <v/>
      </c>
      <c r="Q102" s="67" t="str">
        <f>IFERROR(MATCH($C$2&amp;"|"&amp;95,TRANSACTIONS_MASTER!$AE$5:$AE$1204,0),"")</f>
        <v/>
      </c>
      <c r="S102" s="67">
        <f>IFERROR(MATCH(6,CARDS!$O$5:$O$34,0),"")</f>
        <v>6</v>
      </c>
      <c r="T102" s="55" t="n"/>
      <c r="U102" s="55" t="str">
        <f>IF($S102="","",INDEX(CARDS!$B$5:$B$34,$S102))</f>
        <v>ACB</v>
      </c>
      <c r="V102" s="25">
        <f>IF($S102="","",SUMIFS(TRANSACTIONS_MASTER!$L$5:$L$1204,TRANSACTIONS_MASTER!$E$5:$E$1204,$U102,TRANSACTIONS_MASTER!$C$5:$C$1204,$C$2,TRANSACTIONS_MASTER!$U$5:$U$1204,"&lt;&gt;Cancelled"))</f>
        <v>0</v>
      </c>
      <c r="W102" s="26">
        <f>IF($S102="","",SUMIFS(TRANSACTIONS_MASTER!$Q$5:$Q$1204,TRANSACTIONS_MASTER!$E$5:$E$1204,$U102,TRANSACTIONS_MASTER!$C$5:$C$1204,$C$2))</f>
        <v>0</v>
      </c>
    </row>
    <row r="103">
      <c r="A103" s="81" t="str">
        <f>IF($Q103="","",96)</f>
        <v/>
      </c>
      <c r="B103" s="57" t="str">
        <f>IF($Q103="","",INDEX(TRANSACTIONS_MASTER!$B$5:$B$1204,$Q103))</f>
        <v/>
      </c>
      <c r="C103" s="55" t="str">
        <f>IF($Q103="","",INDEX(TRANSACTIONS_MASTER!$F$5:$F$1204,$Q103))</f>
        <v/>
      </c>
      <c r="D103" s="55" t="str">
        <f>IF($Q103="","",INDEX(TRANSACTIONS_MASTER!$E$5:$E$1204,$Q103))</f>
        <v/>
      </c>
      <c r="E103" s="55" t="str">
        <f>IF($Q103="","",INDEX(TRANSACTIONS_MASTER!$G$5:$G$1204,$Q103)&amp;"")</f>
        <v/>
      </c>
      <c r="F103" s="29" t="str">
        <f>IF($Q103="","",INDEX(TRANSACTIONS_MASTER!$I$5:$I$1204,$Q103))</f>
        <v/>
      </c>
      <c r="G103" s="55" t="str">
        <f>IF($Q103="","",INDEX(TRANSACTIONS_MASTER!$K$5:$K$1204,$Q103))</f>
        <v/>
      </c>
      <c r="H103" s="25" t="str">
        <f>IF($Q103="","",INDEX(TRANSACTIONS_MASTER!$L$5:$L$1204,$Q103))</f>
        <v/>
      </c>
      <c r="I103" s="56" t="str">
        <f>IF($Q103="","",INDEX(TRANSACTIONS_MASTER!$N$5:$N$1204,$Q103))</f>
        <v/>
      </c>
      <c r="J103" s="25" t="str">
        <f>IF($Q103="","",INDEX(TRANSACTIONS_MASTER!$O$5:$O$1204,$Q103))</f>
        <v/>
      </c>
      <c r="K103" s="26" t="str">
        <f>IF($Q103="","",INDEX(TRANSACTIONS_MASTER!$Q$5:$Q$1204,$Q103))</f>
        <v/>
      </c>
      <c r="L103" s="25" t="str">
        <f>IF($Q103="","",INDEX(TRANSACTIONS_MASTER!$P$5:$P$1204,$Q103))</f>
        <v/>
      </c>
      <c r="M103" s="25" t="str">
        <f>IF($Q103="","",INDEX(TRANSACTIONS_MASTER!$AA$5:$AA$1204,$Q103))</f>
        <v/>
      </c>
      <c r="N103" s="25" t="str">
        <f>IF($Q103="","",INDEX(TRANSACTIONS_MASTER!$R$5:$R$1204,$Q103))</f>
        <v/>
      </c>
      <c r="O103" s="28" t="str">
        <f>IF($Q103="","",INDEX(TRANSACTIONS_MASTER!$AB$5:$AB$1204,$Q103))</f>
        <v/>
      </c>
      <c r="P103" s="55" t="str">
        <f>IF($Q103="","",INDEX(TRANSACTIONS_MASTER!$Z$5:$Z$1204,$Q103)&amp;"")</f>
        <v/>
      </c>
      <c r="Q103" s="67" t="str">
        <f>IFERROR(MATCH($C$2&amp;"|"&amp;96,TRANSACTIONS_MASTER!$AE$5:$AE$1204,0),"")</f>
        <v/>
      </c>
      <c r="S103" s="67" t="str">
        <f>IFERROR(MATCH(7,CARDS!$O$5:$O$34,0),"")</f>
        <v/>
      </c>
      <c r="T103" s="55" t="n"/>
      <c r="U103" s="55" t="str">
        <f>IF($S103="","",INDEX(CARDS!$B$5:$B$34,$S103))</f>
        <v/>
      </c>
      <c r="V103" s="25" t="str">
        <f>IF($S103="","",SUMIFS(TRANSACTIONS_MASTER!$L$5:$L$1204,TRANSACTIONS_MASTER!$E$5:$E$1204,$U103,TRANSACTIONS_MASTER!$C$5:$C$1204,$C$2,TRANSACTIONS_MASTER!$U$5:$U$1204,"&lt;&gt;Cancelled"))</f>
        <v/>
      </c>
      <c r="W103" s="26" t="str">
        <f>IF($S103="","",SUMIFS(TRANSACTIONS_MASTER!$Q$5:$Q$1204,TRANSACTIONS_MASTER!$E$5:$E$1204,$U103,TRANSACTIONS_MASTER!$C$5:$C$1204,$C$2))</f>
        <v/>
      </c>
    </row>
    <row r="104">
      <c r="A104" s="81" t="str">
        <f>IF($Q104="","",97)</f>
        <v/>
      </c>
      <c r="B104" s="57" t="str">
        <f>IF($Q104="","",INDEX(TRANSACTIONS_MASTER!$B$5:$B$1204,$Q104))</f>
        <v/>
      </c>
      <c r="C104" s="55" t="str">
        <f>IF($Q104="","",INDEX(TRANSACTIONS_MASTER!$F$5:$F$1204,$Q104))</f>
        <v/>
      </c>
      <c r="D104" s="55" t="str">
        <f>IF($Q104="","",INDEX(TRANSACTIONS_MASTER!$E$5:$E$1204,$Q104))</f>
        <v/>
      </c>
      <c r="E104" s="55" t="str">
        <f>IF($Q104="","",INDEX(TRANSACTIONS_MASTER!$G$5:$G$1204,$Q104)&amp;"")</f>
        <v/>
      </c>
      <c r="F104" s="29" t="str">
        <f>IF($Q104="","",INDEX(TRANSACTIONS_MASTER!$I$5:$I$1204,$Q104))</f>
        <v/>
      </c>
      <c r="G104" s="55" t="str">
        <f>IF($Q104="","",INDEX(TRANSACTIONS_MASTER!$K$5:$K$1204,$Q104))</f>
        <v/>
      </c>
      <c r="H104" s="25" t="str">
        <f>IF($Q104="","",INDEX(TRANSACTIONS_MASTER!$L$5:$L$1204,$Q104))</f>
        <v/>
      </c>
      <c r="I104" s="56" t="str">
        <f>IF($Q104="","",INDEX(TRANSACTIONS_MASTER!$N$5:$N$1204,$Q104))</f>
        <v/>
      </c>
      <c r="J104" s="25" t="str">
        <f>IF($Q104="","",INDEX(TRANSACTIONS_MASTER!$O$5:$O$1204,$Q104))</f>
        <v/>
      </c>
      <c r="K104" s="26" t="str">
        <f>IF($Q104="","",INDEX(TRANSACTIONS_MASTER!$Q$5:$Q$1204,$Q104))</f>
        <v/>
      </c>
      <c r="L104" s="25" t="str">
        <f>IF($Q104="","",INDEX(TRANSACTIONS_MASTER!$P$5:$P$1204,$Q104))</f>
        <v/>
      </c>
      <c r="M104" s="25" t="str">
        <f>IF($Q104="","",INDEX(TRANSACTIONS_MASTER!$AA$5:$AA$1204,$Q104))</f>
        <v/>
      </c>
      <c r="N104" s="25" t="str">
        <f>IF($Q104="","",INDEX(TRANSACTIONS_MASTER!$R$5:$R$1204,$Q104))</f>
        <v/>
      </c>
      <c r="O104" s="28" t="str">
        <f>IF($Q104="","",INDEX(TRANSACTIONS_MASTER!$AB$5:$AB$1204,$Q104))</f>
        <v/>
      </c>
      <c r="P104" s="55" t="str">
        <f>IF($Q104="","",INDEX(TRANSACTIONS_MASTER!$Z$5:$Z$1204,$Q104)&amp;"")</f>
        <v/>
      </c>
      <c r="Q104" s="67" t="str">
        <f>IFERROR(MATCH($C$2&amp;"|"&amp;97,TRANSACTIONS_MASTER!$AE$5:$AE$1204,0),"")</f>
        <v/>
      </c>
      <c r="S104" s="67" t="str">
        <f>IFERROR(MATCH(8,CARDS!$O$5:$O$34,0),"")</f>
        <v/>
      </c>
      <c r="T104" s="55" t="n"/>
      <c r="U104" s="55" t="str">
        <f>IF($S104="","",INDEX(CARDS!$B$5:$B$34,$S104))</f>
        <v/>
      </c>
      <c r="V104" s="25" t="str">
        <f>IF($S104="","",SUMIFS(TRANSACTIONS_MASTER!$L$5:$L$1204,TRANSACTIONS_MASTER!$E$5:$E$1204,$U104,TRANSACTIONS_MASTER!$C$5:$C$1204,$C$2,TRANSACTIONS_MASTER!$U$5:$U$1204,"&lt;&gt;Cancelled"))</f>
        <v/>
      </c>
      <c r="W104" s="26" t="str">
        <f>IF($S104="","",SUMIFS(TRANSACTIONS_MASTER!$Q$5:$Q$1204,TRANSACTIONS_MASTER!$E$5:$E$1204,$U104,TRANSACTIONS_MASTER!$C$5:$C$1204,$C$2))</f>
        <v/>
      </c>
    </row>
    <row r="105">
      <c r="A105" s="81" t="str">
        <f>IF($Q105="","",98)</f>
        <v/>
      </c>
      <c r="B105" s="57" t="str">
        <f>IF($Q105="","",INDEX(TRANSACTIONS_MASTER!$B$5:$B$1204,$Q105))</f>
        <v/>
      </c>
      <c r="C105" s="55" t="str">
        <f>IF($Q105="","",INDEX(TRANSACTIONS_MASTER!$F$5:$F$1204,$Q105))</f>
        <v/>
      </c>
      <c r="D105" s="55" t="str">
        <f>IF($Q105="","",INDEX(TRANSACTIONS_MASTER!$E$5:$E$1204,$Q105))</f>
        <v/>
      </c>
      <c r="E105" s="55" t="str">
        <f>IF($Q105="","",INDEX(TRANSACTIONS_MASTER!$G$5:$G$1204,$Q105)&amp;"")</f>
        <v/>
      </c>
      <c r="F105" s="29" t="str">
        <f>IF($Q105="","",INDEX(TRANSACTIONS_MASTER!$I$5:$I$1204,$Q105))</f>
        <v/>
      </c>
      <c r="G105" s="55" t="str">
        <f>IF($Q105="","",INDEX(TRANSACTIONS_MASTER!$K$5:$K$1204,$Q105))</f>
        <v/>
      </c>
      <c r="H105" s="25" t="str">
        <f>IF($Q105="","",INDEX(TRANSACTIONS_MASTER!$L$5:$L$1204,$Q105))</f>
        <v/>
      </c>
      <c r="I105" s="56" t="str">
        <f>IF($Q105="","",INDEX(TRANSACTIONS_MASTER!$N$5:$N$1204,$Q105))</f>
        <v/>
      </c>
      <c r="J105" s="25" t="str">
        <f>IF($Q105="","",INDEX(TRANSACTIONS_MASTER!$O$5:$O$1204,$Q105))</f>
        <v/>
      </c>
      <c r="K105" s="26" t="str">
        <f>IF($Q105="","",INDEX(TRANSACTIONS_MASTER!$Q$5:$Q$1204,$Q105))</f>
        <v/>
      </c>
      <c r="L105" s="25" t="str">
        <f>IF($Q105="","",INDEX(TRANSACTIONS_MASTER!$P$5:$P$1204,$Q105))</f>
        <v/>
      </c>
      <c r="M105" s="25" t="str">
        <f>IF($Q105="","",INDEX(TRANSACTIONS_MASTER!$AA$5:$AA$1204,$Q105))</f>
        <v/>
      </c>
      <c r="N105" s="25" t="str">
        <f>IF($Q105="","",INDEX(TRANSACTIONS_MASTER!$R$5:$R$1204,$Q105))</f>
        <v/>
      </c>
      <c r="O105" s="28" t="str">
        <f>IF($Q105="","",INDEX(TRANSACTIONS_MASTER!$AB$5:$AB$1204,$Q105))</f>
        <v/>
      </c>
      <c r="P105" s="55" t="str">
        <f>IF($Q105="","",INDEX(TRANSACTIONS_MASTER!$Z$5:$Z$1204,$Q105)&amp;"")</f>
        <v/>
      </c>
      <c r="Q105" s="67" t="str">
        <f>IFERROR(MATCH($C$2&amp;"|"&amp;98,TRANSACTIONS_MASTER!$AE$5:$AE$1204,0),"")</f>
        <v/>
      </c>
      <c r="S105" s="67" t="str">
        <f>IFERROR(MATCH(9,CARDS!$O$5:$O$34,0),"")</f>
        <v/>
      </c>
      <c r="T105" s="55" t="n"/>
      <c r="U105" s="55" t="str">
        <f>IF($S105="","",INDEX(CARDS!$B$5:$B$34,$S105))</f>
        <v/>
      </c>
      <c r="V105" s="25" t="str">
        <f>IF($S105="","",SUMIFS(TRANSACTIONS_MASTER!$L$5:$L$1204,TRANSACTIONS_MASTER!$E$5:$E$1204,$U105,TRANSACTIONS_MASTER!$C$5:$C$1204,$C$2,TRANSACTIONS_MASTER!$U$5:$U$1204,"&lt;&gt;Cancelled"))</f>
        <v/>
      </c>
      <c r="W105" s="26" t="str">
        <f>IF($S105="","",SUMIFS(TRANSACTIONS_MASTER!$Q$5:$Q$1204,TRANSACTIONS_MASTER!$E$5:$E$1204,$U105,TRANSACTIONS_MASTER!$C$5:$C$1204,$C$2))</f>
        <v/>
      </c>
    </row>
    <row r="106">
      <c r="A106" s="81" t="str">
        <f>IF($Q106="","",99)</f>
        <v/>
      </c>
      <c r="B106" s="57" t="str">
        <f>IF($Q106="","",INDEX(TRANSACTIONS_MASTER!$B$5:$B$1204,$Q106))</f>
        <v/>
      </c>
      <c r="C106" s="55" t="str">
        <f>IF($Q106="","",INDEX(TRANSACTIONS_MASTER!$F$5:$F$1204,$Q106))</f>
        <v/>
      </c>
      <c r="D106" s="55" t="str">
        <f>IF($Q106="","",INDEX(TRANSACTIONS_MASTER!$E$5:$E$1204,$Q106))</f>
        <v/>
      </c>
      <c r="E106" s="55" t="str">
        <f>IF($Q106="","",INDEX(TRANSACTIONS_MASTER!$G$5:$G$1204,$Q106)&amp;"")</f>
        <v/>
      </c>
      <c r="F106" s="29" t="str">
        <f>IF($Q106="","",INDEX(TRANSACTIONS_MASTER!$I$5:$I$1204,$Q106))</f>
        <v/>
      </c>
      <c r="G106" s="55" t="str">
        <f>IF($Q106="","",INDEX(TRANSACTIONS_MASTER!$K$5:$K$1204,$Q106))</f>
        <v/>
      </c>
      <c r="H106" s="25" t="str">
        <f>IF($Q106="","",INDEX(TRANSACTIONS_MASTER!$L$5:$L$1204,$Q106))</f>
        <v/>
      </c>
      <c r="I106" s="56" t="str">
        <f>IF($Q106="","",INDEX(TRANSACTIONS_MASTER!$N$5:$N$1204,$Q106))</f>
        <v/>
      </c>
      <c r="J106" s="25" t="str">
        <f>IF($Q106="","",INDEX(TRANSACTIONS_MASTER!$O$5:$O$1204,$Q106))</f>
        <v/>
      </c>
      <c r="K106" s="26" t="str">
        <f>IF($Q106="","",INDEX(TRANSACTIONS_MASTER!$Q$5:$Q$1204,$Q106))</f>
        <v/>
      </c>
      <c r="L106" s="25" t="str">
        <f>IF($Q106="","",INDEX(TRANSACTIONS_MASTER!$P$5:$P$1204,$Q106))</f>
        <v/>
      </c>
      <c r="M106" s="25" t="str">
        <f>IF($Q106="","",INDEX(TRANSACTIONS_MASTER!$AA$5:$AA$1204,$Q106))</f>
        <v/>
      </c>
      <c r="N106" s="25" t="str">
        <f>IF($Q106="","",INDEX(TRANSACTIONS_MASTER!$R$5:$R$1204,$Q106))</f>
        <v/>
      </c>
      <c r="O106" s="28" t="str">
        <f>IF($Q106="","",INDEX(TRANSACTIONS_MASTER!$AB$5:$AB$1204,$Q106))</f>
        <v/>
      </c>
      <c r="P106" s="55" t="str">
        <f>IF($Q106="","",INDEX(TRANSACTIONS_MASTER!$Z$5:$Z$1204,$Q106)&amp;"")</f>
        <v/>
      </c>
      <c r="Q106" s="67" t="str">
        <f>IFERROR(MATCH($C$2&amp;"|"&amp;99,TRANSACTIONS_MASTER!$AE$5:$AE$1204,0),"")</f>
        <v/>
      </c>
      <c r="S106" s="67" t="str">
        <f>IFERROR(MATCH(10,CARDS!$O$5:$O$34,0),"")</f>
        <v/>
      </c>
      <c r="T106" s="55" t="n"/>
      <c r="U106" s="55" t="str">
        <f>IF($S106="","",INDEX(CARDS!$B$5:$B$34,$S106))</f>
        <v/>
      </c>
      <c r="V106" s="25" t="str">
        <f>IF($S106="","",SUMIFS(TRANSACTIONS_MASTER!$L$5:$L$1204,TRANSACTIONS_MASTER!$E$5:$E$1204,$U106,TRANSACTIONS_MASTER!$C$5:$C$1204,$C$2,TRANSACTIONS_MASTER!$U$5:$U$1204,"&lt;&gt;Cancelled"))</f>
        <v/>
      </c>
      <c r="W106" s="26" t="str">
        <f>IF($S106="","",SUMIFS(TRANSACTIONS_MASTER!$Q$5:$Q$1204,TRANSACTIONS_MASTER!$E$5:$E$1204,$U106,TRANSACTIONS_MASTER!$C$5:$C$1204,$C$2))</f>
        <v/>
      </c>
    </row>
    <row r="107">
      <c r="A107" s="81" t="str">
        <f>IF($Q107="","",100)</f>
        <v/>
      </c>
      <c r="B107" s="57" t="str">
        <f>IF($Q107="","",INDEX(TRANSACTIONS_MASTER!$B$5:$B$1204,$Q107))</f>
        <v/>
      </c>
      <c r="C107" s="55" t="str">
        <f>IF($Q107="","",INDEX(TRANSACTIONS_MASTER!$F$5:$F$1204,$Q107))</f>
        <v/>
      </c>
      <c r="D107" s="55" t="str">
        <f>IF($Q107="","",INDEX(TRANSACTIONS_MASTER!$E$5:$E$1204,$Q107))</f>
        <v/>
      </c>
      <c r="E107" s="55" t="str">
        <f>IF($Q107="","",INDEX(TRANSACTIONS_MASTER!$G$5:$G$1204,$Q107)&amp;"")</f>
        <v/>
      </c>
      <c r="F107" s="29" t="str">
        <f>IF($Q107="","",INDEX(TRANSACTIONS_MASTER!$I$5:$I$1204,$Q107))</f>
        <v/>
      </c>
      <c r="G107" s="55" t="str">
        <f>IF($Q107="","",INDEX(TRANSACTIONS_MASTER!$K$5:$K$1204,$Q107))</f>
        <v/>
      </c>
      <c r="H107" s="25" t="str">
        <f>IF($Q107="","",INDEX(TRANSACTIONS_MASTER!$L$5:$L$1204,$Q107))</f>
        <v/>
      </c>
      <c r="I107" s="56" t="str">
        <f>IF($Q107="","",INDEX(TRANSACTIONS_MASTER!$N$5:$N$1204,$Q107))</f>
        <v/>
      </c>
      <c r="J107" s="25" t="str">
        <f>IF($Q107="","",INDEX(TRANSACTIONS_MASTER!$O$5:$O$1204,$Q107))</f>
        <v/>
      </c>
      <c r="K107" s="26" t="str">
        <f>IF($Q107="","",INDEX(TRANSACTIONS_MASTER!$Q$5:$Q$1204,$Q107))</f>
        <v/>
      </c>
      <c r="L107" s="25" t="str">
        <f>IF($Q107="","",INDEX(TRANSACTIONS_MASTER!$P$5:$P$1204,$Q107))</f>
        <v/>
      </c>
      <c r="M107" s="25" t="str">
        <f>IF($Q107="","",INDEX(TRANSACTIONS_MASTER!$AA$5:$AA$1204,$Q107))</f>
        <v/>
      </c>
      <c r="N107" s="25" t="str">
        <f>IF($Q107="","",INDEX(TRANSACTIONS_MASTER!$R$5:$R$1204,$Q107))</f>
        <v/>
      </c>
      <c r="O107" s="28" t="str">
        <f>IF($Q107="","",INDEX(TRANSACTIONS_MASTER!$AB$5:$AB$1204,$Q107))</f>
        <v/>
      </c>
      <c r="P107" s="55" t="str">
        <f>IF($Q107="","",INDEX(TRANSACTIONS_MASTER!$Z$5:$Z$1204,$Q107)&amp;"")</f>
        <v/>
      </c>
      <c r="Q107" s="67" t="str">
        <f>IFERROR(MATCH($C$2&amp;"|"&amp;100,TRANSACTIONS_MASTER!$AE$5:$AE$1204,0),"")</f>
        <v/>
      </c>
      <c r="S107" s="67" t="str">
        <f>IFERROR(MATCH(11,CARDS!$O$5:$O$34,0),"")</f>
        <v/>
      </c>
      <c r="T107" s="55" t="n"/>
      <c r="U107" s="55" t="str">
        <f>IF($S107="","",INDEX(CARDS!$B$5:$B$34,$S107))</f>
        <v/>
      </c>
      <c r="V107" s="25" t="str">
        <f>IF($S107="","",SUMIFS(TRANSACTIONS_MASTER!$L$5:$L$1204,TRANSACTIONS_MASTER!$E$5:$E$1204,$U107,TRANSACTIONS_MASTER!$C$5:$C$1204,$C$2,TRANSACTIONS_MASTER!$U$5:$U$1204,"&lt;&gt;Cancelled"))</f>
        <v/>
      </c>
      <c r="W107" s="26" t="str">
        <f>IF($S107="","",SUMIFS(TRANSACTIONS_MASTER!$Q$5:$Q$1204,TRANSACTIONS_MASTER!$E$5:$E$1204,$U107,TRANSACTIONS_MASTER!$C$5:$C$1204,$C$2))</f>
        <v/>
      </c>
    </row>
    <row r="108">
      <c r="A108" s="81" t="str">
        <f>IF($Q108="","",101)</f>
        <v/>
      </c>
      <c r="B108" s="57" t="str">
        <f>IF($Q108="","",INDEX(TRANSACTIONS_MASTER!$B$5:$B$1204,$Q108))</f>
        <v/>
      </c>
      <c r="C108" s="55" t="str">
        <f>IF($Q108="","",INDEX(TRANSACTIONS_MASTER!$F$5:$F$1204,$Q108))</f>
        <v/>
      </c>
      <c r="D108" s="55" t="str">
        <f>IF($Q108="","",INDEX(TRANSACTIONS_MASTER!$E$5:$E$1204,$Q108))</f>
        <v/>
      </c>
      <c r="E108" s="55" t="str">
        <f>IF($Q108="","",INDEX(TRANSACTIONS_MASTER!$G$5:$G$1204,$Q108)&amp;"")</f>
        <v/>
      </c>
      <c r="F108" s="29" t="str">
        <f>IF($Q108="","",INDEX(TRANSACTIONS_MASTER!$I$5:$I$1204,$Q108))</f>
        <v/>
      </c>
      <c r="G108" s="55" t="str">
        <f>IF($Q108="","",INDEX(TRANSACTIONS_MASTER!$K$5:$K$1204,$Q108))</f>
        <v/>
      </c>
      <c r="H108" s="25" t="str">
        <f>IF($Q108="","",INDEX(TRANSACTIONS_MASTER!$L$5:$L$1204,$Q108))</f>
        <v/>
      </c>
      <c r="I108" s="56" t="str">
        <f>IF($Q108="","",INDEX(TRANSACTIONS_MASTER!$N$5:$N$1204,$Q108))</f>
        <v/>
      </c>
      <c r="J108" s="25" t="str">
        <f>IF($Q108="","",INDEX(TRANSACTIONS_MASTER!$O$5:$O$1204,$Q108))</f>
        <v/>
      </c>
      <c r="K108" s="26" t="str">
        <f>IF($Q108="","",INDEX(TRANSACTIONS_MASTER!$Q$5:$Q$1204,$Q108))</f>
        <v/>
      </c>
      <c r="L108" s="25" t="str">
        <f>IF($Q108="","",INDEX(TRANSACTIONS_MASTER!$P$5:$P$1204,$Q108))</f>
        <v/>
      </c>
      <c r="M108" s="25" t="str">
        <f>IF($Q108="","",INDEX(TRANSACTIONS_MASTER!$AA$5:$AA$1204,$Q108))</f>
        <v/>
      </c>
      <c r="N108" s="25" t="str">
        <f>IF($Q108="","",INDEX(TRANSACTIONS_MASTER!$R$5:$R$1204,$Q108))</f>
        <v/>
      </c>
      <c r="O108" s="28" t="str">
        <f>IF($Q108="","",INDEX(TRANSACTIONS_MASTER!$AB$5:$AB$1204,$Q108))</f>
        <v/>
      </c>
      <c r="P108" s="55" t="str">
        <f>IF($Q108="","",INDEX(TRANSACTIONS_MASTER!$Z$5:$Z$1204,$Q108)&amp;"")</f>
        <v/>
      </c>
      <c r="Q108" s="67" t="str">
        <f>IFERROR(MATCH($C$2&amp;"|"&amp;101,TRANSACTIONS_MASTER!$AE$5:$AE$1204,0),"")</f>
        <v/>
      </c>
      <c r="S108" s="67" t="str">
        <f>IFERROR(MATCH(12,CARDS!$O$5:$O$34,0),"")</f>
        <v/>
      </c>
      <c r="T108" s="55" t="n"/>
      <c r="U108" s="55" t="str">
        <f>IF($S108="","",INDEX(CARDS!$B$5:$B$34,$S108))</f>
        <v/>
      </c>
      <c r="V108" s="25" t="str">
        <f>IF($S108="","",SUMIFS(TRANSACTIONS_MASTER!$L$5:$L$1204,TRANSACTIONS_MASTER!$E$5:$E$1204,$U108,TRANSACTIONS_MASTER!$C$5:$C$1204,$C$2,TRANSACTIONS_MASTER!$U$5:$U$1204,"&lt;&gt;Cancelled"))</f>
        <v/>
      </c>
      <c r="W108" s="26" t="str">
        <f>IF($S108="","",SUMIFS(TRANSACTIONS_MASTER!$Q$5:$Q$1204,TRANSACTIONS_MASTER!$E$5:$E$1204,$U108,TRANSACTIONS_MASTER!$C$5:$C$1204,$C$2))</f>
        <v/>
      </c>
    </row>
    <row r="109">
      <c r="A109" s="81" t="str">
        <f>IF($Q109="","",102)</f>
        <v/>
      </c>
      <c r="B109" s="57" t="str">
        <f>IF($Q109="","",INDEX(TRANSACTIONS_MASTER!$B$5:$B$1204,$Q109))</f>
        <v/>
      </c>
      <c r="C109" s="55" t="str">
        <f>IF($Q109="","",INDEX(TRANSACTIONS_MASTER!$F$5:$F$1204,$Q109))</f>
        <v/>
      </c>
      <c r="D109" s="55" t="str">
        <f>IF($Q109="","",INDEX(TRANSACTIONS_MASTER!$E$5:$E$1204,$Q109))</f>
        <v/>
      </c>
      <c r="E109" s="55" t="str">
        <f>IF($Q109="","",INDEX(TRANSACTIONS_MASTER!$G$5:$G$1204,$Q109)&amp;"")</f>
        <v/>
      </c>
      <c r="F109" s="29" t="str">
        <f>IF($Q109="","",INDEX(TRANSACTIONS_MASTER!$I$5:$I$1204,$Q109))</f>
        <v/>
      </c>
      <c r="G109" s="55" t="str">
        <f>IF($Q109="","",INDEX(TRANSACTIONS_MASTER!$K$5:$K$1204,$Q109))</f>
        <v/>
      </c>
      <c r="H109" s="25" t="str">
        <f>IF($Q109="","",INDEX(TRANSACTIONS_MASTER!$L$5:$L$1204,$Q109))</f>
        <v/>
      </c>
      <c r="I109" s="56" t="str">
        <f>IF($Q109="","",INDEX(TRANSACTIONS_MASTER!$N$5:$N$1204,$Q109))</f>
        <v/>
      </c>
      <c r="J109" s="25" t="str">
        <f>IF($Q109="","",INDEX(TRANSACTIONS_MASTER!$O$5:$O$1204,$Q109))</f>
        <v/>
      </c>
      <c r="K109" s="26" t="str">
        <f>IF($Q109="","",INDEX(TRANSACTIONS_MASTER!$Q$5:$Q$1204,$Q109))</f>
        <v/>
      </c>
      <c r="L109" s="25" t="str">
        <f>IF($Q109="","",INDEX(TRANSACTIONS_MASTER!$P$5:$P$1204,$Q109))</f>
        <v/>
      </c>
      <c r="M109" s="25" t="str">
        <f>IF($Q109="","",INDEX(TRANSACTIONS_MASTER!$AA$5:$AA$1204,$Q109))</f>
        <v/>
      </c>
      <c r="N109" s="25" t="str">
        <f>IF($Q109="","",INDEX(TRANSACTIONS_MASTER!$R$5:$R$1204,$Q109))</f>
        <v/>
      </c>
      <c r="O109" s="28" t="str">
        <f>IF($Q109="","",INDEX(TRANSACTIONS_MASTER!$AB$5:$AB$1204,$Q109))</f>
        <v/>
      </c>
      <c r="P109" s="55" t="str">
        <f>IF($Q109="","",INDEX(TRANSACTIONS_MASTER!$Z$5:$Z$1204,$Q109)&amp;"")</f>
        <v/>
      </c>
      <c r="Q109" s="67" t="str">
        <f>IFERROR(MATCH($C$2&amp;"|"&amp;102,TRANSACTIONS_MASTER!$AE$5:$AE$1204,0),"")</f>
        <v/>
      </c>
      <c r="S109" s="67" t="str">
        <f>IFERROR(MATCH(13,CARDS!$O$5:$O$34,0),"")</f>
        <v/>
      </c>
      <c r="T109" s="55" t="n"/>
      <c r="U109" s="55" t="str">
        <f>IF($S109="","",INDEX(CARDS!$B$5:$B$34,$S109))</f>
        <v/>
      </c>
      <c r="V109" s="25" t="str">
        <f>IF($S109="","",SUMIFS(TRANSACTIONS_MASTER!$L$5:$L$1204,TRANSACTIONS_MASTER!$E$5:$E$1204,$U109,TRANSACTIONS_MASTER!$C$5:$C$1204,$C$2,TRANSACTIONS_MASTER!$U$5:$U$1204,"&lt;&gt;Cancelled"))</f>
        <v/>
      </c>
      <c r="W109" s="26" t="str">
        <f>IF($S109="","",SUMIFS(TRANSACTIONS_MASTER!$Q$5:$Q$1204,TRANSACTIONS_MASTER!$E$5:$E$1204,$U109,TRANSACTIONS_MASTER!$C$5:$C$1204,$C$2))</f>
        <v/>
      </c>
    </row>
    <row r="110">
      <c r="A110" s="81" t="str">
        <f>IF($Q110="","",103)</f>
        <v/>
      </c>
      <c r="B110" s="57" t="str">
        <f>IF($Q110="","",INDEX(TRANSACTIONS_MASTER!$B$5:$B$1204,$Q110))</f>
        <v/>
      </c>
      <c r="C110" s="55" t="str">
        <f>IF($Q110="","",INDEX(TRANSACTIONS_MASTER!$F$5:$F$1204,$Q110))</f>
        <v/>
      </c>
      <c r="D110" s="55" t="str">
        <f>IF($Q110="","",INDEX(TRANSACTIONS_MASTER!$E$5:$E$1204,$Q110))</f>
        <v/>
      </c>
      <c r="E110" s="55" t="str">
        <f>IF($Q110="","",INDEX(TRANSACTIONS_MASTER!$G$5:$G$1204,$Q110)&amp;"")</f>
        <v/>
      </c>
      <c r="F110" s="29" t="str">
        <f>IF($Q110="","",INDEX(TRANSACTIONS_MASTER!$I$5:$I$1204,$Q110))</f>
        <v/>
      </c>
      <c r="G110" s="55" t="str">
        <f>IF($Q110="","",INDEX(TRANSACTIONS_MASTER!$K$5:$K$1204,$Q110))</f>
        <v/>
      </c>
      <c r="H110" s="25" t="str">
        <f>IF($Q110="","",INDEX(TRANSACTIONS_MASTER!$L$5:$L$1204,$Q110))</f>
        <v/>
      </c>
      <c r="I110" s="56" t="str">
        <f>IF($Q110="","",INDEX(TRANSACTIONS_MASTER!$N$5:$N$1204,$Q110))</f>
        <v/>
      </c>
      <c r="J110" s="25" t="str">
        <f>IF($Q110="","",INDEX(TRANSACTIONS_MASTER!$O$5:$O$1204,$Q110))</f>
        <v/>
      </c>
      <c r="K110" s="26" t="str">
        <f>IF($Q110="","",INDEX(TRANSACTIONS_MASTER!$Q$5:$Q$1204,$Q110))</f>
        <v/>
      </c>
      <c r="L110" s="25" t="str">
        <f>IF($Q110="","",INDEX(TRANSACTIONS_MASTER!$P$5:$P$1204,$Q110))</f>
        <v/>
      </c>
      <c r="M110" s="25" t="str">
        <f>IF($Q110="","",INDEX(TRANSACTIONS_MASTER!$AA$5:$AA$1204,$Q110))</f>
        <v/>
      </c>
      <c r="N110" s="25" t="str">
        <f>IF($Q110="","",INDEX(TRANSACTIONS_MASTER!$R$5:$R$1204,$Q110))</f>
        <v/>
      </c>
      <c r="O110" s="28" t="str">
        <f>IF($Q110="","",INDEX(TRANSACTIONS_MASTER!$AB$5:$AB$1204,$Q110))</f>
        <v/>
      </c>
      <c r="P110" s="55" t="str">
        <f>IF($Q110="","",INDEX(TRANSACTIONS_MASTER!$Z$5:$Z$1204,$Q110)&amp;"")</f>
        <v/>
      </c>
      <c r="Q110" s="67" t="str">
        <f>IFERROR(MATCH($C$2&amp;"|"&amp;103,TRANSACTIONS_MASTER!$AE$5:$AE$1204,0),"")</f>
        <v/>
      </c>
      <c r="S110" s="67" t="str">
        <f>IFERROR(MATCH(14,CARDS!$O$5:$O$34,0),"")</f>
        <v/>
      </c>
      <c r="T110" s="55" t="n"/>
      <c r="U110" s="55" t="str">
        <f>IF($S110="","",INDEX(CARDS!$B$5:$B$34,$S110))</f>
        <v/>
      </c>
      <c r="V110" s="25" t="str">
        <f>IF($S110="","",SUMIFS(TRANSACTIONS_MASTER!$L$5:$L$1204,TRANSACTIONS_MASTER!$E$5:$E$1204,$U110,TRANSACTIONS_MASTER!$C$5:$C$1204,$C$2,TRANSACTIONS_MASTER!$U$5:$U$1204,"&lt;&gt;Cancelled"))</f>
        <v/>
      </c>
      <c r="W110" s="26" t="str">
        <f>IF($S110="","",SUMIFS(TRANSACTIONS_MASTER!$Q$5:$Q$1204,TRANSACTIONS_MASTER!$E$5:$E$1204,$U110,TRANSACTIONS_MASTER!$C$5:$C$1204,$C$2))</f>
        <v/>
      </c>
    </row>
    <row r="111">
      <c r="A111" s="81" t="str">
        <f>IF($Q111="","",104)</f>
        <v/>
      </c>
      <c r="B111" s="57" t="str">
        <f>IF($Q111="","",INDEX(TRANSACTIONS_MASTER!$B$5:$B$1204,$Q111))</f>
        <v/>
      </c>
      <c r="C111" s="55" t="str">
        <f>IF($Q111="","",INDEX(TRANSACTIONS_MASTER!$F$5:$F$1204,$Q111))</f>
        <v/>
      </c>
      <c r="D111" s="55" t="str">
        <f>IF($Q111="","",INDEX(TRANSACTIONS_MASTER!$E$5:$E$1204,$Q111))</f>
        <v/>
      </c>
      <c r="E111" s="55" t="str">
        <f>IF($Q111="","",INDEX(TRANSACTIONS_MASTER!$G$5:$G$1204,$Q111)&amp;"")</f>
        <v/>
      </c>
      <c r="F111" s="29" t="str">
        <f>IF($Q111="","",INDEX(TRANSACTIONS_MASTER!$I$5:$I$1204,$Q111))</f>
        <v/>
      </c>
      <c r="G111" s="55" t="str">
        <f>IF($Q111="","",INDEX(TRANSACTIONS_MASTER!$K$5:$K$1204,$Q111))</f>
        <v/>
      </c>
      <c r="H111" s="25" t="str">
        <f>IF($Q111="","",INDEX(TRANSACTIONS_MASTER!$L$5:$L$1204,$Q111))</f>
        <v/>
      </c>
      <c r="I111" s="56" t="str">
        <f>IF($Q111="","",INDEX(TRANSACTIONS_MASTER!$N$5:$N$1204,$Q111))</f>
        <v/>
      </c>
      <c r="J111" s="25" t="str">
        <f>IF($Q111="","",INDEX(TRANSACTIONS_MASTER!$O$5:$O$1204,$Q111))</f>
        <v/>
      </c>
      <c r="K111" s="26" t="str">
        <f>IF($Q111="","",INDEX(TRANSACTIONS_MASTER!$Q$5:$Q$1204,$Q111))</f>
        <v/>
      </c>
      <c r="L111" s="25" t="str">
        <f>IF($Q111="","",INDEX(TRANSACTIONS_MASTER!$P$5:$P$1204,$Q111))</f>
        <v/>
      </c>
      <c r="M111" s="25" t="str">
        <f>IF($Q111="","",INDEX(TRANSACTIONS_MASTER!$AA$5:$AA$1204,$Q111))</f>
        <v/>
      </c>
      <c r="N111" s="25" t="str">
        <f>IF($Q111="","",INDEX(TRANSACTIONS_MASTER!$R$5:$R$1204,$Q111))</f>
        <v/>
      </c>
      <c r="O111" s="28" t="str">
        <f>IF($Q111="","",INDEX(TRANSACTIONS_MASTER!$AB$5:$AB$1204,$Q111))</f>
        <v/>
      </c>
      <c r="P111" s="55" t="str">
        <f>IF($Q111="","",INDEX(TRANSACTIONS_MASTER!$Z$5:$Z$1204,$Q111)&amp;"")</f>
        <v/>
      </c>
      <c r="Q111" s="67" t="str">
        <f>IFERROR(MATCH($C$2&amp;"|"&amp;104,TRANSACTIONS_MASTER!$AE$5:$AE$1204,0),"")</f>
        <v/>
      </c>
      <c r="S111" s="67" t="str">
        <f>IFERROR(MATCH(15,CARDS!$O$5:$O$34,0),"")</f>
        <v/>
      </c>
      <c r="T111" s="55" t="n"/>
      <c r="U111" s="55" t="str">
        <f>IF($S111="","",INDEX(CARDS!$B$5:$B$34,$S111))</f>
        <v/>
      </c>
      <c r="V111" s="25" t="str">
        <f>IF($S111="","",SUMIFS(TRANSACTIONS_MASTER!$L$5:$L$1204,TRANSACTIONS_MASTER!$E$5:$E$1204,$U111,TRANSACTIONS_MASTER!$C$5:$C$1204,$C$2,TRANSACTIONS_MASTER!$U$5:$U$1204,"&lt;&gt;Cancelled"))</f>
        <v/>
      </c>
      <c r="W111" s="26" t="str">
        <f>IF($S111="","",SUMIFS(TRANSACTIONS_MASTER!$Q$5:$Q$1204,TRANSACTIONS_MASTER!$E$5:$E$1204,$U111,TRANSACTIONS_MASTER!$C$5:$C$1204,$C$2))</f>
        <v/>
      </c>
    </row>
    <row r="112">
      <c r="A112" s="81" t="str">
        <f>IF($Q112="","",105)</f>
        <v/>
      </c>
      <c r="B112" s="57" t="str">
        <f>IF($Q112="","",INDEX(TRANSACTIONS_MASTER!$B$5:$B$1204,$Q112))</f>
        <v/>
      </c>
      <c r="C112" s="55" t="str">
        <f>IF($Q112="","",INDEX(TRANSACTIONS_MASTER!$F$5:$F$1204,$Q112))</f>
        <v/>
      </c>
      <c r="D112" s="55" t="str">
        <f>IF($Q112="","",INDEX(TRANSACTIONS_MASTER!$E$5:$E$1204,$Q112))</f>
        <v/>
      </c>
      <c r="E112" s="55" t="str">
        <f>IF($Q112="","",INDEX(TRANSACTIONS_MASTER!$G$5:$G$1204,$Q112)&amp;"")</f>
        <v/>
      </c>
      <c r="F112" s="29" t="str">
        <f>IF($Q112="","",INDEX(TRANSACTIONS_MASTER!$I$5:$I$1204,$Q112))</f>
        <v/>
      </c>
      <c r="G112" s="55" t="str">
        <f>IF($Q112="","",INDEX(TRANSACTIONS_MASTER!$K$5:$K$1204,$Q112))</f>
        <v/>
      </c>
      <c r="H112" s="25" t="str">
        <f>IF($Q112="","",INDEX(TRANSACTIONS_MASTER!$L$5:$L$1204,$Q112))</f>
        <v/>
      </c>
      <c r="I112" s="56" t="str">
        <f>IF($Q112="","",INDEX(TRANSACTIONS_MASTER!$N$5:$N$1204,$Q112))</f>
        <v/>
      </c>
      <c r="J112" s="25" t="str">
        <f>IF($Q112="","",INDEX(TRANSACTIONS_MASTER!$O$5:$O$1204,$Q112))</f>
        <v/>
      </c>
      <c r="K112" s="26" t="str">
        <f>IF($Q112="","",INDEX(TRANSACTIONS_MASTER!$Q$5:$Q$1204,$Q112))</f>
        <v/>
      </c>
      <c r="L112" s="25" t="str">
        <f>IF($Q112="","",INDEX(TRANSACTIONS_MASTER!$P$5:$P$1204,$Q112))</f>
        <v/>
      </c>
      <c r="M112" s="25" t="str">
        <f>IF($Q112="","",INDEX(TRANSACTIONS_MASTER!$AA$5:$AA$1204,$Q112))</f>
        <v/>
      </c>
      <c r="N112" s="25" t="str">
        <f>IF($Q112="","",INDEX(TRANSACTIONS_MASTER!$R$5:$R$1204,$Q112))</f>
        <v/>
      </c>
      <c r="O112" s="28" t="str">
        <f>IF($Q112="","",INDEX(TRANSACTIONS_MASTER!$AB$5:$AB$1204,$Q112))</f>
        <v/>
      </c>
      <c r="P112" s="55" t="str">
        <f>IF($Q112="","",INDEX(TRANSACTIONS_MASTER!$Z$5:$Z$1204,$Q112)&amp;"")</f>
        <v/>
      </c>
      <c r="Q112" s="67" t="str">
        <f>IFERROR(MATCH($C$2&amp;"|"&amp;105,TRANSACTIONS_MASTER!$AE$5:$AE$1204,0),"")</f>
        <v/>
      </c>
      <c r="T112" s="68" t="n"/>
      <c r="U112" s="69" t="inlineStr">
        <is>
          <t>TỔNG</t>
        </is>
      </c>
      <c r="V112" s="31">
        <f>SUM(V97:V111)</f>
        <v>0</v>
      </c>
      <c r="W112" s="31">
        <f>SUM(W97:W111)</f>
        <v>0</v>
      </c>
    </row>
    <row r="113">
      <c r="A113" s="81" t="str">
        <f>IF($Q113="","",106)</f>
        <v/>
      </c>
      <c r="B113" s="57" t="str">
        <f>IF($Q113="","",INDEX(TRANSACTIONS_MASTER!$B$5:$B$1204,$Q113))</f>
        <v/>
      </c>
      <c r="C113" s="55" t="str">
        <f>IF($Q113="","",INDEX(TRANSACTIONS_MASTER!$F$5:$F$1204,$Q113))</f>
        <v/>
      </c>
      <c r="D113" s="55" t="str">
        <f>IF($Q113="","",INDEX(TRANSACTIONS_MASTER!$E$5:$E$1204,$Q113))</f>
        <v/>
      </c>
      <c r="E113" s="55" t="str">
        <f>IF($Q113="","",INDEX(TRANSACTIONS_MASTER!$G$5:$G$1204,$Q113)&amp;"")</f>
        <v/>
      </c>
      <c r="F113" s="29" t="str">
        <f>IF($Q113="","",INDEX(TRANSACTIONS_MASTER!$I$5:$I$1204,$Q113))</f>
        <v/>
      </c>
      <c r="G113" s="55" t="str">
        <f>IF($Q113="","",INDEX(TRANSACTIONS_MASTER!$K$5:$K$1204,$Q113))</f>
        <v/>
      </c>
      <c r="H113" s="25" t="str">
        <f>IF($Q113="","",INDEX(TRANSACTIONS_MASTER!$L$5:$L$1204,$Q113))</f>
        <v/>
      </c>
      <c r="I113" s="56" t="str">
        <f>IF($Q113="","",INDEX(TRANSACTIONS_MASTER!$N$5:$N$1204,$Q113))</f>
        <v/>
      </c>
      <c r="J113" s="25" t="str">
        <f>IF($Q113="","",INDEX(TRANSACTIONS_MASTER!$O$5:$O$1204,$Q113))</f>
        <v/>
      </c>
      <c r="K113" s="26" t="str">
        <f>IF($Q113="","",INDEX(TRANSACTIONS_MASTER!$Q$5:$Q$1204,$Q113))</f>
        <v/>
      </c>
      <c r="L113" s="25" t="str">
        <f>IF($Q113="","",INDEX(TRANSACTIONS_MASTER!$P$5:$P$1204,$Q113))</f>
        <v/>
      </c>
      <c r="M113" s="25" t="str">
        <f>IF($Q113="","",INDEX(TRANSACTIONS_MASTER!$AA$5:$AA$1204,$Q113))</f>
        <v/>
      </c>
      <c r="N113" s="25" t="str">
        <f>IF($Q113="","",INDEX(TRANSACTIONS_MASTER!$R$5:$R$1204,$Q113))</f>
        <v/>
      </c>
      <c r="O113" s="28" t="str">
        <f>IF($Q113="","",INDEX(TRANSACTIONS_MASTER!$AB$5:$AB$1204,$Q113))</f>
        <v/>
      </c>
      <c r="P113" s="55" t="str">
        <f>IF($Q113="","",INDEX(TRANSACTIONS_MASTER!$Z$5:$Z$1204,$Q113)&amp;"")</f>
        <v/>
      </c>
      <c r="Q113" s="67" t="str">
        <f>IFERROR(MATCH($C$2&amp;"|"&amp;106,TRANSACTIONS_MASTER!$AE$5:$AE$1204,0),"")</f>
        <v/>
      </c>
    </row>
    <row r="114">
      <c r="A114" s="81" t="str">
        <f>IF($Q114="","",107)</f>
        <v/>
      </c>
      <c r="B114" s="57" t="str">
        <f>IF($Q114="","",INDEX(TRANSACTIONS_MASTER!$B$5:$B$1204,$Q114))</f>
        <v/>
      </c>
      <c r="C114" s="55" t="str">
        <f>IF($Q114="","",INDEX(TRANSACTIONS_MASTER!$F$5:$F$1204,$Q114))</f>
        <v/>
      </c>
      <c r="D114" s="55" t="str">
        <f>IF($Q114="","",INDEX(TRANSACTIONS_MASTER!$E$5:$E$1204,$Q114))</f>
        <v/>
      </c>
      <c r="E114" s="55" t="str">
        <f>IF($Q114="","",INDEX(TRANSACTIONS_MASTER!$G$5:$G$1204,$Q114)&amp;"")</f>
        <v/>
      </c>
      <c r="F114" s="29" t="str">
        <f>IF($Q114="","",INDEX(TRANSACTIONS_MASTER!$I$5:$I$1204,$Q114))</f>
        <v/>
      </c>
      <c r="G114" s="55" t="str">
        <f>IF($Q114="","",INDEX(TRANSACTIONS_MASTER!$K$5:$K$1204,$Q114))</f>
        <v/>
      </c>
      <c r="H114" s="25" t="str">
        <f>IF($Q114="","",INDEX(TRANSACTIONS_MASTER!$L$5:$L$1204,$Q114))</f>
        <v/>
      </c>
      <c r="I114" s="56" t="str">
        <f>IF($Q114="","",INDEX(TRANSACTIONS_MASTER!$N$5:$N$1204,$Q114))</f>
        <v/>
      </c>
      <c r="J114" s="25" t="str">
        <f>IF($Q114="","",INDEX(TRANSACTIONS_MASTER!$O$5:$O$1204,$Q114))</f>
        <v/>
      </c>
      <c r="K114" s="26" t="str">
        <f>IF($Q114="","",INDEX(TRANSACTIONS_MASTER!$Q$5:$Q$1204,$Q114))</f>
        <v/>
      </c>
      <c r="L114" s="25" t="str">
        <f>IF($Q114="","",INDEX(TRANSACTIONS_MASTER!$P$5:$P$1204,$Q114))</f>
        <v/>
      </c>
      <c r="M114" s="25" t="str">
        <f>IF($Q114="","",INDEX(TRANSACTIONS_MASTER!$AA$5:$AA$1204,$Q114))</f>
        <v/>
      </c>
      <c r="N114" s="25" t="str">
        <f>IF($Q114="","",INDEX(TRANSACTIONS_MASTER!$R$5:$R$1204,$Q114))</f>
        <v/>
      </c>
      <c r="O114" s="28" t="str">
        <f>IF($Q114="","",INDEX(TRANSACTIONS_MASTER!$AB$5:$AB$1204,$Q114))</f>
        <v/>
      </c>
      <c r="P114" s="55" t="str">
        <f>IF($Q114="","",INDEX(TRANSACTIONS_MASTER!$Z$5:$Z$1204,$Q114)&amp;"")</f>
        <v/>
      </c>
      <c r="Q114" s="67" t="str">
        <f>IFERROR(MATCH($C$2&amp;"|"&amp;107,TRANSACTIONS_MASTER!$AE$5:$AE$1204,0),"")</f>
        <v/>
      </c>
    </row>
    <row r="115" ht="22" customHeight="1">
      <c r="A115" s="81" t="str">
        <f>IF($Q115="","",108)</f>
        <v/>
      </c>
      <c r="B115" s="57" t="str">
        <f>IF($Q115="","",INDEX(TRANSACTIONS_MASTER!$B$5:$B$1204,$Q115))</f>
        <v/>
      </c>
      <c r="C115" s="55" t="str">
        <f>IF($Q115="","",INDEX(TRANSACTIONS_MASTER!$F$5:$F$1204,$Q115))</f>
        <v/>
      </c>
      <c r="D115" s="55" t="str">
        <f>IF($Q115="","",INDEX(TRANSACTIONS_MASTER!$E$5:$E$1204,$Q115))</f>
        <v/>
      </c>
      <c r="E115" s="55" t="str">
        <f>IF($Q115="","",INDEX(TRANSACTIONS_MASTER!$G$5:$G$1204,$Q115)&amp;"")</f>
        <v/>
      </c>
      <c r="F115" s="29" t="str">
        <f>IF($Q115="","",INDEX(TRANSACTIONS_MASTER!$I$5:$I$1204,$Q115))</f>
        <v/>
      </c>
      <c r="G115" s="55" t="str">
        <f>IF($Q115="","",INDEX(TRANSACTIONS_MASTER!$K$5:$K$1204,$Q115))</f>
        <v/>
      </c>
      <c r="H115" s="25" t="str">
        <f>IF($Q115="","",INDEX(TRANSACTIONS_MASTER!$L$5:$L$1204,$Q115))</f>
        <v/>
      </c>
      <c r="I115" s="56" t="str">
        <f>IF($Q115="","",INDEX(TRANSACTIONS_MASTER!$N$5:$N$1204,$Q115))</f>
        <v/>
      </c>
      <c r="J115" s="25" t="str">
        <f>IF($Q115="","",INDEX(TRANSACTIONS_MASTER!$O$5:$O$1204,$Q115))</f>
        <v/>
      </c>
      <c r="K115" s="26" t="str">
        <f>IF($Q115="","",INDEX(TRANSACTIONS_MASTER!$Q$5:$Q$1204,$Q115))</f>
        <v/>
      </c>
      <c r="L115" s="25" t="str">
        <f>IF($Q115="","",INDEX(TRANSACTIONS_MASTER!$P$5:$P$1204,$Q115))</f>
        <v/>
      </c>
      <c r="M115" s="25" t="str">
        <f>IF($Q115="","",INDEX(TRANSACTIONS_MASTER!$AA$5:$AA$1204,$Q115))</f>
        <v/>
      </c>
      <c r="N115" s="25" t="str">
        <f>IF($Q115="","",INDEX(TRANSACTIONS_MASTER!$R$5:$R$1204,$Q115))</f>
        <v/>
      </c>
      <c r="O115" s="28" t="str">
        <f>IF($Q115="","",INDEX(TRANSACTIONS_MASTER!$AB$5:$AB$1204,$Q115))</f>
        <v/>
      </c>
      <c r="P115" s="55" t="str">
        <f>IF($Q115="","",INDEX(TRANSACTIONS_MASTER!$Z$5:$Z$1204,$Q115)&amp;"")</f>
        <v/>
      </c>
      <c r="Q115" s="67" t="str">
        <f>IFERROR(MATCH($C$2&amp;"|"&amp;108,TRANSACTIONS_MASTER!$AE$5:$AE$1204,0),"")</f>
        <v/>
      </c>
      <c r="T115" s="19" t="inlineStr">
        <is>
          <t>THEO DANH MỤC (Category)</t>
        </is>
      </c>
      <c r="U115" s="20" t="n"/>
      <c r="V115" s="20" t="n"/>
      <c r="W115" s="20" t="n"/>
      <c r="X115" s="20" t="n"/>
      <c r="Y115" s="20" t="n"/>
      <c r="Z115" s="20" t="n"/>
      <c r="AA115" s="20" t="n"/>
    </row>
    <row r="116" ht="28" customHeight="1">
      <c r="A116" s="81" t="str">
        <f>IF($Q116="","",109)</f>
        <v/>
      </c>
      <c r="B116" s="57" t="str">
        <f>IF($Q116="","",INDEX(TRANSACTIONS_MASTER!$B$5:$B$1204,$Q116))</f>
        <v/>
      </c>
      <c r="C116" s="55" t="str">
        <f>IF($Q116="","",INDEX(TRANSACTIONS_MASTER!$F$5:$F$1204,$Q116))</f>
        <v/>
      </c>
      <c r="D116" s="55" t="str">
        <f>IF($Q116="","",INDEX(TRANSACTIONS_MASTER!$E$5:$E$1204,$Q116))</f>
        <v/>
      </c>
      <c r="E116" s="55" t="str">
        <f>IF($Q116="","",INDEX(TRANSACTIONS_MASTER!$G$5:$G$1204,$Q116)&amp;"")</f>
        <v/>
      </c>
      <c r="F116" s="29" t="str">
        <f>IF($Q116="","",INDEX(TRANSACTIONS_MASTER!$I$5:$I$1204,$Q116))</f>
        <v/>
      </c>
      <c r="G116" s="55" t="str">
        <f>IF($Q116="","",INDEX(TRANSACTIONS_MASTER!$K$5:$K$1204,$Q116))</f>
        <v/>
      </c>
      <c r="H116" s="25" t="str">
        <f>IF($Q116="","",INDEX(TRANSACTIONS_MASTER!$L$5:$L$1204,$Q116))</f>
        <v/>
      </c>
      <c r="I116" s="56" t="str">
        <f>IF($Q116="","",INDEX(TRANSACTIONS_MASTER!$N$5:$N$1204,$Q116))</f>
        <v/>
      </c>
      <c r="J116" s="25" t="str">
        <f>IF($Q116="","",INDEX(TRANSACTIONS_MASTER!$O$5:$O$1204,$Q116))</f>
        <v/>
      </c>
      <c r="K116" s="26" t="str">
        <f>IF($Q116="","",INDEX(TRANSACTIONS_MASTER!$Q$5:$Q$1204,$Q116))</f>
        <v/>
      </c>
      <c r="L116" s="25" t="str">
        <f>IF($Q116="","",INDEX(TRANSACTIONS_MASTER!$P$5:$P$1204,$Q116))</f>
        <v/>
      </c>
      <c r="M116" s="25" t="str">
        <f>IF($Q116="","",INDEX(TRANSACTIONS_MASTER!$AA$5:$AA$1204,$Q116))</f>
        <v/>
      </c>
      <c r="N116" s="25" t="str">
        <f>IF($Q116="","",INDEX(TRANSACTIONS_MASTER!$R$5:$R$1204,$Q116))</f>
        <v/>
      </c>
      <c r="O116" s="28" t="str">
        <f>IF($Q116="","",INDEX(TRANSACTIONS_MASTER!$AB$5:$AB$1204,$Q116))</f>
        <v/>
      </c>
      <c r="P116" s="55" t="str">
        <f>IF($Q116="","",INDEX(TRANSACTIONS_MASTER!$Z$5:$Z$1204,$Q116)&amp;"")</f>
        <v/>
      </c>
      <c r="Q116" s="67" t="str">
        <f>IFERROR(MATCH($C$2&amp;"|"&amp;109,TRANSACTIONS_MASTER!$AE$5:$AE$1204,0),"")</f>
        <v/>
      </c>
      <c r="S116" s="21" t="inlineStr">
        <is>
          <t>#</t>
        </is>
      </c>
      <c r="T116" s="21" t="inlineStr"/>
      <c r="U116" s="21" t="inlineStr">
        <is>
          <t>Danh mục</t>
        </is>
      </c>
      <c r="V116" s="21" t="inlineStr">
        <is>
          <t>Chi tiêu</t>
        </is>
      </c>
      <c r="W116" s="21" t="inlineStr">
        <is>
          <t>Cashback</t>
        </is>
      </c>
    </row>
    <row r="117">
      <c r="A117" s="81" t="str">
        <f>IF($Q117="","",110)</f>
        <v/>
      </c>
      <c r="B117" s="57" t="str">
        <f>IF($Q117="","",INDEX(TRANSACTIONS_MASTER!$B$5:$B$1204,$Q117))</f>
        <v/>
      </c>
      <c r="C117" s="55" t="str">
        <f>IF($Q117="","",INDEX(TRANSACTIONS_MASTER!$F$5:$F$1204,$Q117))</f>
        <v/>
      </c>
      <c r="D117" s="55" t="str">
        <f>IF($Q117="","",INDEX(TRANSACTIONS_MASTER!$E$5:$E$1204,$Q117))</f>
        <v/>
      </c>
      <c r="E117" s="55" t="str">
        <f>IF($Q117="","",INDEX(TRANSACTIONS_MASTER!$G$5:$G$1204,$Q117)&amp;"")</f>
        <v/>
      </c>
      <c r="F117" s="29" t="str">
        <f>IF($Q117="","",INDEX(TRANSACTIONS_MASTER!$I$5:$I$1204,$Q117))</f>
        <v/>
      </c>
      <c r="G117" s="55" t="str">
        <f>IF($Q117="","",INDEX(TRANSACTIONS_MASTER!$K$5:$K$1204,$Q117))</f>
        <v/>
      </c>
      <c r="H117" s="25" t="str">
        <f>IF($Q117="","",INDEX(TRANSACTIONS_MASTER!$L$5:$L$1204,$Q117))</f>
        <v/>
      </c>
      <c r="I117" s="56" t="str">
        <f>IF($Q117="","",INDEX(TRANSACTIONS_MASTER!$N$5:$N$1204,$Q117))</f>
        <v/>
      </c>
      <c r="J117" s="25" t="str">
        <f>IF($Q117="","",INDEX(TRANSACTIONS_MASTER!$O$5:$O$1204,$Q117))</f>
        <v/>
      </c>
      <c r="K117" s="26" t="str">
        <f>IF($Q117="","",INDEX(TRANSACTIONS_MASTER!$Q$5:$Q$1204,$Q117))</f>
        <v/>
      </c>
      <c r="L117" s="25" t="str">
        <f>IF($Q117="","",INDEX(TRANSACTIONS_MASTER!$P$5:$P$1204,$Q117))</f>
        <v/>
      </c>
      <c r="M117" s="25" t="str">
        <f>IF($Q117="","",INDEX(TRANSACTIONS_MASTER!$AA$5:$AA$1204,$Q117))</f>
        <v/>
      </c>
      <c r="N117" s="25" t="str">
        <f>IF($Q117="","",INDEX(TRANSACTIONS_MASTER!$R$5:$R$1204,$Q117))</f>
        <v/>
      </c>
      <c r="O117" s="28" t="str">
        <f>IF($Q117="","",INDEX(TRANSACTIONS_MASTER!$AB$5:$AB$1204,$Q117))</f>
        <v/>
      </c>
      <c r="P117" s="55" t="str">
        <f>IF($Q117="","",INDEX(TRANSACTIONS_MASTER!$Z$5:$Z$1204,$Q117)&amp;"")</f>
        <v/>
      </c>
      <c r="Q117" s="67" t="str">
        <f>IFERROR(MATCH($C$2&amp;"|"&amp;110,TRANSACTIONS_MASTER!$AE$5:$AE$1204,0),"")</f>
        <v/>
      </c>
      <c r="S117" s="67" t="str">
        <f>IFERROR(MATCH(1,INDEX((TRANSACTIONS_MASTER!$C$5:$C$1204=$C$2)*(TRANSACTIONS_MASTER!$AL$5:$AL$1204=1),0),0),"")</f>
        <v/>
      </c>
      <c r="T117" s="55" t="n"/>
      <c r="U117" s="55" t="str">
        <f>IF($S117="","",INDEX(TRANSACTIONS_MASTER!$K$5:$K$1204,$S117))</f>
        <v/>
      </c>
      <c r="V117" s="25" t="str">
        <f>IF($S117="","",SUMIFS(TRANSACTIONS_MASTER!$L$5:$L$1204,TRANSACTIONS_MASTER!$K$5:$K$1204,$U117,TRANSACTIONS_MASTER!$C$5:$C$1204,$C$2,TRANSACTIONS_MASTER!$U$5:$U$1204,"&lt;&gt;Cancelled"))</f>
        <v/>
      </c>
      <c r="W117" s="26" t="str">
        <f>IF($S117="","",SUMIFS(TRANSACTIONS_MASTER!$Q$5:$Q$1204,TRANSACTIONS_MASTER!$K$5:$K$1204,$U117,TRANSACTIONS_MASTER!$C$5:$C$1204,$C$2))</f>
        <v/>
      </c>
    </row>
    <row r="118">
      <c r="A118" s="81" t="str">
        <f>IF($Q118="","",111)</f>
        <v/>
      </c>
      <c r="B118" s="57" t="str">
        <f>IF($Q118="","",INDEX(TRANSACTIONS_MASTER!$B$5:$B$1204,$Q118))</f>
        <v/>
      </c>
      <c r="C118" s="55" t="str">
        <f>IF($Q118="","",INDEX(TRANSACTIONS_MASTER!$F$5:$F$1204,$Q118))</f>
        <v/>
      </c>
      <c r="D118" s="55" t="str">
        <f>IF($Q118="","",INDEX(TRANSACTIONS_MASTER!$E$5:$E$1204,$Q118))</f>
        <v/>
      </c>
      <c r="E118" s="55" t="str">
        <f>IF($Q118="","",INDEX(TRANSACTIONS_MASTER!$G$5:$G$1204,$Q118)&amp;"")</f>
        <v/>
      </c>
      <c r="F118" s="29" t="str">
        <f>IF($Q118="","",INDEX(TRANSACTIONS_MASTER!$I$5:$I$1204,$Q118))</f>
        <v/>
      </c>
      <c r="G118" s="55" t="str">
        <f>IF($Q118="","",INDEX(TRANSACTIONS_MASTER!$K$5:$K$1204,$Q118))</f>
        <v/>
      </c>
      <c r="H118" s="25" t="str">
        <f>IF($Q118="","",INDEX(TRANSACTIONS_MASTER!$L$5:$L$1204,$Q118))</f>
        <v/>
      </c>
      <c r="I118" s="56" t="str">
        <f>IF($Q118="","",INDEX(TRANSACTIONS_MASTER!$N$5:$N$1204,$Q118))</f>
        <v/>
      </c>
      <c r="J118" s="25" t="str">
        <f>IF($Q118="","",INDEX(TRANSACTIONS_MASTER!$O$5:$O$1204,$Q118))</f>
        <v/>
      </c>
      <c r="K118" s="26" t="str">
        <f>IF($Q118="","",INDEX(TRANSACTIONS_MASTER!$Q$5:$Q$1204,$Q118))</f>
        <v/>
      </c>
      <c r="L118" s="25" t="str">
        <f>IF($Q118="","",INDEX(TRANSACTIONS_MASTER!$P$5:$P$1204,$Q118))</f>
        <v/>
      </c>
      <c r="M118" s="25" t="str">
        <f>IF($Q118="","",INDEX(TRANSACTIONS_MASTER!$AA$5:$AA$1204,$Q118))</f>
        <v/>
      </c>
      <c r="N118" s="25" t="str">
        <f>IF($Q118="","",INDEX(TRANSACTIONS_MASTER!$R$5:$R$1204,$Q118))</f>
        <v/>
      </c>
      <c r="O118" s="28" t="str">
        <f>IF($Q118="","",INDEX(TRANSACTIONS_MASTER!$AB$5:$AB$1204,$Q118))</f>
        <v/>
      </c>
      <c r="P118" s="55" t="str">
        <f>IF($Q118="","",INDEX(TRANSACTIONS_MASTER!$Z$5:$Z$1204,$Q118)&amp;"")</f>
        <v/>
      </c>
      <c r="Q118" s="67" t="str">
        <f>IFERROR(MATCH($C$2&amp;"|"&amp;111,TRANSACTIONS_MASTER!$AE$5:$AE$1204,0),"")</f>
        <v/>
      </c>
      <c r="S118" s="67" t="str">
        <f>IFERROR(MATCH(1,INDEX((TRANSACTIONS_MASTER!$C$5:$C$1204=$C$2)*(TRANSACTIONS_MASTER!$AL$5:$AL$1204=2),0),0),"")</f>
        <v/>
      </c>
      <c r="T118" s="55" t="n"/>
      <c r="U118" s="55" t="str">
        <f>IF($S118="","",INDEX(TRANSACTIONS_MASTER!$K$5:$K$1204,$S118))</f>
        <v/>
      </c>
      <c r="V118" s="25" t="str">
        <f>IF($S118="","",SUMIFS(TRANSACTIONS_MASTER!$L$5:$L$1204,TRANSACTIONS_MASTER!$K$5:$K$1204,$U118,TRANSACTIONS_MASTER!$C$5:$C$1204,$C$2,TRANSACTIONS_MASTER!$U$5:$U$1204,"&lt;&gt;Cancelled"))</f>
        <v/>
      </c>
      <c r="W118" s="26" t="str">
        <f>IF($S118="","",SUMIFS(TRANSACTIONS_MASTER!$Q$5:$Q$1204,TRANSACTIONS_MASTER!$K$5:$K$1204,$U118,TRANSACTIONS_MASTER!$C$5:$C$1204,$C$2))</f>
        <v/>
      </c>
    </row>
    <row r="119">
      <c r="A119" s="81" t="str">
        <f>IF($Q119="","",112)</f>
        <v/>
      </c>
      <c r="B119" s="57" t="str">
        <f>IF($Q119="","",INDEX(TRANSACTIONS_MASTER!$B$5:$B$1204,$Q119))</f>
        <v/>
      </c>
      <c r="C119" s="55" t="str">
        <f>IF($Q119="","",INDEX(TRANSACTIONS_MASTER!$F$5:$F$1204,$Q119))</f>
        <v/>
      </c>
      <c r="D119" s="55" t="str">
        <f>IF($Q119="","",INDEX(TRANSACTIONS_MASTER!$E$5:$E$1204,$Q119))</f>
        <v/>
      </c>
      <c r="E119" s="55" t="str">
        <f>IF($Q119="","",INDEX(TRANSACTIONS_MASTER!$G$5:$G$1204,$Q119)&amp;"")</f>
        <v/>
      </c>
      <c r="F119" s="29" t="str">
        <f>IF($Q119="","",INDEX(TRANSACTIONS_MASTER!$I$5:$I$1204,$Q119))</f>
        <v/>
      </c>
      <c r="G119" s="55" t="str">
        <f>IF($Q119="","",INDEX(TRANSACTIONS_MASTER!$K$5:$K$1204,$Q119))</f>
        <v/>
      </c>
      <c r="H119" s="25" t="str">
        <f>IF($Q119="","",INDEX(TRANSACTIONS_MASTER!$L$5:$L$1204,$Q119))</f>
        <v/>
      </c>
      <c r="I119" s="56" t="str">
        <f>IF($Q119="","",INDEX(TRANSACTIONS_MASTER!$N$5:$N$1204,$Q119))</f>
        <v/>
      </c>
      <c r="J119" s="25" t="str">
        <f>IF($Q119="","",INDEX(TRANSACTIONS_MASTER!$O$5:$O$1204,$Q119))</f>
        <v/>
      </c>
      <c r="K119" s="26" t="str">
        <f>IF($Q119="","",INDEX(TRANSACTIONS_MASTER!$Q$5:$Q$1204,$Q119))</f>
        <v/>
      </c>
      <c r="L119" s="25" t="str">
        <f>IF($Q119="","",INDEX(TRANSACTIONS_MASTER!$P$5:$P$1204,$Q119))</f>
        <v/>
      </c>
      <c r="M119" s="25" t="str">
        <f>IF($Q119="","",INDEX(TRANSACTIONS_MASTER!$AA$5:$AA$1204,$Q119))</f>
        <v/>
      </c>
      <c r="N119" s="25" t="str">
        <f>IF($Q119="","",INDEX(TRANSACTIONS_MASTER!$R$5:$R$1204,$Q119))</f>
        <v/>
      </c>
      <c r="O119" s="28" t="str">
        <f>IF($Q119="","",INDEX(TRANSACTIONS_MASTER!$AB$5:$AB$1204,$Q119))</f>
        <v/>
      </c>
      <c r="P119" s="55" t="str">
        <f>IF($Q119="","",INDEX(TRANSACTIONS_MASTER!$Z$5:$Z$1204,$Q119)&amp;"")</f>
        <v/>
      </c>
      <c r="Q119" s="67" t="str">
        <f>IFERROR(MATCH($C$2&amp;"|"&amp;112,TRANSACTIONS_MASTER!$AE$5:$AE$1204,0),"")</f>
        <v/>
      </c>
      <c r="S119" s="67" t="str">
        <f>IFERROR(MATCH(1,INDEX((TRANSACTIONS_MASTER!$C$5:$C$1204=$C$2)*(TRANSACTIONS_MASTER!$AL$5:$AL$1204=3),0),0),"")</f>
        <v/>
      </c>
      <c r="T119" s="55" t="n"/>
      <c r="U119" s="55" t="str">
        <f>IF($S119="","",INDEX(TRANSACTIONS_MASTER!$K$5:$K$1204,$S119))</f>
        <v/>
      </c>
      <c r="V119" s="25" t="str">
        <f>IF($S119="","",SUMIFS(TRANSACTIONS_MASTER!$L$5:$L$1204,TRANSACTIONS_MASTER!$K$5:$K$1204,$U119,TRANSACTIONS_MASTER!$C$5:$C$1204,$C$2,TRANSACTIONS_MASTER!$U$5:$U$1204,"&lt;&gt;Cancelled"))</f>
        <v/>
      </c>
      <c r="W119" s="26" t="str">
        <f>IF($S119="","",SUMIFS(TRANSACTIONS_MASTER!$Q$5:$Q$1204,TRANSACTIONS_MASTER!$K$5:$K$1204,$U119,TRANSACTIONS_MASTER!$C$5:$C$1204,$C$2))</f>
        <v/>
      </c>
    </row>
    <row r="120">
      <c r="A120" s="81" t="str">
        <f>IF($Q120="","",113)</f>
        <v/>
      </c>
      <c r="B120" s="57" t="str">
        <f>IF($Q120="","",INDEX(TRANSACTIONS_MASTER!$B$5:$B$1204,$Q120))</f>
        <v/>
      </c>
      <c r="C120" s="55" t="str">
        <f>IF($Q120="","",INDEX(TRANSACTIONS_MASTER!$F$5:$F$1204,$Q120))</f>
        <v/>
      </c>
      <c r="D120" s="55" t="str">
        <f>IF($Q120="","",INDEX(TRANSACTIONS_MASTER!$E$5:$E$1204,$Q120))</f>
        <v/>
      </c>
      <c r="E120" s="55" t="str">
        <f>IF($Q120="","",INDEX(TRANSACTIONS_MASTER!$G$5:$G$1204,$Q120)&amp;"")</f>
        <v/>
      </c>
      <c r="F120" s="29" t="str">
        <f>IF($Q120="","",INDEX(TRANSACTIONS_MASTER!$I$5:$I$1204,$Q120))</f>
        <v/>
      </c>
      <c r="G120" s="55" t="str">
        <f>IF($Q120="","",INDEX(TRANSACTIONS_MASTER!$K$5:$K$1204,$Q120))</f>
        <v/>
      </c>
      <c r="H120" s="25" t="str">
        <f>IF($Q120="","",INDEX(TRANSACTIONS_MASTER!$L$5:$L$1204,$Q120))</f>
        <v/>
      </c>
      <c r="I120" s="56" t="str">
        <f>IF($Q120="","",INDEX(TRANSACTIONS_MASTER!$N$5:$N$1204,$Q120))</f>
        <v/>
      </c>
      <c r="J120" s="25" t="str">
        <f>IF($Q120="","",INDEX(TRANSACTIONS_MASTER!$O$5:$O$1204,$Q120))</f>
        <v/>
      </c>
      <c r="K120" s="26" t="str">
        <f>IF($Q120="","",INDEX(TRANSACTIONS_MASTER!$Q$5:$Q$1204,$Q120))</f>
        <v/>
      </c>
      <c r="L120" s="25" t="str">
        <f>IF($Q120="","",INDEX(TRANSACTIONS_MASTER!$P$5:$P$1204,$Q120))</f>
        <v/>
      </c>
      <c r="M120" s="25" t="str">
        <f>IF($Q120="","",INDEX(TRANSACTIONS_MASTER!$AA$5:$AA$1204,$Q120))</f>
        <v/>
      </c>
      <c r="N120" s="25" t="str">
        <f>IF($Q120="","",INDEX(TRANSACTIONS_MASTER!$R$5:$R$1204,$Q120))</f>
        <v/>
      </c>
      <c r="O120" s="28" t="str">
        <f>IF($Q120="","",INDEX(TRANSACTIONS_MASTER!$AB$5:$AB$1204,$Q120))</f>
        <v/>
      </c>
      <c r="P120" s="55" t="str">
        <f>IF($Q120="","",INDEX(TRANSACTIONS_MASTER!$Z$5:$Z$1204,$Q120)&amp;"")</f>
        <v/>
      </c>
      <c r="Q120" s="67" t="str">
        <f>IFERROR(MATCH($C$2&amp;"|"&amp;113,TRANSACTIONS_MASTER!$AE$5:$AE$1204,0),"")</f>
        <v/>
      </c>
      <c r="S120" s="67" t="str">
        <f>IFERROR(MATCH(1,INDEX((TRANSACTIONS_MASTER!$C$5:$C$1204=$C$2)*(TRANSACTIONS_MASTER!$AL$5:$AL$1204=4),0),0),"")</f>
        <v/>
      </c>
      <c r="T120" s="55" t="n"/>
      <c r="U120" s="55" t="str">
        <f>IF($S120="","",INDEX(TRANSACTIONS_MASTER!$K$5:$K$1204,$S120))</f>
        <v/>
      </c>
      <c r="V120" s="25" t="str">
        <f>IF($S120="","",SUMIFS(TRANSACTIONS_MASTER!$L$5:$L$1204,TRANSACTIONS_MASTER!$K$5:$K$1204,$U120,TRANSACTIONS_MASTER!$C$5:$C$1204,$C$2,TRANSACTIONS_MASTER!$U$5:$U$1204,"&lt;&gt;Cancelled"))</f>
        <v/>
      </c>
      <c r="W120" s="26" t="str">
        <f>IF($S120="","",SUMIFS(TRANSACTIONS_MASTER!$Q$5:$Q$1204,TRANSACTIONS_MASTER!$K$5:$K$1204,$U120,TRANSACTIONS_MASTER!$C$5:$C$1204,$C$2))</f>
        <v/>
      </c>
    </row>
    <row r="121">
      <c r="A121" s="81" t="str">
        <f>IF($Q121="","",114)</f>
        <v/>
      </c>
      <c r="B121" s="57" t="str">
        <f>IF($Q121="","",INDEX(TRANSACTIONS_MASTER!$B$5:$B$1204,$Q121))</f>
        <v/>
      </c>
      <c r="C121" s="55" t="str">
        <f>IF($Q121="","",INDEX(TRANSACTIONS_MASTER!$F$5:$F$1204,$Q121))</f>
        <v/>
      </c>
      <c r="D121" s="55" t="str">
        <f>IF($Q121="","",INDEX(TRANSACTIONS_MASTER!$E$5:$E$1204,$Q121))</f>
        <v/>
      </c>
      <c r="E121" s="55" t="str">
        <f>IF($Q121="","",INDEX(TRANSACTIONS_MASTER!$G$5:$G$1204,$Q121)&amp;"")</f>
        <v/>
      </c>
      <c r="F121" s="29" t="str">
        <f>IF($Q121="","",INDEX(TRANSACTIONS_MASTER!$I$5:$I$1204,$Q121))</f>
        <v/>
      </c>
      <c r="G121" s="55" t="str">
        <f>IF($Q121="","",INDEX(TRANSACTIONS_MASTER!$K$5:$K$1204,$Q121))</f>
        <v/>
      </c>
      <c r="H121" s="25" t="str">
        <f>IF($Q121="","",INDEX(TRANSACTIONS_MASTER!$L$5:$L$1204,$Q121))</f>
        <v/>
      </c>
      <c r="I121" s="56" t="str">
        <f>IF($Q121="","",INDEX(TRANSACTIONS_MASTER!$N$5:$N$1204,$Q121))</f>
        <v/>
      </c>
      <c r="J121" s="25" t="str">
        <f>IF($Q121="","",INDEX(TRANSACTIONS_MASTER!$O$5:$O$1204,$Q121))</f>
        <v/>
      </c>
      <c r="K121" s="26" t="str">
        <f>IF($Q121="","",INDEX(TRANSACTIONS_MASTER!$Q$5:$Q$1204,$Q121))</f>
        <v/>
      </c>
      <c r="L121" s="25" t="str">
        <f>IF($Q121="","",INDEX(TRANSACTIONS_MASTER!$P$5:$P$1204,$Q121))</f>
        <v/>
      </c>
      <c r="M121" s="25" t="str">
        <f>IF($Q121="","",INDEX(TRANSACTIONS_MASTER!$AA$5:$AA$1204,$Q121))</f>
        <v/>
      </c>
      <c r="N121" s="25" t="str">
        <f>IF($Q121="","",INDEX(TRANSACTIONS_MASTER!$R$5:$R$1204,$Q121))</f>
        <v/>
      </c>
      <c r="O121" s="28" t="str">
        <f>IF($Q121="","",INDEX(TRANSACTIONS_MASTER!$AB$5:$AB$1204,$Q121))</f>
        <v/>
      </c>
      <c r="P121" s="55" t="str">
        <f>IF($Q121="","",INDEX(TRANSACTIONS_MASTER!$Z$5:$Z$1204,$Q121)&amp;"")</f>
        <v/>
      </c>
      <c r="Q121" s="67" t="str">
        <f>IFERROR(MATCH($C$2&amp;"|"&amp;114,TRANSACTIONS_MASTER!$AE$5:$AE$1204,0),"")</f>
        <v/>
      </c>
      <c r="S121" s="67" t="str">
        <f>IFERROR(MATCH(1,INDEX((TRANSACTIONS_MASTER!$C$5:$C$1204=$C$2)*(TRANSACTIONS_MASTER!$AL$5:$AL$1204=5),0),0),"")</f>
        <v/>
      </c>
      <c r="T121" s="55" t="n"/>
      <c r="U121" s="55" t="str">
        <f>IF($S121="","",INDEX(TRANSACTIONS_MASTER!$K$5:$K$1204,$S121))</f>
        <v/>
      </c>
      <c r="V121" s="25" t="str">
        <f>IF($S121="","",SUMIFS(TRANSACTIONS_MASTER!$L$5:$L$1204,TRANSACTIONS_MASTER!$K$5:$K$1204,$U121,TRANSACTIONS_MASTER!$C$5:$C$1204,$C$2,TRANSACTIONS_MASTER!$U$5:$U$1204,"&lt;&gt;Cancelled"))</f>
        <v/>
      </c>
      <c r="W121" s="26" t="str">
        <f>IF($S121="","",SUMIFS(TRANSACTIONS_MASTER!$Q$5:$Q$1204,TRANSACTIONS_MASTER!$K$5:$K$1204,$U121,TRANSACTIONS_MASTER!$C$5:$C$1204,$C$2))</f>
        <v/>
      </c>
    </row>
    <row r="122">
      <c r="A122" s="81" t="str">
        <f>IF($Q122="","",115)</f>
        <v/>
      </c>
      <c r="B122" s="57" t="str">
        <f>IF($Q122="","",INDEX(TRANSACTIONS_MASTER!$B$5:$B$1204,$Q122))</f>
        <v/>
      </c>
      <c r="C122" s="55" t="str">
        <f>IF($Q122="","",INDEX(TRANSACTIONS_MASTER!$F$5:$F$1204,$Q122))</f>
        <v/>
      </c>
      <c r="D122" s="55" t="str">
        <f>IF($Q122="","",INDEX(TRANSACTIONS_MASTER!$E$5:$E$1204,$Q122))</f>
        <v/>
      </c>
      <c r="E122" s="55" t="str">
        <f>IF($Q122="","",INDEX(TRANSACTIONS_MASTER!$G$5:$G$1204,$Q122)&amp;"")</f>
        <v/>
      </c>
      <c r="F122" s="29" t="str">
        <f>IF($Q122="","",INDEX(TRANSACTIONS_MASTER!$I$5:$I$1204,$Q122))</f>
        <v/>
      </c>
      <c r="G122" s="55" t="str">
        <f>IF($Q122="","",INDEX(TRANSACTIONS_MASTER!$K$5:$K$1204,$Q122))</f>
        <v/>
      </c>
      <c r="H122" s="25" t="str">
        <f>IF($Q122="","",INDEX(TRANSACTIONS_MASTER!$L$5:$L$1204,$Q122))</f>
        <v/>
      </c>
      <c r="I122" s="56" t="str">
        <f>IF($Q122="","",INDEX(TRANSACTIONS_MASTER!$N$5:$N$1204,$Q122))</f>
        <v/>
      </c>
      <c r="J122" s="25" t="str">
        <f>IF($Q122="","",INDEX(TRANSACTIONS_MASTER!$O$5:$O$1204,$Q122))</f>
        <v/>
      </c>
      <c r="K122" s="26" t="str">
        <f>IF($Q122="","",INDEX(TRANSACTIONS_MASTER!$Q$5:$Q$1204,$Q122))</f>
        <v/>
      </c>
      <c r="L122" s="25" t="str">
        <f>IF($Q122="","",INDEX(TRANSACTIONS_MASTER!$P$5:$P$1204,$Q122))</f>
        <v/>
      </c>
      <c r="M122" s="25" t="str">
        <f>IF($Q122="","",INDEX(TRANSACTIONS_MASTER!$AA$5:$AA$1204,$Q122))</f>
        <v/>
      </c>
      <c r="N122" s="25" t="str">
        <f>IF($Q122="","",INDEX(TRANSACTIONS_MASTER!$R$5:$R$1204,$Q122))</f>
        <v/>
      </c>
      <c r="O122" s="28" t="str">
        <f>IF($Q122="","",INDEX(TRANSACTIONS_MASTER!$AB$5:$AB$1204,$Q122))</f>
        <v/>
      </c>
      <c r="P122" s="55" t="str">
        <f>IF($Q122="","",INDEX(TRANSACTIONS_MASTER!$Z$5:$Z$1204,$Q122)&amp;"")</f>
        <v/>
      </c>
      <c r="Q122" s="67" t="str">
        <f>IFERROR(MATCH($C$2&amp;"|"&amp;115,TRANSACTIONS_MASTER!$AE$5:$AE$1204,0),"")</f>
        <v/>
      </c>
      <c r="S122" s="67" t="str">
        <f>IFERROR(MATCH(1,INDEX((TRANSACTIONS_MASTER!$C$5:$C$1204=$C$2)*(TRANSACTIONS_MASTER!$AL$5:$AL$1204=6),0),0),"")</f>
        <v/>
      </c>
      <c r="T122" s="55" t="n"/>
      <c r="U122" s="55" t="str">
        <f>IF($S122="","",INDEX(TRANSACTIONS_MASTER!$K$5:$K$1204,$S122))</f>
        <v/>
      </c>
      <c r="V122" s="25" t="str">
        <f>IF($S122="","",SUMIFS(TRANSACTIONS_MASTER!$L$5:$L$1204,TRANSACTIONS_MASTER!$K$5:$K$1204,$U122,TRANSACTIONS_MASTER!$C$5:$C$1204,$C$2,TRANSACTIONS_MASTER!$U$5:$U$1204,"&lt;&gt;Cancelled"))</f>
        <v/>
      </c>
      <c r="W122" s="26" t="str">
        <f>IF($S122="","",SUMIFS(TRANSACTIONS_MASTER!$Q$5:$Q$1204,TRANSACTIONS_MASTER!$K$5:$K$1204,$U122,TRANSACTIONS_MASTER!$C$5:$C$1204,$C$2))</f>
        <v/>
      </c>
    </row>
    <row r="123">
      <c r="A123" s="81" t="str">
        <f>IF($Q123="","",116)</f>
        <v/>
      </c>
      <c r="B123" s="57" t="str">
        <f>IF($Q123="","",INDEX(TRANSACTIONS_MASTER!$B$5:$B$1204,$Q123))</f>
        <v/>
      </c>
      <c r="C123" s="55" t="str">
        <f>IF($Q123="","",INDEX(TRANSACTIONS_MASTER!$F$5:$F$1204,$Q123))</f>
        <v/>
      </c>
      <c r="D123" s="55" t="str">
        <f>IF($Q123="","",INDEX(TRANSACTIONS_MASTER!$E$5:$E$1204,$Q123))</f>
        <v/>
      </c>
      <c r="E123" s="55" t="str">
        <f>IF($Q123="","",INDEX(TRANSACTIONS_MASTER!$G$5:$G$1204,$Q123)&amp;"")</f>
        <v/>
      </c>
      <c r="F123" s="29" t="str">
        <f>IF($Q123="","",INDEX(TRANSACTIONS_MASTER!$I$5:$I$1204,$Q123))</f>
        <v/>
      </c>
      <c r="G123" s="55" t="str">
        <f>IF($Q123="","",INDEX(TRANSACTIONS_MASTER!$K$5:$K$1204,$Q123))</f>
        <v/>
      </c>
      <c r="H123" s="25" t="str">
        <f>IF($Q123="","",INDEX(TRANSACTIONS_MASTER!$L$5:$L$1204,$Q123))</f>
        <v/>
      </c>
      <c r="I123" s="56" t="str">
        <f>IF($Q123="","",INDEX(TRANSACTIONS_MASTER!$N$5:$N$1204,$Q123))</f>
        <v/>
      </c>
      <c r="J123" s="25" t="str">
        <f>IF($Q123="","",INDEX(TRANSACTIONS_MASTER!$O$5:$O$1204,$Q123))</f>
        <v/>
      </c>
      <c r="K123" s="26" t="str">
        <f>IF($Q123="","",INDEX(TRANSACTIONS_MASTER!$Q$5:$Q$1204,$Q123))</f>
        <v/>
      </c>
      <c r="L123" s="25" t="str">
        <f>IF($Q123="","",INDEX(TRANSACTIONS_MASTER!$P$5:$P$1204,$Q123))</f>
        <v/>
      </c>
      <c r="M123" s="25" t="str">
        <f>IF($Q123="","",INDEX(TRANSACTIONS_MASTER!$AA$5:$AA$1204,$Q123))</f>
        <v/>
      </c>
      <c r="N123" s="25" t="str">
        <f>IF($Q123="","",INDEX(TRANSACTIONS_MASTER!$R$5:$R$1204,$Q123))</f>
        <v/>
      </c>
      <c r="O123" s="28" t="str">
        <f>IF($Q123="","",INDEX(TRANSACTIONS_MASTER!$AB$5:$AB$1204,$Q123))</f>
        <v/>
      </c>
      <c r="P123" s="55" t="str">
        <f>IF($Q123="","",INDEX(TRANSACTIONS_MASTER!$Z$5:$Z$1204,$Q123)&amp;"")</f>
        <v/>
      </c>
      <c r="Q123" s="67" t="str">
        <f>IFERROR(MATCH($C$2&amp;"|"&amp;116,TRANSACTIONS_MASTER!$AE$5:$AE$1204,0),"")</f>
        <v/>
      </c>
      <c r="S123" s="67" t="str">
        <f>IFERROR(MATCH(1,INDEX((TRANSACTIONS_MASTER!$C$5:$C$1204=$C$2)*(TRANSACTIONS_MASTER!$AL$5:$AL$1204=7),0),0),"")</f>
        <v/>
      </c>
      <c r="T123" s="55" t="n"/>
      <c r="U123" s="55" t="str">
        <f>IF($S123="","",INDEX(TRANSACTIONS_MASTER!$K$5:$K$1204,$S123))</f>
        <v/>
      </c>
      <c r="V123" s="25" t="str">
        <f>IF($S123="","",SUMIFS(TRANSACTIONS_MASTER!$L$5:$L$1204,TRANSACTIONS_MASTER!$K$5:$K$1204,$U123,TRANSACTIONS_MASTER!$C$5:$C$1204,$C$2,TRANSACTIONS_MASTER!$U$5:$U$1204,"&lt;&gt;Cancelled"))</f>
        <v/>
      </c>
      <c r="W123" s="26" t="str">
        <f>IF($S123="","",SUMIFS(TRANSACTIONS_MASTER!$Q$5:$Q$1204,TRANSACTIONS_MASTER!$K$5:$K$1204,$U123,TRANSACTIONS_MASTER!$C$5:$C$1204,$C$2))</f>
        <v/>
      </c>
    </row>
    <row r="124">
      <c r="A124" s="81" t="str">
        <f>IF($Q124="","",117)</f>
        <v/>
      </c>
      <c r="B124" s="57" t="str">
        <f>IF($Q124="","",INDEX(TRANSACTIONS_MASTER!$B$5:$B$1204,$Q124))</f>
        <v/>
      </c>
      <c r="C124" s="55" t="str">
        <f>IF($Q124="","",INDEX(TRANSACTIONS_MASTER!$F$5:$F$1204,$Q124))</f>
        <v/>
      </c>
      <c r="D124" s="55" t="str">
        <f>IF($Q124="","",INDEX(TRANSACTIONS_MASTER!$E$5:$E$1204,$Q124))</f>
        <v/>
      </c>
      <c r="E124" s="55" t="str">
        <f>IF($Q124="","",INDEX(TRANSACTIONS_MASTER!$G$5:$G$1204,$Q124)&amp;"")</f>
        <v/>
      </c>
      <c r="F124" s="29" t="str">
        <f>IF($Q124="","",INDEX(TRANSACTIONS_MASTER!$I$5:$I$1204,$Q124))</f>
        <v/>
      </c>
      <c r="G124" s="55" t="str">
        <f>IF($Q124="","",INDEX(TRANSACTIONS_MASTER!$K$5:$K$1204,$Q124))</f>
        <v/>
      </c>
      <c r="H124" s="25" t="str">
        <f>IF($Q124="","",INDEX(TRANSACTIONS_MASTER!$L$5:$L$1204,$Q124))</f>
        <v/>
      </c>
      <c r="I124" s="56" t="str">
        <f>IF($Q124="","",INDEX(TRANSACTIONS_MASTER!$N$5:$N$1204,$Q124))</f>
        <v/>
      </c>
      <c r="J124" s="25" t="str">
        <f>IF($Q124="","",INDEX(TRANSACTIONS_MASTER!$O$5:$O$1204,$Q124))</f>
        <v/>
      </c>
      <c r="K124" s="26" t="str">
        <f>IF($Q124="","",INDEX(TRANSACTIONS_MASTER!$Q$5:$Q$1204,$Q124))</f>
        <v/>
      </c>
      <c r="L124" s="25" t="str">
        <f>IF($Q124="","",INDEX(TRANSACTIONS_MASTER!$P$5:$P$1204,$Q124))</f>
        <v/>
      </c>
      <c r="M124" s="25" t="str">
        <f>IF($Q124="","",INDEX(TRANSACTIONS_MASTER!$AA$5:$AA$1204,$Q124))</f>
        <v/>
      </c>
      <c r="N124" s="25" t="str">
        <f>IF($Q124="","",INDEX(TRANSACTIONS_MASTER!$R$5:$R$1204,$Q124))</f>
        <v/>
      </c>
      <c r="O124" s="28" t="str">
        <f>IF($Q124="","",INDEX(TRANSACTIONS_MASTER!$AB$5:$AB$1204,$Q124))</f>
        <v/>
      </c>
      <c r="P124" s="55" t="str">
        <f>IF($Q124="","",INDEX(TRANSACTIONS_MASTER!$Z$5:$Z$1204,$Q124)&amp;"")</f>
        <v/>
      </c>
      <c r="Q124" s="67" t="str">
        <f>IFERROR(MATCH($C$2&amp;"|"&amp;117,TRANSACTIONS_MASTER!$AE$5:$AE$1204,0),"")</f>
        <v/>
      </c>
      <c r="S124" s="67" t="str">
        <f>IFERROR(MATCH(1,INDEX((TRANSACTIONS_MASTER!$C$5:$C$1204=$C$2)*(TRANSACTIONS_MASTER!$AL$5:$AL$1204=8),0),0),"")</f>
        <v/>
      </c>
      <c r="T124" s="55" t="n"/>
      <c r="U124" s="55" t="str">
        <f>IF($S124="","",INDEX(TRANSACTIONS_MASTER!$K$5:$K$1204,$S124))</f>
        <v/>
      </c>
      <c r="V124" s="25" t="str">
        <f>IF($S124="","",SUMIFS(TRANSACTIONS_MASTER!$L$5:$L$1204,TRANSACTIONS_MASTER!$K$5:$K$1204,$U124,TRANSACTIONS_MASTER!$C$5:$C$1204,$C$2,TRANSACTIONS_MASTER!$U$5:$U$1204,"&lt;&gt;Cancelled"))</f>
        <v/>
      </c>
      <c r="W124" s="26" t="str">
        <f>IF($S124="","",SUMIFS(TRANSACTIONS_MASTER!$Q$5:$Q$1204,TRANSACTIONS_MASTER!$K$5:$K$1204,$U124,TRANSACTIONS_MASTER!$C$5:$C$1204,$C$2))</f>
        <v/>
      </c>
    </row>
    <row r="125">
      <c r="A125" s="81" t="str">
        <f>IF($Q125="","",118)</f>
        <v/>
      </c>
      <c r="B125" s="57" t="str">
        <f>IF($Q125="","",INDEX(TRANSACTIONS_MASTER!$B$5:$B$1204,$Q125))</f>
        <v/>
      </c>
      <c r="C125" s="55" t="str">
        <f>IF($Q125="","",INDEX(TRANSACTIONS_MASTER!$F$5:$F$1204,$Q125))</f>
        <v/>
      </c>
      <c r="D125" s="55" t="str">
        <f>IF($Q125="","",INDEX(TRANSACTIONS_MASTER!$E$5:$E$1204,$Q125))</f>
        <v/>
      </c>
      <c r="E125" s="55" t="str">
        <f>IF($Q125="","",INDEX(TRANSACTIONS_MASTER!$G$5:$G$1204,$Q125)&amp;"")</f>
        <v/>
      </c>
      <c r="F125" s="29" t="str">
        <f>IF($Q125="","",INDEX(TRANSACTIONS_MASTER!$I$5:$I$1204,$Q125))</f>
        <v/>
      </c>
      <c r="G125" s="55" t="str">
        <f>IF($Q125="","",INDEX(TRANSACTIONS_MASTER!$K$5:$K$1204,$Q125))</f>
        <v/>
      </c>
      <c r="H125" s="25" t="str">
        <f>IF($Q125="","",INDEX(TRANSACTIONS_MASTER!$L$5:$L$1204,$Q125))</f>
        <v/>
      </c>
      <c r="I125" s="56" t="str">
        <f>IF($Q125="","",INDEX(TRANSACTIONS_MASTER!$N$5:$N$1204,$Q125))</f>
        <v/>
      </c>
      <c r="J125" s="25" t="str">
        <f>IF($Q125="","",INDEX(TRANSACTIONS_MASTER!$O$5:$O$1204,$Q125))</f>
        <v/>
      </c>
      <c r="K125" s="26" t="str">
        <f>IF($Q125="","",INDEX(TRANSACTIONS_MASTER!$Q$5:$Q$1204,$Q125))</f>
        <v/>
      </c>
      <c r="L125" s="25" t="str">
        <f>IF($Q125="","",INDEX(TRANSACTIONS_MASTER!$P$5:$P$1204,$Q125))</f>
        <v/>
      </c>
      <c r="M125" s="25" t="str">
        <f>IF($Q125="","",INDEX(TRANSACTIONS_MASTER!$AA$5:$AA$1204,$Q125))</f>
        <v/>
      </c>
      <c r="N125" s="25" t="str">
        <f>IF($Q125="","",INDEX(TRANSACTIONS_MASTER!$R$5:$R$1204,$Q125))</f>
        <v/>
      </c>
      <c r="O125" s="28" t="str">
        <f>IF($Q125="","",INDEX(TRANSACTIONS_MASTER!$AB$5:$AB$1204,$Q125))</f>
        <v/>
      </c>
      <c r="P125" s="55" t="str">
        <f>IF($Q125="","",INDEX(TRANSACTIONS_MASTER!$Z$5:$Z$1204,$Q125)&amp;"")</f>
        <v/>
      </c>
      <c r="Q125" s="67" t="str">
        <f>IFERROR(MATCH($C$2&amp;"|"&amp;118,TRANSACTIONS_MASTER!$AE$5:$AE$1204,0),"")</f>
        <v/>
      </c>
      <c r="S125" s="67" t="str">
        <f>IFERROR(MATCH(1,INDEX((TRANSACTIONS_MASTER!$C$5:$C$1204=$C$2)*(TRANSACTIONS_MASTER!$AL$5:$AL$1204=9),0),0),"")</f>
        <v/>
      </c>
      <c r="T125" s="55" t="n"/>
      <c r="U125" s="55" t="str">
        <f>IF($S125="","",INDEX(TRANSACTIONS_MASTER!$K$5:$K$1204,$S125))</f>
        <v/>
      </c>
      <c r="V125" s="25" t="str">
        <f>IF($S125="","",SUMIFS(TRANSACTIONS_MASTER!$L$5:$L$1204,TRANSACTIONS_MASTER!$K$5:$K$1204,$U125,TRANSACTIONS_MASTER!$C$5:$C$1204,$C$2,TRANSACTIONS_MASTER!$U$5:$U$1204,"&lt;&gt;Cancelled"))</f>
        <v/>
      </c>
      <c r="W125" s="26" t="str">
        <f>IF($S125="","",SUMIFS(TRANSACTIONS_MASTER!$Q$5:$Q$1204,TRANSACTIONS_MASTER!$K$5:$K$1204,$U125,TRANSACTIONS_MASTER!$C$5:$C$1204,$C$2))</f>
        <v/>
      </c>
    </row>
    <row r="126">
      <c r="A126" s="81" t="str">
        <f>IF($Q126="","",119)</f>
        <v/>
      </c>
      <c r="B126" s="57" t="str">
        <f>IF($Q126="","",INDEX(TRANSACTIONS_MASTER!$B$5:$B$1204,$Q126))</f>
        <v/>
      </c>
      <c r="C126" s="55" t="str">
        <f>IF($Q126="","",INDEX(TRANSACTIONS_MASTER!$F$5:$F$1204,$Q126))</f>
        <v/>
      </c>
      <c r="D126" s="55" t="str">
        <f>IF($Q126="","",INDEX(TRANSACTIONS_MASTER!$E$5:$E$1204,$Q126))</f>
        <v/>
      </c>
      <c r="E126" s="55" t="str">
        <f>IF($Q126="","",INDEX(TRANSACTIONS_MASTER!$G$5:$G$1204,$Q126)&amp;"")</f>
        <v/>
      </c>
      <c r="F126" s="29" t="str">
        <f>IF($Q126="","",INDEX(TRANSACTIONS_MASTER!$I$5:$I$1204,$Q126))</f>
        <v/>
      </c>
      <c r="G126" s="55" t="str">
        <f>IF($Q126="","",INDEX(TRANSACTIONS_MASTER!$K$5:$K$1204,$Q126))</f>
        <v/>
      </c>
      <c r="H126" s="25" t="str">
        <f>IF($Q126="","",INDEX(TRANSACTIONS_MASTER!$L$5:$L$1204,$Q126))</f>
        <v/>
      </c>
      <c r="I126" s="56" t="str">
        <f>IF($Q126="","",INDEX(TRANSACTIONS_MASTER!$N$5:$N$1204,$Q126))</f>
        <v/>
      </c>
      <c r="J126" s="25" t="str">
        <f>IF($Q126="","",INDEX(TRANSACTIONS_MASTER!$O$5:$O$1204,$Q126))</f>
        <v/>
      </c>
      <c r="K126" s="26" t="str">
        <f>IF($Q126="","",INDEX(TRANSACTIONS_MASTER!$Q$5:$Q$1204,$Q126))</f>
        <v/>
      </c>
      <c r="L126" s="25" t="str">
        <f>IF($Q126="","",INDEX(TRANSACTIONS_MASTER!$P$5:$P$1204,$Q126))</f>
        <v/>
      </c>
      <c r="M126" s="25" t="str">
        <f>IF($Q126="","",INDEX(TRANSACTIONS_MASTER!$AA$5:$AA$1204,$Q126))</f>
        <v/>
      </c>
      <c r="N126" s="25" t="str">
        <f>IF($Q126="","",INDEX(TRANSACTIONS_MASTER!$R$5:$R$1204,$Q126))</f>
        <v/>
      </c>
      <c r="O126" s="28" t="str">
        <f>IF($Q126="","",INDEX(TRANSACTIONS_MASTER!$AB$5:$AB$1204,$Q126))</f>
        <v/>
      </c>
      <c r="P126" s="55" t="str">
        <f>IF($Q126="","",INDEX(TRANSACTIONS_MASTER!$Z$5:$Z$1204,$Q126)&amp;"")</f>
        <v/>
      </c>
      <c r="Q126" s="67" t="str">
        <f>IFERROR(MATCH($C$2&amp;"|"&amp;119,TRANSACTIONS_MASTER!$AE$5:$AE$1204,0),"")</f>
        <v/>
      </c>
      <c r="S126" s="67" t="str">
        <f>IFERROR(MATCH(1,INDEX((TRANSACTIONS_MASTER!$C$5:$C$1204=$C$2)*(TRANSACTIONS_MASTER!$AL$5:$AL$1204=10),0),0),"")</f>
        <v/>
      </c>
      <c r="T126" s="55" t="n"/>
      <c r="U126" s="55" t="str">
        <f>IF($S126="","",INDEX(TRANSACTIONS_MASTER!$K$5:$K$1204,$S126))</f>
        <v/>
      </c>
      <c r="V126" s="25" t="str">
        <f>IF($S126="","",SUMIFS(TRANSACTIONS_MASTER!$L$5:$L$1204,TRANSACTIONS_MASTER!$K$5:$K$1204,$U126,TRANSACTIONS_MASTER!$C$5:$C$1204,$C$2,TRANSACTIONS_MASTER!$U$5:$U$1204,"&lt;&gt;Cancelled"))</f>
        <v/>
      </c>
      <c r="W126" s="26" t="str">
        <f>IF($S126="","",SUMIFS(TRANSACTIONS_MASTER!$Q$5:$Q$1204,TRANSACTIONS_MASTER!$K$5:$K$1204,$U126,TRANSACTIONS_MASTER!$C$5:$C$1204,$C$2))</f>
        <v/>
      </c>
    </row>
    <row r="127">
      <c r="A127" s="81" t="str">
        <f>IF($Q127="","",120)</f>
        <v/>
      </c>
      <c r="B127" s="57" t="str">
        <f>IF($Q127="","",INDEX(TRANSACTIONS_MASTER!$B$5:$B$1204,$Q127))</f>
        <v/>
      </c>
      <c r="C127" s="55" t="str">
        <f>IF($Q127="","",INDEX(TRANSACTIONS_MASTER!$F$5:$F$1204,$Q127))</f>
        <v/>
      </c>
      <c r="D127" s="55" t="str">
        <f>IF($Q127="","",INDEX(TRANSACTIONS_MASTER!$E$5:$E$1204,$Q127))</f>
        <v/>
      </c>
      <c r="E127" s="55" t="str">
        <f>IF($Q127="","",INDEX(TRANSACTIONS_MASTER!$G$5:$G$1204,$Q127)&amp;"")</f>
        <v/>
      </c>
      <c r="F127" s="29" t="str">
        <f>IF($Q127="","",INDEX(TRANSACTIONS_MASTER!$I$5:$I$1204,$Q127))</f>
        <v/>
      </c>
      <c r="G127" s="55" t="str">
        <f>IF($Q127="","",INDEX(TRANSACTIONS_MASTER!$K$5:$K$1204,$Q127))</f>
        <v/>
      </c>
      <c r="H127" s="25" t="str">
        <f>IF($Q127="","",INDEX(TRANSACTIONS_MASTER!$L$5:$L$1204,$Q127))</f>
        <v/>
      </c>
      <c r="I127" s="56" t="str">
        <f>IF($Q127="","",INDEX(TRANSACTIONS_MASTER!$N$5:$N$1204,$Q127))</f>
        <v/>
      </c>
      <c r="J127" s="25" t="str">
        <f>IF($Q127="","",INDEX(TRANSACTIONS_MASTER!$O$5:$O$1204,$Q127))</f>
        <v/>
      </c>
      <c r="K127" s="26" t="str">
        <f>IF($Q127="","",INDEX(TRANSACTIONS_MASTER!$Q$5:$Q$1204,$Q127))</f>
        <v/>
      </c>
      <c r="L127" s="25" t="str">
        <f>IF($Q127="","",INDEX(TRANSACTIONS_MASTER!$P$5:$P$1204,$Q127))</f>
        <v/>
      </c>
      <c r="M127" s="25" t="str">
        <f>IF($Q127="","",INDEX(TRANSACTIONS_MASTER!$AA$5:$AA$1204,$Q127))</f>
        <v/>
      </c>
      <c r="N127" s="25" t="str">
        <f>IF($Q127="","",INDEX(TRANSACTIONS_MASTER!$R$5:$R$1204,$Q127))</f>
        <v/>
      </c>
      <c r="O127" s="28" t="str">
        <f>IF($Q127="","",INDEX(TRANSACTIONS_MASTER!$AB$5:$AB$1204,$Q127))</f>
        <v/>
      </c>
      <c r="P127" s="55" t="str">
        <f>IF($Q127="","",INDEX(TRANSACTIONS_MASTER!$Z$5:$Z$1204,$Q127)&amp;"")</f>
        <v/>
      </c>
      <c r="Q127" s="67" t="str">
        <f>IFERROR(MATCH($C$2&amp;"|"&amp;120,TRANSACTIONS_MASTER!$AE$5:$AE$1204,0),"")</f>
        <v/>
      </c>
      <c r="S127" s="67" t="str">
        <f>IFERROR(MATCH(1,INDEX((TRANSACTIONS_MASTER!$C$5:$C$1204=$C$2)*(TRANSACTIONS_MASTER!$AL$5:$AL$1204=11),0),0),"")</f>
        <v/>
      </c>
      <c r="T127" s="55" t="n"/>
      <c r="U127" s="55" t="str">
        <f>IF($S127="","",INDEX(TRANSACTIONS_MASTER!$K$5:$K$1204,$S127))</f>
        <v/>
      </c>
      <c r="V127" s="25" t="str">
        <f>IF($S127="","",SUMIFS(TRANSACTIONS_MASTER!$L$5:$L$1204,TRANSACTIONS_MASTER!$K$5:$K$1204,$U127,TRANSACTIONS_MASTER!$C$5:$C$1204,$C$2,TRANSACTIONS_MASTER!$U$5:$U$1204,"&lt;&gt;Cancelled"))</f>
        <v/>
      </c>
      <c r="W127" s="26" t="str">
        <f>IF($S127="","",SUMIFS(TRANSACTIONS_MASTER!$Q$5:$Q$1204,TRANSACTIONS_MASTER!$K$5:$K$1204,$U127,TRANSACTIONS_MASTER!$C$5:$C$1204,$C$2))</f>
        <v/>
      </c>
    </row>
    <row r="128">
      <c r="A128" s="81" t="str">
        <f>IF($Q128="","",121)</f>
        <v/>
      </c>
      <c r="B128" s="57" t="str">
        <f>IF($Q128="","",INDEX(TRANSACTIONS_MASTER!$B$5:$B$1204,$Q128))</f>
        <v/>
      </c>
      <c r="C128" s="55" t="str">
        <f>IF($Q128="","",INDEX(TRANSACTIONS_MASTER!$F$5:$F$1204,$Q128))</f>
        <v/>
      </c>
      <c r="D128" s="55" t="str">
        <f>IF($Q128="","",INDEX(TRANSACTIONS_MASTER!$E$5:$E$1204,$Q128))</f>
        <v/>
      </c>
      <c r="E128" s="55" t="str">
        <f>IF($Q128="","",INDEX(TRANSACTIONS_MASTER!$G$5:$G$1204,$Q128)&amp;"")</f>
        <v/>
      </c>
      <c r="F128" s="29" t="str">
        <f>IF($Q128="","",INDEX(TRANSACTIONS_MASTER!$I$5:$I$1204,$Q128))</f>
        <v/>
      </c>
      <c r="G128" s="55" t="str">
        <f>IF($Q128="","",INDEX(TRANSACTIONS_MASTER!$K$5:$K$1204,$Q128))</f>
        <v/>
      </c>
      <c r="H128" s="25" t="str">
        <f>IF($Q128="","",INDEX(TRANSACTIONS_MASTER!$L$5:$L$1204,$Q128))</f>
        <v/>
      </c>
      <c r="I128" s="56" t="str">
        <f>IF($Q128="","",INDEX(TRANSACTIONS_MASTER!$N$5:$N$1204,$Q128))</f>
        <v/>
      </c>
      <c r="J128" s="25" t="str">
        <f>IF($Q128="","",INDEX(TRANSACTIONS_MASTER!$O$5:$O$1204,$Q128))</f>
        <v/>
      </c>
      <c r="K128" s="26" t="str">
        <f>IF($Q128="","",INDEX(TRANSACTIONS_MASTER!$Q$5:$Q$1204,$Q128))</f>
        <v/>
      </c>
      <c r="L128" s="25" t="str">
        <f>IF($Q128="","",INDEX(TRANSACTIONS_MASTER!$P$5:$P$1204,$Q128))</f>
        <v/>
      </c>
      <c r="M128" s="25" t="str">
        <f>IF($Q128="","",INDEX(TRANSACTIONS_MASTER!$AA$5:$AA$1204,$Q128))</f>
        <v/>
      </c>
      <c r="N128" s="25" t="str">
        <f>IF($Q128="","",INDEX(TRANSACTIONS_MASTER!$R$5:$R$1204,$Q128))</f>
        <v/>
      </c>
      <c r="O128" s="28" t="str">
        <f>IF($Q128="","",INDEX(TRANSACTIONS_MASTER!$AB$5:$AB$1204,$Q128))</f>
        <v/>
      </c>
      <c r="P128" s="55" t="str">
        <f>IF($Q128="","",INDEX(TRANSACTIONS_MASTER!$Z$5:$Z$1204,$Q128)&amp;"")</f>
        <v/>
      </c>
      <c r="Q128" s="67" t="str">
        <f>IFERROR(MATCH($C$2&amp;"|"&amp;121,TRANSACTIONS_MASTER!$AE$5:$AE$1204,0),"")</f>
        <v/>
      </c>
      <c r="S128" s="67" t="str">
        <f>IFERROR(MATCH(1,INDEX((TRANSACTIONS_MASTER!$C$5:$C$1204=$C$2)*(TRANSACTIONS_MASTER!$AL$5:$AL$1204=12),0),0),"")</f>
        <v/>
      </c>
      <c r="T128" s="55" t="n"/>
      <c r="U128" s="55" t="str">
        <f>IF($S128="","",INDEX(TRANSACTIONS_MASTER!$K$5:$K$1204,$S128))</f>
        <v/>
      </c>
      <c r="V128" s="25" t="str">
        <f>IF($S128="","",SUMIFS(TRANSACTIONS_MASTER!$L$5:$L$1204,TRANSACTIONS_MASTER!$K$5:$K$1204,$U128,TRANSACTIONS_MASTER!$C$5:$C$1204,$C$2,TRANSACTIONS_MASTER!$U$5:$U$1204,"&lt;&gt;Cancelled"))</f>
        <v/>
      </c>
      <c r="W128" s="26" t="str">
        <f>IF($S128="","",SUMIFS(TRANSACTIONS_MASTER!$Q$5:$Q$1204,TRANSACTIONS_MASTER!$K$5:$K$1204,$U128,TRANSACTIONS_MASTER!$C$5:$C$1204,$C$2))</f>
        <v/>
      </c>
    </row>
    <row r="129">
      <c r="A129" s="81" t="str">
        <f>IF($Q129="","",122)</f>
        <v/>
      </c>
      <c r="B129" s="57" t="str">
        <f>IF($Q129="","",INDEX(TRANSACTIONS_MASTER!$B$5:$B$1204,$Q129))</f>
        <v/>
      </c>
      <c r="C129" s="55" t="str">
        <f>IF($Q129="","",INDEX(TRANSACTIONS_MASTER!$F$5:$F$1204,$Q129))</f>
        <v/>
      </c>
      <c r="D129" s="55" t="str">
        <f>IF($Q129="","",INDEX(TRANSACTIONS_MASTER!$E$5:$E$1204,$Q129))</f>
        <v/>
      </c>
      <c r="E129" s="55" t="str">
        <f>IF($Q129="","",INDEX(TRANSACTIONS_MASTER!$G$5:$G$1204,$Q129)&amp;"")</f>
        <v/>
      </c>
      <c r="F129" s="29" t="str">
        <f>IF($Q129="","",INDEX(TRANSACTIONS_MASTER!$I$5:$I$1204,$Q129))</f>
        <v/>
      </c>
      <c r="G129" s="55" t="str">
        <f>IF($Q129="","",INDEX(TRANSACTIONS_MASTER!$K$5:$K$1204,$Q129))</f>
        <v/>
      </c>
      <c r="H129" s="25" t="str">
        <f>IF($Q129="","",INDEX(TRANSACTIONS_MASTER!$L$5:$L$1204,$Q129))</f>
        <v/>
      </c>
      <c r="I129" s="56" t="str">
        <f>IF($Q129="","",INDEX(TRANSACTIONS_MASTER!$N$5:$N$1204,$Q129))</f>
        <v/>
      </c>
      <c r="J129" s="25" t="str">
        <f>IF($Q129="","",INDEX(TRANSACTIONS_MASTER!$O$5:$O$1204,$Q129))</f>
        <v/>
      </c>
      <c r="K129" s="26" t="str">
        <f>IF($Q129="","",INDEX(TRANSACTIONS_MASTER!$Q$5:$Q$1204,$Q129))</f>
        <v/>
      </c>
      <c r="L129" s="25" t="str">
        <f>IF($Q129="","",INDEX(TRANSACTIONS_MASTER!$P$5:$P$1204,$Q129))</f>
        <v/>
      </c>
      <c r="M129" s="25" t="str">
        <f>IF($Q129="","",INDEX(TRANSACTIONS_MASTER!$AA$5:$AA$1204,$Q129))</f>
        <v/>
      </c>
      <c r="N129" s="25" t="str">
        <f>IF($Q129="","",INDEX(TRANSACTIONS_MASTER!$R$5:$R$1204,$Q129))</f>
        <v/>
      </c>
      <c r="O129" s="28" t="str">
        <f>IF($Q129="","",INDEX(TRANSACTIONS_MASTER!$AB$5:$AB$1204,$Q129))</f>
        <v/>
      </c>
      <c r="P129" s="55" t="str">
        <f>IF($Q129="","",INDEX(TRANSACTIONS_MASTER!$Z$5:$Z$1204,$Q129)&amp;"")</f>
        <v/>
      </c>
      <c r="Q129" s="67" t="str">
        <f>IFERROR(MATCH($C$2&amp;"|"&amp;122,TRANSACTIONS_MASTER!$AE$5:$AE$1204,0),"")</f>
        <v/>
      </c>
      <c r="S129" s="67" t="str">
        <f>IFERROR(MATCH(1,INDEX((TRANSACTIONS_MASTER!$C$5:$C$1204=$C$2)*(TRANSACTIONS_MASTER!$AL$5:$AL$1204=13),0),0),"")</f>
        <v/>
      </c>
      <c r="T129" s="55" t="n"/>
      <c r="U129" s="55" t="str">
        <f>IF($S129="","",INDEX(TRANSACTIONS_MASTER!$K$5:$K$1204,$S129))</f>
        <v/>
      </c>
      <c r="V129" s="25" t="str">
        <f>IF($S129="","",SUMIFS(TRANSACTIONS_MASTER!$L$5:$L$1204,TRANSACTIONS_MASTER!$K$5:$K$1204,$U129,TRANSACTIONS_MASTER!$C$5:$C$1204,$C$2,TRANSACTIONS_MASTER!$U$5:$U$1204,"&lt;&gt;Cancelled"))</f>
        <v/>
      </c>
      <c r="W129" s="26" t="str">
        <f>IF($S129="","",SUMIFS(TRANSACTIONS_MASTER!$Q$5:$Q$1204,TRANSACTIONS_MASTER!$K$5:$K$1204,$U129,TRANSACTIONS_MASTER!$C$5:$C$1204,$C$2))</f>
        <v/>
      </c>
    </row>
    <row r="130">
      <c r="A130" s="81" t="str">
        <f>IF($Q130="","",123)</f>
        <v/>
      </c>
      <c r="B130" s="57" t="str">
        <f>IF($Q130="","",INDEX(TRANSACTIONS_MASTER!$B$5:$B$1204,$Q130))</f>
        <v/>
      </c>
      <c r="C130" s="55" t="str">
        <f>IF($Q130="","",INDEX(TRANSACTIONS_MASTER!$F$5:$F$1204,$Q130))</f>
        <v/>
      </c>
      <c r="D130" s="55" t="str">
        <f>IF($Q130="","",INDEX(TRANSACTIONS_MASTER!$E$5:$E$1204,$Q130))</f>
        <v/>
      </c>
      <c r="E130" s="55" t="str">
        <f>IF($Q130="","",INDEX(TRANSACTIONS_MASTER!$G$5:$G$1204,$Q130)&amp;"")</f>
        <v/>
      </c>
      <c r="F130" s="29" t="str">
        <f>IF($Q130="","",INDEX(TRANSACTIONS_MASTER!$I$5:$I$1204,$Q130))</f>
        <v/>
      </c>
      <c r="G130" s="55" t="str">
        <f>IF($Q130="","",INDEX(TRANSACTIONS_MASTER!$K$5:$K$1204,$Q130))</f>
        <v/>
      </c>
      <c r="H130" s="25" t="str">
        <f>IF($Q130="","",INDEX(TRANSACTIONS_MASTER!$L$5:$L$1204,$Q130))</f>
        <v/>
      </c>
      <c r="I130" s="56" t="str">
        <f>IF($Q130="","",INDEX(TRANSACTIONS_MASTER!$N$5:$N$1204,$Q130))</f>
        <v/>
      </c>
      <c r="J130" s="25" t="str">
        <f>IF($Q130="","",INDEX(TRANSACTIONS_MASTER!$O$5:$O$1204,$Q130))</f>
        <v/>
      </c>
      <c r="K130" s="26" t="str">
        <f>IF($Q130="","",INDEX(TRANSACTIONS_MASTER!$Q$5:$Q$1204,$Q130))</f>
        <v/>
      </c>
      <c r="L130" s="25" t="str">
        <f>IF($Q130="","",INDEX(TRANSACTIONS_MASTER!$P$5:$P$1204,$Q130))</f>
        <v/>
      </c>
      <c r="M130" s="25" t="str">
        <f>IF($Q130="","",INDEX(TRANSACTIONS_MASTER!$AA$5:$AA$1204,$Q130))</f>
        <v/>
      </c>
      <c r="N130" s="25" t="str">
        <f>IF($Q130="","",INDEX(TRANSACTIONS_MASTER!$R$5:$R$1204,$Q130))</f>
        <v/>
      </c>
      <c r="O130" s="28" t="str">
        <f>IF($Q130="","",INDEX(TRANSACTIONS_MASTER!$AB$5:$AB$1204,$Q130))</f>
        <v/>
      </c>
      <c r="P130" s="55" t="str">
        <f>IF($Q130="","",INDEX(TRANSACTIONS_MASTER!$Z$5:$Z$1204,$Q130)&amp;"")</f>
        <v/>
      </c>
      <c r="Q130" s="67" t="str">
        <f>IFERROR(MATCH($C$2&amp;"|"&amp;123,TRANSACTIONS_MASTER!$AE$5:$AE$1204,0),"")</f>
        <v/>
      </c>
      <c r="S130" s="67" t="str">
        <f>IFERROR(MATCH(1,INDEX((TRANSACTIONS_MASTER!$C$5:$C$1204=$C$2)*(TRANSACTIONS_MASTER!$AL$5:$AL$1204=14),0),0),"")</f>
        <v/>
      </c>
      <c r="T130" s="55" t="n"/>
      <c r="U130" s="55" t="str">
        <f>IF($S130="","",INDEX(TRANSACTIONS_MASTER!$K$5:$K$1204,$S130))</f>
        <v/>
      </c>
      <c r="V130" s="25" t="str">
        <f>IF($S130="","",SUMIFS(TRANSACTIONS_MASTER!$L$5:$L$1204,TRANSACTIONS_MASTER!$K$5:$K$1204,$U130,TRANSACTIONS_MASTER!$C$5:$C$1204,$C$2,TRANSACTIONS_MASTER!$U$5:$U$1204,"&lt;&gt;Cancelled"))</f>
        <v/>
      </c>
      <c r="W130" s="26" t="str">
        <f>IF($S130="","",SUMIFS(TRANSACTIONS_MASTER!$Q$5:$Q$1204,TRANSACTIONS_MASTER!$K$5:$K$1204,$U130,TRANSACTIONS_MASTER!$C$5:$C$1204,$C$2))</f>
        <v/>
      </c>
    </row>
    <row r="131">
      <c r="A131" s="81" t="str">
        <f>IF($Q131="","",124)</f>
        <v/>
      </c>
      <c r="B131" s="57" t="str">
        <f>IF($Q131="","",INDEX(TRANSACTIONS_MASTER!$B$5:$B$1204,$Q131))</f>
        <v/>
      </c>
      <c r="C131" s="55" t="str">
        <f>IF($Q131="","",INDEX(TRANSACTIONS_MASTER!$F$5:$F$1204,$Q131))</f>
        <v/>
      </c>
      <c r="D131" s="55" t="str">
        <f>IF($Q131="","",INDEX(TRANSACTIONS_MASTER!$E$5:$E$1204,$Q131))</f>
        <v/>
      </c>
      <c r="E131" s="55" t="str">
        <f>IF($Q131="","",INDEX(TRANSACTIONS_MASTER!$G$5:$G$1204,$Q131)&amp;"")</f>
        <v/>
      </c>
      <c r="F131" s="29" t="str">
        <f>IF($Q131="","",INDEX(TRANSACTIONS_MASTER!$I$5:$I$1204,$Q131))</f>
        <v/>
      </c>
      <c r="G131" s="55" t="str">
        <f>IF($Q131="","",INDEX(TRANSACTIONS_MASTER!$K$5:$K$1204,$Q131))</f>
        <v/>
      </c>
      <c r="H131" s="25" t="str">
        <f>IF($Q131="","",INDEX(TRANSACTIONS_MASTER!$L$5:$L$1204,$Q131))</f>
        <v/>
      </c>
      <c r="I131" s="56" t="str">
        <f>IF($Q131="","",INDEX(TRANSACTIONS_MASTER!$N$5:$N$1204,$Q131))</f>
        <v/>
      </c>
      <c r="J131" s="25" t="str">
        <f>IF($Q131="","",INDEX(TRANSACTIONS_MASTER!$O$5:$O$1204,$Q131))</f>
        <v/>
      </c>
      <c r="K131" s="26" t="str">
        <f>IF($Q131="","",INDEX(TRANSACTIONS_MASTER!$Q$5:$Q$1204,$Q131))</f>
        <v/>
      </c>
      <c r="L131" s="25" t="str">
        <f>IF($Q131="","",INDEX(TRANSACTIONS_MASTER!$P$5:$P$1204,$Q131))</f>
        <v/>
      </c>
      <c r="M131" s="25" t="str">
        <f>IF($Q131="","",INDEX(TRANSACTIONS_MASTER!$AA$5:$AA$1204,$Q131))</f>
        <v/>
      </c>
      <c r="N131" s="25" t="str">
        <f>IF($Q131="","",INDEX(TRANSACTIONS_MASTER!$R$5:$R$1204,$Q131))</f>
        <v/>
      </c>
      <c r="O131" s="28" t="str">
        <f>IF($Q131="","",INDEX(TRANSACTIONS_MASTER!$AB$5:$AB$1204,$Q131))</f>
        <v/>
      </c>
      <c r="P131" s="55" t="str">
        <f>IF($Q131="","",INDEX(TRANSACTIONS_MASTER!$Z$5:$Z$1204,$Q131)&amp;"")</f>
        <v/>
      </c>
      <c r="Q131" s="67" t="str">
        <f>IFERROR(MATCH($C$2&amp;"|"&amp;124,TRANSACTIONS_MASTER!$AE$5:$AE$1204,0),"")</f>
        <v/>
      </c>
      <c r="S131" s="67" t="str">
        <f>IFERROR(MATCH(1,INDEX((TRANSACTIONS_MASTER!$C$5:$C$1204=$C$2)*(TRANSACTIONS_MASTER!$AL$5:$AL$1204=15),0),0),"")</f>
        <v/>
      </c>
      <c r="T131" s="55" t="n"/>
      <c r="U131" s="55" t="str">
        <f>IF($S131="","",INDEX(TRANSACTIONS_MASTER!$K$5:$K$1204,$S131))</f>
        <v/>
      </c>
      <c r="V131" s="25" t="str">
        <f>IF($S131="","",SUMIFS(TRANSACTIONS_MASTER!$L$5:$L$1204,TRANSACTIONS_MASTER!$K$5:$K$1204,$U131,TRANSACTIONS_MASTER!$C$5:$C$1204,$C$2,TRANSACTIONS_MASTER!$U$5:$U$1204,"&lt;&gt;Cancelled"))</f>
        <v/>
      </c>
      <c r="W131" s="26" t="str">
        <f>IF($S131="","",SUMIFS(TRANSACTIONS_MASTER!$Q$5:$Q$1204,TRANSACTIONS_MASTER!$K$5:$K$1204,$U131,TRANSACTIONS_MASTER!$C$5:$C$1204,$C$2))</f>
        <v/>
      </c>
    </row>
    <row r="132">
      <c r="A132" s="81" t="str">
        <f>IF($Q132="","",125)</f>
        <v/>
      </c>
      <c r="B132" s="57" t="str">
        <f>IF($Q132="","",INDEX(TRANSACTIONS_MASTER!$B$5:$B$1204,$Q132))</f>
        <v/>
      </c>
      <c r="C132" s="55" t="str">
        <f>IF($Q132="","",INDEX(TRANSACTIONS_MASTER!$F$5:$F$1204,$Q132))</f>
        <v/>
      </c>
      <c r="D132" s="55" t="str">
        <f>IF($Q132="","",INDEX(TRANSACTIONS_MASTER!$E$5:$E$1204,$Q132))</f>
        <v/>
      </c>
      <c r="E132" s="55" t="str">
        <f>IF($Q132="","",INDEX(TRANSACTIONS_MASTER!$G$5:$G$1204,$Q132)&amp;"")</f>
        <v/>
      </c>
      <c r="F132" s="29" t="str">
        <f>IF($Q132="","",INDEX(TRANSACTIONS_MASTER!$I$5:$I$1204,$Q132))</f>
        <v/>
      </c>
      <c r="G132" s="55" t="str">
        <f>IF($Q132="","",INDEX(TRANSACTIONS_MASTER!$K$5:$K$1204,$Q132))</f>
        <v/>
      </c>
      <c r="H132" s="25" t="str">
        <f>IF($Q132="","",INDEX(TRANSACTIONS_MASTER!$L$5:$L$1204,$Q132))</f>
        <v/>
      </c>
      <c r="I132" s="56" t="str">
        <f>IF($Q132="","",INDEX(TRANSACTIONS_MASTER!$N$5:$N$1204,$Q132))</f>
        <v/>
      </c>
      <c r="J132" s="25" t="str">
        <f>IF($Q132="","",INDEX(TRANSACTIONS_MASTER!$O$5:$O$1204,$Q132))</f>
        <v/>
      </c>
      <c r="K132" s="26" t="str">
        <f>IF($Q132="","",INDEX(TRANSACTIONS_MASTER!$Q$5:$Q$1204,$Q132))</f>
        <v/>
      </c>
      <c r="L132" s="25" t="str">
        <f>IF($Q132="","",INDEX(TRANSACTIONS_MASTER!$P$5:$P$1204,$Q132))</f>
        <v/>
      </c>
      <c r="M132" s="25" t="str">
        <f>IF($Q132="","",INDEX(TRANSACTIONS_MASTER!$AA$5:$AA$1204,$Q132))</f>
        <v/>
      </c>
      <c r="N132" s="25" t="str">
        <f>IF($Q132="","",INDEX(TRANSACTIONS_MASTER!$R$5:$R$1204,$Q132))</f>
        <v/>
      </c>
      <c r="O132" s="28" t="str">
        <f>IF($Q132="","",INDEX(TRANSACTIONS_MASTER!$AB$5:$AB$1204,$Q132))</f>
        <v/>
      </c>
      <c r="P132" s="55" t="str">
        <f>IF($Q132="","",INDEX(TRANSACTIONS_MASTER!$Z$5:$Z$1204,$Q132)&amp;"")</f>
        <v/>
      </c>
      <c r="Q132" s="67" t="str">
        <f>IFERROR(MATCH($C$2&amp;"|"&amp;125,TRANSACTIONS_MASTER!$AE$5:$AE$1204,0),"")</f>
        <v/>
      </c>
      <c r="T132" s="45" t="n"/>
      <c r="U132" s="82" t="inlineStr">
        <is>
          <t>Khác (ngoài danh sách)</t>
        </is>
      </c>
      <c r="V132" s="48">
        <f>MAX(0,SUMIFS(TRANSACTIONS_MASTER!$L$5:$L$1204,TRANSACTIONS_MASTER!$C$5:$C$1204,$C$2,TRANSACTIONS_MASTER!$U$5:$U$1204,"&lt;&gt;Cancelled")-SUM(V117:V131))</f>
        <v>0</v>
      </c>
      <c r="W132" s="48">
        <f>MAX(0,SUMIFS(TRANSACTIONS_MASTER!$Q$5:$Q$1204,TRANSACTIONS_MASTER!$C$5:$C$1204,$C$2)-SUM(W117:W131))</f>
        <v>0</v>
      </c>
    </row>
    <row r="133">
      <c r="A133" s="81" t="str">
        <f>IF($Q133="","",126)</f>
        <v/>
      </c>
      <c r="B133" s="57" t="str">
        <f>IF($Q133="","",INDEX(TRANSACTIONS_MASTER!$B$5:$B$1204,$Q133))</f>
        <v/>
      </c>
      <c r="C133" s="55" t="str">
        <f>IF($Q133="","",INDEX(TRANSACTIONS_MASTER!$F$5:$F$1204,$Q133))</f>
        <v/>
      </c>
      <c r="D133" s="55" t="str">
        <f>IF($Q133="","",INDEX(TRANSACTIONS_MASTER!$E$5:$E$1204,$Q133))</f>
        <v/>
      </c>
      <c r="E133" s="55" t="str">
        <f>IF($Q133="","",INDEX(TRANSACTIONS_MASTER!$G$5:$G$1204,$Q133)&amp;"")</f>
        <v/>
      </c>
      <c r="F133" s="29" t="str">
        <f>IF($Q133="","",INDEX(TRANSACTIONS_MASTER!$I$5:$I$1204,$Q133))</f>
        <v/>
      </c>
      <c r="G133" s="55" t="str">
        <f>IF($Q133="","",INDEX(TRANSACTIONS_MASTER!$K$5:$K$1204,$Q133))</f>
        <v/>
      </c>
      <c r="H133" s="25" t="str">
        <f>IF($Q133="","",INDEX(TRANSACTIONS_MASTER!$L$5:$L$1204,$Q133))</f>
        <v/>
      </c>
      <c r="I133" s="56" t="str">
        <f>IF($Q133="","",INDEX(TRANSACTIONS_MASTER!$N$5:$N$1204,$Q133))</f>
        <v/>
      </c>
      <c r="J133" s="25" t="str">
        <f>IF($Q133="","",INDEX(TRANSACTIONS_MASTER!$O$5:$O$1204,$Q133))</f>
        <v/>
      </c>
      <c r="K133" s="26" t="str">
        <f>IF($Q133="","",INDEX(TRANSACTIONS_MASTER!$Q$5:$Q$1204,$Q133))</f>
        <v/>
      </c>
      <c r="L133" s="25" t="str">
        <f>IF($Q133="","",INDEX(TRANSACTIONS_MASTER!$P$5:$P$1204,$Q133))</f>
        <v/>
      </c>
      <c r="M133" s="25" t="str">
        <f>IF($Q133="","",INDEX(TRANSACTIONS_MASTER!$AA$5:$AA$1204,$Q133))</f>
        <v/>
      </c>
      <c r="N133" s="25" t="str">
        <f>IF($Q133="","",INDEX(TRANSACTIONS_MASTER!$R$5:$R$1204,$Q133))</f>
        <v/>
      </c>
      <c r="O133" s="28" t="str">
        <f>IF($Q133="","",INDEX(TRANSACTIONS_MASTER!$AB$5:$AB$1204,$Q133))</f>
        <v/>
      </c>
      <c r="P133" s="55" t="str">
        <f>IF($Q133="","",INDEX(TRANSACTIONS_MASTER!$Z$5:$Z$1204,$Q133)&amp;"")</f>
        <v/>
      </c>
      <c r="Q133" s="67" t="str">
        <f>IFERROR(MATCH($C$2&amp;"|"&amp;126,TRANSACTIONS_MASTER!$AE$5:$AE$1204,0),"")</f>
        <v/>
      </c>
      <c r="T133" s="68" t="n"/>
      <c r="U133" s="69" t="inlineStr">
        <is>
          <t>TỔNG</t>
        </is>
      </c>
      <c r="V133" s="31">
        <f>SUM(V117:V132)</f>
        <v>0</v>
      </c>
      <c r="W133" s="31">
        <f>SUM(W117:W132)</f>
        <v>0</v>
      </c>
    </row>
    <row r="134">
      <c r="A134" s="81" t="str">
        <f>IF($Q134="","",127)</f>
        <v/>
      </c>
      <c r="B134" s="57" t="str">
        <f>IF($Q134="","",INDEX(TRANSACTIONS_MASTER!$B$5:$B$1204,$Q134))</f>
        <v/>
      </c>
      <c r="C134" s="55" t="str">
        <f>IF($Q134="","",INDEX(TRANSACTIONS_MASTER!$F$5:$F$1204,$Q134))</f>
        <v/>
      </c>
      <c r="D134" s="55" t="str">
        <f>IF($Q134="","",INDEX(TRANSACTIONS_MASTER!$E$5:$E$1204,$Q134))</f>
        <v/>
      </c>
      <c r="E134" s="55" t="str">
        <f>IF($Q134="","",INDEX(TRANSACTIONS_MASTER!$G$5:$G$1204,$Q134)&amp;"")</f>
        <v/>
      </c>
      <c r="F134" s="29" t="str">
        <f>IF($Q134="","",INDEX(TRANSACTIONS_MASTER!$I$5:$I$1204,$Q134))</f>
        <v/>
      </c>
      <c r="G134" s="55" t="str">
        <f>IF($Q134="","",INDEX(TRANSACTIONS_MASTER!$K$5:$K$1204,$Q134))</f>
        <v/>
      </c>
      <c r="H134" s="25" t="str">
        <f>IF($Q134="","",INDEX(TRANSACTIONS_MASTER!$L$5:$L$1204,$Q134))</f>
        <v/>
      </c>
      <c r="I134" s="56" t="str">
        <f>IF($Q134="","",INDEX(TRANSACTIONS_MASTER!$N$5:$N$1204,$Q134))</f>
        <v/>
      </c>
      <c r="J134" s="25" t="str">
        <f>IF($Q134="","",INDEX(TRANSACTIONS_MASTER!$O$5:$O$1204,$Q134))</f>
        <v/>
      </c>
      <c r="K134" s="26" t="str">
        <f>IF($Q134="","",INDEX(TRANSACTIONS_MASTER!$Q$5:$Q$1204,$Q134))</f>
        <v/>
      </c>
      <c r="L134" s="25" t="str">
        <f>IF($Q134="","",INDEX(TRANSACTIONS_MASTER!$P$5:$P$1204,$Q134))</f>
        <v/>
      </c>
      <c r="M134" s="25" t="str">
        <f>IF($Q134="","",INDEX(TRANSACTIONS_MASTER!$AA$5:$AA$1204,$Q134))</f>
        <v/>
      </c>
      <c r="N134" s="25" t="str">
        <f>IF($Q134="","",INDEX(TRANSACTIONS_MASTER!$R$5:$R$1204,$Q134))</f>
        <v/>
      </c>
      <c r="O134" s="28" t="str">
        <f>IF($Q134="","",INDEX(TRANSACTIONS_MASTER!$AB$5:$AB$1204,$Q134))</f>
        <v/>
      </c>
      <c r="P134" s="55" t="str">
        <f>IF($Q134="","",INDEX(TRANSACTIONS_MASTER!$Z$5:$Z$1204,$Q134)&amp;"")</f>
        <v/>
      </c>
      <c r="Q134" s="67" t="str">
        <f>IFERROR(MATCH($C$2&amp;"|"&amp;127,TRANSACTIONS_MASTER!$AE$5:$AE$1204,0),"")</f>
        <v/>
      </c>
    </row>
    <row r="135">
      <c r="A135" s="81" t="str">
        <f>IF($Q135="","",128)</f>
        <v/>
      </c>
      <c r="B135" s="57" t="str">
        <f>IF($Q135="","",INDEX(TRANSACTIONS_MASTER!$B$5:$B$1204,$Q135))</f>
        <v/>
      </c>
      <c r="C135" s="55" t="str">
        <f>IF($Q135="","",INDEX(TRANSACTIONS_MASTER!$F$5:$F$1204,$Q135))</f>
        <v/>
      </c>
      <c r="D135" s="55" t="str">
        <f>IF($Q135="","",INDEX(TRANSACTIONS_MASTER!$E$5:$E$1204,$Q135))</f>
        <v/>
      </c>
      <c r="E135" s="55" t="str">
        <f>IF($Q135="","",INDEX(TRANSACTIONS_MASTER!$G$5:$G$1204,$Q135)&amp;"")</f>
        <v/>
      </c>
      <c r="F135" s="29" t="str">
        <f>IF($Q135="","",INDEX(TRANSACTIONS_MASTER!$I$5:$I$1204,$Q135))</f>
        <v/>
      </c>
      <c r="G135" s="55" t="str">
        <f>IF($Q135="","",INDEX(TRANSACTIONS_MASTER!$K$5:$K$1204,$Q135))</f>
        <v/>
      </c>
      <c r="H135" s="25" t="str">
        <f>IF($Q135="","",INDEX(TRANSACTIONS_MASTER!$L$5:$L$1204,$Q135))</f>
        <v/>
      </c>
      <c r="I135" s="56" t="str">
        <f>IF($Q135="","",INDEX(TRANSACTIONS_MASTER!$N$5:$N$1204,$Q135))</f>
        <v/>
      </c>
      <c r="J135" s="25" t="str">
        <f>IF($Q135="","",INDEX(TRANSACTIONS_MASTER!$O$5:$O$1204,$Q135))</f>
        <v/>
      </c>
      <c r="K135" s="26" t="str">
        <f>IF($Q135="","",INDEX(TRANSACTIONS_MASTER!$Q$5:$Q$1204,$Q135))</f>
        <v/>
      </c>
      <c r="L135" s="25" t="str">
        <f>IF($Q135="","",INDEX(TRANSACTIONS_MASTER!$P$5:$P$1204,$Q135))</f>
        <v/>
      </c>
      <c r="M135" s="25" t="str">
        <f>IF($Q135="","",INDEX(TRANSACTIONS_MASTER!$AA$5:$AA$1204,$Q135))</f>
        <v/>
      </c>
      <c r="N135" s="25" t="str">
        <f>IF($Q135="","",INDEX(TRANSACTIONS_MASTER!$R$5:$R$1204,$Q135))</f>
        <v/>
      </c>
      <c r="O135" s="28" t="str">
        <f>IF($Q135="","",INDEX(TRANSACTIONS_MASTER!$AB$5:$AB$1204,$Q135))</f>
        <v/>
      </c>
      <c r="P135" s="55" t="str">
        <f>IF($Q135="","",INDEX(TRANSACTIONS_MASTER!$Z$5:$Z$1204,$Q135)&amp;"")</f>
        <v/>
      </c>
      <c r="Q135" s="67" t="str">
        <f>IFERROR(MATCH($C$2&amp;"|"&amp;128,TRANSACTIONS_MASTER!$AE$5:$AE$1204,0),"")</f>
        <v/>
      </c>
    </row>
    <row r="136" ht="22" customHeight="1">
      <c r="A136" s="81" t="str">
        <f>IF($Q136="","",129)</f>
        <v/>
      </c>
      <c r="B136" s="57" t="str">
        <f>IF($Q136="","",INDEX(TRANSACTIONS_MASTER!$B$5:$B$1204,$Q136))</f>
        <v/>
      </c>
      <c r="C136" s="55" t="str">
        <f>IF($Q136="","",INDEX(TRANSACTIONS_MASTER!$F$5:$F$1204,$Q136))</f>
        <v/>
      </c>
      <c r="D136" s="55" t="str">
        <f>IF($Q136="","",INDEX(TRANSACTIONS_MASTER!$E$5:$E$1204,$Q136))</f>
        <v/>
      </c>
      <c r="E136" s="55" t="str">
        <f>IF($Q136="","",INDEX(TRANSACTIONS_MASTER!$G$5:$G$1204,$Q136)&amp;"")</f>
        <v/>
      </c>
      <c r="F136" s="29" t="str">
        <f>IF($Q136="","",INDEX(TRANSACTIONS_MASTER!$I$5:$I$1204,$Q136))</f>
        <v/>
      </c>
      <c r="G136" s="55" t="str">
        <f>IF($Q136="","",INDEX(TRANSACTIONS_MASTER!$K$5:$K$1204,$Q136))</f>
        <v/>
      </c>
      <c r="H136" s="25" t="str">
        <f>IF($Q136="","",INDEX(TRANSACTIONS_MASTER!$L$5:$L$1204,$Q136))</f>
        <v/>
      </c>
      <c r="I136" s="56" t="str">
        <f>IF($Q136="","",INDEX(TRANSACTIONS_MASTER!$N$5:$N$1204,$Q136))</f>
        <v/>
      </c>
      <c r="J136" s="25" t="str">
        <f>IF($Q136="","",INDEX(TRANSACTIONS_MASTER!$O$5:$O$1204,$Q136))</f>
        <v/>
      </c>
      <c r="K136" s="26" t="str">
        <f>IF($Q136="","",INDEX(TRANSACTIONS_MASTER!$Q$5:$Q$1204,$Q136))</f>
        <v/>
      </c>
      <c r="L136" s="25" t="str">
        <f>IF($Q136="","",INDEX(TRANSACTIONS_MASTER!$P$5:$P$1204,$Q136))</f>
        <v/>
      </c>
      <c r="M136" s="25" t="str">
        <f>IF($Q136="","",INDEX(TRANSACTIONS_MASTER!$AA$5:$AA$1204,$Q136))</f>
        <v/>
      </c>
      <c r="N136" s="25" t="str">
        <f>IF($Q136="","",INDEX(TRANSACTIONS_MASTER!$R$5:$R$1204,$Q136))</f>
        <v/>
      </c>
      <c r="O136" s="28" t="str">
        <f>IF($Q136="","",INDEX(TRANSACTIONS_MASTER!$AB$5:$AB$1204,$Q136))</f>
        <v/>
      </c>
      <c r="P136" s="55" t="str">
        <f>IF($Q136="","",INDEX(TRANSACTIONS_MASTER!$Z$5:$Z$1204,$Q136)&amp;"")</f>
        <v/>
      </c>
      <c r="Q136" s="67" t="str">
        <f>IFERROR(MATCH($C$2&amp;"|"&amp;129,TRANSACTIONS_MASTER!$AE$5:$AE$1204,0),"")</f>
        <v/>
      </c>
      <c r="T136" s="19" t="inlineStr">
        <is>
          <t>THEO MCC</t>
        </is>
      </c>
      <c r="U136" s="20" t="n"/>
      <c r="V136" s="20" t="n"/>
      <c r="W136" s="20" t="n"/>
      <c r="X136" s="20" t="n"/>
      <c r="Y136" s="20" t="n"/>
      <c r="Z136" s="20" t="n"/>
      <c r="AA136" s="20" t="n"/>
    </row>
    <row r="137" ht="28" customHeight="1">
      <c r="A137" s="81" t="str">
        <f>IF($Q137="","",130)</f>
        <v/>
      </c>
      <c r="B137" s="57" t="str">
        <f>IF($Q137="","",INDEX(TRANSACTIONS_MASTER!$B$5:$B$1204,$Q137))</f>
        <v/>
      </c>
      <c r="C137" s="55" t="str">
        <f>IF($Q137="","",INDEX(TRANSACTIONS_MASTER!$F$5:$F$1204,$Q137))</f>
        <v/>
      </c>
      <c r="D137" s="55" t="str">
        <f>IF($Q137="","",INDEX(TRANSACTIONS_MASTER!$E$5:$E$1204,$Q137))</f>
        <v/>
      </c>
      <c r="E137" s="55" t="str">
        <f>IF($Q137="","",INDEX(TRANSACTIONS_MASTER!$G$5:$G$1204,$Q137)&amp;"")</f>
        <v/>
      </c>
      <c r="F137" s="29" t="str">
        <f>IF($Q137="","",INDEX(TRANSACTIONS_MASTER!$I$5:$I$1204,$Q137))</f>
        <v/>
      </c>
      <c r="G137" s="55" t="str">
        <f>IF($Q137="","",INDEX(TRANSACTIONS_MASTER!$K$5:$K$1204,$Q137))</f>
        <v/>
      </c>
      <c r="H137" s="25" t="str">
        <f>IF($Q137="","",INDEX(TRANSACTIONS_MASTER!$L$5:$L$1204,$Q137))</f>
        <v/>
      </c>
      <c r="I137" s="56" t="str">
        <f>IF($Q137="","",INDEX(TRANSACTIONS_MASTER!$N$5:$N$1204,$Q137))</f>
        <v/>
      </c>
      <c r="J137" s="25" t="str">
        <f>IF($Q137="","",INDEX(TRANSACTIONS_MASTER!$O$5:$O$1204,$Q137))</f>
        <v/>
      </c>
      <c r="K137" s="26" t="str">
        <f>IF($Q137="","",INDEX(TRANSACTIONS_MASTER!$Q$5:$Q$1204,$Q137))</f>
        <v/>
      </c>
      <c r="L137" s="25" t="str">
        <f>IF($Q137="","",INDEX(TRANSACTIONS_MASTER!$P$5:$P$1204,$Q137))</f>
        <v/>
      </c>
      <c r="M137" s="25" t="str">
        <f>IF($Q137="","",INDEX(TRANSACTIONS_MASTER!$AA$5:$AA$1204,$Q137))</f>
        <v/>
      </c>
      <c r="N137" s="25" t="str">
        <f>IF($Q137="","",INDEX(TRANSACTIONS_MASTER!$R$5:$R$1204,$Q137))</f>
        <v/>
      </c>
      <c r="O137" s="28" t="str">
        <f>IF($Q137="","",INDEX(TRANSACTIONS_MASTER!$AB$5:$AB$1204,$Q137))</f>
        <v/>
      </c>
      <c r="P137" s="55" t="str">
        <f>IF($Q137="","",INDEX(TRANSACTIONS_MASTER!$Z$5:$Z$1204,$Q137)&amp;"")</f>
        <v/>
      </c>
      <c r="Q137" s="67" t="str">
        <f>IFERROR(MATCH($C$2&amp;"|"&amp;130,TRANSACTIONS_MASTER!$AE$5:$AE$1204,0),"")</f>
        <v/>
      </c>
      <c r="S137" s="21" t="inlineStr">
        <is>
          <t>#</t>
        </is>
      </c>
      <c r="T137" s="21" t="inlineStr">
        <is>
          <t>MCC</t>
        </is>
      </c>
      <c r="U137" s="21" t="inlineStr">
        <is>
          <t>Tên MCC</t>
        </is>
      </c>
      <c r="V137" s="21" t="inlineStr">
        <is>
          <t>Chi tiêu</t>
        </is>
      </c>
      <c r="W137" s="21" t="inlineStr">
        <is>
          <t>Cashback</t>
        </is>
      </c>
    </row>
    <row r="138">
      <c r="A138" s="81" t="str">
        <f>IF($Q138="","",131)</f>
        <v/>
      </c>
      <c r="B138" s="57" t="str">
        <f>IF($Q138="","",INDEX(TRANSACTIONS_MASTER!$B$5:$B$1204,$Q138))</f>
        <v/>
      </c>
      <c r="C138" s="55" t="str">
        <f>IF($Q138="","",INDEX(TRANSACTIONS_MASTER!$F$5:$F$1204,$Q138))</f>
        <v/>
      </c>
      <c r="D138" s="55" t="str">
        <f>IF($Q138="","",INDEX(TRANSACTIONS_MASTER!$E$5:$E$1204,$Q138))</f>
        <v/>
      </c>
      <c r="E138" s="55" t="str">
        <f>IF($Q138="","",INDEX(TRANSACTIONS_MASTER!$G$5:$G$1204,$Q138)&amp;"")</f>
        <v/>
      </c>
      <c r="F138" s="29" t="str">
        <f>IF($Q138="","",INDEX(TRANSACTIONS_MASTER!$I$5:$I$1204,$Q138))</f>
        <v/>
      </c>
      <c r="G138" s="55" t="str">
        <f>IF($Q138="","",INDEX(TRANSACTIONS_MASTER!$K$5:$K$1204,$Q138))</f>
        <v/>
      </c>
      <c r="H138" s="25" t="str">
        <f>IF($Q138="","",INDEX(TRANSACTIONS_MASTER!$L$5:$L$1204,$Q138))</f>
        <v/>
      </c>
      <c r="I138" s="56" t="str">
        <f>IF($Q138="","",INDEX(TRANSACTIONS_MASTER!$N$5:$N$1204,$Q138))</f>
        <v/>
      </c>
      <c r="J138" s="25" t="str">
        <f>IF($Q138="","",INDEX(TRANSACTIONS_MASTER!$O$5:$O$1204,$Q138))</f>
        <v/>
      </c>
      <c r="K138" s="26" t="str">
        <f>IF($Q138="","",INDEX(TRANSACTIONS_MASTER!$Q$5:$Q$1204,$Q138))</f>
        <v/>
      </c>
      <c r="L138" s="25" t="str">
        <f>IF($Q138="","",INDEX(TRANSACTIONS_MASTER!$P$5:$P$1204,$Q138))</f>
        <v/>
      </c>
      <c r="M138" s="25" t="str">
        <f>IF($Q138="","",INDEX(TRANSACTIONS_MASTER!$AA$5:$AA$1204,$Q138))</f>
        <v/>
      </c>
      <c r="N138" s="25" t="str">
        <f>IF($Q138="","",INDEX(TRANSACTIONS_MASTER!$R$5:$R$1204,$Q138))</f>
        <v/>
      </c>
      <c r="O138" s="28" t="str">
        <f>IF($Q138="","",INDEX(TRANSACTIONS_MASTER!$AB$5:$AB$1204,$Q138))</f>
        <v/>
      </c>
      <c r="P138" s="55" t="str">
        <f>IF($Q138="","",INDEX(TRANSACTIONS_MASTER!$Z$5:$Z$1204,$Q138)&amp;"")</f>
        <v/>
      </c>
      <c r="Q138" s="67" t="str">
        <f>IFERROR(MATCH($C$2&amp;"|"&amp;131,TRANSACTIONS_MASTER!$AE$5:$AE$1204,0),"")</f>
        <v/>
      </c>
      <c r="S138" s="67" t="str">
        <f>IFERROR(MATCH(1,INDEX((TRANSACTIONS_MASTER!$C$5:$C$1204=$C$2)*(TRANSACTIONS_MASTER!$AJ$5:$AJ$1204=1),0),0),"")</f>
        <v/>
      </c>
      <c r="T138" s="29" t="str">
        <f>IF($S138="","",INDEX(TRANSACTIONS_MASTER!$I$5:$I$1204,$S138))</f>
        <v/>
      </c>
      <c r="U138" s="55" t="str">
        <f>IF($S138="","",INDEX(TRANSACTIONS_MASTER!$J$5:$J$1204,$S138))</f>
        <v/>
      </c>
      <c r="V138" s="25" t="str">
        <f>IF($S138="","",SUMIFS(TRANSACTIONS_MASTER!$L$5:$L$1204,TRANSACTIONS_MASTER!$I$5:$I$1204,$T138,TRANSACTIONS_MASTER!$C$5:$C$1204,$C$2,TRANSACTIONS_MASTER!$U$5:$U$1204,"&lt;&gt;Cancelled"))</f>
        <v/>
      </c>
      <c r="W138" s="26" t="str">
        <f>IF($S138="","",SUMIFS(TRANSACTIONS_MASTER!$Q$5:$Q$1204,TRANSACTIONS_MASTER!$I$5:$I$1204,$T138,TRANSACTIONS_MASTER!$C$5:$C$1204,$C$2))</f>
        <v/>
      </c>
    </row>
    <row r="139">
      <c r="A139" s="81" t="str">
        <f>IF($Q139="","",132)</f>
        <v/>
      </c>
      <c r="B139" s="57" t="str">
        <f>IF($Q139="","",INDEX(TRANSACTIONS_MASTER!$B$5:$B$1204,$Q139))</f>
        <v/>
      </c>
      <c r="C139" s="55" t="str">
        <f>IF($Q139="","",INDEX(TRANSACTIONS_MASTER!$F$5:$F$1204,$Q139))</f>
        <v/>
      </c>
      <c r="D139" s="55" t="str">
        <f>IF($Q139="","",INDEX(TRANSACTIONS_MASTER!$E$5:$E$1204,$Q139))</f>
        <v/>
      </c>
      <c r="E139" s="55" t="str">
        <f>IF($Q139="","",INDEX(TRANSACTIONS_MASTER!$G$5:$G$1204,$Q139)&amp;"")</f>
        <v/>
      </c>
      <c r="F139" s="29" t="str">
        <f>IF($Q139="","",INDEX(TRANSACTIONS_MASTER!$I$5:$I$1204,$Q139))</f>
        <v/>
      </c>
      <c r="G139" s="55" t="str">
        <f>IF($Q139="","",INDEX(TRANSACTIONS_MASTER!$K$5:$K$1204,$Q139))</f>
        <v/>
      </c>
      <c r="H139" s="25" t="str">
        <f>IF($Q139="","",INDEX(TRANSACTIONS_MASTER!$L$5:$L$1204,$Q139))</f>
        <v/>
      </c>
      <c r="I139" s="56" t="str">
        <f>IF($Q139="","",INDEX(TRANSACTIONS_MASTER!$N$5:$N$1204,$Q139))</f>
        <v/>
      </c>
      <c r="J139" s="25" t="str">
        <f>IF($Q139="","",INDEX(TRANSACTIONS_MASTER!$O$5:$O$1204,$Q139))</f>
        <v/>
      </c>
      <c r="K139" s="26" t="str">
        <f>IF($Q139="","",INDEX(TRANSACTIONS_MASTER!$Q$5:$Q$1204,$Q139))</f>
        <v/>
      </c>
      <c r="L139" s="25" t="str">
        <f>IF($Q139="","",INDEX(TRANSACTIONS_MASTER!$P$5:$P$1204,$Q139))</f>
        <v/>
      </c>
      <c r="M139" s="25" t="str">
        <f>IF($Q139="","",INDEX(TRANSACTIONS_MASTER!$AA$5:$AA$1204,$Q139))</f>
        <v/>
      </c>
      <c r="N139" s="25" t="str">
        <f>IF($Q139="","",INDEX(TRANSACTIONS_MASTER!$R$5:$R$1204,$Q139))</f>
        <v/>
      </c>
      <c r="O139" s="28" t="str">
        <f>IF($Q139="","",INDEX(TRANSACTIONS_MASTER!$AB$5:$AB$1204,$Q139))</f>
        <v/>
      </c>
      <c r="P139" s="55" t="str">
        <f>IF($Q139="","",INDEX(TRANSACTIONS_MASTER!$Z$5:$Z$1204,$Q139)&amp;"")</f>
        <v/>
      </c>
      <c r="Q139" s="67" t="str">
        <f>IFERROR(MATCH($C$2&amp;"|"&amp;132,TRANSACTIONS_MASTER!$AE$5:$AE$1204,0),"")</f>
        <v/>
      </c>
      <c r="S139" s="67" t="str">
        <f>IFERROR(MATCH(1,INDEX((TRANSACTIONS_MASTER!$C$5:$C$1204=$C$2)*(TRANSACTIONS_MASTER!$AJ$5:$AJ$1204=2),0),0),"")</f>
        <v/>
      </c>
      <c r="T139" s="29" t="str">
        <f>IF($S139="","",INDEX(TRANSACTIONS_MASTER!$I$5:$I$1204,$S139))</f>
        <v/>
      </c>
      <c r="U139" s="55" t="str">
        <f>IF($S139="","",INDEX(TRANSACTIONS_MASTER!$J$5:$J$1204,$S139))</f>
        <v/>
      </c>
      <c r="V139" s="25" t="str">
        <f>IF($S139="","",SUMIFS(TRANSACTIONS_MASTER!$L$5:$L$1204,TRANSACTIONS_MASTER!$I$5:$I$1204,$T139,TRANSACTIONS_MASTER!$C$5:$C$1204,$C$2,TRANSACTIONS_MASTER!$U$5:$U$1204,"&lt;&gt;Cancelled"))</f>
        <v/>
      </c>
      <c r="W139" s="26" t="str">
        <f>IF($S139="","",SUMIFS(TRANSACTIONS_MASTER!$Q$5:$Q$1204,TRANSACTIONS_MASTER!$I$5:$I$1204,$T139,TRANSACTIONS_MASTER!$C$5:$C$1204,$C$2))</f>
        <v/>
      </c>
    </row>
    <row r="140">
      <c r="A140" s="81" t="str">
        <f>IF($Q140="","",133)</f>
        <v/>
      </c>
      <c r="B140" s="57" t="str">
        <f>IF($Q140="","",INDEX(TRANSACTIONS_MASTER!$B$5:$B$1204,$Q140))</f>
        <v/>
      </c>
      <c r="C140" s="55" t="str">
        <f>IF($Q140="","",INDEX(TRANSACTIONS_MASTER!$F$5:$F$1204,$Q140))</f>
        <v/>
      </c>
      <c r="D140" s="55" t="str">
        <f>IF($Q140="","",INDEX(TRANSACTIONS_MASTER!$E$5:$E$1204,$Q140))</f>
        <v/>
      </c>
      <c r="E140" s="55" t="str">
        <f>IF($Q140="","",INDEX(TRANSACTIONS_MASTER!$G$5:$G$1204,$Q140)&amp;"")</f>
        <v/>
      </c>
      <c r="F140" s="29" t="str">
        <f>IF($Q140="","",INDEX(TRANSACTIONS_MASTER!$I$5:$I$1204,$Q140))</f>
        <v/>
      </c>
      <c r="G140" s="55" t="str">
        <f>IF($Q140="","",INDEX(TRANSACTIONS_MASTER!$K$5:$K$1204,$Q140))</f>
        <v/>
      </c>
      <c r="H140" s="25" t="str">
        <f>IF($Q140="","",INDEX(TRANSACTIONS_MASTER!$L$5:$L$1204,$Q140))</f>
        <v/>
      </c>
      <c r="I140" s="56" t="str">
        <f>IF($Q140="","",INDEX(TRANSACTIONS_MASTER!$N$5:$N$1204,$Q140))</f>
        <v/>
      </c>
      <c r="J140" s="25" t="str">
        <f>IF($Q140="","",INDEX(TRANSACTIONS_MASTER!$O$5:$O$1204,$Q140))</f>
        <v/>
      </c>
      <c r="K140" s="26" t="str">
        <f>IF($Q140="","",INDEX(TRANSACTIONS_MASTER!$Q$5:$Q$1204,$Q140))</f>
        <v/>
      </c>
      <c r="L140" s="25" t="str">
        <f>IF($Q140="","",INDEX(TRANSACTIONS_MASTER!$P$5:$P$1204,$Q140))</f>
        <v/>
      </c>
      <c r="M140" s="25" t="str">
        <f>IF($Q140="","",INDEX(TRANSACTIONS_MASTER!$AA$5:$AA$1204,$Q140))</f>
        <v/>
      </c>
      <c r="N140" s="25" t="str">
        <f>IF($Q140="","",INDEX(TRANSACTIONS_MASTER!$R$5:$R$1204,$Q140))</f>
        <v/>
      </c>
      <c r="O140" s="28" t="str">
        <f>IF($Q140="","",INDEX(TRANSACTIONS_MASTER!$AB$5:$AB$1204,$Q140))</f>
        <v/>
      </c>
      <c r="P140" s="55" t="str">
        <f>IF($Q140="","",INDEX(TRANSACTIONS_MASTER!$Z$5:$Z$1204,$Q140)&amp;"")</f>
        <v/>
      </c>
      <c r="Q140" s="67" t="str">
        <f>IFERROR(MATCH($C$2&amp;"|"&amp;133,TRANSACTIONS_MASTER!$AE$5:$AE$1204,0),"")</f>
        <v/>
      </c>
      <c r="S140" s="67" t="str">
        <f>IFERROR(MATCH(1,INDEX((TRANSACTIONS_MASTER!$C$5:$C$1204=$C$2)*(TRANSACTIONS_MASTER!$AJ$5:$AJ$1204=3),0),0),"")</f>
        <v/>
      </c>
      <c r="T140" s="29" t="str">
        <f>IF($S140="","",INDEX(TRANSACTIONS_MASTER!$I$5:$I$1204,$S140))</f>
        <v/>
      </c>
      <c r="U140" s="55" t="str">
        <f>IF($S140="","",INDEX(TRANSACTIONS_MASTER!$J$5:$J$1204,$S140))</f>
        <v/>
      </c>
      <c r="V140" s="25" t="str">
        <f>IF($S140="","",SUMIFS(TRANSACTIONS_MASTER!$L$5:$L$1204,TRANSACTIONS_MASTER!$I$5:$I$1204,$T140,TRANSACTIONS_MASTER!$C$5:$C$1204,$C$2,TRANSACTIONS_MASTER!$U$5:$U$1204,"&lt;&gt;Cancelled"))</f>
        <v/>
      </c>
      <c r="W140" s="26" t="str">
        <f>IF($S140="","",SUMIFS(TRANSACTIONS_MASTER!$Q$5:$Q$1204,TRANSACTIONS_MASTER!$I$5:$I$1204,$T140,TRANSACTIONS_MASTER!$C$5:$C$1204,$C$2))</f>
        <v/>
      </c>
    </row>
    <row r="141">
      <c r="A141" s="81" t="str">
        <f>IF($Q141="","",134)</f>
        <v/>
      </c>
      <c r="B141" s="57" t="str">
        <f>IF($Q141="","",INDEX(TRANSACTIONS_MASTER!$B$5:$B$1204,$Q141))</f>
        <v/>
      </c>
      <c r="C141" s="55" t="str">
        <f>IF($Q141="","",INDEX(TRANSACTIONS_MASTER!$F$5:$F$1204,$Q141))</f>
        <v/>
      </c>
      <c r="D141" s="55" t="str">
        <f>IF($Q141="","",INDEX(TRANSACTIONS_MASTER!$E$5:$E$1204,$Q141))</f>
        <v/>
      </c>
      <c r="E141" s="55" t="str">
        <f>IF($Q141="","",INDEX(TRANSACTIONS_MASTER!$G$5:$G$1204,$Q141)&amp;"")</f>
        <v/>
      </c>
      <c r="F141" s="29" t="str">
        <f>IF($Q141="","",INDEX(TRANSACTIONS_MASTER!$I$5:$I$1204,$Q141))</f>
        <v/>
      </c>
      <c r="G141" s="55" t="str">
        <f>IF($Q141="","",INDEX(TRANSACTIONS_MASTER!$K$5:$K$1204,$Q141))</f>
        <v/>
      </c>
      <c r="H141" s="25" t="str">
        <f>IF($Q141="","",INDEX(TRANSACTIONS_MASTER!$L$5:$L$1204,$Q141))</f>
        <v/>
      </c>
      <c r="I141" s="56" t="str">
        <f>IF($Q141="","",INDEX(TRANSACTIONS_MASTER!$N$5:$N$1204,$Q141))</f>
        <v/>
      </c>
      <c r="J141" s="25" t="str">
        <f>IF($Q141="","",INDEX(TRANSACTIONS_MASTER!$O$5:$O$1204,$Q141))</f>
        <v/>
      </c>
      <c r="K141" s="26" t="str">
        <f>IF($Q141="","",INDEX(TRANSACTIONS_MASTER!$Q$5:$Q$1204,$Q141))</f>
        <v/>
      </c>
      <c r="L141" s="25" t="str">
        <f>IF($Q141="","",INDEX(TRANSACTIONS_MASTER!$P$5:$P$1204,$Q141))</f>
        <v/>
      </c>
      <c r="M141" s="25" t="str">
        <f>IF($Q141="","",INDEX(TRANSACTIONS_MASTER!$AA$5:$AA$1204,$Q141))</f>
        <v/>
      </c>
      <c r="N141" s="25" t="str">
        <f>IF($Q141="","",INDEX(TRANSACTIONS_MASTER!$R$5:$R$1204,$Q141))</f>
        <v/>
      </c>
      <c r="O141" s="28" t="str">
        <f>IF($Q141="","",INDEX(TRANSACTIONS_MASTER!$AB$5:$AB$1204,$Q141))</f>
        <v/>
      </c>
      <c r="P141" s="55" t="str">
        <f>IF($Q141="","",INDEX(TRANSACTIONS_MASTER!$Z$5:$Z$1204,$Q141)&amp;"")</f>
        <v/>
      </c>
      <c r="Q141" s="67" t="str">
        <f>IFERROR(MATCH($C$2&amp;"|"&amp;134,TRANSACTIONS_MASTER!$AE$5:$AE$1204,0),"")</f>
        <v/>
      </c>
      <c r="S141" s="67" t="str">
        <f>IFERROR(MATCH(1,INDEX((TRANSACTIONS_MASTER!$C$5:$C$1204=$C$2)*(TRANSACTIONS_MASTER!$AJ$5:$AJ$1204=4),0),0),"")</f>
        <v/>
      </c>
      <c r="T141" s="29" t="str">
        <f>IF($S141="","",INDEX(TRANSACTIONS_MASTER!$I$5:$I$1204,$S141))</f>
        <v/>
      </c>
      <c r="U141" s="55" t="str">
        <f>IF($S141="","",INDEX(TRANSACTIONS_MASTER!$J$5:$J$1204,$S141))</f>
        <v/>
      </c>
      <c r="V141" s="25" t="str">
        <f>IF($S141="","",SUMIFS(TRANSACTIONS_MASTER!$L$5:$L$1204,TRANSACTIONS_MASTER!$I$5:$I$1204,$T141,TRANSACTIONS_MASTER!$C$5:$C$1204,$C$2,TRANSACTIONS_MASTER!$U$5:$U$1204,"&lt;&gt;Cancelled"))</f>
        <v/>
      </c>
      <c r="W141" s="26" t="str">
        <f>IF($S141="","",SUMIFS(TRANSACTIONS_MASTER!$Q$5:$Q$1204,TRANSACTIONS_MASTER!$I$5:$I$1204,$T141,TRANSACTIONS_MASTER!$C$5:$C$1204,$C$2))</f>
        <v/>
      </c>
    </row>
    <row r="142">
      <c r="A142" s="81" t="str">
        <f>IF($Q142="","",135)</f>
        <v/>
      </c>
      <c r="B142" s="57" t="str">
        <f>IF($Q142="","",INDEX(TRANSACTIONS_MASTER!$B$5:$B$1204,$Q142))</f>
        <v/>
      </c>
      <c r="C142" s="55" t="str">
        <f>IF($Q142="","",INDEX(TRANSACTIONS_MASTER!$F$5:$F$1204,$Q142))</f>
        <v/>
      </c>
      <c r="D142" s="55" t="str">
        <f>IF($Q142="","",INDEX(TRANSACTIONS_MASTER!$E$5:$E$1204,$Q142))</f>
        <v/>
      </c>
      <c r="E142" s="55" t="str">
        <f>IF($Q142="","",INDEX(TRANSACTIONS_MASTER!$G$5:$G$1204,$Q142)&amp;"")</f>
        <v/>
      </c>
      <c r="F142" s="29" t="str">
        <f>IF($Q142="","",INDEX(TRANSACTIONS_MASTER!$I$5:$I$1204,$Q142))</f>
        <v/>
      </c>
      <c r="G142" s="55" t="str">
        <f>IF($Q142="","",INDEX(TRANSACTIONS_MASTER!$K$5:$K$1204,$Q142))</f>
        <v/>
      </c>
      <c r="H142" s="25" t="str">
        <f>IF($Q142="","",INDEX(TRANSACTIONS_MASTER!$L$5:$L$1204,$Q142))</f>
        <v/>
      </c>
      <c r="I142" s="56" t="str">
        <f>IF($Q142="","",INDEX(TRANSACTIONS_MASTER!$N$5:$N$1204,$Q142))</f>
        <v/>
      </c>
      <c r="J142" s="25" t="str">
        <f>IF($Q142="","",INDEX(TRANSACTIONS_MASTER!$O$5:$O$1204,$Q142))</f>
        <v/>
      </c>
      <c r="K142" s="26" t="str">
        <f>IF($Q142="","",INDEX(TRANSACTIONS_MASTER!$Q$5:$Q$1204,$Q142))</f>
        <v/>
      </c>
      <c r="L142" s="25" t="str">
        <f>IF($Q142="","",INDEX(TRANSACTIONS_MASTER!$P$5:$P$1204,$Q142))</f>
        <v/>
      </c>
      <c r="M142" s="25" t="str">
        <f>IF($Q142="","",INDEX(TRANSACTIONS_MASTER!$AA$5:$AA$1204,$Q142))</f>
        <v/>
      </c>
      <c r="N142" s="25" t="str">
        <f>IF($Q142="","",INDEX(TRANSACTIONS_MASTER!$R$5:$R$1204,$Q142))</f>
        <v/>
      </c>
      <c r="O142" s="28" t="str">
        <f>IF($Q142="","",INDEX(TRANSACTIONS_MASTER!$AB$5:$AB$1204,$Q142))</f>
        <v/>
      </c>
      <c r="P142" s="55" t="str">
        <f>IF($Q142="","",INDEX(TRANSACTIONS_MASTER!$Z$5:$Z$1204,$Q142)&amp;"")</f>
        <v/>
      </c>
      <c r="Q142" s="67" t="str">
        <f>IFERROR(MATCH($C$2&amp;"|"&amp;135,TRANSACTIONS_MASTER!$AE$5:$AE$1204,0),"")</f>
        <v/>
      </c>
      <c r="S142" s="67" t="str">
        <f>IFERROR(MATCH(1,INDEX((TRANSACTIONS_MASTER!$C$5:$C$1204=$C$2)*(TRANSACTIONS_MASTER!$AJ$5:$AJ$1204=5),0),0),"")</f>
        <v/>
      </c>
      <c r="T142" s="29" t="str">
        <f>IF($S142="","",INDEX(TRANSACTIONS_MASTER!$I$5:$I$1204,$S142))</f>
        <v/>
      </c>
      <c r="U142" s="55" t="str">
        <f>IF($S142="","",INDEX(TRANSACTIONS_MASTER!$J$5:$J$1204,$S142))</f>
        <v/>
      </c>
      <c r="V142" s="25" t="str">
        <f>IF($S142="","",SUMIFS(TRANSACTIONS_MASTER!$L$5:$L$1204,TRANSACTIONS_MASTER!$I$5:$I$1204,$T142,TRANSACTIONS_MASTER!$C$5:$C$1204,$C$2,TRANSACTIONS_MASTER!$U$5:$U$1204,"&lt;&gt;Cancelled"))</f>
        <v/>
      </c>
      <c r="W142" s="26" t="str">
        <f>IF($S142="","",SUMIFS(TRANSACTIONS_MASTER!$Q$5:$Q$1204,TRANSACTIONS_MASTER!$I$5:$I$1204,$T142,TRANSACTIONS_MASTER!$C$5:$C$1204,$C$2))</f>
        <v/>
      </c>
    </row>
    <row r="143">
      <c r="A143" s="81" t="str">
        <f>IF($Q143="","",136)</f>
        <v/>
      </c>
      <c r="B143" s="57" t="str">
        <f>IF($Q143="","",INDEX(TRANSACTIONS_MASTER!$B$5:$B$1204,$Q143))</f>
        <v/>
      </c>
      <c r="C143" s="55" t="str">
        <f>IF($Q143="","",INDEX(TRANSACTIONS_MASTER!$F$5:$F$1204,$Q143))</f>
        <v/>
      </c>
      <c r="D143" s="55" t="str">
        <f>IF($Q143="","",INDEX(TRANSACTIONS_MASTER!$E$5:$E$1204,$Q143))</f>
        <v/>
      </c>
      <c r="E143" s="55" t="str">
        <f>IF($Q143="","",INDEX(TRANSACTIONS_MASTER!$G$5:$G$1204,$Q143)&amp;"")</f>
        <v/>
      </c>
      <c r="F143" s="29" t="str">
        <f>IF($Q143="","",INDEX(TRANSACTIONS_MASTER!$I$5:$I$1204,$Q143))</f>
        <v/>
      </c>
      <c r="G143" s="55" t="str">
        <f>IF($Q143="","",INDEX(TRANSACTIONS_MASTER!$K$5:$K$1204,$Q143))</f>
        <v/>
      </c>
      <c r="H143" s="25" t="str">
        <f>IF($Q143="","",INDEX(TRANSACTIONS_MASTER!$L$5:$L$1204,$Q143))</f>
        <v/>
      </c>
      <c r="I143" s="56" t="str">
        <f>IF($Q143="","",INDEX(TRANSACTIONS_MASTER!$N$5:$N$1204,$Q143))</f>
        <v/>
      </c>
      <c r="J143" s="25" t="str">
        <f>IF($Q143="","",INDEX(TRANSACTIONS_MASTER!$O$5:$O$1204,$Q143))</f>
        <v/>
      </c>
      <c r="K143" s="26" t="str">
        <f>IF($Q143="","",INDEX(TRANSACTIONS_MASTER!$Q$5:$Q$1204,$Q143))</f>
        <v/>
      </c>
      <c r="L143" s="25" t="str">
        <f>IF($Q143="","",INDEX(TRANSACTIONS_MASTER!$P$5:$P$1204,$Q143))</f>
        <v/>
      </c>
      <c r="M143" s="25" t="str">
        <f>IF($Q143="","",INDEX(TRANSACTIONS_MASTER!$AA$5:$AA$1204,$Q143))</f>
        <v/>
      </c>
      <c r="N143" s="25" t="str">
        <f>IF($Q143="","",INDEX(TRANSACTIONS_MASTER!$R$5:$R$1204,$Q143))</f>
        <v/>
      </c>
      <c r="O143" s="28" t="str">
        <f>IF($Q143="","",INDEX(TRANSACTIONS_MASTER!$AB$5:$AB$1204,$Q143))</f>
        <v/>
      </c>
      <c r="P143" s="55" t="str">
        <f>IF($Q143="","",INDEX(TRANSACTIONS_MASTER!$Z$5:$Z$1204,$Q143)&amp;"")</f>
        <v/>
      </c>
      <c r="Q143" s="67" t="str">
        <f>IFERROR(MATCH($C$2&amp;"|"&amp;136,TRANSACTIONS_MASTER!$AE$5:$AE$1204,0),"")</f>
        <v/>
      </c>
      <c r="S143" s="67" t="str">
        <f>IFERROR(MATCH(1,INDEX((TRANSACTIONS_MASTER!$C$5:$C$1204=$C$2)*(TRANSACTIONS_MASTER!$AJ$5:$AJ$1204=6),0),0),"")</f>
        <v/>
      </c>
      <c r="T143" s="29" t="str">
        <f>IF($S143="","",INDEX(TRANSACTIONS_MASTER!$I$5:$I$1204,$S143))</f>
        <v/>
      </c>
      <c r="U143" s="55" t="str">
        <f>IF($S143="","",INDEX(TRANSACTIONS_MASTER!$J$5:$J$1204,$S143))</f>
        <v/>
      </c>
      <c r="V143" s="25" t="str">
        <f>IF($S143="","",SUMIFS(TRANSACTIONS_MASTER!$L$5:$L$1204,TRANSACTIONS_MASTER!$I$5:$I$1204,$T143,TRANSACTIONS_MASTER!$C$5:$C$1204,$C$2,TRANSACTIONS_MASTER!$U$5:$U$1204,"&lt;&gt;Cancelled"))</f>
        <v/>
      </c>
      <c r="W143" s="26" t="str">
        <f>IF($S143="","",SUMIFS(TRANSACTIONS_MASTER!$Q$5:$Q$1204,TRANSACTIONS_MASTER!$I$5:$I$1204,$T143,TRANSACTIONS_MASTER!$C$5:$C$1204,$C$2))</f>
        <v/>
      </c>
    </row>
    <row r="144">
      <c r="A144" s="81" t="str">
        <f>IF($Q144="","",137)</f>
        <v/>
      </c>
      <c r="B144" s="57" t="str">
        <f>IF($Q144="","",INDEX(TRANSACTIONS_MASTER!$B$5:$B$1204,$Q144))</f>
        <v/>
      </c>
      <c r="C144" s="55" t="str">
        <f>IF($Q144="","",INDEX(TRANSACTIONS_MASTER!$F$5:$F$1204,$Q144))</f>
        <v/>
      </c>
      <c r="D144" s="55" t="str">
        <f>IF($Q144="","",INDEX(TRANSACTIONS_MASTER!$E$5:$E$1204,$Q144))</f>
        <v/>
      </c>
      <c r="E144" s="55" t="str">
        <f>IF($Q144="","",INDEX(TRANSACTIONS_MASTER!$G$5:$G$1204,$Q144)&amp;"")</f>
        <v/>
      </c>
      <c r="F144" s="29" t="str">
        <f>IF($Q144="","",INDEX(TRANSACTIONS_MASTER!$I$5:$I$1204,$Q144))</f>
        <v/>
      </c>
      <c r="G144" s="55" t="str">
        <f>IF($Q144="","",INDEX(TRANSACTIONS_MASTER!$K$5:$K$1204,$Q144))</f>
        <v/>
      </c>
      <c r="H144" s="25" t="str">
        <f>IF($Q144="","",INDEX(TRANSACTIONS_MASTER!$L$5:$L$1204,$Q144))</f>
        <v/>
      </c>
      <c r="I144" s="56" t="str">
        <f>IF($Q144="","",INDEX(TRANSACTIONS_MASTER!$N$5:$N$1204,$Q144))</f>
        <v/>
      </c>
      <c r="J144" s="25" t="str">
        <f>IF($Q144="","",INDEX(TRANSACTIONS_MASTER!$O$5:$O$1204,$Q144))</f>
        <v/>
      </c>
      <c r="K144" s="26" t="str">
        <f>IF($Q144="","",INDEX(TRANSACTIONS_MASTER!$Q$5:$Q$1204,$Q144))</f>
        <v/>
      </c>
      <c r="L144" s="25" t="str">
        <f>IF($Q144="","",INDEX(TRANSACTIONS_MASTER!$P$5:$P$1204,$Q144))</f>
        <v/>
      </c>
      <c r="M144" s="25" t="str">
        <f>IF($Q144="","",INDEX(TRANSACTIONS_MASTER!$AA$5:$AA$1204,$Q144))</f>
        <v/>
      </c>
      <c r="N144" s="25" t="str">
        <f>IF($Q144="","",INDEX(TRANSACTIONS_MASTER!$R$5:$R$1204,$Q144))</f>
        <v/>
      </c>
      <c r="O144" s="28" t="str">
        <f>IF($Q144="","",INDEX(TRANSACTIONS_MASTER!$AB$5:$AB$1204,$Q144))</f>
        <v/>
      </c>
      <c r="P144" s="55" t="str">
        <f>IF($Q144="","",INDEX(TRANSACTIONS_MASTER!$Z$5:$Z$1204,$Q144)&amp;"")</f>
        <v/>
      </c>
      <c r="Q144" s="67" t="str">
        <f>IFERROR(MATCH($C$2&amp;"|"&amp;137,TRANSACTIONS_MASTER!$AE$5:$AE$1204,0),"")</f>
        <v/>
      </c>
      <c r="S144" s="67" t="str">
        <f>IFERROR(MATCH(1,INDEX((TRANSACTIONS_MASTER!$C$5:$C$1204=$C$2)*(TRANSACTIONS_MASTER!$AJ$5:$AJ$1204=7),0),0),"")</f>
        <v/>
      </c>
      <c r="T144" s="29" t="str">
        <f>IF($S144="","",INDEX(TRANSACTIONS_MASTER!$I$5:$I$1204,$S144))</f>
        <v/>
      </c>
      <c r="U144" s="55" t="str">
        <f>IF($S144="","",INDEX(TRANSACTIONS_MASTER!$J$5:$J$1204,$S144))</f>
        <v/>
      </c>
      <c r="V144" s="25" t="str">
        <f>IF($S144="","",SUMIFS(TRANSACTIONS_MASTER!$L$5:$L$1204,TRANSACTIONS_MASTER!$I$5:$I$1204,$T144,TRANSACTIONS_MASTER!$C$5:$C$1204,$C$2,TRANSACTIONS_MASTER!$U$5:$U$1204,"&lt;&gt;Cancelled"))</f>
        <v/>
      </c>
      <c r="W144" s="26" t="str">
        <f>IF($S144="","",SUMIFS(TRANSACTIONS_MASTER!$Q$5:$Q$1204,TRANSACTIONS_MASTER!$I$5:$I$1204,$T144,TRANSACTIONS_MASTER!$C$5:$C$1204,$C$2))</f>
        <v/>
      </c>
    </row>
    <row r="145">
      <c r="A145" s="81" t="str">
        <f>IF($Q145="","",138)</f>
        <v/>
      </c>
      <c r="B145" s="57" t="str">
        <f>IF($Q145="","",INDEX(TRANSACTIONS_MASTER!$B$5:$B$1204,$Q145))</f>
        <v/>
      </c>
      <c r="C145" s="55" t="str">
        <f>IF($Q145="","",INDEX(TRANSACTIONS_MASTER!$F$5:$F$1204,$Q145))</f>
        <v/>
      </c>
      <c r="D145" s="55" t="str">
        <f>IF($Q145="","",INDEX(TRANSACTIONS_MASTER!$E$5:$E$1204,$Q145))</f>
        <v/>
      </c>
      <c r="E145" s="55" t="str">
        <f>IF($Q145="","",INDEX(TRANSACTIONS_MASTER!$G$5:$G$1204,$Q145)&amp;"")</f>
        <v/>
      </c>
      <c r="F145" s="29" t="str">
        <f>IF($Q145="","",INDEX(TRANSACTIONS_MASTER!$I$5:$I$1204,$Q145))</f>
        <v/>
      </c>
      <c r="G145" s="55" t="str">
        <f>IF($Q145="","",INDEX(TRANSACTIONS_MASTER!$K$5:$K$1204,$Q145))</f>
        <v/>
      </c>
      <c r="H145" s="25" t="str">
        <f>IF($Q145="","",INDEX(TRANSACTIONS_MASTER!$L$5:$L$1204,$Q145))</f>
        <v/>
      </c>
      <c r="I145" s="56" t="str">
        <f>IF($Q145="","",INDEX(TRANSACTIONS_MASTER!$N$5:$N$1204,$Q145))</f>
        <v/>
      </c>
      <c r="J145" s="25" t="str">
        <f>IF($Q145="","",INDEX(TRANSACTIONS_MASTER!$O$5:$O$1204,$Q145))</f>
        <v/>
      </c>
      <c r="K145" s="26" t="str">
        <f>IF($Q145="","",INDEX(TRANSACTIONS_MASTER!$Q$5:$Q$1204,$Q145))</f>
        <v/>
      </c>
      <c r="L145" s="25" t="str">
        <f>IF($Q145="","",INDEX(TRANSACTIONS_MASTER!$P$5:$P$1204,$Q145))</f>
        <v/>
      </c>
      <c r="M145" s="25" t="str">
        <f>IF($Q145="","",INDEX(TRANSACTIONS_MASTER!$AA$5:$AA$1204,$Q145))</f>
        <v/>
      </c>
      <c r="N145" s="25" t="str">
        <f>IF($Q145="","",INDEX(TRANSACTIONS_MASTER!$R$5:$R$1204,$Q145))</f>
        <v/>
      </c>
      <c r="O145" s="28" t="str">
        <f>IF($Q145="","",INDEX(TRANSACTIONS_MASTER!$AB$5:$AB$1204,$Q145))</f>
        <v/>
      </c>
      <c r="P145" s="55" t="str">
        <f>IF($Q145="","",INDEX(TRANSACTIONS_MASTER!$Z$5:$Z$1204,$Q145)&amp;"")</f>
        <v/>
      </c>
      <c r="Q145" s="67" t="str">
        <f>IFERROR(MATCH($C$2&amp;"|"&amp;138,TRANSACTIONS_MASTER!$AE$5:$AE$1204,0),"")</f>
        <v/>
      </c>
      <c r="S145" s="67" t="str">
        <f>IFERROR(MATCH(1,INDEX((TRANSACTIONS_MASTER!$C$5:$C$1204=$C$2)*(TRANSACTIONS_MASTER!$AJ$5:$AJ$1204=8),0),0),"")</f>
        <v/>
      </c>
      <c r="T145" s="29" t="str">
        <f>IF($S145="","",INDEX(TRANSACTIONS_MASTER!$I$5:$I$1204,$S145))</f>
        <v/>
      </c>
      <c r="U145" s="55" t="str">
        <f>IF($S145="","",INDEX(TRANSACTIONS_MASTER!$J$5:$J$1204,$S145))</f>
        <v/>
      </c>
      <c r="V145" s="25" t="str">
        <f>IF($S145="","",SUMIFS(TRANSACTIONS_MASTER!$L$5:$L$1204,TRANSACTIONS_MASTER!$I$5:$I$1204,$T145,TRANSACTIONS_MASTER!$C$5:$C$1204,$C$2,TRANSACTIONS_MASTER!$U$5:$U$1204,"&lt;&gt;Cancelled"))</f>
        <v/>
      </c>
      <c r="W145" s="26" t="str">
        <f>IF($S145="","",SUMIFS(TRANSACTIONS_MASTER!$Q$5:$Q$1204,TRANSACTIONS_MASTER!$I$5:$I$1204,$T145,TRANSACTIONS_MASTER!$C$5:$C$1204,$C$2))</f>
        <v/>
      </c>
    </row>
    <row r="146">
      <c r="A146" s="81" t="str">
        <f>IF($Q146="","",139)</f>
        <v/>
      </c>
      <c r="B146" s="57" t="str">
        <f>IF($Q146="","",INDEX(TRANSACTIONS_MASTER!$B$5:$B$1204,$Q146))</f>
        <v/>
      </c>
      <c r="C146" s="55" t="str">
        <f>IF($Q146="","",INDEX(TRANSACTIONS_MASTER!$F$5:$F$1204,$Q146))</f>
        <v/>
      </c>
      <c r="D146" s="55" t="str">
        <f>IF($Q146="","",INDEX(TRANSACTIONS_MASTER!$E$5:$E$1204,$Q146))</f>
        <v/>
      </c>
      <c r="E146" s="55" t="str">
        <f>IF($Q146="","",INDEX(TRANSACTIONS_MASTER!$G$5:$G$1204,$Q146)&amp;"")</f>
        <v/>
      </c>
      <c r="F146" s="29" t="str">
        <f>IF($Q146="","",INDEX(TRANSACTIONS_MASTER!$I$5:$I$1204,$Q146))</f>
        <v/>
      </c>
      <c r="G146" s="55" t="str">
        <f>IF($Q146="","",INDEX(TRANSACTIONS_MASTER!$K$5:$K$1204,$Q146))</f>
        <v/>
      </c>
      <c r="H146" s="25" t="str">
        <f>IF($Q146="","",INDEX(TRANSACTIONS_MASTER!$L$5:$L$1204,$Q146))</f>
        <v/>
      </c>
      <c r="I146" s="56" t="str">
        <f>IF($Q146="","",INDEX(TRANSACTIONS_MASTER!$N$5:$N$1204,$Q146))</f>
        <v/>
      </c>
      <c r="J146" s="25" t="str">
        <f>IF($Q146="","",INDEX(TRANSACTIONS_MASTER!$O$5:$O$1204,$Q146))</f>
        <v/>
      </c>
      <c r="K146" s="26" t="str">
        <f>IF($Q146="","",INDEX(TRANSACTIONS_MASTER!$Q$5:$Q$1204,$Q146))</f>
        <v/>
      </c>
      <c r="L146" s="25" t="str">
        <f>IF($Q146="","",INDEX(TRANSACTIONS_MASTER!$P$5:$P$1204,$Q146))</f>
        <v/>
      </c>
      <c r="M146" s="25" t="str">
        <f>IF($Q146="","",INDEX(TRANSACTIONS_MASTER!$AA$5:$AA$1204,$Q146))</f>
        <v/>
      </c>
      <c r="N146" s="25" t="str">
        <f>IF($Q146="","",INDEX(TRANSACTIONS_MASTER!$R$5:$R$1204,$Q146))</f>
        <v/>
      </c>
      <c r="O146" s="28" t="str">
        <f>IF($Q146="","",INDEX(TRANSACTIONS_MASTER!$AB$5:$AB$1204,$Q146))</f>
        <v/>
      </c>
      <c r="P146" s="55" t="str">
        <f>IF($Q146="","",INDEX(TRANSACTIONS_MASTER!$Z$5:$Z$1204,$Q146)&amp;"")</f>
        <v/>
      </c>
      <c r="Q146" s="67" t="str">
        <f>IFERROR(MATCH($C$2&amp;"|"&amp;139,TRANSACTIONS_MASTER!$AE$5:$AE$1204,0),"")</f>
        <v/>
      </c>
      <c r="S146" s="67" t="str">
        <f>IFERROR(MATCH(1,INDEX((TRANSACTIONS_MASTER!$C$5:$C$1204=$C$2)*(TRANSACTIONS_MASTER!$AJ$5:$AJ$1204=9),0),0),"")</f>
        <v/>
      </c>
      <c r="T146" s="29" t="str">
        <f>IF($S146="","",INDEX(TRANSACTIONS_MASTER!$I$5:$I$1204,$S146))</f>
        <v/>
      </c>
      <c r="U146" s="55" t="str">
        <f>IF($S146="","",INDEX(TRANSACTIONS_MASTER!$J$5:$J$1204,$S146))</f>
        <v/>
      </c>
      <c r="V146" s="25" t="str">
        <f>IF($S146="","",SUMIFS(TRANSACTIONS_MASTER!$L$5:$L$1204,TRANSACTIONS_MASTER!$I$5:$I$1204,$T146,TRANSACTIONS_MASTER!$C$5:$C$1204,$C$2,TRANSACTIONS_MASTER!$U$5:$U$1204,"&lt;&gt;Cancelled"))</f>
        <v/>
      </c>
      <c r="W146" s="26" t="str">
        <f>IF($S146="","",SUMIFS(TRANSACTIONS_MASTER!$Q$5:$Q$1204,TRANSACTIONS_MASTER!$I$5:$I$1204,$T146,TRANSACTIONS_MASTER!$C$5:$C$1204,$C$2))</f>
        <v/>
      </c>
    </row>
    <row r="147">
      <c r="A147" s="81" t="str">
        <f>IF($Q147="","",140)</f>
        <v/>
      </c>
      <c r="B147" s="57" t="str">
        <f>IF($Q147="","",INDEX(TRANSACTIONS_MASTER!$B$5:$B$1204,$Q147))</f>
        <v/>
      </c>
      <c r="C147" s="55" t="str">
        <f>IF($Q147="","",INDEX(TRANSACTIONS_MASTER!$F$5:$F$1204,$Q147))</f>
        <v/>
      </c>
      <c r="D147" s="55" t="str">
        <f>IF($Q147="","",INDEX(TRANSACTIONS_MASTER!$E$5:$E$1204,$Q147))</f>
        <v/>
      </c>
      <c r="E147" s="55" t="str">
        <f>IF($Q147="","",INDEX(TRANSACTIONS_MASTER!$G$5:$G$1204,$Q147)&amp;"")</f>
        <v/>
      </c>
      <c r="F147" s="29" t="str">
        <f>IF($Q147="","",INDEX(TRANSACTIONS_MASTER!$I$5:$I$1204,$Q147))</f>
        <v/>
      </c>
      <c r="G147" s="55" t="str">
        <f>IF($Q147="","",INDEX(TRANSACTIONS_MASTER!$K$5:$K$1204,$Q147))</f>
        <v/>
      </c>
      <c r="H147" s="25" t="str">
        <f>IF($Q147="","",INDEX(TRANSACTIONS_MASTER!$L$5:$L$1204,$Q147))</f>
        <v/>
      </c>
      <c r="I147" s="56" t="str">
        <f>IF($Q147="","",INDEX(TRANSACTIONS_MASTER!$N$5:$N$1204,$Q147))</f>
        <v/>
      </c>
      <c r="J147" s="25" t="str">
        <f>IF($Q147="","",INDEX(TRANSACTIONS_MASTER!$O$5:$O$1204,$Q147))</f>
        <v/>
      </c>
      <c r="K147" s="26" t="str">
        <f>IF($Q147="","",INDEX(TRANSACTIONS_MASTER!$Q$5:$Q$1204,$Q147))</f>
        <v/>
      </c>
      <c r="L147" s="25" t="str">
        <f>IF($Q147="","",INDEX(TRANSACTIONS_MASTER!$P$5:$P$1204,$Q147))</f>
        <v/>
      </c>
      <c r="M147" s="25" t="str">
        <f>IF($Q147="","",INDEX(TRANSACTIONS_MASTER!$AA$5:$AA$1204,$Q147))</f>
        <v/>
      </c>
      <c r="N147" s="25" t="str">
        <f>IF($Q147="","",INDEX(TRANSACTIONS_MASTER!$R$5:$R$1204,$Q147))</f>
        <v/>
      </c>
      <c r="O147" s="28" t="str">
        <f>IF($Q147="","",INDEX(TRANSACTIONS_MASTER!$AB$5:$AB$1204,$Q147))</f>
        <v/>
      </c>
      <c r="P147" s="55" t="str">
        <f>IF($Q147="","",INDEX(TRANSACTIONS_MASTER!$Z$5:$Z$1204,$Q147)&amp;"")</f>
        <v/>
      </c>
      <c r="Q147" s="67" t="str">
        <f>IFERROR(MATCH($C$2&amp;"|"&amp;140,TRANSACTIONS_MASTER!$AE$5:$AE$1204,0),"")</f>
        <v/>
      </c>
      <c r="S147" s="67" t="str">
        <f>IFERROR(MATCH(1,INDEX((TRANSACTIONS_MASTER!$C$5:$C$1204=$C$2)*(TRANSACTIONS_MASTER!$AJ$5:$AJ$1204=10),0),0),"")</f>
        <v/>
      </c>
      <c r="T147" s="29" t="str">
        <f>IF($S147="","",INDEX(TRANSACTIONS_MASTER!$I$5:$I$1204,$S147))</f>
        <v/>
      </c>
      <c r="U147" s="55" t="str">
        <f>IF($S147="","",INDEX(TRANSACTIONS_MASTER!$J$5:$J$1204,$S147))</f>
        <v/>
      </c>
      <c r="V147" s="25" t="str">
        <f>IF($S147="","",SUMIFS(TRANSACTIONS_MASTER!$L$5:$L$1204,TRANSACTIONS_MASTER!$I$5:$I$1204,$T147,TRANSACTIONS_MASTER!$C$5:$C$1204,$C$2,TRANSACTIONS_MASTER!$U$5:$U$1204,"&lt;&gt;Cancelled"))</f>
        <v/>
      </c>
      <c r="W147" s="26" t="str">
        <f>IF($S147="","",SUMIFS(TRANSACTIONS_MASTER!$Q$5:$Q$1204,TRANSACTIONS_MASTER!$I$5:$I$1204,$T147,TRANSACTIONS_MASTER!$C$5:$C$1204,$C$2))</f>
        <v/>
      </c>
    </row>
    <row r="148">
      <c r="A148" s="81" t="str">
        <f>IF($Q148="","",141)</f>
        <v/>
      </c>
      <c r="B148" s="57" t="str">
        <f>IF($Q148="","",INDEX(TRANSACTIONS_MASTER!$B$5:$B$1204,$Q148))</f>
        <v/>
      </c>
      <c r="C148" s="55" t="str">
        <f>IF($Q148="","",INDEX(TRANSACTIONS_MASTER!$F$5:$F$1204,$Q148))</f>
        <v/>
      </c>
      <c r="D148" s="55" t="str">
        <f>IF($Q148="","",INDEX(TRANSACTIONS_MASTER!$E$5:$E$1204,$Q148))</f>
        <v/>
      </c>
      <c r="E148" s="55" t="str">
        <f>IF($Q148="","",INDEX(TRANSACTIONS_MASTER!$G$5:$G$1204,$Q148)&amp;"")</f>
        <v/>
      </c>
      <c r="F148" s="29" t="str">
        <f>IF($Q148="","",INDEX(TRANSACTIONS_MASTER!$I$5:$I$1204,$Q148))</f>
        <v/>
      </c>
      <c r="G148" s="55" t="str">
        <f>IF($Q148="","",INDEX(TRANSACTIONS_MASTER!$K$5:$K$1204,$Q148))</f>
        <v/>
      </c>
      <c r="H148" s="25" t="str">
        <f>IF($Q148="","",INDEX(TRANSACTIONS_MASTER!$L$5:$L$1204,$Q148))</f>
        <v/>
      </c>
      <c r="I148" s="56" t="str">
        <f>IF($Q148="","",INDEX(TRANSACTIONS_MASTER!$N$5:$N$1204,$Q148))</f>
        <v/>
      </c>
      <c r="J148" s="25" t="str">
        <f>IF($Q148="","",INDEX(TRANSACTIONS_MASTER!$O$5:$O$1204,$Q148))</f>
        <v/>
      </c>
      <c r="K148" s="26" t="str">
        <f>IF($Q148="","",INDEX(TRANSACTIONS_MASTER!$Q$5:$Q$1204,$Q148))</f>
        <v/>
      </c>
      <c r="L148" s="25" t="str">
        <f>IF($Q148="","",INDEX(TRANSACTIONS_MASTER!$P$5:$P$1204,$Q148))</f>
        <v/>
      </c>
      <c r="M148" s="25" t="str">
        <f>IF($Q148="","",INDEX(TRANSACTIONS_MASTER!$AA$5:$AA$1204,$Q148))</f>
        <v/>
      </c>
      <c r="N148" s="25" t="str">
        <f>IF($Q148="","",INDEX(TRANSACTIONS_MASTER!$R$5:$R$1204,$Q148))</f>
        <v/>
      </c>
      <c r="O148" s="28" t="str">
        <f>IF($Q148="","",INDEX(TRANSACTIONS_MASTER!$AB$5:$AB$1204,$Q148))</f>
        <v/>
      </c>
      <c r="P148" s="55" t="str">
        <f>IF($Q148="","",INDEX(TRANSACTIONS_MASTER!$Z$5:$Z$1204,$Q148)&amp;"")</f>
        <v/>
      </c>
      <c r="Q148" s="67" t="str">
        <f>IFERROR(MATCH($C$2&amp;"|"&amp;141,TRANSACTIONS_MASTER!$AE$5:$AE$1204,0),"")</f>
        <v/>
      </c>
      <c r="S148" s="67" t="str">
        <f>IFERROR(MATCH(1,INDEX((TRANSACTIONS_MASTER!$C$5:$C$1204=$C$2)*(TRANSACTIONS_MASTER!$AJ$5:$AJ$1204=11),0),0),"")</f>
        <v/>
      </c>
      <c r="T148" s="29" t="str">
        <f>IF($S148="","",INDEX(TRANSACTIONS_MASTER!$I$5:$I$1204,$S148))</f>
        <v/>
      </c>
      <c r="U148" s="55" t="str">
        <f>IF($S148="","",INDEX(TRANSACTIONS_MASTER!$J$5:$J$1204,$S148))</f>
        <v/>
      </c>
      <c r="V148" s="25" t="str">
        <f>IF($S148="","",SUMIFS(TRANSACTIONS_MASTER!$L$5:$L$1204,TRANSACTIONS_MASTER!$I$5:$I$1204,$T148,TRANSACTIONS_MASTER!$C$5:$C$1204,$C$2,TRANSACTIONS_MASTER!$U$5:$U$1204,"&lt;&gt;Cancelled"))</f>
        <v/>
      </c>
      <c r="W148" s="26" t="str">
        <f>IF($S148="","",SUMIFS(TRANSACTIONS_MASTER!$Q$5:$Q$1204,TRANSACTIONS_MASTER!$I$5:$I$1204,$T148,TRANSACTIONS_MASTER!$C$5:$C$1204,$C$2))</f>
        <v/>
      </c>
    </row>
    <row r="149">
      <c r="A149" s="81" t="str">
        <f>IF($Q149="","",142)</f>
        <v/>
      </c>
      <c r="B149" s="57" t="str">
        <f>IF($Q149="","",INDEX(TRANSACTIONS_MASTER!$B$5:$B$1204,$Q149))</f>
        <v/>
      </c>
      <c r="C149" s="55" t="str">
        <f>IF($Q149="","",INDEX(TRANSACTIONS_MASTER!$F$5:$F$1204,$Q149))</f>
        <v/>
      </c>
      <c r="D149" s="55" t="str">
        <f>IF($Q149="","",INDEX(TRANSACTIONS_MASTER!$E$5:$E$1204,$Q149))</f>
        <v/>
      </c>
      <c r="E149" s="55" t="str">
        <f>IF($Q149="","",INDEX(TRANSACTIONS_MASTER!$G$5:$G$1204,$Q149)&amp;"")</f>
        <v/>
      </c>
      <c r="F149" s="29" t="str">
        <f>IF($Q149="","",INDEX(TRANSACTIONS_MASTER!$I$5:$I$1204,$Q149))</f>
        <v/>
      </c>
      <c r="G149" s="55" t="str">
        <f>IF($Q149="","",INDEX(TRANSACTIONS_MASTER!$K$5:$K$1204,$Q149))</f>
        <v/>
      </c>
      <c r="H149" s="25" t="str">
        <f>IF($Q149="","",INDEX(TRANSACTIONS_MASTER!$L$5:$L$1204,$Q149))</f>
        <v/>
      </c>
      <c r="I149" s="56" t="str">
        <f>IF($Q149="","",INDEX(TRANSACTIONS_MASTER!$N$5:$N$1204,$Q149))</f>
        <v/>
      </c>
      <c r="J149" s="25" t="str">
        <f>IF($Q149="","",INDEX(TRANSACTIONS_MASTER!$O$5:$O$1204,$Q149))</f>
        <v/>
      </c>
      <c r="K149" s="26" t="str">
        <f>IF($Q149="","",INDEX(TRANSACTIONS_MASTER!$Q$5:$Q$1204,$Q149))</f>
        <v/>
      </c>
      <c r="L149" s="25" t="str">
        <f>IF($Q149="","",INDEX(TRANSACTIONS_MASTER!$P$5:$P$1204,$Q149))</f>
        <v/>
      </c>
      <c r="M149" s="25" t="str">
        <f>IF($Q149="","",INDEX(TRANSACTIONS_MASTER!$AA$5:$AA$1204,$Q149))</f>
        <v/>
      </c>
      <c r="N149" s="25" t="str">
        <f>IF($Q149="","",INDEX(TRANSACTIONS_MASTER!$R$5:$R$1204,$Q149))</f>
        <v/>
      </c>
      <c r="O149" s="28" t="str">
        <f>IF($Q149="","",INDEX(TRANSACTIONS_MASTER!$AB$5:$AB$1204,$Q149))</f>
        <v/>
      </c>
      <c r="P149" s="55" t="str">
        <f>IF($Q149="","",INDEX(TRANSACTIONS_MASTER!$Z$5:$Z$1204,$Q149)&amp;"")</f>
        <v/>
      </c>
      <c r="Q149" s="67" t="str">
        <f>IFERROR(MATCH($C$2&amp;"|"&amp;142,TRANSACTIONS_MASTER!$AE$5:$AE$1204,0),"")</f>
        <v/>
      </c>
      <c r="S149" s="67" t="str">
        <f>IFERROR(MATCH(1,INDEX((TRANSACTIONS_MASTER!$C$5:$C$1204=$C$2)*(TRANSACTIONS_MASTER!$AJ$5:$AJ$1204=12),0),0),"")</f>
        <v/>
      </c>
      <c r="T149" s="29" t="str">
        <f>IF($S149="","",INDEX(TRANSACTIONS_MASTER!$I$5:$I$1204,$S149))</f>
        <v/>
      </c>
      <c r="U149" s="55" t="str">
        <f>IF($S149="","",INDEX(TRANSACTIONS_MASTER!$J$5:$J$1204,$S149))</f>
        <v/>
      </c>
      <c r="V149" s="25" t="str">
        <f>IF($S149="","",SUMIFS(TRANSACTIONS_MASTER!$L$5:$L$1204,TRANSACTIONS_MASTER!$I$5:$I$1204,$T149,TRANSACTIONS_MASTER!$C$5:$C$1204,$C$2,TRANSACTIONS_MASTER!$U$5:$U$1204,"&lt;&gt;Cancelled"))</f>
        <v/>
      </c>
      <c r="W149" s="26" t="str">
        <f>IF($S149="","",SUMIFS(TRANSACTIONS_MASTER!$Q$5:$Q$1204,TRANSACTIONS_MASTER!$I$5:$I$1204,$T149,TRANSACTIONS_MASTER!$C$5:$C$1204,$C$2))</f>
        <v/>
      </c>
    </row>
    <row r="150">
      <c r="A150" s="81" t="str">
        <f>IF($Q150="","",143)</f>
        <v/>
      </c>
      <c r="B150" s="57" t="str">
        <f>IF($Q150="","",INDEX(TRANSACTIONS_MASTER!$B$5:$B$1204,$Q150))</f>
        <v/>
      </c>
      <c r="C150" s="55" t="str">
        <f>IF($Q150="","",INDEX(TRANSACTIONS_MASTER!$F$5:$F$1204,$Q150))</f>
        <v/>
      </c>
      <c r="D150" s="55" t="str">
        <f>IF($Q150="","",INDEX(TRANSACTIONS_MASTER!$E$5:$E$1204,$Q150))</f>
        <v/>
      </c>
      <c r="E150" s="55" t="str">
        <f>IF($Q150="","",INDEX(TRANSACTIONS_MASTER!$G$5:$G$1204,$Q150)&amp;"")</f>
        <v/>
      </c>
      <c r="F150" s="29" t="str">
        <f>IF($Q150="","",INDEX(TRANSACTIONS_MASTER!$I$5:$I$1204,$Q150))</f>
        <v/>
      </c>
      <c r="G150" s="55" t="str">
        <f>IF($Q150="","",INDEX(TRANSACTIONS_MASTER!$K$5:$K$1204,$Q150))</f>
        <v/>
      </c>
      <c r="H150" s="25" t="str">
        <f>IF($Q150="","",INDEX(TRANSACTIONS_MASTER!$L$5:$L$1204,$Q150))</f>
        <v/>
      </c>
      <c r="I150" s="56" t="str">
        <f>IF($Q150="","",INDEX(TRANSACTIONS_MASTER!$N$5:$N$1204,$Q150))</f>
        <v/>
      </c>
      <c r="J150" s="25" t="str">
        <f>IF($Q150="","",INDEX(TRANSACTIONS_MASTER!$O$5:$O$1204,$Q150))</f>
        <v/>
      </c>
      <c r="K150" s="26" t="str">
        <f>IF($Q150="","",INDEX(TRANSACTIONS_MASTER!$Q$5:$Q$1204,$Q150))</f>
        <v/>
      </c>
      <c r="L150" s="25" t="str">
        <f>IF($Q150="","",INDEX(TRANSACTIONS_MASTER!$P$5:$P$1204,$Q150))</f>
        <v/>
      </c>
      <c r="M150" s="25" t="str">
        <f>IF($Q150="","",INDEX(TRANSACTIONS_MASTER!$AA$5:$AA$1204,$Q150))</f>
        <v/>
      </c>
      <c r="N150" s="25" t="str">
        <f>IF($Q150="","",INDEX(TRANSACTIONS_MASTER!$R$5:$R$1204,$Q150))</f>
        <v/>
      </c>
      <c r="O150" s="28" t="str">
        <f>IF($Q150="","",INDEX(TRANSACTIONS_MASTER!$AB$5:$AB$1204,$Q150))</f>
        <v/>
      </c>
      <c r="P150" s="55" t="str">
        <f>IF($Q150="","",INDEX(TRANSACTIONS_MASTER!$Z$5:$Z$1204,$Q150)&amp;"")</f>
        <v/>
      </c>
      <c r="Q150" s="67" t="str">
        <f>IFERROR(MATCH($C$2&amp;"|"&amp;143,TRANSACTIONS_MASTER!$AE$5:$AE$1204,0),"")</f>
        <v/>
      </c>
      <c r="S150" s="67" t="str">
        <f>IFERROR(MATCH(1,INDEX((TRANSACTIONS_MASTER!$C$5:$C$1204=$C$2)*(TRANSACTIONS_MASTER!$AJ$5:$AJ$1204=13),0),0),"")</f>
        <v/>
      </c>
      <c r="T150" s="29" t="str">
        <f>IF($S150="","",INDEX(TRANSACTIONS_MASTER!$I$5:$I$1204,$S150))</f>
        <v/>
      </c>
      <c r="U150" s="55" t="str">
        <f>IF($S150="","",INDEX(TRANSACTIONS_MASTER!$J$5:$J$1204,$S150))</f>
        <v/>
      </c>
      <c r="V150" s="25" t="str">
        <f>IF($S150="","",SUMIFS(TRANSACTIONS_MASTER!$L$5:$L$1204,TRANSACTIONS_MASTER!$I$5:$I$1204,$T150,TRANSACTIONS_MASTER!$C$5:$C$1204,$C$2,TRANSACTIONS_MASTER!$U$5:$U$1204,"&lt;&gt;Cancelled"))</f>
        <v/>
      </c>
      <c r="W150" s="26" t="str">
        <f>IF($S150="","",SUMIFS(TRANSACTIONS_MASTER!$Q$5:$Q$1204,TRANSACTIONS_MASTER!$I$5:$I$1204,$T150,TRANSACTIONS_MASTER!$C$5:$C$1204,$C$2))</f>
        <v/>
      </c>
    </row>
    <row r="151">
      <c r="A151" s="81" t="str">
        <f>IF($Q151="","",144)</f>
        <v/>
      </c>
      <c r="B151" s="57" t="str">
        <f>IF($Q151="","",INDEX(TRANSACTIONS_MASTER!$B$5:$B$1204,$Q151))</f>
        <v/>
      </c>
      <c r="C151" s="55" t="str">
        <f>IF($Q151="","",INDEX(TRANSACTIONS_MASTER!$F$5:$F$1204,$Q151))</f>
        <v/>
      </c>
      <c r="D151" s="55" t="str">
        <f>IF($Q151="","",INDEX(TRANSACTIONS_MASTER!$E$5:$E$1204,$Q151))</f>
        <v/>
      </c>
      <c r="E151" s="55" t="str">
        <f>IF($Q151="","",INDEX(TRANSACTIONS_MASTER!$G$5:$G$1204,$Q151)&amp;"")</f>
        <v/>
      </c>
      <c r="F151" s="29" t="str">
        <f>IF($Q151="","",INDEX(TRANSACTIONS_MASTER!$I$5:$I$1204,$Q151))</f>
        <v/>
      </c>
      <c r="G151" s="55" t="str">
        <f>IF($Q151="","",INDEX(TRANSACTIONS_MASTER!$K$5:$K$1204,$Q151))</f>
        <v/>
      </c>
      <c r="H151" s="25" t="str">
        <f>IF($Q151="","",INDEX(TRANSACTIONS_MASTER!$L$5:$L$1204,$Q151))</f>
        <v/>
      </c>
      <c r="I151" s="56" t="str">
        <f>IF($Q151="","",INDEX(TRANSACTIONS_MASTER!$N$5:$N$1204,$Q151))</f>
        <v/>
      </c>
      <c r="J151" s="25" t="str">
        <f>IF($Q151="","",INDEX(TRANSACTIONS_MASTER!$O$5:$O$1204,$Q151))</f>
        <v/>
      </c>
      <c r="K151" s="26" t="str">
        <f>IF($Q151="","",INDEX(TRANSACTIONS_MASTER!$Q$5:$Q$1204,$Q151))</f>
        <v/>
      </c>
      <c r="L151" s="25" t="str">
        <f>IF($Q151="","",INDEX(TRANSACTIONS_MASTER!$P$5:$P$1204,$Q151))</f>
        <v/>
      </c>
      <c r="M151" s="25" t="str">
        <f>IF($Q151="","",INDEX(TRANSACTIONS_MASTER!$AA$5:$AA$1204,$Q151))</f>
        <v/>
      </c>
      <c r="N151" s="25" t="str">
        <f>IF($Q151="","",INDEX(TRANSACTIONS_MASTER!$R$5:$R$1204,$Q151))</f>
        <v/>
      </c>
      <c r="O151" s="28" t="str">
        <f>IF($Q151="","",INDEX(TRANSACTIONS_MASTER!$AB$5:$AB$1204,$Q151))</f>
        <v/>
      </c>
      <c r="P151" s="55" t="str">
        <f>IF($Q151="","",INDEX(TRANSACTIONS_MASTER!$Z$5:$Z$1204,$Q151)&amp;"")</f>
        <v/>
      </c>
      <c r="Q151" s="67" t="str">
        <f>IFERROR(MATCH($C$2&amp;"|"&amp;144,TRANSACTIONS_MASTER!$AE$5:$AE$1204,0),"")</f>
        <v/>
      </c>
      <c r="S151" s="67" t="str">
        <f>IFERROR(MATCH(1,INDEX((TRANSACTIONS_MASTER!$C$5:$C$1204=$C$2)*(TRANSACTIONS_MASTER!$AJ$5:$AJ$1204=14),0),0),"")</f>
        <v/>
      </c>
      <c r="T151" s="29" t="str">
        <f>IF($S151="","",INDEX(TRANSACTIONS_MASTER!$I$5:$I$1204,$S151))</f>
        <v/>
      </c>
      <c r="U151" s="55" t="str">
        <f>IF($S151="","",INDEX(TRANSACTIONS_MASTER!$J$5:$J$1204,$S151))</f>
        <v/>
      </c>
      <c r="V151" s="25" t="str">
        <f>IF($S151="","",SUMIFS(TRANSACTIONS_MASTER!$L$5:$L$1204,TRANSACTIONS_MASTER!$I$5:$I$1204,$T151,TRANSACTIONS_MASTER!$C$5:$C$1204,$C$2,TRANSACTIONS_MASTER!$U$5:$U$1204,"&lt;&gt;Cancelled"))</f>
        <v/>
      </c>
      <c r="W151" s="26" t="str">
        <f>IF($S151="","",SUMIFS(TRANSACTIONS_MASTER!$Q$5:$Q$1204,TRANSACTIONS_MASTER!$I$5:$I$1204,$T151,TRANSACTIONS_MASTER!$C$5:$C$1204,$C$2))</f>
        <v/>
      </c>
    </row>
    <row r="152">
      <c r="A152" s="81" t="str">
        <f>IF($Q152="","",145)</f>
        <v/>
      </c>
      <c r="B152" s="57" t="str">
        <f>IF($Q152="","",INDEX(TRANSACTIONS_MASTER!$B$5:$B$1204,$Q152))</f>
        <v/>
      </c>
      <c r="C152" s="55" t="str">
        <f>IF($Q152="","",INDEX(TRANSACTIONS_MASTER!$F$5:$F$1204,$Q152))</f>
        <v/>
      </c>
      <c r="D152" s="55" t="str">
        <f>IF($Q152="","",INDEX(TRANSACTIONS_MASTER!$E$5:$E$1204,$Q152))</f>
        <v/>
      </c>
      <c r="E152" s="55" t="str">
        <f>IF($Q152="","",INDEX(TRANSACTIONS_MASTER!$G$5:$G$1204,$Q152)&amp;"")</f>
        <v/>
      </c>
      <c r="F152" s="29" t="str">
        <f>IF($Q152="","",INDEX(TRANSACTIONS_MASTER!$I$5:$I$1204,$Q152))</f>
        <v/>
      </c>
      <c r="G152" s="55" t="str">
        <f>IF($Q152="","",INDEX(TRANSACTIONS_MASTER!$K$5:$K$1204,$Q152))</f>
        <v/>
      </c>
      <c r="H152" s="25" t="str">
        <f>IF($Q152="","",INDEX(TRANSACTIONS_MASTER!$L$5:$L$1204,$Q152))</f>
        <v/>
      </c>
      <c r="I152" s="56" t="str">
        <f>IF($Q152="","",INDEX(TRANSACTIONS_MASTER!$N$5:$N$1204,$Q152))</f>
        <v/>
      </c>
      <c r="J152" s="25" t="str">
        <f>IF($Q152="","",INDEX(TRANSACTIONS_MASTER!$O$5:$O$1204,$Q152))</f>
        <v/>
      </c>
      <c r="K152" s="26" t="str">
        <f>IF($Q152="","",INDEX(TRANSACTIONS_MASTER!$Q$5:$Q$1204,$Q152))</f>
        <v/>
      </c>
      <c r="L152" s="25" t="str">
        <f>IF($Q152="","",INDEX(TRANSACTIONS_MASTER!$P$5:$P$1204,$Q152))</f>
        <v/>
      </c>
      <c r="M152" s="25" t="str">
        <f>IF($Q152="","",INDEX(TRANSACTIONS_MASTER!$AA$5:$AA$1204,$Q152))</f>
        <v/>
      </c>
      <c r="N152" s="25" t="str">
        <f>IF($Q152="","",INDEX(TRANSACTIONS_MASTER!$R$5:$R$1204,$Q152))</f>
        <v/>
      </c>
      <c r="O152" s="28" t="str">
        <f>IF($Q152="","",INDEX(TRANSACTIONS_MASTER!$AB$5:$AB$1204,$Q152))</f>
        <v/>
      </c>
      <c r="P152" s="55" t="str">
        <f>IF($Q152="","",INDEX(TRANSACTIONS_MASTER!$Z$5:$Z$1204,$Q152)&amp;"")</f>
        <v/>
      </c>
      <c r="Q152" s="67" t="str">
        <f>IFERROR(MATCH($C$2&amp;"|"&amp;145,TRANSACTIONS_MASTER!$AE$5:$AE$1204,0),"")</f>
        <v/>
      </c>
      <c r="S152" s="67" t="str">
        <f>IFERROR(MATCH(1,INDEX((TRANSACTIONS_MASTER!$C$5:$C$1204=$C$2)*(TRANSACTIONS_MASTER!$AJ$5:$AJ$1204=15),0),0),"")</f>
        <v/>
      </c>
      <c r="T152" s="29" t="str">
        <f>IF($S152="","",INDEX(TRANSACTIONS_MASTER!$I$5:$I$1204,$S152))</f>
        <v/>
      </c>
      <c r="U152" s="55" t="str">
        <f>IF($S152="","",INDEX(TRANSACTIONS_MASTER!$J$5:$J$1204,$S152))</f>
        <v/>
      </c>
      <c r="V152" s="25" t="str">
        <f>IF($S152="","",SUMIFS(TRANSACTIONS_MASTER!$L$5:$L$1204,TRANSACTIONS_MASTER!$I$5:$I$1204,$T152,TRANSACTIONS_MASTER!$C$5:$C$1204,$C$2,TRANSACTIONS_MASTER!$U$5:$U$1204,"&lt;&gt;Cancelled"))</f>
        <v/>
      </c>
      <c r="W152" s="26" t="str">
        <f>IF($S152="","",SUMIFS(TRANSACTIONS_MASTER!$Q$5:$Q$1204,TRANSACTIONS_MASTER!$I$5:$I$1204,$T152,TRANSACTIONS_MASTER!$C$5:$C$1204,$C$2))</f>
        <v/>
      </c>
    </row>
    <row r="153">
      <c r="A153" s="81" t="str">
        <f>IF($Q153="","",146)</f>
        <v/>
      </c>
      <c r="B153" s="57" t="str">
        <f>IF($Q153="","",INDEX(TRANSACTIONS_MASTER!$B$5:$B$1204,$Q153))</f>
        <v/>
      </c>
      <c r="C153" s="55" t="str">
        <f>IF($Q153="","",INDEX(TRANSACTIONS_MASTER!$F$5:$F$1204,$Q153))</f>
        <v/>
      </c>
      <c r="D153" s="55" t="str">
        <f>IF($Q153="","",INDEX(TRANSACTIONS_MASTER!$E$5:$E$1204,$Q153))</f>
        <v/>
      </c>
      <c r="E153" s="55" t="str">
        <f>IF($Q153="","",INDEX(TRANSACTIONS_MASTER!$G$5:$G$1204,$Q153)&amp;"")</f>
        <v/>
      </c>
      <c r="F153" s="29" t="str">
        <f>IF($Q153="","",INDEX(TRANSACTIONS_MASTER!$I$5:$I$1204,$Q153))</f>
        <v/>
      </c>
      <c r="G153" s="55" t="str">
        <f>IF($Q153="","",INDEX(TRANSACTIONS_MASTER!$K$5:$K$1204,$Q153))</f>
        <v/>
      </c>
      <c r="H153" s="25" t="str">
        <f>IF($Q153="","",INDEX(TRANSACTIONS_MASTER!$L$5:$L$1204,$Q153))</f>
        <v/>
      </c>
      <c r="I153" s="56" t="str">
        <f>IF($Q153="","",INDEX(TRANSACTIONS_MASTER!$N$5:$N$1204,$Q153))</f>
        <v/>
      </c>
      <c r="J153" s="25" t="str">
        <f>IF($Q153="","",INDEX(TRANSACTIONS_MASTER!$O$5:$O$1204,$Q153))</f>
        <v/>
      </c>
      <c r="K153" s="26" t="str">
        <f>IF($Q153="","",INDEX(TRANSACTIONS_MASTER!$Q$5:$Q$1204,$Q153))</f>
        <v/>
      </c>
      <c r="L153" s="25" t="str">
        <f>IF($Q153="","",INDEX(TRANSACTIONS_MASTER!$P$5:$P$1204,$Q153))</f>
        <v/>
      </c>
      <c r="M153" s="25" t="str">
        <f>IF($Q153="","",INDEX(TRANSACTIONS_MASTER!$AA$5:$AA$1204,$Q153))</f>
        <v/>
      </c>
      <c r="N153" s="25" t="str">
        <f>IF($Q153="","",INDEX(TRANSACTIONS_MASTER!$R$5:$R$1204,$Q153))</f>
        <v/>
      </c>
      <c r="O153" s="28" t="str">
        <f>IF($Q153="","",INDEX(TRANSACTIONS_MASTER!$AB$5:$AB$1204,$Q153))</f>
        <v/>
      </c>
      <c r="P153" s="55" t="str">
        <f>IF($Q153="","",INDEX(TRANSACTIONS_MASTER!$Z$5:$Z$1204,$Q153)&amp;"")</f>
        <v/>
      </c>
      <c r="Q153" s="67" t="str">
        <f>IFERROR(MATCH($C$2&amp;"|"&amp;146,TRANSACTIONS_MASTER!$AE$5:$AE$1204,0),"")</f>
        <v/>
      </c>
      <c r="T153" s="45" t="n"/>
      <c r="U153" s="82" t="inlineStr">
        <is>
          <t>Khác (ngoài danh sách)</t>
        </is>
      </c>
      <c r="V153" s="48">
        <f>MAX(0,SUMIFS(TRANSACTIONS_MASTER!$L$5:$L$1204,TRANSACTIONS_MASTER!$C$5:$C$1204,$C$2,TRANSACTIONS_MASTER!$U$5:$U$1204,"&lt;&gt;Cancelled")-SUM(V138:V152))</f>
        <v>0</v>
      </c>
      <c r="W153" s="48">
        <f>MAX(0,SUMIFS(TRANSACTIONS_MASTER!$Q$5:$Q$1204,TRANSACTIONS_MASTER!$C$5:$C$1204,$C$2)-SUM(W138:W152))</f>
        <v>0</v>
      </c>
    </row>
    <row r="154">
      <c r="A154" s="81" t="str">
        <f>IF($Q154="","",147)</f>
        <v/>
      </c>
      <c r="B154" s="57" t="str">
        <f>IF($Q154="","",INDEX(TRANSACTIONS_MASTER!$B$5:$B$1204,$Q154))</f>
        <v/>
      </c>
      <c r="C154" s="55" t="str">
        <f>IF($Q154="","",INDEX(TRANSACTIONS_MASTER!$F$5:$F$1204,$Q154))</f>
        <v/>
      </c>
      <c r="D154" s="55" t="str">
        <f>IF($Q154="","",INDEX(TRANSACTIONS_MASTER!$E$5:$E$1204,$Q154))</f>
        <v/>
      </c>
      <c r="E154" s="55" t="str">
        <f>IF($Q154="","",INDEX(TRANSACTIONS_MASTER!$G$5:$G$1204,$Q154)&amp;"")</f>
        <v/>
      </c>
      <c r="F154" s="29" t="str">
        <f>IF($Q154="","",INDEX(TRANSACTIONS_MASTER!$I$5:$I$1204,$Q154))</f>
        <v/>
      </c>
      <c r="G154" s="55" t="str">
        <f>IF($Q154="","",INDEX(TRANSACTIONS_MASTER!$K$5:$K$1204,$Q154))</f>
        <v/>
      </c>
      <c r="H154" s="25" t="str">
        <f>IF($Q154="","",INDEX(TRANSACTIONS_MASTER!$L$5:$L$1204,$Q154))</f>
        <v/>
      </c>
      <c r="I154" s="56" t="str">
        <f>IF($Q154="","",INDEX(TRANSACTIONS_MASTER!$N$5:$N$1204,$Q154))</f>
        <v/>
      </c>
      <c r="J154" s="25" t="str">
        <f>IF($Q154="","",INDEX(TRANSACTIONS_MASTER!$O$5:$O$1204,$Q154))</f>
        <v/>
      </c>
      <c r="K154" s="26" t="str">
        <f>IF($Q154="","",INDEX(TRANSACTIONS_MASTER!$Q$5:$Q$1204,$Q154))</f>
        <v/>
      </c>
      <c r="L154" s="25" t="str">
        <f>IF($Q154="","",INDEX(TRANSACTIONS_MASTER!$P$5:$P$1204,$Q154))</f>
        <v/>
      </c>
      <c r="M154" s="25" t="str">
        <f>IF($Q154="","",INDEX(TRANSACTIONS_MASTER!$AA$5:$AA$1204,$Q154))</f>
        <v/>
      </c>
      <c r="N154" s="25" t="str">
        <f>IF($Q154="","",INDEX(TRANSACTIONS_MASTER!$R$5:$R$1204,$Q154))</f>
        <v/>
      </c>
      <c r="O154" s="28" t="str">
        <f>IF($Q154="","",INDEX(TRANSACTIONS_MASTER!$AB$5:$AB$1204,$Q154))</f>
        <v/>
      </c>
      <c r="P154" s="55" t="str">
        <f>IF($Q154="","",INDEX(TRANSACTIONS_MASTER!$Z$5:$Z$1204,$Q154)&amp;"")</f>
        <v/>
      </c>
      <c r="Q154" s="67" t="str">
        <f>IFERROR(MATCH($C$2&amp;"|"&amp;147,TRANSACTIONS_MASTER!$AE$5:$AE$1204,0),"")</f>
        <v/>
      </c>
      <c r="T154" s="68" t="n"/>
      <c r="U154" s="69" t="inlineStr">
        <is>
          <t>TỔNG</t>
        </is>
      </c>
      <c r="V154" s="31">
        <f>SUM(V138:V153)</f>
        <v>0</v>
      </c>
      <c r="W154" s="31">
        <f>SUM(W138:W153)</f>
        <v>0</v>
      </c>
    </row>
    <row r="155">
      <c r="A155" s="81" t="str">
        <f>IF($Q155="","",148)</f>
        <v/>
      </c>
      <c r="B155" s="57" t="str">
        <f>IF($Q155="","",INDEX(TRANSACTIONS_MASTER!$B$5:$B$1204,$Q155))</f>
        <v/>
      </c>
      <c r="C155" s="55" t="str">
        <f>IF($Q155="","",INDEX(TRANSACTIONS_MASTER!$F$5:$F$1204,$Q155))</f>
        <v/>
      </c>
      <c r="D155" s="55" t="str">
        <f>IF($Q155="","",INDEX(TRANSACTIONS_MASTER!$E$5:$E$1204,$Q155))</f>
        <v/>
      </c>
      <c r="E155" s="55" t="str">
        <f>IF($Q155="","",INDEX(TRANSACTIONS_MASTER!$G$5:$G$1204,$Q155)&amp;"")</f>
        <v/>
      </c>
      <c r="F155" s="29" t="str">
        <f>IF($Q155="","",INDEX(TRANSACTIONS_MASTER!$I$5:$I$1204,$Q155))</f>
        <v/>
      </c>
      <c r="G155" s="55" t="str">
        <f>IF($Q155="","",INDEX(TRANSACTIONS_MASTER!$K$5:$K$1204,$Q155))</f>
        <v/>
      </c>
      <c r="H155" s="25" t="str">
        <f>IF($Q155="","",INDEX(TRANSACTIONS_MASTER!$L$5:$L$1204,$Q155))</f>
        <v/>
      </c>
      <c r="I155" s="56" t="str">
        <f>IF($Q155="","",INDEX(TRANSACTIONS_MASTER!$N$5:$N$1204,$Q155))</f>
        <v/>
      </c>
      <c r="J155" s="25" t="str">
        <f>IF($Q155="","",INDEX(TRANSACTIONS_MASTER!$O$5:$O$1204,$Q155))</f>
        <v/>
      </c>
      <c r="K155" s="26" t="str">
        <f>IF($Q155="","",INDEX(TRANSACTIONS_MASTER!$Q$5:$Q$1204,$Q155))</f>
        <v/>
      </c>
      <c r="L155" s="25" t="str">
        <f>IF($Q155="","",INDEX(TRANSACTIONS_MASTER!$P$5:$P$1204,$Q155))</f>
        <v/>
      </c>
      <c r="M155" s="25" t="str">
        <f>IF($Q155="","",INDEX(TRANSACTIONS_MASTER!$AA$5:$AA$1204,$Q155))</f>
        <v/>
      </c>
      <c r="N155" s="25" t="str">
        <f>IF($Q155="","",INDEX(TRANSACTIONS_MASTER!$R$5:$R$1204,$Q155))</f>
        <v/>
      </c>
      <c r="O155" s="28" t="str">
        <f>IF($Q155="","",INDEX(TRANSACTIONS_MASTER!$AB$5:$AB$1204,$Q155))</f>
        <v/>
      </c>
      <c r="P155" s="55" t="str">
        <f>IF($Q155="","",INDEX(TRANSACTIONS_MASTER!$Z$5:$Z$1204,$Q155)&amp;"")</f>
        <v/>
      </c>
      <c r="Q155" s="67" t="str">
        <f>IFERROR(MATCH($C$2&amp;"|"&amp;148,TRANSACTIONS_MASTER!$AE$5:$AE$1204,0),"")</f>
        <v/>
      </c>
    </row>
    <row r="156">
      <c r="A156" s="81" t="str">
        <f>IF($Q156="","",149)</f>
        <v/>
      </c>
      <c r="B156" s="57" t="str">
        <f>IF($Q156="","",INDEX(TRANSACTIONS_MASTER!$B$5:$B$1204,$Q156))</f>
        <v/>
      </c>
      <c r="C156" s="55" t="str">
        <f>IF($Q156="","",INDEX(TRANSACTIONS_MASTER!$F$5:$F$1204,$Q156))</f>
        <v/>
      </c>
      <c r="D156" s="55" t="str">
        <f>IF($Q156="","",INDEX(TRANSACTIONS_MASTER!$E$5:$E$1204,$Q156))</f>
        <v/>
      </c>
      <c r="E156" s="55" t="str">
        <f>IF($Q156="","",INDEX(TRANSACTIONS_MASTER!$G$5:$G$1204,$Q156)&amp;"")</f>
        <v/>
      </c>
      <c r="F156" s="29" t="str">
        <f>IF($Q156="","",INDEX(TRANSACTIONS_MASTER!$I$5:$I$1204,$Q156))</f>
        <v/>
      </c>
      <c r="G156" s="55" t="str">
        <f>IF($Q156="","",INDEX(TRANSACTIONS_MASTER!$K$5:$K$1204,$Q156))</f>
        <v/>
      </c>
      <c r="H156" s="25" t="str">
        <f>IF($Q156="","",INDEX(TRANSACTIONS_MASTER!$L$5:$L$1204,$Q156))</f>
        <v/>
      </c>
      <c r="I156" s="56" t="str">
        <f>IF($Q156="","",INDEX(TRANSACTIONS_MASTER!$N$5:$N$1204,$Q156))</f>
        <v/>
      </c>
      <c r="J156" s="25" t="str">
        <f>IF($Q156="","",INDEX(TRANSACTIONS_MASTER!$O$5:$O$1204,$Q156))</f>
        <v/>
      </c>
      <c r="K156" s="26" t="str">
        <f>IF($Q156="","",INDEX(TRANSACTIONS_MASTER!$Q$5:$Q$1204,$Q156))</f>
        <v/>
      </c>
      <c r="L156" s="25" t="str">
        <f>IF($Q156="","",INDEX(TRANSACTIONS_MASTER!$P$5:$P$1204,$Q156))</f>
        <v/>
      </c>
      <c r="M156" s="25" t="str">
        <f>IF($Q156="","",INDEX(TRANSACTIONS_MASTER!$AA$5:$AA$1204,$Q156))</f>
        <v/>
      </c>
      <c r="N156" s="25" t="str">
        <f>IF($Q156="","",INDEX(TRANSACTIONS_MASTER!$R$5:$R$1204,$Q156))</f>
        <v/>
      </c>
      <c r="O156" s="28" t="str">
        <f>IF($Q156="","",INDEX(TRANSACTIONS_MASTER!$AB$5:$AB$1204,$Q156))</f>
        <v/>
      </c>
      <c r="P156" s="55" t="str">
        <f>IF($Q156="","",INDEX(TRANSACTIONS_MASTER!$Z$5:$Z$1204,$Q156)&amp;"")</f>
        <v/>
      </c>
      <c r="Q156" s="67" t="str">
        <f>IFERROR(MATCH($C$2&amp;"|"&amp;149,TRANSACTIONS_MASTER!$AE$5:$AE$1204,0),"")</f>
        <v/>
      </c>
    </row>
    <row r="157" ht="22" customHeight="1">
      <c r="A157" s="81" t="str">
        <f>IF($Q157="","",150)</f>
        <v/>
      </c>
      <c r="B157" s="57" t="str">
        <f>IF($Q157="","",INDEX(TRANSACTIONS_MASTER!$B$5:$B$1204,$Q157))</f>
        <v/>
      </c>
      <c r="C157" s="55" t="str">
        <f>IF($Q157="","",INDEX(TRANSACTIONS_MASTER!$F$5:$F$1204,$Q157))</f>
        <v/>
      </c>
      <c r="D157" s="55" t="str">
        <f>IF($Q157="","",INDEX(TRANSACTIONS_MASTER!$E$5:$E$1204,$Q157))</f>
        <v/>
      </c>
      <c r="E157" s="55" t="str">
        <f>IF($Q157="","",INDEX(TRANSACTIONS_MASTER!$G$5:$G$1204,$Q157)&amp;"")</f>
        <v/>
      </c>
      <c r="F157" s="29" t="str">
        <f>IF($Q157="","",INDEX(TRANSACTIONS_MASTER!$I$5:$I$1204,$Q157))</f>
        <v/>
      </c>
      <c r="G157" s="55" t="str">
        <f>IF($Q157="","",INDEX(TRANSACTIONS_MASTER!$K$5:$K$1204,$Q157))</f>
        <v/>
      </c>
      <c r="H157" s="25" t="str">
        <f>IF($Q157="","",INDEX(TRANSACTIONS_MASTER!$L$5:$L$1204,$Q157))</f>
        <v/>
      </c>
      <c r="I157" s="56" t="str">
        <f>IF($Q157="","",INDEX(TRANSACTIONS_MASTER!$N$5:$N$1204,$Q157))</f>
        <v/>
      </c>
      <c r="J157" s="25" t="str">
        <f>IF($Q157="","",INDEX(TRANSACTIONS_MASTER!$O$5:$O$1204,$Q157))</f>
        <v/>
      </c>
      <c r="K157" s="26" t="str">
        <f>IF($Q157="","",INDEX(TRANSACTIONS_MASTER!$Q$5:$Q$1204,$Q157))</f>
        <v/>
      </c>
      <c r="L157" s="25" t="str">
        <f>IF($Q157="","",INDEX(TRANSACTIONS_MASTER!$P$5:$P$1204,$Q157))</f>
        <v/>
      </c>
      <c r="M157" s="25" t="str">
        <f>IF($Q157="","",INDEX(TRANSACTIONS_MASTER!$AA$5:$AA$1204,$Q157))</f>
        <v/>
      </c>
      <c r="N157" s="25" t="str">
        <f>IF($Q157="","",INDEX(TRANSACTIONS_MASTER!$R$5:$R$1204,$Q157))</f>
        <v/>
      </c>
      <c r="O157" s="28" t="str">
        <f>IF($Q157="","",INDEX(TRANSACTIONS_MASTER!$AB$5:$AB$1204,$Q157))</f>
        <v/>
      </c>
      <c r="P157" s="55" t="str">
        <f>IF($Q157="","",INDEX(TRANSACTIONS_MASTER!$Z$5:$Z$1204,$Q157)&amp;"")</f>
        <v/>
      </c>
      <c r="Q157" s="67" t="str">
        <f>IFERROR(MATCH($C$2&amp;"|"&amp;150,TRANSACTIONS_MASTER!$AE$5:$AE$1204,0),"")</f>
        <v/>
      </c>
      <c r="T157" s="19" t="inlineStr">
        <is>
          <t>THEO MERCHANT</t>
        </is>
      </c>
      <c r="U157" s="20" t="n"/>
      <c r="V157" s="20" t="n"/>
      <c r="W157" s="20" t="n"/>
      <c r="X157" s="20" t="n"/>
      <c r="Y157" s="20" t="n"/>
      <c r="Z157" s="20" t="n"/>
      <c r="AA157" s="20" t="n"/>
    </row>
    <row r="158" ht="28" customHeight="1">
      <c r="A158" s="81" t="str">
        <f>IF($Q158="","",151)</f>
        <v/>
      </c>
      <c r="B158" s="57" t="str">
        <f>IF($Q158="","",INDEX(TRANSACTIONS_MASTER!$B$5:$B$1204,$Q158))</f>
        <v/>
      </c>
      <c r="C158" s="55" t="str">
        <f>IF($Q158="","",INDEX(TRANSACTIONS_MASTER!$F$5:$F$1204,$Q158))</f>
        <v/>
      </c>
      <c r="D158" s="55" t="str">
        <f>IF($Q158="","",INDEX(TRANSACTIONS_MASTER!$E$5:$E$1204,$Q158))</f>
        <v/>
      </c>
      <c r="E158" s="55" t="str">
        <f>IF($Q158="","",INDEX(TRANSACTIONS_MASTER!$G$5:$G$1204,$Q158)&amp;"")</f>
        <v/>
      </c>
      <c r="F158" s="29" t="str">
        <f>IF($Q158="","",INDEX(TRANSACTIONS_MASTER!$I$5:$I$1204,$Q158))</f>
        <v/>
      </c>
      <c r="G158" s="55" t="str">
        <f>IF($Q158="","",INDEX(TRANSACTIONS_MASTER!$K$5:$K$1204,$Q158))</f>
        <v/>
      </c>
      <c r="H158" s="25" t="str">
        <f>IF($Q158="","",INDEX(TRANSACTIONS_MASTER!$L$5:$L$1204,$Q158))</f>
        <v/>
      </c>
      <c r="I158" s="56" t="str">
        <f>IF($Q158="","",INDEX(TRANSACTIONS_MASTER!$N$5:$N$1204,$Q158))</f>
        <v/>
      </c>
      <c r="J158" s="25" t="str">
        <f>IF($Q158="","",INDEX(TRANSACTIONS_MASTER!$O$5:$O$1204,$Q158))</f>
        <v/>
      </c>
      <c r="K158" s="26" t="str">
        <f>IF($Q158="","",INDEX(TRANSACTIONS_MASTER!$Q$5:$Q$1204,$Q158))</f>
        <v/>
      </c>
      <c r="L158" s="25" t="str">
        <f>IF($Q158="","",INDEX(TRANSACTIONS_MASTER!$P$5:$P$1204,$Q158))</f>
        <v/>
      </c>
      <c r="M158" s="25" t="str">
        <f>IF($Q158="","",INDEX(TRANSACTIONS_MASTER!$AA$5:$AA$1204,$Q158))</f>
        <v/>
      </c>
      <c r="N158" s="25" t="str">
        <f>IF($Q158="","",INDEX(TRANSACTIONS_MASTER!$R$5:$R$1204,$Q158))</f>
        <v/>
      </c>
      <c r="O158" s="28" t="str">
        <f>IF($Q158="","",INDEX(TRANSACTIONS_MASTER!$AB$5:$AB$1204,$Q158))</f>
        <v/>
      </c>
      <c r="P158" s="55" t="str">
        <f>IF($Q158="","",INDEX(TRANSACTIONS_MASTER!$Z$5:$Z$1204,$Q158)&amp;"")</f>
        <v/>
      </c>
      <c r="Q158" s="67" t="str">
        <f>IFERROR(MATCH($C$2&amp;"|"&amp;151,TRANSACTIONS_MASTER!$AE$5:$AE$1204,0),"")</f>
        <v/>
      </c>
      <c r="S158" s="21" t="inlineStr">
        <is>
          <t>#</t>
        </is>
      </c>
      <c r="T158" s="21" t="inlineStr"/>
      <c r="U158" s="21" t="inlineStr">
        <is>
          <t>Merchant</t>
        </is>
      </c>
      <c r="V158" s="21" t="inlineStr">
        <is>
          <t>Chi tiêu</t>
        </is>
      </c>
      <c r="W158" s="21" t="inlineStr">
        <is>
          <t>Cashback</t>
        </is>
      </c>
    </row>
    <row r="159">
      <c r="A159" s="81" t="str">
        <f>IF($Q159="","",152)</f>
        <v/>
      </c>
      <c r="B159" s="57" t="str">
        <f>IF($Q159="","",INDEX(TRANSACTIONS_MASTER!$B$5:$B$1204,$Q159))</f>
        <v/>
      </c>
      <c r="C159" s="55" t="str">
        <f>IF($Q159="","",INDEX(TRANSACTIONS_MASTER!$F$5:$F$1204,$Q159))</f>
        <v/>
      </c>
      <c r="D159" s="55" t="str">
        <f>IF($Q159="","",INDEX(TRANSACTIONS_MASTER!$E$5:$E$1204,$Q159))</f>
        <v/>
      </c>
      <c r="E159" s="55" t="str">
        <f>IF($Q159="","",INDEX(TRANSACTIONS_MASTER!$G$5:$G$1204,$Q159)&amp;"")</f>
        <v/>
      </c>
      <c r="F159" s="29" t="str">
        <f>IF($Q159="","",INDEX(TRANSACTIONS_MASTER!$I$5:$I$1204,$Q159))</f>
        <v/>
      </c>
      <c r="G159" s="55" t="str">
        <f>IF($Q159="","",INDEX(TRANSACTIONS_MASTER!$K$5:$K$1204,$Q159))</f>
        <v/>
      </c>
      <c r="H159" s="25" t="str">
        <f>IF($Q159="","",INDEX(TRANSACTIONS_MASTER!$L$5:$L$1204,$Q159))</f>
        <v/>
      </c>
      <c r="I159" s="56" t="str">
        <f>IF($Q159="","",INDEX(TRANSACTIONS_MASTER!$N$5:$N$1204,$Q159))</f>
        <v/>
      </c>
      <c r="J159" s="25" t="str">
        <f>IF($Q159="","",INDEX(TRANSACTIONS_MASTER!$O$5:$O$1204,$Q159))</f>
        <v/>
      </c>
      <c r="K159" s="26" t="str">
        <f>IF($Q159="","",INDEX(TRANSACTIONS_MASTER!$Q$5:$Q$1204,$Q159))</f>
        <v/>
      </c>
      <c r="L159" s="25" t="str">
        <f>IF($Q159="","",INDEX(TRANSACTIONS_MASTER!$P$5:$P$1204,$Q159))</f>
        <v/>
      </c>
      <c r="M159" s="25" t="str">
        <f>IF($Q159="","",INDEX(TRANSACTIONS_MASTER!$AA$5:$AA$1204,$Q159))</f>
        <v/>
      </c>
      <c r="N159" s="25" t="str">
        <f>IF($Q159="","",INDEX(TRANSACTIONS_MASTER!$R$5:$R$1204,$Q159))</f>
        <v/>
      </c>
      <c r="O159" s="28" t="str">
        <f>IF($Q159="","",INDEX(TRANSACTIONS_MASTER!$AB$5:$AB$1204,$Q159))</f>
        <v/>
      </c>
      <c r="P159" s="55" t="str">
        <f>IF($Q159="","",INDEX(TRANSACTIONS_MASTER!$Z$5:$Z$1204,$Q159)&amp;"")</f>
        <v/>
      </c>
      <c r="Q159" s="67" t="str">
        <f>IFERROR(MATCH($C$2&amp;"|"&amp;152,TRANSACTIONS_MASTER!$AE$5:$AE$1204,0),"")</f>
        <v/>
      </c>
      <c r="S159" s="67" t="str">
        <f>IFERROR(MATCH(1,INDEX((TRANSACTIONS_MASTER!$C$5:$C$1204=$C$2)*(TRANSACTIONS_MASTER!$AN$5:$AN$1204=1),0),0),"")</f>
        <v/>
      </c>
      <c r="T159" s="55" t="n"/>
      <c r="U159" s="55" t="str">
        <f>IF($S159="","",INDEX(TRANSACTIONS_MASTER!$G$5:$G$1204,$S159)&amp;"")</f>
        <v/>
      </c>
      <c r="V159" s="25" t="str">
        <f>IF($S159="","",SUMIFS(TRANSACTIONS_MASTER!$L$5:$L$1204,TRANSACTIONS_MASTER!$G$5:$G$1204,$U159,TRANSACTIONS_MASTER!$C$5:$C$1204,$C$2,TRANSACTIONS_MASTER!$U$5:$U$1204,"&lt;&gt;Cancelled"))</f>
        <v/>
      </c>
      <c r="W159" s="26" t="str">
        <f>IF($S159="","",SUMIFS(TRANSACTIONS_MASTER!$Q$5:$Q$1204,TRANSACTIONS_MASTER!$G$5:$G$1204,$U159,TRANSACTIONS_MASTER!$C$5:$C$1204,$C$2))</f>
        <v/>
      </c>
    </row>
    <row r="160">
      <c r="A160" s="81" t="str">
        <f>IF($Q160="","",153)</f>
        <v/>
      </c>
      <c r="B160" s="57" t="str">
        <f>IF($Q160="","",INDEX(TRANSACTIONS_MASTER!$B$5:$B$1204,$Q160))</f>
        <v/>
      </c>
      <c r="C160" s="55" t="str">
        <f>IF($Q160="","",INDEX(TRANSACTIONS_MASTER!$F$5:$F$1204,$Q160))</f>
        <v/>
      </c>
      <c r="D160" s="55" t="str">
        <f>IF($Q160="","",INDEX(TRANSACTIONS_MASTER!$E$5:$E$1204,$Q160))</f>
        <v/>
      </c>
      <c r="E160" s="55" t="str">
        <f>IF($Q160="","",INDEX(TRANSACTIONS_MASTER!$G$5:$G$1204,$Q160)&amp;"")</f>
        <v/>
      </c>
      <c r="F160" s="29" t="str">
        <f>IF($Q160="","",INDEX(TRANSACTIONS_MASTER!$I$5:$I$1204,$Q160))</f>
        <v/>
      </c>
      <c r="G160" s="55" t="str">
        <f>IF($Q160="","",INDEX(TRANSACTIONS_MASTER!$K$5:$K$1204,$Q160))</f>
        <v/>
      </c>
      <c r="H160" s="25" t="str">
        <f>IF($Q160="","",INDEX(TRANSACTIONS_MASTER!$L$5:$L$1204,$Q160))</f>
        <v/>
      </c>
      <c r="I160" s="56" t="str">
        <f>IF($Q160="","",INDEX(TRANSACTIONS_MASTER!$N$5:$N$1204,$Q160))</f>
        <v/>
      </c>
      <c r="J160" s="25" t="str">
        <f>IF($Q160="","",INDEX(TRANSACTIONS_MASTER!$O$5:$O$1204,$Q160))</f>
        <v/>
      </c>
      <c r="K160" s="26" t="str">
        <f>IF($Q160="","",INDEX(TRANSACTIONS_MASTER!$Q$5:$Q$1204,$Q160))</f>
        <v/>
      </c>
      <c r="L160" s="25" t="str">
        <f>IF($Q160="","",INDEX(TRANSACTIONS_MASTER!$P$5:$P$1204,$Q160))</f>
        <v/>
      </c>
      <c r="M160" s="25" t="str">
        <f>IF($Q160="","",INDEX(TRANSACTIONS_MASTER!$AA$5:$AA$1204,$Q160))</f>
        <v/>
      </c>
      <c r="N160" s="25" t="str">
        <f>IF($Q160="","",INDEX(TRANSACTIONS_MASTER!$R$5:$R$1204,$Q160))</f>
        <v/>
      </c>
      <c r="O160" s="28" t="str">
        <f>IF($Q160="","",INDEX(TRANSACTIONS_MASTER!$AB$5:$AB$1204,$Q160))</f>
        <v/>
      </c>
      <c r="P160" s="55" t="str">
        <f>IF($Q160="","",INDEX(TRANSACTIONS_MASTER!$Z$5:$Z$1204,$Q160)&amp;"")</f>
        <v/>
      </c>
      <c r="Q160" s="67" t="str">
        <f>IFERROR(MATCH($C$2&amp;"|"&amp;153,TRANSACTIONS_MASTER!$AE$5:$AE$1204,0),"")</f>
        <v/>
      </c>
      <c r="S160" s="67" t="str">
        <f>IFERROR(MATCH(1,INDEX((TRANSACTIONS_MASTER!$C$5:$C$1204=$C$2)*(TRANSACTIONS_MASTER!$AN$5:$AN$1204=2),0),0),"")</f>
        <v/>
      </c>
      <c r="T160" s="55" t="n"/>
      <c r="U160" s="55" t="str">
        <f>IF($S160="","",INDEX(TRANSACTIONS_MASTER!$G$5:$G$1204,$S160)&amp;"")</f>
        <v/>
      </c>
      <c r="V160" s="25" t="str">
        <f>IF($S160="","",SUMIFS(TRANSACTIONS_MASTER!$L$5:$L$1204,TRANSACTIONS_MASTER!$G$5:$G$1204,$U160,TRANSACTIONS_MASTER!$C$5:$C$1204,$C$2,TRANSACTIONS_MASTER!$U$5:$U$1204,"&lt;&gt;Cancelled"))</f>
        <v/>
      </c>
      <c r="W160" s="26" t="str">
        <f>IF($S160="","",SUMIFS(TRANSACTIONS_MASTER!$Q$5:$Q$1204,TRANSACTIONS_MASTER!$G$5:$G$1204,$U160,TRANSACTIONS_MASTER!$C$5:$C$1204,$C$2))</f>
        <v/>
      </c>
    </row>
    <row r="161">
      <c r="A161" s="81" t="str">
        <f>IF($Q161="","",154)</f>
        <v/>
      </c>
      <c r="B161" s="57" t="str">
        <f>IF($Q161="","",INDEX(TRANSACTIONS_MASTER!$B$5:$B$1204,$Q161))</f>
        <v/>
      </c>
      <c r="C161" s="55" t="str">
        <f>IF($Q161="","",INDEX(TRANSACTIONS_MASTER!$F$5:$F$1204,$Q161))</f>
        <v/>
      </c>
      <c r="D161" s="55" t="str">
        <f>IF($Q161="","",INDEX(TRANSACTIONS_MASTER!$E$5:$E$1204,$Q161))</f>
        <v/>
      </c>
      <c r="E161" s="55" t="str">
        <f>IF($Q161="","",INDEX(TRANSACTIONS_MASTER!$G$5:$G$1204,$Q161)&amp;"")</f>
        <v/>
      </c>
      <c r="F161" s="29" t="str">
        <f>IF($Q161="","",INDEX(TRANSACTIONS_MASTER!$I$5:$I$1204,$Q161))</f>
        <v/>
      </c>
      <c r="G161" s="55" t="str">
        <f>IF($Q161="","",INDEX(TRANSACTIONS_MASTER!$K$5:$K$1204,$Q161))</f>
        <v/>
      </c>
      <c r="H161" s="25" t="str">
        <f>IF($Q161="","",INDEX(TRANSACTIONS_MASTER!$L$5:$L$1204,$Q161))</f>
        <v/>
      </c>
      <c r="I161" s="56" t="str">
        <f>IF($Q161="","",INDEX(TRANSACTIONS_MASTER!$N$5:$N$1204,$Q161))</f>
        <v/>
      </c>
      <c r="J161" s="25" t="str">
        <f>IF($Q161="","",INDEX(TRANSACTIONS_MASTER!$O$5:$O$1204,$Q161))</f>
        <v/>
      </c>
      <c r="K161" s="26" t="str">
        <f>IF($Q161="","",INDEX(TRANSACTIONS_MASTER!$Q$5:$Q$1204,$Q161))</f>
        <v/>
      </c>
      <c r="L161" s="25" t="str">
        <f>IF($Q161="","",INDEX(TRANSACTIONS_MASTER!$P$5:$P$1204,$Q161))</f>
        <v/>
      </c>
      <c r="M161" s="25" t="str">
        <f>IF($Q161="","",INDEX(TRANSACTIONS_MASTER!$AA$5:$AA$1204,$Q161))</f>
        <v/>
      </c>
      <c r="N161" s="25" t="str">
        <f>IF($Q161="","",INDEX(TRANSACTIONS_MASTER!$R$5:$R$1204,$Q161))</f>
        <v/>
      </c>
      <c r="O161" s="28" t="str">
        <f>IF($Q161="","",INDEX(TRANSACTIONS_MASTER!$AB$5:$AB$1204,$Q161))</f>
        <v/>
      </c>
      <c r="P161" s="55" t="str">
        <f>IF($Q161="","",INDEX(TRANSACTIONS_MASTER!$Z$5:$Z$1204,$Q161)&amp;"")</f>
        <v/>
      </c>
      <c r="Q161" s="67" t="str">
        <f>IFERROR(MATCH($C$2&amp;"|"&amp;154,TRANSACTIONS_MASTER!$AE$5:$AE$1204,0),"")</f>
        <v/>
      </c>
      <c r="S161" s="67" t="str">
        <f>IFERROR(MATCH(1,INDEX((TRANSACTIONS_MASTER!$C$5:$C$1204=$C$2)*(TRANSACTIONS_MASTER!$AN$5:$AN$1204=3),0),0),"")</f>
        <v/>
      </c>
      <c r="T161" s="55" t="n"/>
      <c r="U161" s="55" t="str">
        <f>IF($S161="","",INDEX(TRANSACTIONS_MASTER!$G$5:$G$1204,$S161)&amp;"")</f>
        <v/>
      </c>
      <c r="V161" s="25" t="str">
        <f>IF($S161="","",SUMIFS(TRANSACTIONS_MASTER!$L$5:$L$1204,TRANSACTIONS_MASTER!$G$5:$G$1204,$U161,TRANSACTIONS_MASTER!$C$5:$C$1204,$C$2,TRANSACTIONS_MASTER!$U$5:$U$1204,"&lt;&gt;Cancelled"))</f>
        <v/>
      </c>
      <c r="W161" s="26" t="str">
        <f>IF($S161="","",SUMIFS(TRANSACTIONS_MASTER!$Q$5:$Q$1204,TRANSACTIONS_MASTER!$G$5:$G$1204,$U161,TRANSACTIONS_MASTER!$C$5:$C$1204,$C$2))</f>
        <v/>
      </c>
    </row>
    <row r="162">
      <c r="A162" s="81" t="str">
        <f>IF($Q162="","",155)</f>
        <v/>
      </c>
      <c r="B162" s="57" t="str">
        <f>IF($Q162="","",INDEX(TRANSACTIONS_MASTER!$B$5:$B$1204,$Q162))</f>
        <v/>
      </c>
      <c r="C162" s="55" t="str">
        <f>IF($Q162="","",INDEX(TRANSACTIONS_MASTER!$F$5:$F$1204,$Q162))</f>
        <v/>
      </c>
      <c r="D162" s="55" t="str">
        <f>IF($Q162="","",INDEX(TRANSACTIONS_MASTER!$E$5:$E$1204,$Q162))</f>
        <v/>
      </c>
      <c r="E162" s="55" t="str">
        <f>IF($Q162="","",INDEX(TRANSACTIONS_MASTER!$G$5:$G$1204,$Q162)&amp;"")</f>
        <v/>
      </c>
      <c r="F162" s="29" t="str">
        <f>IF($Q162="","",INDEX(TRANSACTIONS_MASTER!$I$5:$I$1204,$Q162))</f>
        <v/>
      </c>
      <c r="G162" s="55" t="str">
        <f>IF($Q162="","",INDEX(TRANSACTIONS_MASTER!$K$5:$K$1204,$Q162))</f>
        <v/>
      </c>
      <c r="H162" s="25" t="str">
        <f>IF($Q162="","",INDEX(TRANSACTIONS_MASTER!$L$5:$L$1204,$Q162))</f>
        <v/>
      </c>
      <c r="I162" s="56" t="str">
        <f>IF($Q162="","",INDEX(TRANSACTIONS_MASTER!$N$5:$N$1204,$Q162))</f>
        <v/>
      </c>
      <c r="J162" s="25" t="str">
        <f>IF($Q162="","",INDEX(TRANSACTIONS_MASTER!$O$5:$O$1204,$Q162))</f>
        <v/>
      </c>
      <c r="K162" s="26" t="str">
        <f>IF($Q162="","",INDEX(TRANSACTIONS_MASTER!$Q$5:$Q$1204,$Q162))</f>
        <v/>
      </c>
      <c r="L162" s="25" t="str">
        <f>IF($Q162="","",INDEX(TRANSACTIONS_MASTER!$P$5:$P$1204,$Q162))</f>
        <v/>
      </c>
      <c r="M162" s="25" t="str">
        <f>IF($Q162="","",INDEX(TRANSACTIONS_MASTER!$AA$5:$AA$1204,$Q162))</f>
        <v/>
      </c>
      <c r="N162" s="25" t="str">
        <f>IF($Q162="","",INDEX(TRANSACTIONS_MASTER!$R$5:$R$1204,$Q162))</f>
        <v/>
      </c>
      <c r="O162" s="28" t="str">
        <f>IF($Q162="","",INDEX(TRANSACTIONS_MASTER!$AB$5:$AB$1204,$Q162))</f>
        <v/>
      </c>
      <c r="P162" s="55" t="str">
        <f>IF($Q162="","",INDEX(TRANSACTIONS_MASTER!$Z$5:$Z$1204,$Q162)&amp;"")</f>
        <v/>
      </c>
      <c r="Q162" s="67" t="str">
        <f>IFERROR(MATCH($C$2&amp;"|"&amp;155,TRANSACTIONS_MASTER!$AE$5:$AE$1204,0),"")</f>
        <v/>
      </c>
      <c r="S162" s="67" t="str">
        <f>IFERROR(MATCH(1,INDEX((TRANSACTIONS_MASTER!$C$5:$C$1204=$C$2)*(TRANSACTIONS_MASTER!$AN$5:$AN$1204=4),0),0),"")</f>
        <v/>
      </c>
      <c r="T162" s="55" t="n"/>
      <c r="U162" s="55" t="str">
        <f>IF($S162="","",INDEX(TRANSACTIONS_MASTER!$G$5:$G$1204,$S162)&amp;"")</f>
        <v/>
      </c>
      <c r="V162" s="25" t="str">
        <f>IF($S162="","",SUMIFS(TRANSACTIONS_MASTER!$L$5:$L$1204,TRANSACTIONS_MASTER!$G$5:$G$1204,$U162,TRANSACTIONS_MASTER!$C$5:$C$1204,$C$2,TRANSACTIONS_MASTER!$U$5:$U$1204,"&lt;&gt;Cancelled"))</f>
        <v/>
      </c>
      <c r="W162" s="26" t="str">
        <f>IF($S162="","",SUMIFS(TRANSACTIONS_MASTER!$Q$5:$Q$1204,TRANSACTIONS_MASTER!$G$5:$G$1204,$U162,TRANSACTIONS_MASTER!$C$5:$C$1204,$C$2))</f>
        <v/>
      </c>
    </row>
    <row r="163">
      <c r="A163" s="81" t="str">
        <f>IF($Q163="","",156)</f>
        <v/>
      </c>
      <c r="B163" s="57" t="str">
        <f>IF($Q163="","",INDEX(TRANSACTIONS_MASTER!$B$5:$B$1204,$Q163))</f>
        <v/>
      </c>
      <c r="C163" s="55" t="str">
        <f>IF($Q163="","",INDEX(TRANSACTIONS_MASTER!$F$5:$F$1204,$Q163))</f>
        <v/>
      </c>
      <c r="D163" s="55" t="str">
        <f>IF($Q163="","",INDEX(TRANSACTIONS_MASTER!$E$5:$E$1204,$Q163))</f>
        <v/>
      </c>
      <c r="E163" s="55" t="str">
        <f>IF($Q163="","",INDEX(TRANSACTIONS_MASTER!$G$5:$G$1204,$Q163)&amp;"")</f>
        <v/>
      </c>
      <c r="F163" s="29" t="str">
        <f>IF($Q163="","",INDEX(TRANSACTIONS_MASTER!$I$5:$I$1204,$Q163))</f>
        <v/>
      </c>
      <c r="G163" s="55" t="str">
        <f>IF($Q163="","",INDEX(TRANSACTIONS_MASTER!$K$5:$K$1204,$Q163))</f>
        <v/>
      </c>
      <c r="H163" s="25" t="str">
        <f>IF($Q163="","",INDEX(TRANSACTIONS_MASTER!$L$5:$L$1204,$Q163))</f>
        <v/>
      </c>
      <c r="I163" s="56" t="str">
        <f>IF($Q163="","",INDEX(TRANSACTIONS_MASTER!$N$5:$N$1204,$Q163))</f>
        <v/>
      </c>
      <c r="J163" s="25" t="str">
        <f>IF($Q163="","",INDEX(TRANSACTIONS_MASTER!$O$5:$O$1204,$Q163))</f>
        <v/>
      </c>
      <c r="K163" s="26" t="str">
        <f>IF($Q163="","",INDEX(TRANSACTIONS_MASTER!$Q$5:$Q$1204,$Q163))</f>
        <v/>
      </c>
      <c r="L163" s="25" t="str">
        <f>IF($Q163="","",INDEX(TRANSACTIONS_MASTER!$P$5:$P$1204,$Q163))</f>
        <v/>
      </c>
      <c r="M163" s="25" t="str">
        <f>IF($Q163="","",INDEX(TRANSACTIONS_MASTER!$AA$5:$AA$1204,$Q163))</f>
        <v/>
      </c>
      <c r="N163" s="25" t="str">
        <f>IF($Q163="","",INDEX(TRANSACTIONS_MASTER!$R$5:$R$1204,$Q163))</f>
        <v/>
      </c>
      <c r="O163" s="28" t="str">
        <f>IF($Q163="","",INDEX(TRANSACTIONS_MASTER!$AB$5:$AB$1204,$Q163))</f>
        <v/>
      </c>
      <c r="P163" s="55" t="str">
        <f>IF($Q163="","",INDEX(TRANSACTIONS_MASTER!$Z$5:$Z$1204,$Q163)&amp;"")</f>
        <v/>
      </c>
      <c r="Q163" s="67" t="str">
        <f>IFERROR(MATCH($C$2&amp;"|"&amp;156,TRANSACTIONS_MASTER!$AE$5:$AE$1204,0),"")</f>
        <v/>
      </c>
      <c r="S163" s="67" t="str">
        <f>IFERROR(MATCH(1,INDEX((TRANSACTIONS_MASTER!$C$5:$C$1204=$C$2)*(TRANSACTIONS_MASTER!$AN$5:$AN$1204=5),0),0),"")</f>
        <v/>
      </c>
      <c r="T163" s="55" t="n"/>
      <c r="U163" s="55" t="str">
        <f>IF($S163="","",INDEX(TRANSACTIONS_MASTER!$G$5:$G$1204,$S163)&amp;"")</f>
        <v/>
      </c>
      <c r="V163" s="25" t="str">
        <f>IF($S163="","",SUMIFS(TRANSACTIONS_MASTER!$L$5:$L$1204,TRANSACTIONS_MASTER!$G$5:$G$1204,$U163,TRANSACTIONS_MASTER!$C$5:$C$1204,$C$2,TRANSACTIONS_MASTER!$U$5:$U$1204,"&lt;&gt;Cancelled"))</f>
        <v/>
      </c>
      <c r="W163" s="26" t="str">
        <f>IF($S163="","",SUMIFS(TRANSACTIONS_MASTER!$Q$5:$Q$1204,TRANSACTIONS_MASTER!$G$5:$G$1204,$U163,TRANSACTIONS_MASTER!$C$5:$C$1204,$C$2))</f>
        <v/>
      </c>
    </row>
    <row r="164">
      <c r="A164" s="81" t="str">
        <f>IF($Q164="","",157)</f>
        <v/>
      </c>
      <c r="B164" s="57" t="str">
        <f>IF($Q164="","",INDEX(TRANSACTIONS_MASTER!$B$5:$B$1204,$Q164))</f>
        <v/>
      </c>
      <c r="C164" s="55" t="str">
        <f>IF($Q164="","",INDEX(TRANSACTIONS_MASTER!$F$5:$F$1204,$Q164))</f>
        <v/>
      </c>
      <c r="D164" s="55" t="str">
        <f>IF($Q164="","",INDEX(TRANSACTIONS_MASTER!$E$5:$E$1204,$Q164))</f>
        <v/>
      </c>
      <c r="E164" s="55" t="str">
        <f>IF($Q164="","",INDEX(TRANSACTIONS_MASTER!$G$5:$G$1204,$Q164)&amp;"")</f>
        <v/>
      </c>
      <c r="F164" s="29" t="str">
        <f>IF($Q164="","",INDEX(TRANSACTIONS_MASTER!$I$5:$I$1204,$Q164))</f>
        <v/>
      </c>
      <c r="G164" s="55" t="str">
        <f>IF($Q164="","",INDEX(TRANSACTIONS_MASTER!$K$5:$K$1204,$Q164))</f>
        <v/>
      </c>
      <c r="H164" s="25" t="str">
        <f>IF($Q164="","",INDEX(TRANSACTIONS_MASTER!$L$5:$L$1204,$Q164))</f>
        <v/>
      </c>
      <c r="I164" s="56" t="str">
        <f>IF($Q164="","",INDEX(TRANSACTIONS_MASTER!$N$5:$N$1204,$Q164))</f>
        <v/>
      </c>
      <c r="J164" s="25" t="str">
        <f>IF($Q164="","",INDEX(TRANSACTIONS_MASTER!$O$5:$O$1204,$Q164))</f>
        <v/>
      </c>
      <c r="K164" s="26" t="str">
        <f>IF($Q164="","",INDEX(TRANSACTIONS_MASTER!$Q$5:$Q$1204,$Q164))</f>
        <v/>
      </c>
      <c r="L164" s="25" t="str">
        <f>IF($Q164="","",INDEX(TRANSACTIONS_MASTER!$P$5:$P$1204,$Q164))</f>
        <v/>
      </c>
      <c r="M164" s="25" t="str">
        <f>IF($Q164="","",INDEX(TRANSACTIONS_MASTER!$AA$5:$AA$1204,$Q164))</f>
        <v/>
      </c>
      <c r="N164" s="25" t="str">
        <f>IF($Q164="","",INDEX(TRANSACTIONS_MASTER!$R$5:$R$1204,$Q164))</f>
        <v/>
      </c>
      <c r="O164" s="28" t="str">
        <f>IF($Q164="","",INDEX(TRANSACTIONS_MASTER!$AB$5:$AB$1204,$Q164))</f>
        <v/>
      </c>
      <c r="P164" s="55" t="str">
        <f>IF($Q164="","",INDEX(TRANSACTIONS_MASTER!$Z$5:$Z$1204,$Q164)&amp;"")</f>
        <v/>
      </c>
      <c r="Q164" s="67" t="str">
        <f>IFERROR(MATCH($C$2&amp;"|"&amp;157,TRANSACTIONS_MASTER!$AE$5:$AE$1204,0),"")</f>
        <v/>
      </c>
      <c r="S164" s="67" t="str">
        <f>IFERROR(MATCH(1,INDEX((TRANSACTIONS_MASTER!$C$5:$C$1204=$C$2)*(TRANSACTIONS_MASTER!$AN$5:$AN$1204=6),0),0),"")</f>
        <v/>
      </c>
      <c r="T164" s="55" t="n"/>
      <c r="U164" s="55" t="str">
        <f>IF($S164="","",INDEX(TRANSACTIONS_MASTER!$G$5:$G$1204,$S164)&amp;"")</f>
        <v/>
      </c>
      <c r="V164" s="25" t="str">
        <f>IF($S164="","",SUMIFS(TRANSACTIONS_MASTER!$L$5:$L$1204,TRANSACTIONS_MASTER!$G$5:$G$1204,$U164,TRANSACTIONS_MASTER!$C$5:$C$1204,$C$2,TRANSACTIONS_MASTER!$U$5:$U$1204,"&lt;&gt;Cancelled"))</f>
        <v/>
      </c>
      <c r="W164" s="26" t="str">
        <f>IF($S164="","",SUMIFS(TRANSACTIONS_MASTER!$Q$5:$Q$1204,TRANSACTIONS_MASTER!$G$5:$G$1204,$U164,TRANSACTIONS_MASTER!$C$5:$C$1204,$C$2))</f>
        <v/>
      </c>
    </row>
    <row r="165">
      <c r="A165" s="81" t="str">
        <f>IF($Q165="","",158)</f>
        <v/>
      </c>
      <c r="B165" s="57" t="str">
        <f>IF($Q165="","",INDEX(TRANSACTIONS_MASTER!$B$5:$B$1204,$Q165))</f>
        <v/>
      </c>
      <c r="C165" s="55" t="str">
        <f>IF($Q165="","",INDEX(TRANSACTIONS_MASTER!$F$5:$F$1204,$Q165))</f>
        <v/>
      </c>
      <c r="D165" s="55" t="str">
        <f>IF($Q165="","",INDEX(TRANSACTIONS_MASTER!$E$5:$E$1204,$Q165))</f>
        <v/>
      </c>
      <c r="E165" s="55" t="str">
        <f>IF($Q165="","",INDEX(TRANSACTIONS_MASTER!$G$5:$G$1204,$Q165)&amp;"")</f>
        <v/>
      </c>
      <c r="F165" s="29" t="str">
        <f>IF($Q165="","",INDEX(TRANSACTIONS_MASTER!$I$5:$I$1204,$Q165))</f>
        <v/>
      </c>
      <c r="G165" s="55" t="str">
        <f>IF($Q165="","",INDEX(TRANSACTIONS_MASTER!$K$5:$K$1204,$Q165))</f>
        <v/>
      </c>
      <c r="H165" s="25" t="str">
        <f>IF($Q165="","",INDEX(TRANSACTIONS_MASTER!$L$5:$L$1204,$Q165))</f>
        <v/>
      </c>
      <c r="I165" s="56" t="str">
        <f>IF($Q165="","",INDEX(TRANSACTIONS_MASTER!$N$5:$N$1204,$Q165))</f>
        <v/>
      </c>
      <c r="J165" s="25" t="str">
        <f>IF($Q165="","",INDEX(TRANSACTIONS_MASTER!$O$5:$O$1204,$Q165))</f>
        <v/>
      </c>
      <c r="K165" s="26" t="str">
        <f>IF($Q165="","",INDEX(TRANSACTIONS_MASTER!$Q$5:$Q$1204,$Q165))</f>
        <v/>
      </c>
      <c r="L165" s="25" t="str">
        <f>IF($Q165="","",INDEX(TRANSACTIONS_MASTER!$P$5:$P$1204,$Q165))</f>
        <v/>
      </c>
      <c r="M165" s="25" t="str">
        <f>IF($Q165="","",INDEX(TRANSACTIONS_MASTER!$AA$5:$AA$1204,$Q165))</f>
        <v/>
      </c>
      <c r="N165" s="25" t="str">
        <f>IF($Q165="","",INDEX(TRANSACTIONS_MASTER!$R$5:$R$1204,$Q165))</f>
        <v/>
      </c>
      <c r="O165" s="28" t="str">
        <f>IF($Q165="","",INDEX(TRANSACTIONS_MASTER!$AB$5:$AB$1204,$Q165))</f>
        <v/>
      </c>
      <c r="P165" s="55" t="str">
        <f>IF($Q165="","",INDEX(TRANSACTIONS_MASTER!$Z$5:$Z$1204,$Q165)&amp;"")</f>
        <v/>
      </c>
      <c r="Q165" s="67" t="str">
        <f>IFERROR(MATCH($C$2&amp;"|"&amp;158,TRANSACTIONS_MASTER!$AE$5:$AE$1204,0),"")</f>
        <v/>
      </c>
      <c r="S165" s="67" t="str">
        <f>IFERROR(MATCH(1,INDEX((TRANSACTIONS_MASTER!$C$5:$C$1204=$C$2)*(TRANSACTIONS_MASTER!$AN$5:$AN$1204=7),0),0),"")</f>
        <v/>
      </c>
      <c r="T165" s="55" t="n"/>
      <c r="U165" s="55" t="str">
        <f>IF($S165="","",INDEX(TRANSACTIONS_MASTER!$G$5:$G$1204,$S165)&amp;"")</f>
        <v/>
      </c>
      <c r="V165" s="25" t="str">
        <f>IF($S165="","",SUMIFS(TRANSACTIONS_MASTER!$L$5:$L$1204,TRANSACTIONS_MASTER!$G$5:$G$1204,$U165,TRANSACTIONS_MASTER!$C$5:$C$1204,$C$2,TRANSACTIONS_MASTER!$U$5:$U$1204,"&lt;&gt;Cancelled"))</f>
        <v/>
      </c>
      <c r="W165" s="26" t="str">
        <f>IF($S165="","",SUMIFS(TRANSACTIONS_MASTER!$Q$5:$Q$1204,TRANSACTIONS_MASTER!$G$5:$G$1204,$U165,TRANSACTIONS_MASTER!$C$5:$C$1204,$C$2))</f>
        <v/>
      </c>
    </row>
    <row r="166">
      <c r="A166" s="81" t="str">
        <f>IF($Q166="","",159)</f>
        <v/>
      </c>
      <c r="B166" s="57" t="str">
        <f>IF($Q166="","",INDEX(TRANSACTIONS_MASTER!$B$5:$B$1204,$Q166))</f>
        <v/>
      </c>
      <c r="C166" s="55" t="str">
        <f>IF($Q166="","",INDEX(TRANSACTIONS_MASTER!$F$5:$F$1204,$Q166))</f>
        <v/>
      </c>
      <c r="D166" s="55" t="str">
        <f>IF($Q166="","",INDEX(TRANSACTIONS_MASTER!$E$5:$E$1204,$Q166))</f>
        <v/>
      </c>
      <c r="E166" s="55" t="str">
        <f>IF($Q166="","",INDEX(TRANSACTIONS_MASTER!$G$5:$G$1204,$Q166)&amp;"")</f>
        <v/>
      </c>
      <c r="F166" s="29" t="str">
        <f>IF($Q166="","",INDEX(TRANSACTIONS_MASTER!$I$5:$I$1204,$Q166))</f>
        <v/>
      </c>
      <c r="G166" s="55" t="str">
        <f>IF($Q166="","",INDEX(TRANSACTIONS_MASTER!$K$5:$K$1204,$Q166))</f>
        <v/>
      </c>
      <c r="H166" s="25" t="str">
        <f>IF($Q166="","",INDEX(TRANSACTIONS_MASTER!$L$5:$L$1204,$Q166))</f>
        <v/>
      </c>
      <c r="I166" s="56" t="str">
        <f>IF($Q166="","",INDEX(TRANSACTIONS_MASTER!$N$5:$N$1204,$Q166))</f>
        <v/>
      </c>
      <c r="J166" s="25" t="str">
        <f>IF($Q166="","",INDEX(TRANSACTIONS_MASTER!$O$5:$O$1204,$Q166))</f>
        <v/>
      </c>
      <c r="K166" s="26" t="str">
        <f>IF($Q166="","",INDEX(TRANSACTIONS_MASTER!$Q$5:$Q$1204,$Q166))</f>
        <v/>
      </c>
      <c r="L166" s="25" t="str">
        <f>IF($Q166="","",INDEX(TRANSACTIONS_MASTER!$P$5:$P$1204,$Q166))</f>
        <v/>
      </c>
      <c r="M166" s="25" t="str">
        <f>IF($Q166="","",INDEX(TRANSACTIONS_MASTER!$AA$5:$AA$1204,$Q166))</f>
        <v/>
      </c>
      <c r="N166" s="25" t="str">
        <f>IF($Q166="","",INDEX(TRANSACTIONS_MASTER!$R$5:$R$1204,$Q166))</f>
        <v/>
      </c>
      <c r="O166" s="28" t="str">
        <f>IF($Q166="","",INDEX(TRANSACTIONS_MASTER!$AB$5:$AB$1204,$Q166))</f>
        <v/>
      </c>
      <c r="P166" s="55" t="str">
        <f>IF($Q166="","",INDEX(TRANSACTIONS_MASTER!$Z$5:$Z$1204,$Q166)&amp;"")</f>
        <v/>
      </c>
      <c r="Q166" s="67" t="str">
        <f>IFERROR(MATCH($C$2&amp;"|"&amp;159,TRANSACTIONS_MASTER!$AE$5:$AE$1204,0),"")</f>
        <v/>
      </c>
      <c r="S166" s="67" t="str">
        <f>IFERROR(MATCH(1,INDEX((TRANSACTIONS_MASTER!$C$5:$C$1204=$C$2)*(TRANSACTIONS_MASTER!$AN$5:$AN$1204=8),0),0),"")</f>
        <v/>
      </c>
      <c r="T166" s="55" t="n"/>
      <c r="U166" s="55" t="str">
        <f>IF($S166="","",INDEX(TRANSACTIONS_MASTER!$G$5:$G$1204,$S166)&amp;"")</f>
        <v/>
      </c>
      <c r="V166" s="25" t="str">
        <f>IF($S166="","",SUMIFS(TRANSACTIONS_MASTER!$L$5:$L$1204,TRANSACTIONS_MASTER!$G$5:$G$1204,$U166,TRANSACTIONS_MASTER!$C$5:$C$1204,$C$2,TRANSACTIONS_MASTER!$U$5:$U$1204,"&lt;&gt;Cancelled"))</f>
        <v/>
      </c>
      <c r="W166" s="26" t="str">
        <f>IF($S166="","",SUMIFS(TRANSACTIONS_MASTER!$Q$5:$Q$1204,TRANSACTIONS_MASTER!$G$5:$G$1204,$U166,TRANSACTIONS_MASTER!$C$5:$C$1204,$C$2))</f>
        <v/>
      </c>
    </row>
    <row r="167">
      <c r="A167" s="81" t="str">
        <f>IF($Q167="","",160)</f>
        <v/>
      </c>
      <c r="B167" s="57" t="str">
        <f>IF($Q167="","",INDEX(TRANSACTIONS_MASTER!$B$5:$B$1204,$Q167))</f>
        <v/>
      </c>
      <c r="C167" s="55" t="str">
        <f>IF($Q167="","",INDEX(TRANSACTIONS_MASTER!$F$5:$F$1204,$Q167))</f>
        <v/>
      </c>
      <c r="D167" s="55" t="str">
        <f>IF($Q167="","",INDEX(TRANSACTIONS_MASTER!$E$5:$E$1204,$Q167))</f>
        <v/>
      </c>
      <c r="E167" s="55" t="str">
        <f>IF($Q167="","",INDEX(TRANSACTIONS_MASTER!$G$5:$G$1204,$Q167)&amp;"")</f>
        <v/>
      </c>
      <c r="F167" s="29" t="str">
        <f>IF($Q167="","",INDEX(TRANSACTIONS_MASTER!$I$5:$I$1204,$Q167))</f>
        <v/>
      </c>
      <c r="G167" s="55" t="str">
        <f>IF($Q167="","",INDEX(TRANSACTIONS_MASTER!$K$5:$K$1204,$Q167))</f>
        <v/>
      </c>
      <c r="H167" s="25" t="str">
        <f>IF($Q167="","",INDEX(TRANSACTIONS_MASTER!$L$5:$L$1204,$Q167))</f>
        <v/>
      </c>
      <c r="I167" s="56" t="str">
        <f>IF($Q167="","",INDEX(TRANSACTIONS_MASTER!$N$5:$N$1204,$Q167))</f>
        <v/>
      </c>
      <c r="J167" s="25" t="str">
        <f>IF($Q167="","",INDEX(TRANSACTIONS_MASTER!$O$5:$O$1204,$Q167))</f>
        <v/>
      </c>
      <c r="K167" s="26" t="str">
        <f>IF($Q167="","",INDEX(TRANSACTIONS_MASTER!$Q$5:$Q$1204,$Q167))</f>
        <v/>
      </c>
      <c r="L167" s="25" t="str">
        <f>IF($Q167="","",INDEX(TRANSACTIONS_MASTER!$P$5:$P$1204,$Q167))</f>
        <v/>
      </c>
      <c r="M167" s="25" t="str">
        <f>IF($Q167="","",INDEX(TRANSACTIONS_MASTER!$AA$5:$AA$1204,$Q167))</f>
        <v/>
      </c>
      <c r="N167" s="25" t="str">
        <f>IF($Q167="","",INDEX(TRANSACTIONS_MASTER!$R$5:$R$1204,$Q167))</f>
        <v/>
      </c>
      <c r="O167" s="28" t="str">
        <f>IF($Q167="","",INDEX(TRANSACTIONS_MASTER!$AB$5:$AB$1204,$Q167))</f>
        <v/>
      </c>
      <c r="P167" s="55" t="str">
        <f>IF($Q167="","",INDEX(TRANSACTIONS_MASTER!$Z$5:$Z$1204,$Q167)&amp;"")</f>
        <v/>
      </c>
      <c r="Q167" s="67" t="str">
        <f>IFERROR(MATCH($C$2&amp;"|"&amp;160,TRANSACTIONS_MASTER!$AE$5:$AE$1204,0),"")</f>
        <v/>
      </c>
      <c r="S167" s="67" t="str">
        <f>IFERROR(MATCH(1,INDEX((TRANSACTIONS_MASTER!$C$5:$C$1204=$C$2)*(TRANSACTIONS_MASTER!$AN$5:$AN$1204=9),0),0),"")</f>
        <v/>
      </c>
      <c r="T167" s="55" t="n"/>
      <c r="U167" s="55" t="str">
        <f>IF($S167="","",INDEX(TRANSACTIONS_MASTER!$G$5:$G$1204,$S167)&amp;"")</f>
        <v/>
      </c>
      <c r="V167" s="25" t="str">
        <f>IF($S167="","",SUMIFS(TRANSACTIONS_MASTER!$L$5:$L$1204,TRANSACTIONS_MASTER!$G$5:$G$1204,$U167,TRANSACTIONS_MASTER!$C$5:$C$1204,$C$2,TRANSACTIONS_MASTER!$U$5:$U$1204,"&lt;&gt;Cancelled"))</f>
        <v/>
      </c>
      <c r="W167" s="26" t="str">
        <f>IF($S167="","",SUMIFS(TRANSACTIONS_MASTER!$Q$5:$Q$1204,TRANSACTIONS_MASTER!$G$5:$G$1204,$U167,TRANSACTIONS_MASTER!$C$5:$C$1204,$C$2))</f>
        <v/>
      </c>
    </row>
    <row r="168">
      <c r="A168" s="81" t="str">
        <f>IF($Q168="","",161)</f>
        <v/>
      </c>
      <c r="B168" s="57" t="str">
        <f>IF($Q168="","",INDEX(TRANSACTIONS_MASTER!$B$5:$B$1204,$Q168))</f>
        <v/>
      </c>
      <c r="C168" s="55" t="str">
        <f>IF($Q168="","",INDEX(TRANSACTIONS_MASTER!$F$5:$F$1204,$Q168))</f>
        <v/>
      </c>
      <c r="D168" s="55" t="str">
        <f>IF($Q168="","",INDEX(TRANSACTIONS_MASTER!$E$5:$E$1204,$Q168))</f>
        <v/>
      </c>
      <c r="E168" s="55" t="str">
        <f>IF($Q168="","",INDEX(TRANSACTIONS_MASTER!$G$5:$G$1204,$Q168)&amp;"")</f>
        <v/>
      </c>
      <c r="F168" s="29" t="str">
        <f>IF($Q168="","",INDEX(TRANSACTIONS_MASTER!$I$5:$I$1204,$Q168))</f>
        <v/>
      </c>
      <c r="G168" s="55" t="str">
        <f>IF($Q168="","",INDEX(TRANSACTIONS_MASTER!$K$5:$K$1204,$Q168))</f>
        <v/>
      </c>
      <c r="H168" s="25" t="str">
        <f>IF($Q168="","",INDEX(TRANSACTIONS_MASTER!$L$5:$L$1204,$Q168))</f>
        <v/>
      </c>
      <c r="I168" s="56" t="str">
        <f>IF($Q168="","",INDEX(TRANSACTIONS_MASTER!$N$5:$N$1204,$Q168))</f>
        <v/>
      </c>
      <c r="J168" s="25" t="str">
        <f>IF($Q168="","",INDEX(TRANSACTIONS_MASTER!$O$5:$O$1204,$Q168))</f>
        <v/>
      </c>
      <c r="K168" s="26" t="str">
        <f>IF($Q168="","",INDEX(TRANSACTIONS_MASTER!$Q$5:$Q$1204,$Q168))</f>
        <v/>
      </c>
      <c r="L168" s="25" t="str">
        <f>IF($Q168="","",INDEX(TRANSACTIONS_MASTER!$P$5:$P$1204,$Q168))</f>
        <v/>
      </c>
      <c r="M168" s="25" t="str">
        <f>IF($Q168="","",INDEX(TRANSACTIONS_MASTER!$AA$5:$AA$1204,$Q168))</f>
        <v/>
      </c>
      <c r="N168" s="25" t="str">
        <f>IF($Q168="","",INDEX(TRANSACTIONS_MASTER!$R$5:$R$1204,$Q168))</f>
        <v/>
      </c>
      <c r="O168" s="28" t="str">
        <f>IF($Q168="","",INDEX(TRANSACTIONS_MASTER!$AB$5:$AB$1204,$Q168))</f>
        <v/>
      </c>
      <c r="P168" s="55" t="str">
        <f>IF($Q168="","",INDEX(TRANSACTIONS_MASTER!$Z$5:$Z$1204,$Q168)&amp;"")</f>
        <v/>
      </c>
      <c r="Q168" s="67" t="str">
        <f>IFERROR(MATCH($C$2&amp;"|"&amp;161,TRANSACTIONS_MASTER!$AE$5:$AE$1204,0),"")</f>
        <v/>
      </c>
      <c r="S168" s="67" t="str">
        <f>IFERROR(MATCH(1,INDEX((TRANSACTIONS_MASTER!$C$5:$C$1204=$C$2)*(TRANSACTIONS_MASTER!$AN$5:$AN$1204=10),0),0),"")</f>
        <v/>
      </c>
      <c r="T168" s="55" t="n"/>
      <c r="U168" s="55" t="str">
        <f>IF($S168="","",INDEX(TRANSACTIONS_MASTER!$G$5:$G$1204,$S168)&amp;"")</f>
        <v/>
      </c>
      <c r="V168" s="25" t="str">
        <f>IF($S168="","",SUMIFS(TRANSACTIONS_MASTER!$L$5:$L$1204,TRANSACTIONS_MASTER!$G$5:$G$1204,$U168,TRANSACTIONS_MASTER!$C$5:$C$1204,$C$2,TRANSACTIONS_MASTER!$U$5:$U$1204,"&lt;&gt;Cancelled"))</f>
        <v/>
      </c>
      <c r="W168" s="26" t="str">
        <f>IF($S168="","",SUMIFS(TRANSACTIONS_MASTER!$Q$5:$Q$1204,TRANSACTIONS_MASTER!$G$5:$G$1204,$U168,TRANSACTIONS_MASTER!$C$5:$C$1204,$C$2))</f>
        <v/>
      </c>
    </row>
    <row r="169">
      <c r="A169" s="81" t="str">
        <f>IF($Q169="","",162)</f>
        <v/>
      </c>
      <c r="B169" s="57" t="str">
        <f>IF($Q169="","",INDEX(TRANSACTIONS_MASTER!$B$5:$B$1204,$Q169))</f>
        <v/>
      </c>
      <c r="C169" s="55" t="str">
        <f>IF($Q169="","",INDEX(TRANSACTIONS_MASTER!$F$5:$F$1204,$Q169))</f>
        <v/>
      </c>
      <c r="D169" s="55" t="str">
        <f>IF($Q169="","",INDEX(TRANSACTIONS_MASTER!$E$5:$E$1204,$Q169))</f>
        <v/>
      </c>
      <c r="E169" s="55" t="str">
        <f>IF($Q169="","",INDEX(TRANSACTIONS_MASTER!$G$5:$G$1204,$Q169)&amp;"")</f>
        <v/>
      </c>
      <c r="F169" s="29" t="str">
        <f>IF($Q169="","",INDEX(TRANSACTIONS_MASTER!$I$5:$I$1204,$Q169))</f>
        <v/>
      </c>
      <c r="G169" s="55" t="str">
        <f>IF($Q169="","",INDEX(TRANSACTIONS_MASTER!$K$5:$K$1204,$Q169))</f>
        <v/>
      </c>
      <c r="H169" s="25" t="str">
        <f>IF($Q169="","",INDEX(TRANSACTIONS_MASTER!$L$5:$L$1204,$Q169))</f>
        <v/>
      </c>
      <c r="I169" s="56" t="str">
        <f>IF($Q169="","",INDEX(TRANSACTIONS_MASTER!$N$5:$N$1204,$Q169))</f>
        <v/>
      </c>
      <c r="J169" s="25" t="str">
        <f>IF($Q169="","",INDEX(TRANSACTIONS_MASTER!$O$5:$O$1204,$Q169))</f>
        <v/>
      </c>
      <c r="K169" s="26" t="str">
        <f>IF($Q169="","",INDEX(TRANSACTIONS_MASTER!$Q$5:$Q$1204,$Q169))</f>
        <v/>
      </c>
      <c r="L169" s="25" t="str">
        <f>IF($Q169="","",INDEX(TRANSACTIONS_MASTER!$P$5:$P$1204,$Q169))</f>
        <v/>
      </c>
      <c r="M169" s="25" t="str">
        <f>IF($Q169="","",INDEX(TRANSACTIONS_MASTER!$AA$5:$AA$1204,$Q169))</f>
        <v/>
      </c>
      <c r="N169" s="25" t="str">
        <f>IF($Q169="","",INDEX(TRANSACTIONS_MASTER!$R$5:$R$1204,$Q169))</f>
        <v/>
      </c>
      <c r="O169" s="28" t="str">
        <f>IF($Q169="","",INDEX(TRANSACTIONS_MASTER!$AB$5:$AB$1204,$Q169))</f>
        <v/>
      </c>
      <c r="P169" s="55" t="str">
        <f>IF($Q169="","",INDEX(TRANSACTIONS_MASTER!$Z$5:$Z$1204,$Q169)&amp;"")</f>
        <v/>
      </c>
      <c r="Q169" s="67" t="str">
        <f>IFERROR(MATCH($C$2&amp;"|"&amp;162,TRANSACTIONS_MASTER!$AE$5:$AE$1204,0),"")</f>
        <v/>
      </c>
      <c r="S169" s="67" t="str">
        <f>IFERROR(MATCH(1,INDEX((TRANSACTIONS_MASTER!$C$5:$C$1204=$C$2)*(TRANSACTIONS_MASTER!$AN$5:$AN$1204=11),0),0),"")</f>
        <v/>
      </c>
      <c r="T169" s="55" t="n"/>
      <c r="U169" s="55" t="str">
        <f>IF($S169="","",INDEX(TRANSACTIONS_MASTER!$G$5:$G$1204,$S169)&amp;"")</f>
        <v/>
      </c>
      <c r="V169" s="25" t="str">
        <f>IF($S169="","",SUMIFS(TRANSACTIONS_MASTER!$L$5:$L$1204,TRANSACTIONS_MASTER!$G$5:$G$1204,$U169,TRANSACTIONS_MASTER!$C$5:$C$1204,$C$2,TRANSACTIONS_MASTER!$U$5:$U$1204,"&lt;&gt;Cancelled"))</f>
        <v/>
      </c>
      <c r="W169" s="26" t="str">
        <f>IF($S169="","",SUMIFS(TRANSACTIONS_MASTER!$Q$5:$Q$1204,TRANSACTIONS_MASTER!$G$5:$G$1204,$U169,TRANSACTIONS_MASTER!$C$5:$C$1204,$C$2))</f>
        <v/>
      </c>
    </row>
    <row r="170">
      <c r="A170" s="81" t="str">
        <f>IF($Q170="","",163)</f>
        <v/>
      </c>
      <c r="B170" s="57" t="str">
        <f>IF($Q170="","",INDEX(TRANSACTIONS_MASTER!$B$5:$B$1204,$Q170))</f>
        <v/>
      </c>
      <c r="C170" s="55" t="str">
        <f>IF($Q170="","",INDEX(TRANSACTIONS_MASTER!$F$5:$F$1204,$Q170))</f>
        <v/>
      </c>
      <c r="D170" s="55" t="str">
        <f>IF($Q170="","",INDEX(TRANSACTIONS_MASTER!$E$5:$E$1204,$Q170))</f>
        <v/>
      </c>
      <c r="E170" s="55" t="str">
        <f>IF($Q170="","",INDEX(TRANSACTIONS_MASTER!$G$5:$G$1204,$Q170)&amp;"")</f>
        <v/>
      </c>
      <c r="F170" s="29" t="str">
        <f>IF($Q170="","",INDEX(TRANSACTIONS_MASTER!$I$5:$I$1204,$Q170))</f>
        <v/>
      </c>
      <c r="G170" s="55" t="str">
        <f>IF($Q170="","",INDEX(TRANSACTIONS_MASTER!$K$5:$K$1204,$Q170))</f>
        <v/>
      </c>
      <c r="H170" s="25" t="str">
        <f>IF($Q170="","",INDEX(TRANSACTIONS_MASTER!$L$5:$L$1204,$Q170))</f>
        <v/>
      </c>
      <c r="I170" s="56" t="str">
        <f>IF($Q170="","",INDEX(TRANSACTIONS_MASTER!$N$5:$N$1204,$Q170))</f>
        <v/>
      </c>
      <c r="J170" s="25" t="str">
        <f>IF($Q170="","",INDEX(TRANSACTIONS_MASTER!$O$5:$O$1204,$Q170))</f>
        <v/>
      </c>
      <c r="K170" s="26" t="str">
        <f>IF($Q170="","",INDEX(TRANSACTIONS_MASTER!$Q$5:$Q$1204,$Q170))</f>
        <v/>
      </c>
      <c r="L170" s="25" t="str">
        <f>IF($Q170="","",INDEX(TRANSACTIONS_MASTER!$P$5:$P$1204,$Q170))</f>
        <v/>
      </c>
      <c r="M170" s="25" t="str">
        <f>IF($Q170="","",INDEX(TRANSACTIONS_MASTER!$AA$5:$AA$1204,$Q170))</f>
        <v/>
      </c>
      <c r="N170" s="25" t="str">
        <f>IF($Q170="","",INDEX(TRANSACTIONS_MASTER!$R$5:$R$1204,$Q170))</f>
        <v/>
      </c>
      <c r="O170" s="28" t="str">
        <f>IF($Q170="","",INDEX(TRANSACTIONS_MASTER!$AB$5:$AB$1204,$Q170))</f>
        <v/>
      </c>
      <c r="P170" s="55" t="str">
        <f>IF($Q170="","",INDEX(TRANSACTIONS_MASTER!$Z$5:$Z$1204,$Q170)&amp;"")</f>
        <v/>
      </c>
      <c r="Q170" s="67" t="str">
        <f>IFERROR(MATCH($C$2&amp;"|"&amp;163,TRANSACTIONS_MASTER!$AE$5:$AE$1204,0),"")</f>
        <v/>
      </c>
      <c r="S170" s="67" t="str">
        <f>IFERROR(MATCH(1,INDEX((TRANSACTIONS_MASTER!$C$5:$C$1204=$C$2)*(TRANSACTIONS_MASTER!$AN$5:$AN$1204=12),0),0),"")</f>
        <v/>
      </c>
      <c r="T170" s="55" t="n"/>
      <c r="U170" s="55" t="str">
        <f>IF($S170="","",INDEX(TRANSACTIONS_MASTER!$G$5:$G$1204,$S170)&amp;"")</f>
        <v/>
      </c>
      <c r="V170" s="25" t="str">
        <f>IF($S170="","",SUMIFS(TRANSACTIONS_MASTER!$L$5:$L$1204,TRANSACTIONS_MASTER!$G$5:$G$1204,$U170,TRANSACTIONS_MASTER!$C$5:$C$1204,$C$2,TRANSACTIONS_MASTER!$U$5:$U$1204,"&lt;&gt;Cancelled"))</f>
        <v/>
      </c>
      <c r="W170" s="26" t="str">
        <f>IF($S170="","",SUMIFS(TRANSACTIONS_MASTER!$Q$5:$Q$1204,TRANSACTIONS_MASTER!$G$5:$G$1204,$U170,TRANSACTIONS_MASTER!$C$5:$C$1204,$C$2))</f>
        <v/>
      </c>
    </row>
    <row r="171">
      <c r="A171" s="81" t="str">
        <f>IF($Q171="","",164)</f>
        <v/>
      </c>
      <c r="B171" s="57" t="str">
        <f>IF($Q171="","",INDEX(TRANSACTIONS_MASTER!$B$5:$B$1204,$Q171))</f>
        <v/>
      </c>
      <c r="C171" s="55" t="str">
        <f>IF($Q171="","",INDEX(TRANSACTIONS_MASTER!$F$5:$F$1204,$Q171))</f>
        <v/>
      </c>
      <c r="D171" s="55" t="str">
        <f>IF($Q171="","",INDEX(TRANSACTIONS_MASTER!$E$5:$E$1204,$Q171))</f>
        <v/>
      </c>
      <c r="E171" s="55" t="str">
        <f>IF($Q171="","",INDEX(TRANSACTIONS_MASTER!$G$5:$G$1204,$Q171)&amp;"")</f>
        <v/>
      </c>
      <c r="F171" s="29" t="str">
        <f>IF($Q171="","",INDEX(TRANSACTIONS_MASTER!$I$5:$I$1204,$Q171))</f>
        <v/>
      </c>
      <c r="G171" s="55" t="str">
        <f>IF($Q171="","",INDEX(TRANSACTIONS_MASTER!$K$5:$K$1204,$Q171))</f>
        <v/>
      </c>
      <c r="H171" s="25" t="str">
        <f>IF($Q171="","",INDEX(TRANSACTIONS_MASTER!$L$5:$L$1204,$Q171))</f>
        <v/>
      </c>
      <c r="I171" s="56" t="str">
        <f>IF($Q171="","",INDEX(TRANSACTIONS_MASTER!$N$5:$N$1204,$Q171))</f>
        <v/>
      </c>
      <c r="J171" s="25" t="str">
        <f>IF($Q171="","",INDEX(TRANSACTIONS_MASTER!$O$5:$O$1204,$Q171))</f>
        <v/>
      </c>
      <c r="K171" s="26" t="str">
        <f>IF($Q171="","",INDEX(TRANSACTIONS_MASTER!$Q$5:$Q$1204,$Q171))</f>
        <v/>
      </c>
      <c r="L171" s="25" t="str">
        <f>IF($Q171="","",INDEX(TRANSACTIONS_MASTER!$P$5:$P$1204,$Q171))</f>
        <v/>
      </c>
      <c r="M171" s="25" t="str">
        <f>IF($Q171="","",INDEX(TRANSACTIONS_MASTER!$AA$5:$AA$1204,$Q171))</f>
        <v/>
      </c>
      <c r="N171" s="25" t="str">
        <f>IF($Q171="","",INDEX(TRANSACTIONS_MASTER!$R$5:$R$1204,$Q171))</f>
        <v/>
      </c>
      <c r="O171" s="28" t="str">
        <f>IF($Q171="","",INDEX(TRANSACTIONS_MASTER!$AB$5:$AB$1204,$Q171))</f>
        <v/>
      </c>
      <c r="P171" s="55" t="str">
        <f>IF($Q171="","",INDEX(TRANSACTIONS_MASTER!$Z$5:$Z$1204,$Q171)&amp;"")</f>
        <v/>
      </c>
      <c r="Q171" s="67" t="str">
        <f>IFERROR(MATCH($C$2&amp;"|"&amp;164,TRANSACTIONS_MASTER!$AE$5:$AE$1204,0),"")</f>
        <v/>
      </c>
      <c r="S171" s="67" t="str">
        <f>IFERROR(MATCH(1,INDEX((TRANSACTIONS_MASTER!$C$5:$C$1204=$C$2)*(TRANSACTIONS_MASTER!$AN$5:$AN$1204=13),0),0),"")</f>
        <v/>
      </c>
      <c r="T171" s="55" t="n"/>
      <c r="U171" s="55" t="str">
        <f>IF($S171="","",INDEX(TRANSACTIONS_MASTER!$G$5:$G$1204,$S171)&amp;"")</f>
        <v/>
      </c>
      <c r="V171" s="25" t="str">
        <f>IF($S171="","",SUMIFS(TRANSACTIONS_MASTER!$L$5:$L$1204,TRANSACTIONS_MASTER!$G$5:$G$1204,$U171,TRANSACTIONS_MASTER!$C$5:$C$1204,$C$2,TRANSACTIONS_MASTER!$U$5:$U$1204,"&lt;&gt;Cancelled"))</f>
        <v/>
      </c>
      <c r="W171" s="26" t="str">
        <f>IF($S171="","",SUMIFS(TRANSACTIONS_MASTER!$Q$5:$Q$1204,TRANSACTIONS_MASTER!$G$5:$G$1204,$U171,TRANSACTIONS_MASTER!$C$5:$C$1204,$C$2))</f>
        <v/>
      </c>
    </row>
    <row r="172">
      <c r="A172" s="81" t="str">
        <f>IF($Q172="","",165)</f>
        <v/>
      </c>
      <c r="B172" s="57" t="str">
        <f>IF($Q172="","",INDEX(TRANSACTIONS_MASTER!$B$5:$B$1204,$Q172))</f>
        <v/>
      </c>
      <c r="C172" s="55" t="str">
        <f>IF($Q172="","",INDEX(TRANSACTIONS_MASTER!$F$5:$F$1204,$Q172))</f>
        <v/>
      </c>
      <c r="D172" s="55" t="str">
        <f>IF($Q172="","",INDEX(TRANSACTIONS_MASTER!$E$5:$E$1204,$Q172))</f>
        <v/>
      </c>
      <c r="E172" s="55" t="str">
        <f>IF($Q172="","",INDEX(TRANSACTIONS_MASTER!$G$5:$G$1204,$Q172)&amp;"")</f>
        <v/>
      </c>
      <c r="F172" s="29" t="str">
        <f>IF($Q172="","",INDEX(TRANSACTIONS_MASTER!$I$5:$I$1204,$Q172))</f>
        <v/>
      </c>
      <c r="G172" s="55" t="str">
        <f>IF($Q172="","",INDEX(TRANSACTIONS_MASTER!$K$5:$K$1204,$Q172))</f>
        <v/>
      </c>
      <c r="H172" s="25" t="str">
        <f>IF($Q172="","",INDEX(TRANSACTIONS_MASTER!$L$5:$L$1204,$Q172))</f>
        <v/>
      </c>
      <c r="I172" s="56" t="str">
        <f>IF($Q172="","",INDEX(TRANSACTIONS_MASTER!$N$5:$N$1204,$Q172))</f>
        <v/>
      </c>
      <c r="J172" s="25" t="str">
        <f>IF($Q172="","",INDEX(TRANSACTIONS_MASTER!$O$5:$O$1204,$Q172))</f>
        <v/>
      </c>
      <c r="K172" s="26" t="str">
        <f>IF($Q172="","",INDEX(TRANSACTIONS_MASTER!$Q$5:$Q$1204,$Q172))</f>
        <v/>
      </c>
      <c r="L172" s="25" t="str">
        <f>IF($Q172="","",INDEX(TRANSACTIONS_MASTER!$P$5:$P$1204,$Q172))</f>
        <v/>
      </c>
      <c r="M172" s="25" t="str">
        <f>IF($Q172="","",INDEX(TRANSACTIONS_MASTER!$AA$5:$AA$1204,$Q172))</f>
        <v/>
      </c>
      <c r="N172" s="25" t="str">
        <f>IF($Q172="","",INDEX(TRANSACTIONS_MASTER!$R$5:$R$1204,$Q172))</f>
        <v/>
      </c>
      <c r="O172" s="28" t="str">
        <f>IF($Q172="","",INDEX(TRANSACTIONS_MASTER!$AB$5:$AB$1204,$Q172))</f>
        <v/>
      </c>
      <c r="P172" s="55" t="str">
        <f>IF($Q172="","",INDEX(TRANSACTIONS_MASTER!$Z$5:$Z$1204,$Q172)&amp;"")</f>
        <v/>
      </c>
      <c r="Q172" s="67" t="str">
        <f>IFERROR(MATCH($C$2&amp;"|"&amp;165,TRANSACTIONS_MASTER!$AE$5:$AE$1204,0),"")</f>
        <v/>
      </c>
      <c r="S172" s="67" t="str">
        <f>IFERROR(MATCH(1,INDEX((TRANSACTIONS_MASTER!$C$5:$C$1204=$C$2)*(TRANSACTIONS_MASTER!$AN$5:$AN$1204=14),0),0),"")</f>
        <v/>
      </c>
      <c r="T172" s="55" t="n"/>
      <c r="U172" s="55" t="str">
        <f>IF($S172="","",INDEX(TRANSACTIONS_MASTER!$G$5:$G$1204,$S172)&amp;"")</f>
        <v/>
      </c>
      <c r="V172" s="25" t="str">
        <f>IF($S172="","",SUMIFS(TRANSACTIONS_MASTER!$L$5:$L$1204,TRANSACTIONS_MASTER!$G$5:$G$1204,$U172,TRANSACTIONS_MASTER!$C$5:$C$1204,$C$2,TRANSACTIONS_MASTER!$U$5:$U$1204,"&lt;&gt;Cancelled"))</f>
        <v/>
      </c>
      <c r="W172" s="26" t="str">
        <f>IF($S172="","",SUMIFS(TRANSACTIONS_MASTER!$Q$5:$Q$1204,TRANSACTIONS_MASTER!$G$5:$G$1204,$U172,TRANSACTIONS_MASTER!$C$5:$C$1204,$C$2))</f>
        <v/>
      </c>
    </row>
    <row r="173">
      <c r="A173" s="81" t="str">
        <f>IF($Q173="","",166)</f>
        <v/>
      </c>
      <c r="B173" s="57" t="str">
        <f>IF($Q173="","",INDEX(TRANSACTIONS_MASTER!$B$5:$B$1204,$Q173))</f>
        <v/>
      </c>
      <c r="C173" s="55" t="str">
        <f>IF($Q173="","",INDEX(TRANSACTIONS_MASTER!$F$5:$F$1204,$Q173))</f>
        <v/>
      </c>
      <c r="D173" s="55" t="str">
        <f>IF($Q173="","",INDEX(TRANSACTIONS_MASTER!$E$5:$E$1204,$Q173))</f>
        <v/>
      </c>
      <c r="E173" s="55" t="str">
        <f>IF($Q173="","",INDEX(TRANSACTIONS_MASTER!$G$5:$G$1204,$Q173)&amp;"")</f>
        <v/>
      </c>
      <c r="F173" s="29" t="str">
        <f>IF($Q173="","",INDEX(TRANSACTIONS_MASTER!$I$5:$I$1204,$Q173))</f>
        <v/>
      </c>
      <c r="G173" s="55" t="str">
        <f>IF($Q173="","",INDEX(TRANSACTIONS_MASTER!$K$5:$K$1204,$Q173))</f>
        <v/>
      </c>
      <c r="H173" s="25" t="str">
        <f>IF($Q173="","",INDEX(TRANSACTIONS_MASTER!$L$5:$L$1204,$Q173))</f>
        <v/>
      </c>
      <c r="I173" s="56" t="str">
        <f>IF($Q173="","",INDEX(TRANSACTIONS_MASTER!$N$5:$N$1204,$Q173))</f>
        <v/>
      </c>
      <c r="J173" s="25" t="str">
        <f>IF($Q173="","",INDEX(TRANSACTIONS_MASTER!$O$5:$O$1204,$Q173))</f>
        <v/>
      </c>
      <c r="K173" s="26" t="str">
        <f>IF($Q173="","",INDEX(TRANSACTIONS_MASTER!$Q$5:$Q$1204,$Q173))</f>
        <v/>
      </c>
      <c r="L173" s="25" t="str">
        <f>IF($Q173="","",INDEX(TRANSACTIONS_MASTER!$P$5:$P$1204,$Q173))</f>
        <v/>
      </c>
      <c r="M173" s="25" t="str">
        <f>IF($Q173="","",INDEX(TRANSACTIONS_MASTER!$AA$5:$AA$1204,$Q173))</f>
        <v/>
      </c>
      <c r="N173" s="25" t="str">
        <f>IF($Q173="","",INDEX(TRANSACTIONS_MASTER!$R$5:$R$1204,$Q173))</f>
        <v/>
      </c>
      <c r="O173" s="28" t="str">
        <f>IF($Q173="","",INDEX(TRANSACTIONS_MASTER!$AB$5:$AB$1204,$Q173))</f>
        <v/>
      </c>
      <c r="P173" s="55" t="str">
        <f>IF($Q173="","",INDEX(TRANSACTIONS_MASTER!$Z$5:$Z$1204,$Q173)&amp;"")</f>
        <v/>
      </c>
      <c r="Q173" s="67" t="str">
        <f>IFERROR(MATCH($C$2&amp;"|"&amp;166,TRANSACTIONS_MASTER!$AE$5:$AE$1204,0),"")</f>
        <v/>
      </c>
      <c r="S173" s="67" t="str">
        <f>IFERROR(MATCH(1,INDEX((TRANSACTIONS_MASTER!$C$5:$C$1204=$C$2)*(TRANSACTIONS_MASTER!$AN$5:$AN$1204=15),0),0),"")</f>
        <v/>
      </c>
      <c r="T173" s="55" t="n"/>
      <c r="U173" s="55" t="str">
        <f>IF($S173="","",INDEX(TRANSACTIONS_MASTER!$G$5:$G$1204,$S173)&amp;"")</f>
        <v/>
      </c>
      <c r="V173" s="25" t="str">
        <f>IF($S173="","",SUMIFS(TRANSACTIONS_MASTER!$L$5:$L$1204,TRANSACTIONS_MASTER!$G$5:$G$1204,$U173,TRANSACTIONS_MASTER!$C$5:$C$1204,$C$2,TRANSACTIONS_MASTER!$U$5:$U$1204,"&lt;&gt;Cancelled"))</f>
        <v/>
      </c>
      <c r="W173" s="26" t="str">
        <f>IF($S173="","",SUMIFS(TRANSACTIONS_MASTER!$Q$5:$Q$1204,TRANSACTIONS_MASTER!$G$5:$G$1204,$U173,TRANSACTIONS_MASTER!$C$5:$C$1204,$C$2))</f>
        <v/>
      </c>
    </row>
    <row r="174">
      <c r="A174" s="81" t="str">
        <f>IF($Q174="","",167)</f>
        <v/>
      </c>
      <c r="B174" s="57" t="str">
        <f>IF($Q174="","",INDEX(TRANSACTIONS_MASTER!$B$5:$B$1204,$Q174))</f>
        <v/>
      </c>
      <c r="C174" s="55" t="str">
        <f>IF($Q174="","",INDEX(TRANSACTIONS_MASTER!$F$5:$F$1204,$Q174))</f>
        <v/>
      </c>
      <c r="D174" s="55" t="str">
        <f>IF($Q174="","",INDEX(TRANSACTIONS_MASTER!$E$5:$E$1204,$Q174))</f>
        <v/>
      </c>
      <c r="E174" s="55" t="str">
        <f>IF($Q174="","",INDEX(TRANSACTIONS_MASTER!$G$5:$G$1204,$Q174)&amp;"")</f>
        <v/>
      </c>
      <c r="F174" s="29" t="str">
        <f>IF($Q174="","",INDEX(TRANSACTIONS_MASTER!$I$5:$I$1204,$Q174))</f>
        <v/>
      </c>
      <c r="G174" s="55" t="str">
        <f>IF($Q174="","",INDEX(TRANSACTIONS_MASTER!$K$5:$K$1204,$Q174))</f>
        <v/>
      </c>
      <c r="H174" s="25" t="str">
        <f>IF($Q174="","",INDEX(TRANSACTIONS_MASTER!$L$5:$L$1204,$Q174))</f>
        <v/>
      </c>
      <c r="I174" s="56" t="str">
        <f>IF($Q174="","",INDEX(TRANSACTIONS_MASTER!$N$5:$N$1204,$Q174))</f>
        <v/>
      </c>
      <c r="J174" s="25" t="str">
        <f>IF($Q174="","",INDEX(TRANSACTIONS_MASTER!$O$5:$O$1204,$Q174))</f>
        <v/>
      </c>
      <c r="K174" s="26" t="str">
        <f>IF($Q174="","",INDEX(TRANSACTIONS_MASTER!$Q$5:$Q$1204,$Q174))</f>
        <v/>
      </c>
      <c r="L174" s="25" t="str">
        <f>IF($Q174="","",INDEX(TRANSACTIONS_MASTER!$P$5:$P$1204,$Q174))</f>
        <v/>
      </c>
      <c r="M174" s="25" t="str">
        <f>IF($Q174="","",INDEX(TRANSACTIONS_MASTER!$AA$5:$AA$1204,$Q174))</f>
        <v/>
      </c>
      <c r="N174" s="25" t="str">
        <f>IF($Q174="","",INDEX(TRANSACTIONS_MASTER!$R$5:$R$1204,$Q174))</f>
        <v/>
      </c>
      <c r="O174" s="28" t="str">
        <f>IF($Q174="","",INDEX(TRANSACTIONS_MASTER!$AB$5:$AB$1204,$Q174))</f>
        <v/>
      </c>
      <c r="P174" s="55" t="str">
        <f>IF($Q174="","",INDEX(TRANSACTIONS_MASTER!$Z$5:$Z$1204,$Q174)&amp;"")</f>
        <v/>
      </c>
      <c r="Q174" s="67" t="str">
        <f>IFERROR(MATCH($C$2&amp;"|"&amp;167,TRANSACTIONS_MASTER!$AE$5:$AE$1204,0),"")</f>
        <v/>
      </c>
      <c r="S174" s="67" t="str">
        <f>IFERROR(MATCH(1,INDEX((TRANSACTIONS_MASTER!$C$5:$C$1204=$C$2)*(TRANSACTIONS_MASTER!$AN$5:$AN$1204=16),0),0),"")</f>
        <v/>
      </c>
      <c r="T174" s="55" t="n"/>
      <c r="U174" s="55" t="str">
        <f>IF($S174="","",INDEX(TRANSACTIONS_MASTER!$G$5:$G$1204,$S174)&amp;"")</f>
        <v/>
      </c>
      <c r="V174" s="25" t="str">
        <f>IF($S174="","",SUMIFS(TRANSACTIONS_MASTER!$L$5:$L$1204,TRANSACTIONS_MASTER!$G$5:$G$1204,$U174,TRANSACTIONS_MASTER!$C$5:$C$1204,$C$2,TRANSACTIONS_MASTER!$U$5:$U$1204,"&lt;&gt;Cancelled"))</f>
        <v/>
      </c>
      <c r="W174" s="26" t="str">
        <f>IF($S174="","",SUMIFS(TRANSACTIONS_MASTER!$Q$5:$Q$1204,TRANSACTIONS_MASTER!$G$5:$G$1204,$U174,TRANSACTIONS_MASTER!$C$5:$C$1204,$C$2))</f>
        <v/>
      </c>
    </row>
    <row r="175">
      <c r="A175" s="81" t="str">
        <f>IF($Q175="","",168)</f>
        <v/>
      </c>
      <c r="B175" s="57" t="str">
        <f>IF($Q175="","",INDEX(TRANSACTIONS_MASTER!$B$5:$B$1204,$Q175))</f>
        <v/>
      </c>
      <c r="C175" s="55" t="str">
        <f>IF($Q175="","",INDEX(TRANSACTIONS_MASTER!$F$5:$F$1204,$Q175))</f>
        <v/>
      </c>
      <c r="D175" s="55" t="str">
        <f>IF($Q175="","",INDEX(TRANSACTIONS_MASTER!$E$5:$E$1204,$Q175))</f>
        <v/>
      </c>
      <c r="E175" s="55" t="str">
        <f>IF($Q175="","",INDEX(TRANSACTIONS_MASTER!$G$5:$G$1204,$Q175)&amp;"")</f>
        <v/>
      </c>
      <c r="F175" s="29" t="str">
        <f>IF($Q175="","",INDEX(TRANSACTIONS_MASTER!$I$5:$I$1204,$Q175))</f>
        <v/>
      </c>
      <c r="G175" s="55" t="str">
        <f>IF($Q175="","",INDEX(TRANSACTIONS_MASTER!$K$5:$K$1204,$Q175))</f>
        <v/>
      </c>
      <c r="H175" s="25" t="str">
        <f>IF($Q175="","",INDEX(TRANSACTIONS_MASTER!$L$5:$L$1204,$Q175))</f>
        <v/>
      </c>
      <c r="I175" s="56" t="str">
        <f>IF($Q175="","",INDEX(TRANSACTIONS_MASTER!$N$5:$N$1204,$Q175))</f>
        <v/>
      </c>
      <c r="J175" s="25" t="str">
        <f>IF($Q175="","",INDEX(TRANSACTIONS_MASTER!$O$5:$O$1204,$Q175))</f>
        <v/>
      </c>
      <c r="K175" s="26" t="str">
        <f>IF($Q175="","",INDEX(TRANSACTIONS_MASTER!$Q$5:$Q$1204,$Q175))</f>
        <v/>
      </c>
      <c r="L175" s="25" t="str">
        <f>IF($Q175="","",INDEX(TRANSACTIONS_MASTER!$P$5:$P$1204,$Q175))</f>
        <v/>
      </c>
      <c r="M175" s="25" t="str">
        <f>IF($Q175="","",INDEX(TRANSACTIONS_MASTER!$AA$5:$AA$1204,$Q175))</f>
        <v/>
      </c>
      <c r="N175" s="25" t="str">
        <f>IF($Q175="","",INDEX(TRANSACTIONS_MASTER!$R$5:$R$1204,$Q175))</f>
        <v/>
      </c>
      <c r="O175" s="28" t="str">
        <f>IF($Q175="","",INDEX(TRANSACTIONS_MASTER!$AB$5:$AB$1204,$Q175))</f>
        <v/>
      </c>
      <c r="P175" s="55" t="str">
        <f>IF($Q175="","",INDEX(TRANSACTIONS_MASTER!$Z$5:$Z$1204,$Q175)&amp;"")</f>
        <v/>
      </c>
      <c r="Q175" s="67" t="str">
        <f>IFERROR(MATCH($C$2&amp;"|"&amp;168,TRANSACTIONS_MASTER!$AE$5:$AE$1204,0),"")</f>
        <v/>
      </c>
      <c r="S175" s="67" t="str">
        <f>IFERROR(MATCH(1,INDEX((TRANSACTIONS_MASTER!$C$5:$C$1204=$C$2)*(TRANSACTIONS_MASTER!$AN$5:$AN$1204=17),0),0),"")</f>
        <v/>
      </c>
      <c r="T175" s="55" t="n"/>
      <c r="U175" s="55" t="str">
        <f>IF($S175="","",INDEX(TRANSACTIONS_MASTER!$G$5:$G$1204,$S175)&amp;"")</f>
        <v/>
      </c>
      <c r="V175" s="25" t="str">
        <f>IF($S175="","",SUMIFS(TRANSACTIONS_MASTER!$L$5:$L$1204,TRANSACTIONS_MASTER!$G$5:$G$1204,$U175,TRANSACTIONS_MASTER!$C$5:$C$1204,$C$2,TRANSACTIONS_MASTER!$U$5:$U$1204,"&lt;&gt;Cancelled"))</f>
        <v/>
      </c>
      <c r="W175" s="26" t="str">
        <f>IF($S175="","",SUMIFS(TRANSACTIONS_MASTER!$Q$5:$Q$1204,TRANSACTIONS_MASTER!$G$5:$G$1204,$U175,TRANSACTIONS_MASTER!$C$5:$C$1204,$C$2))</f>
        <v/>
      </c>
    </row>
    <row r="176">
      <c r="A176" s="81" t="str">
        <f>IF($Q176="","",169)</f>
        <v/>
      </c>
      <c r="B176" s="57" t="str">
        <f>IF($Q176="","",INDEX(TRANSACTIONS_MASTER!$B$5:$B$1204,$Q176))</f>
        <v/>
      </c>
      <c r="C176" s="55" t="str">
        <f>IF($Q176="","",INDEX(TRANSACTIONS_MASTER!$F$5:$F$1204,$Q176))</f>
        <v/>
      </c>
      <c r="D176" s="55" t="str">
        <f>IF($Q176="","",INDEX(TRANSACTIONS_MASTER!$E$5:$E$1204,$Q176))</f>
        <v/>
      </c>
      <c r="E176" s="55" t="str">
        <f>IF($Q176="","",INDEX(TRANSACTIONS_MASTER!$G$5:$G$1204,$Q176)&amp;"")</f>
        <v/>
      </c>
      <c r="F176" s="29" t="str">
        <f>IF($Q176="","",INDEX(TRANSACTIONS_MASTER!$I$5:$I$1204,$Q176))</f>
        <v/>
      </c>
      <c r="G176" s="55" t="str">
        <f>IF($Q176="","",INDEX(TRANSACTIONS_MASTER!$K$5:$K$1204,$Q176))</f>
        <v/>
      </c>
      <c r="H176" s="25" t="str">
        <f>IF($Q176="","",INDEX(TRANSACTIONS_MASTER!$L$5:$L$1204,$Q176))</f>
        <v/>
      </c>
      <c r="I176" s="56" t="str">
        <f>IF($Q176="","",INDEX(TRANSACTIONS_MASTER!$N$5:$N$1204,$Q176))</f>
        <v/>
      </c>
      <c r="J176" s="25" t="str">
        <f>IF($Q176="","",INDEX(TRANSACTIONS_MASTER!$O$5:$O$1204,$Q176))</f>
        <v/>
      </c>
      <c r="K176" s="26" t="str">
        <f>IF($Q176="","",INDEX(TRANSACTIONS_MASTER!$Q$5:$Q$1204,$Q176))</f>
        <v/>
      </c>
      <c r="L176" s="25" t="str">
        <f>IF($Q176="","",INDEX(TRANSACTIONS_MASTER!$P$5:$P$1204,$Q176))</f>
        <v/>
      </c>
      <c r="M176" s="25" t="str">
        <f>IF($Q176="","",INDEX(TRANSACTIONS_MASTER!$AA$5:$AA$1204,$Q176))</f>
        <v/>
      </c>
      <c r="N176" s="25" t="str">
        <f>IF($Q176="","",INDEX(TRANSACTIONS_MASTER!$R$5:$R$1204,$Q176))</f>
        <v/>
      </c>
      <c r="O176" s="28" t="str">
        <f>IF($Q176="","",INDEX(TRANSACTIONS_MASTER!$AB$5:$AB$1204,$Q176))</f>
        <v/>
      </c>
      <c r="P176" s="55" t="str">
        <f>IF($Q176="","",INDEX(TRANSACTIONS_MASTER!$Z$5:$Z$1204,$Q176)&amp;"")</f>
        <v/>
      </c>
      <c r="Q176" s="67" t="str">
        <f>IFERROR(MATCH($C$2&amp;"|"&amp;169,TRANSACTIONS_MASTER!$AE$5:$AE$1204,0),"")</f>
        <v/>
      </c>
      <c r="S176" s="67" t="str">
        <f>IFERROR(MATCH(1,INDEX((TRANSACTIONS_MASTER!$C$5:$C$1204=$C$2)*(TRANSACTIONS_MASTER!$AN$5:$AN$1204=18),0),0),"")</f>
        <v/>
      </c>
      <c r="T176" s="55" t="n"/>
      <c r="U176" s="55" t="str">
        <f>IF($S176="","",INDEX(TRANSACTIONS_MASTER!$G$5:$G$1204,$S176)&amp;"")</f>
        <v/>
      </c>
      <c r="V176" s="25" t="str">
        <f>IF($S176="","",SUMIFS(TRANSACTIONS_MASTER!$L$5:$L$1204,TRANSACTIONS_MASTER!$G$5:$G$1204,$U176,TRANSACTIONS_MASTER!$C$5:$C$1204,$C$2,TRANSACTIONS_MASTER!$U$5:$U$1204,"&lt;&gt;Cancelled"))</f>
        <v/>
      </c>
      <c r="W176" s="26" t="str">
        <f>IF($S176="","",SUMIFS(TRANSACTIONS_MASTER!$Q$5:$Q$1204,TRANSACTIONS_MASTER!$G$5:$G$1204,$U176,TRANSACTIONS_MASTER!$C$5:$C$1204,$C$2))</f>
        <v/>
      </c>
    </row>
    <row r="177">
      <c r="A177" s="81" t="str">
        <f>IF($Q177="","",170)</f>
        <v/>
      </c>
      <c r="B177" s="57" t="str">
        <f>IF($Q177="","",INDEX(TRANSACTIONS_MASTER!$B$5:$B$1204,$Q177))</f>
        <v/>
      </c>
      <c r="C177" s="55" t="str">
        <f>IF($Q177="","",INDEX(TRANSACTIONS_MASTER!$F$5:$F$1204,$Q177))</f>
        <v/>
      </c>
      <c r="D177" s="55" t="str">
        <f>IF($Q177="","",INDEX(TRANSACTIONS_MASTER!$E$5:$E$1204,$Q177))</f>
        <v/>
      </c>
      <c r="E177" s="55" t="str">
        <f>IF($Q177="","",INDEX(TRANSACTIONS_MASTER!$G$5:$G$1204,$Q177)&amp;"")</f>
        <v/>
      </c>
      <c r="F177" s="29" t="str">
        <f>IF($Q177="","",INDEX(TRANSACTIONS_MASTER!$I$5:$I$1204,$Q177))</f>
        <v/>
      </c>
      <c r="G177" s="55" t="str">
        <f>IF($Q177="","",INDEX(TRANSACTIONS_MASTER!$K$5:$K$1204,$Q177))</f>
        <v/>
      </c>
      <c r="H177" s="25" t="str">
        <f>IF($Q177="","",INDEX(TRANSACTIONS_MASTER!$L$5:$L$1204,$Q177))</f>
        <v/>
      </c>
      <c r="I177" s="56" t="str">
        <f>IF($Q177="","",INDEX(TRANSACTIONS_MASTER!$N$5:$N$1204,$Q177))</f>
        <v/>
      </c>
      <c r="J177" s="25" t="str">
        <f>IF($Q177="","",INDEX(TRANSACTIONS_MASTER!$O$5:$O$1204,$Q177))</f>
        <v/>
      </c>
      <c r="K177" s="26" t="str">
        <f>IF($Q177="","",INDEX(TRANSACTIONS_MASTER!$Q$5:$Q$1204,$Q177))</f>
        <v/>
      </c>
      <c r="L177" s="25" t="str">
        <f>IF($Q177="","",INDEX(TRANSACTIONS_MASTER!$P$5:$P$1204,$Q177))</f>
        <v/>
      </c>
      <c r="M177" s="25" t="str">
        <f>IF($Q177="","",INDEX(TRANSACTIONS_MASTER!$AA$5:$AA$1204,$Q177))</f>
        <v/>
      </c>
      <c r="N177" s="25" t="str">
        <f>IF($Q177="","",INDEX(TRANSACTIONS_MASTER!$R$5:$R$1204,$Q177))</f>
        <v/>
      </c>
      <c r="O177" s="28" t="str">
        <f>IF($Q177="","",INDEX(TRANSACTIONS_MASTER!$AB$5:$AB$1204,$Q177))</f>
        <v/>
      </c>
      <c r="P177" s="55" t="str">
        <f>IF($Q177="","",INDEX(TRANSACTIONS_MASTER!$Z$5:$Z$1204,$Q177)&amp;"")</f>
        <v/>
      </c>
      <c r="Q177" s="67" t="str">
        <f>IFERROR(MATCH($C$2&amp;"|"&amp;170,TRANSACTIONS_MASTER!$AE$5:$AE$1204,0),"")</f>
        <v/>
      </c>
      <c r="S177" s="67" t="str">
        <f>IFERROR(MATCH(1,INDEX((TRANSACTIONS_MASTER!$C$5:$C$1204=$C$2)*(TRANSACTIONS_MASTER!$AN$5:$AN$1204=19),0),0),"")</f>
        <v/>
      </c>
      <c r="T177" s="55" t="n"/>
      <c r="U177" s="55" t="str">
        <f>IF($S177="","",INDEX(TRANSACTIONS_MASTER!$G$5:$G$1204,$S177)&amp;"")</f>
        <v/>
      </c>
      <c r="V177" s="25" t="str">
        <f>IF($S177="","",SUMIFS(TRANSACTIONS_MASTER!$L$5:$L$1204,TRANSACTIONS_MASTER!$G$5:$G$1204,$U177,TRANSACTIONS_MASTER!$C$5:$C$1204,$C$2,TRANSACTIONS_MASTER!$U$5:$U$1204,"&lt;&gt;Cancelled"))</f>
        <v/>
      </c>
      <c r="W177" s="26" t="str">
        <f>IF($S177="","",SUMIFS(TRANSACTIONS_MASTER!$Q$5:$Q$1204,TRANSACTIONS_MASTER!$G$5:$G$1204,$U177,TRANSACTIONS_MASTER!$C$5:$C$1204,$C$2))</f>
        <v/>
      </c>
    </row>
    <row r="178">
      <c r="A178" s="81" t="str">
        <f>IF($Q178="","",171)</f>
        <v/>
      </c>
      <c r="B178" s="57" t="str">
        <f>IF($Q178="","",INDEX(TRANSACTIONS_MASTER!$B$5:$B$1204,$Q178))</f>
        <v/>
      </c>
      <c r="C178" s="55" t="str">
        <f>IF($Q178="","",INDEX(TRANSACTIONS_MASTER!$F$5:$F$1204,$Q178))</f>
        <v/>
      </c>
      <c r="D178" s="55" t="str">
        <f>IF($Q178="","",INDEX(TRANSACTIONS_MASTER!$E$5:$E$1204,$Q178))</f>
        <v/>
      </c>
      <c r="E178" s="55" t="str">
        <f>IF($Q178="","",INDEX(TRANSACTIONS_MASTER!$G$5:$G$1204,$Q178)&amp;"")</f>
        <v/>
      </c>
      <c r="F178" s="29" t="str">
        <f>IF($Q178="","",INDEX(TRANSACTIONS_MASTER!$I$5:$I$1204,$Q178))</f>
        <v/>
      </c>
      <c r="G178" s="55" t="str">
        <f>IF($Q178="","",INDEX(TRANSACTIONS_MASTER!$K$5:$K$1204,$Q178))</f>
        <v/>
      </c>
      <c r="H178" s="25" t="str">
        <f>IF($Q178="","",INDEX(TRANSACTIONS_MASTER!$L$5:$L$1204,$Q178))</f>
        <v/>
      </c>
      <c r="I178" s="56" t="str">
        <f>IF($Q178="","",INDEX(TRANSACTIONS_MASTER!$N$5:$N$1204,$Q178))</f>
        <v/>
      </c>
      <c r="J178" s="25" t="str">
        <f>IF($Q178="","",INDEX(TRANSACTIONS_MASTER!$O$5:$O$1204,$Q178))</f>
        <v/>
      </c>
      <c r="K178" s="26" t="str">
        <f>IF($Q178="","",INDEX(TRANSACTIONS_MASTER!$Q$5:$Q$1204,$Q178))</f>
        <v/>
      </c>
      <c r="L178" s="25" t="str">
        <f>IF($Q178="","",INDEX(TRANSACTIONS_MASTER!$P$5:$P$1204,$Q178))</f>
        <v/>
      </c>
      <c r="M178" s="25" t="str">
        <f>IF($Q178="","",INDEX(TRANSACTIONS_MASTER!$AA$5:$AA$1204,$Q178))</f>
        <v/>
      </c>
      <c r="N178" s="25" t="str">
        <f>IF($Q178="","",INDEX(TRANSACTIONS_MASTER!$R$5:$R$1204,$Q178))</f>
        <v/>
      </c>
      <c r="O178" s="28" t="str">
        <f>IF($Q178="","",INDEX(TRANSACTIONS_MASTER!$AB$5:$AB$1204,$Q178))</f>
        <v/>
      </c>
      <c r="P178" s="55" t="str">
        <f>IF($Q178="","",INDEX(TRANSACTIONS_MASTER!$Z$5:$Z$1204,$Q178)&amp;"")</f>
        <v/>
      </c>
      <c r="Q178" s="67" t="str">
        <f>IFERROR(MATCH($C$2&amp;"|"&amp;171,TRANSACTIONS_MASTER!$AE$5:$AE$1204,0),"")</f>
        <v/>
      </c>
      <c r="S178" s="67" t="str">
        <f>IFERROR(MATCH(1,INDEX((TRANSACTIONS_MASTER!$C$5:$C$1204=$C$2)*(TRANSACTIONS_MASTER!$AN$5:$AN$1204=20),0),0),"")</f>
        <v/>
      </c>
      <c r="T178" s="55" t="n"/>
      <c r="U178" s="55" t="str">
        <f>IF($S178="","",INDEX(TRANSACTIONS_MASTER!$G$5:$G$1204,$S178)&amp;"")</f>
        <v/>
      </c>
      <c r="V178" s="25" t="str">
        <f>IF($S178="","",SUMIFS(TRANSACTIONS_MASTER!$L$5:$L$1204,TRANSACTIONS_MASTER!$G$5:$G$1204,$U178,TRANSACTIONS_MASTER!$C$5:$C$1204,$C$2,TRANSACTIONS_MASTER!$U$5:$U$1204,"&lt;&gt;Cancelled"))</f>
        <v/>
      </c>
      <c r="W178" s="26" t="str">
        <f>IF($S178="","",SUMIFS(TRANSACTIONS_MASTER!$Q$5:$Q$1204,TRANSACTIONS_MASTER!$G$5:$G$1204,$U178,TRANSACTIONS_MASTER!$C$5:$C$1204,$C$2))</f>
        <v/>
      </c>
    </row>
    <row r="179">
      <c r="A179" s="81" t="str">
        <f>IF($Q179="","",172)</f>
        <v/>
      </c>
      <c r="B179" s="57" t="str">
        <f>IF($Q179="","",INDEX(TRANSACTIONS_MASTER!$B$5:$B$1204,$Q179))</f>
        <v/>
      </c>
      <c r="C179" s="55" t="str">
        <f>IF($Q179="","",INDEX(TRANSACTIONS_MASTER!$F$5:$F$1204,$Q179))</f>
        <v/>
      </c>
      <c r="D179" s="55" t="str">
        <f>IF($Q179="","",INDEX(TRANSACTIONS_MASTER!$E$5:$E$1204,$Q179))</f>
        <v/>
      </c>
      <c r="E179" s="55" t="str">
        <f>IF($Q179="","",INDEX(TRANSACTIONS_MASTER!$G$5:$G$1204,$Q179)&amp;"")</f>
        <v/>
      </c>
      <c r="F179" s="29" t="str">
        <f>IF($Q179="","",INDEX(TRANSACTIONS_MASTER!$I$5:$I$1204,$Q179))</f>
        <v/>
      </c>
      <c r="G179" s="55" t="str">
        <f>IF($Q179="","",INDEX(TRANSACTIONS_MASTER!$K$5:$K$1204,$Q179))</f>
        <v/>
      </c>
      <c r="H179" s="25" t="str">
        <f>IF($Q179="","",INDEX(TRANSACTIONS_MASTER!$L$5:$L$1204,$Q179))</f>
        <v/>
      </c>
      <c r="I179" s="56" t="str">
        <f>IF($Q179="","",INDEX(TRANSACTIONS_MASTER!$N$5:$N$1204,$Q179))</f>
        <v/>
      </c>
      <c r="J179" s="25" t="str">
        <f>IF($Q179="","",INDEX(TRANSACTIONS_MASTER!$O$5:$O$1204,$Q179))</f>
        <v/>
      </c>
      <c r="K179" s="26" t="str">
        <f>IF($Q179="","",INDEX(TRANSACTIONS_MASTER!$Q$5:$Q$1204,$Q179))</f>
        <v/>
      </c>
      <c r="L179" s="25" t="str">
        <f>IF($Q179="","",INDEX(TRANSACTIONS_MASTER!$P$5:$P$1204,$Q179))</f>
        <v/>
      </c>
      <c r="M179" s="25" t="str">
        <f>IF($Q179="","",INDEX(TRANSACTIONS_MASTER!$AA$5:$AA$1204,$Q179))</f>
        <v/>
      </c>
      <c r="N179" s="25" t="str">
        <f>IF($Q179="","",INDEX(TRANSACTIONS_MASTER!$R$5:$R$1204,$Q179))</f>
        <v/>
      </c>
      <c r="O179" s="28" t="str">
        <f>IF($Q179="","",INDEX(TRANSACTIONS_MASTER!$AB$5:$AB$1204,$Q179))</f>
        <v/>
      </c>
      <c r="P179" s="55" t="str">
        <f>IF($Q179="","",INDEX(TRANSACTIONS_MASTER!$Z$5:$Z$1204,$Q179)&amp;"")</f>
        <v/>
      </c>
      <c r="Q179" s="67" t="str">
        <f>IFERROR(MATCH($C$2&amp;"|"&amp;172,TRANSACTIONS_MASTER!$AE$5:$AE$1204,0),"")</f>
        <v/>
      </c>
      <c r="T179" s="45" t="n"/>
      <c r="U179" s="82" t="inlineStr">
        <is>
          <t>Khác (ngoài danh sách)</t>
        </is>
      </c>
      <c r="V179" s="48">
        <f>MAX(0,SUMIFS(TRANSACTIONS_MASTER!$L$5:$L$1204,TRANSACTIONS_MASTER!$C$5:$C$1204,$C$2,TRANSACTIONS_MASTER!$U$5:$U$1204,"&lt;&gt;Cancelled")-SUM(V159:V178))</f>
        <v>0</v>
      </c>
      <c r="W179" s="48">
        <f>MAX(0,SUMIFS(TRANSACTIONS_MASTER!$Q$5:$Q$1204,TRANSACTIONS_MASTER!$C$5:$C$1204,$C$2)-SUM(W159:W178))</f>
        <v>0</v>
      </c>
    </row>
    <row r="180">
      <c r="A180" s="81" t="str">
        <f>IF($Q180="","",173)</f>
        <v/>
      </c>
      <c r="B180" s="57" t="str">
        <f>IF($Q180="","",INDEX(TRANSACTIONS_MASTER!$B$5:$B$1204,$Q180))</f>
        <v/>
      </c>
      <c r="C180" s="55" t="str">
        <f>IF($Q180="","",INDEX(TRANSACTIONS_MASTER!$F$5:$F$1204,$Q180))</f>
        <v/>
      </c>
      <c r="D180" s="55" t="str">
        <f>IF($Q180="","",INDEX(TRANSACTIONS_MASTER!$E$5:$E$1204,$Q180))</f>
        <v/>
      </c>
      <c r="E180" s="55" t="str">
        <f>IF($Q180="","",INDEX(TRANSACTIONS_MASTER!$G$5:$G$1204,$Q180)&amp;"")</f>
        <v/>
      </c>
      <c r="F180" s="29" t="str">
        <f>IF($Q180="","",INDEX(TRANSACTIONS_MASTER!$I$5:$I$1204,$Q180))</f>
        <v/>
      </c>
      <c r="G180" s="55" t="str">
        <f>IF($Q180="","",INDEX(TRANSACTIONS_MASTER!$K$5:$K$1204,$Q180))</f>
        <v/>
      </c>
      <c r="H180" s="25" t="str">
        <f>IF($Q180="","",INDEX(TRANSACTIONS_MASTER!$L$5:$L$1204,$Q180))</f>
        <v/>
      </c>
      <c r="I180" s="56" t="str">
        <f>IF($Q180="","",INDEX(TRANSACTIONS_MASTER!$N$5:$N$1204,$Q180))</f>
        <v/>
      </c>
      <c r="J180" s="25" t="str">
        <f>IF($Q180="","",INDEX(TRANSACTIONS_MASTER!$O$5:$O$1204,$Q180))</f>
        <v/>
      </c>
      <c r="K180" s="26" t="str">
        <f>IF($Q180="","",INDEX(TRANSACTIONS_MASTER!$Q$5:$Q$1204,$Q180))</f>
        <v/>
      </c>
      <c r="L180" s="25" t="str">
        <f>IF($Q180="","",INDEX(TRANSACTIONS_MASTER!$P$5:$P$1204,$Q180))</f>
        <v/>
      </c>
      <c r="M180" s="25" t="str">
        <f>IF($Q180="","",INDEX(TRANSACTIONS_MASTER!$AA$5:$AA$1204,$Q180))</f>
        <v/>
      </c>
      <c r="N180" s="25" t="str">
        <f>IF($Q180="","",INDEX(TRANSACTIONS_MASTER!$R$5:$R$1204,$Q180))</f>
        <v/>
      </c>
      <c r="O180" s="28" t="str">
        <f>IF($Q180="","",INDEX(TRANSACTIONS_MASTER!$AB$5:$AB$1204,$Q180))</f>
        <v/>
      </c>
      <c r="P180" s="55" t="str">
        <f>IF($Q180="","",INDEX(TRANSACTIONS_MASTER!$Z$5:$Z$1204,$Q180)&amp;"")</f>
        <v/>
      </c>
      <c r="Q180" s="67" t="str">
        <f>IFERROR(MATCH($C$2&amp;"|"&amp;173,TRANSACTIONS_MASTER!$AE$5:$AE$1204,0),"")</f>
        <v/>
      </c>
      <c r="T180" s="68" t="n"/>
      <c r="U180" s="69" t="inlineStr">
        <is>
          <t>TỔNG</t>
        </is>
      </c>
      <c r="V180" s="31">
        <f>SUM(V159:V179)</f>
        <v>0</v>
      </c>
      <c r="W180" s="31">
        <f>SUM(W159:W179)</f>
        <v>0</v>
      </c>
    </row>
    <row r="181">
      <c r="A181" s="81" t="str">
        <f>IF($Q181="","",174)</f>
        <v/>
      </c>
      <c r="B181" s="57" t="str">
        <f>IF($Q181="","",INDEX(TRANSACTIONS_MASTER!$B$5:$B$1204,$Q181))</f>
        <v/>
      </c>
      <c r="C181" s="55" t="str">
        <f>IF($Q181="","",INDEX(TRANSACTIONS_MASTER!$F$5:$F$1204,$Q181))</f>
        <v/>
      </c>
      <c r="D181" s="55" t="str">
        <f>IF($Q181="","",INDEX(TRANSACTIONS_MASTER!$E$5:$E$1204,$Q181))</f>
        <v/>
      </c>
      <c r="E181" s="55" t="str">
        <f>IF($Q181="","",INDEX(TRANSACTIONS_MASTER!$G$5:$G$1204,$Q181)&amp;"")</f>
        <v/>
      </c>
      <c r="F181" s="29" t="str">
        <f>IF($Q181="","",INDEX(TRANSACTIONS_MASTER!$I$5:$I$1204,$Q181))</f>
        <v/>
      </c>
      <c r="G181" s="55" t="str">
        <f>IF($Q181="","",INDEX(TRANSACTIONS_MASTER!$K$5:$K$1204,$Q181))</f>
        <v/>
      </c>
      <c r="H181" s="25" t="str">
        <f>IF($Q181="","",INDEX(TRANSACTIONS_MASTER!$L$5:$L$1204,$Q181))</f>
        <v/>
      </c>
      <c r="I181" s="56" t="str">
        <f>IF($Q181="","",INDEX(TRANSACTIONS_MASTER!$N$5:$N$1204,$Q181))</f>
        <v/>
      </c>
      <c r="J181" s="25" t="str">
        <f>IF($Q181="","",INDEX(TRANSACTIONS_MASTER!$O$5:$O$1204,$Q181))</f>
        <v/>
      </c>
      <c r="K181" s="26" t="str">
        <f>IF($Q181="","",INDEX(TRANSACTIONS_MASTER!$Q$5:$Q$1204,$Q181))</f>
        <v/>
      </c>
      <c r="L181" s="25" t="str">
        <f>IF($Q181="","",INDEX(TRANSACTIONS_MASTER!$P$5:$P$1204,$Q181))</f>
        <v/>
      </c>
      <c r="M181" s="25" t="str">
        <f>IF($Q181="","",INDEX(TRANSACTIONS_MASTER!$AA$5:$AA$1204,$Q181))</f>
        <v/>
      </c>
      <c r="N181" s="25" t="str">
        <f>IF($Q181="","",INDEX(TRANSACTIONS_MASTER!$R$5:$R$1204,$Q181))</f>
        <v/>
      </c>
      <c r="O181" s="28" t="str">
        <f>IF($Q181="","",INDEX(TRANSACTIONS_MASTER!$AB$5:$AB$1204,$Q181))</f>
        <v/>
      </c>
      <c r="P181" s="55" t="str">
        <f>IF($Q181="","",INDEX(TRANSACTIONS_MASTER!$Z$5:$Z$1204,$Q181)&amp;"")</f>
        <v/>
      </c>
      <c r="Q181" s="67" t="str">
        <f>IFERROR(MATCH($C$2&amp;"|"&amp;174,TRANSACTIONS_MASTER!$AE$5:$AE$1204,0),"")</f>
        <v/>
      </c>
    </row>
    <row r="182">
      <c r="A182" s="81" t="str">
        <f>IF($Q182="","",175)</f>
        <v/>
      </c>
      <c r="B182" s="57" t="str">
        <f>IF($Q182="","",INDEX(TRANSACTIONS_MASTER!$B$5:$B$1204,$Q182))</f>
        <v/>
      </c>
      <c r="C182" s="55" t="str">
        <f>IF($Q182="","",INDEX(TRANSACTIONS_MASTER!$F$5:$F$1204,$Q182))</f>
        <v/>
      </c>
      <c r="D182" s="55" t="str">
        <f>IF($Q182="","",INDEX(TRANSACTIONS_MASTER!$E$5:$E$1204,$Q182))</f>
        <v/>
      </c>
      <c r="E182" s="55" t="str">
        <f>IF($Q182="","",INDEX(TRANSACTIONS_MASTER!$G$5:$G$1204,$Q182)&amp;"")</f>
        <v/>
      </c>
      <c r="F182" s="29" t="str">
        <f>IF($Q182="","",INDEX(TRANSACTIONS_MASTER!$I$5:$I$1204,$Q182))</f>
        <v/>
      </c>
      <c r="G182" s="55" t="str">
        <f>IF($Q182="","",INDEX(TRANSACTIONS_MASTER!$K$5:$K$1204,$Q182))</f>
        <v/>
      </c>
      <c r="H182" s="25" t="str">
        <f>IF($Q182="","",INDEX(TRANSACTIONS_MASTER!$L$5:$L$1204,$Q182))</f>
        <v/>
      </c>
      <c r="I182" s="56" t="str">
        <f>IF($Q182="","",INDEX(TRANSACTIONS_MASTER!$N$5:$N$1204,$Q182))</f>
        <v/>
      </c>
      <c r="J182" s="25" t="str">
        <f>IF($Q182="","",INDEX(TRANSACTIONS_MASTER!$O$5:$O$1204,$Q182))</f>
        <v/>
      </c>
      <c r="K182" s="26" t="str">
        <f>IF($Q182="","",INDEX(TRANSACTIONS_MASTER!$Q$5:$Q$1204,$Q182))</f>
        <v/>
      </c>
      <c r="L182" s="25" t="str">
        <f>IF($Q182="","",INDEX(TRANSACTIONS_MASTER!$P$5:$P$1204,$Q182))</f>
        <v/>
      </c>
      <c r="M182" s="25" t="str">
        <f>IF($Q182="","",INDEX(TRANSACTIONS_MASTER!$AA$5:$AA$1204,$Q182))</f>
        <v/>
      </c>
      <c r="N182" s="25" t="str">
        <f>IF($Q182="","",INDEX(TRANSACTIONS_MASTER!$R$5:$R$1204,$Q182))</f>
        <v/>
      </c>
      <c r="O182" s="28" t="str">
        <f>IF($Q182="","",INDEX(TRANSACTIONS_MASTER!$AB$5:$AB$1204,$Q182))</f>
        <v/>
      </c>
      <c r="P182" s="55" t="str">
        <f>IF($Q182="","",INDEX(TRANSACTIONS_MASTER!$Z$5:$Z$1204,$Q182)&amp;"")</f>
        <v/>
      </c>
      <c r="Q182" s="67" t="str">
        <f>IFERROR(MATCH($C$2&amp;"|"&amp;175,TRANSACTIONS_MASTER!$AE$5:$AE$1204,0),"")</f>
        <v/>
      </c>
    </row>
    <row r="183">
      <c r="A183" s="81" t="str">
        <f>IF($Q183="","",176)</f>
        <v/>
      </c>
      <c r="B183" s="57" t="str">
        <f>IF($Q183="","",INDEX(TRANSACTIONS_MASTER!$B$5:$B$1204,$Q183))</f>
        <v/>
      </c>
      <c r="C183" s="55" t="str">
        <f>IF($Q183="","",INDEX(TRANSACTIONS_MASTER!$F$5:$F$1204,$Q183))</f>
        <v/>
      </c>
      <c r="D183" s="55" t="str">
        <f>IF($Q183="","",INDEX(TRANSACTIONS_MASTER!$E$5:$E$1204,$Q183))</f>
        <v/>
      </c>
      <c r="E183" s="55" t="str">
        <f>IF($Q183="","",INDEX(TRANSACTIONS_MASTER!$G$5:$G$1204,$Q183)&amp;"")</f>
        <v/>
      </c>
      <c r="F183" s="29" t="str">
        <f>IF($Q183="","",INDEX(TRANSACTIONS_MASTER!$I$5:$I$1204,$Q183))</f>
        <v/>
      </c>
      <c r="G183" s="55" t="str">
        <f>IF($Q183="","",INDEX(TRANSACTIONS_MASTER!$K$5:$K$1204,$Q183))</f>
        <v/>
      </c>
      <c r="H183" s="25" t="str">
        <f>IF($Q183="","",INDEX(TRANSACTIONS_MASTER!$L$5:$L$1204,$Q183))</f>
        <v/>
      </c>
      <c r="I183" s="56" t="str">
        <f>IF($Q183="","",INDEX(TRANSACTIONS_MASTER!$N$5:$N$1204,$Q183))</f>
        <v/>
      </c>
      <c r="J183" s="25" t="str">
        <f>IF($Q183="","",INDEX(TRANSACTIONS_MASTER!$O$5:$O$1204,$Q183))</f>
        <v/>
      </c>
      <c r="K183" s="26" t="str">
        <f>IF($Q183="","",INDEX(TRANSACTIONS_MASTER!$Q$5:$Q$1204,$Q183))</f>
        <v/>
      </c>
      <c r="L183" s="25" t="str">
        <f>IF($Q183="","",INDEX(TRANSACTIONS_MASTER!$P$5:$P$1204,$Q183))</f>
        <v/>
      </c>
      <c r="M183" s="25" t="str">
        <f>IF($Q183="","",INDEX(TRANSACTIONS_MASTER!$AA$5:$AA$1204,$Q183))</f>
        <v/>
      </c>
      <c r="N183" s="25" t="str">
        <f>IF($Q183="","",INDEX(TRANSACTIONS_MASTER!$R$5:$R$1204,$Q183))</f>
        <v/>
      </c>
      <c r="O183" s="28" t="str">
        <f>IF($Q183="","",INDEX(TRANSACTIONS_MASTER!$AB$5:$AB$1204,$Q183))</f>
        <v/>
      </c>
      <c r="P183" s="55" t="str">
        <f>IF($Q183="","",INDEX(TRANSACTIONS_MASTER!$Z$5:$Z$1204,$Q183)&amp;"")</f>
        <v/>
      </c>
      <c r="Q183" s="67" t="str">
        <f>IFERROR(MATCH($C$2&amp;"|"&amp;176,TRANSACTIONS_MASTER!$AE$5:$AE$1204,0),"")</f>
        <v/>
      </c>
    </row>
    <row r="184">
      <c r="A184" s="81" t="str">
        <f>IF($Q184="","",177)</f>
        <v/>
      </c>
      <c r="B184" s="57" t="str">
        <f>IF($Q184="","",INDEX(TRANSACTIONS_MASTER!$B$5:$B$1204,$Q184))</f>
        <v/>
      </c>
      <c r="C184" s="55" t="str">
        <f>IF($Q184="","",INDEX(TRANSACTIONS_MASTER!$F$5:$F$1204,$Q184))</f>
        <v/>
      </c>
      <c r="D184" s="55" t="str">
        <f>IF($Q184="","",INDEX(TRANSACTIONS_MASTER!$E$5:$E$1204,$Q184))</f>
        <v/>
      </c>
      <c r="E184" s="55" t="str">
        <f>IF($Q184="","",INDEX(TRANSACTIONS_MASTER!$G$5:$G$1204,$Q184)&amp;"")</f>
        <v/>
      </c>
      <c r="F184" s="29" t="str">
        <f>IF($Q184="","",INDEX(TRANSACTIONS_MASTER!$I$5:$I$1204,$Q184))</f>
        <v/>
      </c>
      <c r="G184" s="55" t="str">
        <f>IF($Q184="","",INDEX(TRANSACTIONS_MASTER!$K$5:$K$1204,$Q184))</f>
        <v/>
      </c>
      <c r="H184" s="25" t="str">
        <f>IF($Q184="","",INDEX(TRANSACTIONS_MASTER!$L$5:$L$1204,$Q184))</f>
        <v/>
      </c>
      <c r="I184" s="56" t="str">
        <f>IF($Q184="","",INDEX(TRANSACTIONS_MASTER!$N$5:$N$1204,$Q184))</f>
        <v/>
      </c>
      <c r="J184" s="25" t="str">
        <f>IF($Q184="","",INDEX(TRANSACTIONS_MASTER!$O$5:$O$1204,$Q184))</f>
        <v/>
      </c>
      <c r="K184" s="26" t="str">
        <f>IF($Q184="","",INDEX(TRANSACTIONS_MASTER!$Q$5:$Q$1204,$Q184))</f>
        <v/>
      </c>
      <c r="L184" s="25" t="str">
        <f>IF($Q184="","",INDEX(TRANSACTIONS_MASTER!$P$5:$P$1204,$Q184))</f>
        <v/>
      </c>
      <c r="M184" s="25" t="str">
        <f>IF($Q184="","",INDEX(TRANSACTIONS_MASTER!$AA$5:$AA$1204,$Q184))</f>
        <v/>
      </c>
      <c r="N184" s="25" t="str">
        <f>IF($Q184="","",INDEX(TRANSACTIONS_MASTER!$R$5:$R$1204,$Q184))</f>
        <v/>
      </c>
      <c r="O184" s="28" t="str">
        <f>IF($Q184="","",INDEX(TRANSACTIONS_MASTER!$AB$5:$AB$1204,$Q184))</f>
        <v/>
      </c>
      <c r="P184" s="55" t="str">
        <f>IF($Q184="","",INDEX(TRANSACTIONS_MASTER!$Z$5:$Z$1204,$Q184)&amp;"")</f>
        <v/>
      </c>
      <c r="Q184" s="67" t="str">
        <f>IFERROR(MATCH($C$2&amp;"|"&amp;177,TRANSACTIONS_MASTER!$AE$5:$AE$1204,0),"")</f>
        <v/>
      </c>
    </row>
    <row r="185">
      <c r="A185" s="81" t="str">
        <f>IF($Q185="","",178)</f>
        <v/>
      </c>
      <c r="B185" s="57" t="str">
        <f>IF($Q185="","",INDEX(TRANSACTIONS_MASTER!$B$5:$B$1204,$Q185))</f>
        <v/>
      </c>
      <c r="C185" s="55" t="str">
        <f>IF($Q185="","",INDEX(TRANSACTIONS_MASTER!$F$5:$F$1204,$Q185))</f>
        <v/>
      </c>
      <c r="D185" s="55" t="str">
        <f>IF($Q185="","",INDEX(TRANSACTIONS_MASTER!$E$5:$E$1204,$Q185))</f>
        <v/>
      </c>
      <c r="E185" s="55" t="str">
        <f>IF($Q185="","",INDEX(TRANSACTIONS_MASTER!$G$5:$G$1204,$Q185)&amp;"")</f>
        <v/>
      </c>
      <c r="F185" s="29" t="str">
        <f>IF($Q185="","",INDEX(TRANSACTIONS_MASTER!$I$5:$I$1204,$Q185))</f>
        <v/>
      </c>
      <c r="G185" s="55" t="str">
        <f>IF($Q185="","",INDEX(TRANSACTIONS_MASTER!$K$5:$K$1204,$Q185))</f>
        <v/>
      </c>
      <c r="H185" s="25" t="str">
        <f>IF($Q185="","",INDEX(TRANSACTIONS_MASTER!$L$5:$L$1204,$Q185))</f>
        <v/>
      </c>
      <c r="I185" s="56" t="str">
        <f>IF($Q185="","",INDEX(TRANSACTIONS_MASTER!$N$5:$N$1204,$Q185))</f>
        <v/>
      </c>
      <c r="J185" s="25" t="str">
        <f>IF($Q185="","",INDEX(TRANSACTIONS_MASTER!$O$5:$O$1204,$Q185))</f>
        <v/>
      </c>
      <c r="K185" s="26" t="str">
        <f>IF($Q185="","",INDEX(TRANSACTIONS_MASTER!$Q$5:$Q$1204,$Q185))</f>
        <v/>
      </c>
      <c r="L185" s="25" t="str">
        <f>IF($Q185="","",INDEX(TRANSACTIONS_MASTER!$P$5:$P$1204,$Q185))</f>
        <v/>
      </c>
      <c r="M185" s="25" t="str">
        <f>IF($Q185="","",INDEX(TRANSACTIONS_MASTER!$AA$5:$AA$1204,$Q185))</f>
        <v/>
      </c>
      <c r="N185" s="25" t="str">
        <f>IF($Q185="","",INDEX(TRANSACTIONS_MASTER!$R$5:$R$1204,$Q185))</f>
        <v/>
      </c>
      <c r="O185" s="28" t="str">
        <f>IF($Q185="","",INDEX(TRANSACTIONS_MASTER!$AB$5:$AB$1204,$Q185))</f>
        <v/>
      </c>
      <c r="P185" s="55" t="str">
        <f>IF($Q185="","",INDEX(TRANSACTIONS_MASTER!$Z$5:$Z$1204,$Q185)&amp;"")</f>
        <v/>
      </c>
      <c r="Q185" s="67" t="str">
        <f>IFERROR(MATCH($C$2&amp;"|"&amp;178,TRANSACTIONS_MASTER!$AE$5:$AE$1204,0),"")</f>
        <v/>
      </c>
    </row>
    <row r="186">
      <c r="A186" s="81" t="str">
        <f>IF($Q186="","",179)</f>
        <v/>
      </c>
      <c r="B186" s="57" t="str">
        <f>IF($Q186="","",INDEX(TRANSACTIONS_MASTER!$B$5:$B$1204,$Q186))</f>
        <v/>
      </c>
      <c r="C186" s="55" t="str">
        <f>IF($Q186="","",INDEX(TRANSACTIONS_MASTER!$F$5:$F$1204,$Q186))</f>
        <v/>
      </c>
      <c r="D186" s="55" t="str">
        <f>IF($Q186="","",INDEX(TRANSACTIONS_MASTER!$E$5:$E$1204,$Q186))</f>
        <v/>
      </c>
      <c r="E186" s="55" t="str">
        <f>IF($Q186="","",INDEX(TRANSACTIONS_MASTER!$G$5:$G$1204,$Q186)&amp;"")</f>
        <v/>
      </c>
      <c r="F186" s="29" t="str">
        <f>IF($Q186="","",INDEX(TRANSACTIONS_MASTER!$I$5:$I$1204,$Q186))</f>
        <v/>
      </c>
      <c r="G186" s="55" t="str">
        <f>IF($Q186="","",INDEX(TRANSACTIONS_MASTER!$K$5:$K$1204,$Q186))</f>
        <v/>
      </c>
      <c r="H186" s="25" t="str">
        <f>IF($Q186="","",INDEX(TRANSACTIONS_MASTER!$L$5:$L$1204,$Q186))</f>
        <v/>
      </c>
      <c r="I186" s="56" t="str">
        <f>IF($Q186="","",INDEX(TRANSACTIONS_MASTER!$N$5:$N$1204,$Q186))</f>
        <v/>
      </c>
      <c r="J186" s="25" t="str">
        <f>IF($Q186="","",INDEX(TRANSACTIONS_MASTER!$O$5:$O$1204,$Q186))</f>
        <v/>
      </c>
      <c r="K186" s="26" t="str">
        <f>IF($Q186="","",INDEX(TRANSACTIONS_MASTER!$Q$5:$Q$1204,$Q186))</f>
        <v/>
      </c>
      <c r="L186" s="25" t="str">
        <f>IF($Q186="","",INDEX(TRANSACTIONS_MASTER!$P$5:$P$1204,$Q186))</f>
        <v/>
      </c>
      <c r="M186" s="25" t="str">
        <f>IF($Q186="","",INDEX(TRANSACTIONS_MASTER!$AA$5:$AA$1204,$Q186))</f>
        <v/>
      </c>
      <c r="N186" s="25" t="str">
        <f>IF($Q186="","",INDEX(TRANSACTIONS_MASTER!$R$5:$R$1204,$Q186))</f>
        <v/>
      </c>
      <c r="O186" s="28" t="str">
        <f>IF($Q186="","",INDEX(TRANSACTIONS_MASTER!$AB$5:$AB$1204,$Q186))</f>
        <v/>
      </c>
      <c r="P186" s="55" t="str">
        <f>IF($Q186="","",INDEX(TRANSACTIONS_MASTER!$Z$5:$Z$1204,$Q186)&amp;"")</f>
        <v/>
      </c>
      <c r="Q186" s="67" t="str">
        <f>IFERROR(MATCH($C$2&amp;"|"&amp;179,TRANSACTIONS_MASTER!$AE$5:$AE$1204,0),"")</f>
        <v/>
      </c>
    </row>
    <row r="187">
      <c r="A187" s="81" t="str">
        <f>IF($Q187="","",180)</f>
        <v/>
      </c>
      <c r="B187" s="57" t="str">
        <f>IF($Q187="","",INDEX(TRANSACTIONS_MASTER!$B$5:$B$1204,$Q187))</f>
        <v/>
      </c>
      <c r="C187" s="55" t="str">
        <f>IF($Q187="","",INDEX(TRANSACTIONS_MASTER!$F$5:$F$1204,$Q187))</f>
        <v/>
      </c>
      <c r="D187" s="55" t="str">
        <f>IF($Q187="","",INDEX(TRANSACTIONS_MASTER!$E$5:$E$1204,$Q187))</f>
        <v/>
      </c>
      <c r="E187" s="55" t="str">
        <f>IF($Q187="","",INDEX(TRANSACTIONS_MASTER!$G$5:$G$1204,$Q187)&amp;"")</f>
        <v/>
      </c>
      <c r="F187" s="29" t="str">
        <f>IF($Q187="","",INDEX(TRANSACTIONS_MASTER!$I$5:$I$1204,$Q187))</f>
        <v/>
      </c>
      <c r="G187" s="55" t="str">
        <f>IF($Q187="","",INDEX(TRANSACTIONS_MASTER!$K$5:$K$1204,$Q187))</f>
        <v/>
      </c>
      <c r="H187" s="25" t="str">
        <f>IF($Q187="","",INDEX(TRANSACTIONS_MASTER!$L$5:$L$1204,$Q187))</f>
        <v/>
      </c>
      <c r="I187" s="56" t="str">
        <f>IF($Q187="","",INDEX(TRANSACTIONS_MASTER!$N$5:$N$1204,$Q187))</f>
        <v/>
      </c>
      <c r="J187" s="25" t="str">
        <f>IF($Q187="","",INDEX(TRANSACTIONS_MASTER!$O$5:$O$1204,$Q187))</f>
        <v/>
      </c>
      <c r="K187" s="26" t="str">
        <f>IF($Q187="","",INDEX(TRANSACTIONS_MASTER!$Q$5:$Q$1204,$Q187))</f>
        <v/>
      </c>
      <c r="L187" s="25" t="str">
        <f>IF($Q187="","",INDEX(TRANSACTIONS_MASTER!$P$5:$P$1204,$Q187))</f>
        <v/>
      </c>
      <c r="M187" s="25" t="str">
        <f>IF($Q187="","",INDEX(TRANSACTIONS_MASTER!$AA$5:$AA$1204,$Q187))</f>
        <v/>
      </c>
      <c r="N187" s="25" t="str">
        <f>IF($Q187="","",INDEX(TRANSACTIONS_MASTER!$R$5:$R$1204,$Q187))</f>
        <v/>
      </c>
      <c r="O187" s="28" t="str">
        <f>IF($Q187="","",INDEX(TRANSACTIONS_MASTER!$AB$5:$AB$1204,$Q187))</f>
        <v/>
      </c>
      <c r="P187" s="55" t="str">
        <f>IF($Q187="","",INDEX(TRANSACTIONS_MASTER!$Z$5:$Z$1204,$Q187)&amp;"")</f>
        <v/>
      </c>
      <c r="Q187" s="67" t="str">
        <f>IFERROR(MATCH($C$2&amp;"|"&amp;180,TRANSACTIONS_MASTER!$AE$5:$AE$1204,0),"")</f>
        <v/>
      </c>
    </row>
    <row r="188">
      <c r="A188" s="81" t="str">
        <f>IF($Q188="","",181)</f>
        <v/>
      </c>
      <c r="B188" s="57" t="str">
        <f>IF($Q188="","",INDEX(TRANSACTIONS_MASTER!$B$5:$B$1204,$Q188))</f>
        <v/>
      </c>
      <c r="C188" s="55" t="str">
        <f>IF($Q188="","",INDEX(TRANSACTIONS_MASTER!$F$5:$F$1204,$Q188))</f>
        <v/>
      </c>
      <c r="D188" s="55" t="str">
        <f>IF($Q188="","",INDEX(TRANSACTIONS_MASTER!$E$5:$E$1204,$Q188))</f>
        <v/>
      </c>
      <c r="E188" s="55" t="str">
        <f>IF($Q188="","",INDEX(TRANSACTIONS_MASTER!$G$5:$G$1204,$Q188)&amp;"")</f>
        <v/>
      </c>
      <c r="F188" s="29" t="str">
        <f>IF($Q188="","",INDEX(TRANSACTIONS_MASTER!$I$5:$I$1204,$Q188))</f>
        <v/>
      </c>
      <c r="G188" s="55" t="str">
        <f>IF($Q188="","",INDEX(TRANSACTIONS_MASTER!$K$5:$K$1204,$Q188))</f>
        <v/>
      </c>
      <c r="H188" s="25" t="str">
        <f>IF($Q188="","",INDEX(TRANSACTIONS_MASTER!$L$5:$L$1204,$Q188))</f>
        <v/>
      </c>
      <c r="I188" s="56" t="str">
        <f>IF($Q188="","",INDEX(TRANSACTIONS_MASTER!$N$5:$N$1204,$Q188))</f>
        <v/>
      </c>
      <c r="J188" s="25" t="str">
        <f>IF($Q188="","",INDEX(TRANSACTIONS_MASTER!$O$5:$O$1204,$Q188))</f>
        <v/>
      </c>
      <c r="K188" s="26" t="str">
        <f>IF($Q188="","",INDEX(TRANSACTIONS_MASTER!$Q$5:$Q$1204,$Q188))</f>
        <v/>
      </c>
      <c r="L188" s="25" t="str">
        <f>IF($Q188="","",INDEX(TRANSACTIONS_MASTER!$P$5:$P$1204,$Q188))</f>
        <v/>
      </c>
      <c r="M188" s="25" t="str">
        <f>IF($Q188="","",INDEX(TRANSACTIONS_MASTER!$AA$5:$AA$1204,$Q188))</f>
        <v/>
      </c>
      <c r="N188" s="25" t="str">
        <f>IF($Q188="","",INDEX(TRANSACTIONS_MASTER!$R$5:$R$1204,$Q188))</f>
        <v/>
      </c>
      <c r="O188" s="28" t="str">
        <f>IF($Q188="","",INDEX(TRANSACTIONS_MASTER!$AB$5:$AB$1204,$Q188))</f>
        <v/>
      </c>
      <c r="P188" s="55" t="str">
        <f>IF($Q188="","",INDEX(TRANSACTIONS_MASTER!$Z$5:$Z$1204,$Q188)&amp;"")</f>
        <v/>
      </c>
      <c r="Q188" s="67" t="str">
        <f>IFERROR(MATCH($C$2&amp;"|"&amp;181,TRANSACTIONS_MASTER!$AE$5:$AE$1204,0),"")</f>
        <v/>
      </c>
    </row>
    <row r="189">
      <c r="A189" s="81" t="str">
        <f>IF($Q189="","",182)</f>
        <v/>
      </c>
      <c r="B189" s="57" t="str">
        <f>IF($Q189="","",INDEX(TRANSACTIONS_MASTER!$B$5:$B$1204,$Q189))</f>
        <v/>
      </c>
      <c r="C189" s="55" t="str">
        <f>IF($Q189="","",INDEX(TRANSACTIONS_MASTER!$F$5:$F$1204,$Q189))</f>
        <v/>
      </c>
      <c r="D189" s="55" t="str">
        <f>IF($Q189="","",INDEX(TRANSACTIONS_MASTER!$E$5:$E$1204,$Q189))</f>
        <v/>
      </c>
      <c r="E189" s="55" t="str">
        <f>IF($Q189="","",INDEX(TRANSACTIONS_MASTER!$G$5:$G$1204,$Q189)&amp;"")</f>
        <v/>
      </c>
      <c r="F189" s="29" t="str">
        <f>IF($Q189="","",INDEX(TRANSACTIONS_MASTER!$I$5:$I$1204,$Q189))</f>
        <v/>
      </c>
      <c r="G189" s="55" t="str">
        <f>IF($Q189="","",INDEX(TRANSACTIONS_MASTER!$K$5:$K$1204,$Q189))</f>
        <v/>
      </c>
      <c r="H189" s="25" t="str">
        <f>IF($Q189="","",INDEX(TRANSACTIONS_MASTER!$L$5:$L$1204,$Q189))</f>
        <v/>
      </c>
      <c r="I189" s="56" t="str">
        <f>IF($Q189="","",INDEX(TRANSACTIONS_MASTER!$N$5:$N$1204,$Q189))</f>
        <v/>
      </c>
      <c r="J189" s="25" t="str">
        <f>IF($Q189="","",INDEX(TRANSACTIONS_MASTER!$O$5:$O$1204,$Q189))</f>
        <v/>
      </c>
      <c r="K189" s="26" t="str">
        <f>IF($Q189="","",INDEX(TRANSACTIONS_MASTER!$Q$5:$Q$1204,$Q189))</f>
        <v/>
      </c>
      <c r="L189" s="25" t="str">
        <f>IF($Q189="","",INDEX(TRANSACTIONS_MASTER!$P$5:$P$1204,$Q189))</f>
        <v/>
      </c>
      <c r="M189" s="25" t="str">
        <f>IF($Q189="","",INDEX(TRANSACTIONS_MASTER!$AA$5:$AA$1204,$Q189))</f>
        <v/>
      </c>
      <c r="N189" s="25" t="str">
        <f>IF($Q189="","",INDEX(TRANSACTIONS_MASTER!$R$5:$R$1204,$Q189))</f>
        <v/>
      </c>
      <c r="O189" s="28" t="str">
        <f>IF($Q189="","",INDEX(TRANSACTIONS_MASTER!$AB$5:$AB$1204,$Q189))</f>
        <v/>
      </c>
      <c r="P189" s="55" t="str">
        <f>IF($Q189="","",INDEX(TRANSACTIONS_MASTER!$Z$5:$Z$1204,$Q189)&amp;"")</f>
        <v/>
      </c>
      <c r="Q189" s="67" t="str">
        <f>IFERROR(MATCH($C$2&amp;"|"&amp;182,TRANSACTIONS_MASTER!$AE$5:$AE$1204,0),"")</f>
        <v/>
      </c>
    </row>
    <row r="190">
      <c r="A190" s="81" t="str">
        <f>IF($Q190="","",183)</f>
        <v/>
      </c>
      <c r="B190" s="57" t="str">
        <f>IF($Q190="","",INDEX(TRANSACTIONS_MASTER!$B$5:$B$1204,$Q190))</f>
        <v/>
      </c>
      <c r="C190" s="55" t="str">
        <f>IF($Q190="","",INDEX(TRANSACTIONS_MASTER!$F$5:$F$1204,$Q190))</f>
        <v/>
      </c>
      <c r="D190" s="55" t="str">
        <f>IF($Q190="","",INDEX(TRANSACTIONS_MASTER!$E$5:$E$1204,$Q190))</f>
        <v/>
      </c>
      <c r="E190" s="55" t="str">
        <f>IF($Q190="","",INDEX(TRANSACTIONS_MASTER!$G$5:$G$1204,$Q190)&amp;"")</f>
        <v/>
      </c>
      <c r="F190" s="29" t="str">
        <f>IF($Q190="","",INDEX(TRANSACTIONS_MASTER!$I$5:$I$1204,$Q190))</f>
        <v/>
      </c>
      <c r="G190" s="55" t="str">
        <f>IF($Q190="","",INDEX(TRANSACTIONS_MASTER!$K$5:$K$1204,$Q190))</f>
        <v/>
      </c>
      <c r="H190" s="25" t="str">
        <f>IF($Q190="","",INDEX(TRANSACTIONS_MASTER!$L$5:$L$1204,$Q190))</f>
        <v/>
      </c>
      <c r="I190" s="56" t="str">
        <f>IF($Q190="","",INDEX(TRANSACTIONS_MASTER!$N$5:$N$1204,$Q190))</f>
        <v/>
      </c>
      <c r="J190" s="25" t="str">
        <f>IF($Q190="","",INDEX(TRANSACTIONS_MASTER!$O$5:$O$1204,$Q190))</f>
        <v/>
      </c>
      <c r="K190" s="26" t="str">
        <f>IF($Q190="","",INDEX(TRANSACTIONS_MASTER!$Q$5:$Q$1204,$Q190))</f>
        <v/>
      </c>
      <c r="L190" s="25" t="str">
        <f>IF($Q190="","",INDEX(TRANSACTIONS_MASTER!$P$5:$P$1204,$Q190))</f>
        <v/>
      </c>
      <c r="M190" s="25" t="str">
        <f>IF($Q190="","",INDEX(TRANSACTIONS_MASTER!$AA$5:$AA$1204,$Q190))</f>
        <v/>
      </c>
      <c r="N190" s="25" t="str">
        <f>IF($Q190="","",INDEX(TRANSACTIONS_MASTER!$R$5:$R$1204,$Q190))</f>
        <v/>
      </c>
      <c r="O190" s="28" t="str">
        <f>IF($Q190="","",INDEX(TRANSACTIONS_MASTER!$AB$5:$AB$1204,$Q190))</f>
        <v/>
      </c>
      <c r="P190" s="55" t="str">
        <f>IF($Q190="","",INDEX(TRANSACTIONS_MASTER!$Z$5:$Z$1204,$Q190)&amp;"")</f>
        <v/>
      </c>
      <c r="Q190" s="67" t="str">
        <f>IFERROR(MATCH($C$2&amp;"|"&amp;183,TRANSACTIONS_MASTER!$AE$5:$AE$1204,0),"")</f>
        <v/>
      </c>
    </row>
    <row r="191">
      <c r="A191" s="81" t="str">
        <f>IF($Q191="","",184)</f>
        <v/>
      </c>
      <c r="B191" s="57" t="str">
        <f>IF($Q191="","",INDEX(TRANSACTIONS_MASTER!$B$5:$B$1204,$Q191))</f>
        <v/>
      </c>
      <c r="C191" s="55" t="str">
        <f>IF($Q191="","",INDEX(TRANSACTIONS_MASTER!$F$5:$F$1204,$Q191))</f>
        <v/>
      </c>
      <c r="D191" s="55" t="str">
        <f>IF($Q191="","",INDEX(TRANSACTIONS_MASTER!$E$5:$E$1204,$Q191))</f>
        <v/>
      </c>
      <c r="E191" s="55" t="str">
        <f>IF($Q191="","",INDEX(TRANSACTIONS_MASTER!$G$5:$G$1204,$Q191)&amp;"")</f>
        <v/>
      </c>
      <c r="F191" s="29" t="str">
        <f>IF($Q191="","",INDEX(TRANSACTIONS_MASTER!$I$5:$I$1204,$Q191))</f>
        <v/>
      </c>
      <c r="G191" s="55" t="str">
        <f>IF($Q191="","",INDEX(TRANSACTIONS_MASTER!$K$5:$K$1204,$Q191))</f>
        <v/>
      </c>
      <c r="H191" s="25" t="str">
        <f>IF($Q191="","",INDEX(TRANSACTIONS_MASTER!$L$5:$L$1204,$Q191))</f>
        <v/>
      </c>
      <c r="I191" s="56" t="str">
        <f>IF($Q191="","",INDEX(TRANSACTIONS_MASTER!$N$5:$N$1204,$Q191))</f>
        <v/>
      </c>
      <c r="J191" s="25" t="str">
        <f>IF($Q191="","",INDEX(TRANSACTIONS_MASTER!$O$5:$O$1204,$Q191))</f>
        <v/>
      </c>
      <c r="K191" s="26" t="str">
        <f>IF($Q191="","",INDEX(TRANSACTIONS_MASTER!$Q$5:$Q$1204,$Q191))</f>
        <v/>
      </c>
      <c r="L191" s="25" t="str">
        <f>IF($Q191="","",INDEX(TRANSACTIONS_MASTER!$P$5:$P$1204,$Q191))</f>
        <v/>
      </c>
      <c r="M191" s="25" t="str">
        <f>IF($Q191="","",INDEX(TRANSACTIONS_MASTER!$AA$5:$AA$1204,$Q191))</f>
        <v/>
      </c>
      <c r="N191" s="25" t="str">
        <f>IF($Q191="","",INDEX(TRANSACTIONS_MASTER!$R$5:$R$1204,$Q191))</f>
        <v/>
      </c>
      <c r="O191" s="28" t="str">
        <f>IF($Q191="","",INDEX(TRANSACTIONS_MASTER!$AB$5:$AB$1204,$Q191))</f>
        <v/>
      </c>
      <c r="P191" s="55" t="str">
        <f>IF($Q191="","",INDEX(TRANSACTIONS_MASTER!$Z$5:$Z$1204,$Q191)&amp;"")</f>
        <v/>
      </c>
      <c r="Q191" s="67" t="str">
        <f>IFERROR(MATCH($C$2&amp;"|"&amp;184,TRANSACTIONS_MASTER!$AE$5:$AE$1204,0),"")</f>
        <v/>
      </c>
    </row>
    <row r="192">
      <c r="A192" s="81" t="str">
        <f>IF($Q192="","",185)</f>
        <v/>
      </c>
      <c r="B192" s="57" t="str">
        <f>IF($Q192="","",INDEX(TRANSACTIONS_MASTER!$B$5:$B$1204,$Q192))</f>
        <v/>
      </c>
      <c r="C192" s="55" t="str">
        <f>IF($Q192="","",INDEX(TRANSACTIONS_MASTER!$F$5:$F$1204,$Q192))</f>
        <v/>
      </c>
      <c r="D192" s="55" t="str">
        <f>IF($Q192="","",INDEX(TRANSACTIONS_MASTER!$E$5:$E$1204,$Q192))</f>
        <v/>
      </c>
      <c r="E192" s="55" t="str">
        <f>IF($Q192="","",INDEX(TRANSACTIONS_MASTER!$G$5:$G$1204,$Q192)&amp;"")</f>
        <v/>
      </c>
      <c r="F192" s="29" t="str">
        <f>IF($Q192="","",INDEX(TRANSACTIONS_MASTER!$I$5:$I$1204,$Q192))</f>
        <v/>
      </c>
      <c r="G192" s="55" t="str">
        <f>IF($Q192="","",INDEX(TRANSACTIONS_MASTER!$K$5:$K$1204,$Q192))</f>
        <v/>
      </c>
      <c r="H192" s="25" t="str">
        <f>IF($Q192="","",INDEX(TRANSACTIONS_MASTER!$L$5:$L$1204,$Q192))</f>
        <v/>
      </c>
      <c r="I192" s="56" t="str">
        <f>IF($Q192="","",INDEX(TRANSACTIONS_MASTER!$N$5:$N$1204,$Q192))</f>
        <v/>
      </c>
      <c r="J192" s="25" t="str">
        <f>IF($Q192="","",INDEX(TRANSACTIONS_MASTER!$O$5:$O$1204,$Q192))</f>
        <v/>
      </c>
      <c r="K192" s="26" t="str">
        <f>IF($Q192="","",INDEX(TRANSACTIONS_MASTER!$Q$5:$Q$1204,$Q192))</f>
        <v/>
      </c>
      <c r="L192" s="25" t="str">
        <f>IF($Q192="","",INDEX(TRANSACTIONS_MASTER!$P$5:$P$1204,$Q192))</f>
        <v/>
      </c>
      <c r="M192" s="25" t="str">
        <f>IF($Q192="","",INDEX(TRANSACTIONS_MASTER!$AA$5:$AA$1204,$Q192))</f>
        <v/>
      </c>
      <c r="N192" s="25" t="str">
        <f>IF($Q192="","",INDEX(TRANSACTIONS_MASTER!$R$5:$R$1204,$Q192))</f>
        <v/>
      </c>
      <c r="O192" s="28" t="str">
        <f>IF($Q192="","",INDEX(TRANSACTIONS_MASTER!$AB$5:$AB$1204,$Q192))</f>
        <v/>
      </c>
      <c r="P192" s="55" t="str">
        <f>IF($Q192="","",INDEX(TRANSACTIONS_MASTER!$Z$5:$Z$1204,$Q192)&amp;"")</f>
        <v/>
      </c>
      <c r="Q192" s="67" t="str">
        <f>IFERROR(MATCH($C$2&amp;"|"&amp;185,TRANSACTIONS_MASTER!$AE$5:$AE$1204,0),"")</f>
        <v/>
      </c>
    </row>
    <row r="193">
      <c r="A193" s="81" t="str">
        <f>IF($Q193="","",186)</f>
        <v/>
      </c>
      <c r="B193" s="57" t="str">
        <f>IF($Q193="","",INDEX(TRANSACTIONS_MASTER!$B$5:$B$1204,$Q193))</f>
        <v/>
      </c>
      <c r="C193" s="55" t="str">
        <f>IF($Q193="","",INDEX(TRANSACTIONS_MASTER!$F$5:$F$1204,$Q193))</f>
        <v/>
      </c>
      <c r="D193" s="55" t="str">
        <f>IF($Q193="","",INDEX(TRANSACTIONS_MASTER!$E$5:$E$1204,$Q193))</f>
        <v/>
      </c>
      <c r="E193" s="55" t="str">
        <f>IF($Q193="","",INDEX(TRANSACTIONS_MASTER!$G$5:$G$1204,$Q193)&amp;"")</f>
        <v/>
      </c>
      <c r="F193" s="29" t="str">
        <f>IF($Q193="","",INDEX(TRANSACTIONS_MASTER!$I$5:$I$1204,$Q193))</f>
        <v/>
      </c>
      <c r="G193" s="55" t="str">
        <f>IF($Q193="","",INDEX(TRANSACTIONS_MASTER!$K$5:$K$1204,$Q193))</f>
        <v/>
      </c>
      <c r="H193" s="25" t="str">
        <f>IF($Q193="","",INDEX(TRANSACTIONS_MASTER!$L$5:$L$1204,$Q193))</f>
        <v/>
      </c>
      <c r="I193" s="56" t="str">
        <f>IF($Q193="","",INDEX(TRANSACTIONS_MASTER!$N$5:$N$1204,$Q193))</f>
        <v/>
      </c>
      <c r="J193" s="25" t="str">
        <f>IF($Q193="","",INDEX(TRANSACTIONS_MASTER!$O$5:$O$1204,$Q193))</f>
        <v/>
      </c>
      <c r="K193" s="26" t="str">
        <f>IF($Q193="","",INDEX(TRANSACTIONS_MASTER!$Q$5:$Q$1204,$Q193))</f>
        <v/>
      </c>
      <c r="L193" s="25" t="str">
        <f>IF($Q193="","",INDEX(TRANSACTIONS_MASTER!$P$5:$P$1204,$Q193))</f>
        <v/>
      </c>
      <c r="M193" s="25" t="str">
        <f>IF($Q193="","",INDEX(TRANSACTIONS_MASTER!$AA$5:$AA$1204,$Q193))</f>
        <v/>
      </c>
      <c r="N193" s="25" t="str">
        <f>IF($Q193="","",INDEX(TRANSACTIONS_MASTER!$R$5:$R$1204,$Q193))</f>
        <v/>
      </c>
      <c r="O193" s="28" t="str">
        <f>IF($Q193="","",INDEX(TRANSACTIONS_MASTER!$AB$5:$AB$1204,$Q193))</f>
        <v/>
      </c>
      <c r="P193" s="55" t="str">
        <f>IF($Q193="","",INDEX(TRANSACTIONS_MASTER!$Z$5:$Z$1204,$Q193)&amp;"")</f>
        <v/>
      </c>
      <c r="Q193" s="67" t="str">
        <f>IFERROR(MATCH($C$2&amp;"|"&amp;186,TRANSACTIONS_MASTER!$AE$5:$AE$1204,0),"")</f>
        <v/>
      </c>
    </row>
    <row r="194">
      <c r="A194" s="81" t="str">
        <f>IF($Q194="","",187)</f>
        <v/>
      </c>
      <c r="B194" s="57" t="str">
        <f>IF($Q194="","",INDEX(TRANSACTIONS_MASTER!$B$5:$B$1204,$Q194))</f>
        <v/>
      </c>
      <c r="C194" s="55" t="str">
        <f>IF($Q194="","",INDEX(TRANSACTIONS_MASTER!$F$5:$F$1204,$Q194))</f>
        <v/>
      </c>
      <c r="D194" s="55" t="str">
        <f>IF($Q194="","",INDEX(TRANSACTIONS_MASTER!$E$5:$E$1204,$Q194))</f>
        <v/>
      </c>
      <c r="E194" s="55" t="str">
        <f>IF($Q194="","",INDEX(TRANSACTIONS_MASTER!$G$5:$G$1204,$Q194)&amp;"")</f>
        <v/>
      </c>
      <c r="F194" s="29" t="str">
        <f>IF($Q194="","",INDEX(TRANSACTIONS_MASTER!$I$5:$I$1204,$Q194))</f>
        <v/>
      </c>
      <c r="G194" s="55" t="str">
        <f>IF($Q194="","",INDEX(TRANSACTIONS_MASTER!$K$5:$K$1204,$Q194))</f>
        <v/>
      </c>
      <c r="H194" s="25" t="str">
        <f>IF($Q194="","",INDEX(TRANSACTIONS_MASTER!$L$5:$L$1204,$Q194))</f>
        <v/>
      </c>
      <c r="I194" s="56" t="str">
        <f>IF($Q194="","",INDEX(TRANSACTIONS_MASTER!$N$5:$N$1204,$Q194))</f>
        <v/>
      </c>
      <c r="J194" s="25" t="str">
        <f>IF($Q194="","",INDEX(TRANSACTIONS_MASTER!$O$5:$O$1204,$Q194))</f>
        <v/>
      </c>
      <c r="K194" s="26" t="str">
        <f>IF($Q194="","",INDEX(TRANSACTIONS_MASTER!$Q$5:$Q$1204,$Q194))</f>
        <v/>
      </c>
      <c r="L194" s="25" t="str">
        <f>IF($Q194="","",INDEX(TRANSACTIONS_MASTER!$P$5:$P$1204,$Q194))</f>
        <v/>
      </c>
      <c r="M194" s="25" t="str">
        <f>IF($Q194="","",INDEX(TRANSACTIONS_MASTER!$AA$5:$AA$1204,$Q194))</f>
        <v/>
      </c>
      <c r="N194" s="25" t="str">
        <f>IF($Q194="","",INDEX(TRANSACTIONS_MASTER!$R$5:$R$1204,$Q194))</f>
        <v/>
      </c>
      <c r="O194" s="28" t="str">
        <f>IF($Q194="","",INDEX(TRANSACTIONS_MASTER!$AB$5:$AB$1204,$Q194))</f>
        <v/>
      </c>
      <c r="P194" s="55" t="str">
        <f>IF($Q194="","",INDEX(TRANSACTIONS_MASTER!$Z$5:$Z$1204,$Q194)&amp;"")</f>
        <v/>
      </c>
      <c r="Q194" s="67" t="str">
        <f>IFERROR(MATCH($C$2&amp;"|"&amp;187,TRANSACTIONS_MASTER!$AE$5:$AE$1204,0),"")</f>
        <v/>
      </c>
    </row>
    <row r="195">
      <c r="A195" s="81" t="str">
        <f>IF($Q195="","",188)</f>
        <v/>
      </c>
      <c r="B195" s="57" t="str">
        <f>IF($Q195="","",INDEX(TRANSACTIONS_MASTER!$B$5:$B$1204,$Q195))</f>
        <v/>
      </c>
      <c r="C195" s="55" t="str">
        <f>IF($Q195="","",INDEX(TRANSACTIONS_MASTER!$F$5:$F$1204,$Q195))</f>
        <v/>
      </c>
      <c r="D195" s="55" t="str">
        <f>IF($Q195="","",INDEX(TRANSACTIONS_MASTER!$E$5:$E$1204,$Q195))</f>
        <v/>
      </c>
      <c r="E195" s="55" t="str">
        <f>IF($Q195="","",INDEX(TRANSACTIONS_MASTER!$G$5:$G$1204,$Q195)&amp;"")</f>
        <v/>
      </c>
      <c r="F195" s="29" t="str">
        <f>IF($Q195="","",INDEX(TRANSACTIONS_MASTER!$I$5:$I$1204,$Q195))</f>
        <v/>
      </c>
      <c r="G195" s="55" t="str">
        <f>IF($Q195="","",INDEX(TRANSACTIONS_MASTER!$K$5:$K$1204,$Q195))</f>
        <v/>
      </c>
      <c r="H195" s="25" t="str">
        <f>IF($Q195="","",INDEX(TRANSACTIONS_MASTER!$L$5:$L$1204,$Q195))</f>
        <v/>
      </c>
      <c r="I195" s="56" t="str">
        <f>IF($Q195="","",INDEX(TRANSACTIONS_MASTER!$N$5:$N$1204,$Q195))</f>
        <v/>
      </c>
      <c r="J195" s="25" t="str">
        <f>IF($Q195="","",INDEX(TRANSACTIONS_MASTER!$O$5:$O$1204,$Q195))</f>
        <v/>
      </c>
      <c r="K195" s="26" t="str">
        <f>IF($Q195="","",INDEX(TRANSACTIONS_MASTER!$Q$5:$Q$1204,$Q195))</f>
        <v/>
      </c>
      <c r="L195" s="25" t="str">
        <f>IF($Q195="","",INDEX(TRANSACTIONS_MASTER!$P$5:$P$1204,$Q195))</f>
        <v/>
      </c>
      <c r="M195" s="25" t="str">
        <f>IF($Q195="","",INDEX(TRANSACTIONS_MASTER!$AA$5:$AA$1204,$Q195))</f>
        <v/>
      </c>
      <c r="N195" s="25" t="str">
        <f>IF($Q195="","",INDEX(TRANSACTIONS_MASTER!$R$5:$R$1204,$Q195))</f>
        <v/>
      </c>
      <c r="O195" s="28" t="str">
        <f>IF($Q195="","",INDEX(TRANSACTIONS_MASTER!$AB$5:$AB$1204,$Q195))</f>
        <v/>
      </c>
      <c r="P195" s="55" t="str">
        <f>IF($Q195="","",INDEX(TRANSACTIONS_MASTER!$Z$5:$Z$1204,$Q195)&amp;"")</f>
        <v/>
      </c>
      <c r="Q195" s="67" t="str">
        <f>IFERROR(MATCH($C$2&amp;"|"&amp;188,TRANSACTIONS_MASTER!$AE$5:$AE$1204,0),"")</f>
        <v/>
      </c>
    </row>
    <row r="196">
      <c r="A196" s="81" t="str">
        <f>IF($Q196="","",189)</f>
        <v/>
      </c>
      <c r="B196" s="57" t="str">
        <f>IF($Q196="","",INDEX(TRANSACTIONS_MASTER!$B$5:$B$1204,$Q196))</f>
        <v/>
      </c>
      <c r="C196" s="55" t="str">
        <f>IF($Q196="","",INDEX(TRANSACTIONS_MASTER!$F$5:$F$1204,$Q196))</f>
        <v/>
      </c>
      <c r="D196" s="55" t="str">
        <f>IF($Q196="","",INDEX(TRANSACTIONS_MASTER!$E$5:$E$1204,$Q196))</f>
        <v/>
      </c>
      <c r="E196" s="55" t="str">
        <f>IF($Q196="","",INDEX(TRANSACTIONS_MASTER!$G$5:$G$1204,$Q196)&amp;"")</f>
        <v/>
      </c>
      <c r="F196" s="29" t="str">
        <f>IF($Q196="","",INDEX(TRANSACTIONS_MASTER!$I$5:$I$1204,$Q196))</f>
        <v/>
      </c>
      <c r="G196" s="55" t="str">
        <f>IF($Q196="","",INDEX(TRANSACTIONS_MASTER!$K$5:$K$1204,$Q196))</f>
        <v/>
      </c>
      <c r="H196" s="25" t="str">
        <f>IF($Q196="","",INDEX(TRANSACTIONS_MASTER!$L$5:$L$1204,$Q196))</f>
        <v/>
      </c>
      <c r="I196" s="56" t="str">
        <f>IF($Q196="","",INDEX(TRANSACTIONS_MASTER!$N$5:$N$1204,$Q196))</f>
        <v/>
      </c>
      <c r="J196" s="25" t="str">
        <f>IF($Q196="","",INDEX(TRANSACTIONS_MASTER!$O$5:$O$1204,$Q196))</f>
        <v/>
      </c>
      <c r="K196" s="26" t="str">
        <f>IF($Q196="","",INDEX(TRANSACTIONS_MASTER!$Q$5:$Q$1204,$Q196))</f>
        <v/>
      </c>
      <c r="L196" s="25" t="str">
        <f>IF($Q196="","",INDEX(TRANSACTIONS_MASTER!$P$5:$P$1204,$Q196))</f>
        <v/>
      </c>
      <c r="M196" s="25" t="str">
        <f>IF($Q196="","",INDEX(TRANSACTIONS_MASTER!$AA$5:$AA$1204,$Q196))</f>
        <v/>
      </c>
      <c r="N196" s="25" t="str">
        <f>IF($Q196="","",INDEX(TRANSACTIONS_MASTER!$R$5:$R$1204,$Q196))</f>
        <v/>
      </c>
      <c r="O196" s="28" t="str">
        <f>IF($Q196="","",INDEX(TRANSACTIONS_MASTER!$AB$5:$AB$1204,$Q196))</f>
        <v/>
      </c>
      <c r="P196" s="55" t="str">
        <f>IF($Q196="","",INDEX(TRANSACTIONS_MASTER!$Z$5:$Z$1204,$Q196)&amp;"")</f>
        <v/>
      </c>
      <c r="Q196" s="67" t="str">
        <f>IFERROR(MATCH($C$2&amp;"|"&amp;189,TRANSACTIONS_MASTER!$AE$5:$AE$1204,0),"")</f>
        <v/>
      </c>
    </row>
    <row r="197">
      <c r="A197" s="81" t="str">
        <f>IF($Q197="","",190)</f>
        <v/>
      </c>
      <c r="B197" s="57" t="str">
        <f>IF($Q197="","",INDEX(TRANSACTIONS_MASTER!$B$5:$B$1204,$Q197))</f>
        <v/>
      </c>
      <c r="C197" s="55" t="str">
        <f>IF($Q197="","",INDEX(TRANSACTIONS_MASTER!$F$5:$F$1204,$Q197))</f>
        <v/>
      </c>
      <c r="D197" s="55" t="str">
        <f>IF($Q197="","",INDEX(TRANSACTIONS_MASTER!$E$5:$E$1204,$Q197))</f>
        <v/>
      </c>
      <c r="E197" s="55" t="str">
        <f>IF($Q197="","",INDEX(TRANSACTIONS_MASTER!$G$5:$G$1204,$Q197)&amp;"")</f>
        <v/>
      </c>
      <c r="F197" s="29" t="str">
        <f>IF($Q197="","",INDEX(TRANSACTIONS_MASTER!$I$5:$I$1204,$Q197))</f>
        <v/>
      </c>
      <c r="G197" s="55" t="str">
        <f>IF($Q197="","",INDEX(TRANSACTIONS_MASTER!$K$5:$K$1204,$Q197))</f>
        <v/>
      </c>
      <c r="H197" s="25" t="str">
        <f>IF($Q197="","",INDEX(TRANSACTIONS_MASTER!$L$5:$L$1204,$Q197))</f>
        <v/>
      </c>
      <c r="I197" s="56" t="str">
        <f>IF($Q197="","",INDEX(TRANSACTIONS_MASTER!$N$5:$N$1204,$Q197))</f>
        <v/>
      </c>
      <c r="J197" s="25" t="str">
        <f>IF($Q197="","",INDEX(TRANSACTIONS_MASTER!$O$5:$O$1204,$Q197))</f>
        <v/>
      </c>
      <c r="K197" s="26" t="str">
        <f>IF($Q197="","",INDEX(TRANSACTIONS_MASTER!$Q$5:$Q$1204,$Q197))</f>
        <v/>
      </c>
      <c r="L197" s="25" t="str">
        <f>IF($Q197="","",INDEX(TRANSACTIONS_MASTER!$P$5:$P$1204,$Q197))</f>
        <v/>
      </c>
      <c r="M197" s="25" t="str">
        <f>IF($Q197="","",INDEX(TRANSACTIONS_MASTER!$AA$5:$AA$1204,$Q197))</f>
        <v/>
      </c>
      <c r="N197" s="25" t="str">
        <f>IF($Q197="","",INDEX(TRANSACTIONS_MASTER!$R$5:$R$1204,$Q197))</f>
        <v/>
      </c>
      <c r="O197" s="28" t="str">
        <f>IF($Q197="","",INDEX(TRANSACTIONS_MASTER!$AB$5:$AB$1204,$Q197))</f>
        <v/>
      </c>
      <c r="P197" s="55" t="str">
        <f>IF($Q197="","",INDEX(TRANSACTIONS_MASTER!$Z$5:$Z$1204,$Q197)&amp;"")</f>
        <v/>
      </c>
      <c r="Q197" s="67" t="str">
        <f>IFERROR(MATCH($C$2&amp;"|"&amp;190,TRANSACTIONS_MASTER!$AE$5:$AE$1204,0),"")</f>
        <v/>
      </c>
    </row>
    <row r="198">
      <c r="A198" s="81" t="str">
        <f>IF($Q198="","",191)</f>
        <v/>
      </c>
      <c r="B198" s="57" t="str">
        <f>IF($Q198="","",INDEX(TRANSACTIONS_MASTER!$B$5:$B$1204,$Q198))</f>
        <v/>
      </c>
      <c r="C198" s="55" t="str">
        <f>IF($Q198="","",INDEX(TRANSACTIONS_MASTER!$F$5:$F$1204,$Q198))</f>
        <v/>
      </c>
      <c r="D198" s="55" t="str">
        <f>IF($Q198="","",INDEX(TRANSACTIONS_MASTER!$E$5:$E$1204,$Q198))</f>
        <v/>
      </c>
      <c r="E198" s="55" t="str">
        <f>IF($Q198="","",INDEX(TRANSACTIONS_MASTER!$G$5:$G$1204,$Q198)&amp;"")</f>
        <v/>
      </c>
      <c r="F198" s="29" t="str">
        <f>IF($Q198="","",INDEX(TRANSACTIONS_MASTER!$I$5:$I$1204,$Q198))</f>
        <v/>
      </c>
      <c r="G198" s="55" t="str">
        <f>IF($Q198="","",INDEX(TRANSACTIONS_MASTER!$K$5:$K$1204,$Q198))</f>
        <v/>
      </c>
      <c r="H198" s="25" t="str">
        <f>IF($Q198="","",INDEX(TRANSACTIONS_MASTER!$L$5:$L$1204,$Q198))</f>
        <v/>
      </c>
      <c r="I198" s="56" t="str">
        <f>IF($Q198="","",INDEX(TRANSACTIONS_MASTER!$N$5:$N$1204,$Q198))</f>
        <v/>
      </c>
      <c r="J198" s="25" t="str">
        <f>IF($Q198="","",INDEX(TRANSACTIONS_MASTER!$O$5:$O$1204,$Q198))</f>
        <v/>
      </c>
      <c r="K198" s="26" t="str">
        <f>IF($Q198="","",INDEX(TRANSACTIONS_MASTER!$Q$5:$Q$1204,$Q198))</f>
        <v/>
      </c>
      <c r="L198" s="25" t="str">
        <f>IF($Q198="","",INDEX(TRANSACTIONS_MASTER!$P$5:$P$1204,$Q198))</f>
        <v/>
      </c>
      <c r="M198" s="25" t="str">
        <f>IF($Q198="","",INDEX(TRANSACTIONS_MASTER!$AA$5:$AA$1204,$Q198))</f>
        <v/>
      </c>
      <c r="N198" s="25" t="str">
        <f>IF($Q198="","",INDEX(TRANSACTIONS_MASTER!$R$5:$R$1204,$Q198))</f>
        <v/>
      </c>
      <c r="O198" s="28" t="str">
        <f>IF($Q198="","",INDEX(TRANSACTIONS_MASTER!$AB$5:$AB$1204,$Q198))</f>
        <v/>
      </c>
      <c r="P198" s="55" t="str">
        <f>IF($Q198="","",INDEX(TRANSACTIONS_MASTER!$Z$5:$Z$1204,$Q198)&amp;"")</f>
        <v/>
      </c>
      <c r="Q198" s="67" t="str">
        <f>IFERROR(MATCH($C$2&amp;"|"&amp;191,TRANSACTIONS_MASTER!$AE$5:$AE$1204,0),"")</f>
        <v/>
      </c>
    </row>
    <row r="199">
      <c r="A199" s="81" t="str">
        <f>IF($Q199="","",192)</f>
        <v/>
      </c>
      <c r="B199" s="57" t="str">
        <f>IF($Q199="","",INDEX(TRANSACTIONS_MASTER!$B$5:$B$1204,$Q199))</f>
        <v/>
      </c>
      <c r="C199" s="55" t="str">
        <f>IF($Q199="","",INDEX(TRANSACTIONS_MASTER!$F$5:$F$1204,$Q199))</f>
        <v/>
      </c>
      <c r="D199" s="55" t="str">
        <f>IF($Q199="","",INDEX(TRANSACTIONS_MASTER!$E$5:$E$1204,$Q199))</f>
        <v/>
      </c>
      <c r="E199" s="55" t="str">
        <f>IF($Q199="","",INDEX(TRANSACTIONS_MASTER!$G$5:$G$1204,$Q199)&amp;"")</f>
        <v/>
      </c>
      <c r="F199" s="29" t="str">
        <f>IF($Q199="","",INDEX(TRANSACTIONS_MASTER!$I$5:$I$1204,$Q199))</f>
        <v/>
      </c>
      <c r="G199" s="55" t="str">
        <f>IF($Q199="","",INDEX(TRANSACTIONS_MASTER!$K$5:$K$1204,$Q199))</f>
        <v/>
      </c>
      <c r="H199" s="25" t="str">
        <f>IF($Q199="","",INDEX(TRANSACTIONS_MASTER!$L$5:$L$1204,$Q199))</f>
        <v/>
      </c>
      <c r="I199" s="56" t="str">
        <f>IF($Q199="","",INDEX(TRANSACTIONS_MASTER!$N$5:$N$1204,$Q199))</f>
        <v/>
      </c>
      <c r="J199" s="25" t="str">
        <f>IF($Q199="","",INDEX(TRANSACTIONS_MASTER!$O$5:$O$1204,$Q199))</f>
        <v/>
      </c>
      <c r="K199" s="26" t="str">
        <f>IF($Q199="","",INDEX(TRANSACTIONS_MASTER!$Q$5:$Q$1204,$Q199))</f>
        <v/>
      </c>
      <c r="L199" s="25" t="str">
        <f>IF($Q199="","",INDEX(TRANSACTIONS_MASTER!$P$5:$P$1204,$Q199))</f>
        <v/>
      </c>
      <c r="M199" s="25" t="str">
        <f>IF($Q199="","",INDEX(TRANSACTIONS_MASTER!$AA$5:$AA$1204,$Q199))</f>
        <v/>
      </c>
      <c r="N199" s="25" t="str">
        <f>IF($Q199="","",INDEX(TRANSACTIONS_MASTER!$R$5:$R$1204,$Q199))</f>
        <v/>
      </c>
      <c r="O199" s="28" t="str">
        <f>IF($Q199="","",INDEX(TRANSACTIONS_MASTER!$AB$5:$AB$1204,$Q199))</f>
        <v/>
      </c>
      <c r="P199" s="55" t="str">
        <f>IF($Q199="","",INDEX(TRANSACTIONS_MASTER!$Z$5:$Z$1204,$Q199)&amp;"")</f>
        <v/>
      </c>
      <c r="Q199" s="67" t="str">
        <f>IFERROR(MATCH($C$2&amp;"|"&amp;192,TRANSACTIONS_MASTER!$AE$5:$AE$1204,0),"")</f>
        <v/>
      </c>
    </row>
    <row r="200">
      <c r="A200" s="81" t="str">
        <f>IF($Q200="","",193)</f>
        <v/>
      </c>
      <c r="B200" s="57" t="str">
        <f>IF($Q200="","",INDEX(TRANSACTIONS_MASTER!$B$5:$B$1204,$Q200))</f>
        <v/>
      </c>
      <c r="C200" s="55" t="str">
        <f>IF($Q200="","",INDEX(TRANSACTIONS_MASTER!$F$5:$F$1204,$Q200))</f>
        <v/>
      </c>
      <c r="D200" s="55" t="str">
        <f>IF($Q200="","",INDEX(TRANSACTIONS_MASTER!$E$5:$E$1204,$Q200))</f>
        <v/>
      </c>
      <c r="E200" s="55" t="str">
        <f>IF($Q200="","",INDEX(TRANSACTIONS_MASTER!$G$5:$G$1204,$Q200)&amp;"")</f>
        <v/>
      </c>
      <c r="F200" s="29" t="str">
        <f>IF($Q200="","",INDEX(TRANSACTIONS_MASTER!$I$5:$I$1204,$Q200))</f>
        <v/>
      </c>
      <c r="G200" s="55" t="str">
        <f>IF($Q200="","",INDEX(TRANSACTIONS_MASTER!$K$5:$K$1204,$Q200))</f>
        <v/>
      </c>
      <c r="H200" s="25" t="str">
        <f>IF($Q200="","",INDEX(TRANSACTIONS_MASTER!$L$5:$L$1204,$Q200))</f>
        <v/>
      </c>
      <c r="I200" s="56" t="str">
        <f>IF($Q200="","",INDEX(TRANSACTIONS_MASTER!$N$5:$N$1204,$Q200))</f>
        <v/>
      </c>
      <c r="J200" s="25" t="str">
        <f>IF($Q200="","",INDEX(TRANSACTIONS_MASTER!$O$5:$O$1204,$Q200))</f>
        <v/>
      </c>
      <c r="K200" s="26" t="str">
        <f>IF($Q200="","",INDEX(TRANSACTIONS_MASTER!$Q$5:$Q$1204,$Q200))</f>
        <v/>
      </c>
      <c r="L200" s="25" t="str">
        <f>IF($Q200="","",INDEX(TRANSACTIONS_MASTER!$P$5:$P$1204,$Q200))</f>
        <v/>
      </c>
      <c r="M200" s="25" t="str">
        <f>IF($Q200="","",INDEX(TRANSACTIONS_MASTER!$AA$5:$AA$1204,$Q200))</f>
        <v/>
      </c>
      <c r="N200" s="25" t="str">
        <f>IF($Q200="","",INDEX(TRANSACTIONS_MASTER!$R$5:$R$1204,$Q200))</f>
        <v/>
      </c>
      <c r="O200" s="28" t="str">
        <f>IF($Q200="","",INDEX(TRANSACTIONS_MASTER!$AB$5:$AB$1204,$Q200))</f>
        <v/>
      </c>
      <c r="P200" s="55" t="str">
        <f>IF($Q200="","",INDEX(TRANSACTIONS_MASTER!$Z$5:$Z$1204,$Q200)&amp;"")</f>
        <v/>
      </c>
      <c r="Q200" s="67" t="str">
        <f>IFERROR(MATCH($C$2&amp;"|"&amp;193,TRANSACTIONS_MASTER!$AE$5:$AE$1204,0),"")</f>
        <v/>
      </c>
    </row>
    <row r="201">
      <c r="A201" s="81" t="str">
        <f>IF($Q201="","",194)</f>
        <v/>
      </c>
      <c r="B201" s="57" t="str">
        <f>IF($Q201="","",INDEX(TRANSACTIONS_MASTER!$B$5:$B$1204,$Q201))</f>
        <v/>
      </c>
      <c r="C201" s="55" t="str">
        <f>IF($Q201="","",INDEX(TRANSACTIONS_MASTER!$F$5:$F$1204,$Q201))</f>
        <v/>
      </c>
      <c r="D201" s="55" t="str">
        <f>IF($Q201="","",INDEX(TRANSACTIONS_MASTER!$E$5:$E$1204,$Q201))</f>
        <v/>
      </c>
      <c r="E201" s="55" t="str">
        <f>IF($Q201="","",INDEX(TRANSACTIONS_MASTER!$G$5:$G$1204,$Q201)&amp;"")</f>
        <v/>
      </c>
      <c r="F201" s="29" t="str">
        <f>IF($Q201="","",INDEX(TRANSACTIONS_MASTER!$I$5:$I$1204,$Q201))</f>
        <v/>
      </c>
      <c r="G201" s="55" t="str">
        <f>IF($Q201="","",INDEX(TRANSACTIONS_MASTER!$K$5:$K$1204,$Q201))</f>
        <v/>
      </c>
      <c r="H201" s="25" t="str">
        <f>IF($Q201="","",INDEX(TRANSACTIONS_MASTER!$L$5:$L$1204,$Q201))</f>
        <v/>
      </c>
      <c r="I201" s="56" t="str">
        <f>IF($Q201="","",INDEX(TRANSACTIONS_MASTER!$N$5:$N$1204,$Q201))</f>
        <v/>
      </c>
      <c r="J201" s="25" t="str">
        <f>IF($Q201="","",INDEX(TRANSACTIONS_MASTER!$O$5:$O$1204,$Q201))</f>
        <v/>
      </c>
      <c r="K201" s="26" t="str">
        <f>IF($Q201="","",INDEX(TRANSACTIONS_MASTER!$Q$5:$Q$1204,$Q201))</f>
        <v/>
      </c>
      <c r="L201" s="25" t="str">
        <f>IF($Q201="","",INDEX(TRANSACTIONS_MASTER!$P$5:$P$1204,$Q201))</f>
        <v/>
      </c>
      <c r="M201" s="25" t="str">
        <f>IF($Q201="","",INDEX(TRANSACTIONS_MASTER!$AA$5:$AA$1204,$Q201))</f>
        <v/>
      </c>
      <c r="N201" s="25" t="str">
        <f>IF($Q201="","",INDEX(TRANSACTIONS_MASTER!$R$5:$R$1204,$Q201))</f>
        <v/>
      </c>
      <c r="O201" s="28" t="str">
        <f>IF($Q201="","",INDEX(TRANSACTIONS_MASTER!$AB$5:$AB$1204,$Q201))</f>
        <v/>
      </c>
      <c r="P201" s="55" t="str">
        <f>IF($Q201="","",INDEX(TRANSACTIONS_MASTER!$Z$5:$Z$1204,$Q201)&amp;"")</f>
        <v/>
      </c>
      <c r="Q201" s="67" t="str">
        <f>IFERROR(MATCH($C$2&amp;"|"&amp;194,TRANSACTIONS_MASTER!$AE$5:$AE$1204,0),"")</f>
        <v/>
      </c>
    </row>
    <row r="202">
      <c r="A202" s="81" t="str">
        <f>IF($Q202="","",195)</f>
        <v/>
      </c>
      <c r="B202" s="57" t="str">
        <f>IF($Q202="","",INDEX(TRANSACTIONS_MASTER!$B$5:$B$1204,$Q202))</f>
        <v/>
      </c>
      <c r="C202" s="55" t="str">
        <f>IF($Q202="","",INDEX(TRANSACTIONS_MASTER!$F$5:$F$1204,$Q202))</f>
        <v/>
      </c>
      <c r="D202" s="55" t="str">
        <f>IF($Q202="","",INDEX(TRANSACTIONS_MASTER!$E$5:$E$1204,$Q202))</f>
        <v/>
      </c>
      <c r="E202" s="55" t="str">
        <f>IF($Q202="","",INDEX(TRANSACTIONS_MASTER!$G$5:$G$1204,$Q202)&amp;"")</f>
        <v/>
      </c>
      <c r="F202" s="29" t="str">
        <f>IF($Q202="","",INDEX(TRANSACTIONS_MASTER!$I$5:$I$1204,$Q202))</f>
        <v/>
      </c>
      <c r="G202" s="55" t="str">
        <f>IF($Q202="","",INDEX(TRANSACTIONS_MASTER!$K$5:$K$1204,$Q202))</f>
        <v/>
      </c>
      <c r="H202" s="25" t="str">
        <f>IF($Q202="","",INDEX(TRANSACTIONS_MASTER!$L$5:$L$1204,$Q202))</f>
        <v/>
      </c>
      <c r="I202" s="56" t="str">
        <f>IF($Q202="","",INDEX(TRANSACTIONS_MASTER!$N$5:$N$1204,$Q202))</f>
        <v/>
      </c>
      <c r="J202" s="25" t="str">
        <f>IF($Q202="","",INDEX(TRANSACTIONS_MASTER!$O$5:$O$1204,$Q202))</f>
        <v/>
      </c>
      <c r="K202" s="26" t="str">
        <f>IF($Q202="","",INDEX(TRANSACTIONS_MASTER!$Q$5:$Q$1204,$Q202))</f>
        <v/>
      </c>
      <c r="L202" s="25" t="str">
        <f>IF($Q202="","",INDEX(TRANSACTIONS_MASTER!$P$5:$P$1204,$Q202))</f>
        <v/>
      </c>
      <c r="M202" s="25" t="str">
        <f>IF($Q202="","",INDEX(TRANSACTIONS_MASTER!$AA$5:$AA$1204,$Q202))</f>
        <v/>
      </c>
      <c r="N202" s="25" t="str">
        <f>IF($Q202="","",INDEX(TRANSACTIONS_MASTER!$R$5:$R$1204,$Q202))</f>
        <v/>
      </c>
      <c r="O202" s="28" t="str">
        <f>IF($Q202="","",INDEX(TRANSACTIONS_MASTER!$AB$5:$AB$1204,$Q202))</f>
        <v/>
      </c>
      <c r="P202" s="55" t="str">
        <f>IF($Q202="","",INDEX(TRANSACTIONS_MASTER!$Z$5:$Z$1204,$Q202)&amp;"")</f>
        <v/>
      </c>
      <c r="Q202" s="67" t="str">
        <f>IFERROR(MATCH($C$2&amp;"|"&amp;195,TRANSACTIONS_MASTER!$AE$5:$AE$1204,0),"")</f>
        <v/>
      </c>
    </row>
    <row r="203">
      <c r="A203" s="81" t="str">
        <f>IF($Q203="","",196)</f>
        <v/>
      </c>
      <c r="B203" s="57" t="str">
        <f>IF($Q203="","",INDEX(TRANSACTIONS_MASTER!$B$5:$B$1204,$Q203))</f>
        <v/>
      </c>
      <c r="C203" s="55" t="str">
        <f>IF($Q203="","",INDEX(TRANSACTIONS_MASTER!$F$5:$F$1204,$Q203))</f>
        <v/>
      </c>
      <c r="D203" s="55" t="str">
        <f>IF($Q203="","",INDEX(TRANSACTIONS_MASTER!$E$5:$E$1204,$Q203))</f>
        <v/>
      </c>
      <c r="E203" s="55" t="str">
        <f>IF($Q203="","",INDEX(TRANSACTIONS_MASTER!$G$5:$G$1204,$Q203)&amp;"")</f>
        <v/>
      </c>
      <c r="F203" s="29" t="str">
        <f>IF($Q203="","",INDEX(TRANSACTIONS_MASTER!$I$5:$I$1204,$Q203))</f>
        <v/>
      </c>
      <c r="G203" s="55" t="str">
        <f>IF($Q203="","",INDEX(TRANSACTIONS_MASTER!$K$5:$K$1204,$Q203))</f>
        <v/>
      </c>
      <c r="H203" s="25" t="str">
        <f>IF($Q203="","",INDEX(TRANSACTIONS_MASTER!$L$5:$L$1204,$Q203))</f>
        <v/>
      </c>
      <c r="I203" s="56" t="str">
        <f>IF($Q203="","",INDEX(TRANSACTIONS_MASTER!$N$5:$N$1204,$Q203))</f>
        <v/>
      </c>
      <c r="J203" s="25" t="str">
        <f>IF($Q203="","",INDEX(TRANSACTIONS_MASTER!$O$5:$O$1204,$Q203))</f>
        <v/>
      </c>
      <c r="K203" s="26" t="str">
        <f>IF($Q203="","",INDEX(TRANSACTIONS_MASTER!$Q$5:$Q$1204,$Q203))</f>
        <v/>
      </c>
      <c r="L203" s="25" t="str">
        <f>IF($Q203="","",INDEX(TRANSACTIONS_MASTER!$P$5:$P$1204,$Q203))</f>
        <v/>
      </c>
      <c r="M203" s="25" t="str">
        <f>IF($Q203="","",INDEX(TRANSACTIONS_MASTER!$AA$5:$AA$1204,$Q203))</f>
        <v/>
      </c>
      <c r="N203" s="25" t="str">
        <f>IF($Q203="","",INDEX(TRANSACTIONS_MASTER!$R$5:$R$1204,$Q203))</f>
        <v/>
      </c>
      <c r="O203" s="28" t="str">
        <f>IF($Q203="","",INDEX(TRANSACTIONS_MASTER!$AB$5:$AB$1204,$Q203))</f>
        <v/>
      </c>
      <c r="P203" s="55" t="str">
        <f>IF($Q203="","",INDEX(TRANSACTIONS_MASTER!$Z$5:$Z$1204,$Q203)&amp;"")</f>
        <v/>
      </c>
      <c r="Q203" s="67" t="str">
        <f>IFERROR(MATCH($C$2&amp;"|"&amp;196,TRANSACTIONS_MASTER!$AE$5:$AE$1204,0),"")</f>
        <v/>
      </c>
    </row>
    <row r="204">
      <c r="A204" s="81" t="str">
        <f>IF($Q204="","",197)</f>
        <v/>
      </c>
      <c r="B204" s="57" t="str">
        <f>IF($Q204="","",INDEX(TRANSACTIONS_MASTER!$B$5:$B$1204,$Q204))</f>
        <v/>
      </c>
      <c r="C204" s="55" t="str">
        <f>IF($Q204="","",INDEX(TRANSACTIONS_MASTER!$F$5:$F$1204,$Q204))</f>
        <v/>
      </c>
      <c r="D204" s="55" t="str">
        <f>IF($Q204="","",INDEX(TRANSACTIONS_MASTER!$E$5:$E$1204,$Q204))</f>
        <v/>
      </c>
      <c r="E204" s="55" t="str">
        <f>IF($Q204="","",INDEX(TRANSACTIONS_MASTER!$G$5:$G$1204,$Q204)&amp;"")</f>
        <v/>
      </c>
      <c r="F204" s="29" t="str">
        <f>IF($Q204="","",INDEX(TRANSACTIONS_MASTER!$I$5:$I$1204,$Q204))</f>
        <v/>
      </c>
      <c r="G204" s="55" t="str">
        <f>IF($Q204="","",INDEX(TRANSACTIONS_MASTER!$K$5:$K$1204,$Q204))</f>
        <v/>
      </c>
      <c r="H204" s="25" t="str">
        <f>IF($Q204="","",INDEX(TRANSACTIONS_MASTER!$L$5:$L$1204,$Q204))</f>
        <v/>
      </c>
      <c r="I204" s="56" t="str">
        <f>IF($Q204="","",INDEX(TRANSACTIONS_MASTER!$N$5:$N$1204,$Q204))</f>
        <v/>
      </c>
      <c r="J204" s="25" t="str">
        <f>IF($Q204="","",INDEX(TRANSACTIONS_MASTER!$O$5:$O$1204,$Q204))</f>
        <v/>
      </c>
      <c r="K204" s="26" t="str">
        <f>IF($Q204="","",INDEX(TRANSACTIONS_MASTER!$Q$5:$Q$1204,$Q204))</f>
        <v/>
      </c>
      <c r="L204" s="25" t="str">
        <f>IF($Q204="","",INDEX(TRANSACTIONS_MASTER!$P$5:$P$1204,$Q204))</f>
        <v/>
      </c>
      <c r="M204" s="25" t="str">
        <f>IF($Q204="","",INDEX(TRANSACTIONS_MASTER!$AA$5:$AA$1204,$Q204))</f>
        <v/>
      </c>
      <c r="N204" s="25" t="str">
        <f>IF($Q204="","",INDEX(TRANSACTIONS_MASTER!$R$5:$R$1204,$Q204))</f>
        <v/>
      </c>
      <c r="O204" s="28" t="str">
        <f>IF($Q204="","",INDEX(TRANSACTIONS_MASTER!$AB$5:$AB$1204,$Q204))</f>
        <v/>
      </c>
      <c r="P204" s="55" t="str">
        <f>IF($Q204="","",INDEX(TRANSACTIONS_MASTER!$Z$5:$Z$1204,$Q204)&amp;"")</f>
        <v/>
      </c>
      <c r="Q204" s="67" t="str">
        <f>IFERROR(MATCH($C$2&amp;"|"&amp;197,TRANSACTIONS_MASTER!$AE$5:$AE$1204,0),"")</f>
        <v/>
      </c>
    </row>
    <row r="205">
      <c r="A205" s="81" t="str">
        <f>IF($Q205="","",198)</f>
        <v/>
      </c>
      <c r="B205" s="57" t="str">
        <f>IF($Q205="","",INDEX(TRANSACTIONS_MASTER!$B$5:$B$1204,$Q205))</f>
        <v/>
      </c>
      <c r="C205" s="55" t="str">
        <f>IF($Q205="","",INDEX(TRANSACTIONS_MASTER!$F$5:$F$1204,$Q205))</f>
        <v/>
      </c>
      <c r="D205" s="55" t="str">
        <f>IF($Q205="","",INDEX(TRANSACTIONS_MASTER!$E$5:$E$1204,$Q205))</f>
        <v/>
      </c>
      <c r="E205" s="55" t="str">
        <f>IF($Q205="","",INDEX(TRANSACTIONS_MASTER!$G$5:$G$1204,$Q205)&amp;"")</f>
        <v/>
      </c>
      <c r="F205" s="29" t="str">
        <f>IF($Q205="","",INDEX(TRANSACTIONS_MASTER!$I$5:$I$1204,$Q205))</f>
        <v/>
      </c>
      <c r="G205" s="55" t="str">
        <f>IF($Q205="","",INDEX(TRANSACTIONS_MASTER!$K$5:$K$1204,$Q205))</f>
        <v/>
      </c>
      <c r="H205" s="25" t="str">
        <f>IF($Q205="","",INDEX(TRANSACTIONS_MASTER!$L$5:$L$1204,$Q205))</f>
        <v/>
      </c>
      <c r="I205" s="56" t="str">
        <f>IF($Q205="","",INDEX(TRANSACTIONS_MASTER!$N$5:$N$1204,$Q205))</f>
        <v/>
      </c>
      <c r="J205" s="25" t="str">
        <f>IF($Q205="","",INDEX(TRANSACTIONS_MASTER!$O$5:$O$1204,$Q205))</f>
        <v/>
      </c>
      <c r="K205" s="26" t="str">
        <f>IF($Q205="","",INDEX(TRANSACTIONS_MASTER!$Q$5:$Q$1204,$Q205))</f>
        <v/>
      </c>
      <c r="L205" s="25" t="str">
        <f>IF($Q205="","",INDEX(TRANSACTIONS_MASTER!$P$5:$P$1204,$Q205))</f>
        <v/>
      </c>
      <c r="M205" s="25" t="str">
        <f>IF($Q205="","",INDEX(TRANSACTIONS_MASTER!$AA$5:$AA$1204,$Q205))</f>
        <v/>
      </c>
      <c r="N205" s="25" t="str">
        <f>IF($Q205="","",INDEX(TRANSACTIONS_MASTER!$R$5:$R$1204,$Q205))</f>
        <v/>
      </c>
      <c r="O205" s="28" t="str">
        <f>IF($Q205="","",INDEX(TRANSACTIONS_MASTER!$AB$5:$AB$1204,$Q205))</f>
        <v/>
      </c>
      <c r="P205" s="55" t="str">
        <f>IF($Q205="","",INDEX(TRANSACTIONS_MASTER!$Z$5:$Z$1204,$Q205)&amp;"")</f>
        <v/>
      </c>
      <c r="Q205" s="67" t="str">
        <f>IFERROR(MATCH($C$2&amp;"|"&amp;198,TRANSACTIONS_MASTER!$AE$5:$AE$1204,0),"")</f>
        <v/>
      </c>
    </row>
    <row r="206">
      <c r="A206" s="81" t="str">
        <f>IF($Q206="","",199)</f>
        <v/>
      </c>
      <c r="B206" s="57" t="str">
        <f>IF($Q206="","",INDEX(TRANSACTIONS_MASTER!$B$5:$B$1204,$Q206))</f>
        <v/>
      </c>
      <c r="C206" s="55" t="str">
        <f>IF($Q206="","",INDEX(TRANSACTIONS_MASTER!$F$5:$F$1204,$Q206))</f>
        <v/>
      </c>
      <c r="D206" s="55" t="str">
        <f>IF($Q206="","",INDEX(TRANSACTIONS_MASTER!$E$5:$E$1204,$Q206))</f>
        <v/>
      </c>
      <c r="E206" s="55" t="str">
        <f>IF($Q206="","",INDEX(TRANSACTIONS_MASTER!$G$5:$G$1204,$Q206)&amp;"")</f>
        <v/>
      </c>
      <c r="F206" s="29" t="str">
        <f>IF($Q206="","",INDEX(TRANSACTIONS_MASTER!$I$5:$I$1204,$Q206))</f>
        <v/>
      </c>
      <c r="G206" s="55" t="str">
        <f>IF($Q206="","",INDEX(TRANSACTIONS_MASTER!$K$5:$K$1204,$Q206))</f>
        <v/>
      </c>
      <c r="H206" s="25" t="str">
        <f>IF($Q206="","",INDEX(TRANSACTIONS_MASTER!$L$5:$L$1204,$Q206))</f>
        <v/>
      </c>
      <c r="I206" s="56" t="str">
        <f>IF($Q206="","",INDEX(TRANSACTIONS_MASTER!$N$5:$N$1204,$Q206))</f>
        <v/>
      </c>
      <c r="J206" s="25" t="str">
        <f>IF($Q206="","",INDEX(TRANSACTIONS_MASTER!$O$5:$O$1204,$Q206))</f>
        <v/>
      </c>
      <c r="K206" s="26" t="str">
        <f>IF($Q206="","",INDEX(TRANSACTIONS_MASTER!$Q$5:$Q$1204,$Q206))</f>
        <v/>
      </c>
      <c r="L206" s="25" t="str">
        <f>IF($Q206="","",INDEX(TRANSACTIONS_MASTER!$P$5:$P$1204,$Q206))</f>
        <v/>
      </c>
      <c r="M206" s="25" t="str">
        <f>IF($Q206="","",INDEX(TRANSACTIONS_MASTER!$AA$5:$AA$1204,$Q206))</f>
        <v/>
      </c>
      <c r="N206" s="25" t="str">
        <f>IF($Q206="","",INDEX(TRANSACTIONS_MASTER!$R$5:$R$1204,$Q206))</f>
        <v/>
      </c>
      <c r="O206" s="28" t="str">
        <f>IF($Q206="","",INDEX(TRANSACTIONS_MASTER!$AB$5:$AB$1204,$Q206))</f>
        <v/>
      </c>
      <c r="P206" s="55" t="str">
        <f>IF($Q206="","",INDEX(TRANSACTIONS_MASTER!$Z$5:$Z$1204,$Q206)&amp;"")</f>
        <v/>
      </c>
      <c r="Q206" s="67" t="str">
        <f>IFERROR(MATCH($C$2&amp;"|"&amp;199,TRANSACTIONS_MASTER!$AE$5:$AE$1204,0),"")</f>
        <v/>
      </c>
    </row>
    <row r="207">
      <c r="A207" s="81" t="str">
        <f>IF($Q207="","",200)</f>
        <v/>
      </c>
      <c r="B207" s="57" t="str">
        <f>IF($Q207="","",INDEX(TRANSACTIONS_MASTER!$B$5:$B$1204,$Q207))</f>
        <v/>
      </c>
      <c r="C207" s="55" t="str">
        <f>IF($Q207="","",INDEX(TRANSACTIONS_MASTER!$F$5:$F$1204,$Q207))</f>
        <v/>
      </c>
      <c r="D207" s="55" t="str">
        <f>IF($Q207="","",INDEX(TRANSACTIONS_MASTER!$E$5:$E$1204,$Q207))</f>
        <v/>
      </c>
      <c r="E207" s="55" t="str">
        <f>IF($Q207="","",INDEX(TRANSACTIONS_MASTER!$G$5:$G$1204,$Q207)&amp;"")</f>
        <v/>
      </c>
      <c r="F207" s="29" t="str">
        <f>IF($Q207="","",INDEX(TRANSACTIONS_MASTER!$I$5:$I$1204,$Q207))</f>
        <v/>
      </c>
      <c r="G207" s="55" t="str">
        <f>IF($Q207="","",INDEX(TRANSACTIONS_MASTER!$K$5:$K$1204,$Q207))</f>
        <v/>
      </c>
      <c r="H207" s="25" t="str">
        <f>IF($Q207="","",INDEX(TRANSACTIONS_MASTER!$L$5:$L$1204,$Q207))</f>
        <v/>
      </c>
      <c r="I207" s="56" t="str">
        <f>IF($Q207="","",INDEX(TRANSACTIONS_MASTER!$N$5:$N$1204,$Q207))</f>
        <v/>
      </c>
      <c r="J207" s="25" t="str">
        <f>IF($Q207="","",INDEX(TRANSACTIONS_MASTER!$O$5:$O$1204,$Q207))</f>
        <v/>
      </c>
      <c r="K207" s="26" t="str">
        <f>IF($Q207="","",INDEX(TRANSACTIONS_MASTER!$Q$5:$Q$1204,$Q207))</f>
        <v/>
      </c>
      <c r="L207" s="25" t="str">
        <f>IF($Q207="","",INDEX(TRANSACTIONS_MASTER!$P$5:$P$1204,$Q207))</f>
        <v/>
      </c>
      <c r="M207" s="25" t="str">
        <f>IF($Q207="","",INDEX(TRANSACTIONS_MASTER!$AA$5:$AA$1204,$Q207))</f>
        <v/>
      </c>
      <c r="N207" s="25" t="str">
        <f>IF($Q207="","",INDEX(TRANSACTIONS_MASTER!$R$5:$R$1204,$Q207))</f>
        <v/>
      </c>
      <c r="O207" s="28" t="str">
        <f>IF($Q207="","",INDEX(TRANSACTIONS_MASTER!$AB$5:$AB$1204,$Q207))</f>
        <v/>
      </c>
      <c r="P207" s="55" t="str">
        <f>IF($Q207="","",INDEX(TRANSACTIONS_MASTER!$Z$5:$Z$1204,$Q207)&amp;"")</f>
        <v/>
      </c>
      <c r="Q207" s="67" t="str">
        <f>IFERROR(MATCH($C$2&amp;"|"&amp;200,TRANSACTIONS_MASTER!$AE$5:$AE$1204,0),"")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autoFilter ref="A7:P207"/>
  <mergeCells count="14">
    <mergeCell ref="I4:J4"/>
    <mergeCell ref="T3:W3"/>
    <mergeCell ref="B3:C3"/>
    <mergeCell ref="T4:W4"/>
    <mergeCell ref="M4:O4"/>
    <mergeCell ref="M3:O3"/>
    <mergeCell ref="F4:H4"/>
    <mergeCell ref="D4:E4"/>
    <mergeCell ref="K4:L4"/>
    <mergeCell ref="F3:H3"/>
    <mergeCell ref="D3:E3"/>
    <mergeCell ref="B4:C4"/>
    <mergeCell ref="K3:L3"/>
    <mergeCell ref="I3:J3"/>
  </mergeCells>
  <conditionalFormatting sqref="AA8:AA57">
    <cfRule type="dataBar" priority="1">
      <dataBar showValue="1">
        <cfvo type="num" val="0"/>
        <cfvo type="num" val="1"/>
        <color rgb="00F2A1BF"/>
      </dataBar>
    </cfRule>
    <cfRule type="expression" priority="2" dxfId="8">
      <formula>AND(ISNUMBER(AA8),AA8&gt;=1)</formula>
    </cfRule>
  </conditionalFormatting>
  <conditionalFormatting sqref="Z8:Z57">
    <cfRule type="cellIs" priority="3" operator="equal" dxfId="1">
      <formula>0</formula>
    </cfRule>
  </conditionalFormatting>
  <conditionalFormatting sqref="Z62:Z91">
    <cfRule type="dataBar" priority="4">
      <dataBar showValue="1">
        <cfvo type="num" val="0"/>
        <cfvo type="num" val="1"/>
        <color rgb="00F2A1BF"/>
      </dataBar>
    </cfRule>
    <cfRule type="expression" priority="5" dxfId="8">
      <formula>AND(ISNUMBER(Z62),Z62&gt;=1)</formula>
    </cfRule>
  </conditionalFormatting>
  <conditionalFormatting sqref="Y62:Y91">
    <cfRule type="cellIs" priority="6" operator="equal" dxfId="1">
      <formula>0</formula>
    </cfRule>
  </conditionalFormatting>
  <conditionalFormatting sqref="A8:P207">
    <cfRule type="expression" priority="7" dxfId="5" stopIfTrue="0">
      <formula>MOD(ROW(),2)=0</formula>
    </cfRule>
  </conditionalFormatting>
  <conditionalFormatting sqref="O8:O207">
    <cfRule type="cellIs" priority="8" operator="equal" dxfId="3">
      <formula>"Được hoàn"</formula>
    </cfRule>
    <cfRule type="cellIs" priority="9" operator="equal" dxfId="2">
      <formula>"Hoàn một phần"</formula>
    </cfRule>
    <cfRule type="cellIs" priority="10" operator="equal" dxfId="1">
      <formula>"Đã đạt cap"</formula>
    </cfRule>
    <cfRule type="cellIs" priority="11" operator="equal" dxfId="4">
      <formula>"Không được hoàn"</formula>
    </cfRule>
    <cfRule type="cellIs" priority="12" operator="equal" dxfId="0">
      <formula>"Đã hủy"</formula>
    </cfRule>
  </conditionalFormatting>
  <conditionalFormatting sqref="K8:K207">
    <cfRule type="expression" priority="13" dxfId="7">
      <formula>AND(ISNUMBER($K8),$K8&gt;0)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F8C8DC"/>
    <outlinePr summaryBelow="1" summaryRight="1"/>
    <pageSetUpPr/>
  </sheetPr>
  <dimension ref="A1:AA20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13" customWidth="1" min="4" max="4"/>
    <col width="22" customWidth="1" min="5" max="5"/>
    <col width="8" customWidth="1" min="6" max="6"/>
    <col width="17" customWidth="1" min="7" max="7"/>
    <col width="14" customWidth="1" min="8" max="8"/>
    <col width="10" customWidth="1" min="9" max="9"/>
    <col width="15" customWidth="1" min="10" max="10"/>
    <col width="15" customWidth="1" min="11" max="11"/>
    <col width="14" customWidth="1" min="12" max="12"/>
    <col width="14" customWidth="1" min="13" max="13"/>
    <col width="15" customWidth="1" min="14" max="14"/>
    <col width="16" customWidth="1" min="15" max="15"/>
    <col width="14" customWidth="1" min="16" max="16"/>
    <col width="3" customWidth="1" min="17" max="17"/>
    <col width="3" customWidth="1" min="18" max="18"/>
    <col width="4" customWidth="1" min="19" max="19"/>
    <col width="12" customWidth="1" min="20" max="20"/>
    <col width="30" customWidth="1" min="21" max="21"/>
    <col width="15" customWidth="1" min="22" max="22"/>
    <col width="17" customWidth="1" min="23" max="23"/>
    <col width="15" customWidth="1" min="24" max="24"/>
    <col width="15" customWidth="1" min="25" max="25"/>
    <col width="15" customWidth="1" min="26" max="26"/>
    <col width="12" customWidth="1" min="27" max="27"/>
  </cols>
  <sheetData>
    <row r="1" ht="28" customHeight="1">
      <c r="B1" s="70" t="str">
        <f>"THÁNG "&amp;MOD($C$2,100)&amp;"/"&amp;INT($C$2/100)&amp;"   ♥"</f>
        <v>THÁNG 9/2026   ♥</v>
      </c>
    </row>
    <row r="2" ht="20" customHeight="1">
      <c r="B2" s="71" t="inlineStr">
        <is>
          <t>Mã tháng</t>
        </is>
      </c>
      <c r="C2" s="72" t="n">
        <v>202609</v>
      </c>
      <c r="E2" s="66" t="str">
        <f>HYPERLINK("#Dashboard!A1","← Dashboard")</f>
        <v>← Dashboard</v>
      </c>
      <c r="G2" s="66" t="str">
        <f>HYPERLINK("#TRANSACTIONS_MASTER!A1","Giao dịch (nhập ở đây) →")</f>
        <v>Giao dịch (nhập ở đây) →</v>
      </c>
      <c r="J2" s="66" t="str">
        <f>HYPERLINK("#'2026-09'!S6","Cap &amp; thẻ →")</f>
        <v>Cap &amp; thẻ →</v>
      </c>
      <c r="L2" s="66" t="str">
        <f>HYPERLINK("#'2026-09'!S95","Phân tích →")</f>
        <v>Phân tích →</v>
      </c>
      <c r="N2" s="66" t="str">
        <f>HYPERLINK("#'2026-09'!A1","↑ Đầu trang")</f>
        <v>↑ Đầu trang</v>
      </c>
      <c r="O2" s="73" t="inlineStr">
        <is>
          <t>Sheet này là bản xem tự động — nhập giao dịch ở TRANSACTIONS_MASTER</t>
        </is>
      </c>
    </row>
    <row r="3" ht="17" customHeight="1">
      <c r="B3" s="74" t="inlineStr">
        <is>
          <t>💰 Tổng chi tiêu</t>
        </is>
      </c>
      <c r="C3" s="75" t="n"/>
      <c r="D3" s="74" t="inlineStr">
        <is>
          <t>★ Tổng cashback (thực nhận)</t>
        </is>
      </c>
      <c r="E3" s="75" t="n"/>
      <c r="F3" s="74" t="inlineStr">
        <is>
          <t>Cashback còn có thể nhận</t>
        </is>
      </c>
      <c r="G3" s="75" t="n"/>
      <c r="H3" s="75" t="n"/>
      <c r="I3" s="74" t="inlineStr">
        <is>
          <t>Số giao dịch</t>
        </is>
      </c>
      <c r="J3" s="75" t="n"/>
      <c r="K3" s="74" t="inlineStr">
        <is>
          <t>Số thẻ sử dụng</t>
        </is>
      </c>
      <c r="L3" s="75" t="n"/>
      <c r="M3" s="74" t="inlineStr">
        <is>
          <t>Thẻ có cashback cao nhất</t>
        </is>
      </c>
      <c r="N3" s="75" t="n"/>
      <c r="O3" s="75" t="n"/>
      <c r="T3" s="74" t="inlineStr">
        <is>
          <t>Danh mục chi tiêu nhiều nhất</t>
        </is>
      </c>
      <c r="U3" s="75" t="n"/>
      <c r="V3" s="75" t="n"/>
      <c r="W3" s="75" t="n"/>
    </row>
    <row r="4" ht="30" customHeight="1">
      <c r="B4" s="76">
        <f>SUMIFS(TRANSACTIONS_MASTER!$L$5:$L$1204,TRANSACTIONS_MASTER!$C$5:$C$1204,$C$2,TRANSACTIONS_MASTER!$U$5:$U$1204,"&lt;&gt;Cancelled")</f>
        <v>9650000</v>
      </c>
      <c r="C4" s="77" t="n"/>
      <c r="D4" s="76">
        <f>SUMIFS(TRANSACTIONS_MASTER!$Q$5:$Q$1204,TRANSACTIONS_MASTER!$C$5:$C$1204,$C$2)</f>
        <v>826000</v>
      </c>
      <c r="E4" s="77" t="n"/>
      <c r="F4" s="76">
        <f>SUM($Y$62:$Y$91)</f>
        <v>3674000</v>
      </c>
      <c r="G4" s="77" t="n"/>
      <c r="H4" s="77" t="n"/>
      <c r="I4" s="78">
        <f>COUNTIFS(TRANSACTIONS_MASTER!$C$5:$C$1204,$C$2,TRANSACTIONS_MASTER!$U$5:$U$1204,"&lt;&gt;Cancelled")</f>
        <v>6</v>
      </c>
      <c r="J4" s="77" t="n"/>
      <c r="K4" s="78">
        <f>COUNTIF($AA$62:$AA$91,"&gt;0")</f>
        <v>4</v>
      </c>
      <c r="L4" s="77" t="n"/>
      <c r="M4" s="79" t="str">
        <f>IF(MAX($W$62:$W$91)&gt;0,INDEX($U$62:$U$91,MATCH(MAX($W$62:$W$91),$W$62:$W$91,0)),"—")</f>
        <v>VPBank JCB Z Card</v>
      </c>
      <c r="N4" s="77" t="n"/>
      <c r="O4" s="77" t="n"/>
      <c r="T4" s="79" t="str">
        <f>IF(MAX($V$117:$V$131)&gt;0,INDEX($U$117:$U$131,MATCH(MAX($V$117:$V$131),$V$117:$V$131,0)),"—")</f>
        <v>Dining</v>
      </c>
      <c r="U4" s="77" t="n"/>
      <c r="V4" s="77" t="n"/>
      <c r="W4" s="77" t="n"/>
    </row>
    <row r="5" ht="6" customHeight="1"/>
    <row r="6" ht="22" customHeight="1">
      <c r="A6" s="19" t="inlineStr">
        <is>
          <t>GIAO DỊCH TRONG THÁNG</t>
        </is>
      </c>
      <c r="B6" s="20" t="n"/>
      <c r="C6" s="20" t="n"/>
      <c r="D6" s="20" t="n"/>
      <c r="E6" s="20" t="n"/>
      <c r="F6" s="20" t="n"/>
      <c r="G6" s="20" t="n"/>
      <c r="H6" s="80" t="str">
        <f>IF(COUNTIFS(TRANSACTIONS_MASTER!$C$5:$C$1204,$C$2)&gt;200,"⚠ Còn "&amp;(COUNTIFS(TRANSACTIONS_MASTER!$C$5:$C$1204,$C$2)-200)&amp;" giao dịch chưa hiển thị — xem TRANSACTIONS_MASTER","")</f>
        <v/>
      </c>
      <c r="I6" s="20" t="n"/>
      <c r="J6" s="20" t="n"/>
      <c r="K6" s="20" t="n"/>
      <c r="L6" s="20" t="n"/>
      <c r="M6" s="20" t="n"/>
      <c r="N6" s="20" t="n"/>
      <c r="O6" s="20" t="n"/>
      <c r="P6" s="20" t="n"/>
      <c r="T6" s="19" t="inlineStr">
        <is>
          <t>THEO DÕI CAP — TỪNG NHÓM CASHBACK (progress bar)</t>
        </is>
      </c>
      <c r="U6" s="20" t="n"/>
      <c r="V6" s="20" t="n"/>
      <c r="W6" s="20" t="n"/>
      <c r="X6" s="20" t="n"/>
      <c r="Y6" s="20" t="n"/>
      <c r="Z6" s="20" t="n"/>
      <c r="AA6" s="20" t="n"/>
    </row>
    <row r="7" ht="30" customHeight="1">
      <c r="A7" s="21" t="inlineStr">
        <is>
          <t>#</t>
        </is>
      </c>
      <c r="B7" s="21" t="inlineStr">
        <is>
          <t>Ngày</t>
        </is>
      </c>
      <c r="C7" s="21" t="inlineStr">
        <is>
          <t>Thẻ</t>
        </is>
      </c>
      <c r="D7" s="21" t="inlineStr">
        <is>
          <t>Ngân hàng</t>
        </is>
      </c>
      <c r="E7" s="21" t="inlineStr">
        <is>
          <t>Merchant</t>
        </is>
      </c>
      <c r="F7" s="21" t="inlineStr">
        <is>
          <t>MCC</t>
        </is>
      </c>
      <c r="G7" s="21" t="inlineStr">
        <is>
          <t>Danh mục</t>
        </is>
      </c>
      <c r="H7" s="21" t="inlineStr">
        <is>
          <t>Số tiền</t>
        </is>
      </c>
      <c r="I7" s="21" t="inlineStr">
        <is>
          <t>Cashback %</t>
        </is>
      </c>
      <c r="J7" s="21" t="inlineStr">
        <is>
          <t>Cashback tính toán</t>
        </is>
      </c>
      <c r="K7" s="21" t="inlineStr">
        <is>
          <t>Cashback thực nhận</t>
        </is>
      </c>
      <c r="L7" s="21" t="inlineStr">
        <is>
          <t>Cap danh mục</t>
        </is>
      </c>
      <c r="M7" s="21" t="inlineStr">
        <is>
          <t>Cap thẻ</t>
        </is>
      </c>
      <c r="N7" s="21" t="inlineStr">
        <is>
          <t>Cashback còn lại</t>
        </is>
      </c>
      <c r="O7" s="21" t="inlineStr">
        <is>
          <t>Trạng thái hoàn</t>
        </is>
      </c>
      <c r="P7" s="21" t="inlineStr">
        <is>
          <t>Nhóm cashback</t>
        </is>
      </c>
      <c r="Q7" s="21" t="inlineStr">
        <is>
          <t>⚙</t>
        </is>
      </c>
      <c r="S7" s="21" t="inlineStr">
        <is>
          <t>#</t>
        </is>
      </c>
      <c r="T7" s="21" t="inlineStr">
        <is>
          <t>Card ID</t>
        </is>
      </c>
      <c r="U7" s="21" t="inlineStr">
        <is>
          <t>Thẻ</t>
        </is>
      </c>
      <c r="V7" s="21" t="inlineStr">
        <is>
          <t>Nhóm</t>
        </is>
      </c>
      <c r="W7" s="21" t="inlineStr">
        <is>
          <t>Danh mục</t>
        </is>
      </c>
      <c r="X7" s="21" t="inlineStr">
        <is>
          <t>Đã cashback</t>
        </is>
      </c>
      <c r="Y7" s="21" t="inlineStr">
        <is>
          <t>Cap nhóm</t>
        </is>
      </c>
      <c r="Z7" s="21" t="inlineStr">
        <is>
          <t>Còn lại</t>
        </is>
      </c>
      <c r="AA7" s="21" t="inlineStr">
        <is>
          <t>Progress</t>
        </is>
      </c>
    </row>
    <row r="8" ht="20" customHeight="1">
      <c r="A8" s="81">
        <f>IF($Q8="","",1)</f>
        <v>1</v>
      </c>
      <c r="B8" s="57">
        <f>IF($Q8="","",INDEX(TRANSACTIONS_MASTER!$B$5:$B$1204,$Q8))</f>
        <v>46268.0</v>
      </c>
      <c r="C8" s="55" t="str">
        <f>IF($Q8="","",INDEX(TRANSACTIONS_MASTER!$F$5:$F$1204,$Q8))</f>
        <v>JCB Z Card</v>
      </c>
      <c r="D8" s="55" t="str">
        <f>IF($Q8="","",INDEX(TRANSACTIONS_MASTER!$E$5:$E$1204,$Q8))</f>
        <v>VPBank</v>
      </c>
      <c r="E8" s="55" t="str">
        <f>IF($Q8="","",INDEX(TRANSACTIONS_MASTER!$G$5:$G$1204,$Q8)&amp;"")</f>
        <v>Highlands Coffee</v>
      </c>
      <c r="F8" s="29">
        <f>IF($Q8="","",INDEX(TRANSACTIONS_MASTER!$I$5:$I$1204,$Q8))</f>
        <v>5814</v>
      </c>
      <c r="G8" s="55" t="str">
        <f>IF($Q8="","",INDEX(TRANSACTIONS_MASTER!$K$5:$K$1204,$Q8))</f>
        <v>Dining</v>
      </c>
      <c r="H8" s="25">
        <f>IF($Q8="","",INDEX(TRANSACTIONS_MASTER!$L$5:$L$1204,$Q8))</f>
        <v>150000</v>
      </c>
      <c r="I8" s="56">
        <f>IF($Q8="","",INDEX(TRANSACTIONS_MASTER!$N$5:$N$1204,$Q8))</f>
        <v>0.15</v>
      </c>
      <c r="J8" s="25">
        <f>IF($Q8="","",INDEX(TRANSACTIONS_MASTER!$O$5:$O$1204,$Q8))</f>
        <v>22500</v>
      </c>
      <c r="K8" s="26">
        <f>IF($Q8="","",INDEX(TRANSACTIONS_MASTER!$Q$5:$Q$1204,$Q8))</f>
        <v>22500</v>
      </c>
      <c r="L8" s="25">
        <f>IF($Q8="","",INDEX(TRANSACTIONS_MASTER!$P$5:$P$1204,$Q8))</f>
        <v>500000</v>
      </c>
      <c r="M8" s="25">
        <f>IF($Q8="","",INDEX(TRANSACTIONS_MASTER!$AA$5:$AA$1204,$Q8))</f>
        <v>1000000</v>
      </c>
      <c r="N8" s="25">
        <f>IF($Q8="","",INDEX(TRANSACTIONS_MASTER!$R$5:$R$1204,$Q8))</f>
        <v>477500</v>
      </c>
      <c r="O8" s="28" t="str">
        <f>IF($Q8="","",INDEX(TRANSACTIONS_MASTER!$AB$5:$AB$1204,$Q8))</f>
        <v>Được hoàn</v>
      </c>
      <c r="P8" s="55" t="str">
        <f>IF($Q8="","",INDEX(TRANSACTIONS_MASTER!$Z$5:$Z$1204,$Q8)&amp;"")</f>
        <v>Group 1</v>
      </c>
      <c r="Q8" s="67">
        <f>IFERROR(MATCH($C$2&amp;"|"&amp;1,TRANSACTIONS_MASTER!$AE$5:$AE$1204,0),"")</f>
        <v>1</v>
      </c>
      <c r="S8" s="67">
        <f>IFERROR(MATCH(1,CASHBACK_RULES!$S$5:$S$304,0),"")</f>
        <v>1</v>
      </c>
      <c r="T8" s="55" t="str">
        <f>IF($S8="","",INDEX(CASHBACK_RULES!$B$5:$B$304,$S8))</f>
        <v>VPB-JCBZ</v>
      </c>
      <c r="U8" s="55" t="str">
        <f>IF($S8="","",INDEX(CASHBACK_RULES!$C$5:$C$304,$S8)&amp;" "&amp;INDEX(CASHBACK_RULES!$D$5:$D$304,$S8))</f>
        <v>VPBank JCB Z Card</v>
      </c>
      <c r="V8" s="55" t="str">
        <f>IF($S8="","",INDEX(CASHBACK_RULES!$E$5:$E$304,$S8)&amp;"")</f>
        <v>Group 1</v>
      </c>
      <c r="W8" s="55" t="str">
        <f>IF($S8="","",INDEX(CASHBACK_RULES!$F$5:$F$304,$S8)&amp;"")</f>
        <v>Dining</v>
      </c>
      <c r="X8" s="26">
        <f>IF($S8="","",SUMIFS(TRANSACTIONS_MASTER!$Q$5:$Q$1204,TRANSACTIONS_MASTER!$D$5:$D$1204,$T8,TRANSACTIONS_MASTER!$Z$5:$Z$1204,$V8,TRANSACTIONS_MASTER!$C$5:$C$1204,$C$2))</f>
        <v>500000</v>
      </c>
      <c r="Y8" s="25">
        <f>IF($S8="","",IF(ISNUMBER(INDEX(CASHBACK_RULES!$J$5:$J$304,$S8)),INDEX(CASHBACK_RULES!$J$5:$J$304,$S8),"∞"))</f>
        <v>500000</v>
      </c>
      <c r="Z8" s="25">
        <f>IF($S8="","",IF(ISNUMBER($Y8),MAX(0,$Y8-$X8),"∞"))</f>
        <v>0</v>
      </c>
      <c r="AA8" s="27">
        <f>IF($S8="","",IF(ISNUMBER($Y8),IF($Y8=0,0,$X8/$Y8),""))</f>
        <v>1</v>
      </c>
    </row>
    <row r="9" ht="20" customHeight="1">
      <c r="A9" s="81">
        <f>IF($Q9="","",2)</f>
        <v>2</v>
      </c>
      <c r="B9" s="57">
        <f>IF($Q9="","",INDEX(TRANSACTIONS_MASTER!$B$5:$B$1204,$Q9))</f>
        <v>46270.0</v>
      </c>
      <c r="C9" s="55" t="str">
        <f>IF($Q9="","",INDEX(TRANSACTIONS_MASTER!$F$5:$F$1204,$Q9))</f>
        <v>JCB Z Card</v>
      </c>
      <c r="D9" s="55" t="str">
        <f>IF($Q9="","",INDEX(TRANSACTIONS_MASTER!$E$5:$E$1204,$Q9))</f>
        <v>VPBank</v>
      </c>
      <c r="E9" s="55" t="str">
        <f>IF($Q9="","",INDEX(TRANSACTIONS_MASTER!$G$5:$G$1204,$Q9)&amp;"")</f>
        <v>Nhà hàng Sen Tây Hồ</v>
      </c>
      <c r="F9" s="29">
        <f>IF($Q9="","",INDEX(TRANSACTIONS_MASTER!$I$5:$I$1204,$Q9))</f>
        <v>5812</v>
      </c>
      <c r="G9" s="55" t="str">
        <f>IF($Q9="","",INDEX(TRANSACTIONS_MASTER!$K$5:$K$1204,$Q9))</f>
        <v>Dining</v>
      </c>
      <c r="H9" s="25">
        <f>IF($Q9="","",INDEX(TRANSACTIONS_MASTER!$L$5:$L$1204,$Q9))</f>
        <v>4000000</v>
      </c>
      <c r="I9" s="56">
        <f>IF($Q9="","",INDEX(TRANSACTIONS_MASTER!$N$5:$N$1204,$Q9))</f>
        <v>0.15</v>
      </c>
      <c r="J9" s="25">
        <f>IF($Q9="","",INDEX(TRANSACTIONS_MASTER!$O$5:$O$1204,$Q9))</f>
        <v>600000</v>
      </c>
      <c r="K9" s="26">
        <f>IF($Q9="","",INDEX(TRANSACTIONS_MASTER!$Q$5:$Q$1204,$Q9))</f>
        <v>477500</v>
      </c>
      <c r="L9" s="25">
        <f>IF($Q9="","",INDEX(TRANSACTIONS_MASTER!$P$5:$P$1204,$Q9))</f>
        <v>500000</v>
      </c>
      <c r="M9" s="25">
        <f>IF($Q9="","",INDEX(TRANSACTIONS_MASTER!$AA$5:$AA$1204,$Q9))</f>
        <v>1000000</v>
      </c>
      <c r="N9" s="25">
        <f>IF($Q9="","",INDEX(TRANSACTIONS_MASTER!$R$5:$R$1204,$Q9))</f>
        <v>0</v>
      </c>
      <c r="O9" s="28" t="str">
        <f>IF($Q9="","",INDEX(TRANSACTIONS_MASTER!$AB$5:$AB$1204,$Q9))</f>
        <v>Hoàn một phần</v>
      </c>
      <c r="P9" s="55" t="str">
        <f>IF($Q9="","",INDEX(TRANSACTIONS_MASTER!$Z$5:$Z$1204,$Q9)&amp;"")</f>
        <v>Group 1</v>
      </c>
      <c r="Q9" s="67">
        <f>IFERROR(MATCH($C$2&amp;"|"&amp;2,TRANSACTIONS_MASTER!$AE$5:$AE$1204,0),"")</f>
        <v>2</v>
      </c>
      <c r="S9" s="67">
        <f>IFERROR(MATCH(2,CASHBACK_RULES!$S$5:$S$304,0),"")</f>
        <v>5</v>
      </c>
      <c r="T9" s="55" t="str">
        <f>IF($S9="","",INDEX(CASHBACK_RULES!$B$5:$B$304,$S9))</f>
        <v>VPB-JCBZ</v>
      </c>
      <c r="U9" s="55" t="str">
        <f>IF($S9="","",INDEX(CASHBACK_RULES!$C$5:$C$304,$S9)&amp;" "&amp;INDEX(CASHBACK_RULES!$D$5:$D$304,$S9))</f>
        <v>VPBank JCB Z Card</v>
      </c>
      <c r="V9" s="55" t="str">
        <f>IF($S9="","",INDEX(CASHBACK_RULES!$E$5:$E$304,$S9)&amp;"")</f>
        <v>Group 2</v>
      </c>
      <c r="W9" s="55" t="str">
        <f>IF($S9="","",INDEX(CASHBACK_RULES!$F$5:$F$304,$S9)&amp;"")</f>
        <v>Entertainment / Fitness</v>
      </c>
      <c r="X9" s="26">
        <f>IF($S9="","",SUMIFS(TRANSACTIONS_MASTER!$Q$5:$Q$1204,TRANSACTIONS_MASTER!$D$5:$D$1204,$T9,TRANSACTIONS_MASTER!$Z$5:$Z$1204,$V9,TRANSACTIONS_MASTER!$C$5:$C$1204,$C$2))</f>
        <v>0</v>
      </c>
      <c r="Y9" s="25">
        <f>IF($S9="","",IF(ISNUMBER(INDEX(CASHBACK_RULES!$J$5:$J$304,$S9)),INDEX(CASHBACK_RULES!$J$5:$J$304,$S9),"∞"))</f>
        <v>500000</v>
      </c>
      <c r="Z9" s="25">
        <f>IF($S9="","",IF(ISNUMBER($Y9),MAX(0,$Y9-$X9),"∞"))</f>
        <v>500000</v>
      </c>
      <c r="AA9" s="27">
        <f>IF($S9="","",IF(ISNUMBER($Y9),IF($Y9=0,0,$X9/$Y9),""))</f>
        <v>0</v>
      </c>
    </row>
    <row r="10" ht="20" customHeight="1">
      <c r="A10" s="81">
        <f>IF($Q10="","",3)</f>
        <v>3</v>
      </c>
      <c r="B10" s="57">
        <f>IF($Q10="","",INDEX(TRANSACTIONS_MASTER!$B$5:$B$1204,$Q10))</f>
        <v>46274.0</v>
      </c>
      <c r="C10" s="55" t="str">
        <f>IF($Q10="","",INDEX(TRANSACTIONS_MASTER!$F$5:$F$1204,$Q10))</f>
        <v>JCB Z Card</v>
      </c>
      <c r="D10" s="55" t="str">
        <f>IF($Q10="","",INDEX(TRANSACTIONS_MASTER!$E$5:$E$1204,$Q10))</f>
        <v>VPBank</v>
      </c>
      <c r="E10" s="55" t="str">
        <f>IF($Q10="","",INDEX(TRANSACTIONS_MASTER!$G$5:$G$1204,$Q10)&amp;"")</f>
        <v>Pub Beer Corner</v>
      </c>
      <c r="F10" s="29">
        <f>IF($Q10="","",INDEX(TRANSACTIONS_MASTER!$I$5:$I$1204,$Q10))</f>
        <v>5813</v>
      </c>
      <c r="G10" s="55" t="str">
        <f>IF($Q10="","",INDEX(TRANSACTIONS_MASTER!$K$5:$K$1204,$Q10))</f>
        <v>Dining</v>
      </c>
      <c r="H10" s="25">
        <f>IF($Q10="","",INDEX(TRANSACTIONS_MASTER!$L$5:$L$1204,$Q10))</f>
        <v>1000000</v>
      </c>
      <c r="I10" s="56">
        <f>IF($Q10="","",INDEX(TRANSACTIONS_MASTER!$N$5:$N$1204,$Q10))</f>
        <v>0.15</v>
      </c>
      <c r="J10" s="25">
        <f>IF($Q10="","",INDEX(TRANSACTIONS_MASTER!$O$5:$O$1204,$Q10))</f>
        <v>150000</v>
      </c>
      <c r="K10" s="26">
        <f>IF($Q10="","",INDEX(TRANSACTIONS_MASTER!$Q$5:$Q$1204,$Q10))</f>
        <v>0</v>
      </c>
      <c r="L10" s="25">
        <f>IF($Q10="","",INDEX(TRANSACTIONS_MASTER!$P$5:$P$1204,$Q10))</f>
        <v>500000</v>
      </c>
      <c r="M10" s="25">
        <f>IF($Q10="","",INDEX(TRANSACTIONS_MASTER!$AA$5:$AA$1204,$Q10))</f>
        <v>1000000</v>
      </c>
      <c r="N10" s="25">
        <f>IF($Q10="","",INDEX(TRANSACTIONS_MASTER!$R$5:$R$1204,$Q10))</f>
        <v>0</v>
      </c>
      <c r="O10" s="28" t="str">
        <f>IF($Q10="","",INDEX(TRANSACTIONS_MASTER!$AB$5:$AB$1204,$Q10))</f>
        <v>Đã đạt cap</v>
      </c>
      <c r="P10" s="55" t="str">
        <f>IF($Q10="","",INDEX(TRANSACTIONS_MASTER!$Z$5:$Z$1204,$Q10)&amp;"")</f>
        <v>Group 1</v>
      </c>
      <c r="Q10" s="67">
        <f>IFERROR(MATCH($C$2&amp;"|"&amp;3,TRANSACTIONS_MASTER!$AE$5:$AE$1204,0),"")</f>
        <v>3</v>
      </c>
      <c r="S10" s="67">
        <f>IFERROR(MATCH(3,CASHBACK_RULES!$S$5:$S$304,0),"")</f>
        <v>9</v>
      </c>
      <c r="T10" s="55" t="str">
        <f>IF($S10="","",INDEX(CASHBACK_RULES!$B$5:$B$304,$S10))</f>
        <v>VPB-JCBZ</v>
      </c>
      <c r="U10" s="55" t="str">
        <f>IF($S10="","",INDEX(CASHBACK_RULES!$C$5:$C$304,$S10)&amp;" "&amp;INDEX(CASHBACK_RULES!$D$5:$D$304,$S10))</f>
        <v>VPBank JCB Z Card</v>
      </c>
      <c r="V10" s="55" t="str">
        <f>IF($S10="","",INDEX(CASHBACK_RULES!$E$5:$E$304,$S10)&amp;"")</f>
        <v>Group 3</v>
      </c>
      <c r="W10" s="55" t="str">
        <f>IF($S10="","",INDEX(CASHBACK_RULES!$F$5:$F$304,$S10)&amp;"")</f>
        <v>Transport / Food Delivery</v>
      </c>
      <c r="X10" s="26">
        <f>IF($S10="","",SUMIFS(TRANSACTIONS_MASTER!$Q$5:$Q$1204,TRANSACTIONS_MASTER!$D$5:$D$1204,$T10,TRANSACTIONS_MASTER!$Z$5:$Z$1204,$V10,TRANSACTIONS_MASTER!$C$5:$C$1204,$C$2))</f>
        <v>0</v>
      </c>
      <c r="Y10" s="25">
        <f>IF($S10="","",IF(ISNUMBER(INDEX(CASHBACK_RULES!$J$5:$J$304,$S10)),INDEX(CASHBACK_RULES!$J$5:$J$304,$S10),"∞"))</f>
        <v>500000</v>
      </c>
      <c r="Z10" s="25">
        <f>IF($S10="","",IF(ISNUMBER($Y10),MAX(0,$Y10-$X10),"∞"))</f>
        <v>500000</v>
      </c>
      <c r="AA10" s="27">
        <f>IF($S10="","",IF(ISNUMBER($Y10),IF($Y10=0,0,$X10/$Y10),""))</f>
        <v>0</v>
      </c>
    </row>
    <row r="11" ht="20" customHeight="1">
      <c r="A11" s="81">
        <f>IF($Q11="","",4)</f>
        <v>4</v>
      </c>
      <c r="B11" s="57">
        <f>IF($Q11="","",INDEX(TRANSACTIONS_MASTER!$B$5:$B$1204,$Q11))</f>
        <v>46277.0</v>
      </c>
      <c r="C11" s="55" t="str">
        <f>IF($Q11="","",INDEX(TRANSACTIONS_MASTER!$F$5:$F$1204,$Q11))</f>
        <v>Cashback Demo A</v>
      </c>
      <c r="D11" s="55" t="str">
        <f>IF($Q11="","",INDEX(TRANSACTIONS_MASTER!$E$5:$E$1204,$Q11))</f>
        <v>VIB</v>
      </c>
      <c r="E11" s="55" t="str">
        <f>IF($Q11="","",INDEX(TRANSACTIONS_MASTER!$G$5:$G$1204,$Q11)&amp;"")</f>
        <v>WinMart</v>
      </c>
      <c r="F11" s="29">
        <f>IF($Q11="","",INDEX(TRANSACTIONS_MASTER!$I$5:$I$1204,$Q11))</f>
        <v>5411</v>
      </c>
      <c r="G11" s="55" t="str">
        <f>IF($Q11="","",INDEX(TRANSACTIONS_MASTER!$K$5:$K$1204,$Q11))</f>
        <v>Groceries</v>
      </c>
      <c r="H11" s="25">
        <f>IF($Q11="","",INDEX(TRANSACTIONS_MASTER!$L$5:$L$1204,$Q11))</f>
        <v>2500000</v>
      </c>
      <c r="I11" s="56">
        <f>IF($Q11="","",INDEX(TRANSACTIONS_MASTER!$N$5:$N$1204,$Q11))</f>
        <v>0.1</v>
      </c>
      <c r="J11" s="25">
        <f>IF($Q11="","",INDEX(TRANSACTIONS_MASTER!$O$5:$O$1204,$Q11))</f>
        <v>250000</v>
      </c>
      <c r="K11" s="26">
        <f>IF($Q11="","",INDEX(TRANSACTIONS_MASTER!$Q$5:$Q$1204,$Q11))</f>
        <v>250000</v>
      </c>
      <c r="L11" s="25">
        <f>IF($Q11="","",INDEX(TRANSACTIONS_MASTER!$P$5:$P$1204,$Q11))</f>
        <v>500000</v>
      </c>
      <c r="M11" s="25">
        <f>IF($Q11="","",INDEX(TRANSACTIONS_MASTER!$AA$5:$AA$1204,$Q11))</f>
        <v>1000000</v>
      </c>
      <c r="N11" s="25">
        <f>IF($Q11="","",INDEX(TRANSACTIONS_MASTER!$R$5:$R$1204,$Q11))</f>
        <v>250000</v>
      </c>
      <c r="O11" s="28" t="str">
        <f>IF($Q11="","",INDEX(TRANSACTIONS_MASTER!$AB$5:$AB$1204,$Q11))</f>
        <v>Được hoàn</v>
      </c>
      <c r="P11" s="55" t="str">
        <f>IF($Q11="","",INDEX(TRANSACTIONS_MASTER!$Z$5:$Z$1204,$Q11)&amp;"")</f>
        <v>Group 1</v>
      </c>
      <c r="Q11" s="67">
        <f>IFERROR(MATCH($C$2&amp;"|"&amp;4,TRANSACTIONS_MASTER!$AE$5:$AE$1204,0),"")</f>
        <v>4</v>
      </c>
      <c r="S11" s="67">
        <f>IFERROR(MATCH(4,CASHBACK_RULES!$S$5:$S$304,0),"")</f>
        <v>11</v>
      </c>
      <c r="T11" s="55" t="str">
        <f>IF($S11="","",INDEX(CASHBACK_RULES!$B$5:$B$304,$S11))</f>
        <v>VIB-A</v>
      </c>
      <c r="U11" s="55" t="str">
        <f>IF($S11="","",INDEX(CASHBACK_RULES!$C$5:$C$304,$S11)&amp;" "&amp;INDEX(CASHBACK_RULES!$D$5:$D$304,$S11))</f>
        <v>VIB Cashback Demo A</v>
      </c>
      <c r="V11" s="55" t="str">
        <f>IF($S11="","",INDEX(CASHBACK_RULES!$E$5:$E$304,$S11)&amp;"")</f>
        <v>Group 1</v>
      </c>
      <c r="W11" s="55" t="str">
        <f>IF($S11="","",INDEX(CASHBACK_RULES!$F$5:$F$304,$S11)&amp;"")</f>
        <v>Groceries</v>
      </c>
      <c r="X11" s="26">
        <f>IF($S11="","",SUMIFS(TRANSACTIONS_MASTER!$Q$5:$Q$1204,TRANSACTIONS_MASTER!$D$5:$D$1204,$T11,TRANSACTIONS_MASTER!$Z$5:$Z$1204,$V11,TRANSACTIONS_MASTER!$C$5:$C$1204,$C$2))</f>
        <v>250000</v>
      </c>
      <c r="Y11" s="25">
        <f>IF($S11="","",IF(ISNUMBER(INDEX(CASHBACK_RULES!$J$5:$J$304,$S11)),INDEX(CASHBACK_RULES!$J$5:$J$304,$S11),"∞"))</f>
        <v>500000</v>
      </c>
      <c r="Z11" s="25">
        <f>IF($S11="","",IF(ISNUMBER($Y11),MAX(0,$Y11-$X11),"∞"))</f>
        <v>250000</v>
      </c>
      <c r="AA11" s="27">
        <f>IF($S11="","",IF(ISNUMBER($Y11),IF($Y11=0,0,$X11/$Y11),""))</f>
        <v>0.5</v>
      </c>
    </row>
    <row r="12" ht="20" customHeight="1">
      <c r="A12" s="81">
        <f>IF($Q12="","",5)</f>
        <v>5</v>
      </c>
      <c r="B12" s="57">
        <f>IF($Q12="","",INDEX(TRANSACTIONS_MASTER!$B$5:$B$1204,$Q12))</f>
        <v>46280.0</v>
      </c>
      <c r="C12" s="55" t="str">
        <f>IF($Q12="","",INDEX(TRANSACTIONS_MASTER!$F$5:$F$1204,$Q12))</f>
        <v>Cashback Demo B</v>
      </c>
      <c r="D12" s="55" t="str">
        <f>IF($Q12="","",INDEX(TRANSACTIONS_MASTER!$E$5:$E$1204,$Q12))</f>
        <v>Techcombank</v>
      </c>
      <c r="E12" s="55" t="str">
        <f>IF($Q12="","",INDEX(TRANSACTIONS_MASTER!$G$5:$G$1204,$Q12)&amp;"")</f>
        <v>Petrolimex</v>
      </c>
      <c r="F12" s="29">
        <f>IF($Q12="","",INDEX(TRANSACTIONS_MASTER!$I$5:$I$1204,$Q12))</f>
        <v>5541</v>
      </c>
      <c r="G12" s="55" t="str">
        <f>IF($Q12="","",INDEX(TRANSACTIONS_MASTER!$K$5:$K$1204,$Q12))</f>
        <v>Fuel</v>
      </c>
      <c r="H12" s="25">
        <f>IF($Q12="","",INDEX(TRANSACTIONS_MASTER!$L$5:$L$1204,$Q12))</f>
        <v>1200000</v>
      </c>
      <c r="I12" s="56">
        <f>IF($Q12="","",INDEX(TRANSACTIONS_MASTER!$N$5:$N$1204,$Q12))</f>
        <v>0.05</v>
      </c>
      <c r="J12" s="25">
        <f>IF($Q12="","",INDEX(TRANSACTIONS_MASTER!$O$5:$O$1204,$Q12))</f>
        <v>60000</v>
      </c>
      <c r="K12" s="26">
        <f>IF($Q12="","",INDEX(TRANSACTIONS_MASTER!$Q$5:$Q$1204,$Q12))</f>
        <v>60000</v>
      </c>
      <c r="L12" s="25">
        <f>IF($Q12="","",INDEX(TRANSACTIONS_MASTER!$P$5:$P$1204,$Q12))</f>
        <v>300000</v>
      </c>
      <c r="M12" s="25">
        <f>IF($Q12="","",INDEX(TRANSACTIONS_MASTER!$AA$5:$AA$1204,$Q12))</f>
        <v>2000000</v>
      </c>
      <c r="N12" s="25">
        <f>IF($Q12="","",INDEX(TRANSACTIONS_MASTER!$R$5:$R$1204,$Q12))</f>
        <v>240000</v>
      </c>
      <c r="O12" s="28" t="str">
        <f>IF($Q12="","",INDEX(TRANSACTIONS_MASTER!$AB$5:$AB$1204,$Q12))</f>
        <v>Được hoàn</v>
      </c>
      <c r="P12" s="55" t="str">
        <f>IF($Q12="","",INDEX(TRANSACTIONS_MASTER!$Z$5:$Z$1204,$Q12)&amp;"")</f>
        <v>Group 1</v>
      </c>
      <c r="Q12" s="67">
        <f>IFERROR(MATCH($C$2&amp;"|"&amp;5,TRANSACTIONS_MASTER!$AE$5:$AE$1204,0),"")</f>
        <v>5</v>
      </c>
      <c r="S12" s="67">
        <f>IFERROR(MATCH(5,CASHBACK_RULES!$S$5:$S$304,0),"")</f>
        <v>13</v>
      </c>
      <c r="T12" s="55" t="str">
        <f>IF($S12="","",INDEX(CASHBACK_RULES!$B$5:$B$304,$S12))</f>
        <v>VIB-A</v>
      </c>
      <c r="U12" s="55" t="str">
        <f>IF($S12="","",INDEX(CASHBACK_RULES!$C$5:$C$304,$S12)&amp;" "&amp;INDEX(CASHBACK_RULES!$D$5:$D$304,$S12))</f>
        <v>VIB Cashback Demo A</v>
      </c>
      <c r="V12" s="55" t="str">
        <f>IF($S12="","",INDEX(CASHBACK_RULES!$E$5:$E$304,$S12)&amp;"")</f>
        <v>Group 2</v>
      </c>
      <c r="W12" s="55" t="str">
        <f>IF($S12="","",INDEX(CASHBACK_RULES!$F$5:$F$304,$S12)&amp;"")</f>
        <v>Shopping</v>
      </c>
      <c r="X12" s="26">
        <f>IF($S12="","",SUMIFS(TRANSACTIONS_MASTER!$Q$5:$Q$1204,TRANSACTIONS_MASTER!$D$5:$D$1204,$T12,TRANSACTIONS_MASTER!$Z$5:$Z$1204,$V12,TRANSACTIONS_MASTER!$C$5:$C$1204,$C$2))</f>
        <v>0</v>
      </c>
      <c r="Y12" s="25">
        <f>IF($S12="","",IF(ISNUMBER(INDEX(CASHBACK_RULES!$J$5:$J$304,$S12)),INDEX(CASHBACK_RULES!$J$5:$J$304,$S12),"∞"))</f>
        <v>500000</v>
      </c>
      <c r="Z12" s="25">
        <f>IF($S12="","",IF(ISNUMBER($Y12),MAX(0,$Y12-$X12),"∞"))</f>
        <v>500000</v>
      </c>
      <c r="AA12" s="27">
        <f>IF($S12="","",IF(ISNUMBER($Y12),IF($Y12=0,0,$X12/$Y12),""))</f>
        <v>0</v>
      </c>
    </row>
    <row r="13" ht="20" customHeight="1">
      <c r="A13" s="81">
        <f>IF($Q13="","",6)</f>
        <v>6</v>
      </c>
      <c r="B13" s="57">
        <f>IF($Q13="","",INDEX(TRANSACTIONS_MASTER!$B$5:$B$1204,$Q13))</f>
        <v>46287.0</v>
      </c>
      <c r="C13" s="55" t="str">
        <f>IF($Q13="","",INDEX(TRANSACTIONS_MASTER!$F$5:$F$1204,$Q13))</f>
        <v>Cashback Demo D</v>
      </c>
      <c r="D13" s="55" t="str">
        <f>IF($Q13="","",INDEX(TRANSACTIONS_MASTER!$E$5:$E$1204,$Q13))</f>
        <v>MB</v>
      </c>
      <c r="E13" s="55" t="str">
        <f>IF($Q13="","",INDEX(TRANSACTIONS_MASTER!$G$5:$G$1204,$Q13)&amp;"")</f>
        <v>Co.opmart</v>
      </c>
      <c r="F13" s="29">
        <f>IF($Q13="","",INDEX(TRANSACTIONS_MASTER!$I$5:$I$1204,$Q13))</f>
        <v>5411</v>
      </c>
      <c r="G13" s="55" t="str">
        <f>IF($Q13="","",INDEX(TRANSACTIONS_MASTER!$K$5:$K$1204,$Q13))</f>
        <v>Groceries</v>
      </c>
      <c r="H13" s="25">
        <f>IF($Q13="","",INDEX(TRANSACTIONS_MASTER!$L$5:$L$1204,$Q13))</f>
        <v>800000</v>
      </c>
      <c r="I13" s="56">
        <f>IF($Q13="","",INDEX(TRANSACTIONS_MASTER!$N$5:$N$1204,$Q13))</f>
        <v>0.02</v>
      </c>
      <c r="J13" s="25">
        <f>IF($Q13="","",INDEX(TRANSACTIONS_MASTER!$O$5:$O$1204,$Q13))</f>
        <v>16000</v>
      </c>
      <c r="K13" s="26">
        <f>IF($Q13="","",INDEX(TRANSACTIONS_MASTER!$Q$5:$Q$1204,$Q13))</f>
        <v>16000</v>
      </c>
      <c r="L13" s="25">
        <f>IF($Q13="","",INDEX(TRANSACTIONS_MASTER!$P$5:$P$1204,$Q13))</f>
        <v>100000</v>
      </c>
      <c r="M13" s="25">
        <f>IF($Q13="","",INDEX(TRANSACTIONS_MASTER!$AA$5:$AA$1204,$Q13))</f>
        <v>600000</v>
      </c>
      <c r="N13" s="25">
        <f>IF($Q13="","",INDEX(TRANSACTIONS_MASTER!$R$5:$R$1204,$Q13))</f>
        <v>84000</v>
      </c>
      <c r="O13" s="28" t="str">
        <f>IF($Q13="","",INDEX(TRANSACTIONS_MASTER!$AB$5:$AB$1204,$Q13))</f>
        <v>Được hoàn</v>
      </c>
      <c r="P13" s="55" t="str">
        <f>IF($Q13="","",INDEX(TRANSACTIONS_MASTER!$Z$5:$Z$1204,$Q13)&amp;"")</f>
        <v>Groceries</v>
      </c>
      <c r="Q13" s="67">
        <f>IFERROR(MATCH($C$2&amp;"|"&amp;6,TRANSACTIONS_MASTER!$AE$5:$AE$1204,0),"")</f>
        <v>6</v>
      </c>
      <c r="S13" s="67">
        <f>IFERROR(MATCH(6,CASHBACK_RULES!$S$5:$S$304,0),"")</f>
        <v>15</v>
      </c>
      <c r="T13" s="55" t="str">
        <f>IF($S13="","",INDEX(CASHBACK_RULES!$B$5:$B$304,$S13))</f>
        <v>TCB-B</v>
      </c>
      <c r="U13" s="55" t="str">
        <f>IF($S13="","",INDEX(CASHBACK_RULES!$C$5:$C$304,$S13)&amp;" "&amp;INDEX(CASHBACK_RULES!$D$5:$D$304,$S13))</f>
        <v>Techcombank Cashback Demo B</v>
      </c>
      <c r="V13" s="55" t="str">
        <f>IF($S13="","",INDEX(CASHBACK_RULES!$E$5:$E$304,$S13)&amp;"")</f>
        <v>Group 1</v>
      </c>
      <c r="W13" s="55" t="str">
        <f>IF($S13="","",INDEX(CASHBACK_RULES!$F$5:$F$304,$S13)&amp;"")</f>
        <v>Fuel &amp; Transport</v>
      </c>
      <c r="X13" s="26">
        <f>IF($S13="","",SUMIFS(TRANSACTIONS_MASTER!$Q$5:$Q$1204,TRANSACTIONS_MASTER!$D$5:$D$1204,$T13,TRANSACTIONS_MASTER!$Z$5:$Z$1204,$V13,TRANSACTIONS_MASTER!$C$5:$C$1204,$C$2))</f>
        <v>60000</v>
      </c>
      <c r="Y13" s="25">
        <f>IF($S13="","",IF(ISNUMBER(INDEX(CASHBACK_RULES!$J$5:$J$304,$S13)),INDEX(CASHBACK_RULES!$J$5:$J$304,$S13),"∞"))</f>
        <v>300000</v>
      </c>
      <c r="Z13" s="25">
        <f>IF($S13="","",IF(ISNUMBER($Y13),MAX(0,$Y13-$X13),"∞"))</f>
        <v>240000</v>
      </c>
      <c r="AA13" s="27">
        <f>IF($S13="","",IF(ISNUMBER($Y13),IF($Y13=0,0,$X13/$Y13),""))</f>
        <v>0.2</v>
      </c>
    </row>
    <row r="14" ht="20" customHeight="1">
      <c r="A14" s="81" t="str">
        <f>IF($Q14="","",7)</f>
        <v/>
      </c>
      <c r="B14" s="57" t="str">
        <f>IF($Q14="","",INDEX(TRANSACTIONS_MASTER!$B$5:$B$1204,$Q14))</f>
        <v/>
      </c>
      <c r="C14" s="55" t="str">
        <f>IF($Q14="","",INDEX(TRANSACTIONS_MASTER!$F$5:$F$1204,$Q14))</f>
        <v/>
      </c>
      <c r="D14" s="55" t="str">
        <f>IF($Q14="","",INDEX(TRANSACTIONS_MASTER!$E$5:$E$1204,$Q14))</f>
        <v/>
      </c>
      <c r="E14" s="55" t="str">
        <f>IF($Q14="","",INDEX(TRANSACTIONS_MASTER!$G$5:$G$1204,$Q14)&amp;"")</f>
        <v/>
      </c>
      <c r="F14" s="29" t="str">
        <f>IF($Q14="","",INDEX(TRANSACTIONS_MASTER!$I$5:$I$1204,$Q14))</f>
        <v/>
      </c>
      <c r="G14" s="55" t="str">
        <f>IF($Q14="","",INDEX(TRANSACTIONS_MASTER!$K$5:$K$1204,$Q14))</f>
        <v/>
      </c>
      <c r="H14" s="25" t="str">
        <f>IF($Q14="","",INDEX(TRANSACTIONS_MASTER!$L$5:$L$1204,$Q14))</f>
        <v/>
      </c>
      <c r="I14" s="56" t="str">
        <f>IF($Q14="","",INDEX(TRANSACTIONS_MASTER!$N$5:$N$1204,$Q14))</f>
        <v/>
      </c>
      <c r="J14" s="25" t="str">
        <f>IF($Q14="","",INDEX(TRANSACTIONS_MASTER!$O$5:$O$1204,$Q14))</f>
        <v/>
      </c>
      <c r="K14" s="26" t="str">
        <f>IF($Q14="","",INDEX(TRANSACTIONS_MASTER!$Q$5:$Q$1204,$Q14))</f>
        <v/>
      </c>
      <c r="L14" s="25" t="str">
        <f>IF($Q14="","",INDEX(TRANSACTIONS_MASTER!$P$5:$P$1204,$Q14))</f>
        <v/>
      </c>
      <c r="M14" s="25" t="str">
        <f>IF($Q14="","",INDEX(TRANSACTIONS_MASTER!$AA$5:$AA$1204,$Q14))</f>
        <v/>
      </c>
      <c r="N14" s="25" t="str">
        <f>IF($Q14="","",INDEX(TRANSACTIONS_MASTER!$R$5:$R$1204,$Q14))</f>
        <v/>
      </c>
      <c r="O14" s="28" t="str">
        <f>IF($Q14="","",INDEX(TRANSACTIONS_MASTER!$AB$5:$AB$1204,$Q14))</f>
        <v/>
      </c>
      <c r="P14" s="55" t="str">
        <f>IF($Q14="","",INDEX(TRANSACTIONS_MASTER!$Z$5:$Z$1204,$Q14)&amp;"")</f>
        <v/>
      </c>
      <c r="Q14" s="67" t="str">
        <f>IFERROR(MATCH($C$2&amp;"|"&amp;7,TRANSACTIONS_MASTER!$AE$5:$AE$1204,0),"")</f>
        <v/>
      </c>
      <c r="S14" s="67">
        <f>IFERROR(MATCH(7,CASHBACK_RULES!$S$5:$S$304,0),"")</f>
        <v>18</v>
      </c>
      <c r="T14" s="55" t="str">
        <f>IF($S14="","",INDEX(CASHBACK_RULES!$B$5:$B$304,$S14))</f>
        <v>TCB-B</v>
      </c>
      <c r="U14" s="55" t="str">
        <f>IF($S14="","",INDEX(CASHBACK_RULES!$C$5:$C$304,$S14)&amp;" "&amp;INDEX(CASHBACK_RULES!$D$5:$D$304,$S14))</f>
        <v>Techcombank Cashback Demo B</v>
      </c>
      <c r="V14" s="55" t="str">
        <f>IF($S14="","",INDEX(CASHBACK_RULES!$E$5:$E$304,$S14)&amp;"")</f>
        <v>Group 2</v>
      </c>
      <c r="W14" s="55" t="str">
        <f>IF($S14="","",INDEX(CASHBACK_RULES!$F$5:$F$304,$S14)&amp;"")</f>
        <v>Healthcare</v>
      </c>
      <c r="X14" s="26">
        <f>IF($S14="","",SUMIFS(TRANSACTIONS_MASTER!$Q$5:$Q$1204,TRANSACTIONS_MASTER!$D$5:$D$1204,$T14,TRANSACTIONS_MASTER!$Z$5:$Z$1204,$V14,TRANSACTIONS_MASTER!$C$5:$C$1204,$C$2))</f>
        <v>0</v>
      </c>
      <c r="Y14" s="25">
        <f>IF($S14="","",IF(ISNUMBER(INDEX(CASHBACK_RULES!$J$5:$J$304,$S14)),INDEX(CASHBACK_RULES!$J$5:$J$304,$S14),"∞"))</f>
        <v>300000</v>
      </c>
      <c r="Z14" s="25">
        <f>IF($S14="","",IF(ISNUMBER($Y14),MAX(0,$Y14-$X14),"∞"))</f>
        <v>300000</v>
      </c>
      <c r="AA14" s="27">
        <f>IF($S14="","",IF(ISNUMBER($Y14),IF($Y14=0,0,$X14/$Y14),""))</f>
        <v>0</v>
      </c>
    </row>
    <row r="15" ht="20" customHeight="1">
      <c r="A15" s="81" t="str">
        <f>IF($Q15="","",8)</f>
        <v/>
      </c>
      <c r="B15" s="57" t="str">
        <f>IF($Q15="","",INDEX(TRANSACTIONS_MASTER!$B$5:$B$1204,$Q15))</f>
        <v/>
      </c>
      <c r="C15" s="55" t="str">
        <f>IF($Q15="","",INDEX(TRANSACTIONS_MASTER!$F$5:$F$1204,$Q15))</f>
        <v/>
      </c>
      <c r="D15" s="55" t="str">
        <f>IF($Q15="","",INDEX(TRANSACTIONS_MASTER!$E$5:$E$1204,$Q15))</f>
        <v/>
      </c>
      <c r="E15" s="55" t="str">
        <f>IF($Q15="","",INDEX(TRANSACTIONS_MASTER!$G$5:$G$1204,$Q15)&amp;"")</f>
        <v/>
      </c>
      <c r="F15" s="29" t="str">
        <f>IF($Q15="","",INDEX(TRANSACTIONS_MASTER!$I$5:$I$1204,$Q15))</f>
        <v/>
      </c>
      <c r="G15" s="55" t="str">
        <f>IF($Q15="","",INDEX(TRANSACTIONS_MASTER!$K$5:$K$1204,$Q15))</f>
        <v/>
      </c>
      <c r="H15" s="25" t="str">
        <f>IF($Q15="","",INDEX(TRANSACTIONS_MASTER!$L$5:$L$1204,$Q15))</f>
        <v/>
      </c>
      <c r="I15" s="56" t="str">
        <f>IF($Q15="","",INDEX(TRANSACTIONS_MASTER!$N$5:$N$1204,$Q15))</f>
        <v/>
      </c>
      <c r="J15" s="25" t="str">
        <f>IF($Q15="","",INDEX(TRANSACTIONS_MASTER!$O$5:$O$1204,$Q15))</f>
        <v/>
      </c>
      <c r="K15" s="26" t="str">
        <f>IF($Q15="","",INDEX(TRANSACTIONS_MASTER!$Q$5:$Q$1204,$Q15))</f>
        <v/>
      </c>
      <c r="L15" s="25" t="str">
        <f>IF($Q15="","",INDEX(TRANSACTIONS_MASTER!$P$5:$P$1204,$Q15))</f>
        <v/>
      </c>
      <c r="M15" s="25" t="str">
        <f>IF($Q15="","",INDEX(TRANSACTIONS_MASTER!$AA$5:$AA$1204,$Q15))</f>
        <v/>
      </c>
      <c r="N15" s="25" t="str">
        <f>IF($Q15="","",INDEX(TRANSACTIONS_MASTER!$R$5:$R$1204,$Q15))</f>
        <v/>
      </c>
      <c r="O15" s="28" t="str">
        <f>IF($Q15="","",INDEX(TRANSACTIONS_MASTER!$AB$5:$AB$1204,$Q15))</f>
        <v/>
      </c>
      <c r="P15" s="55" t="str">
        <f>IF($Q15="","",INDEX(TRANSACTIONS_MASTER!$Z$5:$Z$1204,$Q15)&amp;"")</f>
        <v/>
      </c>
      <c r="Q15" s="67" t="str">
        <f>IFERROR(MATCH($C$2&amp;"|"&amp;8,TRANSACTIONS_MASTER!$AE$5:$AE$1204,0),"")</f>
        <v/>
      </c>
      <c r="S15" s="67">
        <f>IFERROR(MATCH(8,CASHBACK_RULES!$S$5:$S$304,0),"")</f>
        <v>20</v>
      </c>
      <c r="T15" s="55" t="str">
        <f>IF($S15="","",INDEX(CASHBACK_RULES!$B$5:$B$304,$S15))</f>
        <v>TCB-B</v>
      </c>
      <c r="U15" s="55" t="str">
        <f>IF($S15="","",INDEX(CASHBACK_RULES!$C$5:$C$304,$S15)&amp;" "&amp;INDEX(CASHBACK_RULES!$D$5:$D$304,$S15))</f>
        <v>Techcombank Cashback Demo B</v>
      </c>
      <c r="V15" s="55" t="str">
        <f>IF($S15="","",INDEX(CASHBACK_RULES!$E$5:$E$304,$S15)&amp;"")</f>
        <v>Group 3</v>
      </c>
      <c r="W15" s="55" t="str">
        <f>IF($S15="","",INDEX(CASHBACK_RULES!$F$5:$F$304,$S15)&amp;"")</f>
        <v>Utilities &amp; Telecom</v>
      </c>
      <c r="X15" s="26">
        <f>IF($S15="","",SUMIFS(TRANSACTIONS_MASTER!$Q$5:$Q$1204,TRANSACTIONS_MASTER!$D$5:$D$1204,$T15,TRANSACTIONS_MASTER!$Z$5:$Z$1204,$V15,TRANSACTIONS_MASTER!$C$5:$C$1204,$C$2))</f>
        <v>0</v>
      </c>
      <c r="Y15" s="25">
        <f>IF($S15="","",IF(ISNUMBER(INDEX(CASHBACK_RULES!$J$5:$J$304,$S15)),INDEX(CASHBACK_RULES!$J$5:$J$304,$S15),"∞"))</f>
        <v>300000</v>
      </c>
      <c r="Z15" s="25">
        <f>IF($S15="","",IF(ISNUMBER($Y15),MAX(0,$Y15-$X15),"∞"))</f>
        <v>300000</v>
      </c>
      <c r="AA15" s="27">
        <f>IF($S15="","",IF(ISNUMBER($Y15),IF($Y15=0,0,$X15/$Y15),""))</f>
        <v>0</v>
      </c>
    </row>
    <row r="16" ht="20" customHeight="1">
      <c r="A16" s="81" t="str">
        <f>IF($Q16="","",9)</f>
        <v/>
      </c>
      <c r="B16" s="57" t="str">
        <f>IF($Q16="","",INDEX(TRANSACTIONS_MASTER!$B$5:$B$1204,$Q16))</f>
        <v/>
      </c>
      <c r="C16" s="55" t="str">
        <f>IF($Q16="","",INDEX(TRANSACTIONS_MASTER!$F$5:$F$1204,$Q16))</f>
        <v/>
      </c>
      <c r="D16" s="55" t="str">
        <f>IF($Q16="","",INDEX(TRANSACTIONS_MASTER!$E$5:$E$1204,$Q16))</f>
        <v/>
      </c>
      <c r="E16" s="55" t="str">
        <f>IF($Q16="","",INDEX(TRANSACTIONS_MASTER!$G$5:$G$1204,$Q16)&amp;"")</f>
        <v/>
      </c>
      <c r="F16" s="29" t="str">
        <f>IF($Q16="","",INDEX(TRANSACTIONS_MASTER!$I$5:$I$1204,$Q16))</f>
        <v/>
      </c>
      <c r="G16" s="55" t="str">
        <f>IF($Q16="","",INDEX(TRANSACTIONS_MASTER!$K$5:$K$1204,$Q16))</f>
        <v/>
      </c>
      <c r="H16" s="25" t="str">
        <f>IF($Q16="","",INDEX(TRANSACTIONS_MASTER!$L$5:$L$1204,$Q16))</f>
        <v/>
      </c>
      <c r="I16" s="56" t="str">
        <f>IF($Q16="","",INDEX(TRANSACTIONS_MASTER!$N$5:$N$1204,$Q16))</f>
        <v/>
      </c>
      <c r="J16" s="25" t="str">
        <f>IF($Q16="","",INDEX(TRANSACTIONS_MASTER!$O$5:$O$1204,$Q16))</f>
        <v/>
      </c>
      <c r="K16" s="26" t="str">
        <f>IF($Q16="","",INDEX(TRANSACTIONS_MASTER!$Q$5:$Q$1204,$Q16))</f>
        <v/>
      </c>
      <c r="L16" s="25" t="str">
        <f>IF($Q16="","",INDEX(TRANSACTIONS_MASTER!$P$5:$P$1204,$Q16))</f>
        <v/>
      </c>
      <c r="M16" s="25" t="str">
        <f>IF($Q16="","",INDEX(TRANSACTIONS_MASTER!$AA$5:$AA$1204,$Q16))</f>
        <v/>
      </c>
      <c r="N16" s="25" t="str">
        <f>IF($Q16="","",INDEX(TRANSACTIONS_MASTER!$R$5:$R$1204,$Q16))</f>
        <v/>
      </c>
      <c r="O16" s="28" t="str">
        <f>IF($Q16="","",INDEX(TRANSACTIONS_MASTER!$AB$5:$AB$1204,$Q16))</f>
        <v/>
      </c>
      <c r="P16" s="55" t="str">
        <f>IF($Q16="","",INDEX(TRANSACTIONS_MASTER!$Z$5:$Z$1204,$Q16)&amp;"")</f>
        <v/>
      </c>
      <c r="Q16" s="67" t="str">
        <f>IFERROR(MATCH($C$2&amp;"|"&amp;9,TRANSACTIONS_MASTER!$AE$5:$AE$1204,0),"")</f>
        <v/>
      </c>
      <c r="S16" s="67">
        <f>IFERROR(MATCH(9,CASHBACK_RULES!$S$5:$S$304,0),"")</f>
        <v>22</v>
      </c>
      <c r="T16" s="55" t="str">
        <f>IF($S16="","",INDEX(CASHBACK_RULES!$B$5:$B$304,$S16))</f>
        <v>UOB-C</v>
      </c>
      <c r="U16" s="55" t="str">
        <f>IF($S16="","",INDEX(CASHBACK_RULES!$C$5:$C$304,$S16)&amp;" "&amp;INDEX(CASHBACK_RULES!$D$5:$D$304,$S16))</f>
        <v>UOB Cashback Demo C</v>
      </c>
      <c r="V16" s="55" t="str">
        <f>IF($S16="","",INDEX(CASHBACK_RULES!$E$5:$E$304,$S16)&amp;"")</f>
        <v>Group 1</v>
      </c>
      <c r="W16" s="55" t="str">
        <f>IF($S16="","",INDEX(CASHBACK_RULES!$F$5:$F$304,$S16)&amp;"")</f>
        <v>Dining</v>
      </c>
      <c r="X16" s="26">
        <f>IF($S16="","",SUMIFS(TRANSACTIONS_MASTER!$Q$5:$Q$1204,TRANSACTIONS_MASTER!$D$5:$D$1204,$T16,TRANSACTIONS_MASTER!$Z$5:$Z$1204,$V16,TRANSACTIONS_MASTER!$C$5:$C$1204,$C$2))</f>
        <v>0</v>
      </c>
      <c r="Y16" s="25">
        <f>IF($S16="","",IF(ISNUMBER(INDEX(CASHBACK_RULES!$J$5:$J$304,$S16)),INDEX(CASHBACK_RULES!$J$5:$J$304,$S16),"∞"))</f>
        <v>1000000</v>
      </c>
      <c r="Z16" s="25">
        <f>IF($S16="","",IF(ISNUMBER($Y16),MAX(0,$Y16-$X16),"∞"))</f>
        <v>1000000</v>
      </c>
      <c r="AA16" s="27">
        <f>IF($S16="","",IF(ISNUMBER($Y16),IF($Y16=0,0,$X16/$Y16),""))</f>
        <v>0</v>
      </c>
    </row>
    <row r="17" ht="20" customHeight="1">
      <c r="A17" s="81" t="str">
        <f>IF($Q17="","",10)</f>
        <v/>
      </c>
      <c r="B17" s="57" t="str">
        <f>IF($Q17="","",INDEX(TRANSACTIONS_MASTER!$B$5:$B$1204,$Q17))</f>
        <v/>
      </c>
      <c r="C17" s="55" t="str">
        <f>IF($Q17="","",INDEX(TRANSACTIONS_MASTER!$F$5:$F$1204,$Q17))</f>
        <v/>
      </c>
      <c r="D17" s="55" t="str">
        <f>IF($Q17="","",INDEX(TRANSACTIONS_MASTER!$E$5:$E$1204,$Q17))</f>
        <v/>
      </c>
      <c r="E17" s="55" t="str">
        <f>IF($Q17="","",INDEX(TRANSACTIONS_MASTER!$G$5:$G$1204,$Q17)&amp;"")</f>
        <v/>
      </c>
      <c r="F17" s="29" t="str">
        <f>IF($Q17="","",INDEX(TRANSACTIONS_MASTER!$I$5:$I$1204,$Q17))</f>
        <v/>
      </c>
      <c r="G17" s="55" t="str">
        <f>IF($Q17="","",INDEX(TRANSACTIONS_MASTER!$K$5:$K$1204,$Q17))</f>
        <v/>
      </c>
      <c r="H17" s="25" t="str">
        <f>IF($Q17="","",INDEX(TRANSACTIONS_MASTER!$L$5:$L$1204,$Q17))</f>
        <v/>
      </c>
      <c r="I17" s="56" t="str">
        <f>IF($Q17="","",INDEX(TRANSACTIONS_MASTER!$N$5:$N$1204,$Q17))</f>
        <v/>
      </c>
      <c r="J17" s="25" t="str">
        <f>IF($Q17="","",INDEX(TRANSACTIONS_MASTER!$O$5:$O$1204,$Q17))</f>
        <v/>
      </c>
      <c r="K17" s="26" t="str">
        <f>IF($Q17="","",INDEX(TRANSACTIONS_MASTER!$Q$5:$Q$1204,$Q17))</f>
        <v/>
      </c>
      <c r="L17" s="25" t="str">
        <f>IF($Q17="","",INDEX(TRANSACTIONS_MASTER!$P$5:$P$1204,$Q17))</f>
        <v/>
      </c>
      <c r="M17" s="25" t="str">
        <f>IF($Q17="","",INDEX(TRANSACTIONS_MASTER!$AA$5:$AA$1204,$Q17))</f>
        <v/>
      </c>
      <c r="N17" s="25" t="str">
        <f>IF($Q17="","",INDEX(TRANSACTIONS_MASTER!$R$5:$R$1204,$Q17))</f>
        <v/>
      </c>
      <c r="O17" s="28" t="str">
        <f>IF($Q17="","",INDEX(TRANSACTIONS_MASTER!$AB$5:$AB$1204,$Q17))</f>
        <v/>
      </c>
      <c r="P17" s="55" t="str">
        <f>IF($Q17="","",INDEX(TRANSACTIONS_MASTER!$Z$5:$Z$1204,$Q17)&amp;"")</f>
        <v/>
      </c>
      <c r="Q17" s="67" t="str">
        <f>IFERROR(MATCH($C$2&amp;"|"&amp;10,TRANSACTIONS_MASTER!$AE$5:$AE$1204,0),"")</f>
        <v/>
      </c>
      <c r="S17" s="67">
        <f>IFERROR(MATCH(10,CASHBACK_RULES!$S$5:$S$304,0),"")</f>
        <v>24</v>
      </c>
      <c r="T17" s="55" t="str">
        <f>IF($S17="","",INDEX(CASHBACK_RULES!$B$5:$B$304,$S17))</f>
        <v>MB-D</v>
      </c>
      <c r="U17" s="55" t="str">
        <f>IF($S17="","",INDEX(CASHBACK_RULES!$C$5:$C$304,$S17)&amp;" "&amp;INDEX(CASHBACK_RULES!$D$5:$D$304,$S17))</f>
        <v>MB Cashback Demo D</v>
      </c>
      <c r="V17" s="55" t="str">
        <f>IF($S17="","",INDEX(CASHBACK_RULES!$E$5:$E$304,$S17)&amp;"")</f>
        <v>Dining</v>
      </c>
      <c r="W17" s="55" t="str">
        <f>IF($S17="","",INDEX(CASHBACK_RULES!$F$5:$F$304,$S17)&amp;"")</f>
        <v>Dining</v>
      </c>
      <c r="X17" s="26">
        <f>IF($S17="","",SUMIFS(TRANSACTIONS_MASTER!$Q$5:$Q$1204,TRANSACTIONS_MASTER!$D$5:$D$1204,$T17,TRANSACTIONS_MASTER!$Z$5:$Z$1204,$V17,TRANSACTIONS_MASTER!$C$5:$C$1204,$C$2))</f>
        <v>0</v>
      </c>
      <c r="Y17" s="25">
        <f>IF($S17="","",IF(ISNUMBER(INDEX(CASHBACK_RULES!$J$5:$J$304,$S17)),INDEX(CASHBACK_RULES!$J$5:$J$304,$S17),"∞"))</f>
        <v>500000</v>
      </c>
      <c r="Z17" s="25">
        <f>IF($S17="","",IF(ISNUMBER($Y17),MAX(0,$Y17-$X17),"∞"))</f>
        <v>500000</v>
      </c>
      <c r="AA17" s="27">
        <f>IF($S17="","",IF(ISNUMBER($Y17),IF($Y17=0,0,$X17/$Y17),""))</f>
        <v>0</v>
      </c>
    </row>
    <row r="18" ht="20" customHeight="1">
      <c r="A18" s="81" t="str">
        <f>IF($Q18="","",11)</f>
        <v/>
      </c>
      <c r="B18" s="57" t="str">
        <f>IF($Q18="","",INDEX(TRANSACTIONS_MASTER!$B$5:$B$1204,$Q18))</f>
        <v/>
      </c>
      <c r="C18" s="55" t="str">
        <f>IF($Q18="","",INDEX(TRANSACTIONS_MASTER!$F$5:$F$1204,$Q18))</f>
        <v/>
      </c>
      <c r="D18" s="55" t="str">
        <f>IF($Q18="","",INDEX(TRANSACTIONS_MASTER!$E$5:$E$1204,$Q18))</f>
        <v/>
      </c>
      <c r="E18" s="55" t="str">
        <f>IF($Q18="","",INDEX(TRANSACTIONS_MASTER!$G$5:$G$1204,$Q18)&amp;"")</f>
        <v/>
      </c>
      <c r="F18" s="29" t="str">
        <f>IF($Q18="","",INDEX(TRANSACTIONS_MASTER!$I$5:$I$1204,$Q18))</f>
        <v/>
      </c>
      <c r="G18" s="55" t="str">
        <f>IF($Q18="","",INDEX(TRANSACTIONS_MASTER!$K$5:$K$1204,$Q18))</f>
        <v/>
      </c>
      <c r="H18" s="25" t="str">
        <f>IF($Q18="","",INDEX(TRANSACTIONS_MASTER!$L$5:$L$1204,$Q18))</f>
        <v/>
      </c>
      <c r="I18" s="56" t="str">
        <f>IF($Q18="","",INDEX(TRANSACTIONS_MASTER!$N$5:$N$1204,$Q18))</f>
        <v/>
      </c>
      <c r="J18" s="25" t="str">
        <f>IF($Q18="","",INDEX(TRANSACTIONS_MASTER!$O$5:$O$1204,$Q18))</f>
        <v/>
      </c>
      <c r="K18" s="26" t="str">
        <f>IF($Q18="","",INDEX(TRANSACTIONS_MASTER!$Q$5:$Q$1204,$Q18))</f>
        <v/>
      </c>
      <c r="L18" s="25" t="str">
        <f>IF($Q18="","",INDEX(TRANSACTIONS_MASTER!$P$5:$P$1204,$Q18))</f>
        <v/>
      </c>
      <c r="M18" s="25" t="str">
        <f>IF($Q18="","",INDEX(TRANSACTIONS_MASTER!$AA$5:$AA$1204,$Q18))</f>
        <v/>
      </c>
      <c r="N18" s="25" t="str">
        <f>IF($Q18="","",INDEX(TRANSACTIONS_MASTER!$R$5:$R$1204,$Q18))</f>
        <v/>
      </c>
      <c r="O18" s="28" t="str">
        <f>IF($Q18="","",INDEX(TRANSACTIONS_MASTER!$AB$5:$AB$1204,$Q18))</f>
        <v/>
      </c>
      <c r="P18" s="55" t="str">
        <f>IF($Q18="","",INDEX(TRANSACTIONS_MASTER!$Z$5:$Z$1204,$Q18)&amp;"")</f>
        <v/>
      </c>
      <c r="Q18" s="67" t="str">
        <f>IFERROR(MATCH($C$2&amp;"|"&amp;11,TRANSACTIONS_MASTER!$AE$5:$AE$1204,0),"")</f>
        <v/>
      </c>
      <c r="S18" s="67">
        <f>IFERROR(MATCH(11,CASHBACK_RULES!$S$5:$S$304,0),"")</f>
        <v>25</v>
      </c>
      <c r="T18" s="55" t="str">
        <f>IF($S18="","",INDEX(CASHBACK_RULES!$B$5:$B$304,$S18))</f>
        <v>MB-D</v>
      </c>
      <c r="U18" s="55" t="str">
        <f>IF($S18="","",INDEX(CASHBACK_RULES!$C$5:$C$304,$S18)&amp;" "&amp;INDEX(CASHBACK_RULES!$D$5:$D$304,$S18))</f>
        <v>MB Cashback Demo D</v>
      </c>
      <c r="V18" s="55" t="str">
        <f>IF($S18="","",INDEX(CASHBACK_RULES!$E$5:$E$304,$S18)&amp;"")</f>
        <v>Fuel</v>
      </c>
      <c r="W18" s="55" t="str">
        <f>IF($S18="","",INDEX(CASHBACK_RULES!$F$5:$F$304,$S18)&amp;"")</f>
        <v>Fuel</v>
      </c>
      <c r="X18" s="26">
        <f>IF($S18="","",SUMIFS(TRANSACTIONS_MASTER!$Q$5:$Q$1204,TRANSACTIONS_MASTER!$D$5:$D$1204,$T18,TRANSACTIONS_MASTER!$Z$5:$Z$1204,$V18,TRANSACTIONS_MASTER!$C$5:$C$1204,$C$2))</f>
        <v>0</v>
      </c>
      <c r="Y18" s="25">
        <f>IF($S18="","",IF(ISNUMBER(INDEX(CASHBACK_RULES!$J$5:$J$304,$S18)),INDEX(CASHBACK_RULES!$J$5:$J$304,$S18),"∞"))</f>
        <v>200000</v>
      </c>
      <c r="Z18" s="25">
        <f>IF($S18="","",IF(ISNUMBER($Y18),MAX(0,$Y18-$X18),"∞"))</f>
        <v>200000</v>
      </c>
      <c r="AA18" s="27">
        <f>IF($S18="","",IF(ISNUMBER($Y18),IF($Y18=0,0,$X18/$Y18),""))</f>
        <v>0</v>
      </c>
    </row>
    <row r="19" ht="20" customHeight="1">
      <c r="A19" s="81" t="str">
        <f>IF($Q19="","",12)</f>
        <v/>
      </c>
      <c r="B19" s="57" t="str">
        <f>IF($Q19="","",INDEX(TRANSACTIONS_MASTER!$B$5:$B$1204,$Q19))</f>
        <v/>
      </c>
      <c r="C19" s="55" t="str">
        <f>IF($Q19="","",INDEX(TRANSACTIONS_MASTER!$F$5:$F$1204,$Q19))</f>
        <v/>
      </c>
      <c r="D19" s="55" t="str">
        <f>IF($Q19="","",INDEX(TRANSACTIONS_MASTER!$E$5:$E$1204,$Q19))</f>
        <v/>
      </c>
      <c r="E19" s="55" t="str">
        <f>IF($Q19="","",INDEX(TRANSACTIONS_MASTER!$G$5:$G$1204,$Q19)&amp;"")</f>
        <v/>
      </c>
      <c r="F19" s="29" t="str">
        <f>IF($Q19="","",INDEX(TRANSACTIONS_MASTER!$I$5:$I$1204,$Q19))</f>
        <v/>
      </c>
      <c r="G19" s="55" t="str">
        <f>IF($Q19="","",INDEX(TRANSACTIONS_MASTER!$K$5:$K$1204,$Q19))</f>
        <v/>
      </c>
      <c r="H19" s="25" t="str">
        <f>IF($Q19="","",INDEX(TRANSACTIONS_MASTER!$L$5:$L$1204,$Q19))</f>
        <v/>
      </c>
      <c r="I19" s="56" t="str">
        <f>IF($Q19="","",INDEX(TRANSACTIONS_MASTER!$N$5:$N$1204,$Q19))</f>
        <v/>
      </c>
      <c r="J19" s="25" t="str">
        <f>IF($Q19="","",INDEX(TRANSACTIONS_MASTER!$O$5:$O$1204,$Q19))</f>
        <v/>
      </c>
      <c r="K19" s="26" t="str">
        <f>IF($Q19="","",INDEX(TRANSACTIONS_MASTER!$Q$5:$Q$1204,$Q19))</f>
        <v/>
      </c>
      <c r="L19" s="25" t="str">
        <f>IF($Q19="","",INDEX(TRANSACTIONS_MASTER!$P$5:$P$1204,$Q19))</f>
        <v/>
      </c>
      <c r="M19" s="25" t="str">
        <f>IF($Q19="","",INDEX(TRANSACTIONS_MASTER!$AA$5:$AA$1204,$Q19))</f>
        <v/>
      </c>
      <c r="N19" s="25" t="str">
        <f>IF($Q19="","",INDEX(TRANSACTIONS_MASTER!$R$5:$R$1204,$Q19))</f>
        <v/>
      </c>
      <c r="O19" s="28" t="str">
        <f>IF($Q19="","",INDEX(TRANSACTIONS_MASTER!$AB$5:$AB$1204,$Q19))</f>
        <v/>
      </c>
      <c r="P19" s="55" t="str">
        <f>IF($Q19="","",INDEX(TRANSACTIONS_MASTER!$Z$5:$Z$1204,$Q19)&amp;"")</f>
        <v/>
      </c>
      <c r="Q19" s="67" t="str">
        <f>IFERROR(MATCH($C$2&amp;"|"&amp;12,TRANSACTIONS_MASTER!$AE$5:$AE$1204,0),"")</f>
        <v/>
      </c>
      <c r="S19" s="67">
        <f>IFERROR(MATCH(12,CASHBACK_RULES!$S$5:$S$304,0),"")</f>
        <v>26</v>
      </c>
      <c r="T19" s="55" t="str">
        <f>IF($S19="","",INDEX(CASHBACK_RULES!$B$5:$B$304,$S19))</f>
        <v>MB-D</v>
      </c>
      <c r="U19" s="55" t="str">
        <f>IF($S19="","",INDEX(CASHBACK_RULES!$C$5:$C$304,$S19)&amp;" "&amp;INDEX(CASHBACK_RULES!$D$5:$D$304,$S19))</f>
        <v>MB Cashback Demo D</v>
      </c>
      <c r="V19" s="55" t="str">
        <f>IF($S19="","",INDEX(CASHBACK_RULES!$E$5:$E$304,$S19)&amp;"")</f>
        <v>Groceries</v>
      </c>
      <c r="W19" s="55" t="str">
        <f>IF($S19="","",INDEX(CASHBACK_RULES!$F$5:$F$304,$S19)&amp;"")</f>
        <v>Groceries</v>
      </c>
      <c r="X19" s="26">
        <f>IF($S19="","",SUMIFS(TRANSACTIONS_MASTER!$Q$5:$Q$1204,TRANSACTIONS_MASTER!$D$5:$D$1204,$T19,TRANSACTIONS_MASTER!$Z$5:$Z$1204,$V19,TRANSACTIONS_MASTER!$C$5:$C$1204,$C$2))</f>
        <v>16000</v>
      </c>
      <c r="Y19" s="25">
        <f>IF($S19="","",IF(ISNUMBER(INDEX(CASHBACK_RULES!$J$5:$J$304,$S19)),INDEX(CASHBACK_RULES!$J$5:$J$304,$S19),"∞"))</f>
        <v>100000</v>
      </c>
      <c r="Z19" s="25">
        <f>IF($S19="","",IF(ISNUMBER($Y19),MAX(0,$Y19-$X19),"∞"))</f>
        <v>84000</v>
      </c>
      <c r="AA19" s="27">
        <f>IF($S19="","",IF(ISNUMBER($Y19),IF($Y19=0,0,$X19/$Y19),""))</f>
        <v>0.16</v>
      </c>
    </row>
    <row r="20" ht="20" customHeight="1">
      <c r="A20" s="81" t="str">
        <f>IF($Q20="","",13)</f>
        <v/>
      </c>
      <c r="B20" s="57" t="str">
        <f>IF($Q20="","",INDEX(TRANSACTIONS_MASTER!$B$5:$B$1204,$Q20))</f>
        <v/>
      </c>
      <c r="C20" s="55" t="str">
        <f>IF($Q20="","",INDEX(TRANSACTIONS_MASTER!$F$5:$F$1204,$Q20))</f>
        <v/>
      </c>
      <c r="D20" s="55" t="str">
        <f>IF($Q20="","",INDEX(TRANSACTIONS_MASTER!$E$5:$E$1204,$Q20))</f>
        <v/>
      </c>
      <c r="E20" s="55" t="str">
        <f>IF($Q20="","",INDEX(TRANSACTIONS_MASTER!$G$5:$G$1204,$Q20)&amp;"")</f>
        <v/>
      </c>
      <c r="F20" s="29" t="str">
        <f>IF($Q20="","",INDEX(TRANSACTIONS_MASTER!$I$5:$I$1204,$Q20))</f>
        <v/>
      </c>
      <c r="G20" s="55" t="str">
        <f>IF($Q20="","",INDEX(TRANSACTIONS_MASTER!$K$5:$K$1204,$Q20))</f>
        <v/>
      </c>
      <c r="H20" s="25" t="str">
        <f>IF($Q20="","",INDEX(TRANSACTIONS_MASTER!$L$5:$L$1204,$Q20))</f>
        <v/>
      </c>
      <c r="I20" s="56" t="str">
        <f>IF($Q20="","",INDEX(TRANSACTIONS_MASTER!$N$5:$N$1204,$Q20))</f>
        <v/>
      </c>
      <c r="J20" s="25" t="str">
        <f>IF($Q20="","",INDEX(TRANSACTIONS_MASTER!$O$5:$O$1204,$Q20))</f>
        <v/>
      </c>
      <c r="K20" s="26" t="str">
        <f>IF($Q20="","",INDEX(TRANSACTIONS_MASTER!$Q$5:$Q$1204,$Q20))</f>
        <v/>
      </c>
      <c r="L20" s="25" t="str">
        <f>IF($Q20="","",INDEX(TRANSACTIONS_MASTER!$P$5:$P$1204,$Q20))</f>
        <v/>
      </c>
      <c r="M20" s="25" t="str">
        <f>IF($Q20="","",INDEX(TRANSACTIONS_MASTER!$AA$5:$AA$1204,$Q20))</f>
        <v/>
      </c>
      <c r="N20" s="25" t="str">
        <f>IF($Q20="","",INDEX(TRANSACTIONS_MASTER!$R$5:$R$1204,$Q20))</f>
        <v/>
      </c>
      <c r="O20" s="28" t="str">
        <f>IF($Q20="","",INDEX(TRANSACTIONS_MASTER!$AB$5:$AB$1204,$Q20))</f>
        <v/>
      </c>
      <c r="P20" s="55" t="str">
        <f>IF($Q20="","",INDEX(TRANSACTIONS_MASTER!$Z$5:$Z$1204,$Q20)&amp;"")</f>
        <v/>
      </c>
      <c r="Q20" s="67" t="str">
        <f>IFERROR(MATCH($C$2&amp;"|"&amp;13,TRANSACTIONS_MASTER!$AE$5:$AE$1204,0),"")</f>
        <v/>
      </c>
      <c r="S20" s="67">
        <f>IFERROR(MATCH(13,CASHBACK_RULES!$S$5:$S$304,0),"")</f>
        <v>27</v>
      </c>
      <c r="T20" s="55" t="str">
        <f>IF($S20="","",INDEX(CASHBACK_RULES!$B$5:$B$304,$S20))</f>
        <v>MB-D</v>
      </c>
      <c r="U20" s="55" t="str">
        <f>IF($S20="","",INDEX(CASHBACK_RULES!$C$5:$C$304,$S20)&amp;" "&amp;INDEX(CASHBACK_RULES!$D$5:$D$304,$S20))</f>
        <v>MB Cashback Demo D</v>
      </c>
      <c r="V20" s="55" t="str">
        <f>IF($S20="","",INDEX(CASHBACK_RULES!$E$5:$E$304,$S20)&amp;"")</f>
        <v>Shopping</v>
      </c>
      <c r="W20" s="55" t="str">
        <f>IF($S20="","",INDEX(CASHBACK_RULES!$F$5:$F$304,$S20)&amp;"")</f>
        <v>Shopping</v>
      </c>
      <c r="X20" s="26">
        <f>IF($S20="","",SUMIFS(TRANSACTIONS_MASTER!$Q$5:$Q$1204,TRANSACTIONS_MASTER!$D$5:$D$1204,$T20,TRANSACTIONS_MASTER!$Z$5:$Z$1204,$V20,TRANSACTIONS_MASTER!$C$5:$C$1204,$C$2))</f>
        <v>0</v>
      </c>
      <c r="Y20" s="25">
        <f>IF($S20="","",IF(ISNUMBER(INDEX(CASHBACK_RULES!$J$5:$J$304,$S20)),INDEX(CASHBACK_RULES!$J$5:$J$304,$S20),"∞"))</f>
        <v>100000</v>
      </c>
      <c r="Z20" s="25">
        <f>IF($S20="","",IF(ISNUMBER($Y20),MAX(0,$Y20-$X20),"∞"))</f>
        <v>100000</v>
      </c>
      <c r="AA20" s="27">
        <f>IF($S20="","",IF(ISNUMBER($Y20),IF($Y20=0,0,$X20/$Y20),""))</f>
        <v>0</v>
      </c>
    </row>
    <row r="21" ht="20" customHeight="1">
      <c r="A21" s="81" t="str">
        <f>IF($Q21="","",14)</f>
        <v/>
      </c>
      <c r="B21" s="57" t="str">
        <f>IF($Q21="","",INDEX(TRANSACTIONS_MASTER!$B$5:$B$1204,$Q21))</f>
        <v/>
      </c>
      <c r="C21" s="55" t="str">
        <f>IF($Q21="","",INDEX(TRANSACTIONS_MASTER!$F$5:$F$1204,$Q21))</f>
        <v/>
      </c>
      <c r="D21" s="55" t="str">
        <f>IF($Q21="","",INDEX(TRANSACTIONS_MASTER!$E$5:$E$1204,$Q21))</f>
        <v/>
      </c>
      <c r="E21" s="55" t="str">
        <f>IF($Q21="","",INDEX(TRANSACTIONS_MASTER!$G$5:$G$1204,$Q21)&amp;"")</f>
        <v/>
      </c>
      <c r="F21" s="29" t="str">
        <f>IF($Q21="","",INDEX(TRANSACTIONS_MASTER!$I$5:$I$1204,$Q21))</f>
        <v/>
      </c>
      <c r="G21" s="55" t="str">
        <f>IF($Q21="","",INDEX(TRANSACTIONS_MASTER!$K$5:$K$1204,$Q21))</f>
        <v/>
      </c>
      <c r="H21" s="25" t="str">
        <f>IF($Q21="","",INDEX(TRANSACTIONS_MASTER!$L$5:$L$1204,$Q21))</f>
        <v/>
      </c>
      <c r="I21" s="56" t="str">
        <f>IF($Q21="","",INDEX(TRANSACTIONS_MASTER!$N$5:$N$1204,$Q21))</f>
        <v/>
      </c>
      <c r="J21" s="25" t="str">
        <f>IF($Q21="","",INDEX(TRANSACTIONS_MASTER!$O$5:$O$1204,$Q21))</f>
        <v/>
      </c>
      <c r="K21" s="26" t="str">
        <f>IF($Q21="","",INDEX(TRANSACTIONS_MASTER!$Q$5:$Q$1204,$Q21))</f>
        <v/>
      </c>
      <c r="L21" s="25" t="str">
        <f>IF($Q21="","",INDEX(TRANSACTIONS_MASTER!$P$5:$P$1204,$Q21))</f>
        <v/>
      </c>
      <c r="M21" s="25" t="str">
        <f>IF($Q21="","",INDEX(TRANSACTIONS_MASTER!$AA$5:$AA$1204,$Q21))</f>
        <v/>
      </c>
      <c r="N21" s="25" t="str">
        <f>IF($Q21="","",INDEX(TRANSACTIONS_MASTER!$R$5:$R$1204,$Q21))</f>
        <v/>
      </c>
      <c r="O21" s="28" t="str">
        <f>IF($Q21="","",INDEX(TRANSACTIONS_MASTER!$AB$5:$AB$1204,$Q21))</f>
        <v/>
      </c>
      <c r="P21" s="55" t="str">
        <f>IF($Q21="","",INDEX(TRANSACTIONS_MASTER!$Z$5:$Z$1204,$Q21)&amp;"")</f>
        <v/>
      </c>
      <c r="Q21" s="67" t="str">
        <f>IFERROR(MATCH($C$2&amp;"|"&amp;14,TRANSACTIONS_MASTER!$AE$5:$AE$1204,0),"")</f>
        <v/>
      </c>
      <c r="S21" s="67" t="str">
        <f>IFERROR(MATCH(14,CASHBACK_RULES!$S$5:$S$304,0),"")</f>
        <v/>
      </c>
      <c r="T21" s="55" t="str">
        <f>IF($S21="","",INDEX(CASHBACK_RULES!$B$5:$B$304,$S21))</f>
        <v/>
      </c>
      <c r="U21" s="55" t="str">
        <f>IF($S21="","",INDEX(CASHBACK_RULES!$C$5:$C$304,$S21)&amp;" "&amp;INDEX(CASHBACK_RULES!$D$5:$D$304,$S21))</f>
        <v/>
      </c>
      <c r="V21" s="55" t="str">
        <f>IF($S21="","",INDEX(CASHBACK_RULES!$E$5:$E$304,$S21)&amp;"")</f>
        <v/>
      </c>
      <c r="W21" s="55" t="str">
        <f>IF($S21="","",INDEX(CASHBACK_RULES!$F$5:$F$304,$S21)&amp;"")</f>
        <v/>
      </c>
      <c r="X21" s="26" t="str">
        <f>IF($S21="","",SUMIFS(TRANSACTIONS_MASTER!$Q$5:$Q$1204,TRANSACTIONS_MASTER!$D$5:$D$1204,$T21,TRANSACTIONS_MASTER!$Z$5:$Z$1204,$V21,TRANSACTIONS_MASTER!$C$5:$C$1204,$C$2))</f>
        <v/>
      </c>
      <c r="Y21" s="25" t="str">
        <f>IF($S21="","",IF(ISNUMBER(INDEX(CASHBACK_RULES!$J$5:$J$304,$S21)),INDEX(CASHBACK_RULES!$J$5:$J$304,$S21),"∞"))</f>
        <v/>
      </c>
      <c r="Z21" s="25" t="str">
        <f>IF($S21="","",IF(ISNUMBER($Y21),MAX(0,$Y21-$X21),"∞"))</f>
        <v/>
      </c>
      <c r="AA21" s="27" t="str">
        <f>IF($S21="","",IF(ISNUMBER($Y21),IF($Y21=0,0,$X21/$Y21),""))</f>
        <v/>
      </c>
    </row>
    <row r="22" ht="20" customHeight="1">
      <c r="A22" s="81" t="str">
        <f>IF($Q22="","",15)</f>
        <v/>
      </c>
      <c r="B22" s="57" t="str">
        <f>IF($Q22="","",INDEX(TRANSACTIONS_MASTER!$B$5:$B$1204,$Q22))</f>
        <v/>
      </c>
      <c r="C22" s="55" t="str">
        <f>IF($Q22="","",INDEX(TRANSACTIONS_MASTER!$F$5:$F$1204,$Q22))</f>
        <v/>
      </c>
      <c r="D22" s="55" t="str">
        <f>IF($Q22="","",INDEX(TRANSACTIONS_MASTER!$E$5:$E$1204,$Q22))</f>
        <v/>
      </c>
      <c r="E22" s="55" t="str">
        <f>IF($Q22="","",INDEX(TRANSACTIONS_MASTER!$G$5:$G$1204,$Q22)&amp;"")</f>
        <v/>
      </c>
      <c r="F22" s="29" t="str">
        <f>IF($Q22="","",INDEX(TRANSACTIONS_MASTER!$I$5:$I$1204,$Q22))</f>
        <v/>
      </c>
      <c r="G22" s="55" t="str">
        <f>IF($Q22="","",INDEX(TRANSACTIONS_MASTER!$K$5:$K$1204,$Q22))</f>
        <v/>
      </c>
      <c r="H22" s="25" t="str">
        <f>IF($Q22="","",INDEX(TRANSACTIONS_MASTER!$L$5:$L$1204,$Q22))</f>
        <v/>
      </c>
      <c r="I22" s="56" t="str">
        <f>IF($Q22="","",INDEX(TRANSACTIONS_MASTER!$N$5:$N$1204,$Q22))</f>
        <v/>
      </c>
      <c r="J22" s="25" t="str">
        <f>IF($Q22="","",INDEX(TRANSACTIONS_MASTER!$O$5:$O$1204,$Q22))</f>
        <v/>
      </c>
      <c r="K22" s="26" t="str">
        <f>IF($Q22="","",INDEX(TRANSACTIONS_MASTER!$Q$5:$Q$1204,$Q22))</f>
        <v/>
      </c>
      <c r="L22" s="25" t="str">
        <f>IF($Q22="","",INDEX(TRANSACTIONS_MASTER!$P$5:$P$1204,$Q22))</f>
        <v/>
      </c>
      <c r="M22" s="25" t="str">
        <f>IF($Q22="","",INDEX(TRANSACTIONS_MASTER!$AA$5:$AA$1204,$Q22))</f>
        <v/>
      </c>
      <c r="N22" s="25" t="str">
        <f>IF($Q22="","",INDEX(TRANSACTIONS_MASTER!$R$5:$R$1204,$Q22))</f>
        <v/>
      </c>
      <c r="O22" s="28" t="str">
        <f>IF($Q22="","",INDEX(TRANSACTIONS_MASTER!$AB$5:$AB$1204,$Q22))</f>
        <v/>
      </c>
      <c r="P22" s="55" t="str">
        <f>IF($Q22="","",INDEX(TRANSACTIONS_MASTER!$Z$5:$Z$1204,$Q22)&amp;"")</f>
        <v/>
      </c>
      <c r="Q22" s="67" t="str">
        <f>IFERROR(MATCH($C$2&amp;"|"&amp;15,TRANSACTIONS_MASTER!$AE$5:$AE$1204,0),"")</f>
        <v/>
      </c>
      <c r="S22" s="67" t="str">
        <f>IFERROR(MATCH(15,CASHBACK_RULES!$S$5:$S$304,0),"")</f>
        <v/>
      </c>
      <c r="T22" s="55" t="str">
        <f>IF($S22="","",INDEX(CASHBACK_RULES!$B$5:$B$304,$S22))</f>
        <v/>
      </c>
      <c r="U22" s="55" t="str">
        <f>IF($S22="","",INDEX(CASHBACK_RULES!$C$5:$C$304,$S22)&amp;" "&amp;INDEX(CASHBACK_RULES!$D$5:$D$304,$S22))</f>
        <v/>
      </c>
      <c r="V22" s="55" t="str">
        <f>IF($S22="","",INDEX(CASHBACK_RULES!$E$5:$E$304,$S22)&amp;"")</f>
        <v/>
      </c>
      <c r="W22" s="55" t="str">
        <f>IF($S22="","",INDEX(CASHBACK_RULES!$F$5:$F$304,$S22)&amp;"")</f>
        <v/>
      </c>
      <c r="X22" s="26" t="str">
        <f>IF($S22="","",SUMIFS(TRANSACTIONS_MASTER!$Q$5:$Q$1204,TRANSACTIONS_MASTER!$D$5:$D$1204,$T22,TRANSACTIONS_MASTER!$Z$5:$Z$1204,$V22,TRANSACTIONS_MASTER!$C$5:$C$1204,$C$2))</f>
        <v/>
      </c>
      <c r="Y22" s="25" t="str">
        <f>IF($S22="","",IF(ISNUMBER(INDEX(CASHBACK_RULES!$J$5:$J$304,$S22)),INDEX(CASHBACK_RULES!$J$5:$J$304,$S22),"∞"))</f>
        <v/>
      </c>
      <c r="Z22" s="25" t="str">
        <f>IF($S22="","",IF(ISNUMBER($Y22),MAX(0,$Y22-$X22),"∞"))</f>
        <v/>
      </c>
      <c r="AA22" s="27" t="str">
        <f>IF($S22="","",IF(ISNUMBER($Y22),IF($Y22=0,0,$X22/$Y22),""))</f>
        <v/>
      </c>
    </row>
    <row r="23" ht="20" customHeight="1">
      <c r="A23" s="81" t="str">
        <f>IF($Q23="","",16)</f>
        <v/>
      </c>
      <c r="B23" s="57" t="str">
        <f>IF($Q23="","",INDEX(TRANSACTIONS_MASTER!$B$5:$B$1204,$Q23))</f>
        <v/>
      </c>
      <c r="C23" s="55" t="str">
        <f>IF($Q23="","",INDEX(TRANSACTIONS_MASTER!$F$5:$F$1204,$Q23))</f>
        <v/>
      </c>
      <c r="D23" s="55" t="str">
        <f>IF($Q23="","",INDEX(TRANSACTIONS_MASTER!$E$5:$E$1204,$Q23))</f>
        <v/>
      </c>
      <c r="E23" s="55" t="str">
        <f>IF($Q23="","",INDEX(TRANSACTIONS_MASTER!$G$5:$G$1204,$Q23)&amp;"")</f>
        <v/>
      </c>
      <c r="F23" s="29" t="str">
        <f>IF($Q23="","",INDEX(TRANSACTIONS_MASTER!$I$5:$I$1204,$Q23))</f>
        <v/>
      </c>
      <c r="G23" s="55" t="str">
        <f>IF($Q23="","",INDEX(TRANSACTIONS_MASTER!$K$5:$K$1204,$Q23))</f>
        <v/>
      </c>
      <c r="H23" s="25" t="str">
        <f>IF($Q23="","",INDEX(TRANSACTIONS_MASTER!$L$5:$L$1204,$Q23))</f>
        <v/>
      </c>
      <c r="I23" s="56" t="str">
        <f>IF($Q23="","",INDEX(TRANSACTIONS_MASTER!$N$5:$N$1204,$Q23))</f>
        <v/>
      </c>
      <c r="J23" s="25" t="str">
        <f>IF($Q23="","",INDEX(TRANSACTIONS_MASTER!$O$5:$O$1204,$Q23))</f>
        <v/>
      </c>
      <c r="K23" s="26" t="str">
        <f>IF($Q23="","",INDEX(TRANSACTIONS_MASTER!$Q$5:$Q$1204,$Q23))</f>
        <v/>
      </c>
      <c r="L23" s="25" t="str">
        <f>IF($Q23="","",INDEX(TRANSACTIONS_MASTER!$P$5:$P$1204,$Q23))</f>
        <v/>
      </c>
      <c r="M23" s="25" t="str">
        <f>IF($Q23="","",INDEX(TRANSACTIONS_MASTER!$AA$5:$AA$1204,$Q23))</f>
        <v/>
      </c>
      <c r="N23" s="25" t="str">
        <f>IF($Q23="","",INDEX(TRANSACTIONS_MASTER!$R$5:$R$1204,$Q23))</f>
        <v/>
      </c>
      <c r="O23" s="28" t="str">
        <f>IF($Q23="","",INDEX(TRANSACTIONS_MASTER!$AB$5:$AB$1204,$Q23))</f>
        <v/>
      </c>
      <c r="P23" s="55" t="str">
        <f>IF($Q23="","",INDEX(TRANSACTIONS_MASTER!$Z$5:$Z$1204,$Q23)&amp;"")</f>
        <v/>
      </c>
      <c r="Q23" s="67" t="str">
        <f>IFERROR(MATCH($C$2&amp;"|"&amp;16,TRANSACTIONS_MASTER!$AE$5:$AE$1204,0),"")</f>
        <v/>
      </c>
      <c r="S23" s="67" t="str">
        <f>IFERROR(MATCH(16,CASHBACK_RULES!$S$5:$S$304,0),"")</f>
        <v/>
      </c>
      <c r="T23" s="55" t="str">
        <f>IF($S23="","",INDEX(CASHBACK_RULES!$B$5:$B$304,$S23))</f>
        <v/>
      </c>
      <c r="U23" s="55" t="str">
        <f>IF($S23="","",INDEX(CASHBACK_RULES!$C$5:$C$304,$S23)&amp;" "&amp;INDEX(CASHBACK_RULES!$D$5:$D$304,$S23))</f>
        <v/>
      </c>
      <c r="V23" s="55" t="str">
        <f>IF($S23="","",INDEX(CASHBACK_RULES!$E$5:$E$304,$S23)&amp;"")</f>
        <v/>
      </c>
      <c r="W23" s="55" t="str">
        <f>IF($S23="","",INDEX(CASHBACK_RULES!$F$5:$F$304,$S23)&amp;"")</f>
        <v/>
      </c>
      <c r="X23" s="26" t="str">
        <f>IF($S23="","",SUMIFS(TRANSACTIONS_MASTER!$Q$5:$Q$1204,TRANSACTIONS_MASTER!$D$5:$D$1204,$T23,TRANSACTIONS_MASTER!$Z$5:$Z$1204,$V23,TRANSACTIONS_MASTER!$C$5:$C$1204,$C$2))</f>
        <v/>
      </c>
      <c r="Y23" s="25" t="str">
        <f>IF($S23="","",IF(ISNUMBER(INDEX(CASHBACK_RULES!$J$5:$J$304,$S23)),INDEX(CASHBACK_RULES!$J$5:$J$304,$S23),"∞"))</f>
        <v/>
      </c>
      <c r="Z23" s="25" t="str">
        <f>IF($S23="","",IF(ISNUMBER($Y23),MAX(0,$Y23-$X23),"∞"))</f>
        <v/>
      </c>
      <c r="AA23" s="27" t="str">
        <f>IF($S23="","",IF(ISNUMBER($Y23),IF($Y23=0,0,$X23/$Y23),""))</f>
        <v/>
      </c>
    </row>
    <row r="24" ht="20" customHeight="1">
      <c r="A24" s="81" t="str">
        <f>IF($Q24="","",17)</f>
        <v/>
      </c>
      <c r="B24" s="57" t="str">
        <f>IF($Q24="","",INDEX(TRANSACTIONS_MASTER!$B$5:$B$1204,$Q24))</f>
        <v/>
      </c>
      <c r="C24" s="55" t="str">
        <f>IF($Q24="","",INDEX(TRANSACTIONS_MASTER!$F$5:$F$1204,$Q24))</f>
        <v/>
      </c>
      <c r="D24" s="55" t="str">
        <f>IF($Q24="","",INDEX(TRANSACTIONS_MASTER!$E$5:$E$1204,$Q24))</f>
        <v/>
      </c>
      <c r="E24" s="55" t="str">
        <f>IF($Q24="","",INDEX(TRANSACTIONS_MASTER!$G$5:$G$1204,$Q24)&amp;"")</f>
        <v/>
      </c>
      <c r="F24" s="29" t="str">
        <f>IF($Q24="","",INDEX(TRANSACTIONS_MASTER!$I$5:$I$1204,$Q24))</f>
        <v/>
      </c>
      <c r="G24" s="55" t="str">
        <f>IF($Q24="","",INDEX(TRANSACTIONS_MASTER!$K$5:$K$1204,$Q24))</f>
        <v/>
      </c>
      <c r="H24" s="25" t="str">
        <f>IF($Q24="","",INDEX(TRANSACTIONS_MASTER!$L$5:$L$1204,$Q24))</f>
        <v/>
      </c>
      <c r="I24" s="56" t="str">
        <f>IF($Q24="","",INDEX(TRANSACTIONS_MASTER!$N$5:$N$1204,$Q24))</f>
        <v/>
      </c>
      <c r="J24" s="25" t="str">
        <f>IF($Q24="","",INDEX(TRANSACTIONS_MASTER!$O$5:$O$1204,$Q24))</f>
        <v/>
      </c>
      <c r="K24" s="26" t="str">
        <f>IF($Q24="","",INDEX(TRANSACTIONS_MASTER!$Q$5:$Q$1204,$Q24))</f>
        <v/>
      </c>
      <c r="L24" s="25" t="str">
        <f>IF($Q24="","",INDEX(TRANSACTIONS_MASTER!$P$5:$P$1204,$Q24))</f>
        <v/>
      </c>
      <c r="M24" s="25" t="str">
        <f>IF($Q24="","",INDEX(TRANSACTIONS_MASTER!$AA$5:$AA$1204,$Q24))</f>
        <v/>
      </c>
      <c r="N24" s="25" t="str">
        <f>IF($Q24="","",INDEX(TRANSACTIONS_MASTER!$R$5:$R$1204,$Q24))</f>
        <v/>
      </c>
      <c r="O24" s="28" t="str">
        <f>IF($Q24="","",INDEX(TRANSACTIONS_MASTER!$AB$5:$AB$1204,$Q24))</f>
        <v/>
      </c>
      <c r="P24" s="55" t="str">
        <f>IF($Q24="","",INDEX(TRANSACTIONS_MASTER!$Z$5:$Z$1204,$Q24)&amp;"")</f>
        <v/>
      </c>
      <c r="Q24" s="67" t="str">
        <f>IFERROR(MATCH($C$2&amp;"|"&amp;17,TRANSACTIONS_MASTER!$AE$5:$AE$1204,0),"")</f>
        <v/>
      </c>
      <c r="S24" s="67" t="str">
        <f>IFERROR(MATCH(17,CASHBACK_RULES!$S$5:$S$304,0),"")</f>
        <v/>
      </c>
      <c r="T24" s="55" t="str">
        <f>IF($S24="","",INDEX(CASHBACK_RULES!$B$5:$B$304,$S24))</f>
        <v/>
      </c>
      <c r="U24" s="55" t="str">
        <f>IF($S24="","",INDEX(CASHBACK_RULES!$C$5:$C$304,$S24)&amp;" "&amp;INDEX(CASHBACK_RULES!$D$5:$D$304,$S24))</f>
        <v/>
      </c>
      <c r="V24" s="55" t="str">
        <f>IF($S24="","",INDEX(CASHBACK_RULES!$E$5:$E$304,$S24)&amp;"")</f>
        <v/>
      </c>
      <c r="W24" s="55" t="str">
        <f>IF($S24="","",INDEX(CASHBACK_RULES!$F$5:$F$304,$S24)&amp;"")</f>
        <v/>
      </c>
      <c r="X24" s="26" t="str">
        <f>IF($S24="","",SUMIFS(TRANSACTIONS_MASTER!$Q$5:$Q$1204,TRANSACTIONS_MASTER!$D$5:$D$1204,$T24,TRANSACTIONS_MASTER!$Z$5:$Z$1204,$V24,TRANSACTIONS_MASTER!$C$5:$C$1204,$C$2))</f>
        <v/>
      </c>
      <c r="Y24" s="25" t="str">
        <f>IF($S24="","",IF(ISNUMBER(INDEX(CASHBACK_RULES!$J$5:$J$304,$S24)),INDEX(CASHBACK_RULES!$J$5:$J$304,$S24),"∞"))</f>
        <v/>
      </c>
      <c r="Z24" s="25" t="str">
        <f>IF($S24="","",IF(ISNUMBER($Y24),MAX(0,$Y24-$X24),"∞"))</f>
        <v/>
      </c>
      <c r="AA24" s="27" t="str">
        <f>IF($S24="","",IF(ISNUMBER($Y24),IF($Y24=0,0,$X24/$Y24),""))</f>
        <v/>
      </c>
    </row>
    <row r="25" ht="20" customHeight="1">
      <c r="A25" s="81" t="str">
        <f>IF($Q25="","",18)</f>
        <v/>
      </c>
      <c r="B25" s="57" t="str">
        <f>IF($Q25="","",INDEX(TRANSACTIONS_MASTER!$B$5:$B$1204,$Q25))</f>
        <v/>
      </c>
      <c r="C25" s="55" t="str">
        <f>IF($Q25="","",INDEX(TRANSACTIONS_MASTER!$F$5:$F$1204,$Q25))</f>
        <v/>
      </c>
      <c r="D25" s="55" t="str">
        <f>IF($Q25="","",INDEX(TRANSACTIONS_MASTER!$E$5:$E$1204,$Q25))</f>
        <v/>
      </c>
      <c r="E25" s="55" t="str">
        <f>IF($Q25="","",INDEX(TRANSACTIONS_MASTER!$G$5:$G$1204,$Q25)&amp;"")</f>
        <v/>
      </c>
      <c r="F25" s="29" t="str">
        <f>IF($Q25="","",INDEX(TRANSACTIONS_MASTER!$I$5:$I$1204,$Q25))</f>
        <v/>
      </c>
      <c r="G25" s="55" t="str">
        <f>IF($Q25="","",INDEX(TRANSACTIONS_MASTER!$K$5:$K$1204,$Q25))</f>
        <v/>
      </c>
      <c r="H25" s="25" t="str">
        <f>IF($Q25="","",INDEX(TRANSACTIONS_MASTER!$L$5:$L$1204,$Q25))</f>
        <v/>
      </c>
      <c r="I25" s="56" t="str">
        <f>IF($Q25="","",INDEX(TRANSACTIONS_MASTER!$N$5:$N$1204,$Q25))</f>
        <v/>
      </c>
      <c r="J25" s="25" t="str">
        <f>IF($Q25="","",INDEX(TRANSACTIONS_MASTER!$O$5:$O$1204,$Q25))</f>
        <v/>
      </c>
      <c r="K25" s="26" t="str">
        <f>IF($Q25="","",INDEX(TRANSACTIONS_MASTER!$Q$5:$Q$1204,$Q25))</f>
        <v/>
      </c>
      <c r="L25" s="25" t="str">
        <f>IF($Q25="","",INDEX(TRANSACTIONS_MASTER!$P$5:$P$1204,$Q25))</f>
        <v/>
      </c>
      <c r="M25" s="25" t="str">
        <f>IF($Q25="","",INDEX(TRANSACTIONS_MASTER!$AA$5:$AA$1204,$Q25))</f>
        <v/>
      </c>
      <c r="N25" s="25" t="str">
        <f>IF($Q25="","",INDEX(TRANSACTIONS_MASTER!$R$5:$R$1204,$Q25))</f>
        <v/>
      </c>
      <c r="O25" s="28" t="str">
        <f>IF($Q25="","",INDEX(TRANSACTIONS_MASTER!$AB$5:$AB$1204,$Q25))</f>
        <v/>
      </c>
      <c r="P25" s="55" t="str">
        <f>IF($Q25="","",INDEX(TRANSACTIONS_MASTER!$Z$5:$Z$1204,$Q25)&amp;"")</f>
        <v/>
      </c>
      <c r="Q25" s="67" t="str">
        <f>IFERROR(MATCH($C$2&amp;"|"&amp;18,TRANSACTIONS_MASTER!$AE$5:$AE$1204,0),"")</f>
        <v/>
      </c>
      <c r="S25" s="67" t="str">
        <f>IFERROR(MATCH(18,CASHBACK_RULES!$S$5:$S$304,0),"")</f>
        <v/>
      </c>
      <c r="T25" s="55" t="str">
        <f>IF($S25="","",INDEX(CASHBACK_RULES!$B$5:$B$304,$S25))</f>
        <v/>
      </c>
      <c r="U25" s="55" t="str">
        <f>IF($S25="","",INDEX(CASHBACK_RULES!$C$5:$C$304,$S25)&amp;" "&amp;INDEX(CASHBACK_RULES!$D$5:$D$304,$S25))</f>
        <v/>
      </c>
      <c r="V25" s="55" t="str">
        <f>IF($S25="","",INDEX(CASHBACK_RULES!$E$5:$E$304,$S25)&amp;"")</f>
        <v/>
      </c>
      <c r="W25" s="55" t="str">
        <f>IF($S25="","",INDEX(CASHBACK_RULES!$F$5:$F$304,$S25)&amp;"")</f>
        <v/>
      </c>
      <c r="X25" s="26" t="str">
        <f>IF($S25="","",SUMIFS(TRANSACTIONS_MASTER!$Q$5:$Q$1204,TRANSACTIONS_MASTER!$D$5:$D$1204,$T25,TRANSACTIONS_MASTER!$Z$5:$Z$1204,$V25,TRANSACTIONS_MASTER!$C$5:$C$1204,$C$2))</f>
        <v/>
      </c>
      <c r="Y25" s="25" t="str">
        <f>IF($S25="","",IF(ISNUMBER(INDEX(CASHBACK_RULES!$J$5:$J$304,$S25)),INDEX(CASHBACK_RULES!$J$5:$J$304,$S25),"∞"))</f>
        <v/>
      </c>
      <c r="Z25" s="25" t="str">
        <f>IF($S25="","",IF(ISNUMBER($Y25),MAX(0,$Y25-$X25),"∞"))</f>
        <v/>
      </c>
      <c r="AA25" s="27" t="str">
        <f>IF($S25="","",IF(ISNUMBER($Y25),IF($Y25=0,0,$X25/$Y25),""))</f>
        <v/>
      </c>
    </row>
    <row r="26" ht="20" customHeight="1">
      <c r="A26" s="81" t="str">
        <f>IF($Q26="","",19)</f>
        <v/>
      </c>
      <c r="B26" s="57" t="str">
        <f>IF($Q26="","",INDEX(TRANSACTIONS_MASTER!$B$5:$B$1204,$Q26))</f>
        <v/>
      </c>
      <c r="C26" s="55" t="str">
        <f>IF($Q26="","",INDEX(TRANSACTIONS_MASTER!$F$5:$F$1204,$Q26))</f>
        <v/>
      </c>
      <c r="D26" s="55" t="str">
        <f>IF($Q26="","",INDEX(TRANSACTIONS_MASTER!$E$5:$E$1204,$Q26))</f>
        <v/>
      </c>
      <c r="E26" s="55" t="str">
        <f>IF($Q26="","",INDEX(TRANSACTIONS_MASTER!$G$5:$G$1204,$Q26)&amp;"")</f>
        <v/>
      </c>
      <c r="F26" s="29" t="str">
        <f>IF($Q26="","",INDEX(TRANSACTIONS_MASTER!$I$5:$I$1204,$Q26))</f>
        <v/>
      </c>
      <c r="G26" s="55" t="str">
        <f>IF($Q26="","",INDEX(TRANSACTIONS_MASTER!$K$5:$K$1204,$Q26))</f>
        <v/>
      </c>
      <c r="H26" s="25" t="str">
        <f>IF($Q26="","",INDEX(TRANSACTIONS_MASTER!$L$5:$L$1204,$Q26))</f>
        <v/>
      </c>
      <c r="I26" s="56" t="str">
        <f>IF($Q26="","",INDEX(TRANSACTIONS_MASTER!$N$5:$N$1204,$Q26))</f>
        <v/>
      </c>
      <c r="J26" s="25" t="str">
        <f>IF($Q26="","",INDEX(TRANSACTIONS_MASTER!$O$5:$O$1204,$Q26))</f>
        <v/>
      </c>
      <c r="K26" s="26" t="str">
        <f>IF($Q26="","",INDEX(TRANSACTIONS_MASTER!$Q$5:$Q$1204,$Q26))</f>
        <v/>
      </c>
      <c r="L26" s="25" t="str">
        <f>IF($Q26="","",INDEX(TRANSACTIONS_MASTER!$P$5:$P$1204,$Q26))</f>
        <v/>
      </c>
      <c r="M26" s="25" t="str">
        <f>IF($Q26="","",INDEX(TRANSACTIONS_MASTER!$AA$5:$AA$1204,$Q26))</f>
        <v/>
      </c>
      <c r="N26" s="25" t="str">
        <f>IF($Q26="","",INDEX(TRANSACTIONS_MASTER!$R$5:$R$1204,$Q26))</f>
        <v/>
      </c>
      <c r="O26" s="28" t="str">
        <f>IF($Q26="","",INDEX(TRANSACTIONS_MASTER!$AB$5:$AB$1204,$Q26))</f>
        <v/>
      </c>
      <c r="P26" s="55" t="str">
        <f>IF($Q26="","",INDEX(TRANSACTIONS_MASTER!$Z$5:$Z$1204,$Q26)&amp;"")</f>
        <v/>
      </c>
      <c r="Q26" s="67" t="str">
        <f>IFERROR(MATCH($C$2&amp;"|"&amp;19,TRANSACTIONS_MASTER!$AE$5:$AE$1204,0),"")</f>
        <v/>
      </c>
      <c r="S26" s="67" t="str">
        <f>IFERROR(MATCH(19,CASHBACK_RULES!$S$5:$S$304,0),"")</f>
        <v/>
      </c>
      <c r="T26" s="55" t="str">
        <f>IF($S26="","",INDEX(CASHBACK_RULES!$B$5:$B$304,$S26))</f>
        <v/>
      </c>
      <c r="U26" s="55" t="str">
        <f>IF($S26="","",INDEX(CASHBACK_RULES!$C$5:$C$304,$S26)&amp;" "&amp;INDEX(CASHBACK_RULES!$D$5:$D$304,$S26))</f>
        <v/>
      </c>
      <c r="V26" s="55" t="str">
        <f>IF($S26="","",INDEX(CASHBACK_RULES!$E$5:$E$304,$S26)&amp;"")</f>
        <v/>
      </c>
      <c r="W26" s="55" t="str">
        <f>IF($S26="","",INDEX(CASHBACK_RULES!$F$5:$F$304,$S26)&amp;"")</f>
        <v/>
      </c>
      <c r="X26" s="26" t="str">
        <f>IF($S26="","",SUMIFS(TRANSACTIONS_MASTER!$Q$5:$Q$1204,TRANSACTIONS_MASTER!$D$5:$D$1204,$T26,TRANSACTIONS_MASTER!$Z$5:$Z$1204,$V26,TRANSACTIONS_MASTER!$C$5:$C$1204,$C$2))</f>
        <v/>
      </c>
      <c r="Y26" s="25" t="str">
        <f>IF($S26="","",IF(ISNUMBER(INDEX(CASHBACK_RULES!$J$5:$J$304,$S26)),INDEX(CASHBACK_RULES!$J$5:$J$304,$S26),"∞"))</f>
        <v/>
      </c>
      <c r="Z26" s="25" t="str">
        <f>IF($S26="","",IF(ISNUMBER($Y26),MAX(0,$Y26-$X26),"∞"))</f>
        <v/>
      </c>
      <c r="AA26" s="27" t="str">
        <f>IF($S26="","",IF(ISNUMBER($Y26),IF($Y26=0,0,$X26/$Y26),""))</f>
        <v/>
      </c>
    </row>
    <row r="27" ht="20" customHeight="1">
      <c r="A27" s="81" t="str">
        <f>IF($Q27="","",20)</f>
        <v/>
      </c>
      <c r="B27" s="57" t="str">
        <f>IF($Q27="","",INDEX(TRANSACTIONS_MASTER!$B$5:$B$1204,$Q27))</f>
        <v/>
      </c>
      <c r="C27" s="55" t="str">
        <f>IF($Q27="","",INDEX(TRANSACTIONS_MASTER!$F$5:$F$1204,$Q27))</f>
        <v/>
      </c>
      <c r="D27" s="55" t="str">
        <f>IF($Q27="","",INDEX(TRANSACTIONS_MASTER!$E$5:$E$1204,$Q27))</f>
        <v/>
      </c>
      <c r="E27" s="55" t="str">
        <f>IF($Q27="","",INDEX(TRANSACTIONS_MASTER!$G$5:$G$1204,$Q27)&amp;"")</f>
        <v/>
      </c>
      <c r="F27" s="29" t="str">
        <f>IF($Q27="","",INDEX(TRANSACTIONS_MASTER!$I$5:$I$1204,$Q27))</f>
        <v/>
      </c>
      <c r="G27" s="55" t="str">
        <f>IF($Q27="","",INDEX(TRANSACTIONS_MASTER!$K$5:$K$1204,$Q27))</f>
        <v/>
      </c>
      <c r="H27" s="25" t="str">
        <f>IF($Q27="","",INDEX(TRANSACTIONS_MASTER!$L$5:$L$1204,$Q27))</f>
        <v/>
      </c>
      <c r="I27" s="56" t="str">
        <f>IF($Q27="","",INDEX(TRANSACTIONS_MASTER!$N$5:$N$1204,$Q27))</f>
        <v/>
      </c>
      <c r="J27" s="25" t="str">
        <f>IF($Q27="","",INDEX(TRANSACTIONS_MASTER!$O$5:$O$1204,$Q27))</f>
        <v/>
      </c>
      <c r="K27" s="26" t="str">
        <f>IF($Q27="","",INDEX(TRANSACTIONS_MASTER!$Q$5:$Q$1204,$Q27))</f>
        <v/>
      </c>
      <c r="L27" s="25" t="str">
        <f>IF($Q27="","",INDEX(TRANSACTIONS_MASTER!$P$5:$P$1204,$Q27))</f>
        <v/>
      </c>
      <c r="M27" s="25" t="str">
        <f>IF($Q27="","",INDEX(TRANSACTIONS_MASTER!$AA$5:$AA$1204,$Q27))</f>
        <v/>
      </c>
      <c r="N27" s="25" t="str">
        <f>IF($Q27="","",INDEX(TRANSACTIONS_MASTER!$R$5:$R$1204,$Q27))</f>
        <v/>
      </c>
      <c r="O27" s="28" t="str">
        <f>IF($Q27="","",INDEX(TRANSACTIONS_MASTER!$AB$5:$AB$1204,$Q27))</f>
        <v/>
      </c>
      <c r="P27" s="55" t="str">
        <f>IF($Q27="","",INDEX(TRANSACTIONS_MASTER!$Z$5:$Z$1204,$Q27)&amp;"")</f>
        <v/>
      </c>
      <c r="Q27" s="67" t="str">
        <f>IFERROR(MATCH($C$2&amp;"|"&amp;20,TRANSACTIONS_MASTER!$AE$5:$AE$1204,0),"")</f>
        <v/>
      </c>
      <c r="S27" s="67" t="str">
        <f>IFERROR(MATCH(20,CASHBACK_RULES!$S$5:$S$304,0),"")</f>
        <v/>
      </c>
      <c r="T27" s="55" t="str">
        <f>IF($S27="","",INDEX(CASHBACK_RULES!$B$5:$B$304,$S27))</f>
        <v/>
      </c>
      <c r="U27" s="55" t="str">
        <f>IF($S27="","",INDEX(CASHBACK_RULES!$C$5:$C$304,$S27)&amp;" "&amp;INDEX(CASHBACK_RULES!$D$5:$D$304,$S27))</f>
        <v/>
      </c>
      <c r="V27" s="55" t="str">
        <f>IF($S27="","",INDEX(CASHBACK_RULES!$E$5:$E$304,$S27)&amp;"")</f>
        <v/>
      </c>
      <c r="W27" s="55" t="str">
        <f>IF($S27="","",INDEX(CASHBACK_RULES!$F$5:$F$304,$S27)&amp;"")</f>
        <v/>
      </c>
      <c r="X27" s="26" t="str">
        <f>IF($S27="","",SUMIFS(TRANSACTIONS_MASTER!$Q$5:$Q$1204,TRANSACTIONS_MASTER!$D$5:$D$1204,$T27,TRANSACTIONS_MASTER!$Z$5:$Z$1204,$V27,TRANSACTIONS_MASTER!$C$5:$C$1204,$C$2))</f>
        <v/>
      </c>
      <c r="Y27" s="25" t="str">
        <f>IF($S27="","",IF(ISNUMBER(INDEX(CASHBACK_RULES!$J$5:$J$304,$S27)),INDEX(CASHBACK_RULES!$J$5:$J$304,$S27),"∞"))</f>
        <v/>
      </c>
      <c r="Z27" s="25" t="str">
        <f>IF($S27="","",IF(ISNUMBER($Y27),MAX(0,$Y27-$X27),"∞"))</f>
        <v/>
      </c>
      <c r="AA27" s="27" t="str">
        <f>IF($S27="","",IF(ISNUMBER($Y27),IF($Y27=0,0,$X27/$Y27),""))</f>
        <v/>
      </c>
    </row>
    <row r="28" ht="20" customHeight="1">
      <c r="A28" s="81" t="str">
        <f>IF($Q28="","",21)</f>
        <v/>
      </c>
      <c r="B28" s="57" t="str">
        <f>IF($Q28="","",INDEX(TRANSACTIONS_MASTER!$B$5:$B$1204,$Q28))</f>
        <v/>
      </c>
      <c r="C28" s="55" t="str">
        <f>IF($Q28="","",INDEX(TRANSACTIONS_MASTER!$F$5:$F$1204,$Q28))</f>
        <v/>
      </c>
      <c r="D28" s="55" t="str">
        <f>IF($Q28="","",INDEX(TRANSACTIONS_MASTER!$E$5:$E$1204,$Q28))</f>
        <v/>
      </c>
      <c r="E28" s="55" t="str">
        <f>IF($Q28="","",INDEX(TRANSACTIONS_MASTER!$G$5:$G$1204,$Q28)&amp;"")</f>
        <v/>
      </c>
      <c r="F28" s="29" t="str">
        <f>IF($Q28="","",INDEX(TRANSACTIONS_MASTER!$I$5:$I$1204,$Q28))</f>
        <v/>
      </c>
      <c r="G28" s="55" t="str">
        <f>IF($Q28="","",INDEX(TRANSACTIONS_MASTER!$K$5:$K$1204,$Q28))</f>
        <v/>
      </c>
      <c r="H28" s="25" t="str">
        <f>IF($Q28="","",INDEX(TRANSACTIONS_MASTER!$L$5:$L$1204,$Q28))</f>
        <v/>
      </c>
      <c r="I28" s="56" t="str">
        <f>IF($Q28="","",INDEX(TRANSACTIONS_MASTER!$N$5:$N$1204,$Q28))</f>
        <v/>
      </c>
      <c r="J28" s="25" t="str">
        <f>IF($Q28="","",INDEX(TRANSACTIONS_MASTER!$O$5:$O$1204,$Q28))</f>
        <v/>
      </c>
      <c r="K28" s="26" t="str">
        <f>IF($Q28="","",INDEX(TRANSACTIONS_MASTER!$Q$5:$Q$1204,$Q28))</f>
        <v/>
      </c>
      <c r="L28" s="25" t="str">
        <f>IF($Q28="","",INDEX(TRANSACTIONS_MASTER!$P$5:$P$1204,$Q28))</f>
        <v/>
      </c>
      <c r="M28" s="25" t="str">
        <f>IF($Q28="","",INDEX(TRANSACTIONS_MASTER!$AA$5:$AA$1204,$Q28))</f>
        <v/>
      </c>
      <c r="N28" s="25" t="str">
        <f>IF($Q28="","",INDEX(TRANSACTIONS_MASTER!$R$5:$R$1204,$Q28))</f>
        <v/>
      </c>
      <c r="O28" s="28" t="str">
        <f>IF($Q28="","",INDEX(TRANSACTIONS_MASTER!$AB$5:$AB$1204,$Q28))</f>
        <v/>
      </c>
      <c r="P28" s="55" t="str">
        <f>IF($Q28="","",INDEX(TRANSACTIONS_MASTER!$Z$5:$Z$1204,$Q28)&amp;"")</f>
        <v/>
      </c>
      <c r="Q28" s="67" t="str">
        <f>IFERROR(MATCH($C$2&amp;"|"&amp;21,TRANSACTIONS_MASTER!$AE$5:$AE$1204,0),"")</f>
        <v/>
      </c>
      <c r="S28" s="67" t="str">
        <f>IFERROR(MATCH(21,CASHBACK_RULES!$S$5:$S$304,0),"")</f>
        <v/>
      </c>
      <c r="T28" s="55" t="str">
        <f>IF($S28="","",INDEX(CASHBACK_RULES!$B$5:$B$304,$S28))</f>
        <v/>
      </c>
      <c r="U28" s="55" t="str">
        <f>IF($S28="","",INDEX(CASHBACK_RULES!$C$5:$C$304,$S28)&amp;" "&amp;INDEX(CASHBACK_RULES!$D$5:$D$304,$S28))</f>
        <v/>
      </c>
      <c r="V28" s="55" t="str">
        <f>IF($S28="","",INDEX(CASHBACK_RULES!$E$5:$E$304,$S28)&amp;"")</f>
        <v/>
      </c>
      <c r="W28" s="55" t="str">
        <f>IF($S28="","",INDEX(CASHBACK_RULES!$F$5:$F$304,$S28)&amp;"")</f>
        <v/>
      </c>
      <c r="X28" s="26" t="str">
        <f>IF($S28="","",SUMIFS(TRANSACTIONS_MASTER!$Q$5:$Q$1204,TRANSACTIONS_MASTER!$D$5:$D$1204,$T28,TRANSACTIONS_MASTER!$Z$5:$Z$1204,$V28,TRANSACTIONS_MASTER!$C$5:$C$1204,$C$2))</f>
        <v/>
      </c>
      <c r="Y28" s="25" t="str">
        <f>IF($S28="","",IF(ISNUMBER(INDEX(CASHBACK_RULES!$J$5:$J$304,$S28)),INDEX(CASHBACK_RULES!$J$5:$J$304,$S28),"∞"))</f>
        <v/>
      </c>
      <c r="Z28" s="25" t="str">
        <f>IF($S28="","",IF(ISNUMBER($Y28),MAX(0,$Y28-$X28),"∞"))</f>
        <v/>
      </c>
      <c r="AA28" s="27" t="str">
        <f>IF($S28="","",IF(ISNUMBER($Y28),IF($Y28=0,0,$X28/$Y28),""))</f>
        <v/>
      </c>
    </row>
    <row r="29" ht="20" customHeight="1">
      <c r="A29" s="81" t="str">
        <f>IF($Q29="","",22)</f>
        <v/>
      </c>
      <c r="B29" s="57" t="str">
        <f>IF($Q29="","",INDEX(TRANSACTIONS_MASTER!$B$5:$B$1204,$Q29))</f>
        <v/>
      </c>
      <c r="C29" s="55" t="str">
        <f>IF($Q29="","",INDEX(TRANSACTIONS_MASTER!$F$5:$F$1204,$Q29))</f>
        <v/>
      </c>
      <c r="D29" s="55" t="str">
        <f>IF($Q29="","",INDEX(TRANSACTIONS_MASTER!$E$5:$E$1204,$Q29))</f>
        <v/>
      </c>
      <c r="E29" s="55" t="str">
        <f>IF($Q29="","",INDEX(TRANSACTIONS_MASTER!$G$5:$G$1204,$Q29)&amp;"")</f>
        <v/>
      </c>
      <c r="F29" s="29" t="str">
        <f>IF($Q29="","",INDEX(TRANSACTIONS_MASTER!$I$5:$I$1204,$Q29))</f>
        <v/>
      </c>
      <c r="G29" s="55" t="str">
        <f>IF($Q29="","",INDEX(TRANSACTIONS_MASTER!$K$5:$K$1204,$Q29))</f>
        <v/>
      </c>
      <c r="H29" s="25" t="str">
        <f>IF($Q29="","",INDEX(TRANSACTIONS_MASTER!$L$5:$L$1204,$Q29))</f>
        <v/>
      </c>
      <c r="I29" s="56" t="str">
        <f>IF($Q29="","",INDEX(TRANSACTIONS_MASTER!$N$5:$N$1204,$Q29))</f>
        <v/>
      </c>
      <c r="J29" s="25" t="str">
        <f>IF($Q29="","",INDEX(TRANSACTIONS_MASTER!$O$5:$O$1204,$Q29))</f>
        <v/>
      </c>
      <c r="K29" s="26" t="str">
        <f>IF($Q29="","",INDEX(TRANSACTIONS_MASTER!$Q$5:$Q$1204,$Q29))</f>
        <v/>
      </c>
      <c r="L29" s="25" t="str">
        <f>IF($Q29="","",INDEX(TRANSACTIONS_MASTER!$P$5:$P$1204,$Q29))</f>
        <v/>
      </c>
      <c r="M29" s="25" t="str">
        <f>IF($Q29="","",INDEX(TRANSACTIONS_MASTER!$AA$5:$AA$1204,$Q29))</f>
        <v/>
      </c>
      <c r="N29" s="25" t="str">
        <f>IF($Q29="","",INDEX(TRANSACTIONS_MASTER!$R$5:$R$1204,$Q29))</f>
        <v/>
      </c>
      <c r="O29" s="28" t="str">
        <f>IF($Q29="","",INDEX(TRANSACTIONS_MASTER!$AB$5:$AB$1204,$Q29))</f>
        <v/>
      </c>
      <c r="P29" s="55" t="str">
        <f>IF($Q29="","",INDEX(TRANSACTIONS_MASTER!$Z$5:$Z$1204,$Q29)&amp;"")</f>
        <v/>
      </c>
      <c r="Q29" s="67" t="str">
        <f>IFERROR(MATCH($C$2&amp;"|"&amp;22,TRANSACTIONS_MASTER!$AE$5:$AE$1204,0),"")</f>
        <v/>
      </c>
      <c r="S29" s="67" t="str">
        <f>IFERROR(MATCH(22,CASHBACK_RULES!$S$5:$S$304,0),"")</f>
        <v/>
      </c>
      <c r="T29" s="55" t="str">
        <f>IF($S29="","",INDEX(CASHBACK_RULES!$B$5:$B$304,$S29))</f>
        <v/>
      </c>
      <c r="U29" s="55" t="str">
        <f>IF($S29="","",INDEX(CASHBACK_RULES!$C$5:$C$304,$S29)&amp;" "&amp;INDEX(CASHBACK_RULES!$D$5:$D$304,$S29))</f>
        <v/>
      </c>
      <c r="V29" s="55" t="str">
        <f>IF($S29="","",INDEX(CASHBACK_RULES!$E$5:$E$304,$S29)&amp;"")</f>
        <v/>
      </c>
      <c r="W29" s="55" t="str">
        <f>IF($S29="","",INDEX(CASHBACK_RULES!$F$5:$F$304,$S29)&amp;"")</f>
        <v/>
      </c>
      <c r="X29" s="26" t="str">
        <f>IF($S29="","",SUMIFS(TRANSACTIONS_MASTER!$Q$5:$Q$1204,TRANSACTIONS_MASTER!$D$5:$D$1204,$T29,TRANSACTIONS_MASTER!$Z$5:$Z$1204,$V29,TRANSACTIONS_MASTER!$C$5:$C$1204,$C$2))</f>
        <v/>
      </c>
      <c r="Y29" s="25" t="str">
        <f>IF($S29="","",IF(ISNUMBER(INDEX(CASHBACK_RULES!$J$5:$J$304,$S29)),INDEX(CASHBACK_RULES!$J$5:$J$304,$S29),"∞"))</f>
        <v/>
      </c>
      <c r="Z29" s="25" t="str">
        <f>IF($S29="","",IF(ISNUMBER($Y29),MAX(0,$Y29-$X29),"∞"))</f>
        <v/>
      </c>
      <c r="AA29" s="27" t="str">
        <f>IF($S29="","",IF(ISNUMBER($Y29),IF($Y29=0,0,$X29/$Y29),""))</f>
        <v/>
      </c>
    </row>
    <row r="30" ht="20" customHeight="1">
      <c r="A30" s="81" t="str">
        <f>IF($Q30="","",23)</f>
        <v/>
      </c>
      <c r="B30" s="57" t="str">
        <f>IF($Q30="","",INDEX(TRANSACTIONS_MASTER!$B$5:$B$1204,$Q30))</f>
        <v/>
      </c>
      <c r="C30" s="55" t="str">
        <f>IF($Q30="","",INDEX(TRANSACTIONS_MASTER!$F$5:$F$1204,$Q30))</f>
        <v/>
      </c>
      <c r="D30" s="55" t="str">
        <f>IF($Q30="","",INDEX(TRANSACTIONS_MASTER!$E$5:$E$1204,$Q30))</f>
        <v/>
      </c>
      <c r="E30" s="55" t="str">
        <f>IF($Q30="","",INDEX(TRANSACTIONS_MASTER!$G$5:$G$1204,$Q30)&amp;"")</f>
        <v/>
      </c>
      <c r="F30" s="29" t="str">
        <f>IF($Q30="","",INDEX(TRANSACTIONS_MASTER!$I$5:$I$1204,$Q30))</f>
        <v/>
      </c>
      <c r="G30" s="55" t="str">
        <f>IF($Q30="","",INDEX(TRANSACTIONS_MASTER!$K$5:$K$1204,$Q30))</f>
        <v/>
      </c>
      <c r="H30" s="25" t="str">
        <f>IF($Q30="","",INDEX(TRANSACTIONS_MASTER!$L$5:$L$1204,$Q30))</f>
        <v/>
      </c>
      <c r="I30" s="56" t="str">
        <f>IF($Q30="","",INDEX(TRANSACTIONS_MASTER!$N$5:$N$1204,$Q30))</f>
        <v/>
      </c>
      <c r="J30" s="25" t="str">
        <f>IF($Q30="","",INDEX(TRANSACTIONS_MASTER!$O$5:$O$1204,$Q30))</f>
        <v/>
      </c>
      <c r="K30" s="26" t="str">
        <f>IF($Q30="","",INDEX(TRANSACTIONS_MASTER!$Q$5:$Q$1204,$Q30))</f>
        <v/>
      </c>
      <c r="L30" s="25" t="str">
        <f>IF($Q30="","",INDEX(TRANSACTIONS_MASTER!$P$5:$P$1204,$Q30))</f>
        <v/>
      </c>
      <c r="M30" s="25" t="str">
        <f>IF($Q30="","",INDEX(TRANSACTIONS_MASTER!$AA$5:$AA$1204,$Q30))</f>
        <v/>
      </c>
      <c r="N30" s="25" t="str">
        <f>IF($Q30="","",INDEX(TRANSACTIONS_MASTER!$R$5:$R$1204,$Q30))</f>
        <v/>
      </c>
      <c r="O30" s="28" t="str">
        <f>IF($Q30="","",INDEX(TRANSACTIONS_MASTER!$AB$5:$AB$1204,$Q30))</f>
        <v/>
      </c>
      <c r="P30" s="55" t="str">
        <f>IF($Q30="","",INDEX(TRANSACTIONS_MASTER!$Z$5:$Z$1204,$Q30)&amp;"")</f>
        <v/>
      </c>
      <c r="Q30" s="67" t="str">
        <f>IFERROR(MATCH($C$2&amp;"|"&amp;23,TRANSACTIONS_MASTER!$AE$5:$AE$1204,0),"")</f>
        <v/>
      </c>
      <c r="S30" s="67" t="str">
        <f>IFERROR(MATCH(23,CASHBACK_RULES!$S$5:$S$304,0),"")</f>
        <v/>
      </c>
      <c r="T30" s="55" t="str">
        <f>IF($S30="","",INDEX(CASHBACK_RULES!$B$5:$B$304,$S30))</f>
        <v/>
      </c>
      <c r="U30" s="55" t="str">
        <f>IF($S30="","",INDEX(CASHBACK_RULES!$C$5:$C$304,$S30)&amp;" "&amp;INDEX(CASHBACK_RULES!$D$5:$D$304,$S30))</f>
        <v/>
      </c>
      <c r="V30" s="55" t="str">
        <f>IF($S30="","",INDEX(CASHBACK_RULES!$E$5:$E$304,$S30)&amp;"")</f>
        <v/>
      </c>
      <c r="W30" s="55" t="str">
        <f>IF($S30="","",INDEX(CASHBACK_RULES!$F$5:$F$304,$S30)&amp;"")</f>
        <v/>
      </c>
      <c r="X30" s="26" t="str">
        <f>IF($S30="","",SUMIFS(TRANSACTIONS_MASTER!$Q$5:$Q$1204,TRANSACTIONS_MASTER!$D$5:$D$1204,$T30,TRANSACTIONS_MASTER!$Z$5:$Z$1204,$V30,TRANSACTIONS_MASTER!$C$5:$C$1204,$C$2))</f>
        <v/>
      </c>
      <c r="Y30" s="25" t="str">
        <f>IF($S30="","",IF(ISNUMBER(INDEX(CASHBACK_RULES!$J$5:$J$304,$S30)),INDEX(CASHBACK_RULES!$J$5:$J$304,$S30),"∞"))</f>
        <v/>
      </c>
      <c r="Z30" s="25" t="str">
        <f>IF($S30="","",IF(ISNUMBER($Y30),MAX(0,$Y30-$X30),"∞"))</f>
        <v/>
      </c>
      <c r="AA30" s="27" t="str">
        <f>IF($S30="","",IF(ISNUMBER($Y30),IF($Y30=0,0,$X30/$Y30),""))</f>
        <v/>
      </c>
    </row>
    <row r="31" ht="20" customHeight="1">
      <c r="A31" s="81" t="str">
        <f>IF($Q31="","",24)</f>
        <v/>
      </c>
      <c r="B31" s="57" t="str">
        <f>IF($Q31="","",INDEX(TRANSACTIONS_MASTER!$B$5:$B$1204,$Q31))</f>
        <v/>
      </c>
      <c r="C31" s="55" t="str">
        <f>IF($Q31="","",INDEX(TRANSACTIONS_MASTER!$F$5:$F$1204,$Q31))</f>
        <v/>
      </c>
      <c r="D31" s="55" t="str">
        <f>IF($Q31="","",INDEX(TRANSACTIONS_MASTER!$E$5:$E$1204,$Q31))</f>
        <v/>
      </c>
      <c r="E31" s="55" t="str">
        <f>IF($Q31="","",INDEX(TRANSACTIONS_MASTER!$G$5:$G$1204,$Q31)&amp;"")</f>
        <v/>
      </c>
      <c r="F31" s="29" t="str">
        <f>IF($Q31="","",INDEX(TRANSACTIONS_MASTER!$I$5:$I$1204,$Q31))</f>
        <v/>
      </c>
      <c r="G31" s="55" t="str">
        <f>IF($Q31="","",INDEX(TRANSACTIONS_MASTER!$K$5:$K$1204,$Q31))</f>
        <v/>
      </c>
      <c r="H31" s="25" t="str">
        <f>IF($Q31="","",INDEX(TRANSACTIONS_MASTER!$L$5:$L$1204,$Q31))</f>
        <v/>
      </c>
      <c r="I31" s="56" t="str">
        <f>IF($Q31="","",INDEX(TRANSACTIONS_MASTER!$N$5:$N$1204,$Q31))</f>
        <v/>
      </c>
      <c r="J31" s="25" t="str">
        <f>IF($Q31="","",INDEX(TRANSACTIONS_MASTER!$O$5:$O$1204,$Q31))</f>
        <v/>
      </c>
      <c r="K31" s="26" t="str">
        <f>IF($Q31="","",INDEX(TRANSACTIONS_MASTER!$Q$5:$Q$1204,$Q31))</f>
        <v/>
      </c>
      <c r="L31" s="25" t="str">
        <f>IF($Q31="","",INDEX(TRANSACTIONS_MASTER!$P$5:$P$1204,$Q31))</f>
        <v/>
      </c>
      <c r="M31" s="25" t="str">
        <f>IF($Q31="","",INDEX(TRANSACTIONS_MASTER!$AA$5:$AA$1204,$Q31))</f>
        <v/>
      </c>
      <c r="N31" s="25" t="str">
        <f>IF($Q31="","",INDEX(TRANSACTIONS_MASTER!$R$5:$R$1204,$Q31))</f>
        <v/>
      </c>
      <c r="O31" s="28" t="str">
        <f>IF($Q31="","",INDEX(TRANSACTIONS_MASTER!$AB$5:$AB$1204,$Q31))</f>
        <v/>
      </c>
      <c r="P31" s="55" t="str">
        <f>IF($Q31="","",INDEX(TRANSACTIONS_MASTER!$Z$5:$Z$1204,$Q31)&amp;"")</f>
        <v/>
      </c>
      <c r="Q31" s="67" t="str">
        <f>IFERROR(MATCH($C$2&amp;"|"&amp;24,TRANSACTIONS_MASTER!$AE$5:$AE$1204,0),"")</f>
        <v/>
      </c>
      <c r="S31" s="67" t="str">
        <f>IFERROR(MATCH(24,CASHBACK_RULES!$S$5:$S$304,0),"")</f>
        <v/>
      </c>
      <c r="T31" s="55" t="str">
        <f>IF($S31="","",INDEX(CASHBACK_RULES!$B$5:$B$304,$S31))</f>
        <v/>
      </c>
      <c r="U31" s="55" t="str">
        <f>IF($S31="","",INDEX(CASHBACK_RULES!$C$5:$C$304,$S31)&amp;" "&amp;INDEX(CASHBACK_RULES!$D$5:$D$304,$S31))</f>
        <v/>
      </c>
      <c r="V31" s="55" t="str">
        <f>IF($S31="","",INDEX(CASHBACK_RULES!$E$5:$E$304,$S31)&amp;"")</f>
        <v/>
      </c>
      <c r="W31" s="55" t="str">
        <f>IF($S31="","",INDEX(CASHBACK_RULES!$F$5:$F$304,$S31)&amp;"")</f>
        <v/>
      </c>
      <c r="X31" s="26" t="str">
        <f>IF($S31="","",SUMIFS(TRANSACTIONS_MASTER!$Q$5:$Q$1204,TRANSACTIONS_MASTER!$D$5:$D$1204,$T31,TRANSACTIONS_MASTER!$Z$5:$Z$1204,$V31,TRANSACTIONS_MASTER!$C$5:$C$1204,$C$2))</f>
        <v/>
      </c>
      <c r="Y31" s="25" t="str">
        <f>IF($S31="","",IF(ISNUMBER(INDEX(CASHBACK_RULES!$J$5:$J$304,$S31)),INDEX(CASHBACK_RULES!$J$5:$J$304,$S31),"∞"))</f>
        <v/>
      </c>
      <c r="Z31" s="25" t="str">
        <f>IF($S31="","",IF(ISNUMBER($Y31),MAX(0,$Y31-$X31),"∞"))</f>
        <v/>
      </c>
      <c r="AA31" s="27" t="str">
        <f>IF($S31="","",IF(ISNUMBER($Y31),IF($Y31=0,0,$X31/$Y31),""))</f>
        <v/>
      </c>
    </row>
    <row r="32" ht="20" customHeight="1">
      <c r="A32" s="81" t="str">
        <f>IF($Q32="","",25)</f>
        <v/>
      </c>
      <c r="B32" s="57" t="str">
        <f>IF($Q32="","",INDEX(TRANSACTIONS_MASTER!$B$5:$B$1204,$Q32))</f>
        <v/>
      </c>
      <c r="C32" s="55" t="str">
        <f>IF($Q32="","",INDEX(TRANSACTIONS_MASTER!$F$5:$F$1204,$Q32))</f>
        <v/>
      </c>
      <c r="D32" s="55" t="str">
        <f>IF($Q32="","",INDEX(TRANSACTIONS_MASTER!$E$5:$E$1204,$Q32))</f>
        <v/>
      </c>
      <c r="E32" s="55" t="str">
        <f>IF($Q32="","",INDEX(TRANSACTIONS_MASTER!$G$5:$G$1204,$Q32)&amp;"")</f>
        <v/>
      </c>
      <c r="F32" s="29" t="str">
        <f>IF($Q32="","",INDEX(TRANSACTIONS_MASTER!$I$5:$I$1204,$Q32))</f>
        <v/>
      </c>
      <c r="G32" s="55" t="str">
        <f>IF($Q32="","",INDEX(TRANSACTIONS_MASTER!$K$5:$K$1204,$Q32))</f>
        <v/>
      </c>
      <c r="H32" s="25" t="str">
        <f>IF($Q32="","",INDEX(TRANSACTIONS_MASTER!$L$5:$L$1204,$Q32))</f>
        <v/>
      </c>
      <c r="I32" s="56" t="str">
        <f>IF($Q32="","",INDEX(TRANSACTIONS_MASTER!$N$5:$N$1204,$Q32))</f>
        <v/>
      </c>
      <c r="J32" s="25" t="str">
        <f>IF($Q32="","",INDEX(TRANSACTIONS_MASTER!$O$5:$O$1204,$Q32))</f>
        <v/>
      </c>
      <c r="K32" s="26" t="str">
        <f>IF($Q32="","",INDEX(TRANSACTIONS_MASTER!$Q$5:$Q$1204,$Q32))</f>
        <v/>
      </c>
      <c r="L32" s="25" t="str">
        <f>IF($Q32="","",INDEX(TRANSACTIONS_MASTER!$P$5:$P$1204,$Q32))</f>
        <v/>
      </c>
      <c r="M32" s="25" t="str">
        <f>IF($Q32="","",INDEX(TRANSACTIONS_MASTER!$AA$5:$AA$1204,$Q32))</f>
        <v/>
      </c>
      <c r="N32" s="25" t="str">
        <f>IF($Q32="","",INDEX(TRANSACTIONS_MASTER!$R$5:$R$1204,$Q32))</f>
        <v/>
      </c>
      <c r="O32" s="28" t="str">
        <f>IF($Q32="","",INDEX(TRANSACTIONS_MASTER!$AB$5:$AB$1204,$Q32))</f>
        <v/>
      </c>
      <c r="P32" s="55" t="str">
        <f>IF($Q32="","",INDEX(TRANSACTIONS_MASTER!$Z$5:$Z$1204,$Q32)&amp;"")</f>
        <v/>
      </c>
      <c r="Q32" s="67" t="str">
        <f>IFERROR(MATCH($C$2&amp;"|"&amp;25,TRANSACTIONS_MASTER!$AE$5:$AE$1204,0),"")</f>
        <v/>
      </c>
      <c r="S32" s="67" t="str">
        <f>IFERROR(MATCH(25,CASHBACK_RULES!$S$5:$S$304,0),"")</f>
        <v/>
      </c>
      <c r="T32" s="55" t="str">
        <f>IF($S32="","",INDEX(CASHBACK_RULES!$B$5:$B$304,$S32))</f>
        <v/>
      </c>
      <c r="U32" s="55" t="str">
        <f>IF($S32="","",INDEX(CASHBACK_RULES!$C$5:$C$304,$S32)&amp;" "&amp;INDEX(CASHBACK_RULES!$D$5:$D$304,$S32))</f>
        <v/>
      </c>
      <c r="V32" s="55" t="str">
        <f>IF($S32="","",INDEX(CASHBACK_RULES!$E$5:$E$304,$S32)&amp;"")</f>
        <v/>
      </c>
      <c r="W32" s="55" t="str">
        <f>IF($S32="","",INDEX(CASHBACK_RULES!$F$5:$F$304,$S32)&amp;"")</f>
        <v/>
      </c>
      <c r="X32" s="26" t="str">
        <f>IF($S32="","",SUMIFS(TRANSACTIONS_MASTER!$Q$5:$Q$1204,TRANSACTIONS_MASTER!$D$5:$D$1204,$T32,TRANSACTIONS_MASTER!$Z$5:$Z$1204,$V32,TRANSACTIONS_MASTER!$C$5:$C$1204,$C$2))</f>
        <v/>
      </c>
      <c r="Y32" s="25" t="str">
        <f>IF($S32="","",IF(ISNUMBER(INDEX(CASHBACK_RULES!$J$5:$J$304,$S32)),INDEX(CASHBACK_RULES!$J$5:$J$304,$S32),"∞"))</f>
        <v/>
      </c>
      <c r="Z32" s="25" t="str">
        <f>IF($S32="","",IF(ISNUMBER($Y32),MAX(0,$Y32-$X32),"∞"))</f>
        <v/>
      </c>
      <c r="AA32" s="27" t="str">
        <f>IF($S32="","",IF(ISNUMBER($Y32),IF($Y32=0,0,$X32/$Y32),""))</f>
        <v/>
      </c>
    </row>
    <row r="33" ht="20" customHeight="1">
      <c r="A33" s="81" t="str">
        <f>IF($Q33="","",26)</f>
        <v/>
      </c>
      <c r="B33" s="57" t="str">
        <f>IF($Q33="","",INDEX(TRANSACTIONS_MASTER!$B$5:$B$1204,$Q33))</f>
        <v/>
      </c>
      <c r="C33" s="55" t="str">
        <f>IF($Q33="","",INDEX(TRANSACTIONS_MASTER!$F$5:$F$1204,$Q33))</f>
        <v/>
      </c>
      <c r="D33" s="55" t="str">
        <f>IF($Q33="","",INDEX(TRANSACTIONS_MASTER!$E$5:$E$1204,$Q33))</f>
        <v/>
      </c>
      <c r="E33" s="55" t="str">
        <f>IF($Q33="","",INDEX(TRANSACTIONS_MASTER!$G$5:$G$1204,$Q33)&amp;"")</f>
        <v/>
      </c>
      <c r="F33" s="29" t="str">
        <f>IF($Q33="","",INDEX(TRANSACTIONS_MASTER!$I$5:$I$1204,$Q33))</f>
        <v/>
      </c>
      <c r="G33" s="55" t="str">
        <f>IF($Q33="","",INDEX(TRANSACTIONS_MASTER!$K$5:$K$1204,$Q33))</f>
        <v/>
      </c>
      <c r="H33" s="25" t="str">
        <f>IF($Q33="","",INDEX(TRANSACTIONS_MASTER!$L$5:$L$1204,$Q33))</f>
        <v/>
      </c>
      <c r="I33" s="56" t="str">
        <f>IF($Q33="","",INDEX(TRANSACTIONS_MASTER!$N$5:$N$1204,$Q33))</f>
        <v/>
      </c>
      <c r="J33" s="25" t="str">
        <f>IF($Q33="","",INDEX(TRANSACTIONS_MASTER!$O$5:$O$1204,$Q33))</f>
        <v/>
      </c>
      <c r="K33" s="26" t="str">
        <f>IF($Q33="","",INDEX(TRANSACTIONS_MASTER!$Q$5:$Q$1204,$Q33))</f>
        <v/>
      </c>
      <c r="L33" s="25" t="str">
        <f>IF($Q33="","",INDEX(TRANSACTIONS_MASTER!$P$5:$P$1204,$Q33))</f>
        <v/>
      </c>
      <c r="M33" s="25" t="str">
        <f>IF($Q33="","",INDEX(TRANSACTIONS_MASTER!$AA$5:$AA$1204,$Q33))</f>
        <v/>
      </c>
      <c r="N33" s="25" t="str">
        <f>IF($Q33="","",INDEX(TRANSACTIONS_MASTER!$R$5:$R$1204,$Q33))</f>
        <v/>
      </c>
      <c r="O33" s="28" t="str">
        <f>IF($Q33="","",INDEX(TRANSACTIONS_MASTER!$AB$5:$AB$1204,$Q33))</f>
        <v/>
      </c>
      <c r="P33" s="55" t="str">
        <f>IF($Q33="","",INDEX(TRANSACTIONS_MASTER!$Z$5:$Z$1204,$Q33)&amp;"")</f>
        <v/>
      </c>
      <c r="Q33" s="67" t="str">
        <f>IFERROR(MATCH($C$2&amp;"|"&amp;26,TRANSACTIONS_MASTER!$AE$5:$AE$1204,0),"")</f>
        <v/>
      </c>
      <c r="S33" s="67" t="str">
        <f>IFERROR(MATCH(26,CASHBACK_RULES!$S$5:$S$304,0),"")</f>
        <v/>
      </c>
      <c r="T33" s="55" t="str">
        <f>IF($S33="","",INDEX(CASHBACK_RULES!$B$5:$B$304,$S33))</f>
        <v/>
      </c>
      <c r="U33" s="55" t="str">
        <f>IF($S33="","",INDEX(CASHBACK_RULES!$C$5:$C$304,$S33)&amp;" "&amp;INDEX(CASHBACK_RULES!$D$5:$D$304,$S33))</f>
        <v/>
      </c>
      <c r="V33" s="55" t="str">
        <f>IF($S33="","",INDEX(CASHBACK_RULES!$E$5:$E$304,$S33)&amp;"")</f>
        <v/>
      </c>
      <c r="W33" s="55" t="str">
        <f>IF($S33="","",INDEX(CASHBACK_RULES!$F$5:$F$304,$S33)&amp;"")</f>
        <v/>
      </c>
      <c r="X33" s="26" t="str">
        <f>IF($S33="","",SUMIFS(TRANSACTIONS_MASTER!$Q$5:$Q$1204,TRANSACTIONS_MASTER!$D$5:$D$1204,$T33,TRANSACTIONS_MASTER!$Z$5:$Z$1204,$V33,TRANSACTIONS_MASTER!$C$5:$C$1204,$C$2))</f>
        <v/>
      </c>
      <c r="Y33" s="25" t="str">
        <f>IF($S33="","",IF(ISNUMBER(INDEX(CASHBACK_RULES!$J$5:$J$304,$S33)),INDEX(CASHBACK_RULES!$J$5:$J$304,$S33),"∞"))</f>
        <v/>
      </c>
      <c r="Z33" s="25" t="str">
        <f>IF($S33="","",IF(ISNUMBER($Y33),MAX(0,$Y33-$X33),"∞"))</f>
        <v/>
      </c>
      <c r="AA33" s="27" t="str">
        <f>IF($S33="","",IF(ISNUMBER($Y33),IF($Y33=0,0,$X33/$Y33),""))</f>
        <v/>
      </c>
    </row>
    <row r="34" ht="20" customHeight="1">
      <c r="A34" s="81" t="str">
        <f>IF($Q34="","",27)</f>
        <v/>
      </c>
      <c r="B34" s="57" t="str">
        <f>IF($Q34="","",INDEX(TRANSACTIONS_MASTER!$B$5:$B$1204,$Q34))</f>
        <v/>
      </c>
      <c r="C34" s="55" t="str">
        <f>IF($Q34="","",INDEX(TRANSACTIONS_MASTER!$F$5:$F$1204,$Q34))</f>
        <v/>
      </c>
      <c r="D34" s="55" t="str">
        <f>IF($Q34="","",INDEX(TRANSACTIONS_MASTER!$E$5:$E$1204,$Q34))</f>
        <v/>
      </c>
      <c r="E34" s="55" t="str">
        <f>IF($Q34="","",INDEX(TRANSACTIONS_MASTER!$G$5:$G$1204,$Q34)&amp;"")</f>
        <v/>
      </c>
      <c r="F34" s="29" t="str">
        <f>IF($Q34="","",INDEX(TRANSACTIONS_MASTER!$I$5:$I$1204,$Q34))</f>
        <v/>
      </c>
      <c r="G34" s="55" t="str">
        <f>IF($Q34="","",INDEX(TRANSACTIONS_MASTER!$K$5:$K$1204,$Q34))</f>
        <v/>
      </c>
      <c r="H34" s="25" t="str">
        <f>IF($Q34="","",INDEX(TRANSACTIONS_MASTER!$L$5:$L$1204,$Q34))</f>
        <v/>
      </c>
      <c r="I34" s="56" t="str">
        <f>IF($Q34="","",INDEX(TRANSACTIONS_MASTER!$N$5:$N$1204,$Q34))</f>
        <v/>
      </c>
      <c r="J34" s="25" t="str">
        <f>IF($Q34="","",INDEX(TRANSACTIONS_MASTER!$O$5:$O$1204,$Q34))</f>
        <v/>
      </c>
      <c r="K34" s="26" t="str">
        <f>IF($Q34="","",INDEX(TRANSACTIONS_MASTER!$Q$5:$Q$1204,$Q34))</f>
        <v/>
      </c>
      <c r="L34" s="25" t="str">
        <f>IF($Q34="","",INDEX(TRANSACTIONS_MASTER!$P$5:$P$1204,$Q34))</f>
        <v/>
      </c>
      <c r="M34" s="25" t="str">
        <f>IF($Q34="","",INDEX(TRANSACTIONS_MASTER!$AA$5:$AA$1204,$Q34))</f>
        <v/>
      </c>
      <c r="N34" s="25" t="str">
        <f>IF($Q34="","",INDEX(TRANSACTIONS_MASTER!$R$5:$R$1204,$Q34))</f>
        <v/>
      </c>
      <c r="O34" s="28" t="str">
        <f>IF($Q34="","",INDEX(TRANSACTIONS_MASTER!$AB$5:$AB$1204,$Q34))</f>
        <v/>
      </c>
      <c r="P34" s="55" t="str">
        <f>IF($Q34="","",INDEX(TRANSACTIONS_MASTER!$Z$5:$Z$1204,$Q34)&amp;"")</f>
        <v/>
      </c>
      <c r="Q34" s="67" t="str">
        <f>IFERROR(MATCH($C$2&amp;"|"&amp;27,TRANSACTIONS_MASTER!$AE$5:$AE$1204,0),"")</f>
        <v/>
      </c>
      <c r="S34" s="67" t="str">
        <f>IFERROR(MATCH(27,CASHBACK_RULES!$S$5:$S$304,0),"")</f>
        <v/>
      </c>
      <c r="T34" s="55" t="str">
        <f>IF($S34="","",INDEX(CASHBACK_RULES!$B$5:$B$304,$S34))</f>
        <v/>
      </c>
      <c r="U34" s="55" t="str">
        <f>IF($S34="","",INDEX(CASHBACK_RULES!$C$5:$C$304,$S34)&amp;" "&amp;INDEX(CASHBACK_RULES!$D$5:$D$304,$S34))</f>
        <v/>
      </c>
      <c r="V34" s="55" t="str">
        <f>IF($S34="","",INDEX(CASHBACK_RULES!$E$5:$E$304,$S34)&amp;"")</f>
        <v/>
      </c>
      <c r="W34" s="55" t="str">
        <f>IF($S34="","",INDEX(CASHBACK_RULES!$F$5:$F$304,$S34)&amp;"")</f>
        <v/>
      </c>
      <c r="X34" s="26" t="str">
        <f>IF($S34="","",SUMIFS(TRANSACTIONS_MASTER!$Q$5:$Q$1204,TRANSACTIONS_MASTER!$D$5:$D$1204,$T34,TRANSACTIONS_MASTER!$Z$5:$Z$1204,$V34,TRANSACTIONS_MASTER!$C$5:$C$1204,$C$2))</f>
        <v/>
      </c>
      <c r="Y34" s="25" t="str">
        <f>IF($S34="","",IF(ISNUMBER(INDEX(CASHBACK_RULES!$J$5:$J$304,$S34)),INDEX(CASHBACK_RULES!$J$5:$J$304,$S34),"∞"))</f>
        <v/>
      </c>
      <c r="Z34" s="25" t="str">
        <f>IF($S34="","",IF(ISNUMBER($Y34),MAX(0,$Y34-$X34),"∞"))</f>
        <v/>
      </c>
      <c r="AA34" s="27" t="str">
        <f>IF($S34="","",IF(ISNUMBER($Y34),IF($Y34=0,0,$X34/$Y34),""))</f>
        <v/>
      </c>
    </row>
    <row r="35" ht="20" customHeight="1">
      <c r="A35" s="81" t="str">
        <f>IF($Q35="","",28)</f>
        <v/>
      </c>
      <c r="B35" s="57" t="str">
        <f>IF($Q35="","",INDEX(TRANSACTIONS_MASTER!$B$5:$B$1204,$Q35))</f>
        <v/>
      </c>
      <c r="C35" s="55" t="str">
        <f>IF($Q35="","",INDEX(TRANSACTIONS_MASTER!$F$5:$F$1204,$Q35))</f>
        <v/>
      </c>
      <c r="D35" s="55" t="str">
        <f>IF($Q35="","",INDEX(TRANSACTIONS_MASTER!$E$5:$E$1204,$Q35))</f>
        <v/>
      </c>
      <c r="E35" s="55" t="str">
        <f>IF($Q35="","",INDEX(TRANSACTIONS_MASTER!$G$5:$G$1204,$Q35)&amp;"")</f>
        <v/>
      </c>
      <c r="F35" s="29" t="str">
        <f>IF($Q35="","",INDEX(TRANSACTIONS_MASTER!$I$5:$I$1204,$Q35))</f>
        <v/>
      </c>
      <c r="G35" s="55" t="str">
        <f>IF($Q35="","",INDEX(TRANSACTIONS_MASTER!$K$5:$K$1204,$Q35))</f>
        <v/>
      </c>
      <c r="H35" s="25" t="str">
        <f>IF($Q35="","",INDEX(TRANSACTIONS_MASTER!$L$5:$L$1204,$Q35))</f>
        <v/>
      </c>
      <c r="I35" s="56" t="str">
        <f>IF($Q35="","",INDEX(TRANSACTIONS_MASTER!$N$5:$N$1204,$Q35))</f>
        <v/>
      </c>
      <c r="J35" s="25" t="str">
        <f>IF($Q35="","",INDEX(TRANSACTIONS_MASTER!$O$5:$O$1204,$Q35))</f>
        <v/>
      </c>
      <c r="K35" s="26" t="str">
        <f>IF($Q35="","",INDEX(TRANSACTIONS_MASTER!$Q$5:$Q$1204,$Q35))</f>
        <v/>
      </c>
      <c r="L35" s="25" t="str">
        <f>IF($Q35="","",INDEX(TRANSACTIONS_MASTER!$P$5:$P$1204,$Q35))</f>
        <v/>
      </c>
      <c r="M35" s="25" t="str">
        <f>IF($Q35="","",INDEX(TRANSACTIONS_MASTER!$AA$5:$AA$1204,$Q35))</f>
        <v/>
      </c>
      <c r="N35" s="25" t="str">
        <f>IF($Q35="","",INDEX(TRANSACTIONS_MASTER!$R$5:$R$1204,$Q35))</f>
        <v/>
      </c>
      <c r="O35" s="28" t="str">
        <f>IF($Q35="","",INDEX(TRANSACTIONS_MASTER!$AB$5:$AB$1204,$Q35))</f>
        <v/>
      </c>
      <c r="P35" s="55" t="str">
        <f>IF($Q35="","",INDEX(TRANSACTIONS_MASTER!$Z$5:$Z$1204,$Q35)&amp;"")</f>
        <v/>
      </c>
      <c r="Q35" s="67" t="str">
        <f>IFERROR(MATCH($C$2&amp;"|"&amp;28,TRANSACTIONS_MASTER!$AE$5:$AE$1204,0),"")</f>
        <v/>
      </c>
      <c r="S35" s="67" t="str">
        <f>IFERROR(MATCH(28,CASHBACK_RULES!$S$5:$S$304,0),"")</f>
        <v/>
      </c>
      <c r="T35" s="55" t="str">
        <f>IF($S35="","",INDEX(CASHBACK_RULES!$B$5:$B$304,$S35))</f>
        <v/>
      </c>
      <c r="U35" s="55" t="str">
        <f>IF($S35="","",INDEX(CASHBACK_RULES!$C$5:$C$304,$S35)&amp;" "&amp;INDEX(CASHBACK_RULES!$D$5:$D$304,$S35))</f>
        <v/>
      </c>
      <c r="V35" s="55" t="str">
        <f>IF($S35="","",INDEX(CASHBACK_RULES!$E$5:$E$304,$S35)&amp;"")</f>
        <v/>
      </c>
      <c r="W35" s="55" t="str">
        <f>IF($S35="","",INDEX(CASHBACK_RULES!$F$5:$F$304,$S35)&amp;"")</f>
        <v/>
      </c>
      <c r="X35" s="26" t="str">
        <f>IF($S35="","",SUMIFS(TRANSACTIONS_MASTER!$Q$5:$Q$1204,TRANSACTIONS_MASTER!$D$5:$D$1204,$T35,TRANSACTIONS_MASTER!$Z$5:$Z$1204,$V35,TRANSACTIONS_MASTER!$C$5:$C$1204,$C$2))</f>
        <v/>
      </c>
      <c r="Y35" s="25" t="str">
        <f>IF($S35="","",IF(ISNUMBER(INDEX(CASHBACK_RULES!$J$5:$J$304,$S35)),INDEX(CASHBACK_RULES!$J$5:$J$304,$S35),"∞"))</f>
        <v/>
      </c>
      <c r="Z35" s="25" t="str">
        <f>IF($S35="","",IF(ISNUMBER($Y35),MAX(0,$Y35-$X35),"∞"))</f>
        <v/>
      </c>
      <c r="AA35" s="27" t="str">
        <f>IF($S35="","",IF(ISNUMBER($Y35),IF($Y35=0,0,$X35/$Y35),""))</f>
        <v/>
      </c>
    </row>
    <row r="36" ht="20" customHeight="1">
      <c r="A36" s="81" t="str">
        <f>IF($Q36="","",29)</f>
        <v/>
      </c>
      <c r="B36" s="57" t="str">
        <f>IF($Q36="","",INDEX(TRANSACTIONS_MASTER!$B$5:$B$1204,$Q36))</f>
        <v/>
      </c>
      <c r="C36" s="55" t="str">
        <f>IF($Q36="","",INDEX(TRANSACTIONS_MASTER!$F$5:$F$1204,$Q36))</f>
        <v/>
      </c>
      <c r="D36" s="55" t="str">
        <f>IF($Q36="","",INDEX(TRANSACTIONS_MASTER!$E$5:$E$1204,$Q36))</f>
        <v/>
      </c>
      <c r="E36" s="55" t="str">
        <f>IF($Q36="","",INDEX(TRANSACTIONS_MASTER!$G$5:$G$1204,$Q36)&amp;"")</f>
        <v/>
      </c>
      <c r="F36" s="29" t="str">
        <f>IF($Q36="","",INDEX(TRANSACTIONS_MASTER!$I$5:$I$1204,$Q36))</f>
        <v/>
      </c>
      <c r="G36" s="55" t="str">
        <f>IF($Q36="","",INDEX(TRANSACTIONS_MASTER!$K$5:$K$1204,$Q36))</f>
        <v/>
      </c>
      <c r="H36" s="25" t="str">
        <f>IF($Q36="","",INDEX(TRANSACTIONS_MASTER!$L$5:$L$1204,$Q36))</f>
        <v/>
      </c>
      <c r="I36" s="56" t="str">
        <f>IF($Q36="","",INDEX(TRANSACTIONS_MASTER!$N$5:$N$1204,$Q36))</f>
        <v/>
      </c>
      <c r="J36" s="25" t="str">
        <f>IF($Q36="","",INDEX(TRANSACTIONS_MASTER!$O$5:$O$1204,$Q36))</f>
        <v/>
      </c>
      <c r="K36" s="26" t="str">
        <f>IF($Q36="","",INDEX(TRANSACTIONS_MASTER!$Q$5:$Q$1204,$Q36))</f>
        <v/>
      </c>
      <c r="L36" s="25" t="str">
        <f>IF($Q36="","",INDEX(TRANSACTIONS_MASTER!$P$5:$P$1204,$Q36))</f>
        <v/>
      </c>
      <c r="M36" s="25" t="str">
        <f>IF($Q36="","",INDEX(TRANSACTIONS_MASTER!$AA$5:$AA$1204,$Q36))</f>
        <v/>
      </c>
      <c r="N36" s="25" t="str">
        <f>IF($Q36="","",INDEX(TRANSACTIONS_MASTER!$R$5:$R$1204,$Q36))</f>
        <v/>
      </c>
      <c r="O36" s="28" t="str">
        <f>IF($Q36="","",INDEX(TRANSACTIONS_MASTER!$AB$5:$AB$1204,$Q36))</f>
        <v/>
      </c>
      <c r="P36" s="55" t="str">
        <f>IF($Q36="","",INDEX(TRANSACTIONS_MASTER!$Z$5:$Z$1204,$Q36)&amp;"")</f>
        <v/>
      </c>
      <c r="Q36" s="67" t="str">
        <f>IFERROR(MATCH($C$2&amp;"|"&amp;29,TRANSACTIONS_MASTER!$AE$5:$AE$1204,0),"")</f>
        <v/>
      </c>
      <c r="S36" s="67" t="str">
        <f>IFERROR(MATCH(29,CASHBACK_RULES!$S$5:$S$304,0),"")</f>
        <v/>
      </c>
      <c r="T36" s="55" t="str">
        <f>IF($S36="","",INDEX(CASHBACK_RULES!$B$5:$B$304,$S36))</f>
        <v/>
      </c>
      <c r="U36" s="55" t="str">
        <f>IF($S36="","",INDEX(CASHBACK_RULES!$C$5:$C$304,$S36)&amp;" "&amp;INDEX(CASHBACK_RULES!$D$5:$D$304,$S36))</f>
        <v/>
      </c>
      <c r="V36" s="55" t="str">
        <f>IF($S36="","",INDEX(CASHBACK_RULES!$E$5:$E$304,$S36)&amp;"")</f>
        <v/>
      </c>
      <c r="W36" s="55" t="str">
        <f>IF($S36="","",INDEX(CASHBACK_RULES!$F$5:$F$304,$S36)&amp;"")</f>
        <v/>
      </c>
      <c r="X36" s="26" t="str">
        <f>IF($S36="","",SUMIFS(TRANSACTIONS_MASTER!$Q$5:$Q$1204,TRANSACTIONS_MASTER!$D$5:$D$1204,$T36,TRANSACTIONS_MASTER!$Z$5:$Z$1204,$V36,TRANSACTIONS_MASTER!$C$5:$C$1204,$C$2))</f>
        <v/>
      </c>
      <c r="Y36" s="25" t="str">
        <f>IF($S36="","",IF(ISNUMBER(INDEX(CASHBACK_RULES!$J$5:$J$304,$S36)),INDEX(CASHBACK_RULES!$J$5:$J$304,$S36),"∞"))</f>
        <v/>
      </c>
      <c r="Z36" s="25" t="str">
        <f>IF($S36="","",IF(ISNUMBER($Y36),MAX(0,$Y36-$X36),"∞"))</f>
        <v/>
      </c>
      <c r="AA36" s="27" t="str">
        <f>IF($S36="","",IF(ISNUMBER($Y36),IF($Y36=0,0,$X36/$Y36),""))</f>
        <v/>
      </c>
    </row>
    <row r="37" ht="20" customHeight="1">
      <c r="A37" s="81" t="str">
        <f>IF($Q37="","",30)</f>
        <v/>
      </c>
      <c r="B37" s="57" t="str">
        <f>IF($Q37="","",INDEX(TRANSACTIONS_MASTER!$B$5:$B$1204,$Q37))</f>
        <v/>
      </c>
      <c r="C37" s="55" t="str">
        <f>IF($Q37="","",INDEX(TRANSACTIONS_MASTER!$F$5:$F$1204,$Q37))</f>
        <v/>
      </c>
      <c r="D37" s="55" t="str">
        <f>IF($Q37="","",INDEX(TRANSACTIONS_MASTER!$E$5:$E$1204,$Q37))</f>
        <v/>
      </c>
      <c r="E37" s="55" t="str">
        <f>IF($Q37="","",INDEX(TRANSACTIONS_MASTER!$G$5:$G$1204,$Q37)&amp;"")</f>
        <v/>
      </c>
      <c r="F37" s="29" t="str">
        <f>IF($Q37="","",INDEX(TRANSACTIONS_MASTER!$I$5:$I$1204,$Q37))</f>
        <v/>
      </c>
      <c r="G37" s="55" t="str">
        <f>IF($Q37="","",INDEX(TRANSACTIONS_MASTER!$K$5:$K$1204,$Q37))</f>
        <v/>
      </c>
      <c r="H37" s="25" t="str">
        <f>IF($Q37="","",INDEX(TRANSACTIONS_MASTER!$L$5:$L$1204,$Q37))</f>
        <v/>
      </c>
      <c r="I37" s="56" t="str">
        <f>IF($Q37="","",INDEX(TRANSACTIONS_MASTER!$N$5:$N$1204,$Q37))</f>
        <v/>
      </c>
      <c r="J37" s="25" t="str">
        <f>IF($Q37="","",INDEX(TRANSACTIONS_MASTER!$O$5:$O$1204,$Q37))</f>
        <v/>
      </c>
      <c r="K37" s="26" t="str">
        <f>IF($Q37="","",INDEX(TRANSACTIONS_MASTER!$Q$5:$Q$1204,$Q37))</f>
        <v/>
      </c>
      <c r="L37" s="25" t="str">
        <f>IF($Q37="","",INDEX(TRANSACTIONS_MASTER!$P$5:$P$1204,$Q37))</f>
        <v/>
      </c>
      <c r="M37" s="25" t="str">
        <f>IF($Q37="","",INDEX(TRANSACTIONS_MASTER!$AA$5:$AA$1204,$Q37))</f>
        <v/>
      </c>
      <c r="N37" s="25" t="str">
        <f>IF($Q37="","",INDEX(TRANSACTIONS_MASTER!$R$5:$R$1204,$Q37))</f>
        <v/>
      </c>
      <c r="O37" s="28" t="str">
        <f>IF($Q37="","",INDEX(TRANSACTIONS_MASTER!$AB$5:$AB$1204,$Q37))</f>
        <v/>
      </c>
      <c r="P37" s="55" t="str">
        <f>IF($Q37="","",INDEX(TRANSACTIONS_MASTER!$Z$5:$Z$1204,$Q37)&amp;"")</f>
        <v/>
      </c>
      <c r="Q37" s="67" t="str">
        <f>IFERROR(MATCH($C$2&amp;"|"&amp;30,TRANSACTIONS_MASTER!$AE$5:$AE$1204,0),"")</f>
        <v/>
      </c>
      <c r="S37" s="67" t="str">
        <f>IFERROR(MATCH(30,CASHBACK_RULES!$S$5:$S$304,0),"")</f>
        <v/>
      </c>
      <c r="T37" s="55" t="str">
        <f>IF($S37="","",INDEX(CASHBACK_RULES!$B$5:$B$304,$S37))</f>
        <v/>
      </c>
      <c r="U37" s="55" t="str">
        <f>IF($S37="","",INDEX(CASHBACK_RULES!$C$5:$C$304,$S37)&amp;" "&amp;INDEX(CASHBACK_RULES!$D$5:$D$304,$S37))</f>
        <v/>
      </c>
      <c r="V37" s="55" t="str">
        <f>IF($S37="","",INDEX(CASHBACK_RULES!$E$5:$E$304,$S37)&amp;"")</f>
        <v/>
      </c>
      <c r="W37" s="55" t="str">
        <f>IF($S37="","",INDEX(CASHBACK_RULES!$F$5:$F$304,$S37)&amp;"")</f>
        <v/>
      </c>
      <c r="X37" s="26" t="str">
        <f>IF($S37="","",SUMIFS(TRANSACTIONS_MASTER!$Q$5:$Q$1204,TRANSACTIONS_MASTER!$D$5:$D$1204,$T37,TRANSACTIONS_MASTER!$Z$5:$Z$1204,$V37,TRANSACTIONS_MASTER!$C$5:$C$1204,$C$2))</f>
        <v/>
      </c>
      <c r="Y37" s="25" t="str">
        <f>IF($S37="","",IF(ISNUMBER(INDEX(CASHBACK_RULES!$J$5:$J$304,$S37)),INDEX(CASHBACK_RULES!$J$5:$J$304,$S37),"∞"))</f>
        <v/>
      </c>
      <c r="Z37" s="25" t="str">
        <f>IF($S37="","",IF(ISNUMBER($Y37),MAX(0,$Y37-$X37),"∞"))</f>
        <v/>
      </c>
      <c r="AA37" s="27" t="str">
        <f>IF($S37="","",IF(ISNUMBER($Y37),IF($Y37=0,0,$X37/$Y37),""))</f>
        <v/>
      </c>
    </row>
    <row r="38" ht="20" customHeight="1">
      <c r="A38" s="81" t="str">
        <f>IF($Q38="","",31)</f>
        <v/>
      </c>
      <c r="B38" s="57" t="str">
        <f>IF($Q38="","",INDEX(TRANSACTIONS_MASTER!$B$5:$B$1204,$Q38))</f>
        <v/>
      </c>
      <c r="C38" s="55" t="str">
        <f>IF($Q38="","",INDEX(TRANSACTIONS_MASTER!$F$5:$F$1204,$Q38))</f>
        <v/>
      </c>
      <c r="D38" s="55" t="str">
        <f>IF($Q38="","",INDEX(TRANSACTIONS_MASTER!$E$5:$E$1204,$Q38))</f>
        <v/>
      </c>
      <c r="E38" s="55" t="str">
        <f>IF($Q38="","",INDEX(TRANSACTIONS_MASTER!$G$5:$G$1204,$Q38)&amp;"")</f>
        <v/>
      </c>
      <c r="F38" s="29" t="str">
        <f>IF($Q38="","",INDEX(TRANSACTIONS_MASTER!$I$5:$I$1204,$Q38))</f>
        <v/>
      </c>
      <c r="G38" s="55" t="str">
        <f>IF($Q38="","",INDEX(TRANSACTIONS_MASTER!$K$5:$K$1204,$Q38))</f>
        <v/>
      </c>
      <c r="H38" s="25" t="str">
        <f>IF($Q38="","",INDEX(TRANSACTIONS_MASTER!$L$5:$L$1204,$Q38))</f>
        <v/>
      </c>
      <c r="I38" s="56" t="str">
        <f>IF($Q38="","",INDEX(TRANSACTIONS_MASTER!$N$5:$N$1204,$Q38))</f>
        <v/>
      </c>
      <c r="J38" s="25" t="str">
        <f>IF($Q38="","",INDEX(TRANSACTIONS_MASTER!$O$5:$O$1204,$Q38))</f>
        <v/>
      </c>
      <c r="K38" s="26" t="str">
        <f>IF($Q38="","",INDEX(TRANSACTIONS_MASTER!$Q$5:$Q$1204,$Q38))</f>
        <v/>
      </c>
      <c r="L38" s="25" t="str">
        <f>IF($Q38="","",INDEX(TRANSACTIONS_MASTER!$P$5:$P$1204,$Q38))</f>
        <v/>
      </c>
      <c r="M38" s="25" t="str">
        <f>IF($Q38="","",INDEX(TRANSACTIONS_MASTER!$AA$5:$AA$1204,$Q38))</f>
        <v/>
      </c>
      <c r="N38" s="25" t="str">
        <f>IF($Q38="","",INDEX(TRANSACTIONS_MASTER!$R$5:$R$1204,$Q38))</f>
        <v/>
      </c>
      <c r="O38" s="28" t="str">
        <f>IF($Q38="","",INDEX(TRANSACTIONS_MASTER!$AB$5:$AB$1204,$Q38))</f>
        <v/>
      </c>
      <c r="P38" s="55" t="str">
        <f>IF($Q38="","",INDEX(TRANSACTIONS_MASTER!$Z$5:$Z$1204,$Q38)&amp;"")</f>
        <v/>
      </c>
      <c r="Q38" s="67" t="str">
        <f>IFERROR(MATCH($C$2&amp;"|"&amp;31,TRANSACTIONS_MASTER!$AE$5:$AE$1204,0),"")</f>
        <v/>
      </c>
      <c r="S38" s="67" t="str">
        <f>IFERROR(MATCH(31,CASHBACK_RULES!$S$5:$S$304,0),"")</f>
        <v/>
      </c>
      <c r="T38" s="55" t="str">
        <f>IF($S38="","",INDEX(CASHBACK_RULES!$B$5:$B$304,$S38))</f>
        <v/>
      </c>
      <c r="U38" s="55" t="str">
        <f>IF($S38="","",INDEX(CASHBACK_RULES!$C$5:$C$304,$S38)&amp;" "&amp;INDEX(CASHBACK_RULES!$D$5:$D$304,$S38))</f>
        <v/>
      </c>
      <c r="V38" s="55" t="str">
        <f>IF($S38="","",INDEX(CASHBACK_RULES!$E$5:$E$304,$S38)&amp;"")</f>
        <v/>
      </c>
      <c r="W38" s="55" t="str">
        <f>IF($S38="","",INDEX(CASHBACK_RULES!$F$5:$F$304,$S38)&amp;"")</f>
        <v/>
      </c>
      <c r="X38" s="26" t="str">
        <f>IF($S38="","",SUMIFS(TRANSACTIONS_MASTER!$Q$5:$Q$1204,TRANSACTIONS_MASTER!$D$5:$D$1204,$T38,TRANSACTIONS_MASTER!$Z$5:$Z$1204,$V38,TRANSACTIONS_MASTER!$C$5:$C$1204,$C$2))</f>
        <v/>
      </c>
      <c r="Y38" s="25" t="str">
        <f>IF($S38="","",IF(ISNUMBER(INDEX(CASHBACK_RULES!$J$5:$J$304,$S38)),INDEX(CASHBACK_RULES!$J$5:$J$304,$S38),"∞"))</f>
        <v/>
      </c>
      <c r="Z38" s="25" t="str">
        <f>IF($S38="","",IF(ISNUMBER($Y38),MAX(0,$Y38-$X38),"∞"))</f>
        <v/>
      </c>
      <c r="AA38" s="27" t="str">
        <f>IF($S38="","",IF(ISNUMBER($Y38),IF($Y38=0,0,$X38/$Y38),""))</f>
        <v/>
      </c>
    </row>
    <row r="39" ht="20" customHeight="1">
      <c r="A39" s="81" t="str">
        <f>IF($Q39="","",32)</f>
        <v/>
      </c>
      <c r="B39" s="57" t="str">
        <f>IF($Q39="","",INDEX(TRANSACTIONS_MASTER!$B$5:$B$1204,$Q39))</f>
        <v/>
      </c>
      <c r="C39" s="55" t="str">
        <f>IF($Q39="","",INDEX(TRANSACTIONS_MASTER!$F$5:$F$1204,$Q39))</f>
        <v/>
      </c>
      <c r="D39" s="55" t="str">
        <f>IF($Q39="","",INDEX(TRANSACTIONS_MASTER!$E$5:$E$1204,$Q39))</f>
        <v/>
      </c>
      <c r="E39" s="55" t="str">
        <f>IF($Q39="","",INDEX(TRANSACTIONS_MASTER!$G$5:$G$1204,$Q39)&amp;"")</f>
        <v/>
      </c>
      <c r="F39" s="29" t="str">
        <f>IF($Q39="","",INDEX(TRANSACTIONS_MASTER!$I$5:$I$1204,$Q39))</f>
        <v/>
      </c>
      <c r="G39" s="55" t="str">
        <f>IF($Q39="","",INDEX(TRANSACTIONS_MASTER!$K$5:$K$1204,$Q39))</f>
        <v/>
      </c>
      <c r="H39" s="25" t="str">
        <f>IF($Q39="","",INDEX(TRANSACTIONS_MASTER!$L$5:$L$1204,$Q39))</f>
        <v/>
      </c>
      <c r="I39" s="56" t="str">
        <f>IF($Q39="","",INDEX(TRANSACTIONS_MASTER!$N$5:$N$1204,$Q39))</f>
        <v/>
      </c>
      <c r="J39" s="25" t="str">
        <f>IF($Q39="","",INDEX(TRANSACTIONS_MASTER!$O$5:$O$1204,$Q39))</f>
        <v/>
      </c>
      <c r="K39" s="26" t="str">
        <f>IF($Q39="","",INDEX(TRANSACTIONS_MASTER!$Q$5:$Q$1204,$Q39))</f>
        <v/>
      </c>
      <c r="L39" s="25" t="str">
        <f>IF($Q39="","",INDEX(TRANSACTIONS_MASTER!$P$5:$P$1204,$Q39))</f>
        <v/>
      </c>
      <c r="M39" s="25" t="str">
        <f>IF($Q39="","",INDEX(TRANSACTIONS_MASTER!$AA$5:$AA$1204,$Q39))</f>
        <v/>
      </c>
      <c r="N39" s="25" t="str">
        <f>IF($Q39="","",INDEX(TRANSACTIONS_MASTER!$R$5:$R$1204,$Q39))</f>
        <v/>
      </c>
      <c r="O39" s="28" t="str">
        <f>IF($Q39="","",INDEX(TRANSACTIONS_MASTER!$AB$5:$AB$1204,$Q39))</f>
        <v/>
      </c>
      <c r="P39" s="55" t="str">
        <f>IF($Q39="","",INDEX(TRANSACTIONS_MASTER!$Z$5:$Z$1204,$Q39)&amp;"")</f>
        <v/>
      </c>
      <c r="Q39" s="67" t="str">
        <f>IFERROR(MATCH($C$2&amp;"|"&amp;32,TRANSACTIONS_MASTER!$AE$5:$AE$1204,0),"")</f>
        <v/>
      </c>
      <c r="S39" s="67" t="str">
        <f>IFERROR(MATCH(32,CASHBACK_RULES!$S$5:$S$304,0),"")</f>
        <v/>
      </c>
      <c r="T39" s="55" t="str">
        <f>IF($S39="","",INDEX(CASHBACK_RULES!$B$5:$B$304,$S39))</f>
        <v/>
      </c>
      <c r="U39" s="55" t="str">
        <f>IF($S39="","",INDEX(CASHBACK_RULES!$C$5:$C$304,$S39)&amp;" "&amp;INDEX(CASHBACK_RULES!$D$5:$D$304,$S39))</f>
        <v/>
      </c>
      <c r="V39" s="55" t="str">
        <f>IF($S39="","",INDEX(CASHBACK_RULES!$E$5:$E$304,$S39)&amp;"")</f>
        <v/>
      </c>
      <c r="W39" s="55" t="str">
        <f>IF($S39="","",INDEX(CASHBACK_RULES!$F$5:$F$304,$S39)&amp;"")</f>
        <v/>
      </c>
      <c r="X39" s="26" t="str">
        <f>IF($S39="","",SUMIFS(TRANSACTIONS_MASTER!$Q$5:$Q$1204,TRANSACTIONS_MASTER!$D$5:$D$1204,$T39,TRANSACTIONS_MASTER!$Z$5:$Z$1204,$V39,TRANSACTIONS_MASTER!$C$5:$C$1204,$C$2))</f>
        <v/>
      </c>
      <c r="Y39" s="25" t="str">
        <f>IF($S39="","",IF(ISNUMBER(INDEX(CASHBACK_RULES!$J$5:$J$304,$S39)),INDEX(CASHBACK_RULES!$J$5:$J$304,$S39),"∞"))</f>
        <v/>
      </c>
      <c r="Z39" s="25" t="str">
        <f>IF($S39="","",IF(ISNUMBER($Y39),MAX(0,$Y39-$X39),"∞"))</f>
        <v/>
      </c>
      <c r="AA39" s="27" t="str">
        <f>IF($S39="","",IF(ISNUMBER($Y39),IF($Y39=0,0,$X39/$Y39),""))</f>
        <v/>
      </c>
    </row>
    <row r="40" ht="20" customHeight="1">
      <c r="A40" s="81" t="str">
        <f>IF($Q40="","",33)</f>
        <v/>
      </c>
      <c r="B40" s="57" t="str">
        <f>IF($Q40="","",INDEX(TRANSACTIONS_MASTER!$B$5:$B$1204,$Q40))</f>
        <v/>
      </c>
      <c r="C40" s="55" t="str">
        <f>IF($Q40="","",INDEX(TRANSACTIONS_MASTER!$F$5:$F$1204,$Q40))</f>
        <v/>
      </c>
      <c r="D40" s="55" t="str">
        <f>IF($Q40="","",INDEX(TRANSACTIONS_MASTER!$E$5:$E$1204,$Q40))</f>
        <v/>
      </c>
      <c r="E40" s="55" t="str">
        <f>IF($Q40="","",INDEX(TRANSACTIONS_MASTER!$G$5:$G$1204,$Q40)&amp;"")</f>
        <v/>
      </c>
      <c r="F40" s="29" t="str">
        <f>IF($Q40="","",INDEX(TRANSACTIONS_MASTER!$I$5:$I$1204,$Q40))</f>
        <v/>
      </c>
      <c r="G40" s="55" t="str">
        <f>IF($Q40="","",INDEX(TRANSACTIONS_MASTER!$K$5:$K$1204,$Q40))</f>
        <v/>
      </c>
      <c r="H40" s="25" t="str">
        <f>IF($Q40="","",INDEX(TRANSACTIONS_MASTER!$L$5:$L$1204,$Q40))</f>
        <v/>
      </c>
      <c r="I40" s="56" t="str">
        <f>IF($Q40="","",INDEX(TRANSACTIONS_MASTER!$N$5:$N$1204,$Q40))</f>
        <v/>
      </c>
      <c r="J40" s="25" t="str">
        <f>IF($Q40="","",INDEX(TRANSACTIONS_MASTER!$O$5:$O$1204,$Q40))</f>
        <v/>
      </c>
      <c r="K40" s="26" t="str">
        <f>IF($Q40="","",INDEX(TRANSACTIONS_MASTER!$Q$5:$Q$1204,$Q40))</f>
        <v/>
      </c>
      <c r="L40" s="25" t="str">
        <f>IF($Q40="","",INDEX(TRANSACTIONS_MASTER!$P$5:$P$1204,$Q40))</f>
        <v/>
      </c>
      <c r="M40" s="25" t="str">
        <f>IF($Q40="","",INDEX(TRANSACTIONS_MASTER!$AA$5:$AA$1204,$Q40))</f>
        <v/>
      </c>
      <c r="N40" s="25" t="str">
        <f>IF($Q40="","",INDEX(TRANSACTIONS_MASTER!$R$5:$R$1204,$Q40))</f>
        <v/>
      </c>
      <c r="O40" s="28" t="str">
        <f>IF($Q40="","",INDEX(TRANSACTIONS_MASTER!$AB$5:$AB$1204,$Q40))</f>
        <v/>
      </c>
      <c r="P40" s="55" t="str">
        <f>IF($Q40="","",INDEX(TRANSACTIONS_MASTER!$Z$5:$Z$1204,$Q40)&amp;"")</f>
        <v/>
      </c>
      <c r="Q40" s="67" t="str">
        <f>IFERROR(MATCH($C$2&amp;"|"&amp;33,TRANSACTIONS_MASTER!$AE$5:$AE$1204,0),"")</f>
        <v/>
      </c>
      <c r="S40" s="67" t="str">
        <f>IFERROR(MATCH(33,CASHBACK_RULES!$S$5:$S$304,0),"")</f>
        <v/>
      </c>
      <c r="T40" s="55" t="str">
        <f>IF($S40="","",INDEX(CASHBACK_RULES!$B$5:$B$304,$S40))</f>
        <v/>
      </c>
      <c r="U40" s="55" t="str">
        <f>IF($S40="","",INDEX(CASHBACK_RULES!$C$5:$C$304,$S40)&amp;" "&amp;INDEX(CASHBACK_RULES!$D$5:$D$304,$S40))</f>
        <v/>
      </c>
      <c r="V40" s="55" t="str">
        <f>IF($S40="","",INDEX(CASHBACK_RULES!$E$5:$E$304,$S40)&amp;"")</f>
        <v/>
      </c>
      <c r="W40" s="55" t="str">
        <f>IF($S40="","",INDEX(CASHBACK_RULES!$F$5:$F$304,$S40)&amp;"")</f>
        <v/>
      </c>
      <c r="X40" s="26" t="str">
        <f>IF($S40="","",SUMIFS(TRANSACTIONS_MASTER!$Q$5:$Q$1204,TRANSACTIONS_MASTER!$D$5:$D$1204,$T40,TRANSACTIONS_MASTER!$Z$5:$Z$1204,$V40,TRANSACTIONS_MASTER!$C$5:$C$1204,$C$2))</f>
        <v/>
      </c>
      <c r="Y40" s="25" t="str">
        <f>IF($S40="","",IF(ISNUMBER(INDEX(CASHBACK_RULES!$J$5:$J$304,$S40)),INDEX(CASHBACK_RULES!$J$5:$J$304,$S40),"∞"))</f>
        <v/>
      </c>
      <c r="Z40" s="25" t="str">
        <f>IF($S40="","",IF(ISNUMBER($Y40),MAX(0,$Y40-$X40),"∞"))</f>
        <v/>
      </c>
      <c r="AA40" s="27" t="str">
        <f>IF($S40="","",IF(ISNUMBER($Y40),IF($Y40=0,0,$X40/$Y40),""))</f>
        <v/>
      </c>
    </row>
    <row r="41" ht="20" customHeight="1">
      <c r="A41" s="81" t="str">
        <f>IF($Q41="","",34)</f>
        <v/>
      </c>
      <c r="B41" s="57" t="str">
        <f>IF($Q41="","",INDEX(TRANSACTIONS_MASTER!$B$5:$B$1204,$Q41))</f>
        <v/>
      </c>
      <c r="C41" s="55" t="str">
        <f>IF($Q41="","",INDEX(TRANSACTIONS_MASTER!$F$5:$F$1204,$Q41))</f>
        <v/>
      </c>
      <c r="D41" s="55" t="str">
        <f>IF($Q41="","",INDEX(TRANSACTIONS_MASTER!$E$5:$E$1204,$Q41))</f>
        <v/>
      </c>
      <c r="E41" s="55" t="str">
        <f>IF($Q41="","",INDEX(TRANSACTIONS_MASTER!$G$5:$G$1204,$Q41)&amp;"")</f>
        <v/>
      </c>
      <c r="F41" s="29" t="str">
        <f>IF($Q41="","",INDEX(TRANSACTIONS_MASTER!$I$5:$I$1204,$Q41))</f>
        <v/>
      </c>
      <c r="G41" s="55" t="str">
        <f>IF($Q41="","",INDEX(TRANSACTIONS_MASTER!$K$5:$K$1204,$Q41))</f>
        <v/>
      </c>
      <c r="H41" s="25" t="str">
        <f>IF($Q41="","",INDEX(TRANSACTIONS_MASTER!$L$5:$L$1204,$Q41))</f>
        <v/>
      </c>
      <c r="I41" s="56" t="str">
        <f>IF($Q41="","",INDEX(TRANSACTIONS_MASTER!$N$5:$N$1204,$Q41))</f>
        <v/>
      </c>
      <c r="J41" s="25" t="str">
        <f>IF($Q41="","",INDEX(TRANSACTIONS_MASTER!$O$5:$O$1204,$Q41))</f>
        <v/>
      </c>
      <c r="K41" s="26" t="str">
        <f>IF($Q41="","",INDEX(TRANSACTIONS_MASTER!$Q$5:$Q$1204,$Q41))</f>
        <v/>
      </c>
      <c r="L41" s="25" t="str">
        <f>IF($Q41="","",INDEX(TRANSACTIONS_MASTER!$P$5:$P$1204,$Q41))</f>
        <v/>
      </c>
      <c r="M41" s="25" t="str">
        <f>IF($Q41="","",INDEX(TRANSACTIONS_MASTER!$AA$5:$AA$1204,$Q41))</f>
        <v/>
      </c>
      <c r="N41" s="25" t="str">
        <f>IF($Q41="","",INDEX(TRANSACTIONS_MASTER!$R$5:$R$1204,$Q41))</f>
        <v/>
      </c>
      <c r="O41" s="28" t="str">
        <f>IF($Q41="","",INDEX(TRANSACTIONS_MASTER!$AB$5:$AB$1204,$Q41))</f>
        <v/>
      </c>
      <c r="P41" s="55" t="str">
        <f>IF($Q41="","",INDEX(TRANSACTIONS_MASTER!$Z$5:$Z$1204,$Q41)&amp;"")</f>
        <v/>
      </c>
      <c r="Q41" s="67" t="str">
        <f>IFERROR(MATCH($C$2&amp;"|"&amp;34,TRANSACTIONS_MASTER!$AE$5:$AE$1204,0),"")</f>
        <v/>
      </c>
      <c r="S41" s="67" t="str">
        <f>IFERROR(MATCH(34,CASHBACK_RULES!$S$5:$S$304,0),"")</f>
        <v/>
      </c>
      <c r="T41" s="55" t="str">
        <f>IF($S41="","",INDEX(CASHBACK_RULES!$B$5:$B$304,$S41))</f>
        <v/>
      </c>
      <c r="U41" s="55" t="str">
        <f>IF($S41="","",INDEX(CASHBACK_RULES!$C$5:$C$304,$S41)&amp;" "&amp;INDEX(CASHBACK_RULES!$D$5:$D$304,$S41))</f>
        <v/>
      </c>
      <c r="V41" s="55" t="str">
        <f>IF($S41="","",INDEX(CASHBACK_RULES!$E$5:$E$304,$S41)&amp;"")</f>
        <v/>
      </c>
      <c r="W41" s="55" t="str">
        <f>IF($S41="","",INDEX(CASHBACK_RULES!$F$5:$F$304,$S41)&amp;"")</f>
        <v/>
      </c>
      <c r="X41" s="26" t="str">
        <f>IF($S41="","",SUMIFS(TRANSACTIONS_MASTER!$Q$5:$Q$1204,TRANSACTIONS_MASTER!$D$5:$D$1204,$T41,TRANSACTIONS_MASTER!$Z$5:$Z$1204,$V41,TRANSACTIONS_MASTER!$C$5:$C$1204,$C$2))</f>
        <v/>
      </c>
      <c r="Y41" s="25" t="str">
        <f>IF($S41="","",IF(ISNUMBER(INDEX(CASHBACK_RULES!$J$5:$J$304,$S41)),INDEX(CASHBACK_RULES!$J$5:$J$304,$S41),"∞"))</f>
        <v/>
      </c>
      <c r="Z41" s="25" t="str">
        <f>IF($S41="","",IF(ISNUMBER($Y41),MAX(0,$Y41-$X41),"∞"))</f>
        <v/>
      </c>
      <c r="AA41" s="27" t="str">
        <f>IF($S41="","",IF(ISNUMBER($Y41),IF($Y41=0,0,$X41/$Y41),""))</f>
        <v/>
      </c>
    </row>
    <row r="42" ht="20" customHeight="1">
      <c r="A42" s="81" t="str">
        <f>IF($Q42="","",35)</f>
        <v/>
      </c>
      <c r="B42" s="57" t="str">
        <f>IF($Q42="","",INDEX(TRANSACTIONS_MASTER!$B$5:$B$1204,$Q42))</f>
        <v/>
      </c>
      <c r="C42" s="55" t="str">
        <f>IF($Q42="","",INDEX(TRANSACTIONS_MASTER!$F$5:$F$1204,$Q42))</f>
        <v/>
      </c>
      <c r="D42" s="55" t="str">
        <f>IF($Q42="","",INDEX(TRANSACTIONS_MASTER!$E$5:$E$1204,$Q42))</f>
        <v/>
      </c>
      <c r="E42" s="55" t="str">
        <f>IF($Q42="","",INDEX(TRANSACTIONS_MASTER!$G$5:$G$1204,$Q42)&amp;"")</f>
        <v/>
      </c>
      <c r="F42" s="29" t="str">
        <f>IF($Q42="","",INDEX(TRANSACTIONS_MASTER!$I$5:$I$1204,$Q42))</f>
        <v/>
      </c>
      <c r="G42" s="55" t="str">
        <f>IF($Q42="","",INDEX(TRANSACTIONS_MASTER!$K$5:$K$1204,$Q42))</f>
        <v/>
      </c>
      <c r="H42" s="25" t="str">
        <f>IF($Q42="","",INDEX(TRANSACTIONS_MASTER!$L$5:$L$1204,$Q42))</f>
        <v/>
      </c>
      <c r="I42" s="56" t="str">
        <f>IF($Q42="","",INDEX(TRANSACTIONS_MASTER!$N$5:$N$1204,$Q42))</f>
        <v/>
      </c>
      <c r="J42" s="25" t="str">
        <f>IF($Q42="","",INDEX(TRANSACTIONS_MASTER!$O$5:$O$1204,$Q42))</f>
        <v/>
      </c>
      <c r="K42" s="26" t="str">
        <f>IF($Q42="","",INDEX(TRANSACTIONS_MASTER!$Q$5:$Q$1204,$Q42))</f>
        <v/>
      </c>
      <c r="L42" s="25" t="str">
        <f>IF($Q42="","",INDEX(TRANSACTIONS_MASTER!$P$5:$P$1204,$Q42))</f>
        <v/>
      </c>
      <c r="M42" s="25" t="str">
        <f>IF($Q42="","",INDEX(TRANSACTIONS_MASTER!$AA$5:$AA$1204,$Q42))</f>
        <v/>
      </c>
      <c r="N42" s="25" t="str">
        <f>IF($Q42="","",INDEX(TRANSACTIONS_MASTER!$R$5:$R$1204,$Q42))</f>
        <v/>
      </c>
      <c r="O42" s="28" t="str">
        <f>IF($Q42="","",INDEX(TRANSACTIONS_MASTER!$AB$5:$AB$1204,$Q42))</f>
        <v/>
      </c>
      <c r="P42" s="55" t="str">
        <f>IF($Q42="","",INDEX(TRANSACTIONS_MASTER!$Z$5:$Z$1204,$Q42)&amp;"")</f>
        <v/>
      </c>
      <c r="Q42" s="67" t="str">
        <f>IFERROR(MATCH($C$2&amp;"|"&amp;35,TRANSACTIONS_MASTER!$AE$5:$AE$1204,0),"")</f>
        <v/>
      </c>
      <c r="S42" s="67" t="str">
        <f>IFERROR(MATCH(35,CASHBACK_RULES!$S$5:$S$304,0),"")</f>
        <v/>
      </c>
      <c r="T42" s="55" t="str">
        <f>IF($S42="","",INDEX(CASHBACK_RULES!$B$5:$B$304,$S42))</f>
        <v/>
      </c>
      <c r="U42" s="55" t="str">
        <f>IF($S42="","",INDEX(CASHBACK_RULES!$C$5:$C$304,$S42)&amp;" "&amp;INDEX(CASHBACK_RULES!$D$5:$D$304,$S42))</f>
        <v/>
      </c>
      <c r="V42" s="55" t="str">
        <f>IF($S42="","",INDEX(CASHBACK_RULES!$E$5:$E$304,$S42)&amp;"")</f>
        <v/>
      </c>
      <c r="W42" s="55" t="str">
        <f>IF($S42="","",INDEX(CASHBACK_RULES!$F$5:$F$304,$S42)&amp;"")</f>
        <v/>
      </c>
      <c r="X42" s="26" t="str">
        <f>IF($S42="","",SUMIFS(TRANSACTIONS_MASTER!$Q$5:$Q$1204,TRANSACTIONS_MASTER!$D$5:$D$1204,$T42,TRANSACTIONS_MASTER!$Z$5:$Z$1204,$V42,TRANSACTIONS_MASTER!$C$5:$C$1204,$C$2))</f>
        <v/>
      </c>
      <c r="Y42" s="25" t="str">
        <f>IF($S42="","",IF(ISNUMBER(INDEX(CASHBACK_RULES!$J$5:$J$304,$S42)),INDEX(CASHBACK_RULES!$J$5:$J$304,$S42),"∞"))</f>
        <v/>
      </c>
      <c r="Z42" s="25" t="str">
        <f>IF($S42="","",IF(ISNUMBER($Y42),MAX(0,$Y42-$X42),"∞"))</f>
        <v/>
      </c>
      <c r="AA42" s="27" t="str">
        <f>IF($S42="","",IF(ISNUMBER($Y42),IF($Y42=0,0,$X42/$Y42),""))</f>
        <v/>
      </c>
    </row>
    <row r="43" ht="20" customHeight="1">
      <c r="A43" s="81" t="str">
        <f>IF($Q43="","",36)</f>
        <v/>
      </c>
      <c r="B43" s="57" t="str">
        <f>IF($Q43="","",INDEX(TRANSACTIONS_MASTER!$B$5:$B$1204,$Q43))</f>
        <v/>
      </c>
      <c r="C43" s="55" t="str">
        <f>IF($Q43="","",INDEX(TRANSACTIONS_MASTER!$F$5:$F$1204,$Q43))</f>
        <v/>
      </c>
      <c r="D43" s="55" t="str">
        <f>IF($Q43="","",INDEX(TRANSACTIONS_MASTER!$E$5:$E$1204,$Q43))</f>
        <v/>
      </c>
      <c r="E43" s="55" t="str">
        <f>IF($Q43="","",INDEX(TRANSACTIONS_MASTER!$G$5:$G$1204,$Q43)&amp;"")</f>
        <v/>
      </c>
      <c r="F43" s="29" t="str">
        <f>IF($Q43="","",INDEX(TRANSACTIONS_MASTER!$I$5:$I$1204,$Q43))</f>
        <v/>
      </c>
      <c r="G43" s="55" t="str">
        <f>IF($Q43="","",INDEX(TRANSACTIONS_MASTER!$K$5:$K$1204,$Q43))</f>
        <v/>
      </c>
      <c r="H43" s="25" t="str">
        <f>IF($Q43="","",INDEX(TRANSACTIONS_MASTER!$L$5:$L$1204,$Q43))</f>
        <v/>
      </c>
      <c r="I43" s="56" t="str">
        <f>IF($Q43="","",INDEX(TRANSACTIONS_MASTER!$N$5:$N$1204,$Q43))</f>
        <v/>
      </c>
      <c r="J43" s="25" t="str">
        <f>IF($Q43="","",INDEX(TRANSACTIONS_MASTER!$O$5:$O$1204,$Q43))</f>
        <v/>
      </c>
      <c r="K43" s="26" t="str">
        <f>IF($Q43="","",INDEX(TRANSACTIONS_MASTER!$Q$5:$Q$1204,$Q43))</f>
        <v/>
      </c>
      <c r="L43" s="25" t="str">
        <f>IF($Q43="","",INDEX(TRANSACTIONS_MASTER!$P$5:$P$1204,$Q43))</f>
        <v/>
      </c>
      <c r="M43" s="25" t="str">
        <f>IF($Q43="","",INDEX(TRANSACTIONS_MASTER!$AA$5:$AA$1204,$Q43))</f>
        <v/>
      </c>
      <c r="N43" s="25" t="str">
        <f>IF($Q43="","",INDEX(TRANSACTIONS_MASTER!$R$5:$R$1204,$Q43))</f>
        <v/>
      </c>
      <c r="O43" s="28" t="str">
        <f>IF($Q43="","",INDEX(TRANSACTIONS_MASTER!$AB$5:$AB$1204,$Q43))</f>
        <v/>
      </c>
      <c r="P43" s="55" t="str">
        <f>IF($Q43="","",INDEX(TRANSACTIONS_MASTER!$Z$5:$Z$1204,$Q43)&amp;"")</f>
        <v/>
      </c>
      <c r="Q43" s="67" t="str">
        <f>IFERROR(MATCH($C$2&amp;"|"&amp;36,TRANSACTIONS_MASTER!$AE$5:$AE$1204,0),"")</f>
        <v/>
      </c>
      <c r="S43" s="67" t="str">
        <f>IFERROR(MATCH(36,CASHBACK_RULES!$S$5:$S$304,0),"")</f>
        <v/>
      </c>
      <c r="T43" s="55" t="str">
        <f>IF($S43="","",INDEX(CASHBACK_RULES!$B$5:$B$304,$S43))</f>
        <v/>
      </c>
      <c r="U43" s="55" t="str">
        <f>IF($S43="","",INDEX(CASHBACK_RULES!$C$5:$C$304,$S43)&amp;" "&amp;INDEX(CASHBACK_RULES!$D$5:$D$304,$S43))</f>
        <v/>
      </c>
      <c r="V43" s="55" t="str">
        <f>IF($S43="","",INDEX(CASHBACK_RULES!$E$5:$E$304,$S43)&amp;"")</f>
        <v/>
      </c>
      <c r="W43" s="55" t="str">
        <f>IF($S43="","",INDEX(CASHBACK_RULES!$F$5:$F$304,$S43)&amp;"")</f>
        <v/>
      </c>
      <c r="X43" s="26" t="str">
        <f>IF($S43="","",SUMIFS(TRANSACTIONS_MASTER!$Q$5:$Q$1204,TRANSACTIONS_MASTER!$D$5:$D$1204,$T43,TRANSACTIONS_MASTER!$Z$5:$Z$1204,$V43,TRANSACTIONS_MASTER!$C$5:$C$1204,$C$2))</f>
        <v/>
      </c>
      <c r="Y43" s="25" t="str">
        <f>IF($S43="","",IF(ISNUMBER(INDEX(CASHBACK_RULES!$J$5:$J$304,$S43)),INDEX(CASHBACK_RULES!$J$5:$J$304,$S43),"∞"))</f>
        <v/>
      </c>
      <c r="Z43" s="25" t="str">
        <f>IF($S43="","",IF(ISNUMBER($Y43),MAX(0,$Y43-$X43),"∞"))</f>
        <v/>
      </c>
      <c r="AA43" s="27" t="str">
        <f>IF($S43="","",IF(ISNUMBER($Y43),IF($Y43=0,0,$X43/$Y43),""))</f>
        <v/>
      </c>
    </row>
    <row r="44" ht="20" customHeight="1">
      <c r="A44" s="81" t="str">
        <f>IF($Q44="","",37)</f>
        <v/>
      </c>
      <c r="B44" s="57" t="str">
        <f>IF($Q44="","",INDEX(TRANSACTIONS_MASTER!$B$5:$B$1204,$Q44))</f>
        <v/>
      </c>
      <c r="C44" s="55" t="str">
        <f>IF($Q44="","",INDEX(TRANSACTIONS_MASTER!$F$5:$F$1204,$Q44))</f>
        <v/>
      </c>
      <c r="D44" s="55" t="str">
        <f>IF($Q44="","",INDEX(TRANSACTIONS_MASTER!$E$5:$E$1204,$Q44))</f>
        <v/>
      </c>
      <c r="E44" s="55" t="str">
        <f>IF($Q44="","",INDEX(TRANSACTIONS_MASTER!$G$5:$G$1204,$Q44)&amp;"")</f>
        <v/>
      </c>
      <c r="F44" s="29" t="str">
        <f>IF($Q44="","",INDEX(TRANSACTIONS_MASTER!$I$5:$I$1204,$Q44))</f>
        <v/>
      </c>
      <c r="G44" s="55" t="str">
        <f>IF($Q44="","",INDEX(TRANSACTIONS_MASTER!$K$5:$K$1204,$Q44))</f>
        <v/>
      </c>
      <c r="H44" s="25" t="str">
        <f>IF($Q44="","",INDEX(TRANSACTIONS_MASTER!$L$5:$L$1204,$Q44))</f>
        <v/>
      </c>
      <c r="I44" s="56" t="str">
        <f>IF($Q44="","",INDEX(TRANSACTIONS_MASTER!$N$5:$N$1204,$Q44))</f>
        <v/>
      </c>
      <c r="J44" s="25" t="str">
        <f>IF($Q44="","",INDEX(TRANSACTIONS_MASTER!$O$5:$O$1204,$Q44))</f>
        <v/>
      </c>
      <c r="K44" s="26" t="str">
        <f>IF($Q44="","",INDEX(TRANSACTIONS_MASTER!$Q$5:$Q$1204,$Q44))</f>
        <v/>
      </c>
      <c r="L44" s="25" t="str">
        <f>IF($Q44="","",INDEX(TRANSACTIONS_MASTER!$P$5:$P$1204,$Q44))</f>
        <v/>
      </c>
      <c r="M44" s="25" t="str">
        <f>IF($Q44="","",INDEX(TRANSACTIONS_MASTER!$AA$5:$AA$1204,$Q44))</f>
        <v/>
      </c>
      <c r="N44" s="25" t="str">
        <f>IF($Q44="","",INDEX(TRANSACTIONS_MASTER!$R$5:$R$1204,$Q44))</f>
        <v/>
      </c>
      <c r="O44" s="28" t="str">
        <f>IF($Q44="","",INDEX(TRANSACTIONS_MASTER!$AB$5:$AB$1204,$Q44))</f>
        <v/>
      </c>
      <c r="P44" s="55" t="str">
        <f>IF($Q44="","",INDEX(TRANSACTIONS_MASTER!$Z$5:$Z$1204,$Q44)&amp;"")</f>
        <v/>
      </c>
      <c r="Q44" s="67" t="str">
        <f>IFERROR(MATCH($C$2&amp;"|"&amp;37,TRANSACTIONS_MASTER!$AE$5:$AE$1204,0),"")</f>
        <v/>
      </c>
      <c r="S44" s="67" t="str">
        <f>IFERROR(MATCH(37,CASHBACK_RULES!$S$5:$S$304,0),"")</f>
        <v/>
      </c>
      <c r="T44" s="55" t="str">
        <f>IF($S44="","",INDEX(CASHBACK_RULES!$B$5:$B$304,$S44))</f>
        <v/>
      </c>
      <c r="U44" s="55" t="str">
        <f>IF($S44="","",INDEX(CASHBACK_RULES!$C$5:$C$304,$S44)&amp;" "&amp;INDEX(CASHBACK_RULES!$D$5:$D$304,$S44))</f>
        <v/>
      </c>
      <c r="V44" s="55" t="str">
        <f>IF($S44="","",INDEX(CASHBACK_RULES!$E$5:$E$304,$S44)&amp;"")</f>
        <v/>
      </c>
      <c r="W44" s="55" t="str">
        <f>IF($S44="","",INDEX(CASHBACK_RULES!$F$5:$F$304,$S44)&amp;"")</f>
        <v/>
      </c>
      <c r="X44" s="26" t="str">
        <f>IF($S44="","",SUMIFS(TRANSACTIONS_MASTER!$Q$5:$Q$1204,TRANSACTIONS_MASTER!$D$5:$D$1204,$T44,TRANSACTIONS_MASTER!$Z$5:$Z$1204,$V44,TRANSACTIONS_MASTER!$C$5:$C$1204,$C$2))</f>
        <v/>
      </c>
      <c r="Y44" s="25" t="str">
        <f>IF($S44="","",IF(ISNUMBER(INDEX(CASHBACK_RULES!$J$5:$J$304,$S44)),INDEX(CASHBACK_RULES!$J$5:$J$304,$S44),"∞"))</f>
        <v/>
      </c>
      <c r="Z44" s="25" t="str">
        <f>IF($S44="","",IF(ISNUMBER($Y44),MAX(0,$Y44-$X44),"∞"))</f>
        <v/>
      </c>
      <c r="AA44" s="27" t="str">
        <f>IF($S44="","",IF(ISNUMBER($Y44),IF($Y44=0,0,$X44/$Y44),""))</f>
        <v/>
      </c>
    </row>
    <row r="45" ht="20" customHeight="1">
      <c r="A45" s="81" t="str">
        <f>IF($Q45="","",38)</f>
        <v/>
      </c>
      <c r="B45" s="57" t="str">
        <f>IF($Q45="","",INDEX(TRANSACTIONS_MASTER!$B$5:$B$1204,$Q45))</f>
        <v/>
      </c>
      <c r="C45" s="55" t="str">
        <f>IF($Q45="","",INDEX(TRANSACTIONS_MASTER!$F$5:$F$1204,$Q45))</f>
        <v/>
      </c>
      <c r="D45" s="55" t="str">
        <f>IF($Q45="","",INDEX(TRANSACTIONS_MASTER!$E$5:$E$1204,$Q45))</f>
        <v/>
      </c>
      <c r="E45" s="55" t="str">
        <f>IF($Q45="","",INDEX(TRANSACTIONS_MASTER!$G$5:$G$1204,$Q45)&amp;"")</f>
        <v/>
      </c>
      <c r="F45" s="29" t="str">
        <f>IF($Q45="","",INDEX(TRANSACTIONS_MASTER!$I$5:$I$1204,$Q45))</f>
        <v/>
      </c>
      <c r="G45" s="55" t="str">
        <f>IF($Q45="","",INDEX(TRANSACTIONS_MASTER!$K$5:$K$1204,$Q45))</f>
        <v/>
      </c>
      <c r="H45" s="25" t="str">
        <f>IF($Q45="","",INDEX(TRANSACTIONS_MASTER!$L$5:$L$1204,$Q45))</f>
        <v/>
      </c>
      <c r="I45" s="56" t="str">
        <f>IF($Q45="","",INDEX(TRANSACTIONS_MASTER!$N$5:$N$1204,$Q45))</f>
        <v/>
      </c>
      <c r="J45" s="25" t="str">
        <f>IF($Q45="","",INDEX(TRANSACTIONS_MASTER!$O$5:$O$1204,$Q45))</f>
        <v/>
      </c>
      <c r="K45" s="26" t="str">
        <f>IF($Q45="","",INDEX(TRANSACTIONS_MASTER!$Q$5:$Q$1204,$Q45))</f>
        <v/>
      </c>
      <c r="L45" s="25" t="str">
        <f>IF($Q45="","",INDEX(TRANSACTIONS_MASTER!$P$5:$P$1204,$Q45))</f>
        <v/>
      </c>
      <c r="M45" s="25" t="str">
        <f>IF($Q45="","",INDEX(TRANSACTIONS_MASTER!$AA$5:$AA$1204,$Q45))</f>
        <v/>
      </c>
      <c r="N45" s="25" t="str">
        <f>IF($Q45="","",INDEX(TRANSACTIONS_MASTER!$R$5:$R$1204,$Q45))</f>
        <v/>
      </c>
      <c r="O45" s="28" t="str">
        <f>IF($Q45="","",INDEX(TRANSACTIONS_MASTER!$AB$5:$AB$1204,$Q45))</f>
        <v/>
      </c>
      <c r="P45" s="55" t="str">
        <f>IF($Q45="","",INDEX(TRANSACTIONS_MASTER!$Z$5:$Z$1204,$Q45)&amp;"")</f>
        <v/>
      </c>
      <c r="Q45" s="67" t="str">
        <f>IFERROR(MATCH($C$2&amp;"|"&amp;38,TRANSACTIONS_MASTER!$AE$5:$AE$1204,0),"")</f>
        <v/>
      </c>
      <c r="S45" s="67" t="str">
        <f>IFERROR(MATCH(38,CASHBACK_RULES!$S$5:$S$304,0),"")</f>
        <v/>
      </c>
      <c r="T45" s="55" t="str">
        <f>IF($S45="","",INDEX(CASHBACK_RULES!$B$5:$B$304,$S45))</f>
        <v/>
      </c>
      <c r="U45" s="55" t="str">
        <f>IF($S45="","",INDEX(CASHBACK_RULES!$C$5:$C$304,$S45)&amp;" "&amp;INDEX(CASHBACK_RULES!$D$5:$D$304,$S45))</f>
        <v/>
      </c>
      <c r="V45" s="55" t="str">
        <f>IF($S45="","",INDEX(CASHBACK_RULES!$E$5:$E$304,$S45)&amp;"")</f>
        <v/>
      </c>
      <c r="W45" s="55" t="str">
        <f>IF($S45="","",INDEX(CASHBACK_RULES!$F$5:$F$304,$S45)&amp;"")</f>
        <v/>
      </c>
      <c r="X45" s="26" t="str">
        <f>IF($S45="","",SUMIFS(TRANSACTIONS_MASTER!$Q$5:$Q$1204,TRANSACTIONS_MASTER!$D$5:$D$1204,$T45,TRANSACTIONS_MASTER!$Z$5:$Z$1204,$V45,TRANSACTIONS_MASTER!$C$5:$C$1204,$C$2))</f>
        <v/>
      </c>
      <c r="Y45" s="25" t="str">
        <f>IF($S45="","",IF(ISNUMBER(INDEX(CASHBACK_RULES!$J$5:$J$304,$S45)),INDEX(CASHBACK_RULES!$J$5:$J$304,$S45),"∞"))</f>
        <v/>
      </c>
      <c r="Z45" s="25" t="str">
        <f>IF($S45="","",IF(ISNUMBER($Y45),MAX(0,$Y45-$X45),"∞"))</f>
        <v/>
      </c>
      <c r="AA45" s="27" t="str">
        <f>IF($S45="","",IF(ISNUMBER($Y45),IF($Y45=0,0,$X45/$Y45),""))</f>
        <v/>
      </c>
    </row>
    <row r="46" ht="20" customHeight="1">
      <c r="A46" s="81" t="str">
        <f>IF($Q46="","",39)</f>
        <v/>
      </c>
      <c r="B46" s="57" t="str">
        <f>IF($Q46="","",INDEX(TRANSACTIONS_MASTER!$B$5:$B$1204,$Q46))</f>
        <v/>
      </c>
      <c r="C46" s="55" t="str">
        <f>IF($Q46="","",INDEX(TRANSACTIONS_MASTER!$F$5:$F$1204,$Q46))</f>
        <v/>
      </c>
      <c r="D46" s="55" t="str">
        <f>IF($Q46="","",INDEX(TRANSACTIONS_MASTER!$E$5:$E$1204,$Q46))</f>
        <v/>
      </c>
      <c r="E46" s="55" t="str">
        <f>IF($Q46="","",INDEX(TRANSACTIONS_MASTER!$G$5:$G$1204,$Q46)&amp;"")</f>
        <v/>
      </c>
      <c r="F46" s="29" t="str">
        <f>IF($Q46="","",INDEX(TRANSACTIONS_MASTER!$I$5:$I$1204,$Q46))</f>
        <v/>
      </c>
      <c r="G46" s="55" t="str">
        <f>IF($Q46="","",INDEX(TRANSACTIONS_MASTER!$K$5:$K$1204,$Q46))</f>
        <v/>
      </c>
      <c r="H46" s="25" t="str">
        <f>IF($Q46="","",INDEX(TRANSACTIONS_MASTER!$L$5:$L$1204,$Q46))</f>
        <v/>
      </c>
      <c r="I46" s="56" t="str">
        <f>IF($Q46="","",INDEX(TRANSACTIONS_MASTER!$N$5:$N$1204,$Q46))</f>
        <v/>
      </c>
      <c r="J46" s="25" t="str">
        <f>IF($Q46="","",INDEX(TRANSACTIONS_MASTER!$O$5:$O$1204,$Q46))</f>
        <v/>
      </c>
      <c r="K46" s="26" t="str">
        <f>IF($Q46="","",INDEX(TRANSACTIONS_MASTER!$Q$5:$Q$1204,$Q46))</f>
        <v/>
      </c>
      <c r="L46" s="25" t="str">
        <f>IF($Q46="","",INDEX(TRANSACTIONS_MASTER!$P$5:$P$1204,$Q46))</f>
        <v/>
      </c>
      <c r="M46" s="25" t="str">
        <f>IF($Q46="","",INDEX(TRANSACTIONS_MASTER!$AA$5:$AA$1204,$Q46))</f>
        <v/>
      </c>
      <c r="N46" s="25" t="str">
        <f>IF($Q46="","",INDEX(TRANSACTIONS_MASTER!$R$5:$R$1204,$Q46))</f>
        <v/>
      </c>
      <c r="O46" s="28" t="str">
        <f>IF($Q46="","",INDEX(TRANSACTIONS_MASTER!$AB$5:$AB$1204,$Q46))</f>
        <v/>
      </c>
      <c r="P46" s="55" t="str">
        <f>IF($Q46="","",INDEX(TRANSACTIONS_MASTER!$Z$5:$Z$1204,$Q46)&amp;"")</f>
        <v/>
      </c>
      <c r="Q46" s="67" t="str">
        <f>IFERROR(MATCH($C$2&amp;"|"&amp;39,TRANSACTIONS_MASTER!$AE$5:$AE$1204,0),"")</f>
        <v/>
      </c>
      <c r="S46" s="67" t="str">
        <f>IFERROR(MATCH(39,CASHBACK_RULES!$S$5:$S$304,0),"")</f>
        <v/>
      </c>
      <c r="T46" s="55" t="str">
        <f>IF($S46="","",INDEX(CASHBACK_RULES!$B$5:$B$304,$S46))</f>
        <v/>
      </c>
      <c r="U46" s="55" t="str">
        <f>IF($S46="","",INDEX(CASHBACK_RULES!$C$5:$C$304,$S46)&amp;" "&amp;INDEX(CASHBACK_RULES!$D$5:$D$304,$S46))</f>
        <v/>
      </c>
      <c r="V46" s="55" t="str">
        <f>IF($S46="","",INDEX(CASHBACK_RULES!$E$5:$E$304,$S46)&amp;"")</f>
        <v/>
      </c>
      <c r="W46" s="55" t="str">
        <f>IF($S46="","",INDEX(CASHBACK_RULES!$F$5:$F$304,$S46)&amp;"")</f>
        <v/>
      </c>
      <c r="X46" s="26" t="str">
        <f>IF($S46="","",SUMIFS(TRANSACTIONS_MASTER!$Q$5:$Q$1204,TRANSACTIONS_MASTER!$D$5:$D$1204,$T46,TRANSACTIONS_MASTER!$Z$5:$Z$1204,$V46,TRANSACTIONS_MASTER!$C$5:$C$1204,$C$2))</f>
        <v/>
      </c>
      <c r="Y46" s="25" t="str">
        <f>IF($S46="","",IF(ISNUMBER(INDEX(CASHBACK_RULES!$J$5:$J$304,$S46)),INDEX(CASHBACK_RULES!$J$5:$J$304,$S46),"∞"))</f>
        <v/>
      </c>
      <c r="Z46" s="25" t="str">
        <f>IF($S46="","",IF(ISNUMBER($Y46),MAX(0,$Y46-$X46),"∞"))</f>
        <v/>
      </c>
      <c r="AA46" s="27" t="str">
        <f>IF($S46="","",IF(ISNUMBER($Y46),IF($Y46=0,0,$X46/$Y46),""))</f>
        <v/>
      </c>
    </row>
    <row r="47" ht="20" customHeight="1">
      <c r="A47" s="81" t="str">
        <f>IF($Q47="","",40)</f>
        <v/>
      </c>
      <c r="B47" s="57" t="str">
        <f>IF($Q47="","",INDEX(TRANSACTIONS_MASTER!$B$5:$B$1204,$Q47))</f>
        <v/>
      </c>
      <c r="C47" s="55" t="str">
        <f>IF($Q47="","",INDEX(TRANSACTIONS_MASTER!$F$5:$F$1204,$Q47))</f>
        <v/>
      </c>
      <c r="D47" s="55" t="str">
        <f>IF($Q47="","",INDEX(TRANSACTIONS_MASTER!$E$5:$E$1204,$Q47))</f>
        <v/>
      </c>
      <c r="E47" s="55" t="str">
        <f>IF($Q47="","",INDEX(TRANSACTIONS_MASTER!$G$5:$G$1204,$Q47)&amp;"")</f>
        <v/>
      </c>
      <c r="F47" s="29" t="str">
        <f>IF($Q47="","",INDEX(TRANSACTIONS_MASTER!$I$5:$I$1204,$Q47))</f>
        <v/>
      </c>
      <c r="G47" s="55" t="str">
        <f>IF($Q47="","",INDEX(TRANSACTIONS_MASTER!$K$5:$K$1204,$Q47))</f>
        <v/>
      </c>
      <c r="H47" s="25" t="str">
        <f>IF($Q47="","",INDEX(TRANSACTIONS_MASTER!$L$5:$L$1204,$Q47))</f>
        <v/>
      </c>
      <c r="I47" s="56" t="str">
        <f>IF($Q47="","",INDEX(TRANSACTIONS_MASTER!$N$5:$N$1204,$Q47))</f>
        <v/>
      </c>
      <c r="J47" s="25" t="str">
        <f>IF($Q47="","",INDEX(TRANSACTIONS_MASTER!$O$5:$O$1204,$Q47))</f>
        <v/>
      </c>
      <c r="K47" s="26" t="str">
        <f>IF($Q47="","",INDEX(TRANSACTIONS_MASTER!$Q$5:$Q$1204,$Q47))</f>
        <v/>
      </c>
      <c r="L47" s="25" t="str">
        <f>IF($Q47="","",INDEX(TRANSACTIONS_MASTER!$P$5:$P$1204,$Q47))</f>
        <v/>
      </c>
      <c r="M47" s="25" t="str">
        <f>IF($Q47="","",INDEX(TRANSACTIONS_MASTER!$AA$5:$AA$1204,$Q47))</f>
        <v/>
      </c>
      <c r="N47" s="25" t="str">
        <f>IF($Q47="","",INDEX(TRANSACTIONS_MASTER!$R$5:$R$1204,$Q47))</f>
        <v/>
      </c>
      <c r="O47" s="28" t="str">
        <f>IF($Q47="","",INDEX(TRANSACTIONS_MASTER!$AB$5:$AB$1204,$Q47))</f>
        <v/>
      </c>
      <c r="P47" s="55" t="str">
        <f>IF($Q47="","",INDEX(TRANSACTIONS_MASTER!$Z$5:$Z$1204,$Q47)&amp;"")</f>
        <v/>
      </c>
      <c r="Q47" s="67" t="str">
        <f>IFERROR(MATCH($C$2&amp;"|"&amp;40,TRANSACTIONS_MASTER!$AE$5:$AE$1204,0),"")</f>
        <v/>
      </c>
      <c r="S47" s="67" t="str">
        <f>IFERROR(MATCH(40,CASHBACK_RULES!$S$5:$S$304,0),"")</f>
        <v/>
      </c>
      <c r="T47" s="55" t="str">
        <f>IF($S47="","",INDEX(CASHBACK_RULES!$B$5:$B$304,$S47))</f>
        <v/>
      </c>
      <c r="U47" s="55" t="str">
        <f>IF($S47="","",INDEX(CASHBACK_RULES!$C$5:$C$304,$S47)&amp;" "&amp;INDEX(CASHBACK_RULES!$D$5:$D$304,$S47))</f>
        <v/>
      </c>
      <c r="V47" s="55" t="str">
        <f>IF($S47="","",INDEX(CASHBACK_RULES!$E$5:$E$304,$S47)&amp;"")</f>
        <v/>
      </c>
      <c r="W47" s="55" t="str">
        <f>IF($S47="","",INDEX(CASHBACK_RULES!$F$5:$F$304,$S47)&amp;"")</f>
        <v/>
      </c>
      <c r="X47" s="26" t="str">
        <f>IF($S47="","",SUMIFS(TRANSACTIONS_MASTER!$Q$5:$Q$1204,TRANSACTIONS_MASTER!$D$5:$D$1204,$T47,TRANSACTIONS_MASTER!$Z$5:$Z$1204,$V47,TRANSACTIONS_MASTER!$C$5:$C$1204,$C$2))</f>
        <v/>
      </c>
      <c r="Y47" s="25" t="str">
        <f>IF($S47="","",IF(ISNUMBER(INDEX(CASHBACK_RULES!$J$5:$J$304,$S47)),INDEX(CASHBACK_RULES!$J$5:$J$304,$S47),"∞"))</f>
        <v/>
      </c>
      <c r="Z47" s="25" t="str">
        <f>IF($S47="","",IF(ISNUMBER($Y47),MAX(0,$Y47-$X47),"∞"))</f>
        <v/>
      </c>
      <c r="AA47" s="27" t="str">
        <f>IF($S47="","",IF(ISNUMBER($Y47),IF($Y47=0,0,$X47/$Y47),""))</f>
        <v/>
      </c>
    </row>
    <row r="48" ht="20" customHeight="1">
      <c r="A48" s="81" t="str">
        <f>IF($Q48="","",41)</f>
        <v/>
      </c>
      <c r="B48" s="57" t="str">
        <f>IF($Q48="","",INDEX(TRANSACTIONS_MASTER!$B$5:$B$1204,$Q48))</f>
        <v/>
      </c>
      <c r="C48" s="55" t="str">
        <f>IF($Q48="","",INDEX(TRANSACTIONS_MASTER!$F$5:$F$1204,$Q48))</f>
        <v/>
      </c>
      <c r="D48" s="55" t="str">
        <f>IF($Q48="","",INDEX(TRANSACTIONS_MASTER!$E$5:$E$1204,$Q48))</f>
        <v/>
      </c>
      <c r="E48" s="55" t="str">
        <f>IF($Q48="","",INDEX(TRANSACTIONS_MASTER!$G$5:$G$1204,$Q48)&amp;"")</f>
        <v/>
      </c>
      <c r="F48" s="29" t="str">
        <f>IF($Q48="","",INDEX(TRANSACTIONS_MASTER!$I$5:$I$1204,$Q48))</f>
        <v/>
      </c>
      <c r="G48" s="55" t="str">
        <f>IF($Q48="","",INDEX(TRANSACTIONS_MASTER!$K$5:$K$1204,$Q48))</f>
        <v/>
      </c>
      <c r="H48" s="25" t="str">
        <f>IF($Q48="","",INDEX(TRANSACTIONS_MASTER!$L$5:$L$1204,$Q48))</f>
        <v/>
      </c>
      <c r="I48" s="56" t="str">
        <f>IF($Q48="","",INDEX(TRANSACTIONS_MASTER!$N$5:$N$1204,$Q48))</f>
        <v/>
      </c>
      <c r="J48" s="25" t="str">
        <f>IF($Q48="","",INDEX(TRANSACTIONS_MASTER!$O$5:$O$1204,$Q48))</f>
        <v/>
      </c>
      <c r="K48" s="26" t="str">
        <f>IF($Q48="","",INDEX(TRANSACTIONS_MASTER!$Q$5:$Q$1204,$Q48))</f>
        <v/>
      </c>
      <c r="L48" s="25" t="str">
        <f>IF($Q48="","",INDEX(TRANSACTIONS_MASTER!$P$5:$P$1204,$Q48))</f>
        <v/>
      </c>
      <c r="M48" s="25" t="str">
        <f>IF($Q48="","",INDEX(TRANSACTIONS_MASTER!$AA$5:$AA$1204,$Q48))</f>
        <v/>
      </c>
      <c r="N48" s="25" t="str">
        <f>IF($Q48="","",INDEX(TRANSACTIONS_MASTER!$R$5:$R$1204,$Q48))</f>
        <v/>
      </c>
      <c r="O48" s="28" t="str">
        <f>IF($Q48="","",INDEX(TRANSACTIONS_MASTER!$AB$5:$AB$1204,$Q48))</f>
        <v/>
      </c>
      <c r="P48" s="55" t="str">
        <f>IF($Q48="","",INDEX(TRANSACTIONS_MASTER!$Z$5:$Z$1204,$Q48)&amp;"")</f>
        <v/>
      </c>
      <c r="Q48" s="67" t="str">
        <f>IFERROR(MATCH($C$2&amp;"|"&amp;41,TRANSACTIONS_MASTER!$AE$5:$AE$1204,0),"")</f>
        <v/>
      </c>
      <c r="S48" s="67" t="str">
        <f>IFERROR(MATCH(41,CASHBACK_RULES!$S$5:$S$304,0),"")</f>
        <v/>
      </c>
      <c r="T48" s="55" t="str">
        <f>IF($S48="","",INDEX(CASHBACK_RULES!$B$5:$B$304,$S48))</f>
        <v/>
      </c>
      <c r="U48" s="55" t="str">
        <f>IF($S48="","",INDEX(CASHBACK_RULES!$C$5:$C$304,$S48)&amp;" "&amp;INDEX(CASHBACK_RULES!$D$5:$D$304,$S48))</f>
        <v/>
      </c>
      <c r="V48" s="55" t="str">
        <f>IF($S48="","",INDEX(CASHBACK_RULES!$E$5:$E$304,$S48)&amp;"")</f>
        <v/>
      </c>
      <c r="W48" s="55" t="str">
        <f>IF($S48="","",INDEX(CASHBACK_RULES!$F$5:$F$304,$S48)&amp;"")</f>
        <v/>
      </c>
      <c r="X48" s="26" t="str">
        <f>IF($S48="","",SUMIFS(TRANSACTIONS_MASTER!$Q$5:$Q$1204,TRANSACTIONS_MASTER!$D$5:$D$1204,$T48,TRANSACTIONS_MASTER!$Z$5:$Z$1204,$V48,TRANSACTIONS_MASTER!$C$5:$C$1204,$C$2))</f>
        <v/>
      </c>
      <c r="Y48" s="25" t="str">
        <f>IF($S48="","",IF(ISNUMBER(INDEX(CASHBACK_RULES!$J$5:$J$304,$S48)),INDEX(CASHBACK_RULES!$J$5:$J$304,$S48),"∞"))</f>
        <v/>
      </c>
      <c r="Z48" s="25" t="str">
        <f>IF($S48="","",IF(ISNUMBER($Y48),MAX(0,$Y48-$X48),"∞"))</f>
        <v/>
      </c>
      <c r="AA48" s="27" t="str">
        <f>IF($S48="","",IF(ISNUMBER($Y48),IF($Y48=0,0,$X48/$Y48),""))</f>
        <v/>
      </c>
    </row>
    <row r="49" ht="20" customHeight="1">
      <c r="A49" s="81" t="str">
        <f>IF($Q49="","",42)</f>
        <v/>
      </c>
      <c r="B49" s="57" t="str">
        <f>IF($Q49="","",INDEX(TRANSACTIONS_MASTER!$B$5:$B$1204,$Q49))</f>
        <v/>
      </c>
      <c r="C49" s="55" t="str">
        <f>IF($Q49="","",INDEX(TRANSACTIONS_MASTER!$F$5:$F$1204,$Q49))</f>
        <v/>
      </c>
      <c r="D49" s="55" t="str">
        <f>IF($Q49="","",INDEX(TRANSACTIONS_MASTER!$E$5:$E$1204,$Q49))</f>
        <v/>
      </c>
      <c r="E49" s="55" t="str">
        <f>IF($Q49="","",INDEX(TRANSACTIONS_MASTER!$G$5:$G$1204,$Q49)&amp;"")</f>
        <v/>
      </c>
      <c r="F49" s="29" t="str">
        <f>IF($Q49="","",INDEX(TRANSACTIONS_MASTER!$I$5:$I$1204,$Q49))</f>
        <v/>
      </c>
      <c r="G49" s="55" t="str">
        <f>IF($Q49="","",INDEX(TRANSACTIONS_MASTER!$K$5:$K$1204,$Q49))</f>
        <v/>
      </c>
      <c r="H49" s="25" t="str">
        <f>IF($Q49="","",INDEX(TRANSACTIONS_MASTER!$L$5:$L$1204,$Q49))</f>
        <v/>
      </c>
      <c r="I49" s="56" t="str">
        <f>IF($Q49="","",INDEX(TRANSACTIONS_MASTER!$N$5:$N$1204,$Q49))</f>
        <v/>
      </c>
      <c r="J49" s="25" t="str">
        <f>IF($Q49="","",INDEX(TRANSACTIONS_MASTER!$O$5:$O$1204,$Q49))</f>
        <v/>
      </c>
      <c r="K49" s="26" t="str">
        <f>IF($Q49="","",INDEX(TRANSACTIONS_MASTER!$Q$5:$Q$1204,$Q49))</f>
        <v/>
      </c>
      <c r="L49" s="25" t="str">
        <f>IF($Q49="","",INDEX(TRANSACTIONS_MASTER!$P$5:$P$1204,$Q49))</f>
        <v/>
      </c>
      <c r="M49" s="25" t="str">
        <f>IF($Q49="","",INDEX(TRANSACTIONS_MASTER!$AA$5:$AA$1204,$Q49))</f>
        <v/>
      </c>
      <c r="N49" s="25" t="str">
        <f>IF($Q49="","",INDEX(TRANSACTIONS_MASTER!$R$5:$R$1204,$Q49))</f>
        <v/>
      </c>
      <c r="O49" s="28" t="str">
        <f>IF($Q49="","",INDEX(TRANSACTIONS_MASTER!$AB$5:$AB$1204,$Q49))</f>
        <v/>
      </c>
      <c r="P49" s="55" t="str">
        <f>IF($Q49="","",INDEX(TRANSACTIONS_MASTER!$Z$5:$Z$1204,$Q49)&amp;"")</f>
        <v/>
      </c>
      <c r="Q49" s="67" t="str">
        <f>IFERROR(MATCH($C$2&amp;"|"&amp;42,TRANSACTIONS_MASTER!$AE$5:$AE$1204,0),"")</f>
        <v/>
      </c>
      <c r="S49" s="67" t="str">
        <f>IFERROR(MATCH(42,CASHBACK_RULES!$S$5:$S$304,0),"")</f>
        <v/>
      </c>
      <c r="T49" s="55" t="str">
        <f>IF($S49="","",INDEX(CASHBACK_RULES!$B$5:$B$304,$S49))</f>
        <v/>
      </c>
      <c r="U49" s="55" t="str">
        <f>IF($S49="","",INDEX(CASHBACK_RULES!$C$5:$C$304,$S49)&amp;" "&amp;INDEX(CASHBACK_RULES!$D$5:$D$304,$S49))</f>
        <v/>
      </c>
      <c r="V49" s="55" t="str">
        <f>IF($S49="","",INDEX(CASHBACK_RULES!$E$5:$E$304,$S49)&amp;"")</f>
        <v/>
      </c>
      <c r="W49" s="55" t="str">
        <f>IF($S49="","",INDEX(CASHBACK_RULES!$F$5:$F$304,$S49)&amp;"")</f>
        <v/>
      </c>
      <c r="X49" s="26" t="str">
        <f>IF($S49="","",SUMIFS(TRANSACTIONS_MASTER!$Q$5:$Q$1204,TRANSACTIONS_MASTER!$D$5:$D$1204,$T49,TRANSACTIONS_MASTER!$Z$5:$Z$1204,$V49,TRANSACTIONS_MASTER!$C$5:$C$1204,$C$2))</f>
        <v/>
      </c>
      <c r="Y49" s="25" t="str">
        <f>IF($S49="","",IF(ISNUMBER(INDEX(CASHBACK_RULES!$J$5:$J$304,$S49)),INDEX(CASHBACK_RULES!$J$5:$J$304,$S49),"∞"))</f>
        <v/>
      </c>
      <c r="Z49" s="25" t="str">
        <f>IF($S49="","",IF(ISNUMBER($Y49),MAX(0,$Y49-$X49),"∞"))</f>
        <v/>
      </c>
      <c r="AA49" s="27" t="str">
        <f>IF($S49="","",IF(ISNUMBER($Y49),IF($Y49=0,0,$X49/$Y49),""))</f>
        <v/>
      </c>
    </row>
    <row r="50" ht="20" customHeight="1">
      <c r="A50" s="81" t="str">
        <f>IF($Q50="","",43)</f>
        <v/>
      </c>
      <c r="B50" s="57" t="str">
        <f>IF($Q50="","",INDEX(TRANSACTIONS_MASTER!$B$5:$B$1204,$Q50))</f>
        <v/>
      </c>
      <c r="C50" s="55" t="str">
        <f>IF($Q50="","",INDEX(TRANSACTIONS_MASTER!$F$5:$F$1204,$Q50))</f>
        <v/>
      </c>
      <c r="D50" s="55" t="str">
        <f>IF($Q50="","",INDEX(TRANSACTIONS_MASTER!$E$5:$E$1204,$Q50))</f>
        <v/>
      </c>
      <c r="E50" s="55" t="str">
        <f>IF($Q50="","",INDEX(TRANSACTIONS_MASTER!$G$5:$G$1204,$Q50)&amp;"")</f>
        <v/>
      </c>
      <c r="F50" s="29" t="str">
        <f>IF($Q50="","",INDEX(TRANSACTIONS_MASTER!$I$5:$I$1204,$Q50))</f>
        <v/>
      </c>
      <c r="G50" s="55" t="str">
        <f>IF($Q50="","",INDEX(TRANSACTIONS_MASTER!$K$5:$K$1204,$Q50))</f>
        <v/>
      </c>
      <c r="H50" s="25" t="str">
        <f>IF($Q50="","",INDEX(TRANSACTIONS_MASTER!$L$5:$L$1204,$Q50))</f>
        <v/>
      </c>
      <c r="I50" s="56" t="str">
        <f>IF($Q50="","",INDEX(TRANSACTIONS_MASTER!$N$5:$N$1204,$Q50))</f>
        <v/>
      </c>
      <c r="J50" s="25" t="str">
        <f>IF($Q50="","",INDEX(TRANSACTIONS_MASTER!$O$5:$O$1204,$Q50))</f>
        <v/>
      </c>
      <c r="K50" s="26" t="str">
        <f>IF($Q50="","",INDEX(TRANSACTIONS_MASTER!$Q$5:$Q$1204,$Q50))</f>
        <v/>
      </c>
      <c r="L50" s="25" t="str">
        <f>IF($Q50="","",INDEX(TRANSACTIONS_MASTER!$P$5:$P$1204,$Q50))</f>
        <v/>
      </c>
      <c r="M50" s="25" t="str">
        <f>IF($Q50="","",INDEX(TRANSACTIONS_MASTER!$AA$5:$AA$1204,$Q50))</f>
        <v/>
      </c>
      <c r="N50" s="25" t="str">
        <f>IF($Q50="","",INDEX(TRANSACTIONS_MASTER!$R$5:$R$1204,$Q50))</f>
        <v/>
      </c>
      <c r="O50" s="28" t="str">
        <f>IF($Q50="","",INDEX(TRANSACTIONS_MASTER!$AB$5:$AB$1204,$Q50))</f>
        <v/>
      </c>
      <c r="P50" s="55" t="str">
        <f>IF($Q50="","",INDEX(TRANSACTIONS_MASTER!$Z$5:$Z$1204,$Q50)&amp;"")</f>
        <v/>
      </c>
      <c r="Q50" s="67" t="str">
        <f>IFERROR(MATCH($C$2&amp;"|"&amp;43,TRANSACTIONS_MASTER!$AE$5:$AE$1204,0),"")</f>
        <v/>
      </c>
      <c r="S50" s="67" t="str">
        <f>IFERROR(MATCH(43,CASHBACK_RULES!$S$5:$S$304,0),"")</f>
        <v/>
      </c>
      <c r="T50" s="55" t="str">
        <f>IF($S50="","",INDEX(CASHBACK_RULES!$B$5:$B$304,$S50))</f>
        <v/>
      </c>
      <c r="U50" s="55" t="str">
        <f>IF($S50="","",INDEX(CASHBACK_RULES!$C$5:$C$304,$S50)&amp;" "&amp;INDEX(CASHBACK_RULES!$D$5:$D$304,$S50))</f>
        <v/>
      </c>
      <c r="V50" s="55" t="str">
        <f>IF($S50="","",INDEX(CASHBACK_RULES!$E$5:$E$304,$S50)&amp;"")</f>
        <v/>
      </c>
      <c r="W50" s="55" t="str">
        <f>IF($S50="","",INDEX(CASHBACK_RULES!$F$5:$F$304,$S50)&amp;"")</f>
        <v/>
      </c>
      <c r="X50" s="26" t="str">
        <f>IF($S50="","",SUMIFS(TRANSACTIONS_MASTER!$Q$5:$Q$1204,TRANSACTIONS_MASTER!$D$5:$D$1204,$T50,TRANSACTIONS_MASTER!$Z$5:$Z$1204,$V50,TRANSACTIONS_MASTER!$C$5:$C$1204,$C$2))</f>
        <v/>
      </c>
      <c r="Y50" s="25" t="str">
        <f>IF($S50="","",IF(ISNUMBER(INDEX(CASHBACK_RULES!$J$5:$J$304,$S50)),INDEX(CASHBACK_RULES!$J$5:$J$304,$S50),"∞"))</f>
        <v/>
      </c>
      <c r="Z50" s="25" t="str">
        <f>IF($S50="","",IF(ISNUMBER($Y50),MAX(0,$Y50-$X50),"∞"))</f>
        <v/>
      </c>
      <c r="AA50" s="27" t="str">
        <f>IF($S50="","",IF(ISNUMBER($Y50),IF($Y50=0,0,$X50/$Y50),""))</f>
        <v/>
      </c>
    </row>
    <row r="51" ht="20" customHeight="1">
      <c r="A51" s="81" t="str">
        <f>IF($Q51="","",44)</f>
        <v/>
      </c>
      <c r="B51" s="57" t="str">
        <f>IF($Q51="","",INDEX(TRANSACTIONS_MASTER!$B$5:$B$1204,$Q51))</f>
        <v/>
      </c>
      <c r="C51" s="55" t="str">
        <f>IF($Q51="","",INDEX(TRANSACTIONS_MASTER!$F$5:$F$1204,$Q51))</f>
        <v/>
      </c>
      <c r="D51" s="55" t="str">
        <f>IF($Q51="","",INDEX(TRANSACTIONS_MASTER!$E$5:$E$1204,$Q51))</f>
        <v/>
      </c>
      <c r="E51" s="55" t="str">
        <f>IF($Q51="","",INDEX(TRANSACTIONS_MASTER!$G$5:$G$1204,$Q51)&amp;"")</f>
        <v/>
      </c>
      <c r="F51" s="29" t="str">
        <f>IF($Q51="","",INDEX(TRANSACTIONS_MASTER!$I$5:$I$1204,$Q51))</f>
        <v/>
      </c>
      <c r="G51" s="55" t="str">
        <f>IF($Q51="","",INDEX(TRANSACTIONS_MASTER!$K$5:$K$1204,$Q51))</f>
        <v/>
      </c>
      <c r="H51" s="25" t="str">
        <f>IF($Q51="","",INDEX(TRANSACTIONS_MASTER!$L$5:$L$1204,$Q51))</f>
        <v/>
      </c>
      <c r="I51" s="56" t="str">
        <f>IF($Q51="","",INDEX(TRANSACTIONS_MASTER!$N$5:$N$1204,$Q51))</f>
        <v/>
      </c>
      <c r="J51" s="25" t="str">
        <f>IF($Q51="","",INDEX(TRANSACTIONS_MASTER!$O$5:$O$1204,$Q51))</f>
        <v/>
      </c>
      <c r="K51" s="26" t="str">
        <f>IF($Q51="","",INDEX(TRANSACTIONS_MASTER!$Q$5:$Q$1204,$Q51))</f>
        <v/>
      </c>
      <c r="L51" s="25" t="str">
        <f>IF($Q51="","",INDEX(TRANSACTIONS_MASTER!$P$5:$P$1204,$Q51))</f>
        <v/>
      </c>
      <c r="M51" s="25" t="str">
        <f>IF($Q51="","",INDEX(TRANSACTIONS_MASTER!$AA$5:$AA$1204,$Q51))</f>
        <v/>
      </c>
      <c r="N51" s="25" t="str">
        <f>IF($Q51="","",INDEX(TRANSACTIONS_MASTER!$R$5:$R$1204,$Q51))</f>
        <v/>
      </c>
      <c r="O51" s="28" t="str">
        <f>IF($Q51="","",INDEX(TRANSACTIONS_MASTER!$AB$5:$AB$1204,$Q51))</f>
        <v/>
      </c>
      <c r="P51" s="55" t="str">
        <f>IF($Q51="","",INDEX(TRANSACTIONS_MASTER!$Z$5:$Z$1204,$Q51)&amp;"")</f>
        <v/>
      </c>
      <c r="Q51" s="67" t="str">
        <f>IFERROR(MATCH($C$2&amp;"|"&amp;44,TRANSACTIONS_MASTER!$AE$5:$AE$1204,0),"")</f>
        <v/>
      </c>
      <c r="S51" s="67" t="str">
        <f>IFERROR(MATCH(44,CASHBACK_RULES!$S$5:$S$304,0),"")</f>
        <v/>
      </c>
      <c r="T51" s="55" t="str">
        <f>IF($S51="","",INDEX(CASHBACK_RULES!$B$5:$B$304,$S51))</f>
        <v/>
      </c>
      <c r="U51" s="55" t="str">
        <f>IF($S51="","",INDEX(CASHBACK_RULES!$C$5:$C$304,$S51)&amp;" "&amp;INDEX(CASHBACK_RULES!$D$5:$D$304,$S51))</f>
        <v/>
      </c>
      <c r="V51" s="55" t="str">
        <f>IF($S51="","",INDEX(CASHBACK_RULES!$E$5:$E$304,$S51)&amp;"")</f>
        <v/>
      </c>
      <c r="W51" s="55" t="str">
        <f>IF($S51="","",INDEX(CASHBACK_RULES!$F$5:$F$304,$S51)&amp;"")</f>
        <v/>
      </c>
      <c r="X51" s="26" t="str">
        <f>IF($S51="","",SUMIFS(TRANSACTIONS_MASTER!$Q$5:$Q$1204,TRANSACTIONS_MASTER!$D$5:$D$1204,$T51,TRANSACTIONS_MASTER!$Z$5:$Z$1204,$V51,TRANSACTIONS_MASTER!$C$5:$C$1204,$C$2))</f>
        <v/>
      </c>
      <c r="Y51" s="25" t="str">
        <f>IF($S51="","",IF(ISNUMBER(INDEX(CASHBACK_RULES!$J$5:$J$304,$S51)),INDEX(CASHBACK_RULES!$J$5:$J$304,$S51),"∞"))</f>
        <v/>
      </c>
      <c r="Z51" s="25" t="str">
        <f>IF($S51="","",IF(ISNUMBER($Y51),MAX(0,$Y51-$X51),"∞"))</f>
        <v/>
      </c>
      <c r="AA51" s="27" t="str">
        <f>IF($S51="","",IF(ISNUMBER($Y51),IF($Y51=0,0,$X51/$Y51),""))</f>
        <v/>
      </c>
    </row>
    <row r="52" ht="20" customHeight="1">
      <c r="A52" s="81" t="str">
        <f>IF($Q52="","",45)</f>
        <v/>
      </c>
      <c r="B52" s="57" t="str">
        <f>IF($Q52="","",INDEX(TRANSACTIONS_MASTER!$B$5:$B$1204,$Q52))</f>
        <v/>
      </c>
      <c r="C52" s="55" t="str">
        <f>IF($Q52="","",INDEX(TRANSACTIONS_MASTER!$F$5:$F$1204,$Q52))</f>
        <v/>
      </c>
      <c r="D52" s="55" t="str">
        <f>IF($Q52="","",INDEX(TRANSACTIONS_MASTER!$E$5:$E$1204,$Q52))</f>
        <v/>
      </c>
      <c r="E52" s="55" t="str">
        <f>IF($Q52="","",INDEX(TRANSACTIONS_MASTER!$G$5:$G$1204,$Q52)&amp;"")</f>
        <v/>
      </c>
      <c r="F52" s="29" t="str">
        <f>IF($Q52="","",INDEX(TRANSACTIONS_MASTER!$I$5:$I$1204,$Q52))</f>
        <v/>
      </c>
      <c r="G52" s="55" t="str">
        <f>IF($Q52="","",INDEX(TRANSACTIONS_MASTER!$K$5:$K$1204,$Q52))</f>
        <v/>
      </c>
      <c r="H52" s="25" t="str">
        <f>IF($Q52="","",INDEX(TRANSACTIONS_MASTER!$L$5:$L$1204,$Q52))</f>
        <v/>
      </c>
      <c r="I52" s="56" t="str">
        <f>IF($Q52="","",INDEX(TRANSACTIONS_MASTER!$N$5:$N$1204,$Q52))</f>
        <v/>
      </c>
      <c r="J52" s="25" t="str">
        <f>IF($Q52="","",INDEX(TRANSACTIONS_MASTER!$O$5:$O$1204,$Q52))</f>
        <v/>
      </c>
      <c r="K52" s="26" t="str">
        <f>IF($Q52="","",INDEX(TRANSACTIONS_MASTER!$Q$5:$Q$1204,$Q52))</f>
        <v/>
      </c>
      <c r="L52" s="25" t="str">
        <f>IF($Q52="","",INDEX(TRANSACTIONS_MASTER!$P$5:$P$1204,$Q52))</f>
        <v/>
      </c>
      <c r="M52" s="25" t="str">
        <f>IF($Q52="","",INDEX(TRANSACTIONS_MASTER!$AA$5:$AA$1204,$Q52))</f>
        <v/>
      </c>
      <c r="N52" s="25" t="str">
        <f>IF($Q52="","",INDEX(TRANSACTIONS_MASTER!$R$5:$R$1204,$Q52))</f>
        <v/>
      </c>
      <c r="O52" s="28" t="str">
        <f>IF($Q52="","",INDEX(TRANSACTIONS_MASTER!$AB$5:$AB$1204,$Q52))</f>
        <v/>
      </c>
      <c r="P52" s="55" t="str">
        <f>IF($Q52="","",INDEX(TRANSACTIONS_MASTER!$Z$5:$Z$1204,$Q52)&amp;"")</f>
        <v/>
      </c>
      <c r="Q52" s="67" t="str">
        <f>IFERROR(MATCH($C$2&amp;"|"&amp;45,TRANSACTIONS_MASTER!$AE$5:$AE$1204,0),"")</f>
        <v/>
      </c>
      <c r="S52" s="67" t="str">
        <f>IFERROR(MATCH(45,CASHBACK_RULES!$S$5:$S$304,0),"")</f>
        <v/>
      </c>
      <c r="T52" s="55" t="str">
        <f>IF($S52="","",INDEX(CASHBACK_RULES!$B$5:$B$304,$S52))</f>
        <v/>
      </c>
      <c r="U52" s="55" t="str">
        <f>IF($S52="","",INDEX(CASHBACK_RULES!$C$5:$C$304,$S52)&amp;" "&amp;INDEX(CASHBACK_RULES!$D$5:$D$304,$S52))</f>
        <v/>
      </c>
      <c r="V52" s="55" t="str">
        <f>IF($S52="","",INDEX(CASHBACK_RULES!$E$5:$E$304,$S52)&amp;"")</f>
        <v/>
      </c>
      <c r="W52" s="55" t="str">
        <f>IF($S52="","",INDEX(CASHBACK_RULES!$F$5:$F$304,$S52)&amp;"")</f>
        <v/>
      </c>
      <c r="X52" s="26" t="str">
        <f>IF($S52="","",SUMIFS(TRANSACTIONS_MASTER!$Q$5:$Q$1204,TRANSACTIONS_MASTER!$D$5:$D$1204,$T52,TRANSACTIONS_MASTER!$Z$5:$Z$1204,$V52,TRANSACTIONS_MASTER!$C$5:$C$1204,$C$2))</f>
        <v/>
      </c>
      <c r="Y52" s="25" t="str">
        <f>IF($S52="","",IF(ISNUMBER(INDEX(CASHBACK_RULES!$J$5:$J$304,$S52)),INDEX(CASHBACK_RULES!$J$5:$J$304,$S52),"∞"))</f>
        <v/>
      </c>
      <c r="Z52" s="25" t="str">
        <f>IF($S52="","",IF(ISNUMBER($Y52),MAX(0,$Y52-$X52),"∞"))</f>
        <v/>
      </c>
      <c r="AA52" s="27" t="str">
        <f>IF($S52="","",IF(ISNUMBER($Y52),IF($Y52=0,0,$X52/$Y52),""))</f>
        <v/>
      </c>
    </row>
    <row r="53" ht="20" customHeight="1">
      <c r="A53" s="81" t="str">
        <f>IF($Q53="","",46)</f>
        <v/>
      </c>
      <c r="B53" s="57" t="str">
        <f>IF($Q53="","",INDEX(TRANSACTIONS_MASTER!$B$5:$B$1204,$Q53))</f>
        <v/>
      </c>
      <c r="C53" s="55" t="str">
        <f>IF($Q53="","",INDEX(TRANSACTIONS_MASTER!$F$5:$F$1204,$Q53))</f>
        <v/>
      </c>
      <c r="D53" s="55" t="str">
        <f>IF($Q53="","",INDEX(TRANSACTIONS_MASTER!$E$5:$E$1204,$Q53))</f>
        <v/>
      </c>
      <c r="E53" s="55" t="str">
        <f>IF($Q53="","",INDEX(TRANSACTIONS_MASTER!$G$5:$G$1204,$Q53)&amp;"")</f>
        <v/>
      </c>
      <c r="F53" s="29" t="str">
        <f>IF($Q53="","",INDEX(TRANSACTIONS_MASTER!$I$5:$I$1204,$Q53))</f>
        <v/>
      </c>
      <c r="G53" s="55" t="str">
        <f>IF($Q53="","",INDEX(TRANSACTIONS_MASTER!$K$5:$K$1204,$Q53))</f>
        <v/>
      </c>
      <c r="H53" s="25" t="str">
        <f>IF($Q53="","",INDEX(TRANSACTIONS_MASTER!$L$5:$L$1204,$Q53))</f>
        <v/>
      </c>
      <c r="I53" s="56" t="str">
        <f>IF($Q53="","",INDEX(TRANSACTIONS_MASTER!$N$5:$N$1204,$Q53))</f>
        <v/>
      </c>
      <c r="J53" s="25" t="str">
        <f>IF($Q53="","",INDEX(TRANSACTIONS_MASTER!$O$5:$O$1204,$Q53))</f>
        <v/>
      </c>
      <c r="K53" s="26" t="str">
        <f>IF($Q53="","",INDEX(TRANSACTIONS_MASTER!$Q$5:$Q$1204,$Q53))</f>
        <v/>
      </c>
      <c r="L53" s="25" t="str">
        <f>IF($Q53="","",INDEX(TRANSACTIONS_MASTER!$P$5:$P$1204,$Q53))</f>
        <v/>
      </c>
      <c r="M53" s="25" t="str">
        <f>IF($Q53="","",INDEX(TRANSACTIONS_MASTER!$AA$5:$AA$1204,$Q53))</f>
        <v/>
      </c>
      <c r="N53" s="25" t="str">
        <f>IF($Q53="","",INDEX(TRANSACTIONS_MASTER!$R$5:$R$1204,$Q53))</f>
        <v/>
      </c>
      <c r="O53" s="28" t="str">
        <f>IF($Q53="","",INDEX(TRANSACTIONS_MASTER!$AB$5:$AB$1204,$Q53))</f>
        <v/>
      </c>
      <c r="P53" s="55" t="str">
        <f>IF($Q53="","",INDEX(TRANSACTIONS_MASTER!$Z$5:$Z$1204,$Q53)&amp;"")</f>
        <v/>
      </c>
      <c r="Q53" s="67" t="str">
        <f>IFERROR(MATCH($C$2&amp;"|"&amp;46,TRANSACTIONS_MASTER!$AE$5:$AE$1204,0),"")</f>
        <v/>
      </c>
      <c r="S53" s="67" t="str">
        <f>IFERROR(MATCH(46,CASHBACK_RULES!$S$5:$S$304,0),"")</f>
        <v/>
      </c>
      <c r="T53" s="55" t="str">
        <f>IF($S53="","",INDEX(CASHBACK_RULES!$B$5:$B$304,$S53))</f>
        <v/>
      </c>
      <c r="U53" s="55" t="str">
        <f>IF($S53="","",INDEX(CASHBACK_RULES!$C$5:$C$304,$S53)&amp;" "&amp;INDEX(CASHBACK_RULES!$D$5:$D$304,$S53))</f>
        <v/>
      </c>
      <c r="V53" s="55" t="str">
        <f>IF($S53="","",INDEX(CASHBACK_RULES!$E$5:$E$304,$S53)&amp;"")</f>
        <v/>
      </c>
      <c r="W53" s="55" t="str">
        <f>IF($S53="","",INDEX(CASHBACK_RULES!$F$5:$F$304,$S53)&amp;"")</f>
        <v/>
      </c>
      <c r="X53" s="26" t="str">
        <f>IF($S53="","",SUMIFS(TRANSACTIONS_MASTER!$Q$5:$Q$1204,TRANSACTIONS_MASTER!$D$5:$D$1204,$T53,TRANSACTIONS_MASTER!$Z$5:$Z$1204,$V53,TRANSACTIONS_MASTER!$C$5:$C$1204,$C$2))</f>
        <v/>
      </c>
      <c r="Y53" s="25" t="str">
        <f>IF($S53="","",IF(ISNUMBER(INDEX(CASHBACK_RULES!$J$5:$J$304,$S53)),INDEX(CASHBACK_RULES!$J$5:$J$304,$S53),"∞"))</f>
        <v/>
      </c>
      <c r="Z53" s="25" t="str">
        <f>IF($S53="","",IF(ISNUMBER($Y53),MAX(0,$Y53-$X53),"∞"))</f>
        <v/>
      </c>
      <c r="AA53" s="27" t="str">
        <f>IF($S53="","",IF(ISNUMBER($Y53),IF($Y53=0,0,$X53/$Y53),""))</f>
        <v/>
      </c>
    </row>
    <row r="54" ht="20" customHeight="1">
      <c r="A54" s="81" t="str">
        <f>IF($Q54="","",47)</f>
        <v/>
      </c>
      <c r="B54" s="57" t="str">
        <f>IF($Q54="","",INDEX(TRANSACTIONS_MASTER!$B$5:$B$1204,$Q54))</f>
        <v/>
      </c>
      <c r="C54" s="55" t="str">
        <f>IF($Q54="","",INDEX(TRANSACTIONS_MASTER!$F$5:$F$1204,$Q54))</f>
        <v/>
      </c>
      <c r="D54" s="55" t="str">
        <f>IF($Q54="","",INDEX(TRANSACTIONS_MASTER!$E$5:$E$1204,$Q54))</f>
        <v/>
      </c>
      <c r="E54" s="55" t="str">
        <f>IF($Q54="","",INDEX(TRANSACTIONS_MASTER!$G$5:$G$1204,$Q54)&amp;"")</f>
        <v/>
      </c>
      <c r="F54" s="29" t="str">
        <f>IF($Q54="","",INDEX(TRANSACTIONS_MASTER!$I$5:$I$1204,$Q54))</f>
        <v/>
      </c>
      <c r="G54" s="55" t="str">
        <f>IF($Q54="","",INDEX(TRANSACTIONS_MASTER!$K$5:$K$1204,$Q54))</f>
        <v/>
      </c>
      <c r="H54" s="25" t="str">
        <f>IF($Q54="","",INDEX(TRANSACTIONS_MASTER!$L$5:$L$1204,$Q54))</f>
        <v/>
      </c>
      <c r="I54" s="56" t="str">
        <f>IF($Q54="","",INDEX(TRANSACTIONS_MASTER!$N$5:$N$1204,$Q54))</f>
        <v/>
      </c>
      <c r="J54" s="25" t="str">
        <f>IF($Q54="","",INDEX(TRANSACTIONS_MASTER!$O$5:$O$1204,$Q54))</f>
        <v/>
      </c>
      <c r="K54" s="26" t="str">
        <f>IF($Q54="","",INDEX(TRANSACTIONS_MASTER!$Q$5:$Q$1204,$Q54))</f>
        <v/>
      </c>
      <c r="L54" s="25" t="str">
        <f>IF($Q54="","",INDEX(TRANSACTIONS_MASTER!$P$5:$P$1204,$Q54))</f>
        <v/>
      </c>
      <c r="M54" s="25" t="str">
        <f>IF($Q54="","",INDEX(TRANSACTIONS_MASTER!$AA$5:$AA$1204,$Q54))</f>
        <v/>
      </c>
      <c r="N54" s="25" t="str">
        <f>IF($Q54="","",INDEX(TRANSACTIONS_MASTER!$R$5:$R$1204,$Q54))</f>
        <v/>
      </c>
      <c r="O54" s="28" t="str">
        <f>IF($Q54="","",INDEX(TRANSACTIONS_MASTER!$AB$5:$AB$1204,$Q54))</f>
        <v/>
      </c>
      <c r="P54" s="55" t="str">
        <f>IF($Q54="","",INDEX(TRANSACTIONS_MASTER!$Z$5:$Z$1204,$Q54)&amp;"")</f>
        <v/>
      </c>
      <c r="Q54" s="67" t="str">
        <f>IFERROR(MATCH($C$2&amp;"|"&amp;47,TRANSACTIONS_MASTER!$AE$5:$AE$1204,0),"")</f>
        <v/>
      </c>
      <c r="S54" s="67" t="str">
        <f>IFERROR(MATCH(47,CASHBACK_RULES!$S$5:$S$304,0),"")</f>
        <v/>
      </c>
      <c r="T54" s="55" t="str">
        <f>IF($S54="","",INDEX(CASHBACK_RULES!$B$5:$B$304,$S54))</f>
        <v/>
      </c>
      <c r="U54" s="55" t="str">
        <f>IF($S54="","",INDEX(CASHBACK_RULES!$C$5:$C$304,$S54)&amp;" "&amp;INDEX(CASHBACK_RULES!$D$5:$D$304,$S54))</f>
        <v/>
      </c>
      <c r="V54" s="55" t="str">
        <f>IF($S54="","",INDEX(CASHBACK_RULES!$E$5:$E$304,$S54)&amp;"")</f>
        <v/>
      </c>
      <c r="W54" s="55" t="str">
        <f>IF($S54="","",INDEX(CASHBACK_RULES!$F$5:$F$304,$S54)&amp;"")</f>
        <v/>
      </c>
      <c r="X54" s="26" t="str">
        <f>IF($S54="","",SUMIFS(TRANSACTIONS_MASTER!$Q$5:$Q$1204,TRANSACTIONS_MASTER!$D$5:$D$1204,$T54,TRANSACTIONS_MASTER!$Z$5:$Z$1204,$V54,TRANSACTIONS_MASTER!$C$5:$C$1204,$C$2))</f>
        <v/>
      </c>
      <c r="Y54" s="25" t="str">
        <f>IF($S54="","",IF(ISNUMBER(INDEX(CASHBACK_RULES!$J$5:$J$304,$S54)),INDEX(CASHBACK_RULES!$J$5:$J$304,$S54),"∞"))</f>
        <v/>
      </c>
      <c r="Z54" s="25" t="str">
        <f>IF($S54="","",IF(ISNUMBER($Y54),MAX(0,$Y54-$X54),"∞"))</f>
        <v/>
      </c>
      <c r="AA54" s="27" t="str">
        <f>IF($S54="","",IF(ISNUMBER($Y54),IF($Y54=0,0,$X54/$Y54),""))</f>
        <v/>
      </c>
    </row>
    <row r="55" ht="20" customHeight="1">
      <c r="A55" s="81" t="str">
        <f>IF($Q55="","",48)</f>
        <v/>
      </c>
      <c r="B55" s="57" t="str">
        <f>IF($Q55="","",INDEX(TRANSACTIONS_MASTER!$B$5:$B$1204,$Q55))</f>
        <v/>
      </c>
      <c r="C55" s="55" t="str">
        <f>IF($Q55="","",INDEX(TRANSACTIONS_MASTER!$F$5:$F$1204,$Q55))</f>
        <v/>
      </c>
      <c r="D55" s="55" t="str">
        <f>IF($Q55="","",INDEX(TRANSACTIONS_MASTER!$E$5:$E$1204,$Q55))</f>
        <v/>
      </c>
      <c r="E55" s="55" t="str">
        <f>IF($Q55="","",INDEX(TRANSACTIONS_MASTER!$G$5:$G$1204,$Q55)&amp;"")</f>
        <v/>
      </c>
      <c r="F55" s="29" t="str">
        <f>IF($Q55="","",INDEX(TRANSACTIONS_MASTER!$I$5:$I$1204,$Q55))</f>
        <v/>
      </c>
      <c r="G55" s="55" t="str">
        <f>IF($Q55="","",INDEX(TRANSACTIONS_MASTER!$K$5:$K$1204,$Q55))</f>
        <v/>
      </c>
      <c r="H55" s="25" t="str">
        <f>IF($Q55="","",INDEX(TRANSACTIONS_MASTER!$L$5:$L$1204,$Q55))</f>
        <v/>
      </c>
      <c r="I55" s="56" t="str">
        <f>IF($Q55="","",INDEX(TRANSACTIONS_MASTER!$N$5:$N$1204,$Q55))</f>
        <v/>
      </c>
      <c r="J55" s="25" t="str">
        <f>IF($Q55="","",INDEX(TRANSACTIONS_MASTER!$O$5:$O$1204,$Q55))</f>
        <v/>
      </c>
      <c r="K55" s="26" t="str">
        <f>IF($Q55="","",INDEX(TRANSACTIONS_MASTER!$Q$5:$Q$1204,$Q55))</f>
        <v/>
      </c>
      <c r="L55" s="25" t="str">
        <f>IF($Q55="","",INDEX(TRANSACTIONS_MASTER!$P$5:$P$1204,$Q55))</f>
        <v/>
      </c>
      <c r="M55" s="25" t="str">
        <f>IF($Q55="","",INDEX(TRANSACTIONS_MASTER!$AA$5:$AA$1204,$Q55))</f>
        <v/>
      </c>
      <c r="N55" s="25" t="str">
        <f>IF($Q55="","",INDEX(TRANSACTIONS_MASTER!$R$5:$R$1204,$Q55))</f>
        <v/>
      </c>
      <c r="O55" s="28" t="str">
        <f>IF($Q55="","",INDEX(TRANSACTIONS_MASTER!$AB$5:$AB$1204,$Q55))</f>
        <v/>
      </c>
      <c r="P55" s="55" t="str">
        <f>IF($Q55="","",INDEX(TRANSACTIONS_MASTER!$Z$5:$Z$1204,$Q55)&amp;"")</f>
        <v/>
      </c>
      <c r="Q55" s="67" t="str">
        <f>IFERROR(MATCH($C$2&amp;"|"&amp;48,TRANSACTIONS_MASTER!$AE$5:$AE$1204,0),"")</f>
        <v/>
      </c>
      <c r="S55" s="67" t="str">
        <f>IFERROR(MATCH(48,CASHBACK_RULES!$S$5:$S$304,0),"")</f>
        <v/>
      </c>
      <c r="T55" s="55" t="str">
        <f>IF($S55="","",INDEX(CASHBACK_RULES!$B$5:$B$304,$S55))</f>
        <v/>
      </c>
      <c r="U55" s="55" t="str">
        <f>IF($S55="","",INDEX(CASHBACK_RULES!$C$5:$C$304,$S55)&amp;" "&amp;INDEX(CASHBACK_RULES!$D$5:$D$304,$S55))</f>
        <v/>
      </c>
      <c r="V55" s="55" t="str">
        <f>IF($S55="","",INDEX(CASHBACK_RULES!$E$5:$E$304,$S55)&amp;"")</f>
        <v/>
      </c>
      <c r="W55" s="55" t="str">
        <f>IF($S55="","",INDEX(CASHBACK_RULES!$F$5:$F$304,$S55)&amp;"")</f>
        <v/>
      </c>
      <c r="X55" s="26" t="str">
        <f>IF($S55="","",SUMIFS(TRANSACTIONS_MASTER!$Q$5:$Q$1204,TRANSACTIONS_MASTER!$D$5:$D$1204,$T55,TRANSACTIONS_MASTER!$Z$5:$Z$1204,$V55,TRANSACTIONS_MASTER!$C$5:$C$1204,$C$2))</f>
        <v/>
      </c>
      <c r="Y55" s="25" t="str">
        <f>IF($S55="","",IF(ISNUMBER(INDEX(CASHBACK_RULES!$J$5:$J$304,$S55)),INDEX(CASHBACK_RULES!$J$5:$J$304,$S55),"∞"))</f>
        <v/>
      </c>
      <c r="Z55" s="25" t="str">
        <f>IF($S55="","",IF(ISNUMBER($Y55),MAX(0,$Y55-$X55),"∞"))</f>
        <v/>
      </c>
      <c r="AA55" s="27" t="str">
        <f>IF($S55="","",IF(ISNUMBER($Y55),IF($Y55=0,0,$X55/$Y55),""))</f>
        <v/>
      </c>
    </row>
    <row r="56" ht="20" customHeight="1">
      <c r="A56" s="81" t="str">
        <f>IF($Q56="","",49)</f>
        <v/>
      </c>
      <c r="B56" s="57" t="str">
        <f>IF($Q56="","",INDEX(TRANSACTIONS_MASTER!$B$5:$B$1204,$Q56))</f>
        <v/>
      </c>
      <c r="C56" s="55" t="str">
        <f>IF($Q56="","",INDEX(TRANSACTIONS_MASTER!$F$5:$F$1204,$Q56))</f>
        <v/>
      </c>
      <c r="D56" s="55" t="str">
        <f>IF($Q56="","",INDEX(TRANSACTIONS_MASTER!$E$5:$E$1204,$Q56))</f>
        <v/>
      </c>
      <c r="E56" s="55" t="str">
        <f>IF($Q56="","",INDEX(TRANSACTIONS_MASTER!$G$5:$G$1204,$Q56)&amp;"")</f>
        <v/>
      </c>
      <c r="F56" s="29" t="str">
        <f>IF($Q56="","",INDEX(TRANSACTIONS_MASTER!$I$5:$I$1204,$Q56))</f>
        <v/>
      </c>
      <c r="G56" s="55" t="str">
        <f>IF($Q56="","",INDEX(TRANSACTIONS_MASTER!$K$5:$K$1204,$Q56))</f>
        <v/>
      </c>
      <c r="H56" s="25" t="str">
        <f>IF($Q56="","",INDEX(TRANSACTIONS_MASTER!$L$5:$L$1204,$Q56))</f>
        <v/>
      </c>
      <c r="I56" s="56" t="str">
        <f>IF($Q56="","",INDEX(TRANSACTIONS_MASTER!$N$5:$N$1204,$Q56))</f>
        <v/>
      </c>
      <c r="J56" s="25" t="str">
        <f>IF($Q56="","",INDEX(TRANSACTIONS_MASTER!$O$5:$O$1204,$Q56))</f>
        <v/>
      </c>
      <c r="K56" s="26" t="str">
        <f>IF($Q56="","",INDEX(TRANSACTIONS_MASTER!$Q$5:$Q$1204,$Q56))</f>
        <v/>
      </c>
      <c r="L56" s="25" t="str">
        <f>IF($Q56="","",INDEX(TRANSACTIONS_MASTER!$P$5:$P$1204,$Q56))</f>
        <v/>
      </c>
      <c r="M56" s="25" t="str">
        <f>IF($Q56="","",INDEX(TRANSACTIONS_MASTER!$AA$5:$AA$1204,$Q56))</f>
        <v/>
      </c>
      <c r="N56" s="25" t="str">
        <f>IF($Q56="","",INDEX(TRANSACTIONS_MASTER!$R$5:$R$1204,$Q56))</f>
        <v/>
      </c>
      <c r="O56" s="28" t="str">
        <f>IF($Q56="","",INDEX(TRANSACTIONS_MASTER!$AB$5:$AB$1204,$Q56))</f>
        <v/>
      </c>
      <c r="P56" s="55" t="str">
        <f>IF($Q56="","",INDEX(TRANSACTIONS_MASTER!$Z$5:$Z$1204,$Q56)&amp;"")</f>
        <v/>
      </c>
      <c r="Q56" s="67" t="str">
        <f>IFERROR(MATCH($C$2&amp;"|"&amp;49,TRANSACTIONS_MASTER!$AE$5:$AE$1204,0),"")</f>
        <v/>
      </c>
      <c r="S56" s="67" t="str">
        <f>IFERROR(MATCH(49,CASHBACK_RULES!$S$5:$S$304,0),"")</f>
        <v/>
      </c>
      <c r="T56" s="55" t="str">
        <f>IF($S56="","",INDEX(CASHBACK_RULES!$B$5:$B$304,$S56))</f>
        <v/>
      </c>
      <c r="U56" s="55" t="str">
        <f>IF($S56="","",INDEX(CASHBACK_RULES!$C$5:$C$304,$S56)&amp;" "&amp;INDEX(CASHBACK_RULES!$D$5:$D$304,$S56))</f>
        <v/>
      </c>
      <c r="V56" s="55" t="str">
        <f>IF($S56="","",INDEX(CASHBACK_RULES!$E$5:$E$304,$S56)&amp;"")</f>
        <v/>
      </c>
      <c r="W56" s="55" t="str">
        <f>IF($S56="","",INDEX(CASHBACK_RULES!$F$5:$F$304,$S56)&amp;"")</f>
        <v/>
      </c>
      <c r="X56" s="26" t="str">
        <f>IF($S56="","",SUMIFS(TRANSACTIONS_MASTER!$Q$5:$Q$1204,TRANSACTIONS_MASTER!$D$5:$D$1204,$T56,TRANSACTIONS_MASTER!$Z$5:$Z$1204,$V56,TRANSACTIONS_MASTER!$C$5:$C$1204,$C$2))</f>
        <v/>
      </c>
      <c r="Y56" s="25" t="str">
        <f>IF($S56="","",IF(ISNUMBER(INDEX(CASHBACK_RULES!$J$5:$J$304,$S56)),INDEX(CASHBACK_RULES!$J$5:$J$304,$S56),"∞"))</f>
        <v/>
      </c>
      <c r="Z56" s="25" t="str">
        <f>IF($S56="","",IF(ISNUMBER($Y56),MAX(0,$Y56-$X56),"∞"))</f>
        <v/>
      </c>
      <c r="AA56" s="27" t="str">
        <f>IF($S56="","",IF(ISNUMBER($Y56),IF($Y56=0,0,$X56/$Y56),""))</f>
        <v/>
      </c>
    </row>
    <row r="57" ht="20" customHeight="1">
      <c r="A57" s="81" t="str">
        <f>IF($Q57="","",50)</f>
        <v/>
      </c>
      <c r="B57" s="57" t="str">
        <f>IF($Q57="","",INDEX(TRANSACTIONS_MASTER!$B$5:$B$1204,$Q57))</f>
        <v/>
      </c>
      <c r="C57" s="55" t="str">
        <f>IF($Q57="","",INDEX(TRANSACTIONS_MASTER!$F$5:$F$1204,$Q57))</f>
        <v/>
      </c>
      <c r="D57" s="55" t="str">
        <f>IF($Q57="","",INDEX(TRANSACTIONS_MASTER!$E$5:$E$1204,$Q57))</f>
        <v/>
      </c>
      <c r="E57" s="55" t="str">
        <f>IF($Q57="","",INDEX(TRANSACTIONS_MASTER!$G$5:$G$1204,$Q57)&amp;"")</f>
        <v/>
      </c>
      <c r="F57" s="29" t="str">
        <f>IF($Q57="","",INDEX(TRANSACTIONS_MASTER!$I$5:$I$1204,$Q57))</f>
        <v/>
      </c>
      <c r="G57" s="55" t="str">
        <f>IF($Q57="","",INDEX(TRANSACTIONS_MASTER!$K$5:$K$1204,$Q57))</f>
        <v/>
      </c>
      <c r="H57" s="25" t="str">
        <f>IF($Q57="","",INDEX(TRANSACTIONS_MASTER!$L$5:$L$1204,$Q57))</f>
        <v/>
      </c>
      <c r="I57" s="56" t="str">
        <f>IF($Q57="","",INDEX(TRANSACTIONS_MASTER!$N$5:$N$1204,$Q57))</f>
        <v/>
      </c>
      <c r="J57" s="25" t="str">
        <f>IF($Q57="","",INDEX(TRANSACTIONS_MASTER!$O$5:$O$1204,$Q57))</f>
        <v/>
      </c>
      <c r="K57" s="26" t="str">
        <f>IF($Q57="","",INDEX(TRANSACTIONS_MASTER!$Q$5:$Q$1204,$Q57))</f>
        <v/>
      </c>
      <c r="L57" s="25" t="str">
        <f>IF($Q57="","",INDEX(TRANSACTIONS_MASTER!$P$5:$P$1204,$Q57))</f>
        <v/>
      </c>
      <c r="M57" s="25" t="str">
        <f>IF($Q57="","",INDEX(TRANSACTIONS_MASTER!$AA$5:$AA$1204,$Q57))</f>
        <v/>
      </c>
      <c r="N57" s="25" t="str">
        <f>IF($Q57="","",INDEX(TRANSACTIONS_MASTER!$R$5:$R$1204,$Q57))</f>
        <v/>
      </c>
      <c r="O57" s="28" t="str">
        <f>IF($Q57="","",INDEX(TRANSACTIONS_MASTER!$AB$5:$AB$1204,$Q57))</f>
        <v/>
      </c>
      <c r="P57" s="55" t="str">
        <f>IF($Q57="","",INDEX(TRANSACTIONS_MASTER!$Z$5:$Z$1204,$Q57)&amp;"")</f>
        <v/>
      </c>
      <c r="Q57" s="67" t="str">
        <f>IFERROR(MATCH($C$2&amp;"|"&amp;50,TRANSACTIONS_MASTER!$AE$5:$AE$1204,0),"")</f>
        <v/>
      </c>
      <c r="S57" s="67" t="str">
        <f>IFERROR(MATCH(50,CASHBACK_RULES!$S$5:$S$304,0),"")</f>
        <v/>
      </c>
      <c r="T57" s="55" t="str">
        <f>IF($S57="","",INDEX(CASHBACK_RULES!$B$5:$B$304,$S57))</f>
        <v/>
      </c>
      <c r="U57" s="55" t="str">
        <f>IF($S57="","",INDEX(CASHBACK_RULES!$C$5:$C$304,$S57)&amp;" "&amp;INDEX(CASHBACK_RULES!$D$5:$D$304,$S57))</f>
        <v/>
      </c>
      <c r="V57" s="55" t="str">
        <f>IF($S57="","",INDEX(CASHBACK_RULES!$E$5:$E$304,$S57)&amp;"")</f>
        <v/>
      </c>
      <c r="W57" s="55" t="str">
        <f>IF($S57="","",INDEX(CASHBACK_RULES!$F$5:$F$304,$S57)&amp;"")</f>
        <v/>
      </c>
      <c r="X57" s="26" t="str">
        <f>IF($S57="","",SUMIFS(TRANSACTIONS_MASTER!$Q$5:$Q$1204,TRANSACTIONS_MASTER!$D$5:$D$1204,$T57,TRANSACTIONS_MASTER!$Z$5:$Z$1204,$V57,TRANSACTIONS_MASTER!$C$5:$C$1204,$C$2))</f>
        <v/>
      </c>
      <c r="Y57" s="25" t="str">
        <f>IF($S57="","",IF(ISNUMBER(INDEX(CASHBACK_RULES!$J$5:$J$304,$S57)),INDEX(CASHBACK_RULES!$J$5:$J$304,$S57),"∞"))</f>
        <v/>
      </c>
      <c r="Z57" s="25" t="str">
        <f>IF($S57="","",IF(ISNUMBER($Y57),MAX(0,$Y57-$X57),"∞"))</f>
        <v/>
      </c>
      <c r="AA57" s="27" t="str">
        <f>IF($S57="","",IF(ISNUMBER($Y57),IF($Y57=0,0,$X57/$Y57),""))</f>
        <v/>
      </c>
    </row>
    <row r="58">
      <c r="A58" s="81" t="str">
        <f>IF($Q58="","",51)</f>
        <v/>
      </c>
      <c r="B58" s="57" t="str">
        <f>IF($Q58="","",INDEX(TRANSACTIONS_MASTER!$B$5:$B$1204,$Q58))</f>
        <v/>
      </c>
      <c r="C58" s="55" t="str">
        <f>IF($Q58="","",INDEX(TRANSACTIONS_MASTER!$F$5:$F$1204,$Q58))</f>
        <v/>
      </c>
      <c r="D58" s="55" t="str">
        <f>IF($Q58="","",INDEX(TRANSACTIONS_MASTER!$E$5:$E$1204,$Q58))</f>
        <v/>
      </c>
      <c r="E58" s="55" t="str">
        <f>IF($Q58="","",INDEX(TRANSACTIONS_MASTER!$G$5:$G$1204,$Q58)&amp;"")</f>
        <v/>
      </c>
      <c r="F58" s="29" t="str">
        <f>IF($Q58="","",INDEX(TRANSACTIONS_MASTER!$I$5:$I$1204,$Q58))</f>
        <v/>
      </c>
      <c r="G58" s="55" t="str">
        <f>IF($Q58="","",INDEX(TRANSACTIONS_MASTER!$K$5:$K$1204,$Q58))</f>
        <v/>
      </c>
      <c r="H58" s="25" t="str">
        <f>IF($Q58="","",INDEX(TRANSACTIONS_MASTER!$L$5:$L$1204,$Q58))</f>
        <v/>
      </c>
      <c r="I58" s="56" t="str">
        <f>IF($Q58="","",INDEX(TRANSACTIONS_MASTER!$N$5:$N$1204,$Q58))</f>
        <v/>
      </c>
      <c r="J58" s="25" t="str">
        <f>IF($Q58="","",INDEX(TRANSACTIONS_MASTER!$O$5:$O$1204,$Q58))</f>
        <v/>
      </c>
      <c r="K58" s="26" t="str">
        <f>IF($Q58="","",INDEX(TRANSACTIONS_MASTER!$Q$5:$Q$1204,$Q58))</f>
        <v/>
      </c>
      <c r="L58" s="25" t="str">
        <f>IF($Q58="","",INDEX(TRANSACTIONS_MASTER!$P$5:$P$1204,$Q58))</f>
        <v/>
      </c>
      <c r="M58" s="25" t="str">
        <f>IF($Q58="","",INDEX(TRANSACTIONS_MASTER!$AA$5:$AA$1204,$Q58))</f>
        <v/>
      </c>
      <c r="N58" s="25" t="str">
        <f>IF($Q58="","",INDEX(TRANSACTIONS_MASTER!$R$5:$R$1204,$Q58))</f>
        <v/>
      </c>
      <c r="O58" s="28" t="str">
        <f>IF($Q58="","",INDEX(TRANSACTIONS_MASTER!$AB$5:$AB$1204,$Q58))</f>
        <v/>
      </c>
      <c r="P58" s="55" t="str">
        <f>IF($Q58="","",INDEX(TRANSACTIONS_MASTER!$Z$5:$Z$1204,$Q58)&amp;"")</f>
        <v/>
      </c>
      <c r="Q58" s="67" t="str">
        <f>IFERROR(MATCH($C$2&amp;"|"&amp;51,TRANSACTIONS_MASTER!$AE$5:$AE$1204,0),"")</f>
        <v/>
      </c>
    </row>
    <row r="59">
      <c r="A59" s="81" t="str">
        <f>IF($Q59="","",52)</f>
        <v/>
      </c>
      <c r="B59" s="57" t="str">
        <f>IF($Q59="","",INDEX(TRANSACTIONS_MASTER!$B$5:$B$1204,$Q59))</f>
        <v/>
      </c>
      <c r="C59" s="55" t="str">
        <f>IF($Q59="","",INDEX(TRANSACTIONS_MASTER!$F$5:$F$1204,$Q59))</f>
        <v/>
      </c>
      <c r="D59" s="55" t="str">
        <f>IF($Q59="","",INDEX(TRANSACTIONS_MASTER!$E$5:$E$1204,$Q59))</f>
        <v/>
      </c>
      <c r="E59" s="55" t="str">
        <f>IF($Q59="","",INDEX(TRANSACTIONS_MASTER!$G$5:$G$1204,$Q59)&amp;"")</f>
        <v/>
      </c>
      <c r="F59" s="29" t="str">
        <f>IF($Q59="","",INDEX(TRANSACTIONS_MASTER!$I$5:$I$1204,$Q59))</f>
        <v/>
      </c>
      <c r="G59" s="55" t="str">
        <f>IF($Q59="","",INDEX(TRANSACTIONS_MASTER!$K$5:$K$1204,$Q59))</f>
        <v/>
      </c>
      <c r="H59" s="25" t="str">
        <f>IF($Q59="","",INDEX(TRANSACTIONS_MASTER!$L$5:$L$1204,$Q59))</f>
        <v/>
      </c>
      <c r="I59" s="56" t="str">
        <f>IF($Q59="","",INDEX(TRANSACTIONS_MASTER!$N$5:$N$1204,$Q59))</f>
        <v/>
      </c>
      <c r="J59" s="25" t="str">
        <f>IF($Q59="","",INDEX(TRANSACTIONS_MASTER!$O$5:$O$1204,$Q59))</f>
        <v/>
      </c>
      <c r="K59" s="26" t="str">
        <f>IF($Q59="","",INDEX(TRANSACTIONS_MASTER!$Q$5:$Q$1204,$Q59))</f>
        <v/>
      </c>
      <c r="L59" s="25" t="str">
        <f>IF($Q59="","",INDEX(TRANSACTIONS_MASTER!$P$5:$P$1204,$Q59))</f>
        <v/>
      </c>
      <c r="M59" s="25" t="str">
        <f>IF($Q59="","",INDEX(TRANSACTIONS_MASTER!$AA$5:$AA$1204,$Q59))</f>
        <v/>
      </c>
      <c r="N59" s="25" t="str">
        <f>IF($Q59="","",INDEX(TRANSACTIONS_MASTER!$R$5:$R$1204,$Q59))</f>
        <v/>
      </c>
      <c r="O59" s="28" t="str">
        <f>IF($Q59="","",INDEX(TRANSACTIONS_MASTER!$AB$5:$AB$1204,$Q59))</f>
        <v/>
      </c>
      <c r="P59" s="55" t="str">
        <f>IF($Q59="","",INDEX(TRANSACTIONS_MASTER!$Z$5:$Z$1204,$Q59)&amp;"")</f>
        <v/>
      </c>
      <c r="Q59" s="67" t="str">
        <f>IFERROR(MATCH($C$2&amp;"|"&amp;52,TRANSACTIONS_MASTER!$AE$5:$AE$1204,0),"")</f>
        <v/>
      </c>
    </row>
    <row r="60" ht="22" customHeight="1">
      <c r="A60" s="81" t="str">
        <f>IF($Q60="","",53)</f>
        <v/>
      </c>
      <c r="B60" s="57" t="str">
        <f>IF($Q60="","",INDEX(TRANSACTIONS_MASTER!$B$5:$B$1204,$Q60))</f>
        <v/>
      </c>
      <c r="C60" s="55" t="str">
        <f>IF($Q60="","",INDEX(TRANSACTIONS_MASTER!$F$5:$F$1204,$Q60))</f>
        <v/>
      </c>
      <c r="D60" s="55" t="str">
        <f>IF($Q60="","",INDEX(TRANSACTIONS_MASTER!$E$5:$E$1204,$Q60))</f>
        <v/>
      </c>
      <c r="E60" s="55" t="str">
        <f>IF($Q60="","",INDEX(TRANSACTIONS_MASTER!$G$5:$G$1204,$Q60)&amp;"")</f>
        <v/>
      </c>
      <c r="F60" s="29" t="str">
        <f>IF($Q60="","",INDEX(TRANSACTIONS_MASTER!$I$5:$I$1204,$Q60))</f>
        <v/>
      </c>
      <c r="G60" s="55" t="str">
        <f>IF($Q60="","",INDEX(TRANSACTIONS_MASTER!$K$5:$K$1204,$Q60))</f>
        <v/>
      </c>
      <c r="H60" s="25" t="str">
        <f>IF($Q60="","",INDEX(TRANSACTIONS_MASTER!$L$5:$L$1204,$Q60))</f>
        <v/>
      </c>
      <c r="I60" s="56" t="str">
        <f>IF($Q60="","",INDEX(TRANSACTIONS_MASTER!$N$5:$N$1204,$Q60))</f>
        <v/>
      </c>
      <c r="J60" s="25" t="str">
        <f>IF($Q60="","",INDEX(TRANSACTIONS_MASTER!$O$5:$O$1204,$Q60))</f>
        <v/>
      </c>
      <c r="K60" s="26" t="str">
        <f>IF($Q60="","",INDEX(TRANSACTIONS_MASTER!$Q$5:$Q$1204,$Q60))</f>
        <v/>
      </c>
      <c r="L60" s="25" t="str">
        <f>IF($Q60="","",INDEX(TRANSACTIONS_MASTER!$P$5:$P$1204,$Q60))</f>
        <v/>
      </c>
      <c r="M60" s="25" t="str">
        <f>IF($Q60="","",INDEX(TRANSACTIONS_MASTER!$AA$5:$AA$1204,$Q60))</f>
        <v/>
      </c>
      <c r="N60" s="25" t="str">
        <f>IF($Q60="","",INDEX(TRANSACTIONS_MASTER!$R$5:$R$1204,$Q60))</f>
        <v/>
      </c>
      <c r="O60" s="28" t="str">
        <f>IF($Q60="","",INDEX(TRANSACTIONS_MASTER!$AB$5:$AB$1204,$Q60))</f>
        <v/>
      </c>
      <c r="P60" s="55" t="str">
        <f>IF($Q60="","",INDEX(TRANSACTIONS_MASTER!$Z$5:$Z$1204,$Q60)&amp;"")</f>
        <v/>
      </c>
      <c r="Q60" s="67" t="str">
        <f>IFERROR(MATCH($C$2&amp;"|"&amp;53,TRANSACTIONS_MASTER!$AE$5:$AE$1204,0),"")</f>
        <v/>
      </c>
      <c r="T60" s="19" t="inlineStr">
        <is>
          <t>TỔNG THEO THẺ — chi tiêu · cashback · cap thẻ / tháng</t>
        </is>
      </c>
      <c r="U60" s="20" t="n"/>
      <c r="V60" s="20" t="n"/>
      <c r="W60" s="20" t="n"/>
      <c r="X60" s="20" t="n"/>
      <c r="Y60" s="20" t="n"/>
      <c r="Z60" s="20" t="n"/>
      <c r="AA60" s="20" t="n"/>
    </row>
    <row r="61" ht="30" customHeight="1">
      <c r="A61" s="81" t="str">
        <f>IF($Q61="","",54)</f>
        <v/>
      </c>
      <c r="B61" s="57" t="str">
        <f>IF($Q61="","",INDEX(TRANSACTIONS_MASTER!$B$5:$B$1204,$Q61))</f>
        <v/>
      </c>
      <c r="C61" s="55" t="str">
        <f>IF($Q61="","",INDEX(TRANSACTIONS_MASTER!$F$5:$F$1204,$Q61))</f>
        <v/>
      </c>
      <c r="D61" s="55" t="str">
        <f>IF($Q61="","",INDEX(TRANSACTIONS_MASTER!$E$5:$E$1204,$Q61))</f>
        <v/>
      </c>
      <c r="E61" s="55" t="str">
        <f>IF($Q61="","",INDEX(TRANSACTIONS_MASTER!$G$5:$G$1204,$Q61)&amp;"")</f>
        <v/>
      </c>
      <c r="F61" s="29" t="str">
        <f>IF($Q61="","",INDEX(TRANSACTIONS_MASTER!$I$5:$I$1204,$Q61))</f>
        <v/>
      </c>
      <c r="G61" s="55" t="str">
        <f>IF($Q61="","",INDEX(TRANSACTIONS_MASTER!$K$5:$K$1204,$Q61))</f>
        <v/>
      </c>
      <c r="H61" s="25" t="str">
        <f>IF($Q61="","",INDEX(TRANSACTIONS_MASTER!$L$5:$L$1204,$Q61))</f>
        <v/>
      </c>
      <c r="I61" s="56" t="str">
        <f>IF($Q61="","",INDEX(TRANSACTIONS_MASTER!$N$5:$N$1204,$Q61))</f>
        <v/>
      </c>
      <c r="J61" s="25" t="str">
        <f>IF($Q61="","",INDEX(TRANSACTIONS_MASTER!$O$5:$O$1204,$Q61))</f>
        <v/>
      </c>
      <c r="K61" s="26" t="str">
        <f>IF($Q61="","",INDEX(TRANSACTIONS_MASTER!$Q$5:$Q$1204,$Q61))</f>
        <v/>
      </c>
      <c r="L61" s="25" t="str">
        <f>IF($Q61="","",INDEX(TRANSACTIONS_MASTER!$P$5:$P$1204,$Q61))</f>
        <v/>
      </c>
      <c r="M61" s="25" t="str">
        <f>IF($Q61="","",INDEX(TRANSACTIONS_MASTER!$AA$5:$AA$1204,$Q61))</f>
        <v/>
      </c>
      <c r="N61" s="25" t="str">
        <f>IF($Q61="","",INDEX(TRANSACTIONS_MASTER!$R$5:$R$1204,$Q61))</f>
        <v/>
      </c>
      <c r="O61" s="28" t="str">
        <f>IF($Q61="","",INDEX(TRANSACTIONS_MASTER!$AB$5:$AB$1204,$Q61))</f>
        <v/>
      </c>
      <c r="P61" s="55" t="str">
        <f>IF($Q61="","",INDEX(TRANSACTIONS_MASTER!$Z$5:$Z$1204,$Q61)&amp;"")</f>
        <v/>
      </c>
      <c r="Q61" s="67" t="str">
        <f>IFERROR(MATCH($C$2&amp;"|"&amp;54,TRANSACTIONS_MASTER!$AE$5:$AE$1204,0),"")</f>
        <v/>
      </c>
      <c r="S61" s="21" t="inlineStr">
        <is>
          <t>#</t>
        </is>
      </c>
      <c r="T61" s="21" t="inlineStr">
        <is>
          <t>Card ID</t>
        </is>
      </c>
      <c r="U61" s="21" t="inlineStr">
        <is>
          <t>Thẻ</t>
        </is>
      </c>
      <c r="V61" s="21" t="inlineStr">
        <is>
          <t>Chi tiêu</t>
        </is>
      </c>
      <c r="W61" s="21" t="inlineStr">
        <is>
          <t>Cashback</t>
        </is>
      </c>
      <c r="X61" s="21" t="inlineStr">
        <is>
          <t>Cap thẻ / tháng</t>
        </is>
      </c>
      <c r="Y61" s="21" t="inlineStr">
        <is>
          <t>Còn lại (tối đa)</t>
        </is>
      </c>
      <c r="Z61" s="21" t="inlineStr">
        <is>
          <t>Progress</t>
        </is>
      </c>
      <c r="AA61" s="21" t="inlineStr">
        <is>
          <t>Số GD</t>
        </is>
      </c>
    </row>
    <row r="62">
      <c r="A62" s="81" t="str">
        <f>IF($Q62="","",55)</f>
        <v/>
      </c>
      <c r="B62" s="57" t="str">
        <f>IF($Q62="","",INDEX(TRANSACTIONS_MASTER!$B$5:$B$1204,$Q62))</f>
        <v/>
      </c>
      <c r="C62" s="55" t="str">
        <f>IF($Q62="","",INDEX(TRANSACTIONS_MASTER!$F$5:$F$1204,$Q62))</f>
        <v/>
      </c>
      <c r="D62" s="55" t="str">
        <f>IF($Q62="","",INDEX(TRANSACTIONS_MASTER!$E$5:$E$1204,$Q62))</f>
        <v/>
      </c>
      <c r="E62" s="55" t="str">
        <f>IF($Q62="","",INDEX(TRANSACTIONS_MASTER!$G$5:$G$1204,$Q62)&amp;"")</f>
        <v/>
      </c>
      <c r="F62" s="29" t="str">
        <f>IF($Q62="","",INDEX(TRANSACTIONS_MASTER!$I$5:$I$1204,$Q62))</f>
        <v/>
      </c>
      <c r="G62" s="55" t="str">
        <f>IF($Q62="","",INDEX(TRANSACTIONS_MASTER!$K$5:$K$1204,$Q62))</f>
        <v/>
      </c>
      <c r="H62" s="25" t="str">
        <f>IF($Q62="","",INDEX(TRANSACTIONS_MASTER!$L$5:$L$1204,$Q62))</f>
        <v/>
      </c>
      <c r="I62" s="56" t="str">
        <f>IF($Q62="","",INDEX(TRANSACTIONS_MASTER!$N$5:$N$1204,$Q62))</f>
        <v/>
      </c>
      <c r="J62" s="25" t="str">
        <f>IF($Q62="","",INDEX(TRANSACTIONS_MASTER!$O$5:$O$1204,$Q62))</f>
        <v/>
      </c>
      <c r="K62" s="26" t="str">
        <f>IF($Q62="","",INDEX(TRANSACTIONS_MASTER!$Q$5:$Q$1204,$Q62))</f>
        <v/>
      </c>
      <c r="L62" s="25" t="str">
        <f>IF($Q62="","",INDEX(TRANSACTIONS_MASTER!$P$5:$P$1204,$Q62))</f>
        <v/>
      </c>
      <c r="M62" s="25" t="str">
        <f>IF($Q62="","",INDEX(TRANSACTIONS_MASTER!$AA$5:$AA$1204,$Q62))</f>
        <v/>
      </c>
      <c r="N62" s="25" t="str">
        <f>IF($Q62="","",INDEX(TRANSACTIONS_MASTER!$R$5:$R$1204,$Q62))</f>
        <v/>
      </c>
      <c r="O62" s="28" t="str">
        <f>IF($Q62="","",INDEX(TRANSACTIONS_MASTER!$AB$5:$AB$1204,$Q62))</f>
        <v/>
      </c>
      <c r="P62" s="55" t="str">
        <f>IF($Q62="","",INDEX(TRANSACTIONS_MASTER!$Z$5:$Z$1204,$Q62)&amp;"")</f>
        <v/>
      </c>
      <c r="Q62" s="67" t="str">
        <f>IFERROR(MATCH($C$2&amp;"|"&amp;55,TRANSACTIONS_MASTER!$AE$5:$AE$1204,0),"")</f>
        <v/>
      </c>
      <c r="S62" s="67" t="n">
        <v>1</v>
      </c>
      <c r="T62" s="55" t="str">
        <f>IF(CARDS!$A5="","",CARDS!$A5)</f>
        <v>VPB-JCBZ</v>
      </c>
      <c r="U62" s="55" t="str">
        <f>IF($T62="","",CARDS!$B5&amp;" "&amp;CARDS!$C5)</f>
        <v>VPBank JCB Z Card</v>
      </c>
      <c r="V62" s="25">
        <f>IF($T62="","",SUMIFS(TRANSACTIONS_MASTER!$L$5:$L$1204,TRANSACTIONS_MASTER!$D$5:$D$1204,$T62,TRANSACTIONS_MASTER!$C$5:$C$1204,$C$2,TRANSACTIONS_MASTER!$U$5:$U$1204,"&lt;&gt;Cancelled"))</f>
        <v>5150000</v>
      </c>
      <c r="W62" s="26">
        <f>IF($T62="","",SUMIFS(TRANSACTIONS_MASTER!$Q$5:$Q$1204,TRANSACTIONS_MASTER!$D$5:$D$1204,$T62,TRANSACTIONS_MASTER!$C$5:$C$1204,$C$2))</f>
        <v>500000</v>
      </c>
      <c r="X62" s="25">
        <f>IF($T62="","",IFERROR(IF(ISNUMBER(INDEX(CASHBACK_RULES!$K$5:$K$304,MATCH($T62,CASHBACK_RULES!$B$5:$B$304,0))),INDEX(CASHBACK_RULES!$K$5:$K$304,MATCH($T62,CASHBACK_RULES!$B$5:$B$304,0)),"∞"),"—"))</f>
        <v>1000000</v>
      </c>
      <c r="Y62" s="25">
        <f>IF($T62="","",IF($X62="—","—",IF(COUNTIFS($T$8:$T$57,$T62,$Z$8:$Z$57,"∞")&gt;0,IF(ISNUMBER($X62),MAX(0,$X62-$W62),"∞"),IF(ISNUMBER($X62),MAX(0,MIN($X62-$W62,SUMIFS($Z$8:$Z$57,$T$8:$T$57,$T62))),SUMIFS($Z$8:$Z$57,$T$8:$T$57,$T62)))))</f>
        <v>500000</v>
      </c>
      <c r="Z62" s="27">
        <f>IF($T62="","",IF(ISNUMBER($X62),IF($X62=0,0,$W62/$X62),IF(ISNUMBER($Y62),IF($W62+$Y62=0,0,$W62/($W62+$Y62)),"")))</f>
        <v>0.5</v>
      </c>
      <c r="AA62" s="29">
        <f>IF($T62="","",COUNTIFS(TRANSACTIONS_MASTER!$D$5:$D$1204,$T62,TRANSACTIONS_MASTER!$C$5:$C$1204,$C$2,TRANSACTIONS_MASTER!$U$5:$U$1204,"&lt;&gt;Cancelled"))</f>
        <v>3</v>
      </c>
    </row>
    <row r="63">
      <c r="A63" s="81" t="str">
        <f>IF($Q63="","",56)</f>
        <v/>
      </c>
      <c r="B63" s="57" t="str">
        <f>IF($Q63="","",INDEX(TRANSACTIONS_MASTER!$B$5:$B$1204,$Q63))</f>
        <v/>
      </c>
      <c r="C63" s="55" t="str">
        <f>IF($Q63="","",INDEX(TRANSACTIONS_MASTER!$F$5:$F$1204,$Q63))</f>
        <v/>
      </c>
      <c r="D63" s="55" t="str">
        <f>IF($Q63="","",INDEX(TRANSACTIONS_MASTER!$E$5:$E$1204,$Q63))</f>
        <v/>
      </c>
      <c r="E63" s="55" t="str">
        <f>IF($Q63="","",INDEX(TRANSACTIONS_MASTER!$G$5:$G$1204,$Q63)&amp;"")</f>
        <v/>
      </c>
      <c r="F63" s="29" t="str">
        <f>IF($Q63="","",INDEX(TRANSACTIONS_MASTER!$I$5:$I$1204,$Q63))</f>
        <v/>
      </c>
      <c r="G63" s="55" t="str">
        <f>IF($Q63="","",INDEX(TRANSACTIONS_MASTER!$K$5:$K$1204,$Q63))</f>
        <v/>
      </c>
      <c r="H63" s="25" t="str">
        <f>IF($Q63="","",INDEX(TRANSACTIONS_MASTER!$L$5:$L$1204,$Q63))</f>
        <v/>
      </c>
      <c r="I63" s="56" t="str">
        <f>IF($Q63="","",INDEX(TRANSACTIONS_MASTER!$N$5:$N$1204,$Q63))</f>
        <v/>
      </c>
      <c r="J63" s="25" t="str">
        <f>IF($Q63="","",INDEX(TRANSACTIONS_MASTER!$O$5:$O$1204,$Q63))</f>
        <v/>
      </c>
      <c r="K63" s="26" t="str">
        <f>IF($Q63="","",INDEX(TRANSACTIONS_MASTER!$Q$5:$Q$1204,$Q63))</f>
        <v/>
      </c>
      <c r="L63" s="25" t="str">
        <f>IF($Q63="","",INDEX(TRANSACTIONS_MASTER!$P$5:$P$1204,$Q63))</f>
        <v/>
      </c>
      <c r="M63" s="25" t="str">
        <f>IF($Q63="","",INDEX(TRANSACTIONS_MASTER!$AA$5:$AA$1204,$Q63))</f>
        <v/>
      </c>
      <c r="N63" s="25" t="str">
        <f>IF($Q63="","",INDEX(TRANSACTIONS_MASTER!$R$5:$R$1204,$Q63))</f>
        <v/>
      </c>
      <c r="O63" s="28" t="str">
        <f>IF($Q63="","",INDEX(TRANSACTIONS_MASTER!$AB$5:$AB$1204,$Q63))</f>
        <v/>
      </c>
      <c r="P63" s="55" t="str">
        <f>IF($Q63="","",INDEX(TRANSACTIONS_MASTER!$Z$5:$Z$1204,$Q63)&amp;"")</f>
        <v/>
      </c>
      <c r="Q63" s="67" t="str">
        <f>IFERROR(MATCH($C$2&amp;"|"&amp;56,TRANSACTIONS_MASTER!$AE$5:$AE$1204,0),"")</f>
        <v/>
      </c>
      <c r="S63" s="67" t="n">
        <v>2</v>
      </c>
      <c r="T63" s="55" t="str">
        <f>IF(CARDS!$A6="","",CARDS!$A6)</f>
        <v>VIB-A</v>
      </c>
      <c r="U63" s="55" t="str">
        <f>IF($T63="","",CARDS!$B6&amp;" "&amp;CARDS!$C6)</f>
        <v>VIB Cashback Demo A</v>
      </c>
      <c r="V63" s="25">
        <f>IF($T63="","",SUMIFS(TRANSACTIONS_MASTER!$L$5:$L$1204,TRANSACTIONS_MASTER!$D$5:$D$1204,$T63,TRANSACTIONS_MASTER!$C$5:$C$1204,$C$2,TRANSACTIONS_MASTER!$U$5:$U$1204,"&lt;&gt;Cancelled"))</f>
        <v>2500000</v>
      </c>
      <c r="W63" s="26">
        <f>IF($T63="","",SUMIFS(TRANSACTIONS_MASTER!$Q$5:$Q$1204,TRANSACTIONS_MASTER!$D$5:$D$1204,$T63,TRANSACTIONS_MASTER!$C$5:$C$1204,$C$2))</f>
        <v>250000</v>
      </c>
      <c r="X63" s="25">
        <f>IF($T63="","",IFERROR(IF(ISNUMBER(INDEX(CASHBACK_RULES!$K$5:$K$304,MATCH($T63,CASHBACK_RULES!$B$5:$B$304,0))),INDEX(CASHBACK_RULES!$K$5:$K$304,MATCH($T63,CASHBACK_RULES!$B$5:$B$304,0)),"∞"),"—"))</f>
        <v>1000000</v>
      </c>
      <c r="Y63" s="25">
        <f>IF($T63="","",IF($X63="—","—",IF(COUNTIFS($T$8:$T$57,$T63,$Z$8:$Z$57,"∞")&gt;0,IF(ISNUMBER($X63),MAX(0,$X63-$W63),"∞"),IF(ISNUMBER($X63),MAX(0,MIN($X63-$W63,SUMIFS($Z$8:$Z$57,$T$8:$T$57,$T63))),SUMIFS($Z$8:$Z$57,$T$8:$T$57,$T63)))))</f>
        <v>750000</v>
      </c>
      <c r="Z63" s="27">
        <f>IF($T63="","",IF(ISNUMBER($X63),IF($X63=0,0,$W63/$X63),IF(ISNUMBER($Y63),IF($W63+$Y63=0,0,$W63/($W63+$Y63)),"")))</f>
        <v>0.25</v>
      </c>
      <c r="AA63" s="29">
        <f>IF($T63="","",COUNTIFS(TRANSACTIONS_MASTER!$D$5:$D$1204,$T63,TRANSACTIONS_MASTER!$C$5:$C$1204,$C$2,TRANSACTIONS_MASTER!$U$5:$U$1204,"&lt;&gt;Cancelled"))</f>
        <v>1</v>
      </c>
    </row>
    <row r="64">
      <c r="A64" s="81" t="str">
        <f>IF($Q64="","",57)</f>
        <v/>
      </c>
      <c r="B64" s="57" t="str">
        <f>IF($Q64="","",INDEX(TRANSACTIONS_MASTER!$B$5:$B$1204,$Q64))</f>
        <v/>
      </c>
      <c r="C64" s="55" t="str">
        <f>IF($Q64="","",INDEX(TRANSACTIONS_MASTER!$F$5:$F$1204,$Q64))</f>
        <v/>
      </c>
      <c r="D64" s="55" t="str">
        <f>IF($Q64="","",INDEX(TRANSACTIONS_MASTER!$E$5:$E$1204,$Q64))</f>
        <v/>
      </c>
      <c r="E64" s="55" t="str">
        <f>IF($Q64="","",INDEX(TRANSACTIONS_MASTER!$G$5:$G$1204,$Q64)&amp;"")</f>
        <v/>
      </c>
      <c r="F64" s="29" t="str">
        <f>IF($Q64="","",INDEX(TRANSACTIONS_MASTER!$I$5:$I$1204,$Q64))</f>
        <v/>
      </c>
      <c r="G64" s="55" t="str">
        <f>IF($Q64="","",INDEX(TRANSACTIONS_MASTER!$K$5:$K$1204,$Q64))</f>
        <v/>
      </c>
      <c r="H64" s="25" t="str">
        <f>IF($Q64="","",INDEX(TRANSACTIONS_MASTER!$L$5:$L$1204,$Q64))</f>
        <v/>
      </c>
      <c r="I64" s="56" t="str">
        <f>IF($Q64="","",INDEX(TRANSACTIONS_MASTER!$N$5:$N$1204,$Q64))</f>
        <v/>
      </c>
      <c r="J64" s="25" t="str">
        <f>IF($Q64="","",INDEX(TRANSACTIONS_MASTER!$O$5:$O$1204,$Q64))</f>
        <v/>
      </c>
      <c r="K64" s="26" t="str">
        <f>IF($Q64="","",INDEX(TRANSACTIONS_MASTER!$Q$5:$Q$1204,$Q64))</f>
        <v/>
      </c>
      <c r="L64" s="25" t="str">
        <f>IF($Q64="","",INDEX(TRANSACTIONS_MASTER!$P$5:$P$1204,$Q64))</f>
        <v/>
      </c>
      <c r="M64" s="25" t="str">
        <f>IF($Q64="","",INDEX(TRANSACTIONS_MASTER!$AA$5:$AA$1204,$Q64))</f>
        <v/>
      </c>
      <c r="N64" s="25" t="str">
        <f>IF($Q64="","",INDEX(TRANSACTIONS_MASTER!$R$5:$R$1204,$Q64))</f>
        <v/>
      </c>
      <c r="O64" s="28" t="str">
        <f>IF($Q64="","",INDEX(TRANSACTIONS_MASTER!$AB$5:$AB$1204,$Q64))</f>
        <v/>
      </c>
      <c r="P64" s="55" t="str">
        <f>IF($Q64="","",INDEX(TRANSACTIONS_MASTER!$Z$5:$Z$1204,$Q64)&amp;"")</f>
        <v/>
      </c>
      <c r="Q64" s="67" t="str">
        <f>IFERROR(MATCH($C$2&amp;"|"&amp;57,TRANSACTIONS_MASTER!$AE$5:$AE$1204,0),"")</f>
        <v/>
      </c>
      <c r="S64" s="67" t="n">
        <v>3</v>
      </c>
      <c r="T64" s="55" t="str">
        <f>IF(CARDS!$A7="","",CARDS!$A7)</f>
        <v>TCB-B</v>
      </c>
      <c r="U64" s="55" t="str">
        <f>IF($T64="","",CARDS!$B7&amp;" "&amp;CARDS!$C7)</f>
        <v>Techcombank Cashback Demo B</v>
      </c>
      <c r="V64" s="25">
        <f>IF($T64="","",SUMIFS(TRANSACTIONS_MASTER!$L$5:$L$1204,TRANSACTIONS_MASTER!$D$5:$D$1204,$T64,TRANSACTIONS_MASTER!$C$5:$C$1204,$C$2,TRANSACTIONS_MASTER!$U$5:$U$1204,"&lt;&gt;Cancelled"))</f>
        <v>1200000</v>
      </c>
      <c r="W64" s="26">
        <f>IF($T64="","",SUMIFS(TRANSACTIONS_MASTER!$Q$5:$Q$1204,TRANSACTIONS_MASTER!$D$5:$D$1204,$T64,TRANSACTIONS_MASTER!$C$5:$C$1204,$C$2))</f>
        <v>60000</v>
      </c>
      <c r="X64" s="25">
        <f>IF($T64="","",IFERROR(IF(ISNUMBER(INDEX(CASHBACK_RULES!$K$5:$K$304,MATCH($T64,CASHBACK_RULES!$B$5:$B$304,0))),INDEX(CASHBACK_RULES!$K$5:$K$304,MATCH($T64,CASHBACK_RULES!$B$5:$B$304,0)),"∞"),"—"))</f>
        <v>2000000</v>
      </c>
      <c r="Y64" s="25">
        <f>IF($T64="","",IF($X64="—","—",IF(COUNTIFS($T$8:$T$57,$T64,$Z$8:$Z$57,"∞")&gt;0,IF(ISNUMBER($X64),MAX(0,$X64-$W64),"∞"),IF(ISNUMBER($X64),MAX(0,MIN($X64-$W64,SUMIFS($Z$8:$Z$57,$T$8:$T$57,$T64))),SUMIFS($Z$8:$Z$57,$T$8:$T$57,$T64)))))</f>
        <v>840000</v>
      </c>
      <c r="Z64" s="27">
        <f>IF($T64="","",IF(ISNUMBER($X64),IF($X64=0,0,$W64/$X64),IF(ISNUMBER($Y64),IF($W64+$Y64=0,0,$W64/($W64+$Y64)),"")))</f>
        <v>0.03</v>
      </c>
      <c r="AA64" s="29">
        <f>IF($T64="","",COUNTIFS(TRANSACTIONS_MASTER!$D$5:$D$1204,$T64,TRANSACTIONS_MASTER!$C$5:$C$1204,$C$2,TRANSACTIONS_MASTER!$U$5:$U$1204,"&lt;&gt;Cancelled"))</f>
        <v>1</v>
      </c>
    </row>
    <row r="65">
      <c r="A65" s="81" t="str">
        <f>IF($Q65="","",58)</f>
        <v/>
      </c>
      <c r="B65" s="57" t="str">
        <f>IF($Q65="","",INDEX(TRANSACTIONS_MASTER!$B$5:$B$1204,$Q65))</f>
        <v/>
      </c>
      <c r="C65" s="55" t="str">
        <f>IF($Q65="","",INDEX(TRANSACTIONS_MASTER!$F$5:$F$1204,$Q65))</f>
        <v/>
      </c>
      <c r="D65" s="55" t="str">
        <f>IF($Q65="","",INDEX(TRANSACTIONS_MASTER!$E$5:$E$1204,$Q65))</f>
        <v/>
      </c>
      <c r="E65" s="55" t="str">
        <f>IF($Q65="","",INDEX(TRANSACTIONS_MASTER!$G$5:$G$1204,$Q65)&amp;"")</f>
        <v/>
      </c>
      <c r="F65" s="29" t="str">
        <f>IF($Q65="","",INDEX(TRANSACTIONS_MASTER!$I$5:$I$1204,$Q65))</f>
        <v/>
      </c>
      <c r="G65" s="55" t="str">
        <f>IF($Q65="","",INDEX(TRANSACTIONS_MASTER!$K$5:$K$1204,$Q65))</f>
        <v/>
      </c>
      <c r="H65" s="25" t="str">
        <f>IF($Q65="","",INDEX(TRANSACTIONS_MASTER!$L$5:$L$1204,$Q65))</f>
        <v/>
      </c>
      <c r="I65" s="56" t="str">
        <f>IF($Q65="","",INDEX(TRANSACTIONS_MASTER!$N$5:$N$1204,$Q65))</f>
        <v/>
      </c>
      <c r="J65" s="25" t="str">
        <f>IF($Q65="","",INDEX(TRANSACTIONS_MASTER!$O$5:$O$1204,$Q65))</f>
        <v/>
      </c>
      <c r="K65" s="26" t="str">
        <f>IF($Q65="","",INDEX(TRANSACTIONS_MASTER!$Q$5:$Q$1204,$Q65))</f>
        <v/>
      </c>
      <c r="L65" s="25" t="str">
        <f>IF($Q65="","",INDEX(TRANSACTIONS_MASTER!$P$5:$P$1204,$Q65))</f>
        <v/>
      </c>
      <c r="M65" s="25" t="str">
        <f>IF($Q65="","",INDEX(TRANSACTIONS_MASTER!$AA$5:$AA$1204,$Q65))</f>
        <v/>
      </c>
      <c r="N65" s="25" t="str">
        <f>IF($Q65="","",INDEX(TRANSACTIONS_MASTER!$R$5:$R$1204,$Q65))</f>
        <v/>
      </c>
      <c r="O65" s="28" t="str">
        <f>IF($Q65="","",INDEX(TRANSACTIONS_MASTER!$AB$5:$AB$1204,$Q65))</f>
        <v/>
      </c>
      <c r="P65" s="55" t="str">
        <f>IF($Q65="","",INDEX(TRANSACTIONS_MASTER!$Z$5:$Z$1204,$Q65)&amp;"")</f>
        <v/>
      </c>
      <c r="Q65" s="67" t="str">
        <f>IFERROR(MATCH($C$2&amp;"|"&amp;58,TRANSACTIONS_MASTER!$AE$5:$AE$1204,0),"")</f>
        <v/>
      </c>
      <c r="S65" s="67" t="n">
        <v>4</v>
      </c>
      <c r="T65" s="55" t="str">
        <f>IF(CARDS!$A8="","",CARDS!$A8)</f>
        <v>UOB-C</v>
      </c>
      <c r="U65" s="55" t="str">
        <f>IF($T65="","",CARDS!$B8&amp;" "&amp;CARDS!$C8)</f>
        <v>UOB Cashback Demo C</v>
      </c>
      <c r="V65" s="25">
        <f>IF($T65="","",SUMIFS(TRANSACTIONS_MASTER!$L$5:$L$1204,TRANSACTIONS_MASTER!$D$5:$D$1204,$T65,TRANSACTIONS_MASTER!$C$5:$C$1204,$C$2,TRANSACTIONS_MASTER!$U$5:$U$1204,"&lt;&gt;Cancelled"))</f>
        <v>0</v>
      </c>
      <c r="W65" s="26">
        <f>IF($T65="","",SUMIFS(TRANSACTIONS_MASTER!$Q$5:$Q$1204,TRANSACTIONS_MASTER!$D$5:$D$1204,$T65,TRANSACTIONS_MASTER!$C$5:$C$1204,$C$2))</f>
        <v>0</v>
      </c>
      <c r="X65" s="25" t="str">
        <f>IF($T65="","",IFERROR(IF(ISNUMBER(INDEX(CASHBACK_RULES!$K$5:$K$304,MATCH($T65,CASHBACK_RULES!$B$5:$B$304,0))),INDEX(CASHBACK_RULES!$K$5:$K$304,MATCH($T65,CASHBACK_RULES!$B$5:$B$304,0)),"∞"),"—"))</f>
        <v>∞</v>
      </c>
      <c r="Y65" s="25">
        <f>IF($T65="","",IF($X65="—","—",IF(COUNTIFS($T$8:$T$57,$T65,$Z$8:$Z$57,"∞")&gt;0,IF(ISNUMBER($X65),MAX(0,$X65-$W65),"∞"),IF(ISNUMBER($X65),MAX(0,MIN($X65-$W65,SUMIFS($Z$8:$Z$57,$T$8:$T$57,$T65))),SUMIFS($Z$8:$Z$57,$T$8:$T$57,$T65)))))</f>
        <v>1000000</v>
      </c>
      <c r="Z65" s="27">
        <f>IF($T65="","",IF(ISNUMBER($X65),IF($X65=0,0,$W65/$X65),IF(ISNUMBER($Y65),IF($W65+$Y65=0,0,$W65/($W65+$Y65)),"")))</f>
        <v>0</v>
      </c>
      <c r="AA65" s="29">
        <f>IF($T65="","",COUNTIFS(TRANSACTIONS_MASTER!$D$5:$D$1204,$T65,TRANSACTIONS_MASTER!$C$5:$C$1204,$C$2,TRANSACTIONS_MASTER!$U$5:$U$1204,"&lt;&gt;Cancelled"))</f>
        <v>0</v>
      </c>
    </row>
    <row r="66">
      <c r="A66" s="81" t="str">
        <f>IF($Q66="","",59)</f>
        <v/>
      </c>
      <c r="B66" s="57" t="str">
        <f>IF($Q66="","",INDEX(TRANSACTIONS_MASTER!$B$5:$B$1204,$Q66))</f>
        <v/>
      </c>
      <c r="C66" s="55" t="str">
        <f>IF($Q66="","",INDEX(TRANSACTIONS_MASTER!$F$5:$F$1204,$Q66))</f>
        <v/>
      </c>
      <c r="D66" s="55" t="str">
        <f>IF($Q66="","",INDEX(TRANSACTIONS_MASTER!$E$5:$E$1204,$Q66))</f>
        <v/>
      </c>
      <c r="E66" s="55" t="str">
        <f>IF($Q66="","",INDEX(TRANSACTIONS_MASTER!$G$5:$G$1204,$Q66)&amp;"")</f>
        <v/>
      </c>
      <c r="F66" s="29" t="str">
        <f>IF($Q66="","",INDEX(TRANSACTIONS_MASTER!$I$5:$I$1204,$Q66))</f>
        <v/>
      </c>
      <c r="G66" s="55" t="str">
        <f>IF($Q66="","",INDEX(TRANSACTIONS_MASTER!$K$5:$K$1204,$Q66))</f>
        <v/>
      </c>
      <c r="H66" s="25" t="str">
        <f>IF($Q66="","",INDEX(TRANSACTIONS_MASTER!$L$5:$L$1204,$Q66))</f>
        <v/>
      </c>
      <c r="I66" s="56" t="str">
        <f>IF($Q66="","",INDEX(TRANSACTIONS_MASTER!$N$5:$N$1204,$Q66))</f>
        <v/>
      </c>
      <c r="J66" s="25" t="str">
        <f>IF($Q66="","",INDEX(TRANSACTIONS_MASTER!$O$5:$O$1204,$Q66))</f>
        <v/>
      </c>
      <c r="K66" s="26" t="str">
        <f>IF($Q66="","",INDEX(TRANSACTIONS_MASTER!$Q$5:$Q$1204,$Q66))</f>
        <v/>
      </c>
      <c r="L66" s="25" t="str">
        <f>IF($Q66="","",INDEX(TRANSACTIONS_MASTER!$P$5:$P$1204,$Q66))</f>
        <v/>
      </c>
      <c r="M66" s="25" t="str">
        <f>IF($Q66="","",INDEX(TRANSACTIONS_MASTER!$AA$5:$AA$1204,$Q66))</f>
        <v/>
      </c>
      <c r="N66" s="25" t="str">
        <f>IF($Q66="","",INDEX(TRANSACTIONS_MASTER!$R$5:$R$1204,$Q66))</f>
        <v/>
      </c>
      <c r="O66" s="28" t="str">
        <f>IF($Q66="","",INDEX(TRANSACTIONS_MASTER!$AB$5:$AB$1204,$Q66))</f>
        <v/>
      </c>
      <c r="P66" s="55" t="str">
        <f>IF($Q66="","",INDEX(TRANSACTIONS_MASTER!$Z$5:$Z$1204,$Q66)&amp;"")</f>
        <v/>
      </c>
      <c r="Q66" s="67" t="str">
        <f>IFERROR(MATCH($C$2&amp;"|"&amp;59,TRANSACTIONS_MASTER!$AE$5:$AE$1204,0),"")</f>
        <v/>
      </c>
      <c r="S66" s="67" t="n">
        <v>5</v>
      </c>
      <c r="T66" s="55" t="str">
        <f>IF(CARDS!$A9="","",CARDS!$A9)</f>
        <v>MB-D</v>
      </c>
      <c r="U66" s="55" t="str">
        <f>IF($T66="","",CARDS!$B9&amp;" "&amp;CARDS!$C9)</f>
        <v>MB Cashback Demo D</v>
      </c>
      <c r="V66" s="25">
        <f>IF($T66="","",SUMIFS(TRANSACTIONS_MASTER!$L$5:$L$1204,TRANSACTIONS_MASTER!$D$5:$D$1204,$T66,TRANSACTIONS_MASTER!$C$5:$C$1204,$C$2,TRANSACTIONS_MASTER!$U$5:$U$1204,"&lt;&gt;Cancelled"))</f>
        <v>800000</v>
      </c>
      <c r="W66" s="26">
        <f>IF($T66="","",SUMIFS(TRANSACTIONS_MASTER!$Q$5:$Q$1204,TRANSACTIONS_MASTER!$D$5:$D$1204,$T66,TRANSACTIONS_MASTER!$C$5:$C$1204,$C$2))</f>
        <v>16000</v>
      </c>
      <c r="X66" s="25">
        <f>IF($T66="","",IFERROR(IF(ISNUMBER(INDEX(CASHBACK_RULES!$K$5:$K$304,MATCH($T66,CASHBACK_RULES!$B$5:$B$304,0))),INDEX(CASHBACK_RULES!$K$5:$K$304,MATCH($T66,CASHBACK_RULES!$B$5:$B$304,0)),"∞"),"—"))</f>
        <v>600000</v>
      </c>
      <c r="Y66" s="25">
        <f>IF($T66="","",IF($X66="—","—",IF(COUNTIFS($T$8:$T$57,$T66,$Z$8:$Z$57,"∞")&gt;0,IF(ISNUMBER($X66),MAX(0,$X66-$W66),"∞"),IF(ISNUMBER($X66),MAX(0,MIN($X66-$W66,SUMIFS($Z$8:$Z$57,$T$8:$T$57,$T66))),SUMIFS($Z$8:$Z$57,$T$8:$T$57,$T66)))))</f>
        <v>584000</v>
      </c>
      <c r="Z66" s="27">
        <f>IF($T66="","",IF(ISNUMBER($X66),IF($X66=0,0,$W66/$X66),IF(ISNUMBER($Y66),IF($W66+$Y66=0,0,$W66/($W66+$Y66)),"")))</f>
        <v>0.0266666666666667</v>
      </c>
      <c r="AA66" s="29">
        <f>IF($T66="","",COUNTIFS(TRANSACTIONS_MASTER!$D$5:$D$1204,$T66,TRANSACTIONS_MASTER!$C$5:$C$1204,$C$2,TRANSACTIONS_MASTER!$U$5:$U$1204,"&lt;&gt;Cancelled"))</f>
        <v>1</v>
      </c>
    </row>
    <row r="67">
      <c r="A67" s="81" t="str">
        <f>IF($Q67="","",60)</f>
        <v/>
      </c>
      <c r="B67" s="57" t="str">
        <f>IF($Q67="","",INDEX(TRANSACTIONS_MASTER!$B$5:$B$1204,$Q67))</f>
        <v/>
      </c>
      <c r="C67" s="55" t="str">
        <f>IF($Q67="","",INDEX(TRANSACTIONS_MASTER!$F$5:$F$1204,$Q67))</f>
        <v/>
      </c>
      <c r="D67" s="55" t="str">
        <f>IF($Q67="","",INDEX(TRANSACTIONS_MASTER!$E$5:$E$1204,$Q67))</f>
        <v/>
      </c>
      <c r="E67" s="55" t="str">
        <f>IF($Q67="","",INDEX(TRANSACTIONS_MASTER!$G$5:$G$1204,$Q67)&amp;"")</f>
        <v/>
      </c>
      <c r="F67" s="29" t="str">
        <f>IF($Q67="","",INDEX(TRANSACTIONS_MASTER!$I$5:$I$1204,$Q67))</f>
        <v/>
      </c>
      <c r="G67" s="55" t="str">
        <f>IF($Q67="","",INDEX(TRANSACTIONS_MASTER!$K$5:$K$1204,$Q67))</f>
        <v/>
      </c>
      <c r="H67" s="25" t="str">
        <f>IF($Q67="","",INDEX(TRANSACTIONS_MASTER!$L$5:$L$1204,$Q67))</f>
        <v/>
      </c>
      <c r="I67" s="56" t="str">
        <f>IF($Q67="","",INDEX(TRANSACTIONS_MASTER!$N$5:$N$1204,$Q67))</f>
        <v/>
      </c>
      <c r="J67" s="25" t="str">
        <f>IF($Q67="","",INDEX(TRANSACTIONS_MASTER!$O$5:$O$1204,$Q67))</f>
        <v/>
      </c>
      <c r="K67" s="26" t="str">
        <f>IF($Q67="","",INDEX(TRANSACTIONS_MASTER!$Q$5:$Q$1204,$Q67))</f>
        <v/>
      </c>
      <c r="L67" s="25" t="str">
        <f>IF($Q67="","",INDEX(TRANSACTIONS_MASTER!$P$5:$P$1204,$Q67))</f>
        <v/>
      </c>
      <c r="M67" s="25" t="str">
        <f>IF($Q67="","",INDEX(TRANSACTIONS_MASTER!$AA$5:$AA$1204,$Q67))</f>
        <v/>
      </c>
      <c r="N67" s="25" t="str">
        <f>IF($Q67="","",INDEX(TRANSACTIONS_MASTER!$R$5:$R$1204,$Q67))</f>
        <v/>
      </c>
      <c r="O67" s="28" t="str">
        <f>IF($Q67="","",INDEX(TRANSACTIONS_MASTER!$AB$5:$AB$1204,$Q67))</f>
        <v/>
      </c>
      <c r="P67" s="55" t="str">
        <f>IF($Q67="","",INDEX(TRANSACTIONS_MASTER!$Z$5:$Z$1204,$Q67)&amp;"")</f>
        <v/>
      </c>
      <c r="Q67" s="67" t="str">
        <f>IFERROR(MATCH($C$2&amp;"|"&amp;60,TRANSACTIONS_MASTER!$AE$5:$AE$1204,0),"")</f>
        <v/>
      </c>
      <c r="S67" s="67" t="n">
        <v>6</v>
      </c>
      <c r="T67" s="55" t="str">
        <f>IF(CARDS!$A10="","",CARDS!$A10)</f>
        <v>ACB-E</v>
      </c>
      <c r="U67" s="55" t="str">
        <f>IF($T67="","",CARDS!$B10&amp;" "&amp;CARDS!$C10)</f>
        <v>ACB Demo E (không cashback)</v>
      </c>
      <c r="V67" s="25">
        <f>IF($T67="","",SUMIFS(TRANSACTIONS_MASTER!$L$5:$L$1204,TRANSACTIONS_MASTER!$D$5:$D$1204,$T67,TRANSACTIONS_MASTER!$C$5:$C$1204,$C$2,TRANSACTIONS_MASTER!$U$5:$U$1204,"&lt;&gt;Cancelled"))</f>
        <v>0</v>
      </c>
      <c r="W67" s="26">
        <f>IF($T67="","",SUMIFS(TRANSACTIONS_MASTER!$Q$5:$Q$1204,TRANSACTIONS_MASTER!$D$5:$D$1204,$T67,TRANSACTIONS_MASTER!$C$5:$C$1204,$C$2))</f>
        <v>0</v>
      </c>
      <c r="X67" s="25" t="str">
        <f>IF($T67="","",IFERROR(IF(ISNUMBER(INDEX(CASHBACK_RULES!$K$5:$K$304,MATCH($T67,CASHBACK_RULES!$B$5:$B$304,0))),INDEX(CASHBACK_RULES!$K$5:$K$304,MATCH($T67,CASHBACK_RULES!$B$5:$B$304,0)),"∞"),"—"))</f>
        <v>∞</v>
      </c>
      <c r="Y67" s="25">
        <f>IF($T67="","",IF($X67="—","—",IF(COUNTIFS($T$8:$T$57,$T67,$Z$8:$Z$57,"∞")&gt;0,IF(ISNUMBER($X67),MAX(0,$X67-$W67),"∞"),IF(ISNUMBER($X67),MAX(0,MIN($X67-$W67,SUMIFS($Z$8:$Z$57,$T$8:$T$57,$T67))),SUMIFS($Z$8:$Z$57,$T$8:$T$57,$T67)))))</f>
        <v>0</v>
      </c>
      <c r="Z67" s="27">
        <f>IF($T67="","",IF(ISNUMBER($X67),IF($X67=0,0,$W67/$X67),IF(ISNUMBER($Y67),IF($W67+$Y67=0,0,$W67/($W67+$Y67)),"")))</f>
        <v>0</v>
      </c>
      <c r="AA67" s="29">
        <f>IF($T67="","",COUNTIFS(TRANSACTIONS_MASTER!$D$5:$D$1204,$T67,TRANSACTIONS_MASTER!$C$5:$C$1204,$C$2,TRANSACTIONS_MASTER!$U$5:$U$1204,"&lt;&gt;Cancelled"))</f>
        <v>0</v>
      </c>
    </row>
    <row r="68">
      <c r="A68" s="81" t="str">
        <f>IF($Q68="","",61)</f>
        <v/>
      </c>
      <c r="B68" s="57" t="str">
        <f>IF($Q68="","",INDEX(TRANSACTIONS_MASTER!$B$5:$B$1204,$Q68))</f>
        <v/>
      </c>
      <c r="C68" s="55" t="str">
        <f>IF($Q68="","",INDEX(TRANSACTIONS_MASTER!$F$5:$F$1204,$Q68))</f>
        <v/>
      </c>
      <c r="D68" s="55" t="str">
        <f>IF($Q68="","",INDEX(TRANSACTIONS_MASTER!$E$5:$E$1204,$Q68))</f>
        <v/>
      </c>
      <c r="E68" s="55" t="str">
        <f>IF($Q68="","",INDEX(TRANSACTIONS_MASTER!$G$5:$G$1204,$Q68)&amp;"")</f>
        <v/>
      </c>
      <c r="F68" s="29" t="str">
        <f>IF($Q68="","",INDEX(TRANSACTIONS_MASTER!$I$5:$I$1204,$Q68))</f>
        <v/>
      </c>
      <c r="G68" s="55" t="str">
        <f>IF($Q68="","",INDEX(TRANSACTIONS_MASTER!$K$5:$K$1204,$Q68))</f>
        <v/>
      </c>
      <c r="H68" s="25" t="str">
        <f>IF($Q68="","",INDEX(TRANSACTIONS_MASTER!$L$5:$L$1204,$Q68))</f>
        <v/>
      </c>
      <c r="I68" s="56" t="str">
        <f>IF($Q68="","",INDEX(TRANSACTIONS_MASTER!$N$5:$N$1204,$Q68))</f>
        <v/>
      </c>
      <c r="J68" s="25" t="str">
        <f>IF($Q68="","",INDEX(TRANSACTIONS_MASTER!$O$5:$O$1204,$Q68))</f>
        <v/>
      </c>
      <c r="K68" s="26" t="str">
        <f>IF($Q68="","",INDEX(TRANSACTIONS_MASTER!$Q$5:$Q$1204,$Q68))</f>
        <v/>
      </c>
      <c r="L68" s="25" t="str">
        <f>IF($Q68="","",INDEX(TRANSACTIONS_MASTER!$P$5:$P$1204,$Q68))</f>
        <v/>
      </c>
      <c r="M68" s="25" t="str">
        <f>IF($Q68="","",INDEX(TRANSACTIONS_MASTER!$AA$5:$AA$1204,$Q68))</f>
        <v/>
      </c>
      <c r="N68" s="25" t="str">
        <f>IF($Q68="","",INDEX(TRANSACTIONS_MASTER!$R$5:$R$1204,$Q68))</f>
        <v/>
      </c>
      <c r="O68" s="28" t="str">
        <f>IF($Q68="","",INDEX(TRANSACTIONS_MASTER!$AB$5:$AB$1204,$Q68))</f>
        <v/>
      </c>
      <c r="P68" s="55" t="str">
        <f>IF($Q68="","",INDEX(TRANSACTIONS_MASTER!$Z$5:$Z$1204,$Q68)&amp;"")</f>
        <v/>
      </c>
      <c r="Q68" s="67" t="str">
        <f>IFERROR(MATCH($C$2&amp;"|"&amp;61,TRANSACTIONS_MASTER!$AE$5:$AE$1204,0),"")</f>
        <v/>
      </c>
      <c r="S68" s="67" t="n">
        <v>7</v>
      </c>
      <c r="T68" s="55" t="str">
        <f>IF(CARDS!$A11="","",CARDS!$A11)</f>
        <v/>
      </c>
      <c r="U68" s="55" t="str">
        <f>IF($T68="","",CARDS!$B11&amp;" "&amp;CARDS!$C11)</f>
        <v/>
      </c>
      <c r="V68" s="25" t="str">
        <f>IF($T68="","",SUMIFS(TRANSACTIONS_MASTER!$L$5:$L$1204,TRANSACTIONS_MASTER!$D$5:$D$1204,$T68,TRANSACTIONS_MASTER!$C$5:$C$1204,$C$2,TRANSACTIONS_MASTER!$U$5:$U$1204,"&lt;&gt;Cancelled"))</f>
        <v/>
      </c>
      <c r="W68" s="26" t="str">
        <f>IF($T68="","",SUMIFS(TRANSACTIONS_MASTER!$Q$5:$Q$1204,TRANSACTIONS_MASTER!$D$5:$D$1204,$T68,TRANSACTIONS_MASTER!$C$5:$C$1204,$C$2))</f>
        <v/>
      </c>
      <c r="X68" s="25" t="str">
        <f>IF($T68="","",IFERROR(IF(ISNUMBER(INDEX(CASHBACK_RULES!$K$5:$K$304,MATCH($T68,CASHBACK_RULES!$B$5:$B$304,0))),INDEX(CASHBACK_RULES!$K$5:$K$304,MATCH($T68,CASHBACK_RULES!$B$5:$B$304,0)),"∞"),"—"))</f>
        <v/>
      </c>
      <c r="Y68" s="25" t="str">
        <f>IF($T68="","",IF($X68="—","—",IF(COUNTIFS($T$8:$T$57,$T68,$Z$8:$Z$57,"∞")&gt;0,IF(ISNUMBER($X68),MAX(0,$X68-$W68),"∞"),IF(ISNUMBER($X68),MAX(0,MIN($X68-$W68,SUMIFS($Z$8:$Z$57,$T$8:$T$57,$T68))),SUMIFS($Z$8:$Z$57,$T$8:$T$57,$T68)))))</f>
        <v/>
      </c>
      <c r="Z68" s="27" t="str">
        <f>IF($T68="","",IF(ISNUMBER($X68),IF($X68=0,0,$W68/$X68),IF(ISNUMBER($Y68),IF($W68+$Y68=0,0,$W68/($W68+$Y68)),"")))</f>
        <v/>
      </c>
      <c r="AA68" s="29" t="str">
        <f>IF($T68="","",COUNTIFS(TRANSACTIONS_MASTER!$D$5:$D$1204,$T68,TRANSACTIONS_MASTER!$C$5:$C$1204,$C$2,TRANSACTIONS_MASTER!$U$5:$U$1204,"&lt;&gt;Cancelled"))</f>
        <v/>
      </c>
    </row>
    <row r="69">
      <c r="A69" s="81" t="str">
        <f>IF($Q69="","",62)</f>
        <v/>
      </c>
      <c r="B69" s="57" t="str">
        <f>IF($Q69="","",INDEX(TRANSACTIONS_MASTER!$B$5:$B$1204,$Q69))</f>
        <v/>
      </c>
      <c r="C69" s="55" t="str">
        <f>IF($Q69="","",INDEX(TRANSACTIONS_MASTER!$F$5:$F$1204,$Q69))</f>
        <v/>
      </c>
      <c r="D69" s="55" t="str">
        <f>IF($Q69="","",INDEX(TRANSACTIONS_MASTER!$E$5:$E$1204,$Q69))</f>
        <v/>
      </c>
      <c r="E69" s="55" t="str">
        <f>IF($Q69="","",INDEX(TRANSACTIONS_MASTER!$G$5:$G$1204,$Q69)&amp;"")</f>
        <v/>
      </c>
      <c r="F69" s="29" t="str">
        <f>IF($Q69="","",INDEX(TRANSACTIONS_MASTER!$I$5:$I$1204,$Q69))</f>
        <v/>
      </c>
      <c r="G69" s="55" t="str">
        <f>IF($Q69="","",INDEX(TRANSACTIONS_MASTER!$K$5:$K$1204,$Q69))</f>
        <v/>
      </c>
      <c r="H69" s="25" t="str">
        <f>IF($Q69="","",INDEX(TRANSACTIONS_MASTER!$L$5:$L$1204,$Q69))</f>
        <v/>
      </c>
      <c r="I69" s="56" t="str">
        <f>IF($Q69="","",INDEX(TRANSACTIONS_MASTER!$N$5:$N$1204,$Q69))</f>
        <v/>
      </c>
      <c r="J69" s="25" t="str">
        <f>IF($Q69="","",INDEX(TRANSACTIONS_MASTER!$O$5:$O$1204,$Q69))</f>
        <v/>
      </c>
      <c r="K69" s="26" t="str">
        <f>IF($Q69="","",INDEX(TRANSACTIONS_MASTER!$Q$5:$Q$1204,$Q69))</f>
        <v/>
      </c>
      <c r="L69" s="25" t="str">
        <f>IF($Q69="","",INDEX(TRANSACTIONS_MASTER!$P$5:$P$1204,$Q69))</f>
        <v/>
      </c>
      <c r="M69" s="25" t="str">
        <f>IF($Q69="","",INDEX(TRANSACTIONS_MASTER!$AA$5:$AA$1204,$Q69))</f>
        <v/>
      </c>
      <c r="N69" s="25" t="str">
        <f>IF($Q69="","",INDEX(TRANSACTIONS_MASTER!$R$5:$R$1204,$Q69))</f>
        <v/>
      </c>
      <c r="O69" s="28" t="str">
        <f>IF($Q69="","",INDEX(TRANSACTIONS_MASTER!$AB$5:$AB$1204,$Q69))</f>
        <v/>
      </c>
      <c r="P69" s="55" t="str">
        <f>IF($Q69="","",INDEX(TRANSACTIONS_MASTER!$Z$5:$Z$1204,$Q69)&amp;"")</f>
        <v/>
      </c>
      <c r="Q69" s="67" t="str">
        <f>IFERROR(MATCH($C$2&amp;"|"&amp;62,TRANSACTIONS_MASTER!$AE$5:$AE$1204,0),"")</f>
        <v/>
      </c>
      <c r="S69" s="67" t="n">
        <v>8</v>
      </c>
      <c r="T69" s="55" t="str">
        <f>IF(CARDS!$A12="","",CARDS!$A12)</f>
        <v/>
      </c>
      <c r="U69" s="55" t="str">
        <f>IF($T69="","",CARDS!$B12&amp;" "&amp;CARDS!$C12)</f>
        <v/>
      </c>
      <c r="V69" s="25" t="str">
        <f>IF($T69="","",SUMIFS(TRANSACTIONS_MASTER!$L$5:$L$1204,TRANSACTIONS_MASTER!$D$5:$D$1204,$T69,TRANSACTIONS_MASTER!$C$5:$C$1204,$C$2,TRANSACTIONS_MASTER!$U$5:$U$1204,"&lt;&gt;Cancelled"))</f>
        <v/>
      </c>
      <c r="W69" s="26" t="str">
        <f>IF($T69="","",SUMIFS(TRANSACTIONS_MASTER!$Q$5:$Q$1204,TRANSACTIONS_MASTER!$D$5:$D$1204,$T69,TRANSACTIONS_MASTER!$C$5:$C$1204,$C$2))</f>
        <v/>
      </c>
      <c r="X69" s="25" t="str">
        <f>IF($T69="","",IFERROR(IF(ISNUMBER(INDEX(CASHBACK_RULES!$K$5:$K$304,MATCH($T69,CASHBACK_RULES!$B$5:$B$304,0))),INDEX(CASHBACK_RULES!$K$5:$K$304,MATCH($T69,CASHBACK_RULES!$B$5:$B$304,0)),"∞"),"—"))</f>
        <v/>
      </c>
      <c r="Y69" s="25" t="str">
        <f>IF($T69="","",IF($X69="—","—",IF(COUNTIFS($T$8:$T$57,$T69,$Z$8:$Z$57,"∞")&gt;0,IF(ISNUMBER($X69),MAX(0,$X69-$W69),"∞"),IF(ISNUMBER($X69),MAX(0,MIN($X69-$W69,SUMIFS($Z$8:$Z$57,$T$8:$T$57,$T69))),SUMIFS($Z$8:$Z$57,$T$8:$T$57,$T69)))))</f>
        <v/>
      </c>
      <c r="Z69" s="27" t="str">
        <f>IF($T69="","",IF(ISNUMBER($X69),IF($X69=0,0,$W69/$X69),IF(ISNUMBER($Y69),IF($W69+$Y69=0,0,$W69/($W69+$Y69)),"")))</f>
        <v/>
      </c>
      <c r="AA69" s="29" t="str">
        <f>IF($T69="","",COUNTIFS(TRANSACTIONS_MASTER!$D$5:$D$1204,$T69,TRANSACTIONS_MASTER!$C$5:$C$1204,$C$2,TRANSACTIONS_MASTER!$U$5:$U$1204,"&lt;&gt;Cancelled"))</f>
        <v/>
      </c>
    </row>
    <row r="70">
      <c r="A70" s="81" t="str">
        <f>IF($Q70="","",63)</f>
        <v/>
      </c>
      <c r="B70" s="57" t="str">
        <f>IF($Q70="","",INDEX(TRANSACTIONS_MASTER!$B$5:$B$1204,$Q70))</f>
        <v/>
      </c>
      <c r="C70" s="55" t="str">
        <f>IF($Q70="","",INDEX(TRANSACTIONS_MASTER!$F$5:$F$1204,$Q70))</f>
        <v/>
      </c>
      <c r="D70" s="55" t="str">
        <f>IF($Q70="","",INDEX(TRANSACTIONS_MASTER!$E$5:$E$1204,$Q70))</f>
        <v/>
      </c>
      <c r="E70" s="55" t="str">
        <f>IF($Q70="","",INDEX(TRANSACTIONS_MASTER!$G$5:$G$1204,$Q70)&amp;"")</f>
        <v/>
      </c>
      <c r="F70" s="29" t="str">
        <f>IF($Q70="","",INDEX(TRANSACTIONS_MASTER!$I$5:$I$1204,$Q70))</f>
        <v/>
      </c>
      <c r="G70" s="55" t="str">
        <f>IF($Q70="","",INDEX(TRANSACTIONS_MASTER!$K$5:$K$1204,$Q70))</f>
        <v/>
      </c>
      <c r="H70" s="25" t="str">
        <f>IF($Q70="","",INDEX(TRANSACTIONS_MASTER!$L$5:$L$1204,$Q70))</f>
        <v/>
      </c>
      <c r="I70" s="56" t="str">
        <f>IF($Q70="","",INDEX(TRANSACTIONS_MASTER!$N$5:$N$1204,$Q70))</f>
        <v/>
      </c>
      <c r="J70" s="25" t="str">
        <f>IF($Q70="","",INDEX(TRANSACTIONS_MASTER!$O$5:$O$1204,$Q70))</f>
        <v/>
      </c>
      <c r="K70" s="26" t="str">
        <f>IF($Q70="","",INDEX(TRANSACTIONS_MASTER!$Q$5:$Q$1204,$Q70))</f>
        <v/>
      </c>
      <c r="L70" s="25" t="str">
        <f>IF($Q70="","",INDEX(TRANSACTIONS_MASTER!$P$5:$P$1204,$Q70))</f>
        <v/>
      </c>
      <c r="M70" s="25" t="str">
        <f>IF($Q70="","",INDEX(TRANSACTIONS_MASTER!$AA$5:$AA$1204,$Q70))</f>
        <v/>
      </c>
      <c r="N70" s="25" t="str">
        <f>IF($Q70="","",INDEX(TRANSACTIONS_MASTER!$R$5:$R$1204,$Q70))</f>
        <v/>
      </c>
      <c r="O70" s="28" t="str">
        <f>IF($Q70="","",INDEX(TRANSACTIONS_MASTER!$AB$5:$AB$1204,$Q70))</f>
        <v/>
      </c>
      <c r="P70" s="55" t="str">
        <f>IF($Q70="","",INDEX(TRANSACTIONS_MASTER!$Z$5:$Z$1204,$Q70)&amp;"")</f>
        <v/>
      </c>
      <c r="Q70" s="67" t="str">
        <f>IFERROR(MATCH($C$2&amp;"|"&amp;63,TRANSACTIONS_MASTER!$AE$5:$AE$1204,0),"")</f>
        <v/>
      </c>
      <c r="S70" s="67" t="n">
        <v>9</v>
      </c>
      <c r="T70" s="55" t="str">
        <f>IF(CARDS!$A13="","",CARDS!$A13)</f>
        <v/>
      </c>
      <c r="U70" s="55" t="str">
        <f>IF($T70="","",CARDS!$B13&amp;" "&amp;CARDS!$C13)</f>
        <v/>
      </c>
      <c r="V70" s="25" t="str">
        <f>IF($T70="","",SUMIFS(TRANSACTIONS_MASTER!$L$5:$L$1204,TRANSACTIONS_MASTER!$D$5:$D$1204,$T70,TRANSACTIONS_MASTER!$C$5:$C$1204,$C$2,TRANSACTIONS_MASTER!$U$5:$U$1204,"&lt;&gt;Cancelled"))</f>
        <v/>
      </c>
      <c r="W70" s="26" t="str">
        <f>IF($T70="","",SUMIFS(TRANSACTIONS_MASTER!$Q$5:$Q$1204,TRANSACTIONS_MASTER!$D$5:$D$1204,$T70,TRANSACTIONS_MASTER!$C$5:$C$1204,$C$2))</f>
        <v/>
      </c>
      <c r="X70" s="25" t="str">
        <f>IF($T70="","",IFERROR(IF(ISNUMBER(INDEX(CASHBACK_RULES!$K$5:$K$304,MATCH($T70,CASHBACK_RULES!$B$5:$B$304,0))),INDEX(CASHBACK_RULES!$K$5:$K$304,MATCH($T70,CASHBACK_RULES!$B$5:$B$304,0)),"∞"),"—"))</f>
        <v/>
      </c>
      <c r="Y70" s="25" t="str">
        <f>IF($T70="","",IF($X70="—","—",IF(COUNTIFS($T$8:$T$57,$T70,$Z$8:$Z$57,"∞")&gt;0,IF(ISNUMBER($X70),MAX(0,$X70-$W70),"∞"),IF(ISNUMBER($X70),MAX(0,MIN($X70-$W70,SUMIFS($Z$8:$Z$57,$T$8:$T$57,$T70))),SUMIFS($Z$8:$Z$57,$T$8:$T$57,$T70)))))</f>
        <v/>
      </c>
      <c r="Z70" s="27" t="str">
        <f>IF($T70="","",IF(ISNUMBER($X70),IF($X70=0,0,$W70/$X70),IF(ISNUMBER($Y70),IF($W70+$Y70=0,0,$W70/($W70+$Y70)),"")))</f>
        <v/>
      </c>
      <c r="AA70" s="29" t="str">
        <f>IF($T70="","",COUNTIFS(TRANSACTIONS_MASTER!$D$5:$D$1204,$T70,TRANSACTIONS_MASTER!$C$5:$C$1204,$C$2,TRANSACTIONS_MASTER!$U$5:$U$1204,"&lt;&gt;Cancelled"))</f>
        <v/>
      </c>
    </row>
    <row r="71">
      <c r="A71" s="81" t="str">
        <f>IF($Q71="","",64)</f>
        <v/>
      </c>
      <c r="B71" s="57" t="str">
        <f>IF($Q71="","",INDEX(TRANSACTIONS_MASTER!$B$5:$B$1204,$Q71))</f>
        <v/>
      </c>
      <c r="C71" s="55" t="str">
        <f>IF($Q71="","",INDEX(TRANSACTIONS_MASTER!$F$5:$F$1204,$Q71))</f>
        <v/>
      </c>
      <c r="D71" s="55" t="str">
        <f>IF($Q71="","",INDEX(TRANSACTIONS_MASTER!$E$5:$E$1204,$Q71))</f>
        <v/>
      </c>
      <c r="E71" s="55" t="str">
        <f>IF($Q71="","",INDEX(TRANSACTIONS_MASTER!$G$5:$G$1204,$Q71)&amp;"")</f>
        <v/>
      </c>
      <c r="F71" s="29" t="str">
        <f>IF($Q71="","",INDEX(TRANSACTIONS_MASTER!$I$5:$I$1204,$Q71))</f>
        <v/>
      </c>
      <c r="G71" s="55" t="str">
        <f>IF($Q71="","",INDEX(TRANSACTIONS_MASTER!$K$5:$K$1204,$Q71))</f>
        <v/>
      </c>
      <c r="H71" s="25" t="str">
        <f>IF($Q71="","",INDEX(TRANSACTIONS_MASTER!$L$5:$L$1204,$Q71))</f>
        <v/>
      </c>
      <c r="I71" s="56" t="str">
        <f>IF($Q71="","",INDEX(TRANSACTIONS_MASTER!$N$5:$N$1204,$Q71))</f>
        <v/>
      </c>
      <c r="J71" s="25" t="str">
        <f>IF($Q71="","",INDEX(TRANSACTIONS_MASTER!$O$5:$O$1204,$Q71))</f>
        <v/>
      </c>
      <c r="K71" s="26" t="str">
        <f>IF($Q71="","",INDEX(TRANSACTIONS_MASTER!$Q$5:$Q$1204,$Q71))</f>
        <v/>
      </c>
      <c r="L71" s="25" t="str">
        <f>IF($Q71="","",INDEX(TRANSACTIONS_MASTER!$P$5:$P$1204,$Q71))</f>
        <v/>
      </c>
      <c r="M71" s="25" t="str">
        <f>IF($Q71="","",INDEX(TRANSACTIONS_MASTER!$AA$5:$AA$1204,$Q71))</f>
        <v/>
      </c>
      <c r="N71" s="25" t="str">
        <f>IF($Q71="","",INDEX(TRANSACTIONS_MASTER!$R$5:$R$1204,$Q71))</f>
        <v/>
      </c>
      <c r="O71" s="28" t="str">
        <f>IF($Q71="","",INDEX(TRANSACTIONS_MASTER!$AB$5:$AB$1204,$Q71))</f>
        <v/>
      </c>
      <c r="P71" s="55" t="str">
        <f>IF($Q71="","",INDEX(TRANSACTIONS_MASTER!$Z$5:$Z$1204,$Q71)&amp;"")</f>
        <v/>
      </c>
      <c r="Q71" s="67" t="str">
        <f>IFERROR(MATCH($C$2&amp;"|"&amp;64,TRANSACTIONS_MASTER!$AE$5:$AE$1204,0),"")</f>
        <v/>
      </c>
      <c r="S71" s="67" t="n">
        <v>10</v>
      </c>
      <c r="T71" s="55" t="str">
        <f>IF(CARDS!$A14="","",CARDS!$A14)</f>
        <v/>
      </c>
      <c r="U71" s="55" t="str">
        <f>IF($T71="","",CARDS!$B14&amp;" "&amp;CARDS!$C14)</f>
        <v/>
      </c>
      <c r="V71" s="25" t="str">
        <f>IF($T71="","",SUMIFS(TRANSACTIONS_MASTER!$L$5:$L$1204,TRANSACTIONS_MASTER!$D$5:$D$1204,$T71,TRANSACTIONS_MASTER!$C$5:$C$1204,$C$2,TRANSACTIONS_MASTER!$U$5:$U$1204,"&lt;&gt;Cancelled"))</f>
        <v/>
      </c>
      <c r="W71" s="26" t="str">
        <f>IF($T71="","",SUMIFS(TRANSACTIONS_MASTER!$Q$5:$Q$1204,TRANSACTIONS_MASTER!$D$5:$D$1204,$T71,TRANSACTIONS_MASTER!$C$5:$C$1204,$C$2))</f>
        <v/>
      </c>
      <c r="X71" s="25" t="str">
        <f>IF($T71="","",IFERROR(IF(ISNUMBER(INDEX(CASHBACK_RULES!$K$5:$K$304,MATCH($T71,CASHBACK_RULES!$B$5:$B$304,0))),INDEX(CASHBACK_RULES!$K$5:$K$304,MATCH($T71,CASHBACK_RULES!$B$5:$B$304,0)),"∞"),"—"))</f>
        <v/>
      </c>
      <c r="Y71" s="25" t="str">
        <f>IF($T71="","",IF($X71="—","—",IF(COUNTIFS($T$8:$T$57,$T71,$Z$8:$Z$57,"∞")&gt;0,IF(ISNUMBER($X71),MAX(0,$X71-$W71),"∞"),IF(ISNUMBER($X71),MAX(0,MIN($X71-$W71,SUMIFS($Z$8:$Z$57,$T$8:$T$57,$T71))),SUMIFS($Z$8:$Z$57,$T$8:$T$57,$T71)))))</f>
        <v/>
      </c>
      <c r="Z71" s="27" t="str">
        <f>IF($T71="","",IF(ISNUMBER($X71),IF($X71=0,0,$W71/$X71),IF(ISNUMBER($Y71),IF($W71+$Y71=0,0,$W71/($W71+$Y71)),"")))</f>
        <v/>
      </c>
      <c r="AA71" s="29" t="str">
        <f>IF($T71="","",COUNTIFS(TRANSACTIONS_MASTER!$D$5:$D$1204,$T71,TRANSACTIONS_MASTER!$C$5:$C$1204,$C$2,TRANSACTIONS_MASTER!$U$5:$U$1204,"&lt;&gt;Cancelled"))</f>
        <v/>
      </c>
    </row>
    <row r="72">
      <c r="A72" s="81" t="str">
        <f>IF($Q72="","",65)</f>
        <v/>
      </c>
      <c r="B72" s="57" t="str">
        <f>IF($Q72="","",INDEX(TRANSACTIONS_MASTER!$B$5:$B$1204,$Q72))</f>
        <v/>
      </c>
      <c r="C72" s="55" t="str">
        <f>IF($Q72="","",INDEX(TRANSACTIONS_MASTER!$F$5:$F$1204,$Q72))</f>
        <v/>
      </c>
      <c r="D72" s="55" t="str">
        <f>IF($Q72="","",INDEX(TRANSACTIONS_MASTER!$E$5:$E$1204,$Q72))</f>
        <v/>
      </c>
      <c r="E72" s="55" t="str">
        <f>IF($Q72="","",INDEX(TRANSACTIONS_MASTER!$G$5:$G$1204,$Q72)&amp;"")</f>
        <v/>
      </c>
      <c r="F72" s="29" t="str">
        <f>IF($Q72="","",INDEX(TRANSACTIONS_MASTER!$I$5:$I$1204,$Q72))</f>
        <v/>
      </c>
      <c r="G72" s="55" t="str">
        <f>IF($Q72="","",INDEX(TRANSACTIONS_MASTER!$K$5:$K$1204,$Q72))</f>
        <v/>
      </c>
      <c r="H72" s="25" t="str">
        <f>IF($Q72="","",INDEX(TRANSACTIONS_MASTER!$L$5:$L$1204,$Q72))</f>
        <v/>
      </c>
      <c r="I72" s="56" t="str">
        <f>IF($Q72="","",INDEX(TRANSACTIONS_MASTER!$N$5:$N$1204,$Q72))</f>
        <v/>
      </c>
      <c r="J72" s="25" t="str">
        <f>IF($Q72="","",INDEX(TRANSACTIONS_MASTER!$O$5:$O$1204,$Q72))</f>
        <v/>
      </c>
      <c r="K72" s="26" t="str">
        <f>IF($Q72="","",INDEX(TRANSACTIONS_MASTER!$Q$5:$Q$1204,$Q72))</f>
        <v/>
      </c>
      <c r="L72" s="25" t="str">
        <f>IF($Q72="","",INDEX(TRANSACTIONS_MASTER!$P$5:$P$1204,$Q72))</f>
        <v/>
      </c>
      <c r="M72" s="25" t="str">
        <f>IF($Q72="","",INDEX(TRANSACTIONS_MASTER!$AA$5:$AA$1204,$Q72))</f>
        <v/>
      </c>
      <c r="N72" s="25" t="str">
        <f>IF($Q72="","",INDEX(TRANSACTIONS_MASTER!$R$5:$R$1204,$Q72))</f>
        <v/>
      </c>
      <c r="O72" s="28" t="str">
        <f>IF($Q72="","",INDEX(TRANSACTIONS_MASTER!$AB$5:$AB$1204,$Q72))</f>
        <v/>
      </c>
      <c r="P72" s="55" t="str">
        <f>IF($Q72="","",INDEX(TRANSACTIONS_MASTER!$Z$5:$Z$1204,$Q72)&amp;"")</f>
        <v/>
      </c>
      <c r="Q72" s="67" t="str">
        <f>IFERROR(MATCH($C$2&amp;"|"&amp;65,TRANSACTIONS_MASTER!$AE$5:$AE$1204,0),"")</f>
        <v/>
      </c>
      <c r="S72" s="67" t="n">
        <v>11</v>
      </c>
      <c r="T72" s="55" t="str">
        <f>IF(CARDS!$A15="","",CARDS!$A15)</f>
        <v/>
      </c>
      <c r="U72" s="55" t="str">
        <f>IF($T72="","",CARDS!$B15&amp;" "&amp;CARDS!$C15)</f>
        <v/>
      </c>
      <c r="V72" s="25" t="str">
        <f>IF($T72="","",SUMIFS(TRANSACTIONS_MASTER!$L$5:$L$1204,TRANSACTIONS_MASTER!$D$5:$D$1204,$T72,TRANSACTIONS_MASTER!$C$5:$C$1204,$C$2,TRANSACTIONS_MASTER!$U$5:$U$1204,"&lt;&gt;Cancelled"))</f>
        <v/>
      </c>
      <c r="W72" s="26" t="str">
        <f>IF($T72="","",SUMIFS(TRANSACTIONS_MASTER!$Q$5:$Q$1204,TRANSACTIONS_MASTER!$D$5:$D$1204,$T72,TRANSACTIONS_MASTER!$C$5:$C$1204,$C$2))</f>
        <v/>
      </c>
      <c r="X72" s="25" t="str">
        <f>IF($T72="","",IFERROR(IF(ISNUMBER(INDEX(CASHBACK_RULES!$K$5:$K$304,MATCH($T72,CASHBACK_RULES!$B$5:$B$304,0))),INDEX(CASHBACK_RULES!$K$5:$K$304,MATCH($T72,CASHBACK_RULES!$B$5:$B$304,0)),"∞"),"—"))</f>
        <v/>
      </c>
      <c r="Y72" s="25" t="str">
        <f>IF($T72="","",IF($X72="—","—",IF(COUNTIFS($T$8:$T$57,$T72,$Z$8:$Z$57,"∞")&gt;0,IF(ISNUMBER($X72),MAX(0,$X72-$W72),"∞"),IF(ISNUMBER($X72),MAX(0,MIN($X72-$W72,SUMIFS($Z$8:$Z$57,$T$8:$T$57,$T72))),SUMIFS($Z$8:$Z$57,$T$8:$T$57,$T72)))))</f>
        <v/>
      </c>
      <c r="Z72" s="27" t="str">
        <f>IF($T72="","",IF(ISNUMBER($X72),IF($X72=0,0,$W72/$X72),IF(ISNUMBER($Y72),IF($W72+$Y72=0,0,$W72/($W72+$Y72)),"")))</f>
        <v/>
      </c>
      <c r="AA72" s="29" t="str">
        <f>IF($T72="","",COUNTIFS(TRANSACTIONS_MASTER!$D$5:$D$1204,$T72,TRANSACTIONS_MASTER!$C$5:$C$1204,$C$2,TRANSACTIONS_MASTER!$U$5:$U$1204,"&lt;&gt;Cancelled"))</f>
        <v/>
      </c>
    </row>
    <row r="73">
      <c r="A73" s="81" t="str">
        <f>IF($Q73="","",66)</f>
        <v/>
      </c>
      <c r="B73" s="57" t="str">
        <f>IF($Q73="","",INDEX(TRANSACTIONS_MASTER!$B$5:$B$1204,$Q73))</f>
        <v/>
      </c>
      <c r="C73" s="55" t="str">
        <f>IF($Q73="","",INDEX(TRANSACTIONS_MASTER!$F$5:$F$1204,$Q73))</f>
        <v/>
      </c>
      <c r="D73" s="55" t="str">
        <f>IF($Q73="","",INDEX(TRANSACTIONS_MASTER!$E$5:$E$1204,$Q73))</f>
        <v/>
      </c>
      <c r="E73" s="55" t="str">
        <f>IF($Q73="","",INDEX(TRANSACTIONS_MASTER!$G$5:$G$1204,$Q73)&amp;"")</f>
        <v/>
      </c>
      <c r="F73" s="29" t="str">
        <f>IF($Q73="","",INDEX(TRANSACTIONS_MASTER!$I$5:$I$1204,$Q73))</f>
        <v/>
      </c>
      <c r="G73" s="55" t="str">
        <f>IF($Q73="","",INDEX(TRANSACTIONS_MASTER!$K$5:$K$1204,$Q73))</f>
        <v/>
      </c>
      <c r="H73" s="25" t="str">
        <f>IF($Q73="","",INDEX(TRANSACTIONS_MASTER!$L$5:$L$1204,$Q73))</f>
        <v/>
      </c>
      <c r="I73" s="56" t="str">
        <f>IF($Q73="","",INDEX(TRANSACTIONS_MASTER!$N$5:$N$1204,$Q73))</f>
        <v/>
      </c>
      <c r="J73" s="25" t="str">
        <f>IF($Q73="","",INDEX(TRANSACTIONS_MASTER!$O$5:$O$1204,$Q73))</f>
        <v/>
      </c>
      <c r="K73" s="26" t="str">
        <f>IF($Q73="","",INDEX(TRANSACTIONS_MASTER!$Q$5:$Q$1204,$Q73))</f>
        <v/>
      </c>
      <c r="L73" s="25" t="str">
        <f>IF($Q73="","",INDEX(TRANSACTIONS_MASTER!$P$5:$P$1204,$Q73))</f>
        <v/>
      </c>
      <c r="M73" s="25" t="str">
        <f>IF($Q73="","",INDEX(TRANSACTIONS_MASTER!$AA$5:$AA$1204,$Q73))</f>
        <v/>
      </c>
      <c r="N73" s="25" t="str">
        <f>IF($Q73="","",INDEX(TRANSACTIONS_MASTER!$R$5:$R$1204,$Q73))</f>
        <v/>
      </c>
      <c r="O73" s="28" t="str">
        <f>IF($Q73="","",INDEX(TRANSACTIONS_MASTER!$AB$5:$AB$1204,$Q73))</f>
        <v/>
      </c>
      <c r="P73" s="55" t="str">
        <f>IF($Q73="","",INDEX(TRANSACTIONS_MASTER!$Z$5:$Z$1204,$Q73)&amp;"")</f>
        <v/>
      </c>
      <c r="Q73" s="67" t="str">
        <f>IFERROR(MATCH($C$2&amp;"|"&amp;66,TRANSACTIONS_MASTER!$AE$5:$AE$1204,0),"")</f>
        <v/>
      </c>
      <c r="S73" s="67" t="n">
        <v>12</v>
      </c>
      <c r="T73" s="55" t="str">
        <f>IF(CARDS!$A16="","",CARDS!$A16)</f>
        <v/>
      </c>
      <c r="U73" s="55" t="str">
        <f>IF($T73="","",CARDS!$B16&amp;" "&amp;CARDS!$C16)</f>
        <v/>
      </c>
      <c r="V73" s="25" t="str">
        <f>IF($T73="","",SUMIFS(TRANSACTIONS_MASTER!$L$5:$L$1204,TRANSACTIONS_MASTER!$D$5:$D$1204,$T73,TRANSACTIONS_MASTER!$C$5:$C$1204,$C$2,TRANSACTIONS_MASTER!$U$5:$U$1204,"&lt;&gt;Cancelled"))</f>
        <v/>
      </c>
      <c r="W73" s="26" t="str">
        <f>IF($T73="","",SUMIFS(TRANSACTIONS_MASTER!$Q$5:$Q$1204,TRANSACTIONS_MASTER!$D$5:$D$1204,$T73,TRANSACTIONS_MASTER!$C$5:$C$1204,$C$2))</f>
        <v/>
      </c>
      <c r="X73" s="25" t="str">
        <f>IF($T73="","",IFERROR(IF(ISNUMBER(INDEX(CASHBACK_RULES!$K$5:$K$304,MATCH($T73,CASHBACK_RULES!$B$5:$B$304,0))),INDEX(CASHBACK_RULES!$K$5:$K$304,MATCH($T73,CASHBACK_RULES!$B$5:$B$304,0)),"∞"),"—"))</f>
        <v/>
      </c>
      <c r="Y73" s="25" t="str">
        <f>IF($T73="","",IF($X73="—","—",IF(COUNTIFS($T$8:$T$57,$T73,$Z$8:$Z$57,"∞")&gt;0,IF(ISNUMBER($X73),MAX(0,$X73-$W73),"∞"),IF(ISNUMBER($X73),MAX(0,MIN($X73-$W73,SUMIFS($Z$8:$Z$57,$T$8:$T$57,$T73))),SUMIFS($Z$8:$Z$57,$T$8:$T$57,$T73)))))</f>
        <v/>
      </c>
      <c r="Z73" s="27" t="str">
        <f>IF($T73="","",IF(ISNUMBER($X73),IF($X73=0,0,$W73/$X73),IF(ISNUMBER($Y73),IF($W73+$Y73=0,0,$W73/($W73+$Y73)),"")))</f>
        <v/>
      </c>
      <c r="AA73" s="29" t="str">
        <f>IF($T73="","",COUNTIFS(TRANSACTIONS_MASTER!$D$5:$D$1204,$T73,TRANSACTIONS_MASTER!$C$5:$C$1204,$C$2,TRANSACTIONS_MASTER!$U$5:$U$1204,"&lt;&gt;Cancelled"))</f>
        <v/>
      </c>
    </row>
    <row r="74">
      <c r="A74" s="81" t="str">
        <f>IF($Q74="","",67)</f>
        <v/>
      </c>
      <c r="B74" s="57" t="str">
        <f>IF($Q74="","",INDEX(TRANSACTIONS_MASTER!$B$5:$B$1204,$Q74))</f>
        <v/>
      </c>
      <c r="C74" s="55" t="str">
        <f>IF($Q74="","",INDEX(TRANSACTIONS_MASTER!$F$5:$F$1204,$Q74))</f>
        <v/>
      </c>
      <c r="D74" s="55" t="str">
        <f>IF($Q74="","",INDEX(TRANSACTIONS_MASTER!$E$5:$E$1204,$Q74))</f>
        <v/>
      </c>
      <c r="E74" s="55" t="str">
        <f>IF($Q74="","",INDEX(TRANSACTIONS_MASTER!$G$5:$G$1204,$Q74)&amp;"")</f>
        <v/>
      </c>
      <c r="F74" s="29" t="str">
        <f>IF($Q74="","",INDEX(TRANSACTIONS_MASTER!$I$5:$I$1204,$Q74))</f>
        <v/>
      </c>
      <c r="G74" s="55" t="str">
        <f>IF($Q74="","",INDEX(TRANSACTIONS_MASTER!$K$5:$K$1204,$Q74))</f>
        <v/>
      </c>
      <c r="H74" s="25" t="str">
        <f>IF($Q74="","",INDEX(TRANSACTIONS_MASTER!$L$5:$L$1204,$Q74))</f>
        <v/>
      </c>
      <c r="I74" s="56" t="str">
        <f>IF($Q74="","",INDEX(TRANSACTIONS_MASTER!$N$5:$N$1204,$Q74))</f>
        <v/>
      </c>
      <c r="J74" s="25" t="str">
        <f>IF($Q74="","",INDEX(TRANSACTIONS_MASTER!$O$5:$O$1204,$Q74))</f>
        <v/>
      </c>
      <c r="K74" s="26" t="str">
        <f>IF($Q74="","",INDEX(TRANSACTIONS_MASTER!$Q$5:$Q$1204,$Q74))</f>
        <v/>
      </c>
      <c r="L74" s="25" t="str">
        <f>IF($Q74="","",INDEX(TRANSACTIONS_MASTER!$P$5:$P$1204,$Q74))</f>
        <v/>
      </c>
      <c r="M74" s="25" t="str">
        <f>IF($Q74="","",INDEX(TRANSACTIONS_MASTER!$AA$5:$AA$1204,$Q74))</f>
        <v/>
      </c>
      <c r="N74" s="25" t="str">
        <f>IF($Q74="","",INDEX(TRANSACTIONS_MASTER!$R$5:$R$1204,$Q74))</f>
        <v/>
      </c>
      <c r="O74" s="28" t="str">
        <f>IF($Q74="","",INDEX(TRANSACTIONS_MASTER!$AB$5:$AB$1204,$Q74))</f>
        <v/>
      </c>
      <c r="P74" s="55" t="str">
        <f>IF($Q74="","",INDEX(TRANSACTIONS_MASTER!$Z$5:$Z$1204,$Q74)&amp;"")</f>
        <v/>
      </c>
      <c r="Q74" s="67" t="str">
        <f>IFERROR(MATCH($C$2&amp;"|"&amp;67,TRANSACTIONS_MASTER!$AE$5:$AE$1204,0),"")</f>
        <v/>
      </c>
      <c r="S74" s="67" t="n">
        <v>13</v>
      </c>
      <c r="T74" s="55" t="str">
        <f>IF(CARDS!$A17="","",CARDS!$A17)</f>
        <v/>
      </c>
      <c r="U74" s="55" t="str">
        <f>IF($T74="","",CARDS!$B17&amp;" "&amp;CARDS!$C17)</f>
        <v/>
      </c>
      <c r="V74" s="25" t="str">
        <f>IF($T74="","",SUMIFS(TRANSACTIONS_MASTER!$L$5:$L$1204,TRANSACTIONS_MASTER!$D$5:$D$1204,$T74,TRANSACTIONS_MASTER!$C$5:$C$1204,$C$2,TRANSACTIONS_MASTER!$U$5:$U$1204,"&lt;&gt;Cancelled"))</f>
        <v/>
      </c>
      <c r="W74" s="26" t="str">
        <f>IF($T74="","",SUMIFS(TRANSACTIONS_MASTER!$Q$5:$Q$1204,TRANSACTIONS_MASTER!$D$5:$D$1204,$T74,TRANSACTIONS_MASTER!$C$5:$C$1204,$C$2))</f>
        <v/>
      </c>
      <c r="X74" s="25" t="str">
        <f>IF($T74="","",IFERROR(IF(ISNUMBER(INDEX(CASHBACK_RULES!$K$5:$K$304,MATCH($T74,CASHBACK_RULES!$B$5:$B$304,0))),INDEX(CASHBACK_RULES!$K$5:$K$304,MATCH($T74,CASHBACK_RULES!$B$5:$B$304,0)),"∞"),"—"))</f>
        <v/>
      </c>
      <c r="Y74" s="25" t="str">
        <f>IF($T74="","",IF($X74="—","—",IF(COUNTIFS($T$8:$T$57,$T74,$Z$8:$Z$57,"∞")&gt;0,IF(ISNUMBER($X74),MAX(0,$X74-$W74),"∞"),IF(ISNUMBER($X74),MAX(0,MIN($X74-$W74,SUMIFS($Z$8:$Z$57,$T$8:$T$57,$T74))),SUMIFS($Z$8:$Z$57,$T$8:$T$57,$T74)))))</f>
        <v/>
      </c>
      <c r="Z74" s="27" t="str">
        <f>IF($T74="","",IF(ISNUMBER($X74),IF($X74=0,0,$W74/$X74),IF(ISNUMBER($Y74),IF($W74+$Y74=0,0,$W74/($W74+$Y74)),"")))</f>
        <v/>
      </c>
      <c r="AA74" s="29" t="str">
        <f>IF($T74="","",COUNTIFS(TRANSACTIONS_MASTER!$D$5:$D$1204,$T74,TRANSACTIONS_MASTER!$C$5:$C$1204,$C$2,TRANSACTIONS_MASTER!$U$5:$U$1204,"&lt;&gt;Cancelled"))</f>
        <v/>
      </c>
    </row>
    <row r="75">
      <c r="A75" s="81" t="str">
        <f>IF($Q75="","",68)</f>
        <v/>
      </c>
      <c r="B75" s="57" t="str">
        <f>IF($Q75="","",INDEX(TRANSACTIONS_MASTER!$B$5:$B$1204,$Q75))</f>
        <v/>
      </c>
      <c r="C75" s="55" t="str">
        <f>IF($Q75="","",INDEX(TRANSACTIONS_MASTER!$F$5:$F$1204,$Q75))</f>
        <v/>
      </c>
      <c r="D75" s="55" t="str">
        <f>IF($Q75="","",INDEX(TRANSACTIONS_MASTER!$E$5:$E$1204,$Q75))</f>
        <v/>
      </c>
      <c r="E75" s="55" t="str">
        <f>IF($Q75="","",INDEX(TRANSACTIONS_MASTER!$G$5:$G$1204,$Q75)&amp;"")</f>
        <v/>
      </c>
      <c r="F75" s="29" t="str">
        <f>IF($Q75="","",INDEX(TRANSACTIONS_MASTER!$I$5:$I$1204,$Q75))</f>
        <v/>
      </c>
      <c r="G75" s="55" t="str">
        <f>IF($Q75="","",INDEX(TRANSACTIONS_MASTER!$K$5:$K$1204,$Q75))</f>
        <v/>
      </c>
      <c r="H75" s="25" t="str">
        <f>IF($Q75="","",INDEX(TRANSACTIONS_MASTER!$L$5:$L$1204,$Q75))</f>
        <v/>
      </c>
      <c r="I75" s="56" t="str">
        <f>IF($Q75="","",INDEX(TRANSACTIONS_MASTER!$N$5:$N$1204,$Q75))</f>
        <v/>
      </c>
      <c r="J75" s="25" t="str">
        <f>IF($Q75="","",INDEX(TRANSACTIONS_MASTER!$O$5:$O$1204,$Q75))</f>
        <v/>
      </c>
      <c r="K75" s="26" t="str">
        <f>IF($Q75="","",INDEX(TRANSACTIONS_MASTER!$Q$5:$Q$1204,$Q75))</f>
        <v/>
      </c>
      <c r="L75" s="25" t="str">
        <f>IF($Q75="","",INDEX(TRANSACTIONS_MASTER!$P$5:$P$1204,$Q75))</f>
        <v/>
      </c>
      <c r="M75" s="25" t="str">
        <f>IF($Q75="","",INDEX(TRANSACTIONS_MASTER!$AA$5:$AA$1204,$Q75))</f>
        <v/>
      </c>
      <c r="N75" s="25" t="str">
        <f>IF($Q75="","",INDEX(TRANSACTIONS_MASTER!$R$5:$R$1204,$Q75))</f>
        <v/>
      </c>
      <c r="O75" s="28" t="str">
        <f>IF($Q75="","",INDEX(TRANSACTIONS_MASTER!$AB$5:$AB$1204,$Q75))</f>
        <v/>
      </c>
      <c r="P75" s="55" t="str">
        <f>IF($Q75="","",INDEX(TRANSACTIONS_MASTER!$Z$5:$Z$1204,$Q75)&amp;"")</f>
        <v/>
      </c>
      <c r="Q75" s="67" t="str">
        <f>IFERROR(MATCH($C$2&amp;"|"&amp;68,TRANSACTIONS_MASTER!$AE$5:$AE$1204,0),"")</f>
        <v/>
      </c>
      <c r="S75" s="67" t="n">
        <v>14</v>
      </c>
      <c r="T75" s="55" t="str">
        <f>IF(CARDS!$A18="","",CARDS!$A18)</f>
        <v/>
      </c>
      <c r="U75" s="55" t="str">
        <f>IF($T75="","",CARDS!$B18&amp;" "&amp;CARDS!$C18)</f>
        <v/>
      </c>
      <c r="V75" s="25" t="str">
        <f>IF($T75="","",SUMIFS(TRANSACTIONS_MASTER!$L$5:$L$1204,TRANSACTIONS_MASTER!$D$5:$D$1204,$T75,TRANSACTIONS_MASTER!$C$5:$C$1204,$C$2,TRANSACTIONS_MASTER!$U$5:$U$1204,"&lt;&gt;Cancelled"))</f>
        <v/>
      </c>
      <c r="W75" s="26" t="str">
        <f>IF($T75="","",SUMIFS(TRANSACTIONS_MASTER!$Q$5:$Q$1204,TRANSACTIONS_MASTER!$D$5:$D$1204,$T75,TRANSACTIONS_MASTER!$C$5:$C$1204,$C$2))</f>
        <v/>
      </c>
      <c r="X75" s="25" t="str">
        <f>IF($T75="","",IFERROR(IF(ISNUMBER(INDEX(CASHBACK_RULES!$K$5:$K$304,MATCH($T75,CASHBACK_RULES!$B$5:$B$304,0))),INDEX(CASHBACK_RULES!$K$5:$K$304,MATCH($T75,CASHBACK_RULES!$B$5:$B$304,0)),"∞"),"—"))</f>
        <v/>
      </c>
      <c r="Y75" s="25" t="str">
        <f>IF($T75="","",IF($X75="—","—",IF(COUNTIFS($T$8:$T$57,$T75,$Z$8:$Z$57,"∞")&gt;0,IF(ISNUMBER($X75),MAX(0,$X75-$W75),"∞"),IF(ISNUMBER($X75),MAX(0,MIN($X75-$W75,SUMIFS($Z$8:$Z$57,$T$8:$T$57,$T75))),SUMIFS($Z$8:$Z$57,$T$8:$T$57,$T75)))))</f>
        <v/>
      </c>
      <c r="Z75" s="27" t="str">
        <f>IF($T75="","",IF(ISNUMBER($X75),IF($X75=0,0,$W75/$X75),IF(ISNUMBER($Y75),IF($W75+$Y75=0,0,$W75/($W75+$Y75)),"")))</f>
        <v/>
      </c>
      <c r="AA75" s="29" t="str">
        <f>IF($T75="","",COUNTIFS(TRANSACTIONS_MASTER!$D$5:$D$1204,$T75,TRANSACTIONS_MASTER!$C$5:$C$1204,$C$2,TRANSACTIONS_MASTER!$U$5:$U$1204,"&lt;&gt;Cancelled"))</f>
        <v/>
      </c>
    </row>
    <row r="76">
      <c r="A76" s="81" t="str">
        <f>IF($Q76="","",69)</f>
        <v/>
      </c>
      <c r="B76" s="57" t="str">
        <f>IF($Q76="","",INDEX(TRANSACTIONS_MASTER!$B$5:$B$1204,$Q76))</f>
        <v/>
      </c>
      <c r="C76" s="55" t="str">
        <f>IF($Q76="","",INDEX(TRANSACTIONS_MASTER!$F$5:$F$1204,$Q76))</f>
        <v/>
      </c>
      <c r="D76" s="55" t="str">
        <f>IF($Q76="","",INDEX(TRANSACTIONS_MASTER!$E$5:$E$1204,$Q76))</f>
        <v/>
      </c>
      <c r="E76" s="55" t="str">
        <f>IF($Q76="","",INDEX(TRANSACTIONS_MASTER!$G$5:$G$1204,$Q76)&amp;"")</f>
        <v/>
      </c>
      <c r="F76" s="29" t="str">
        <f>IF($Q76="","",INDEX(TRANSACTIONS_MASTER!$I$5:$I$1204,$Q76))</f>
        <v/>
      </c>
      <c r="G76" s="55" t="str">
        <f>IF($Q76="","",INDEX(TRANSACTIONS_MASTER!$K$5:$K$1204,$Q76))</f>
        <v/>
      </c>
      <c r="H76" s="25" t="str">
        <f>IF($Q76="","",INDEX(TRANSACTIONS_MASTER!$L$5:$L$1204,$Q76))</f>
        <v/>
      </c>
      <c r="I76" s="56" t="str">
        <f>IF($Q76="","",INDEX(TRANSACTIONS_MASTER!$N$5:$N$1204,$Q76))</f>
        <v/>
      </c>
      <c r="J76" s="25" t="str">
        <f>IF($Q76="","",INDEX(TRANSACTIONS_MASTER!$O$5:$O$1204,$Q76))</f>
        <v/>
      </c>
      <c r="K76" s="26" t="str">
        <f>IF($Q76="","",INDEX(TRANSACTIONS_MASTER!$Q$5:$Q$1204,$Q76))</f>
        <v/>
      </c>
      <c r="L76" s="25" t="str">
        <f>IF($Q76="","",INDEX(TRANSACTIONS_MASTER!$P$5:$P$1204,$Q76))</f>
        <v/>
      </c>
      <c r="M76" s="25" t="str">
        <f>IF($Q76="","",INDEX(TRANSACTIONS_MASTER!$AA$5:$AA$1204,$Q76))</f>
        <v/>
      </c>
      <c r="N76" s="25" t="str">
        <f>IF($Q76="","",INDEX(TRANSACTIONS_MASTER!$R$5:$R$1204,$Q76))</f>
        <v/>
      </c>
      <c r="O76" s="28" t="str">
        <f>IF($Q76="","",INDEX(TRANSACTIONS_MASTER!$AB$5:$AB$1204,$Q76))</f>
        <v/>
      </c>
      <c r="P76" s="55" t="str">
        <f>IF($Q76="","",INDEX(TRANSACTIONS_MASTER!$Z$5:$Z$1204,$Q76)&amp;"")</f>
        <v/>
      </c>
      <c r="Q76" s="67" t="str">
        <f>IFERROR(MATCH($C$2&amp;"|"&amp;69,TRANSACTIONS_MASTER!$AE$5:$AE$1204,0),"")</f>
        <v/>
      </c>
      <c r="S76" s="67" t="n">
        <v>15</v>
      </c>
      <c r="T76" s="55" t="str">
        <f>IF(CARDS!$A19="","",CARDS!$A19)</f>
        <v/>
      </c>
      <c r="U76" s="55" t="str">
        <f>IF($T76="","",CARDS!$B19&amp;" "&amp;CARDS!$C19)</f>
        <v/>
      </c>
      <c r="V76" s="25" t="str">
        <f>IF($T76="","",SUMIFS(TRANSACTIONS_MASTER!$L$5:$L$1204,TRANSACTIONS_MASTER!$D$5:$D$1204,$T76,TRANSACTIONS_MASTER!$C$5:$C$1204,$C$2,TRANSACTIONS_MASTER!$U$5:$U$1204,"&lt;&gt;Cancelled"))</f>
        <v/>
      </c>
      <c r="W76" s="26" t="str">
        <f>IF($T76="","",SUMIFS(TRANSACTIONS_MASTER!$Q$5:$Q$1204,TRANSACTIONS_MASTER!$D$5:$D$1204,$T76,TRANSACTIONS_MASTER!$C$5:$C$1204,$C$2))</f>
        <v/>
      </c>
      <c r="X76" s="25" t="str">
        <f>IF($T76="","",IFERROR(IF(ISNUMBER(INDEX(CASHBACK_RULES!$K$5:$K$304,MATCH($T76,CASHBACK_RULES!$B$5:$B$304,0))),INDEX(CASHBACK_RULES!$K$5:$K$304,MATCH($T76,CASHBACK_RULES!$B$5:$B$304,0)),"∞"),"—"))</f>
        <v/>
      </c>
      <c r="Y76" s="25" t="str">
        <f>IF($T76="","",IF($X76="—","—",IF(COUNTIFS($T$8:$T$57,$T76,$Z$8:$Z$57,"∞")&gt;0,IF(ISNUMBER($X76),MAX(0,$X76-$W76),"∞"),IF(ISNUMBER($X76),MAX(0,MIN($X76-$W76,SUMIFS($Z$8:$Z$57,$T$8:$T$57,$T76))),SUMIFS($Z$8:$Z$57,$T$8:$T$57,$T76)))))</f>
        <v/>
      </c>
      <c r="Z76" s="27" t="str">
        <f>IF($T76="","",IF(ISNUMBER($X76),IF($X76=0,0,$W76/$X76),IF(ISNUMBER($Y76),IF($W76+$Y76=0,0,$W76/($W76+$Y76)),"")))</f>
        <v/>
      </c>
      <c r="AA76" s="29" t="str">
        <f>IF($T76="","",COUNTIFS(TRANSACTIONS_MASTER!$D$5:$D$1204,$T76,TRANSACTIONS_MASTER!$C$5:$C$1204,$C$2,TRANSACTIONS_MASTER!$U$5:$U$1204,"&lt;&gt;Cancelled"))</f>
        <v/>
      </c>
    </row>
    <row r="77">
      <c r="A77" s="81" t="str">
        <f>IF($Q77="","",70)</f>
        <v/>
      </c>
      <c r="B77" s="57" t="str">
        <f>IF($Q77="","",INDEX(TRANSACTIONS_MASTER!$B$5:$B$1204,$Q77))</f>
        <v/>
      </c>
      <c r="C77" s="55" t="str">
        <f>IF($Q77="","",INDEX(TRANSACTIONS_MASTER!$F$5:$F$1204,$Q77))</f>
        <v/>
      </c>
      <c r="D77" s="55" t="str">
        <f>IF($Q77="","",INDEX(TRANSACTIONS_MASTER!$E$5:$E$1204,$Q77))</f>
        <v/>
      </c>
      <c r="E77" s="55" t="str">
        <f>IF($Q77="","",INDEX(TRANSACTIONS_MASTER!$G$5:$G$1204,$Q77)&amp;"")</f>
        <v/>
      </c>
      <c r="F77" s="29" t="str">
        <f>IF($Q77="","",INDEX(TRANSACTIONS_MASTER!$I$5:$I$1204,$Q77))</f>
        <v/>
      </c>
      <c r="G77" s="55" t="str">
        <f>IF($Q77="","",INDEX(TRANSACTIONS_MASTER!$K$5:$K$1204,$Q77))</f>
        <v/>
      </c>
      <c r="H77" s="25" t="str">
        <f>IF($Q77="","",INDEX(TRANSACTIONS_MASTER!$L$5:$L$1204,$Q77))</f>
        <v/>
      </c>
      <c r="I77" s="56" t="str">
        <f>IF($Q77="","",INDEX(TRANSACTIONS_MASTER!$N$5:$N$1204,$Q77))</f>
        <v/>
      </c>
      <c r="J77" s="25" t="str">
        <f>IF($Q77="","",INDEX(TRANSACTIONS_MASTER!$O$5:$O$1204,$Q77))</f>
        <v/>
      </c>
      <c r="K77" s="26" t="str">
        <f>IF($Q77="","",INDEX(TRANSACTIONS_MASTER!$Q$5:$Q$1204,$Q77))</f>
        <v/>
      </c>
      <c r="L77" s="25" t="str">
        <f>IF($Q77="","",INDEX(TRANSACTIONS_MASTER!$P$5:$P$1204,$Q77))</f>
        <v/>
      </c>
      <c r="M77" s="25" t="str">
        <f>IF($Q77="","",INDEX(TRANSACTIONS_MASTER!$AA$5:$AA$1204,$Q77))</f>
        <v/>
      </c>
      <c r="N77" s="25" t="str">
        <f>IF($Q77="","",INDEX(TRANSACTIONS_MASTER!$R$5:$R$1204,$Q77))</f>
        <v/>
      </c>
      <c r="O77" s="28" t="str">
        <f>IF($Q77="","",INDEX(TRANSACTIONS_MASTER!$AB$5:$AB$1204,$Q77))</f>
        <v/>
      </c>
      <c r="P77" s="55" t="str">
        <f>IF($Q77="","",INDEX(TRANSACTIONS_MASTER!$Z$5:$Z$1204,$Q77)&amp;"")</f>
        <v/>
      </c>
      <c r="Q77" s="67" t="str">
        <f>IFERROR(MATCH($C$2&amp;"|"&amp;70,TRANSACTIONS_MASTER!$AE$5:$AE$1204,0),"")</f>
        <v/>
      </c>
      <c r="S77" s="67" t="n">
        <v>16</v>
      </c>
      <c r="T77" s="55" t="str">
        <f>IF(CARDS!$A20="","",CARDS!$A20)</f>
        <v/>
      </c>
      <c r="U77" s="55" t="str">
        <f>IF($T77="","",CARDS!$B20&amp;" "&amp;CARDS!$C20)</f>
        <v/>
      </c>
      <c r="V77" s="25" t="str">
        <f>IF($T77="","",SUMIFS(TRANSACTIONS_MASTER!$L$5:$L$1204,TRANSACTIONS_MASTER!$D$5:$D$1204,$T77,TRANSACTIONS_MASTER!$C$5:$C$1204,$C$2,TRANSACTIONS_MASTER!$U$5:$U$1204,"&lt;&gt;Cancelled"))</f>
        <v/>
      </c>
      <c r="W77" s="26" t="str">
        <f>IF($T77="","",SUMIFS(TRANSACTIONS_MASTER!$Q$5:$Q$1204,TRANSACTIONS_MASTER!$D$5:$D$1204,$T77,TRANSACTIONS_MASTER!$C$5:$C$1204,$C$2))</f>
        <v/>
      </c>
      <c r="X77" s="25" t="str">
        <f>IF($T77="","",IFERROR(IF(ISNUMBER(INDEX(CASHBACK_RULES!$K$5:$K$304,MATCH($T77,CASHBACK_RULES!$B$5:$B$304,0))),INDEX(CASHBACK_RULES!$K$5:$K$304,MATCH($T77,CASHBACK_RULES!$B$5:$B$304,0)),"∞"),"—"))</f>
        <v/>
      </c>
      <c r="Y77" s="25" t="str">
        <f>IF($T77="","",IF($X77="—","—",IF(COUNTIFS($T$8:$T$57,$T77,$Z$8:$Z$57,"∞")&gt;0,IF(ISNUMBER($X77),MAX(0,$X77-$W77),"∞"),IF(ISNUMBER($X77),MAX(0,MIN($X77-$W77,SUMIFS($Z$8:$Z$57,$T$8:$T$57,$T77))),SUMIFS($Z$8:$Z$57,$T$8:$T$57,$T77)))))</f>
        <v/>
      </c>
      <c r="Z77" s="27" t="str">
        <f>IF($T77="","",IF(ISNUMBER($X77),IF($X77=0,0,$W77/$X77),IF(ISNUMBER($Y77),IF($W77+$Y77=0,0,$W77/($W77+$Y77)),"")))</f>
        <v/>
      </c>
      <c r="AA77" s="29" t="str">
        <f>IF($T77="","",COUNTIFS(TRANSACTIONS_MASTER!$D$5:$D$1204,$T77,TRANSACTIONS_MASTER!$C$5:$C$1204,$C$2,TRANSACTIONS_MASTER!$U$5:$U$1204,"&lt;&gt;Cancelled"))</f>
        <v/>
      </c>
    </row>
    <row r="78">
      <c r="A78" s="81" t="str">
        <f>IF($Q78="","",71)</f>
        <v/>
      </c>
      <c r="B78" s="57" t="str">
        <f>IF($Q78="","",INDEX(TRANSACTIONS_MASTER!$B$5:$B$1204,$Q78))</f>
        <v/>
      </c>
      <c r="C78" s="55" t="str">
        <f>IF($Q78="","",INDEX(TRANSACTIONS_MASTER!$F$5:$F$1204,$Q78))</f>
        <v/>
      </c>
      <c r="D78" s="55" t="str">
        <f>IF($Q78="","",INDEX(TRANSACTIONS_MASTER!$E$5:$E$1204,$Q78))</f>
        <v/>
      </c>
      <c r="E78" s="55" t="str">
        <f>IF($Q78="","",INDEX(TRANSACTIONS_MASTER!$G$5:$G$1204,$Q78)&amp;"")</f>
        <v/>
      </c>
      <c r="F78" s="29" t="str">
        <f>IF($Q78="","",INDEX(TRANSACTIONS_MASTER!$I$5:$I$1204,$Q78))</f>
        <v/>
      </c>
      <c r="G78" s="55" t="str">
        <f>IF($Q78="","",INDEX(TRANSACTIONS_MASTER!$K$5:$K$1204,$Q78))</f>
        <v/>
      </c>
      <c r="H78" s="25" t="str">
        <f>IF($Q78="","",INDEX(TRANSACTIONS_MASTER!$L$5:$L$1204,$Q78))</f>
        <v/>
      </c>
      <c r="I78" s="56" t="str">
        <f>IF($Q78="","",INDEX(TRANSACTIONS_MASTER!$N$5:$N$1204,$Q78))</f>
        <v/>
      </c>
      <c r="J78" s="25" t="str">
        <f>IF($Q78="","",INDEX(TRANSACTIONS_MASTER!$O$5:$O$1204,$Q78))</f>
        <v/>
      </c>
      <c r="K78" s="26" t="str">
        <f>IF($Q78="","",INDEX(TRANSACTIONS_MASTER!$Q$5:$Q$1204,$Q78))</f>
        <v/>
      </c>
      <c r="L78" s="25" t="str">
        <f>IF($Q78="","",INDEX(TRANSACTIONS_MASTER!$P$5:$P$1204,$Q78))</f>
        <v/>
      </c>
      <c r="M78" s="25" t="str">
        <f>IF($Q78="","",INDEX(TRANSACTIONS_MASTER!$AA$5:$AA$1204,$Q78))</f>
        <v/>
      </c>
      <c r="N78" s="25" t="str">
        <f>IF($Q78="","",INDEX(TRANSACTIONS_MASTER!$R$5:$R$1204,$Q78))</f>
        <v/>
      </c>
      <c r="O78" s="28" t="str">
        <f>IF($Q78="","",INDEX(TRANSACTIONS_MASTER!$AB$5:$AB$1204,$Q78))</f>
        <v/>
      </c>
      <c r="P78" s="55" t="str">
        <f>IF($Q78="","",INDEX(TRANSACTIONS_MASTER!$Z$5:$Z$1204,$Q78)&amp;"")</f>
        <v/>
      </c>
      <c r="Q78" s="67" t="str">
        <f>IFERROR(MATCH($C$2&amp;"|"&amp;71,TRANSACTIONS_MASTER!$AE$5:$AE$1204,0),"")</f>
        <v/>
      </c>
      <c r="S78" s="67" t="n">
        <v>17</v>
      </c>
      <c r="T78" s="55" t="str">
        <f>IF(CARDS!$A21="","",CARDS!$A21)</f>
        <v/>
      </c>
      <c r="U78" s="55" t="str">
        <f>IF($T78="","",CARDS!$B21&amp;" "&amp;CARDS!$C21)</f>
        <v/>
      </c>
      <c r="V78" s="25" t="str">
        <f>IF($T78="","",SUMIFS(TRANSACTIONS_MASTER!$L$5:$L$1204,TRANSACTIONS_MASTER!$D$5:$D$1204,$T78,TRANSACTIONS_MASTER!$C$5:$C$1204,$C$2,TRANSACTIONS_MASTER!$U$5:$U$1204,"&lt;&gt;Cancelled"))</f>
        <v/>
      </c>
      <c r="W78" s="26" t="str">
        <f>IF($T78="","",SUMIFS(TRANSACTIONS_MASTER!$Q$5:$Q$1204,TRANSACTIONS_MASTER!$D$5:$D$1204,$T78,TRANSACTIONS_MASTER!$C$5:$C$1204,$C$2))</f>
        <v/>
      </c>
      <c r="X78" s="25" t="str">
        <f>IF($T78="","",IFERROR(IF(ISNUMBER(INDEX(CASHBACK_RULES!$K$5:$K$304,MATCH($T78,CASHBACK_RULES!$B$5:$B$304,0))),INDEX(CASHBACK_RULES!$K$5:$K$304,MATCH($T78,CASHBACK_RULES!$B$5:$B$304,0)),"∞"),"—"))</f>
        <v/>
      </c>
      <c r="Y78" s="25" t="str">
        <f>IF($T78="","",IF($X78="—","—",IF(COUNTIFS($T$8:$T$57,$T78,$Z$8:$Z$57,"∞")&gt;0,IF(ISNUMBER($X78),MAX(0,$X78-$W78),"∞"),IF(ISNUMBER($X78),MAX(0,MIN($X78-$W78,SUMIFS($Z$8:$Z$57,$T$8:$T$57,$T78))),SUMIFS($Z$8:$Z$57,$T$8:$T$57,$T78)))))</f>
        <v/>
      </c>
      <c r="Z78" s="27" t="str">
        <f>IF($T78="","",IF(ISNUMBER($X78),IF($X78=0,0,$W78/$X78),IF(ISNUMBER($Y78),IF($W78+$Y78=0,0,$W78/($W78+$Y78)),"")))</f>
        <v/>
      </c>
      <c r="AA78" s="29" t="str">
        <f>IF($T78="","",COUNTIFS(TRANSACTIONS_MASTER!$D$5:$D$1204,$T78,TRANSACTIONS_MASTER!$C$5:$C$1204,$C$2,TRANSACTIONS_MASTER!$U$5:$U$1204,"&lt;&gt;Cancelled"))</f>
        <v/>
      </c>
    </row>
    <row r="79">
      <c r="A79" s="81" t="str">
        <f>IF($Q79="","",72)</f>
        <v/>
      </c>
      <c r="B79" s="57" t="str">
        <f>IF($Q79="","",INDEX(TRANSACTIONS_MASTER!$B$5:$B$1204,$Q79))</f>
        <v/>
      </c>
      <c r="C79" s="55" t="str">
        <f>IF($Q79="","",INDEX(TRANSACTIONS_MASTER!$F$5:$F$1204,$Q79))</f>
        <v/>
      </c>
      <c r="D79" s="55" t="str">
        <f>IF($Q79="","",INDEX(TRANSACTIONS_MASTER!$E$5:$E$1204,$Q79))</f>
        <v/>
      </c>
      <c r="E79" s="55" t="str">
        <f>IF($Q79="","",INDEX(TRANSACTIONS_MASTER!$G$5:$G$1204,$Q79)&amp;"")</f>
        <v/>
      </c>
      <c r="F79" s="29" t="str">
        <f>IF($Q79="","",INDEX(TRANSACTIONS_MASTER!$I$5:$I$1204,$Q79))</f>
        <v/>
      </c>
      <c r="G79" s="55" t="str">
        <f>IF($Q79="","",INDEX(TRANSACTIONS_MASTER!$K$5:$K$1204,$Q79))</f>
        <v/>
      </c>
      <c r="H79" s="25" t="str">
        <f>IF($Q79="","",INDEX(TRANSACTIONS_MASTER!$L$5:$L$1204,$Q79))</f>
        <v/>
      </c>
      <c r="I79" s="56" t="str">
        <f>IF($Q79="","",INDEX(TRANSACTIONS_MASTER!$N$5:$N$1204,$Q79))</f>
        <v/>
      </c>
      <c r="J79" s="25" t="str">
        <f>IF($Q79="","",INDEX(TRANSACTIONS_MASTER!$O$5:$O$1204,$Q79))</f>
        <v/>
      </c>
      <c r="K79" s="26" t="str">
        <f>IF($Q79="","",INDEX(TRANSACTIONS_MASTER!$Q$5:$Q$1204,$Q79))</f>
        <v/>
      </c>
      <c r="L79" s="25" t="str">
        <f>IF($Q79="","",INDEX(TRANSACTIONS_MASTER!$P$5:$P$1204,$Q79))</f>
        <v/>
      </c>
      <c r="M79" s="25" t="str">
        <f>IF($Q79="","",INDEX(TRANSACTIONS_MASTER!$AA$5:$AA$1204,$Q79))</f>
        <v/>
      </c>
      <c r="N79" s="25" t="str">
        <f>IF($Q79="","",INDEX(TRANSACTIONS_MASTER!$R$5:$R$1204,$Q79))</f>
        <v/>
      </c>
      <c r="O79" s="28" t="str">
        <f>IF($Q79="","",INDEX(TRANSACTIONS_MASTER!$AB$5:$AB$1204,$Q79))</f>
        <v/>
      </c>
      <c r="P79" s="55" t="str">
        <f>IF($Q79="","",INDEX(TRANSACTIONS_MASTER!$Z$5:$Z$1204,$Q79)&amp;"")</f>
        <v/>
      </c>
      <c r="Q79" s="67" t="str">
        <f>IFERROR(MATCH($C$2&amp;"|"&amp;72,TRANSACTIONS_MASTER!$AE$5:$AE$1204,0),"")</f>
        <v/>
      </c>
      <c r="S79" s="67" t="n">
        <v>18</v>
      </c>
      <c r="T79" s="55" t="str">
        <f>IF(CARDS!$A22="","",CARDS!$A22)</f>
        <v/>
      </c>
      <c r="U79" s="55" t="str">
        <f>IF($T79="","",CARDS!$B22&amp;" "&amp;CARDS!$C22)</f>
        <v/>
      </c>
      <c r="V79" s="25" t="str">
        <f>IF($T79="","",SUMIFS(TRANSACTIONS_MASTER!$L$5:$L$1204,TRANSACTIONS_MASTER!$D$5:$D$1204,$T79,TRANSACTIONS_MASTER!$C$5:$C$1204,$C$2,TRANSACTIONS_MASTER!$U$5:$U$1204,"&lt;&gt;Cancelled"))</f>
        <v/>
      </c>
      <c r="W79" s="26" t="str">
        <f>IF($T79="","",SUMIFS(TRANSACTIONS_MASTER!$Q$5:$Q$1204,TRANSACTIONS_MASTER!$D$5:$D$1204,$T79,TRANSACTIONS_MASTER!$C$5:$C$1204,$C$2))</f>
        <v/>
      </c>
      <c r="X79" s="25" t="str">
        <f>IF($T79="","",IFERROR(IF(ISNUMBER(INDEX(CASHBACK_RULES!$K$5:$K$304,MATCH($T79,CASHBACK_RULES!$B$5:$B$304,0))),INDEX(CASHBACK_RULES!$K$5:$K$304,MATCH($T79,CASHBACK_RULES!$B$5:$B$304,0)),"∞"),"—"))</f>
        <v/>
      </c>
      <c r="Y79" s="25" t="str">
        <f>IF($T79="","",IF($X79="—","—",IF(COUNTIFS($T$8:$T$57,$T79,$Z$8:$Z$57,"∞")&gt;0,IF(ISNUMBER($X79),MAX(0,$X79-$W79),"∞"),IF(ISNUMBER($X79),MAX(0,MIN($X79-$W79,SUMIFS($Z$8:$Z$57,$T$8:$T$57,$T79))),SUMIFS($Z$8:$Z$57,$T$8:$T$57,$T79)))))</f>
        <v/>
      </c>
      <c r="Z79" s="27" t="str">
        <f>IF($T79="","",IF(ISNUMBER($X79),IF($X79=0,0,$W79/$X79),IF(ISNUMBER($Y79),IF($W79+$Y79=0,0,$W79/($W79+$Y79)),"")))</f>
        <v/>
      </c>
      <c r="AA79" s="29" t="str">
        <f>IF($T79="","",COUNTIFS(TRANSACTIONS_MASTER!$D$5:$D$1204,$T79,TRANSACTIONS_MASTER!$C$5:$C$1204,$C$2,TRANSACTIONS_MASTER!$U$5:$U$1204,"&lt;&gt;Cancelled"))</f>
        <v/>
      </c>
    </row>
    <row r="80">
      <c r="A80" s="81" t="str">
        <f>IF($Q80="","",73)</f>
        <v/>
      </c>
      <c r="B80" s="57" t="str">
        <f>IF($Q80="","",INDEX(TRANSACTIONS_MASTER!$B$5:$B$1204,$Q80))</f>
        <v/>
      </c>
      <c r="C80" s="55" t="str">
        <f>IF($Q80="","",INDEX(TRANSACTIONS_MASTER!$F$5:$F$1204,$Q80))</f>
        <v/>
      </c>
      <c r="D80" s="55" t="str">
        <f>IF($Q80="","",INDEX(TRANSACTIONS_MASTER!$E$5:$E$1204,$Q80))</f>
        <v/>
      </c>
      <c r="E80" s="55" t="str">
        <f>IF($Q80="","",INDEX(TRANSACTIONS_MASTER!$G$5:$G$1204,$Q80)&amp;"")</f>
        <v/>
      </c>
      <c r="F80" s="29" t="str">
        <f>IF($Q80="","",INDEX(TRANSACTIONS_MASTER!$I$5:$I$1204,$Q80))</f>
        <v/>
      </c>
      <c r="G80" s="55" t="str">
        <f>IF($Q80="","",INDEX(TRANSACTIONS_MASTER!$K$5:$K$1204,$Q80))</f>
        <v/>
      </c>
      <c r="H80" s="25" t="str">
        <f>IF($Q80="","",INDEX(TRANSACTIONS_MASTER!$L$5:$L$1204,$Q80))</f>
        <v/>
      </c>
      <c r="I80" s="56" t="str">
        <f>IF($Q80="","",INDEX(TRANSACTIONS_MASTER!$N$5:$N$1204,$Q80))</f>
        <v/>
      </c>
      <c r="J80" s="25" t="str">
        <f>IF($Q80="","",INDEX(TRANSACTIONS_MASTER!$O$5:$O$1204,$Q80))</f>
        <v/>
      </c>
      <c r="K80" s="26" t="str">
        <f>IF($Q80="","",INDEX(TRANSACTIONS_MASTER!$Q$5:$Q$1204,$Q80))</f>
        <v/>
      </c>
      <c r="L80" s="25" t="str">
        <f>IF($Q80="","",INDEX(TRANSACTIONS_MASTER!$P$5:$P$1204,$Q80))</f>
        <v/>
      </c>
      <c r="M80" s="25" t="str">
        <f>IF($Q80="","",INDEX(TRANSACTIONS_MASTER!$AA$5:$AA$1204,$Q80))</f>
        <v/>
      </c>
      <c r="N80" s="25" t="str">
        <f>IF($Q80="","",INDEX(TRANSACTIONS_MASTER!$R$5:$R$1204,$Q80))</f>
        <v/>
      </c>
      <c r="O80" s="28" t="str">
        <f>IF($Q80="","",INDEX(TRANSACTIONS_MASTER!$AB$5:$AB$1204,$Q80))</f>
        <v/>
      </c>
      <c r="P80" s="55" t="str">
        <f>IF($Q80="","",INDEX(TRANSACTIONS_MASTER!$Z$5:$Z$1204,$Q80)&amp;"")</f>
        <v/>
      </c>
      <c r="Q80" s="67" t="str">
        <f>IFERROR(MATCH($C$2&amp;"|"&amp;73,TRANSACTIONS_MASTER!$AE$5:$AE$1204,0),"")</f>
        <v/>
      </c>
      <c r="S80" s="67" t="n">
        <v>19</v>
      </c>
      <c r="T80" s="55" t="str">
        <f>IF(CARDS!$A23="","",CARDS!$A23)</f>
        <v/>
      </c>
      <c r="U80" s="55" t="str">
        <f>IF($T80="","",CARDS!$B23&amp;" "&amp;CARDS!$C23)</f>
        <v/>
      </c>
      <c r="V80" s="25" t="str">
        <f>IF($T80="","",SUMIFS(TRANSACTIONS_MASTER!$L$5:$L$1204,TRANSACTIONS_MASTER!$D$5:$D$1204,$T80,TRANSACTIONS_MASTER!$C$5:$C$1204,$C$2,TRANSACTIONS_MASTER!$U$5:$U$1204,"&lt;&gt;Cancelled"))</f>
        <v/>
      </c>
      <c r="W80" s="26" t="str">
        <f>IF($T80="","",SUMIFS(TRANSACTIONS_MASTER!$Q$5:$Q$1204,TRANSACTIONS_MASTER!$D$5:$D$1204,$T80,TRANSACTIONS_MASTER!$C$5:$C$1204,$C$2))</f>
        <v/>
      </c>
      <c r="X80" s="25" t="str">
        <f>IF($T80="","",IFERROR(IF(ISNUMBER(INDEX(CASHBACK_RULES!$K$5:$K$304,MATCH($T80,CASHBACK_RULES!$B$5:$B$304,0))),INDEX(CASHBACK_RULES!$K$5:$K$304,MATCH($T80,CASHBACK_RULES!$B$5:$B$304,0)),"∞"),"—"))</f>
        <v/>
      </c>
      <c r="Y80" s="25" t="str">
        <f>IF($T80="","",IF($X80="—","—",IF(COUNTIFS($T$8:$T$57,$T80,$Z$8:$Z$57,"∞")&gt;0,IF(ISNUMBER($X80),MAX(0,$X80-$W80),"∞"),IF(ISNUMBER($X80),MAX(0,MIN($X80-$W80,SUMIFS($Z$8:$Z$57,$T$8:$T$57,$T80))),SUMIFS($Z$8:$Z$57,$T$8:$T$57,$T80)))))</f>
        <v/>
      </c>
      <c r="Z80" s="27" t="str">
        <f>IF($T80="","",IF(ISNUMBER($X80),IF($X80=0,0,$W80/$X80),IF(ISNUMBER($Y80),IF($W80+$Y80=0,0,$W80/($W80+$Y80)),"")))</f>
        <v/>
      </c>
      <c r="AA80" s="29" t="str">
        <f>IF($T80="","",COUNTIFS(TRANSACTIONS_MASTER!$D$5:$D$1204,$T80,TRANSACTIONS_MASTER!$C$5:$C$1204,$C$2,TRANSACTIONS_MASTER!$U$5:$U$1204,"&lt;&gt;Cancelled"))</f>
        <v/>
      </c>
    </row>
    <row r="81">
      <c r="A81" s="81" t="str">
        <f>IF($Q81="","",74)</f>
        <v/>
      </c>
      <c r="B81" s="57" t="str">
        <f>IF($Q81="","",INDEX(TRANSACTIONS_MASTER!$B$5:$B$1204,$Q81))</f>
        <v/>
      </c>
      <c r="C81" s="55" t="str">
        <f>IF($Q81="","",INDEX(TRANSACTIONS_MASTER!$F$5:$F$1204,$Q81))</f>
        <v/>
      </c>
      <c r="D81" s="55" t="str">
        <f>IF($Q81="","",INDEX(TRANSACTIONS_MASTER!$E$5:$E$1204,$Q81))</f>
        <v/>
      </c>
      <c r="E81" s="55" t="str">
        <f>IF($Q81="","",INDEX(TRANSACTIONS_MASTER!$G$5:$G$1204,$Q81)&amp;"")</f>
        <v/>
      </c>
      <c r="F81" s="29" t="str">
        <f>IF($Q81="","",INDEX(TRANSACTIONS_MASTER!$I$5:$I$1204,$Q81))</f>
        <v/>
      </c>
      <c r="G81" s="55" t="str">
        <f>IF($Q81="","",INDEX(TRANSACTIONS_MASTER!$K$5:$K$1204,$Q81))</f>
        <v/>
      </c>
      <c r="H81" s="25" t="str">
        <f>IF($Q81="","",INDEX(TRANSACTIONS_MASTER!$L$5:$L$1204,$Q81))</f>
        <v/>
      </c>
      <c r="I81" s="56" t="str">
        <f>IF($Q81="","",INDEX(TRANSACTIONS_MASTER!$N$5:$N$1204,$Q81))</f>
        <v/>
      </c>
      <c r="J81" s="25" t="str">
        <f>IF($Q81="","",INDEX(TRANSACTIONS_MASTER!$O$5:$O$1204,$Q81))</f>
        <v/>
      </c>
      <c r="K81" s="26" t="str">
        <f>IF($Q81="","",INDEX(TRANSACTIONS_MASTER!$Q$5:$Q$1204,$Q81))</f>
        <v/>
      </c>
      <c r="L81" s="25" t="str">
        <f>IF($Q81="","",INDEX(TRANSACTIONS_MASTER!$P$5:$P$1204,$Q81))</f>
        <v/>
      </c>
      <c r="M81" s="25" t="str">
        <f>IF($Q81="","",INDEX(TRANSACTIONS_MASTER!$AA$5:$AA$1204,$Q81))</f>
        <v/>
      </c>
      <c r="N81" s="25" t="str">
        <f>IF($Q81="","",INDEX(TRANSACTIONS_MASTER!$R$5:$R$1204,$Q81))</f>
        <v/>
      </c>
      <c r="O81" s="28" t="str">
        <f>IF($Q81="","",INDEX(TRANSACTIONS_MASTER!$AB$5:$AB$1204,$Q81))</f>
        <v/>
      </c>
      <c r="P81" s="55" t="str">
        <f>IF($Q81="","",INDEX(TRANSACTIONS_MASTER!$Z$5:$Z$1204,$Q81)&amp;"")</f>
        <v/>
      </c>
      <c r="Q81" s="67" t="str">
        <f>IFERROR(MATCH($C$2&amp;"|"&amp;74,TRANSACTIONS_MASTER!$AE$5:$AE$1204,0),"")</f>
        <v/>
      </c>
      <c r="S81" s="67" t="n">
        <v>20</v>
      </c>
      <c r="T81" s="55" t="str">
        <f>IF(CARDS!$A24="","",CARDS!$A24)</f>
        <v/>
      </c>
      <c r="U81" s="55" t="str">
        <f>IF($T81="","",CARDS!$B24&amp;" "&amp;CARDS!$C24)</f>
        <v/>
      </c>
      <c r="V81" s="25" t="str">
        <f>IF($T81="","",SUMIFS(TRANSACTIONS_MASTER!$L$5:$L$1204,TRANSACTIONS_MASTER!$D$5:$D$1204,$T81,TRANSACTIONS_MASTER!$C$5:$C$1204,$C$2,TRANSACTIONS_MASTER!$U$5:$U$1204,"&lt;&gt;Cancelled"))</f>
        <v/>
      </c>
      <c r="W81" s="26" t="str">
        <f>IF($T81="","",SUMIFS(TRANSACTIONS_MASTER!$Q$5:$Q$1204,TRANSACTIONS_MASTER!$D$5:$D$1204,$T81,TRANSACTIONS_MASTER!$C$5:$C$1204,$C$2))</f>
        <v/>
      </c>
      <c r="X81" s="25" t="str">
        <f>IF($T81="","",IFERROR(IF(ISNUMBER(INDEX(CASHBACK_RULES!$K$5:$K$304,MATCH($T81,CASHBACK_RULES!$B$5:$B$304,0))),INDEX(CASHBACK_RULES!$K$5:$K$304,MATCH($T81,CASHBACK_RULES!$B$5:$B$304,0)),"∞"),"—"))</f>
        <v/>
      </c>
      <c r="Y81" s="25" t="str">
        <f>IF($T81="","",IF($X81="—","—",IF(COUNTIFS($T$8:$T$57,$T81,$Z$8:$Z$57,"∞")&gt;0,IF(ISNUMBER($X81),MAX(0,$X81-$W81),"∞"),IF(ISNUMBER($X81),MAX(0,MIN($X81-$W81,SUMIFS($Z$8:$Z$57,$T$8:$T$57,$T81))),SUMIFS($Z$8:$Z$57,$T$8:$T$57,$T81)))))</f>
        <v/>
      </c>
      <c r="Z81" s="27" t="str">
        <f>IF($T81="","",IF(ISNUMBER($X81),IF($X81=0,0,$W81/$X81),IF(ISNUMBER($Y81),IF($W81+$Y81=0,0,$W81/($W81+$Y81)),"")))</f>
        <v/>
      </c>
      <c r="AA81" s="29" t="str">
        <f>IF($T81="","",COUNTIFS(TRANSACTIONS_MASTER!$D$5:$D$1204,$T81,TRANSACTIONS_MASTER!$C$5:$C$1204,$C$2,TRANSACTIONS_MASTER!$U$5:$U$1204,"&lt;&gt;Cancelled"))</f>
        <v/>
      </c>
    </row>
    <row r="82">
      <c r="A82" s="81" t="str">
        <f>IF($Q82="","",75)</f>
        <v/>
      </c>
      <c r="B82" s="57" t="str">
        <f>IF($Q82="","",INDEX(TRANSACTIONS_MASTER!$B$5:$B$1204,$Q82))</f>
        <v/>
      </c>
      <c r="C82" s="55" t="str">
        <f>IF($Q82="","",INDEX(TRANSACTIONS_MASTER!$F$5:$F$1204,$Q82))</f>
        <v/>
      </c>
      <c r="D82" s="55" t="str">
        <f>IF($Q82="","",INDEX(TRANSACTIONS_MASTER!$E$5:$E$1204,$Q82))</f>
        <v/>
      </c>
      <c r="E82" s="55" t="str">
        <f>IF($Q82="","",INDEX(TRANSACTIONS_MASTER!$G$5:$G$1204,$Q82)&amp;"")</f>
        <v/>
      </c>
      <c r="F82" s="29" t="str">
        <f>IF($Q82="","",INDEX(TRANSACTIONS_MASTER!$I$5:$I$1204,$Q82))</f>
        <v/>
      </c>
      <c r="G82" s="55" t="str">
        <f>IF($Q82="","",INDEX(TRANSACTIONS_MASTER!$K$5:$K$1204,$Q82))</f>
        <v/>
      </c>
      <c r="H82" s="25" t="str">
        <f>IF($Q82="","",INDEX(TRANSACTIONS_MASTER!$L$5:$L$1204,$Q82))</f>
        <v/>
      </c>
      <c r="I82" s="56" t="str">
        <f>IF($Q82="","",INDEX(TRANSACTIONS_MASTER!$N$5:$N$1204,$Q82))</f>
        <v/>
      </c>
      <c r="J82" s="25" t="str">
        <f>IF($Q82="","",INDEX(TRANSACTIONS_MASTER!$O$5:$O$1204,$Q82))</f>
        <v/>
      </c>
      <c r="K82" s="26" t="str">
        <f>IF($Q82="","",INDEX(TRANSACTIONS_MASTER!$Q$5:$Q$1204,$Q82))</f>
        <v/>
      </c>
      <c r="L82" s="25" t="str">
        <f>IF($Q82="","",INDEX(TRANSACTIONS_MASTER!$P$5:$P$1204,$Q82))</f>
        <v/>
      </c>
      <c r="M82" s="25" t="str">
        <f>IF($Q82="","",INDEX(TRANSACTIONS_MASTER!$AA$5:$AA$1204,$Q82))</f>
        <v/>
      </c>
      <c r="N82" s="25" t="str">
        <f>IF($Q82="","",INDEX(TRANSACTIONS_MASTER!$R$5:$R$1204,$Q82))</f>
        <v/>
      </c>
      <c r="O82" s="28" t="str">
        <f>IF($Q82="","",INDEX(TRANSACTIONS_MASTER!$AB$5:$AB$1204,$Q82))</f>
        <v/>
      </c>
      <c r="P82" s="55" t="str">
        <f>IF($Q82="","",INDEX(TRANSACTIONS_MASTER!$Z$5:$Z$1204,$Q82)&amp;"")</f>
        <v/>
      </c>
      <c r="Q82" s="67" t="str">
        <f>IFERROR(MATCH($C$2&amp;"|"&amp;75,TRANSACTIONS_MASTER!$AE$5:$AE$1204,0),"")</f>
        <v/>
      </c>
      <c r="S82" s="67" t="n">
        <v>21</v>
      </c>
      <c r="T82" s="55" t="str">
        <f>IF(CARDS!$A25="","",CARDS!$A25)</f>
        <v/>
      </c>
      <c r="U82" s="55" t="str">
        <f>IF($T82="","",CARDS!$B25&amp;" "&amp;CARDS!$C25)</f>
        <v/>
      </c>
      <c r="V82" s="25" t="str">
        <f>IF($T82="","",SUMIFS(TRANSACTIONS_MASTER!$L$5:$L$1204,TRANSACTIONS_MASTER!$D$5:$D$1204,$T82,TRANSACTIONS_MASTER!$C$5:$C$1204,$C$2,TRANSACTIONS_MASTER!$U$5:$U$1204,"&lt;&gt;Cancelled"))</f>
        <v/>
      </c>
      <c r="W82" s="26" t="str">
        <f>IF($T82="","",SUMIFS(TRANSACTIONS_MASTER!$Q$5:$Q$1204,TRANSACTIONS_MASTER!$D$5:$D$1204,$T82,TRANSACTIONS_MASTER!$C$5:$C$1204,$C$2))</f>
        <v/>
      </c>
      <c r="X82" s="25" t="str">
        <f>IF($T82="","",IFERROR(IF(ISNUMBER(INDEX(CASHBACK_RULES!$K$5:$K$304,MATCH($T82,CASHBACK_RULES!$B$5:$B$304,0))),INDEX(CASHBACK_RULES!$K$5:$K$304,MATCH($T82,CASHBACK_RULES!$B$5:$B$304,0)),"∞"),"—"))</f>
        <v/>
      </c>
      <c r="Y82" s="25" t="str">
        <f>IF($T82="","",IF($X82="—","—",IF(COUNTIFS($T$8:$T$57,$T82,$Z$8:$Z$57,"∞")&gt;0,IF(ISNUMBER($X82),MAX(0,$X82-$W82),"∞"),IF(ISNUMBER($X82),MAX(0,MIN($X82-$W82,SUMIFS($Z$8:$Z$57,$T$8:$T$57,$T82))),SUMIFS($Z$8:$Z$57,$T$8:$T$57,$T82)))))</f>
        <v/>
      </c>
      <c r="Z82" s="27" t="str">
        <f>IF($T82="","",IF(ISNUMBER($X82),IF($X82=0,0,$W82/$X82),IF(ISNUMBER($Y82),IF($W82+$Y82=0,0,$W82/($W82+$Y82)),"")))</f>
        <v/>
      </c>
      <c r="AA82" s="29" t="str">
        <f>IF($T82="","",COUNTIFS(TRANSACTIONS_MASTER!$D$5:$D$1204,$T82,TRANSACTIONS_MASTER!$C$5:$C$1204,$C$2,TRANSACTIONS_MASTER!$U$5:$U$1204,"&lt;&gt;Cancelled"))</f>
        <v/>
      </c>
    </row>
    <row r="83">
      <c r="A83" s="81" t="str">
        <f>IF($Q83="","",76)</f>
        <v/>
      </c>
      <c r="B83" s="57" t="str">
        <f>IF($Q83="","",INDEX(TRANSACTIONS_MASTER!$B$5:$B$1204,$Q83))</f>
        <v/>
      </c>
      <c r="C83" s="55" t="str">
        <f>IF($Q83="","",INDEX(TRANSACTIONS_MASTER!$F$5:$F$1204,$Q83))</f>
        <v/>
      </c>
      <c r="D83" s="55" t="str">
        <f>IF($Q83="","",INDEX(TRANSACTIONS_MASTER!$E$5:$E$1204,$Q83))</f>
        <v/>
      </c>
      <c r="E83" s="55" t="str">
        <f>IF($Q83="","",INDEX(TRANSACTIONS_MASTER!$G$5:$G$1204,$Q83)&amp;"")</f>
        <v/>
      </c>
      <c r="F83" s="29" t="str">
        <f>IF($Q83="","",INDEX(TRANSACTIONS_MASTER!$I$5:$I$1204,$Q83))</f>
        <v/>
      </c>
      <c r="G83" s="55" t="str">
        <f>IF($Q83="","",INDEX(TRANSACTIONS_MASTER!$K$5:$K$1204,$Q83))</f>
        <v/>
      </c>
      <c r="H83" s="25" t="str">
        <f>IF($Q83="","",INDEX(TRANSACTIONS_MASTER!$L$5:$L$1204,$Q83))</f>
        <v/>
      </c>
      <c r="I83" s="56" t="str">
        <f>IF($Q83="","",INDEX(TRANSACTIONS_MASTER!$N$5:$N$1204,$Q83))</f>
        <v/>
      </c>
      <c r="J83" s="25" t="str">
        <f>IF($Q83="","",INDEX(TRANSACTIONS_MASTER!$O$5:$O$1204,$Q83))</f>
        <v/>
      </c>
      <c r="K83" s="26" t="str">
        <f>IF($Q83="","",INDEX(TRANSACTIONS_MASTER!$Q$5:$Q$1204,$Q83))</f>
        <v/>
      </c>
      <c r="L83" s="25" t="str">
        <f>IF($Q83="","",INDEX(TRANSACTIONS_MASTER!$P$5:$P$1204,$Q83))</f>
        <v/>
      </c>
      <c r="M83" s="25" t="str">
        <f>IF($Q83="","",INDEX(TRANSACTIONS_MASTER!$AA$5:$AA$1204,$Q83))</f>
        <v/>
      </c>
      <c r="N83" s="25" t="str">
        <f>IF($Q83="","",INDEX(TRANSACTIONS_MASTER!$R$5:$R$1204,$Q83))</f>
        <v/>
      </c>
      <c r="O83" s="28" t="str">
        <f>IF($Q83="","",INDEX(TRANSACTIONS_MASTER!$AB$5:$AB$1204,$Q83))</f>
        <v/>
      </c>
      <c r="P83" s="55" t="str">
        <f>IF($Q83="","",INDEX(TRANSACTIONS_MASTER!$Z$5:$Z$1204,$Q83)&amp;"")</f>
        <v/>
      </c>
      <c r="Q83" s="67" t="str">
        <f>IFERROR(MATCH($C$2&amp;"|"&amp;76,TRANSACTIONS_MASTER!$AE$5:$AE$1204,0),"")</f>
        <v/>
      </c>
      <c r="S83" s="67" t="n">
        <v>22</v>
      </c>
      <c r="T83" s="55" t="str">
        <f>IF(CARDS!$A26="","",CARDS!$A26)</f>
        <v/>
      </c>
      <c r="U83" s="55" t="str">
        <f>IF($T83="","",CARDS!$B26&amp;" "&amp;CARDS!$C26)</f>
        <v/>
      </c>
      <c r="V83" s="25" t="str">
        <f>IF($T83="","",SUMIFS(TRANSACTIONS_MASTER!$L$5:$L$1204,TRANSACTIONS_MASTER!$D$5:$D$1204,$T83,TRANSACTIONS_MASTER!$C$5:$C$1204,$C$2,TRANSACTIONS_MASTER!$U$5:$U$1204,"&lt;&gt;Cancelled"))</f>
        <v/>
      </c>
      <c r="W83" s="26" t="str">
        <f>IF($T83="","",SUMIFS(TRANSACTIONS_MASTER!$Q$5:$Q$1204,TRANSACTIONS_MASTER!$D$5:$D$1204,$T83,TRANSACTIONS_MASTER!$C$5:$C$1204,$C$2))</f>
        <v/>
      </c>
      <c r="X83" s="25" t="str">
        <f>IF($T83="","",IFERROR(IF(ISNUMBER(INDEX(CASHBACK_RULES!$K$5:$K$304,MATCH($T83,CASHBACK_RULES!$B$5:$B$304,0))),INDEX(CASHBACK_RULES!$K$5:$K$304,MATCH($T83,CASHBACK_RULES!$B$5:$B$304,0)),"∞"),"—"))</f>
        <v/>
      </c>
      <c r="Y83" s="25" t="str">
        <f>IF($T83="","",IF($X83="—","—",IF(COUNTIFS($T$8:$T$57,$T83,$Z$8:$Z$57,"∞")&gt;0,IF(ISNUMBER($X83),MAX(0,$X83-$W83),"∞"),IF(ISNUMBER($X83),MAX(0,MIN($X83-$W83,SUMIFS($Z$8:$Z$57,$T$8:$T$57,$T83))),SUMIFS($Z$8:$Z$57,$T$8:$T$57,$T83)))))</f>
        <v/>
      </c>
      <c r="Z83" s="27" t="str">
        <f>IF($T83="","",IF(ISNUMBER($X83),IF($X83=0,0,$W83/$X83),IF(ISNUMBER($Y83),IF($W83+$Y83=0,0,$W83/($W83+$Y83)),"")))</f>
        <v/>
      </c>
      <c r="AA83" s="29" t="str">
        <f>IF($T83="","",COUNTIFS(TRANSACTIONS_MASTER!$D$5:$D$1204,$T83,TRANSACTIONS_MASTER!$C$5:$C$1204,$C$2,TRANSACTIONS_MASTER!$U$5:$U$1204,"&lt;&gt;Cancelled"))</f>
        <v/>
      </c>
    </row>
    <row r="84">
      <c r="A84" s="81" t="str">
        <f>IF($Q84="","",77)</f>
        <v/>
      </c>
      <c r="B84" s="57" t="str">
        <f>IF($Q84="","",INDEX(TRANSACTIONS_MASTER!$B$5:$B$1204,$Q84))</f>
        <v/>
      </c>
      <c r="C84" s="55" t="str">
        <f>IF($Q84="","",INDEX(TRANSACTIONS_MASTER!$F$5:$F$1204,$Q84))</f>
        <v/>
      </c>
      <c r="D84" s="55" t="str">
        <f>IF($Q84="","",INDEX(TRANSACTIONS_MASTER!$E$5:$E$1204,$Q84))</f>
        <v/>
      </c>
      <c r="E84" s="55" t="str">
        <f>IF($Q84="","",INDEX(TRANSACTIONS_MASTER!$G$5:$G$1204,$Q84)&amp;"")</f>
        <v/>
      </c>
      <c r="F84" s="29" t="str">
        <f>IF($Q84="","",INDEX(TRANSACTIONS_MASTER!$I$5:$I$1204,$Q84))</f>
        <v/>
      </c>
      <c r="G84" s="55" t="str">
        <f>IF($Q84="","",INDEX(TRANSACTIONS_MASTER!$K$5:$K$1204,$Q84))</f>
        <v/>
      </c>
      <c r="H84" s="25" t="str">
        <f>IF($Q84="","",INDEX(TRANSACTIONS_MASTER!$L$5:$L$1204,$Q84))</f>
        <v/>
      </c>
      <c r="I84" s="56" t="str">
        <f>IF($Q84="","",INDEX(TRANSACTIONS_MASTER!$N$5:$N$1204,$Q84))</f>
        <v/>
      </c>
      <c r="J84" s="25" t="str">
        <f>IF($Q84="","",INDEX(TRANSACTIONS_MASTER!$O$5:$O$1204,$Q84))</f>
        <v/>
      </c>
      <c r="K84" s="26" t="str">
        <f>IF($Q84="","",INDEX(TRANSACTIONS_MASTER!$Q$5:$Q$1204,$Q84))</f>
        <v/>
      </c>
      <c r="L84" s="25" t="str">
        <f>IF($Q84="","",INDEX(TRANSACTIONS_MASTER!$P$5:$P$1204,$Q84))</f>
        <v/>
      </c>
      <c r="M84" s="25" t="str">
        <f>IF($Q84="","",INDEX(TRANSACTIONS_MASTER!$AA$5:$AA$1204,$Q84))</f>
        <v/>
      </c>
      <c r="N84" s="25" t="str">
        <f>IF($Q84="","",INDEX(TRANSACTIONS_MASTER!$R$5:$R$1204,$Q84))</f>
        <v/>
      </c>
      <c r="O84" s="28" t="str">
        <f>IF($Q84="","",INDEX(TRANSACTIONS_MASTER!$AB$5:$AB$1204,$Q84))</f>
        <v/>
      </c>
      <c r="P84" s="55" t="str">
        <f>IF($Q84="","",INDEX(TRANSACTIONS_MASTER!$Z$5:$Z$1204,$Q84)&amp;"")</f>
        <v/>
      </c>
      <c r="Q84" s="67" t="str">
        <f>IFERROR(MATCH($C$2&amp;"|"&amp;77,TRANSACTIONS_MASTER!$AE$5:$AE$1204,0),"")</f>
        <v/>
      </c>
      <c r="S84" s="67" t="n">
        <v>23</v>
      </c>
      <c r="T84" s="55" t="str">
        <f>IF(CARDS!$A27="","",CARDS!$A27)</f>
        <v/>
      </c>
      <c r="U84" s="55" t="str">
        <f>IF($T84="","",CARDS!$B27&amp;" "&amp;CARDS!$C27)</f>
        <v/>
      </c>
      <c r="V84" s="25" t="str">
        <f>IF($T84="","",SUMIFS(TRANSACTIONS_MASTER!$L$5:$L$1204,TRANSACTIONS_MASTER!$D$5:$D$1204,$T84,TRANSACTIONS_MASTER!$C$5:$C$1204,$C$2,TRANSACTIONS_MASTER!$U$5:$U$1204,"&lt;&gt;Cancelled"))</f>
        <v/>
      </c>
      <c r="W84" s="26" t="str">
        <f>IF($T84="","",SUMIFS(TRANSACTIONS_MASTER!$Q$5:$Q$1204,TRANSACTIONS_MASTER!$D$5:$D$1204,$T84,TRANSACTIONS_MASTER!$C$5:$C$1204,$C$2))</f>
        <v/>
      </c>
      <c r="X84" s="25" t="str">
        <f>IF($T84="","",IFERROR(IF(ISNUMBER(INDEX(CASHBACK_RULES!$K$5:$K$304,MATCH($T84,CASHBACK_RULES!$B$5:$B$304,0))),INDEX(CASHBACK_RULES!$K$5:$K$304,MATCH($T84,CASHBACK_RULES!$B$5:$B$304,0)),"∞"),"—"))</f>
        <v/>
      </c>
      <c r="Y84" s="25" t="str">
        <f>IF($T84="","",IF($X84="—","—",IF(COUNTIFS($T$8:$T$57,$T84,$Z$8:$Z$57,"∞")&gt;0,IF(ISNUMBER($X84),MAX(0,$X84-$W84),"∞"),IF(ISNUMBER($X84),MAX(0,MIN($X84-$W84,SUMIFS($Z$8:$Z$57,$T$8:$T$57,$T84))),SUMIFS($Z$8:$Z$57,$T$8:$T$57,$T84)))))</f>
        <v/>
      </c>
      <c r="Z84" s="27" t="str">
        <f>IF($T84="","",IF(ISNUMBER($X84),IF($X84=0,0,$W84/$X84),IF(ISNUMBER($Y84),IF($W84+$Y84=0,0,$W84/($W84+$Y84)),"")))</f>
        <v/>
      </c>
      <c r="AA84" s="29" t="str">
        <f>IF($T84="","",COUNTIFS(TRANSACTIONS_MASTER!$D$5:$D$1204,$T84,TRANSACTIONS_MASTER!$C$5:$C$1204,$C$2,TRANSACTIONS_MASTER!$U$5:$U$1204,"&lt;&gt;Cancelled"))</f>
        <v/>
      </c>
    </row>
    <row r="85">
      <c r="A85" s="81" t="str">
        <f>IF($Q85="","",78)</f>
        <v/>
      </c>
      <c r="B85" s="57" t="str">
        <f>IF($Q85="","",INDEX(TRANSACTIONS_MASTER!$B$5:$B$1204,$Q85))</f>
        <v/>
      </c>
      <c r="C85" s="55" t="str">
        <f>IF($Q85="","",INDEX(TRANSACTIONS_MASTER!$F$5:$F$1204,$Q85))</f>
        <v/>
      </c>
      <c r="D85" s="55" t="str">
        <f>IF($Q85="","",INDEX(TRANSACTIONS_MASTER!$E$5:$E$1204,$Q85))</f>
        <v/>
      </c>
      <c r="E85" s="55" t="str">
        <f>IF($Q85="","",INDEX(TRANSACTIONS_MASTER!$G$5:$G$1204,$Q85)&amp;"")</f>
        <v/>
      </c>
      <c r="F85" s="29" t="str">
        <f>IF($Q85="","",INDEX(TRANSACTIONS_MASTER!$I$5:$I$1204,$Q85))</f>
        <v/>
      </c>
      <c r="G85" s="55" t="str">
        <f>IF($Q85="","",INDEX(TRANSACTIONS_MASTER!$K$5:$K$1204,$Q85))</f>
        <v/>
      </c>
      <c r="H85" s="25" t="str">
        <f>IF($Q85="","",INDEX(TRANSACTIONS_MASTER!$L$5:$L$1204,$Q85))</f>
        <v/>
      </c>
      <c r="I85" s="56" t="str">
        <f>IF($Q85="","",INDEX(TRANSACTIONS_MASTER!$N$5:$N$1204,$Q85))</f>
        <v/>
      </c>
      <c r="J85" s="25" t="str">
        <f>IF($Q85="","",INDEX(TRANSACTIONS_MASTER!$O$5:$O$1204,$Q85))</f>
        <v/>
      </c>
      <c r="K85" s="26" t="str">
        <f>IF($Q85="","",INDEX(TRANSACTIONS_MASTER!$Q$5:$Q$1204,$Q85))</f>
        <v/>
      </c>
      <c r="L85" s="25" t="str">
        <f>IF($Q85="","",INDEX(TRANSACTIONS_MASTER!$P$5:$P$1204,$Q85))</f>
        <v/>
      </c>
      <c r="M85" s="25" t="str">
        <f>IF($Q85="","",INDEX(TRANSACTIONS_MASTER!$AA$5:$AA$1204,$Q85))</f>
        <v/>
      </c>
      <c r="N85" s="25" t="str">
        <f>IF($Q85="","",INDEX(TRANSACTIONS_MASTER!$R$5:$R$1204,$Q85))</f>
        <v/>
      </c>
      <c r="O85" s="28" t="str">
        <f>IF($Q85="","",INDEX(TRANSACTIONS_MASTER!$AB$5:$AB$1204,$Q85))</f>
        <v/>
      </c>
      <c r="P85" s="55" t="str">
        <f>IF($Q85="","",INDEX(TRANSACTIONS_MASTER!$Z$5:$Z$1204,$Q85)&amp;"")</f>
        <v/>
      </c>
      <c r="Q85" s="67" t="str">
        <f>IFERROR(MATCH($C$2&amp;"|"&amp;78,TRANSACTIONS_MASTER!$AE$5:$AE$1204,0),"")</f>
        <v/>
      </c>
      <c r="S85" s="67" t="n">
        <v>24</v>
      </c>
      <c r="T85" s="55" t="str">
        <f>IF(CARDS!$A28="","",CARDS!$A28)</f>
        <v/>
      </c>
      <c r="U85" s="55" t="str">
        <f>IF($T85="","",CARDS!$B28&amp;" "&amp;CARDS!$C28)</f>
        <v/>
      </c>
      <c r="V85" s="25" t="str">
        <f>IF($T85="","",SUMIFS(TRANSACTIONS_MASTER!$L$5:$L$1204,TRANSACTIONS_MASTER!$D$5:$D$1204,$T85,TRANSACTIONS_MASTER!$C$5:$C$1204,$C$2,TRANSACTIONS_MASTER!$U$5:$U$1204,"&lt;&gt;Cancelled"))</f>
        <v/>
      </c>
      <c r="W85" s="26" t="str">
        <f>IF($T85="","",SUMIFS(TRANSACTIONS_MASTER!$Q$5:$Q$1204,TRANSACTIONS_MASTER!$D$5:$D$1204,$T85,TRANSACTIONS_MASTER!$C$5:$C$1204,$C$2))</f>
        <v/>
      </c>
      <c r="X85" s="25" t="str">
        <f>IF($T85="","",IFERROR(IF(ISNUMBER(INDEX(CASHBACK_RULES!$K$5:$K$304,MATCH($T85,CASHBACK_RULES!$B$5:$B$304,0))),INDEX(CASHBACK_RULES!$K$5:$K$304,MATCH($T85,CASHBACK_RULES!$B$5:$B$304,0)),"∞"),"—"))</f>
        <v/>
      </c>
      <c r="Y85" s="25" t="str">
        <f>IF($T85="","",IF($X85="—","—",IF(COUNTIFS($T$8:$T$57,$T85,$Z$8:$Z$57,"∞")&gt;0,IF(ISNUMBER($X85),MAX(0,$X85-$W85),"∞"),IF(ISNUMBER($X85),MAX(0,MIN($X85-$W85,SUMIFS($Z$8:$Z$57,$T$8:$T$57,$T85))),SUMIFS($Z$8:$Z$57,$T$8:$T$57,$T85)))))</f>
        <v/>
      </c>
      <c r="Z85" s="27" t="str">
        <f>IF($T85="","",IF(ISNUMBER($X85),IF($X85=0,0,$W85/$X85),IF(ISNUMBER($Y85),IF($W85+$Y85=0,0,$W85/($W85+$Y85)),"")))</f>
        <v/>
      </c>
      <c r="AA85" s="29" t="str">
        <f>IF($T85="","",COUNTIFS(TRANSACTIONS_MASTER!$D$5:$D$1204,$T85,TRANSACTIONS_MASTER!$C$5:$C$1204,$C$2,TRANSACTIONS_MASTER!$U$5:$U$1204,"&lt;&gt;Cancelled"))</f>
        <v/>
      </c>
    </row>
    <row r="86">
      <c r="A86" s="81" t="str">
        <f>IF($Q86="","",79)</f>
        <v/>
      </c>
      <c r="B86" s="57" t="str">
        <f>IF($Q86="","",INDEX(TRANSACTIONS_MASTER!$B$5:$B$1204,$Q86))</f>
        <v/>
      </c>
      <c r="C86" s="55" t="str">
        <f>IF($Q86="","",INDEX(TRANSACTIONS_MASTER!$F$5:$F$1204,$Q86))</f>
        <v/>
      </c>
      <c r="D86" s="55" t="str">
        <f>IF($Q86="","",INDEX(TRANSACTIONS_MASTER!$E$5:$E$1204,$Q86))</f>
        <v/>
      </c>
      <c r="E86" s="55" t="str">
        <f>IF($Q86="","",INDEX(TRANSACTIONS_MASTER!$G$5:$G$1204,$Q86)&amp;"")</f>
        <v/>
      </c>
      <c r="F86" s="29" t="str">
        <f>IF($Q86="","",INDEX(TRANSACTIONS_MASTER!$I$5:$I$1204,$Q86))</f>
        <v/>
      </c>
      <c r="G86" s="55" t="str">
        <f>IF($Q86="","",INDEX(TRANSACTIONS_MASTER!$K$5:$K$1204,$Q86))</f>
        <v/>
      </c>
      <c r="H86" s="25" t="str">
        <f>IF($Q86="","",INDEX(TRANSACTIONS_MASTER!$L$5:$L$1204,$Q86))</f>
        <v/>
      </c>
      <c r="I86" s="56" t="str">
        <f>IF($Q86="","",INDEX(TRANSACTIONS_MASTER!$N$5:$N$1204,$Q86))</f>
        <v/>
      </c>
      <c r="J86" s="25" t="str">
        <f>IF($Q86="","",INDEX(TRANSACTIONS_MASTER!$O$5:$O$1204,$Q86))</f>
        <v/>
      </c>
      <c r="K86" s="26" t="str">
        <f>IF($Q86="","",INDEX(TRANSACTIONS_MASTER!$Q$5:$Q$1204,$Q86))</f>
        <v/>
      </c>
      <c r="L86" s="25" t="str">
        <f>IF($Q86="","",INDEX(TRANSACTIONS_MASTER!$P$5:$P$1204,$Q86))</f>
        <v/>
      </c>
      <c r="M86" s="25" t="str">
        <f>IF($Q86="","",INDEX(TRANSACTIONS_MASTER!$AA$5:$AA$1204,$Q86))</f>
        <v/>
      </c>
      <c r="N86" s="25" t="str">
        <f>IF($Q86="","",INDEX(TRANSACTIONS_MASTER!$R$5:$R$1204,$Q86))</f>
        <v/>
      </c>
      <c r="O86" s="28" t="str">
        <f>IF($Q86="","",INDEX(TRANSACTIONS_MASTER!$AB$5:$AB$1204,$Q86))</f>
        <v/>
      </c>
      <c r="P86" s="55" t="str">
        <f>IF($Q86="","",INDEX(TRANSACTIONS_MASTER!$Z$5:$Z$1204,$Q86)&amp;"")</f>
        <v/>
      </c>
      <c r="Q86" s="67" t="str">
        <f>IFERROR(MATCH($C$2&amp;"|"&amp;79,TRANSACTIONS_MASTER!$AE$5:$AE$1204,0),"")</f>
        <v/>
      </c>
      <c r="S86" s="67" t="n">
        <v>25</v>
      </c>
      <c r="T86" s="55" t="str">
        <f>IF(CARDS!$A29="","",CARDS!$A29)</f>
        <v/>
      </c>
      <c r="U86" s="55" t="str">
        <f>IF($T86="","",CARDS!$B29&amp;" "&amp;CARDS!$C29)</f>
        <v/>
      </c>
      <c r="V86" s="25" t="str">
        <f>IF($T86="","",SUMIFS(TRANSACTIONS_MASTER!$L$5:$L$1204,TRANSACTIONS_MASTER!$D$5:$D$1204,$T86,TRANSACTIONS_MASTER!$C$5:$C$1204,$C$2,TRANSACTIONS_MASTER!$U$5:$U$1204,"&lt;&gt;Cancelled"))</f>
        <v/>
      </c>
      <c r="W86" s="26" t="str">
        <f>IF($T86="","",SUMIFS(TRANSACTIONS_MASTER!$Q$5:$Q$1204,TRANSACTIONS_MASTER!$D$5:$D$1204,$T86,TRANSACTIONS_MASTER!$C$5:$C$1204,$C$2))</f>
        <v/>
      </c>
      <c r="X86" s="25" t="str">
        <f>IF($T86="","",IFERROR(IF(ISNUMBER(INDEX(CASHBACK_RULES!$K$5:$K$304,MATCH($T86,CASHBACK_RULES!$B$5:$B$304,0))),INDEX(CASHBACK_RULES!$K$5:$K$304,MATCH($T86,CASHBACK_RULES!$B$5:$B$304,0)),"∞"),"—"))</f>
        <v/>
      </c>
      <c r="Y86" s="25" t="str">
        <f>IF($T86="","",IF($X86="—","—",IF(COUNTIFS($T$8:$T$57,$T86,$Z$8:$Z$57,"∞")&gt;0,IF(ISNUMBER($X86),MAX(0,$X86-$W86),"∞"),IF(ISNUMBER($X86),MAX(0,MIN($X86-$W86,SUMIFS($Z$8:$Z$57,$T$8:$T$57,$T86))),SUMIFS($Z$8:$Z$57,$T$8:$T$57,$T86)))))</f>
        <v/>
      </c>
      <c r="Z86" s="27" t="str">
        <f>IF($T86="","",IF(ISNUMBER($X86),IF($X86=0,0,$W86/$X86),IF(ISNUMBER($Y86),IF($W86+$Y86=0,0,$W86/($W86+$Y86)),"")))</f>
        <v/>
      </c>
      <c r="AA86" s="29" t="str">
        <f>IF($T86="","",COUNTIFS(TRANSACTIONS_MASTER!$D$5:$D$1204,$T86,TRANSACTIONS_MASTER!$C$5:$C$1204,$C$2,TRANSACTIONS_MASTER!$U$5:$U$1204,"&lt;&gt;Cancelled"))</f>
        <v/>
      </c>
    </row>
    <row r="87">
      <c r="A87" s="81" t="str">
        <f>IF($Q87="","",80)</f>
        <v/>
      </c>
      <c r="B87" s="57" t="str">
        <f>IF($Q87="","",INDEX(TRANSACTIONS_MASTER!$B$5:$B$1204,$Q87))</f>
        <v/>
      </c>
      <c r="C87" s="55" t="str">
        <f>IF($Q87="","",INDEX(TRANSACTIONS_MASTER!$F$5:$F$1204,$Q87))</f>
        <v/>
      </c>
      <c r="D87" s="55" t="str">
        <f>IF($Q87="","",INDEX(TRANSACTIONS_MASTER!$E$5:$E$1204,$Q87))</f>
        <v/>
      </c>
      <c r="E87" s="55" t="str">
        <f>IF($Q87="","",INDEX(TRANSACTIONS_MASTER!$G$5:$G$1204,$Q87)&amp;"")</f>
        <v/>
      </c>
      <c r="F87" s="29" t="str">
        <f>IF($Q87="","",INDEX(TRANSACTIONS_MASTER!$I$5:$I$1204,$Q87))</f>
        <v/>
      </c>
      <c r="G87" s="55" t="str">
        <f>IF($Q87="","",INDEX(TRANSACTIONS_MASTER!$K$5:$K$1204,$Q87))</f>
        <v/>
      </c>
      <c r="H87" s="25" t="str">
        <f>IF($Q87="","",INDEX(TRANSACTIONS_MASTER!$L$5:$L$1204,$Q87))</f>
        <v/>
      </c>
      <c r="I87" s="56" t="str">
        <f>IF($Q87="","",INDEX(TRANSACTIONS_MASTER!$N$5:$N$1204,$Q87))</f>
        <v/>
      </c>
      <c r="J87" s="25" t="str">
        <f>IF($Q87="","",INDEX(TRANSACTIONS_MASTER!$O$5:$O$1204,$Q87))</f>
        <v/>
      </c>
      <c r="K87" s="26" t="str">
        <f>IF($Q87="","",INDEX(TRANSACTIONS_MASTER!$Q$5:$Q$1204,$Q87))</f>
        <v/>
      </c>
      <c r="L87" s="25" t="str">
        <f>IF($Q87="","",INDEX(TRANSACTIONS_MASTER!$P$5:$P$1204,$Q87))</f>
        <v/>
      </c>
      <c r="M87" s="25" t="str">
        <f>IF($Q87="","",INDEX(TRANSACTIONS_MASTER!$AA$5:$AA$1204,$Q87))</f>
        <v/>
      </c>
      <c r="N87" s="25" t="str">
        <f>IF($Q87="","",INDEX(TRANSACTIONS_MASTER!$R$5:$R$1204,$Q87))</f>
        <v/>
      </c>
      <c r="O87" s="28" t="str">
        <f>IF($Q87="","",INDEX(TRANSACTIONS_MASTER!$AB$5:$AB$1204,$Q87))</f>
        <v/>
      </c>
      <c r="P87" s="55" t="str">
        <f>IF($Q87="","",INDEX(TRANSACTIONS_MASTER!$Z$5:$Z$1204,$Q87)&amp;"")</f>
        <v/>
      </c>
      <c r="Q87" s="67" t="str">
        <f>IFERROR(MATCH($C$2&amp;"|"&amp;80,TRANSACTIONS_MASTER!$AE$5:$AE$1204,0),"")</f>
        <v/>
      </c>
      <c r="S87" s="67" t="n">
        <v>26</v>
      </c>
      <c r="T87" s="55" t="str">
        <f>IF(CARDS!$A30="","",CARDS!$A30)</f>
        <v/>
      </c>
      <c r="U87" s="55" t="str">
        <f>IF($T87="","",CARDS!$B30&amp;" "&amp;CARDS!$C30)</f>
        <v/>
      </c>
      <c r="V87" s="25" t="str">
        <f>IF($T87="","",SUMIFS(TRANSACTIONS_MASTER!$L$5:$L$1204,TRANSACTIONS_MASTER!$D$5:$D$1204,$T87,TRANSACTIONS_MASTER!$C$5:$C$1204,$C$2,TRANSACTIONS_MASTER!$U$5:$U$1204,"&lt;&gt;Cancelled"))</f>
        <v/>
      </c>
      <c r="W87" s="26" t="str">
        <f>IF($T87="","",SUMIFS(TRANSACTIONS_MASTER!$Q$5:$Q$1204,TRANSACTIONS_MASTER!$D$5:$D$1204,$T87,TRANSACTIONS_MASTER!$C$5:$C$1204,$C$2))</f>
        <v/>
      </c>
      <c r="X87" s="25" t="str">
        <f>IF($T87="","",IFERROR(IF(ISNUMBER(INDEX(CASHBACK_RULES!$K$5:$K$304,MATCH($T87,CASHBACK_RULES!$B$5:$B$304,0))),INDEX(CASHBACK_RULES!$K$5:$K$304,MATCH($T87,CASHBACK_RULES!$B$5:$B$304,0)),"∞"),"—"))</f>
        <v/>
      </c>
      <c r="Y87" s="25" t="str">
        <f>IF($T87="","",IF($X87="—","—",IF(COUNTIFS($T$8:$T$57,$T87,$Z$8:$Z$57,"∞")&gt;0,IF(ISNUMBER($X87),MAX(0,$X87-$W87),"∞"),IF(ISNUMBER($X87),MAX(0,MIN($X87-$W87,SUMIFS($Z$8:$Z$57,$T$8:$T$57,$T87))),SUMIFS($Z$8:$Z$57,$T$8:$T$57,$T87)))))</f>
        <v/>
      </c>
      <c r="Z87" s="27" t="str">
        <f>IF($T87="","",IF(ISNUMBER($X87),IF($X87=0,0,$W87/$X87),IF(ISNUMBER($Y87),IF($W87+$Y87=0,0,$W87/($W87+$Y87)),"")))</f>
        <v/>
      </c>
      <c r="AA87" s="29" t="str">
        <f>IF($T87="","",COUNTIFS(TRANSACTIONS_MASTER!$D$5:$D$1204,$T87,TRANSACTIONS_MASTER!$C$5:$C$1204,$C$2,TRANSACTIONS_MASTER!$U$5:$U$1204,"&lt;&gt;Cancelled"))</f>
        <v/>
      </c>
    </row>
    <row r="88">
      <c r="A88" s="81" t="str">
        <f>IF($Q88="","",81)</f>
        <v/>
      </c>
      <c r="B88" s="57" t="str">
        <f>IF($Q88="","",INDEX(TRANSACTIONS_MASTER!$B$5:$B$1204,$Q88))</f>
        <v/>
      </c>
      <c r="C88" s="55" t="str">
        <f>IF($Q88="","",INDEX(TRANSACTIONS_MASTER!$F$5:$F$1204,$Q88))</f>
        <v/>
      </c>
      <c r="D88" s="55" t="str">
        <f>IF($Q88="","",INDEX(TRANSACTIONS_MASTER!$E$5:$E$1204,$Q88))</f>
        <v/>
      </c>
      <c r="E88" s="55" t="str">
        <f>IF($Q88="","",INDEX(TRANSACTIONS_MASTER!$G$5:$G$1204,$Q88)&amp;"")</f>
        <v/>
      </c>
      <c r="F88" s="29" t="str">
        <f>IF($Q88="","",INDEX(TRANSACTIONS_MASTER!$I$5:$I$1204,$Q88))</f>
        <v/>
      </c>
      <c r="G88" s="55" t="str">
        <f>IF($Q88="","",INDEX(TRANSACTIONS_MASTER!$K$5:$K$1204,$Q88))</f>
        <v/>
      </c>
      <c r="H88" s="25" t="str">
        <f>IF($Q88="","",INDEX(TRANSACTIONS_MASTER!$L$5:$L$1204,$Q88))</f>
        <v/>
      </c>
      <c r="I88" s="56" t="str">
        <f>IF($Q88="","",INDEX(TRANSACTIONS_MASTER!$N$5:$N$1204,$Q88))</f>
        <v/>
      </c>
      <c r="J88" s="25" t="str">
        <f>IF($Q88="","",INDEX(TRANSACTIONS_MASTER!$O$5:$O$1204,$Q88))</f>
        <v/>
      </c>
      <c r="K88" s="26" t="str">
        <f>IF($Q88="","",INDEX(TRANSACTIONS_MASTER!$Q$5:$Q$1204,$Q88))</f>
        <v/>
      </c>
      <c r="L88" s="25" t="str">
        <f>IF($Q88="","",INDEX(TRANSACTIONS_MASTER!$P$5:$P$1204,$Q88))</f>
        <v/>
      </c>
      <c r="M88" s="25" t="str">
        <f>IF($Q88="","",INDEX(TRANSACTIONS_MASTER!$AA$5:$AA$1204,$Q88))</f>
        <v/>
      </c>
      <c r="N88" s="25" t="str">
        <f>IF($Q88="","",INDEX(TRANSACTIONS_MASTER!$R$5:$R$1204,$Q88))</f>
        <v/>
      </c>
      <c r="O88" s="28" t="str">
        <f>IF($Q88="","",INDEX(TRANSACTIONS_MASTER!$AB$5:$AB$1204,$Q88))</f>
        <v/>
      </c>
      <c r="P88" s="55" t="str">
        <f>IF($Q88="","",INDEX(TRANSACTIONS_MASTER!$Z$5:$Z$1204,$Q88)&amp;"")</f>
        <v/>
      </c>
      <c r="Q88" s="67" t="str">
        <f>IFERROR(MATCH($C$2&amp;"|"&amp;81,TRANSACTIONS_MASTER!$AE$5:$AE$1204,0),"")</f>
        <v/>
      </c>
      <c r="S88" s="67" t="n">
        <v>27</v>
      </c>
      <c r="T88" s="55" t="str">
        <f>IF(CARDS!$A31="","",CARDS!$A31)</f>
        <v/>
      </c>
      <c r="U88" s="55" t="str">
        <f>IF($T88="","",CARDS!$B31&amp;" "&amp;CARDS!$C31)</f>
        <v/>
      </c>
      <c r="V88" s="25" t="str">
        <f>IF($T88="","",SUMIFS(TRANSACTIONS_MASTER!$L$5:$L$1204,TRANSACTIONS_MASTER!$D$5:$D$1204,$T88,TRANSACTIONS_MASTER!$C$5:$C$1204,$C$2,TRANSACTIONS_MASTER!$U$5:$U$1204,"&lt;&gt;Cancelled"))</f>
        <v/>
      </c>
      <c r="W88" s="26" t="str">
        <f>IF($T88="","",SUMIFS(TRANSACTIONS_MASTER!$Q$5:$Q$1204,TRANSACTIONS_MASTER!$D$5:$D$1204,$T88,TRANSACTIONS_MASTER!$C$5:$C$1204,$C$2))</f>
        <v/>
      </c>
      <c r="X88" s="25" t="str">
        <f>IF($T88="","",IFERROR(IF(ISNUMBER(INDEX(CASHBACK_RULES!$K$5:$K$304,MATCH($T88,CASHBACK_RULES!$B$5:$B$304,0))),INDEX(CASHBACK_RULES!$K$5:$K$304,MATCH($T88,CASHBACK_RULES!$B$5:$B$304,0)),"∞"),"—"))</f>
        <v/>
      </c>
      <c r="Y88" s="25" t="str">
        <f>IF($T88="","",IF($X88="—","—",IF(COUNTIFS($T$8:$T$57,$T88,$Z$8:$Z$57,"∞")&gt;0,IF(ISNUMBER($X88),MAX(0,$X88-$W88),"∞"),IF(ISNUMBER($X88),MAX(0,MIN($X88-$W88,SUMIFS($Z$8:$Z$57,$T$8:$T$57,$T88))),SUMIFS($Z$8:$Z$57,$T$8:$T$57,$T88)))))</f>
        <v/>
      </c>
      <c r="Z88" s="27" t="str">
        <f>IF($T88="","",IF(ISNUMBER($X88),IF($X88=0,0,$W88/$X88),IF(ISNUMBER($Y88),IF($W88+$Y88=0,0,$W88/($W88+$Y88)),"")))</f>
        <v/>
      </c>
      <c r="AA88" s="29" t="str">
        <f>IF($T88="","",COUNTIFS(TRANSACTIONS_MASTER!$D$5:$D$1204,$T88,TRANSACTIONS_MASTER!$C$5:$C$1204,$C$2,TRANSACTIONS_MASTER!$U$5:$U$1204,"&lt;&gt;Cancelled"))</f>
        <v/>
      </c>
    </row>
    <row r="89">
      <c r="A89" s="81" t="str">
        <f>IF($Q89="","",82)</f>
        <v/>
      </c>
      <c r="B89" s="57" t="str">
        <f>IF($Q89="","",INDEX(TRANSACTIONS_MASTER!$B$5:$B$1204,$Q89))</f>
        <v/>
      </c>
      <c r="C89" s="55" t="str">
        <f>IF($Q89="","",INDEX(TRANSACTIONS_MASTER!$F$5:$F$1204,$Q89))</f>
        <v/>
      </c>
      <c r="D89" s="55" t="str">
        <f>IF($Q89="","",INDEX(TRANSACTIONS_MASTER!$E$5:$E$1204,$Q89))</f>
        <v/>
      </c>
      <c r="E89" s="55" t="str">
        <f>IF($Q89="","",INDEX(TRANSACTIONS_MASTER!$G$5:$G$1204,$Q89)&amp;"")</f>
        <v/>
      </c>
      <c r="F89" s="29" t="str">
        <f>IF($Q89="","",INDEX(TRANSACTIONS_MASTER!$I$5:$I$1204,$Q89))</f>
        <v/>
      </c>
      <c r="G89" s="55" t="str">
        <f>IF($Q89="","",INDEX(TRANSACTIONS_MASTER!$K$5:$K$1204,$Q89))</f>
        <v/>
      </c>
      <c r="H89" s="25" t="str">
        <f>IF($Q89="","",INDEX(TRANSACTIONS_MASTER!$L$5:$L$1204,$Q89))</f>
        <v/>
      </c>
      <c r="I89" s="56" t="str">
        <f>IF($Q89="","",INDEX(TRANSACTIONS_MASTER!$N$5:$N$1204,$Q89))</f>
        <v/>
      </c>
      <c r="J89" s="25" t="str">
        <f>IF($Q89="","",INDEX(TRANSACTIONS_MASTER!$O$5:$O$1204,$Q89))</f>
        <v/>
      </c>
      <c r="K89" s="26" t="str">
        <f>IF($Q89="","",INDEX(TRANSACTIONS_MASTER!$Q$5:$Q$1204,$Q89))</f>
        <v/>
      </c>
      <c r="L89" s="25" t="str">
        <f>IF($Q89="","",INDEX(TRANSACTIONS_MASTER!$P$5:$P$1204,$Q89))</f>
        <v/>
      </c>
      <c r="M89" s="25" t="str">
        <f>IF($Q89="","",INDEX(TRANSACTIONS_MASTER!$AA$5:$AA$1204,$Q89))</f>
        <v/>
      </c>
      <c r="N89" s="25" t="str">
        <f>IF($Q89="","",INDEX(TRANSACTIONS_MASTER!$R$5:$R$1204,$Q89))</f>
        <v/>
      </c>
      <c r="O89" s="28" t="str">
        <f>IF($Q89="","",INDEX(TRANSACTIONS_MASTER!$AB$5:$AB$1204,$Q89))</f>
        <v/>
      </c>
      <c r="P89" s="55" t="str">
        <f>IF($Q89="","",INDEX(TRANSACTIONS_MASTER!$Z$5:$Z$1204,$Q89)&amp;"")</f>
        <v/>
      </c>
      <c r="Q89" s="67" t="str">
        <f>IFERROR(MATCH($C$2&amp;"|"&amp;82,TRANSACTIONS_MASTER!$AE$5:$AE$1204,0),"")</f>
        <v/>
      </c>
      <c r="S89" s="67" t="n">
        <v>28</v>
      </c>
      <c r="T89" s="55" t="str">
        <f>IF(CARDS!$A32="","",CARDS!$A32)</f>
        <v/>
      </c>
      <c r="U89" s="55" t="str">
        <f>IF($T89="","",CARDS!$B32&amp;" "&amp;CARDS!$C32)</f>
        <v/>
      </c>
      <c r="V89" s="25" t="str">
        <f>IF($T89="","",SUMIFS(TRANSACTIONS_MASTER!$L$5:$L$1204,TRANSACTIONS_MASTER!$D$5:$D$1204,$T89,TRANSACTIONS_MASTER!$C$5:$C$1204,$C$2,TRANSACTIONS_MASTER!$U$5:$U$1204,"&lt;&gt;Cancelled"))</f>
        <v/>
      </c>
      <c r="W89" s="26" t="str">
        <f>IF($T89="","",SUMIFS(TRANSACTIONS_MASTER!$Q$5:$Q$1204,TRANSACTIONS_MASTER!$D$5:$D$1204,$T89,TRANSACTIONS_MASTER!$C$5:$C$1204,$C$2))</f>
        <v/>
      </c>
      <c r="X89" s="25" t="str">
        <f>IF($T89="","",IFERROR(IF(ISNUMBER(INDEX(CASHBACK_RULES!$K$5:$K$304,MATCH($T89,CASHBACK_RULES!$B$5:$B$304,0))),INDEX(CASHBACK_RULES!$K$5:$K$304,MATCH($T89,CASHBACK_RULES!$B$5:$B$304,0)),"∞"),"—"))</f>
        <v/>
      </c>
      <c r="Y89" s="25" t="str">
        <f>IF($T89="","",IF($X89="—","—",IF(COUNTIFS($T$8:$T$57,$T89,$Z$8:$Z$57,"∞")&gt;0,IF(ISNUMBER($X89),MAX(0,$X89-$W89),"∞"),IF(ISNUMBER($X89),MAX(0,MIN($X89-$W89,SUMIFS($Z$8:$Z$57,$T$8:$T$57,$T89))),SUMIFS($Z$8:$Z$57,$T$8:$T$57,$T89)))))</f>
        <v/>
      </c>
      <c r="Z89" s="27" t="str">
        <f>IF($T89="","",IF(ISNUMBER($X89),IF($X89=0,0,$W89/$X89),IF(ISNUMBER($Y89),IF($W89+$Y89=0,0,$W89/($W89+$Y89)),"")))</f>
        <v/>
      </c>
      <c r="AA89" s="29" t="str">
        <f>IF($T89="","",COUNTIFS(TRANSACTIONS_MASTER!$D$5:$D$1204,$T89,TRANSACTIONS_MASTER!$C$5:$C$1204,$C$2,TRANSACTIONS_MASTER!$U$5:$U$1204,"&lt;&gt;Cancelled"))</f>
        <v/>
      </c>
    </row>
    <row r="90">
      <c r="A90" s="81" t="str">
        <f>IF($Q90="","",83)</f>
        <v/>
      </c>
      <c r="B90" s="57" t="str">
        <f>IF($Q90="","",INDEX(TRANSACTIONS_MASTER!$B$5:$B$1204,$Q90))</f>
        <v/>
      </c>
      <c r="C90" s="55" t="str">
        <f>IF($Q90="","",INDEX(TRANSACTIONS_MASTER!$F$5:$F$1204,$Q90))</f>
        <v/>
      </c>
      <c r="D90" s="55" t="str">
        <f>IF($Q90="","",INDEX(TRANSACTIONS_MASTER!$E$5:$E$1204,$Q90))</f>
        <v/>
      </c>
      <c r="E90" s="55" t="str">
        <f>IF($Q90="","",INDEX(TRANSACTIONS_MASTER!$G$5:$G$1204,$Q90)&amp;"")</f>
        <v/>
      </c>
      <c r="F90" s="29" t="str">
        <f>IF($Q90="","",INDEX(TRANSACTIONS_MASTER!$I$5:$I$1204,$Q90))</f>
        <v/>
      </c>
      <c r="G90" s="55" t="str">
        <f>IF($Q90="","",INDEX(TRANSACTIONS_MASTER!$K$5:$K$1204,$Q90))</f>
        <v/>
      </c>
      <c r="H90" s="25" t="str">
        <f>IF($Q90="","",INDEX(TRANSACTIONS_MASTER!$L$5:$L$1204,$Q90))</f>
        <v/>
      </c>
      <c r="I90" s="56" t="str">
        <f>IF($Q90="","",INDEX(TRANSACTIONS_MASTER!$N$5:$N$1204,$Q90))</f>
        <v/>
      </c>
      <c r="J90" s="25" t="str">
        <f>IF($Q90="","",INDEX(TRANSACTIONS_MASTER!$O$5:$O$1204,$Q90))</f>
        <v/>
      </c>
      <c r="K90" s="26" t="str">
        <f>IF($Q90="","",INDEX(TRANSACTIONS_MASTER!$Q$5:$Q$1204,$Q90))</f>
        <v/>
      </c>
      <c r="L90" s="25" t="str">
        <f>IF($Q90="","",INDEX(TRANSACTIONS_MASTER!$P$5:$P$1204,$Q90))</f>
        <v/>
      </c>
      <c r="M90" s="25" t="str">
        <f>IF($Q90="","",INDEX(TRANSACTIONS_MASTER!$AA$5:$AA$1204,$Q90))</f>
        <v/>
      </c>
      <c r="N90" s="25" t="str">
        <f>IF($Q90="","",INDEX(TRANSACTIONS_MASTER!$R$5:$R$1204,$Q90))</f>
        <v/>
      </c>
      <c r="O90" s="28" t="str">
        <f>IF($Q90="","",INDEX(TRANSACTIONS_MASTER!$AB$5:$AB$1204,$Q90))</f>
        <v/>
      </c>
      <c r="P90" s="55" t="str">
        <f>IF($Q90="","",INDEX(TRANSACTIONS_MASTER!$Z$5:$Z$1204,$Q90)&amp;"")</f>
        <v/>
      </c>
      <c r="Q90" s="67" t="str">
        <f>IFERROR(MATCH($C$2&amp;"|"&amp;83,TRANSACTIONS_MASTER!$AE$5:$AE$1204,0),"")</f>
        <v/>
      </c>
      <c r="S90" s="67" t="n">
        <v>29</v>
      </c>
      <c r="T90" s="55" t="str">
        <f>IF(CARDS!$A33="","",CARDS!$A33)</f>
        <v/>
      </c>
      <c r="U90" s="55" t="str">
        <f>IF($T90="","",CARDS!$B33&amp;" "&amp;CARDS!$C33)</f>
        <v/>
      </c>
      <c r="V90" s="25" t="str">
        <f>IF($T90="","",SUMIFS(TRANSACTIONS_MASTER!$L$5:$L$1204,TRANSACTIONS_MASTER!$D$5:$D$1204,$T90,TRANSACTIONS_MASTER!$C$5:$C$1204,$C$2,TRANSACTIONS_MASTER!$U$5:$U$1204,"&lt;&gt;Cancelled"))</f>
        <v/>
      </c>
      <c r="W90" s="26" t="str">
        <f>IF($T90="","",SUMIFS(TRANSACTIONS_MASTER!$Q$5:$Q$1204,TRANSACTIONS_MASTER!$D$5:$D$1204,$T90,TRANSACTIONS_MASTER!$C$5:$C$1204,$C$2))</f>
        <v/>
      </c>
      <c r="X90" s="25" t="str">
        <f>IF($T90="","",IFERROR(IF(ISNUMBER(INDEX(CASHBACK_RULES!$K$5:$K$304,MATCH($T90,CASHBACK_RULES!$B$5:$B$304,0))),INDEX(CASHBACK_RULES!$K$5:$K$304,MATCH($T90,CASHBACK_RULES!$B$5:$B$304,0)),"∞"),"—"))</f>
        <v/>
      </c>
      <c r="Y90" s="25" t="str">
        <f>IF($T90="","",IF($X90="—","—",IF(COUNTIFS($T$8:$T$57,$T90,$Z$8:$Z$57,"∞")&gt;0,IF(ISNUMBER($X90),MAX(0,$X90-$W90),"∞"),IF(ISNUMBER($X90),MAX(0,MIN($X90-$W90,SUMIFS($Z$8:$Z$57,$T$8:$T$57,$T90))),SUMIFS($Z$8:$Z$57,$T$8:$T$57,$T90)))))</f>
        <v/>
      </c>
      <c r="Z90" s="27" t="str">
        <f>IF($T90="","",IF(ISNUMBER($X90),IF($X90=0,0,$W90/$X90),IF(ISNUMBER($Y90),IF($W90+$Y90=0,0,$W90/($W90+$Y90)),"")))</f>
        <v/>
      </c>
      <c r="AA90" s="29" t="str">
        <f>IF($T90="","",COUNTIFS(TRANSACTIONS_MASTER!$D$5:$D$1204,$T90,TRANSACTIONS_MASTER!$C$5:$C$1204,$C$2,TRANSACTIONS_MASTER!$U$5:$U$1204,"&lt;&gt;Cancelled"))</f>
        <v/>
      </c>
    </row>
    <row r="91">
      <c r="A91" s="81" t="str">
        <f>IF($Q91="","",84)</f>
        <v/>
      </c>
      <c r="B91" s="57" t="str">
        <f>IF($Q91="","",INDEX(TRANSACTIONS_MASTER!$B$5:$B$1204,$Q91))</f>
        <v/>
      </c>
      <c r="C91" s="55" t="str">
        <f>IF($Q91="","",INDEX(TRANSACTIONS_MASTER!$F$5:$F$1204,$Q91))</f>
        <v/>
      </c>
      <c r="D91" s="55" t="str">
        <f>IF($Q91="","",INDEX(TRANSACTIONS_MASTER!$E$5:$E$1204,$Q91))</f>
        <v/>
      </c>
      <c r="E91" s="55" t="str">
        <f>IF($Q91="","",INDEX(TRANSACTIONS_MASTER!$G$5:$G$1204,$Q91)&amp;"")</f>
        <v/>
      </c>
      <c r="F91" s="29" t="str">
        <f>IF($Q91="","",INDEX(TRANSACTIONS_MASTER!$I$5:$I$1204,$Q91))</f>
        <v/>
      </c>
      <c r="G91" s="55" t="str">
        <f>IF($Q91="","",INDEX(TRANSACTIONS_MASTER!$K$5:$K$1204,$Q91))</f>
        <v/>
      </c>
      <c r="H91" s="25" t="str">
        <f>IF($Q91="","",INDEX(TRANSACTIONS_MASTER!$L$5:$L$1204,$Q91))</f>
        <v/>
      </c>
      <c r="I91" s="56" t="str">
        <f>IF($Q91="","",INDEX(TRANSACTIONS_MASTER!$N$5:$N$1204,$Q91))</f>
        <v/>
      </c>
      <c r="J91" s="25" t="str">
        <f>IF($Q91="","",INDEX(TRANSACTIONS_MASTER!$O$5:$O$1204,$Q91))</f>
        <v/>
      </c>
      <c r="K91" s="26" t="str">
        <f>IF($Q91="","",INDEX(TRANSACTIONS_MASTER!$Q$5:$Q$1204,$Q91))</f>
        <v/>
      </c>
      <c r="L91" s="25" t="str">
        <f>IF($Q91="","",INDEX(TRANSACTIONS_MASTER!$P$5:$P$1204,$Q91))</f>
        <v/>
      </c>
      <c r="M91" s="25" t="str">
        <f>IF($Q91="","",INDEX(TRANSACTIONS_MASTER!$AA$5:$AA$1204,$Q91))</f>
        <v/>
      </c>
      <c r="N91" s="25" t="str">
        <f>IF($Q91="","",INDEX(TRANSACTIONS_MASTER!$R$5:$R$1204,$Q91))</f>
        <v/>
      </c>
      <c r="O91" s="28" t="str">
        <f>IF($Q91="","",INDEX(TRANSACTIONS_MASTER!$AB$5:$AB$1204,$Q91))</f>
        <v/>
      </c>
      <c r="P91" s="55" t="str">
        <f>IF($Q91="","",INDEX(TRANSACTIONS_MASTER!$Z$5:$Z$1204,$Q91)&amp;"")</f>
        <v/>
      </c>
      <c r="Q91" s="67" t="str">
        <f>IFERROR(MATCH($C$2&amp;"|"&amp;84,TRANSACTIONS_MASTER!$AE$5:$AE$1204,0),"")</f>
        <v/>
      </c>
      <c r="S91" s="67" t="n">
        <v>30</v>
      </c>
      <c r="T91" s="55" t="str">
        <f>IF(CARDS!$A34="","",CARDS!$A34)</f>
        <v/>
      </c>
      <c r="U91" s="55" t="str">
        <f>IF($T91="","",CARDS!$B34&amp;" "&amp;CARDS!$C34)</f>
        <v/>
      </c>
      <c r="V91" s="25" t="str">
        <f>IF($T91="","",SUMIFS(TRANSACTIONS_MASTER!$L$5:$L$1204,TRANSACTIONS_MASTER!$D$5:$D$1204,$T91,TRANSACTIONS_MASTER!$C$5:$C$1204,$C$2,TRANSACTIONS_MASTER!$U$5:$U$1204,"&lt;&gt;Cancelled"))</f>
        <v/>
      </c>
      <c r="W91" s="26" t="str">
        <f>IF($T91="","",SUMIFS(TRANSACTIONS_MASTER!$Q$5:$Q$1204,TRANSACTIONS_MASTER!$D$5:$D$1204,$T91,TRANSACTIONS_MASTER!$C$5:$C$1204,$C$2))</f>
        <v/>
      </c>
      <c r="X91" s="25" t="str">
        <f>IF($T91="","",IFERROR(IF(ISNUMBER(INDEX(CASHBACK_RULES!$K$5:$K$304,MATCH($T91,CASHBACK_RULES!$B$5:$B$304,0))),INDEX(CASHBACK_RULES!$K$5:$K$304,MATCH($T91,CASHBACK_RULES!$B$5:$B$304,0)),"∞"),"—"))</f>
        <v/>
      </c>
      <c r="Y91" s="25" t="str">
        <f>IF($T91="","",IF($X91="—","—",IF(COUNTIFS($T$8:$T$57,$T91,$Z$8:$Z$57,"∞")&gt;0,IF(ISNUMBER($X91),MAX(0,$X91-$W91),"∞"),IF(ISNUMBER($X91),MAX(0,MIN($X91-$W91,SUMIFS($Z$8:$Z$57,$T$8:$T$57,$T91))),SUMIFS($Z$8:$Z$57,$T$8:$T$57,$T91)))))</f>
        <v/>
      </c>
      <c r="Z91" s="27" t="str">
        <f>IF($T91="","",IF(ISNUMBER($X91),IF($X91=0,0,$W91/$X91),IF(ISNUMBER($Y91),IF($W91+$Y91=0,0,$W91/($W91+$Y91)),"")))</f>
        <v/>
      </c>
      <c r="AA91" s="29" t="str">
        <f>IF($T91="","",COUNTIFS(TRANSACTIONS_MASTER!$D$5:$D$1204,$T91,TRANSACTIONS_MASTER!$C$5:$C$1204,$C$2,TRANSACTIONS_MASTER!$U$5:$U$1204,"&lt;&gt;Cancelled"))</f>
        <v/>
      </c>
    </row>
    <row r="92">
      <c r="A92" s="81" t="str">
        <f>IF($Q92="","",85)</f>
        <v/>
      </c>
      <c r="B92" s="57" t="str">
        <f>IF($Q92="","",INDEX(TRANSACTIONS_MASTER!$B$5:$B$1204,$Q92))</f>
        <v/>
      </c>
      <c r="C92" s="55" t="str">
        <f>IF($Q92="","",INDEX(TRANSACTIONS_MASTER!$F$5:$F$1204,$Q92))</f>
        <v/>
      </c>
      <c r="D92" s="55" t="str">
        <f>IF($Q92="","",INDEX(TRANSACTIONS_MASTER!$E$5:$E$1204,$Q92))</f>
        <v/>
      </c>
      <c r="E92" s="55" t="str">
        <f>IF($Q92="","",INDEX(TRANSACTIONS_MASTER!$G$5:$G$1204,$Q92)&amp;"")</f>
        <v/>
      </c>
      <c r="F92" s="29" t="str">
        <f>IF($Q92="","",INDEX(TRANSACTIONS_MASTER!$I$5:$I$1204,$Q92))</f>
        <v/>
      </c>
      <c r="G92" s="55" t="str">
        <f>IF($Q92="","",INDEX(TRANSACTIONS_MASTER!$K$5:$K$1204,$Q92))</f>
        <v/>
      </c>
      <c r="H92" s="25" t="str">
        <f>IF($Q92="","",INDEX(TRANSACTIONS_MASTER!$L$5:$L$1204,$Q92))</f>
        <v/>
      </c>
      <c r="I92" s="56" t="str">
        <f>IF($Q92="","",INDEX(TRANSACTIONS_MASTER!$N$5:$N$1204,$Q92))</f>
        <v/>
      </c>
      <c r="J92" s="25" t="str">
        <f>IF($Q92="","",INDEX(TRANSACTIONS_MASTER!$O$5:$O$1204,$Q92))</f>
        <v/>
      </c>
      <c r="K92" s="26" t="str">
        <f>IF($Q92="","",INDEX(TRANSACTIONS_MASTER!$Q$5:$Q$1204,$Q92))</f>
        <v/>
      </c>
      <c r="L92" s="25" t="str">
        <f>IF($Q92="","",INDEX(TRANSACTIONS_MASTER!$P$5:$P$1204,$Q92))</f>
        <v/>
      </c>
      <c r="M92" s="25" t="str">
        <f>IF($Q92="","",INDEX(TRANSACTIONS_MASTER!$AA$5:$AA$1204,$Q92))</f>
        <v/>
      </c>
      <c r="N92" s="25" t="str">
        <f>IF($Q92="","",INDEX(TRANSACTIONS_MASTER!$R$5:$R$1204,$Q92))</f>
        <v/>
      </c>
      <c r="O92" s="28" t="str">
        <f>IF($Q92="","",INDEX(TRANSACTIONS_MASTER!$AB$5:$AB$1204,$Q92))</f>
        <v/>
      </c>
      <c r="P92" s="55" t="str">
        <f>IF($Q92="","",INDEX(TRANSACTIONS_MASTER!$Z$5:$Z$1204,$Q92)&amp;"")</f>
        <v/>
      </c>
      <c r="Q92" s="67" t="str">
        <f>IFERROR(MATCH($C$2&amp;"|"&amp;85,TRANSACTIONS_MASTER!$AE$5:$AE$1204,0),"")</f>
        <v/>
      </c>
      <c r="T92" s="68" t="n"/>
      <c r="U92" s="69" t="inlineStr">
        <is>
          <t>TỔNG</t>
        </is>
      </c>
      <c r="V92" s="31">
        <f>SUM(V62:V91)</f>
        <v>9650000</v>
      </c>
      <c r="W92" s="31">
        <f>SUM(W62:W91)</f>
        <v>826000</v>
      </c>
      <c r="X92" s="68" t="n"/>
      <c r="Y92" s="31">
        <f>SUM(Y62:Y91)</f>
        <v>3674000</v>
      </c>
      <c r="Z92" s="68" t="n"/>
      <c r="AA92" s="32">
        <f>SUM(AA62:AA91)</f>
        <v>6</v>
      </c>
    </row>
    <row r="93">
      <c r="A93" s="81" t="str">
        <f>IF($Q93="","",86)</f>
        <v/>
      </c>
      <c r="B93" s="57" t="str">
        <f>IF($Q93="","",INDEX(TRANSACTIONS_MASTER!$B$5:$B$1204,$Q93))</f>
        <v/>
      </c>
      <c r="C93" s="55" t="str">
        <f>IF($Q93="","",INDEX(TRANSACTIONS_MASTER!$F$5:$F$1204,$Q93))</f>
        <v/>
      </c>
      <c r="D93" s="55" t="str">
        <f>IF($Q93="","",INDEX(TRANSACTIONS_MASTER!$E$5:$E$1204,$Q93))</f>
        <v/>
      </c>
      <c r="E93" s="55" t="str">
        <f>IF($Q93="","",INDEX(TRANSACTIONS_MASTER!$G$5:$G$1204,$Q93)&amp;"")</f>
        <v/>
      </c>
      <c r="F93" s="29" t="str">
        <f>IF($Q93="","",INDEX(TRANSACTIONS_MASTER!$I$5:$I$1204,$Q93))</f>
        <v/>
      </c>
      <c r="G93" s="55" t="str">
        <f>IF($Q93="","",INDEX(TRANSACTIONS_MASTER!$K$5:$K$1204,$Q93))</f>
        <v/>
      </c>
      <c r="H93" s="25" t="str">
        <f>IF($Q93="","",INDEX(TRANSACTIONS_MASTER!$L$5:$L$1204,$Q93))</f>
        <v/>
      </c>
      <c r="I93" s="56" t="str">
        <f>IF($Q93="","",INDEX(TRANSACTIONS_MASTER!$N$5:$N$1204,$Q93))</f>
        <v/>
      </c>
      <c r="J93" s="25" t="str">
        <f>IF($Q93="","",INDEX(TRANSACTIONS_MASTER!$O$5:$O$1204,$Q93))</f>
        <v/>
      </c>
      <c r="K93" s="26" t="str">
        <f>IF($Q93="","",INDEX(TRANSACTIONS_MASTER!$Q$5:$Q$1204,$Q93))</f>
        <v/>
      </c>
      <c r="L93" s="25" t="str">
        <f>IF($Q93="","",INDEX(TRANSACTIONS_MASTER!$P$5:$P$1204,$Q93))</f>
        <v/>
      </c>
      <c r="M93" s="25" t="str">
        <f>IF($Q93="","",INDEX(TRANSACTIONS_MASTER!$AA$5:$AA$1204,$Q93))</f>
        <v/>
      </c>
      <c r="N93" s="25" t="str">
        <f>IF($Q93="","",INDEX(TRANSACTIONS_MASTER!$R$5:$R$1204,$Q93))</f>
        <v/>
      </c>
      <c r="O93" s="28" t="str">
        <f>IF($Q93="","",INDEX(TRANSACTIONS_MASTER!$AB$5:$AB$1204,$Q93))</f>
        <v/>
      </c>
      <c r="P93" s="55" t="str">
        <f>IF($Q93="","",INDEX(TRANSACTIONS_MASTER!$Z$5:$Z$1204,$Q93)&amp;"")</f>
        <v/>
      </c>
      <c r="Q93" s="67" t="str">
        <f>IFERROR(MATCH($C$2&amp;"|"&amp;86,TRANSACTIONS_MASTER!$AE$5:$AE$1204,0),"")</f>
        <v/>
      </c>
    </row>
    <row r="94">
      <c r="A94" s="81" t="str">
        <f>IF($Q94="","",87)</f>
        <v/>
      </c>
      <c r="B94" s="57" t="str">
        <f>IF($Q94="","",INDEX(TRANSACTIONS_MASTER!$B$5:$B$1204,$Q94))</f>
        <v/>
      </c>
      <c r="C94" s="55" t="str">
        <f>IF($Q94="","",INDEX(TRANSACTIONS_MASTER!$F$5:$F$1204,$Q94))</f>
        <v/>
      </c>
      <c r="D94" s="55" t="str">
        <f>IF($Q94="","",INDEX(TRANSACTIONS_MASTER!$E$5:$E$1204,$Q94))</f>
        <v/>
      </c>
      <c r="E94" s="55" t="str">
        <f>IF($Q94="","",INDEX(TRANSACTIONS_MASTER!$G$5:$G$1204,$Q94)&amp;"")</f>
        <v/>
      </c>
      <c r="F94" s="29" t="str">
        <f>IF($Q94="","",INDEX(TRANSACTIONS_MASTER!$I$5:$I$1204,$Q94))</f>
        <v/>
      </c>
      <c r="G94" s="55" t="str">
        <f>IF($Q94="","",INDEX(TRANSACTIONS_MASTER!$K$5:$K$1204,$Q94))</f>
        <v/>
      </c>
      <c r="H94" s="25" t="str">
        <f>IF($Q94="","",INDEX(TRANSACTIONS_MASTER!$L$5:$L$1204,$Q94))</f>
        <v/>
      </c>
      <c r="I94" s="56" t="str">
        <f>IF($Q94="","",INDEX(TRANSACTIONS_MASTER!$N$5:$N$1204,$Q94))</f>
        <v/>
      </c>
      <c r="J94" s="25" t="str">
        <f>IF($Q94="","",INDEX(TRANSACTIONS_MASTER!$O$5:$O$1204,$Q94))</f>
        <v/>
      </c>
      <c r="K94" s="26" t="str">
        <f>IF($Q94="","",INDEX(TRANSACTIONS_MASTER!$Q$5:$Q$1204,$Q94))</f>
        <v/>
      </c>
      <c r="L94" s="25" t="str">
        <f>IF($Q94="","",INDEX(TRANSACTIONS_MASTER!$P$5:$P$1204,$Q94))</f>
        <v/>
      </c>
      <c r="M94" s="25" t="str">
        <f>IF($Q94="","",INDEX(TRANSACTIONS_MASTER!$AA$5:$AA$1204,$Q94))</f>
        <v/>
      </c>
      <c r="N94" s="25" t="str">
        <f>IF($Q94="","",INDEX(TRANSACTIONS_MASTER!$R$5:$R$1204,$Q94))</f>
        <v/>
      </c>
      <c r="O94" s="28" t="str">
        <f>IF($Q94="","",INDEX(TRANSACTIONS_MASTER!$AB$5:$AB$1204,$Q94))</f>
        <v/>
      </c>
      <c r="P94" s="55" t="str">
        <f>IF($Q94="","",INDEX(TRANSACTIONS_MASTER!$Z$5:$Z$1204,$Q94)&amp;"")</f>
        <v/>
      </c>
      <c r="Q94" s="67" t="str">
        <f>IFERROR(MATCH($C$2&amp;"|"&amp;87,TRANSACTIONS_MASTER!$AE$5:$AE$1204,0),"")</f>
        <v/>
      </c>
    </row>
    <row r="95" ht="22" customHeight="1">
      <c r="A95" s="81" t="str">
        <f>IF($Q95="","",88)</f>
        <v/>
      </c>
      <c r="B95" s="57" t="str">
        <f>IF($Q95="","",INDEX(TRANSACTIONS_MASTER!$B$5:$B$1204,$Q95))</f>
        <v/>
      </c>
      <c r="C95" s="55" t="str">
        <f>IF($Q95="","",INDEX(TRANSACTIONS_MASTER!$F$5:$F$1204,$Q95))</f>
        <v/>
      </c>
      <c r="D95" s="55" t="str">
        <f>IF($Q95="","",INDEX(TRANSACTIONS_MASTER!$E$5:$E$1204,$Q95))</f>
        <v/>
      </c>
      <c r="E95" s="55" t="str">
        <f>IF($Q95="","",INDEX(TRANSACTIONS_MASTER!$G$5:$G$1204,$Q95)&amp;"")</f>
        <v/>
      </c>
      <c r="F95" s="29" t="str">
        <f>IF($Q95="","",INDEX(TRANSACTIONS_MASTER!$I$5:$I$1204,$Q95))</f>
        <v/>
      </c>
      <c r="G95" s="55" t="str">
        <f>IF($Q95="","",INDEX(TRANSACTIONS_MASTER!$K$5:$K$1204,$Q95))</f>
        <v/>
      </c>
      <c r="H95" s="25" t="str">
        <f>IF($Q95="","",INDEX(TRANSACTIONS_MASTER!$L$5:$L$1204,$Q95))</f>
        <v/>
      </c>
      <c r="I95" s="56" t="str">
        <f>IF($Q95="","",INDEX(TRANSACTIONS_MASTER!$N$5:$N$1204,$Q95))</f>
        <v/>
      </c>
      <c r="J95" s="25" t="str">
        <f>IF($Q95="","",INDEX(TRANSACTIONS_MASTER!$O$5:$O$1204,$Q95))</f>
        <v/>
      </c>
      <c r="K95" s="26" t="str">
        <f>IF($Q95="","",INDEX(TRANSACTIONS_MASTER!$Q$5:$Q$1204,$Q95))</f>
        <v/>
      </c>
      <c r="L95" s="25" t="str">
        <f>IF($Q95="","",INDEX(TRANSACTIONS_MASTER!$P$5:$P$1204,$Q95))</f>
        <v/>
      </c>
      <c r="M95" s="25" t="str">
        <f>IF($Q95="","",INDEX(TRANSACTIONS_MASTER!$AA$5:$AA$1204,$Q95))</f>
        <v/>
      </c>
      <c r="N95" s="25" t="str">
        <f>IF($Q95="","",INDEX(TRANSACTIONS_MASTER!$R$5:$R$1204,$Q95))</f>
        <v/>
      </c>
      <c r="O95" s="28" t="str">
        <f>IF($Q95="","",INDEX(TRANSACTIONS_MASTER!$AB$5:$AB$1204,$Q95))</f>
        <v/>
      </c>
      <c r="P95" s="55" t="str">
        <f>IF($Q95="","",INDEX(TRANSACTIONS_MASTER!$Z$5:$Z$1204,$Q95)&amp;"")</f>
        <v/>
      </c>
      <c r="Q95" s="67" t="str">
        <f>IFERROR(MATCH($C$2&amp;"|"&amp;88,TRANSACTIONS_MASTER!$AE$5:$AE$1204,0),"")</f>
        <v/>
      </c>
      <c r="T95" s="19" t="inlineStr">
        <is>
          <t>THEO NGÂN HÀNG</t>
        </is>
      </c>
      <c r="U95" s="20" t="n"/>
      <c r="V95" s="20" t="n"/>
      <c r="W95" s="20" t="n"/>
      <c r="X95" s="20" t="n"/>
      <c r="Y95" s="20" t="n"/>
      <c r="Z95" s="20" t="n"/>
      <c r="AA95" s="20" t="n"/>
    </row>
    <row r="96" ht="28" customHeight="1">
      <c r="A96" s="81" t="str">
        <f>IF($Q96="","",89)</f>
        <v/>
      </c>
      <c r="B96" s="57" t="str">
        <f>IF($Q96="","",INDEX(TRANSACTIONS_MASTER!$B$5:$B$1204,$Q96))</f>
        <v/>
      </c>
      <c r="C96" s="55" t="str">
        <f>IF($Q96="","",INDEX(TRANSACTIONS_MASTER!$F$5:$F$1204,$Q96))</f>
        <v/>
      </c>
      <c r="D96" s="55" t="str">
        <f>IF($Q96="","",INDEX(TRANSACTIONS_MASTER!$E$5:$E$1204,$Q96))</f>
        <v/>
      </c>
      <c r="E96" s="55" t="str">
        <f>IF($Q96="","",INDEX(TRANSACTIONS_MASTER!$G$5:$G$1204,$Q96)&amp;"")</f>
        <v/>
      </c>
      <c r="F96" s="29" t="str">
        <f>IF($Q96="","",INDEX(TRANSACTIONS_MASTER!$I$5:$I$1204,$Q96))</f>
        <v/>
      </c>
      <c r="G96" s="55" t="str">
        <f>IF($Q96="","",INDEX(TRANSACTIONS_MASTER!$K$5:$K$1204,$Q96))</f>
        <v/>
      </c>
      <c r="H96" s="25" t="str">
        <f>IF($Q96="","",INDEX(TRANSACTIONS_MASTER!$L$5:$L$1204,$Q96))</f>
        <v/>
      </c>
      <c r="I96" s="56" t="str">
        <f>IF($Q96="","",INDEX(TRANSACTIONS_MASTER!$N$5:$N$1204,$Q96))</f>
        <v/>
      </c>
      <c r="J96" s="25" t="str">
        <f>IF($Q96="","",INDEX(TRANSACTIONS_MASTER!$O$5:$O$1204,$Q96))</f>
        <v/>
      </c>
      <c r="K96" s="26" t="str">
        <f>IF($Q96="","",INDEX(TRANSACTIONS_MASTER!$Q$5:$Q$1204,$Q96))</f>
        <v/>
      </c>
      <c r="L96" s="25" t="str">
        <f>IF($Q96="","",INDEX(TRANSACTIONS_MASTER!$P$5:$P$1204,$Q96))</f>
        <v/>
      </c>
      <c r="M96" s="25" t="str">
        <f>IF($Q96="","",INDEX(TRANSACTIONS_MASTER!$AA$5:$AA$1204,$Q96))</f>
        <v/>
      </c>
      <c r="N96" s="25" t="str">
        <f>IF($Q96="","",INDEX(TRANSACTIONS_MASTER!$R$5:$R$1204,$Q96))</f>
        <v/>
      </c>
      <c r="O96" s="28" t="str">
        <f>IF($Q96="","",INDEX(TRANSACTIONS_MASTER!$AB$5:$AB$1204,$Q96))</f>
        <v/>
      </c>
      <c r="P96" s="55" t="str">
        <f>IF($Q96="","",INDEX(TRANSACTIONS_MASTER!$Z$5:$Z$1204,$Q96)&amp;"")</f>
        <v/>
      </c>
      <c r="Q96" s="67" t="str">
        <f>IFERROR(MATCH($C$2&amp;"|"&amp;89,TRANSACTIONS_MASTER!$AE$5:$AE$1204,0),"")</f>
        <v/>
      </c>
      <c r="S96" s="21" t="inlineStr">
        <is>
          <t>#</t>
        </is>
      </c>
      <c r="T96" s="21" t="inlineStr"/>
      <c r="U96" s="21" t="inlineStr">
        <is>
          <t>Ngân hàng</t>
        </is>
      </c>
      <c r="V96" s="21" t="inlineStr">
        <is>
          <t>Chi tiêu</t>
        </is>
      </c>
      <c r="W96" s="21" t="inlineStr">
        <is>
          <t>Cashback</t>
        </is>
      </c>
    </row>
    <row r="97">
      <c r="A97" s="81" t="str">
        <f>IF($Q97="","",90)</f>
        <v/>
      </c>
      <c r="B97" s="57" t="str">
        <f>IF($Q97="","",INDEX(TRANSACTIONS_MASTER!$B$5:$B$1204,$Q97))</f>
        <v/>
      </c>
      <c r="C97" s="55" t="str">
        <f>IF($Q97="","",INDEX(TRANSACTIONS_MASTER!$F$5:$F$1204,$Q97))</f>
        <v/>
      </c>
      <c r="D97" s="55" t="str">
        <f>IF($Q97="","",INDEX(TRANSACTIONS_MASTER!$E$5:$E$1204,$Q97))</f>
        <v/>
      </c>
      <c r="E97" s="55" t="str">
        <f>IF($Q97="","",INDEX(TRANSACTIONS_MASTER!$G$5:$G$1204,$Q97)&amp;"")</f>
        <v/>
      </c>
      <c r="F97" s="29" t="str">
        <f>IF($Q97="","",INDEX(TRANSACTIONS_MASTER!$I$5:$I$1204,$Q97))</f>
        <v/>
      </c>
      <c r="G97" s="55" t="str">
        <f>IF($Q97="","",INDEX(TRANSACTIONS_MASTER!$K$5:$K$1204,$Q97))</f>
        <v/>
      </c>
      <c r="H97" s="25" t="str">
        <f>IF($Q97="","",INDEX(TRANSACTIONS_MASTER!$L$5:$L$1204,$Q97))</f>
        <v/>
      </c>
      <c r="I97" s="56" t="str">
        <f>IF($Q97="","",INDEX(TRANSACTIONS_MASTER!$N$5:$N$1204,$Q97))</f>
        <v/>
      </c>
      <c r="J97" s="25" t="str">
        <f>IF($Q97="","",INDEX(TRANSACTIONS_MASTER!$O$5:$O$1204,$Q97))</f>
        <v/>
      </c>
      <c r="K97" s="26" t="str">
        <f>IF($Q97="","",INDEX(TRANSACTIONS_MASTER!$Q$5:$Q$1204,$Q97))</f>
        <v/>
      </c>
      <c r="L97" s="25" t="str">
        <f>IF($Q97="","",INDEX(TRANSACTIONS_MASTER!$P$5:$P$1204,$Q97))</f>
        <v/>
      </c>
      <c r="M97" s="25" t="str">
        <f>IF($Q97="","",INDEX(TRANSACTIONS_MASTER!$AA$5:$AA$1204,$Q97))</f>
        <v/>
      </c>
      <c r="N97" s="25" t="str">
        <f>IF($Q97="","",INDEX(TRANSACTIONS_MASTER!$R$5:$R$1204,$Q97))</f>
        <v/>
      </c>
      <c r="O97" s="28" t="str">
        <f>IF($Q97="","",INDEX(TRANSACTIONS_MASTER!$AB$5:$AB$1204,$Q97))</f>
        <v/>
      </c>
      <c r="P97" s="55" t="str">
        <f>IF($Q97="","",INDEX(TRANSACTIONS_MASTER!$Z$5:$Z$1204,$Q97)&amp;"")</f>
        <v/>
      </c>
      <c r="Q97" s="67" t="str">
        <f>IFERROR(MATCH($C$2&amp;"|"&amp;90,TRANSACTIONS_MASTER!$AE$5:$AE$1204,0),"")</f>
        <v/>
      </c>
      <c r="S97" s="67">
        <f>IFERROR(MATCH(1,CARDS!$O$5:$O$34,0),"")</f>
        <v>1</v>
      </c>
      <c r="T97" s="55" t="n"/>
      <c r="U97" s="55" t="str">
        <f>IF($S97="","",INDEX(CARDS!$B$5:$B$34,$S97))</f>
        <v>VPBank</v>
      </c>
      <c r="V97" s="25">
        <f>IF($S97="","",SUMIFS(TRANSACTIONS_MASTER!$L$5:$L$1204,TRANSACTIONS_MASTER!$E$5:$E$1204,$U97,TRANSACTIONS_MASTER!$C$5:$C$1204,$C$2,TRANSACTIONS_MASTER!$U$5:$U$1204,"&lt;&gt;Cancelled"))</f>
        <v>5150000</v>
      </c>
      <c r="W97" s="26">
        <f>IF($S97="","",SUMIFS(TRANSACTIONS_MASTER!$Q$5:$Q$1204,TRANSACTIONS_MASTER!$E$5:$E$1204,$U97,TRANSACTIONS_MASTER!$C$5:$C$1204,$C$2))</f>
        <v>500000</v>
      </c>
    </row>
    <row r="98">
      <c r="A98" s="81" t="str">
        <f>IF($Q98="","",91)</f>
        <v/>
      </c>
      <c r="B98" s="57" t="str">
        <f>IF($Q98="","",INDEX(TRANSACTIONS_MASTER!$B$5:$B$1204,$Q98))</f>
        <v/>
      </c>
      <c r="C98" s="55" t="str">
        <f>IF($Q98="","",INDEX(TRANSACTIONS_MASTER!$F$5:$F$1204,$Q98))</f>
        <v/>
      </c>
      <c r="D98" s="55" t="str">
        <f>IF($Q98="","",INDEX(TRANSACTIONS_MASTER!$E$5:$E$1204,$Q98))</f>
        <v/>
      </c>
      <c r="E98" s="55" t="str">
        <f>IF($Q98="","",INDEX(TRANSACTIONS_MASTER!$G$5:$G$1204,$Q98)&amp;"")</f>
        <v/>
      </c>
      <c r="F98" s="29" t="str">
        <f>IF($Q98="","",INDEX(TRANSACTIONS_MASTER!$I$5:$I$1204,$Q98))</f>
        <v/>
      </c>
      <c r="G98" s="55" t="str">
        <f>IF($Q98="","",INDEX(TRANSACTIONS_MASTER!$K$5:$K$1204,$Q98))</f>
        <v/>
      </c>
      <c r="H98" s="25" t="str">
        <f>IF($Q98="","",INDEX(TRANSACTIONS_MASTER!$L$5:$L$1204,$Q98))</f>
        <v/>
      </c>
      <c r="I98" s="56" t="str">
        <f>IF($Q98="","",INDEX(TRANSACTIONS_MASTER!$N$5:$N$1204,$Q98))</f>
        <v/>
      </c>
      <c r="J98" s="25" t="str">
        <f>IF($Q98="","",INDEX(TRANSACTIONS_MASTER!$O$5:$O$1204,$Q98))</f>
        <v/>
      </c>
      <c r="K98" s="26" t="str">
        <f>IF($Q98="","",INDEX(TRANSACTIONS_MASTER!$Q$5:$Q$1204,$Q98))</f>
        <v/>
      </c>
      <c r="L98" s="25" t="str">
        <f>IF($Q98="","",INDEX(TRANSACTIONS_MASTER!$P$5:$P$1204,$Q98))</f>
        <v/>
      </c>
      <c r="M98" s="25" t="str">
        <f>IF($Q98="","",INDEX(TRANSACTIONS_MASTER!$AA$5:$AA$1204,$Q98))</f>
        <v/>
      </c>
      <c r="N98" s="25" t="str">
        <f>IF($Q98="","",INDEX(TRANSACTIONS_MASTER!$R$5:$R$1204,$Q98))</f>
        <v/>
      </c>
      <c r="O98" s="28" t="str">
        <f>IF($Q98="","",INDEX(TRANSACTIONS_MASTER!$AB$5:$AB$1204,$Q98))</f>
        <v/>
      </c>
      <c r="P98" s="55" t="str">
        <f>IF($Q98="","",INDEX(TRANSACTIONS_MASTER!$Z$5:$Z$1204,$Q98)&amp;"")</f>
        <v/>
      </c>
      <c r="Q98" s="67" t="str">
        <f>IFERROR(MATCH($C$2&amp;"|"&amp;91,TRANSACTIONS_MASTER!$AE$5:$AE$1204,0),"")</f>
        <v/>
      </c>
      <c r="S98" s="67">
        <f>IFERROR(MATCH(2,CARDS!$O$5:$O$34,0),"")</f>
        <v>2</v>
      </c>
      <c r="T98" s="55" t="n"/>
      <c r="U98" s="55" t="str">
        <f>IF($S98="","",INDEX(CARDS!$B$5:$B$34,$S98))</f>
        <v>VIB</v>
      </c>
      <c r="V98" s="25">
        <f>IF($S98="","",SUMIFS(TRANSACTIONS_MASTER!$L$5:$L$1204,TRANSACTIONS_MASTER!$E$5:$E$1204,$U98,TRANSACTIONS_MASTER!$C$5:$C$1204,$C$2,TRANSACTIONS_MASTER!$U$5:$U$1204,"&lt;&gt;Cancelled"))</f>
        <v>2500000</v>
      </c>
      <c r="W98" s="26">
        <f>IF($S98="","",SUMIFS(TRANSACTIONS_MASTER!$Q$5:$Q$1204,TRANSACTIONS_MASTER!$E$5:$E$1204,$U98,TRANSACTIONS_MASTER!$C$5:$C$1204,$C$2))</f>
        <v>250000</v>
      </c>
    </row>
    <row r="99">
      <c r="A99" s="81" t="str">
        <f>IF($Q99="","",92)</f>
        <v/>
      </c>
      <c r="B99" s="57" t="str">
        <f>IF($Q99="","",INDEX(TRANSACTIONS_MASTER!$B$5:$B$1204,$Q99))</f>
        <v/>
      </c>
      <c r="C99" s="55" t="str">
        <f>IF($Q99="","",INDEX(TRANSACTIONS_MASTER!$F$5:$F$1204,$Q99))</f>
        <v/>
      </c>
      <c r="D99" s="55" t="str">
        <f>IF($Q99="","",INDEX(TRANSACTIONS_MASTER!$E$5:$E$1204,$Q99))</f>
        <v/>
      </c>
      <c r="E99" s="55" t="str">
        <f>IF($Q99="","",INDEX(TRANSACTIONS_MASTER!$G$5:$G$1204,$Q99)&amp;"")</f>
        <v/>
      </c>
      <c r="F99" s="29" t="str">
        <f>IF($Q99="","",INDEX(TRANSACTIONS_MASTER!$I$5:$I$1204,$Q99))</f>
        <v/>
      </c>
      <c r="G99" s="55" t="str">
        <f>IF($Q99="","",INDEX(TRANSACTIONS_MASTER!$K$5:$K$1204,$Q99))</f>
        <v/>
      </c>
      <c r="H99" s="25" t="str">
        <f>IF($Q99="","",INDEX(TRANSACTIONS_MASTER!$L$5:$L$1204,$Q99))</f>
        <v/>
      </c>
      <c r="I99" s="56" t="str">
        <f>IF($Q99="","",INDEX(TRANSACTIONS_MASTER!$N$5:$N$1204,$Q99))</f>
        <v/>
      </c>
      <c r="J99" s="25" t="str">
        <f>IF($Q99="","",INDEX(TRANSACTIONS_MASTER!$O$5:$O$1204,$Q99))</f>
        <v/>
      </c>
      <c r="K99" s="26" t="str">
        <f>IF($Q99="","",INDEX(TRANSACTIONS_MASTER!$Q$5:$Q$1204,$Q99))</f>
        <v/>
      </c>
      <c r="L99" s="25" t="str">
        <f>IF($Q99="","",INDEX(TRANSACTIONS_MASTER!$P$5:$P$1204,$Q99))</f>
        <v/>
      </c>
      <c r="M99" s="25" t="str">
        <f>IF($Q99="","",INDEX(TRANSACTIONS_MASTER!$AA$5:$AA$1204,$Q99))</f>
        <v/>
      </c>
      <c r="N99" s="25" t="str">
        <f>IF($Q99="","",INDEX(TRANSACTIONS_MASTER!$R$5:$R$1204,$Q99))</f>
        <v/>
      </c>
      <c r="O99" s="28" t="str">
        <f>IF($Q99="","",INDEX(TRANSACTIONS_MASTER!$AB$5:$AB$1204,$Q99))</f>
        <v/>
      </c>
      <c r="P99" s="55" t="str">
        <f>IF($Q99="","",INDEX(TRANSACTIONS_MASTER!$Z$5:$Z$1204,$Q99)&amp;"")</f>
        <v/>
      </c>
      <c r="Q99" s="67" t="str">
        <f>IFERROR(MATCH($C$2&amp;"|"&amp;92,TRANSACTIONS_MASTER!$AE$5:$AE$1204,0),"")</f>
        <v/>
      </c>
      <c r="S99" s="67">
        <f>IFERROR(MATCH(3,CARDS!$O$5:$O$34,0),"")</f>
        <v>3</v>
      </c>
      <c r="T99" s="55" t="n"/>
      <c r="U99" s="55" t="str">
        <f>IF($S99="","",INDEX(CARDS!$B$5:$B$34,$S99))</f>
        <v>Techcombank</v>
      </c>
      <c r="V99" s="25">
        <f>IF($S99="","",SUMIFS(TRANSACTIONS_MASTER!$L$5:$L$1204,TRANSACTIONS_MASTER!$E$5:$E$1204,$U99,TRANSACTIONS_MASTER!$C$5:$C$1204,$C$2,TRANSACTIONS_MASTER!$U$5:$U$1204,"&lt;&gt;Cancelled"))</f>
        <v>1200000</v>
      </c>
      <c r="W99" s="26">
        <f>IF($S99="","",SUMIFS(TRANSACTIONS_MASTER!$Q$5:$Q$1204,TRANSACTIONS_MASTER!$E$5:$E$1204,$U99,TRANSACTIONS_MASTER!$C$5:$C$1204,$C$2))</f>
        <v>60000</v>
      </c>
    </row>
    <row r="100">
      <c r="A100" s="81" t="str">
        <f>IF($Q100="","",93)</f>
        <v/>
      </c>
      <c r="B100" s="57" t="str">
        <f>IF($Q100="","",INDEX(TRANSACTIONS_MASTER!$B$5:$B$1204,$Q100))</f>
        <v/>
      </c>
      <c r="C100" s="55" t="str">
        <f>IF($Q100="","",INDEX(TRANSACTIONS_MASTER!$F$5:$F$1204,$Q100))</f>
        <v/>
      </c>
      <c r="D100" s="55" t="str">
        <f>IF($Q100="","",INDEX(TRANSACTIONS_MASTER!$E$5:$E$1204,$Q100))</f>
        <v/>
      </c>
      <c r="E100" s="55" t="str">
        <f>IF($Q100="","",INDEX(TRANSACTIONS_MASTER!$G$5:$G$1204,$Q100)&amp;"")</f>
        <v/>
      </c>
      <c r="F100" s="29" t="str">
        <f>IF($Q100="","",INDEX(TRANSACTIONS_MASTER!$I$5:$I$1204,$Q100))</f>
        <v/>
      </c>
      <c r="G100" s="55" t="str">
        <f>IF($Q100="","",INDEX(TRANSACTIONS_MASTER!$K$5:$K$1204,$Q100))</f>
        <v/>
      </c>
      <c r="H100" s="25" t="str">
        <f>IF($Q100="","",INDEX(TRANSACTIONS_MASTER!$L$5:$L$1204,$Q100))</f>
        <v/>
      </c>
      <c r="I100" s="56" t="str">
        <f>IF($Q100="","",INDEX(TRANSACTIONS_MASTER!$N$5:$N$1204,$Q100))</f>
        <v/>
      </c>
      <c r="J100" s="25" t="str">
        <f>IF($Q100="","",INDEX(TRANSACTIONS_MASTER!$O$5:$O$1204,$Q100))</f>
        <v/>
      </c>
      <c r="K100" s="26" t="str">
        <f>IF($Q100="","",INDEX(TRANSACTIONS_MASTER!$Q$5:$Q$1204,$Q100))</f>
        <v/>
      </c>
      <c r="L100" s="25" t="str">
        <f>IF($Q100="","",INDEX(TRANSACTIONS_MASTER!$P$5:$P$1204,$Q100))</f>
        <v/>
      </c>
      <c r="M100" s="25" t="str">
        <f>IF($Q100="","",INDEX(TRANSACTIONS_MASTER!$AA$5:$AA$1204,$Q100))</f>
        <v/>
      </c>
      <c r="N100" s="25" t="str">
        <f>IF($Q100="","",INDEX(TRANSACTIONS_MASTER!$R$5:$R$1204,$Q100))</f>
        <v/>
      </c>
      <c r="O100" s="28" t="str">
        <f>IF($Q100="","",INDEX(TRANSACTIONS_MASTER!$AB$5:$AB$1204,$Q100))</f>
        <v/>
      </c>
      <c r="P100" s="55" t="str">
        <f>IF($Q100="","",INDEX(TRANSACTIONS_MASTER!$Z$5:$Z$1204,$Q100)&amp;"")</f>
        <v/>
      </c>
      <c r="Q100" s="67" t="str">
        <f>IFERROR(MATCH($C$2&amp;"|"&amp;93,TRANSACTIONS_MASTER!$AE$5:$AE$1204,0),"")</f>
        <v/>
      </c>
      <c r="S100" s="67">
        <f>IFERROR(MATCH(4,CARDS!$O$5:$O$34,0),"")</f>
        <v>4</v>
      </c>
      <c r="T100" s="55" t="n"/>
      <c r="U100" s="55" t="str">
        <f>IF($S100="","",INDEX(CARDS!$B$5:$B$34,$S100))</f>
        <v>UOB</v>
      </c>
      <c r="V100" s="25">
        <f>IF($S100="","",SUMIFS(TRANSACTIONS_MASTER!$L$5:$L$1204,TRANSACTIONS_MASTER!$E$5:$E$1204,$U100,TRANSACTIONS_MASTER!$C$5:$C$1204,$C$2,TRANSACTIONS_MASTER!$U$5:$U$1204,"&lt;&gt;Cancelled"))</f>
        <v>0</v>
      </c>
      <c r="W100" s="26">
        <f>IF($S100="","",SUMIFS(TRANSACTIONS_MASTER!$Q$5:$Q$1204,TRANSACTIONS_MASTER!$E$5:$E$1204,$U100,TRANSACTIONS_MASTER!$C$5:$C$1204,$C$2))</f>
        <v>0</v>
      </c>
    </row>
    <row r="101">
      <c r="A101" s="81" t="str">
        <f>IF($Q101="","",94)</f>
        <v/>
      </c>
      <c r="B101" s="57" t="str">
        <f>IF($Q101="","",INDEX(TRANSACTIONS_MASTER!$B$5:$B$1204,$Q101))</f>
        <v/>
      </c>
      <c r="C101" s="55" t="str">
        <f>IF($Q101="","",INDEX(TRANSACTIONS_MASTER!$F$5:$F$1204,$Q101))</f>
        <v/>
      </c>
      <c r="D101" s="55" t="str">
        <f>IF($Q101="","",INDEX(TRANSACTIONS_MASTER!$E$5:$E$1204,$Q101))</f>
        <v/>
      </c>
      <c r="E101" s="55" t="str">
        <f>IF($Q101="","",INDEX(TRANSACTIONS_MASTER!$G$5:$G$1204,$Q101)&amp;"")</f>
        <v/>
      </c>
      <c r="F101" s="29" t="str">
        <f>IF($Q101="","",INDEX(TRANSACTIONS_MASTER!$I$5:$I$1204,$Q101))</f>
        <v/>
      </c>
      <c r="G101" s="55" t="str">
        <f>IF($Q101="","",INDEX(TRANSACTIONS_MASTER!$K$5:$K$1204,$Q101))</f>
        <v/>
      </c>
      <c r="H101" s="25" t="str">
        <f>IF($Q101="","",INDEX(TRANSACTIONS_MASTER!$L$5:$L$1204,$Q101))</f>
        <v/>
      </c>
      <c r="I101" s="56" t="str">
        <f>IF($Q101="","",INDEX(TRANSACTIONS_MASTER!$N$5:$N$1204,$Q101))</f>
        <v/>
      </c>
      <c r="J101" s="25" t="str">
        <f>IF($Q101="","",INDEX(TRANSACTIONS_MASTER!$O$5:$O$1204,$Q101))</f>
        <v/>
      </c>
      <c r="K101" s="26" t="str">
        <f>IF($Q101="","",INDEX(TRANSACTIONS_MASTER!$Q$5:$Q$1204,$Q101))</f>
        <v/>
      </c>
      <c r="L101" s="25" t="str">
        <f>IF($Q101="","",INDEX(TRANSACTIONS_MASTER!$P$5:$P$1204,$Q101))</f>
        <v/>
      </c>
      <c r="M101" s="25" t="str">
        <f>IF($Q101="","",INDEX(TRANSACTIONS_MASTER!$AA$5:$AA$1204,$Q101))</f>
        <v/>
      </c>
      <c r="N101" s="25" t="str">
        <f>IF($Q101="","",INDEX(TRANSACTIONS_MASTER!$R$5:$R$1204,$Q101))</f>
        <v/>
      </c>
      <c r="O101" s="28" t="str">
        <f>IF($Q101="","",INDEX(TRANSACTIONS_MASTER!$AB$5:$AB$1204,$Q101))</f>
        <v/>
      </c>
      <c r="P101" s="55" t="str">
        <f>IF($Q101="","",INDEX(TRANSACTIONS_MASTER!$Z$5:$Z$1204,$Q101)&amp;"")</f>
        <v/>
      </c>
      <c r="Q101" s="67" t="str">
        <f>IFERROR(MATCH($C$2&amp;"|"&amp;94,TRANSACTIONS_MASTER!$AE$5:$AE$1204,0),"")</f>
        <v/>
      </c>
      <c r="S101" s="67">
        <f>IFERROR(MATCH(5,CARDS!$O$5:$O$34,0),"")</f>
        <v>5</v>
      </c>
      <c r="T101" s="55" t="n"/>
      <c r="U101" s="55" t="str">
        <f>IF($S101="","",INDEX(CARDS!$B$5:$B$34,$S101))</f>
        <v>MB</v>
      </c>
      <c r="V101" s="25">
        <f>IF($S101="","",SUMIFS(TRANSACTIONS_MASTER!$L$5:$L$1204,TRANSACTIONS_MASTER!$E$5:$E$1204,$U101,TRANSACTIONS_MASTER!$C$5:$C$1204,$C$2,TRANSACTIONS_MASTER!$U$5:$U$1204,"&lt;&gt;Cancelled"))</f>
        <v>800000</v>
      </c>
      <c r="W101" s="26">
        <f>IF($S101="","",SUMIFS(TRANSACTIONS_MASTER!$Q$5:$Q$1204,TRANSACTIONS_MASTER!$E$5:$E$1204,$U101,TRANSACTIONS_MASTER!$C$5:$C$1204,$C$2))</f>
        <v>16000</v>
      </c>
    </row>
    <row r="102">
      <c r="A102" s="81" t="str">
        <f>IF($Q102="","",95)</f>
        <v/>
      </c>
      <c r="B102" s="57" t="str">
        <f>IF($Q102="","",INDEX(TRANSACTIONS_MASTER!$B$5:$B$1204,$Q102))</f>
        <v/>
      </c>
      <c r="C102" s="55" t="str">
        <f>IF($Q102="","",INDEX(TRANSACTIONS_MASTER!$F$5:$F$1204,$Q102))</f>
        <v/>
      </c>
      <c r="D102" s="55" t="str">
        <f>IF($Q102="","",INDEX(TRANSACTIONS_MASTER!$E$5:$E$1204,$Q102))</f>
        <v/>
      </c>
      <c r="E102" s="55" t="str">
        <f>IF($Q102="","",INDEX(TRANSACTIONS_MASTER!$G$5:$G$1204,$Q102)&amp;"")</f>
        <v/>
      </c>
      <c r="F102" s="29" t="str">
        <f>IF($Q102="","",INDEX(TRANSACTIONS_MASTER!$I$5:$I$1204,$Q102))</f>
        <v/>
      </c>
      <c r="G102" s="55" t="str">
        <f>IF($Q102="","",INDEX(TRANSACTIONS_MASTER!$K$5:$K$1204,$Q102))</f>
        <v/>
      </c>
      <c r="H102" s="25" t="str">
        <f>IF($Q102="","",INDEX(TRANSACTIONS_MASTER!$L$5:$L$1204,$Q102))</f>
        <v/>
      </c>
      <c r="I102" s="56" t="str">
        <f>IF($Q102="","",INDEX(TRANSACTIONS_MASTER!$N$5:$N$1204,$Q102))</f>
        <v/>
      </c>
      <c r="J102" s="25" t="str">
        <f>IF($Q102="","",INDEX(TRANSACTIONS_MASTER!$O$5:$O$1204,$Q102))</f>
        <v/>
      </c>
      <c r="K102" s="26" t="str">
        <f>IF($Q102="","",INDEX(TRANSACTIONS_MASTER!$Q$5:$Q$1204,$Q102))</f>
        <v/>
      </c>
      <c r="L102" s="25" t="str">
        <f>IF($Q102="","",INDEX(TRANSACTIONS_MASTER!$P$5:$P$1204,$Q102))</f>
        <v/>
      </c>
      <c r="M102" s="25" t="str">
        <f>IF($Q102="","",INDEX(TRANSACTIONS_MASTER!$AA$5:$AA$1204,$Q102))</f>
        <v/>
      </c>
      <c r="N102" s="25" t="str">
        <f>IF($Q102="","",INDEX(TRANSACTIONS_MASTER!$R$5:$R$1204,$Q102))</f>
        <v/>
      </c>
      <c r="O102" s="28" t="str">
        <f>IF($Q102="","",INDEX(TRANSACTIONS_MASTER!$AB$5:$AB$1204,$Q102))</f>
        <v/>
      </c>
      <c r="P102" s="55" t="str">
        <f>IF($Q102="","",INDEX(TRANSACTIONS_MASTER!$Z$5:$Z$1204,$Q102)&amp;"")</f>
        <v/>
      </c>
      <c r="Q102" s="67" t="str">
        <f>IFERROR(MATCH($C$2&amp;"|"&amp;95,TRANSACTIONS_MASTER!$AE$5:$AE$1204,0),"")</f>
        <v/>
      </c>
      <c r="S102" s="67">
        <f>IFERROR(MATCH(6,CARDS!$O$5:$O$34,0),"")</f>
        <v>6</v>
      </c>
      <c r="T102" s="55" t="n"/>
      <c r="U102" s="55" t="str">
        <f>IF($S102="","",INDEX(CARDS!$B$5:$B$34,$S102))</f>
        <v>ACB</v>
      </c>
      <c r="V102" s="25">
        <f>IF($S102="","",SUMIFS(TRANSACTIONS_MASTER!$L$5:$L$1204,TRANSACTIONS_MASTER!$E$5:$E$1204,$U102,TRANSACTIONS_MASTER!$C$5:$C$1204,$C$2,TRANSACTIONS_MASTER!$U$5:$U$1204,"&lt;&gt;Cancelled"))</f>
        <v>0</v>
      </c>
      <c r="W102" s="26">
        <f>IF($S102="","",SUMIFS(TRANSACTIONS_MASTER!$Q$5:$Q$1204,TRANSACTIONS_MASTER!$E$5:$E$1204,$U102,TRANSACTIONS_MASTER!$C$5:$C$1204,$C$2))</f>
        <v>0</v>
      </c>
    </row>
    <row r="103">
      <c r="A103" s="81" t="str">
        <f>IF($Q103="","",96)</f>
        <v/>
      </c>
      <c r="B103" s="57" t="str">
        <f>IF($Q103="","",INDEX(TRANSACTIONS_MASTER!$B$5:$B$1204,$Q103))</f>
        <v/>
      </c>
      <c r="C103" s="55" t="str">
        <f>IF($Q103="","",INDEX(TRANSACTIONS_MASTER!$F$5:$F$1204,$Q103))</f>
        <v/>
      </c>
      <c r="D103" s="55" t="str">
        <f>IF($Q103="","",INDEX(TRANSACTIONS_MASTER!$E$5:$E$1204,$Q103))</f>
        <v/>
      </c>
      <c r="E103" s="55" t="str">
        <f>IF($Q103="","",INDEX(TRANSACTIONS_MASTER!$G$5:$G$1204,$Q103)&amp;"")</f>
        <v/>
      </c>
      <c r="F103" s="29" t="str">
        <f>IF($Q103="","",INDEX(TRANSACTIONS_MASTER!$I$5:$I$1204,$Q103))</f>
        <v/>
      </c>
      <c r="G103" s="55" t="str">
        <f>IF($Q103="","",INDEX(TRANSACTIONS_MASTER!$K$5:$K$1204,$Q103))</f>
        <v/>
      </c>
      <c r="H103" s="25" t="str">
        <f>IF($Q103="","",INDEX(TRANSACTIONS_MASTER!$L$5:$L$1204,$Q103))</f>
        <v/>
      </c>
      <c r="I103" s="56" t="str">
        <f>IF($Q103="","",INDEX(TRANSACTIONS_MASTER!$N$5:$N$1204,$Q103))</f>
        <v/>
      </c>
      <c r="J103" s="25" t="str">
        <f>IF($Q103="","",INDEX(TRANSACTIONS_MASTER!$O$5:$O$1204,$Q103))</f>
        <v/>
      </c>
      <c r="K103" s="26" t="str">
        <f>IF($Q103="","",INDEX(TRANSACTIONS_MASTER!$Q$5:$Q$1204,$Q103))</f>
        <v/>
      </c>
      <c r="L103" s="25" t="str">
        <f>IF($Q103="","",INDEX(TRANSACTIONS_MASTER!$P$5:$P$1204,$Q103))</f>
        <v/>
      </c>
      <c r="M103" s="25" t="str">
        <f>IF($Q103="","",INDEX(TRANSACTIONS_MASTER!$AA$5:$AA$1204,$Q103))</f>
        <v/>
      </c>
      <c r="N103" s="25" t="str">
        <f>IF($Q103="","",INDEX(TRANSACTIONS_MASTER!$R$5:$R$1204,$Q103))</f>
        <v/>
      </c>
      <c r="O103" s="28" t="str">
        <f>IF($Q103="","",INDEX(TRANSACTIONS_MASTER!$AB$5:$AB$1204,$Q103))</f>
        <v/>
      </c>
      <c r="P103" s="55" t="str">
        <f>IF($Q103="","",INDEX(TRANSACTIONS_MASTER!$Z$5:$Z$1204,$Q103)&amp;"")</f>
        <v/>
      </c>
      <c r="Q103" s="67" t="str">
        <f>IFERROR(MATCH($C$2&amp;"|"&amp;96,TRANSACTIONS_MASTER!$AE$5:$AE$1204,0),"")</f>
        <v/>
      </c>
      <c r="S103" s="67" t="str">
        <f>IFERROR(MATCH(7,CARDS!$O$5:$O$34,0),"")</f>
        <v/>
      </c>
      <c r="T103" s="55" t="n"/>
      <c r="U103" s="55" t="str">
        <f>IF($S103="","",INDEX(CARDS!$B$5:$B$34,$S103))</f>
        <v/>
      </c>
      <c r="V103" s="25" t="str">
        <f>IF($S103="","",SUMIFS(TRANSACTIONS_MASTER!$L$5:$L$1204,TRANSACTIONS_MASTER!$E$5:$E$1204,$U103,TRANSACTIONS_MASTER!$C$5:$C$1204,$C$2,TRANSACTIONS_MASTER!$U$5:$U$1204,"&lt;&gt;Cancelled"))</f>
        <v/>
      </c>
      <c r="W103" s="26" t="str">
        <f>IF($S103="","",SUMIFS(TRANSACTIONS_MASTER!$Q$5:$Q$1204,TRANSACTIONS_MASTER!$E$5:$E$1204,$U103,TRANSACTIONS_MASTER!$C$5:$C$1204,$C$2))</f>
        <v/>
      </c>
    </row>
    <row r="104">
      <c r="A104" s="81" t="str">
        <f>IF($Q104="","",97)</f>
        <v/>
      </c>
      <c r="B104" s="57" t="str">
        <f>IF($Q104="","",INDEX(TRANSACTIONS_MASTER!$B$5:$B$1204,$Q104))</f>
        <v/>
      </c>
      <c r="C104" s="55" t="str">
        <f>IF($Q104="","",INDEX(TRANSACTIONS_MASTER!$F$5:$F$1204,$Q104))</f>
        <v/>
      </c>
      <c r="D104" s="55" t="str">
        <f>IF($Q104="","",INDEX(TRANSACTIONS_MASTER!$E$5:$E$1204,$Q104))</f>
        <v/>
      </c>
      <c r="E104" s="55" t="str">
        <f>IF($Q104="","",INDEX(TRANSACTIONS_MASTER!$G$5:$G$1204,$Q104)&amp;"")</f>
        <v/>
      </c>
      <c r="F104" s="29" t="str">
        <f>IF($Q104="","",INDEX(TRANSACTIONS_MASTER!$I$5:$I$1204,$Q104))</f>
        <v/>
      </c>
      <c r="G104" s="55" t="str">
        <f>IF($Q104="","",INDEX(TRANSACTIONS_MASTER!$K$5:$K$1204,$Q104))</f>
        <v/>
      </c>
      <c r="H104" s="25" t="str">
        <f>IF($Q104="","",INDEX(TRANSACTIONS_MASTER!$L$5:$L$1204,$Q104))</f>
        <v/>
      </c>
      <c r="I104" s="56" t="str">
        <f>IF($Q104="","",INDEX(TRANSACTIONS_MASTER!$N$5:$N$1204,$Q104))</f>
        <v/>
      </c>
      <c r="J104" s="25" t="str">
        <f>IF($Q104="","",INDEX(TRANSACTIONS_MASTER!$O$5:$O$1204,$Q104))</f>
        <v/>
      </c>
      <c r="K104" s="26" t="str">
        <f>IF($Q104="","",INDEX(TRANSACTIONS_MASTER!$Q$5:$Q$1204,$Q104))</f>
        <v/>
      </c>
      <c r="L104" s="25" t="str">
        <f>IF($Q104="","",INDEX(TRANSACTIONS_MASTER!$P$5:$P$1204,$Q104))</f>
        <v/>
      </c>
      <c r="M104" s="25" t="str">
        <f>IF($Q104="","",INDEX(TRANSACTIONS_MASTER!$AA$5:$AA$1204,$Q104))</f>
        <v/>
      </c>
      <c r="N104" s="25" t="str">
        <f>IF($Q104="","",INDEX(TRANSACTIONS_MASTER!$R$5:$R$1204,$Q104))</f>
        <v/>
      </c>
      <c r="O104" s="28" t="str">
        <f>IF($Q104="","",INDEX(TRANSACTIONS_MASTER!$AB$5:$AB$1204,$Q104))</f>
        <v/>
      </c>
      <c r="P104" s="55" t="str">
        <f>IF($Q104="","",INDEX(TRANSACTIONS_MASTER!$Z$5:$Z$1204,$Q104)&amp;"")</f>
        <v/>
      </c>
      <c r="Q104" s="67" t="str">
        <f>IFERROR(MATCH($C$2&amp;"|"&amp;97,TRANSACTIONS_MASTER!$AE$5:$AE$1204,0),"")</f>
        <v/>
      </c>
      <c r="S104" s="67" t="str">
        <f>IFERROR(MATCH(8,CARDS!$O$5:$O$34,0),"")</f>
        <v/>
      </c>
      <c r="T104" s="55" t="n"/>
      <c r="U104" s="55" t="str">
        <f>IF($S104="","",INDEX(CARDS!$B$5:$B$34,$S104))</f>
        <v/>
      </c>
      <c r="V104" s="25" t="str">
        <f>IF($S104="","",SUMIFS(TRANSACTIONS_MASTER!$L$5:$L$1204,TRANSACTIONS_MASTER!$E$5:$E$1204,$U104,TRANSACTIONS_MASTER!$C$5:$C$1204,$C$2,TRANSACTIONS_MASTER!$U$5:$U$1204,"&lt;&gt;Cancelled"))</f>
        <v/>
      </c>
      <c r="W104" s="26" t="str">
        <f>IF($S104="","",SUMIFS(TRANSACTIONS_MASTER!$Q$5:$Q$1204,TRANSACTIONS_MASTER!$E$5:$E$1204,$U104,TRANSACTIONS_MASTER!$C$5:$C$1204,$C$2))</f>
        <v/>
      </c>
    </row>
    <row r="105">
      <c r="A105" s="81" t="str">
        <f>IF($Q105="","",98)</f>
        <v/>
      </c>
      <c r="B105" s="57" t="str">
        <f>IF($Q105="","",INDEX(TRANSACTIONS_MASTER!$B$5:$B$1204,$Q105))</f>
        <v/>
      </c>
      <c r="C105" s="55" t="str">
        <f>IF($Q105="","",INDEX(TRANSACTIONS_MASTER!$F$5:$F$1204,$Q105))</f>
        <v/>
      </c>
      <c r="D105" s="55" t="str">
        <f>IF($Q105="","",INDEX(TRANSACTIONS_MASTER!$E$5:$E$1204,$Q105))</f>
        <v/>
      </c>
      <c r="E105" s="55" t="str">
        <f>IF($Q105="","",INDEX(TRANSACTIONS_MASTER!$G$5:$G$1204,$Q105)&amp;"")</f>
        <v/>
      </c>
      <c r="F105" s="29" t="str">
        <f>IF($Q105="","",INDEX(TRANSACTIONS_MASTER!$I$5:$I$1204,$Q105))</f>
        <v/>
      </c>
      <c r="G105" s="55" t="str">
        <f>IF($Q105="","",INDEX(TRANSACTIONS_MASTER!$K$5:$K$1204,$Q105))</f>
        <v/>
      </c>
      <c r="H105" s="25" t="str">
        <f>IF($Q105="","",INDEX(TRANSACTIONS_MASTER!$L$5:$L$1204,$Q105))</f>
        <v/>
      </c>
      <c r="I105" s="56" t="str">
        <f>IF($Q105="","",INDEX(TRANSACTIONS_MASTER!$N$5:$N$1204,$Q105))</f>
        <v/>
      </c>
      <c r="J105" s="25" t="str">
        <f>IF($Q105="","",INDEX(TRANSACTIONS_MASTER!$O$5:$O$1204,$Q105))</f>
        <v/>
      </c>
      <c r="K105" s="26" t="str">
        <f>IF($Q105="","",INDEX(TRANSACTIONS_MASTER!$Q$5:$Q$1204,$Q105))</f>
        <v/>
      </c>
      <c r="L105" s="25" t="str">
        <f>IF($Q105="","",INDEX(TRANSACTIONS_MASTER!$P$5:$P$1204,$Q105))</f>
        <v/>
      </c>
      <c r="M105" s="25" t="str">
        <f>IF($Q105="","",INDEX(TRANSACTIONS_MASTER!$AA$5:$AA$1204,$Q105))</f>
        <v/>
      </c>
      <c r="N105" s="25" t="str">
        <f>IF($Q105="","",INDEX(TRANSACTIONS_MASTER!$R$5:$R$1204,$Q105))</f>
        <v/>
      </c>
      <c r="O105" s="28" t="str">
        <f>IF($Q105="","",INDEX(TRANSACTIONS_MASTER!$AB$5:$AB$1204,$Q105))</f>
        <v/>
      </c>
      <c r="P105" s="55" t="str">
        <f>IF($Q105="","",INDEX(TRANSACTIONS_MASTER!$Z$5:$Z$1204,$Q105)&amp;"")</f>
        <v/>
      </c>
      <c r="Q105" s="67" t="str">
        <f>IFERROR(MATCH($C$2&amp;"|"&amp;98,TRANSACTIONS_MASTER!$AE$5:$AE$1204,0),"")</f>
        <v/>
      </c>
      <c r="S105" s="67" t="str">
        <f>IFERROR(MATCH(9,CARDS!$O$5:$O$34,0),"")</f>
        <v/>
      </c>
      <c r="T105" s="55" t="n"/>
      <c r="U105" s="55" t="str">
        <f>IF($S105="","",INDEX(CARDS!$B$5:$B$34,$S105))</f>
        <v/>
      </c>
      <c r="V105" s="25" t="str">
        <f>IF($S105="","",SUMIFS(TRANSACTIONS_MASTER!$L$5:$L$1204,TRANSACTIONS_MASTER!$E$5:$E$1204,$U105,TRANSACTIONS_MASTER!$C$5:$C$1204,$C$2,TRANSACTIONS_MASTER!$U$5:$U$1204,"&lt;&gt;Cancelled"))</f>
        <v/>
      </c>
      <c r="W105" s="26" t="str">
        <f>IF($S105="","",SUMIFS(TRANSACTIONS_MASTER!$Q$5:$Q$1204,TRANSACTIONS_MASTER!$E$5:$E$1204,$U105,TRANSACTIONS_MASTER!$C$5:$C$1204,$C$2))</f>
        <v/>
      </c>
    </row>
    <row r="106">
      <c r="A106" s="81" t="str">
        <f>IF($Q106="","",99)</f>
        <v/>
      </c>
      <c r="B106" s="57" t="str">
        <f>IF($Q106="","",INDEX(TRANSACTIONS_MASTER!$B$5:$B$1204,$Q106))</f>
        <v/>
      </c>
      <c r="C106" s="55" t="str">
        <f>IF($Q106="","",INDEX(TRANSACTIONS_MASTER!$F$5:$F$1204,$Q106))</f>
        <v/>
      </c>
      <c r="D106" s="55" t="str">
        <f>IF($Q106="","",INDEX(TRANSACTIONS_MASTER!$E$5:$E$1204,$Q106))</f>
        <v/>
      </c>
      <c r="E106" s="55" t="str">
        <f>IF($Q106="","",INDEX(TRANSACTIONS_MASTER!$G$5:$G$1204,$Q106)&amp;"")</f>
        <v/>
      </c>
      <c r="F106" s="29" t="str">
        <f>IF($Q106="","",INDEX(TRANSACTIONS_MASTER!$I$5:$I$1204,$Q106))</f>
        <v/>
      </c>
      <c r="G106" s="55" t="str">
        <f>IF($Q106="","",INDEX(TRANSACTIONS_MASTER!$K$5:$K$1204,$Q106))</f>
        <v/>
      </c>
      <c r="H106" s="25" t="str">
        <f>IF($Q106="","",INDEX(TRANSACTIONS_MASTER!$L$5:$L$1204,$Q106))</f>
        <v/>
      </c>
      <c r="I106" s="56" t="str">
        <f>IF($Q106="","",INDEX(TRANSACTIONS_MASTER!$N$5:$N$1204,$Q106))</f>
        <v/>
      </c>
      <c r="J106" s="25" t="str">
        <f>IF($Q106="","",INDEX(TRANSACTIONS_MASTER!$O$5:$O$1204,$Q106))</f>
        <v/>
      </c>
      <c r="K106" s="26" t="str">
        <f>IF($Q106="","",INDEX(TRANSACTIONS_MASTER!$Q$5:$Q$1204,$Q106))</f>
        <v/>
      </c>
      <c r="L106" s="25" t="str">
        <f>IF($Q106="","",INDEX(TRANSACTIONS_MASTER!$P$5:$P$1204,$Q106))</f>
        <v/>
      </c>
      <c r="M106" s="25" t="str">
        <f>IF($Q106="","",INDEX(TRANSACTIONS_MASTER!$AA$5:$AA$1204,$Q106))</f>
        <v/>
      </c>
      <c r="N106" s="25" t="str">
        <f>IF($Q106="","",INDEX(TRANSACTIONS_MASTER!$R$5:$R$1204,$Q106))</f>
        <v/>
      </c>
      <c r="O106" s="28" t="str">
        <f>IF($Q106="","",INDEX(TRANSACTIONS_MASTER!$AB$5:$AB$1204,$Q106))</f>
        <v/>
      </c>
      <c r="P106" s="55" t="str">
        <f>IF($Q106="","",INDEX(TRANSACTIONS_MASTER!$Z$5:$Z$1204,$Q106)&amp;"")</f>
        <v/>
      </c>
      <c r="Q106" s="67" t="str">
        <f>IFERROR(MATCH($C$2&amp;"|"&amp;99,TRANSACTIONS_MASTER!$AE$5:$AE$1204,0),"")</f>
        <v/>
      </c>
      <c r="S106" s="67" t="str">
        <f>IFERROR(MATCH(10,CARDS!$O$5:$O$34,0),"")</f>
        <v/>
      </c>
      <c r="T106" s="55" t="n"/>
      <c r="U106" s="55" t="str">
        <f>IF($S106="","",INDEX(CARDS!$B$5:$B$34,$S106))</f>
        <v/>
      </c>
      <c r="V106" s="25" t="str">
        <f>IF($S106="","",SUMIFS(TRANSACTIONS_MASTER!$L$5:$L$1204,TRANSACTIONS_MASTER!$E$5:$E$1204,$U106,TRANSACTIONS_MASTER!$C$5:$C$1204,$C$2,TRANSACTIONS_MASTER!$U$5:$U$1204,"&lt;&gt;Cancelled"))</f>
        <v/>
      </c>
      <c r="W106" s="26" t="str">
        <f>IF($S106="","",SUMIFS(TRANSACTIONS_MASTER!$Q$5:$Q$1204,TRANSACTIONS_MASTER!$E$5:$E$1204,$U106,TRANSACTIONS_MASTER!$C$5:$C$1204,$C$2))</f>
        <v/>
      </c>
    </row>
    <row r="107">
      <c r="A107" s="81" t="str">
        <f>IF($Q107="","",100)</f>
        <v/>
      </c>
      <c r="B107" s="57" t="str">
        <f>IF($Q107="","",INDEX(TRANSACTIONS_MASTER!$B$5:$B$1204,$Q107))</f>
        <v/>
      </c>
      <c r="C107" s="55" t="str">
        <f>IF($Q107="","",INDEX(TRANSACTIONS_MASTER!$F$5:$F$1204,$Q107))</f>
        <v/>
      </c>
      <c r="D107" s="55" t="str">
        <f>IF($Q107="","",INDEX(TRANSACTIONS_MASTER!$E$5:$E$1204,$Q107))</f>
        <v/>
      </c>
      <c r="E107" s="55" t="str">
        <f>IF($Q107="","",INDEX(TRANSACTIONS_MASTER!$G$5:$G$1204,$Q107)&amp;"")</f>
        <v/>
      </c>
      <c r="F107" s="29" t="str">
        <f>IF($Q107="","",INDEX(TRANSACTIONS_MASTER!$I$5:$I$1204,$Q107))</f>
        <v/>
      </c>
      <c r="G107" s="55" t="str">
        <f>IF($Q107="","",INDEX(TRANSACTIONS_MASTER!$K$5:$K$1204,$Q107))</f>
        <v/>
      </c>
      <c r="H107" s="25" t="str">
        <f>IF($Q107="","",INDEX(TRANSACTIONS_MASTER!$L$5:$L$1204,$Q107))</f>
        <v/>
      </c>
      <c r="I107" s="56" t="str">
        <f>IF($Q107="","",INDEX(TRANSACTIONS_MASTER!$N$5:$N$1204,$Q107))</f>
        <v/>
      </c>
      <c r="J107" s="25" t="str">
        <f>IF($Q107="","",INDEX(TRANSACTIONS_MASTER!$O$5:$O$1204,$Q107))</f>
        <v/>
      </c>
      <c r="K107" s="26" t="str">
        <f>IF($Q107="","",INDEX(TRANSACTIONS_MASTER!$Q$5:$Q$1204,$Q107))</f>
        <v/>
      </c>
      <c r="L107" s="25" t="str">
        <f>IF($Q107="","",INDEX(TRANSACTIONS_MASTER!$P$5:$P$1204,$Q107))</f>
        <v/>
      </c>
      <c r="M107" s="25" t="str">
        <f>IF($Q107="","",INDEX(TRANSACTIONS_MASTER!$AA$5:$AA$1204,$Q107))</f>
        <v/>
      </c>
      <c r="N107" s="25" t="str">
        <f>IF($Q107="","",INDEX(TRANSACTIONS_MASTER!$R$5:$R$1204,$Q107))</f>
        <v/>
      </c>
      <c r="O107" s="28" t="str">
        <f>IF($Q107="","",INDEX(TRANSACTIONS_MASTER!$AB$5:$AB$1204,$Q107))</f>
        <v/>
      </c>
      <c r="P107" s="55" t="str">
        <f>IF($Q107="","",INDEX(TRANSACTIONS_MASTER!$Z$5:$Z$1204,$Q107)&amp;"")</f>
        <v/>
      </c>
      <c r="Q107" s="67" t="str">
        <f>IFERROR(MATCH($C$2&amp;"|"&amp;100,TRANSACTIONS_MASTER!$AE$5:$AE$1204,0),"")</f>
        <v/>
      </c>
      <c r="S107" s="67" t="str">
        <f>IFERROR(MATCH(11,CARDS!$O$5:$O$34,0),"")</f>
        <v/>
      </c>
      <c r="T107" s="55" t="n"/>
      <c r="U107" s="55" t="str">
        <f>IF($S107="","",INDEX(CARDS!$B$5:$B$34,$S107))</f>
        <v/>
      </c>
      <c r="V107" s="25" t="str">
        <f>IF($S107="","",SUMIFS(TRANSACTIONS_MASTER!$L$5:$L$1204,TRANSACTIONS_MASTER!$E$5:$E$1204,$U107,TRANSACTIONS_MASTER!$C$5:$C$1204,$C$2,TRANSACTIONS_MASTER!$U$5:$U$1204,"&lt;&gt;Cancelled"))</f>
        <v/>
      </c>
      <c r="W107" s="26" t="str">
        <f>IF($S107="","",SUMIFS(TRANSACTIONS_MASTER!$Q$5:$Q$1204,TRANSACTIONS_MASTER!$E$5:$E$1204,$U107,TRANSACTIONS_MASTER!$C$5:$C$1204,$C$2))</f>
        <v/>
      </c>
    </row>
    <row r="108">
      <c r="A108" s="81" t="str">
        <f>IF($Q108="","",101)</f>
        <v/>
      </c>
      <c r="B108" s="57" t="str">
        <f>IF($Q108="","",INDEX(TRANSACTIONS_MASTER!$B$5:$B$1204,$Q108))</f>
        <v/>
      </c>
      <c r="C108" s="55" t="str">
        <f>IF($Q108="","",INDEX(TRANSACTIONS_MASTER!$F$5:$F$1204,$Q108))</f>
        <v/>
      </c>
      <c r="D108" s="55" t="str">
        <f>IF($Q108="","",INDEX(TRANSACTIONS_MASTER!$E$5:$E$1204,$Q108))</f>
        <v/>
      </c>
      <c r="E108" s="55" t="str">
        <f>IF($Q108="","",INDEX(TRANSACTIONS_MASTER!$G$5:$G$1204,$Q108)&amp;"")</f>
        <v/>
      </c>
      <c r="F108" s="29" t="str">
        <f>IF($Q108="","",INDEX(TRANSACTIONS_MASTER!$I$5:$I$1204,$Q108))</f>
        <v/>
      </c>
      <c r="G108" s="55" t="str">
        <f>IF($Q108="","",INDEX(TRANSACTIONS_MASTER!$K$5:$K$1204,$Q108))</f>
        <v/>
      </c>
      <c r="H108" s="25" t="str">
        <f>IF($Q108="","",INDEX(TRANSACTIONS_MASTER!$L$5:$L$1204,$Q108))</f>
        <v/>
      </c>
      <c r="I108" s="56" t="str">
        <f>IF($Q108="","",INDEX(TRANSACTIONS_MASTER!$N$5:$N$1204,$Q108))</f>
        <v/>
      </c>
      <c r="J108" s="25" t="str">
        <f>IF($Q108="","",INDEX(TRANSACTIONS_MASTER!$O$5:$O$1204,$Q108))</f>
        <v/>
      </c>
      <c r="K108" s="26" t="str">
        <f>IF($Q108="","",INDEX(TRANSACTIONS_MASTER!$Q$5:$Q$1204,$Q108))</f>
        <v/>
      </c>
      <c r="L108" s="25" t="str">
        <f>IF($Q108="","",INDEX(TRANSACTIONS_MASTER!$P$5:$P$1204,$Q108))</f>
        <v/>
      </c>
      <c r="M108" s="25" t="str">
        <f>IF($Q108="","",INDEX(TRANSACTIONS_MASTER!$AA$5:$AA$1204,$Q108))</f>
        <v/>
      </c>
      <c r="N108" s="25" t="str">
        <f>IF($Q108="","",INDEX(TRANSACTIONS_MASTER!$R$5:$R$1204,$Q108))</f>
        <v/>
      </c>
      <c r="O108" s="28" t="str">
        <f>IF($Q108="","",INDEX(TRANSACTIONS_MASTER!$AB$5:$AB$1204,$Q108))</f>
        <v/>
      </c>
      <c r="P108" s="55" t="str">
        <f>IF($Q108="","",INDEX(TRANSACTIONS_MASTER!$Z$5:$Z$1204,$Q108)&amp;"")</f>
        <v/>
      </c>
      <c r="Q108" s="67" t="str">
        <f>IFERROR(MATCH($C$2&amp;"|"&amp;101,TRANSACTIONS_MASTER!$AE$5:$AE$1204,0),"")</f>
        <v/>
      </c>
      <c r="S108" s="67" t="str">
        <f>IFERROR(MATCH(12,CARDS!$O$5:$O$34,0),"")</f>
        <v/>
      </c>
      <c r="T108" s="55" t="n"/>
      <c r="U108" s="55" t="str">
        <f>IF($S108="","",INDEX(CARDS!$B$5:$B$34,$S108))</f>
        <v/>
      </c>
      <c r="V108" s="25" t="str">
        <f>IF($S108="","",SUMIFS(TRANSACTIONS_MASTER!$L$5:$L$1204,TRANSACTIONS_MASTER!$E$5:$E$1204,$U108,TRANSACTIONS_MASTER!$C$5:$C$1204,$C$2,TRANSACTIONS_MASTER!$U$5:$U$1204,"&lt;&gt;Cancelled"))</f>
        <v/>
      </c>
      <c r="W108" s="26" t="str">
        <f>IF($S108="","",SUMIFS(TRANSACTIONS_MASTER!$Q$5:$Q$1204,TRANSACTIONS_MASTER!$E$5:$E$1204,$U108,TRANSACTIONS_MASTER!$C$5:$C$1204,$C$2))</f>
        <v/>
      </c>
    </row>
    <row r="109">
      <c r="A109" s="81" t="str">
        <f>IF($Q109="","",102)</f>
        <v/>
      </c>
      <c r="B109" s="57" t="str">
        <f>IF($Q109="","",INDEX(TRANSACTIONS_MASTER!$B$5:$B$1204,$Q109))</f>
        <v/>
      </c>
      <c r="C109" s="55" t="str">
        <f>IF($Q109="","",INDEX(TRANSACTIONS_MASTER!$F$5:$F$1204,$Q109))</f>
        <v/>
      </c>
      <c r="D109" s="55" t="str">
        <f>IF($Q109="","",INDEX(TRANSACTIONS_MASTER!$E$5:$E$1204,$Q109))</f>
        <v/>
      </c>
      <c r="E109" s="55" t="str">
        <f>IF($Q109="","",INDEX(TRANSACTIONS_MASTER!$G$5:$G$1204,$Q109)&amp;"")</f>
        <v/>
      </c>
      <c r="F109" s="29" t="str">
        <f>IF($Q109="","",INDEX(TRANSACTIONS_MASTER!$I$5:$I$1204,$Q109))</f>
        <v/>
      </c>
      <c r="G109" s="55" t="str">
        <f>IF($Q109="","",INDEX(TRANSACTIONS_MASTER!$K$5:$K$1204,$Q109))</f>
        <v/>
      </c>
      <c r="H109" s="25" t="str">
        <f>IF($Q109="","",INDEX(TRANSACTIONS_MASTER!$L$5:$L$1204,$Q109))</f>
        <v/>
      </c>
      <c r="I109" s="56" t="str">
        <f>IF($Q109="","",INDEX(TRANSACTIONS_MASTER!$N$5:$N$1204,$Q109))</f>
        <v/>
      </c>
      <c r="J109" s="25" t="str">
        <f>IF($Q109="","",INDEX(TRANSACTIONS_MASTER!$O$5:$O$1204,$Q109))</f>
        <v/>
      </c>
      <c r="K109" s="26" t="str">
        <f>IF($Q109="","",INDEX(TRANSACTIONS_MASTER!$Q$5:$Q$1204,$Q109))</f>
        <v/>
      </c>
      <c r="L109" s="25" t="str">
        <f>IF($Q109="","",INDEX(TRANSACTIONS_MASTER!$P$5:$P$1204,$Q109))</f>
        <v/>
      </c>
      <c r="M109" s="25" t="str">
        <f>IF($Q109="","",INDEX(TRANSACTIONS_MASTER!$AA$5:$AA$1204,$Q109))</f>
        <v/>
      </c>
      <c r="N109" s="25" t="str">
        <f>IF($Q109="","",INDEX(TRANSACTIONS_MASTER!$R$5:$R$1204,$Q109))</f>
        <v/>
      </c>
      <c r="O109" s="28" t="str">
        <f>IF($Q109="","",INDEX(TRANSACTIONS_MASTER!$AB$5:$AB$1204,$Q109))</f>
        <v/>
      </c>
      <c r="P109" s="55" t="str">
        <f>IF($Q109="","",INDEX(TRANSACTIONS_MASTER!$Z$5:$Z$1204,$Q109)&amp;"")</f>
        <v/>
      </c>
      <c r="Q109" s="67" t="str">
        <f>IFERROR(MATCH($C$2&amp;"|"&amp;102,TRANSACTIONS_MASTER!$AE$5:$AE$1204,0),"")</f>
        <v/>
      </c>
      <c r="S109" s="67" t="str">
        <f>IFERROR(MATCH(13,CARDS!$O$5:$O$34,0),"")</f>
        <v/>
      </c>
      <c r="T109" s="55" t="n"/>
      <c r="U109" s="55" t="str">
        <f>IF($S109="","",INDEX(CARDS!$B$5:$B$34,$S109))</f>
        <v/>
      </c>
      <c r="V109" s="25" t="str">
        <f>IF($S109="","",SUMIFS(TRANSACTIONS_MASTER!$L$5:$L$1204,TRANSACTIONS_MASTER!$E$5:$E$1204,$U109,TRANSACTIONS_MASTER!$C$5:$C$1204,$C$2,TRANSACTIONS_MASTER!$U$5:$U$1204,"&lt;&gt;Cancelled"))</f>
        <v/>
      </c>
      <c r="W109" s="26" t="str">
        <f>IF($S109="","",SUMIFS(TRANSACTIONS_MASTER!$Q$5:$Q$1204,TRANSACTIONS_MASTER!$E$5:$E$1204,$U109,TRANSACTIONS_MASTER!$C$5:$C$1204,$C$2))</f>
        <v/>
      </c>
    </row>
    <row r="110">
      <c r="A110" s="81" t="str">
        <f>IF($Q110="","",103)</f>
        <v/>
      </c>
      <c r="B110" s="57" t="str">
        <f>IF($Q110="","",INDEX(TRANSACTIONS_MASTER!$B$5:$B$1204,$Q110))</f>
        <v/>
      </c>
      <c r="C110" s="55" t="str">
        <f>IF($Q110="","",INDEX(TRANSACTIONS_MASTER!$F$5:$F$1204,$Q110))</f>
        <v/>
      </c>
      <c r="D110" s="55" t="str">
        <f>IF($Q110="","",INDEX(TRANSACTIONS_MASTER!$E$5:$E$1204,$Q110))</f>
        <v/>
      </c>
      <c r="E110" s="55" t="str">
        <f>IF($Q110="","",INDEX(TRANSACTIONS_MASTER!$G$5:$G$1204,$Q110)&amp;"")</f>
        <v/>
      </c>
      <c r="F110" s="29" t="str">
        <f>IF($Q110="","",INDEX(TRANSACTIONS_MASTER!$I$5:$I$1204,$Q110))</f>
        <v/>
      </c>
      <c r="G110" s="55" t="str">
        <f>IF($Q110="","",INDEX(TRANSACTIONS_MASTER!$K$5:$K$1204,$Q110))</f>
        <v/>
      </c>
      <c r="H110" s="25" t="str">
        <f>IF($Q110="","",INDEX(TRANSACTIONS_MASTER!$L$5:$L$1204,$Q110))</f>
        <v/>
      </c>
      <c r="I110" s="56" t="str">
        <f>IF($Q110="","",INDEX(TRANSACTIONS_MASTER!$N$5:$N$1204,$Q110))</f>
        <v/>
      </c>
      <c r="J110" s="25" t="str">
        <f>IF($Q110="","",INDEX(TRANSACTIONS_MASTER!$O$5:$O$1204,$Q110))</f>
        <v/>
      </c>
      <c r="K110" s="26" t="str">
        <f>IF($Q110="","",INDEX(TRANSACTIONS_MASTER!$Q$5:$Q$1204,$Q110))</f>
        <v/>
      </c>
      <c r="L110" s="25" t="str">
        <f>IF($Q110="","",INDEX(TRANSACTIONS_MASTER!$P$5:$P$1204,$Q110))</f>
        <v/>
      </c>
      <c r="M110" s="25" t="str">
        <f>IF($Q110="","",INDEX(TRANSACTIONS_MASTER!$AA$5:$AA$1204,$Q110))</f>
        <v/>
      </c>
      <c r="N110" s="25" t="str">
        <f>IF($Q110="","",INDEX(TRANSACTIONS_MASTER!$R$5:$R$1204,$Q110))</f>
        <v/>
      </c>
      <c r="O110" s="28" t="str">
        <f>IF($Q110="","",INDEX(TRANSACTIONS_MASTER!$AB$5:$AB$1204,$Q110))</f>
        <v/>
      </c>
      <c r="P110" s="55" t="str">
        <f>IF($Q110="","",INDEX(TRANSACTIONS_MASTER!$Z$5:$Z$1204,$Q110)&amp;"")</f>
        <v/>
      </c>
      <c r="Q110" s="67" t="str">
        <f>IFERROR(MATCH($C$2&amp;"|"&amp;103,TRANSACTIONS_MASTER!$AE$5:$AE$1204,0),"")</f>
        <v/>
      </c>
      <c r="S110" s="67" t="str">
        <f>IFERROR(MATCH(14,CARDS!$O$5:$O$34,0),"")</f>
        <v/>
      </c>
      <c r="T110" s="55" t="n"/>
      <c r="U110" s="55" t="str">
        <f>IF($S110="","",INDEX(CARDS!$B$5:$B$34,$S110))</f>
        <v/>
      </c>
      <c r="V110" s="25" t="str">
        <f>IF($S110="","",SUMIFS(TRANSACTIONS_MASTER!$L$5:$L$1204,TRANSACTIONS_MASTER!$E$5:$E$1204,$U110,TRANSACTIONS_MASTER!$C$5:$C$1204,$C$2,TRANSACTIONS_MASTER!$U$5:$U$1204,"&lt;&gt;Cancelled"))</f>
        <v/>
      </c>
      <c r="W110" s="26" t="str">
        <f>IF($S110="","",SUMIFS(TRANSACTIONS_MASTER!$Q$5:$Q$1204,TRANSACTIONS_MASTER!$E$5:$E$1204,$U110,TRANSACTIONS_MASTER!$C$5:$C$1204,$C$2))</f>
        <v/>
      </c>
    </row>
    <row r="111">
      <c r="A111" s="81" t="str">
        <f>IF($Q111="","",104)</f>
        <v/>
      </c>
      <c r="B111" s="57" t="str">
        <f>IF($Q111="","",INDEX(TRANSACTIONS_MASTER!$B$5:$B$1204,$Q111))</f>
        <v/>
      </c>
      <c r="C111" s="55" t="str">
        <f>IF($Q111="","",INDEX(TRANSACTIONS_MASTER!$F$5:$F$1204,$Q111))</f>
        <v/>
      </c>
      <c r="D111" s="55" t="str">
        <f>IF($Q111="","",INDEX(TRANSACTIONS_MASTER!$E$5:$E$1204,$Q111))</f>
        <v/>
      </c>
      <c r="E111" s="55" t="str">
        <f>IF($Q111="","",INDEX(TRANSACTIONS_MASTER!$G$5:$G$1204,$Q111)&amp;"")</f>
        <v/>
      </c>
      <c r="F111" s="29" t="str">
        <f>IF($Q111="","",INDEX(TRANSACTIONS_MASTER!$I$5:$I$1204,$Q111))</f>
        <v/>
      </c>
      <c r="G111" s="55" t="str">
        <f>IF($Q111="","",INDEX(TRANSACTIONS_MASTER!$K$5:$K$1204,$Q111))</f>
        <v/>
      </c>
      <c r="H111" s="25" t="str">
        <f>IF($Q111="","",INDEX(TRANSACTIONS_MASTER!$L$5:$L$1204,$Q111))</f>
        <v/>
      </c>
      <c r="I111" s="56" t="str">
        <f>IF($Q111="","",INDEX(TRANSACTIONS_MASTER!$N$5:$N$1204,$Q111))</f>
        <v/>
      </c>
      <c r="J111" s="25" t="str">
        <f>IF($Q111="","",INDEX(TRANSACTIONS_MASTER!$O$5:$O$1204,$Q111))</f>
        <v/>
      </c>
      <c r="K111" s="26" t="str">
        <f>IF($Q111="","",INDEX(TRANSACTIONS_MASTER!$Q$5:$Q$1204,$Q111))</f>
        <v/>
      </c>
      <c r="L111" s="25" t="str">
        <f>IF($Q111="","",INDEX(TRANSACTIONS_MASTER!$P$5:$P$1204,$Q111))</f>
        <v/>
      </c>
      <c r="M111" s="25" t="str">
        <f>IF($Q111="","",INDEX(TRANSACTIONS_MASTER!$AA$5:$AA$1204,$Q111))</f>
        <v/>
      </c>
      <c r="N111" s="25" t="str">
        <f>IF($Q111="","",INDEX(TRANSACTIONS_MASTER!$R$5:$R$1204,$Q111))</f>
        <v/>
      </c>
      <c r="O111" s="28" t="str">
        <f>IF($Q111="","",INDEX(TRANSACTIONS_MASTER!$AB$5:$AB$1204,$Q111))</f>
        <v/>
      </c>
      <c r="P111" s="55" t="str">
        <f>IF($Q111="","",INDEX(TRANSACTIONS_MASTER!$Z$5:$Z$1204,$Q111)&amp;"")</f>
        <v/>
      </c>
      <c r="Q111" s="67" t="str">
        <f>IFERROR(MATCH($C$2&amp;"|"&amp;104,TRANSACTIONS_MASTER!$AE$5:$AE$1204,0),"")</f>
        <v/>
      </c>
      <c r="S111" s="67" t="str">
        <f>IFERROR(MATCH(15,CARDS!$O$5:$O$34,0),"")</f>
        <v/>
      </c>
      <c r="T111" s="55" t="n"/>
      <c r="U111" s="55" t="str">
        <f>IF($S111="","",INDEX(CARDS!$B$5:$B$34,$S111))</f>
        <v/>
      </c>
      <c r="V111" s="25" t="str">
        <f>IF($S111="","",SUMIFS(TRANSACTIONS_MASTER!$L$5:$L$1204,TRANSACTIONS_MASTER!$E$5:$E$1204,$U111,TRANSACTIONS_MASTER!$C$5:$C$1204,$C$2,TRANSACTIONS_MASTER!$U$5:$U$1204,"&lt;&gt;Cancelled"))</f>
        <v/>
      </c>
      <c r="W111" s="26" t="str">
        <f>IF($S111="","",SUMIFS(TRANSACTIONS_MASTER!$Q$5:$Q$1204,TRANSACTIONS_MASTER!$E$5:$E$1204,$U111,TRANSACTIONS_MASTER!$C$5:$C$1204,$C$2))</f>
        <v/>
      </c>
    </row>
    <row r="112">
      <c r="A112" s="81" t="str">
        <f>IF($Q112="","",105)</f>
        <v/>
      </c>
      <c r="B112" s="57" t="str">
        <f>IF($Q112="","",INDEX(TRANSACTIONS_MASTER!$B$5:$B$1204,$Q112))</f>
        <v/>
      </c>
      <c r="C112" s="55" t="str">
        <f>IF($Q112="","",INDEX(TRANSACTIONS_MASTER!$F$5:$F$1204,$Q112))</f>
        <v/>
      </c>
      <c r="D112" s="55" t="str">
        <f>IF($Q112="","",INDEX(TRANSACTIONS_MASTER!$E$5:$E$1204,$Q112))</f>
        <v/>
      </c>
      <c r="E112" s="55" t="str">
        <f>IF($Q112="","",INDEX(TRANSACTIONS_MASTER!$G$5:$G$1204,$Q112)&amp;"")</f>
        <v/>
      </c>
      <c r="F112" s="29" t="str">
        <f>IF($Q112="","",INDEX(TRANSACTIONS_MASTER!$I$5:$I$1204,$Q112))</f>
        <v/>
      </c>
      <c r="G112" s="55" t="str">
        <f>IF($Q112="","",INDEX(TRANSACTIONS_MASTER!$K$5:$K$1204,$Q112))</f>
        <v/>
      </c>
      <c r="H112" s="25" t="str">
        <f>IF($Q112="","",INDEX(TRANSACTIONS_MASTER!$L$5:$L$1204,$Q112))</f>
        <v/>
      </c>
      <c r="I112" s="56" t="str">
        <f>IF($Q112="","",INDEX(TRANSACTIONS_MASTER!$N$5:$N$1204,$Q112))</f>
        <v/>
      </c>
      <c r="J112" s="25" t="str">
        <f>IF($Q112="","",INDEX(TRANSACTIONS_MASTER!$O$5:$O$1204,$Q112))</f>
        <v/>
      </c>
      <c r="K112" s="26" t="str">
        <f>IF($Q112="","",INDEX(TRANSACTIONS_MASTER!$Q$5:$Q$1204,$Q112))</f>
        <v/>
      </c>
      <c r="L112" s="25" t="str">
        <f>IF($Q112="","",INDEX(TRANSACTIONS_MASTER!$P$5:$P$1204,$Q112))</f>
        <v/>
      </c>
      <c r="M112" s="25" t="str">
        <f>IF($Q112="","",INDEX(TRANSACTIONS_MASTER!$AA$5:$AA$1204,$Q112))</f>
        <v/>
      </c>
      <c r="N112" s="25" t="str">
        <f>IF($Q112="","",INDEX(TRANSACTIONS_MASTER!$R$5:$R$1204,$Q112))</f>
        <v/>
      </c>
      <c r="O112" s="28" t="str">
        <f>IF($Q112="","",INDEX(TRANSACTIONS_MASTER!$AB$5:$AB$1204,$Q112))</f>
        <v/>
      </c>
      <c r="P112" s="55" t="str">
        <f>IF($Q112="","",INDEX(TRANSACTIONS_MASTER!$Z$5:$Z$1204,$Q112)&amp;"")</f>
        <v/>
      </c>
      <c r="Q112" s="67" t="str">
        <f>IFERROR(MATCH($C$2&amp;"|"&amp;105,TRANSACTIONS_MASTER!$AE$5:$AE$1204,0),"")</f>
        <v/>
      </c>
      <c r="T112" s="68" t="n"/>
      <c r="U112" s="69" t="inlineStr">
        <is>
          <t>TỔNG</t>
        </is>
      </c>
      <c r="V112" s="31">
        <f>SUM(V97:V111)</f>
        <v>9650000</v>
      </c>
      <c r="W112" s="31">
        <f>SUM(W97:W111)</f>
        <v>826000</v>
      </c>
    </row>
    <row r="113">
      <c r="A113" s="81" t="str">
        <f>IF($Q113="","",106)</f>
        <v/>
      </c>
      <c r="B113" s="57" t="str">
        <f>IF($Q113="","",INDEX(TRANSACTIONS_MASTER!$B$5:$B$1204,$Q113))</f>
        <v/>
      </c>
      <c r="C113" s="55" t="str">
        <f>IF($Q113="","",INDEX(TRANSACTIONS_MASTER!$F$5:$F$1204,$Q113))</f>
        <v/>
      </c>
      <c r="D113" s="55" t="str">
        <f>IF($Q113="","",INDEX(TRANSACTIONS_MASTER!$E$5:$E$1204,$Q113))</f>
        <v/>
      </c>
      <c r="E113" s="55" t="str">
        <f>IF($Q113="","",INDEX(TRANSACTIONS_MASTER!$G$5:$G$1204,$Q113)&amp;"")</f>
        <v/>
      </c>
      <c r="F113" s="29" t="str">
        <f>IF($Q113="","",INDEX(TRANSACTIONS_MASTER!$I$5:$I$1204,$Q113))</f>
        <v/>
      </c>
      <c r="G113" s="55" t="str">
        <f>IF($Q113="","",INDEX(TRANSACTIONS_MASTER!$K$5:$K$1204,$Q113))</f>
        <v/>
      </c>
      <c r="H113" s="25" t="str">
        <f>IF($Q113="","",INDEX(TRANSACTIONS_MASTER!$L$5:$L$1204,$Q113))</f>
        <v/>
      </c>
      <c r="I113" s="56" t="str">
        <f>IF($Q113="","",INDEX(TRANSACTIONS_MASTER!$N$5:$N$1204,$Q113))</f>
        <v/>
      </c>
      <c r="J113" s="25" t="str">
        <f>IF($Q113="","",INDEX(TRANSACTIONS_MASTER!$O$5:$O$1204,$Q113))</f>
        <v/>
      </c>
      <c r="K113" s="26" t="str">
        <f>IF($Q113="","",INDEX(TRANSACTIONS_MASTER!$Q$5:$Q$1204,$Q113))</f>
        <v/>
      </c>
      <c r="L113" s="25" t="str">
        <f>IF($Q113="","",INDEX(TRANSACTIONS_MASTER!$P$5:$P$1204,$Q113))</f>
        <v/>
      </c>
      <c r="M113" s="25" t="str">
        <f>IF($Q113="","",INDEX(TRANSACTIONS_MASTER!$AA$5:$AA$1204,$Q113))</f>
        <v/>
      </c>
      <c r="N113" s="25" t="str">
        <f>IF($Q113="","",INDEX(TRANSACTIONS_MASTER!$R$5:$R$1204,$Q113))</f>
        <v/>
      </c>
      <c r="O113" s="28" t="str">
        <f>IF($Q113="","",INDEX(TRANSACTIONS_MASTER!$AB$5:$AB$1204,$Q113))</f>
        <v/>
      </c>
      <c r="P113" s="55" t="str">
        <f>IF($Q113="","",INDEX(TRANSACTIONS_MASTER!$Z$5:$Z$1204,$Q113)&amp;"")</f>
        <v/>
      </c>
      <c r="Q113" s="67" t="str">
        <f>IFERROR(MATCH($C$2&amp;"|"&amp;106,TRANSACTIONS_MASTER!$AE$5:$AE$1204,0),"")</f>
        <v/>
      </c>
    </row>
    <row r="114">
      <c r="A114" s="81" t="str">
        <f>IF($Q114="","",107)</f>
        <v/>
      </c>
      <c r="B114" s="57" t="str">
        <f>IF($Q114="","",INDEX(TRANSACTIONS_MASTER!$B$5:$B$1204,$Q114))</f>
        <v/>
      </c>
      <c r="C114" s="55" t="str">
        <f>IF($Q114="","",INDEX(TRANSACTIONS_MASTER!$F$5:$F$1204,$Q114))</f>
        <v/>
      </c>
      <c r="D114" s="55" t="str">
        <f>IF($Q114="","",INDEX(TRANSACTIONS_MASTER!$E$5:$E$1204,$Q114))</f>
        <v/>
      </c>
      <c r="E114" s="55" t="str">
        <f>IF($Q114="","",INDEX(TRANSACTIONS_MASTER!$G$5:$G$1204,$Q114)&amp;"")</f>
        <v/>
      </c>
      <c r="F114" s="29" t="str">
        <f>IF($Q114="","",INDEX(TRANSACTIONS_MASTER!$I$5:$I$1204,$Q114))</f>
        <v/>
      </c>
      <c r="G114" s="55" t="str">
        <f>IF($Q114="","",INDEX(TRANSACTIONS_MASTER!$K$5:$K$1204,$Q114))</f>
        <v/>
      </c>
      <c r="H114" s="25" t="str">
        <f>IF($Q114="","",INDEX(TRANSACTIONS_MASTER!$L$5:$L$1204,$Q114))</f>
        <v/>
      </c>
      <c r="I114" s="56" t="str">
        <f>IF($Q114="","",INDEX(TRANSACTIONS_MASTER!$N$5:$N$1204,$Q114))</f>
        <v/>
      </c>
      <c r="J114" s="25" t="str">
        <f>IF($Q114="","",INDEX(TRANSACTIONS_MASTER!$O$5:$O$1204,$Q114))</f>
        <v/>
      </c>
      <c r="K114" s="26" t="str">
        <f>IF($Q114="","",INDEX(TRANSACTIONS_MASTER!$Q$5:$Q$1204,$Q114))</f>
        <v/>
      </c>
      <c r="L114" s="25" t="str">
        <f>IF($Q114="","",INDEX(TRANSACTIONS_MASTER!$P$5:$P$1204,$Q114))</f>
        <v/>
      </c>
      <c r="M114" s="25" t="str">
        <f>IF($Q114="","",INDEX(TRANSACTIONS_MASTER!$AA$5:$AA$1204,$Q114))</f>
        <v/>
      </c>
      <c r="N114" s="25" t="str">
        <f>IF($Q114="","",INDEX(TRANSACTIONS_MASTER!$R$5:$R$1204,$Q114))</f>
        <v/>
      </c>
      <c r="O114" s="28" t="str">
        <f>IF($Q114="","",INDEX(TRANSACTIONS_MASTER!$AB$5:$AB$1204,$Q114))</f>
        <v/>
      </c>
      <c r="P114" s="55" t="str">
        <f>IF($Q114="","",INDEX(TRANSACTIONS_MASTER!$Z$5:$Z$1204,$Q114)&amp;"")</f>
        <v/>
      </c>
      <c r="Q114" s="67" t="str">
        <f>IFERROR(MATCH($C$2&amp;"|"&amp;107,TRANSACTIONS_MASTER!$AE$5:$AE$1204,0),"")</f>
        <v/>
      </c>
    </row>
    <row r="115" ht="22" customHeight="1">
      <c r="A115" s="81" t="str">
        <f>IF($Q115="","",108)</f>
        <v/>
      </c>
      <c r="B115" s="57" t="str">
        <f>IF($Q115="","",INDEX(TRANSACTIONS_MASTER!$B$5:$B$1204,$Q115))</f>
        <v/>
      </c>
      <c r="C115" s="55" t="str">
        <f>IF($Q115="","",INDEX(TRANSACTIONS_MASTER!$F$5:$F$1204,$Q115))</f>
        <v/>
      </c>
      <c r="D115" s="55" t="str">
        <f>IF($Q115="","",INDEX(TRANSACTIONS_MASTER!$E$5:$E$1204,$Q115))</f>
        <v/>
      </c>
      <c r="E115" s="55" t="str">
        <f>IF($Q115="","",INDEX(TRANSACTIONS_MASTER!$G$5:$G$1204,$Q115)&amp;"")</f>
        <v/>
      </c>
      <c r="F115" s="29" t="str">
        <f>IF($Q115="","",INDEX(TRANSACTIONS_MASTER!$I$5:$I$1204,$Q115))</f>
        <v/>
      </c>
      <c r="G115" s="55" t="str">
        <f>IF($Q115="","",INDEX(TRANSACTIONS_MASTER!$K$5:$K$1204,$Q115))</f>
        <v/>
      </c>
      <c r="H115" s="25" t="str">
        <f>IF($Q115="","",INDEX(TRANSACTIONS_MASTER!$L$5:$L$1204,$Q115))</f>
        <v/>
      </c>
      <c r="I115" s="56" t="str">
        <f>IF($Q115="","",INDEX(TRANSACTIONS_MASTER!$N$5:$N$1204,$Q115))</f>
        <v/>
      </c>
      <c r="J115" s="25" t="str">
        <f>IF($Q115="","",INDEX(TRANSACTIONS_MASTER!$O$5:$O$1204,$Q115))</f>
        <v/>
      </c>
      <c r="K115" s="26" t="str">
        <f>IF($Q115="","",INDEX(TRANSACTIONS_MASTER!$Q$5:$Q$1204,$Q115))</f>
        <v/>
      </c>
      <c r="L115" s="25" t="str">
        <f>IF($Q115="","",INDEX(TRANSACTIONS_MASTER!$P$5:$P$1204,$Q115))</f>
        <v/>
      </c>
      <c r="M115" s="25" t="str">
        <f>IF($Q115="","",INDEX(TRANSACTIONS_MASTER!$AA$5:$AA$1204,$Q115))</f>
        <v/>
      </c>
      <c r="N115" s="25" t="str">
        <f>IF($Q115="","",INDEX(TRANSACTIONS_MASTER!$R$5:$R$1204,$Q115))</f>
        <v/>
      </c>
      <c r="O115" s="28" t="str">
        <f>IF($Q115="","",INDEX(TRANSACTIONS_MASTER!$AB$5:$AB$1204,$Q115))</f>
        <v/>
      </c>
      <c r="P115" s="55" t="str">
        <f>IF($Q115="","",INDEX(TRANSACTIONS_MASTER!$Z$5:$Z$1204,$Q115)&amp;"")</f>
        <v/>
      </c>
      <c r="Q115" s="67" t="str">
        <f>IFERROR(MATCH($C$2&amp;"|"&amp;108,TRANSACTIONS_MASTER!$AE$5:$AE$1204,0),"")</f>
        <v/>
      </c>
      <c r="T115" s="19" t="inlineStr">
        <is>
          <t>THEO DANH MỤC (Category)</t>
        </is>
      </c>
      <c r="U115" s="20" t="n"/>
      <c r="V115" s="20" t="n"/>
      <c r="W115" s="20" t="n"/>
      <c r="X115" s="20" t="n"/>
      <c r="Y115" s="20" t="n"/>
      <c r="Z115" s="20" t="n"/>
      <c r="AA115" s="20" t="n"/>
    </row>
    <row r="116" ht="28" customHeight="1">
      <c r="A116" s="81" t="str">
        <f>IF($Q116="","",109)</f>
        <v/>
      </c>
      <c r="B116" s="57" t="str">
        <f>IF($Q116="","",INDEX(TRANSACTIONS_MASTER!$B$5:$B$1204,$Q116))</f>
        <v/>
      </c>
      <c r="C116" s="55" t="str">
        <f>IF($Q116="","",INDEX(TRANSACTIONS_MASTER!$F$5:$F$1204,$Q116))</f>
        <v/>
      </c>
      <c r="D116" s="55" t="str">
        <f>IF($Q116="","",INDEX(TRANSACTIONS_MASTER!$E$5:$E$1204,$Q116))</f>
        <v/>
      </c>
      <c r="E116" s="55" t="str">
        <f>IF($Q116="","",INDEX(TRANSACTIONS_MASTER!$G$5:$G$1204,$Q116)&amp;"")</f>
        <v/>
      </c>
      <c r="F116" s="29" t="str">
        <f>IF($Q116="","",INDEX(TRANSACTIONS_MASTER!$I$5:$I$1204,$Q116))</f>
        <v/>
      </c>
      <c r="G116" s="55" t="str">
        <f>IF($Q116="","",INDEX(TRANSACTIONS_MASTER!$K$5:$K$1204,$Q116))</f>
        <v/>
      </c>
      <c r="H116" s="25" t="str">
        <f>IF($Q116="","",INDEX(TRANSACTIONS_MASTER!$L$5:$L$1204,$Q116))</f>
        <v/>
      </c>
      <c r="I116" s="56" t="str">
        <f>IF($Q116="","",INDEX(TRANSACTIONS_MASTER!$N$5:$N$1204,$Q116))</f>
        <v/>
      </c>
      <c r="J116" s="25" t="str">
        <f>IF($Q116="","",INDEX(TRANSACTIONS_MASTER!$O$5:$O$1204,$Q116))</f>
        <v/>
      </c>
      <c r="K116" s="26" t="str">
        <f>IF($Q116="","",INDEX(TRANSACTIONS_MASTER!$Q$5:$Q$1204,$Q116))</f>
        <v/>
      </c>
      <c r="L116" s="25" t="str">
        <f>IF($Q116="","",INDEX(TRANSACTIONS_MASTER!$P$5:$P$1204,$Q116))</f>
        <v/>
      </c>
      <c r="M116" s="25" t="str">
        <f>IF($Q116="","",INDEX(TRANSACTIONS_MASTER!$AA$5:$AA$1204,$Q116))</f>
        <v/>
      </c>
      <c r="N116" s="25" t="str">
        <f>IF($Q116="","",INDEX(TRANSACTIONS_MASTER!$R$5:$R$1204,$Q116))</f>
        <v/>
      </c>
      <c r="O116" s="28" t="str">
        <f>IF($Q116="","",INDEX(TRANSACTIONS_MASTER!$AB$5:$AB$1204,$Q116))</f>
        <v/>
      </c>
      <c r="P116" s="55" t="str">
        <f>IF($Q116="","",INDEX(TRANSACTIONS_MASTER!$Z$5:$Z$1204,$Q116)&amp;"")</f>
        <v/>
      </c>
      <c r="Q116" s="67" t="str">
        <f>IFERROR(MATCH($C$2&amp;"|"&amp;109,TRANSACTIONS_MASTER!$AE$5:$AE$1204,0),"")</f>
        <v/>
      </c>
      <c r="S116" s="21" t="inlineStr">
        <is>
          <t>#</t>
        </is>
      </c>
      <c r="T116" s="21" t="inlineStr"/>
      <c r="U116" s="21" t="inlineStr">
        <is>
          <t>Danh mục</t>
        </is>
      </c>
      <c r="V116" s="21" t="inlineStr">
        <is>
          <t>Chi tiêu</t>
        </is>
      </c>
      <c r="W116" s="21" t="inlineStr">
        <is>
          <t>Cashback</t>
        </is>
      </c>
    </row>
    <row r="117">
      <c r="A117" s="81" t="str">
        <f>IF($Q117="","",110)</f>
        <v/>
      </c>
      <c r="B117" s="57" t="str">
        <f>IF($Q117="","",INDEX(TRANSACTIONS_MASTER!$B$5:$B$1204,$Q117))</f>
        <v/>
      </c>
      <c r="C117" s="55" t="str">
        <f>IF($Q117="","",INDEX(TRANSACTIONS_MASTER!$F$5:$F$1204,$Q117))</f>
        <v/>
      </c>
      <c r="D117" s="55" t="str">
        <f>IF($Q117="","",INDEX(TRANSACTIONS_MASTER!$E$5:$E$1204,$Q117))</f>
        <v/>
      </c>
      <c r="E117" s="55" t="str">
        <f>IF($Q117="","",INDEX(TRANSACTIONS_MASTER!$G$5:$G$1204,$Q117)&amp;"")</f>
        <v/>
      </c>
      <c r="F117" s="29" t="str">
        <f>IF($Q117="","",INDEX(TRANSACTIONS_MASTER!$I$5:$I$1204,$Q117))</f>
        <v/>
      </c>
      <c r="G117" s="55" t="str">
        <f>IF($Q117="","",INDEX(TRANSACTIONS_MASTER!$K$5:$K$1204,$Q117))</f>
        <v/>
      </c>
      <c r="H117" s="25" t="str">
        <f>IF($Q117="","",INDEX(TRANSACTIONS_MASTER!$L$5:$L$1204,$Q117))</f>
        <v/>
      </c>
      <c r="I117" s="56" t="str">
        <f>IF($Q117="","",INDEX(TRANSACTIONS_MASTER!$N$5:$N$1204,$Q117))</f>
        <v/>
      </c>
      <c r="J117" s="25" t="str">
        <f>IF($Q117="","",INDEX(TRANSACTIONS_MASTER!$O$5:$O$1204,$Q117))</f>
        <v/>
      </c>
      <c r="K117" s="26" t="str">
        <f>IF($Q117="","",INDEX(TRANSACTIONS_MASTER!$Q$5:$Q$1204,$Q117))</f>
        <v/>
      </c>
      <c r="L117" s="25" t="str">
        <f>IF($Q117="","",INDEX(TRANSACTIONS_MASTER!$P$5:$P$1204,$Q117))</f>
        <v/>
      </c>
      <c r="M117" s="25" t="str">
        <f>IF($Q117="","",INDEX(TRANSACTIONS_MASTER!$AA$5:$AA$1204,$Q117))</f>
        <v/>
      </c>
      <c r="N117" s="25" t="str">
        <f>IF($Q117="","",INDEX(TRANSACTIONS_MASTER!$R$5:$R$1204,$Q117))</f>
        <v/>
      </c>
      <c r="O117" s="28" t="str">
        <f>IF($Q117="","",INDEX(TRANSACTIONS_MASTER!$AB$5:$AB$1204,$Q117))</f>
        <v/>
      </c>
      <c r="P117" s="55" t="str">
        <f>IF($Q117="","",INDEX(TRANSACTIONS_MASTER!$Z$5:$Z$1204,$Q117)&amp;"")</f>
        <v/>
      </c>
      <c r="Q117" s="67" t="str">
        <f>IFERROR(MATCH($C$2&amp;"|"&amp;110,TRANSACTIONS_MASTER!$AE$5:$AE$1204,0),"")</f>
        <v/>
      </c>
      <c r="S117" s="67">
        <f>IFERROR(MATCH(1,INDEX((TRANSACTIONS_MASTER!$C$5:$C$1204=$C$2)*(TRANSACTIONS_MASTER!$AL$5:$AL$1204=1),0),0),"")</f>
        <v>1</v>
      </c>
      <c r="T117" s="55" t="n"/>
      <c r="U117" s="55" t="str">
        <f>IF($S117="","",INDEX(TRANSACTIONS_MASTER!$K$5:$K$1204,$S117))</f>
        <v>Dining</v>
      </c>
      <c r="V117" s="25">
        <f>IF($S117="","",SUMIFS(TRANSACTIONS_MASTER!$L$5:$L$1204,TRANSACTIONS_MASTER!$K$5:$K$1204,$U117,TRANSACTIONS_MASTER!$C$5:$C$1204,$C$2,TRANSACTIONS_MASTER!$U$5:$U$1204,"&lt;&gt;Cancelled"))</f>
        <v>5150000</v>
      </c>
      <c r="W117" s="26">
        <f>IF($S117="","",SUMIFS(TRANSACTIONS_MASTER!$Q$5:$Q$1204,TRANSACTIONS_MASTER!$K$5:$K$1204,$U117,TRANSACTIONS_MASTER!$C$5:$C$1204,$C$2))</f>
        <v>500000</v>
      </c>
    </row>
    <row r="118">
      <c r="A118" s="81" t="str">
        <f>IF($Q118="","",111)</f>
        <v/>
      </c>
      <c r="B118" s="57" t="str">
        <f>IF($Q118="","",INDEX(TRANSACTIONS_MASTER!$B$5:$B$1204,$Q118))</f>
        <v/>
      </c>
      <c r="C118" s="55" t="str">
        <f>IF($Q118="","",INDEX(TRANSACTIONS_MASTER!$F$5:$F$1204,$Q118))</f>
        <v/>
      </c>
      <c r="D118" s="55" t="str">
        <f>IF($Q118="","",INDEX(TRANSACTIONS_MASTER!$E$5:$E$1204,$Q118))</f>
        <v/>
      </c>
      <c r="E118" s="55" t="str">
        <f>IF($Q118="","",INDEX(TRANSACTIONS_MASTER!$G$5:$G$1204,$Q118)&amp;"")</f>
        <v/>
      </c>
      <c r="F118" s="29" t="str">
        <f>IF($Q118="","",INDEX(TRANSACTIONS_MASTER!$I$5:$I$1204,$Q118))</f>
        <v/>
      </c>
      <c r="G118" s="55" t="str">
        <f>IF($Q118="","",INDEX(TRANSACTIONS_MASTER!$K$5:$K$1204,$Q118))</f>
        <v/>
      </c>
      <c r="H118" s="25" t="str">
        <f>IF($Q118="","",INDEX(TRANSACTIONS_MASTER!$L$5:$L$1204,$Q118))</f>
        <v/>
      </c>
      <c r="I118" s="56" t="str">
        <f>IF($Q118="","",INDEX(TRANSACTIONS_MASTER!$N$5:$N$1204,$Q118))</f>
        <v/>
      </c>
      <c r="J118" s="25" t="str">
        <f>IF($Q118="","",INDEX(TRANSACTIONS_MASTER!$O$5:$O$1204,$Q118))</f>
        <v/>
      </c>
      <c r="K118" s="26" t="str">
        <f>IF($Q118="","",INDEX(TRANSACTIONS_MASTER!$Q$5:$Q$1204,$Q118))</f>
        <v/>
      </c>
      <c r="L118" s="25" t="str">
        <f>IF($Q118="","",INDEX(TRANSACTIONS_MASTER!$P$5:$P$1204,$Q118))</f>
        <v/>
      </c>
      <c r="M118" s="25" t="str">
        <f>IF($Q118="","",INDEX(TRANSACTIONS_MASTER!$AA$5:$AA$1204,$Q118))</f>
        <v/>
      </c>
      <c r="N118" s="25" t="str">
        <f>IF($Q118="","",INDEX(TRANSACTIONS_MASTER!$R$5:$R$1204,$Q118))</f>
        <v/>
      </c>
      <c r="O118" s="28" t="str">
        <f>IF($Q118="","",INDEX(TRANSACTIONS_MASTER!$AB$5:$AB$1204,$Q118))</f>
        <v/>
      </c>
      <c r="P118" s="55" t="str">
        <f>IF($Q118="","",INDEX(TRANSACTIONS_MASTER!$Z$5:$Z$1204,$Q118)&amp;"")</f>
        <v/>
      </c>
      <c r="Q118" s="67" t="str">
        <f>IFERROR(MATCH($C$2&amp;"|"&amp;111,TRANSACTIONS_MASTER!$AE$5:$AE$1204,0),"")</f>
        <v/>
      </c>
      <c r="S118" s="67">
        <f>IFERROR(MATCH(1,INDEX((TRANSACTIONS_MASTER!$C$5:$C$1204=$C$2)*(TRANSACTIONS_MASTER!$AL$5:$AL$1204=2),0),0),"")</f>
        <v>4</v>
      </c>
      <c r="T118" s="55" t="n"/>
      <c r="U118" s="55" t="str">
        <f>IF($S118="","",INDEX(TRANSACTIONS_MASTER!$K$5:$K$1204,$S118))</f>
        <v>Groceries</v>
      </c>
      <c r="V118" s="25">
        <f>IF($S118="","",SUMIFS(TRANSACTIONS_MASTER!$L$5:$L$1204,TRANSACTIONS_MASTER!$K$5:$K$1204,$U118,TRANSACTIONS_MASTER!$C$5:$C$1204,$C$2,TRANSACTIONS_MASTER!$U$5:$U$1204,"&lt;&gt;Cancelled"))</f>
        <v>3300000</v>
      </c>
      <c r="W118" s="26">
        <f>IF($S118="","",SUMIFS(TRANSACTIONS_MASTER!$Q$5:$Q$1204,TRANSACTIONS_MASTER!$K$5:$K$1204,$U118,TRANSACTIONS_MASTER!$C$5:$C$1204,$C$2))</f>
        <v>266000</v>
      </c>
    </row>
    <row r="119">
      <c r="A119" s="81" t="str">
        <f>IF($Q119="","",112)</f>
        <v/>
      </c>
      <c r="B119" s="57" t="str">
        <f>IF($Q119="","",INDEX(TRANSACTIONS_MASTER!$B$5:$B$1204,$Q119))</f>
        <v/>
      </c>
      <c r="C119" s="55" t="str">
        <f>IF($Q119="","",INDEX(TRANSACTIONS_MASTER!$F$5:$F$1204,$Q119))</f>
        <v/>
      </c>
      <c r="D119" s="55" t="str">
        <f>IF($Q119="","",INDEX(TRANSACTIONS_MASTER!$E$5:$E$1204,$Q119))</f>
        <v/>
      </c>
      <c r="E119" s="55" t="str">
        <f>IF($Q119="","",INDEX(TRANSACTIONS_MASTER!$G$5:$G$1204,$Q119)&amp;"")</f>
        <v/>
      </c>
      <c r="F119" s="29" t="str">
        <f>IF($Q119="","",INDEX(TRANSACTIONS_MASTER!$I$5:$I$1204,$Q119))</f>
        <v/>
      </c>
      <c r="G119" s="55" t="str">
        <f>IF($Q119="","",INDEX(TRANSACTIONS_MASTER!$K$5:$K$1204,$Q119))</f>
        <v/>
      </c>
      <c r="H119" s="25" t="str">
        <f>IF($Q119="","",INDEX(TRANSACTIONS_MASTER!$L$5:$L$1204,$Q119))</f>
        <v/>
      </c>
      <c r="I119" s="56" t="str">
        <f>IF($Q119="","",INDEX(TRANSACTIONS_MASTER!$N$5:$N$1204,$Q119))</f>
        <v/>
      </c>
      <c r="J119" s="25" t="str">
        <f>IF($Q119="","",INDEX(TRANSACTIONS_MASTER!$O$5:$O$1204,$Q119))</f>
        <v/>
      </c>
      <c r="K119" s="26" t="str">
        <f>IF($Q119="","",INDEX(TRANSACTIONS_MASTER!$Q$5:$Q$1204,$Q119))</f>
        <v/>
      </c>
      <c r="L119" s="25" t="str">
        <f>IF($Q119="","",INDEX(TRANSACTIONS_MASTER!$P$5:$P$1204,$Q119))</f>
        <v/>
      </c>
      <c r="M119" s="25" t="str">
        <f>IF($Q119="","",INDEX(TRANSACTIONS_MASTER!$AA$5:$AA$1204,$Q119))</f>
        <v/>
      </c>
      <c r="N119" s="25" t="str">
        <f>IF($Q119="","",INDEX(TRANSACTIONS_MASTER!$R$5:$R$1204,$Q119))</f>
        <v/>
      </c>
      <c r="O119" s="28" t="str">
        <f>IF($Q119="","",INDEX(TRANSACTIONS_MASTER!$AB$5:$AB$1204,$Q119))</f>
        <v/>
      </c>
      <c r="P119" s="55" t="str">
        <f>IF($Q119="","",INDEX(TRANSACTIONS_MASTER!$Z$5:$Z$1204,$Q119)&amp;"")</f>
        <v/>
      </c>
      <c r="Q119" s="67" t="str">
        <f>IFERROR(MATCH($C$2&amp;"|"&amp;112,TRANSACTIONS_MASTER!$AE$5:$AE$1204,0),"")</f>
        <v/>
      </c>
      <c r="S119" s="67">
        <f>IFERROR(MATCH(1,INDEX((TRANSACTIONS_MASTER!$C$5:$C$1204=$C$2)*(TRANSACTIONS_MASTER!$AL$5:$AL$1204=3),0),0),"")</f>
        <v>5</v>
      </c>
      <c r="T119" s="55" t="n"/>
      <c r="U119" s="55" t="str">
        <f>IF($S119="","",INDEX(TRANSACTIONS_MASTER!$K$5:$K$1204,$S119))</f>
        <v>Fuel</v>
      </c>
      <c r="V119" s="25">
        <f>IF($S119="","",SUMIFS(TRANSACTIONS_MASTER!$L$5:$L$1204,TRANSACTIONS_MASTER!$K$5:$K$1204,$U119,TRANSACTIONS_MASTER!$C$5:$C$1204,$C$2,TRANSACTIONS_MASTER!$U$5:$U$1204,"&lt;&gt;Cancelled"))</f>
        <v>1200000</v>
      </c>
      <c r="W119" s="26">
        <f>IF($S119="","",SUMIFS(TRANSACTIONS_MASTER!$Q$5:$Q$1204,TRANSACTIONS_MASTER!$K$5:$K$1204,$U119,TRANSACTIONS_MASTER!$C$5:$C$1204,$C$2))</f>
        <v>60000</v>
      </c>
    </row>
    <row r="120">
      <c r="A120" s="81" t="str">
        <f>IF($Q120="","",113)</f>
        <v/>
      </c>
      <c r="B120" s="57" t="str">
        <f>IF($Q120="","",INDEX(TRANSACTIONS_MASTER!$B$5:$B$1204,$Q120))</f>
        <v/>
      </c>
      <c r="C120" s="55" t="str">
        <f>IF($Q120="","",INDEX(TRANSACTIONS_MASTER!$F$5:$F$1204,$Q120))</f>
        <v/>
      </c>
      <c r="D120" s="55" t="str">
        <f>IF($Q120="","",INDEX(TRANSACTIONS_MASTER!$E$5:$E$1204,$Q120))</f>
        <v/>
      </c>
      <c r="E120" s="55" t="str">
        <f>IF($Q120="","",INDEX(TRANSACTIONS_MASTER!$G$5:$G$1204,$Q120)&amp;"")</f>
        <v/>
      </c>
      <c r="F120" s="29" t="str">
        <f>IF($Q120="","",INDEX(TRANSACTIONS_MASTER!$I$5:$I$1204,$Q120))</f>
        <v/>
      </c>
      <c r="G120" s="55" t="str">
        <f>IF($Q120="","",INDEX(TRANSACTIONS_MASTER!$K$5:$K$1204,$Q120))</f>
        <v/>
      </c>
      <c r="H120" s="25" t="str">
        <f>IF($Q120="","",INDEX(TRANSACTIONS_MASTER!$L$5:$L$1204,$Q120))</f>
        <v/>
      </c>
      <c r="I120" s="56" t="str">
        <f>IF($Q120="","",INDEX(TRANSACTIONS_MASTER!$N$5:$N$1204,$Q120))</f>
        <v/>
      </c>
      <c r="J120" s="25" t="str">
        <f>IF($Q120="","",INDEX(TRANSACTIONS_MASTER!$O$5:$O$1204,$Q120))</f>
        <v/>
      </c>
      <c r="K120" s="26" t="str">
        <f>IF($Q120="","",INDEX(TRANSACTIONS_MASTER!$Q$5:$Q$1204,$Q120))</f>
        <v/>
      </c>
      <c r="L120" s="25" t="str">
        <f>IF($Q120="","",INDEX(TRANSACTIONS_MASTER!$P$5:$P$1204,$Q120))</f>
        <v/>
      </c>
      <c r="M120" s="25" t="str">
        <f>IF($Q120="","",INDEX(TRANSACTIONS_MASTER!$AA$5:$AA$1204,$Q120))</f>
        <v/>
      </c>
      <c r="N120" s="25" t="str">
        <f>IF($Q120="","",INDEX(TRANSACTIONS_MASTER!$R$5:$R$1204,$Q120))</f>
        <v/>
      </c>
      <c r="O120" s="28" t="str">
        <f>IF($Q120="","",INDEX(TRANSACTIONS_MASTER!$AB$5:$AB$1204,$Q120))</f>
        <v/>
      </c>
      <c r="P120" s="55" t="str">
        <f>IF($Q120="","",INDEX(TRANSACTIONS_MASTER!$Z$5:$Z$1204,$Q120)&amp;"")</f>
        <v/>
      </c>
      <c r="Q120" s="67" t="str">
        <f>IFERROR(MATCH($C$2&amp;"|"&amp;113,TRANSACTIONS_MASTER!$AE$5:$AE$1204,0),"")</f>
        <v/>
      </c>
      <c r="S120" s="67" t="str">
        <f>IFERROR(MATCH(1,INDEX((TRANSACTIONS_MASTER!$C$5:$C$1204=$C$2)*(TRANSACTIONS_MASTER!$AL$5:$AL$1204=4),0),0),"")</f>
        <v/>
      </c>
      <c r="T120" s="55" t="n"/>
      <c r="U120" s="55" t="str">
        <f>IF($S120="","",INDEX(TRANSACTIONS_MASTER!$K$5:$K$1204,$S120))</f>
        <v/>
      </c>
      <c r="V120" s="25" t="str">
        <f>IF($S120="","",SUMIFS(TRANSACTIONS_MASTER!$L$5:$L$1204,TRANSACTIONS_MASTER!$K$5:$K$1204,$U120,TRANSACTIONS_MASTER!$C$5:$C$1204,$C$2,TRANSACTIONS_MASTER!$U$5:$U$1204,"&lt;&gt;Cancelled"))</f>
        <v/>
      </c>
      <c r="W120" s="26" t="str">
        <f>IF($S120="","",SUMIFS(TRANSACTIONS_MASTER!$Q$5:$Q$1204,TRANSACTIONS_MASTER!$K$5:$K$1204,$U120,TRANSACTIONS_MASTER!$C$5:$C$1204,$C$2))</f>
        <v/>
      </c>
    </row>
    <row r="121">
      <c r="A121" s="81" t="str">
        <f>IF($Q121="","",114)</f>
        <v/>
      </c>
      <c r="B121" s="57" t="str">
        <f>IF($Q121="","",INDEX(TRANSACTIONS_MASTER!$B$5:$B$1204,$Q121))</f>
        <v/>
      </c>
      <c r="C121" s="55" t="str">
        <f>IF($Q121="","",INDEX(TRANSACTIONS_MASTER!$F$5:$F$1204,$Q121))</f>
        <v/>
      </c>
      <c r="D121" s="55" t="str">
        <f>IF($Q121="","",INDEX(TRANSACTIONS_MASTER!$E$5:$E$1204,$Q121))</f>
        <v/>
      </c>
      <c r="E121" s="55" t="str">
        <f>IF($Q121="","",INDEX(TRANSACTIONS_MASTER!$G$5:$G$1204,$Q121)&amp;"")</f>
        <v/>
      </c>
      <c r="F121" s="29" t="str">
        <f>IF($Q121="","",INDEX(TRANSACTIONS_MASTER!$I$5:$I$1204,$Q121))</f>
        <v/>
      </c>
      <c r="G121" s="55" t="str">
        <f>IF($Q121="","",INDEX(TRANSACTIONS_MASTER!$K$5:$K$1204,$Q121))</f>
        <v/>
      </c>
      <c r="H121" s="25" t="str">
        <f>IF($Q121="","",INDEX(TRANSACTIONS_MASTER!$L$5:$L$1204,$Q121))</f>
        <v/>
      </c>
      <c r="I121" s="56" t="str">
        <f>IF($Q121="","",INDEX(TRANSACTIONS_MASTER!$N$5:$N$1204,$Q121))</f>
        <v/>
      </c>
      <c r="J121" s="25" t="str">
        <f>IF($Q121="","",INDEX(TRANSACTIONS_MASTER!$O$5:$O$1204,$Q121))</f>
        <v/>
      </c>
      <c r="K121" s="26" t="str">
        <f>IF($Q121="","",INDEX(TRANSACTIONS_MASTER!$Q$5:$Q$1204,$Q121))</f>
        <v/>
      </c>
      <c r="L121" s="25" t="str">
        <f>IF($Q121="","",INDEX(TRANSACTIONS_MASTER!$P$5:$P$1204,$Q121))</f>
        <v/>
      </c>
      <c r="M121" s="25" t="str">
        <f>IF($Q121="","",INDEX(TRANSACTIONS_MASTER!$AA$5:$AA$1204,$Q121))</f>
        <v/>
      </c>
      <c r="N121" s="25" t="str">
        <f>IF($Q121="","",INDEX(TRANSACTIONS_MASTER!$R$5:$R$1204,$Q121))</f>
        <v/>
      </c>
      <c r="O121" s="28" t="str">
        <f>IF($Q121="","",INDEX(TRANSACTIONS_MASTER!$AB$5:$AB$1204,$Q121))</f>
        <v/>
      </c>
      <c r="P121" s="55" t="str">
        <f>IF($Q121="","",INDEX(TRANSACTIONS_MASTER!$Z$5:$Z$1204,$Q121)&amp;"")</f>
        <v/>
      </c>
      <c r="Q121" s="67" t="str">
        <f>IFERROR(MATCH($C$2&amp;"|"&amp;114,TRANSACTIONS_MASTER!$AE$5:$AE$1204,0),"")</f>
        <v/>
      </c>
      <c r="S121" s="67" t="str">
        <f>IFERROR(MATCH(1,INDEX((TRANSACTIONS_MASTER!$C$5:$C$1204=$C$2)*(TRANSACTIONS_MASTER!$AL$5:$AL$1204=5),0),0),"")</f>
        <v/>
      </c>
      <c r="T121" s="55" t="n"/>
      <c r="U121" s="55" t="str">
        <f>IF($S121="","",INDEX(TRANSACTIONS_MASTER!$K$5:$K$1204,$S121))</f>
        <v/>
      </c>
      <c r="V121" s="25" t="str">
        <f>IF($S121="","",SUMIFS(TRANSACTIONS_MASTER!$L$5:$L$1204,TRANSACTIONS_MASTER!$K$5:$K$1204,$U121,TRANSACTIONS_MASTER!$C$5:$C$1204,$C$2,TRANSACTIONS_MASTER!$U$5:$U$1204,"&lt;&gt;Cancelled"))</f>
        <v/>
      </c>
      <c r="W121" s="26" t="str">
        <f>IF($S121="","",SUMIFS(TRANSACTIONS_MASTER!$Q$5:$Q$1204,TRANSACTIONS_MASTER!$K$5:$K$1204,$U121,TRANSACTIONS_MASTER!$C$5:$C$1204,$C$2))</f>
        <v/>
      </c>
    </row>
    <row r="122">
      <c r="A122" s="81" t="str">
        <f>IF($Q122="","",115)</f>
        <v/>
      </c>
      <c r="B122" s="57" t="str">
        <f>IF($Q122="","",INDEX(TRANSACTIONS_MASTER!$B$5:$B$1204,$Q122))</f>
        <v/>
      </c>
      <c r="C122" s="55" t="str">
        <f>IF($Q122="","",INDEX(TRANSACTIONS_MASTER!$F$5:$F$1204,$Q122))</f>
        <v/>
      </c>
      <c r="D122" s="55" t="str">
        <f>IF($Q122="","",INDEX(TRANSACTIONS_MASTER!$E$5:$E$1204,$Q122))</f>
        <v/>
      </c>
      <c r="E122" s="55" t="str">
        <f>IF($Q122="","",INDEX(TRANSACTIONS_MASTER!$G$5:$G$1204,$Q122)&amp;"")</f>
        <v/>
      </c>
      <c r="F122" s="29" t="str">
        <f>IF($Q122="","",INDEX(TRANSACTIONS_MASTER!$I$5:$I$1204,$Q122))</f>
        <v/>
      </c>
      <c r="G122" s="55" t="str">
        <f>IF($Q122="","",INDEX(TRANSACTIONS_MASTER!$K$5:$K$1204,$Q122))</f>
        <v/>
      </c>
      <c r="H122" s="25" t="str">
        <f>IF($Q122="","",INDEX(TRANSACTIONS_MASTER!$L$5:$L$1204,$Q122))</f>
        <v/>
      </c>
      <c r="I122" s="56" t="str">
        <f>IF($Q122="","",INDEX(TRANSACTIONS_MASTER!$N$5:$N$1204,$Q122))</f>
        <v/>
      </c>
      <c r="J122" s="25" t="str">
        <f>IF($Q122="","",INDEX(TRANSACTIONS_MASTER!$O$5:$O$1204,$Q122))</f>
        <v/>
      </c>
      <c r="K122" s="26" t="str">
        <f>IF($Q122="","",INDEX(TRANSACTIONS_MASTER!$Q$5:$Q$1204,$Q122))</f>
        <v/>
      </c>
      <c r="L122" s="25" t="str">
        <f>IF($Q122="","",INDEX(TRANSACTIONS_MASTER!$P$5:$P$1204,$Q122))</f>
        <v/>
      </c>
      <c r="M122" s="25" t="str">
        <f>IF($Q122="","",INDEX(TRANSACTIONS_MASTER!$AA$5:$AA$1204,$Q122))</f>
        <v/>
      </c>
      <c r="N122" s="25" t="str">
        <f>IF($Q122="","",INDEX(TRANSACTIONS_MASTER!$R$5:$R$1204,$Q122))</f>
        <v/>
      </c>
      <c r="O122" s="28" t="str">
        <f>IF($Q122="","",INDEX(TRANSACTIONS_MASTER!$AB$5:$AB$1204,$Q122))</f>
        <v/>
      </c>
      <c r="P122" s="55" t="str">
        <f>IF($Q122="","",INDEX(TRANSACTIONS_MASTER!$Z$5:$Z$1204,$Q122)&amp;"")</f>
        <v/>
      </c>
      <c r="Q122" s="67" t="str">
        <f>IFERROR(MATCH($C$2&amp;"|"&amp;115,TRANSACTIONS_MASTER!$AE$5:$AE$1204,0),"")</f>
        <v/>
      </c>
      <c r="S122" s="67" t="str">
        <f>IFERROR(MATCH(1,INDEX((TRANSACTIONS_MASTER!$C$5:$C$1204=$C$2)*(TRANSACTIONS_MASTER!$AL$5:$AL$1204=6),0),0),"")</f>
        <v/>
      </c>
      <c r="T122" s="55" t="n"/>
      <c r="U122" s="55" t="str">
        <f>IF($S122="","",INDEX(TRANSACTIONS_MASTER!$K$5:$K$1204,$S122))</f>
        <v/>
      </c>
      <c r="V122" s="25" t="str">
        <f>IF($S122="","",SUMIFS(TRANSACTIONS_MASTER!$L$5:$L$1204,TRANSACTIONS_MASTER!$K$5:$K$1204,$U122,TRANSACTIONS_MASTER!$C$5:$C$1204,$C$2,TRANSACTIONS_MASTER!$U$5:$U$1204,"&lt;&gt;Cancelled"))</f>
        <v/>
      </c>
      <c r="W122" s="26" t="str">
        <f>IF($S122="","",SUMIFS(TRANSACTIONS_MASTER!$Q$5:$Q$1204,TRANSACTIONS_MASTER!$K$5:$K$1204,$U122,TRANSACTIONS_MASTER!$C$5:$C$1204,$C$2))</f>
        <v/>
      </c>
    </row>
    <row r="123">
      <c r="A123" s="81" t="str">
        <f>IF($Q123="","",116)</f>
        <v/>
      </c>
      <c r="B123" s="57" t="str">
        <f>IF($Q123="","",INDEX(TRANSACTIONS_MASTER!$B$5:$B$1204,$Q123))</f>
        <v/>
      </c>
      <c r="C123" s="55" t="str">
        <f>IF($Q123="","",INDEX(TRANSACTIONS_MASTER!$F$5:$F$1204,$Q123))</f>
        <v/>
      </c>
      <c r="D123" s="55" t="str">
        <f>IF($Q123="","",INDEX(TRANSACTIONS_MASTER!$E$5:$E$1204,$Q123))</f>
        <v/>
      </c>
      <c r="E123" s="55" t="str">
        <f>IF($Q123="","",INDEX(TRANSACTIONS_MASTER!$G$5:$G$1204,$Q123)&amp;"")</f>
        <v/>
      </c>
      <c r="F123" s="29" t="str">
        <f>IF($Q123="","",INDEX(TRANSACTIONS_MASTER!$I$5:$I$1204,$Q123))</f>
        <v/>
      </c>
      <c r="G123" s="55" t="str">
        <f>IF($Q123="","",INDEX(TRANSACTIONS_MASTER!$K$5:$K$1204,$Q123))</f>
        <v/>
      </c>
      <c r="H123" s="25" t="str">
        <f>IF($Q123="","",INDEX(TRANSACTIONS_MASTER!$L$5:$L$1204,$Q123))</f>
        <v/>
      </c>
      <c r="I123" s="56" t="str">
        <f>IF($Q123="","",INDEX(TRANSACTIONS_MASTER!$N$5:$N$1204,$Q123))</f>
        <v/>
      </c>
      <c r="J123" s="25" t="str">
        <f>IF($Q123="","",INDEX(TRANSACTIONS_MASTER!$O$5:$O$1204,$Q123))</f>
        <v/>
      </c>
      <c r="K123" s="26" t="str">
        <f>IF($Q123="","",INDEX(TRANSACTIONS_MASTER!$Q$5:$Q$1204,$Q123))</f>
        <v/>
      </c>
      <c r="L123" s="25" t="str">
        <f>IF($Q123="","",INDEX(TRANSACTIONS_MASTER!$P$5:$P$1204,$Q123))</f>
        <v/>
      </c>
      <c r="M123" s="25" t="str">
        <f>IF($Q123="","",INDEX(TRANSACTIONS_MASTER!$AA$5:$AA$1204,$Q123))</f>
        <v/>
      </c>
      <c r="N123" s="25" t="str">
        <f>IF($Q123="","",INDEX(TRANSACTIONS_MASTER!$R$5:$R$1204,$Q123))</f>
        <v/>
      </c>
      <c r="O123" s="28" t="str">
        <f>IF($Q123="","",INDEX(TRANSACTIONS_MASTER!$AB$5:$AB$1204,$Q123))</f>
        <v/>
      </c>
      <c r="P123" s="55" t="str">
        <f>IF($Q123="","",INDEX(TRANSACTIONS_MASTER!$Z$5:$Z$1204,$Q123)&amp;"")</f>
        <v/>
      </c>
      <c r="Q123" s="67" t="str">
        <f>IFERROR(MATCH($C$2&amp;"|"&amp;116,TRANSACTIONS_MASTER!$AE$5:$AE$1204,0),"")</f>
        <v/>
      </c>
      <c r="S123" s="67" t="str">
        <f>IFERROR(MATCH(1,INDEX((TRANSACTIONS_MASTER!$C$5:$C$1204=$C$2)*(TRANSACTIONS_MASTER!$AL$5:$AL$1204=7),0),0),"")</f>
        <v/>
      </c>
      <c r="T123" s="55" t="n"/>
      <c r="U123" s="55" t="str">
        <f>IF($S123="","",INDEX(TRANSACTIONS_MASTER!$K$5:$K$1204,$S123))</f>
        <v/>
      </c>
      <c r="V123" s="25" t="str">
        <f>IF($S123="","",SUMIFS(TRANSACTIONS_MASTER!$L$5:$L$1204,TRANSACTIONS_MASTER!$K$5:$K$1204,$U123,TRANSACTIONS_MASTER!$C$5:$C$1204,$C$2,TRANSACTIONS_MASTER!$U$5:$U$1204,"&lt;&gt;Cancelled"))</f>
        <v/>
      </c>
      <c r="W123" s="26" t="str">
        <f>IF($S123="","",SUMIFS(TRANSACTIONS_MASTER!$Q$5:$Q$1204,TRANSACTIONS_MASTER!$K$5:$K$1204,$U123,TRANSACTIONS_MASTER!$C$5:$C$1204,$C$2))</f>
        <v/>
      </c>
    </row>
    <row r="124">
      <c r="A124" s="81" t="str">
        <f>IF($Q124="","",117)</f>
        <v/>
      </c>
      <c r="B124" s="57" t="str">
        <f>IF($Q124="","",INDEX(TRANSACTIONS_MASTER!$B$5:$B$1204,$Q124))</f>
        <v/>
      </c>
      <c r="C124" s="55" t="str">
        <f>IF($Q124="","",INDEX(TRANSACTIONS_MASTER!$F$5:$F$1204,$Q124))</f>
        <v/>
      </c>
      <c r="D124" s="55" t="str">
        <f>IF($Q124="","",INDEX(TRANSACTIONS_MASTER!$E$5:$E$1204,$Q124))</f>
        <v/>
      </c>
      <c r="E124" s="55" t="str">
        <f>IF($Q124="","",INDEX(TRANSACTIONS_MASTER!$G$5:$G$1204,$Q124)&amp;"")</f>
        <v/>
      </c>
      <c r="F124" s="29" t="str">
        <f>IF($Q124="","",INDEX(TRANSACTIONS_MASTER!$I$5:$I$1204,$Q124))</f>
        <v/>
      </c>
      <c r="G124" s="55" t="str">
        <f>IF($Q124="","",INDEX(TRANSACTIONS_MASTER!$K$5:$K$1204,$Q124))</f>
        <v/>
      </c>
      <c r="H124" s="25" t="str">
        <f>IF($Q124="","",INDEX(TRANSACTIONS_MASTER!$L$5:$L$1204,$Q124))</f>
        <v/>
      </c>
      <c r="I124" s="56" t="str">
        <f>IF($Q124="","",INDEX(TRANSACTIONS_MASTER!$N$5:$N$1204,$Q124))</f>
        <v/>
      </c>
      <c r="J124" s="25" t="str">
        <f>IF($Q124="","",INDEX(TRANSACTIONS_MASTER!$O$5:$O$1204,$Q124))</f>
        <v/>
      </c>
      <c r="K124" s="26" t="str">
        <f>IF($Q124="","",INDEX(TRANSACTIONS_MASTER!$Q$5:$Q$1204,$Q124))</f>
        <v/>
      </c>
      <c r="L124" s="25" t="str">
        <f>IF($Q124="","",INDEX(TRANSACTIONS_MASTER!$P$5:$P$1204,$Q124))</f>
        <v/>
      </c>
      <c r="M124" s="25" t="str">
        <f>IF($Q124="","",INDEX(TRANSACTIONS_MASTER!$AA$5:$AA$1204,$Q124))</f>
        <v/>
      </c>
      <c r="N124" s="25" t="str">
        <f>IF($Q124="","",INDEX(TRANSACTIONS_MASTER!$R$5:$R$1204,$Q124))</f>
        <v/>
      </c>
      <c r="O124" s="28" t="str">
        <f>IF($Q124="","",INDEX(TRANSACTIONS_MASTER!$AB$5:$AB$1204,$Q124))</f>
        <v/>
      </c>
      <c r="P124" s="55" t="str">
        <f>IF($Q124="","",INDEX(TRANSACTIONS_MASTER!$Z$5:$Z$1204,$Q124)&amp;"")</f>
        <v/>
      </c>
      <c r="Q124" s="67" t="str">
        <f>IFERROR(MATCH($C$2&amp;"|"&amp;117,TRANSACTIONS_MASTER!$AE$5:$AE$1204,0),"")</f>
        <v/>
      </c>
      <c r="S124" s="67" t="str">
        <f>IFERROR(MATCH(1,INDEX((TRANSACTIONS_MASTER!$C$5:$C$1204=$C$2)*(TRANSACTIONS_MASTER!$AL$5:$AL$1204=8),0),0),"")</f>
        <v/>
      </c>
      <c r="T124" s="55" t="n"/>
      <c r="U124" s="55" t="str">
        <f>IF($S124="","",INDEX(TRANSACTIONS_MASTER!$K$5:$K$1204,$S124))</f>
        <v/>
      </c>
      <c r="V124" s="25" t="str">
        <f>IF($S124="","",SUMIFS(TRANSACTIONS_MASTER!$L$5:$L$1204,TRANSACTIONS_MASTER!$K$5:$K$1204,$U124,TRANSACTIONS_MASTER!$C$5:$C$1204,$C$2,TRANSACTIONS_MASTER!$U$5:$U$1204,"&lt;&gt;Cancelled"))</f>
        <v/>
      </c>
      <c r="W124" s="26" t="str">
        <f>IF($S124="","",SUMIFS(TRANSACTIONS_MASTER!$Q$5:$Q$1204,TRANSACTIONS_MASTER!$K$5:$K$1204,$U124,TRANSACTIONS_MASTER!$C$5:$C$1204,$C$2))</f>
        <v/>
      </c>
    </row>
    <row r="125">
      <c r="A125" s="81" t="str">
        <f>IF($Q125="","",118)</f>
        <v/>
      </c>
      <c r="B125" s="57" t="str">
        <f>IF($Q125="","",INDEX(TRANSACTIONS_MASTER!$B$5:$B$1204,$Q125))</f>
        <v/>
      </c>
      <c r="C125" s="55" t="str">
        <f>IF($Q125="","",INDEX(TRANSACTIONS_MASTER!$F$5:$F$1204,$Q125))</f>
        <v/>
      </c>
      <c r="D125" s="55" t="str">
        <f>IF($Q125="","",INDEX(TRANSACTIONS_MASTER!$E$5:$E$1204,$Q125))</f>
        <v/>
      </c>
      <c r="E125" s="55" t="str">
        <f>IF($Q125="","",INDEX(TRANSACTIONS_MASTER!$G$5:$G$1204,$Q125)&amp;"")</f>
        <v/>
      </c>
      <c r="F125" s="29" t="str">
        <f>IF($Q125="","",INDEX(TRANSACTIONS_MASTER!$I$5:$I$1204,$Q125))</f>
        <v/>
      </c>
      <c r="G125" s="55" t="str">
        <f>IF($Q125="","",INDEX(TRANSACTIONS_MASTER!$K$5:$K$1204,$Q125))</f>
        <v/>
      </c>
      <c r="H125" s="25" t="str">
        <f>IF($Q125="","",INDEX(TRANSACTIONS_MASTER!$L$5:$L$1204,$Q125))</f>
        <v/>
      </c>
      <c r="I125" s="56" t="str">
        <f>IF($Q125="","",INDEX(TRANSACTIONS_MASTER!$N$5:$N$1204,$Q125))</f>
        <v/>
      </c>
      <c r="J125" s="25" t="str">
        <f>IF($Q125="","",INDEX(TRANSACTIONS_MASTER!$O$5:$O$1204,$Q125))</f>
        <v/>
      </c>
      <c r="K125" s="26" t="str">
        <f>IF($Q125="","",INDEX(TRANSACTIONS_MASTER!$Q$5:$Q$1204,$Q125))</f>
        <v/>
      </c>
      <c r="L125" s="25" t="str">
        <f>IF($Q125="","",INDEX(TRANSACTIONS_MASTER!$P$5:$P$1204,$Q125))</f>
        <v/>
      </c>
      <c r="M125" s="25" t="str">
        <f>IF($Q125="","",INDEX(TRANSACTIONS_MASTER!$AA$5:$AA$1204,$Q125))</f>
        <v/>
      </c>
      <c r="N125" s="25" t="str">
        <f>IF($Q125="","",INDEX(TRANSACTIONS_MASTER!$R$5:$R$1204,$Q125))</f>
        <v/>
      </c>
      <c r="O125" s="28" t="str">
        <f>IF($Q125="","",INDEX(TRANSACTIONS_MASTER!$AB$5:$AB$1204,$Q125))</f>
        <v/>
      </c>
      <c r="P125" s="55" t="str">
        <f>IF($Q125="","",INDEX(TRANSACTIONS_MASTER!$Z$5:$Z$1204,$Q125)&amp;"")</f>
        <v/>
      </c>
      <c r="Q125" s="67" t="str">
        <f>IFERROR(MATCH($C$2&amp;"|"&amp;118,TRANSACTIONS_MASTER!$AE$5:$AE$1204,0),"")</f>
        <v/>
      </c>
      <c r="S125" s="67" t="str">
        <f>IFERROR(MATCH(1,INDEX((TRANSACTIONS_MASTER!$C$5:$C$1204=$C$2)*(TRANSACTIONS_MASTER!$AL$5:$AL$1204=9),0),0),"")</f>
        <v/>
      </c>
      <c r="T125" s="55" t="n"/>
      <c r="U125" s="55" t="str">
        <f>IF($S125="","",INDEX(TRANSACTIONS_MASTER!$K$5:$K$1204,$S125))</f>
        <v/>
      </c>
      <c r="V125" s="25" t="str">
        <f>IF($S125="","",SUMIFS(TRANSACTIONS_MASTER!$L$5:$L$1204,TRANSACTIONS_MASTER!$K$5:$K$1204,$U125,TRANSACTIONS_MASTER!$C$5:$C$1204,$C$2,TRANSACTIONS_MASTER!$U$5:$U$1204,"&lt;&gt;Cancelled"))</f>
        <v/>
      </c>
      <c r="W125" s="26" t="str">
        <f>IF($S125="","",SUMIFS(TRANSACTIONS_MASTER!$Q$5:$Q$1204,TRANSACTIONS_MASTER!$K$5:$K$1204,$U125,TRANSACTIONS_MASTER!$C$5:$C$1204,$C$2))</f>
        <v/>
      </c>
    </row>
    <row r="126">
      <c r="A126" s="81" t="str">
        <f>IF($Q126="","",119)</f>
        <v/>
      </c>
      <c r="B126" s="57" t="str">
        <f>IF($Q126="","",INDEX(TRANSACTIONS_MASTER!$B$5:$B$1204,$Q126))</f>
        <v/>
      </c>
      <c r="C126" s="55" t="str">
        <f>IF($Q126="","",INDEX(TRANSACTIONS_MASTER!$F$5:$F$1204,$Q126))</f>
        <v/>
      </c>
      <c r="D126" s="55" t="str">
        <f>IF($Q126="","",INDEX(TRANSACTIONS_MASTER!$E$5:$E$1204,$Q126))</f>
        <v/>
      </c>
      <c r="E126" s="55" t="str">
        <f>IF($Q126="","",INDEX(TRANSACTIONS_MASTER!$G$5:$G$1204,$Q126)&amp;"")</f>
        <v/>
      </c>
      <c r="F126" s="29" t="str">
        <f>IF($Q126="","",INDEX(TRANSACTIONS_MASTER!$I$5:$I$1204,$Q126))</f>
        <v/>
      </c>
      <c r="G126" s="55" t="str">
        <f>IF($Q126="","",INDEX(TRANSACTIONS_MASTER!$K$5:$K$1204,$Q126))</f>
        <v/>
      </c>
      <c r="H126" s="25" t="str">
        <f>IF($Q126="","",INDEX(TRANSACTIONS_MASTER!$L$5:$L$1204,$Q126))</f>
        <v/>
      </c>
      <c r="I126" s="56" t="str">
        <f>IF($Q126="","",INDEX(TRANSACTIONS_MASTER!$N$5:$N$1204,$Q126))</f>
        <v/>
      </c>
      <c r="J126" s="25" t="str">
        <f>IF($Q126="","",INDEX(TRANSACTIONS_MASTER!$O$5:$O$1204,$Q126))</f>
        <v/>
      </c>
      <c r="K126" s="26" t="str">
        <f>IF($Q126="","",INDEX(TRANSACTIONS_MASTER!$Q$5:$Q$1204,$Q126))</f>
        <v/>
      </c>
      <c r="L126" s="25" t="str">
        <f>IF($Q126="","",INDEX(TRANSACTIONS_MASTER!$P$5:$P$1204,$Q126))</f>
        <v/>
      </c>
      <c r="M126" s="25" t="str">
        <f>IF($Q126="","",INDEX(TRANSACTIONS_MASTER!$AA$5:$AA$1204,$Q126))</f>
        <v/>
      </c>
      <c r="N126" s="25" t="str">
        <f>IF($Q126="","",INDEX(TRANSACTIONS_MASTER!$R$5:$R$1204,$Q126))</f>
        <v/>
      </c>
      <c r="O126" s="28" t="str">
        <f>IF($Q126="","",INDEX(TRANSACTIONS_MASTER!$AB$5:$AB$1204,$Q126))</f>
        <v/>
      </c>
      <c r="P126" s="55" t="str">
        <f>IF($Q126="","",INDEX(TRANSACTIONS_MASTER!$Z$5:$Z$1204,$Q126)&amp;"")</f>
        <v/>
      </c>
      <c r="Q126" s="67" t="str">
        <f>IFERROR(MATCH($C$2&amp;"|"&amp;119,TRANSACTIONS_MASTER!$AE$5:$AE$1204,0),"")</f>
        <v/>
      </c>
      <c r="S126" s="67" t="str">
        <f>IFERROR(MATCH(1,INDEX((TRANSACTIONS_MASTER!$C$5:$C$1204=$C$2)*(TRANSACTIONS_MASTER!$AL$5:$AL$1204=10),0),0),"")</f>
        <v/>
      </c>
      <c r="T126" s="55" t="n"/>
      <c r="U126" s="55" t="str">
        <f>IF($S126="","",INDEX(TRANSACTIONS_MASTER!$K$5:$K$1204,$S126))</f>
        <v/>
      </c>
      <c r="V126" s="25" t="str">
        <f>IF($S126="","",SUMIFS(TRANSACTIONS_MASTER!$L$5:$L$1204,TRANSACTIONS_MASTER!$K$5:$K$1204,$U126,TRANSACTIONS_MASTER!$C$5:$C$1204,$C$2,TRANSACTIONS_MASTER!$U$5:$U$1204,"&lt;&gt;Cancelled"))</f>
        <v/>
      </c>
      <c r="W126" s="26" t="str">
        <f>IF($S126="","",SUMIFS(TRANSACTIONS_MASTER!$Q$5:$Q$1204,TRANSACTIONS_MASTER!$K$5:$K$1204,$U126,TRANSACTIONS_MASTER!$C$5:$C$1204,$C$2))</f>
        <v/>
      </c>
    </row>
    <row r="127">
      <c r="A127" s="81" t="str">
        <f>IF($Q127="","",120)</f>
        <v/>
      </c>
      <c r="B127" s="57" t="str">
        <f>IF($Q127="","",INDEX(TRANSACTIONS_MASTER!$B$5:$B$1204,$Q127))</f>
        <v/>
      </c>
      <c r="C127" s="55" t="str">
        <f>IF($Q127="","",INDEX(TRANSACTIONS_MASTER!$F$5:$F$1204,$Q127))</f>
        <v/>
      </c>
      <c r="D127" s="55" t="str">
        <f>IF($Q127="","",INDEX(TRANSACTIONS_MASTER!$E$5:$E$1204,$Q127))</f>
        <v/>
      </c>
      <c r="E127" s="55" t="str">
        <f>IF($Q127="","",INDEX(TRANSACTIONS_MASTER!$G$5:$G$1204,$Q127)&amp;"")</f>
        <v/>
      </c>
      <c r="F127" s="29" t="str">
        <f>IF($Q127="","",INDEX(TRANSACTIONS_MASTER!$I$5:$I$1204,$Q127))</f>
        <v/>
      </c>
      <c r="G127" s="55" t="str">
        <f>IF($Q127="","",INDEX(TRANSACTIONS_MASTER!$K$5:$K$1204,$Q127))</f>
        <v/>
      </c>
      <c r="H127" s="25" t="str">
        <f>IF($Q127="","",INDEX(TRANSACTIONS_MASTER!$L$5:$L$1204,$Q127))</f>
        <v/>
      </c>
      <c r="I127" s="56" t="str">
        <f>IF($Q127="","",INDEX(TRANSACTIONS_MASTER!$N$5:$N$1204,$Q127))</f>
        <v/>
      </c>
      <c r="J127" s="25" t="str">
        <f>IF($Q127="","",INDEX(TRANSACTIONS_MASTER!$O$5:$O$1204,$Q127))</f>
        <v/>
      </c>
      <c r="K127" s="26" t="str">
        <f>IF($Q127="","",INDEX(TRANSACTIONS_MASTER!$Q$5:$Q$1204,$Q127))</f>
        <v/>
      </c>
      <c r="L127" s="25" t="str">
        <f>IF($Q127="","",INDEX(TRANSACTIONS_MASTER!$P$5:$P$1204,$Q127))</f>
        <v/>
      </c>
      <c r="M127" s="25" t="str">
        <f>IF($Q127="","",INDEX(TRANSACTIONS_MASTER!$AA$5:$AA$1204,$Q127))</f>
        <v/>
      </c>
      <c r="N127" s="25" t="str">
        <f>IF($Q127="","",INDEX(TRANSACTIONS_MASTER!$R$5:$R$1204,$Q127))</f>
        <v/>
      </c>
      <c r="O127" s="28" t="str">
        <f>IF($Q127="","",INDEX(TRANSACTIONS_MASTER!$AB$5:$AB$1204,$Q127))</f>
        <v/>
      </c>
      <c r="P127" s="55" t="str">
        <f>IF($Q127="","",INDEX(TRANSACTIONS_MASTER!$Z$5:$Z$1204,$Q127)&amp;"")</f>
        <v/>
      </c>
      <c r="Q127" s="67" t="str">
        <f>IFERROR(MATCH($C$2&amp;"|"&amp;120,TRANSACTIONS_MASTER!$AE$5:$AE$1204,0),"")</f>
        <v/>
      </c>
      <c r="S127" s="67" t="str">
        <f>IFERROR(MATCH(1,INDEX((TRANSACTIONS_MASTER!$C$5:$C$1204=$C$2)*(TRANSACTIONS_MASTER!$AL$5:$AL$1204=11),0),0),"")</f>
        <v/>
      </c>
      <c r="T127" s="55" t="n"/>
      <c r="U127" s="55" t="str">
        <f>IF($S127="","",INDEX(TRANSACTIONS_MASTER!$K$5:$K$1204,$S127))</f>
        <v/>
      </c>
      <c r="V127" s="25" t="str">
        <f>IF($S127="","",SUMIFS(TRANSACTIONS_MASTER!$L$5:$L$1204,TRANSACTIONS_MASTER!$K$5:$K$1204,$U127,TRANSACTIONS_MASTER!$C$5:$C$1204,$C$2,TRANSACTIONS_MASTER!$U$5:$U$1204,"&lt;&gt;Cancelled"))</f>
        <v/>
      </c>
      <c r="W127" s="26" t="str">
        <f>IF($S127="","",SUMIFS(TRANSACTIONS_MASTER!$Q$5:$Q$1204,TRANSACTIONS_MASTER!$K$5:$K$1204,$U127,TRANSACTIONS_MASTER!$C$5:$C$1204,$C$2))</f>
        <v/>
      </c>
    </row>
    <row r="128">
      <c r="A128" s="81" t="str">
        <f>IF($Q128="","",121)</f>
        <v/>
      </c>
      <c r="B128" s="57" t="str">
        <f>IF($Q128="","",INDEX(TRANSACTIONS_MASTER!$B$5:$B$1204,$Q128))</f>
        <v/>
      </c>
      <c r="C128" s="55" t="str">
        <f>IF($Q128="","",INDEX(TRANSACTIONS_MASTER!$F$5:$F$1204,$Q128))</f>
        <v/>
      </c>
      <c r="D128" s="55" t="str">
        <f>IF($Q128="","",INDEX(TRANSACTIONS_MASTER!$E$5:$E$1204,$Q128))</f>
        <v/>
      </c>
      <c r="E128" s="55" t="str">
        <f>IF($Q128="","",INDEX(TRANSACTIONS_MASTER!$G$5:$G$1204,$Q128)&amp;"")</f>
        <v/>
      </c>
      <c r="F128" s="29" t="str">
        <f>IF($Q128="","",INDEX(TRANSACTIONS_MASTER!$I$5:$I$1204,$Q128))</f>
        <v/>
      </c>
      <c r="G128" s="55" t="str">
        <f>IF($Q128="","",INDEX(TRANSACTIONS_MASTER!$K$5:$K$1204,$Q128))</f>
        <v/>
      </c>
      <c r="H128" s="25" t="str">
        <f>IF($Q128="","",INDEX(TRANSACTIONS_MASTER!$L$5:$L$1204,$Q128))</f>
        <v/>
      </c>
      <c r="I128" s="56" t="str">
        <f>IF($Q128="","",INDEX(TRANSACTIONS_MASTER!$N$5:$N$1204,$Q128))</f>
        <v/>
      </c>
      <c r="J128" s="25" t="str">
        <f>IF($Q128="","",INDEX(TRANSACTIONS_MASTER!$O$5:$O$1204,$Q128))</f>
        <v/>
      </c>
      <c r="K128" s="26" t="str">
        <f>IF($Q128="","",INDEX(TRANSACTIONS_MASTER!$Q$5:$Q$1204,$Q128))</f>
        <v/>
      </c>
      <c r="L128" s="25" t="str">
        <f>IF($Q128="","",INDEX(TRANSACTIONS_MASTER!$P$5:$P$1204,$Q128))</f>
        <v/>
      </c>
      <c r="M128" s="25" t="str">
        <f>IF($Q128="","",INDEX(TRANSACTIONS_MASTER!$AA$5:$AA$1204,$Q128))</f>
        <v/>
      </c>
      <c r="N128" s="25" t="str">
        <f>IF($Q128="","",INDEX(TRANSACTIONS_MASTER!$R$5:$R$1204,$Q128))</f>
        <v/>
      </c>
      <c r="O128" s="28" t="str">
        <f>IF($Q128="","",INDEX(TRANSACTIONS_MASTER!$AB$5:$AB$1204,$Q128))</f>
        <v/>
      </c>
      <c r="P128" s="55" t="str">
        <f>IF($Q128="","",INDEX(TRANSACTIONS_MASTER!$Z$5:$Z$1204,$Q128)&amp;"")</f>
        <v/>
      </c>
      <c r="Q128" s="67" t="str">
        <f>IFERROR(MATCH($C$2&amp;"|"&amp;121,TRANSACTIONS_MASTER!$AE$5:$AE$1204,0),"")</f>
        <v/>
      </c>
      <c r="S128" s="67" t="str">
        <f>IFERROR(MATCH(1,INDEX((TRANSACTIONS_MASTER!$C$5:$C$1204=$C$2)*(TRANSACTIONS_MASTER!$AL$5:$AL$1204=12),0),0),"")</f>
        <v/>
      </c>
      <c r="T128" s="55" t="n"/>
      <c r="U128" s="55" t="str">
        <f>IF($S128="","",INDEX(TRANSACTIONS_MASTER!$K$5:$K$1204,$S128))</f>
        <v/>
      </c>
      <c r="V128" s="25" t="str">
        <f>IF($S128="","",SUMIFS(TRANSACTIONS_MASTER!$L$5:$L$1204,TRANSACTIONS_MASTER!$K$5:$K$1204,$U128,TRANSACTIONS_MASTER!$C$5:$C$1204,$C$2,TRANSACTIONS_MASTER!$U$5:$U$1204,"&lt;&gt;Cancelled"))</f>
        <v/>
      </c>
      <c r="W128" s="26" t="str">
        <f>IF($S128="","",SUMIFS(TRANSACTIONS_MASTER!$Q$5:$Q$1204,TRANSACTIONS_MASTER!$K$5:$K$1204,$U128,TRANSACTIONS_MASTER!$C$5:$C$1204,$C$2))</f>
        <v/>
      </c>
    </row>
    <row r="129">
      <c r="A129" s="81" t="str">
        <f>IF($Q129="","",122)</f>
        <v/>
      </c>
      <c r="B129" s="57" t="str">
        <f>IF($Q129="","",INDEX(TRANSACTIONS_MASTER!$B$5:$B$1204,$Q129))</f>
        <v/>
      </c>
      <c r="C129" s="55" t="str">
        <f>IF($Q129="","",INDEX(TRANSACTIONS_MASTER!$F$5:$F$1204,$Q129))</f>
        <v/>
      </c>
      <c r="D129" s="55" t="str">
        <f>IF($Q129="","",INDEX(TRANSACTIONS_MASTER!$E$5:$E$1204,$Q129))</f>
        <v/>
      </c>
      <c r="E129" s="55" t="str">
        <f>IF($Q129="","",INDEX(TRANSACTIONS_MASTER!$G$5:$G$1204,$Q129)&amp;"")</f>
        <v/>
      </c>
      <c r="F129" s="29" t="str">
        <f>IF($Q129="","",INDEX(TRANSACTIONS_MASTER!$I$5:$I$1204,$Q129))</f>
        <v/>
      </c>
      <c r="G129" s="55" t="str">
        <f>IF($Q129="","",INDEX(TRANSACTIONS_MASTER!$K$5:$K$1204,$Q129))</f>
        <v/>
      </c>
      <c r="H129" s="25" t="str">
        <f>IF($Q129="","",INDEX(TRANSACTIONS_MASTER!$L$5:$L$1204,$Q129))</f>
        <v/>
      </c>
      <c r="I129" s="56" t="str">
        <f>IF($Q129="","",INDEX(TRANSACTIONS_MASTER!$N$5:$N$1204,$Q129))</f>
        <v/>
      </c>
      <c r="J129" s="25" t="str">
        <f>IF($Q129="","",INDEX(TRANSACTIONS_MASTER!$O$5:$O$1204,$Q129))</f>
        <v/>
      </c>
      <c r="K129" s="26" t="str">
        <f>IF($Q129="","",INDEX(TRANSACTIONS_MASTER!$Q$5:$Q$1204,$Q129))</f>
        <v/>
      </c>
      <c r="L129" s="25" t="str">
        <f>IF($Q129="","",INDEX(TRANSACTIONS_MASTER!$P$5:$P$1204,$Q129))</f>
        <v/>
      </c>
      <c r="M129" s="25" t="str">
        <f>IF($Q129="","",INDEX(TRANSACTIONS_MASTER!$AA$5:$AA$1204,$Q129))</f>
        <v/>
      </c>
      <c r="N129" s="25" t="str">
        <f>IF($Q129="","",INDEX(TRANSACTIONS_MASTER!$R$5:$R$1204,$Q129))</f>
        <v/>
      </c>
      <c r="O129" s="28" t="str">
        <f>IF($Q129="","",INDEX(TRANSACTIONS_MASTER!$AB$5:$AB$1204,$Q129))</f>
        <v/>
      </c>
      <c r="P129" s="55" t="str">
        <f>IF($Q129="","",INDEX(TRANSACTIONS_MASTER!$Z$5:$Z$1204,$Q129)&amp;"")</f>
        <v/>
      </c>
      <c r="Q129" s="67" t="str">
        <f>IFERROR(MATCH($C$2&amp;"|"&amp;122,TRANSACTIONS_MASTER!$AE$5:$AE$1204,0),"")</f>
        <v/>
      </c>
      <c r="S129" s="67" t="str">
        <f>IFERROR(MATCH(1,INDEX((TRANSACTIONS_MASTER!$C$5:$C$1204=$C$2)*(TRANSACTIONS_MASTER!$AL$5:$AL$1204=13),0),0),"")</f>
        <v/>
      </c>
      <c r="T129" s="55" t="n"/>
      <c r="U129" s="55" t="str">
        <f>IF($S129="","",INDEX(TRANSACTIONS_MASTER!$K$5:$K$1204,$S129))</f>
        <v/>
      </c>
      <c r="V129" s="25" t="str">
        <f>IF($S129="","",SUMIFS(TRANSACTIONS_MASTER!$L$5:$L$1204,TRANSACTIONS_MASTER!$K$5:$K$1204,$U129,TRANSACTIONS_MASTER!$C$5:$C$1204,$C$2,TRANSACTIONS_MASTER!$U$5:$U$1204,"&lt;&gt;Cancelled"))</f>
        <v/>
      </c>
      <c r="W129" s="26" t="str">
        <f>IF($S129="","",SUMIFS(TRANSACTIONS_MASTER!$Q$5:$Q$1204,TRANSACTIONS_MASTER!$K$5:$K$1204,$U129,TRANSACTIONS_MASTER!$C$5:$C$1204,$C$2))</f>
        <v/>
      </c>
    </row>
    <row r="130">
      <c r="A130" s="81" t="str">
        <f>IF($Q130="","",123)</f>
        <v/>
      </c>
      <c r="B130" s="57" t="str">
        <f>IF($Q130="","",INDEX(TRANSACTIONS_MASTER!$B$5:$B$1204,$Q130))</f>
        <v/>
      </c>
      <c r="C130" s="55" t="str">
        <f>IF($Q130="","",INDEX(TRANSACTIONS_MASTER!$F$5:$F$1204,$Q130))</f>
        <v/>
      </c>
      <c r="D130" s="55" t="str">
        <f>IF($Q130="","",INDEX(TRANSACTIONS_MASTER!$E$5:$E$1204,$Q130))</f>
        <v/>
      </c>
      <c r="E130" s="55" t="str">
        <f>IF($Q130="","",INDEX(TRANSACTIONS_MASTER!$G$5:$G$1204,$Q130)&amp;"")</f>
        <v/>
      </c>
      <c r="F130" s="29" t="str">
        <f>IF($Q130="","",INDEX(TRANSACTIONS_MASTER!$I$5:$I$1204,$Q130))</f>
        <v/>
      </c>
      <c r="G130" s="55" t="str">
        <f>IF($Q130="","",INDEX(TRANSACTIONS_MASTER!$K$5:$K$1204,$Q130))</f>
        <v/>
      </c>
      <c r="H130" s="25" t="str">
        <f>IF($Q130="","",INDEX(TRANSACTIONS_MASTER!$L$5:$L$1204,$Q130))</f>
        <v/>
      </c>
      <c r="I130" s="56" t="str">
        <f>IF($Q130="","",INDEX(TRANSACTIONS_MASTER!$N$5:$N$1204,$Q130))</f>
        <v/>
      </c>
      <c r="J130" s="25" t="str">
        <f>IF($Q130="","",INDEX(TRANSACTIONS_MASTER!$O$5:$O$1204,$Q130))</f>
        <v/>
      </c>
      <c r="K130" s="26" t="str">
        <f>IF($Q130="","",INDEX(TRANSACTIONS_MASTER!$Q$5:$Q$1204,$Q130))</f>
        <v/>
      </c>
      <c r="L130" s="25" t="str">
        <f>IF($Q130="","",INDEX(TRANSACTIONS_MASTER!$P$5:$P$1204,$Q130))</f>
        <v/>
      </c>
      <c r="M130" s="25" t="str">
        <f>IF($Q130="","",INDEX(TRANSACTIONS_MASTER!$AA$5:$AA$1204,$Q130))</f>
        <v/>
      </c>
      <c r="N130" s="25" t="str">
        <f>IF($Q130="","",INDEX(TRANSACTIONS_MASTER!$R$5:$R$1204,$Q130))</f>
        <v/>
      </c>
      <c r="O130" s="28" t="str">
        <f>IF($Q130="","",INDEX(TRANSACTIONS_MASTER!$AB$5:$AB$1204,$Q130))</f>
        <v/>
      </c>
      <c r="P130" s="55" t="str">
        <f>IF($Q130="","",INDEX(TRANSACTIONS_MASTER!$Z$5:$Z$1204,$Q130)&amp;"")</f>
        <v/>
      </c>
      <c r="Q130" s="67" t="str">
        <f>IFERROR(MATCH($C$2&amp;"|"&amp;123,TRANSACTIONS_MASTER!$AE$5:$AE$1204,0),"")</f>
        <v/>
      </c>
      <c r="S130" s="67" t="str">
        <f>IFERROR(MATCH(1,INDEX((TRANSACTIONS_MASTER!$C$5:$C$1204=$C$2)*(TRANSACTIONS_MASTER!$AL$5:$AL$1204=14),0),0),"")</f>
        <v/>
      </c>
      <c r="T130" s="55" t="n"/>
      <c r="U130" s="55" t="str">
        <f>IF($S130="","",INDEX(TRANSACTIONS_MASTER!$K$5:$K$1204,$S130))</f>
        <v/>
      </c>
      <c r="V130" s="25" t="str">
        <f>IF($S130="","",SUMIFS(TRANSACTIONS_MASTER!$L$5:$L$1204,TRANSACTIONS_MASTER!$K$5:$K$1204,$U130,TRANSACTIONS_MASTER!$C$5:$C$1204,$C$2,TRANSACTIONS_MASTER!$U$5:$U$1204,"&lt;&gt;Cancelled"))</f>
        <v/>
      </c>
      <c r="W130" s="26" t="str">
        <f>IF($S130="","",SUMIFS(TRANSACTIONS_MASTER!$Q$5:$Q$1204,TRANSACTIONS_MASTER!$K$5:$K$1204,$U130,TRANSACTIONS_MASTER!$C$5:$C$1204,$C$2))</f>
        <v/>
      </c>
    </row>
    <row r="131">
      <c r="A131" s="81" t="str">
        <f>IF($Q131="","",124)</f>
        <v/>
      </c>
      <c r="B131" s="57" t="str">
        <f>IF($Q131="","",INDEX(TRANSACTIONS_MASTER!$B$5:$B$1204,$Q131))</f>
        <v/>
      </c>
      <c r="C131" s="55" t="str">
        <f>IF($Q131="","",INDEX(TRANSACTIONS_MASTER!$F$5:$F$1204,$Q131))</f>
        <v/>
      </c>
      <c r="D131" s="55" t="str">
        <f>IF($Q131="","",INDEX(TRANSACTIONS_MASTER!$E$5:$E$1204,$Q131))</f>
        <v/>
      </c>
      <c r="E131" s="55" t="str">
        <f>IF($Q131="","",INDEX(TRANSACTIONS_MASTER!$G$5:$G$1204,$Q131)&amp;"")</f>
        <v/>
      </c>
      <c r="F131" s="29" t="str">
        <f>IF($Q131="","",INDEX(TRANSACTIONS_MASTER!$I$5:$I$1204,$Q131))</f>
        <v/>
      </c>
      <c r="G131" s="55" t="str">
        <f>IF($Q131="","",INDEX(TRANSACTIONS_MASTER!$K$5:$K$1204,$Q131))</f>
        <v/>
      </c>
      <c r="H131" s="25" t="str">
        <f>IF($Q131="","",INDEX(TRANSACTIONS_MASTER!$L$5:$L$1204,$Q131))</f>
        <v/>
      </c>
      <c r="I131" s="56" t="str">
        <f>IF($Q131="","",INDEX(TRANSACTIONS_MASTER!$N$5:$N$1204,$Q131))</f>
        <v/>
      </c>
      <c r="J131" s="25" t="str">
        <f>IF($Q131="","",INDEX(TRANSACTIONS_MASTER!$O$5:$O$1204,$Q131))</f>
        <v/>
      </c>
      <c r="K131" s="26" t="str">
        <f>IF($Q131="","",INDEX(TRANSACTIONS_MASTER!$Q$5:$Q$1204,$Q131))</f>
        <v/>
      </c>
      <c r="L131" s="25" t="str">
        <f>IF($Q131="","",INDEX(TRANSACTIONS_MASTER!$P$5:$P$1204,$Q131))</f>
        <v/>
      </c>
      <c r="M131" s="25" t="str">
        <f>IF($Q131="","",INDEX(TRANSACTIONS_MASTER!$AA$5:$AA$1204,$Q131))</f>
        <v/>
      </c>
      <c r="N131" s="25" t="str">
        <f>IF($Q131="","",INDEX(TRANSACTIONS_MASTER!$R$5:$R$1204,$Q131))</f>
        <v/>
      </c>
      <c r="O131" s="28" t="str">
        <f>IF($Q131="","",INDEX(TRANSACTIONS_MASTER!$AB$5:$AB$1204,$Q131))</f>
        <v/>
      </c>
      <c r="P131" s="55" t="str">
        <f>IF($Q131="","",INDEX(TRANSACTIONS_MASTER!$Z$5:$Z$1204,$Q131)&amp;"")</f>
        <v/>
      </c>
      <c r="Q131" s="67" t="str">
        <f>IFERROR(MATCH($C$2&amp;"|"&amp;124,TRANSACTIONS_MASTER!$AE$5:$AE$1204,0),"")</f>
        <v/>
      </c>
      <c r="S131" s="67" t="str">
        <f>IFERROR(MATCH(1,INDEX((TRANSACTIONS_MASTER!$C$5:$C$1204=$C$2)*(TRANSACTIONS_MASTER!$AL$5:$AL$1204=15),0),0),"")</f>
        <v/>
      </c>
      <c r="T131" s="55" t="n"/>
      <c r="U131" s="55" t="str">
        <f>IF($S131="","",INDEX(TRANSACTIONS_MASTER!$K$5:$K$1204,$S131))</f>
        <v/>
      </c>
      <c r="V131" s="25" t="str">
        <f>IF($S131="","",SUMIFS(TRANSACTIONS_MASTER!$L$5:$L$1204,TRANSACTIONS_MASTER!$K$5:$K$1204,$U131,TRANSACTIONS_MASTER!$C$5:$C$1204,$C$2,TRANSACTIONS_MASTER!$U$5:$U$1204,"&lt;&gt;Cancelled"))</f>
        <v/>
      </c>
      <c r="W131" s="26" t="str">
        <f>IF($S131="","",SUMIFS(TRANSACTIONS_MASTER!$Q$5:$Q$1204,TRANSACTIONS_MASTER!$K$5:$K$1204,$U131,TRANSACTIONS_MASTER!$C$5:$C$1204,$C$2))</f>
        <v/>
      </c>
    </row>
    <row r="132">
      <c r="A132" s="81" t="str">
        <f>IF($Q132="","",125)</f>
        <v/>
      </c>
      <c r="B132" s="57" t="str">
        <f>IF($Q132="","",INDEX(TRANSACTIONS_MASTER!$B$5:$B$1204,$Q132))</f>
        <v/>
      </c>
      <c r="C132" s="55" t="str">
        <f>IF($Q132="","",INDEX(TRANSACTIONS_MASTER!$F$5:$F$1204,$Q132))</f>
        <v/>
      </c>
      <c r="D132" s="55" t="str">
        <f>IF($Q132="","",INDEX(TRANSACTIONS_MASTER!$E$5:$E$1204,$Q132))</f>
        <v/>
      </c>
      <c r="E132" s="55" t="str">
        <f>IF($Q132="","",INDEX(TRANSACTIONS_MASTER!$G$5:$G$1204,$Q132)&amp;"")</f>
        <v/>
      </c>
      <c r="F132" s="29" t="str">
        <f>IF($Q132="","",INDEX(TRANSACTIONS_MASTER!$I$5:$I$1204,$Q132))</f>
        <v/>
      </c>
      <c r="G132" s="55" t="str">
        <f>IF($Q132="","",INDEX(TRANSACTIONS_MASTER!$K$5:$K$1204,$Q132))</f>
        <v/>
      </c>
      <c r="H132" s="25" t="str">
        <f>IF($Q132="","",INDEX(TRANSACTIONS_MASTER!$L$5:$L$1204,$Q132))</f>
        <v/>
      </c>
      <c r="I132" s="56" t="str">
        <f>IF($Q132="","",INDEX(TRANSACTIONS_MASTER!$N$5:$N$1204,$Q132))</f>
        <v/>
      </c>
      <c r="J132" s="25" t="str">
        <f>IF($Q132="","",INDEX(TRANSACTIONS_MASTER!$O$5:$O$1204,$Q132))</f>
        <v/>
      </c>
      <c r="K132" s="26" t="str">
        <f>IF($Q132="","",INDEX(TRANSACTIONS_MASTER!$Q$5:$Q$1204,$Q132))</f>
        <v/>
      </c>
      <c r="L132" s="25" t="str">
        <f>IF($Q132="","",INDEX(TRANSACTIONS_MASTER!$P$5:$P$1204,$Q132))</f>
        <v/>
      </c>
      <c r="M132" s="25" t="str">
        <f>IF($Q132="","",INDEX(TRANSACTIONS_MASTER!$AA$5:$AA$1204,$Q132))</f>
        <v/>
      </c>
      <c r="N132" s="25" t="str">
        <f>IF($Q132="","",INDEX(TRANSACTIONS_MASTER!$R$5:$R$1204,$Q132))</f>
        <v/>
      </c>
      <c r="O132" s="28" t="str">
        <f>IF($Q132="","",INDEX(TRANSACTIONS_MASTER!$AB$5:$AB$1204,$Q132))</f>
        <v/>
      </c>
      <c r="P132" s="55" t="str">
        <f>IF($Q132="","",INDEX(TRANSACTIONS_MASTER!$Z$5:$Z$1204,$Q132)&amp;"")</f>
        <v/>
      </c>
      <c r="Q132" s="67" t="str">
        <f>IFERROR(MATCH($C$2&amp;"|"&amp;125,TRANSACTIONS_MASTER!$AE$5:$AE$1204,0),"")</f>
        <v/>
      </c>
      <c r="T132" s="45" t="n"/>
      <c r="U132" s="82" t="inlineStr">
        <is>
          <t>Khác (ngoài danh sách)</t>
        </is>
      </c>
      <c r="V132" s="48">
        <f>MAX(0,SUMIFS(TRANSACTIONS_MASTER!$L$5:$L$1204,TRANSACTIONS_MASTER!$C$5:$C$1204,$C$2,TRANSACTIONS_MASTER!$U$5:$U$1204,"&lt;&gt;Cancelled")-SUM(V117:V131))</f>
        <v>0</v>
      </c>
      <c r="W132" s="48">
        <f>MAX(0,SUMIFS(TRANSACTIONS_MASTER!$Q$5:$Q$1204,TRANSACTIONS_MASTER!$C$5:$C$1204,$C$2)-SUM(W117:W131))</f>
        <v>0</v>
      </c>
    </row>
    <row r="133">
      <c r="A133" s="81" t="str">
        <f>IF($Q133="","",126)</f>
        <v/>
      </c>
      <c r="B133" s="57" t="str">
        <f>IF($Q133="","",INDEX(TRANSACTIONS_MASTER!$B$5:$B$1204,$Q133))</f>
        <v/>
      </c>
      <c r="C133" s="55" t="str">
        <f>IF($Q133="","",INDEX(TRANSACTIONS_MASTER!$F$5:$F$1204,$Q133))</f>
        <v/>
      </c>
      <c r="D133" s="55" t="str">
        <f>IF($Q133="","",INDEX(TRANSACTIONS_MASTER!$E$5:$E$1204,$Q133))</f>
        <v/>
      </c>
      <c r="E133" s="55" t="str">
        <f>IF($Q133="","",INDEX(TRANSACTIONS_MASTER!$G$5:$G$1204,$Q133)&amp;"")</f>
        <v/>
      </c>
      <c r="F133" s="29" t="str">
        <f>IF($Q133="","",INDEX(TRANSACTIONS_MASTER!$I$5:$I$1204,$Q133))</f>
        <v/>
      </c>
      <c r="G133" s="55" t="str">
        <f>IF($Q133="","",INDEX(TRANSACTIONS_MASTER!$K$5:$K$1204,$Q133))</f>
        <v/>
      </c>
      <c r="H133" s="25" t="str">
        <f>IF($Q133="","",INDEX(TRANSACTIONS_MASTER!$L$5:$L$1204,$Q133))</f>
        <v/>
      </c>
      <c r="I133" s="56" t="str">
        <f>IF($Q133="","",INDEX(TRANSACTIONS_MASTER!$N$5:$N$1204,$Q133))</f>
        <v/>
      </c>
      <c r="J133" s="25" t="str">
        <f>IF($Q133="","",INDEX(TRANSACTIONS_MASTER!$O$5:$O$1204,$Q133))</f>
        <v/>
      </c>
      <c r="K133" s="26" t="str">
        <f>IF($Q133="","",INDEX(TRANSACTIONS_MASTER!$Q$5:$Q$1204,$Q133))</f>
        <v/>
      </c>
      <c r="L133" s="25" t="str">
        <f>IF($Q133="","",INDEX(TRANSACTIONS_MASTER!$P$5:$P$1204,$Q133))</f>
        <v/>
      </c>
      <c r="M133" s="25" t="str">
        <f>IF($Q133="","",INDEX(TRANSACTIONS_MASTER!$AA$5:$AA$1204,$Q133))</f>
        <v/>
      </c>
      <c r="N133" s="25" t="str">
        <f>IF($Q133="","",INDEX(TRANSACTIONS_MASTER!$R$5:$R$1204,$Q133))</f>
        <v/>
      </c>
      <c r="O133" s="28" t="str">
        <f>IF($Q133="","",INDEX(TRANSACTIONS_MASTER!$AB$5:$AB$1204,$Q133))</f>
        <v/>
      </c>
      <c r="P133" s="55" t="str">
        <f>IF($Q133="","",INDEX(TRANSACTIONS_MASTER!$Z$5:$Z$1204,$Q133)&amp;"")</f>
        <v/>
      </c>
      <c r="Q133" s="67" t="str">
        <f>IFERROR(MATCH($C$2&amp;"|"&amp;126,TRANSACTIONS_MASTER!$AE$5:$AE$1204,0),"")</f>
        <v/>
      </c>
      <c r="T133" s="68" t="n"/>
      <c r="U133" s="69" t="inlineStr">
        <is>
          <t>TỔNG</t>
        </is>
      </c>
      <c r="V133" s="31">
        <f>SUM(V117:V132)</f>
        <v>9650000</v>
      </c>
      <c r="W133" s="31">
        <f>SUM(W117:W132)</f>
        <v>826000</v>
      </c>
    </row>
    <row r="134">
      <c r="A134" s="81" t="str">
        <f>IF($Q134="","",127)</f>
        <v/>
      </c>
      <c r="B134" s="57" t="str">
        <f>IF($Q134="","",INDEX(TRANSACTIONS_MASTER!$B$5:$B$1204,$Q134))</f>
        <v/>
      </c>
      <c r="C134" s="55" t="str">
        <f>IF($Q134="","",INDEX(TRANSACTIONS_MASTER!$F$5:$F$1204,$Q134))</f>
        <v/>
      </c>
      <c r="D134" s="55" t="str">
        <f>IF($Q134="","",INDEX(TRANSACTIONS_MASTER!$E$5:$E$1204,$Q134))</f>
        <v/>
      </c>
      <c r="E134" s="55" t="str">
        <f>IF($Q134="","",INDEX(TRANSACTIONS_MASTER!$G$5:$G$1204,$Q134)&amp;"")</f>
        <v/>
      </c>
      <c r="F134" s="29" t="str">
        <f>IF($Q134="","",INDEX(TRANSACTIONS_MASTER!$I$5:$I$1204,$Q134))</f>
        <v/>
      </c>
      <c r="G134" s="55" t="str">
        <f>IF($Q134="","",INDEX(TRANSACTIONS_MASTER!$K$5:$K$1204,$Q134))</f>
        <v/>
      </c>
      <c r="H134" s="25" t="str">
        <f>IF($Q134="","",INDEX(TRANSACTIONS_MASTER!$L$5:$L$1204,$Q134))</f>
        <v/>
      </c>
      <c r="I134" s="56" t="str">
        <f>IF($Q134="","",INDEX(TRANSACTIONS_MASTER!$N$5:$N$1204,$Q134))</f>
        <v/>
      </c>
      <c r="J134" s="25" t="str">
        <f>IF($Q134="","",INDEX(TRANSACTIONS_MASTER!$O$5:$O$1204,$Q134))</f>
        <v/>
      </c>
      <c r="K134" s="26" t="str">
        <f>IF($Q134="","",INDEX(TRANSACTIONS_MASTER!$Q$5:$Q$1204,$Q134))</f>
        <v/>
      </c>
      <c r="L134" s="25" t="str">
        <f>IF($Q134="","",INDEX(TRANSACTIONS_MASTER!$P$5:$P$1204,$Q134))</f>
        <v/>
      </c>
      <c r="M134" s="25" t="str">
        <f>IF($Q134="","",INDEX(TRANSACTIONS_MASTER!$AA$5:$AA$1204,$Q134))</f>
        <v/>
      </c>
      <c r="N134" s="25" t="str">
        <f>IF($Q134="","",INDEX(TRANSACTIONS_MASTER!$R$5:$R$1204,$Q134))</f>
        <v/>
      </c>
      <c r="O134" s="28" t="str">
        <f>IF($Q134="","",INDEX(TRANSACTIONS_MASTER!$AB$5:$AB$1204,$Q134))</f>
        <v/>
      </c>
      <c r="P134" s="55" t="str">
        <f>IF($Q134="","",INDEX(TRANSACTIONS_MASTER!$Z$5:$Z$1204,$Q134)&amp;"")</f>
        <v/>
      </c>
      <c r="Q134" s="67" t="str">
        <f>IFERROR(MATCH($C$2&amp;"|"&amp;127,TRANSACTIONS_MASTER!$AE$5:$AE$1204,0),"")</f>
        <v/>
      </c>
    </row>
    <row r="135">
      <c r="A135" s="81" t="str">
        <f>IF($Q135="","",128)</f>
        <v/>
      </c>
      <c r="B135" s="57" t="str">
        <f>IF($Q135="","",INDEX(TRANSACTIONS_MASTER!$B$5:$B$1204,$Q135))</f>
        <v/>
      </c>
      <c r="C135" s="55" t="str">
        <f>IF($Q135="","",INDEX(TRANSACTIONS_MASTER!$F$5:$F$1204,$Q135))</f>
        <v/>
      </c>
      <c r="D135" s="55" t="str">
        <f>IF($Q135="","",INDEX(TRANSACTIONS_MASTER!$E$5:$E$1204,$Q135))</f>
        <v/>
      </c>
      <c r="E135" s="55" t="str">
        <f>IF($Q135="","",INDEX(TRANSACTIONS_MASTER!$G$5:$G$1204,$Q135)&amp;"")</f>
        <v/>
      </c>
      <c r="F135" s="29" t="str">
        <f>IF($Q135="","",INDEX(TRANSACTIONS_MASTER!$I$5:$I$1204,$Q135))</f>
        <v/>
      </c>
      <c r="G135" s="55" t="str">
        <f>IF($Q135="","",INDEX(TRANSACTIONS_MASTER!$K$5:$K$1204,$Q135))</f>
        <v/>
      </c>
      <c r="H135" s="25" t="str">
        <f>IF($Q135="","",INDEX(TRANSACTIONS_MASTER!$L$5:$L$1204,$Q135))</f>
        <v/>
      </c>
      <c r="I135" s="56" t="str">
        <f>IF($Q135="","",INDEX(TRANSACTIONS_MASTER!$N$5:$N$1204,$Q135))</f>
        <v/>
      </c>
      <c r="J135" s="25" t="str">
        <f>IF($Q135="","",INDEX(TRANSACTIONS_MASTER!$O$5:$O$1204,$Q135))</f>
        <v/>
      </c>
      <c r="K135" s="26" t="str">
        <f>IF($Q135="","",INDEX(TRANSACTIONS_MASTER!$Q$5:$Q$1204,$Q135))</f>
        <v/>
      </c>
      <c r="L135" s="25" t="str">
        <f>IF($Q135="","",INDEX(TRANSACTIONS_MASTER!$P$5:$P$1204,$Q135))</f>
        <v/>
      </c>
      <c r="M135" s="25" t="str">
        <f>IF($Q135="","",INDEX(TRANSACTIONS_MASTER!$AA$5:$AA$1204,$Q135))</f>
        <v/>
      </c>
      <c r="N135" s="25" t="str">
        <f>IF($Q135="","",INDEX(TRANSACTIONS_MASTER!$R$5:$R$1204,$Q135))</f>
        <v/>
      </c>
      <c r="O135" s="28" t="str">
        <f>IF($Q135="","",INDEX(TRANSACTIONS_MASTER!$AB$5:$AB$1204,$Q135))</f>
        <v/>
      </c>
      <c r="P135" s="55" t="str">
        <f>IF($Q135="","",INDEX(TRANSACTIONS_MASTER!$Z$5:$Z$1204,$Q135)&amp;"")</f>
        <v/>
      </c>
      <c r="Q135" s="67" t="str">
        <f>IFERROR(MATCH($C$2&amp;"|"&amp;128,TRANSACTIONS_MASTER!$AE$5:$AE$1204,0),"")</f>
        <v/>
      </c>
    </row>
    <row r="136" ht="22" customHeight="1">
      <c r="A136" s="81" t="str">
        <f>IF($Q136="","",129)</f>
        <v/>
      </c>
      <c r="B136" s="57" t="str">
        <f>IF($Q136="","",INDEX(TRANSACTIONS_MASTER!$B$5:$B$1204,$Q136))</f>
        <v/>
      </c>
      <c r="C136" s="55" t="str">
        <f>IF($Q136="","",INDEX(TRANSACTIONS_MASTER!$F$5:$F$1204,$Q136))</f>
        <v/>
      </c>
      <c r="D136" s="55" t="str">
        <f>IF($Q136="","",INDEX(TRANSACTIONS_MASTER!$E$5:$E$1204,$Q136))</f>
        <v/>
      </c>
      <c r="E136" s="55" t="str">
        <f>IF($Q136="","",INDEX(TRANSACTIONS_MASTER!$G$5:$G$1204,$Q136)&amp;"")</f>
        <v/>
      </c>
      <c r="F136" s="29" t="str">
        <f>IF($Q136="","",INDEX(TRANSACTIONS_MASTER!$I$5:$I$1204,$Q136))</f>
        <v/>
      </c>
      <c r="G136" s="55" t="str">
        <f>IF($Q136="","",INDEX(TRANSACTIONS_MASTER!$K$5:$K$1204,$Q136))</f>
        <v/>
      </c>
      <c r="H136" s="25" t="str">
        <f>IF($Q136="","",INDEX(TRANSACTIONS_MASTER!$L$5:$L$1204,$Q136))</f>
        <v/>
      </c>
      <c r="I136" s="56" t="str">
        <f>IF($Q136="","",INDEX(TRANSACTIONS_MASTER!$N$5:$N$1204,$Q136))</f>
        <v/>
      </c>
      <c r="J136" s="25" t="str">
        <f>IF($Q136="","",INDEX(TRANSACTIONS_MASTER!$O$5:$O$1204,$Q136))</f>
        <v/>
      </c>
      <c r="K136" s="26" t="str">
        <f>IF($Q136="","",INDEX(TRANSACTIONS_MASTER!$Q$5:$Q$1204,$Q136))</f>
        <v/>
      </c>
      <c r="L136" s="25" t="str">
        <f>IF($Q136="","",INDEX(TRANSACTIONS_MASTER!$P$5:$P$1204,$Q136))</f>
        <v/>
      </c>
      <c r="M136" s="25" t="str">
        <f>IF($Q136="","",INDEX(TRANSACTIONS_MASTER!$AA$5:$AA$1204,$Q136))</f>
        <v/>
      </c>
      <c r="N136" s="25" t="str">
        <f>IF($Q136="","",INDEX(TRANSACTIONS_MASTER!$R$5:$R$1204,$Q136))</f>
        <v/>
      </c>
      <c r="O136" s="28" t="str">
        <f>IF($Q136="","",INDEX(TRANSACTIONS_MASTER!$AB$5:$AB$1204,$Q136))</f>
        <v/>
      </c>
      <c r="P136" s="55" t="str">
        <f>IF($Q136="","",INDEX(TRANSACTIONS_MASTER!$Z$5:$Z$1204,$Q136)&amp;"")</f>
        <v/>
      </c>
      <c r="Q136" s="67" t="str">
        <f>IFERROR(MATCH($C$2&amp;"|"&amp;129,TRANSACTIONS_MASTER!$AE$5:$AE$1204,0),"")</f>
        <v/>
      </c>
      <c r="T136" s="19" t="inlineStr">
        <is>
          <t>THEO MCC</t>
        </is>
      </c>
      <c r="U136" s="20" t="n"/>
      <c r="V136" s="20" t="n"/>
      <c r="W136" s="20" t="n"/>
      <c r="X136" s="20" t="n"/>
      <c r="Y136" s="20" t="n"/>
      <c r="Z136" s="20" t="n"/>
      <c r="AA136" s="20" t="n"/>
    </row>
    <row r="137" ht="28" customHeight="1">
      <c r="A137" s="81" t="str">
        <f>IF($Q137="","",130)</f>
        <v/>
      </c>
      <c r="B137" s="57" t="str">
        <f>IF($Q137="","",INDEX(TRANSACTIONS_MASTER!$B$5:$B$1204,$Q137))</f>
        <v/>
      </c>
      <c r="C137" s="55" t="str">
        <f>IF($Q137="","",INDEX(TRANSACTIONS_MASTER!$F$5:$F$1204,$Q137))</f>
        <v/>
      </c>
      <c r="D137" s="55" t="str">
        <f>IF($Q137="","",INDEX(TRANSACTIONS_MASTER!$E$5:$E$1204,$Q137))</f>
        <v/>
      </c>
      <c r="E137" s="55" t="str">
        <f>IF($Q137="","",INDEX(TRANSACTIONS_MASTER!$G$5:$G$1204,$Q137)&amp;"")</f>
        <v/>
      </c>
      <c r="F137" s="29" t="str">
        <f>IF($Q137="","",INDEX(TRANSACTIONS_MASTER!$I$5:$I$1204,$Q137))</f>
        <v/>
      </c>
      <c r="G137" s="55" t="str">
        <f>IF($Q137="","",INDEX(TRANSACTIONS_MASTER!$K$5:$K$1204,$Q137))</f>
        <v/>
      </c>
      <c r="H137" s="25" t="str">
        <f>IF($Q137="","",INDEX(TRANSACTIONS_MASTER!$L$5:$L$1204,$Q137))</f>
        <v/>
      </c>
      <c r="I137" s="56" t="str">
        <f>IF($Q137="","",INDEX(TRANSACTIONS_MASTER!$N$5:$N$1204,$Q137))</f>
        <v/>
      </c>
      <c r="J137" s="25" t="str">
        <f>IF($Q137="","",INDEX(TRANSACTIONS_MASTER!$O$5:$O$1204,$Q137))</f>
        <v/>
      </c>
      <c r="K137" s="26" t="str">
        <f>IF($Q137="","",INDEX(TRANSACTIONS_MASTER!$Q$5:$Q$1204,$Q137))</f>
        <v/>
      </c>
      <c r="L137" s="25" t="str">
        <f>IF($Q137="","",INDEX(TRANSACTIONS_MASTER!$P$5:$P$1204,$Q137))</f>
        <v/>
      </c>
      <c r="M137" s="25" t="str">
        <f>IF($Q137="","",INDEX(TRANSACTIONS_MASTER!$AA$5:$AA$1204,$Q137))</f>
        <v/>
      </c>
      <c r="N137" s="25" t="str">
        <f>IF($Q137="","",INDEX(TRANSACTIONS_MASTER!$R$5:$R$1204,$Q137))</f>
        <v/>
      </c>
      <c r="O137" s="28" t="str">
        <f>IF($Q137="","",INDEX(TRANSACTIONS_MASTER!$AB$5:$AB$1204,$Q137))</f>
        <v/>
      </c>
      <c r="P137" s="55" t="str">
        <f>IF($Q137="","",INDEX(TRANSACTIONS_MASTER!$Z$5:$Z$1204,$Q137)&amp;"")</f>
        <v/>
      </c>
      <c r="Q137" s="67" t="str">
        <f>IFERROR(MATCH($C$2&amp;"|"&amp;130,TRANSACTIONS_MASTER!$AE$5:$AE$1204,0),"")</f>
        <v/>
      </c>
      <c r="S137" s="21" t="inlineStr">
        <is>
          <t>#</t>
        </is>
      </c>
      <c r="T137" s="21" t="inlineStr">
        <is>
          <t>MCC</t>
        </is>
      </c>
      <c r="U137" s="21" t="inlineStr">
        <is>
          <t>Tên MCC</t>
        </is>
      </c>
      <c r="V137" s="21" t="inlineStr">
        <is>
          <t>Chi tiêu</t>
        </is>
      </c>
      <c r="W137" s="21" t="inlineStr">
        <is>
          <t>Cashback</t>
        </is>
      </c>
    </row>
    <row r="138">
      <c r="A138" s="81" t="str">
        <f>IF($Q138="","",131)</f>
        <v/>
      </c>
      <c r="B138" s="57" t="str">
        <f>IF($Q138="","",INDEX(TRANSACTIONS_MASTER!$B$5:$B$1204,$Q138))</f>
        <v/>
      </c>
      <c r="C138" s="55" t="str">
        <f>IF($Q138="","",INDEX(TRANSACTIONS_MASTER!$F$5:$F$1204,$Q138))</f>
        <v/>
      </c>
      <c r="D138" s="55" t="str">
        <f>IF($Q138="","",INDEX(TRANSACTIONS_MASTER!$E$5:$E$1204,$Q138))</f>
        <v/>
      </c>
      <c r="E138" s="55" t="str">
        <f>IF($Q138="","",INDEX(TRANSACTIONS_MASTER!$G$5:$G$1204,$Q138)&amp;"")</f>
        <v/>
      </c>
      <c r="F138" s="29" t="str">
        <f>IF($Q138="","",INDEX(TRANSACTIONS_MASTER!$I$5:$I$1204,$Q138))</f>
        <v/>
      </c>
      <c r="G138" s="55" t="str">
        <f>IF($Q138="","",INDEX(TRANSACTIONS_MASTER!$K$5:$K$1204,$Q138))</f>
        <v/>
      </c>
      <c r="H138" s="25" t="str">
        <f>IF($Q138="","",INDEX(TRANSACTIONS_MASTER!$L$5:$L$1204,$Q138))</f>
        <v/>
      </c>
      <c r="I138" s="56" t="str">
        <f>IF($Q138="","",INDEX(TRANSACTIONS_MASTER!$N$5:$N$1204,$Q138))</f>
        <v/>
      </c>
      <c r="J138" s="25" t="str">
        <f>IF($Q138="","",INDEX(TRANSACTIONS_MASTER!$O$5:$O$1204,$Q138))</f>
        <v/>
      </c>
      <c r="K138" s="26" t="str">
        <f>IF($Q138="","",INDEX(TRANSACTIONS_MASTER!$Q$5:$Q$1204,$Q138))</f>
        <v/>
      </c>
      <c r="L138" s="25" t="str">
        <f>IF($Q138="","",INDEX(TRANSACTIONS_MASTER!$P$5:$P$1204,$Q138))</f>
        <v/>
      </c>
      <c r="M138" s="25" t="str">
        <f>IF($Q138="","",INDEX(TRANSACTIONS_MASTER!$AA$5:$AA$1204,$Q138))</f>
        <v/>
      </c>
      <c r="N138" s="25" t="str">
        <f>IF($Q138="","",INDEX(TRANSACTIONS_MASTER!$R$5:$R$1204,$Q138))</f>
        <v/>
      </c>
      <c r="O138" s="28" t="str">
        <f>IF($Q138="","",INDEX(TRANSACTIONS_MASTER!$AB$5:$AB$1204,$Q138))</f>
        <v/>
      </c>
      <c r="P138" s="55" t="str">
        <f>IF($Q138="","",INDEX(TRANSACTIONS_MASTER!$Z$5:$Z$1204,$Q138)&amp;"")</f>
        <v/>
      </c>
      <c r="Q138" s="67" t="str">
        <f>IFERROR(MATCH($C$2&amp;"|"&amp;131,TRANSACTIONS_MASTER!$AE$5:$AE$1204,0),"")</f>
        <v/>
      </c>
      <c r="S138" s="67">
        <f>IFERROR(MATCH(1,INDEX((TRANSACTIONS_MASTER!$C$5:$C$1204=$C$2)*(TRANSACTIONS_MASTER!$AJ$5:$AJ$1204=1),0),0),"")</f>
        <v>1</v>
      </c>
      <c r="T138" s="29">
        <f>IF($S138="","",INDEX(TRANSACTIONS_MASTER!$I$5:$I$1204,$S138))</f>
        <v>5814</v>
      </c>
      <c r="U138" s="55" t="str">
        <f>IF($S138="","",INDEX(TRANSACTIONS_MASTER!$J$5:$J$1204,$S138))</f>
        <v>Fast Food Restaurants</v>
      </c>
      <c r="V138" s="25">
        <f>IF($S138="","",SUMIFS(TRANSACTIONS_MASTER!$L$5:$L$1204,TRANSACTIONS_MASTER!$I$5:$I$1204,$T138,TRANSACTIONS_MASTER!$C$5:$C$1204,$C$2,TRANSACTIONS_MASTER!$U$5:$U$1204,"&lt;&gt;Cancelled"))</f>
        <v>150000</v>
      </c>
      <c r="W138" s="26">
        <f>IF($S138="","",SUMIFS(TRANSACTIONS_MASTER!$Q$5:$Q$1204,TRANSACTIONS_MASTER!$I$5:$I$1204,$T138,TRANSACTIONS_MASTER!$C$5:$C$1204,$C$2))</f>
        <v>22500</v>
      </c>
    </row>
    <row r="139">
      <c r="A139" s="81" t="str">
        <f>IF($Q139="","",132)</f>
        <v/>
      </c>
      <c r="B139" s="57" t="str">
        <f>IF($Q139="","",INDEX(TRANSACTIONS_MASTER!$B$5:$B$1204,$Q139))</f>
        <v/>
      </c>
      <c r="C139" s="55" t="str">
        <f>IF($Q139="","",INDEX(TRANSACTIONS_MASTER!$F$5:$F$1204,$Q139))</f>
        <v/>
      </c>
      <c r="D139" s="55" t="str">
        <f>IF($Q139="","",INDEX(TRANSACTIONS_MASTER!$E$5:$E$1204,$Q139))</f>
        <v/>
      </c>
      <c r="E139" s="55" t="str">
        <f>IF($Q139="","",INDEX(TRANSACTIONS_MASTER!$G$5:$G$1204,$Q139)&amp;"")</f>
        <v/>
      </c>
      <c r="F139" s="29" t="str">
        <f>IF($Q139="","",INDEX(TRANSACTIONS_MASTER!$I$5:$I$1204,$Q139))</f>
        <v/>
      </c>
      <c r="G139" s="55" t="str">
        <f>IF($Q139="","",INDEX(TRANSACTIONS_MASTER!$K$5:$K$1204,$Q139))</f>
        <v/>
      </c>
      <c r="H139" s="25" t="str">
        <f>IF($Q139="","",INDEX(TRANSACTIONS_MASTER!$L$5:$L$1204,$Q139))</f>
        <v/>
      </c>
      <c r="I139" s="56" t="str">
        <f>IF($Q139="","",INDEX(TRANSACTIONS_MASTER!$N$5:$N$1204,$Q139))</f>
        <v/>
      </c>
      <c r="J139" s="25" t="str">
        <f>IF($Q139="","",INDEX(TRANSACTIONS_MASTER!$O$5:$O$1204,$Q139))</f>
        <v/>
      </c>
      <c r="K139" s="26" t="str">
        <f>IF($Q139="","",INDEX(TRANSACTIONS_MASTER!$Q$5:$Q$1204,$Q139))</f>
        <v/>
      </c>
      <c r="L139" s="25" t="str">
        <f>IF($Q139="","",INDEX(TRANSACTIONS_MASTER!$P$5:$P$1204,$Q139))</f>
        <v/>
      </c>
      <c r="M139" s="25" t="str">
        <f>IF($Q139="","",INDEX(TRANSACTIONS_MASTER!$AA$5:$AA$1204,$Q139))</f>
        <v/>
      </c>
      <c r="N139" s="25" t="str">
        <f>IF($Q139="","",INDEX(TRANSACTIONS_MASTER!$R$5:$R$1204,$Q139))</f>
        <v/>
      </c>
      <c r="O139" s="28" t="str">
        <f>IF($Q139="","",INDEX(TRANSACTIONS_MASTER!$AB$5:$AB$1204,$Q139))</f>
        <v/>
      </c>
      <c r="P139" s="55" t="str">
        <f>IF($Q139="","",INDEX(TRANSACTIONS_MASTER!$Z$5:$Z$1204,$Q139)&amp;"")</f>
        <v/>
      </c>
      <c r="Q139" s="67" t="str">
        <f>IFERROR(MATCH($C$2&amp;"|"&amp;132,TRANSACTIONS_MASTER!$AE$5:$AE$1204,0),"")</f>
        <v/>
      </c>
      <c r="S139" s="67">
        <f>IFERROR(MATCH(1,INDEX((TRANSACTIONS_MASTER!$C$5:$C$1204=$C$2)*(TRANSACTIONS_MASTER!$AJ$5:$AJ$1204=2),0),0),"")</f>
        <v>2</v>
      </c>
      <c r="T139" s="29">
        <f>IF($S139="","",INDEX(TRANSACTIONS_MASTER!$I$5:$I$1204,$S139))</f>
        <v>5812</v>
      </c>
      <c r="U139" s="55" t="str">
        <f>IF($S139="","",INDEX(TRANSACTIONS_MASTER!$J$5:$J$1204,$S139))</f>
        <v>Eating Places / Restaurants</v>
      </c>
      <c r="V139" s="25">
        <f>IF($S139="","",SUMIFS(TRANSACTIONS_MASTER!$L$5:$L$1204,TRANSACTIONS_MASTER!$I$5:$I$1204,$T139,TRANSACTIONS_MASTER!$C$5:$C$1204,$C$2,TRANSACTIONS_MASTER!$U$5:$U$1204,"&lt;&gt;Cancelled"))</f>
        <v>4000000</v>
      </c>
      <c r="W139" s="26">
        <f>IF($S139="","",SUMIFS(TRANSACTIONS_MASTER!$Q$5:$Q$1204,TRANSACTIONS_MASTER!$I$5:$I$1204,$T139,TRANSACTIONS_MASTER!$C$5:$C$1204,$C$2))</f>
        <v>477500</v>
      </c>
    </row>
    <row r="140">
      <c r="A140" s="81" t="str">
        <f>IF($Q140="","",133)</f>
        <v/>
      </c>
      <c r="B140" s="57" t="str">
        <f>IF($Q140="","",INDEX(TRANSACTIONS_MASTER!$B$5:$B$1204,$Q140))</f>
        <v/>
      </c>
      <c r="C140" s="55" t="str">
        <f>IF($Q140="","",INDEX(TRANSACTIONS_MASTER!$F$5:$F$1204,$Q140))</f>
        <v/>
      </c>
      <c r="D140" s="55" t="str">
        <f>IF($Q140="","",INDEX(TRANSACTIONS_MASTER!$E$5:$E$1204,$Q140))</f>
        <v/>
      </c>
      <c r="E140" s="55" t="str">
        <f>IF($Q140="","",INDEX(TRANSACTIONS_MASTER!$G$5:$G$1204,$Q140)&amp;"")</f>
        <v/>
      </c>
      <c r="F140" s="29" t="str">
        <f>IF($Q140="","",INDEX(TRANSACTIONS_MASTER!$I$5:$I$1204,$Q140))</f>
        <v/>
      </c>
      <c r="G140" s="55" t="str">
        <f>IF($Q140="","",INDEX(TRANSACTIONS_MASTER!$K$5:$K$1204,$Q140))</f>
        <v/>
      </c>
      <c r="H140" s="25" t="str">
        <f>IF($Q140="","",INDEX(TRANSACTIONS_MASTER!$L$5:$L$1204,$Q140))</f>
        <v/>
      </c>
      <c r="I140" s="56" t="str">
        <f>IF($Q140="","",INDEX(TRANSACTIONS_MASTER!$N$5:$N$1204,$Q140))</f>
        <v/>
      </c>
      <c r="J140" s="25" t="str">
        <f>IF($Q140="","",INDEX(TRANSACTIONS_MASTER!$O$5:$O$1204,$Q140))</f>
        <v/>
      </c>
      <c r="K140" s="26" t="str">
        <f>IF($Q140="","",INDEX(TRANSACTIONS_MASTER!$Q$5:$Q$1204,$Q140))</f>
        <v/>
      </c>
      <c r="L140" s="25" t="str">
        <f>IF($Q140="","",INDEX(TRANSACTIONS_MASTER!$P$5:$P$1204,$Q140))</f>
        <v/>
      </c>
      <c r="M140" s="25" t="str">
        <f>IF($Q140="","",INDEX(TRANSACTIONS_MASTER!$AA$5:$AA$1204,$Q140))</f>
        <v/>
      </c>
      <c r="N140" s="25" t="str">
        <f>IF($Q140="","",INDEX(TRANSACTIONS_MASTER!$R$5:$R$1204,$Q140))</f>
        <v/>
      </c>
      <c r="O140" s="28" t="str">
        <f>IF($Q140="","",INDEX(TRANSACTIONS_MASTER!$AB$5:$AB$1204,$Q140))</f>
        <v/>
      </c>
      <c r="P140" s="55" t="str">
        <f>IF($Q140="","",INDEX(TRANSACTIONS_MASTER!$Z$5:$Z$1204,$Q140)&amp;"")</f>
        <v/>
      </c>
      <c r="Q140" s="67" t="str">
        <f>IFERROR(MATCH($C$2&amp;"|"&amp;133,TRANSACTIONS_MASTER!$AE$5:$AE$1204,0),"")</f>
        <v/>
      </c>
      <c r="S140" s="67">
        <f>IFERROR(MATCH(1,INDEX((TRANSACTIONS_MASTER!$C$5:$C$1204=$C$2)*(TRANSACTIONS_MASTER!$AJ$5:$AJ$1204=3),0),0),"")</f>
        <v>3</v>
      </c>
      <c r="T140" s="29">
        <f>IF($S140="","",INDEX(TRANSACTIONS_MASTER!$I$5:$I$1204,$S140))</f>
        <v>5813</v>
      </c>
      <c r="U140" s="55" t="str">
        <f>IF($S140="","",INDEX(TRANSACTIONS_MASTER!$J$5:$J$1204,$S140))</f>
        <v>Drinking Places (Bars, Taverns)</v>
      </c>
      <c r="V140" s="25">
        <f>IF($S140="","",SUMIFS(TRANSACTIONS_MASTER!$L$5:$L$1204,TRANSACTIONS_MASTER!$I$5:$I$1204,$T140,TRANSACTIONS_MASTER!$C$5:$C$1204,$C$2,TRANSACTIONS_MASTER!$U$5:$U$1204,"&lt;&gt;Cancelled"))</f>
        <v>1000000</v>
      </c>
      <c r="W140" s="26">
        <f>IF($S140="","",SUMIFS(TRANSACTIONS_MASTER!$Q$5:$Q$1204,TRANSACTIONS_MASTER!$I$5:$I$1204,$T140,TRANSACTIONS_MASTER!$C$5:$C$1204,$C$2))</f>
        <v>0</v>
      </c>
    </row>
    <row r="141">
      <c r="A141" s="81" t="str">
        <f>IF($Q141="","",134)</f>
        <v/>
      </c>
      <c r="B141" s="57" t="str">
        <f>IF($Q141="","",INDEX(TRANSACTIONS_MASTER!$B$5:$B$1204,$Q141))</f>
        <v/>
      </c>
      <c r="C141" s="55" t="str">
        <f>IF($Q141="","",INDEX(TRANSACTIONS_MASTER!$F$5:$F$1204,$Q141))</f>
        <v/>
      </c>
      <c r="D141" s="55" t="str">
        <f>IF($Q141="","",INDEX(TRANSACTIONS_MASTER!$E$5:$E$1204,$Q141))</f>
        <v/>
      </c>
      <c r="E141" s="55" t="str">
        <f>IF($Q141="","",INDEX(TRANSACTIONS_MASTER!$G$5:$G$1204,$Q141)&amp;"")</f>
        <v/>
      </c>
      <c r="F141" s="29" t="str">
        <f>IF($Q141="","",INDEX(TRANSACTIONS_MASTER!$I$5:$I$1204,$Q141))</f>
        <v/>
      </c>
      <c r="G141" s="55" t="str">
        <f>IF($Q141="","",INDEX(TRANSACTIONS_MASTER!$K$5:$K$1204,$Q141))</f>
        <v/>
      </c>
      <c r="H141" s="25" t="str">
        <f>IF($Q141="","",INDEX(TRANSACTIONS_MASTER!$L$5:$L$1204,$Q141))</f>
        <v/>
      </c>
      <c r="I141" s="56" t="str">
        <f>IF($Q141="","",INDEX(TRANSACTIONS_MASTER!$N$5:$N$1204,$Q141))</f>
        <v/>
      </c>
      <c r="J141" s="25" t="str">
        <f>IF($Q141="","",INDEX(TRANSACTIONS_MASTER!$O$5:$O$1204,$Q141))</f>
        <v/>
      </c>
      <c r="K141" s="26" t="str">
        <f>IF($Q141="","",INDEX(TRANSACTIONS_MASTER!$Q$5:$Q$1204,$Q141))</f>
        <v/>
      </c>
      <c r="L141" s="25" t="str">
        <f>IF($Q141="","",INDEX(TRANSACTIONS_MASTER!$P$5:$P$1204,$Q141))</f>
        <v/>
      </c>
      <c r="M141" s="25" t="str">
        <f>IF($Q141="","",INDEX(TRANSACTIONS_MASTER!$AA$5:$AA$1204,$Q141))</f>
        <v/>
      </c>
      <c r="N141" s="25" t="str">
        <f>IF($Q141="","",INDEX(TRANSACTIONS_MASTER!$R$5:$R$1204,$Q141))</f>
        <v/>
      </c>
      <c r="O141" s="28" t="str">
        <f>IF($Q141="","",INDEX(TRANSACTIONS_MASTER!$AB$5:$AB$1204,$Q141))</f>
        <v/>
      </c>
      <c r="P141" s="55" t="str">
        <f>IF($Q141="","",INDEX(TRANSACTIONS_MASTER!$Z$5:$Z$1204,$Q141)&amp;"")</f>
        <v/>
      </c>
      <c r="Q141" s="67" t="str">
        <f>IFERROR(MATCH($C$2&amp;"|"&amp;134,TRANSACTIONS_MASTER!$AE$5:$AE$1204,0),"")</f>
        <v/>
      </c>
      <c r="S141" s="67">
        <f>IFERROR(MATCH(1,INDEX((TRANSACTIONS_MASTER!$C$5:$C$1204=$C$2)*(TRANSACTIONS_MASTER!$AJ$5:$AJ$1204=4),0),0),"")</f>
        <v>4</v>
      </c>
      <c r="T141" s="29">
        <f>IF($S141="","",INDEX(TRANSACTIONS_MASTER!$I$5:$I$1204,$S141))</f>
        <v>5411</v>
      </c>
      <c r="U141" s="55" t="str">
        <f>IF($S141="","",INDEX(TRANSACTIONS_MASTER!$J$5:$J$1204,$S141))</f>
        <v>Grocery Stores / Supermarkets</v>
      </c>
      <c r="V141" s="25">
        <f>IF($S141="","",SUMIFS(TRANSACTIONS_MASTER!$L$5:$L$1204,TRANSACTIONS_MASTER!$I$5:$I$1204,$T141,TRANSACTIONS_MASTER!$C$5:$C$1204,$C$2,TRANSACTIONS_MASTER!$U$5:$U$1204,"&lt;&gt;Cancelled"))</f>
        <v>3300000</v>
      </c>
      <c r="W141" s="26">
        <f>IF($S141="","",SUMIFS(TRANSACTIONS_MASTER!$Q$5:$Q$1204,TRANSACTIONS_MASTER!$I$5:$I$1204,$T141,TRANSACTIONS_MASTER!$C$5:$C$1204,$C$2))</f>
        <v>266000</v>
      </c>
    </row>
    <row r="142">
      <c r="A142" s="81" t="str">
        <f>IF($Q142="","",135)</f>
        <v/>
      </c>
      <c r="B142" s="57" t="str">
        <f>IF($Q142="","",INDEX(TRANSACTIONS_MASTER!$B$5:$B$1204,$Q142))</f>
        <v/>
      </c>
      <c r="C142" s="55" t="str">
        <f>IF($Q142="","",INDEX(TRANSACTIONS_MASTER!$F$5:$F$1204,$Q142))</f>
        <v/>
      </c>
      <c r="D142" s="55" t="str">
        <f>IF($Q142="","",INDEX(TRANSACTIONS_MASTER!$E$5:$E$1204,$Q142))</f>
        <v/>
      </c>
      <c r="E142" s="55" t="str">
        <f>IF($Q142="","",INDEX(TRANSACTIONS_MASTER!$G$5:$G$1204,$Q142)&amp;"")</f>
        <v/>
      </c>
      <c r="F142" s="29" t="str">
        <f>IF($Q142="","",INDEX(TRANSACTIONS_MASTER!$I$5:$I$1204,$Q142))</f>
        <v/>
      </c>
      <c r="G142" s="55" t="str">
        <f>IF($Q142="","",INDEX(TRANSACTIONS_MASTER!$K$5:$K$1204,$Q142))</f>
        <v/>
      </c>
      <c r="H142" s="25" t="str">
        <f>IF($Q142="","",INDEX(TRANSACTIONS_MASTER!$L$5:$L$1204,$Q142))</f>
        <v/>
      </c>
      <c r="I142" s="56" t="str">
        <f>IF($Q142="","",INDEX(TRANSACTIONS_MASTER!$N$5:$N$1204,$Q142))</f>
        <v/>
      </c>
      <c r="J142" s="25" t="str">
        <f>IF($Q142="","",INDEX(TRANSACTIONS_MASTER!$O$5:$O$1204,$Q142))</f>
        <v/>
      </c>
      <c r="K142" s="26" t="str">
        <f>IF($Q142="","",INDEX(TRANSACTIONS_MASTER!$Q$5:$Q$1204,$Q142))</f>
        <v/>
      </c>
      <c r="L142" s="25" t="str">
        <f>IF($Q142="","",INDEX(TRANSACTIONS_MASTER!$P$5:$P$1204,$Q142))</f>
        <v/>
      </c>
      <c r="M142" s="25" t="str">
        <f>IF($Q142="","",INDEX(TRANSACTIONS_MASTER!$AA$5:$AA$1204,$Q142))</f>
        <v/>
      </c>
      <c r="N142" s="25" t="str">
        <f>IF($Q142="","",INDEX(TRANSACTIONS_MASTER!$R$5:$R$1204,$Q142))</f>
        <v/>
      </c>
      <c r="O142" s="28" t="str">
        <f>IF($Q142="","",INDEX(TRANSACTIONS_MASTER!$AB$5:$AB$1204,$Q142))</f>
        <v/>
      </c>
      <c r="P142" s="55" t="str">
        <f>IF($Q142="","",INDEX(TRANSACTIONS_MASTER!$Z$5:$Z$1204,$Q142)&amp;"")</f>
        <v/>
      </c>
      <c r="Q142" s="67" t="str">
        <f>IFERROR(MATCH($C$2&amp;"|"&amp;135,TRANSACTIONS_MASTER!$AE$5:$AE$1204,0),"")</f>
        <v/>
      </c>
      <c r="S142" s="67">
        <f>IFERROR(MATCH(1,INDEX((TRANSACTIONS_MASTER!$C$5:$C$1204=$C$2)*(TRANSACTIONS_MASTER!$AJ$5:$AJ$1204=5),0),0),"")</f>
        <v>5</v>
      </c>
      <c r="T142" s="29">
        <f>IF($S142="","",INDEX(TRANSACTIONS_MASTER!$I$5:$I$1204,$S142))</f>
        <v>5541</v>
      </c>
      <c r="U142" s="55" t="str">
        <f>IF($S142="","",INDEX(TRANSACTIONS_MASTER!$J$5:$J$1204,$S142))</f>
        <v>Service Stations</v>
      </c>
      <c r="V142" s="25">
        <f>IF($S142="","",SUMIFS(TRANSACTIONS_MASTER!$L$5:$L$1204,TRANSACTIONS_MASTER!$I$5:$I$1204,$T142,TRANSACTIONS_MASTER!$C$5:$C$1204,$C$2,TRANSACTIONS_MASTER!$U$5:$U$1204,"&lt;&gt;Cancelled"))</f>
        <v>1200000</v>
      </c>
      <c r="W142" s="26">
        <f>IF($S142="","",SUMIFS(TRANSACTIONS_MASTER!$Q$5:$Q$1204,TRANSACTIONS_MASTER!$I$5:$I$1204,$T142,TRANSACTIONS_MASTER!$C$5:$C$1204,$C$2))</f>
        <v>60000</v>
      </c>
    </row>
    <row r="143">
      <c r="A143" s="81" t="str">
        <f>IF($Q143="","",136)</f>
        <v/>
      </c>
      <c r="B143" s="57" t="str">
        <f>IF($Q143="","",INDEX(TRANSACTIONS_MASTER!$B$5:$B$1204,$Q143))</f>
        <v/>
      </c>
      <c r="C143" s="55" t="str">
        <f>IF($Q143="","",INDEX(TRANSACTIONS_MASTER!$F$5:$F$1204,$Q143))</f>
        <v/>
      </c>
      <c r="D143" s="55" t="str">
        <f>IF($Q143="","",INDEX(TRANSACTIONS_MASTER!$E$5:$E$1204,$Q143))</f>
        <v/>
      </c>
      <c r="E143" s="55" t="str">
        <f>IF($Q143="","",INDEX(TRANSACTIONS_MASTER!$G$5:$G$1204,$Q143)&amp;"")</f>
        <v/>
      </c>
      <c r="F143" s="29" t="str">
        <f>IF($Q143="","",INDEX(TRANSACTIONS_MASTER!$I$5:$I$1204,$Q143))</f>
        <v/>
      </c>
      <c r="G143" s="55" t="str">
        <f>IF($Q143="","",INDEX(TRANSACTIONS_MASTER!$K$5:$K$1204,$Q143))</f>
        <v/>
      </c>
      <c r="H143" s="25" t="str">
        <f>IF($Q143="","",INDEX(TRANSACTIONS_MASTER!$L$5:$L$1204,$Q143))</f>
        <v/>
      </c>
      <c r="I143" s="56" t="str">
        <f>IF($Q143="","",INDEX(TRANSACTIONS_MASTER!$N$5:$N$1204,$Q143))</f>
        <v/>
      </c>
      <c r="J143" s="25" t="str">
        <f>IF($Q143="","",INDEX(TRANSACTIONS_MASTER!$O$5:$O$1204,$Q143))</f>
        <v/>
      </c>
      <c r="K143" s="26" t="str">
        <f>IF($Q143="","",INDEX(TRANSACTIONS_MASTER!$Q$5:$Q$1204,$Q143))</f>
        <v/>
      </c>
      <c r="L143" s="25" t="str">
        <f>IF($Q143="","",INDEX(TRANSACTIONS_MASTER!$P$5:$P$1204,$Q143))</f>
        <v/>
      </c>
      <c r="M143" s="25" t="str">
        <f>IF($Q143="","",INDEX(TRANSACTIONS_MASTER!$AA$5:$AA$1204,$Q143))</f>
        <v/>
      </c>
      <c r="N143" s="25" t="str">
        <f>IF($Q143="","",INDEX(TRANSACTIONS_MASTER!$R$5:$R$1204,$Q143))</f>
        <v/>
      </c>
      <c r="O143" s="28" t="str">
        <f>IF($Q143="","",INDEX(TRANSACTIONS_MASTER!$AB$5:$AB$1204,$Q143))</f>
        <v/>
      </c>
      <c r="P143" s="55" t="str">
        <f>IF($Q143="","",INDEX(TRANSACTIONS_MASTER!$Z$5:$Z$1204,$Q143)&amp;"")</f>
        <v/>
      </c>
      <c r="Q143" s="67" t="str">
        <f>IFERROR(MATCH($C$2&amp;"|"&amp;136,TRANSACTIONS_MASTER!$AE$5:$AE$1204,0),"")</f>
        <v/>
      </c>
      <c r="S143" s="67" t="str">
        <f>IFERROR(MATCH(1,INDEX((TRANSACTIONS_MASTER!$C$5:$C$1204=$C$2)*(TRANSACTIONS_MASTER!$AJ$5:$AJ$1204=6),0),0),"")</f>
        <v/>
      </c>
      <c r="T143" s="29" t="str">
        <f>IF($S143="","",INDEX(TRANSACTIONS_MASTER!$I$5:$I$1204,$S143))</f>
        <v/>
      </c>
      <c r="U143" s="55" t="str">
        <f>IF($S143="","",INDEX(TRANSACTIONS_MASTER!$J$5:$J$1204,$S143))</f>
        <v/>
      </c>
      <c r="V143" s="25" t="str">
        <f>IF($S143="","",SUMIFS(TRANSACTIONS_MASTER!$L$5:$L$1204,TRANSACTIONS_MASTER!$I$5:$I$1204,$T143,TRANSACTIONS_MASTER!$C$5:$C$1204,$C$2,TRANSACTIONS_MASTER!$U$5:$U$1204,"&lt;&gt;Cancelled"))</f>
        <v/>
      </c>
      <c r="W143" s="26" t="str">
        <f>IF($S143="","",SUMIFS(TRANSACTIONS_MASTER!$Q$5:$Q$1204,TRANSACTIONS_MASTER!$I$5:$I$1204,$T143,TRANSACTIONS_MASTER!$C$5:$C$1204,$C$2))</f>
        <v/>
      </c>
    </row>
    <row r="144">
      <c r="A144" s="81" t="str">
        <f>IF($Q144="","",137)</f>
        <v/>
      </c>
      <c r="B144" s="57" t="str">
        <f>IF($Q144="","",INDEX(TRANSACTIONS_MASTER!$B$5:$B$1204,$Q144))</f>
        <v/>
      </c>
      <c r="C144" s="55" t="str">
        <f>IF($Q144="","",INDEX(TRANSACTIONS_MASTER!$F$5:$F$1204,$Q144))</f>
        <v/>
      </c>
      <c r="D144" s="55" t="str">
        <f>IF($Q144="","",INDEX(TRANSACTIONS_MASTER!$E$5:$E$1204,$Q144))</f>
        <v/>
      </c>
      <c r="E144" s="55" t="str">
        <f>IF($Q144="","",INDEX(TRANSACTIONS_MASTER!$G$5:$G$1204,$Q144)&amp;"")</f>
        <v/>
      </c>
      <c r="F144" s="29" t="str">
        <f>IF($Q144="","",INDEX(TRANSACTIONS_MASTER!$I$5:$I$1204,$Q144))</f>
        <v/>
      </c>
      <c r="G144" s="55" t="str">
        <f>IF($Q144="","",INDEX(TRANSACTIONS_MASTER!$K$5:$K$1204,$Q144))</f>
        <v/>
      </c>
      <c r="H144" s="25" t="str">
        <f>IF($Q144="","",INDEX(TRANSACTIONS_MASTER!$L$5:$L$1204,$Q144))</f>
        <v/>
      </c>
      <c r="I144" s="56" t="str">
        <f>IF($Q144="","",INDEX(TRANSACTIONS_MASTER!$N$5:$N$1204,$Q144))</f>
        <v/>
      </c>
      <c r="J144" s="25" t="str">
        <f>IF($Q144="","",INDEX(TRANSACTIONS_MASTER!$O$5:$O$1204,$Q144))</f>
        <v/>
      </c>
      <c r="K144" s="26" t="str">
        <f>IF($Q144="","",INDEX(TRANSACTIONS_MASTER!$Q$5:$Q$1204,$Q144))</f>
        <v/>
      </c>
      <c r="L144" s="25" t="str">
        <f>IF($Q144="","",INDEX(TRANSACTIONS_MASTER!$P$5:$P$1204,$Q144))</f>
        <v/>
      </c>
      <c r="M144" s="25" t="str">
        <f>IF($Q144="","",INDEX(TRANSACTIONS_MASTER!$AA$5:$AA$1204,$Q144))</f>
        <v/>
      </c>
      <c r="N144" s="25" t="str">
        <f>IF($Q144="","",INDEX(TRANSACTIONS_MASTER!$R$5:$R$1204,$Q144))</f>
        <v/>
      </c>
      <c r="O144" s="28" t="str">
        <f>IF($Q144="","",INDEX(TRANSACTIONS_MASTER!$AB$5:$AB$1204,$Q144))</f>
        <v/>
      </c>
      <c r="P144" s="55" t="str">
        <f>IF($Q144="","",INDEX(TRANSACTIONS_MASTER!$Z$5:$Z$1204,$Q144)&amp;"")</f>
        <v/>
      </c>
      <c r="Q144" s="67" t="str">
        <f>IFERROR(MATCH($C$2&amp;"|"&amp;137,TRANSACTIONS_MASTER!$AE$5:$AE$1204,0),"")</f>
        <v/>
      </c>
      <c r="S144" s="67" t="str">
        <f>IFERROR(MATCH(1,INDEX((TRANSACTIONS_MASTER!$C$5:$C$1204=$C$2)*(TRANSACTIONS_MASTER!$AJ$5:$AJ$1204=7),0),0),"")</f>
        <v/>
      </c>
      <c r="T144" s="29" t="str">
        <f>IF($S144="","",INDEX(TRANSACTIONS_MASTER!$I$5:$I$1204,$S144))</f>
        <v/>
      </c>
      <c r="U144" s="55" t="str">
        <f>IF($S144="","",INDEX(TRANSACTIONS_MASTER!$J$5:$J$1204,$S144))</f>
        <v/>
      </c>
      <c r="V144" s="25" t="str">
        <f>IF($S144="","",SUMIFS(TRANSACTIONS_MASTER!$L$5:$L$1204,TRANSACTIONS_MASTER!$I$5:$I$1204,$T144,TRANSACTIONS_MASTER!$C$5:$C$1204,$C$2,TRANSACTIONS_MASTER!$U$5:$U$1204,"&lt;&gt;Cancelled"))</f>
        <v/>
      </c>
      <c r="W144" s="26" t="str">
        <f>IF($S144="","",SUMIFS(TRANSACTIONS_MASTER!$Q$5:$Q$1204,TRANSACTIONS_MASTER!$I$5:$I$1204,$T144,TRANSACTIONS_MASTER!$C$5:$C$1204,$C$2))</f>
        <v/>
      </c>
    </row>
    <row r="145">
      <c r="A145" s="81" t="str">
        <f>IF($Q145="","",138)</f>
        <v/>
      </c>
      <c r="B145" s="57" t="str">
        <f>IF($Q145="","",INDEX(TRANSACTIONS_MASTER!$B$5:$B$1204,$Q145))</f>
        <v/>
      </c>
      <c r="C145" s="55" t="str">
        <f>IF($Q145="","",INDEX(TRANSACTIONS_MASTER!$F$5:$F$1204,$Q145))</f>
        <v/>
      </c>
      <c r="D145" s="55" t="str">
        <f>IF($Q145="","",INDEX(TRANSACTIONS_MASTER!$E$5:$E$1204,$Q145))</f>
        <v/>
      </c>
      <c r="E145" s="55" t="str">
        <f>IF($Q145="","",INDEX(TRANSACTIONS_MASTER!$G$5:$G$1204,$Q145)&amp;"")</f>
        <v/>
      </c>
      <c r="F145" s="29" t="str">
        <f>IF($Q145="","",INDEX(TRANSACTIONS_MASTER!$I$5:$I$1204,$Q145))</f>
        <v/>
      </c>
      <c r="G145" s="55" t="str">
        <f>IF($Q145="","",INDEX(TRANSACTIONS_MASTER!$K$5:$K$1204,$Q145))</f>
        <v/>
      </c>
      <c r="H145" s="25" t="str">
        <f>IF($Q145="","",INDEX(TRANSACTIONS_MASTER!$L$5:$L$1204,$Q145))</f>
        <v/>
      </c>
      <c r="I145" s="56" t="str">
        <f>IF($Q145="","",INDEX(TRANSACTIONS_MASTER!$N$5:$N$1204,$Q145))</f>
        <v/>
      </c>
      <c r="J145" s="25" t="str">
        <f>IF($Q145="","",INDEX(TRANSACTIONS_MASTER!$O$5:$O$1204,$Q145))</f>
        <v/>
      </c>
      <c r="K145" s="26" t="str">
        <f>IF($Q145="","",INDEX(TRANSACTIONS_MASTER!$Q$5:$Q$1204,$Q145))</f>
        <v/>
      </c>
      <c r="L145" s="25" t="str">
        <f>IF($Q145="","",INDEX(TRANSACTIONS_MASTER!$P$5:$P$1204,$Q145))</f>
        <v/>
      </c>
      <c r="M145" s="25" t="str">
        <f>IF($Q145="","",INDEX(TRANSACTIONS_MASTER!$AA$5:$AA$1204,$Q145))</f>
        <v/>
      </c>
      <c r="N145" s="25" t="str">
        <f>IF($Q145="","",INDEX(TRANSACTIONS_MASTER!$R$5:$R$1204,$Q145))</f>
        <v/>
      </c>
      <c r="O145" s="28" t="str">
        <f>IF($Q145="","",INDEX(TRANSACTIONS_MASTER!$AB$5:$AB$1204,$Q145))</f>
        <v/>
      </c>
      <c r="P145" s="55" t="str">
        <f>IF($Q145="","",INDEX(TRANSACTIONS_MASTER!$Z$5:$Z$1204,$Q145)&amp;"")</f>
        <v/>
      </c>
      <c r="Q145" s="67" t="str">
        <f>IFERROR(MATCH($C$2&amp;"|"&amp;138,TRANSACTIONS_MASTER!$AE$5:$AE$1204,0),"")</f>
        <v/>
      </c>
      <c r="S145" s="67" t="str">
        <f>IFERROR(MATCH(1,INDEX((TRANSACTIONS_MASTER!$C$5:$C$1204=$C$2)*(TRANSACTIONS_MASTER!$AJ$5:$AJ$1204=8),0),0),"")</f>
        <v/>
      </c>
      <c r="T145" s="29" t="str">
        <f>IF($S145="","",INDEX(TRANSACTIONS_MASTER!$I$5:$I$1204,$S145))</f>
        <v/>
      </c>
      <c r="U145" s="55" t="str">
        <f>IF($S145="","",INDEX(TRANSACTIONS_MASTER!$J$5:$J$1204,$S145))</f>
        <v/>
      </c>
      <c r="V145" s="25" t="str">
        <f>IF($S145="","",SUMIFS(TRANSACTIONS_MASTER!$L$5:$L$1204,TRANSACTIONS_MASTER!$I$5:$I$1204,$T145,TRANSACTIONS_MASTER!$C$5:$C$1204,$C$2,TRANSACTIONS_MASTER!$U$5:$U$1204,"&lt;&gt;Cancelled"))</f>
        <v/>
      </c>
      <c r="W145" s="26" t="str">
        <f>IF($S145="","",SUMIFS(TRANSACTIONS_MASTER!$Q$5:$Q$1204,TRANSACTIONS_MASTER!$I$5:$I$1204,$T145,TRANSACTIONS_MASTER!$C$5:$C$1204,$C$2))</f>
        <v/>
      </c>
    </row>
    <row r="146">
      <c r="A146" s="81" t="str">
        <f>IF($Q146="","",139)</f>
        <v/>
      </c>
      <c r="B146" s="57" t="str">
        <f>IF($Q146="","",INDEX(TRANSACTIONS_MASTER!$B$5:$B$1204,$Q146))</f>
        <v/>
      </c>
      <c r="C146" s="55" t="str">
        <f>IF($Q146="","",INDEX(TRANSACTIONS_MASTER!$F$5:$F$1204,$Q146))</f>
        <v/>
      </c>
      <c r="D146" s="55" t="str">
        <f>IF($Q146="","",INDEX(TRANSACTIONS_MASTER!$E$5:$E$1204,$Q146))</f>
        <v/>
      </c>
      <c r="E146" s="55" t="str">
        <f>IF($Q146="","",INDEX(TRANSACTIONS_MASTER!$G$5:$G$1204,$Q146)&amp;"")</f>
        <v/>
      </c>
      <c r="F146" s="29" t="str">
        <f>IF($Q146="","",INDEX(TRANSACTIONS_MASTER!$I$5:$I$1204,$Q146))</f>
        <v/>
      </c>
      <c r="G146" s="55" t="str">
        <f>IF($Q146="","",INDEX(TRANSACTIONS_MASTER!$K$5:$K$1204,$Q146))</f>
        <v/>
      </c>
      <c r="H146" s="25" t="str">
        <f>IF($Q146="","",INDEX(TRANSACTIONS_MASTER!$L$5:$L$1204,$Q146))</f>
        <v/>
      </c>
      <c r="I146" s="56" t="str">
        <f>IF($Q146="","",INDEX(TRANSACTIONS_MASTER!$N$5:$N$1204,$Q146))</f>
        <v/>
      </c>
      <c r="J146" s="25" t="str">
        <f>IF($Q146="","",INDEX(TRANSACTIONS_MASTER!$O$5:$O$1204,$Q146))</f>
        <v/>
      </c>
      <c r="K146" s="26" t="str">
        <f>IF($Q146="","",INDEX(TRANSACTIONS_MASTER!$Q$5:$Q$1204,$Q146))</f>
        <v/>
      </c>
      <c r="L146" s="25" t="str">
        <f>IF($Q146="","",INDEX(TRANSACTIONS_MASTER!$P$5:$P$1204,$Q146))</f>
        <v/>
      </c>
      <c r="M146" s="25" t="str">
        <f>IF($Q146="","",INDEX(TRANSACTIONS_MASTER!$AA$5:$AA$1204,$Q146))</f>
        <v/>
      </c>
      <c r="N146" s="25" t="str">
        <f>IF($Q146="","",INDEX(TRANSACTIONS_MASTER!$R$5:$R$1204,$Q146))</f>
        <v/>
      </c>
      <c r="O146" s="28" t="str">
        <f>IF($Q146="","",INDEX(TRANSACTIONS_MASTER!$AB$5:$AB$1204,$Q146))</f>
        <v/>
      </c>
      <c r="P146" s="55" t="str">
        <f>IF($Q146="","",INDEX(TRANSACTIONS_MASTER!$Z$5:$Z$1204,$Q146)&amp;"")</f>
        <v/>
      </c>
      <c r="Q146" s="67" t="str">
        <f>IFERROR(MATCH($C$2&amp;"|"&amp;139,TRANSACTIONS_MASTER!$AE$5:$AE$1204,0),"")</f>
        <v/>
      </c>
      <c r="S146" s="67" t="str">
        <f>IFERROR(MATCH(1,INDEX((TRANSACTIONS_MASTER!$C$5:$C$1204=$C$2)*(TRANSACTIONS_MASTER!$AJ$5:$AJ$1204=9),0),0),"")</f>
        <v/>
      </c>
      <c r="T146" s="29" t="str">
        <f>IF($S146="","",INDEX(TRANSACTIONS_MASTER!$I$5:$I$1204,$S146))</f>
        <v/>
      </c>
      <c r="U146" s="55" t="str">
        <f>IF($S146="","",INDEX(TRANSACTIONS_MASTER!$J$5:$J$1204,$S146))</f>
        <v/>
      </c>
      <c r="V146" s="25" t="str">
        <f>IF($S146="","",SUMIFS(TRANSACTIONS_MASTER!$L$5:$L$1204,TRANSACTIONS_MASTER!$I$5:$I$1204,$T146,TRANSACTIONS_MASTER!$C$5:$C$1204,$C$2,TRANSACTIONS_MASTER!$U$5:$U$1204,"&lt;&gt;Cancelled"))</f>
        <v/>
      </c>
      <c r="W146" s="26" t="str">
        <f>IF($S146="","",SUMIFS(TRANSACTIONS_MASTER!$Q$5:$Q$1204,TRANSACTIONS_MASTER!$I$5:$I$1204,$T146,TRANSACTIONS_MASTER!$C$5:$C$1204,$C$2))</f>
        <v/>
      </c>
    </row>
    <row r="147">
      <c r="A147" s="81" t="str">
        <f>IF($Q147="","",140)</f>
        <v/>
      </c>
      <c r="B147" s="57" t="str">
        <f>IF($Q147="","",INDEX(TRANSACTIONS_MASTER!$B$5:$B$1204,$Q147))</f>
        <v/>
      </c>
      <c r="C147" s="55" t="str">
        <f>IF($Q147="","",INDEX(TRANSACTIONS_MASTER!$F$5:$F$1204,$Q147))</f>
        <v/>
      </c>
      <c r="D147" s="55" t="str">
        <f>IF($Q147="","",INDEX(TRANSACTIONS_MASTER!$E$5:$E$1204,$Q147))</f>
        <v/>
      </c>
      <c r="E147" s="55" t="str">
        <f>IF($Q147="","",INDEX(TRANSACTIONS_MASTER!$G$5:$G$1204,$Q147)&amp;"")</f>
        <v/>
      </c>
      <c r="F147" s="29" t="str">
        <f>IF($Q147="","",INDEX(TRANSACTIONS_MASTER!$I$5:$I$1204,$Q147))</f>
        <v/>
      </c>
      <c r="G147" s="55" t="str">
        <f>IF($Q147="","",INDEX(TRANSACTIONS_MASTER!$K$5:$K$1204,$Q147))</f>
        <v/>
      </c>
      <c r="H147" s="25" t="str">
        <f>IF($Q147="","",INDEX(TRANSACTIONS_MASTER!$L$5:$L$1204,$Q147))</f>
        <v/>
      </c>
      <c r="I147" s="56" t="str">
        <f>IF($Q147="","",INDEX(TRANSACTIONS_MASTER!$N$5:$N$1204,$Q147))</f>
        <v/>
      </c>
      <c r="J147" s="25" t="str">
        <f>IF($Q147="","",INDEX(TRANSACTIONS_MASTER!$O$5:$O$1204,$Q147))</f>
        <v/>
      </c>
      <c r="K147" s="26" t="str">
        <f>IF($Q147="","",INDEX(TRANSACTIONS_MASTER!$Q$5:$Q$1204,$Q147))</f>
        <v/>
      </c>
      <c r="L147" s="25" t="str">
        <f>IF($Q147="","",INDEX(TRANSACTIONS_MASTER!$P$5:$P$1204,$Q147))</f>
        <v/>
      </c>
      <c r="M147" s="25" t="str">
        <f>IF($Q147="","",INDEX(TRANSACTIONS_MASTER!$AA$5:$AA$1204,$Q147))</f>
        <v/>
      </c>
      <c r="N147" s="25" t="str">
        <f>IF($Q147="","",INDEX(TRANSACTIONS_MASTER!$R$5:$R$1204,$Q147))</f>
        <v/>
      </c>
      <c r="O147" s="28" t="str">
        <f>IF($Q147="","",INDEX(TRANSACTIONS_MASTER!$AB$5:$AB$1204,$Q147))</f>
        <v/>
      </c>
      <c r="P147" s="55" t="str">
        <f>IF($Q147="","",INDEX(TRANSACTIONS_MASTER!$Z$5:$Z$1204,$Q147)&amp;"")</f>
        <v/>
      </c>
      <c r="Q147" s="67" t="str">
        <f>IFERROR(MATCH($C$2&amp;"|"&amp;140,TRANSACTIONS_MASTER!$AE$5:$AE$1204,0),"")</f>
        <v/>
      </c>
      <c r="S147" s="67" t="str">
        <f>IFERROR(MATCH(1,INDEX((TRANSACTIONS_MASTER!$C$5:$C$1204=$C$2)*(TRANSACTIONS_MASTER!$AJ$5:$AJ$1204=10),0),0),"")</f>
        <v/>
      </c>
      <c r="T147" s="29" t="str">
        <f>IF($S147="","",INDEX(TRANSACTIONS_MASTER!$I$5:$I$1204,$S147))</f>
        <v/>
      </c>
      <c r="U147" s="55" t="str">
        <f>IF($S147="","",INDEX(TRANSACTIONS_MASTER!$J$5:$J$1204,$S147))</f>
        <v/>
      </c>
      <c r="V147" s="25" t="str">
        <f>IF($S147="","",SUMIFS(TRANSACTIONS_MASTER!$L$5:$L$1204,TRANSACTIONS_MASTER!$I$5:$I$1204,$T147,TRANSACTIONS_MASTER!$C$5:$C$1204,$C$2,TRANSACTIONS_MASTER!$U$5:$U$1204,"&lt;&gt;Cancelled"))</f>
        <v/>
      </c>
      <c r="W147" s="26" t="str">
        <f>IF($S147="","",SUMIFS(TRANSACTIONS_MASTER!$Q$5:$Q$1204,TRANSACTIONS_MASTER!$I$5:$I$1204,$T147,TRANSACTIONS_MASTER!$C$5:$C$1204,$C$2))</f>
        <v/>
      </c>
    </row>
    <row r="148">
      <c r="A148" s="81" t="str">
        <f>IF($Q148="","",141)</f>
        <v/>
      </c>
      <c r="B148" s="57" t="str">
        <f>IF($Q148="","",INDEX(TRANSACTIONS_MASTER!$B$5:$B$1204,$Q148))</f>
        <v/>
      </c>
      <c r="C148" s="55" t="str">
        <f>IF($Q148="","",INDEX(TRANSACTIONS_MASTER!$F$5:$F$1204,$Q148))</f>
        <v/>
      </c>
      <c r="D148" s="55" t="str">
        <f>IF($Q148="","",INDEX(TRANSACTIONS_MASTER!$E$5:$E$1204,$Q148))</f>
        <v/>
      </c>
      <c r="E148" s="55" t="str">
        <f>IF($Q148="","",INDEX(TRANSACTIONS_MASTER!$G$5:$G$1204,$Q148)&amp;"")</f>
        <v/>
      </c>
      <c r="F148" s="29" t="str">
        <f>IF($Q148="","",INDEX(TRANSACTIONS_MASTER!$I$5:$I$1204,$Q148))</f>
        <v/>
      </c>
      <c r="G148" s="55" t="str">
        <f>IF($Q148="","",INDEX(TRANSACTIONS_MASTER!$K$5:$K$1204,$Q148))</f>
        <v/>
      </c>
      <c r="H148" s="25" t="str">
        <f>IF($Q148="","",INDEX(TRANSACTIONS_MASTER!$L$5:$L$1204,$Q148))</f>
        <v/>
      </c>
      <c r="I148" s="56" t="str">
        <f>IF($Q148="","",INDEX(TRANSACTIONS_MASTER!$N$5:$N$1204,$Q148))</f>
        <v/>
      </c>
      <c r="J148" s="25" t="str">
        <f>IF($Q148="","",INDEX(TRANSACTIONS_MASTER!$O$5:$O$1204,$Q148))</f>
        <v/>
      </c>
      <c r="K148" s="26" t="str">
        <f>IF($Q148="","",INDEX(TRANSACTIONS_MASTER!$Q$5:$Q$1204,$Q148))</f>
        <v/>
      </c>
      <c r="L148" s="25" t="str">
        <f>IF($Q148="","",INDEX(TRANSACTIONS_MASTER!$P$5:$P$1204,$Q148))</f>
        <v/>
      </c>
      <c r="M148" s="25" t="str">
        <f>IF($Q148="","",INDEX(TRANSACTIONS_MASTER!$AA$5:$AA$1204,$Q148))</f>
        <v/>
      </c>
      <c r="N148" s="25" t="str">
        <f>IF($Q148="","",INDEX(TRANSACTIONS_MASTER!$R$5:$R$1204,$Q148))</f>
        <v/>
      </c>
      <c r="O148" s="28" t="str">
        <f>IF($Q148="","",INDEX(TRANSACTIONS_MASTER!$AB$5:$AB$1204,$Q148))</f>
        <v/>
      </c>
      <c r="P148" s="55" t="str">
        <f>IF($Q148="","",INDEX(TRANSACTIONS_MASTER!$Z$5:$Z$1204,$Q148)&amp;"")</f>
        <v/>
      </c>
      <c r="Q148" s="67" t="str">
        <f>IFERROR(MATCH($C$2&amp;"|"&amp;141,TRANSACTIONS_MASTER!$AE$5:$AE$1204,0),"")</f>
        <v/>
      </c>
      <c r="S148" s="67" t="str">
        <f>IFERROR(MATCH(1,INDEX((TRANSACTIONS_MASTER!$C$5:$C$1204=$C$2)*(TRANSACTIONS_MASTER!$AJ$5:$AJ$1204=11),0),0),"")</f>
        <v/>
      </c>
      <c r="T148" s="29" t="str">
        <f>IF($S148="","",INDEX(TRANSACTIONS_MASTER!$I$5:$I$1204,$S148))</f>
        <v/>
      </c>
      <c r="U148" s="55" t="str">
        <f>IF($S148="","",INDEX(TRANSACTIONS_MASTER!$J$5:$J$1204,$S148))</f>
        <v/>
      </c>
      <c r="V148" s="25" t="str">
        <f>IF($S148="","",SUMIFS(TRANSACTIONS_MASTER!$L$5:$L$1204,TRANSACTIONS_MASTER!$I$5:$I$1204,$T148,TRANSACTIONS_MASTER!$C$5:$C$1204,$C$2,TRANSACTIONS_MASTER!$U$5:$U$1204,"&lt;&gt;Cancelled"))</f>
        <v/>
      </c>
      <c r="W148" s="26" t="str">
        <f>IF($S148="","",SUMIFS(TRANSACTIONS_MASTER!$Q$5:$Q$1204,TRANSACTIONS_MASTER!$I$5:$I$1204,$T148,TRANSACTIONS_MASTER!$C$5:$C$1204,$C$2))</f>
        <v/>
      </c>
    </row>
    <row r="149">
      <c r="A149" s="81" t="str">
        <f>IF($Q149="","",142)</f>
        <v/>
      </c>
      <c r="B149" s="57" t="str">
        <f>IF($Q149="","",INDEX(TRANSACTIONS_MASTER!$B$5:$B$1204,$Q149))</f>
        <v/>
      </c>
      <c r="C149" s="55" t="str">
        <f>IF($Q149="","",INDEX(TRANSACTIONS_MASTER!$F$5:$F$1204,$Q149))</f>
        <v/>
      </c>
      <c r="D149" s="55" t="str">
        <f>IF($Q149="","",INDEX(TRANSACTIONS_MASTER!$E$5:$E$1204,$Q149))</f>
        <v/>
      </c>
      <c r="E149" s="55" t="str">
        <f>IF($Q149="","",INDEX(TRANSACTIONS_MASTER!$G$5:$G$1204,$Q149)&amp;"")</f>
        <v/>
      </c>
      <c r="F149" s="29" t="str">
        <f>IF($Q149="","",INDEX(TRANSACTIONS_MASTER!$I$5:$I$1204,$Q149))</f>
        <v/>
      </c>
      <c r="G149" s="55" t="str">
        <f>IF($Q149="","",INDEX(TRANSACTIONS_MASTER!$K$5:$K$1204,$Q149))</f>
        <v/>
      </c>
      <c r="H149" s="25" t="str">
        <f>IF($Q149="","",INDEX(TRANSACTIONS_MASTER!$L$5:$L$1204,$Q149))</f>
        <v/>
      </c>
      <c r="I149" s="56" t="str">
        <f>IF($Q149="","",INDEX(TRANSACTIONS_MASTER!$N$5:$N$1204,$Q149))</f>
        <v/>
      </c>
      <c r="J149" s="25" t="str">
        <f>IF($Q149="","",INDEX(TRANSACTIONS_MASTER!$O$5:$O$1204,$Q149))</f>
        <v/>
      </c>
      <c r="K149" s="26" t="str">
        <f>IF($Q149="","",INDEX(TRANSACTIONS_MASTER!$Q$5:$Q$1204,$Q149))</f>
        <v/>
      </c>
      <c r="L149" s="25" t="str">
        <f>IF($Q149="","",INDEX(TRANSACTIONS_MASTER!$P$5:$P$1204,$Q149))</f>
        <v/>
      </c>
      <c r="M149" s="25" t="str">
        <f>IF($Q149="","",INDEX(TRANSACTIONS_MASTER!$AA$5:$AA$1204,$Q149))</f>
        <v/>
      </c>
      <c r="N149" s="25" t="str">
        <f>IF($Q149="","",INDEX(TRANSACTIONS_MASTER!$R$5:$R$1204,$Q149))</f>
        <v/>
      </c>
      <c r="O149" s="28" t="str">
        <f>IF($Q149="","",INDEX(TRANSACTIONS_MASTER!$AB$5:$AB$1204,$Q149))</f>
        <v/>
      </c>
      <c r="P149" s="55" t="str">
        <f>IF($Q149="","",INDEX(TRANSACTIONS_MASTER!$Z$5:$Z$1204,$Q149)&amp;"")</f>
        <v/>
      </c>
      <c r="Q149" s="67" t="str">
        <f>IFERROR(MATCH($C$2&amp;"|"&amp;142,TRANSACTIONS_MASTER!$AE$5:$AE$1204,0),"")</f>
        <v/>
      </c>
      <c r="S149" s="67" t="str">
        <f>IFERROR(MATCH(1,INDEX((TRANSACTIONS_MASTER!$C$5:$C$1204=$C$2)*(TRANSACTIONS_MASTER!$AJ$5:$AJ$1204=12),0),0),"")</f>
        <v/>
      </c>
      <c r="T149" s="29" t="str">
        <f>IF($S149="","",INDEX(TRANSACTIONS_MASTER!$I$5:$I$1204,$S149))</f>
        <v/>
      </c>
      <c r="U149" s="55" t="str">
        <f>IF($S149="","",INDEX(TRANSACTIONS_MASTER!$J$5:$J$1204,$S149))</f>
        <v/>
      </c>
      <c r="V149" s="25" t="str">
        <f>IF($S149="","",SUMIFS(TRANSACTIONS_MASTER!$L$5:$L$1204,TRANSACTIONS_MASTER!$I$5:$I$1204,$T149,TRANSACTIONS_MASTER!$C$5:$C$1204,$C$2,TRANSACTIONS_MASTER!$U$5:$U$1204,"&lt;&gt;Cancelled"))</f>
        <v/>
      </c>
      <c r="W149" s="26" t="str">
        <f>IF($S149="","",SUMIFS(TRANSACTIONS_MASTER!$Q$5:$Q$1204,TRANSACTIONS_MASTER!$I$5:$I$1204,$T149,TRANSACTIONS_MASTER!$C$5:$C$1204,$C$2))</f>
        <v/>
      </c>
    </row>
    <row r="150">
      <c r="A150" s="81" t="str">
        <f>IF($Q150="","",143)</f>
        <v/>
      </c>
      <c r="B150" s="57" t="str">
        <f>IF($Q150="","",INDEX(TRANSACTIONS_MASTER!$B$5:$B$1204,$Q150))</f>
        <v/>
      </c>
      <c r="C150" s="55" t="str">
        <f>IF($Q150="","",INDEX(TRANSACTIONS_MASTER!$F$5:$F$1204,$Q150))</f>
        <v/>
      </c>
      <c r="D150" s="55" t="str">
        <f>IF($Q150="","",INDEX(TRANSACTIONS_MASTER!$E$5:$E$1204,$Q150))</f>
        <v/>
      </c>
      <c r="E150" s="55" t="str">
        <f>IF($Q150="","",INDEX(TRANSACTIONS_MASTER!$G$5:$G$1204,$Q150)&amp;"")</f>
        <v/>
      </c>
      <c r="F150" s="29" t="str">
        <f>IF($Q150="","",INDEX(TRANSACTIONS_MASTER!$I$5:$I$1204,$Q150))</f>
        <v/>
      </c>
      <c r="G150" s="55" t="str">
        <f>IF($Q150="","",INDEX(TRANSACTIONS_MASTER!$K$5:$K$1204,$Q150))</f>
        <v/>
      </c>
      <c r="H150" s="25" t="str">
        <f>IF($Q150="","",INDEX(TRANSACTIONS_MASTER!$L$5:$L$1204,$Q150))</f>
        <v/>
      </c>
      <c r="I150" s="56" t="str">
        <f>IF($Q150="","",INDEX(TRANSACTIONS_MASTER!$N$5:$N$1204,$Q150))</f>
        <v/>
      </c>
      <c r="J150" s="25" t="str">
        <f>IF($Q150="","",INDEX(TRANSACTIONS_MASTER!$O$5:$O$1204,$Q150))</f>
        <v/>
      </c>
      <c r="K150" s="26" t="str">
        <f>IF($Q150="","",INDEX(TRANSACTIONS_MASTER!$Q$5:$Q$1204,$Q150))</f>
        <v/>
      </c>
      <c r="L150" s="25" t="str">
        <f>IF($Q150="","",INDEX(TRANSACTIONS_MASTER!$P$5:$P$1204,$Q150))</f>
        <v/>
      </c>
      <c r="M150" s="25" t="str">
        <f>IF($Q150="","",INDEX(TRANSACTIONS_MASTER!$AA$5:$AA$1204,$Q150))</f>
        <v/>
      </c>
      <c r="N150" s="25" t="str">
        <f>IF($Q150="","",INDEX(TRANSACTIONS_MASTER!$R$5:$R$1204,$Q150))</f>
        <v/>
      </c>
      <c r="O150" s="28" t="str">
        <f>IF($Q150="","",INDEX(TRANSACTIONS_MASTER!$AB$5:$AB$1204,$Q150))</f>
        <v/>
      </c>
      <c r="P150" s="55" t="str">
        <f>IF($Q150="","",INDEX(TRANSACTIONS_MASTER!$Z$5:$Z$1204,$Q150)&amp;"")</f>
        <v/>
      </c>
      <c r="Q150" s="67" t="str">
        <f>IFERROR(MATCH($C$2&amp;"|"&amp;143,TRANSACTIONS_MASTER!$AE$5:$AE$1204,0),"")</f>
        <v/>
      </c>
      <c r="S150" s="67" t="str">
        <f>IFERROR(MATCH(1,INDEX((TRANSACTIONS_MASTER!$C$5:$C$1204=$C$2)*(TRANSACTIONS_MASTER!$AJ$5:$AJ$1204=13),0),0),"")</f>
        <v/>
      </c>
      <c r="T150" s="29" t="str">
        <f>IF($S150="","",INDEX(TRANSACTIONS_MASTER!$I$5:$I$1204,$S150))</f>
        <v/>
      </c>
      <c r="U150" s="55" t="str">
        <f>IF($S150="","",INDEX(TRANSACTIONS_MASTER!$J$5:$J$1204,$S150))</f>
        <v/>
      </c>
      <c r="V150" s="25" t="str">
        <f>IF($S150="","",SUMIFS(TRANSACTIONS_MASTER!$L$5:$L$1204,TRANSACTIONS_MASTER!$I$5:$I$1204,$T150,TRANSACTIONS_MASTER!$C$5:$C$1204,$C$2,TRANSACTIONS_MASTER!$U$5:$U$1204,"&lt;&gt;Cancelled"))</f>
        <v/>
      </c>
      <c r="W150" s="26" t="str">
        <f>IF($S150="","",SUMIFS(TRANSACTIONS_MASTER!$Q$5:$Q$1204,TRANSACTIONS_MASTER!$I$5:$I$1204,$T150,TRANSACTIONS_MASTER!$C$5:$C$1204,$C$2))</f>
        <v/>
      </c>
    </row>
    <row r="151">
      <c r="A151" s="81" t="str">
        <f>IF($Q151="","",144)</f>
        <v/>
      </c>
      <c r="B151" s="57" t="str">
        <f>IF($Q151="","",INDEX(TRANSACTIONS_MASTER!$B$5:$B$1204,$Q151))</f>
        <v/>
      </c>
      <c r="C151" s="55" t="str">
        <f>IF($Q151="","",INDEX(TRANSACTIONS_MASTER!$F$5:$F$1204,$Q151))</f>
        <v/>
      </c>
      <c r="D151" s="55" t="str">
        <f>IF($Q151="","",INDEX(TRANSACTIONS_MASTER!$E$5:$E$1204,$Q151))</f>
        <v/>
      </c>
      <c r="E151" s="55" t="str">
        <f>IF($Q151="","",INDEX(TRANSACTIONS_MASTER!$G$5:$G$1204,$Q151)&amp;"")</f>
        <v/>
      </c>
      <c r="F151" s="29" t="str">
        <f>IF($Q151="","",INDEX(TRANSACTIONS_MASTER!$I$5:$I$1204,$Q151))</f>
        <v/>
      </c>
      <c r="G151" s="55" t="str">
        <f>IF($Q151="","",INDEX(TRANSACTIONS_MASTER!$K$5:$K$1204,$Q151))</f>
        <v/>
      </c>
      <c r="H151" s="25" t="str">
        <f>IF($Q151="","",INDEX(TRANSACTIONS_MASTER!$L$5:$L$1204,$Q151))</f>
        <v/>
      </c>
      <c r="I151" s="56" t="str">
        <f>IF($Q151="","",INDEX(TRANSACTIONS_MASTER!$N$5:$N$1204,$Q151))</f>
        <v/>
      </c>
      <c r="J151" s="25" t="str">
        <f>IF($Q151="","",INDEX(TRANSACTIONS_MASTER!$O$5:$O$1204,$Q151))</f>
        <v/>
      </c>
      <c r="K151" s="26" t="str">
        <f>IF($Q151="","",INDEX(TRANSACTIONS_MASTER!$Q$5:$Q$1204,$Q151))</f>
        <v/>
      </c>
      <c r="L151" s="25" t="str">
        <f>IF($Q151="","",INDEX(TRANSACTIONS_MASTER!$P$5:$P$1204,$Q151))</f>
        <v/>
      </c>
      <c r="M151" s="25" t="str">
        <f>IF($Q151="","",INDEX(TRANSACTIONS_MASTER!$AA$5:$AA$1204,$Q151))</f>
        <v/>
      </c>
      <c r="N151" s="25" t="str">
        <f>IF($Q151="","",INDEX(TRANSACTIONS_MASTER!$R$5:$R$1204,$Q151))</f>
        <v/>
      </c>
      <c r="O151" s="28" t="str">
        <f>IF($Q151="","",INDEX(TRANSACTIONS_MASTER!$AB$5:$AB$1204,$Q151))</f>
        <v/>
      </c>
      <c r="P151" s="55" t="str">
        <f>IF($Q151="","",INDEX(TRANSACTIONS_MASTER!$Z$5:$Z$1204,$Q151)&amp;"")</f>
        <v/>
      </c>
      <c r="Q151" s="67" t="str">
        <f>IFERROR(MATCH($C$2&amp;"|"&amp;144,TRANSACTIONS_MASTER!$AE$5:$AE$1204,0),"")</f>
        <v/>
      </c>
      <c r="S151" s="67" t="str">
        <f>IFERROR(MATCH(1,INDEX((TRANSACTIONS_MASTER!$C$5:$C$1204=$C$2)*(TRANSACTIONS_MASTER!$AJ$5:$AJ$1204=14),0),0),"")</f>
        <v/>
      </c>
      <c r="T151" s="29" t="str">
        <f>IF($S151="","",INDEX(TRANSACTIONS_MASTER!$I$5:$I$1204,$S151))</f>
        <v/>
      </c>
      <c r="U151" s="55" t="str">
        <f>IF($S151="","",INDEX(TRANSACTIONS_MASTER!$J$5:$J$1204,$S151))</f>
        <v/>
      </c>
      <c r="V151" s="25" t="str">
        <f>IF($S151="","",SUMIFS(TRANSACTIONS_MASTER!$L$5:$L$1204,TRANSACTIONS_MASTER!$I$5:$I$1204,$T151,TRANSACTIONS_MASTER!$C$5:$C$1204,$C$2,TRANSACTIONS_MASTER!$U$5:$U$1204,"&lt;&gt;Cancelled"))</f>
        <v/>
      </c>
      <c r="W151" s="26" t="str">
        <f>IF($S151="","",SUMIFS(TRANSACTIONS_MASTER!$Q$5:$Q$1204,TRANSACTIONS_MASTER!$I$5:$I$1204,$T151,TRANSACTIONS_MASTER!$C$5:$C$1204,$C$2))</f>
        <v/>
      </c>
    </row>
    <row r="152">
      <c r="A152" s="81" t="str">
        <f>IF($Q152="","",145)</f>
        <v/>
      </c>
      <c r="B152" s="57" t="str">
        <f>IF($Q152="","",INDEX(TRANSACTIONS_MASTER!$B$5:$B$1204,$Q152))</f>
        <v/>
      </c>
      <c r="C152" s="55" t="str">
        <f>IF($Q152="","",INDEX(TRANSACTIONS_MASTER!$F$5:$F$1204,$Q152))</f>
        <v/>
      </c>
      <c r="D152" s="55" t="str">
        <f>IF($Q152="","",INDEX(TRANSACTIONS_MASTER!$E$5:$E$1204,$Q152))</f>
        <v/>
      </c>
      <c r="E152" s="55" t="str">
        <f>IF($Q152="","",INDEX(TRANSACTIONS_MASTER!$G$5:$G$1204,$Q152)&amp;"")</f>
        <v/>
      </c>
      <c r="F152" s="29" t="str">
        <f>IF($Q152="","",INDEX(TRANSACTIONS_MASTER!$I$5:$I$1204,$Q152))</f>
        <v/>
      </c>
      <c r="G152" s="55" t="str">
        <f>IF($Q152="","",INDEX(TRANSACTIONS_MASTER!$K$5:$K$1204,$Q152))</f>
        <v/>
      </c>
      <c r="H152" s="25" t="str">
        <f>IF($Q152="","",INDEX(TRANSACTIONS_MASTER!$L$5:$L$1204,$Q152))</f>
        <v/>
      </c>
      <c r="I152" s="56" t="str">
        <f>IF($Q152="","",INDEX(TRANSACTIONS_MASTER!$N$5:$N$1204,$Q152))</f>
        <v/>
      </c>
      <c r="J152" s="25" t="str">
        <f>IF($Q152="","",INDEX(TRANSACTIONS_MASTER!$O$5:$O$1204,$Q152))</f>
        <v/>
      </c>
      <c r="K152" s="26" t="str">
        <f>IF($Q152="","",INDEX(TRANSACTIONS_MASTER!$Q$5:$Q$1204,$Q152))</f>
        <v/>
      </c>
      <c r="L152" s="25" t="str">
        <f>IF($Q152="","",INDEX(TRANSACTIONS_MASTER!$P$5:$P$1204,$Q152))</f>
        <v/>
      </c>
      <c r="M152" s="25" t="str">
        <f>IF($Q152="","",INDEX(TRANSACTIONS_MASTER!$AA$5:$AA$1204,$Q152))</f>
        <v/>
      </c>
      <c r="N152" s="25" t="str">
        <f>IF($Q152="","",INDEX(TRANSACTIONS_MASTER!$R$5:$R$1204,$Q152))</f>
        <v/>
      </c>
      <c r="O152" s="28" t="str">
        <f>IF($Q152="","",INDEX(TRANSACTIONS_MASTER!$AB$5:$AB$1204,$Q152))</f>
        <v/>
      </c>
      <c r="P152" s="55" t="str">
        <f>IF($Q152="","",INDEX(TRANSACTIONS_MASTER!$Z$5:$Z$1204,$Q152)&amp;"")</f>
        <v/>
      </c>
      <c r="Q152" s="67" t="str">
        <f>IFERROR(MATCH($C$2&amp;"|"&amp;145,TRANSACTIONS_MASTER!$AE$5:$AE$1204,0),"")</f>
        <v/>
      </c>
      <c r="S152" s="67" t="str">
        <f>IFERROR(MATCH(1,INDEX((TRANSACTIONS_MASTER!$C$5:$C$1204=$C$2)*(TRANSACTIONS_MASTER!$AJ$5:$AJ$1204=15),0),0),"")</f>
        <v/>
      </c>
      <c r="T152" s="29" t="str">
        <f>IF($S152="","",INDEX(TRANSACTIONS_MASTER!$I$5:$I$1204,$S152))</f>
        <v/>
      </c>
      <c r="U152" s="55" t="str">
        <f>IF($S152="","",INDEX(TRANSACTIONS_MASTER!$J$5:$J$1204,$S152))</f>
        <v/>
      </c>
      <c r="V152" s="25" t="str">
        <f>IF($S152="","",SUMIFS(TRANSACTIONS_MASTER!$L$5:$L$1204,TRANSACTIONS_MASTER!$I$5:$I$1204,$T152,TRANSACTIONS_MASTER!$C$5:$C$1204,$C$2,TRANSACTIONS_MASTER!$U$5:$U$1204,"&lt;&gt;Cancelled"))</f>
        <v/>
      </c>
      <c r="W152" s="26" t="str">
        <f>IF($S152="","",SUMIFS(TRANSACTIONS_MASTER!$Q$5:$Q$1204,TRANSACTIONS_MASTER!$I$5:$I$1204,$T152,TRANSACTIONS_MASTER!$C$5:$C$1204,$C$2))</f>
        <v/>
      </c>
    </row>
    <row r="153">
      <c r="A153" s="81" t="str">
        <f>IF($Q153="","",146)</f>
        <v/>
      </c>
      <c r="B153" s="57" t="str">
        <f>IF($Q153="","",INDEX(TRANSACTIONS_MASTER!$B$5:$B$1204,$Q153))</f>
        <v/>
      </c>
      <c r="C153" s="55" t="str">
        <f>IF($Q153="","",INDEX(TRANSACTIONS_MASTER!$F$5:$F$1204,$Q153))</f>
        <v/>
      </c>
      <c r="D153" s="55" t="str">
        <f>IF($Q153="","",INDEX(TRANSACTIONS_MASTER!$E$5:$E$1204,$Q153))</f>
        <v/>
      </c>
      <c r="E153" s="55" t="str">
        <f>IF($Q153="","",INDEX(TRANSACTIONS_MASTER!$G$5:$G$1204,$Q153)&amp;"")</f>
        <v/>
      </c>
      <c r="F153" s="29" t="str">
        <f>IF($Q153="","",INDEX(TRANSACTIONS_MASTER!$I$5:$I$1204,$Q153))</f>
        <v/>
      </c>
      <c r="G153" s="55" t="str">
        <f>IF($Q153="","",INDEX(TRANSACTIONS_MASTER!$K$5:$K$1204,$Q153))</f>
        <v/>
      </c>
      <c r="H153" s="25" t="str">
        <f>IF($Q153="","",INDEX(TRANSACTIONS_MASTER!$L$5:$L$1204,$Q153))</f>
        <v/>
      </c>
      <c r="I153" s="56" t="str">
        <f>IF($Q153="","",INDEX(TRANSACTIONS_MASTER!$N$5:$N$1204,$Q153))</f>
        <v/>
      </c>
      <c r="J153" s="25" t="str">
        <f>IF($Q153="","",INDEX(TRANSACTIONS_MASTER!$O$5:$O$1204,$Q153))</f>
        <v/>
      </c>
      <c r="K153" s="26" t="str">
        <f>IF($Q153="","",INDEX(TRANSACTIONS_MASTER!$Q$5:$Q$1204,$Q153))</f>
        <v/>
      </c>
      <c r="L153" s="25" t="str">
        <f>IF($Q153="","",INDEX(TRANSACTIONS_MASTER!$P$5:$P$1204,$Q153))</f>
        <v/>
      </c>
      <c r="M153" s="25" t="str">
        <f>IF($Q153="","",INDEX(TRANSACTIONS_MASTER!$AA$5:$AA$1204,$Q153))</f>
        <v/>
      </c>
      <c r="N153" s="25" t="str">
        <f>IF($Q153="","",INDEX(TRANSACTIONS_MASTER!$R$5:$R$1204,$Q153))</f>
        <v/>
      </c>
      <c r="O153" s="28" t="str">
        <f>IF($Q153="","",INDEX(TRANSACTIONS_MASTER!$AB$5:$AB$1204,$Q153))</f>
        <v/>
      </c>
      <c r="P153" s="55" t="str">
        <f>IF($Q153="","",INDEX(TRANSACTIONS_MASTER!$Z$5:$Z$1204,$Q153)&amp;"")</f>
        <v/>
      </c>
      <c r="Q153" s="67" t="str">
        <f>IFERROR(MATCH($C$2&amp;"|"&amp;146,TRANSACTIONS_MASTER!$AE$5:$AE$1204,0),"")</f>
        <v/>
      </c>
      <c r="T153" s="45" t="n"/>
      <c r="U153" s="82" t="inlineStr">
        <is>
          <t>Khác (ngoài danh sách)</t>
        </is>
      </c>
      <c r="V153" s="48">
        <f>MAX(0,SUMIFS(TRANSACTIONS_MASTER!$L$5:$L$1204,TRANSACTIONS_MASTER!$C$5:$C$1204,$C$2,TRANSACTIONS_MASTER!$U$5:$U$1204,"&lt;&gt;Cancelled")-SUM(V138:V152))</f>
        <v>0</v>
      </c>
      <c r="W153" s="48">
        <f>MAX(0,SUMIFS(TRANSACTIONS_MASTER!$Q$5:$Q$1204,TRANSACTIONS_MASTER!$C$5:$C$1204,$C$2)-SUM(W138:W152))</f>
        <v>0</v>
      </c>
    </row>
    <row r="154">
      <c r="A154" s="81" t="str">
        <f>IF($Q154="","",147)</f>
        <v/>
      </c>
      <c r="B154" s="57" t="str">
        <f>IF($Q154="","",INDEX(TRANSACTIONS_MASTER!$B$5:$B$1204,$Q154))</f>
        <v/>
      </c>
      <c r="C154" s="55" t="str">
        <f>IF($Q154="","",INDEX(TRANSACTIONS_MASTER!$F$5:$F$1204,$Q154))</f>
        <v/>
      </c>
      <c r="D154" s="55" t="str">
        <f>IF($Q154="","",INDEX(TRANSACTIONS_MASTER!$E$5:$E$1204,$Q154))</f>
        <v/>
      </c>
      <c r="E154" s="55" t="str">
        <f>IF($Q154="","",INDEX(TRANSACTIONS_MASTER!$G$5:$G$1204,$Q154)&amp;"")</f>
        <v/>
      </c>
      <c r="F154" s="29" t="str">
        <f>IF($Q154="","",INDEX(TRANSACTIONS_MASTER!$I$5:$I$1204,$Q154))</f>
        <v/>
      </c>
      <c r="G154" s="55" t="str">
        <f>IF($Q154="","",INDEX(TRANSACTIONS_MASTER!$K$5:$K$1204,$Q154))</f>
        <v/>
      </c>
      <c r="H154" s="25" t="str">
        <f>IF($Q154="","",INDEX(TRANSACTIONS_MASTER!$L$5:$L$1204,$Q154))</f>
        <v/>
      </c>
      <c r="I154" s="56" t="str">
        <f>IF($Q154="","",INDEX(TRANSACTIONS_MASTER!$N$5:$N$1204,$Q154))</f>
        <v/>
      </c>
      <c r="J154" s="25" t="str">
        <f>IF($Q154="","",INDEX(TRANSACTIONS_MASTER!$O$5:$O$1204,$Q154))</f>
        <v/>
      </c>
      <c r="K154" s="26" t="str">
        <f>IF($Q154="","",INDEX(TRANSACTIONS_MASTER!$Q$5:$Q$1204,$Q154))</f>
        <v/>
      </c>
      <c r="L154" s="25" t="str">
        <f>IF($Q154="","",INDEX(TRANSACTIONS_MASTER!$P$5:$P$1204,$Q154))</f>
        <v/>
      </c>
      <c r="M154" s="25" t="str">
        <f>IF($Q154="","",INDEX(TRANSACTIONS_MASTER!$AA$5:$AA$1204,$Q154))</f>
        <v/>
      </c>
      <c r="N154" s="25" t="str">
        <f>IF($Q154="","",INDEX(TRANSACTIONS_MASTER!$R$5:$R$1204,$Q154))</f>
        <v/>
      </c>
      <c r="O154" s="28" t="str">
        <f>IF($Q154="","",INDEX(TRANSACTIONS_MASTER!$AB$5:$AB$1204,$Q154))</f>
        <v/>
      </c>
      <c r="P154" s="55" t="str">
        <f>IF($Q154="","",INDEX(TRANSACTIONS_MASTER!$Z$5:$Z$1204,$Q154)&amp;"")</f>
        <v/>
      </c>
      <c r="Q154" s="67" t="str">
        <f>IFERROR(MATCH($C$2&amp;"|"&amp;147,TRANSACTIONS_MASTER!$AE$5:$AE$1204,0),"")</f>
        <v/>
      </c>
      <c r="T154" s="68" t="n"/>
      <c r="U154" s="69" t="inlineStr">
        <is>
          <t>TỔNG</t>
        </is>
      </c>
      <c r="V154" s="31">
        <f>SUM(V138:V153)</f>
        <v>9650000</v>
      </c>
      <c r="W154" s="31">
        <f>SUM(W138:W153)</f>
        <v>826000</v>
      </c>
    </row>
    <row r="155">
      <c r="A155" s="81" t="str">
        <f>IF($Q155="","",148)</f>
        <v/>
      </c>
      <c r="B155" s="57" t="str">
        <f>IF($Q155="","",INDEX(TRANSACTIONS_MASTER!$B$5:$B$1204,$Q155))</f>
        <v/>
      </c>
      <c r="C155" s="55" t="str">
        <f>IF($Q155="","",INDEX(TRANSACTIONS_MASTER!$F$5:$F$1204,$Q155))</f>
        <v/>
      </c>
      <c r="D155" s="55" t="str">
        <f>IF($Q155="","",INDEX(TRANSACTIONS_MASTER!$E$5:$E$1204,$Q155))</f>
        <v/>
      </c>
      <c r="E155" s="55" t="str">
        <f>IF($Q155="","",INDEX(TRANSACTIONS_MASTER!$G$5:$G$1204,$Q155)&amp;"")</f>
        <v/>
      </c>
      <c r="F155" s="29" t="str">
        <f>IF($Q155="","",INDEX(TRANSACTIONS_MASTER!$I$5:$I$1204,$Q155))</f>
        <v/>
      </c>
      <c r="G155" s="55" t="str">
        <f>IF($Q155="","",INDEX(TRANSACTIONS_MASTER!$K$5:$K$1204,$Q155))</f>
        <v/>
      </c>
      <c r="H155" s="25" t="str">
        <f>IF($Q155="","",INDEX(TRANSACTIONS_MASTER!$L$5:$L$1204,$Q155))</f>
        <v/>
      </c>
      <c r="I155" s="56" t="str">
        <f>IF($Q155="","",INDEX(TRANSACTIONS_MASTER!$N$5:$N$1204,$Q155))</f>
        <v/>
      </c>
      <c r="J155" s="25" t="str">
        <f>IF($Q155="","",INDEX(TRANSACTIONS_MASTER!$O$5:$O$1204,$Q155))</f>
        <v/>
      </c>
      <c r="K155" s="26" t="str">
        <f>IF($Q155="","",INDEX(TRANSACTIONS_MASTER!$Q$5:$Q$1204,$Q155))</f>
        <v/>
      </c>
      <c r="L155" s="25" t="str">
        <f>IF($Q155="","",INDEX(TRANSACTIONS_MASTER!$P$5:$P$1204,$Q155))</f>
        <v/>
      </c>
      <c r="M155" s="25" t="str">
        <f>IF($Q155="","",INDEX(TRANSACTIONS_MASTER!$AA$5:$AA$1204,$Q155))</f>
        <v/>
      </c>
      <c r="N155" s="25" t="str">
        <f>IF($Q155="","",INDEX(TRANSACTIONS_MASTER!$R$5:$R$1204,$Q155))</f>
        <v/>
      </c>
      <c r="O155" s="28" t="str">
        <f>IF($Q155="","",INDEX(TRANSACTIONS_MASTER!$AB$5:$AB$1204,$Q155))</f>
        <v/>
      </c>
      <c r="P155" s="55" t="str">
        <f>IF($Q155="","",INDEX(TRANSACTIONS_MASTER!$Z$5:$Z$1204,$Q155)&amp;"")</f>
        <v/>
      </c>
      <c r="Q155" s="67" t="str">
        <f>IFERROR(MATCH($C$2&amp;"|"&amp;148,TRANSACTIONS_MASTER!$AE$5:$AE$1204,0),"")</f>
        <v/>
      </c>
    </row>
    <row r="156">
      <c r="A156" s="81" t="str">
        <f>IF($Q156="","",149)</f>
        <v/>
      </c>
      <c r="B156" s="57" t="str">
        <f>IF($Q156="","",INDEX(TRANSACTIONS_MASTER!$B$5:$B$1204,$Q156))</f>
        <v/>
      </c>
      <c r="C156" s="55" t="str">
        <f>IF($Q156="","",INDEX(TRANSACTIONS_MASTER!$F$5:$F$1204,$Q156))</f>
        <v/>
      </c>
      <c r="D156" s="55" t="str">
        <f>IF($Q156="","",INDEX(TRANSACTIONS_MASTER!$E$5:$E$1204,$Q156))</f>
        <v/>
      </c>
      <c r="E156" s="55" t="str">
        <f>IF($Q156="","",INDEX(TRANSACTIONS_MASTER!$G$5:$G$1204,$Q156)&amp;"")</f>
        <v/>
      </c>
      <c r="F156" s="29" t="str">
        <f>IF($Q156="","",INDEX(TRANSACTIONS_MASTER!$I$5:$I$1204,$Q156))</f>
        <v/>
      </c>
      <c r="G156" s="55" t="str">
        <f>IF($Q156="","",INDEX(TRANSACTIONS_MASTER!$K$5:$K$1204,$Q156))</f>
        <v/>
      </c>
      <c r="H156" s="25" t="str">
        <f>IF($Q156="","",INDEX(TRANSACTIONS_MASTER!$L$5:$L$1204,$Q156))</f>
        <v/>
      </c>
      <c r="I156" s="56" t="str">
        <f>IF($Q156="","",INDEX(TRANSACTIONS_MASTER!$N$5:$N$1204,$Q156))</f>
        <v/>
      </c>
      <c r="J156" s="25" t="str">
        <f>IF($Q156="","",INDEX(TRANSACTIONS_MASTER!$O$5:$O$1204,$Q156))</f>
        <v/>
      </c>
      <c r="K156" s="26" t="str">
        <f>IF($Q156="","",INDEX(TRANSACTIONS_MASTER!$Q$5:$Q$1204,$Q156))</f>
        <v/>
      </c>
      <c r="L156" s="25" t="str">
        <f>IF($Q156="","",INDEX(TRANSACTIONS_MASTER!$P$5:$P$1204,$Q156))</f>
        <v/>
      </c>
      <c r="M156" s="25" t="str">
        <f>IF($Q156="","",INDEX(TRANSACTIONS_MASTER!$AA$5:$AA$1204,$Q156))</f>
        <v/>
      </c>
      <c r="N156" s="25" t="str">
        <f>IF($Q156="","",INDEX(TRANSACTIONS_MASTER!$R$5:$R$1204,$Q156))</f>
        <v/>
      </c>
      <c r="O156" s="28" t="str">
        <f>IF($Q156="","",INDEX(TRANSACTIONS_MASTER!$AB$5:$AB$1204,$Q156))</f>
        <v/>
      </c>
      <c r="P156" s="55" t="str">
        <f>IF($Q156="","",INDEX(TRANSACTIONS_MASTER!$Z$5:$Z$1204,$Q156)&amp;"")</f>
        <v/>
      </c>
      <c r="Q156" s="67" t="str">
        <f>IFERROR(MATCH($C$2&amp;"|"&amp;149,TRANSACTIONS_MASTER!$AE$5:$AE$1204,0),"")</f>
        <v/>
      </c>
    </row>
    <row r="157" ht="22" customHeight="1">
      <c r="A157" s="81" t="str">
        <f>IF($Q157="","",150)</f>
        <v/>
      </c>
      <c r="B157" s="57" t="str">
        <f>IF($Q157="","",INDEX(TRANSACTIONS_MASTER!$B$5:$B$1204,$Q157))</f>
        <v/>
      </c>
      <c r="C157" s="55" t="str">
        <f>IF($Q157="","",INDEX(TRANSACTIONS_MASTER!$F$5:$F$1204,$Q157))</f>
        <v/>
      </c>
      <c r="D157" s="55" t="str">
        <f>IF($Q157="","",INDEX(TRANSACTIONS_MASTER!$E$5:$E$1204,$Q157))</f>
        <v/>
      </c>
      <c r="E157" s="55" t="str">
        <f>IF($Q157="","",INDEX(TRANSACTIONS_MASTER!$G$5:$G$1204,$Q157)&amp;"")</f>
        <v/>
      </c>
      <c r="F157" s="29" t="str">
        <f>IF($Q157="","",INDEX(TRANSACTIONS_MASTER!$I$5:$I$1204,$Q157))</f>
        <v/>
      </c>
      <c r="G157" s="55" t="str">
        <f>IF($Q157="","",INDEX(TRANSACTIONS_MASTER!$K$5:$K$1204,$Q157))</f>
        <v/>
      </c>
      <c r="H157" s="25" t="str">
        <f>IF($Q157="","",INDEX(TRANSACTIONS_MASTER!$L$5:$L$1204,$Q157))</f>
        <v/>
      </c>
      <c r="I157" s="56" t="str">
        <f>IF($Q157="","",INDEX(TRANSACTIONS_MASTER!$N$5:$N$1204,$Q157))</f>
        <v/>
      </c>
      <c r="J157" s="25" t="str">
        <f>IF($Q157="","",INDEX(TRANSACTIONS_MASTER!$O$5:$O$1204,$Q157))</f>
        <v/>
      </c>
      <c r="K157" s="26" t="str">
        <f>IF($Q157="","",INDEX(TRANSACTIONS_MASTER!$Q$5:$Q$1204,$Q157))</f>
        <v/>
      </c>
      <c r="L157" s="25" t="str">
        <f>IF($Q157="","",INDEX(TRANSACTIONS_MASTER!$P$5:$P$1204,$Q157))</f>
        <v/>
      </c>
      <c r="M157" s="25" t="str">
        <f>IF($Q157="","",INDEX(TRANSACTIONS_MASTER!$AA$5:$AA$1204,$Q157))</f>
        <v/>
      </c>
      <c r="N157" s="25" t="str">
        <f>IF($Q157="","",INDEX(TRANSACTIONS_MASTER!$R$5:$R$1204,$Q157))</f>
        <v/>
      </c>
      <c r="O157" s="28" t="str">
        <f>IF($Q157="","",INDEX(TRANSACTIONS_MASTER!$AB$5:$AB$1204,$Q157))</f>
        <v/>
      </c>
      <c r="P157" s="55" t="str">
        <f>IF($Q157="","",INDEX(TRANSACTIONS_MASTER!$Z$5:$Z$1204,$Q157)&amp;"")</f>
        <v/>
      </c>
      <c r="Q157" s="67" t="str">
        <f>IFERROR(MATCH($C$2&amp;"|"&amp;150,TRANSACTIONS_MASTER!$AE$5:$AE$1204,0),"")</f>
        <v/>
      </c>
      <c r="T157" s="19" t="inlineStr">
        <is>
          <t>THEO MERCHANT</t>
        </is>
      </c>
      <c r="U157" s="20" t="n"/>
      <c r="V157" s="20" t="n"/>
      <c r="W157" s="20" t="n"/>
      <c r="X157" s="20" t="n"/>
      <c r="Y157" s="20" t="n"/>
      <c r="Z157" s="20" t="n"/>
      <c r="AA157" s="20" t="n"/>
    </row>
    <row r="158" ht="28" customHeight="1">
      <c r="A158" s="81" t="str">
        <f>IF($Q158="","",151)</f>
        <v/>
      </c>
      <c r="B158" s="57" t="str">
        <f>IF($Q158="","",INDEX(TRANSACTIONS_MASTER!$B$5:$B$1204,$Q158))</f>
        <v/>
      </c>
      <c r="C158" s="55" t="str">
        <f>IF($Q158="","",INDEX(TRANSACTIONS_MASTER!$F$5:$F$1204,$Q158))</f>
        <v/>
      </c>
      <c r="D158" s="55" t="str">
        <f>IF($Q158="","",INDEX(TRANSACTIONS_MASTER!$E$5:$E$1204,$Q158))</f>
        <v/>
      </c>
      <c r="E158" s="55" t="str">
        <f>IF($Q158="","",INDEX(TRANSACTIONS_MASTER!$G$5:$G$1204,$Q158)&amp;"")</f>
        <v/>
      </c>
      <c r="F158" s="29" t="str">
        <f>IF($Q158="","",INDEX(TRANSACTIONS_MASTER!$I$5:$I$1204,$Q158))</f>
        <v/>
      </c>
      <c r="G158" s="55" t="str">
        <f>IF($Q158="","",INDEX(TRANSACTIONS_MASTER!$K$5:$K$1204,$Q158))</f>
        <v/>
      </c>
      <c r="H158" s="25" t="str">
        <f>IF($Q158="","",INDEX(TRANSACTIONS_MASTER!$L$5:$L$1204,$Q158))</f>
        <v/>
      </c>
      <c r="I158" s="56" t="str">
        <f>IF($Q158="","",INDEX(TRANSACTIONS_MASTER!$N$5:$N$1204,$Q158))</f>
        <v/>
      </c>
      <c r="J158" s="25" t="str">
        <f>IF($Q158="","",INDEX(TRANSACTIONS_MASTER!$O$5:$O$1204,$Q158))</f>
        <v/>
      </c>
      <c r="K158" s="26" t="str">
        <f>IF($Q158="","",INDEX(TRANSACTIONS_MASTER!$Q$5:$Q$1204,$Q158))</f>
        <v/>
      </c>
      <c r="L158" s="25" t="str">
        <f>IF($Q158="","",INDEX(TRANSACTIONS_MASTER!$P$5:$P$1204,$Q158))</f>
        <v/>
      </c>
      <c r="M158" s="25" t="str">
        <f>IF($Q158="","",INDEX(TRANSACTIONS_MASTER!$AA$5:$AA$1204,$Q158))</f>
        <v/>
      </c>
      <c r="N158" s="25" t="str">
        <f>IF($Q158="","",INDEX(TRANSACTIONS_MASTER!$R$5:$R$1204,$Q158))</f>
        <v/>
      </c>
      <c r="O158" s="28" t="str">
        <f>IF($Q158="","",INDEX(TRANSACTIONS_MASTER!$AB$5:$AB$1204,$Q158))</f>
        <v/>
      </c>
      <c r="P158" s="55" t="str">
        <f>IF($Q158="","",INDEX(TRANSACTIONS_MASTER!$Z$5:$Z$1204,$Q158)&amp;"")</f>
        <v/>
      </c>
      <c r="Q158" s="67" t="str">
        <f>IFERROR(MATCH($C$2&amp;"|"&amp;151,TRANSACTIONS_MASTER!$AE$5:$AE$1204,0),"")</f>
        <v/>
      </c>
      <c r="S158" s="21" t="inlineStr">
        <is>
          <t>#</t>
        </is>
      </c>
      <c r="T158" s="21" t="inlineStr"/>
      <c r="U158" s="21" t="inlineStr">
        <is>
          <t>Merchant</t>
        </is>
      </c>
      <c r="V158" s="21" t="inlineStr">
        <is>
          <t>Chi tiêu</t>
        </is>
      </c>
      <c r="W158" s="21" t="inlineStr">
        <is>
          <t>Cashback</t>
        </is>
      </c>
    </row>
    <row r="159">
      <c r="A159" s="81" t="str">
        <f>IF($Q159="","",152)</f>
        <v/>
      </c>
      <c r="B159" s="57" t="str">
        <f>IF($Q159="","",INDEX(TRANSACTIONS_MASTER!$B$5:$B$1204,$Q159))</f>
        <v/>
      </c>
      <c r="C159" s="55" t="str">
        <f>IF($Q159="","",INDEX(TRANSACTIONS_MASTER!$F$5:$F$1204,$Q159))</f>
        <v/>
      </c>
      <c r="D159" s="55" t="str">
        <f>IF($Q159="","",INDEX(TRANSACTIONS_MASTER!$E$5:$E$1204,$Q159))</f>
        <v/>
      </c>
      <c r="E159" s="55" t="str">
        <f>IF($Q159="","",INDEX(TRANSACTIONS_MASTER!$G$5:$G$1204,$Q159)&amp;"")</f>
        <v/>
      </c>
      <c r="F159" s="29" t="str">
        <f>IF($Q159="","",INDEX(TRANSACTIONS_MASTER!$I$5:$I$1204,$Q159))</f>
        <v/>
      </c>
      <c r="G159" s="55" t="str">
        <f>IF($Q159="","",INDEX(TRANSACTIONS_MASTER!$K$5:$K$1204,$Q159))</f>
        <v/>
      </c>
      <c r="H159" s="25" t="str">
        <f>IF($Q159="","",INDEX(TRANSACTIONS_MASTER!$L$5:$L$1204,$Q159))</f>
        <v/>
      </c>
      <c r="I159" s="56" t="str">
        <f>IF($Q159="","",INDEX(TRANSACTIONS_MASTER!$N$5:$N$1204,$Q159))</f>
        <v/>
      </c>
      <c r="J159" s="25" t="str">
        <f>IF($Q159="","",INDEX(TRANSACTIONS_MASTER!$O$5:$O$1204,$Q159))</f>
        <v/>
      </c>
      <c r="K159" s="26" t="str">
        <f>IF($Q159="","",INDEX(TRANSACTIONS_MASTER!$Q$5:$Q$1204,$Q159))</f>
        <v/>
      </c>
      <c r="L159" s="25" t="str">
        <f>IF($Q159="","",INDEX(TRANSACTIONS_MASTER!$P$5:$P$1204,$Q159))</f>
        <v/>
      </c>
      <c r="M159" s="25" t="str">
        <f>IF($Q159="","",INDEX(TRANSACTIONS_MASTER!$AA$5:$AA$1204,$Q159))</f>
        <v/>
      </c>
      <c r="N159" s="25" t="str">
        <f>IF($Q159="","",INDEX(TRANSACTIONS_MASTER!$R$5:$R$1204,$Q159))</f>
        <v/>
      </c>
      <c r="O159" s="28" t="str">
        <f>IF($Q159="","",INDEX(TRANSACTIONS_MASTER!$AB$5:$AB$1204,$Q159))</f>
        <v/>
      </c>
      <c r="P159" s="55" t="str">
        <f>IF($Q159="","",INDEX(TRANSACTIONS_MASTER!$Z$5:$Z$1204,$Q159)&amp;"")</f>
        <v/>
      </c>
      <c r="Q159" s="67" t="str">
        <f>IFERROR(MATCH($C$2&amp;"|"&amp;152,TRANSACTIONS_MASTER!$AE$5:$AE$1204,0),"")</f>
        <v/>
      </c>
      <c r="S159" s="67">
        <f>IFERROR(MATCH(1,INDEX((TRANSACTIONS_MASTER!$C$5:$C$1204=$C$2)*(TRANSACTIONS_MASTER!$AN$5:$AN$1204=1),0),0),"")</f>
        <v>1</v>
      </c>
      <c r="T159" s="55" t="n"/>
      <c r="U159" s="55" t="str">
        <f>IF($S159="","",INDEX(TRANSACTIONS_MASTER!$G$5:$G$1204,$S159)&amp;"")</f>
        <v>Highlands Coffee</v>
      </c>
      <c r="V159" s="25">
        <f>IF($S159="","",SUMIFS(TRANSACTIONS_MASTER!$L$5:$L$1204,TRANSACTIONS_MASTER!$G$5:$G$1204,$U159,TRANSACTIONS_MASTER!$C$5:$C$1204,$C$2,TRANSACTIONS_MASTER!$U$5:$U$1204,"&lt;&gt;Cancelled"))</f>
        <v>150000</v>
      </c>
      <c r="W159" s="26">
        <f>IF($S159="","",SUMIFS(TRANSACTIONS_MASTER!$Q$5:$Q$1204,TRANSACTIONS_MASTER!$G$5:$G$1204,$U159,TRANSACTIONS_MASTER!$C$5:$C$1204,$C$2))</f>
        <v>22500</v>
      </c>
    </row>
    <row r="160">
      <c r="A160" s="81" t="str">
        <f>IF($Q160="","",153)</f>
        <v/>
      </c>
      <c r="B160" s="57" t="str">
        <f>IF($Q160="","",INDEX(TRANSACTIONS_MASTER!$B$5:$B$1204,$Q160))</f>
        <v/>
      </c>
      <c r="C160" s="55" t="str">
        <f>IF($Q160="","",INDEX(TRANSACTIONS_MASTER!$F$5:$F$1204,$Q160))</f>
        <v/>
      </c>
      <c r="D160" s="55" t="str">
        <f>IF($Q160="","",INDEX(TRANSACTIONS_MASTER!$E$5:$E$1204,$Q160))</f>
        <v/>
      </c>
      <c r="E160" s="55" t="str">
        <f>IF($Q160="","",INDEX(TRANSACTIONS_MASTER!$G$5:$G$1204,$Q160)&amp;"")</f>
        <v/>
      </c>
      <c r="F160" s="29" t="str">
        <f>IF($Q160="","",INDEX(TRANSACTIONS_MASTER!$I$5:$I$1204,$Q160))</f>
        <v/>
      </c>
      <c r="G160" s="55" t="str">
        <f>IF($Q160="","",INDEX(TRANSACTIONS_MASTER!$K$5:$K$1204,$Q160))</f>
        <v/>
      </c>
      <c r="H160" s="25" t="str">
        <f>IF($Q160="","",INDEX(TRANSACTIONS_MASTER!$L$5:$L$1204,$Q160))</f>
        <v/>
      </c>
      <c r="I160" s="56" t="str">
        <f>IF($Q160="","",INDEX(TRANSACTIONS_MASTER!$N$5:$N$1204,$Q160))</f>
        <v/>
      </c>
      <c r="J160" s="25" t="str">
        <f>IF($Q160="","",INDEX(TRANSACTIONS_MASTER!$O$5:$O$1204,$Q160))</f>
        <v/>
      </c>
      <c r="K160" s="26" t="str">
        <f>IF($Q160="","",INDEX(TRANSACTIONS_MASTER!$Q$5:$Q$1204,$Q160))</f>
        <v/>
      </c>
      <c r="L160" s="25" t="str">
        <f>IF($Q160="","",INDEX(TRANSACTIONS_MASTER!$P$5:$P$1204,$Q160))</f>
        <v/>
      </c>
      <c r="M160" s="25" t="str">
        <f>IF($Q160="","",INDEX(TRANSACTIONS_MASTER!$AA$5:$AA$1204,$Q160))</f>
        <v/>
      </c>
      <c r="N160" s="25" t="str">
        <f>IF($Q160="","",INDEX(TRANSACTIONS_MASTER!$R$5:$R$1204,$Q160))</f>
        <v/>
      </c>
      <c r="O160" s="28" t="str">
        <f>IF($Q160="","",INDEX(TRANSACTIONS_MASTER!$AB$5:$AB$1204,$Q160))</f>
        <v/>
      </c>
      <c r="P160" s="55" t="str">
        <f>IF($Q160="","",INDEX(TRANSACTIONS_MASTER!$Z$5:$Z$1204,$Q160)&amp;"")</f>
        <v/>
      </c>
      <c r="Q160" s="67" t="str">
        <f>IFERROR(MATCH($C$2&amp;"|"&amp;153,TRANSACTIONS_MASTER!$AE$5:$AE$1204,0),"")</f>
        <v/>
      </c>
      <c r="S160" s="67">
        <f>IFERROR(MATCH(1,INDEX((TRANSACTIONS_MASTER!$C$5:$C$1204=$C$2)*(TRANSACTIONS_MASTER!$AN$5:$AN$1204=2),0),0),"")</f>
        <v>2</v>
      </c>
      <c r="T160" s="55" t="n"/>
      <c r="U160" s="55" t="str">
        <f>IF($S160="","",INDEX(TRANSACTIONS_MASTER!$G$5:$G$1204,$S160)&amp;"")</f>
        <v>Nhà hàng Sen Tây Hồ</v>
      </c>
      <c r="V160" s="25">
        <f>IF($S160="","",SUMIFS(TRANSACTIONS_MASTER!$L$5:$L$1204,TRANSACTIONS_MASTER!$G$5:$G$1204,$U160,TRANSACTIONS_MASTER!$C$5:$C$1204,$C$2,TRANSACTIONS_MASTER!$U$5:$U$1204,"&lt;&gt;Cancelled"))</f>
        <v>4000000</v>
      </c>
      <c r="W160" s="26">
        <f>IF($S160="","",SUMIFS(TRANSACTIONS_MASTER!$Q$5:$Q$1204,TRANSACTIONS_MASTER!$G$5:$G$1204,$U160,TRANSACTIONS_MASTER!$C$5:$C$1204,$C$2))</f>
        <v>477500</v>
      </c>
    </row>
    <row r="161">
      <c r="A161" s="81" t="str">
        <f>IF($Q161="","",154)</f>
        <v/>
      </c>
      <c r="B161" s="57" t="str">
        <f>IF($Q161="","",INDEX(TRANSACTIONS_MASTER!$B$5:$B$1204,$Q161))</f>
        <v/>
      </c>
      <c r="C161" s="55" t="str">
        <f>IF($Q161="","",INDEX(TRANSACTIONS_MASTER!$F$5:$F$1204,$Q161))</f>
        <v/>
      </c>
      <c r="D161" s="55" t="str">
        <f>IF($Q161="","",INDEX(TRANSACTIONS_MASTER!$E$5:$E$1204,$Q161))</f>
        <v/>
      </c>
      <c r="E161" s="55" t="str">
        <f>IF($Q161="","",INDEX(TRANSACTIONS_MASTER!$G$5:$G$1204,$Q161)&amp;"")</f>
        <v/>
      </c>
      <c r="F161" s="29" t="str">
        <f>IF($Q161="","",INDEX(TRANSACTIONS_MASTER!$I$5:$I$1204,$Q161))</f>
        <v/>
      </c>
      <c r="G161" s="55" t="str">
        <f>IF($Q161="","",INDEX(TRANSACTIONS_MASTER!$K$5:$K$1204,$Q161))</f>
        <v/>
      </c>
      <c r="H161" s="25" t="str">
        <f>IF($Q161="","",INDEX(TRANSACTIONS_MASTER!$L$5:$L$1204,$Q161))</f>
        <v/>
      </c>
      <c r="I161" s="56" t="str">
        <f>IF($Q161="","",INDEX(TRANSACTIONS_MASTER!$N$5:$N$1204,$Q161))</f>
        <v/>
      </c>
      <c r="J161" s="25" t="str">
        <f>IF($Q161="","",INDEX(TRANSACTIONS_MASTER!$O$5:$O$1204,$Q161))</f>
        <v/>
      </c>
      <c r="K161" s="26" t="str">
        <f>IF($Q161="","",INDEX(TRANSACTIONS_MASTER!$Q$5:$Q$1204,$Q161))</f>
        <v/>
      </c>
      <c r="L161" s="25" t="str">
        <f>IF($Q161="","",INDEX(TRANSACTIONS_MASTER!$P$5:$P$1204,$Q161))</f>
        <v/>
      </c>
      <c r="M161" s="25" t="str">
        <f>IF($Q161="","",INDEX(TRANSACTIONS_MASTER!$AA$5:$AA$1204,$Q161))</f>
        <v/>
      </c>
      <c r="N161" s="25" t="str">
        <f>IF($Q161="","",INDEX(TRANSACTIONS_MASTER!$R$5:$R$1204,$Q161))</f>
        <v/>
      </c>
      <c r="O161" s="28" t="str">
        <f>IF($Q161="","",INDEX(TRANSACTIONS_MASTER!$AB$5:$AB$1204,$Q161))</f>
        <v/>
      </c>
      <c r="P161" s="55" t="str">
        <f>IF($Q161="","",INDEX(TRANSACTIONS_MASTER!$Z$5:$Z$1204,$Q161)&amp;"")</f>
        <v/>
      </c>
      <c r="Q161" s="67" t="str">
        <f>IFERROR(MATCH($C$2&amp;"|"&amp;154,TRANSACTIONS_MASTER!$AE$5:$AE$1204,0),"")</f>
        <v/>
      </c>
      <c r="S161" s="67">
        <f>IFERROR(MATCH(1,INDEX((TRANSACTIONS_MASTER!$C$5:$C$1204=$C$2)*(TRANSACTIONS_MASTER!$AN$5:$AN$1204=3),0),0),"")</f>
        <v>3</v>
      </c>
      <c r="T161" s="55" t="n"/>
      <c r="U161" s="55" t="str">
        <f>IF($S161="","",INDEX(TRANSACTIONS_MASTER!$G$5:$G$1204,$S161)&amp;"")</f>
        <v>Pub Beer Corner</v>
      </c>
      <c r="V161" s="25">
        <f>IF($S161="","",SUMIFS(TRANSACTIONS_MASTER!$L$5:$L$1204,TRANSACTIONS_MASTER!$G$5:$G$1204,$U161,TRANSACTIONS_MASTER!$C$5:$C$1204,$C$2,TRANSACTIONS_MASTER!$U$5:$U$1204,"&lt;&gt;Cancelled"))</f>
        <v>1000000</v>
      </c>
      <c r="W161" s="26">
        <f>IF($S161="","",SUMIFS(TRANSACTIONS_MASTER!$Q$5:$Q$1204,TRANSACTIONS_MASTER!$G$5:$G$1204,$U161,TRANSACTIONS_MASTER!$C$5:$C$1204,$C$2))</f>
        <v>0</v>
      </c>
    </row>
    <row r="162">
      <c r="A162" s="81" t="str">
        <f>IF($Q162="","",155)</f>
        <v/>
      </c>
      <c r="B162" s="57" t="str">
        <f>IF($Q162="","",INDEX(TRANSACTIONS_MASTER!$B$5:$B$1204,$Q162))</f>
        <v/>
      </c>
      <c r="C162" s="55" t="str">
        <f>IF($Q162="","",INDEX(TRANSACTIONS_MASTER!$F$5:$F$1204,$Q162))</f>
        <v/>
      </c>
      <c r="D162" s="55" t="str">
        <f>IF($Q162="","",INDEX(TRANSACTIONS_MASTER!$E$5:$E$1204,$Q162))</f>
        <v/>
      </c>
      <c r="E162" s="55" t="str">
        <f>IF($Q162="","",INDEX(TRANSACTIONS_MASTER!$G$5:$G$1204,$Q162)&amp;"")</f>
        <v/>
      </c>
      <c r="F162" s="29" t="str">
        <f>IF($Q162="","",INDEX(TRANSACTIONS_MASTER!$I$5:$I$1204,$Q162))</f>
        <v/>
      </c>
      <c r="G162" s="55" t="str">
        <f>IF($Q162="","",INDEX(TRANSACTIONS_MASTER!$K$5:$K$1204,$Q162))</f>
        <v/>
      </c>
      <c r="H162" s="25" t="str">
        <f>IF($Q162="","",INDEX(TRANSACTIONS_MASTER!$L$5:$L$1204,$Q162))</f>
        <v/>
      </c>
      <c r="I162" s="56" t="str">
        <f>IF($Q162="","",INDEX(TRANSACTIONS_MASTER!$N$5:$N$1204,$Q162))</f>
        <v/>
      </c>
      <c r="J162" s="25" t="str">
        <f>IF($Q162="","",INDEX(TRANSACTIONS_MASTER!$O$5:$O$1204,$Q162))</f>
        <v/>
      </c>
      <c r="K162" s="26" t="str">
        <f>IF($Q162="","",INDEX(TRANSACTIONS_MASTER!$Q$5:$Q$1204,$Q162))</f>
        <v/>
      </c>
      <c r="L162" s="25" t="str">
        <f>IF($Q162="","",INDEX(TRANSACTIONS_MASTER!$P$5:$P$1204,$Q162))</f>
        <v/>
      </c>
      <c r="M162" s="25" t="str">
        <f>IF($Q162="","",INDEX(TRANSACTIONS_MASTER!$AA$5:$AA$1204,$Q162))</f>
        <v/>
      </c>
      <c r="N162" s="25" t="str">
        <f>IF($Q162="","",INDEX(TRANSACTIONS_MASTER!$R$5:$R$1204,$Q162))</f>
        <v/>
      </c>
      <c r="O162" s="28" t="str">
        <f>IF($Q162="","",INDEX(TRANSACTIONS_MASTER!$AB$5:$AB$1204,$Q162))</f>
        <v/>
      </c>
      <c r="P162" s="55" t="str">
        <f>IF($Q162="","",INDEX(TRANSACTIONS_MASTER!$Z$5:$Z$1204,$Q162)&amp;"")</f>
        <v/>
      </c>
      <c r="Q162" s="67" t="str">
        <f>IFERROR(MATCH($C$2&amp;"|"&amp;155,TRANSACTIONS_MASTER!$AE$5:$AE$1204,0),"")</f>
        <v/>
      </c>
      <c r="S162" s="67">
        <f>IFERROR(MATCH(1,INDEX((TRANSACTIONS_MASTER!$C$5:$C$1204=$C$2)*(TRANSACTIONS_MASTER!$AN$5:$AN$1204=4),0),0),"")</f>
        <v>4</v>
      </c>
      <c r="T162" s="55" t="n"/>
      <c r="U162" s="55" t="str">
        <f>IF($S162="","",INDEX(TRANSACTIONS_MASTER!$G$5:$G$1204,$S162)&amp;"")</f>
        <v>WinMart</v>
      </c>
      <c r="V162" s="25">
        <f>IF($S162="","",SUMIFS(TRANSACTIONS_MASTER!$L$5:$L$1204,TRANSACTIONS_MASTER!$G$5:$G$1204,$U162,TRANSACTIONS_MASTER!$C$5:$C$1204,$C$2,TRANSACTIONS_MASTER!$U$5:$U$1204,"&lt;&gt;Cancelled"))</f>
        <v>2500000</v>
      </c>
      <c r="W162" s="26">
        <f>IF($S162="","",SUMIFS(TRANSACTIONS_MASTER!$Q$5:$Q$1204,TRANSACTIONS_MASTER!$G$5:$G$1204,$U162,TRANSACTIONS_MASTER!$C$5:$C$1204,$C$2))</f>
        <v>250000</v>
      </c>
    </row>
    <row r="163">
      <c r="A163" s="81" t="str">
        <f>IF($Q163="","",156)</f>
        <v/>
      </c>
      <c r="B163" s="57" t="str">
        <f>IF($Q163="","",INDEX(TRANSACTIONS_MASTER!$B$5:$B$1204,$Q163))</f>
        <v/>
      </c>
      <c r="C163" s="55" t="str">
        <f>IF($Q163="","",INDEX(TRANSACTIONS_MASTER!$F$5:$F$1204,$Q163))</f>
        <v/>
      </c>
      <c r="D163" s="55" t="str">
        <f>IF($Q163="","",INDEX(TRANSACTIONS_MASTER!$E$5:$E$1204,$Q163))</f>
        <v/>
      </c>
      <c r="E163" s="55" t="str">
        <f>IF($Q163="","",INDEX(TRANSACTIONS_MASTER!$G$5:$G$1204,$Q163)&amp;"")</f>
        <v/>
      </c>
      <c r="F163" s="29" t="str">
        <f>IF($Q163="","",INDEX(TRANSACTIONS_MASTER!$I$5:$I$1204,$Q163))</f>
        <v/>
      </c>
      <c r="G163" s="55" t="str">
        <f>IF($Q163="","",INDEX(TRANSACTIONS_MASTER!$K$5:$K$1204,$Q163))</f>
        <v/>
      </c>
      <c r="H163" s="25" t="str">
        <f>IF($Q163="","",INDEX(TRANSACTIONS_MASTER!$L$5:$L$1204,$Q163))</f>
        <v/>
      </c>
      <c r="I163" s="56" t="str">
        <f>IF($Q163="","",INDEX(TRANSACTIONS_MASTER!$N$5:$N$1204,$Q163))</f>
        <v/>
      </c>
      <c r="J163" s="25" t="str">
        <f>IF($Q163="","",INDEX(TRANSACTIONS_MASTER!$O$5:$O$1204,$Q163))</f>
        <v/>
      </c>
      <c r="K163" s="26" t="str">
        <f>IF($Q163="","",INDEX(TRANSACTIONS_MASTER!$Q$5:$Q$1204,$Q163))</f>
        <v/>
      </c>
      <c r="L163" s="25" t="str">
        <f>IF($Q163="","",INDEX(TRANSACTIONS_MASTER!$P$5:$P$1204,$Q163))</f>
        <v/>
      </c>
      <c r="M163" s="25" t="str">
        <f>IF($Q163="","",INDEX(TRANSACTIONS_MASTER!$AA$5:$AA$1204,$Q163))</f>
        <v/>
      </c>
      <c r="N163" s="25" t="str">
        <f>IF($Q163="","",INDEX(TRANSACTIONS_MASTER!$R$5:$R$1204,$Q163))</f>
        <v/>
      </c>
      <c r="O163" s="28" t="str">
        <f>IF($Q163="","",INDEX(TRANSACTIONS_MASTER!$AB$5:$AB$1204,$Q163))</f>
        <v/>
      </c>
      <c r="P163" s="55" t="str">
        <f>IF($Q163="","",INDEX(TRANSACTIONS_MASTER!$Z$5:$Z$1204,$Q163)&amp;"")</f>
        <v/>
      </c>
      <c r="Q163" s="67" t="str">
        <f>IFERROR(MATCH($C$2&amp;"|"&amp;156,TRANSACTIONS_MASTER!$AE$5:$AE$1204,0),"")</f>
        <v/>
      </c>
      <c r="S163" s="67">
        <f>IFERROR(MATCH(1,INDEX((TRANSACTIONS_MASTER!$C$5:$C$1204=$C$2)*(TRANSACTIONS_MASTER!$AN$5:$AN$1204=5),0),0),"")</f>
        <v>5</v>
      </c>
      <c r="T163" s="55" t="n"/>
      <c r="U163" s="55" t="str">
        <f>IF($S163="","",INDEX(TRANSACTIONS_MASTER!$G$5:$G$1204,$S163)&amp;"")</f>
        <v>Petrolimex</v>
      </c>
      <c r="V163" s="25">
        <f>IF($S163="","",SUMIFS(TRANSACTIONS_MASTER!$L$5:$L$1204,TRANSACTIONS_MASTER!$G$5:$G$1204,$U163,TRANSACTIONS_MASTER!$C$5:$C$1204,$C$2,TRANSACTIONS_MASTER!$U$5:$U$1204,"&lt;&gt;Cancelled"))</f>
        <v>1200000</v>
      </c>
      <c r="W163" s="26">
        <f>IF($S163="","",SUMIFS(TRANSACTIONS_MASTER!$Q$5:$Q$1204,TRANSACTIONS_MASTER!$G$5:$G$1204,$U163,TRANSACTIONS_MASTER!$C$5:$C$1204,$C$2))</f>
        <v>60000</v>
      </c>
    </row>
    <row r="164">
      <c r="A164" s="81" t="str">
        <f>IF($Q164="","",157)</f>
        <v/>
      </c>
      <c r="B164" s="57" t="str">
        <f>IF($Q164="","",INDEX(TRANSACTIONS_MASTER!$B$5:$B$1204,$Q164))</f>
        <v/>
      </c>
      <c r="C164" s="55" t="str">
        <f>IF($Q164="","",INDEX(TRANSACTIONS_MASTER!$F$5:$F$1204,$Q164))</f>
        <v/>
      </c>
      <c r="D164" s="55" t="str">
        <f>IF($Q164="","",INDEX(TRANSACTIONS_MASTER!$E$5:$E$1204,$Q164))</f>
        <v/>
      </c>
      <c r="E164" s="55" t="str">
        <f>IF($Q164="","",INDEX(TRANSACTIONS_MASTER!$G$5:$G$1204,$Q164)&amp;"")</f>
        <v/>
      </c>
      <c r="F164" s="29" t="str">
        <f>IF($Q164="","",INDEX(TRANSACTIONS_MASTER!$I$5:$I$1204,$Q164))</f>
        <v/>
      </c>
      <c r="G164" s="55" t="str">
        <f>IF($Q164="","",INDEX(TRANSACTIONS_MASTER!$K$5:$K$1204,$Q164))</f>
        <v/>
      </c>
      <c r="H164" s="25" t="str">
        <f>IF($Q164="","",INDEX(TRANSACTIONS_MASTER!$L$5:$L$1204,$Q164))</f>
        <v/>
      </c>
      <c r="I164" s="56" t="str">
        <f>IF($Q164="","",INDEX(TRANSACTIONS_MASTER!$N$5:$N$1204,$Q164))</f>
        <v/>
      </c>
      <c r="J164" s="25" t="str">
        <f>IF($Q164="","",INDEX(TRANSACTIONS_MASTER!$O$5:$O$1204,$Q164))</f>
        <v/>
      </c>
      <c r="K164" s="26" t="str">
        <f>IF($Q164="","",INDEX(TRANSACTIONS_MASTER!$Q$5:$Q$1204,$Q164))</f>
        <v/>
      </c>
      <c r="L164" s="25" t="str">
        <f>IF($Q164="","",INDEX(TRANSACTIONS_MASTER!$P$5:$P$1204,$Q164))</f>
        <v/>
      </c>
      <c r="M164" s="25" t="str">
        <f>IF($Q164="","",INDEX(TRANSACTIONS_MASTER!$AA$5:$AA$1204,$Q164))</f>
        <v/>
      </c>
      <c r="N164" s="25" t="str">
        <f>IF($Q164="","",INDEX(TRANSACTIONS_MASTER!$R$5:$R$1204,$Q164))</f>
        <v/>
      </c>
      <c r="O164" s="28" t="str">
        <f>IF($Q164="","",INDEX(TRANSACTIONS_MASTER!$AB$5:$AB$1204,$Q164))</f>
        <v/>
      </c>
      <c r="P164" s="55" t="str">
        <f>IF($Q164="","",INDEX(TRANSACTIONS_MASTER!$Z$5:$Z$1204,$Q164)&amp;"")</f>
        <v/>
      </c>
      <c r="Q164" s="67" t="str">
        <f>IFERROR(MATCH($C$2&amp;"|"&amp;157,TRANSACTIONS_MASTER!$AE$5:$AE$1204,0),"")</f>
        <v/>
      </c>
      <c r="S164" s="67">
        <f>IFERROR(MATCH(1,INDEX((TRANSACTIONS_MASTER!$C$5:$C$1204=$C$2)*(TRANSACTIONS_MASTER!$AN$5:$AN$1204=6),0),0),"")</f>
        <v>6</v>
      </c>
      <c r="T164" s="55" t="n"/>
      <c r="U164" s="55" t="str">
        <f>IF($S164="","",INDEX(TRANSACTIONS_MASTER!$G$5:$G$1204,$S164)&amp;"")</f>
        <v>Co.opmart</v>
      </c>
      <c r="V164" s="25">
        <f>IF($S164="","",SUMIFS(TRANSACTIONS_MASTER!$L$5:$L$1204,TRANSACTIONS_MASTER!$G$5:$G$1204,$U164,TRANSACTIONS_MASTER!$C$5:$C$1204,$C$2,TRANSACTIONS_MASTER!$U$5:$U$1204,"&lt;&gt;Cancelled"))</f>
        <v>800000</v>
      </c>
      <c r="W164" s="26">
        <f>IF($S164="","",SUMIFS(TRANSACTIONS_MASTER!$Q$5:$Q$1204,TRANSACTIONS_MASTER!$G$5:$G$1204,$U164,TRANSACTIONS_MASTER!$C$5:$C$1204,$C$2))</f>
        <v>16000</v>
      </c>
    </row>
    <row r="165">
      <c r="A165" s="81" t="str">
        <f>IF($Q165="","",158)</f>
        <v/>
      </c>
      <c r="B165" s="57" t="str">
        <f>IF($Q165="","",INDEX(TRANSACTIONS_MASTER!$B$5:$B$1204,$Q165))</f>
        <v/>
      </c>
      <c r="C165" s="55" t="str">
        <f>IF($Q165="","",INDEX(TRANSACTIONS_MASTER!$F$5:$F$1204,$Q165))</f>
        <v/>
      </c>
      <c r="D165" s="55" t="str">
        <f>IF($Q165="","",INDEX(TRANSACTIONS_MASTER!$E$5:$E$1204,$Q165))</f>
        <v/>
      </c>
      <c r="E165" s="55" t="str">
        <f>IF($Q165="","",INDEX(TRANSACTIONS_MASTER!$G$5:$G$1204,$Q165)&amp;"")</f>
        <v/>
      </c>
      <c r="F165" s="29" t="str">
        <f>IF($Q165="","",INDEX(TRANSACTIONS_MASTER!$I$5:$I$1204,$Q165))</f>
        <v/>
      </c>
      <c r="G165" s="55" t="str">
        <f>IF($Q165="","",INDEX(TRANSACTIONS_MASTER!$K$5:$K$1204,$Q165))</f>
        <v/>
      </c>
      <c r="H165" s="25" t="str">
        <f>IF($Q165="","",INDEX(TRANSACTIONS_MASTER!$L$5:$L$1204,$Q165))</f>
        <v/>
      </c>
      <c r="I165" s="56" t="str">
        <f>IF($Q165="","",INDEX(TRANSACTIONS_MASTER!$N$5:$N$1204,$Q165))</f>
        <v/>
      </c>
      <c r="J165" s="25" t="str">
        <f>IF($Q165="","",INDEX(TRANSACTIONS_MASTER!$O$5:$O$1204,$Q165))</f>
        <v/>
      </c>
      <c r="K165" s="26" t="str">
        <f>IF($Q165="","",INDEX(TRANSACTIONS_MASTER!$Q$5:$Q$1204,$Q165))</f>
        <v/>
      </c>
      <c r="L165" s="25" t="str">
        <f>IF($Q165="","",INDEX(TRANSACTIONS_MASTER!$P$5:$P$1204,$Q165))</f>
        <v/>
      </c>
      <c r="M165" s="25" t="str">
        <f>IF($Q165="","",INDEX(TRANSACTIONS_MASTER!$AA$5:$AA$1204,$Q165))</f>
        <v/>
      </c>
      <c r="N165" s="25" t="str">
        <f>IF($Q165="","",INDEX(TRANSACTIONS_MASTER!$R$5:$R$1204,$Q165))</f>
        <v/>
      </c>
      <c r="O165" s="28" t="str">
        <f>IF($Q165="","",INDEX(TRANSACTIONS_MASTER!$AB$5:$AB$1204,$Q165))</f>
        <v/>
      </c>
      <c r="P165" s="55" t="str">
        <f>IF($Q165="","",INDEX(TRANSACTIONS_MASTER!$Z$5:$Z$1204,$Q165)&amp;"")</f>
        <v/>
      </c>
      <c r="Q165" s="67" t="str">
        <f>IFERROR(MATCH($C$2&amp;"|"&amp;158,TRANSACTIONS_MASTER!$AE$5:$AE$1204,0),"")</f>
        <v/>
      </c>
      <c r="S165" s="67" t="str">
        <f>IFERROR(MATCH(1,INDEX((TRANSACTIONS_MASTER!$C$5:$C$1204=$C$2)*(TRANSACTIONS_MASTER!$AN$5:$AN$1204=7),0),0),"")</f>
        <v/>
      </c>
      <c r="T165" s="55" t="n"/>
      <c r="U165" s="55" t="str">
        <f>IF($S165="","",INDEX(TRANSACTIONS_MASTER!$G$5:$G$1204,$S165)&amp;"")</f>
        <v/>
      </c>
      <c r="V165" s="25" t="str">
        <f>IF($S165="","",SUMIFS(TRANSACTIONS_MASTER!$L$5:$L$1204,TRANSACTIONS_MASTER!$G$5:$G$1204,$U165,TRANSACTIONS_MASTER!$C$5:$C$1204,$C$2,TRANSACTIONS_MASTER!$U$5:$U$1204,"&lt;&gt;Cancelled"))</f>
        <v/>
      </c>
      <c r="W165" s="26" t="str">
        <f>IF($S165="","",SUMIFS(TRANSACTIONS_MASTER!$Q$5:$Q$1204,TRANSACTIONS_MASTER!$G$5:$G$1204,$U165,TRANSACTIONS_MASTER!$C$5:$C$1204,$C$2))</f>
        <v/>
      </c>
    </row>
    <row r="166">
      <c r="A166" s="81" t="str">
        <f>IF($Q166="","",159)</f>
        <v/>
      </c>
      <c r="B166" s="57" t="str">
        <f>IF($Q166="","",INDEX(TRANSACTIONS_MASTER!$B$5:$B$1204,$Q166))</f>
        <v/>
      </c>
      <c r="C166" s="55" t="str">
        <f>IF($Q166="","",INDEX(TRANSACTIONS_MASTER!$F$5:$F$1204,$Q166))</f>
        <v/>
      </c>
      <c r="D166" s="55" t="str">
        <f>IF($Q166="","",INDEX(TRANSACTIONS_MASTER!$E$5:$E$1204,$Q166))</f>
        <v/>
      </c>
      <c r="E166" s="55" t="str">
        <f>IF($Q166="","",INDEX(TRANSACTIONS_MASTER!$G$5:$G$1204,$Q166)&amp;"")</f>
        <v/>
      </c>
      <c r="F166" s="29" t="str">
        <f>IF($Q166="","",INDEX(TRANSACTIONS_MASTER!$I$5:$I$1204,$Q166))</f>
        <v/>
      </c>
      <c r="G166" s="55" t="str">
        <f>IF($Q166="","",INDEX(TRANSACTIONS_MASTER!$K$5:$K$1204,$Q166))</f>
        <v/>
      </c>
      <c r="H166" s="25" t="str">
        <f>IF($Q166="","",INDEX(TRANSACTIONS_MASTER!$L$5:$L$1204,$Q166))</f>
        <v/>
      </c>
      <c r="I166" s="56" t="str">
        <f>IF($Q166="","",INDEX(TRANSACTIONS_MASTER!$N$5:$N$1204,$Q166))</f>
        <v/>
      </c>
      <c r="J166" s="25" t="str">
        <f>IF($Q166="","",INDEX(TRANSACTIONS_MASTER!$O$5:$O$1204,$Q166))</f>
        <v/>
      </c>
      <c r="K166" s="26" t="str">
        <f>IF($Q166="","",INDEX(TRANSACTIONS_MASTER!$Q$5:$Q$1204,$Q166))</f>
        <v/>
      </c>
      <c r="L166" s="25" t="str">
        <f>IF($Q166="","",INDEX(TRANSACTIONS_MASTER!$P$5:$P$1204,$Q166))</f>
        <v/>
      </c>
      <c r="M166" s="25" t="str">
        <f>IF($Q166="","",INDEX(TRANSACTIONS_MASTER!$AA$5:$AA$1204,$Q166))</f>
        <v/>
      </c>
      <c r="N166" s="25" t="str">
        <f>IF($Q166="","",INDEX(TRANSACTIONS_MASTER!$R$5:$R$1204,$Q166))</f>
        <v/>
      </c>
      <c r="O166" s="28" t="str">
        <f>IF($Q166="","",INDEX(TRANSACTIONS_MASTER!$AB$5:$AB$1204,$Q166))</f>
        <v/>
      </c>
      <c r="P166" s="55" t="str">
        <f>IF($Q166="","",INDEX(TRANSACTIONS_MASTER!$Z$5:$Z$1204,$Q166)&amp;"")</f>
        <v/>
      </c>
      <c r="Q166" s="67" t="str">
        <f>IFERROR(MATCH($C$2&amp;"|"&amp;159,TRANSACTIONS_MASTER!$AE$5:$AE$1204,0),"")</f>
        <v/>
      </c>
      <c r="S166" s="67" t="str">
        <f>IFERROR(MATCH(1,INDEX((TRANSACTIONS_MASTER!$C$5:$C$1204=$C$2)*(TRANSACTIONS_MASTER!$AN$5:$AN$1204=8),0),0),"")</f>
        <v/>
      </c>
      <c r="T166" s="55" t="n"/>
      <c r="U166" s="55" t="str">
        <f>IF($S166="","",INDEX(TRANSACTIONS_MASTER!$G$5:$G$1204,$S166)&amp;"")</f>
        <v/>
      </c>
      <c r="V166" s="25" t="str">
        <f>IF($S166="","",SUMIFS(TRANSACTIONS_MASTER!$L$5:$L$1204,TRANSACTIONS_MASTER!$G$5:$G$1204,$U166,TRANSACTIONS_MASTER!$C$5:$C$1204,$C$2,TRANSACTIONS_MASTER!$U$5:$U$1204,"&lt;&gt;Cancelled"))</f>
        <v/>
      </c>
      <c r="W166" s="26" t="str">
        <f>IF($S166="","",SUMIFS(TRANSACTIONS_MASTER!$Q$5:$Q$1204,TRANSACTIONS_MASTER!$G$5:$G$1204,$U166,TRANSACTIONS_MASTER!$C$5:$C$1204,$C$2))</f>
        <v/>
      </c>
    </row>
    <row r="167">
      <c r="A167" s="81" t="str">
        <f>IF($Q167="","",160)</f>
        <v/>
      </c>
      <c r="B167" s="57" t="str">
        <f>IF($Q167="","",INDEX(TRANSACTIONS_MASTER!$B$5:$B$1204,$Q167))</f>
        <v/>
      </c>
      <c r="C167" s="55" t="str">
        <f>IF($Q167="","",INDEX(TRANSACTIONS_MASTER!$F$5:$F$1204,$Q167))</f>
        <v/>
      </c>
      <c r="D167" s="55" t="str">
        <f>IF($Q167="","",INDEX(TRANSACTIONS_MASTER!$E$5:$E$1204,$Q167))</f>
        <v/>
      </c>
      <c r="E167" s="55" t="str">
        <f>IF($Q167="","",INDEX(TRANSACTIONS_MASTER!$G$5:$G$1204,$Q167)&amp;"")</f>
        <v/>
      </c>
      <c r="F167" s="29" t="str">
        <f>IF($Q167="","",INDEX(TRANSACTIONS_MASTER!$I$5:$I$1204,$Q167))</f>
        <v/>
      </c>
      <c r="G167" s="55" t="str">
        <f>IF($Q167="","",INDEX(TRANSACTIONS_MASTER!$K$5:$K$1204,$Q167))</f>
        <v/>
      </c>
      <c r="H167" s="25" t="str">
        <f>IF($Q167="","",INDEX(TRANSACTIONS_MASTER!$L$5:$L$1204,$Q167))</f>
        <v/>
      </c>
      <c r="I167" s="56" t="str">
        <f>IF($Q167="","",INDEX(TRANSACTIONS_MASTER!$N$5:$N$1204,$Q167))</f>
        <v/>
      </c>
      <c r="J167" s="25" t="str">
        <f>IF($Q167="","",INDEX(TRANSACTIONS_MASTER!$O$5:$O$1204,$Q167))</f>
        <v/>
      </c>
      <c r="K167" s="26" t="str">
        <f>IF($Q167="","",INDEX(TRANSACTIONS_MASTER!$Q$5:$Q$1204,$Q167))</f>
        <v/>
      </c>
      <c r="L167" s="25" t="str">
        <f>IF($Q167="","",INDEX(TRANSACTIONS_MASTER!$P$5:$P$1204,$Q167))</f>
        <v/>
      </c>
      <c r="M167" s="25" t="str">
        <f>IF($Q167="","",INDEX(TRANSACTIONS_MASTER!$AA$5:$AA$1204,$Q167))</f>
        <v/>
      </c>
      <c r="N167" s="25" t="str">
        <f>IF($Q167="","",INDEX(TRANSACTIONS_MASTER!$R$5:$R$1204,$Q167))</f>
        <v/>
      </c>
      <c r="O167" s="28" t="str">
        <f>IF($Q167="","",INDEX(TRANSACTIONS_MASTER!$AB$5:$AB$1204,$Q167))</f>
        <v/>
      </c>
      <c r="P167" s="55" t="str">
        <f>IF($Q167="","",INDEX(TRANSACTIONS_MASTER!$Z$5:$Z$1204,$Q167)&amp;"")</f>
        <v/>
      </c>
      <c r="Q167" s="67" t="str">
        <f>IFERROR(MATCH($C$2&amp;"|"&amp;160,TRANSACTIONS_MASTER!$AE$5:$AE$1204,0),"")</f>
        <v/>
      </c>
      <c r="S167" s="67" t="str">
        <f>IFERROR(MATCH(1,INDEX((TRANSACTIONS_MASTER!$C$5:$C$1204=$C$2)*(TRANSACTIONS_MASTER!$AN$5:$AN$1204=9),0),0),"")</f>
        <v/>
      </c>
      <c r="T167" s="55" t="n"/>
      <c r="U167" s="55" t="str">
        <f>IF($S167="","",INDEX(TRANSACTIONS_MASTER!$G$5:$G$1204,$S167)&amp;"")</f>
        <v/>
      </c>
      <c r="V167" s="25" t="str">
        <f>IF($S167="","",SUMIFS(TRANSACTIONS_MASTER!$L$5:$L$1204,TRANSACTIONS_MASTER!$G$5:$G$1204,$U167,TRANSACTIONS_MASTER!$C$5:$C$1204,$C$2,TRANSACTIONS_MASTER!$U$5:$U$1204,"&lt;&gt;Cancelled"))</f>
        <v/>
      </c>
      <c r="W167" s="26" t="str">
        <f>IF($S167="","",SUMIFS(TRANSACTIONS_MASTER!$Q$5:$Q$1204,TRANSACTIONS_MASTER!$G$5:$G$1204,$U167,TRANSACTIONS_MASTER!$C$5:$C$1204,$C$2))</f>
        <v/>
      </c>
    </row>
    <row r="168">
      <c r="A168" s="81" t="str">
        <f>IF($Q168="","",161)</f>
        <v/>
      </c>
      <c r="B168" s="57" t="str">
        <f>IF($Q168="","",INDEX(TRANSACTIONS_MASTER!$B$5:$B$1204,$Q168))</f>
        <v/>
      </c>
      <c r="C168" s="55" t="str">
        <f>IF($Q168="","",INDEX(TRANSACTIONS_MASTER!$F$5:$F$1204,$Q168))</f>
        <v/>
      </c>
      <c r="D168" s="55" t="str">
        <f>IF($Q168="","",INDEX(TRANSACTIONS_MASTER!$E$5:$E$1204,$Q168))</f>
        <v/>
      </c>
      <c r="E168" s="55" t="str">
        <f>IF($Q168="","",INDEX(TRANSACTIONS_MASTER!$G$5:$G$1204,$Q168)&amp;"")</f>
        <v/>
      </c>
      <c r="F168" s="29" t="str">
        <f>IF($Q168="","",INDEX(TRANSACTIONS_MASTER!$I$5:$I$1204,$Q168))</f>
        <v/>
      </c>
      <c r="G168" s="55" t="str">
        <f>IF($Q168="","",INDEX(TRANSACTIONS_MASTER!$K$5:$K$1204,$Q168))</f>
        <v/>
      </c>
      <c r="H168" s="25" t="str">
        <f>IF($Q168="","",INDEX(TRANSACTIONS_MASTER!$L$5:$L$1204,$Q168))</f>
        <v/>
      </c>
      <c r="I168" s="56" t="str">
        <f>IF($Q168="","",INDEX(TRANSACTIONS_MASTER!$N$5:$N$1204,$Q168))</f>
        <v/>
      </c>
      <c r="J168" s="25" t="str">
        <f>IF($Q168="","",INDEX(TRANSACTIONS_MASTER!$O$5:$O$1204,$Q168))</f>
        <v/>
      </c>
      <c r="K168" s="26" t="str">
        <f>IF($Q168="","",INDEX(TRANSACTIONS_MASTER!$Q$5:$Q$1204,$Q168))</f>
        <v/>
      </c>
      <c r="L168" s="25" t="str">
        <f>IF($Q168="","",INDEX(TRANSACTIONS_MASTER!$P$5:$P$1204,$Q168))</f>
        <v/>
      </c>
      <c r="M168" s="25" t="str">
        <f>IF($Q168="","",INDEX(TRANSACTIONS_MASTER!$AA$5:$AA$1204,$Q168))</f>
        <v/>
      </c>
      <c r="N168" s="25" t="str">
        <f>IF($Q168="","",INDEX(TRANSACTIONS_MASTER!$R$5:$R$1204,$Q168))</f>
        <v/>
      </c>
      <c r="O168" s="28" t="str">
        <f>IF($Q168="","",INDEX(TRANSACTIONS_MASTER!$AB$5:$AB$1204,$Q168))</f>
        <v/>
      </c>
      <c r="P168" s="55" t="str">
        <f>IF($Q168="","",INDEX(TRANSACTIONS_MASTER!$Z$5:$Z$1204,$Q168)&amp;"")</f>
        <v/>
      </c>
      <c r="Q168" s="67" t="str">
        <f>IFERROR(MATCH($C$2&amp;"|"&amp;161,TRANSACTIONS_MASTER!$AE$5:$AE$1204,0),"")</f>
        <v/>
      </c>
      <c r="S168" s="67" t="str">
        <f>IFERROR(MATCH(1,INDEX((TRANSACTIONS_MASTER!$C$5:$C$1204=$C$2)*(TRANSACTIONS_MASTER!$AN$5:$AN$1204=10),0),0),"")</f>
        <v/>
      </c>
      <c r="T168" s="55" t="n"/>
      <c r="U168" s="55" t="str">
        <f>IF($S168="","",INDEX(TRANSACTIONS_MASTER!$G$5:$G$1204,$S168)&amp;"")</f>
        <v/>
      </c>
      <c r="V168" s="25" t="str">
        <f>IF($S168="","",SUMIFS(TRANSACTIONS_MASTER!$L$5:$L$1204,TRANSACTIONS_MASTER!$G$5:$G$1204,$U168,TRANSACTIONS_MASTER!$C$5:$C$1204,$C$2,TRANSACTIONS_MASTER!$U$5:$U$1204,"&lt;&gt;Cancelled"))</f>
        <v/>
      </c>
      <c r="W168" s="26" t="str">
        <f>IF($S168="","",SUMIFS(TRANSACTIONS_MASTER!$Q$5:$Q$1204,TRANSACTIONS_MASTER!$G$5:$G$1204,$U168,TRANSACTIONS_MASTER!$C$5:$C$1204,$C$2))</f>
        <v/>
      </c>
    </row>
    <row r="169">
      <c r="A169" s="81" t="str">
        <f>IF($Q169="","",162)</f>
        <v/>
      </c>
      <c r="B169" s="57" t="str">
        <f>IF($Q169="","",INDEX(TRANSACTIONS_MASTER!$B$5:$B$1204,$Q169))</f>
        <v/>
      </c>
      <c r="C169" s="55" t="str">
        <f>IF($Q169="","",INDEX(TRANSACTIONS_MASTER!$F$5:$F$1204,$Q169))</f>
        <v/>
      </c>
      <c r="D169" s="55" t="str">
        <f>IF($Q169="","",INDEX(TRANSACTIONS_MASTER!$E$5:$E$1204,$Q169))</f>
        <v/>
      </c>
      <c r="E169" s="55" t="str">
        <f>IF($Q169="","",INDEX(TRANSACTIONS_MASTER!$G$5:$G$1204,$Q169)&amp;"")</f>
        <v/>
      </c>
      <c r="F169" s="29" t="str">
        <f>IF($Q169="","",INDEX(TRANSACTIONS_MASTER!$I$5:$I$1204,$Q169))</f>
        <v/>
      </c>
      <c r="G169" s="55" t="str">
        <f>IF($Q169="","",INDEX(TRANSACTIONS_MASTER!$K$5:$K$1204,$Q169))</f>
        <v/>
      </c>
      <c r="H169" s="25" t="str">
        <f>IF($Q169="","",INDEX(TRANSACTIONS_MASTER!$L$5:$L$1204,$Q169))</f>
        <v/>
      </c>
      <c r="I169" s="56" t="str">
        <f>IF($Q169="","",INDEX(TRANSACTIONS_MASTER!$N$5:$N$1204,$Q169))</f>
        <v/>
      </c>
      <c r="J169" s="25" t="str">
        <f>IF($Q169="","",INDEX(TRANSACTIONS_MASTER!$O$5:$O$1204,$Q169))</f>
        <v/>
      </c>
      <c r="K169" s="26" t="str">
        <f>IF($Q169="","",INDEX(TRANSACTIONS_MASTER!$Q$5:$Q$1204,$Q169))</f>
        <v/>
      </c>
      <c r="L169" s="25" t="str">
        <f>IF($Q169="","",INDEX(TRANSACTIONS_MASTER!$P$5:$P$1204,$Q169))</f>
        <v/>
      </c>
      <c r="M169" s="25" t="str">
        <f>IF($Q169="","",INDEX(TRANSACTIONS_MASTER!$AA$5:$AA$1204,$Q169))</f>
        <v/>
      </c>
      <c r="N169" s="25" t="str">
        <f>IF($Q169="","",INDEX(TRANSACTIONS_MASTER!$R$5:$R$1204,$Q169))</f>
        <v/>
      </c>
      <c r="O169" s="28" t="str">
        <f>IF($Q169="","",INDEX(TRANSACTIONS_MASTER!$AB$5:$AB$1204,$Q169))</f>
        <v/>
      </c>
      <c r="P169" s="55" t="str">
        <f>IF($Q169="","",INDEX(TRANSACTIONS_MASTER!$Z$5:$Z$1204,$Q169)&amp;"")</f>
        <v/>
      </c>
      <c r="Q169" s="67" t="str">
        <f>IFERROR(MATCH($C$2&amp;"|"&amp;162,TRANSACTIONS_MASTER!$AE$5:$AE$1204,0),"")</f>
        <v/>
      </c>
      <c r="S169" s="67" t="str">
        <f>IFERROR(MATCH(1,INDEX((TRANSACTIONS_MASTER!$C$5:$C$1204=$C$2)*(TRANSACTIONS_MASTER!$AN$5:$AN$1204=11),0),0),"")</f>
        <v/>
      </c>
      <c r="T169" s="55" t="n"/>
      <c r="U169" s="55" t="str">
        <f>IF($S169="","",INDEX(TRANSACTIONS_MASTER!$G$5:$G$1204,$S169)&amp;"")</f>
        <v/>
      </c>
      <c r="V169" s="25" t="str">
        <f>IF($S169="","",SUMIFS(TRANSACTIONS_MASTER!$L$5:$L$1204,TRANSACTIONS_MASTER!$G$5:$G$1204,$U169,TRANSACTIONS_MASTER!$C$5:$C$1204,$C$2,TRANSACTIONS_MASTER!$U$5:$U$1204,"&lt;&gt;Cancelled"))</f>
        <v/>
      </c>
      <c r="W169" s="26" t="str">
        <f>IF($S169="","",SUMIFS(TRANSACTIONS_MASTER!$Q$5:$Q$1204,TRANSACTIONS_MASTER!$G$5:$G$1204,$U169,TRANSACTIONS_MASTER!$C$5:$C$1204,$C$2))</f>
        <v/>
      </c>
    </row>
    <row r="170">
      <c r="A170" s="81" t="str">
        <f>IF($Q170="","",163)</f>
        <v/>
      </c>
      <c r="B170" s="57" t="str">
        <f>IF($Q170="","",INDEX(TRANSACTIONS_MASTER!$B$5:$B$1204,$Q170))</f>
        <v/>
      </c>
      <c r="C170" s="55" t="str">
        <f>IF($Q170="","",INDEX(TRANSACTIONS_MASTER!$F$5:$F$1204,$Q170))</f>
        <v/>
      </c>
      <c r="D170" s="55" t="str">
        <f>IF($Q170="","",INDEX(TRANSACTIONS_MASTER!$E$5:$E$1204,$Q170))</f>
        <v/>
      </c>
      <c r="E170" s="55" t="str">
        <f>IF($Q170="","",INDEX(TRANSACTIONS_MASTER!$G$5:$G$1204,$Q170)&amp;"")</f>
        <v/>
      </c>
      <c r="F170" s="29" t="str">
        <f>IF($Q170="","",INDEX(TRANSACTIONS_MASTER!$I$5:$I$1204,$Q170))</f>
        <v/>
      </c>
      <c r="G170" s="55" t="str">
        <f>IF($Q170="","",INDEX(TRANSACTIONS_MASTER!$K$5:$K$1204,$Q170))</f>
        <v/>
      </c>
      <c r="H170" s="25" t="str">
        <f>IF($Q170="","",INDEX(TRANSACTIONS_MASTER!$L$5:$L$1204,$Q170))</f>
        <v/>
      </c>
      <c r="I170" s="56" t="str">
        <f>IF($Q170="","",INDEX(TRANSACTIONS_MASTER!$N$5:$N$1204,$Q170))</f>
        <v/>
      </c>
      <c r="J170" s="25" t="str">
        <f>IF($Q170="","",INDEX(TRANSACTIONS_MASTER!$O$5:$O$1204,$Q170))</f>
        <v/>
      </c>
      <c r="K170" s="26" t="str">
        <f>IF($Q170="","",INDEX(TRANSACTIONS_MASTER!$Q$5:$Q$1204,$Q170))</f>
        <v/>
      </c>
      <c r="L170" s="25" t="str">
        <f>IF($Q170="","",INDEX(TRANSACTIONS_MASTER!$P$5:$P$1204,$Q170))</f>
        <v/>
      </c>
      <c r="M170" s="25" t="str">
        <f>IF($Q170="","",INDEX(TRANSACTIONS_MASTER!$AA$5:$AA$1204,$Q170))</f>
        <v/>
      </c>
      <c r="N170" s="25" t="str">
        <f>IF($Q170="","",INDEX(TRANSACTIONS_MASTER!$R$5:$R$1204,$Q170))</f>
        <v/>
      </c>
      <c r="O170" s="28" t="str">
        <f>IF($Q170="","",INDEX(TRANSACTIONS_MASTER!$AB$5:$AB$1204,$Q170))</f>
        <v/>
      </c>
      <c r="P170" s="55" t="str">
        <f>IF($Q170="","",INDEX(TRANSACTIONS_MASTER!$Z$5:$Z$1204,$Q170)&amp;"")</f>
        <v/>
      </c>
      <c r="Q170" s="67" t="str">
        <f>IFERROR(MATCH($C$2&amp;"|"&amp;163,TRANSACTIONS_MASTER!$AE$5:$AE$1204,0),"")</f>
        <v/>
      </c>
      <c r="S170" s="67" t="str">
        <f>IFERROR(MATCH(1,INDEX((TRANSACTIONS_MASTER!$C$5:$C$1204=$C$2)*(TRANSACTIONS_MASTER!$AN$5:$AN$1204=12),0),0),"")</f>
        <v/>
      </c>
      <c r="T170" s="55" t="n"/>
      <c r="U170" s="55" t="str">
        <f>IF($S170="","",INDEX(TRANSACTIONS_MASTER!$G$5:$G$1204,$S170)&amp;"")</f>
        <v/>
      </c>
      <c r="V170" s="25" t="str">
        <f>IF($S170="","",SUMIFS(TRANSACTIONS_MASTER!$L$5:$L$1204,TRANSACTIONS_MASTER!$G$5:$G$1204,$U170,TRANSACTIONS_MASTER!$C$5:$C$1204,$C$2,TRANSACTIONS_MASTER!$U$5:$U$1204,"&lt;&gt;Cancelled"))</f>
        <v/>
      </c>
      <c r="W170" s="26" t="str">
        <f>IF($S170="","",SUMIFS(TRANSACTIONS_MASTER!$Q$5:$Q$1204,TRANSACTIONS_MASTER!$G$5:$G$1204,$U170,TRANSACTIONS_MASTER!$C$5:$C$1204,$C$2))</f>
        <v/>
      </c>
    </row>
    <row r="171">
      <c r="A171" s="81" t="str">
        <f>IF($Q171="","",164)</f>
        <v/>
      </c>
      <c r="B171" s="57" t="str">
        <f>IF($Q171="","",INDEX(TRANSACTIONS_MASTER!$B$5:$B$1204,$Q171))</f>
        <v/>
      </c>
      <c r="C171" s="55" t="str">
        <f>IF($Q171="","",INDEX(TRANSACTIONS_MASTER!$F$5:$F$1204,$Q171))</f>
        <v/>
      </c>
      <c r="D171" s="55" t="str">
        <f>IF($Q171="","",INDEX(TRANSACTIONS_MASTER!$E$5:$E$1204,$Q171))</f>
        <v/>
      </c>
      <c r="E171" s="55" t="str">
        <f>IF($Q171="","",INDEX(TRANSACTIONS_MASTER!$G$5:$G$1204,$Q171)&amp;"")</f>
        <v/>
      </c>
      <c r="F171" s="29" t="str">
        <f>IF($Q171="","",INDEX(TRANSACTIONS_MASTER!$I$5:$I$1204,$Q171))</f>
        <v/>
      </c>
      <c r="G171" s="55" t="str">
        <f>IF($Q171="","",INDEX(TRANSACTIONS_MASTER!$K$5:$K$1204,$Q171))</f>
        <v/>
      </c>
      <c r="H171" s="25" t="str">
        <f>IF($Q171="","",INDEX(TRANSACTIONS_MASTER!$L$5:$L$1204,$Q171))</f>
        <v/>
      </c>
      <c r="I171" s="56" t="str">
        <f>IF($Q171="","",INDEX(TRANSACTIONS_MASTER!$N$5:$N$1204,$Q171))</f>
        <v/>
      </c>
      <c r="J171" s="25" t="str">
        <f>IF($Q171="","",INDEX(TRANSACTIONS_MASTER!$O$5:$O$1204,$Q171))</f>
        <v/>
      </c>
      <c r="K171" s="26" t="str">
        <f>IF($Q171="","",INDEX(TRANSACTIONS_MASTER!$Q$5:$Q$1204,$Q171))</f>
        <v/>
      </c>
      <c r="L171" s="25" t="str">
        <f>IF($Q171="","",INDEX(TRANSACTIONS_MASTER!$P$5:$P$1204,$Q171))</f>
        <v/>
      </c>
      <c r="M171" s="25" t="str">
        <f>IF($Q171="","",INDEX(TRANSACTIONS_MASTER!$AA$5:$AA$1204,$Q171))</f>
        <v/>
      </c>
      <c r="N171" s="25" t="str">
        <f>IF($Q171="","",INDEX(TRANSACTIONS_MASTER!$R$5:$R$1204,$Q171))</f>
        <v/>
      </c>
      <c r="O171" s="28" t="str">
        <f>IF($Q171="","",INDEX(TRANSACTIONS_MASTER!$AB$5:$AB$1204,$Q171))</f>
        <v/>
      </c>
      <c r="P171" s="55" t="str">
        <f>IF($Q171="","",INDEX(TRANSACTIONS_MASTER!$Z$5:$Z$1204,$Q171)&amp;"")</f>
        <v/>
      </c>
      <c r="Q171" s="67" t="str">
        <f>IFERROR(MATCH($C$2&amp;"|"&amp;164,TRANSACTIONS_MASTER!$AE$5:$AE$1204,0),"")</f>
        <v/>
      </c>
      <c r="S171" s="67" t="str">
        <f>IFERROR(MATCH(1,INDEX((TRANSACTIONS_MASTER!$C$5:$C$1204=$C$2)*(TRANSACTIONS_MASTER!$AN$5:$AN$1204=13),0),0),"")</f>
        <v/>
      </c>
      <c r="T171" s="55" t="n"/>
      <c r="U171" s="55" t="str">
        <f>IF($S171="","",INDEX(TRANSACTIONS_MASTER!$G$5:$G$1204,$S171)&amp;"")</f>
        <v/>
      </c>
      <c r="V171" s="25" t="str">
        <f>IF($S171="","",SUMIFS(TRANSACTIONS_MASTER!$L$5:$L$1204,TRANSACTIONS_MASTER!$G$5:$G$1204,$U171,TRANSACTIONS_MASTER!$C$5:$C$1204,$C$2,TRANSACTIONS_MASTER!$U$5:$U$1204,"&lt;&gt;Cancelled"))</f>
        <v/>
      </c>
      <c r="W171" s="26" t="str">
        <f>IF($S171="","",SUMIFS(TRANSACTIONS_MASTER!$Q$5:$Q$1204,TRANSACTIONS_MASTER!$G$5:$G$1204,$U171,TRANSACTIONS_MASTER!$C$5:$C$1204,$C$2))</f>
        <v/>
      </c>
    </row>
    <row r="172">
      <c r="A172" s="81" t="str">
        <f>IF($Q172="","",165)</f>
        <v/>
      </c>
      <c r="B172" s="57" t="str">
        <f>IF($Q172="","",INDEX(TRANSACTIONS_MASTER!$B$5:$B$1204,$Q172))</f>
        <v/>
      </c>
      <c r="C172" s="55" t="str">
        <f>IF($Q172="","",INDEX(TRANSACTIONS_MASTER!$F$5:$F$1204,$Q172))</f>
        <v/>
      </c>
      <c r="D172" s="55" t="str">
        <f>IF($Q172="","",INDEX(TRANSACTIONS_MASTER!$E$5:$E$1204,$Q172))</f>
        <v/>
      </c>
      <c r="E172" s="55" t="str">
        <f>IF($Q172="","",INDEX(TRANSACTIONS_MASTER!$G$5:$G$1204,$Q172)&amp;"")</f>
        <v/>
      </c>
      <c r="F172" s="29" t="str">
        <f>IF($Q172="","",INDEX(TRANSACTIONS_MASTER!$I$5:$I$1204,$Q172))</f>
        <v/>
      </c>
      <c r="G172" s="55" t="str">
        <f>IF($Q172="","",INDEX(TRANSACTIONS_MASTER!$K$5:$K$1204,$Q172))</f>
        <v/>
      </c>
      <c r="H172" s="25" t="str">
        <f>IF($Q172="","",INDEX(TRANSACTIONS_MASTER!$L$5:$L$1204,$Q172))</f>
        <v/>
      </c>
      <c r="I172" s="56" t="str">
        <f>IF($Q172="","",INDEX(TRANSACTIONS_MASTER!$N$5:$N$1204,$Q172))</f>
        <v/>
      </c>
      <c r="J172" s="25" t="str">
        <f>IF($Q172="","",INDEX(TRANSACTIONS_MASTER!$O$5:$O$1204,$Q172))</f>
        <v/>
      </c>
      <c r="K172" s="26" t="str">
        <f>IF($Q172="","",INDEX(TRANSACTIONS_MASTER!$Q$5:$Q$1204,$Q172))</f>
        <v/>
      </c>
      <c r="L172" s="25" t="str">
        <f>IF($Q172="","",INDEX(TRANSACTIONS_MASTER!$P$5:$P$1204,$Q172))</f>
        <v/>
      </c>
      <c r="M172" s="25" t="str">
        <f>IF($Q172="","",INDEX(TRANSACTIONS_MASTER!$AA$5:$AA$1204,$Q172))</f>
        <v/>
      </c>
      <c r="N172" s="25" t="str">
        <f>IF($Q172="","",INDEX(TRANSACTIONS_MASTER!$R$5:$R$1204,$Q172))</f>
        <v/>
      </c>
      <c r="O172" s="28" t="str">
        <f>IF($Q172="","",INDEX(TRANSACTIONS_MASTER!$AB$5:$AB$1204,$Q172))</f>
        <v/>
      </c>
      <c r="P172" s="55" t="str">
        <f>IF($Q172="","",INDEX(TRANSACTIONS_MASTER!$Z$5:$Z$1204,$Q172)&amp;"")</f>
        <v/>
      </c>
      <c r="Q172" s="67" t="str">
        <f>IFERROR(MATCH($C$2&amp;"|"&amp;165,TRANSACTIONS_MASTER!$AE$5:$AE$1204,0),"")</f>
        <v/>
      </c>
      <c r="S172" s="67" t="str">
        <f>IFERROR(MATCH(1,INDEX((TRANSACTIONS_MASTER!$C$5:$C$1204=$C$2)*(TRANSACTIONS_MASTER!$AN$5:$AN$1204=14),0),0),"")</f>
        <v/>
      </c>
      <c r="T172" s="55" t="n"/>
      <c r="U172" s="55" t="str">
        <f>IF($S172="","",INDEX(TRANSACTIONS_MASTER!$G$5:$G$1204,$S172)&amp;"")</f>
        <v/>
      </c>
      <c r="V172" s="25" t="str">
        <f>IF($S172="","",SUMIFS(TRANSACTIONS_MASTER!$L$5:$L$1204,TRANSACTIONS_MASTER!$G$5:$G$1204,$U172,TRANSACTIONS_MASTER!$C$5:$C$1204,$C$2,TRANSACTIONS_MASTER!$U$5:$U$1204,"&lt;&gt;Cancelled"))</f>
        <v/>
      </c>
      <c r="W172" s="26" t="str">
        <f>IF($S172="","",SUMIFS(TRANSACTIONS_MASTER!$Q$5:$Q$1204,TRANSACTIONS_MASTER!$G$5:$G$1204,$U172,TRANSACTIONS_MASTER!$C$5:$C$1204,$C$2))</f>
        <v/>
      </c>
    </row>
    <row r="173">
      <c r="A173" s="81" t="str">
        <f>IF($Q173="","",166)</f>
        <v/>
      </c>
      <c r="B173" s="57" t="str">
        <f>IF($Q173="","",INDEX(TRANSACTIONS_MASTER!$B$5:$B$1204,$Q173))</f>
        <v/>
      </c>
      <c r="C173" s="55" t="str">
        <f>IF($Q173="","",INDEX(TRANSACTIONS_MASTER!$F$5:$F$1204,$Q173))</f>
        <v/>
      </c>
      <c r="D173" s="55" t="str">
        <f>IF($Q173="","",INDEX(TRANSACTIONS_MASTER!$E$5:$E$1204,$Q173))</f>
        <v/>
      </c>
      <c r="E173" s="55" t="str">
        <f>IF($Q173="","",INDEX(TRANSACTIONS_MASTER!$G$5:$G$1204,$Q173)&amp;"")</f>
        <v/>
      </c>
      <c r="F173" s="29" t="str">
        <f>IF($Q173="","",INDEX(TRANSACTIONS_MASTER!$I$5:$I$1204,$Q173))</f>
        <v/>
      </c>
      <c r="G173" s="55" t="str">
        <f>IF($Q173="","",INDEX(TRANSACTIONS_MASTER!$K$5:$K$1204,$Q173))</f>
        <v/>
      </c>
      <c r="H173" s="25" t="str">
        <f>IF($Q173="","",INDEX(TRANSACTIONS_MASTER!$L$5:$L$1204,$Q173))</f>
        <v/>
      </c>
      <c r="I173" s="56" t="str">
        <f>IF($Q173="","",INDEX(TRANSACTIONS_MASTER!$N$5:$N$1204,$Q173))</f>
        <v/>
      </c>
      <c r="J173" s="25" t="str">
        <f>IF($Q173="","",INDEX(TRANSACTIONS_MASTER!$O$5:$O$1204,$Q173))</f>
        <v/>
      </c>
      <c r="K173" s="26" t="str">
        <f>IF($Q173="","",INDEX(TRANSACTIONS_MASTER!$Q$5:$Q$1204,$Q173))</f>
        <v/>
      </c>
      <c r="L173" s="25" t="str">
        <f>IF($Q173="","",INDEX(TRANSACTIONS_MASTER!$P$5:$P$1204,$Q173))</f>
        <v/>
      </c>
      <c r="M173" s="25" t="str">
        <f>IF($Q173="","",INDEX(TRANSACTIONS_MASTER!$AA$5:$AA$1204,$Q173))</f>
        <v/>
      </c>
      <c r="N173" s="25" t="str">
        <f>IF($Q173="","",INDEX(TRANSACTIONS_MASTER!$R$5:$R$1204,$Q173))</f>
        <v/>
      </c>
      <c r="O173" s="28" t="str">
        <f>IF($Q173="","",INDEX(TRANSACTIONS_MASTER!$AB$5:$AB$1204,$Q173))</f>
        <v/>
      </c>
      <c r="P173" s="55" t="str">
        <f>IF($Q173="","",INDEX(TRANSACTIONS_MASTER!$Z$5:$Z$1204,$Q173)&amp;"")</f>
        <v/>
      </c>
      <c r="Q173" s="67" t="str">
        <f>IFERROR(MATCH($C$2&amp;"|"&amp;166,TRANSACTIONS_MASTER!$AE$5:$AE$1204,0),"")</f>
        <v/>
      </c>
      <c r="S173" s="67" t="str">
        <f>IFERROR(MATCH(1,INDEX((TRANSACTIONS_MASTER!$C$5:$C$1204=$C$2)*(TRANSACTIONS_MASTER!$AN$5:$AN$1204=15),0),0),"")</f>
        <v/>
      </c>
      <c r="T173" s="55" t="n"/>
      <c r="U173" s="55" t="str">
        <f>IF($S173="","",INDEX(TRANSACTIONS_MASTER!$G$5:$G$1204,$S173)&amp;"")</f>
        <v/>
      </c>
      <c r="V173" s="25" t="str">
        <f>IF($S173="","",SUMIFS(TRANSACTIONS_MASTER!$L$5:$L$1204,TRANSACTIONS_MASTER!$G$5:$G$1204,$U173,TRANSACTIONS_MASTER!$C$5:$C$1204,$C$2,TRANSACTIONS_MASTER!$U$5:$U$1204,"&lt;&gt;Cancelled"))</f>
        <v/>
      </c>
      <c r="W173" s="26" t="str">
        <f>IF($S173="","",SUMIFS(TRANSACTIONS_MASTER!$Q$5:$Q$1204,TRANSACTIONS_MASTER!$G$5:$G$1204,$U173,TRANSACTIONS_MASTER!$C$5:$C$1204,$C$2))</f>
        <v/>
      </c>
    </row>
    <row r="174">
      <c r="A174" s="81" t="str">
        <f>IF($Q174="","",167)</f>
        <v/>
      </c>
      <c r="B174" s="57" t="str">
        <f>IF($Q174="","",INDEX(TRANSACTIONS_MASTER!$B$5:$B$1204,$Q174))</f>
        <v/>
      </c>
      <c r="C174" s="55" t="str">
        <f>IF($Q174="","",INDEX(TRANSACTIONS_MASTER!$F$5:$F$1204,$Q174))</f>
        <v/>
      </c>
      <c r="D174" s="55" t="str">
        <f>IF($Q174="","",INDEX(TRANSACTIONS_MASTER!$E$5:$E$1204,$Q174))</f>
        <v/>
      </c>
      <c r="E174" s="55" t="str">
        <f>IF($Q174="","",INDEX(TRANSACTIONS_MASTER!$G$5:$G$1204,$Q174)&amp;"")</f>
        <v/>
      </c>
      <c r="F174" s="29" t="str">
        <f>IF($Q174="","",INDEX(TRANSACTIONS_MASTER!$I$5:$I$1204,$Q174))</f>
        <v/>
      </c>
      <c r="G174" s="55" t="str">
        <f>IF($Q174="","",INDEX(TRANSACTIONS_MASTER!$K$5:$K$1204,$Q174))</f>
        <v/>
      </c>
      <c r="H174" s="25" t="str">
        <f>IF($Q174="","",INDEX(TRANSACTIONS_MASTER!$L$5:$L$1204,$Q174))</f>
        <v/>
      </c>
      <c r="I174" s="56" t="str">
        <f>IF($Q174="","",INDEX(TRANSACTIONS_MASTER!$N$5:$N$1204,$Q174))</f>
        <v/>
      </c>
      <c r="J174" s="25" t="str">
        <f>IF($Q174="","",INDEX(TRANSACTIONS_MASTER!$O$5:$O$1204,$Q174))</f>
        <v/>
      </c>
      <c r="K174" s="26" t="str">
        <f>IF($Q174="","",INDEX(TRANSACTIONS_MASTER!$Q$5:$Q$1204,$Q174))</f>
        <v/>
      </c>
      <c r="L174" s="25" t="str">
        <f>IF($Q174="","",INDEX(TRANSACTIONS_MASTER!$P$5:$P$1204,$Q174))</f>
        <v/>
      </c>
      <c r="M174" s="25" t="str">
        <f>IF($Q174="","",INDEX(TRANSACTIONS_MASTER!$AA$5:$AA$1204,$Q174))</f>
        <v/>
      </c>
      <c r="N174" s="25" t="str">
        <f>IF($Q174="","",INDEX(TRANSACTIONS_MASTER!$R$5:$R$1204,$Q174))</f>
        <v/>
      </c>
      <c r="O174" s="28" t="str">
        <f>IF($Q174="","",INDEX(TRANSACTIONS_MASTER!$AB$5:$AB$1204,$Q174))</f>
        <v/>
      </c>
      <c r="P174" s="55" t="str">
        <f>IF($Q174="","",INDEX(TRANSACTIONS_MASTER!$Z$5:$Z$1204,$Q174)&amp;"")</f>
        <v/>
      </c>
      <c r="Q174" s="67" t="str">
        <f>IFERROR(MATCH($C$2&amp;"|"&amp;167,TRANSACTIONS_MASTER!$AE$5:$AE$1204,0),"")</f>
        <v/>
      </c>
      <c r="S174" s="67" t="str">
        <f>IFERROR(MATCH(1,INDEX((TRANSACTIONS_MASTER!$C$5:$C$1204=$C$2)*(TRANSACTIONS_MASTER!$AN$5:$AN$1204=16),0),0),"")</f>
        <v/>
      </c>
      <c r="T174" s="55" t="n"/>
      <c r="U174" s="55" t="str">
        <f>IF($S174="","",INDEX(TRANSACTIONS_MASTER!$G$5:$G$1204,$S174)&amp;"")</f>
        <v/>
      </c>
      <c r="V174" s="25" t="str">
        <f>IF($S174="","",SUMIFS(TRANSACTIONS_MASTER!$L$5:$L$1204,TRANSACTIONS_MASTER!$G$5:$G$1204,$U174,TRANSACTIONS_MASTER!$C$5:$C$1204,$C$2,TRANSACTIONS_MASTER!$U$5:$U$1204,"&lt;&gt;Cancelled"))</f>
        <v/>
      </c>
      <c r="W174" s="26" t="str">
        <f>IF($S174="","",SUMIFS(TRANSACTIONS_MASTER!$Q$5:$Q$1204,TRANSACTIONS_MASTER!$G$5:$G$1204,$U174,TRANSACTIONS_MASTER!$C$5:$C$1204,$C$2))</f>
        <v/>
      </c>
    </row>
    <row r="175">
      <c r="A175" s="81" t="str">
        <f>IF($Q175="","",168)</f>
        <v/>
      </c>
      <c r="B175" s="57" t="str">
        <f>IF($Q175="","",INDEX(TRANSACTIONS_MASTER!$B$5:$B$1204,$Q175))</f>
        <v/>
      </c>
      <c r="C175" s="55" t="str">
        <f>IF($Q175="","",INDEX(TRANSACTIONS_MASTER!$F$5:$F$1204,$Q175))</f>
        <v/>
      </c>
      <c r="D175" s="55" t="str">
        <f>IF($Q175="","",INDEX(TRANSACTIONS_MASTER!$E$5:$E$1204,$Q175))</f>
        <v/>
      </c>
      <c r="E175" s="55" t="str">
        <f>IF($Q175="","",INDEX(TRANSACTIONS_MASTER!$G$5:$G$1204,$Q175)&amp;"")</f>
        <v/>
      </c>
      <c r="F175" s="29" t="str">
        <f>IF($Q175="","",INDEX(TRANSACTIONS_MASTER!$I$5:$I$1204,$Q175))</f>
        <v/>
      </c>
      <c r="G175" s="55" t="str">
        <f>IF($Q175="","",INDEX(TRANSACTIONS_MASTER!$K$5:$K$1204,$Q175))</f>
        <v/>
      </c>
      <c r="H175" s="25" t="str">
        <f>IF($Q175="","",INDEX(TRANSACTIONS_MASTER!$L$5:$L$1204,$Q175))</f>
        <v/>
      </c>
      <c r="I175" s="56" t="str">
        <f>IF($Q175="","",INDEX(TRANSACTIONS_MASTER!$N$5:$N$1204,$Q175))</f>
        <v/>
      </c>
      <c r="J175" s="25" t="str">
        <f>IF($Q175="","",INDEX(TRANSACTIONS_MASTER!$O$5:$O$1204,$Q175))</f>
        <v/>
      </c>
      <c r="K175" s="26" t="str">
        <f>IF($Q175="","",INDEX(TRANSACTIONS_MASTER!$Q$5:$Q$1204,$Q175))</f>
        <v/>
      </c>
      <c r="L175" s="25" t="str">
        <f>IF($Q175="","",INDEX(TRANSACTIONS_MASTER!$P$5:$P$1204,$Q175))</f>
        <v/>
      </c>
      <c r="M175" s="25" t="str">
        <f>IF($Q175="","",INDEX(TRANSACTIONS_MASTER!$AA$5:$AA$1204,$Q175))</f>
        <v/>
      </c>
      <c r="N175" s="25" t="str">
        <f>IF($Q175="","",INDEX(TRANSACTIONS_MASTER!$R$5:$R$1204,$Q175))</f>
        <v/>
      </c>
      <c r="O175" s="28" t="str">
        <f>IF($Q175="","",INDEX(TRANSACTIONS_MASTER!$AB$5:$AB$1204,$Q175))</f>
        <v/>
      </c>
      <c r="P175" s="55" t="str">
        <f>IF($Q175="","",INDEX(TRANSACTIONS_MASTER!$Z$5:$Z$1204,$Q175)&amp;"")</f>
        <v/>
      </c>
      <c r="Q175" s="67" t="str">
        <f>IFERROR(MATCH($C$2&amp;"|"&amp;168,TRANSACTIONS_MASTER!$AE$5:$AE$1204,0),"")</f>
        <v/>
      </c>
      <c r="S175" s="67" t="str">
        <f>IFERROR(MATCH(1,INDEX((TRANSACTIONS_MASTER!$C$5:$C$1204=$C$2)*(TRANSACTIONS_MASTER!$AN$5:$AN$1204=17),0),0),"")</f>
        <v/>
      </c>
      <c r="T175" s="55" t="n"/>
      <c r="U175" s="55" t="str">
        <f>IF($S175="","",INDEX(TRANSACTIONS_MASTER!$G$5:$G$1204,$S175)&amp;"")</f>
        <v/>
      </c>
      <c r="V175" s="25" t="str">
        <f>IF($S175="","",SUMIFS(TRANSACTIONS_MASTER!$L$5:$L$1204,TRANSACTIONS_MASTER!$G$5:$G$1204,$U175,TRANSACTIONS_MASTER!$C$5:$C$1204,$C$2,TRANSACTIONS_MASTER!$U$5:$U$1204,"&lt;&gt;Cancelled"))</f>
        <v/>
      </c>
      <c r="W175" s="26" t="str">
        <f>IF($S175="","",SUMIFS(TRANSACTIONS_MASTER!$Q$5:$Q$1204,TRANSACTIONS_MASTER!$G$5:$G$1204,$U175,TRANSACTIONS_MASTER!$C$5:$C$1204,$C$2))</f>
        <v/>
      </c>
    </row>
    <row r="176">
      <c r="A176" s="81" t="str">
        <f>IF($Q176="","",169)</f>
        <v/>
      </c>
      <c r="B176" s="57" t="str">
        <f>IF($Q176="","",INDEX(TRANSACTIONS_MASTER!$B$5:$B$1204,$Q176))</f>
        <v/>
      </c>
      <c r="C176" s="55" t="str">
        <f>IF($Q176="","",INDEX(TRANSACTIONS_MASTER!$F$5:$F$1204,$Q176))</f>
        <v/>
      </c>
      <c r="D176" s="55" t="str">
        <f>IF($Q176="","",INDEX(TRANSACTIONS_MASTER!$E$5:$E$1204,$Q176))</f>
        <v/>
      </c>
      <c r="E176" s="55" t="str">
        <f>IF($Q176="","",INDEX(TRANSACTIONS_MASTER!$G$5:$G$1204,$Q176)&amp;"")</f>
        <v/>
      </c>
      <c r="F176" s="29" t="str">
        <f>IF($Q176="","",INDEX(TRANSACTIONS_MASTER!$I$5:$I$1204,$Q176))</f>
        <v/>
      </c>
      <c r="G176" s="55" t="str">
        <f>IF($Q176="","",INDEX(TRANSACTIONS_MASTER!$K$5:$K$1204,$Q176))</f>
        <v/>
      </c>
      <c r="H176" s="25" t="str">
        <f>IF($Q176="","",INDEX(TRANSACTIONS_MASTER!$L$5:$L$1204,$Q176))</f>
        <v/>
      </c>
      <c r="I176" s="56" t="str">
        <f>IF($Q176="","",INDEX(TRANSACTIONS_MASTER!$N$5:$N$1204,$Q176))</f>
        <v/>
      </c>
      <c r="J176" s="25" t="str">
        <f>IF($Q176="","",INDEX(TRANSACTIONS_MASTER!$O$5:$O$1204,$Q176))</f>
        <v/>
      </c>
      <c r="K176" s="26" t="str">
        <f>IF($Q176="","",INDEX(TRANSACTIONS_MASTER!$Q$5:$Q$1204,$Q176))</f>
        <v/>
      </c>
      <c r="L176" s="25" t="str">
        <f>IF($Q176="","",INDEX(TRANSACTIONS_MASTER!$P$5:$P$1204,$Q176))</f>
        <v/>
      </c>
      <c r="M176" s="25" t="str">
        <f>IF($Q176="","",INDEX(TRANSACTIONS_MASTER!$AA$5:$AA$1204,$Q176))</f>
        <v/>
      </c>
      <c r="N176" s="25" t="str">
        <f>IF($Q176="","",INDEX(TRANSACTIONS_MASTER!$R$5:$R$1204,$Q176))</f>
        <v/>
      </c>
      <c r="O176" s="28" t="str">
        <f>IF($Q176="","",INDEX(TRANSACTIONS_MASTER!$AB$5:$AB$1204,$Q176))</f>
        <v/>
      </c>
      <c r="P176" s="55" t="str">
        <f>IF($Q176="","",INDEX(TRANSACTIONS_MASTER!$Z$5:$Z$1204,$Q176)&amp;"")</f>
        <v/>
      </c>
      <c r="Q176" s="67" t="str">
        <f>IFERROR(MATCH($C$2&amp;"|"&amp;169,TRANSACTIONS_MASTER!$AE$5:$AE$1204,0),"")</f>
        <v/>
      </c>
      <c r="S176" s="67" t="str">
        <f>IFERROR(MATCH(1,INDEX((TRANSACTIONS_MASTER!$C$5:$C$1204=$C$2)*(TRANSACTIONS_MASTER!$AN$5:$AN$1204=18),0),0),"")</f>
        <v/>
      </c>
      <c r="T176" s="55" t="n"/>
      <c r="U176" s="55" t="str">
        <f>IF($S176="","",INDEX(TRANSACTIONS_MASTER!$G$5:$G$1204,$S176)&amp;"")</f>
        <v/>
      </c>
      <c r="V176" s="25" t="str">
        <f>IF($S176="","",SUMIFS(TRANSACTIONS_MASTER!$L$5:$L$1204,TRANSACTIONS_MASTER!$G$5:$G$1204,$U176,TRANSACTIONS_MASTER!$C$5:$C$1204,$C$2,TRANSACTIONS_MASTER!$U$5:$U$1204,"&lt;&gt;Cancelled"))</f>
        <v/>
      </c>
      <c r="W176" s="26" t="str">
        <f>IF($S176="","",SUMIFS(TRANSACTIONS_MASTER!$Q$5:$Q$1204,TRANSACTIONS_MASTER!$G$5:$G$1204,$U176,TRANSACTIONS_MASTER!$C$5:$C$1204,$C$2))</f>
        <v/>
      </c>
    </row>
    <row r="177">
      <c r="A177" s="81" t="str">
        <f>IF($Q177="","",170)</f>
        <v/>
      </c>
      <c r="B177" s="57" t="str">
        <f>IF($Q177="","",INDEX(TRANSACTIONS_MASTER!$B$5:$B$1204,$Q177))</f>
        <v/>
      </c>
      <c r="C177" s="55" t="str">
        <f>IF($Q177="","",INDEX(TRANSACTIONS_MASTER!$F$5:$F$1204,$Q177))</f>
        <v/>
      </c>
      <c r="D177" s="55" t="str">
        <f>IF($Q177="","",INDEX(TRANSACTIONS_MASTER!$E$5:$E$1204,$Q177))</f>
        <v/>
      </c>
      <c r="E177" s="55" t="str">
        <f>IF($Q177="","",INDEX(TRANSACTIONS_MASTER!$G$5:$G$1204,$Q177)&amp;"")</f>
        <v/>
      </c>
      <c r="F177" s="29" t="str">
        <f>IF($Q177="","",INDEX(TRANSACTIONS_MASTER!$I$5:$I$1204,$Q177))</f>
        <v/>
      </c>
      <c r="G177" s="55" t="str">
        <f>IF($Q177="","",INDEX(TRANSACTIONS_MASTER!$K$5:$K$1204,$Q177))</f>
        <v/>
      </c>
      <c r="H177" s="25" t="str">
        <f>IF($Q177="","",INDEX(TRANSACTIONS_MASTER!$L$5:$L$1204,$Q177))</f>
        <v/>
      </c>
      <c r="I177" s="56" t="str">
        <f>IF($Q177="","",INDEX(TRANSACTIONS_MASTER!$N$5:$N$1204,$Q177))</f>
        <v/>
      </c>
      <c r="J177" s="25" t="str">
        <f>IF($Q177="","",INDEX(TRANSACTIONS_MASTER!$O$5:$O$1204,$Q177))</f>
        <v/>
      </c>
      <c r="K177" s="26" t="str">
        <f>IF($Q177="","",INDEX(TRANSACTIONS_MASTER!$Q$5:$Q$1204,$Q177))</f>
        <v/>
      </c>
      <c r="L177" s="25" t="str">
        <f>IF($Q177="","",INDEX(TRANSACTIONS_MASTER!$P$5:$P$1204,$Q177))</f>
        <v/>
      </c>
      <c r="M177" s="25" t="str">
        <f>IF($Q177="","",INDEX(TRANSACTIONS_MASTER!$AA$5:$AA$1204,$Q177))</f>
        <v/>
      </c>
      <c r="N177" s="25" t="str">
        <f>IF($Q177="","",INDEX(TRANSACTIONS_MASTER!$R$5:$R$1204,$Q177))</f>
        <v/>
      </c>
      <c r="O177" s="28" t="str">
        <f>IF($Q177="","",INDEX(TRANSACTIONS_MASTER!$AB$5:$AB$1204,$Q177))</f>
        <v/>
      </c>
      <c r="P177" s="55" t="str">
        <f>IF($Q177="","",INDEX(TRANSACTIONS_MASTER!$Z$5:$Z$1204,$Q177)&amp;"")</f>
        <v/>
      </c>
      <c r="Q177" s="67" t="str">
        <f>IFERROR(MATCH($C$2&amp;"|"&amp;170,TRANSACTIONS_MASTER!$AE$5:$AE$1204,0),"")</f>
        <v/>
      </c>
      <c r="S177" s="67" t="str">
        <f>IFERROR(MATCH(1,INDEX((TRANSACTIONS_MASTER!$C$5:$C$1204=$C$2)*(TRANSACTIONS_MASTER!$AN$5:$AN$1204=19),0),0),"")</f>
        <v/>
      </c>
      <c r="T177" s="55" t="n"/>
      <c r="U177" s="55" t="str">
        <f>IF($S177="","",INDEX(TRANSACTIONS_MASTER!$G$5:$G$1204,$S177)&amp;"")</f>
        <v/>
      </c>
      <c r="V177" s="25" t="str">
        <f>IF($S177="","",SUMIFS(TRANSACTIONS_MASTER!$L$5:$L$1204,TRANSACTIONS_MASTER!$G$5:$G$1204,$U177,TRANSACTIONS_MASTER!$C$5:$C$1204,$C$2,TRANSACTIONS_MASTER!$U$5:$U$1204,"&lt;&gt;Cancelled"))</f>
        <v/>
      </c>
      <c r="W177" s="26" t="str">
        <f>IF($S177="","",SUMIFS(TRANSACTIONS_MASTER!$Q$5:$Q$1204,TRANSACTIONS_MASTER!$G$5:$G$1204,$U177,TRANSACTIONS_MASTER!$C$5:$C$1204,$C$2))</f>
        <v/>
      </c>
    </row>
    <row r="178">
      <c r="A178" s="81" t="str">
        <f>IF($Q178="","",171)</f>
        <v/>
      </c>
      <c r="B178" s="57" t="str">
        <f>IF($Q178="","",INDEX(TRANSACTIONS_MASTER!$B$5:$B$1204,$Q178))</f>
        <v/>
      </c>
      <c r="C178" s="55" t="str">
        <f>IF($Q178="","",INDEX(TRANSACTIONS_MASTER!$F$5:$F$1204,$Q178))</f>
        <v/>
      </c>
      <c r="D178" s="55" t="str">
        <f>IF($Q178="","",INDEX(TRANSACTIONS_MASTER!$E$5:$E$1204,$Q178))</f>
        <v/>
      </c>
      <c r="E178" s="55" t="str">
        <f>IF($Q178="","",INDEX(TRANSACTIONS_MASTER!$G$5:$G$1204,$Q178)&amp;"")</f>
        <v/>
      </c>
      <c r="F178" s="29" t="str">
        <f>IF($Q178="","",INDEX(TRANSACTIONS_MASTER!$I$5:$I$1204,$Q178))</f>
        <v/>
      </c>
      <c r="G178" s="55" t="str">
        <f>IF($Q178="","",INDEX(TRANSACTIONS_MASTER!$K$5:$K$1204,$Q178))</f>
        <v/>
      </c>
      <c r="H178" s="25" t="str">
        <f>IF($Q178="","",INDEX(TRANSACTIONS_MASTER!$L$5:$L$1204,$Q178))</f>
        <v/>
      </c>
      <c r="I178" s="56" t="str">
        <f>IF($Q178="","",INDEX(TRANSACTIONS_MASTER!$N$5:$N$1204,$Q178))</f>
        <v/>
      </c>
      <c r="J178" s="25" t="str">
        <f>IF($Q178="","",INDEX(TRANSACTIONS_MASTER!$O$5:$O$1204,$Q178))</f>
        <v/>
      </c>
      <c r="K178" s="26" t="str">
        <f>IF($Q178="","",INDEX(TRANSACTIONS_MASTER!$Q$5:$Q$1204,$Q178))</f>
        <v/>
      </c>
      <c r="L178" s="25" t="str">
        <f>IF($Q178="","",INDEX(TRANSACTIONS_MASTER!$P$5:$P$1204,$Q178))</f>
        <v/>
      </c>
      <c r="M178" s="25" t="str">
        <f>IF($Q178="","",INDEX(TRANSACTIONS_MASTER!$AA$5:$AA$1204,$Q178))</f>
        <v/>
      </c>
      <c r="N178" s="25" t="str">
        <f>IF($Q178="","",INDEX(TRANSACTIONS_MASTER!$R$5:$R$1204,$Q178))</f>
        <v/>
      </c>
      <c r="O178" s="28" t="str">
        <f>IF($Q178="","",INDEX(TRANSACTIONS_MASTER!$AB$5:$AB$1204,$Q178))</f>
        <v/>
      </c>
      <c r="P178" s="55" t="str">
        <f>IF($Q178="","",INDEX(TRANSACTIONS_MASTER!$Z$5:$Z$1204,$Q178)&amp;"")</f>
        <v/>
      </c>
      <c r="Q178" s="67" t="str">
        <f>IFERROR(MATCH($C$2&amp;"|"&amp;171,TRANSACTIONS_MASTER!$AE$5:$AE$1204,0),"")</f>
        <v/>
      </c>
      <c r="S178" s="67" t="str">
        <f>IFERROR(MATCH(1,INDEX((TRANSACTIONS_MASTER!$C$5:$C$1204=$C$2)*(TRANSACTIONS_MASTER!$AN$5:$AN$1204=20),0),0),"")</f>
        <v/>
      </c>
      <c r="T178" s="55" t="n"/>
      <c r="U178" s="55" t="str">
        <f>IF($S178="","",INDEX(TRANSACTIONS_MASTER!$G$5:$G$1204,$S178)&amp;"")</f>
        <v/>
      </c>
      <c r="V178" s="25" t="str">
        <f>IF($S178="","",SUMIFS(TRANSACTIONS_MASTER!$L$5:$L$1204,TRANSACTIONS_MASTER!$G$5:$G$1204,$U178,TRANSACTIONS_MASTER!$C$5:$C$1204,$C$2,TRANSACTIONS_MASTER!$U$5:$U$1204,"&lt;&gt;Cancelled"))</f>
        <v/>
      </c>
      <c r="W178" s="26" t="str">
        <f>IF($S178="","",SUMIFS(TRANSACTIONS_MASTER!$Q$5:$Q$1204,TRANSACTIONS_MASTER!$G$5:$G$1204,$U178,TRANSACTIONS_MASTER!$C$5:$C$1204,$C$2))</f>
        <v/>
      </c>
    </row>
    <row r="179">
      <c r="A179" s="81" t="str">
        <f>IF($Q179="","",172)</f>
        <v/>
      </c>
      <c r="B179" s="57" t="str">
        <f>IF($Q179="","",INDEX(TRANSACTIONS_MASTER!$B$5:$B$1204,$Q179))</f>
        <v/>
      </c>
      <c r="C179" s="55" t="str">
        <f>IF($Q179="","",INDEX(TRANSACTIONS_MASTER!$F$5:$F$1204,$Q179))</f>
        <v/>
      </c>
      <c r="D179" s="55" t="str">
        <f>IF($Q179="","",INDEX(TRANSACTIONS_MASTER!$E$5:$E$1204,$Q179))</f>
        <v/>
      </c>
      <c r="E179" s="55" t="str">
        <f>IF($Q179="","",INDEX(TRANSACTIONS_MASTER!$G$5:$G$1204,$Q179)&amp;"")</f>
        <v/>
      </c>
      <c r="F179" s="29" t="str">
        <f>IF($Q179="","",INDEX(TRANSACTIONS_MASTER!$I$5:$I$1204,$Q179))</f>
        <v/>
      </c>
      <c r="G179" s="55" t="str">
        <f>IF($Q179="","",INDEX(TRANSACTIONS_MASTER!$K$5:$K$1204,$Q179))</f>
        <v/>
      </c>
      <c r="H179" s="25" t="str">
        <f>IF($Q179="","",INDEX(TRANSACTIONS_MASTER!$L$5:$L$1204,$Q179))</f>
        <v/>
      </c>
      <c r="I179" s="56" t="str">
        <f>IF($Q179="","",INDEX(TRANSACTIONS_MASTER!$N$5:$N$1204,$Q179))</f>
        <v/>
      </c>
      <c r="J179" s="25" t="str">
        <f>IF($Q179="","",INDEX(TRANSACTIONS_MASTER!$O$5:$O$1204,$Q179))</f>
        <v/>
      </c>
      <c r="K179" s="26" t="str">
        <f>IF($Q179="","",INDEX(TRANSACTIONS_MASTER!$Q$5:$Q$1204,$Q179))</f>
        <v/>
      </c>
      <c r="L179" s="25" t="str">
        <f>IF($Q179="","",INDEX(TRANSACTIONS_MASTER!$P$5:$P$1204,$Q179))</f>
        <v/>
      </c>
      <c r="M179" s="25" t="str">
        <f>IF($Q179="","",INDEX(TRANSACTIONS_MASTER!$AA$5:$AA$1204,$Q179))</f>
        <v/>
      </c>
      <c r="N179" s="25" t="str">
        <f>IF($Q179="","",INDEX(TRANSACTIONS_MASTER!$R$5:$R$1204,$Q179))</f>
        <v/>
      </c>
      <c r="O179" s="28" t="str">
        <f>IF($Q179="","",INDEX(TRANSACTIONS_MASTER!$AB$5:$AB$1204,$Q179))</f>
        <v/>
      </c>
      <c r="P179" s="55" t="str">
        <f>IF($Q179="","",INDEX(TRANSACTIONS_MASTER!$Z$5:$Z$1204,$Q179)&amp;"")</f>
        <v/>
      </c>
      <c r="Q179" s="67" t="str">
        <f>IFERROR(MATCH($C$2&amp;"|"&amp;172,TRANSACTIONS_MASTER!$AE$5:$AE$1204,0),"")</f>
        <v/>
      </c>
      <c r="T179" s="45" t="n"/>
      <c r="U179" s="82" t="inlineStr">
        <is>
          <t>Khác (ngoài danh sách)</t>
        </is>
      </c>
      <c r="V179" s="48">
        <f>MAX(0,SUMIFS(TRANSACTIONS_MASTER!$L$5:$L$1204,TRANSACTIONS_MASTER!$C$5:$C$1204,$C$2,TRANSACTIONS_MASTER!$U$5:$U$1204,"&lt;&gt;Cancelled")-SUM(V159:V178))</f>
        <v>0</v>
      </c>
      <c r="W179" s="48">
        <f>MAX(0,SUMIFS(TRANSACTIONS_MASTER!$Q$5:$Q$1204,TRANSACTIONS_MASTER!$C$5:$C$1204,$C$2)-SUM(W159:W178))</f>
        <v>0</v>
      </c>
    </row>
    <row r="180">
      <c r="A180" s="81" t="str">
        <f>IF($Q180="","",173)</f>
        <v/>
      </c>
      <c r="B180" s="57" t="str">
        <f>IF($Q180="","",INDEX(TRANSACTIONS_MASTER!$B$5:$B$1204,$Q180))</f>
        <v/>
      </c>
      <c r="C180" s="55" t="str">
        <f>IF($Q180="","",INDEX(TRANSACTIONS_MASTER!$F$5:$F$1204,$Q180))</f>
        <v/>
      </c>
      <c r="D180" s="55" t="str">
        <f>IF($Q180="","",INDEX(TRANSACTIONS_MASTER!$E$5:$E$1204,$Q180))</f>
        <v/>
      </c>
      <c r="E180" s="55" t="str">
        <f>IF($Q180="","",INDEX(TRANSACTIONS_MASTER!$G$5:$G$1204,$Q180)&amp;"")</f>
        <v/>
      </c>
      <c r="F180" s="29" t="str">
        <f>IF($Q180="","",INDEX(TRANSACTIONS_MASTER!$I$5:$I$1204,$Q180))</f>
        <v/>
      </c>
      <c r="G180" s="55" t="str">
        <f>IF($Q180="","",INDEX(TRANSACTIONS_MASTER!$K$5:$K$1204,$Q180))</f>
        <v/>
      </c>
      <c r="H180" s="25" t="str">
        <f>IF($Q180="","",INDEX(TRANSACTIONS_MASTER!$L$5:$L$1204,$Q180))</f>
        <v/>
      </c>
      <c r="I180" s="56" t="str">
        <f>IF($Q180="","",INDEX(TRANSACTIONS_MASTER!$N$5:$N$1204,$Q180))</f>
        <v/>
      </c>
      <c r="J180" s="25" t="str">
        <f>IF($Q180="","",INDEX(TRANSACTIONS_MASTER!$O$5:$O$1204,$Q180))</f>
        <v/>
      </c>
      <c r="K180" s="26" t="str">
        <f>IF($Q180="","",INDEX(TRANSACTIONS_MASTER!$Q$5:$Q$1204,$Q180))</f>
        <v/>
      </c>
      <c r="L180" s="25" t="str">
        <f>IF($Q180="","",INDEX(TRANSACTIONS_MASTER!$P$5:$P$1204,$Q180))</f>
        <v/>
      </c>
      <c r="M180" s="25" t="str">
        <f>IF($Q180="","",INDEX(TRANSACTIONS_MASTER!$AA$5:$AA$1204,$Q180))</f>
        <v/>
      </c>
      <c r="N180" s="25" t="str">
        <f>IF($Q180="","",INDEX(TRANSACTIONS_MASTER!$R$5:$R$1204,$Q180))</f>
        <v/>
      </c>
      <c r="O180" s="28" t="str">
        <f>IF($Q180="","",INDEX(TRANSACTIONS_MASTER!$AB$5:$AB$1204,$Q180))</f>
        <v/>
      </c>
      <c r="P180" s="55" t="str">
        <f>IF($Q180="","",INDEX(TRANSACTIONS_MASTER!$Z$5:$Z$1204,$Q180)&amp;"")</f>
        <v/>
      </c>
      <c r="Q180" s="67" t="str">
        <f>IFERROR(MATCH($C$2&amp;"|"&amp;173,TRANSACTIONS_MASTER!$AE$5:$AE$1204,0),"")</f>
        <v/>
      </c>
      <c r="T180" s="68" t="n"/>
      <c r="U180" s="69" t="inlineStr">
        <is>
          <t>TỔNG</t>
        </is>
      </c>
      <c r="V180" s="31">
        <f>SUM(V159:V179)</f>
        <v>9650000</v>
      </c>
      <c r="W180" s="31">
        <f>SUM(W159:W179)</f>
        <v>826000</v>
      </c>
    </row>
    <row r="181">
      <c r="A181" s="81" t="str">
        <f>IF($Q181="","",174)</f>
        <v/>
      </c>
      <c r="B181" s="57" t="str">
        <f>IF($Q181="","",INDEX(TRANSACTIONS_MASTER!$B$5:$B$1204,$Q181))</f>
        <v/>
      </c>
      <c r="C181" s="55" t="str">
        <f>IF($Q181="","",INDEX(TRANSACTIONS_MASTER!$F$5:$F$1204,$Q181))</f>
        <v/>
      </c>
      <c r="D181" s="55" t="str">
        <f>IF($Q181="","",INDEX(TRANSACTIONS_MASTER!$E$5:$E$1204,$Q181))</f>
        <v/>
      </c>
      <c r="E181" s="55" t="str">
        <f>IF($Q181="","",INDEX(TRANSACTIONS_MASTER!$G$5:$G$1204,$Q181)&amp;"")</f>
        <v/>
      </c>
      <c r="F181" s="29" t="str">
        <f>IF($Q181="","",INDEX(TRANSACTIONS_MASTER!$I$5:$I$1204,$Q181))</f>
        <v/>
      </c>
      <c r="G181" s="55" t="str">
        <f>IF($Q181="","",INDEX(TRANSACTIONS_MASTER!$K$5:$K$1204,$Q181))</f>
        <v/>
      </c>
      <c r="H181" s="25" t="str">
        <f>IF($Q181="","",INDEX(TRANSACTIONS_MASTER!$L$5:$L$1204,$Q181))</f>
        <v/>
      </c>
      <c r="I181" s="56" t="str">
        <f>IF($Q181="","",INDEX(TRANSACTIONS_MASTER!$N$5:$N$1204,$Q181))</f>
        <v/>
      </c>
      <c r="J181" s="25" t="str">
        <f>IF($Q181="","",INDEX(TRANSACTIONS_MASTER!$O$5:$O$1204,$Q181))</f>
        <v/>
      </c>
      <c r="K181" s="26" t="str">
        <f>IF($Q181="","",INDEX(TRANSACTIONS_MASTER!$Q$5:$Q$1204,$Q181))</f>
        <v/>
      </c>
      <c r="L181" s="25" t="str">
        <f>IF($Q181="","",INDEX(TRANSACTIONS_MASTER!$P$5:$P$1204,$Q181))</f>
        <v/>
      </c>
      <c r="M181" s="25" t="str">
        <f>IF($Q181="","",INDEX(TRANSACTIONS_MASTER!$AA$5:$AA$1204,$Q181))</f>
        <v/>
      </c>
      <c r="N181" s="25" t="str">
        <f>IF($Q181="","",INDEX(TRANSACTIONS_MASTER!$R$5:$R$1204,$Q181))</f>
        <v/>
      </c>
      <c r="O181" s="28" t="str">
        <f>IF($Q181="","",INDEX(TRANSACTIONS_MASTER!$AB$5:$AB$1204,$Q181))</f>
        <v/>
      </c>
      <c r="P181" s="55" t="str">
        <f>IF($Q181="","",INDEX(TRANSACTIONS_MASTER!$Z$5:$Z$1204,$Q181)&amp;"")</f>
        <v/>
      </c>
      <c r="Q181" s="67" t="str">
        <f>IFERROR(MATCH($C$2&amp;"|"&amp;174,TRANSACTIONS_MASTER!$AE$5:$AE$1204,0),"")</f>
        <v/>
      </c>
    </row>
    <row r="182">
      <c r="A182" s="81" t="str">
        <f>IF($Q182="","",175)</f>
        <v/>
      </c>
      <c r="B182" s="57" t="str">
        <f>IF($Q182="","",INDEX(TRANSACTIONS_MASTER!$B$5:$B$1204,$Q182))</f>
        <v/>
      </c>
      <c r="C182" s="55" t="str">
        <f>IF($Q182="","",INDEX(TRANSACTIONS_MASTER!$F$5:$F$1204,$Q182))</f>
        <v/>
      </c>
      <c r="D182" s="55" t="str">
        <f>IF($Q182="","",INDEX(TRANSACTIONS_MASTER!$E$5:$E$1204,$Q182))</f>
        <v/>
      </c>
      <c r="E182" s="55" t="str">
        <f>IF($Q182="","",INDEX(TRANSACTIONS_MASTER!$G$5:$G$1204,$Q182)&amp;"")</f>
        <v/>
      </c>
      <c r="F182" s="29" t="str">
        <f>IF($Q182="","",INDEX(TRANSACTIONS_MASTER!$I$5:$I$1204,$Q182))</f>
        <v/>
      </c>
      <c r="G182" s="55" t="str">
        <f>IF($Q182="","",INDEX(TRANSACTIONS_MASTER!$K$5:$K$1204,$Q182))</f>
        <v/>
      </c>
      <c r="H182" s="25" t="str">
        <f>IF($Q182="","",INDEX(TRANSACTIONS_MASTER!$L$5:$L$1204,$Q182))</f>
        <v/>
      </c>
      <c r="I182" s="56" t="str">
        <f>IF($Q182="","",INDEX(TRANSACTIONS_MASTER!$N$5:$N$1204,$Q182))</f>
        <v/>
      </c>
      <c r="J182" s="25" t="str">
        <f>IF($Q182="","",INDEX(TRANSACTIONS_MASTER!$O$5:$O$1204,$Q182))</f>
        <v/>
      </c>
      <c r="K182" s="26" t="str">
        <f>IF($Q182="","",INDEX(TRANSACTIONS_MASTER!$Q$5:$Q$1204,$Q182))</f>
        <v/>
      </c>
      <c r="L182" s="25" t="str">
        <f>IF($Q182="","",INDEX(TRANSACTIONS_MASTER!$P$5:$P$1204,$Q182))</f>
        <v/>
      </c>
      <c r="M182" s="25" t="str">
        <f>IF($Q182="","",INDEX(TRANSACTIONS_MASTER!$AA$5:$AA$1204,$Q182))</f>
        <v/>
      </c>
      <c r="N182" s="25" t="str">
        <f>IF($Q182="","",INDEX(TRANSACTIONS_MASTER!$R$5:$R$1204,$Q182))</f>
        <v/>
      </c>
      <c r="O182" s="28" t="str">
        <f>IF($Q182="","",INDEX(TRANSACTIONS_MASTER!$AB$5:$AB$1204,$Q182))</f>
        <v/>
      </c>
      <c r="P182" s="55" t="str">
        <f>IF($Q182="","",INDEX(TRANSACTIONS_MASTER!$Z$5:$Z$1204,$Q182)&amp;"")</f>
        <v/>
      </c>
      <c r="Q182" s="67" t="str">
        <f>IFERROR(MATCH($C$2&amp;"|"&amp;175,TRANSACTIONS_MASTER!$AE$5:$AE$1204,0),"")</f>
        <v/>
      </c>
    </row>
    <row r="183">
      <c r="A183" s="81" t="str">
        <f>IF($Q183="","",176)</f>
        <v/>
      </c>
      <c r="B183" s="57" t="str">
        <f>IF($Q183="","",INDEX(TRANSACTIONS_MASTER!$B$5:$B$1204,$Q183))</f>
        <v/>
      </c>
      <c r="C183" s="55" t="str">
        <f>IF($Q183="","",INDEX(TRANSACTIONS_MASTER!$F$5:$F$1204,$Q183))</f>
        <v/>
      </c>
      <c r="D183" s="55" t="str">
        <f>IF($Q183="","",INDEX(TRANSACTIONS_MASTER!$E$5:$E$1204,$Q183))</f>
        <v/>
      </c>
      <c r="E183" s="55" t="str">
        <f>IF($Q183="","",INDEX(TRANSACTIONS_MASTER!$G$5:$G$1204,$Q183)&amp;"")</f>
        <v/>
      </c>
      <c r="F183" s="29" t="str">
        <f>IF($Q183="","",INDEX(TRANSACTIONS_MASTER!$I$5:$I$1204,$Q183))</f>
        <v/>
      </c>
      <c r="G183" s="55" t="str">
        <f>IF($Q183="","",INDEX(TRANSACTIONS_MASTER!$K$5:$K$1204,$Q183))</f>
        <v/>
      </c>
      <c r="H183" s="25" t="str">
        <f>IF($Q183="","",INDEX(TRANSACTIONS_MASTER!$L$5:$L$1204,$Q183))</f>
        <v/>
      </c>
      <c r="I183" s="56" t="str">
        <f>IF($Q183="","",INDEX(TRANSACTIONS_MASTER!$N$5:$N$1204,$Q183))</f>
        <v/>
      </c>
      <c r="J183" s="25" t="str">
        <f>IF($Q183="","",INDEX(TRANSACTIONS_MASTER!$O$5:$O$1204,$Q183))</f>
        <v/>
      </c>
      <c r="K183" s="26" t="str">
        <f>IF($Q183="","",INDEX(TRANSACTIONS_MASTER!$Q$5:$Q$1204,$Q183))</f>
        <v/>
      </c>
      <c r="L183" s="25" t="str">
        <f>IF($Q183="","",INDEX(TRANSACTIONS_MASTER!$P$5:$P$1204,$Q183))</f>
        <v/>
      </c>
      <c r="M183" s="25" t="str">
        <f>IF($Q183="","",INDEX(TRANSACTIONS_MASTER!$AA$5:$AA$1204,$Q183))</f>
        <v/>
      </c>
      <c r="N183" s="25" t="str">
        <f>IF($Q183="","",INDEX(TRANSACTIONS_MASTER!$R$5:$R$1204,$Q183))</f>
        <v/>
      </c>
      <c r="O183" s="28" t="str">
        <f>IF($Q183="","",INDEX(TRANSACTIONS_MASTER!$AB$5:$AB$1204,$Q183))</f>
        <v/>
      </c>
      <c r="P183" s="55" t="str">
        <f>IF($Q183="","",INDEX(TRANSACTIONS_MASTER!$Z$5:$Z$1204,$Q183)&amp;"")</f>
        <v/>
      </c>
      <c r="Q183" s="67" t="str">
        <f>IFERROR(MATCH($C$2&amp;"|"&amp;176,TRANSACTIONS_MASTER!$AE$5:$AE$1204,0),"")</f>
        <v/>
      </c>
    </row>
    <row r="184">
      <c r="A184" s="81" t="str">
        <f>IF($Q184="","",177)</f>
        <v/>
      </c>
      <c r="B184" s="57" t="str">
        <f>IF($Q184="","",INDEX(TRANSACTIONS_MASTER!$B$5:$B$1204,$Q184))</f>
        <v/>
      </c>
      <c r="C184" s="55" t="str">
        <f>IF($Q184="","",INDEX(TRANSACTIONS_MASTER!$F$5:$F$1204,$Q184))</f>
        <v/>
      </c>
      <c r="D184" s="55" t="str">
        <f>IF($Q184="","",INDEX(TRANSACTIONS_MASTER!$E$5:$E$1204,$Q184))</f>
        <v/>
      </c>
      <c r="E184" s="55" t="str">
        <f>IF($Q184="","",INDEX(TRANSACTIONS_MASTER!$G$5:$G$1204,$Q184)&amp;"")</f>
        <v/>
      </c>
      <c r="F184" s="29" t="str">
        <f>IF($Q184="","",INDEX(TRANSACTIONS_MASTER!$I$5:$I$1204,$Q184))</f>
        <v/>
      </c>
      <c r="G184" s="55" t="str">
        <f>IF($Q184="","",INDEX(TRANSACTIONS_MASTER!$K$5:$K$1204,$Q184))</f>
        <v/>
      </c>
      <c r="H184" s="25" t="str">
        <f>IF($Q184="","",INDEX(TRANSACTIONS_MASTER!$L$5:$L$1204,$Q184))</f>
        <v/>
      </c>
      <c r="I184" s="56" t="str">
        <f>IF($Q184="","",INDEX(TRANSACTIONS_MASTER!$N$5:$N$1204,$Q184))</f>
        <v/>
      </c>
      <c r="J184" s="25" t="str">
        <f>IF($Q184="","",INDEX(TRANSACTIONS_MASTER!$O$5:$O$1204,$Q184))</f>
        <v/>
      </c>
      <c r="K184" s="26" t="str">
        <f>IF($Q184="","",INDEX(TRANSACTIONS_MASTER!$Q$5:$Q$1204,$Q184))</f>
        <v/>
      </c>
      <c r="L184" s="25" t="str">
        <f>IF($Q184="","",INDEX(TRANSACTIONS_MASTER!$P$5:$P$1204,$Q184))</f>
        <v/>
      </c>
      <c r="M184" s="25" t="str">
        <f>IF($Q184="","",INDEX(TRANSACTIONS_MASTER!$AA$5:$AA$1204,$Q184))</f>
        <v/>
      </c>
      <c r="N184" s="25" t="str">
        <f>IF($Q184="","",INDEX(TRANSACTIONS_MASTER!$R$5:$R$1204,$Q184))</f>
        <v/>
      </c>
      <c r="O184" s="28" t="str">
        <f>IF($Q184="","",INDEX(TRANSACTIONS_MASTER!$AB$5:$AB$1204,$Q184))</f>
        <v/>
      </c>
      <c r="P184" s="55" t="str">
        <f>IF($Q184="","",INDEX(TRANSACTIONS_MASTER!$Z$5:$Z$1204,$Q184)&amp;"")</f>
        <v/>
      </c>
      <c r="Q184" s="67" t="str">
        <f>IFERROR(MATCH($C$2&amp;"|"&amp;177,TRANSACTIONS_MASTER!$AE$5:$AE$1204,0),"")</f>
        <v/>
      </c>
    </row>
    <row r="185">
      <c r="A185" s="81" t="str">
        <f>IF($Q185="","",178)</f>
        <v/>
      </c>
      <c r="B185" s="57" t="str">
        <f>IF($Q185="","",INDEX(TRANSACTIONS_MASTER!$B$5:$B$1204,$Q185))</f>
        <v/>
      </c>
      <c r="C185" s="55" t="str">
        <f>IF($Q185="","",INDEX(TRANSACTIONS_MASTER!$F$5:$F$1204,$Q185))</f>
        <v/>
      </c>
      <c r="D185" s="55" t="str">
        <f>IF($Q185="","",INDEX(TRANSACTIONS_MASTER!$E$5:$E$1204,$Q185))</f>
        <v/>
      </c>
      <c r="E185" s="55" t="str">
        <f>IF($Q185="","",INDEX(TRANSACTIONS_MASTER!$G$5:$G$1204,$Q185)&amp;"")</f>
        <v/>
      </c>
      <c r="F185" s="29" t="str">
        <f>IF($Q185="","",INDEX(TRANSACTIONS_MASTER!$I$5:$I$1204,$Q185))</f>
        <v/>
      </c>
      <c r="G185" s="55" t="str">
        <f>IF($Q185="","",INDEX(TRANSACTIONS_MASTER!$K$5:$K$1204,$Q185))</f>
        <v/>
      </c>
      <c r="H185" s="25" t="str">
        <f>IF($Q185="","",INDEX(TRANSACTIONS_MASTER!$L$5:$L$1204,$Q185))</f>
        <v/>
      </c>
      <c r="I185" s="56" t="str">
        <f>IF($Q185="","",INDEX(TRANSACTIONS_MASTER!$N$5:$N$1204,$Q185))</f>
        <v/>
      </c>
      <c r="J185" s="25" t="str">
        <f>IF($Q185="","",INDEX(TRANSACTIONS_MASTER!$O$5:$O$1204,$Q185))</f>
        <v/>
      </c>
      <c r="K185" s="26" t="str">
        <f>IF($Q185="","",INDEX(TRANSACTIONS_MASTER!$Q$5:$Q$1204,$Q185))</f>
        <v/>
      </c>
      <c r="L185" s="25" t="str">
        <f>IF($Q185="","",INDEX(TRANSACTIONS_MASTER!$P$5:$P$1204,$Q185))</f>
        <v/>
      </c>
      <c r="M185" s="25" t="str">
        <f>IF($Q185="","",INDEX(TRANSACTIONS_MASTER!$AA$5:$AA$1204,$Q185))</f>
        <v/>
      </c>
      <c r="N185" s="25" t="str">
        <f>IF($Q185="","",INDEX(TRANSACTIONS_MASTER!$R$5:$R$1204,$Q185))</f>
        <v/>
      </c>
      <c r="O185" s="28" t="str">
        <f>IF($Q185="","",INDEX(TRANSACTIONS_MASTER!$AB$5:$AB$1204,$Q185))</f>
        <v/>
      </c>
      <c r="P185" s="55" t="str">
        <f>IF($Q185="","",INDEX(TRANSACTIONS_MASTER!$Z$5:$Z$1204,$Q185)&amp;"")</f>
        <v/>
      </c>
      <c r="Q185" s="67" t="str">
        <f>IFERROR(MATCH($C$2&amp;"|"&amp;178,TRANSACTIONS_MASTER!$AE$5:$AE$1204,0),"")</f>
        <v/>
      </c>
    </row>
    <row r="186">
      <c r="A186" s="81" t="str">
        <f>IF($Q186="","",179)</f>
        <v/>
      </c>
      <c r="B186" s="57" t="str">
        <f>IF($Q186="","",INDEX(TRANSACTIONS_MASTER!$B$5:$B$1204,$Q186))</f>
        <v/>
      </c>
      <c r="C186" s="55" t="str">
        <f>IF($Q186="","",INDEX(TRANSACTIONS_MASTER!$F$5:$F$1204,$Q186))</f>
        <v/>
      </c>
      <c r="D186" s="55" t="str">
        <f>IF($Q186="","",INDEX(TRANSACTIONS_MASTER!$E$5:$E$1204,$Q186))</f>
        <v/>
      </c>
      <c r="E186" s="55" t="str">
        <f>IF($Q186="","",INDEX(TRANSACTIONS_MASTER!$G$5:$G$1204,$Q186)&amp;"")</f>
        <v/>
      </c>
      <c r="F186" s="29" t="str">
        <f>IF($Q186="","",INDEX(TRANSACTIONS_MASTER!$I$5:$I$1204,$Q186))</f>
        <v/>
      </c>
      <c r="G186" s="55" t="str">
        <f>IF($Q186="","",INDEX(TRANSACTIONS_MASTER!$K$5:$K$1204,$Q186))</f>
        <v/>
      </c>
      <c r="H186" s="25" t="str">
        <f>IF($Q186="","",INDEX(TRANSACTIONS_MASTER!$L$5:$L$1204,$Q186))</f>
        <v/>
      </c>
      <c r="I186" s="56" t="str">
        <f>IF($Q186="","",INDEX(TRANSACTIONS_MASTER!$N$5:$N$1204,$Q186))</f>
        <v/>
      </c>
      <c r="J186" s="25" t="str">
        <f>IF($Q186="","",INDEX(TRANSACTIONS_MASTER!$O$5:$O$1204,$Q186))</f>
        <v/>
      </c>
      <c r="K186" s="26" t="str">
        <f>IF($Q186="","",INDEX(TRANSACTIONS_MASTER!$Q$5:$Q$1204,$Q186))</f>
        <v/>
      </c>
      <c r="L186" s="25" t="str">
        <f>IF($Q186="","",INDEX(TRANSACTIONS_MASTER!$P$5:$P$1204,$Q186))</f>
        <v/>
      </c>
      <c r="M186" s="25" t="str">
        <f>IF($Q186="","",INDEX(TRANSACTIONS_MASTER!$AA$5:$AA$1204,$Q186))</f>
        <v/>
      </c>
      <c r="N186" s="25" t="str">
        <f>IF($Q186="","",INDEX(TRANSACTIONS_MASTER!$R$5:$R$1204,$Q186))</f>
        <v/>
      </c>
      <c r="O186" s="28" t="str">
        <f>IF($Q186="","",INDEX(TRANSACTIONS_MASTER!$AB$5:$AB$1204,$Q186))</f>
        <v/>
      </c>
      <c r="P186" s="55" t="str">
        <f>IF($Q186="","",INDEX(TRANSACTIONS_MASTER!$Z$5:$Z$1204,$Q186)&amp;"")</f>
        <v/>
      </c>
      <c r="Q186" s="67" t="str">
        <f>IFERROR(MATCH($C$2&amp;"|"&amp;179,TRANSACTIONS_MASTER!$AE$5:$AE$1204,0),"")</f>
        <v/>
      </c>
    </row>
    <row r="187">
      <c r="A187" s="81" t="str">
        <f>IF($Q187="","",180)</f>
        <v/>
      </c>
      <c r="B187" s="57" t="str">
        <f>IF($Q187="","",INDEX(TRANSACTIONS_MASTER!$B$5:$B$1204,$Q187))</f>
        <v/>
      </c>
      <c r="C187" s="55" t="str">
        <f>IF($Q187="","",INDEX(TRANSACTIONS_MASTER!$F$5:$F$1204,$Q187))</f>
        <v/>
      </c>
      <c r="D187" s="55" t="str">
        <f>IF($Q187="","",INDEX(TRANSACTIONS_MASTER!$E$5:$E$1204,$Q187))</f>
        <v/>
      </c>
      <c r="E187" s="55" t="str">
        <f>IF($Q187="","",INDEX(TRANSACTIONS_MASTER!$G$5:$G$1204,$Q187)&amp;"")</f>
        <v/>
      </c>
      <c r="F187" s="29" t="str">
        <f>IF($Q187="","",INDEX(TRANSACTIONS_MASTER!$I$5:$I$1204,$Q187))</f>
        <v/>
      </c>
      <c r="G187" s="55" t="str">
        <f>IF($Q187="","",INDEX(TRANSACTIONS_MASTER!$K$5:$K$1204,$Q187))</f>
        <v/>
      </c>
      <c r="H187" s="25" t="str">
        <f>IF($Q187="","",INDEX(TRANSACTIONS_MASTER!$L$5:$L$1204,$Q187))</f>
        <v/>
      </c>
      <c r="I187" s="56" t="str">
        <f>IF($Q187="","",INDEX(TRANSACTIONS_MASTER!$N$5:$N$1204,$Q187))</f>
        <v/>
      </c>
      <c r="J187" s="25" t="str">
        <f>IF($Q187="","",INDEX(TRANSACTIONS_MASTER!$O$5:$O$1204,$Q187))</f>
        <v/>
      </c>
      <c r="K187" s="26" t="str">
        <f>IF($Q187="","",INDEX(TRANSACTIONS_MASTER!$Q$5:$Q$1204,$Q187))</f>
        <v/>
      </c>
      <c r="L187" s="25" t="str">
        <f>IF($Q187="","",INDEX(TRANSACTIONS_MASTER!$P$5:$P$1204,$Q187))</f>
        <v/>
      </c>
      <c r="M187" s="25" t="str">
        <f>IF($Q187="","",INDEX(TRANSACTIONS_MASTER!$AA$5:$AA$1204,$Q187))</f>
        <v/>
      </c>
      <c r="N187" s="25" t="str">
        <f>IF($Q187="","",INDEX(TRANSACTIONS_MASTER!$R$5:$R$1204,$Q187))</f>
        <v/>
      </c>
      <c r="O187" s="28" t="str">
        <f>IF($Q187="","",INDEX(TRANSACTIONS_MASTER!$AB$5:$AB$1204,$Q187))</f>
        <v/>
      </c>
      <c r="P187" s="55" t="str">
        <f>IF($Q187="","",INDEX(TRANSACTIONS_MASTER!$Z$5:$Z$1204,$Q187)&amp;"")</f>
        <v/>
      </c>
      <c r="Q187" s="67" t="str">
        <f>IFERROR(MATCH($C$2&amp;"|"&amp;180,TRANSACTIONS_MASTER!$AE$5:$AE$1204,0),"")</f>
        <v/>
      </c>
    </row>
    <row r="188">
      <c r="A188" s="81" t="str">
        <f>IF($Q188="","",181)</f>
        <v/>
      </c>
      <c r="B188" s="57" t="str">
        <f>IF($Q188="","",INDEX(TRANSACTIONS_MASTER!$B$5:$B$1204,$Q188))</f>
        <v/>
      </c>
      <c r="C188" s="55" t="str">
        <f>IF($Q188="","",INDEX(TRANSACTIONS_MASTER!$F$5:$F$1204,$Q188))</f>
        <v/>
      </c>
      <c r="D188" s="55" t="str">
        <f>IF($Q188="","",INDEX(TRANSACTIONS_MASTER!$E$5:$E$1204,$Q188))</f>
        <v/>
      </c>
      <c r="E188" s="55" t="str">
        <f>IF($Q188="","",INDEX(TRANSACTIONS_MASTER!$G$5:$G$1204,$Q188)&amp;"")</f>
        <v/>
      </c>
      <c r="F188" s="29" t="str">
        <f>IF($Q188="","",INDEX(TRANSACTIONS_MASTER!$I$5:$I$1204,$Q188))</f>
        <v/>
      </c>
      <c r="G188" s="55" t="str">
        <f>IF($Q188="","",INDEX(TRANSACTIONS_MASTER!$K$5:$K$1204,$Q188))</f>
        <v/>
      </c>
      <c r="H188" s="25" t="str">
        <f>IF($Q188="","",INDEX(TRANSACTIONS_MASTER!$L$5:$L$1204,$Q188))</f>
        <v/>
      </c>
      <c r="I188" s="56" t="str">
        <f>IF($Q188="","",INDEX(TRANSACTIONS_MASTER!$N$5:$N$1204,$Q188))</f>
        <v/>
      </c>
      <c r="J188" s="25" t="str">
        <f>IF($Q188="","",INDEX(TRANSACTIONS_MASTER!$O$5:$O$1204,$Q188))</f>
        <v/>
      </c>
      <c r="K188" s="26" t="str">
        <f>IF($Q188="","",INDEX(TRANSACTIONS_MASTER!$Q$5:$Q$1204,$Q188))</f>
        <v/>
      </c>
      <c r="L188" s="25" t="str">
        <f>IF($Q188="","",INDEX(TRANSACTIONS_MASTER!$P$5:$P$1204,$Q188))</f>
        <v/>
      </c>
      <c r="M188" s="25" t="str">
        <f>IF($Q188="","",INDEX(TRANSACTIONS_MASTER!$AA$5:$AA$1204,$Q188))</f>
        <v/>
      </c>
      <c r="N188" s="25" t="str">
        <f>IF($Q188="","",INDEX(TRANSACTIONS_MASTER!$R$5:$R$1204,$Q188))</f>
        <v/>
      </c>
      <c r="O188" s="28" t="str">
        <f>IF($Q188="","",INDEX(TRANSACTIONS_MASTER!$AB$5:$AB$1204,$Q188))</f>
        <v/>
      </c>
      <c r="P188" s="55" t="str">
        <f>IF($Q188="","",INDEX(TRANSACTIONS_MASTER!$Z$5:$Z$1204,$Q188)&amp;"")</f>
        <v/>
      </c>
      <c r="Q188" s="67" t="str">
        <f>IFERROR(MATCH($C$2&amp;"|"&amp;181,TRANSACTIONS_MASTER!$AE$5:$AE$1204,0),"")</f>
        <v/>
      </c>
    </row>
    <row r="189">
      <c r="A189" s="81" t="str">
        <f>IF($Q189="","",182)</f>
        <v/>
      </c>
      <c r="B189" s="57" t="str">
        <f>IF($Q189="","",INDEX(TRANSACTIONS_MASTER!$B$5:$B$1204,$Q189))</f>
        <v/>
      </c>
      <c r="C189" s="55" t="str">
        <f>IF($Q189="","",INDEX(TRANSACTIONS_MASTER!$F$5:$F$1204,$Q189))</f>
        <v/>
      </c>
      <c r="D189" s="55" t="str">
        <f>IF($Q189="","",INDEX(TRANSACTIONS_MASTER!$E$5:$E$1204,$Q189))</f>
        <v/>
      </c>
      <c r="E189" s="55" t="str">
        <f>IF($Q189="","",INDEX(TRANSACTIONS_MASTER!$G$5:$G$1204,$Q189)&amp;"")</f>
        <v/>
      </c>
      <c r="F189" s="29" t="str">
        <f>IF($Q189="","",INDEX(TRANSACTIONS_MASTER!$I$5:$I$1204,$Q189))</f>
        <v/>
      </c>
      <c r="G189" s="55" t="str">
        <f>IF($Q189="","",INDEX(TRANSACTIONS_MASTER!$K$5:$K$1204,$Q189))</f>
        <v/>
      </c>
      <c r="H189" s="25" t="str">
        <f>IF($Q189="","",INDEX(TRANSACTIONS_MASTER!$L$5:$L$1204,$Q189))</f>
        <v/>
      </c>
      <c r="I189" s="56" t="str">
        <f>IF($Q189="","",INDEX(TRANSACTIONS_MASTER!$N$5:$N$1204,$Q189))</f>
        <v/>
      </c>
      <c r="J189" s="25" t="str">
        <f>IF($Q189="","",INDEX(TRANSACTIONS_MASTER!$O$5:$O$1204,$Q189))</f>
        <v/>
      </c>
      <c r="K189" s="26" t="str">
        <f>IF($Q189="","",INDEX(TRANSACTIONS_MASTER!$Q$5:$Q$1204,$Q189))</f>
        <v/>
      </c>
      <c r="L189" s="25" t="str">
        <f>IF($Q189="","",INDEX(TRANSACTIONS_MASTER!$P$5:$P$1204,$Q189))</f>
        <v/>
      </c>
      <c r="M189" s="25" t="str">
        <f>IF($Q189="","",INDEX(TRANSACTIONS_MASTER!$AA$5:$AA$1204,$Q189))</f>
        <v/>
      </c>
      <c r="N189" s="25" t="str">
        <f>IF($Q189="","",INDEX(TRANSACTIONS_MASTER!$R$5:$R$1204,$Q189))</f>
        <v/>
      </c>
      <c r="O189" s="28" t="str">
        <f>IF($Q189="","",INDEX(TRANSACTIONS_MASTER!$AB$5:$AB$1204,$Q189))</f>
        <v/>
      </c>
      <c r="P189" s="55" t="str">
        <f>IF($Q189="","",INDEX(TRANSACTIONS_MASTER!$Z$5:$Z$1204,$Q189)&amp;"")</f>
        <v/>
      </c>
      <c r="Q189" s="67" t="str">
        <f>IFERROR(MATCH($C$2&amp;"|"&amp;182,TRANSACTIONS_MASTER!$AE$5:$AE$1204,0),"")</f>
        <v/>
      </c>
    </row>
    <row r="190">
      <c r="A190" s="81" t="str">
        <f>IF($Q190="","",183)</f>
        <v/>
      </c>
      <c r="B190" s="57" t="str">
        <f>IF($Q190="","",INDEX(TRANSACTIONS_MASTER!$B$5:$B$1204,$Q190))</f>
        <v/>
      </c>
      <c r="C190" s="55" t="str">
        <f>IF($Q190="","",INDEX(TRANSACTIONS_MASTER!$F$5:$F$1204,$Q190))</f>
        <v/>
      </c>
      <c r="D190" s="55" t="str">
        <f>IF($Q190="","",INDEX(TRANSACTIONS_MASTER!$E$5:$E$1204,$Q190))</f>
        <v/>
      </c>
      <c r="E190" s="55" t="str">
        <f>IF($Q190="","",INDEX(TRANSACTIONS_MASTER!$G$5:$G$1204,$Q190)&amp;"")</f>
        <v/>
      </c>
      <c r="F190" s="29" t="str">
        <f>IF($Q190="","",INDEX(TRANSACTIONS_MASTER!$I$5:$I$1204,$Q190))</f>
        <v/>
      </c>
      <c r="G190" s="55" t="str">
        <f>IF($Q190="","",INDEX(TRANSACTIONS_MASTER!$K$5:$K$1204,$Q190))</f>
        <v/>
      </c>
      <c r="H190" s="25" t="str">
        <f>IF($Q190="","",INDEX(TRANSACTIONS_MASTER!$L$5:$L$1204,$Q190))</f>
        <v/>
      </c>
      <c r="I190" s="56" t="str">
        <f>IF($Q190="","",INDEX(TRANSACTIONS_MASTER!$N$5:$N$1204,$Q190))</f>
        <v/>
      </c>
      <c r="J190" s="25" t="str">
        <f>IF($Q190="","",INDEX(TRANSACTIONS_MASTER!$O$5:$O$1204,$Q190))</f>
        <v/>
      </c>
      <c r="K190" s="26" t="str">
        <f>IF($Q190="","",INDEX(TRANSACTIONS_MASTER!$Q$5:$Q$1204,$Q190))</f>
        <v/>
      </c>
      <c r="L190" s="25" t="str">
        <f>IF($Q190="","",INDEX(TRANSACTIONS_MASTER!$P$5:$P$1204,$Q190))</f>
        <v/>
      </c>
      <c r="M190" s="25" t="str">
        <f>IF($Q190="","",INDEX(TRANSACTIONS_MASTER!$AA$5:$AA$1204,$Q190))</f>
        <v/>
      </c>
      <c r="N190" s="25" t="str">
        <f>IF($Q190="","",INDEX(TRANSACTIONS_MASTER!$R$5:$R$1204,$Q190))</f>
        <v/>
      </c>
      <c r="O190" s="28" t="str">
        <f>IF($Q190="","",INDEX(TRANSACTIONS_MASTER!$AB$5:$AB$1204,$Q190))</f>
        <v/>
      </c>
      <c r="P190" s="55" t="str">
        <f>IF($Q190="","",INDEX(TRANSACTIONS_MASTER!$Z$5:$Z$1204,$Q190)&amp;"")</f>
        <v/>
      </c>
      <c r="Q190" s="67" t="str">
        <f>IFERROR(MATCH($C$2&amp;"|"&amp;183,TRANSACTIONS_MASTER!$AE$5:$AE$1204,0),"")</f>
        <v/>
      </c>
    </row>
    <row r="191">
      <c r="A191" s="81" t="str">
        <f>IF($Q191="","",184)</f>
        <v/>
      </c>
      <c r="B191" s="57" t="str">
        <f>IF($Q191="","",INDEX(TRANSACTIONS_MASTER!$B$5:$B$1204,$Q191))</f>
        <v/>
      </c>
      <c r="C191" s="55" t="str">
        <f>IF($Q191="","",INDEX(TRANSACTIONS_MASTER!$F$5:$F$1204,$Q191))</f>
        <v/>
      </c>
      <c r="D191" s="55" t="str">
        <f>IF($Q191="","",INDEX(TRANSACTIONS_MASTER!$E$5:$E$1204,$Q191))</f>
        <v/>
      </c>
      <c r="E191" s="55" t="str">
        <f>IF($Q191="","",INDEX(TRANSACTIONS_MASTER!$G$5:$G$1204,$Q191)&amp;"")</f>
        <v/>
      </c>
      <c r="F191" s="29" t="str">
        <f>IF($Q191="","",INDEX(TRANSACTIONS_MASTER!$I$5:$I$1204,$Q191))</f>
        <v/>
      </c>
      <c r="G191" s="55" t="str">
        <f>IF($Q191="","",INDEX(TRANSACTIONS_MASTER!$K$5:$K$1204,$Q191))</f>
        <v/>
      </c>
      <c r="H191" s="25" t="str">
        <f>IF($Q191="","",INDEX(TRANSACTIONS_MASTER!$L$5:$L$1204,$Q191))</f>
        <v/>
      </c>
      <c r="I191" s="56" t="str">
        <f>IF($Q191="","",INDEX(TRANSACTIONS_MASTER!$N$5:$N$1204,$Q191))</f>
        <v/>
      </c>
      <c r="J191" s="25" t="str">
        <f>IF($Q191="","",INDEX(TRANSACTIONS_MASTER!$O$5:$O$1204,$Q191))</f>
        <v/>
      </c>
      <c r="K191" s="26" t="str">
        <f>IF($Q191="","",INDEX(TRANSACTIONS_MASTER!$Q$5:$Q$1204,$Q191))</f>
        <v/>
      </c>
      <c r="L191" s="25" t="str">
        <f>IF($Q191="","",INDEX(TRANSACTIONS_MASTER!$P$5:$P$1204,$Q191))</f>
        <v/>
      </c>
      <c r="M191" s="25" t="str">
        <f>IF($Q191="","",INDEX(TRANSACTIONS_MASTER!$AA$5:$AA$1204,$Q191))</f>
        <v/>
      </c>
      <c r="N191" s="25" t="str">
        <f>IF($Q191="","",INDEX(TRANSACTIONS_MASTER!$R$5:$R$1204,$Q191))</f>
        <v/>
      </c>
      <c r="O191" s="28" t="str">
        <f>IF($Q191="","",INDEX(TRANSACTIONS_MASTER!$AB$5:$AB$1204,$Q191))</f>
        <v/>
      </c>
      <c r="P191" s="55" t="str">
        <f>IF($Q191="","",INDEX(TRANSACTIONS_MASTER!$Z$5:$Z$1204,$Q191)&amp;"")</f>
        <v/>
      </c>
      <c r="Q191" s="67" t="str">
        <f>IFERROR(MATCH($C$2&amp;"|"&amp;184,TRANSACTIONS_MASTER!$AE$5:$AE$1204,0),"")</f>
        <v/>
      </c>
    </row>
    <row r="192">
      <c r="A192" s="81" t="str">
        <f>IF($Q192="","",185)</f>
        <v/>
      </c>
      <c r="B192" s="57" t="str">
        <f>IF($Q192="","",INDEX(TRANSACTIONS_MASTER!$B$5:$B$1204,$Q192))</f>
        <v/>
      </c>
      <c r="C192" s="55" t="str">
        <f>IF($Q192="","",INDEX(TRANSACTIONS_MASTER!$F$5:$F$1204,$Q192))</f>
        <v/>
      </c>
      <c r="D192" s="55" t="str">
        <f>IF($Q192="","",INDEX(TRANSACTIONS_MASTER!$E$5:$E$1204,$Q192))</f>
        <v/>
      </c>
      <c r="E192" s="55" t="str">
        <f>IF($Q192="","",INDEX(TRANSACTIONS_MASTER!$G$5:$G$1204,$Q192)&amp;"")</f>
        <v/>
      </c>
      <c r="F192" s="29" t="str">
        <f>IF($Q192="","",INDEX(TRANSACTIONS_MASTER!$I$5:$I$1204,$Q192))</f>
        <v/>
      </c>
      <c r="G192" s="55" t="str">
        <f>IF($Q192="","",INDEX(TRANSACTIONS_MASTER!$K$5:$K$1204,$Q192))</f>
        <v/>
      </c>
      <c r="H192" s="25" t="str">
        <f>IF($Q192="","",INDEX(TRANSACTIONS_MASTER!$L$5:$L$1204,$Q192))</f>
        <v/>
      </c>
      <c r="I192" s="56" t="str">
        <f>IF($Q192="","",INDEX(TRANSACTIONS_MASTER!$N$5:$N$1204,$Q192))</f>
        <v/>
      </c>
      <c r="J192" s="25" t="str">
        <f>IF($Q192="","",INDEX(TRANSACTIONS_MASTER!$O$5:$O$1204,$Q192))</f>
        <v/>
      </c>
      <c r="K192" s="26" t="str">
        <f>IF($Q192="","",INDEX(TRANSACTIONS_MASTER!$Q$5:$Q$1204,$Q192))</f>
        <v/>
      </c>
      <c r="L192" s="25" t="str">
        <f>IF($Q192="","",INDEX(TRANSACTIONS_MASTER!$P$5:$P$1204,$Q192))</f>
        <v/>
      </c>
      <c r="M192" s="25" t="str">
        <f>IF($Q192="","",INDEX(TRANSACTIONS_MASTER!$AA$5:$AA$1204,$Q192))</f>
        <v/>
      </c>
      <c r="N192" s="25" t="str">
        <f>IF($Q192="","",INDEX(TRANSACTIONS_MASTER!$R$5:$R$1204,$Q192))</f>
        <v/>
      </c>
      <c r="O192" s="28" t="str">
        <f>IF($Q192="","",INDEX(TRANSACTIONS_MASTER!$AB$5:$AB$1204,$Q192))</f>
        <v/>
      </c>
      <c r="P192" s="55" t="str">
        <f>IF($Q192="","",INDEX(TRANSACTIONS_MASTER!$Z$5:$Z$1204,$Q192)&amp;"")</f>
        <v/>
      </c>
      <c r="Q192" s="67" t="str">
        <f>IFERROR(MATCH($C$2&amp;"|"&amp;185,TRANSACTIONS_MASTER!$AE$5:$AE$1204,0),"")</f>
        <v/>
      </c>
    </row>
    <row r="193">
      <c r="A193" s="81" t="str">
        <f>IF($Q193="","",186)</f>
        <v/>
      </c>
      <c r="B193" s="57" t="str">
        <f>IF($Q193="","",INDEX(TRANSACTIONS_MASTER!$B$5:$B$1204,$Q193))</f>
        <v/>
      </c>
      <c r="C193" s="55" t="str">
        <f>IF($Q193="","",INDEX(TRANSACTIONS_MASTER!$F$5:$F$1204,$Q193))</f>
        <v/>
      </c>
      <c r="D193" s="55" t="str">
        <f>IF($Q193="","",INDEX(TRANSACTIONS_MASTER!$E$5:$E$1204,$Q193))</f>
        <v/>
      </c>
      <c r="E193" s="55" t="str">
        <f>IF($Q193="","",INDEX(TRANSACTIONS_MASTER!$G$5:$G$1204,$Q193)&amp;"")</f>
        <v/>
      </c>
      <c r="F193" s="29" t="str">
        <f>IF($Q193="","",INDEX(TRANSACTIONS_MASTER!$I$5:$I$1204,$Q193))</f>
        <v/>
      </c>
      <c r="G193" s="55" t="str">
        <f>IF($Q193="","",INDEX(TRANSACTIONS_MASTER!$K$5:$K$1204,$Q193))</f>
        <v/>
      </c>
      <c r="H193" s="25" t="str">
        <f>IF($Q193="","",INDEX(TRANSACTIONS_MASTER!$L$5:$L$1204,$Q193))</f>
        <v/>
      </c>
      <c r="I193" s="56" t="str">
        <f>IF($Q193="","",INDEX(TRANSACTIONS_MASTER!$N$5:$N$1204,$Q193))</f>
        <v/>
      </c>
      <c r="J193" s="25" t="str">
        <f>IF($Q193="","",INDEX(TRANSACTIONS_MASTER!$O$5:$O$1204,$Q193))</f>
        <v/>
      </c>
      <c r="K193" s="26" t="str">
        <f>IF($Q193="","",INDEX(TRANSACTIONS_MASTER!$Q$5:$Q$1204,$Q193))</f>
        <v/>
      </c>
      <c r="L193" s="25" t="str">
        <f>IF($Q193="","",INDEX(TRANSACTIONS_MASTER!$P$5:$P$1204,$Q193))</f>
        <v/>
      </c>
      <c r="M193" s="25" t="str">
        <f>IF($Q193="","",INDEX(TRANSACTIONS_MASTER!$AA$5:$AA$1204,$Q193))</f>
        <v/>
      </c>
      <c r="N193" s="25" t="str">
        <f>IF($Q193="","",INDEX(TRANSACTIONS_MASTER!$R$5:$R$1204,$Q193))</f>
        <v/>
      </c>
      <c r="O193" s="28" t="str">
        <f>IF($Q193="","",INDEX(TRANSACTIONS_MASTER!$AB$5:$AB$1204,$Q193))</f>
        <v/>
      </c>
      <c r="P193" s="55" t="str">
        <f>IF($Q193="","",INDEX(TRANSACTIONS_MASTER!$Z$5:$Z$1204,$Q193)&amp;"")</f>
        <v/>
      </c>
      <c r="Q193" s="67" t="str">
        <f>IFERROR(MATCH($C$2&amp;"|"&amp;186,TRANSACTIONS_MASTER!$AE$5:$AE$1204,0),"")</f>
        <v/>
      </c>
    </row>
    <row r="194">
      <c r="A194" s="81" t="str">
        <f>IF($Q194="","",187)</f>
        <v/>
      </c>
      <c r="B194" s="57" t="str">
        <f>IF($Q194="","",INDEX(TRANSACTIONS_MASTER!$B$5:$B$1204,$Q194))</f>
        <v/>
      </c>
      <c r="C194" s="55" t="str">
        <f>IF($Q194="","",INDEX(TRANSACTIONS_MASTER!$F$5:$F$1204,$Q194))</f>
        <v/>
      </c>
      <c r="D194" s="55" t="str">
        <f>IF($Q194="","",INDEX(TRANSACTIONS_MASTER!$E$5:$E$1204,$Q194))</f>
        <v/>
      </c>
      <c r="E194" s="55" t="str">
        <f>IF($Q194="","",INDEX(TRANSACTIONS_MASTER!$G$5:$G$1204,$Q194)&amp;"")</f>
        <v/>
      </c>
      <c r="F194" s="29" t="str">
        <f>IF($Q194="","",INDEX(TRANSACTIONS_MASTER!$I$5:$I$1204,$Q194))</f>
        <v/>
      </c>
      <c r="G194" s="55" t="str">
        <f>IF($Q194="","",INDEX(TRANSACTIONS_MASTER!$K$5:$K$1204,$Q194))</f>
        <v/>
      </c>
      <c r="H194" s="25" t="str">
        <f>IF($Q194="","",INDEX(TRANSACTIONS_MASTER!$L$5:$L$1204,$Q194))</f>
        <v/>
      </c>
      <c r="I194" s="56" t="str">
        <f>IF($Q194="","",INDEX(TRANSACTIONS_MASTER!$N$5:$N$1204,$Q194))</f>
        <v/>
      </c>
      <c r="J194" s="25" t="str">
        <f>IF($Q194="","",INDEX(TRANSACTIONS_MASTER!$O$5:$O$1204,$Q194))</f>
        <v/>
      </c>
      <c r="K194" s="26" t="str">
        <f>IF($Q194="","",INDEX(TRANSACTIONS_MASTER!$Q$5:$Q$1204,$Q194))</f>
        <v/>
      </c>
      <c r="L194" s="25" t="str">
        <f>IF($Q194="","",INDEX(TRANSACTIONS_MASTER!$P$5:$P$1204,$Q194))</f>
        <v/>
      </c>
      <c r="M194" s="25" t="str">
        <f>IF($Q194="","",INDEX(TRANSACTIONS_MASTER!$AA$5:$AA$1204,$Q194))</f>
        <v/>
      </c>
      <c r="N194" s="25" t="str">
        <f>IF($Q194="","",INDEX(TRANSACTIONS_MASTER!$R$5:$R$1204,$Q194))</f>
        <v/>
      </c>
      <c r="O194" s="28" t="str">
        <f>IF($Q194="","",INDEX(TRANSACTIONS_MASTER!$AB$5:$AB$1204,$Q194))</f>
        <v/>
      </c>
      <c r="P194" s="55" t="str">
        <f>IF($Q194="","",INDEX(TRANSACTIONS_MASTER!$Z$5:$Z$1204,$Q194)&amp;"")</f>
        <v/>
      </c>
      <c r="Q194" s="67" t="str">
        <f>IFERROR(MATCH($C$2&amp;"|"&amp;187,TRANSACTIONS_MASTER!$AE$5:$AE$1204,0),"")</f>
        <v/>
      </c>
    </row>
    <row r="195">
      <c r="A195" s="81" t="str">
        <f>IF($Q195="","",188)</f>
        <v/>
      </c>
      <c r="B195" s="57" t="str">
        <f>IF($Q195="","",INDEX(TRANSACTIONS_MASTER!$B$5:$B$1204,$Q195))</f>
        <v/>
      </c>
      <c r="C195" s="55" t="str">
        <f>IF($Q195="","",INDEX(TRANSACTIONS_MASTER!$F$5:$F$1204,$Q195))</f>
        <v/>
      </c>
      <c r="D195" s="55" t="str">
        <f>IF($Q195="","",INDEX(TRANSACTIONS_MASTER!$E$5:$E$1204,$Q195))</f>
        <v/>
      </c>
      <c r="E195" s="55" t="str">
        <f>IF($Q195="","",INDEX(TRANSACTIONS_MASTER!$G$5:$G$1204,$Q195)&amp;"")</f>
        <v/>
      </c>
      <c r="F195" s="29" t="str">
        <f>IF($Q195="","",INDEX(TRANSACTIONS_MASTER!$I$5:$I$1204,$Q195))</f>
        <v/>
      </c>
      <c r="G195" s="55" t="str">
        <f>IF($Q195="","",INDEX(TRANSACTIONS_MASTER!$K$5:$K$1204,$Q195))</f>
        <v/>
      </c>
      <c r="H195" s="25" t="str">
        <f>IF($Q195="","",INDEX(TRANSACTIONS_MASTER!$L$5:$L$1204,$Q195))</f>
        <v/>
      </c>
      <c r="I195" s="56" t="str">
        <f>IF($Q195="","",INDEX(TRANSACTIONS_MASTER!$N$5:$N$1204,$Q195))</f>
        <v/>
      </c>
      <c r="J195" s="25" t="str">
        <f>IF($Q195="","",INDEX(TRANSACTIONS_MASTER!$O$5:$O$1204,$Q195))</f>
        <v/>
      </c>
      <c r="K195" s="26" t="str">
        <f>IF($Q195="","",INDEX(TRANSACTIONS_MASTER!$Q$5:$Q$1204,$Q195))</f>
        <v/>
      </c>
      <c r="L195" s="25" t="str">
        <f>IF($Q195="","",INDEX(TRANSACTIONS_MASTER!$P$5:$P$1204,$Q195))</f>
        <v/>
      </c>
      <c r="M195" s="25" t="str">
        <f>IF($Q195="","",INDEX(TRANSACTIONS_MASTER!$AA$5:$AA$1204,$Q195))</f>
        <v/>
      </c>
      <c r="N195" s="25" t="str">
        <f>IF($Q195="","",INDEX(TRANSACTIONS_MASTER!$R$5:$R$1204,$Q195))</f>
        <v/>
      </c>
      <c r="O195" s="28" t="str">
        <f>IF($Q195="","",INDEX(TRANSACTIONS_MASTER!$AB$5:$AB$1204,$Q195))</f>
        <v/>
      </c>
      <c r="P195" s="55" t="str">
        <f>IF($Q195="","",INDEX(TRANSACTIONS_MASTER!$Z$5:$Z$1204,$Q195)&amp;"")</f>
        <v/>
      </c>
      <c r="Q195" s="67" t="str">
        <f>IFERROR(MATCH($C$2&amp;"|"&amp;188,TRANSACTIONS_MASTER!$AE$5:$AE$1204,0),"")</f>
        <v/>
      </c>
    </row>
    <row r="196">
      <c r="A196" s="81" t="str">
        <f>IF($Q196="","",189)</f>
        <v/>
      </c>
      <c r="B196" s="57" t="str">
        <f>IF($Q196="","",INDEX(TRANSACTIONS_MASTER!$B$5:$B$1204,$Q196))</f>
        <v/>
      </c>
      <c r="C196" s="55" t="str">
        <f>IF($Q196="","",INDEX(TRANSACTIONS_MASTER!$F$5:$F$1204,$Q196))</f>
        <v/>
      </c>
      <c r="D196" s="55" t="str">
        <f>IF($Q196="","",INDEX(TRANSACTIONS_MASTER!$E$5:$E$1204,$Q196))</f>
        <v/>
      </c>
      <c r="E196" s="55" t="str">
        <f>IF($Q196="","",INDEX(TRANSACTIONS_MASTER!$G$5:$G$1204,$Q196)&amp;"")</f>
        <v/>
      </c>
      <c r="F196" s="29" t="str">
        <f>IF($Q196="","",INDEX(TRANSACTIONS_MASTER!$I$5:$I$1204,$Q196))</f>
        <v/>
      </c>
      <c r="G196" s="55" t="str">
        <f>IF($Q196="","",INDEX(TRANSACTIONS_MASTER!$K$5:$K$1204,$Q196))</f>
        <v/>
      </c>
      <c r="H196" s="25" t="str">
        <f>IF($Q196="","",INDEX(TRANSACTIONS_MASTER!$L$5:$L$1204,$Q196))</f>
        <v/>
      </c>
      <c r="I196" s="56" t="str">
        <f>IF($Q196="","",INDEX(TRANSACTIONS_MASTER!$N$5:$N$1204,$Q196))</f>
        <v/>
      </c>
      <c r="J196" s="25" t="str">
        <f>IF($Q196="","",INDEX(TRANSACTIONS_MASTER!$O$5:$O$1204,$Q196))</f>
        <v/>
      </c>
      <c r="K196" s="26" t="str">
        <f>IF($Q196="","",INDEX(TRANSACTIONS_MASTER!$Q$5:$Q$1204,$Q196))</f>
        <v/>
      </c>
      <c r="L196" s="25" t="str">
        <f>IF($Q196="","",INDEX(TRANSACTIONS_MASTER!$P$5:$P$1204,$Q196))</f>
        <v/>
      </c>
      <c r="M196" s="25" t="str">
        <f>IF($Q196="","",INDEX(TRANSACTIONS_MASTER!$AA$5:$AA$1204,$Q196))</f>
        <v/>
      </c>
      <c r="N196" s="25" t="str">
        <f>IF($Q196="","",INDEX(TRANSACTIONS_MASTER!$R$5:$R$1204,$Q196))</f>
        <v/>
      </c>
      <c r="O196" s="28" t="str">
        <f>IF($Q196="","",INDEX(TRANSACTIONS_MASTER!$AB$5:$AB$1204,$Q196))</f>
        <v/>
      </c>
      <c r="P196" s="55" t="str">
        <f>IF($Q196="","",INDEX(TRANSACTIONS_MASTER!$Z$5:$Z$1204,$Q196)&amp;"")</f>
        <v/>
      </c>
      <c r="Q196" s="67" t="str">
        <f>IFERROR(MATCH($C$2&amp;"|"&amp;189,TRANSACTIONS_MASTER!$AE$5:$AE$1204,0),"")</f>
        <v/>
      </c>
    </row>
    <row r="197">
      <c r="A197" s="81" t="str">
        <f>IF($Q197="","",190)</f>
        <v/>
      </c>
      <c r="B197" s="57" t="str">
        <f>IF($Q197="","",INDEX(TRANSACTIONS_MASTER!$B$5:$B$1204,$Q197))</f>
        <v/>
      </c>
      <c r="C197" s="55" t="str">
        <f>IF($Q197="","",INDEX(TRANSACTIONS_MASTER!$F$5:$F$1204,$Q197))</f>
        <v/>
      </c>
      <c r="D197" s="55" t="str">
        <f>IF($Q197="","",INDEX(TRANSACTIONS_MASTER!$E$5:$E$1204,$Q197))</f>
        <v/>
      </c>
      <c r="E197" s="55" t="str">
        <f>IF($Q197="","",INDEX(TRANSACTIONS_MASTER!$G$5:$G$1204,$Q197)&amp;"")</f>
        <v/>
      </c>
      <c r="F197" s="29" t="str">
        <f>IF($Q197="","",INDEX(TRANSACTIONS_MASTER!$I$5:$I$1204,$Q197))</f>
        <v/>
      </c>
      <c r="G197" s="55" t="str">
        <f>IF($Q197="","",INDEX(TRANSACTIONS_MASTER!$K$5:$K$1204,$Q197))</f>
        <v/>
      </c>
      <c r="H197" s="25" t="str">
        <f>IF($Q197="","",INDEX(TRANSACTIONS_MASTER!$L$5:$L$1204,$Q197))</f>
        <v/>
      </c>
      <c r="I197" s="56" t="str">
        <f>IF($Q197="","",INDEX(TRANSACTIONS_MASTER!$N$5:$N$1204,$Q197))</f>
        <v/>
      </c>
      <c r="J197" s="25" t="str">
        <f>IF($Q197="","",INDEX(TRANSACTIONS_MASTER!$O$5:$O$1204,$Q197))</f>
        <v/>
      </c>
      <c r="K197" s="26" t="str">
        <f>IF($Q197="","",INDEX(TRANSACTIONS_MASTER!$Q$5:$Q$1204,$Q197))</f>
        <v/>
      </c>
      <c r="L197" s="25" t="str">
        <f>IF($Q197="","",INDEX(TRANSACTIONS_MASTER!$P$5:$P$1204,$Q197))</f>
        <v/>
      </c>
      <c r="M197" s="25" t="str">
        <f>IF($Q197="","",INDEX(TRANSACTIONS_MASTER!$AA$5:$AA$1204,$Q197))</f>
        <v/>
      </c>
      <c r="N197" s="25" t="str">
        <f>IF($Q197="","",INDEX(TRANSACTIONS_MASTER!$R$5:$R$1204,$Q197))</f>
        <v/>
      </c>
      <c r="O197" s="28" t="str">
        <f>IF($Q197="","",INDEX(TRANSACTIONS_MASTER!$AB$5:$AB$1204,$Q197))</f>
        <v/>
      </c>
      <c r="P197" s="55" t="str">
        <f>IF($Q197="","",INDEX(TRANSACTIONS_MASTER!$Z$5:$Z$1204,$Q197)&amp;"")</f>
        <v/>
      </c>
      <c r="Q197" s="67" t="str">
        <f>IFERROR(MATCH($C$2&amp;"|"&amp;190,TRANSACTIONS_MASTER!$AE$5:$AE$1204,0),"")</f>
        <v/>
      </c>
    </row>
    <row r="198">
      <c r="A198" s="81" t="str">
        <f>IF($Q198="","",191)</f>
        <v/>
      </c>
      <c r="B198" s="57" t="str">
        <f>IF($Q198="","",INDEX(TRANSACTIONS_MASTER!$B$5:$B$1204,$Q198))</f>
        <v/>
      </c>
      <c r="C198" s="55" t="str">
        <f>IF($Q198="","",INDEX(TRANSACTIONS_MASTER!$F$5:$F$1204,$Q198))</f>
        <v/>
      </c>
      <c r="D198" s="55" t="str">
        <f>IF($Q198="","",INDEX(TRANSACTIONS_MASTER!$E$5:$E$1204,$Q198))</f>
        <v/>
      </c>
      <c r="E198" s="55" t="str">
        <f>IF($Q198="","",INDEX(TRANSACTIONS_MASTER!$G$5:$G$1204,$Q198)&amp;"")</f>
        <v/>
      </c>
      <c r="F198" s="29" t="str">
        <f>IF($Q198="","",INDEX(TRANSACTIONS_MASTER!$I$5:$I$1204,$Q198))</f>
        <v/>
      </c>
      <c r="G198" s="55" t="str">
        <f>IF($Q198="","",INDEX(TRANSACTIONS_MASTER!$K$5:$K$1204,$Q198))</f>
        <v/>
      </c>
      <c r="H198" s="25" t="str">
        <f>IF($Q198="","",INDEX(TRANSACTIONS_MASTER!$L$5:$L$1204,$Q198))</f>
        <v/>
      </c>
      <c r="I198" s="56" t="str">
        <f>IF($Q198="","",INDEX(TRANSACTIONS_MASTER!$N$5:$N$1204,$Q198))</f>
        <v/>
      </c>
      <c r="J198" s="25" t="str">
        <f>IF($Q198="","",INDEX(TRANSACTIONS_MASTER!$O$5:$O$1204,$Q198))</f>
        <v/>
      </c>
      <c r="K198" s="26" t="str">
        <f>IF($Q198="","",INDEX(TRANSACTIONS_MASTER!$Q$5:$Q$1204,$Q198))</f>
        <v/>
      </c>
      <c r="L198" s="25" t="str">
        <f>IF($Q198="","",INDEX(TRANSACTIONS_MASTER!$P$5:$P$1204,$Q198))</f>
        <v/>
      </c>
      <c r="M198" s="25" t="str">
        <f>IF($Q198="","",INDEX(TRANSACTIONS_MASTER!$AA$5:$AA$1204,$Q198))</f>
        <v/>
      </c>
      <c r="N198" s="25" t="str">
        <f>IF($Q198="","",INDEX(TRANSACTIONS_MASTER!$R$5:$R$1204,$Q198))</f>
        <v/>
      </c>
      <c r="O198" s="28" t="str">
        <f>IF($Q198="","",INDEX(TRANSACTIONS_MASTER!$AB$5:$AB$1204,$Q198))</f>
        <v/>
      </c>
      <c r="P198" s="55" t="str">
        <f>IF($Q198="","",INDEX(TRANSACTIONS_MASTER!$Z$5:$Z$1204,$Q198)&amp;"")</f>
        <v/>
      </c>
      <c r="Q198" s="67" t="str">
        <f>IFERROR(MATCH($C$2&amp;"|"&amp;191,TRANSACTIONS_MASTER!$AE$5:$AE$1204,0),"")</f>
        <v/>
      </c>
    </row>
    <row r="199">
      <c r="A199" s="81" t="str">
        <f>IF($Q199="","",192)</f>
        <v/>
      </c>
      <c r="B199" s="57" t="str">
        <f>IF($Q199="","",INDEX(TRANSACTIONS_MASTER!$B$5:$B$1204,$Q199))</f>
        <v/>
      </c>
      <c r="C199" s="55" t="str">
        <f>IF($Q199="","",INDEX(TRANSACTIONS_MASTER!$F$5:$F$1204,$Q199))</f>
        <v/>
      </c>
      <c r="D199" s="55" t="str">
        <f>IF($Q199="","",INDEX(TRANSACTIONS_MASTER!$E$5:$E$1204,$Q199))</f>
        <v/>
      </c>
      <c r="E199" s="55" t="str">
        <f>IF($Q199="","",INDEX(TRANSACTIONS_MASTER!$G$5:$G$1204,$Q199)&amp;"")</f>
        <v/>
      </c>
      <c r="F199" s="29" t="str">
        <f>IF($Q199="","",INDEX(TRANSACTIONS_MASTER!$I$5:$I$1204,$Q199))</f>
        <v/>
      </c>
      <c r="G199" s="55" t="str">
        <f>IF($Q199="","",INDEX(TRANSACTIONS_MASTER!$K$5:$K$1204,$Q199))</f>
        <v/>
      </c>
      <c r="H199" s="25" t="str">
        <f>IF($Q199="","",INDEX(TRANSACTIONS_MASTER!$L$5:$L$1204,$Q199))</f>
        <v/>
      </c>
      <c r="I199" s="56" t="str">
        <f>IF($Q199="","",INDEX(TRANSACTIONS_MASTER!$N$5:$N$1204,$Q199))</f>
        <v/>
      </c>
      <c r="J199" s="25" t="str">
        <f>IF($Q199="","",INDEX(TRANSACTIONS_MASTER!$O$5:$O$1204,$Q199))</f>
        <v/>
      </c>
      <c r="K199" s="26" t="str">
        <f>IF($Q199="","",INDEX(TRANSACTIONS_MASTER!$Q$5:$Q$1204,$Q199))</f>
        <v/>
      </c>
      <c r="L199" s="25" t="str">
        <f>IF($Q199="","",INDEX(TRANSACTIONS_MASTER!$P$5:$P$1204,$Q199))</f>
        <v/>
      </c>
      <c r="M199" s="25" t="str">
        <f>IF($Q199="","",INDEX(TRANSACTIONS_MASTER!$AA$5:$AA$1204,$Q199))</f>
        <v/>
      </c>
      <c r="N199" s="25" t="str">
        <f>IF($Q199="","",INDEX(TRANSACTIONS_MASTER!$R$5:$R$1204,$Q199))</f>
        <v/>
      </c>
      <c r="O199" s="28" t="str">
        <f>IF($Q199="","",INDEX(TRANSACTIONS_MASTER!$AB$5:$AB$1204,$Q199))</f>
        <v/>
      </c>
      <c r="P199" s="55" t="str">
        <f>IF($Q199="","",INDEX(TRANSACTIONS_MASTER!$Z$5:$Z$1204,$Q199)&amp;"")</f>
        <v/>
      </c>
      <c r="Q199" s="67" t="str">
        <f>IFERROR(MATCH($C$2&amp;"|"&amp;192,TRANSACTIONS_MASTER!$AE$5:$AE$1204,0),"")</f>
        <v/>
      </c>
    </row>
    <row r="200">
      <c r="A200" s="81" t="str">
        <f>IF($Q200="","",193)</f>
        <v/>
      </c>
      <c r="B200" s="57" t="str">
        <f>IF($Q200="","",INDEX(TRANSACTIONS_MASTER!$B$5:$B$1204,$Q200))</f>
        <v/>
      </c>
      <c r="C200" s="55" t="str">
        <f>IF($Q200="","",INDEX(TRANSACTIONS_MASTER!$F$5:$F$1204,$Q200))</f>
        <v/>
      </c>
      <c r="D200" s="55" t="str">
        <f>IF($Q200="","",INDEX(TRANSACTIONS_MASTER!$E$5:$E$1204,$Q200))</f>
        <v/>
      </c>
      <c r="E200" s="55" t="str">
        <f>IF($Q200="","",INDEX(TRANSACTIONS_MASTER!$G$5:$G$1204,$Q200)&amp;"")</f>
        <v/>
      </c>
      <c r="F200" s="29" t="str">
        <f>IF($Q200="","",INDEX(TRANSACTIONS_MASTER!$I$5:$I$1204,$Q200))</f>
        <v/>
      </c>
      <c r="G200" s="55" t="str">
        <f>IF($Q200="","",INDEX(TRANSACTIONS_MASTER!$K$5:$K$1204,$Q200))</f>
        <v/>
      </c>
      <c r="H200" s="25" t="str">
        <f>IF($Q200="","",INDEX(TRANSACTIONS_MASTER!$L$5:$L$1204,$Q200))</f>
        <v/>
      </c>
      <c r="I200" s="56" t="str">
        <f>IF($Q200="","",INDEX(TRANSACTIONS_MASTER!$N$5:$N$1204,$Q200))</f>
        <v/>
      </c>
      <c r="J200" s="25" t="str">
        <f>IF($Q200="","",INDEX(TRANSACTIONS_MASTER!$O$5:$O$1204,$Q200))</f>
        <v/>
      </c>
      <c r="K200" s="26" t="str">
        <f>IF($Q200="","",INDEX(TRANSACTIONS_MASTER!$Q$5:$Q$1204,$Q200))</f>
        <v/>
      </c>
      <c r="L200" s="25" t="str">
        <f>IF($Q200="","",INDEX(TRANSACTIONS_MASTER!$P$5:$P$1204,$Q200))</f>
        <v/>
      </c>
      <c r="M200" s="25" t="str">
        <f>IF($Q200="","",INDEX(TRANSACTIONS_MASTER!$AA$5:$AA$1204,$Q200))</f>
        <v/>
      </c>
      <c r="N200" s="25" t="str">
        <f>IF($Q200="","",INDEX(TRANSACTIONS_MASTER!$R$5:$R$1204,$Q200))</f>
        <v/>
      </c>
      <c r="O200" s="28" t="str">
        <f>IF($Q200="","",INDEX(TRANSACTIONS_MASTER!$AB$5:$AB$1204,$Q200))</f>
        <v/>
      </c>
      <c r="P200" s="55" t="str">
        <f>IF($Q200="","",INDEX(TRANSACTIONS_MASTER!$Z$5:$Z$1204,$Q200)&amp;"")</f>
        <v/>
      </c>
      <c r="Q200" s="67" t="str">
        <f>IFERROR(MATCH($C$2&amp;"|"&amp;193,TRANSACTIONS_MASTER!$AE$5:$AE$1204,0),"")</f>
        <v/>
      </c>
    </row>
    <row r="201">
      <c r="A201" s="81" t="str">
        <f>IF($Q201="","",194)</f>
        <v/>
      </c>
      <c r="B201" s="57" t="str">
        <f>IF($Q201="","",INDEX(TRANSACTIONS_MASTER!$B$5:$B$1204,$Q201))</f>
        <v/>
      </c>
      <c r="C201" s="55" t="str">
        <f>IF($Q201="","",INDEX(TRANSACTIONS_MASTER!$F$5:$F$1204,$Q201))</f>
        <v/>
      </c>
      <c r="D201" s="55" t="str">
        <f>IF($Q201="","",INDEX(TRANSACTIONS_MASTER!$E$5:$E$1204,$Q201))</f>
        <v/>
      </c>
      <c r="E201" s="55" t="str">
        <f>IF($Q201="","",INDEX(TRANSACTIONS_MASTER!$G$5:$G$1204,$Q201)&amp;"")</f>
        <v/>
      </c>
      <c r="F201" s="29" t="str">
        <f>IF($Q201="","",INDEX(TRANSACTIONS_MASTER!$I$5:$I$1204,$Q201))</f>
        <v/>
      </c>
      <c r="G201" s="55" t="str">
        <f>IF($Q201="","",INDEX(TRANSACTIONS_MASTER!$K$5:$K$1204,$Q201))</f>
        <v/>
      </c>
      <c r="H201" s="25" t="str">
        <f>IF($Q201="","",INDEX(TRANSACTIONS_MASTER!$L$5:$L$1204,$Q201))</f>
        <v/>
      </c>
      <c r="I201" s="56" t="str">
        <f>IF($Q201="","",INDEX(TRANSACTIONS_MASTER!$N$5:$N$1204,$Q201))</f>
        <v/>
      </c>
      <c r="J201" s="25" t="str">
        <f>IF($Q201="","",INDEX(TRANSACTIONS_MASTER!$O$5:$O$1204,$Q201))</f>
        <v/>
      </c>
      <c r="K201" s="26" t="str">
        <f>IF($Q201="","",INDEX(TRANSACTIONS_MASTER!$Q$5:$Q$1204,$Q201))</f>
        <v/>
      </c>
      <c r="L201" s="25" t="str">
        <f>IF($Q201="","",INDEX(TRANSACTIONS_MASTER!$P$5:$P$1204,$Q201))</f>
        <v/>
      </c>
      <c r="M201" s="25" t="str">
        <f>IF($Q201="","",INDEX(TRANSACTIONS_MASTER!$AA$5:$AA$1204,$Q201))</f>
        <v/>
      </c>
      <c r="N201" s="25" t="str">
        <f>IF($Q201="","",INDEX(TRANSACTIONS_MASTER!$R$5:$R$1204,$Q201))</f>
        <v/>
      </c>
      <c r="O201" s="28" t="str">
        <f>IF($Q201="","",INDEX(TRANSACTIONS_MASTER!$AB$5:$AB$1204,$Q201))</f>
        <v/>
      </c>
      <c r="P201" s="55" t="str">
        <f>IF($Q201="","",INDEX(TRANSACTIONS_MASTER!$Z$5:$Z$1204,$Q201)&amp;"")</f>
        <v/>
      </c>
      <c r="Q201" s="67" t="str">
        <f>IFERROR(MATCH($C$2&amp;"|"&amp;194,TRANSACTIONS_MASTER!$AE$5:$AE$1204,0),"")</f>
        <v/>
      </c>
    </row>
    <row r="202">
      <c r="A202" s="81" t="str">
        <f>IF($Q202="","",195)</f>
        <v/>
      </c>
      <c r="B202" s="57" t="str">
        <f>IF($Q202="","",INDEX(TRANSACTIONS_MASTER!$B$5:$B$1204,$Q202))</f>
        <v/>
      </c>
      <c r="C202" s="55" t="str">
        <f>IF($Q202="","",INDEX(TRANSACTIONS_MASTER!$F$5:$F$1204,$Q202))</f>
        <v/>
      </c>
      <c r="D202" s="55" t="str">
        <f>IF($Q202="","",INDEX(TRANSACTIONS_MASTER!$E$5:$E$1204,$Q202))</f>
        <v/>
      </c>
      <c r="E202" s="55" t="str">
        <f>IF($Q202="","",INDEX(TRANSACTIONS_MASTER!$G$5:$G$1204,$Q202)&amp;"")</f>
        <v/>
      </c>
      <c r="F202" s="29" t="str">
        <f>IF($Q202="","",INDEX(TRANSACTIONS_MASTER!$I$5:$I$1204,$Q202))</f>
        <v/>
      </c>
      <c r="G202" s="55" t="str">
        <f>IF($Q202="","",INDEX(TRANSACTIONS_MASTER!$K$5:$K$1204,$Q202))</f>
        <v/>
      </c>
      <c r="H202" s="25" t="str">
        <f>IF($Q202="","",INDEX(TRANSACTIONS_MASTER!$L$5:$L$1204,$Q202))</f>
        <v/>
      </c>
      <c r="I202" s="56" t="str">
        <f>IF($Q202="","",INDEX(TRANSACTIONS_MASTER!$N$5:$N$1204,$Q202))</f>
        <v/>
      </c>
      <c r="J202" s="25" t="str">
        <f>IF($Q202="","",INDEX(TRANSACTIONS_MASTER!$O$5:$O$1204,$Q202))</f>
        <v/>
      </c>
      <c r="K202" s="26" t="str">
        <f>IF($Q202="","",INDEX(TRANSACTIONS_MASTER!$Q$5:$Q$1204,$Q202))</f>
        <v/>
      </c>
      <c r="L202" s="25" t="str">
        <f>IF($Q202="","",INDEX(TRANSACTIONS_MASTER!$P$5:$P$1204,$Q202))</f>
        <v/>
      </c>
      <c r="M202" s="25" t="str">
        <f>IF($Q202="","",INDEX(TRANSACTIONS_MASTER!$AA$5:$AA$1204,$Q202))</f>
        <v/>
      </c>
      <c r="N202" s="25" t="str">
        <f>IF($Q202="","",INDEX(TRANSACTIONS_MASTER!$R$5:$R$1204,$Q202))</f>
        <v/>
      </c>
      <c r="O202" s="28" t="str">
        <f>IF($Q202="","",INDEX(TRANSACTIONS_MASTER!$AB$5:$AB$1204,$Q202))</f>
        <v/>
      </c>
      <c r="P202" s="55" t="str">
        <f>IF($Q202="","",INDEX(TRANSACTIONS_MASTER!$Z$5:$Z$1204,$Q202)&amp;"")</f>
        <v/>
      </c>
      <c r="Q202" s="67" t="str">
        <f>IFERROR(MATCH($C$2&amp;"|"&amp;195,TRANSACTIONS_MASTER!$AE$5:$AE$1204,0),"")</f>
        <v/>
      </c>
    </row>
    <row r="203">
      <c r="A203" s="81" t="str">
        <f>IF($Q203="","",196)</f>
        <v/>
      </c>
      <c r="B203" s="57" t="str">
        <f>IF($Q203="","",INDEX(TRANSACTIONS_MASTER!$B$5:$B$1204,$Q203))</f>
        <v/>
      </c>
      <c r="C203" s="55" t="str">
        <f>IF($Q203="","",INDEX(TRANSACTIONS_MASTER!$F$5:$F$1204,$Q203))</f>
        <v/>
      </c>
      <c r="D203" s="55" t="str">
        <f>IF($Q203="","",INDEX(TRANSACTIONS_MASTER!$E$5:$E$1204,$Q203))</f>
        <v/>
      </c>
      <c r="E203" s="55" t="str">
        <f>IF($Q203="","",INDEX(TRANSACTIONS_MASTER!$G$5:$G$1204,$Q203)&amp;"")</f>
        <v/>
      </c>
      <c r="F203" s="29" t="str">
        <f>IF($Q203="","",INDEX(TRANSACTIONS_MASTER!$I$5:$I$1204,$Q203))</f>
        <v/>
      </c>
      <c r="G203" s="55" t="str">
        <f>IF($Q203="","",INDEX(TRANSACTIONS_MASTER!$K$5:$K$1204,$Q203))</f>
        <v/>
      </c>
      <c r="H203" s="25" t="str">
        <f>IF($Q203="","",INDEX(TRANSACTIONS_MASTER!$L$5:$L$1204,$Q203))</f>
        <v/>
      </c>
      <c r="I203" s="56" t="str">
        <f>IF($Q203="","",INDEX(TRANSACTIONS_MASTER!$N$5:$N$1204,$Q203))</f>
        <v/>
      </c>
      <c r="J203" s="25" t="str">
        <f>IF($Q203="","",INDEX(TRANSACTIONS_MASTER!$O$5:$O$1204,$Q203))</f>
        <v/>
      </c>
      <c r="K203" s="26" t="str">
        <f>IF($Q203="","",INDEX(TRANSACTIONS_MASTER!$Q$5:$Q$1204,$Q203))</f>
        <v/>
      </c>
      <c r="L203" s="25" t="str">
        <f>IF($Q203="","",INDEX(TRANSACTIONS_MASTER!$P$5:$P$1204,$Q203))</f>
        <v/>
      </c>
      <c r="M203" s="25" t="str">
        <f>IF($Q203="","",INDEX(TRANSACTIONS_MASTER!$AA$5:$AA$1204,$Q203))</f>
        <v/>
      </c>
      <c r="N203" s="25" t="str">
        <f>IF($Q203="","",INDEX(TRANSACTIONS_MASTER!$R$5:$R$1204,$Q203))</f>
        <v/>
      </c>
      <c r="O203" s="28" t="str">
        <f>IF($Q203="","",INDEX(TRANSACTIONS_MASTER!$AB$5:$AB$1204,$Q203))</f>
        <v/>
      </c>
      <c r="P203" s="55" t="str">
        <f>IF($Q203="","",INDEX(TRANSACTIONS_MASTER!$Z$5:$Z$1204,$Q203)&amp;"")</f>
        <v/>
      </c>
      <c r="Q203" s="67" t="str">
        <f>IFERROR(MATCH($C$2&amp;"|"&amp;196,TRANSACTIONS_MASTER!$AE$5:$AE$1204,0),"")</f>
        <v/>
      </c>
    </row>
    <row r="204">
      <c r="A204" s="81" t="str">
        <f>IF($Q204="","",197)</f>
        <v/>
      </c>
      <c r="B204" s="57" t="str">
        <f>IF($Q204="","",INDEX(TRANSACTIONS_MASTER!$B$5:$B$1204,$Q204))</f>
        <v/>
      </c>
      <c r="C204" s="55" t="str">
        <f>IF($Q204="","",INDEX(TRANSACTIONS_MASTER!$F$5:$F$1204,$Q204))</f>
        <v/>
      </c>
      <c r="D204" s="55" t="str">
        <f>IF($Q204="","",INDEX(TRANSACTIONS_MASTER!$E$5:$E$1204,$Q204))</f>
        <v/>
      </c>
      <c r="E204" s="55" t="str">
        <f>IF($Q204="","",INDEX(TRANSACTIONS_MASTER!$G$5:$G$1204,$Q204)&amp;"")</f>
        <v/>
      </c>
      <c r="F204" s="29" t="str">
        <f>IF($Q204="","",INDEX(TRANSACTIONS_MASTER!$I$5:$I$1204,$Q204))</f>
        <v/>
      </c>
      <c r="G204" s="55" t="str">
        <f>IF($Q204="","",INDEX(TRANSACTIONS_MASTER!$K$5:$K$1204,$Q204))</f>
        <v/>
      </c>
      <c r="H204" s="25" t="str">
        <f>IF($Q204="","",INDEX(TRANSACTIONS_MASTER!$L$5:$L$1204,$Q204))</f>
        <v/>
      </c>
      <c r="I204" s="56" t="str">
        <f>IF($Q204="","",INDEX(TRANSACTIONS_MASTER!$N$5:$N$1204,$Q204))</f>
        <v/>
      </c>
      <c r="J204" s="25" t="str">
        <f>IF($Q204="","",INDEX(TRANSACTIONS_MASTER!$O$5:$O$1204,$Q204))</f>
        <v/>
      </c>
      <c r="K204" s="26" t="str">
        <f>IF($Q204="","",INDEX(TRANSACTIONS_MASTER!$Q$5:$Q$1204,$Q204))</f>
        <v/>
      </c>
      <c r="L204" s="25" t="str">
        <f>IF($Q204="","",INDEX(TRANSACTIONS_MASTER!$P$5:$P$1204,$Q204))</f>
        <v/>
      </c>
      <c r="M204" s="25" t="str">
        <f>IF($Q204="","",INDEX(TRANSACTIONS_MASTER!$AA$5:$AA$1204,$Q204))</f>
        <v/>
      </c>
      <c r="N204" s="25" t="str">
        <f>IF($Q204="","",INDEX(TRANSACTIONS_MASTER!$R$5:$R$1204,$Q204))</f>
        <v/>
      </c>
      <c r="O204" s="28" t="str">
        <f>IF($Q204="","",INDEX(TRANSACTIONS_MASTER!$AB$5:$AB$1204,$Q204))</f>
        <v/>
      </c>
      <c r="P204" s="55" t="str">
        <f>IF($Q204="","",INDEX(TRANSACTIONS_MASTER!$Z$5:$Z$1204,$Q204)&amp;"")</f>
        <v/>
      </c>
      <c r="Q204" s="67" t="str">
        <f>IFERROR(MATCH($C$2&amp;"|"&amp;197,TRANSACTIONS_MASTER!$AE$5:$AE$1204,0),"")</f>
        <v/>
      </c>
    </row>
    <row r="205">
      <c r="A205" s="81" t="str">
        <f>IF($Q205="","",198)</f>
        <v/>
      </c>
      <c r="B205" s="57" t="str">
        <f>IF($Q205="","",INDEX(TRANSACTIONS_MASTER!$B$5:$B$1204,$Q205))</f>
        <v/>
      </c>
      <c r="C205" s="55" t="str">
        <f>IF($Q205="","",INDEX(TRANSACTIONS_MASTER!$F$5:$F$1204,$Q205))</f>
        <v/>
      </c>
      <c r="D205" s="55" t="str">
        <f>IF($Q205="","",INDEX(TRANSACTIONS_MASTER!$E$5:$E$1204,$Q205))</f>
        <v/>
      </c>
      <c r="E205" s="55" t="str">
        <f>IF($Q205="","",INDEX(TRANSACTIONS_MASTER!$G$5:$G$1204,$Q205)&amp;"")</f>
        <v/>
      </c>
      <c r="F205" s="29" t="str">
        <f>IF($Q205="","",INDEX(TRANSACTIONS_MASTER!$I$5:$I$1204,$Q205))</f>
        <v/>
      </c>
      <c r="G205" s="55" t="str">
        <f>IF($Q205="","",INDEX(TRANSACTIONS_MASTER!$K$5:$K$1204,$Q205))</f>
        <v/>
      </c>
      <c r="H205" s="25" t="str">
        <f>IF($Q205="","",INDEX(TRANSACTIONS_MASTER!$L$5:$L$1204,$Q205))</f>
        <v/>
      </c>
      <c r="I205" s="56" t="str">
        <f>IF($Q205="","",INDEX(TRANSACTIONS_MASTER!$N$5:$N$1204,$Q205))</f>
        <v/>
      </c>
      <c r="J205" s="25" t="str">
        <f>IF($Q205="","",INDEX(TRANSACTIONS_MASTER!$O$5:$O$1204,$Q205))</f>
        <v/>
      </c>
      <c r="K205" s="26" t="str">
        <f>IF($Q205="","",INDEX(TRANSACTIONS_MASTER!$Q$5:$Q$1204,$Q205))</f>
        <v/>
      </c>
      <c r="L205" s="25" t="str">
        <f>IF($Q205="","",INDEX(TRANSACTIONS_MASTER!$P$5:$P$1204,$Q205))</f>
        <v/>
      </c>
      <c r="M205" s="25" t="str">
        <f>IF($Q205="","",INDEX(TRANSACTIONS_MASTER!$AA$5:$AA$1204,$Q205))</f>
        <v/>
      </c>
      <c r="N205" s="25" t="str">
        <f>IF($Q205="","",INDEX(TRANSACTIONS_MASTER!$R$5:$R$1204,$Q205))</f>
        <v/>
      </c>
      <c r="O205" s="28" t="str">
        <f>IF($Q205="","",INDEX(TRANSACTIONS_MASTER!$AB$5:$AB$1204,$Q205))</f>
        <v/>
      </c>
      <c r="P205" s="55" t="str">
        <f>IF($Q205="","",INDEX(TRANSACTIONS_MASTER!$Z$5:$Z$1204,$Q205)&amp;"")</f>
        <v/>
      </c>
      <c r="Q205" s="67" t="str">
        <f>IFERROR(MATCH($C$2&amp;"|"&amp;198,TRANSACTIONS_MASTER!$AE$5:$AE$1204,0),"")</f>
        <v/>
      </c>
    </row>
    <row r="206">
      <c r="A206" s="81" t="str">
        <f>IF($Q206="","",199)</f>
        <v/>
      </c>
      <c r="B206" s="57" t="str">
        <f>IF($Q206="","",INDEX(TRANSACTIONS_MASTER!$B$5:$B$1204,$Q206))</f>
        <v/>
      </c>
      <c r="C206" s="55" t="str">
        <f>IF($Q206="","",INDEX(TRANSACTIONS_MASTER!$F$5:$F$1204,$Q206))</f>
        <v/>
      </c>
      <c r="D206" s="55" t="str">
        <f>IF($Q206="","",INDEX(TRANSACTIONS_MASTER!$E$5:$E$1204,$Q206))</f>
        <v/>
      </c>
      <c r="E206" s="55" t="str">
        <f>IF($Q206="","",INDEX(TRANSACTIONS_MASTER!$G$5:$G$1204,$Q206)&amp;"")</f>
        <v/>
      </c>
      <c r="F206" s="29" t="str">
        <f>IF($Q206="","",INDEX(TRANSACTIONS_MASTER!$I$5:$I$1204,$Q206))</f>
        <v/>
      </c>
      <c r="G206" s="55" t="str">
        <f>IF($Q206="","",INDEX(TRANSACTIONS_MASTER!$K$5:$K$1204,$Q206))</f>
        <v/>
      </c>
      <c r="H206" s="25" t="str">
        <f>IF($Q206="","",INDEX(TRANSACTIONS_MASTER!$L$5:$L$1204,$Q206))</f>
        <v/>
      </c>
      <c r="I206" s="56" t="str">
        <f>IF($Q206="","",INDEX(TRANSACTIONS_MASTER!$N$5:$N$1204,$Q206))</f>
        <v/>
      </c>
      <c r="J206" s="25" t="str">
        <f>IF($Q206="","",INDEX(TRANSACTIONS_MASTER!$O$5:$O$1204,$Q206))</f>
        <v/>
      </c>
      <c r="K206" s="26" t="str">
        <f>IF($Q206="","",INDEX(TRANSACTIONS_MASTER!$Q$5:$Q$1204,$Q206))</f>
        <v/>
      </c>
      <c r="L206" s="25" t="str">
        <f>IF($Q206="","",INDEX(TRANSACTIONS_MASTER!$P$5:$P$1204,$Q206))</f>
        <v/>
      </c>
      <c r="M206" s="25" t="str">
        <f>IF($Q206="","",INDEX(TRANSACTIONS_MASTER!$AA$5:$AA$1204,$Q206))</f>
        <v/>
      </c>
      <c r="N206" s="25" t="str">
        <f>IF($Q206="","",INDEX(TRANSACTIONS_MASTER!$R$5:$R$1204,$Q206))</f>
        <v/>
      </c>
      <c r="O206" s="28" t="str">
        <f>IF($Q206="","",INDEX(TRANSACTIONS_MASTER!$AB$5:$AB$1204,$Q206))</f>
        <v/>
      </c>
      <c r="P206" s="55" t="str">
        <f>IF($Q206="","",INDEX(TRANSACTIONS_MASTER!$Z$5:$Z$1204,$Q206)&amp;"")</f>
        <v/>
      </c>
      <c r="Q206" s="67" t="str">
        <f>IFERROR(MATCH($C$2&amp;"|"&amp;199,TRANSACTIONS_MASTER!$AE$5:$AE$1204,0),"")</f>
        <v/>
      </c>
    </row>
    <row r="207">
      <c r="A207" s="81" t="str">
        <f>IF($Q207="","",200)</f>
        <v/>
      </c>
      <c r="B207" s="57" t="str">
        <f>IF($Q207="","",INDEX(TRANSACTIONS_MASTER!$B$5:$B$1204,$Q207))</f>
        <v/>
      </c>
      <c r="C207" s="55" t="str">
        <f>IF($Q207="","",INDEX(TRANSACTIONS_MASTER!$F$5:$F$1204,$Q207))</f>
        <v/>
      </c>
      <c r="D207" s="55" t="str">
        <f>IF($Q207="","",INDEX(TRANSACTIONS_MASTER!$E$5:$E$1204,$Q207))</f>
        <v/>
      </c>
      <c r="E207" s="55" t="str">
        <f>IF($Q207="","",INDEX(TRANSACTIONS_MASTER!$G$5:$G$1204,$Q207)&amp;"")</f>
        <v/>
      </c>
      <c r="F207" s="29" t="str">
        <f>IF($Q207="","",INDEX(TRANSACTIONS_MASTER!$I$5:$I$1204,$Q207))</f>
        <v/>
      </c>
      <c r="G207" s="55" t="str">
        <f>IF($Q207="","",INDEX(TRANSACTIONS_MASTER!$K$5:$K$1204,$Q207))</f>
        <v/>
      </c>
      <c r="H207" s="25" t="str">
        <f>IF($Q207="","",INDEX(TRANSACTIONS_MASTER!$L$5:$L$1204,$Q207))</f>
        <v/>
      </c>
      <c r="I207" s="56" t="str">
        <f>IF($Q207="","",INDEX(TRANSACTIONS_MASTER!$N$5:$N$1204,$Q207))</f>
        <v/>
      </c>
      <c r="J207" s="25" t="str">
        <f>IF($Q207="","",INDEX(TRANSACTIONS_MASTER!$O$5:$O$1204,$Q207))</f>
        <v/>
      </c>
      <c r="K207" s="26" t="str">
        <f>IF($Q207="","",INDEX(TRANSACTIONS_MASTER!$Q$5:$Q$1204,$Q207))</f>
        <v/>
      </c>
      <c r="L207" s="25" t="str">
        <f>IF($Q207="","",INDEX(TRANSACTIONS_MASTER!$P$5:$P$1204,$Q207))</f>
        <v/>
      </c>
      <c r="M207" s="25" t="str">
        <f>IF($Q207="","",INDEX(TRANSACTIONS_MASTER!$AA$5:$AA$1204,$Q207))</f>
        <v/>
      </c>
      <c r="N207" s="25" t="str">
        <f>IF($Q207="","",INDEX(TRANSACTIONS_MASTER!$R$5:$R$1204,$Q207))</f>
        <v/>
      </c>
      <c r="O207" s="28" t="str">
        <f>IF($Q207="","",INDEX(TRANSACTIONS_MASTER!$AB$5:$AB$1204,$Q207))</f>
        <v/>
      </c>
      <c r="P207" s="55" t="str">
        <f>IF($Q207="","",INDEX(TRANSACTIONS_MASTER!$Z$5:$Z$1204,$Q207)&amp;"")</f>
        <v/>
      </c>
      <c r="Q207" s="67" t="str">
        <f>IFERROR(MATCH($C$2&amp;"|"&amp;200,TRANSACTIONS_MASTER!$AE$5:$AE$1204,0),"")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autoFilter ref="A7:P207"/>
  <mergeCells count="14">
    <mergeCell ref="I4:J4"/>
    <mergeCell ref="T3:W3"/>
    <mergeCell ref="B3:C3"/>
    <mergeCell ref="T4:W4"/>
    <mergeCell ref="M4:O4"/>
    <mergeCell ref="M3:O3"/>
    <mergeCell ref="F4:H4"/>
    <mergeCell ref="D4:E4"/>
    <mergeCell ref="K4:L4"/>
    <mergeCell ref="F3:H3"/>
    <mergeCell ref="D3:E3"/>
    <mergeCell ref="B4:C4"/>
    <mergeCell ref="K3:L3"/>
    <mergeCell ref="I3:J3"/>
  </mergeCells>
  <conditionalFormatting sqref="AA8:AA57">
    <cfRule type="dataBar" priority="1">
      <dataBar showValue="1">
        <cfvo type="num" val="0"/>
        <cfvo type="num" val="1"/>
        <color rgb="00F2A1BF"/>
      </dataBar>
    </cfRule>
    <cfRule type="expression" priority="2" dxfId="8">
      <formula>AND(ISNUMBER(AA8),AA8&gt;=1)</formula>
    </cfRule>
  </conditionalFormatting>
  <conditionalFormatting sqref="Z8:Z57">
    <cfRule type="cellIs" priority="3" operator="equal" dxfId="1">
      <formula>0</formula>
    </cfRule>
  </conditionalFormatting>
  <conditionalFormatting sqref="Z62:Z91">
    <cfRule type="dataBar" priority="4">
      <dataBar showValue="1">
        <cfvo type="num" val="0"/>
        <cfvo type="num" val="1"/>
        <color rgb="00F2A1BF"/>
      </dataBar>
    </cfRule>
    <cfRule type="expression" priority="5" dxfId="8">
      <formula>AND(ISNUMBER(Z62),Z62&gt;=1)</formula>
    </cfRule>
  </conditionalFormatting>
  <conditionalFormatting sqref="Y62:Y91">
    <cfRule type="cellIs" priority="6" operator="equal" dxfId="1">
      <formula>0</formula>
    </cfRule>
  </conditionalFormatting>
  <conditionalFormatting sqref="A8:P207">
    <cfRule type="expression" priority="7" dxfId="5" stopIfTrue="0">
      <formula>MOD(ROW(),2)=0</formula>
    </cfRule>
  </conditionalFormatting>
  <conditionalFormatting sqref="O8:O207">
    <cfRule type="cellIs" priority="8" operator="equal" dxfId="3">
      <formula>"Được hoàn"</formula>
    </cfRule>
    <cfRule type="cellIs" priority="9" operator="equal" dxfId="2">
      <formula>"Hoàn một phần"</formula>
    </cfRule>
    <cfRule type="cellIs" priority="10" operator="equal" dxfId="1">
      <formula>"Đã đạt cap"</formula>
    </cfRule>
    <cfRule type="cellIs" priority="11" operator="equal" dxfId="4">
      <formula>"Không được hoàn"</formula>
    </cfRule>
    <cfRule type="cellIs" priority="12" operator="equal" dxfId="0">
      <formula>"Đã hủy"</formula>
    </cfRule>
  </conditionalFormatting>
  <conditionalFormatting sqref="K8:K207">
    <cfRule type="expression" priority="13" dxfId="7">
      <formula>AND(ISNUMBER($K8),$K8&gt;0)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F8C8DC"/>
    <outlinePr summaryBelow="1" summaryRight="1"/>
    <pageSetUpPr/>
  </sheetPr>
  <dimension ref="A1:AA20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13" customWidth="1" min="4" max="4"/>
    <col width="22" customWidth="1" min="5" max="5"/>
    <col width="8" customWidth="1" min="6" max="6"/>
    <col width="17" customWidth="1" min="7" max="7"/>
    <col width="14" customWidth="1" min="8" max="8"/>
    <col width="10" customWidth="1" min="9" max="9"/>
    <col width="15" customWidth="1" min="10" max="10"/>
    <col width="15" customWidth="1" min="11" max="11"/>
    <col width="14" customWidth="1" min="12" max="12"/>
    <col width="14" customWidth="1" min="13" max="13"/>
    <col width="15" customWidth="1" min="14" max="14"/>
    <col width="16" customWidth="1" min="15" max="15"/>
    <col width="14" customWidth="1" min="16" max="16"/>
    <col width="3" customWidth="1" min="17" max="17"/>
    <col width="3" customWidth="1" min="18" max="18"/>
    <col width="4" customWidth="1" min="19" max="19"/>
    <col width="12" customWidth="1" min="20" max="20"/>
    <col width="30" customWidth="1" min="21" max="21"/>
    <col width="15" customWidth="1" min="22" max="22"/>
    <col width="17" customWidth="1" min="23" max="23"/>
    <col width="15" customWidth="1" min="24" max="24"/>
    <col width="15" customWidth="1" min="25" max="25"/>
    <col width="15" customWidth="1" min="26" max="26"/>
    <col width="12" customWidth="1" min="27" max="27"/>
  </cols>
  <sheetData>
    <row r="1" ht="28" customHeight="1">
      <c r="B1" s="70" t="str">
        <f>"THÁNG "&amp;MOD($C$2,100)&amp;"/"&amp;INT($C$2/100)&amp;"   ♥"</f>
        <v>THÁNG 10/2026   ♥</v>
      </c>
    </row>
    <row r="2" ht="20" customHeight="1">
      <c r="B2" s="71" t="inlineStr">
        <is>
          <t>Mã tháng</t>
        </is>
      </c>
      <c r="C2" s="72" t="n">
        <v>202610</v>
      </c>
      <c r="E2" s="66" t="str">
        <f>HYPERLINK("#Dashboard!A1","← Dashboard")</f>
        <v>← Dashboard</v>
      </c>
      <c r="G2" s="66" t="str">
        <f>HYPERLINK("#TRANSACTIONS_MASTER!A1","Giao dịch (nhập ở đây) →")</f>
        <v>Giao dịch (nhập ở đây) →</v>
      </c>
      <c r="J2" s="66" t="str">
        <f>HYPERLINK("#'2026-10'!S6","Cap &amp; thẻ →")</f>
        <v>Cap &amp; thẻ →</v>
      </c>
      <c r="L2" s="66" t="str">
        <f>HYPERLINK("#'2026-10'!S95","Phân tích →")</f>
        <v>Phân tích →</v>
      </c>
      <c r="N2" s="66" t="str">
        <f>HYPERLINK("#'2026-10'!A1","↑ Đầu trang")</f>
        <v>↑ Đầu trang</v>
      </c>
      <c r="O2" s="73" t="inlineStr">
        <is>
          <t>Sheet này là bản xem tự động — nhập giao dịch ở TRANSACTIONS_MASTER</t>
        </is>
      </c>
    </row>
    <row r="3" ht="17" customHeight="1">
      <c r="B3" s="74" t="inlineStr">
        <is>
          <t>💰 Tổng chi tiêu</t>
        </is>
      </c>
      <c r="C3" s="75" t="n"/>
      <c r="D3" s="74" t="inlineStr">
        <is>
          <t>★ Tổng cashback (thực nhận)</t>
        </is>
      </c>
      <c r="E3" s="75" t="n"/>
      <c r="F3" s="74" t="inlineStr">
        <is>
          <t>Cashback còn có thể nhận</t>
        </is>
      </c>
      <c r="G3" s="75" t="n"/>
      <c r="H3" s="75" t="n"/>
      <c r="I3" s="74" t="inlineStr">
        <is>
          <t>Số giao dịch</t>
        </is>
      </c>
      <c r="J3" s="75" t="n"/>
      <c r="K3" s="74" t="inlineStr">
        <is>
          <t>Số thẻ sử dụng</t>
        </is>
      </c>
      <c r="L3" s="75" t="n"/>
      <c r="M3" s="74" t="inlineStr">
        <is>
          <t>Thẻ có cashback cao nhất</t>
        </is>
      </c>
      <c r="N3" s="75" t="n"/>
      <c r="O3" s="75" t="n"/>
      <c r="T3" s="74" t="inlineStr">
        <is>
          <t>Danh mục chi tiêu nhiều nhất</t>
        </is>
      </c>
      <c r="U3" s="75" t="n"/>
      <c r="V3" s="75" t="n"/>
      <c r="W3" s="75" t="n"/>
    </row>
    <row r="4" ht="30" customHeight="1">
      <c r="B4" s="76">
        <f>SUMIFS(TRANSACTIONS_MASTER!$L$5:$L$1204,TRANSACTIONS_MASTER!$C$5:$C$1204,$C$2,TRANSACTIONS_MASTER!$U$5:$U$1204,"&lt;&gt;Cancelled")</f>
        <v>54150000</v>
      </c>
      <c r="C4" s="77" t="n"/>
      <c r="D4" s="76">
        <f>SUMIFS(TRANSACTIONS_MASTER!$Q$5:$Q$1204,TRANSACTIONS_MASTER!$C$5:$C$1204,$C$2)</f>
        <v>3880000</v>
      </c>
      <c r="E4" s="77" t="n"/>
      <c r="F4" s="76">
        <f>SUM($Y$62:$Y$91)</f>
        <v>620000</v>
      </c>
      <c r="G4" s="77" t="n"/>
      <c r="H4" s="77" t="n"/>
      <c r="I4" s="78">
        <f>COUNTIFS(TRANSACTIONS_MASTER!$C$5:$C$1204,$C$2,TRANSACTIONS_MASTER!$U$5:$U$1204,"&lt;&gt;Cancelled")</f>
        <v>23</v>
      </c>
      <c r="J4" s="77" t="n"/>
      <c r="K4" s="78">
        <f>COUNTIF($AA$62:$AA$91,"&gt;0")</f>
        <v>6</v>
      </c>
      <c r="L4" s="77" t="n"/>
      <c r="M4" s="79" t="str">
        <f>IF(MAX($W$62:$W$91)&gt;0,INDEX($U$62:$U$91,MATCH(MAX($W$62:$W$91),$W$62:$W$91,0)),"—")</f>
        <v>VPBank JCB Z Card</v>
      </c>
      <c r="N4" s="77" t="n"/>
      <c r="O4" s="77" t="n"/>
      <c r="T4" s="79" t="str">
        <f>IF(MAX($V$117:$V$131)&gt;0,INDEX($U$117:$U$131,MATCH(MAX($V$117:$V$131),$V$117:$V$131,0)),"—")</f>
        <v>Dining</v>
      </c>
      <c r="U4" s="77" t="n"/>
      <c r="V4" s="77" t="n"/>
      <c r="W4" s="77" t="n"/>
    </row>
    <row r="5" ht="6" customHeight="1"/>
    <row r="6" ht="22" customHeight="1">
      <c r="A6" s="19" t="inlineStr">
        <is>
          <t>GIAO DỊCH TRONG THÁNG</t>
        </is>
      </c>
      <c r="B6" s="20" t="n"/>
      <c r="C6" s="20" t="n"/>
      <c r="D6" s="20" t="n"/>
      <c r="E6" s="20" t="n"/>
      <c r="F6" s="20" t="n"/>
      <c r="G6" s="20" t="n"/>
      <c r="H6" s="80" t="str">
        <f>IF(COUNTIFS(TRANSACTIONS_MASTER!$C$5:$C$1204,$C$2)&gt;200,"⚠ Còn "&amp;(COUNTIFS(TRANSACTIONS_MASTER!$C$5:$C$1204,$C$2)-200)&amp;" giao dịch chưa hiển thị — xem TRANSACTIONS_MASTER","")</f>
        <v/>
      </c>
      <c r="I6" s="20" t="n"/>
      <c r="J6" s="20" t="n"/>
      <c r="K6" s="20" t="n"/>
      <c r="L6" s="20" t="n"/>
      <c r="M6" s="20" t="n"/>
      <c r="N6" s="20" t="n"/>
      <c r="O6" s="20" t="n"/>
      <c r="P6" s="20" t="n"/>
      <c r="T6" s="19" t="inlineStr">
        <is>
          <t>THEO DÕI CAP — TỪNG NHÓM CASHBACK (progress bar)</t>
        </is>
      </c>
      <c r="U6" s="20" t="n"/>
      <c r="V6" s="20" t="n"/>
      <c r="W6" s="20" t="n"/>
      <c r="X6" s="20" t="n"/>
      <c r="Y6" s="20" t="n"/>
      <c r="Z6" s="20" t="n"/>
      <c r="AA6" s="20" t="n"/>
    </row>
    <row r="7" ht="30" customHeight="1">
      <c r="A7" s="21" t="inlineStr">
        <is>
          <t>#</t>
        </is>
      </c>
      <c r="B7" s="21" t="inlineStr">
        <is>
          <t>Ngày</t>
        </is>
      </c>
      <c r="C7" s="21" t="inlineStr">
        <is>
          <t>Thẻ</t>
        </is>
      </c>
      <c r="D7" s="21" t="inlineStr">
        <is>
          <t>Ngân hàng</t>
        </is>
      </c>
      <c r="E7" s="21" t="inlineStr">
        <is>
          <t>Merchant</t>
        </is>
      </c>
      <c r="F7" s="21" t="inlineStr">
        <is>
          <t>MCC</t>
        </is>
      </c>
      <c r="G7" s="21" t="inlineStr">
        <is>
          <t>Danh mục</t>
        </is>
      </c>
      <c r="H7" s="21" t="inlineStr">
        <is>
          <t>Số tiền</t>
        </is>
      </c>
      <c r="I7" s="21" t="inlineStr">
        <is>
          <t>Cashback %</t>
        </is>
      </c>
      <c r="J7" s="21" t="inlineStr">
        <is>
          <t>Cashback tính toán</t>
        </is>
      </c>
      <c r="K7" s="21" t="inlineStr">
        <is>
          <t>Cashback thực nhận</t>
        </is>
      </c>
      <c r="L7" s="21" t="inlineStr">
        <is>
          <t>Cap danh mục</t>
        </is>
      </c>
      <c r="M7" s="21" t="inlineStr">
        <is>
          <t>Cap thẻ</t>
        </is>
      </c>
      <c r="N7" s="21" t="inlineStr">
        <is>
          <t>Cashback còn lại</t>
        </is>
      </c>
      <c r="O7" s="21" t="inlineStr">
        <is>
          <t>Trạng thái hoàn</t>
        </is>
      </c>
      <c r="P7" s="21" t="inlineStr">
        <is>
          <t>Nhóm cashback</t>
        </is>
      </c>
      <c r="Q7" s="21" t="inlineStr">
        <is>
          <t>⚙</t>
        </is>
      </c>
      <c r="S7" s="21" t="inlineStr">
        <is>
          <t>#</t>
        </is>
      </c>
      <c r="T7" s="21" t="inlineStr">
        <is>
          <t>Card ID</t>
        </is>
      </c>
      <c r="U7" s="21" t="inlineStr">
        <is>
          <t>Thẻ</t>
        </is>
      </c>
      <c r="V7" s="21" t="inlineStr">
        <is>
          <t>Nhóm</t>
        </is>
      </c>
      <c r="W7" s="21" t="inlineStr">
        <is>
          <t>Danh mục</t>
        </is>
      </c>
      <c r="X7" s="21" t="inlineStr">
        <is>
          <t>Đã cashback</t>
        </is>
      </c>
      <c r="Y7" s="21" t="inlineStr">
        <is>
          <t>Cap nhóm</t>
        </is>
      </c>
      <c r="Z7" s="21" t="inlineStr">
        <is>
          <t>Còn lại</t>
        </is>
      </c>
      <c r="AA7" s="21" t="inlineStr">
        <is>
          <t>Progress</t>
        </is>
      </c>
    </row>
    <row r="8" ht="20" customHeight="1">
      <c r="A8" s="81">
        <f>IF($Q8="","",1)</f>
        <v>1</v>
      </c>
      <c r="B8" s="57">
        <f>IF($Q8="","",INDEX(TRANSACTIONS_MASTER!$B$5:$B$1204,$Q8))</f>
        <v>46296.0</v>
      </c>
      <c r="C8" s="55" t="str">
        <f>IF($Q8="","",INDEX(TRANSACTIONS_MASTER!$F$5:$F$1204,$Q8))</f>
        <v>JCB Z Card</v>
      </c>
      <c r="D8" s="55" t="str">
        <f>IF($Q8="","",INDEX(TRANSACTIONS_MASTER!$E$5:$E$1204,$Q8))</f>
        <v>VPBank</v>
      </c>
      <c r="E8" s="55" t="str">
        <f>IF($Q8="","",INDEX(TRANSACTIONS_MASTER!$G$5:$G$1204,$Q8)&amp;"")</f>
        <v>California Fitness</v>
      </c>
      <c r="F8" s="29">
        <f>IF($Q8="","",INDEX(TRANSACTIONS_MASTER!$I$5:$I$1204,$Q8))</f>
        <v>7997</v>
      </c>
      <c r="G8" s="55" t="str">
        <f>IF($Q8="","",INDEX(TRANSACTIONS_MASTER!$K$5:$K$1204,$Q8))</f>
        <v>Fitness &amp; Wellness</v>
      </c>
      <c r="H8" s="25">
        <f>IF($Q8="","",INDEX(TRANSACTIONS_MASTER!$L$5:$L$1204,$Q8))</f>
        <v>10000000</v>
      </c>
      <c r="I8" s="56">
        <f>IF($Q8="","",INDEX(TRANSACTIONS_MASTER!$N$5:$N$1204,$Q8))</f>
        <v>0.15</v>
      </c>
      <c r="J8" s="25">
        <f>IF($Q8="","",INDEX(TRANSACTIONS_MASTER!$O$5:$O$1204,$Q8))</f>
        <v>1500000</v>
      </c>
      <c r="K8" s="26">
        <f>IF($Q8="","",INDEX(TRANSACTIONS_MASTER!$Q$5:$Q$1204,$Q8))</f>
        <v>500000</v>
      </c>
      <c r="L8" s="25">
        <f>IF($Q8="","",INDEX(TRANSACTIONS_MASTER!$P$5:$P$1204,$Q8))</f>
        <v>500000</v>
      </c>
      <c r="M8" s="25">
        <f>IF($Q8="","",INDEX(TRANSACTIONS_MASTER!$AA$5:$AA$1204,$Q8))</f>
        <v>1000000</v>
      </c>
      <c r="N8" s="25">
        <f>IF($Q8="","",INDEX(TRANSACTIONS_MASTER!$R$5:$R$1204,$Q8))</f>
        <v>0</v>
      </c>
      <c r="O8" s="28" t="str">
        <f>IF($Q8="","",INDEX(TRANSACTIONS_MASTER!$AB$5:$AB$1204,$Q8))</f>
        <v>Hoàn một phần</v>
      </c>
      <c r="P8" s="55" t="str">
        <f>IF($Q8="","",INDEX(TRANSACTIONS_MASTER!$Z$5:$Z$1204,$Q8)&amp;"")</f>
        <v>Group 2</v>
      </c>
      <c r="Q8" s="67">
        <f>IFERROR(MATCH($C$2&amp;"|"&amp;1,TRANSACTIONS_MASTER!$AE$5:$AE$1204,0),"")</f>
        <v>7</v>
      </c>
      <c r="S8" s="67">
        <f>IFERROR(MATCH(1,CASHBACK_RULES!$S$5:$S$304,0),"")</f>
        <v>1</v>
      </c>
      <c r="T8" s="55" t="str">
        <f>IF($S8="","",INDEX(CASHBACK_RULES!$B$5:$B$304,$S8))</f>
        <v>VPB-JCBZ</v>
      </c>
      <c r="U8" s="55" t="str">
        <f>IF($S8="","",INDEX(CASHBACK_RULES!$C$5:$C$304,$S8)&amp;" "&amp;INDEX(CASHBACK_RULES!$D$5:$D$304,$S8))</f>
        <v>VPBank JCB Z Card</v>
      </c>
      <c r="V8" s="55" t="str">
        <f>IF($S8="","",INDEX(CASHBACK_RULES!$E$5:$E$304,$S8)&amp;"")</f>
        <v>Group 1</v>
      </c>
      <c r="W8" s="55" t="str">
        <f>IF($S8="","",INDEX(CASHBACK_RULES!$F$5:$F$304,$S8)&amp;"")</f>
        <v>Dining</v>
      </c>
      <c r="X8" s="26">
        <f>IF($S8="","",SUMIFS(TRANSACTIONS_MASTER!$Q$5:$Q$1204,TRANSACTIONS_MASTER!$D$5:$D$1204,$T8,TRANSACTIONS_MASTER!$Z$5:$Z$1204,$V8,TRANSACTIONS_MASTER!$C$5:$C$1204,$C$2))</f>
        <v>450000</v>
      </c>
      <c r="Y8" s="25">
        <f>IF($S8="","",IF(ISNUMBER(INDEX(CASHBACK_RULES!$J$5:$J$304,$S8)),INDEX(CASHBACK_RULES!$J$5:$J$304,$S8),"∞"))</f>
        <v>500000</v>
      </c>
      <c r="Z8" s="25">
        <f>IF($S8="","",IF(ISNUMBER($Y8),MAX(0,$Y8-$X8),"∞"))</f>
        <v>50000</v>
      </c>
      <c r="AA8" s="27">
        <f>IF($S8="","",IF(ISNUMBER($Y8),IF($Y8=0,0,$X8/$Y8),""))</f>
        <v>0.9</v>
      </c>
    </row>
    <row r="9" ht="20" customHeight="1">
      <c r="A9" s="81">
        <f>IF($Q9="","",2)</f>
        <v>2</v>
      </c>
      <c r="B9" s="57">
        <f>IF($Q9="","",INDEX(TRANSACTIONS_MASTER!$B$5:$B$1204,$Q9))</f>
        <v>46296.0</v>
      </c>
      <c r="C9" s="55" t="str">
        <f>IF($Q9="","",INDEX(TRANSACTIONS_MASTER!$F$5:$F$1204,$Q9))</f>
        <v>JCB Z Card</v>
      </c>
      <c r="D9" s="55" t="str">
        <f>IF($Q9="","",INDEX(TRANSACTIONS_MASTER!$E$5:$E$1204,$Q9))</f>
        <v>VPBank</v>
      </c>
      <c r="E9" s="55" t="str">
        <f>IF($Q9="","",INDEX(TRANSACTIONS_MASTER!$G$5:$G$1204,$Q9)&amp;"")</f>
        <v>Nhà hàng Hải Sản Biển Đông</v>
      </c>
      <c r="F9" s="29">
        <f>IF($Q9="","",INDEX(TRANSACTIONS_MASTER!$I$5:$I$1204,$Q9))</f>
        <v>5812</v>
      </c>
      <c r="G9" s="55" t="str">
        <f>IF($Q9="","",INDEX(TRANSACTIONS_MASTER!$K$5:$K$1204,$Q9))</f>
        <v>Dining</v>
      </c>
      <c r="H9" s="25">
        <f>IF($Q9="","",INDEX(TRANSACTIONS_MASTER!$L$5:$L$1204,$Q9))</f>
        <v>1200000</v>
      </c>
      <c r="I9" s="56">
        <f>IF($Q9="","",INDEX(TRANSACTIONS_MASTER!$N$5:$N$1204,$Q9))</f>
        <v>0.15</v>
      </c>
      <c r="J9" s="25">
        <f>IF($Q9="","",INDEX(TRANSACTIONS_MASTER!$O$5:$O$1204,$Q9))</f>
        <v>180000</v>
      </c>
      <c r="K9" s="26">
        <f>IF($Q9="","",INDEX(TRANSACTIONS_MASTER!$Q$5:$Q$1204,$Q9))</f>
        <v>180000</v>
      </c>
      <c r="L9" s="25">
        <f>IF($Q9="","",INDEX(TRANSACTIONS_MASTER!$P$5:$P$1204,$Q9))</f>
        <v>500000</v>
      </c>
      <c r="M9" s="25">
        <f>IF($Q9="","",INDEX(TRANSACTIONS_MASTER!$AA$5:$AA$1204,$Q9))</f>
        <v>1000000</v>
      </c>
      <c r="N9" s="25">
        <f>IF($Q9="","",INDEX(TRANSACTIONS_MASTER!$R$5:$R$1204,$Q9))</f>
        <v>320000</v>
      </c>
      <c r="O9" s="28" t="str">
        <f>IF($Q9="","",INDEX(TRANSACTIONS_MASTER!$AB$5:$AB$1204,$Q9))</f>
        <v>Được hoàn</v>
      </c>
      <c r="P9" s="55" t="str">
        <f>IF($Q9="","",INDEX(TRANSACTIONS_MASTER!$Z$5:$Z$1204,$Q9)&amp;"")</f>
        <v>Group 1</v>
      </c>
      <c r="Q9" s="67">
        <f>IFERROR(MATCH($C$2&amp;"|"&amp;2,TRANSACTIONS_MASTER!$AE$5:$AE$1204,0),"")</f>
        <v>8</v>
      </c>
      <c r="S9" s="67">
        <f>IFERROR(MATCH(2,CASHBACK_RULES!$S$5:$S$304,0),"")</f>
        <v>5</v>
      </c>
      <c r="T9" s="55" t="str">
        <f>IF($S9="","",INDEX(CASHBACK_RULES!$B$5:$B$304,$S9))</f>
        <v>VPB-JCBZ</v>
      </c>
      <c r="U9" s="55" t="str">
        <f>IF($S9="","",INDEX(CASHBACK_RULES!$C$5:$C$304,$S9)&amp;" "&amp;INDEX(CASHBACK_RULES!$D$5:$D$304,$S9))</f>
        <v>VPBank JCB Z Card</v>
      </c>
      <c r="V9" s="55" t="str">
        <f>IF($S9="","",INDEX(CASHBACK_RULES!$E$5:$E$304,$S9)&amp;"")</f>
        <v>Group 2</v>
      </c>
      <c r="W9" s="55" t="str">
        <f>IF($S9="","",INDEX(CASHBACK_RULES!$F$5:$F$304,$S9)&amp;"")</f>
        <v>Entertainment / Fitness</v>
      </c>
      <c r="X9" s="26">
        <f>IF($S9="","",SUMIFS(TRANSACTIONS_MASTER!$Q$5:$Q$1204,TRANSACTIONS_MASTER!$D$5:$D$1204,$T9,TRANSACTIONS_MASTER!$Z$5:$Z$1204,$V9,TRANSACTIONS_MASTER!$C$5:$C$1204,$C$2))</f>
        <v>500000</v>
      </c>
      <c r="Y9" s="25">
        <f>IF($S9="","",IF(ISNUMBER(INDEX(CASHBACK_RULES!$J$5:$J$304,$S9)),INDEX(CASHBACK_RULES!$J$5:$J$304,$S9),"∞"))</f>
        <v>500000</v>
      </c>
      <c r="Z9" s="25">
        <f>IF($S9="","",IF(ISNUMBER($Y9),MAX(0,$Y9-$X9),"∞"))</f>
        <v>0</v>
      </c>
      <c r="AA9" s="27">
        <f>IF($S9="","",IF(ISNUMBER($Y9),IF($Y9=0,0,$X9/$Y9),""))</f>
        <v>1</v>
      </c>
    </row>
    <row r="10" ht="20" customHeight="1">
      <c r="A10" s="81">
        <f>IF($Q10="","",3)</f>
        <v>3</v>
      </c>
      <c r="B10" s="57">
        <f>IF($Q10="","",INDEX(TRANSACTIONS_MASTER!$B$5:$B$1204,$Q10))</f>
        <v>46297.0</v>
      </c>
      <c r="C10" s="55" t="str">
        <f>IF($Q10="","",INDEX(TRANSACTIONS_MASTER!$F$5:$F$1204,$Q10))</f>
        <v>Cashback Demo A</v>
      </c>
      <c r="D10" s="55" t="str">
        <f>IF($Q10="","",INDEX(TRANSACTIONS_MASTER!$E$5:$E$1204,$Q10))</f>
        <v>VIB</v>
      </c>
      <c r="E10" s="55" t="str">
        <f>IF($Q10="","",INDEX(TRANSACTIONS_MASTER!$G$5:$G$1204,$Q10)&amp;"")</f>
        <v>WinMart</v>
      </c>
      <c r="F10" s="29">
        <f>IF($Q10="","",INDEX(TRANSACTIONS_MASTER!$I$5:$I$1204,$Q10))</f>
        <v>5411</v>
      </c>
      <c r="G10" s="55" t="str">
        <f>IF($Q10="","",INDEX(TRANSACTIONS_MASTER!$K$5:$K$1204,$Q10))</f>
        <v>Groceries</v>
      </c>
      <c r="H10" s="25">
        <f>IF($Q10="","",INDEX(TRANSACTIONS_MASTER!$L$5:$L$1204,$Q10))</f>
        <v>4500000</v>
      </c>
      <c r="I10" s="56">
        <f>IF($Q10="","",INDEX(TRANSACTIONS_MASTER!$N$5:$N$1204,$Q10))</f>
        <v>0.1</v>
      </c>
      <c r="J10" s="25">
        <f>IF($Q10="","",INDEX(TRANSACTIONS_MASTER!$O$5:$O$1204,$Q10))</f>
        <v>450000</v>
      </c>
      <c r="K10" s="26">
        <f>IF($Q10="","",INDEX(TRANSACTIONS_MASTER!$Q$5:$Q$1204,$Q10))</f>
        <v>450000</v>
      </c>
      <c r="L10" s="25">
        <f>IF($Q10="","",INDEX(TRANSACTIONS_MASTER!$P$5:$P$1204,$Q10))</f>
        <v>500000</v>
      </c>
      <c r="M10" s="25">
        <f>IF($Q10="","",INDEX(TRANSACTIONS_MASTER!$AA$5:$AA$1204,$Q10))</f>
        <v>1000000</v>
      </c>
      <c r="N10" s="25">
        <f>IF($Q10="","",INDEX(TRANSACTIONS_MASTER!$R$5:$R$1204,$Q10))</f>
        <v>50000</v>
      </c>
      <c r="O10" s="28" t="str">
        <f>IF($Q10="","",INDEX(TRANSACTIONS_MASTER!$AB$5:$AB$1204,$Q10))</f>
        <v>Được hoàn</v>
      </c>
      <c r="P10" s="55" t="str">
        <f>IF($Q10="","",INDEX(TRANSACTIONS_MASTER!$Z$5:$Z$1204,$Q10)&amp;"")</f>
        <v>Group 1</v>
      </c>
      <c r="Q10" s="67">
        <f>IFERROR(MATCH($C$2&amp;"|"&amp;3,TRANSACTIONS_MASTER!$AE$5:$AE$1204,0),"")</f>
        <v>9</v>
      </c>
      <c r="S10" s="67">
        <f>IFERROR(MATCH(3,CASHBACK_RULES!$S$5:$S$304,0),"")</f>
        <v>9</v>
      </c>
      <c r="T10" s="55" t="str">
        <f>IF($S10="","",INDEX(CASHBACK_RULES!$B$5:$B$304,$S10))</f>
        <v>VPB-JCBZ</v>
      </c>
      <c r="U10" s="55" t="str">
        <f>IF($S10="","",INDEX(CASHBACK_RULES!$C$5:$C$304,$S10)&amp;" "&amp;INDEX(CASHBACK_RULES!$D$5:$D$304,$S10))</f>
        <v>VPBank JCB Z Card</v>
      </c>
      <c r="V10" s="55" t="str">
        <f>IF($S10="","",INDEX(CASHBACK_RULES!$E$5:$E$304,$S10)&amp;"")</f>
        <v>Group 3</v>
      </c>
      <c r="W10" s="55" t="str">
        <f>IF($S10="","",INDEX(CASHBACK_RULES!$F$5:$F$304,$S10)&amp;"")</f>
        <v>Transport / Food Delivery</v>
      </c>
      <c r="X10" s="26">
        <f>IF($S10="","",SUMIFS(TRANSACTIONS_MASTER!$Q$5:$Q$1204,TRANSACTIONS_MASTER!$D$5:$D$1204,$T10,TRANSACTIONS_MASTER!$Z$5:$Z$1204,$V10,TRANSACTIONS_MASTER!$C$5:$C$1204,$C$2))</f>
        <v>50000</v>
      </c>
      <c r="Y10" s="25">
        <f>IF($S10="","",IF(ISNUMBER(INDEX(CASHBACK_RULES!$J$5:$J$304,$S10)),INDEX(CASHBACK_RULES!$J$5:$J$304,$S10),"∞"))</f>
        <v>500000</v>
      </c>
      <c r="Z10" s="25">
        <f>IF($S10="","",IF(ISNUMBER($Y10),MAX(0,$Y10-$X10),"∞"))</f>
        <v>450000</v>
      </c>
      <c r="AA10" s="27">
        <f>IF($S10="","",IF(ISNUMBER($Y10),IF($Y10=0,0,$X10/$Y10),""))</f>
        <v>0.1</v>
      </c>
    </row>
    <row r="11" ht="20" customHeight="1">
      <c r="A11" s="81">
        <f>IF($Q11="","",4)</f>
        <v>4</v>
      </c>
      <c r="B11" s="57">
        <f>IF($Q11="","",INDEX(TRANSACTIONS_MASTER!$B$5:$B$1204,$Q11))</f>
        <v>46297.0</v>
      </c>
      <c r="C11" s="55" t="str">
        <f>IF($Q11="","",INDEX(TRANSACTIONS_MASTER!$F$5:$F$1204,$Q11))</f>
        <v>JCB Z Card</v>
      </c>
      <c r="D11" s="55" t="str">
        <f>IF($Q11="","",INDEX(TRANSACTIONS_MASTER!$E$5:$E$1204,$Q11))</f>
        <v>VPBank</v>
      </c>
      <c r="E11" s="55" t="str">
        <f>IF($Q11="","",INDEX(TRANSACTIONS_MASTER!$G$5:$G$1204,$Q11)&amp;"")</f>
        <v>Pizza 4P's</v>
      </c>
      <c r="F11" s="29">
        <f>IF($Q11="","",INDEX(TRANSACTIONS_MASTER!$I$5:$I$1204,$Q11))</f>
        <v>5812</v>
      </c>
      <c r="G11" s="55" t="str">
        <f>IF($Q11="","",INDEX(TRANSACTIONS_MASTER!$K$5:$K$1204,$Q11))</f>
        <v>Dining</v>
      </c>
      <c r="H11" s="25">
        <f>IF($Q11="","",INDEX(TRANSACTIONS_MASTER!$L$5:$L$1204,$Q11))</f>
        <v>800000</v>
      </c>
      <c r="I11" s="56">
        <f>IF($Q11="","",INDEX(TRANSACTIONS_MASTER!$N$5:$N$1204,$Q11))</f>
        <v>0.15</v>
      </c>
      <c r="J11" s="25">
        <f>IF($Q11="","",INDEX(TRANSACTIONS_MASTER!$O$5:$O$1204,$Q11))</f>
        <v>120000</v>
      </c>
      <c r="K11" s="26">
        <f>IF($Q11="","",INDEX(TRANSACTIONS_MASTER!$Q$5:$Q$1204,$Q11))</f>
        <v>120000</v>
      </c>
      <c r="L11" s="25">
        <f>IF($Q11="","",INDEX(TRANSACTIONS_MASTER!$P$5:$P$1204,$Q11))</f>
        <v>500000</v>
      </c>
      <c r="M11" s="25">
        <f>IF($Q11="","",INDEX(TRANSACTIONS_MASTER!$AA$5:$AA$1204,$Q11))</f>
        <v>1000000</v>
      </c>
      <c r="N11" s="25">
        <f>IF($Q11="","",INDEX(TRANSACTIONS_MASTER!$R$5:$R$1204,$Q11))</f>
        <v>200000</v>
      </c>
      <c r="O11" s="28" t="str">
        <f>IF($Q11="","",INDEX(TRANSACTIONS_MASTER!$AB$5:$AB$1204,$Q11))</f>
        <v>Được hoàn</v>
      </c>
      <c r="P11" s="55" t="str">
        <f>IF($Q11="","",INDEX(TRANSACTIONS_MASTER!$Z$5:$Z$1204,$Q11)&amp;"")</f>
        <v>Group 1</v>
      </c>
      <c r="Q11" s="67">
        <f>IFERROR(MATCH($C$2&amp;"|"&amp;4,TRANSACTIONS_MASTER!$AE$5:$AE$1204,0),"")</f>
        <v>10</v>
      </c>
      <c r="S11" s="67">
        <f>IFERROR(MATCH(4,CASHBACK_RULES!$S$5:$S$304,0),"")</f>
        <v>11</v>
      </c>
      <c r="T11" s="55" t="str">
        <f>IF($S11="","",INDEX(CASHBACK_RULES!$B$5:$B$304,$S11))</f>
        <v>VIB-A</v>
      </c>
      <c r="U11" s="55" t="str">
        <f>IF($S11="","",INDEX(CASHBACK_RULES!$C$5:$C$304,$S11)&amp;" "&amp;INDEX(CASHBACK_RULES!$D$5:$D$304,$S11))</f>
        <v>VIB Cashback Demo A</v>
      </c>
      <c r="V11" s="55" t="str">
        <f>IF($S11="","",INDEX(CASHBACK_RULES!$E$5:$E$304,$S11)&amp;"")</f>
        <v>Group 1</v>
      </c>
      <c r="W11" s="55" t="str">
        <f>IF($S11="","",INDEX(CASHBACK_RULES!$F$5:$F$304,$S11)&amp;"")</f>
        <v>Groceries</v>
      </c>
      <c r="X11" s="26">
        <f>IF($S11="","",SUMIFS(TRANSACTIONS_MASTER!$Q$5:$Q$1204,TRANSACTIONS_MASTER!$D$5:$D$1204,$T11,TRANSACTIONS_MASTER!$Z$5:$Z$1204,$V11,TRANSACTIONS_MASTER!$C$5:$C$1204,$C$2))</f>
        <v>500000</v>
      </c>
      <c r="Y11" s="25">
        <f>IF($S11="","",IF(ISNUMBER(INDEX(CASHBACK_RULES!$J$5:$J$304,$S11)),INDEX(CASHBACK_RULES!$J$5:$J$304,$S11),"∞"))</f>
        <v>500000</v>
      </c>
      <c r="Z11" s="25">
        <f>IF($S11="","",IF(ISNUMBER($Y11),MAX(0,$Y11-$X11),"∞"))</f>
        <v>0</v>
      </c>
      <c r="AA11" s="27">
        <f>IF($S11="","",IF(ISNUMBER($Y11),IF($Y11=0,0,$X11/$Y11),""))</f>
        <v>1</v>
      </c>
    </row>
    <row r="12" ht="20" customHeight="1">
      <c r="A12" s="81">
        <f>IF($Q12="","",5)</f>
        <v>5</v>
      </c>
      <c r="B12" s="57">
        <f>IF($Q12="","",INDEX(TRANSACTIONS_MASTER!$B$5:$B$1204,$Q12))</f>
        <v>46297.0</v>
      </c>
      <c r="C12" s="55" t="str">
        <f>IF($Q12="","",INDEX(TRANSACTIONS_MASTER!$F$5:$F$1204,$Q12))</f>
        <v>Cashback Demo C</v>
      </c>
      <c r="D12" s="55" t="str">
        <f>IF($Q12="","",INDEX(TRANSACTIONS_MASTER!$E$5:$E$1204,$Q12))</f>
        <v>UOB</v>
      </c>
      <c r="E12" s="55" t="str">
        <f>IF($Q12="","",INDEX(TRANSACTIONS_MASTER!$G$5:$G$1204,$Q12)&amp;"")</f>
        <v>Sushi Hokkaido</v>
      </c>
      <c r="F12" s="29">
        <f>IF($Q12="","",INDEX(TRANSACTIONS_MASTER!$I$5:$I$1204,$Q12))</f>
        <v>5812</v>
      </c>
      <c r="G12" s="55" t="str">
        <f>IF($Q12="","",INDEX(TRANSACTIONS_MASTER!$K$5:$K$1204,$Q12))</f>
        <v>Dining</v>
      </c>
      <c r="H12" s="25">
        <f>IF($Q12="","",INDEX(TRANSACTIONS_MASTER!$L$5:$L$1204,$Q12))</f>
        <v>4000000</v>
      </c>
      <c r="I12" s="56">
        <f>IF($Q12="","",INDEX(TRANSACTIONS_MASTER!$N$5:$N$1204,$Q12))</f>
        <v>0.15</v>
      </c>
      <c r="J12" s="25">
        <f>IF($Q12="","",INDEX(TRANSACTIONS_MASTER!$O$5:$O$1204,$Q12))</f>
        <v>600000</v>
      </c>
      <c r="K12" s="26">
        <f>IF($Q12="","",INDEX(TRANSACTIONS_MASTER!$Q$5:$Q$1204,$Q12))</f>
        <v>600000</v>
      </c>
      <c r="L12" s="25">
        <f>IF($Q12="","",INDEX(TRANSACTIONS_MASTER!$P$5:$P$1204,$Q12))</f>
        <v>1000000</v>
      </c>
      <c r="M12" s="25" t="str">
        <f>IF($Q12="","",INDEX(TRANSACTIONS_MASTER!$AA$5:$AA$1204,$Q12))</f>
        <v>∞</v>
      </c>
      <c r="N12" s="25">
        <f>IF($Q12="","",INDEX(TRANSACTIONS_MASTER!$R$5:$R$1204,$Q12))</f>
        <v>400000</v>
      </c>
      <c r="O12" s="28" t="str">
        <f>IF($Q12="","",INDEX(TRANSACTIONS_MASTER!$AB$5:$AB$1204,$Q12))</f>
        <v>Được hoàn</v>
      </c>
      <c r="P12" s="55" t="str">
        <f>IF($Q12="","",INDEX(TRANSACTIONS_MASTER!$Z$5:$Z$1204,$Q12)&amp;"")</f>
        <v>Group 1</v>
      </c>
      <c r="Q12" s="67">
        <f>IFERROR(MATCH($C$2&amp;"|"&amp;5,TRANSACTIONS_MASTER!$AE$5:$AE$1204,0),"")</f>
        <v>11</v>
      </c>
      <c r="S12" s="67">
        <f>IFERROR(MATCH(5,CASHBACK_RULES!$S$5:$S$304,0),"")</f>
        <v>13</v>
      </c>
      <c r="T12" s="55" t="str">
        <f>IF($S12="","",INDEX(CASHBACK_RULES!$B$5:$B$304,$S12))</f>
        <v>VIB-A</v>
      </c>
      <c r="U12" s="55" t="str">
        <f>IF($S12="","",INDEX(CASHBACK_RULES!$C$5:$C$304,$S12)&amp;" "&amp;INDEX(CASHBACK_RULES!$D$5:$D$304,$S12))</f>
        <v>VIB Cashback Demo A</v>
      </c>
      <c r="V12" s="55" t="str">
        <f>IF($S12="","",INDEX(CASHBACK_RULES!$E$5:$E$304,$S12)&amp;"")</f>
        <v>Group 2</v>
      </c>
      <c r="W12" s="55" t="str">
        <f>IF($S12="","",INDEX(CASHBACK_RULES!$F$5:$F$304,$S12)&amp;"")</f>
        <v>Shopping</v>
      </c>
      <c r="X12" s="26">
        <f>IF($S12="","",SUMIFS(TRANSACTIONS_MASTER!$Q$5:$Q$1204,TRANSACTIONS_MASTER!$D$5:$D$1204,$T12,TRANSACTIONS_MASTER!$Z$5:$Z$1204,$V12,TRANSACTIONS_MASTER!$C$5:$C$1204,$C$2))</f>
        <v>500000</v>
      </c>
      <c r="Y12" s="25">
        <f>IF($S12="","",IF(ISNUMBER(INDEX(CASHBACK_RULES!$J$5:$J$304,$S12)),INDEX(CASHBACK_RULES!$J$5:$J$304,$S12),"∞"))</f>
        <v>500000</v>
      </c>
      <c r="Z12" s="25">
        <f>IF($S12="","",IF(ISNUMBER($Y12),MAX(0,$Y12-$X12),"∞"))</f>
        <v>0</v>
      </c>
      <c r="AA12" s="27">
        <f>IF($S12="","",IF(ISNUMBER($Y12),IF($Y12=0,0,$X12/$Y12),""))</f>
        <v>1</v>
      </c>
    </row>
    <row r="13" ht="20" customHeight="1">
      <c r="A13" s="81">
        <f>IF($Q13="","",6)</f>
        <v>6</v>
      </c>
      <c r="B13" s="57">
        <f>IF($Q13="","",INDEX(TRANSACTIONS_MASTER!$B$5:$B$1204,$Q13))</f>
        <v>46298.0</v>
      </c>
      <c r="C13" s="55" t="str">
        <f>IF($Q13="","",INDEX(TRANSACTIONS_MASTER!$F$5:$F$1204,$Q13))</f>
        <v>JCB Z Card</v>
      </c>
      <c r="D13" s="55" t="str">
        <f>IF($Q13="","",INDEX(TRANSACTIONS_MASTER!$E$5:$E$1204,$Q13))</f>
        <v>VPBank</v>
      </c>
      <c r="E13" s="55" t="str">
        <f>IF($Q13="","",INDEX(TRANSACTIONS_MASTER!$G$5:$G$1204,$Q13)&amp;"")</f>
        <v>Pub Beer Corner</v>
      </c>
      <c r="F13" s="29">
        <f>IF($Q13="","",INDEX(TRANSACTIONS_MASTER!$I$5:$I$1204,$Q13))</f>
        <v>5813</v>
      </c>
      <c r="G13" s="55" t="str">
        <f>IF($Q13="","",INDEX(TRANSACTIONS_MASTER!$K$5:$K$1204,$Q13))</f>
        <v>Dining</v>
      </c>
      <c r="H13" s="25">
        <f>IF($Q13="","",INDEX(TRANSACTIONS_MASTER!$L$5:$L$1204,$Q13))</f>
        <v>600000</v>
      </c>
      <c r="I13" s="56">
        <f>IF($Q13="","",INDEX(TRANSACTIONS_MASTER!$N$5:$N$1204,$Q13))</f>
        <v>0.15</v>
      </c>
      <c r="J13" s="25">
        <f>IF($Q13="","",INDEX(TRANSACTIONS_MASTER!$O$5:$O$1204,$Q13))</f>
        <v>90000</v>
      </c>
      <c r="K13" s="26">
        <f>IF($Q13="","",INDEX(TRANSACTIONS_MASTER!$Q$5:$Q$1204,$Q13))</f>
        <v>90000</v>
      </c>
      <c r="L13" s="25">
        <f>IF($Q13="","",INDEX(TRANSACTIONS_MASTER!$P$5:$P$1204,$Q13))</f>
        <v>500000</v>
      </c>
      <c r="M13" s="25">
        <f>IF($Q13="","",INDEX(TRANSACTIONS_MASTER!$AA$5:$AA$1204,$Q13))</f>
        <v>1000000</v>
      </c>
      <c r="N13" s="25">
        <f>IF($Q13="","",INDEX(TRANSACTIONS_MASTER!$R$5:$R$1204,$Q13))</f>
        <v>110000</v>
      </c>
      <c r="O13" s="28" t="str">
        <f>IF($Q13="","",INDEX(TRANSACTIONS_MASTER!$AB$5:$AB$1204,$Q13))</f>
        <v>Được hoàn</v>
      </c>
      <c r="P13" s="55" t="str">
        <f>IF($Q13="","",INDEX(TRANSACTIONS_MASTER!$Z$5:$Z$1204,$Q13)&amp;"")</f>
        <v>Group 1</v>
      </c>
      <c r="Q13" s="67">
        <f>IFERROR(MATCH($C$2&amp;"|"&amp;6,TRANSACTIONS_MASTER!$AE$5:$AE$1204,0),"")</f>
        <v>12</v>
      </c>
      <c r="S13" s="67">
        <f>IFERROR(MATCH(6,CASHBACK_RULES!$S$5:$S$304,0),"")</f>
        <v>15</v>
      </c>
      <c r="T13" s="55" t="str">
        <f>IF($S13="","",INDEX(CASHBACK_RULES!$B$5:$B$304,$S13))</f>
        <v>TCB-B</v>
      </c>
      <c r="U13" s="55" t="str">
        <f>IF($S13="","",INDEX(CASHBACK_RULES!$C$5:$C$304,$S13)&amp;" "&amp;INDEX(CASHBACK_RULES!$D$5:$D$304,$S13))</f>
        <v>Techcombank Cashback Demo B</v>
      </c>
      <c r="V13" s="55" t="str">
        <f>IF($S13="","",INDEX(CASHBACK_RULES!$E$5:$E$304,$S13)&amp;"")</f>
        <v>Group 1</v>
      </c>
      <c r="W13" s="55" t="str">
        <f>IF($S13="","",INDEX(CASHBACK_RULES!$F$5:$F$304,$S13)&amp;"")</f>
        <v>Fuel &amp; Transport</v>
      </c>
      <c r="X13" s="26">
        <f>IF($S13="","",SUMIFS(TRANSACTIONS_MASTER!$Q$5:$Q$1204,TRANSACTIONS_MASTER!$D$5:$D$1204,$T13,TRANSACTIONS_MASTER!$Z$5:$Z$1204,$V13,TRANSACTIONS_MASTER!$C$5:$C$1204,$C$2))</f>
        <v>300000</v>
      </c>
      <c r="Y13" s="25">
        <f>IF($S13="","",IF(ISNUMBER(INDEX(CASHBACK_RULES!$J$5:$J$304,$S13)),INDEX(CASHBACK_RULES!$J$5:$J$304,$S13),"∞"))</f>
        <v>300000</v>
      </c>
      <c r="Z13" s="25">
        <f>IF($S13="","",IF(ISNUMBER($Y13),MAX(0,$Y13-$X13),"∞"))</f>
        <v>0</v>
      </c>
      <c r="AA13" s="27">
        <f>IF($S13="","",IF(ISNUMBER($Y13),IF($Y13=0,0,$X13/$Y13),""))</f>
        <v>1</v>
      </c>
    </row>
    <row r="14" ht="20" customHeight="1">
      <c r="A14" s="81">
        <f>IF($Q14="","",7)</f>
        <v>7</v>
      </c>
      <c r="B14" s="57">
        <f>IF($Q14="","",INDEX(TRANSACTIONS_MASTER!$B$5:$B$1204,$Q14))</f>
        <v>46298.0</v>
      </c>
      <c r="C14" s="55" t="str">
        <f>IF($Q14="","",INDEX(TRANSACTIONS_MASTER!$F$5:$F$1204,$Q14))</f>
        <v>Cashback Demo B</v>
      </c>
      <c r="D14" s="55" t="str">
        <f>IF($Q14="","",INDEX(TRANSACTIONS_MASTER!$E$5:$E$1204,$Q14))</f>
        <v>Techcombank</v>
      </c>
      <c r="E14" s="55" t="str">
        <f>IF($Q14="","",INDEX(TRANSACTIONS_MASTER!$G$5:$G$1204,$Q14)&amp;"")</f>
        <v>Petrolimex</v>
      </c>
      <c r="F14" s="29">
        <f>IF($Q14="","",INDEX(TRANSACTIONS_MASTER!$I$5:$I$1204,$Q14))</f>
        <v>5541</v>
      </c>
      <c r="G14" s="55" t="str">
        <f>IF($Q14="","",INDEX(TRANSACTIONS_MASTER!$K$5:$K$1204,$Q14))</f>
        <v>Fuel</v>
      </c>
      <c r="H14" s="25">
        <f>IF($Q14="","",INDEX(TRANSACTIONS_MASTER!$L$5:$L$1204,$Q14))</f>
        <v>6500000</v>
      </c>
      <c r="I14" s="56">
        <f>IF($Q14="","",INDEX(TRANSACTIONS_MASTER!$N$5:$N$1204,$Q14))</f>
        <v>0.05</v>
      </c>
      <c r="J14" s="25">
        <f>IF($Q14="","",INDEX(TRANSACTIONS_MASTER!$O$5:$O$1204,$Q14))</f>
        <v>325000</v>
      </c>
      <c r="K14" s="26">
        <f>IF($Q14="","",INDEX(TRANSACTIONS_MASTER!$Q$5:$Q$1204,$Q14))</f>
        <v>300000</v>
      </c>
      <c r="L14" s="25">
        <f>IF($Q14="","",INDEX(TRANSACTIONS_MASTER!$P$5:$P$1204,$Q14))</f>
        <v>300000</v>
      </c>
      <c r="M14" s="25">
        <f>IF($Q14="","",INDEX(TRANSACTIONS_MASTER!$AA$5:$AA$1204,$Q14))</f>
        <v>2000000</v>
      </c>
      <c r="N14" s="25">
        <f>IF($Q14="","",INDEX(TRANSACTIONS_MASTER!$R$5:$R$1204,$Q14))</f>
        <v>0</v>
      </c>
      <c r="O14" s="28" t="str">
        <f>IF($Q14="","",INDEX(TRANSACTIONS_MASTER!$AB$5:$AB$1204,$Q14))</f>
        <v>Hoàn một phần</v>
      </c>
      <c r="P14" s="55" t="str">
        <f>IF($Q14="","",INDEX(TRANSACTIONS_MASTER!$Z$5:$Z$1204,$Q14)&amp;"")</f>
        <v>Group 1</v>
      </c>
      <c r="Q14" s="67">
        <f>IFERROR(MATCH($C$2&amp;"|"&amp;7,TRANSACTIONS_MASTER!$AE$5:$AE$1204,0),"")</f>
        <v>13</v>
      </c>
      <c r="S14" s="67">
        <f>IFERROR(MATCH(7,CASHBACK_RULES!$S$5:$S$304,0),"")</f>
        <v>18</v>
      </c>
      <c r="T14" s="55" t="str">
        <f>IF($S14="","",INDEX(CASHBACK_RULES!$B$5:$B$304,$S14))</f>
        <v>TCB-B</v>
      </c>
      <c r="U14" s="55" t="str">
        <f>IF($S14="","",INDEX(CASHBACK_RULES!$C$5:$C$304,$S14)&amp;" "&amp;INDEX(CASHBACK_RULES!$D$5:$D$304,$S14))</f>
        <v>Techcombank Cashback Demo B</v>
      </c>
      <c r="V14" s="55" t="str">
        <f>IF($S14="","",INDEX(CASHBACK_RULES!$E$5:$E$304,$S14)&amp;"")</f>
        <v>Group 2</v>
      </c>
      <c r="W14" s="55" t="str">
        <f>IF($S14="","",INDEX(CASHBACK_RULES!$F$5:$F$304,$S14)&amp;"")</f>
        <v>Healthcare</v>
      </c>
      <c r="X14" s="26">
        <f>IF($S14="","",SUMIFS(TRANSACTIONS_MASTER!$Q$5:$Q$1204,TRANSACTIONS_MASTER!$D$5:$D$1204,$T14,TRANSACTIONS_MASTER!$Z$5:$Z$1204,$V14,TRANSACTIONS_MASTER!$C$5:$C$1204,$C$2))</f>
        <v>75000</v>
      </c>
      <c r="Y14" s="25">
        <f>IF($S14="","",IF(ISNUMBER(INDEX(CASHBACK_RULES!$J$5:$J$304,$S14)),INDEX(CASHBACK_RULES!$J$5:$J$304,$S14),"∞"))</f>
        <v>300000</v>
      </c>
      <c r="Z14" s="25">
        <f>IF($S14="","",IF(ISNUMBER($Y14),MAX(0,$Y14-$X14),"∞"))</f>
        <v>225000</v>
      </c>
      <c r="AA14" s="27">
        <f>IF($S14="","",IF(ISNUMBER($Y14),IF($Y14=0,0,$X14/$Y14),""))</f>
        <v>0.25</v>
      </c>
    </row>
    <row r="15" ht="20" customHeight="1">
      <c r="A15" s="81">
        <f>IF($Q15="","",8)</f>
        <v>8</v>
      </c>
      <c r="B15" s="57">
        <f>IF($Q15="","",INDEX(TRANSACTIONS_MASTER!$B$5:$B$1204,$Q15))</f>
        <v>46298.0</v>
      </c>
      <c r="C15" s="55" t="str">
        <f>IF($Q15="","",INDEX(TRANSACTIONS_MASTER!$F$5:$F$1204,$Q15))</f>
        <v>JCB Z Card</v>
      </c>
      <c r="D15" s="55" t="str">
        <f>IF($Q15="","",INDEX(TRANSACTIONS_MASTER!$E$5:$E$1204,$Q15))</f>
        <v>VPBank</v>
      </c>
      <c r="E15" s="55" t="str">
        <f>IF($Q15="","",INDEX(TRANSACTIONS_MASTER!$G$5:$G$1204,$Q15)&amp;"")</f>
        <v>Sunrise Catering</v>
      </c>
      <c r="F15" s="29">
        <f>IF($Q15="","",INDEX(TRANSACTIONS_MASTER!$I$5:$I$1204,$Q15))</f>
        <v>5811</v>
      </c>
      <c r="G15" s="55" t="str">
        <f>IF($Q15="","",INDEX(TRANSACTIONS_MASTER!$K$5:$K$1204,$Q15))</f>
        <v>Dining</v>
      </c>
      <c r="H15" s="25">
        <f>IF($Q15="","",INDEX(TRANSACTIONS_MASTER!$L$5:$L$1204,$Q15))</f>
        <v>400000</v>
      </c>
      <c r="I15" s="56">
        <f>IF($Q15="","",INDEX(TRANSACTIONS_MASTER!$N$5:$N$1204,$Q15))</f>
        <v>0.15</v>
      </c>
      <c r="J15" s="25">
        <f>IF($Q15="","",INDEX(TRANSACTIONS_MASTER!$O$5:$O$1204,$Q15))</f>
        <v>60000</v>
      </c>
      <c r="K15" s="26">
        <f>IF($Q15="","",INDEX(TRANSACTIONS_MASTER!$Q$5:$Q$1204,$Q15))</f>
        <v>60000</v>
      </c>
      <c r="L15" s="25">
        <f>IF($Q15="","",INDEX(TRANSACTIONS_MASTER!$P$5:$P$1204,$Q15))</f>
        <v>500000</v>
      </c>
      <c r="M15" s="25">
        <f>IF($Q15="","",INDEX(TRANSACTIONS_MASTER!$AA$5:$AA$1204,$Q15))</f>
        <v>1000000</v>
      </c>
      <c r="N15" s="25">
        <f>IF($Q15="","",INDEX(TRANSACTIONS_MASTER!$R$5:$R$1204,$Q15))</f>
        <v>50000</v>
      </c>
      <c r="O15" s="28" t="str">
        <f>IF($Q15="","",INDEX(TRANSACTIONS_MASTER!$AB$5:$AB$1204,$Q15))</f>
        <v>Được hoàn</v>
      </c>
      <c r="P15" s="55" t="str">
        <f>IF($Q15="","",INDEX(TRANSACTIONS_MASTER!$Z$5:$Z$1204,$Q15)&amp;"")</f>
        <v>Group 1</v>
      </c>
      <c r="Q15" s="67">
        <f>IFERROR(MATCH($C$2&amp;"|"&amp;8,TRANSACTIONS_MASTER!$AE$5:$AE$1204,0),"")</f>
        <v>14</v>
      </c>
      <c r="S15" s="67">
        <f>IFERROR(MATCH(8,CASHBACK_RULES!$S$5:$S$304,0),"")</f>
        <v>20</v>
      </c>
      <c r="T15" s="55" t="str">
        <f>IF($S15="","",INDEX(CASHBACK_RULES!$B$5:$B$304,$S15))</f>
        <v>TCB-B</v>
      </c>
      <c r="U15" s="55" t="str">
        <f>IF($S15="","",INDEX(CASHBACK_RULES!$C$5:$C$304,$S15)&amp;" "&amp;INDEX(CASHBACK_RULES!$D$5:$D$304,$S15))</f>
        <v>Techcombank Cashback Demo B</v>
      </c>
      <c r="V15" s="55" t="str">
        <f>IF($S15="","",INDEX(CASHBACK_RULES!$E$5:$E$304,$S15)&amp;"")</f>
        <v>Group 3</v>
      </c>
      <c r="W15" s="55" t="str">
        <f>IF($S15="","",INDEX(CASHBACK_RULES!$F$5:$F$304,$S15)&amp;"")</f>
        <v>Utilities &amp; Telecom</v>
      </c>
      <c r="X15" s="26">
        <f>IF($S15="","",SUMIFS(TRANSACTIONS_MASTER!$Q$5:$Q$1204,TRANSACTIONS_MASTER!$D$5:$D$1204,$T15,TRANSACTIONS_MASTER!$Z$5:$Z$1204,$V15,TRANSACTIONS_MASTER!$C$5:$C$1204,$C$2))</f>
        <v>15000</v>
      </c>
      <c r="Y15" s="25">
        <f>IF($S15="","",IF(ISNUMBER(INDEX(CASHBACK_RULES!$J$5:$J$304,$S15)),INDEX(CASHBACK_RULES!$J$5:$J$304,$S15),"∞"))</f>
        <v>300000</v>
      </c>
      <c r="Z15" s="25">
        <f>IF($S15="","",IF(ISNUMBER($Y15),MAX(0,$Y15-$X15),"∞"))</f>
        <v>285000</v>
      </c>
      <c r="AA15" s="27">
        <f>IF($S15="","",IF(ISNUMBER($Y15),IF($Y15=0,0,$X15/$Y15),""))</f>
        <v>0.05</v>
      </c>
    </row>
    <row r="16" ht="20" customHeight="1">
      <c r="A16" s="81">
        <f>IF($Q16="","",9)</f>
        <v>9</v>
      </c>
      <c r="B16" s="57">
        <f>IF($Q16="","",INDEX(TRANSACTIONS_MASTER!$B$5:$B$1204,$Q16))</f>
        <v>46298.0</v>
      </c>
      <c r="C16" s="55" t="str">
        <f>IF($Q16="","",INDEX(TRANSACTIONS_MASTER!$F$5:$F$1204,$Q16))</f>
        <v>JCB Z Card</v>
      </c>
      <c r="D16" s="55" t="str">
        <f>IF($Q16="","",INDEX(TRANSACTIONS_MASTER!$E$5:$E$1204,$Q16))</f>
        <v>VPBank</v>
      </c>
      <c r="E16" s="55" t="str">
        <f>IF($Q16="","",INDEX(TRANSACTIONS_MASTER!$G$5:$G$1204,$Q16)&amp;"")</f>
        <v>Vincom Center</v>
      </c>
      <c r="F16" s="29">
        <f>IF($Q16="","",INDEX(TRANSACTIONS_MASTER!$I$5:$I$1204,$Q16))</f>
        <v>5311</v>
      </c>
      <c r="G16" s="55" t="str">
        <f>IF($Q16="","",INDEX(TRANSACTIONS_MASTER!$K$5:$K$1204,$Q16))</f>
        <v>Shopping</v>
      </c>
      <c r="H16" s="25">
        <f>IF($Q16="","",INDEX(TRANSACTIONS_MASTER!$L$5:$L$1204,$Q16))</f>
        <v>2000000</v>
      </c>
      <c r="I16" s="56">
        <f>IF($Q16="","",INDEX(TRANSACTIONS_MASTER!$N$5:$N$1204,$Q16))</f>
        <v>0</v>
      </c>
      <c r="J16" s="25">
        <f>IF($Q16="","",INDEX(TRANSACTIONS_MASTER!$O$5:$O$1204,$Q16))</f>
        <v>0</v>
      </c>
      <c r="K16" s="26">
        <f>IF($Q16="","",INDEX(TRANSACTIONS_MASTER!$Q$5:$Q$1204,$Q16))</f>
        <v>0</v>
      </c>
      <c r="L16" s="25" t="str">
        <f>IF($Q16="","",INDEX(TRANSACTIONS_MASTER!$P$5:$P$1204,$Q16))</f>
        <v/>
      </c>
      <c r="M16" s="25" t="str">
        <f>IF($Q16="","",INDEX(TRANSACTIONS_MASTER!$AA$5:$AA$1204,$Q16))</f>
        <v/>
      </c>
      <c r="N16" s="25" t="str">
        <f>IF($Q16="","",INDEX(TRANSACTIONS_MASTER!$R$5:$R$1204,$Q16))</f>
        <v/>
      </c>
      <c r="O16" s="28" t="str">
        <f>IF($Q16="","",INDEX(TRANSACTIONS_MASTER!$AB$5:$AB$1204,$Q16))</f>
        <v>Không được hoàn</v>
      </c>
      <c r="P16" s="55" t="str">
        <f>IF($Q16="","",INDEX(TRANSACTIONS_MASTER!$Z$5:$Z$1204,$Q16)&amp;"")</f>
        <v/>
      </c>
      <c r="Q16" s="67">
        <f>IFERROR(MATCH($C$2&amp;"|"&amp;9,TRANSACTIONS_MASTER!$AE$5:$AE$1204,0),"")</f>
        <v>15</v>
      </c>
      <c r="S16" s="67">
        <f>IFERROR(MATCH(9,CASHBACK_RULES!$S$5:$S$304,0),"")</f>
        <v>22</v>
      </c>
      <c r="T16" s="55" t="str">
        <f>IF($S16="","",INDEX(CASHBACK_RULES!$B$5:$B$304,$S16))</f>
        <v>UOB-C</v>
      </c>
      <c r="U16" s="55" t="str">
        <f>IF($S16="","",INDEX(CASHBACK_RULES!$C$5:$C$304,$S16)&amp;" "&amp;INDEX(CASHBACK_RULES!$D$5:$D$304,$S16))</f>
        <v>UOB Cashback Demo C</v>
      </c>
      <c r="V16" s="55" t="str">
        <f>IF($S16="","",INDEX(CASHBACK_RULES!$E$5:$E$304,$S16)&amp;"")</f>
        <v>Group 1</v>
      </c>
      <c r="W16" s="55" t="str">
        <f>IF($S16="","",INDEX(CASHBACK_RULES!$F$5:$F$304,$S16)&amp;"")</f>
        <v>Dining</v>
      </c>
      <c r="X16" s="26">
        <f>IF($S16="","",SUMIFS(TRANSACTIONS_MASTER!$Q$5:$Q$1204,TRANSACTIONS_MASTER!$D$5:$D$1204,$T16,TRANSACTIONS_MASTER!$Z$5:$Z$1204,$V16,TRANSACTIONS_MASTER!$C$5:$C$1204,$C$2))</f>
        <v>1000000</v>
      </c>
      <c r="Y16" s="25">
        <f>IF($S16="","",IF(ISNUMBER(INDEX(CASHBACK_RULES!$J$5:$J$304,$S16)),INDEX(CASHBACK_RULES!$J$5:$J$304,$S16),"∞"))</f>
        <v>1000000</v>
      </c>
      <c r="Z16" s="25">
        <f>IF($S16="","",IF(ISNUMBER($Y16),MAX(0,$Y16-$X16),"∞"))</f>
        <v>0</v>
      </c>
      <c r="AA16" s="27">
        <f>IF($S16="","",IF(ISNUMBER($Y16),IF($Y16=0,0,$X16/$Y16),""))</f>
        <v>1</v>
      </c>
    </row>
    <row r="17" ht="20" customHeight="1">
      <c r="A17" s="81">
        <f>IF($Q17="","",10)</f>
        <v>10</v>
      </c>
      <c r="B17" s="57">
        <f>IF($Q17="","",INDEX(TRANSACTIONS_MASTER!$B$5:$B$1204,$Q17))</f>
        <v>46298.0</v>
      </c>
      <c r="C17" s="55" t="str">
        <f>IF($Q17="","",INDEX(TRANSACTIONS_MASTER!$F$5:$F$1204,$Q17))</f>
        <v>Cashback Demo A</v>
      </c>
      <c r="D17" s="55" t="str">
        <f>IF($Q17="","",INDEX(TRANSACTIONS_MASTER!$E$5:$E$1204,$Q17))</f>
        <v>VIB</v>
      </c>
      <c r="E17" s="55" t="str">
        <f>IF($Q17="","",INDEX(TRANSACTIONS_MASTER!$G$5:$G$1204,$Q17)&amp;"")</f>
        <v>Lazada</v>
      </c>
      <c r="F17" s="29">
        <f>IF($Q17="","",INDEX(TRANSACTIONS_MASTER!$I$5:$I$1204,$Q17))</f>
        <v>5399</v>
      </c>
      <c r="G17" s="55" t="str">
        <f>IF($Q17="","",INDEX(TRANSACTIONS_MASTER!$K$5:$K$1204,$Q17))</f>
        <v>Shopping</v>
      </c>
      <c r="H17" s="25">
        <f>IF($Q17="","",INDEX(TRANSACTIONS_MASTER!$L$5:$L$1204,$Q17))</f>
        <v>5000000</v>
      </c>
      <c r="I17" s="56">
        <f>IF($Q17="","",INDEX(TRANSACTIONS_MASTER!$N$5:$N$1204,$Q17))</f>
        <v>0.1</v>
      </c>
      <c r="J17" s="25">
        <f>IF($Q17="","",INDEX(TRANSACTIONS_MASTER!$O$5:$O$1204,$Q17))</f>
        <v>500000</v>
      </c>
      <c r="K17" s="26">
        <f>IF($Q17="","",INDEX(TRANSACTIONS_MASTER!$Q$5:$Q$1204,$Q17))</f>
        <v>500000</v>
      </c>
      <c r="L17" s="25">
        <f>IF($Q17="","",INDEX(TRANSACTIONS_MASTER!$P$5:$P$1204,$Q17))</f>
        <v>500000</v>
      </c>
      <c r="M17" s="25">
        <f>IF($Q17="","",INDEX(TRANSACTIONS_MASTER!$AA$5:$AA$1204,$Q17))</f>
        <v>1000000</v>
      </c>
      <c r="N17" s="25">
        <f>IF($Q17="","",INDEX(TRANSACTIONS_MASTER!$R$5:$R$1204,$Q17))</f>
        <v>0</v>
      </c>
      <c r="O17" s="28" t="str">
        <f>IF($Q17="","",INDEX(TRANSACTIONS_MASTER!$AB$5:$AB$1204,$Q17))</f>
        <v>Được hoàn</v>
      </c>
      <c r="P17" s="55" t="str">
        <f>IF($Q17="","",INDEX(TRANSACTIONS_MASTER!$Z$5:$Z$1204,$Q17)&amp;"")</f>
        <v>Group 2</v>
      </c>
      <c r="Q17" s="67">
        <f>IFERROR(MATCH($C$2&amp;"|"&amp;10,TRANSACTIONS_MASTER!$AE$5:$AE$1204,0),"")</f>
        <v>16</v>
      </c>
      <c r="S17" s="67">
        <f>IFERROR(MATCH(10,CASHBACK_RULES!$S$5:$S$304,0),"")</f>
        <v>24</v>
      </c>
      <c r="T17" s="55" t="str">
        <f>IF($S17="","",INDEX(CASHBACK_RULES!$B$5:$B$304,$S17))</f>
        <v>MB-D</v>
      </c>
      <c r="U17" s="55" t="str">
        <f>IF($S17="","",INDEX(CASHBACK_RULES!$C$5:$C$304,$S17)&amp;" "&amp;INDEX(CASHBACK_RULES!$D$5:$D$304,$S17))</f>
        <v>MB Cashback Demo D</v>
      </c>
      <c r="V17" s="55" t="str">
        <f>IF($S17="","",INDEX(CASHBACK_RULES!$E$5:$E$304,$S17)&amp;"")</f>
        <v>Dining</v>
      </c>
      <c r="W17" s="55" t="str">
        <f>IF($S17="","",INDEX(CASHBACK_RULES!$F$5:$F$304,$S17)&amp;"")</f>
        <v>Dining</v>
      </c>
      <c r="X17" s="26">
        <f>IF($S17="","",SUMIFS(TRANSACTIONS_MASTER!$Q$5:$Q$1204,TRANSACTIONS_MASTER!$D$5:$D$1204,$T17,TRANSACTIONS_MASTER!$Z$5:$Z$1204,$V17,TRANSACTIONS_MASTER!$C$5:$C$1204,$C$2))</f>
        <v>400000</v>
      </c>
      <c r="Y17" s="25">
        <f>IF($S17="","",IF(ISNUMBER(INDEX(CASHBACK_RULES!$J$5:$J$304,$S17)),INDEX(CASHBACK_RULES!$J$5:$J$304,$S17),"∞"))</f>
        <v>500000</v>
      </c>
      <c r="Z17" s="25">
        <f>IF($S17="","",IF(ISNUMBER($Y17),MAX(0,$Y17-$X17),"∞"))</f>
        <v>100000</v>
      </c>
      <c r="AA17" s="27">
        <f>IF($S17="","",IF(ISNUMBER($Y17),IF($Y17=0,0,$X17/$Y17),""))</f>
        <v>0.8</v>
      </c>
    </row>
    <row r="18" ht="20" customHeight="1">
      <c r="A18" s="81">
        <f>IF($Q18="","",11)</f>
        <v>11</v>
      </c>
      <c r="B18" s="57">
        <f>IF($Q18="","",INDEX(TRANSACTIONS_MASTER!$B$5:$B$1204,$Q18))</f>
        <v>46299.0</v>
      </c>
      <c r="C18" s="55" t="str">
        <f>IF($Q18="","",INDEX(TRANSACTIONS_MASTER!$F$5:$F$1204,$Q18))</f>
        <v>JCB Z Card</v>
      </c>
      <c r="D18" s="55" t="str">
        <f>IF($Q18="","",INDEX(TRANSACTIONS_MASTER!$E$5:$E$1204,$Q18))</f>
        <v>VPBank</v>
      </c>
      <c r="E18" s="55" t="str">
        <f>IF($Q18="","",INDEX(TRANSACTIONS_MASTER!$G$5:$G$1204,$Q18)&amp;"")</f>
        <v>Xanh SM</v>
      </c>
      <c r="F18" s="29">
        <f>IF($Q18="","",INDEX(TRANSACTIONS_MASTER!$I$5:$I$1204,$Q18))</f>
        <v>4121</v>
      </c>
      <c r="G18" s="55" t="str">
        <f>IF($Q18="","",INDEX(TRANSACTIONS_MASTER!$K$5:$K$1204,$Q18))</f>
        <v>Transport</v>
      </c>
      <c r="H18" s="25">
        <f>IF($Q18="","",INDEX(TRANSACTIONS_MASTER!$L$5:$L$1204,$Q18))</f>
        <v>1000000</v>
      </c>
      <c r="I18" s="56">
        <f>IF($Q18="","",INDEX(TRANSACTIONS_MASTER!$N$5:$N$1204,$Q18))</f>
        <v>0.15</v>
      </c>
      <c r="J18" s="25">
        <f>IF($Q18="","",INDEX(TRANSACTIONS_MASTER!$O$5:$O$1204,$Q18))</f>
        <v>150000</v>
      </c>
      <c r="K18" s="26">
        <f>IF($Q18="","",INDEX(TRANSACTIONS_MASTER!$Q$5:$Q$1204,$Q18))</f>
        <v>50000</v>
      </c>
      <c r="L18" s="25">
        <f>IF($Q18="","",INDEX(TRANSACTIONS_MASTER!$P$5:$P$1204,$Q18))</f>
        <v>500000</v>
      </c>
      <c r="M18" s="25">
        <f>IF($Q18="","",INDEX(TRANSACTIONS_MASTER!$AA$5:$AA$1204,$Q18))</f>
        <v>1000000</v>
      </c>
      <c r="N18" s="25">
        <f>IF($Q18="","",INDEX(TRANSACTIONS_MASTER!$R$5:$R$1204,$Q18))</f>
        <v>0</v>
      </c>
      <c r="O18" s="28" t="str">
        <f>IF($Q18="","",INDEX(TRANSACTIONS_MASTER!$AB$5:$AB$1204,$Q18))</f>
        <v>Hoàn một phần</v>
      </c>
      <c r="P18" s="55" t="str">
        <f>IF($Q18="","",INDEX(TRANSACTIONS_MASTER!$Z$5:$Z$1204,$Q18)&amp;"")</f>
        <v>Group 3</v>
      </c>
      <c r="Q18" s="67">
        <f>IFERROR(MATCH($C$2&amp;"|"&amp;11,TRANSACTIONS_MASTER!$AE$5:$AE$1204,0),"")</f>
        <v>17</v>
      </c>
      <c r="S18" s="67">
        <f>IFERROR(MATCH(11,CASHBACK_RULES!$S$5:$S$304,0),"")</f>
        <v>25</v>
      </c>
      <c r="T18" s="55" t="str">
        <f>IF($S18="","",INDEX(CASHBACK_RULES!$B$5:$B$304,$S18))</f>
        <v>MB-D</v>
      </c>
      <c r="U18" s="55" t="str">
        <f>IF($S18="","",INDEX(CASHBACK_RULES!$C$5:$C$304,$S18)&amp;" "&amp;INDEX(CASHBACK_RULES!$D$5:$D$304,$S18))</f>
        <v>MB Cashback Demo D</v>
      </c>
      <c r="V18" s="55" t="str">
        <f>IF($S18="","",INDEX(CASHBACK_RULES!$E$5:$E$304,$S18)&amp;"")</f>
        <v>Fuel</v>
      </c>
      <c r="W18" s="55" t="str">
        <f>IF($S18="","",INDEX(CASHBACK_RULES!$F$5:$F$304,$S18)&amp;"")</f>
        <v>Fuel</v>
      </c>
      <c r="X18" s="26">
        <f>IF($S18="","",SUMIFS(TRANSACTIONS_MASTER!$Q$5:$Q$1204,TRANSACTIONS_MASTER!$D$5:$D$1204,$T18,TRANSACTIONS_MASTER!$Z$5:$Z$1204,$V18,TRANSACTIONS_MASTER!$C$5:$C$1204,$C$2))</f>
        <v>60000</v>
      </c>
      <c r="Y18" s="25">
        <f>IF($S18="","",IF(ISNUMBER(INDEX(CASHBACK_RULES!$J$5:$J$304,$S18)),INDEX(CASHBACK_RULES!$J$5:$J$304,$S18),"∞"))</f>
        <v>200000</v>
      </c>
      <c r="Z18" s="25">
        <f>IF($S18="","",IF(ISNUMBER($Y18),MAX(0,$Y18-$X18),"∞"))</f>
        <v>140000</v>
      </c>
      <c r="AA18" s="27">
        <f>IF($S18="","",IF(ISNUMBER($Y18),IF($Y18=0,0,$X18/$Y18),""))</f>
        <v>0.3</v>
      </c>
    </row>
    <row r="19" ht="20" customHeight="1">
      <c r="A19" s="81">
        <f>IF($Q19="","",12)</f>
        <v>12</v>
      </c>
      <c r="B19" s="57">
        <f>IF($Q19="","",INDEX(TRANSACTIONS_MASTER!$B$5:$B$1204,$Q19))</f>
        <v>46299.0</v>
      </c>
      <c r="C19" s="55" t="str">
        <f>IF($Q19="","",INDEX(TRANSACTIONS_MASTER!$F$5:$F$1204,$Q19))</f>
        <v>JCB Z Card</v>
      </c>
      <c r="D19" s="55" t="str">
        <f>IF($Q19="","",INDEX(TRANSACTIONS_MASTER!$E$5:$E$1204,$Q19))</f>
        <v>VPBank</v>
      </c>
      <c r="E19" s="55" t="str">
        <f>IF($Q19="","",INDEX(TRANSACTIONS_MASTER!$G$5:$G$1204,$Q19)&amp;"")</f>
        <v>GrabFood</v>
      </c>
      <c r="F19" s="29">
        <f>IF($Q19="","",INDEX(TRANSACTIONS_MASTER!$I$5:$I$1204,$Q19))</f>
        <v>5814</v>
      </c>
      <c r="G19" s="55" t="str">
        <f>IF($Q19="","",INDEX(TRANSACTIONS_MASTER!$K$5:$K$1204,$Q19))</f>
        <v>Dining</v>
      </c>
      <c r="H19" s="25">
        <f>IF($Q19="","",INDEX(TRANSACTIONS_MASTER!$L$5:$L$1204,$Q19))</f>
        <v>500000</v>
      </c>
      <c r="I19" s="56">
        <f>IF($Q19="","",INDEX(TRANSACTIONS_MASTER!$N$5:$N$1204,$Q19))</f>
        <v>0.15</v>
      </c>
      <c r="J19" s="25">
        <f>IF($Q19="","",INDEX(TRANSACTIONS_MASTER!$O$5:$O$1204,$Q19))</f>
        <v>75000</v>
      </c>
      <c r="K19" s="26">
        <f>IF($Q19="","",INDEX(TRANSACTIONS_MASTER!$Q$5:$Q$1204,$Q19))</f>
        <v>0</v>
      </c>
      <c r="L19" s="25">
        <f>IF($Q19="","",INDEX(TRANSACTIONS_MASTER!$P$5:$P$1204,$Q19))</f>
        <v>500000</v>
      </c>
      <c r="M19" s="25">
        <f>IF($Q19="","",INDEX(TRANSACTIONS_MASTER!$AA$5:$AA$1204,$Q19))</f>
        <v>1000000</v>
      </c>
      <c r="N19" s="25">
        <f>IF($Q19="","",INDEX(TRANSACTIONS_MASTER!$R$5:$R$1204,$Q19))</f>
        <v>0</v>
      </c>
      <c r="O19" s="28" t="str">
        <f>IF($Q19="","",INDEX(TRANSACTIONS_MASTER!$AB$5:$AB$1204,$Q19))</f>
        <v>Đã đạt cap</v>
      </c>
      <c r="P19" s="55" t="str">
        <f>IF($Q19="","",INDEX(TRANSACTIONS_MASTER!$Z$5:$Z$1204,$Q19)&amp;"")</f>
        <v>Group 3</v>
      </c>
      <c r="Q19" s="67">
        <f>IFERROR(MATCH($C$2&amp;"|"&amp;12,TRANSACTIONS_MASTER!$AE$5:$AE$1204,0),"")</f>
        <v>18</v>
      </c>
      <c r="S19" s="67">
        <f>IFERROR(MATCH(12,CASHBACK_RULES!$S$5:$S$304,0),"")</f>
        <v>26</v>
      </c>
      <c r="T19" s="55" t="str">
        <f>IF($S19="","",INDEX(CASHBACK_RULES!$B$5:$B$304,$S19))</f>
        <v>MB-D</v>
      </c>
      <c r="U19" s="55" t="str">
        <f>IF($S19="","",INDEX(CASHBACK_RULES!$C$5:$C$304,$S19)&amp;" "&amp;INDEX(CASHBACK_RULES!$D$5:$D$304,$S19))</f>
        <v>MB Cashback Demo D</v>
      </c>
      <c r="V19" s="55" t="str">
        <f>IF($S19="","",INDEX(CASHBACK_RULES!$E$5:$E$304,$S19)&amp;"")</f>
        <v>Groceries</v>
      </c>
      <c r="W19" s="55" t="str">
        <f>IF($S19="","",INDEX(CASHBACK_RULES!$F$5:$F$304,$S19)&amp;"")</f>
        <v>Groceries</v>
      </c>
      <c r="X19" s="26">
        <f>IF($S19="","",SUMIFS(TRANSACTIONS_MASTER!$Q$5:$Q$1204,TRANSACTIONS_MASTER!$D$5:$D$1204,$T19,TRANSACTIONS_MASTER!$Z$5:$Z$1204,$V19,TRANSACTIONS_MASTER!$C$5:$C$1204,$C$2))</f>
        <v>30000</v>
      </c>
      <c r="Y19" s="25">
        <f>IF($S19="","",IF(ISNUMBER(INDEX(CASHBACK_RULES!$J$5:$J$304,$S19)),INDEX(CASHBACK_RULES!$J$5:$J$304,$S19),"∞"))</f>
        <v>100000</v>
      </c>
      <c r="Z19" s="25">
        <f>IF($S19="","",IF(ISNUMBER($Y19),MAX(0,$Y19-$X19),"∞"))</f>
        <v>70000</v>
      </c>
      <c r="AA19" s="27">
        <f>IF($S19="","",IF(ISNUMBER($Y19),IF($Y19=0,0,$X19/$Y19),""))</f>
        <v>0.3</v>
      </c>
    </row>
    <row r="20" ht="20" customHeight="1">
      <c r="A20" s="81">
        <f>IF($Q20="","",13)</f>
        <v>13</v>
      </c>
      <c r="B20" s="57">
        <f>IF($Q20="","",INDEX(TRANSACTIONS_MASTER!$B$5:$B$1204,$Q20))</f>
        <v>46299.0</v>
      </c>
      <c r="C20" s="55" t="str">
        <f>IF($Q20="","",INDEX(TRANSACTIONS_MASTER!$F$5:$F$1204,$Q20))</f>
        <v>Cashback Demo A</v>
      </c>
      <c r="D20" s="55" t="str">
        <f>IF($Q20="","",INDEX(TRANSACTIONS_MASTER!$E$5:$E$1204,$Q20))</f>
        <v>VIB</v>
      </c>
      <c r="E20" s="55" t="str">
        <f>IF($Q20="","",INDEX(TRANSACTIONS_MASTER!$G$5:$G$1204,$Q20)&amp;"")</f>
        <v>WinMart</v>
      </c>
      <c r="F20" s="29">
        <f>IF($Q20="","",INDEX(TRANSACTIONS_MASTER!$I$5:$I$1204,$Q20))</f>
        <v>5411</v>
      </c>
      <c r="G20" s="55" t="str">
        <f>IF($Q20="","",INDEX(TRANSACTIONS_MASTER!$K$5:$K$1204,$Q20))</f>
        <v>Groceries</v>
      </c>
      <c r="H20" s="25">
        <f>IF($Q20="","",INDEX(TRANSACTIONS_MASTER!$L$5:$L$1204,$Q20))</f>
        <v>1000000</v>
      </c>
      <c r="I20" s="56">
        <f>IF($Q20="","",INDEX(TRANSACTIONS_MASTER!$N$5:$N$1204,$Q20))</f>
        <v>0.1</v>
      </c>
      <c r="J20" s="25">
        <f>IF($Q20="","",INDEX(TRANSACTIONS_MASTER!$O$5:$O$1204,$Q20))</f>
        <v>100000</v>
      </c>
      <c r="K20" s="26">
        <f>IF($Q20="","",INDEX(TRANSACTIONS_MASTER!$Q$5:$Q$1204,$Q20))</f>
        <v>50000</v>
      </c>
      <c r="L20" s="25">
        <f>IF($Q20="","",INDEX(TRANSACTIONS_MASTER!$P$5:$P$1204,$Q20))</f>
        <v>500000</v>
      </c>
      <c r="M20" s="25">
        <f>IF($Q20="","",INDEX(TRANSACTIONS_MASTER!$AA$5:$AA$1204,$Q20))</f>
        <v>1000000</v>
      </c>
      <c r="N20" s="25">
        <f>IF($Q20="","",INDEX(TRANSACTIONS_MASTER!$R$5:$R$1204,$Q20))</f>
        <v>0</v>
      </c>
      <c r="O20" s="28" t="str">
        <f>IF($Q20="","",INDEX(TRANSACTIONS_MASTER!$AB$5:$AB$1204,$Q20))</f>
        <v>Hoàn một phần</v>
      </c>
      <c r="P20" s="55" t="str">
        <f>IF($Q20="","",INDEX(TRANSACTIONS_MASTER!$Z$5:$Z$1204,$Q20)&amp;"")</f>
        <v>Group 1</v>
      </c>
      <c r="Q20" s="67">
        <f>IFERROR(MATCH($C$2&amp;"|"&amp;13,TRANSACTIONS_MASTER!$AE$5:$AE$1204,0),"")</f>
        <v>19</v>
      </c>
      <c r="S20" s="67">
        <f>IFERROR(MATCH(13,CASHBACK_RULES!$S$5:$S$304,0),"")</f>
        <v>27</v>
      </c>
      <c r="T20" s="55" t="str">
        <f>IF($S20="","",INDEX(CASHBACK_RULES!$B$5:$B$304,$S20))</f>
        <v>MB-D</v>
      </c>
      <c r="U20" s="55" t="str">
        <f>IF($S20="","",INDEX(CASHBACK_RULES!$C$5:$C$304,$S20)&amp;" "&amp;INDEX(CASHBACK_RULES!$D$5:$D$304,$S20))</f>
        <v>MB Cashback Demo D</v>
      </c>
      <c r="V20" s="55" t="str">
        <f>IF($S20="","",INDEX(CASHBACK_RULES!$E$5:$E$304,$S20)&amp;"")</f>
        <v>Shopping</v>
      </c>
      <c r="W20" s="55" t="str">
        <f>IF($S20="","",INDEX(CASHBACK_RULES!$F$5:$F$304,$S20)&amp;"")</f>
        <v>Shopping</v>
      </c>
      <c r="X20" s="26">
        <f>IF($S20="","",SUMIFS(TRANSACTIONS_MASTER!$Q$5:$Q$1204,TRANSACTIONS_MASTER!$D$5:$D$1204,$T20,TRANSACTIONS_MASTER!$Z$5:$Z$1204,$V20,TRANSACTIONS_MASTER!$C$5:$C$1204,$C$2))</f>
        <v>0</v>
      </c>
      <c r="Y20" s="25">
        <f>IF($S20="","",IF(ISNUMBER(INDEX(CASHBACK_RULES!$J$5:$J$304,$S20)),INDEX(CASHBACK_RULES!$J$5:$J$304,$S20),"∞"))</f>
        <v>100000</v>
      </c>
      <c r="Z20" s="25">
        <f>IF($S20="","",IF(ISNUMBER($Y20),MAX(0,$Y20-$X20),"∞"))</f>
        <v>100000</v>
      </c>
      <c r="AA20" s="27">
        <f>IF($S20="","",IF(ISNUMBER($Y20),IF($Y20=0,0,$X20/$Y20),""))</f>
        <v>0</v>
      </c>
    </row>
    <row r="21" ht="20" customHeight="1">
      <c r="A21" s="81">
        <f>IF($Q21="","",14)</f>
        <v>14</v>
      </c>
      <c r="B21" s="57">
        <f>IF($Q21="","",INDEX(TRANSACTIONS_MASTER!$B$5:$B$1204,$Q21))</f>
        <v>46299.0</v>
      </c>
      <c r="C21" s="55" t="str">
        <f>IF($Q21="","",INDEX(TRANSACTIONS_MASTER!$F$5:$F$1204,$Q21))</f>
        <v>Cashback Demo C</v>
      </c>
      <c r="D21" s="55" t="str">
        <f>IF($Q21="","",INDEX(TRANSACTIONS_MASTER!$E$5:$E$1204,$Q21))</f>
        <v>UOB</v>
      </c>
      <c r="E21" s="55" t="str">
        <f>IF($Q21="","",INDEX(TRANSACTIONS_MASTER!$G$5:$G$1204,$Q21)&amp;"")</f>
        <v>KFC</v>
      </c>
      <c r="F21" s="29">
        <f>IF($Q21="","",INDEX(TRANSACTIONS_MASTER!$I$5:$I$1204,$Q21))</f>
        <v>5814</v>
      </c>
      <c r="G21" s="55" t="str">
        <f>IF($Q21="","",INDEX(TRANSACTIONS_MASTER!$K$5:$K$1204,$Q21))</f>
        <v>Dining</v>
      </c>
      <c r="H21" s="25">
        <f>IF($Q21="","",INDEX(TRANSACTIONS_MASTER!$L$5:$L$1204,$Q21))</f>
        <v>3000000</v>
      </c>
      <c r="I21" s="56">
        <f>IF($Q21="","",INDEX(TRANSACTIONS_MASTER!$N$5:$N$1204,$Q21))</f>
        <v>0.15</v>
      </c>
      <c r="J21" s="25">
        <f>IF($Q21="","",INDEX(TRANSACTIONS_MASTER!$O$5:$O$1204,$Q21))</f>
        <v>450000</v>
      </c>
      <c r="K21" s="26">
        <f>IF($Q21="","",INDEX(TRANSACTIONS_MASTER!$Q$5:$Q$1204,$Q21))</f>
        <v>400000</v>
      </c>
      <c r="L21" s="25">
        <f>IF($Q21="","",INDEX(TRANSACTIONS_MASTER!$P$5:$P$1204,$Q21))</f>
        <v>1000000</v>
      </c>
      <c r="M21" s="25" t="str">
        <f>IF($Q21="","",INDEX(TRANSACTIONS_MASTER!$AA$5:$AA$1204,$Q21))</f>
        <v>∞</v>
      </c>
      <c r="N21" s="25">
        <f>IF($Q21="","",INDEX(TRANSACTIONS_MASTER!$R$5:$R$1204,$Q21))</f>
        <v>0</v>
      </c>
      <c r="O21" s="28" t="str">
        <f>IF($Q21="","",INDEX(TRANSACTIONS_MASTER!$AB$5:$AB$1204,$Q21))</f>
        <v>Hoàn một phần</v>
      </c>
      <c r="P21" s="55" t="str">
        <f>IF($Q21="","",INDEX(TRANSACTIONS_MASTER!$Z$5:$Z$1204,$Q21)&amp;"")</f>
        <v>Group 1</v>
      </c>
      <c r="Q21" s="67">
        <f>IFERROR(MATCH($C$2&amp;"|"&amp;14,TRANSACTIONS_MASTER!$AE$5:$AE$1204,0),"")</f>
        <v>20</v>
      </c>
      <c r="S21" s="67" t="str">
        <f>IFERROR(MATCH(14,CASHBACK_RULES!$S$5:$S$304,0),"")</f>
        <v/>
      </c>
      <c r="T21" s="55" t="str">
        <f>IF($S21="","",INDEX(CASHBACK_RULES!$B$5:$B$304,$S21))</f>
        <v/>
      </c>
      <c r="U21" s="55" t="str">
        <f>IF($S21="","",INDEX(CASHBACK_RULES!$C$5:$C$304,$S21)&amp;" "&amp;INDEX(CASHBACK_RULES!$D$5:$D$304,$S21))</f>
        <v/>
      </c>
      <c r="V21" s="55" t="str">
        <f>IF($S21="","",INDEX(CASHBACK_RULES!$E$5:$E$304,$S21)&amp;"")</f>
        <v/>
      </c>
      <c r="W21" s="55" t="str">
        <f>IF($S21="","",INDEX(CASHBACK_RULES!$F$5:$F$304,$S21)&amp;"")</f>
        <v/>
      </c>
      <c r="X21" s="26" t="str">
        <f>IF($S21="","",SUMIFS(TRANSACTIONS_MASTER!$Q$5:$Q$1204,TRANSACTIONS_MASTER!$D$5:$D$1204,$T21,TRANSACTIONS_MASTER!$Z$5:$Z$1204,$V21,TRANSACTIONS_MASTER!$C$5:$C$1204,$C$2))</f>
        <v/>
      </c>
      <c r="Y21" s="25" t="str">
        <f>IF($S21="","",IF(ISNUMBER(INDEX(CASHBACK_RULES!$J$5:$J$304,$S21)),INDEX(CASHBACK_RULES!$J$5:$J$304,$S21),"∞"))</f>
        <v/>
      </c>
      <c r="Z21" s="25" t="str">
        <f>IF($S21="","",IF(ISNUMBER($Y21),MAX(0,$Y21-$X21),"∞"))</f>
        <v/>
      </c>
      <c r="AA21" s="27" t="str">
        <f>IF($S21="","",IF(ISNUMBER($Y21),IF($Y21=0,0,$X21/$Y21),""))</f>
        <v/>
      </c>
    </row>
    <row r="22" ht="20" customHeight="1">
      <c r="A22" s="81">
        <f>IF($Q22="","",15)</f>
        <v>15</v>
      </c>
      <c r="B22" s="57">
        <f>IF($Q22="","",INDEX(TRANSACTIONS_MASTER!$B$5:$B$1204,$Q22))</f>
        <v>46299.0</v>
      </c>
      <c r="C22" s="55" t="str">
        <f>IF($Q22="","",INDEX(TRANSACTIONS_MASTER!$F$5:$F$1204,$Q22))</f>
        <v>Cashback Demo C</v>
      </c>
      <c r="D22" s="55" t="str">
        <f>IF($Q22="","",INDEX(TRANSACTIONS_MASTER!$E$5:$E$1204,$Q22))</f>
        <v>UOB</v>
      </c>
      <c r="E22" s="55" t="str">
        <f>IF($Q22="","",INDEX(TRANSACTIONS_MASTER!$G$5:$G$1204,$Q22)&amp;"")</f>
        <v>Nhà hàng Hoàng Yến</v>
      </c>
      <c r="F22" s="29">
        <f>IF($Q22="","",INDEX(TRANSACTIONS_MASTER!$I$5:$I$1204,$Q22))</f>
        <v>5812</v>
      </c>
      <c r="G22" s="55" t="str">
        <f>IF($Q22="","",INDEX(TRANSACTIONS_MASTER!$K$5:$K$1204,$Q22))</f>
        <v>Dining</v>
      </c>
      <c r="H22" s="25">
        <f>IF($Q22="","",INDEX(TRANSACTIONS_MASTER!$L$5:$L$1204,$Q22))</f>
        <v>500000</v>
      </c>
      <c r="I22" s="56">
        <f>IF($Q22="","",INDEX(TRANSACTIONS_MASTER!$N$5:$N$1204,$Q22))</f>
        <v>0</v>
      </c>
      <c r="J22" s="25">
        <f>IF($Q22="","",INDEX(TRANSACTIONS_MASTER!$O$5:$O$1204,$Q22))</f>
        <v>0</v>
      </c>
      <c r="K22" s="26">
        <f>IF($Q22="","",INDEX(TRANSACTIONS_MASTER!$Q$5:$Q$1204,$Q22))</f>
        <v>0</v>
      </c>
      <c r="L22" s="25" t="str">
        <f>IF($Q22="","",INDEX(TRANSACTIONS_MASTER!$P$5:$P$1204,$Q22))</f>
        <v/>
      </c>
      <c r="M22" s="25" t="str">
        <f>IF($Q22="","",INDEX(TRANSACTIONS_MASTER!$AA$5:$AA$1204,$Q22))</f>
        <v/>
      </c>
      <c r="N22" s="25" t="str">
        <f>IF($Q22="","",INDEX(TRANSACTIONS_MASTER!$R$5:$R$1204,$Q22))</f>
        <v/>
      </c>
      <c r="O22" s="28" t="str">
        <f>IF($Q22="","",INDEX(TRANSACTIONS_MASTER!$AB$5:$AB$1204,$Q22))</f>
        <v>Đã hủy</v>
      </c>
      <c r="P22" s="55" t="str">
        <f>IF($Q22="","",INDEX(TRANSACTIONS_MASTER!$Z$5:$Z$1204,$Q22)&amp;"")</f>
        <v/>
      </c>
      <c r="Q22" s="67">
        <f>IFERROR(MATCH($C$2&amp;"|"&amp;15,TRANSACTIONS_MASTER!$AE$5:$AE$1204,0),"")</f>
        <v>21</v>
      </c>
      <c r="S22" s="67" t="str">
        <f>IFERROR(MATCH(15,CASHBACK_RULES!$S$5:$S$304,0),"")</f>
        <v/>
      </c>
      <c r="T22" s="55" t="str">
        <f>IF($S22="","",INDEX(CASHBACK_RULES!$B$5:$B$304,$S22))</f>
        <v/>
      </c>
      <c r="U22" s="55" t="str">
        <f>IF($S22="","",INDEX(CASHBACK_RULES!$C$5:$C$304,$S22)&amp;" "&amp;INDEX(CASHBACK_RULES!$D$5:$D$304,$S22))</f>
        <v/>
      </c>
      <c r="V22" s="55" t="str">
        <f>IF($S22="","",INDEX(CASHBACK_RULES!$E$5:$E$304,$S22)&amp;"")</f>
        <v/>
      </c>
      <c r="W22" s="55" t="str">
        <f>IF($S22="","",INDEX(CASHBACK_RULES!$F$5:$F$304,$S22)&amp;"")</f>
        <v/>
      </c>
      <c r="X22" s="26" t="str">
        <f>IF($S22="","",SUMIFS(TRANSACTIONS_MASTER!$Q$5:$Q$1204,TRANSACTIONS_MASTER!$D$5:$D$1204,$T22,TRANSACTIONS_MASTER!$Z$5:$Z$1204,$V22,TRANSACTIONS_MASTER!$C$5:$C$1204,$C$2))</f>
        <v/>
      </c>
      <c r="Y22" s="25" t="str">
        <f>IF($S22="","",IF(ISNUMBER(INDEX(CASHBACK_RULES!$J$5:$J$304,$S22)),INDEX(CASHBACK_RULES!$J$5:$J$304,$S22),"∞"))</f>
        <v/>
      </c>
      <c r="Z22" s="25" t="str">
        <f>IF($S22="","",IF(ISNUMBER($Y22),MAX(0,$Y22-$X22),"∞"))</f>
        <v/>
      </c>
      <c r="AA22" s="27" t="str">
        <f>IF($S22="","",IF(ISNUMBER($Y22),IF($Y22=0,0,$X22/$Y22),""))</f>
        <v/>
      </c>
    </row>
    <row r="23" ht="20" customHeight="1">
      <c r="A23" s="81">
        <f>IF($Q23="","",16)</f>
        <v>16</v>
      </c>
      <c r="B23" s="57">
        <f>IF($Q23="","",INDEX(TRANSACTIONS_MASTER!$B$5:$B$1204,$Q23))</f>
        <v>46300.0</v>
      </c>
      <c r="C23" s="55" t="str">
        <f>IF($Q23="","",INDEX(TRANSACTIONS_MASTER!$F$5:$F$1204,$Q23))</f>
        <v>JCB Z Card</v>
      </c>
      <c r="D23" s="55" t="str">
        <f>IF($Q23="","",INDEX(TRANSACTIONS_MASTER!$E$5:$E$1204,$Q23))</f>
        <v>VPBank</v>
      </c>
      <c r="E23" s="55" t="str">
        <f>IF($Q23="","",INDEX(TRANSACTIONS_MASTER!$G$5:$G$1204,$Q23)&amp;"")</f>
        <v>Quán Ăn Ngon</v>
      </c>
      <c r="F23" s="29">
        <f>IF($Q23="","",INDEX(TRANSACTIONS_MASTER!$I$5:$I$1204,$Q23))</f>
        <v>5812</v>
      </c>
      <c r="G23" s="55" t="str">
        <f>IF($Q23="","",INDEX(TRANSACTIONS_MASTER!$K$5:$K$1204,$Q23))</f>
        <v>Dining</v>
      </c>
      <c r="H23" s="25">
        <f>IF($Q23="","",INDEX(TRANSACTIONS_MASTER!$L$5:$L$1204,$Q23))</f>
        <v>300000</v>
      </c>
      <c r="I23" s="56">
        <f>IF($Q23="","",INDEX(TRANSACTIONS_MASTER!$N$5:$N$1204,$Q23))</f>
        <v>0.15</v>
      </c>
      <c r="J23" s="25">
        <f>IF($Q23="","",INDEX(TRANSACTIONS_MASTER!$O$5:$O$1204,$Q23))</f>
        <v>45000</v>
      </c>
      <c r="K23" s="26">
        <f>IF($Q23="","",INDEX(TRANSACTIONS_MASTER!$Q$5:$Q$1204,$Q23))</f>
        <v>0</v>
      </c>
      <c r="L23" s="25">
        <f>IF($Q23="","",INDEX(TRANSACTIONS_MASTER!$P$5:$P$1204,$Q23))</f>
        <v>500000</v>
      </c>
      <c r="M23" s="25">
        <f>IF($Q23="","",INDEX(TRANSACTIONS_MASTER!$AA$5:$AA$1204,$Q23))</f>
        <v>1000000</v>
      </c>
      <c r="N23" s="25">
        <f>IF($Q23="","",INDEX(TRANSACTIONS_MASTER!$R$5:$R$1204,$Q23))</f>
        <v>0</v>
      </c>
      <c r="O23" s="28" t="str">
        <f>IF($Q23="","",INDEX(TRANSACTIONS_MASTER!$AB$5:$AB$1204,$Q23))</f>
        <v>Đã đạt cap</v>
      </c>
      <c r="P23" s="55" t="str">
        <f>IF($Q23="","",INDEX(TRANSACTIONS_MASTER!$Z$5:$Z$1204,$Q23)&amp;"")</f>
        <v>Group 1</v>
      </c>
      <c r="Q23" s="67">
        <f>IFERROR(MATCH($C$2&amp;"|"&amp;16,TRANSACTIONS_MASTER!$AE$5:$AE$1204,0),"")</f>
        <v>22</v>
      </c>
      <c r="S23" s="67" t="str">
        <f>IFERROR(MATCH(16,CASHBACK_RULES!$S$5:$S$304,0),"")</f>
        <v/>
      </c>
      <c r="T23" s="55" t="str">
        <f>IF($S23="","",INDEX(CASHBACK_RULES!$B$5:$B$304,$S23))</f>
        <v/>
      </c>
      <c r="U23" s="55" t="str">
        <f>IF($S23="","",INDEX(CASHBACK_RULES!$C$5:$C$304,$S23)&amp;" "&amp;INDEX(CASHBACK_RULES!$D$5:$D$304,$S23))</f>
        <v/>
      </c>
      <c r="V23" s="55" t="str">
        <f>IF($S23="","",INDEX(CASHBACK_RULES!$E$5:$E$304,$S23)&amp;"")</f>
        <v/>
      </c>
      <c r="W23" s="55" t="str">
        <f>IF($S23="","",INDEX(CASHBACK_RULES!$F$5:$F$304,$S23)&amp;"")</f>
        <v/>
      </c>
      <c r="X23" s="26" t="str">
        <f>IF($S23="","",SUMIFS(TRANSACTIONS_MASTER!$Q$5:$Q$1204,TRANSACTIONS_MASTER!$D$5:$D$1204,$T23,TRANSACTIONS_MASTER!$Z$5:$Z$1204,$V23,TRANSACTIONS_MASTER!$C$5:$C$1204,$C$2))</f>
        <v/>
      </c>
      <c r="Y23" s="25" t="str">
        <f>IF($S23="","",IF(ISNUMBER(INDEX(CASHBACK_RULES!$J$5:$J$304,$S23)),INDEX(CASHBACK_RULES!$J$5:$J$304,$S23),"∞"))</f>
        <v/>
      </c>
      <c r="Z23" s="25" t="str">
        <f>IF($S23="","",IF(ISNUMBER($Y23),MAX(0,$Y23-$X23),"∞"))</f>
        <v/>
      </c>
      <c r="AA23" s="27" t="str">
        <f>IF($S23="","",IF(ISNUMBER($Y23),IF($Y23=0,0,$X23/$Y23),""))</f>
        <v/>
      </c>
    </row>
    <row r="24" ht="20" customHeight="1">
      <c r="A24" s="81">
        <f>IF($Q24="","",17)</f>
        <v>17</v>
      </c>
      <c r="B24" s="57">
        <f>IF($Q24="","",INDEX(TRANSACTIONS_MASTER!$B$5:$B$1204,$Q24))</f>
        <v>46300.0</v>
      </c>
      <c r="C24" s="55" t="str">
        <f>IF($Q24="","",INDEX(TRANSACTIONS_MASTER!$F$5:$F$1204,$Q24))</f>
        <v>Cashback Demo B</v>
      </c>
      <c r="D24" s="55" t="str">
        <f>IF($Q24="","",INDEX(TRANSACTIONS_MASTER!$E$5:$E$1204,$Q24))</f>
        <v>Techcombank</v>
      </c>
      <c r="E24" s="55" t="str">
        <f>IF($Q24="","",INDEX(TRANSACTIONS_MASTER!$G$5:$G$1204,$Q24)&amp;"")</f>
        <v>Bệnh viện Vinmec</v>
      </c>
      <c r="F24" s="29">
        <f>IF($Q24="","",INDEX(TRANSACTIONS_MASTER!$I$5:$I$1204,$Q24))</f>
        <v>8062</v>
      </c>
      <c r="G24" s="55" t="str">
        <f>IF($Q24="","",INDEX(TRANSACTIONS_MASTER!$K$5:$K$1204,$Q24))</f>
        <v>Healthcare</v>
      </c>
      <c r="H24" s="25">
        <f>IF($Q24="","",INDEX(TRANSACTIONS_MASTER!$L$5:$L$1204,$Q24))</f>
        <v>1500000</v>
      </c>
      <c r="I24" s="56">
        <f>IF($Q24="","",INDEX(TRANSACTIONS_MASTER!$N$5:$N$1204,$Q24))</f>
        <v>0.05</v>
      </c>
      <c r="J24" s="25">
        <f>IF($Q24="","",INDEX(TRANSACTIONS_MASTER!$O$5:$O$1204,$Q24))</f>
        <v>75000</v>
      </c>
      <c r="K24" s="26">
        <f>IF($Q24="","",INDEX(TRANSACTIONS_MASTER!$Q$5:$Q$1204,$Q24))</f>
        <v>75000</v>
      </c>
      <c r="L24" s="25">
        <f>IF($Q24="","",INDEX(TRANSACTIONS_MASTER!$P$5:$P$1204,$Q24))</f>
        <v>300000</v>
      </c>
      <c r="M24" s="25">
        <f>IF($Q24="","",INDEX(TRANSACTIONS_MASTER!$AA$5:$AA$1204,$Q24))</f>
        <v>2000000</v>
      </c>
      <c r="N24" s="25">
        <f>IF($Q24="","",INDEX(TRANSACTIONS_MASTER!$R$5:$R$1204,$Q24))</f>
        <v>225000</v>
      </c>
      <c r="O24" s="28" t="str">
        <f>IF($Q24="","",INDEX(TRANSACTIONS_MASTER!$AB$5:$AB$1204,$Q24))</f>
        <v>Được hoàn</v>
      </c>
      <c r="P24" s="55" t="str">
        <f>IF($Q24="","",INDEX(TRANSACTIONS_MASTER!$Z$5:$Z$1204,$Q24)&amp;"")</f>
        <v>Group 2</v>
      </c>
      <c r="Q24" s="67">
        <f>IFERROR(MATCH($C$2&amp;"|"&amp;17,TRANSACTIONS_MASTER!$AE$5:$AE$1204,0),"")</f>
        <v>23</v>
      </c>
      <c r="S24" s="67" t="str">
        <f>IFERROR(MATCH(17,CASHBACK_RULES!$S$5:$S$304,0),"")</f>
        <v/>
      </c>
      <c r="T24" s="55" t="str">
        <f>IF($S24="","",INDEX(CASHBACK_RULES!$B$5:$B$304,$S24))</f>
        <v/>
      </c>
      <c r="U24" s="55" t="str">
        <f>IF($S24="","",INDEX(CASHBACK_RULES!$C$5:$C$304,$S24)&amp;" "&amp;INDEX(CASHBACK_RULES!$D$5:$D$304,$S24))</f>
        <v/>
      </c>
      <c r="V24" s="55" t="str">
        <f>IF($S24="","",INDEX(CASHBACK_RULES!$E$5:$E$304,$S24)&amp;"")</f>
        <v/>
      </c>
      <c r="W24" s="55" t="str">
        <f>IF($S24="","",INDEX(CASHBACK_RULES!$F$5:$F$304,$S24)&amp;"")</f>
        <v/>
      </c>
      <c r="X24" s="26" t="str">
        <f>IF($S24="","",SUMIFS(TRANSACTIONS_MASTER!$Q$5:$Q$1204,TRANSACTIONS_MASTER!$D$5:$D$1204,$T24,TRANSACTIONS_MASTER!$Z$5:$Z$1204,$V24,TRANSACTIONS_MASTER!$C$5:$C$1204,$C$2))</f>
        <v/>
      </c>
      <c r="Y24" s="25" t="str">
        <f>IF($S24="","",IF(ISNUMBER(INDEX(CASHBACK_RULES!$J$5:$J$304,$S24)),INDEX(CASHBACK_RULES!$J$5:$J$304,$S24),"∞"))</f>
        <v/>
      </c>
      <c r="Z24" s="25" t="str">
        <f>IF($S24="","",IF(ISNUMBER($Y24),MAX(0,$Y24-$X24),"∞"))</f>
        <v/>
      </c>
      <c r="AA24" s="27" t="str">
        <f>IF($S24="","",IF(ISNUMBER($Y24),IF($Y24=0,0,$X24/$Y24),""))</f>
        <v/>
      </c>
    </row>
    <row r="25" ht="20" customHeight="1">
      <c r="A25" s="81">
        <f>IF($Q25="","",18)</f>
        <v>18</v>
      </c>
      <c r="B25" s="57">
        <f>IF($Q25="","",INDEX(TRANSACTIONS_MASTER!$B$5:$B$1204,$Q25))</f>
        <v>46300.0</v>
      </c>
      <c r="C25" s="55" t="str">
        <f>IF($Q25="","",INDEX(TRANSACTIONS_MASTER!$F$5:$F$1204,$Q25))</f>
        <v>Cashback Demo B</v>
      </c>
      <c r="D25" s="55" t="str">
        <f>IF($Q25="","",INDEX(TRANSACTIONS_MASTER!$E$5:$E$1204,$Q25))</f>
        <v>Techcombank</v>
      </c>
      <c r="E25" s="55" t="str">
        <f>IF($Q25="","",INDEX(TRANSACTIONS_MASTER!$G$5:$G$1204,$Q25)&amp;"")</f>
        <v>Viettel</v>
      </c>
      <c r="F25" s="29">
        <f>IF($Q25="","",INDEX(TRANSACTIONS_MASTER!$I$5:$I$1204,$Q25))</f>
        <v>4814</v>
      </c>
      <c r="G25" s="55" t="str">
        <f>IF($Q25="","",INDEX(TRANSACTIONS_MASTER!$K$5:$K$1204,$Q25))</f>
        <v>Utilities &amp; Telecom</v>
      </c>
      <c r="H25" s="25">
        <f>IF($Q25="","",INDEX(TRANSACTIONS_MASTER!$L$5:$L$1204,$Q25))</f>
        <v>300000</v>
      </c>
      <c r="I25" s="56">
        <f>IF($Q25="","",INDEX(TRANSACTIONS_MASTER!$N$5:$N$1204,$Q25))</f>
        <v>0.05</v>
      </c>
      <c r="J25" s="25">
        <f>IF($Q25="","",INDEX(TRANSACTIONS_MASTER!$O$5:$O$1204,$Q25))</f>
        <v>15000</v>
      </c>
      <c r="K25" s="26">
        <f>IF($Q25="","",INDEX(TRANSACTIONS_MASTER!$Q$5:$Q$1204,$Q25))</f>
        <v>15000</v>
      </c>
      <c r="L25" s="25">
        <f>IF($Q25="","",INDEX(TRANSACTIONS_MASTER!$P$5:$P$1204,$Q25))</f>
        <v>300000</v>
      </c>
      <c r="M25" s="25">
        <f>IF($Q25="","",INDEX(TRANSACTIONS_MASTER!$AA$5:$AA$1204,$Q25))</f>
        <v>2000000</v>
      </c>
      <c r="N25" s="25">
        <f>IF($Q25="","",INDEX(TRANSACTIONS_MASTER!$R$5:$R$1204,$Q25))</f>
        <v>285000</v>
      </c>
      <c r="O25" s="28" t="str">
        <f>IF($Q25="","",INDEX(TRANSACTIONS_MASTER!$AB$5:$AB$1204,$Q25))</f>
        <v>Được hoàn</v>
      </c>
      <c r="P25" s="55" t="str">
        <f>IF($Q25="","",INDEX(TRANSACTIONS_MASTER!$Z$5:$Z$1204,$Q25)&amp;"")</f>
        <v>Group 3</v>
      </c>
      <c r="Q25" s="67">
        <f>IFERROR(MATCH($C$2&amp;"|"&amp;18,TRANSACTIONS_MASTER!$AE$5:$AE$1204,0),"")</f>
        <v>24</v>
      </c>
      <c r="S25" s="67" t="str">
        <f>IFERROR(MATCH(18,CASHBACK_RULES!$S$5:$S$304,0),"")</f>
        <v/>
      </c>
      <c r="T25" s="55" t="str">
        <f>IF($S25="","",INDEX(CASHBACK_RULES!$B$5:$B$304,$S25))</f>
        <v/>
      </c>
      <c r="U25" s="55" t="str">
        <f>IF($S25="","",INDEX(CASHBACK_RULES!$C$5:$C$304,$S25)&amp;" "&amp;INDEX(CASHBACK_RULES!$D$5:$D$304,$S25))</f>
        <v/>
      </c>
      <c r="V25" s="55" t="str">
        <f>IF($S25="","",INDEX(CASHBACK_RULES!$E$5:$E$304,$S25)&amp;"")</f>
        <v/>
      </c>
      <c r="W25" s="55" t="str">
        <f>IF($S25="","",INDEX(CASHBACK_RULES!$F$5:$F$304,$S25)&amp;"")</f>
        <v/>
      </c>
      <c r="X25" s="26" t="str">
        <f>IF($S25="","",SUMIFS(TRANSACTIONS_MASTER!$Q$5:$Q$1204,TRANSACTIONS_MASTER!$D$5:$D$1204,$T25,TRANSACTIONS_MASTER!$Z$5:$Z$1204,$V25,TRANSACTIONS_MASTER!$C$5:$C$1204,$C$2))</f>
        <v/>
      </c>
      <c r="Y25" s="25" t="str">
        <f>IF($S25="","",IF(ISNUMBER(INDEX(CASHBACK_RULES!$J$5:$J$304,$S25)),INDEX(CASHBACK_RULES!$J$5:$J$304,$S25),"∞"))</f>
        <v/>
      </c>
      <c r="Z25" s="25" t="str">
        <f>IF($S25="","",IF(ISNUMBER($Y25),MAX(0,$Y25-$X25),"∞"))</f>
        <v/>
      </c>
      <c r="AA25" s="27" t="str">
        <f>IF($S25="","",IF(ISNUMBER($Y25),IF($Y25=0,0,$X25/$Y25),""))</f>
        <v/>
      </c>
    </row>
    <row r="26" ht="20" customHeight="1">
      <c r="A26" s="81">
        <f>IF($Q26="","",19)</f>
        <v>19</v>
      </c>
      <c r="B26" s="57">
        <f>IF($Q26="","",INDEX(TRANSACTIONS_MASTER!$B$5:$B$1204,$Q26))</f>
        <v>46300.0</v>
      </c>
      <c r="C26" s="55" t="str">
        <f>IF($Q26="","",INDEX(TRANSACTIONS_MASTER!$F$5:$F$1204,$Q26))</f>
        <v>Cashback Demo D</v>
      </c>
      <c r="D26" s="55" t="str">
        <f>IF($Q26="","",INDEX(TRANSACTIONS_MASTER!$E$5:$E$1204,$Q26))</f>
        <v>MB</v>
      </c>
      <c r="E26" s="55" t="str">
        <f>IF($Q26="","",INDEX(TRANSACTIONS_MASTER!$G$5:$G$1204,$Q26)&amp;"")</f>
        <v>Kichi Kichi</v>
      </c>
      <c r="F26" s="29">
        <f>IF($Q26="","",INDEX(TRANSACTIONS_MASTER!$I$5:$I$1204,$Q26))</f>
        <v>5812</v>
      </c>
      <c r="G26" s="55" t="str">
        <f>IF($Q26="","",INDEX(TRANSACTIONS_MASTER!$K$5:$K$1204,$Q26))</f>
        <v>Dining</v>
      </c>
      <c r="H26" s="25">
        <f>IF($Q26="","",INDEX(TRANSACTIONS_MASTER!$L$5:$L$1204,$Q26))</f>
        <v>6000000</v>
      </c>
      <c r="I26" s="56">
        <f>IF($Q26="","",INDEX(TRANSACTIONS_MASTER!$N$5:$N$1204,$Q26))</f>
        <v>0.08</v>
      </c>
      <c r="J26" s="25">
        <f>IF($Q26="","",INDEX(TRANSACTIONS_MASTER!$O$5:$O$1204,$Q26))</f>
        <v>400000</v>
      </c>
      <c r="K26" s="26">
        <f>IF($Q26="","",INDEX(TRANSACTIONS_MASTER!$Q$5:$Q$1204,$Q26))</f>
        <v>400000</v>
      </c>
      <c r="L26" s="25">
        <f>IF($Q26="","",INDEX(TRANSACTIONS_MASTER!$P$5:$P$1204,$Q26))</f>
        <v>500000</v>
      </c>
      <c r="M26" s="25">
        <f>IF($Q26="","",INDEX(TRANSACTIONS_MASTER!$AA$5:$AA$1204,$Q26))</f>
        <v>600000</v>
      </c>
      <c r="N26" s="25">
        <f>IF($Q26="","",INDEX(TRANSACTIONS_MASTER!$R$5:$R$1204,$Q26))</f>
        <v>100000</v>
      </c>
      <c r="O26" s="28" t="str">
        <f>IF($Q26="","",INDEX(TRANSACTIONS_MASTER!$AB$5:$AB$1204,$Q26))</f>
        <v>Hoàn một phần</v>
      </c>
      <c r="P26" s="55" t="str">
        <f>IF($Q26="","",INDEX(TRANSACTIONS_MASTER!$Z$5:$Z$1204,$Q26)&amp;"")</f>
        <v>Dining</v>
      </c>
      <c r="Q26" s="67">
        <f>IFERROR(MATCH($C$2&amp;"|"&amp;19,TRANSACTIONS_MASTER!$AE$5:$AE$1204,0),"")</f>
        <v>25</v>
      </c>
      <c r="S26" s="67" t="str">
        <f>IFERROR(MATCH(19,CASHBACK_RULES!$S$5:$S$304,0),"")</f>
        <v/>
      </c>
      <c r="T26" s="55" t="str">
        <f>IF($S26="","",INDEX(CASHBACK_RULES!$B$5:$B$304,$S26))</f>
        <v/>
      </c>
      <c r="U26" s="55" t="str">
        <f>IF($S26="","",INDEX(CASHBACK_RULES!$C$5:$C$304,$S26)&amp;" "&amp;INDEX(CASHBACK_RULES!$D$5:$D$304,$S26))</f>
        <v/>
      </c>
      <c r="V26" s="55" t="str">
        <f>IF($S26="","",INDEX(CASHBACK_RULES!$E$5:$E$304,$S26)&amp;"")</f>
        <v/>
      </c>
      <c r="W26" s="55" t="str">
        <f>IF($S26="","",INDEX(CASHBACK_RULES!$F$5:$F$304,$S26)&amp;"")</f>
        <v/>
      </c>
      <c r="X26" s="26" t="str">
        <f>IF($S26="","",SUMIFS(TRANSACTIONS_MASTER!$Q$5:$Q$1204,TRANSACTIONS_MASTER!$D$5:$D$1204,$T26,TRANSACTIONS_MASTER!$Z$5:$Z$1204,$V26,TRANSACTIONS_MASTER!$C$5:$C$1204,$C$2))</f>
        <v/>
      </c>
      <c r="Y26" s="25" t="str">
        <f>IF($S26="","",IF(ISNUMBER(INDEX(CASHBACK_RULES!$J$5:$J$304,$S26)),INDEX(CASHBACK_RULES!$J$5:$J$304,$S26),"∞"))</f>
        <v/>
      </c>
      <c r="Z26" s="25" t="str">
        <f>IF($S26="","",IF(ISNUMBER($Y26),MAX(0,$Y26-$X26),"∞"))</f>
        <v/>
      </c>
      <c r="AA26" s="27" t="str">
        <f>IF($S26="","",IF(ISNUMBER($Y26),IF($Y26=0,0,$X26/$Y26),""))</f>
        <v/>
      </c>
    </row>
    <row r="27" ht="20" customHeight="1">
      <c r="A27" s="81">
        <f>IF($Q27="","",20)</f>
        <v>20</v>
      </c>
      <c r="B27" s="57">
        <f>IF($Q27="","",INDEX(TRANSACTIONS_MASTER!$B$5:$B$1204,$Q27))</f>
        <v>46300.0</v>
      </c>
      <c r="C27" s="55" t="str">
        <f>IF($Q27="","",INDEX(TRANSACTIONS_MASTER!$F$5:$F$1204,$Q27))</f>
        <v>Cashback Demo D</v>
      </c>
      <c r="D27" s="55" t="str">
        <f>IF($Q27="","",INDEX(TRANSACTIONS_MASTER!$E$5:$E$1204,$Q27))</f>
        <v>MB</v>
      </c>
      <c r="E27" s="55" t="str">
        <f>IF($Q27="","",INDEX(TRANSACTIONS_MASTER!$G$5:$G$1204,$Q27)&amp;"")</f>
        <v>Circle K</v>
      </c>
      <c r="F27" s="29">
        <f>IF($Q27="","",INDEX(TRANSACTIONS_MASTER!$I$5:$I$1204,$Q27))</f>
        <v>5411</v>
      </c>
      <c r="G27" s="55" t="str">
        <f>IF($Q27="","",INDEX(TRANSACTIONS_MASTER!$K$5:$K$1204,$Q27))</f>
        <v>Groceries</v>
      </c>
      <c r="H27" s="25">
        <f>IF($Q27="","",INDEX(TRANSACTIONS_MASTER!$L$5:$L$1204,$Q27))</f>
        <v>50000</v>
      </c>
      <c r="I27" s="56">
        <f>IF($Q27="","",INDEX(TRANSACTIONS_MASTER!$N$5:$N$1204,$Q27))</f>
        <v>0</v>
      </c>
      <c r="J27" s="25">
        <f>IF($Q27="","",INDEX(TRANSACTIONS_MASTER!$O$5:$O$1204,$Q27))</f>
        <v>0</v>
      </c>
      <c r="K27" s="26">
        <f>IF($Q27="","",INDEX(TRANSACTIONS_MASTER!$Q$5:$Q$1204,$Q27))</f>
        <v>0</v>
      </c>
      <c r="L27" s="25" t="str">
        <f>IF($Q27="","",INDEX(TRANSACTIONS_MASTER!$P$5:$P$1204,$Q27))</f>
        <v/>
      </c>
      <c r="M27" s="25" t="str">
        <f>IF($Q27="","",INDEX(TRANSACTIONS_MASTER!$AA$5:$AA$1204,$Q27))</f>
        <v/>
      </c>
      <c r="N27" s="25" t="str">
        <f>IF($Q27="","",INDEX(TRANSACTIONS_MASTER!$R$5:$R$1204,$Q27))</f>
        <v/>
      </c>
      <c r="O27" s="28" t="str">
        <f>IF($Q27="","",INDEX(TRANSACTIONS_MASTER!$AB$5:$AB$1204,$Q27))</f>
        <v>Không được hoàn</v>
      </c>
      <c r="P27" s="55" t="str">
        <f>IF($Q27="","",INDEX(TRANSACTIONS_MASTER!$Z$5:$Z$1204,$Q27)&amp;"")</f>
        <v/>
      </c>
      <c r="Q27" s="67">
        <f>IFERROR(MATCH($C$2&amp;"|"&amp;20,TRANSACTIONS_MASTER!$AE$5:$AE$1204,0),"")</f>
        <v>26</v>
      </c>
      <c r="S27" s="67" t="str">
        <f>IFERROR(MATCH(20,CASHBACK_RULES!$S$5:$S$304,0),"")</f>
        <v/>
      </c>
      <c r="T27" s="55" t="str">
        <f>IF($S27="","",INDEX(CASHBACK_RULES!$B$5:$B$304,$S27))</f>
        <v/>
      </c>
      <c r="U27" s="55" t="str">
        <f>IF($S27="","",INDEX(CASHBACK_RULES!$C$5:$C$304,$S27)&amp;" "&amp;INDEX(CASHBACK_RULES!$D$5:$D$304,$S27))</f>
        <v/>
      </c>
      <c r="V27" s="55" t="str">
        <f>IF($S27="","",INDEX(CASHBACK_RULES!$E$5:$E$304,$S27)&amp;"")</f>
        <v/>
      </c>
      <c r="W27" s="55" t="str">
        <f>IF($S27="","",INDEX(CASHBACK_RULES!$F$5:$F$304,$S27)&amp;"")</f>
        <v/>
      </c>
      <c r="X27" s="26" t="str">
        <f>IF($S27="","",SUMIFS(TRANSACTIONS_MASTER!$Q$5:$Q$1204,TRANSACTIONS_MASTER!$D$5:$D$1204,$T27,TRANSACTIONS_MASTER!$Z$5:$Z$1204,$V27,TRANSACTIONS_MASTER!$C$5:$C$1204,$C$2))</f>
        <v/>
      </c>
      <c r="Y27" s="25" t="str">
        <f>IF($S27="","",IF(ISNUMBER(INDEX(CASHBACK_RULES!$J$5:$J$304,$S27)),INDEX(CASHBACK_RULES!$J$5:$J$304,$S27),"∞"))</f>
        <v/>
      </c>
      <c r="Z27" s="25" t="str">
        <f>IF($S27="","",IF(ISNUMBER($Y27),MAX(0,$Y27-$X27),"∞"))</f>
        <v/>
      </c>
      <c r="AA27" s="27" t="str">
        <f>IF($S27="","",IF(ISNUMBER($Y27),IF($Y27=0,0,$X27/$Y27),""))</f>
        <v/>
      </c>
    </row>
    <row r="28" ht="20" customHeight="1">
      <c r="A28" s="81">
        <f>IF($Q28="","",21)</f>
        <v>21</v>
      </c>
      <c r="B28" s="57">
        <f>IF($Q28="","",INDEX(TRANSACTIONS_MASTER!$B$5:$B$1204,$Q28))</f>
        <v>46300.0</v>
      </c>
      <c r="C28" s="55" t="str">
        <f>IF($Q28="","",INDEX(TRANSACTIONS_MASTER!$F$5:$F$1204,$Q28))</f>
        <v>Cashback Demo D</v>
      </c>
      <c r="D28" s="55" t="str">
        <f>IF($Q28="","",INDEX(TRANSACTIONS_MASTER!$E$5:$E$1204,$Q28))</f>
        <v>MB</v>
      </c>
      <c r="E28" s="55" t="str">
        <f>IF($Q28="","",INDEX(TRANSACTIONS_MASTER!$G$5:$G$1204,$Q28)&amp;"")</f>
        <v>WinMart</v>
      </c>
      <c r="F28" s="29">
        <f>IF($Q28="","",INDEX(TRANSACTIONS_MASTER!$I$5:$I$1204,$Q28))</f>
        <v>5411</v>
      </c>
      <c r="G28" s="55" t="str">
        <f>IF($Q28="","",INDEX(TRANSACTIONS_MASTER!$K$5:$K$1204,$Q28))</f>
        <v>Groceries</v>
      </c>
      <c r="H28" s="25">
        <f>IF($Q28="","",INDEX(TRANSACTIONS_MASTER!$L$5:$L$1204,$Q28))</f>
        <v>1500000</v>
      </c>
      <c r="I28" s="56">
        <f>IF($Q28="","",INDEX(TRANSACTIONS_MASTER!$N$5:$N$1204,$Q28))</f>
        <v>0.02</v>
      </c>
      <c r="J28" s="25">
        <f>IF($Q28="","",INDEX(TRANSACTIONS_MASTER!$O$5:$O$1204,$Q28))</f>
        <v>30000</v>
      </c>
      <c r="K28" s="26">
        <f>IF($Q28="","",INDEX(TRANSACTIONS_MASTER!$Q$5:$Q$1204,$Q28))</f>
        <v>30000</v>
      </c>
      <c r="L28" s="25">
        <f>IF($Q28="","",INDEX(TRANSACTIONS_MASTER!$P$5:$P$1204,$Q28))</f>
        <v>100000</v>
      </c>
      <c r="M28" s="25">
        <f>IF($Q28="","",INDEX(TRANSACTIONS_MASTER!$AA$5:$AA$1204,$Q28))</f>
        <v>600000</v>
      </c>
      <c r="N28" s="25">
        <f>IF($Q28="","",INDEX(TRANSACTIONS_MASTER!$R$5:$R$1204,$Q28))</f>
        <v>70000</v>
      </c>
      <c r="O28" s="28" t="str">
        <f>IF($Q28="","",INDEX(TRANSACTIONS_MASTER!$AB$5:$AB$1204,$Q28))</f>
        <v>Được hoàn</v>
      </c>
      <c r="P28" s="55" t="str">
        <f>IF($Q28="","",INDEX(TRANSACTIONS_MASTER!$Z$5:$Z$1204,$Q28)&amp;"")</f>
        <v>Groceries</v>
      </c>
      <c r="Q28" s="67">
        <f>IFERROR(MATCH($C$2&amp;"|"&amp;21,TRANSACTIONS_MASTER!$AE$5:$AE$1204,0),"")</f>
        <v>27</v>
      </c>
      <c r="S28" s="67" t="str">
        <f>IFERROR(MATCH(21,CASHBACK_RULES!$S$5:$S$304,0),"")</f>
        <v/>
      </c>
      <c r="T28" s="55" t="str">
        <f>IF($S28="","",INDEX(CASHBACK_RULES!$B$5:$B$304,$S28))</f>
        <v/>
      </c>
      <c r="U28" s="55" t="str">
        <f>IF($S28="","",INDEX(CASHBACK_RULES!$C$5:$C$304,$S28)&amp;" "&amp;INDEX(CASHBACK_RULES!$D$5:$D$304,$S28))</f>
        <v/>
      </c>
      <c r="V28" s="55" t="str">
        <f>IF($S28="","",INDEX(CASHBACK_RULES!$E$5:$E$304,$S28)&amp;"")</f>
        <v/>
      </c>
      <c r="W28" s="55" t="str">
        <f>IF($S28="","",INDEX(CASHBACK_RULES!$F$5:$F$304,$S28)&amp;"")</f>
        <v/>
      </c>
      <c r="X28" s="26" t="str">
        <f>IF($S28="","",SUMIFS(TRANSACTIONS_MASTER!$Q$5:$Q$1204,TRANSACTIONS_MASTER!$D$5:$D$1204,$T28,TRANSACTIONS_MASTER!$Z$5:$Z$1204,$V28,TRANSACTIONS_MASTER!$C$5:$C$1204,$C$2))</f>
        <v/>
      </c>
      <c r="Y28" s="25" t="str">
        <f>IF($S28="","",IF(ISNUMBER(INDEX(CASHBACK_RULES!$J$5:$J$304,$S28)),INDEX(CASHBACK_RULES!$J$5:$J$304,$S28),"∞"))</f>
        <v/>
      </c>
      <c r="Z28" s="25" t="str">
        <f>IF($S28="","",IF(ISNUMBER($Y28),MAX(0,$Y28-$X28),"∞"))</f>
        <v/>
      </c>
      <c r="AA28" s="27" t="str">
        <f>IF($S28="","",IF(ISNUMBER($Y28),IF($Y28=0,0,$X28/$Y28),""))</f>
        <v/>
      </c>
    </row>
    <row r="29" ht="20" customHeight="1">
      <c r="A29" s="81">
        <f>IF($Q29="","",22)</f>
        <v>22</v>
      </c>
      <c r="B29" s="57">
        <f>IF($Q29="","",INDEX(TRANSACTIONS_MASTER!$B$5:$B$1204,$Q29))</f>
        <v>46300.0</v>
      </c>
      <c r="C29" s="55" t="str">
        <f>IF($Q29="","",INDEX(TRANSACTIONS_MASTER!$F$5:$F$1204,$Q29))</f>
        <v>Cashback Demo D</v>
      </c>
      <c r="D29" s="55" t="str">
        <f>IF($Q29="","",INDEX(TRANSACTIONS_MASTER!$E$5:$E$1204,$Q29))</f>
        <v>MB</v>
      </c>
      <c r="E29" s="55" t="str">
        <f>IF($Q29="","",INDEX(TRANSACTIONS_MASTER!$G$5:$G$1204,$Q29)&amp;"")</f>
        <v>Petrolimex</v>
      </c>
      <c r="F29" s="29">
        <f>IF($Q29="","",INDEX(TRANSACTIONS_MASTER!$I$5:$I$1204,$Q29))</f>
        <v>5541</v>
      </c>
      <c r="G29" s="55" t="str">
        <f>IF($Q29="","",INDEX(TRANSACTIONS_MASTER!$K$5:$K$1204,$Q29))</f>
        <v>Fuel</v>
      </c>
      <c r="H29" s="25">
        <f>IF($Q29="","",INDEX(TRANSACTIONS_MASTER!$L$5:$L$1204,$Q29))</f>
        <v>2000000</v>
      </c>
      <c r="I29" s="56">
        <f>IF($Q29="","",INDEX(TRANSACTIONS_MASTER!$N$5:$N$1204,$Q29))</f>
        <v>0.03</v>
      </c>
      <c r="J29" s="25">
        <f>IF($Q29="","",INDEX(TRANSACTIONS_MASTER!$O$5:$O$1204,$Q29))</f>
        <v>60000</v>
      </c>
      <c r="K29" s="26">
        <f>IF($Q29="","",INDEX(TRANSACTIONS_MASTER!$Q$5:$Q$1204,$Q29))</f>
        <v>60000</v>
      </c>
      <c r="L29" s="25">
        <f>IF($Q29="","",INDEX(TRANSACTIONS_MASTER!$P$5:$P$1204,$Q29))</f>
        <v>200000</v>
      </c>
      <c r="M29" s="25">
        <f>IF($Q29="","",INDEX(TRANSACTIONS_MASTER!$AA$5:$AA$1204,$Q29))</f>
        <v>600000</v>
      </c>
      <c r="N29" s="25">
        <f>IF($Q29="","",INDEX(TRANSACTIONS_MASTER!$R$5:$R$1204,$Q29))</f>
        <v>110000</v>
      </c>
      <c r="O29" s="28" t="str">
        <f>IF($Q29="","",INDEX(TRANSACTIONS_MASTER!$AB$5:$AB$1204,$Q29))</f>
        <v>Được hoàn</v>
      </c>
      <c r="P29" s="55" t="str">
        <f>IF($Q29="","",INDEX(TRANSACTIONS_MASTER!$Z$5:$Z$1204,$Q29)&amp;"")</f>
        <v>Fuel</v>
      </c>
      <c r="Q29" s="67">
        <f>IFERROR(MATCH($C$2&amp;"|"&amp;22,TRANSACTIONS_MASTER!$AE$5:$AE$1204,0),"")</f>
        <v>28</v>
      </c>
      <c r="S29" s="67" t="str">
        <f>IFERROR(MATCH(22,CASHBACK_RULES!$S$5:$S$304,0),"")</f>
        <v/>
      </c>
      <c r="T29" s="55" t="str">
        <f>IF($S29="","",INDEX(CASHBACK_RULES!$B$5:$B$304,$S29))</f>
        <v/>
      </c>
      <c r="U29" s="55" t="str">
        <f>IF($S29="","",INDEX(CASHBACK_RULES!$C$5:$C$304,$S29)&amp;" "&amp;INDEX(CASHBACK_RULES!$D$5:$D$304,$S29))</f>
        <v/>
      </c>
      <c r="V29" s="55" t="str">
        <f>IF($S29="","",INDEX(CASHBACK_RULES!$E$5:$E$304,$S29)&amp;"")</f>
        <v/>
      </c>
      <c r="W29" s="55" t="str">
        <f>IF($S29="","",INDEX(CASHBACK_RULES!$F$5:$F$304,$S29)&amp;"")</f>
        <v/>
      </c>
      <c r="X29" s="26" t="str">
        <f>IF($S29="","",SUMIFS(TRANSACTIONS_MASTER!$Q$5:$Q$1204,TRANSACTIONS_MASTER!$D$5:$D$1204,$T29,TRANSACTIONS_MASTER!$Z$5:$Z$1204,$V29,TRANSACTIONS_MASTER!$C$5:$C$1204,$C$2))</f>
        <v/>
      </c>
      <c r="Y29" s="25" t="str">
        <f>IF($S29="","",IF(ISNUMBER(INDEX(CASHBACK_RULES!$J$5:$J$304,$S29)),INDEX(CASHBACK_RULES!$J$5:$J$304,$S29),"∞"))</f>
        <v/>
      </c>
      <c r="Z29" s="25" t="str">
        <f>IF($S29="","",IF(ISNUMBER($Y29),MAX(0,$Y29-$X29),"∞"))</f>
        <v/>
      </c>
      <c r="AA29" s="27" t="str">
        <f>IF($S29="","",IF(ISNUMBER($Y29),IF($Y29=0,0,$X29/$Y29),""))</f>
        <v/>
      </c>
    </row>
    <row r="30" ht="20" customHeight="1">
      <c r="A30" s="81">
        <f>IF($Q30="","",23)</f>
        <v>23</v>
      </c>
      <c r="B30" s="57">
        <f>IF($Q30="","",INDEX(TRANSACTIONS_MASTER!$B$5:$B$1204,$Q30))</f>
        <v>46300.0</v>
      </c>
      <c r="C30" s="55" t="str">
        <f>IF($Q30="","",INDEX(TRANSACTIONS_MASTER!$F$5:$F$1204,$Q30))</f>
        <v>Demo E (không cashback)</v>
      </c>
      <c r="D30" s="55" t="str">
        <f>IF($Q30="","",INDEX(TRANSACTIONS_MASTER!$E$5:$E$1204,$Q30))</f>
        <v>ACB</v>
      </c>
      <c r="E30" s="55" t="str">
        <f>IF($Q30="","",INDEX(TRANSACTIONS_MASTER!$G$5:$G$1204,$Q30)&amp;"")</f>
        <v>Shopee</v>
      </c>
      <c r="F30" s="29">
        <f>IF($Q30="","",INDEX(TRANSACTIONS_MASTER!$I$5:$I$1204,$Q30))</f>
        <v>5399</v>
      </c>
      <c r="G30" s="55" t="str">
        <f>IF($Q30="","",INDEX(TRANSACTIONS_MASTER!$K$5:$K$1204,$Q30))</f>
        <v>Shopping</v>
      </c>
      <c r="H30" s="25">
        <f>IF($Q30="","",INDEX(TRANSACTIONS_MASTER!$L$5:$L$1204,$Q30))</f>
        <v>1000000</v>
      </c>
      <c r="I30" s="56">
        <f>IF($Q30="","",INDEX(TRANSACTIONS_MASTER!$N$5:$N$1204,$Q30))</f>
        <v>0</v>
      </c>
      <c r="J30" s="25">
        <f>IF($Q30="","",INDEX(TRANSACTIONS_MASTER!$O$5:$O$1204,$Q30))</f>
        <v>0</v>
      </c>
      <c r="K30" s="26">
        <f>IF($Q30="","",INDEX(TRANSACTIONS_MASTER!$Q$5:$Q$1204,$Q30))</f>
        <v>0</v>
      </c>
      <c r="L30" s="25" t="str">
        <f>IF($Q30="","",INDEX(TRANSACTIONS_MASTER!$P$5:$P$1204,$Q30))</f>
        <v/>
      </c>
      <c r="M30" s="25" t="str">
        <f>IF($Q30="","",INDEX(TRANSACTIONS_MASTER!$AA$5:$AA$1204,$Q30))</f>
        <v/>
      </c>
      <c r="N30" s="25" t="str">
        <f>IF($Q30="","",INDEX(TRANSACTIONS_MASTER!$R$5:$R$1204,$Q30))</f>
        <v/>
      </c>
      <c r="O30" s="28" t="str">
        <f>IF($Q30="","",INDEX(TRANSACTIONS_MASTER!$AB$5:$AB$1204,$Q30))</f>
        <v>Không được hoàn</v>
      </c>
      <c r="P30" s="55" t="str">
        <f>IF($Q30="","",INDEX(TRANSACTIONS_MASTER!$Z$5:$Z$1204,$Q30)&amp;"")</f>
        <v/>
      </c>
      <c r="Q30" s="67">
        <f>IFERROR(MATCH($C$2&amp;"|"&amp;23,TRANSACTIONS_MASTER!$AE$5:$AE$1204,0),"")</f>
        <v>29</v>
      </c>
      <c r="S30" s="67" t="str">
        <f>IFERROR(MATCH(23,CASHBACK_RULES!$S$5:$S$304,0),"")</f>
        <v/>
      </c>
      <c r="T30" s="55" t="str">
        <f>IF($S30="","",INDEX(CASHBACK_RULES!$B$5:$B$304,$S30))</f>
        <v/>
      </c>
      <c r="U30" s="55" t="str">
        <f>IF($S30="","",INDEX(CASHBACK_RULES!$C$5:$C$304,$S30)&amp;" "&amp;INDEX(CASHBACK_RULES!$D$5:$D$304,$S30))</f>
        <v/>
      </c>
      <c r="V30" s="55" t="str">
        <f>IF($S30="","",INDEX(CASHBACK_RULES!$E$5:$E$304,$S30)&amp;"")</f>
        <v/>
      </c>
      <c r="W30" s="55" t="str">
        <f>IF($S30="","",INDEX(CASHBACK_RULES!$F$5:$F$304,$S30)&amp;"")</f>
        <v/>
      </c>
      <c r="X30" s="26" t="str">
        <f>IF($S30="","",SUMIFS(TRANSACTIONS_MASTER!$Q$5:$Q$1204,TRANSACTIONS_MASTER!$D$5:$D$1204,$T30,TRANSACTIONS_MASTER!$Z$5:$Z$1204,$V30,TRANSACTIONS_MASTER!$C$5:$C$1204,$C$2))</f>
        <v/>
      </c>
      <c r="Y30" s="25" t="str">
        <f>IF($S30="","",IF(ISNUMBER(INDEX(CASHBACK_RULES!$J$5:$J$304,$S30)),INDEX(CASHBACK_RULES!$J$5:$J$304,$S30),"∞"))</f>
        <v/>
      </c>
      <c r="Z30" s="25" t="str">
        <f>IF($S30="","",IF(ISNUMBER($Y30),MAX(0,$Y30-$X30),"∞"))</f>
        <v/>
      </c>
      <c r="AA30" s="27" t="str">
        <f>IF($S30="","",IF(ISNUMBER($Y30),IF($Y30=0,0,$X30/$Y30),""))</f>
        <v/>
      </c>
    </row>
    <row r="31" ht="20" customHeight="1">
      <c r="A31" s="81">
        <f>IF($Q31="","",24)</f>
        <v>24</v>
      </c>
      <c r="B31" s="57">
        <f>IF($Q31="","",INDEX(TRANSACTIONS_MASTER!$B$5:$B$1204,$Q31))</f>
        <v>46300.0</v>
      </c>
      <c r="C31" s="55" t="str">
        <f>IF($Q31="","",INDEX(TRANSACTIONS_MASTER!$F$5:$F$1204,$Q31))</f>
        <v>Cashback Demo A</v>
      </c>
      <c r="D31" s="55" t="str">
        <f>IF($Q31="","",INDEX(TRANSACTIONS_MASTER!$E$5:$E$1204,$Q31))</f>
        <v>VIB</v>
      </c>
      <c r="E31" s="55" t="str">
        <f>IF($Q31="","",INDEX(TRANSACTIONS_MASTER!$G$5:$G$1204,$Q31)&amp;"")</f>
        <v>Tiki</v>
      </c>
      <c r="F31" s="29">
        <f>IF($Q31="","",INDEX(TRANSACTIONS_MASTER!$I$5:$I$1204,$Q31))</f>
        <v>5311</v>
      </c>
      <c r="G31" s="55" t="str">
        <f>IF($Q31="","",INDEX(TRANSACTIONS_MASTER!$K$5:$K$1204,$Q31))</f>
        <v>Shopping</v>
      </c>
      <c r="H31" s="25">
        <f>IF($Q31="","",INDEX(TRANSACTIONS_MASTER!$L$5:$L$1204,$Q31))</f>
        <v>1000000</v>
      </c>
      <c r="I31" s="56">
        <f>IF($Q31="","",INDEX(TRANSACTIONS_MASTER!$N$5:$N$1204,$Q31))</f>
        <v>0.1</v>
      </c>
      <c r="J31" s="25">
        <f>IF($Q31="","",INDEX(TRANSACTIONS_MASTER!$O$5:$O$1204,$Q31))</f>
        <v>100000</v>
      </c>
      <c r="K31" s="26">
        <f>IF($Q31="","",INDEX(TRANSACTIONS_MASTER!$Q$5:$Q$1204,$Q31))</f>
        <v>0</v>
      </c>
      <c r="L31" s="25">
        <f>IF($Q31="","",INDEX(TRANSACTIONS_MASTER!$P$5:$P$1204,$Q31))</f>
        <v>500000</v>
      </c>
      <c r="M31" s="25">
        <f>IF($Q31="","",INDEX(TRANSACTIONS_MASTER!$AA$5:$AA$1204,$Q31))</f>
        <v>1000000</v>
      </c>
      <c r="N31" s="25">
        <f>IF($Q31="","",INDEX(TRANSACTIONS_MASTER!$R$5:$R$1204,$Q31))</f>
        <v>0</v>
      </c>
      <c r="O31" s="28" t="str">
        <f>IF($Q31="","",INDEX(TRANSACTIONS_MASTER!$AB$5:$AB$1204,$Q31))</f>
        <v>Đã đạt cap</v>
      </c>
      <c r="P31" s="55" t="str">
        <f>IF($Q31="","",INDEX(TRANSACTIONS_MASTER!$Z$5:$Z$1204,$Q31)&amp;"")</f>
        <v>Group 2</v>
      </c>
      <c r="Q31" s="67">
        <f>IFERROR(MATCH($C$2&amp;"|"&amp;24,TRANSACTIONS_MASTER!$AE$5:$AE$1204,0),"")</f>
        <v>30</v>
      </c>
      <c r="S31" s="67" t="str">
        <f>IFERROR(MATCH(24,CASHBACK_RULES!$S$5:$S$304,0),"")</f>
        <v/>
      </c>
      <c r="T31" s="55" t="str">
        <f>IF($S31="","",INDEX(CASHBACK_RULES!$B$5:$B$304,$S31))</f>
        <v/>
      </c>
      <c r="U31" s="55" t="str">
        <f>IF($S31="","",INDEX(CASHBACK_RULES!$C$5:$C$304,$S31)&amp;" "&amp;INDEX(CASHBACK_RULES!$D$5:$D$304,$S31))</f>
        <v/>
      </c>
      <c r="V31" s="55" t="str">
        <f>IF($S31="","",INDEX(CASHBACK_RULES!$E$5:$E$304,$S31)&amp;"")</f>
        <v/>
      </c>
      <c r="W31" s="55" t="str">
        <f>IF($S31="","",INDEX(CASHBACK_RULES!$F$5:$F$304,$S31)&amp;"")</f>
        <v/>
      </c>
      <c r="X31" s="26" t="str">
        <f>IF($S31="","",SUMIFS(TRANSACTIONS_MASTER!$Q$5:$Q$1204,TRANSACTIONS_MASTER!$D$5:$D$1204,$T31,TRANSACTIONS_MASTER!$Z$5:$Z$1204,$V31,TRANSACTIONS_MASTER!$C$5:$C$1204,$C$2))</f>
        <v/>
      </c>
      <c r="Y31" s="25" t="str">
        <f>IF($S31="","",IF(ISNUMBER(INDEX(CASHBACK_RULES!$J$5:$J$304,$S31)),INDEX(CASHBACK_RULES!$J$5:$J$304,$S31),"∞"))</f>
        <v/>
      </c>
      <c r="Z31" s="25" t="str">
        <f>IF($S31="","",IF(ISNUMBER($Y31),MAX(0,$Y31-$X31),"∞"))</f>
        <v/>
      </c>
      <c r="AA31" s="27" t="str">
        <f>IF($S31="","",IF(ISNUMBER($Y31),IF($Y31=0,0,$X31/$Y31),""))</f>
        <v/>
      </c>
    </row>
    <row r="32" ht="20" customHeight="1">
      <c r="A32" s="81" t="str">
        <f>IF($Q32="","",25)</f>
        <v/>
      </c>
      <c r="B32" s="57" t="str">
        <f>IF($Q32="","",INDEX(TRANSACTIONS_MASTER!$B$5:$B$1204,$Q32))</f>
        <v/>
      </c>
      <c r="C32" s="55" t="str">
        <f>IF($Q32="","",INDEX(TRANSACTIONS_MASTER!$F$5:$F$1204,$Q32))</f>
        <v/>
      </c>
      <c r="D32" s="55" t="str">
        <f>IF($Q32="","",INDEX(TRANSACTIONS_MASTER!$E$5:$E$1204,$Q32))</f>
        <v/>
      </c>
      <c r="E32" s="55" t="str">
        <f>IF($Q32="","",INDEX(TRANSACTIONS_MASTER!$G$5:$G$1204,$Q32)&amp;"")</f>
        <v/>
      </c>
      <c r="F32" s="29" t="str">
        <f>IF($Q32="","",INDEX(TRANSACTIONS_MASTER!$I$5:$I$1204,$Q32))</f>
        <v/>
      </c>
      <c r="G32" s="55" t="str">
        <f>IF($Q32="","",INDEX(TRANSACTIONS_MASTER!$K$5:$K$1204,$Q32))</f>
        <v/>
      </c>
      <c r="H32" s="25" t="str">
        <f>IF($Q32="","",INDEX(TRANSACTIONS_MASTER!$L$5:$L$1204,$Q32))</f>
        <v/>
      </c>
      <c r="I32" s="56" t="str">
        <f>IF($Q32="","",INDEX(TRANSACTIONS_MASTER!$N$5:$N$1204,$Q32))</f>
        <v/>
      </c>
      <c r="J32" s="25" t="str">
        <f>IF($Q32="","",INDEX(TRANSACTIONS_MASTER!$O$5:$O$1204,$Q32))</f>
        <v/>
      </c>
      <c r="K32" s="26" t="str">
        <f>IF($Q32="","",INDEX(TRANSACTIONS_MASTER!$Q$5:$Q$1204,$Q32))</f>
        <v/>
      </c>
      <c r="L32" s="25" t="str">
        <f>IF($Q32="","",INDEX(TRANSACTIONS_MASTER!$P$5:$P$1204,$Q32))</f>
        <v/>
      </c>
      <c r="M32" s="25" t="str">
        <f>IF($Q32="","",INDEX(TRANSACTIONS_MASTER!$AA$5:$AA$1204,$Q32))</f>
        <v/>
      </c>
      <c r="N32" s="25" t="str">
        <f>IF($Q32="","",INDEX(TRANSACTIONS_MASTER!$R$5:$R$1204,$Q32))</f>
        <v/>
      </c>
      <c r="O32" s="28" t="str">
        <f>IF($Q32="","",INDEX(TRANSACTIONS_MASTER!$AB$5:$AB$1204,$Q32))</f>
        <v/>
      </c>
      <c r="P32" s="55" t="str">
        <f>IF($Q32="","",INDEX(TRANSACTIONS_MASTER!$Z$5:$Z$1204,$Q32)&amp;"")</f>
        <v/>
      </c>
      <c r="Q32" s="67" t="str">
        <f>IFERROR(MATCH($C$2&amp;"|"&amp;25,TRANSACTIONS_MASTER!$AE$5:$AE$1204,0),"")</f>
        <v/>
      </c>
      <c r="S32" s="67" t="str">
        <f>IFERROR(MATCH(25,CASHBACK_RULES!$S$5:$S$304,0),"")</f>
        <v/>
      </c>
      <c r="T32" s="55" t="str">
        <f>IF($S32="","",INDEX(CASHBACK_RULES!$B$5:$B$304,$S32))</f>
        <v/>
      </c>
      <c r="U32" s="55" t="str">
        <f>IF($S32="","",INDEX(CASHBACK_RULES!$C$5:$C$304,$S32)&amp;" "&amp;INDEX(CASHBACK_RULES!$D$5:$D$304,$S32))</f>
        <v/>
      </c>
      <c r="V32" s="55" t="str">
        <f>IF($S32="","",INDEX(CASHBACK_RULES!$E$5:$E$304,$S32)&amp;"")</f>
        <v/>
      </c>
      <c r="W32" s="55" t="str">
        <f>IF($S32="","",INDEX(CASHBACK_RULES!$F$5:$F$304,$S32)&amp;"")</f>
        <v/>
      </c>
      <c r="X32" s="26" t="str">
        <f>IF($S32="","",SUMIFS(TRANSACTIONS_MASTER!$Q$5:$Q$1204,TRANSACTIONS_MASTER!$D$5:$D$1204,$T32,TRANSACTIONS_MASTER!$Z$5:$Z$1204,$V32,TRANSACTIONS_MASTER!$C$5:$C$1204,$C$2))</f>
        <v/>
      </c>
      <c r="Y32" s="25" t="str">
        <f>IF($S32="","",IF(ISNUMBER(INDEX(CASHBACK_RULES!$J$5:$J$304,$S32)),INDEX(CASHBACK_RULES!$J$5:$J$304,$S32),"∞"))</f>
        <v/>
      </c>
      <c r="Z32" s="25" t="str">
        <f>IF($S32="","",IF(ISNUMBER($Y32),MAX(0,$Y32-$X32),"∞"))</f>
        <v/>
      </c>
      <c r="AA32" s="27" t="str">
        <f>IF($S32="","",IF(ISNUMBER($Y32),IF($Y32=0,0,$X32/$Y32),""))</f>
        <v/>
      </c>
    </row>
    <row r="33" ht="20" customHeight="1">
      <c r="A33" s="81" t="str">
        <f>IF($Q33="","",26)</f>
        <v/>
      </c>
      <c r="B33" s="57" t="str">
        <f>IF($Q33="","",INDEX(TRANSACTIONS_MASTER!$B$5:$B$1204,$Q33))</f>
        <v/>
      </c>
      <c r="C33" s="55" t="str">
        <f>IF($Q33="","",INDEX(TRANSACTIONS_MASTER!$F$5:$F$1204,$Q33))</f>
        <v/>
      </c>
      <c r="D33" s="55" t="str">
        <f>IF($Q33="","",INDEX(TRANSACTIONS_MASTER!$E$5:$E$1204,$Q33))</f>
        <v/>
      </c>
      <c r="E33" s="55" t="str">
        <f>IF($Q33="","",INDEX(TRANSACTIONS_MASTER!$G$5:$G$1204,$Q33)&amp;"")</f>
        <v/>
      </c>
      <c r="F33" s="29" t="str">
        <f>IF($Q33="","",INDEX(TRANSACTIONS_MASTER!$I$5:$I$1204,$Q33))</f>
        <v/>
      </c>
      <c r="G33" s="55" t="str">
        <f>IF($Q33="","",INDEX(TRANSACTIONS_MASTER!$K$5:$K$1204,$Q33))</f>
        <v/>
      </c>
      <c r="H33" s="25" t="str">
        <f>IF($Q33="","",INDEX(TRANSACTIONS_MASTER!$L$5:$L$1204,$Q33))</f>
        <v/>
      </c>
      <c r="I33" s="56" t="str">
        <f>IF($Q33="","",INDEX(TRANSACTIONS_MASTER!$N$5:$N$1204,$Q33))</f>
        <v/>
      </c>
      <c r="J33" s="25" t="str">
        <f>IF($Q33="","",INDEX(TRANSACTIONS_MASTER!$O$5:$O$1204,$Q33))</f>
        <v/>
      </c>
      <c r="K33" s="26" t="str">
        <f>IF($Q33="","",INDEX(TRANSACTIONS_MASTER!$Q$5:$Q$1204,$Q33))</f>
        <v/>
      </c>
      <c r="L33" s="25" t="str">
        <f>IF($Q33="","",INDEX(TRANSACTIONS_MASTER!$P$5:$P$1204,$Q33))</f>
        <v/>
      </c>
      <c r="M33" s="25" t="str">
        <f>IF($Q33="","",INDEX(TRANSACTIONS_MASTER!$AA$5:$AA$1204,$Q33))</f>
        <v/>
      </c>
      <c r="N33" s="25" t="str">
        <f>IF($Q33="","",INDEX(TRANSACTIONS_MASTER!$R$5:$R$1204,$Q33))</f>
        <v/>
      </c>
      <c r="O33" s="28" t="str">
        <f>IF($Q33="","",INDEX(TRANSACTIONS_MASTER!$AB$5:$AB$1204,$Q33))</f>
        <v/>
      </c>
      <c r="P33" s="55" t="str">
        <f>IF($Q33="","",INDEX(TRANSACTIONS_MASTER!$Z$5:$Z$1204,$Q33)&amp;"")</f>
        <v/>
      </c>
      <c r="Q33" s="67" t="str">
        <f>IFERROR(MATCH($C$2&amp;"|"&amp;26,TRANSACTIONS_MASTER!$AE$5:$AE$1204,0),"")</f>
        <v/>
      </c>
      <c r="S33" s="67" t="str">
        <f>IFERROR(MATCH(26,CASHBACK_RULES!$S$5:$S$304,0),"")</f>
        <v/>
      </c>
      <c r="T33" s="55" t="str">
        <f>IF($S33="","",INDEX(CASHBACK_RULES!$B$5:$B$304,$S33))</f>
        <v/>
      </c>
      <c r="U33" s="55" t="str">
        <f>IF($S33="","",INDEX(CASHBACK_RULES!$C$5:$C$304,$S33)&amp;" "&amp;INDEX(CASHBACK_RULES!$D$5:$D$304,$S33))</f>
        <v/>
      </c>
      <c r="V33" s="55" t="str">
        <f>IF($S33="","",INDEX(CASHBACK_RULES!$E$5:$E$304,$S33)&amp;"")</f>
        <v/>
      </c>
      <c r="W33" s="55" t="str">
        <f>IF($S33="","",INDEX(CASHBACK_RULES!$F$5:$F$304,$S33)&amp;"")</f>
        <v/>
      </c>
      <c r="X33" s="26" t="str">
        <f>IF($S33="","",SUMIFS(TRANSACTIONS_MASTER!$Q$5:$Q$1204,TRANSACTIONS_MASTER!$D$5:$D$1204,$T33,TRANSACTIONS_MASTER!$Z$5:$Z$1204,$V33,TRANSACTIONS_MASTER!$C$5:$C$1204,$C$2))</f>
        <v/>
      </c>
      <c r="Y33" s="25" t="str">
        <f>IF($S33="","",IF(ISNUMBER(INDEX(CASHBACK_RULES!$J$5:$J$304,$S33)),INDEX(CASHBACK_RULES!$J$5:$J$304,$S33),"∞"))</f>
        <v/>
      </c>
      <c r="Z33" s="25" t="str">
        <f>IF($S33="","",IF(ISNUMBER($Y33),MAX(0,$Y33-$X33),"∞"))</f>
        <v/>
      </c>
      <c r="AA33" s="27" t="str">
        <f>IF($S33="","",IF(ISNUMBER($Y33),IF($Y33=0,0,$X33/$Y33),""))</f>
        <v/>
      </c>
    </row>
    <row r="34" ht="20" customHeight="1">
      <c r="A34" s="81" t="str">
        <f>IF($Q34="","",27)</f>
        <v/>
      </c>
      <c r="B34" s="57" t="str">
        <f>IF($Q34="","",INDEX(TRANSACTIONS_MASTER!$B$5:$B$1204,$Q34))</f>
        <v/>
      </c>
      <c r="C34" s="55" t="str">
        <f>IF($Q34="","",INDEX(TRANSACTIONS_MASTER!$F$5:$F$1204,$Q34))</f>
        <v/>
      </c>
      <c r="D34" s="55" t="str">
        <f>IF($Q34="","",INDEX(TRANSACTIONS_MASTER!$E$5:$E$1204,$Q34))</f>
        <v/>
      </c>
      <c r="E34" s="55" t="str">
        <f>IF($Q34="","",INDEX(TRANSACTIONS_MASTER!$G$5:$G$1204,$Q34)&amp;"")</f>
        <v/>
      </c>
      <c r="F34" s="29" t="str">
        <f>IF($Q34="","",INDEX(TRANSACTIONS_MASTER!$I$5:$I$1204,$Q34))</f>
        <v/>
      </c>
      <c r="G34" s="55" t="str">
        <f>IF($Q34="","",INDEX(TRANSACTIONS_MASTER!$K$5:$K$1204,$Q34))</f>
        <v/>
      </c>
      <c r="H34" s="25" t="str">
        <f>IF($Q34="","",INDEX(TRANSACTIONS_MASTER!$L$5:$L$1204,$Q34))</f>
        <v/>
      </c>
      <c r="I34" s="56" t="str">
        <f>IF($Q34="","",INDEX(TRANSACTIONS_MASTER!$N$5:$N$1204,$Q34))</f>
        <v/>
      </c>
      <c r="J34" s="25" t="str">
        <f>IF($Q34="","",INDEX(TRANSACTIONS_MASTER!$O$5:$O$1204,$Q34))</f>
        <v/>
      </c>
      <c r="K34" s="26" t="str">
        <f>IF($Q34="","",INDEX(TRANSACTIONS_MASTER!$Q$5:$Q$1204,$Q34))</f>
        <v/>
      </c>
      <c r="L34" s="25" t="str">
        <f>IF($Q34="","",INDEX(TRANSACTIONS_MASTER!$P$5:$P$1204,$Q34))</f>
        <v/>
      </c>
      <c r="M34" s="25" t="str">
        <f>IF($Q34="","",INDEX(TRANSACTIONS_MASTER!$AA$5:$AA$1204,$Q34))</f>
        <v/>
      </c>
      <c r="N34" s="25" t="str">
        <f>IF($Q34="","",INDEX(TRANSACTIONS_MASTER!$R$5:$R$1204,$Q34))</f>
        <v/>
      </c>
      <c r="O34" s="28" t="str">
        <f>IF($Q34="","",INDEX(TRANSACTIONS_MASTER!$AB$5:$AB$1204,$Q34))</f>
        <v/>
      </c>
      <c r="P34" s="55" t="str">
        <f>IF($Q34="","",INDEX(TRANSACTIONS_MASTER!$Z$5:$Z$1204,$Q34)&amp;"")</f>
        <v/>
      </c>
      <c r="Q34" s="67" t="str">
        <f>IFERROR(MATCH($C$2&amp;"|"&amp;27,TRANSACTIONS_MASTER!$AE$5:$AE$1204,0),"")</f>
        <v/>
      </c>
      <c r="S34" s="67" t="str">
        <f>IFERROR(MATCH(27,CASHBACK_RULES!$S$5:$S$304,0),"")</f>
        <v/>
      </c>
      <c r="T34" s="55" t="str">
        <f>IF($S34="","",INDEX(CASHBACK_RULES!$B$5:$B$304,$S34))</f>
        <v/>
      </c>
      <c r="U34" s="55" t="str">
        <f>IF($S34="","",INDEX(CASHBACK_RULES!$C$5:$C$304,$S34)&amp;" "&amp;INDEX(CASHBACK_RULES!$D$5:$D$304,$S34))</f>
        <v/>
      </c>
      <c r="V34" s="55" t="str">
        <f>IF($S34="","",INDEX(CASHBACK_RULES!$E$5:$E$304,$S34)&amp;"")</f>
        <v/>
      </c>
      <c r="W34" s="55" t="str">
        <f>IF($S34="","",INDEX(CASHBACK_RULES!$F$5:$F$304,$S34)&amp;"")</f>
        <v/>
      </c>
      <c r="X34" s="26" t="str">
        <f>IF($S34="","",SUMIFS(TRANSACTIONS_MASTER!$Q$5:$Q$1204,TRANSACTIONS_MASTER!$D$5:$D$1204,$T34,TRANSACTIONS_MASTER!$Z$5:$Z$1204,$V34,TRANSACTIONS_MASTER!$C$5:$C$1204,$C$2))</f>
        <v/>
      </c>
      <c r="Y34" s="25" t="str">
        <f>IF($S34="","",IF(ISNUMBER(INDEX(CASHBACK_RULES!$J$5:$J$304,$S34)),INDEX(CASHBACK_RULES!$J$5:$J$304,$S34),"∞"))</f>
        <v/>
      </c>
      <c r="Z34" s="25" t="str">
        <f>IF($S34="","",IF(ISNUMBER($Y34),MAX(0,$Y34-$X34),"∞"))</f>
        <v/>
      </c>
      <c r="AA34" s="27" t="str">
        <f>IF($S34="","",IF(ISNUMBER($Y34),IF($Y34=0,0,$X34/$Y34),""))</f>
        <v/>
      </c>
    </row>
    <row r="35" ht="20" customHeight="1">
      <c r="A35" s="81" t="str">
        <f>IF($Q35="","",28)</f>
        <v/>
      </c>
      <c r="B35" s="57" t="str">
        <f>IF($Q35="","",INDEX(TRANSACTIONS_MASTER!$B$5:$B$1204,$Q35))</f>
        <v/>
      </c>
      <c r="C35" s="55" t="str">
        <f>IF($Q35="","",INDEX(TRANSACTIONS_MASTER!$F$5:$F$1204,$Q35))</f>
        <v/>
      </c>
      <c r="D35" s="55" t="str">
        <f>IF($Q35="","",INDEX(TRANSACTIONS_MASTER!$E$5:$E$1204,$Q35))</f>
        <v/>
      </c>
      <c r="E35" s="55" t="str">
        <f>IF($Q35="","",INDEX(TRANSACTIONS_MASTER!$G$5:$G$1204,$Q35)&amp;"")</f>
        <v/>
      </c>
      <c r="F35" s="29" t="str">
        <f>IF($Q35="","",INDEX(TRANSACTIONS_MASTER!$I$5:$I$1204,$Q35))</f>
        <v/>
      </c>
      <c r="G35" s="55" t="str">
        <f>IF($Q35="","",INDEX(TRANSACTIONS_MASTER!$K$5:$K$1204,$Q35))</f>
        <v/>
      </c>
      <c r="H35" s="25" t="str">
        <f>IF($Q35="","",INDEX(TRANSACTIONS_MASTER!$L$5:$L$1204,$Q35))</f>
        <v/>
      </c>
      <c r="I35" s="56" t="str">
        <f>IF($Q35="","",INDEX(TRANSACTIONS_MASTER!$N$5:$N$1204,$Q35))</f>
        <v/>
      </c>
      <c r="J35" s="25" t="str">
        <f>IF($Q35="","",INDEX(TRANSACTIONS_MASTER!$O$5:$O$1204,$Q35))</f>
        <v/>
      </c>
      <c r="K35" s="26" t="str">
        <f>IF($Q35="","",INDEX(TRANSACTIONS_MASTER!$Q$5:$Q$1204,$Q35))</f>
        <v/>
      </c>
      <c r="L35" s="25" t="str">
        <f>IF($Q35="","",INDEX(TRANSACTIONS_MASTER!$P$5:$P$1204,$Q35))</f>
        <v/>
      </c>
      <c r="M35" s="25" t="str">
        <f>IF($Q35="","",INDEX(TRANSACTIONS_MASTER!$AA$5:$AA$1204,$Q35))</f>
        <v/>
      </c>
      <c r="N35" s="25" t="str">
        <f>IF($Q35="","",INDEX(TRANSACTIONS_MASTER!$R$5:$R$1204,$Q35))</f>
        <v/>
      </c>
      <c r="O35" s="28" t="str">
        <f>IF($Q35="","",INDEX(TRANSACTIONS_MASTER!$AB$5:$AB$1204,$Q35))</f>
        <v/>
      </c>
      <c r="P35" s="55" t="str">
        <f>IF($Q35="","",INDEX(TRANSACTIONS_MASTER!$Z$5:$Z$1204,$Q35)&amp;"")</f>
        <v/>
      </c>
      <c r="Q35" s="67" t="str">
        <f>IFERROR(MATCH($C$2&amp;"|"&amp;28,TRANSACTIONS_MASTER!$AE$5:$AE$1204,0),"")</f>
        <v/>
      </c>
      <c r="S35" s="67" t="str">
        <f>IFERROR(MATCH(28,CASHBACK_RULES!$S$5:$S$304,0),"")</f>
        <v/>
      </c>
      <c r="T35" s="55" t="str">
        <f>IF($S35="","",INDEX(CASHBACK_RULES!$B$5:$B$304,$S35))</f>
        <v/>
      </c>
      <c r="U35" s="55" t="str">
        <f>IF($S35="","",INDEX(CASHBACK_RULES!$C$5:$C$304,$S35)&amp;" "&amp;INDEX(CASHBACK_RULES!$D$5:$D$304,$S35))</f>
        <v/>
      </c>
      <c r="V35" s="55" t="str">
        <f>IF($S35="","",INDEX(CASHBACK_RULES!$E$5:$E$304,$S35)&amp;"")</f>
        <v/>
      </c>
      <c r="W35" s="55" t="str">
        <f>IF($S35="","",INDEX(CASHBACK_RULES!$F$5:$F$304,$S35)&amp;"")</f>
        <v/>
      </c>
      <c r="X35" s="26" t="str">
        <f>IF($S35="","",SUMIFS(TRANSACTIONS_MASTER!$Q$5:$Q$1204,TRANSACTIONS_MASTER!$D$5:$D$1204,$T35,TRANSACTIONS_MASTER!$Z$5:$Z$1204,$V35,TRANSACTIONS_MASTER!$C$5:$C$1204,$C$2))</f>
        <v/>
      </c>
      <c r="Y35" s="25" t="str">
        <f>IF($S35="","",IF(ISNUMBER(INDEX(CASHBACK_RULES!$J$5:$J$304,$S35)),INDEX(CASHBACK_RULES!$J$5:$J$304,$S35),"∞"))</f>
        <v/>
      </c>
      <c r="Z35" s="25" t="str">
        <f>IF($S35="","",IF(ISNUMBER($Y35),MAX(0,$Y35-$X35),"∞"))</f>
        <v/>
      </c>
      <c r="AA35" s="27" t="str">
        <f>IF($S35="","",IF(ISNUMBER($Y35),IF($Y35=0,0,$X35/$Y35),""))</f>
        <v/>
      </c>
    </row>
    <row r="36" ht="20" customHeight="1">
      <c r="A36" s="81" t="str">
        <f>IF($Q36="","",29)</f>
        <v/>
      </c>
      <c r="B36" s="57" t="str">
        <f>IF($Q36="","",INDEX(TRANSACTIONS_MASTER!$B$5:$B$1204,$Q36))</f>
        <v/>
      </c>
      <c r="C36" s="55" t="str">
        <f>IF($Q36="","",INDEX(TRANSACTIONS_MASTER!$F$5:$F$1204,$Q36))</f>
        <v/>
      </c>
      <c r="D36" s="55" t="str">
        <f>IF($Q36="","",INDEX(TRANSACTIONS_MASTER!$E$5:$E$1204,$Q36))</f>
        <v/>
      </c>
      <c r="E36" s="55" t="str">
        <f>IF($Q36="","",INDEX(TRANSACTIONS_MASTER!$G$5:$G$1204,$Q36)&amp;"")</f>
        <v/>
      </c>
      <c r="F36" s="29" t="str">
        <f>IF($Q36="","",INDEX(TRANSACTIONS_MASTER!$I$5:$I$1204,$Q36))</f>
        <v/>
      </c>
      <c r="G36" s="55" t="str">
        <f>IF($Q36="","",INDEX(TRANSACTIONS_MASTER!$K$5:$K$1204,$Q36))</f>
        <v/>
      </c>
      <c r="H36" s="25" t="str">
        <f>IF($Q36="","",INDEX(TRANSACTIONS_MASTER!$L$5:$L$1204,$Q36))</f>
        <v/>
      </c>
      <c r="I36" s="56" t="str">
        <f>IF($Q36="","",INDEX(TRANSACTIONS_MASTER!$N$5:$N$1204,$Q36))</f>
        <v/>
      </c>
      <c r="J36" s="25" t="str">
        <f>IF($Q36="","",INDEX(TRANSACTIONS_MASTER!$O$5:$O$1204,$Q36))</f>
        <v/>
      </c>
      <c r="K36" s="26" t="str">
        <f>IF($Q36="","",INDEX(TRANSACTIONS_MASTER!$Q$5:$Q$1204,$Q36))</f>
        <v/>
      </c>
      <c r="L36" s="25" t="str">
        <f>IF($Q36="","",INDEX(TRANSACTIONS_MASTER!$P$5:$P$1204,$Q36))</f>
        <v/>
      </c>
      <c r="M36" s="25" t="str">
        <f>IF($Q36="","",INDEX(TRANSACTIONS_MASTER!$AA$5:$AA$1204,$Q36))</f>
        <v/>
      </c>
      <c r="N36" s="25" t="str">
        <f>IF($Q36="","",INDEX(TRANSACTIONS_MASTER!$R$5:$R$1204,$Q36))</f>
        <v/>
      </c>
      <c r="O36" s="28" t="str">
        <f>IF($Q36="","",INDEX(TRANSACTIONS_MASTER!$AB$5:$AB$1204,$Q36))</f>
        <v/>
      </c>
      <c r="P36" s="55" t="str">
        <f>IF($Q36="","",INDEX(TRANSACTIONS_MASTER!$Z$5:$Z$1204,$Q36)&amp;"")</f>
        <v/>
      </c>
      <c r="Q36" s="67" t="str">
        <f>IFERROR(MATCH($C$2&amp;"|"&amp;29,TRANSACTIONS_MASTER!$AE$5:$AE$1204,0),"")</f>
        <v/>
      </c>
      <c r="S36" s="67" t="str">
        <f>IFERROR(MATCH(29,CASHBACK_RULES!$S$5:$S$304,0),"")</f>
        <v/>
      </c>
      <c r="T36" s="55" t="str">
        <f>IF($S36="","",INDEX(CASHBACK_RULES!$B$5:$B$304,$S36))</f>
        <v/>
      </c>
      <c r="U36" s="55" t="str">
        <f>IF($S36="","",INDEX(CASHBACK_RULES!$C$5:$C$304,$S36)&amp;" "&amp;INDEX(CASHBACK_RULES!$D$5:$D$304,$S36))</f>
        <v/>
      </c>
      <c r="V36" s="55" t="str">
        <f>IF($S36="","",INDEX(CASHBACK_RULES!$E$5:$E$304,$S36)&amp;"")</f>
        <v/>
      </c>
      <c r="W36" s="55" t="str">
        <f>IF($S36="","",INDEX(CASHBACK_RULES!$F$5:$F$304,$S36)&amp;"")</f>
        <v/>
      </c>
      <c r="X36" s="26" t="str">
        <f>IF($S36="","",SUMIFS(TRANSACTIONS_MASTER!$Q$5:$Q$1204,TRANSACTIONS_MASTER!$D$5:$D$1204,$T36,TRANSACTIONS_MASTER!$Z$5:$Z$1204,$V36,TRANSACTIONS_MASTER!$C$5:$C$1204,$C$2))</f>
        <v/>
      </c>
      <c r="Y36" s="25" t="str">
        <f>IF($S36="","",IF(ISNUMBER(INDEX(CASHBACK_RULES!$J$5:$J$304,$S36)),INDEX(CASHBACK_RULES!$J$5:$J$304,$S36),"∞"))</f>
        <v/>
      </c>
      <c r="Z36" s="25" t="str">
        <f>IF($S36="","",IF(ISNUMBER($Y36),MAX(0,$Y36-$X36),"∞"))</f>
        <v/>
      </c>
      <c r="AA36" s="27" t="str">
        <f>IF($S36="","",IF(ISNUMBER($Y36),IF($Y36=0,0,$X36/$Y36),""))</f>
        <v/>
      </c>
    </row>
    <row r="37" ht="20" customHeight="1">
      <c r="A37" s="81" t="str">
        <f>IF($Q37="","",30)</f>
        <v/>
      </c>
      <c r="B37" s="57" t="str">
        <f>IF($Q37="","",INDEX(TRANSACTIONS_MASTER!$B$5:$B$1204,$Q37))</f>
        <v/>
      </c>
      <c r="C37" s="55" t="str">
        <f>IF($Q37="","",INDEX(TRANSACTIONS_MASTER!$F$5:$F$1204,$Q37))</f>
        <v/>
      </c>
      <c r="D37" s="55" t="str">
        <f>IF($Q37="","",INDEX(TRANSACTIONS_MASTER!$E$5:$E$1204,$Q37))</f>
        <v/>
      </c>
      <c r="E37" s="55" t="str">
        <f>IF($Q37="","",INDEX(TRANSACTIONS_MASTER!$G$5:$G$1204,$Q37)&amp;"")</f>
        <v/>
      </c>
      <c r="F37" s="29" t="str">
        <f>IF($Q37="","",INDEX(TRANSACTIONS_MASTER!$I$5:$I$1204,$Q37))</f>
        <v/>
      </c>
      <c r="G37" s="55" t="str">
        <f>IF($Q37="","",INDEX(TRANSACTIONS_MASTER!$K$5:$K$1204,$Q37))</f>
        <v/>
      </c>
      <c r="H37" s="25" t="str">
        <f>IF($Q37="","",INDEX(TRANSACTIONS_MASTER!$L$5:$L$1204,$Q37))</f>
        <v/>
      </c>
      <c r="I37" s="56" t="str">
        <f>IF($Q37="","",INDEX(TRANSACTIONS_MASTER!$N$5:$N$1204,$Q37))</f>
        <v/>
      </c>
      <c r="J37" s="25" t="str">
        <f>IF($Q37="","",INDEX(TRANSACTIONS_MASTER!$O$5:$O$1204,$Q37))</f>
        <v/>
      </c>
      <c r="K37" s="26" t="str">
        <f>IF($Q37="","",INDEX(TRANSACTIONS_MASTER!$Q$5:$Q$1204,$Q37))</f>
        <v/>
      </c>
      <c r="L37" s="25" t="str">
        <f>IF($Q37="","",INDEX(TRANSACTIONS_MASTER!$P$5:$P$1204,$Q37))</f>
        <v/>
      </c>
      <c r="M37" s="25" t="str">
        <f>IF($Q37="","",INDEX(TRANSACTIONS_MASTER!$AA$5:$AA$1204,$Q37))</f>
        <v/>
      </c>
      <c r="N37" s="25" t="str">
        <f>IF($Q37="","",INDEX(TRANSACTIONS_MASTER!$R$5:$R$1204,$Q37))</f>
        <v/>
      </c>
      <c r="O37" s="28" t="str">
        <f>IF($Q37="","",INDEX(TRANSACTIONS_MASTER!$AB$5:$AB$1204,$Q37))</f>
        <v/>
      </c>
      <c r="P37" s="55" t="str">
        <f>IF($Q37="","",INDEX(TRANSACTIONS_MASTER!$Z$5:$Z$1204,$Q37)&amp;"")</f>
        <v/>
      </c>
      <c r="Q37" s="67" t="str">
        <f>IFERROR(MATCH($C$2&amp;"|"&amp;30,TRANSACTIONS_MASTER!$AE$5:$AE$1204,0),"")</f>
        <v/>
      </c>
      <c r="S37" s="67" t="str">
        <f>IFERROR(MATCH(30,CASHBACK_RULES!$S$5:$S$304,0),"")</f>
        <v/>
      </c>
      <c r="T37" s="55" t="str">
        <f>IF($S37="","",INDEX(CASHBACK_RULES!$B$5:$B$304,$S37))</f>
        <v/>
      </c>
      <c r="U37" s="55" t="str">
        <f>IF($S37="","",INDEX(CASHBACK_RULES!$C$5:$C$304,$S37)&amp;" "&amp;INDEX(CASHBACK_RULES!$D$5:$D$304,$S37))</f>
        <v/>
      </c>
      <c r="V37" s="55" t="str">
        <f>IF($S37="","",INDEX(CASHBACK_RULES!$E$5:$E$304,$S37)&amp;"")</f>
        <v/>
      </c>
      <c r="W37" s="55" t="str">
        <f>IF($S37="","",INDEX(CASHBACK_RULES!$F$5:$F$304,$S37)&amp;"")</f>
        <v/>
      </c>
      <c r="X37" s="26" t="str">
        <f>IF($S37="","",SUMIFS(TRANSACTIONS_MASTER!$Q$5:$Q$1204,TRANSACTIONS_MASTER!$D$5:$D$1204,$T37,TRANSACTIONS_MASTER!$Z$5:$Z$1204,$V37,TRANSACTIONS_MASTER!$C$5:$C$1204,$C$2))</f>
        <v/>
      </c>
      <c r="Y37" s="25" t="str">
        <f>IF($S37="","",IF(ISNUMBER(INDEX(CASHBACK_RULES!$J$5:$J$304,$S37)),INDEX(CASHBACK_RULES!$J$5:$J$304,$S37),"∞"))</f>
        <v/>
      </c>
      <c r="Z37" s="25" t="str">
        <f>IF($S37="","",IF(ISNUMBER($Y37),MAX(0,$Y37-$X37),"∞"))</f>
        <v/>
      </c>
      <c r="AA37" s="27" t="str">
        <f>IF($S37="","",IF(ISNUMBER($Y37),IF($Y37=0,0,$X37/$Y37),""))</f>
        <v/>
      </c>
    </row>
    <row r="38" ht="20" customHeight="1">
      <c r="A38" s="81" t="str">
        <f>IF($Q38="","",31)</f>
        <v/>
      </c>
      <c r="B38" s="57" t="str">
        <f>IF($Q38="","",INDEX(TRANSACTIONS_MASTER!$B$5:$B$1204,$Q38))</f>
        <v/>
      </c>
      <c r="C38" s="55" t="str">
        <f>IF($Q38="","",INDEX(TRANSACTIONS_MASTER!$F$5:$F$1204,$Q38))</f>
        <v/>
      </c>
      <c r="D38" s="55" t="str">
        <f>IF($Q38="","",INDEX(TRANSACTIONS_MASTER!$E$5:$E$1204,$Q38))</f>
        <v/>
      </c>
      <c r="E38" s="55" t="str">
        <f>IF($Q38="","",INDEX(TRANSACTIONS_MASTER!$G$5:$G$1204,$Q38)&amp;"")</f>
        <v/>
      </c>
      <c r="F38" s="29" t="str">
        <f>IF($Q38="","",INDEX(TRANSACTIONS_MASTER!$I$5:$I$1204,$Q38))</f>
        <v/>
      </c>
      <c r="G38" s="55" t="str">
        <f>IF($Q38="","",INDEX(TRANSACTIONS_MASTER!$K$5:$K$1204,$Q38))</f>
        <v/>
      </c>
      <c r="H38" s="25" t="str">
        <f>IF($Q38="","",INDEX(TRANSACTIONS_MASTER!$L$5:$L$1204,$Q38))</f>
        <v/>
      </c>
      <c r="I38" s="56" t="str">
        <f>IF($Q38="","",INDEX(TRANSACTIONS_MASTER!$N$5:$N$1204,$Q38))</f>
        <v/>
      </c>
      <c r="J38" s="25" t="str">
        <f>IF($Q38="","",INDEX(TRANSACTIONS_MASTER!$O$5:$O$1204,$Q38))</f>
        <v/>
      </c>
      <c r="K38" s="26" t="str">
        <f>IF($Q38="","",INDEX(TRANSACTIONS_MASTER!$Q$5:$Q$1204,$Q38))</f>
        <v/>
      </c>
      <c r="L38" s="25" t="str">
        <f>IF($Q38="","",INDEX(TRANSACTIONS_MASTER!$P$5:$P$1204,$Q38))</f>
        <v/>
      </c>
      <c r="M38" s="25" t="str">
        <f>IF($Q38="","",INDEX(TRANSACTIONS_MASTER!$AA$5:$AA$1204,$Q38))</f>
        <v/>
      </c>
      <c r="N38" s="25" t="str">
        <f>IF($Q38="","",INDEX(TRANSACTIONS_MASTER!$R$5:$R$1204,$Q38))</f>
        <v/>
      </c>
      <c r="O38" s="28" t="str">
        <f>IF($Q38="","",INDEX(TRANSACTIONS_MASTER!$AB$5:$AB$1204,$Q38))</f>
        <v/>
      </c>
      <c r="P38" s="55" t="str">
        <f>IF($Q38="","",INDEX(TRANSACTIONS_MASTER!$Z$5:$Z$1204,$Q38)&amp;"")</f>
        <v/>
      </c>
      <c r="Q38" s="67" t="str">
        <f>IFERROR(MATCH($C$2&amp;"|"&amp;31,TRANSACTIONS_MASTER!$AE$5:$AE$1204,0),"")</f>
        <v/>
      </c>
      <c r="S38" s="67" t="str">
        <f>IFERROR(MATCH(31,CASHBACK_RULES!$S$5:$S$304,0),"")</f>
        <v/>
      </c>
      <c r="T38" s="55" t="str">
        <f>IF($S38="","",INDEX(CASHBACK_RULES!$B$5:$B$304,$S38))</f>
        <v/>
      </c>
      <c r="U38" s="55" t="str">
        <f>IF($S38="","",INDEX(CASHBACK_RULES!$C$5:$C$304,$S38)&amp;" "&amp;INDEX(CASHBACK_RULES!$D$5:$D$304,$S38))</f>
        <v/>
      </c>
      <c r="V38" s="55" t="str">
        <f>IF($S38="","",INDEX(CASHBACK_RULES!$E$5:$E$304,$S38)&amp;"")</f>
        <v/>
      </c>
      <c r="W38" s="55" t="str">
        <f>IF($S38="","",INDEX(CASHBACK_RULES!$F$5:$F$304,$S38)&amp;"")</f>
        <v/>
      </c>
      <c r="X38" s="26" t="str">
        <f>IF($S38="","",SUMIFS(TRANSACTIONS_MASTER!$Q$5:$Q$1204,TRANSACTIONS_MASTER!$D$5:$D$1204,$T38,TRANSACTIONS_MASTER!$Z$5:$Z$1204,$V38,TRANSACTIONS_MASTER!$C$5:$C$1204,$C$2))</f>
        <v/>
      </c>
      <c r="Y38" s="25" t="str">
        <f>IF($S38="","",IF(ISNUMBER(INDEX(CASHBACK_RULES!$J$5:$J$304,$S38)),INDEX(CASHBACK_RULES!$J$5:$J$304,$S38),"∞"))</f>
        <v/>
      </c>
      <c r="Z38" s="25" t="str">
        <f>IF($S38="","",IF(ISNUMBER($Y38),MAX(0,$Y38-$X38),"∞"))</f>
        <v/>
      </c>
      <c r="AA38" s="27" t="str">
        <f>IF($S38="","",IF(ISNUMBER($Y38),IF($Y38=0,0,$X38/$Y38),""))</f>
        <v/>
      </c>
    </row>
    <row r="39" ht="20" customHeight="1">
      <c r="A39" s="81" t="str">
        <f>IF($Q39="","",32)</f>
        <v/>
      </c>
      <c r="B39" s="57" t="str">
        <f>IF($Q39="","",INDEX(TRANSACTIONS_MASTER!$B$5:$B$1204,$Q39))</f>
        <v/>
      </c>
      <c r="C39" s="55" t="str">
        <f>IF($Q39="","",INDEX(TRANSACTIONS_MASTER!$F$5:$F$1204,$Q39))</f>
        <v/>
      </c>
      <c r="D39" s="55" t="str">
        <f>IF($Q39="","",INDEX(TRANSACTIONS_MASTER!$E$5:$E$1204,$Q39))</f>
        <v/>
      </c>
      <c r="E39" s="55" t="str">
        <f>IF($Q39="","",INDEX(TRANSACTIONS_MASTER!$G$5:$G$1204,$Q39)&amp;"")</f>
        <v/>
      </c>
      <c r="F39" s="29" t="str">
        <f>IF($Q39="","",INDEX(TRANSACTIONS_MASTER!$I$5:$I$1204,$Q39))</f>
        <v/>
      </c>
      <c r="G39" s="55" t="str">
        <f>IF($Q39="","",INDEX(TRANSACTIONS_MASTER!$K$5:$K$1204,$Q39))</f>
        <v/>
      </c>
      <c r="H39" s="25" t="str">
        <f>IF($Q39="","",INDEX(TRANSACTIONS_MASTER!$L$5:$L$1204,$Q39))</f>
        <v/>
      </c>
      <c r="I39" s="56" t="str">
        <f>IF($Q39="","",INDEX(TRANSACTIONS_MASTER!$N$5:$N$1204,$Q39))</f>
        <v/>
      </c>
      <c r="J39" s="25" t="str">
        <f>IF($Q39="","",INDEX(TRANSACTIONS_MASTER!$O$5:$O$1204,$Q39))</f>
        <v/>
      </c>
      <c r="K39" s="26" t="str">
        <f>IF($Q39="","",INDEX(TRANSACTIONS_MASTER!$Q$5:$Q$1204,$Q39))</f>
        <v/>
      </c>
      <c r="L39" s="25" t="str">
        <f>IF($Q39="","",INDEX(TRANSACTIONS_MASTER!$P$5:$P$1204,$Q39))</f>
        <v/>
      </c>
      <c r="M39" s="25" t="str">
        <f>IF($Q39="","",INDEX(TRANSACTIONS_MASTER!$AA$5:$AA$1204,$Q39))</f>
        <v/>
      </c>
      <c r="N39" s="25" t="str">
        <f>IF($Q39="","",INDEX(TRANSACTIONS_MASTER!$R$5:$R$1204,$Q39))</f>
        <v/>
      </c>
      <c r="O39" s="28" t="str">
        <f>IF($Q39="","",INDEX(TRANSACTIONS_MASTER!$AB$5:$AB$1204,$Q39))</f>
        <v/>
      </c>
      <c r="P39" s="55" t="str">
        <f>IF($Q39="","",INDEX(TRANSACTIONS_MASTER!$Z$5:$Z$1204,$Q39)&amp;"")</f>
        <v/>
      </c>
      <c r="Q39" s="67" t="str">
        <f>IFERROR(MATCH($C$2&amp;"|"&amp;32,TRANSACTIONS_MASTER!$AE$5:$AE$1204,0),"")</f>
        <v/>
      </c>
      <c r="S39" s="67" t="str">
        <f>IFERROR(MATCH(32,CASHBACK_RULES!$S$5:$S$304,0),"")</f>
        <v/>
      </c>
      <c r="T39" s="55" t="str">
        <f>IF($S39="","",INDEX(CASHBACK_RULES!$B$5:$B$304,$S39))</f>
        <v/>
      </c>
      <c r="U39" s="55" t="str">
        <f>IF($S39="","",INDEX(CASHBACK_RULES!$C$5:$C$304,$S39)&amp;" "&amp;INDEX(CASHBACK_RULES!$D$5:$D$304,$S39))</f>
        <v/>
      </c>
      <c r="V39" s="55" t="str">
        <f>IF($S39="","",INDEX(CASHBACK_RULES!$E$5:$E$304,$S39)&amp;"")</f>
        <v/>
      </c>
      <c r="W39" s="55" t="str">
        <f>IF($S39="","",INDEX(CASHBACK_RULES!$F$5:$F$304,$S39)&amp;"")</f>
        <v/>
      </c>
      <c r="X39" s="26" t="str">
        <f>IF($S39="","",SUMIFS(TRANSACTIONS_MASTER!$Q$5:$Q$1204,TRANSACTIONS_MASTER!$D$5:$D$1204,$T39,TRANSACTIONS_MASTER!$Z$5:$Z$1204,$V39,TRANSACTIONS_MASTER!$C$5:$C$1204,$C$2))</f>
        <v/>
      </c>
      <c r="Y39" s="25" t="str">
        <f>IF($S39="","",IF(ISNUMBER(INDEX(CASHBACK_RULES!$J$5:$J$304,$S39)),INDEX(CASHBACK_RULES!$J$5:$J$304,$S39),"∞"))</f>
        <v/>
      </c>
      <c r="Z39" s="25" t="str">
        <f>IF($S39="","",IF(ISNUMBER($Y39),MAX(0,$Y39-$X39),"∞"))</f>
        <v/>
      </c>
      <c r="AA39" s="27" t="str">
        <f>IF($S39="","",IF(ISNUMBER($Y39),IF($Y39=0,0,$X39/$Y39),""))</f>
        <v/>
      </c>
    </row>
    <row r="40" ht="20" customHeight="1">
      <c r="A40" s="81" t="str">
        <f>IF($Q40="","",33)</f>
        <v/>
      </c>
      <c r="B40" s="57" t="str">
        <f>IF($Q40="","",INDEX(TRANSACTIONS_MASTER!$B$5:$B$1204,$Q40))</f>
        <v/>
      </c>
      <c r="C40" s="55" t="str">
        <f>IF($Q40="","",INDEX(TRANSACTIONS_MASTER!$F$5:$F$1204,$Q40))</f>
        <v/>
      </c>
      <c r="D40" s="55" t="str">
        <f>IF($Q40="","",INDEX(TRANSACTIONS_MASTER!$E$5:$E$1204,$Q40))</f>
        <v/>
      </c>
      <c r="E40" s="55" t="str">
        <f>IF($Q40="","",INDEX(TRANSACTIONS_MASTER!$G$5:$G$1204,$Q40)&amp;"")</f>
        <v/>
      </c>
      <c r="F40" s="29" t="str">
        <f>IF($Q40="","",INDEX(TRANSACTIONS_MASTER!$I$5:$I$1204,$Q40))</f>
        <v/>
      </c>
      <c r="G40" s="55" t="str">
        <f>IF($Q40="","",INDEX(TRANSACTIONS_MASTER!$K$5:$K$1204,$Q40))</f>
        <v/>
      </c>
      <c r="H40" s="25" t="str">
        <f>IF($Q40="","",INDEX(TRANSACTIONS_MASTER!$L$5:$L$1204,$Q40))</f>
        <v/>
      </c>
      <c r="I40" s="56" t="str">
        <f>IF($Q40="","",INDEX(TRANSACTIONS_MASTER!$N$5:$N$1204,$Q40))</f>
        <v/>
      </c>
      <c r="J40" s="25" t="str">
        <f>IF($Q40="","",INDEX(TRANSACTIONS_MASTER!$O$5:$O$1204,$Q40))</f>
        <v/>
      </c>
      <c r="K40" s="26" t="str">
        <f>IF($Q40="","",INDEX(TRANSACTIONS_MASTER!$Q$5:$Q$1204,$Q40))</f>
        <v/>
      </c>
      <c r="L40" s="25" t="str">
        <f>IF($Q40="","",INDEX(TRANSACTIONS_MASTER!$P$5:$P$1204,$Q40))</f>
        <v/>
      </c>
      <c r="M40" s="25" t="str">
        <f>IF($Q40="","",INDEX(TRANSACTIONS_MASTER!$AA$5:$AA$1204,$Q40))</f>
        <v/>
      </c>
      <c r="N40" s="25" t="str">
        <f>IF($Q40="","",INDEX(TRANSACTIONS_MASTER!$R$5:$R$1204,$Q40))</f>
        <v/>
      </c>
      <c r="O40" s="28" t="str">
        <f>IF($Q40="","",INDEX(TRANSACTIONS_MASTER!$AB$5:$AB$1204,$Q40))</f>
        <v/>
      </c>
      <c r="P40" s="55" t="str">
        <f>IF($Q40="","",INDEX(TRANSACTIONS_MASTER!$Z$5:$Z$1204,$Q40)&amp;"")</f>
        <v/>
      </c>
      <c r="Q40" s="67" t="str">
        <f>IFERROR(MATCH($C$2&amp;"|"&amp;33,TRANSACTIONS_MASTER!$AE$5:$AE$1204,0),"")</f>
        <v/>
      </c>
      <c r="S40" s="67" t="str">
        <f>IFERROR(MATCH(33,CASHBACK_RULES!$S$5:$S$304,0),"")</f>
        <v/>
      </c>
      <c r="T40" s="55" t="str">
        <f>IF($S40="","",INDEX(CASHBACK_RULES!$B$5:$B$304,$S40))</f>
        <v/>
      </c>
      <c r="U40" s="55" t="str">
        <f>IF($S40="","",INDEX(CASHBACK_RULES!$C$5:$C$304,$S40)&amp;" "&amp;INDEX(CASHBACK_RULES!$D$5:$D$304,$S40))</f>
        <v/>
      </c>
      <c r="V40" s="55" t="str">
        <f>IF($S40="","",INDEX(CASHBACK_RULES!$E$5:$E$304,$S40)&amp;"")</f>
        <v/>
      </c>
      <c r="W40" s="55" t="str">
        <f>IF($S40="","",INDEX(CASHBACK_RULES!$F$5:$F$304,$S40)&amp;"")</f>
        <v/>
      </c>
      <c r="X40" s="26" t="str">
        <f>IF($S40="","",SUMIFS(TRANSACTIONS_MASTER!$Q$5:$Q$1204,TRANSACTIONS_MASTER!$D$5:$D$1204,$T40,TRANSACTIONS_MASTER!$Z$5:$Z$1204,$V40,TRANSACTIONS_MASTER!$C$5:$C$1204,$C$2))</f>
        <v/>
      </c>
      <c r="Y40" s="25" t="str">
        <f>IF($S40="","",IF(ISNUMBER(INDEX(CASHBACK_RULES!$J$5:$J$304,$S40)),INDEX(CASHBACK_RULES!$J$5:$J$304,$S40),"∞"))</f>
        <v/>
      </c>
      <c r="Z40" s="25" t="str">
        <f>IF($S40="","",IF(ISNUMBER($Y40),MAX(0,$Y40-$X40),"∞"))</f>
        <v/>
      </c>
      <c r="AA40" s="27" t="str">
        <f>IF($S40="","",IF(ISNUMBER($Y40),IF($Y40=0,0,$X40/$Y40),""))</f>
        <v/>
      </c>
    </row>
    <row r="41" ht="20" customHeight="1">
      <c r="A41" s="81" t="str">
        <f>IF($Q41="","",34)</f>
        <v/>
      </c>
      <c r="B41" s="57" t="str">
        <f>IF($Q41="","",INDEX(TRANSACTIONS_MASTER!$B$5:$B$1204,$Q41))</f>
        <v/>
      </c>
      <c r="C41" s="55" t="str">
        <f>IF($Q41="","",INDEX(TRANSACTIONS_MASTER!$F$5:$F$1204,$Q41))</f>
        <v/>
      </c>
      <c r="D41" s="55" t="str">
        <f>IF($Q41="","",INDEX(TRANSACTIONS_MASTER!$E$5:$E$1204,$Q41))</f>
        <v/>
      </c>
      <c r="E41" s="55" t="str">
        <f>IF($Q41="","",INDEX(TRANSACTIONS_MASTER!$G$5:$G$1204,$Q41)&amp;"")</f>
        <v/>
      </c>
      <c r="F41" s="29" t="str">
        <f>IF($Q41="","",INDEX(TRANSACTIONS_MASTER!$I$5:$I$1204,$Q41))</f>
        <v/>
      </c>
      <c r="G41" s="55" t="str">
        <f>IF($Q41="","",INDEX(TRANSACTIONS_MASTER!$K$5:$K$1204,$Q41))</f>
        <v/>
      </c>
      <c r="H41" s="25" t="str">
        <f>IF($Q41="","",INDEX(TRANSACTIONS_MASTER!$L$5:$L$1204,$Q41))</f>
        <v/>
      </c>
      <c r="I41" s="56" t="str">
        <f>IF($Q41="","",INDEX(TRANSACTIONS_MASTER!$N$5:$N$1204,$Q41))</f>
        <v/>
      </c>
      <c r="J41" s="25" t="str">
        <f>IF($Q41="","",INDEX(TRANSACTIONS_MASTER!$O$5:$O$1204,$Q41))</f>
        <v/>
      </c>
      <c r="K41" s="26" t="str">
        <f>IF($Q41="","",INDEX(TRANSACTIONS_MASTER!$Q$5:$Q$1204,$Q41))</f>
        <v/>
      </c>
      <c r="L41" s="25" t="str">
        <f>IF($Q41="","",INDEX(TRANSACTIONS_MASTER!$P$5:$P$1204,$Q41))</f>
        <v/>
      </c>
      <c r="M41" s="25" t="str">
        <f>IF($Q41="","",INDEX(TRANSACTIONS_MASTER!$AA$5:$AA$1204,$Q41))</f>
        <v/>
      </c>
      <c r="N41" s="25" t="str">
        <f>IF($Q41="","",INDEX(TRANSACTIONS_MASTER!$R$5:$R$1204,$Q41))</f>
        <v/>
      </c>
      <c r="O41" s="28" t="str">
        <f>IF($Q41="","",INDEX(TRANSACTIONS_MASTER!$AB$5:$AB$1204,$Q41))</f>
        <v/>
      </c>
      <c r="P41" s="55" t="str">
        <f>IF($Q41="","",INDEX(TRANSACTIONS_MASTER!$Z$5:$Z$1204,$Q41)&amp;"")</f>
        <v/>
      </c>
      <c r="Q41" s="67" t="str">
        <f>IFERROR(MATCH($C$2&amp;"|"&amp;34,TRANSACTIONS_MASTER!$AE$5:$AE$1204,0),"")</f>
        <v/>
      </c>
      <c r="S41" s="67" t="str">
        <f>IFERROR(MATCH(34,CASHBACK_RULES!$S$5:$S$304,0),"")</f>
        <v/>
      </c>
      <c r="T41" s="55" t="str">
        <f>IF($S41="","",INDEX(CASHBACK_RULES!$B$5:$B$304,$S41))</f>
        <v/>
      </c>
      <c r="U41" s="55" t="str">
        <f>IF($S41="","",INDEX(CASHBACK_RULES!$C$5:$C$304,$S41)&amp;" "&amp;INDEX(CASHBACK_RULES!$D$5:$D$304,$S41))</f>
        <v/>
      </c>
      <c r="V41" s="55" t="str">
        <f>IF($S41="","",INDEX(CASHBACK_RULES!$E$5:$E$304,$S41)&amp;"")</f>
        <v/>
      </c>
      <c r="W41" s="55" t="str">
        <f>IF($S41="","",INDEX(CASHBACK_RULES!$F$5:$F$304,$S41)&amp;"")</f>
        <v/>
      </c>
      <c r="X41" s="26" t="str">
        <f>IF($S41="","",SUMIFS(TRANSACTIONS_MASTER!$Q$5:$Q$1204,TRANSACTIONS_MASTER!$D$5:$D$1204,$T41,TRANSACTIONS_MASTER!$Z$5:$Z$1204,$V41,TRANSACTIONS_MASTER!$C$5:$C$1204,$C$2))</f>
        <v/>
      </c>
      <c r="Y41" s="25" t="str">
        <f>IF($S41="","",IF(ISNUMBER(INDEX(CASHBACK_RULES!$J$5:$J$304,$S41)),INDEX(CASHBACK_RULES!$J$5:$J$304,$S41),"∞"))</f>
        <v/>
      </c>
      <c r="Z41" s="25" t="str">
        <f>IF($S41="","",IF(ISNUMBER($Y41),MAX(0,$Y41-$X41),"∞"))</f>
        <v/>
      </c>
      <c r="AA41" s="27" t="str">
        <f>IF($S41="","",IF(ISNUMBER($Y41),IF($Y41=0,0,$X41/$Y41),""))</f>
        <v/>
      </c>
    </row>
    <row r="42" ht="20" customHeight="1">
      <c r="A42" s="81" t="str">
        <f>IF($Q42="","",35)</f>
        <v/>
      </c>
      <c r="B42" s="57" t="str">
        <f>IF($Q42="","",INDEX(TRANSACTIONS_MASTER!$B$5:$B$1204,$Q42))</f>
        <v/>
      </c>
      <c r="C42" s="55" t="str">
        <f>IF($Q42="","",INDEX(TRANSACTIONS_MASTER!$F$5:$F$1204,$Q42))</f>
        <v/>
      </c>
      <c r="D42" s="55" t="str">
        <f>IF($Q42="","",INDEX(TRANSACTIONS_MASTER!$E$5:$E$1204,$Q42))</f>
        <v/>
      </c>
      <c r="E42" s="55" t="str">
        <f>IF($Q42="","",INDEX(TRANSACTIONS_MASTER!$G$5:$G$1204,$Q42)&amp;"")</f>
        <v/>
      </c>
      <c r="F42" s="29" t="str">
        <f>IF($Q42="","",INDEX(TRANSACTIONS_MASTER!$I$5:$I$1204,$Q42))</f>
        <v/>
      </c>
      <c r="G42" s="55" t="str">
        <f>IF($Q42="","",INDEX(TRANSACTIONS_MASTER!$K$5:$K$1204,$Q42))</f>
        <v/>
      </c>
      <c r="H42" s="25" t="str">
        <f>IF($Q42="","",INDEX(TRANSACTIONS_MASTER!$L$5:$L$1204,$Q42))</f>
        <v/>
      </c>
      <c r="I42" s="56" t="str">
        <f>IF($Q42="","",INDEX(TRANSACTIONS_MASTER!$N$5:$N$1204,$Q42))</f>
        <v/>
      </c>
      <c r="J42" s="25" t="str">
        <f>IF($Q42="","",INDEX(TRANSACTIONS_MASTER!$O$5:$O$1204,$Q42))</f>
        <v/>
      </c>
      <c r="K42" s="26" t="str">
        <f>IF($Q42="","",INDEX(TRANSACTIONS_MASTER!$Q$5:$Q$1204,$Q42))</f>
        <v/>
      </c>
      <c r="L42" s="25" t="str">
        <f>IF($Q42="","",INDEX(TRANSACTIONS_MASTER!$P$5:$P$1204,$Q42))</f>
        <v/>
      </c>
      <c r="M42" s="25" t="str">
        <f>IF($Q42="","",INDEX(TRANSACTIONS_MASTER!$AA$5:$AA$1204,$Q42))</f>
        <v/>
      </c>
      <c r="N42" s="25" t="str">
        <f>IF($Q42="","",INDEX(TRANSACTIONS_MASTER!$R$5:$R$1204,$Q42))</f>
        <v/>
      </c>
      <c r="O42" s="28" t="str">
        <f>IF($Q42="","",INDEX(TRANSACTIONS_MASTER!$AB$5:$AB$1204,$Q42))</f>
        <v/>
      </c>
      <c r="P42" s="55" t="str">
        <f>IF($Q42="","",INDEX(TRANSACTIONS_MASTER!$Z$5:$Z$1204,$Q42)&amp;"")</f>
        <v/>
      </c>
      <c r="Q42" s="67" t="str">
        <f>IFERROR(MATCH($C$2&amp;"|"&amp;35,TRANSACTIONS_MASTER!$AE$5:$AE$1204,0),"")</f>
        <v/>
      </c>
      <c r="S42" s="67" t="str">
        <f>IFERROR(MATCH(35,CASHBACK_RULES!$S$5:$S$304,0),"")</f>
        <v/>
      </c>
      <c r="T42" s="55" t="str">
        <f>IF($S42="","",INDEX(CASHBACK_RULES!$B$5:$B$304,$S42))</f>
        <v/>
      </c>
      <c r="U42" s="55" t="str">
        <f>IF($S42="","",INDEX(CASHBACK_RULES!$C$5:$C$304,$S42)&amp;" "&amp;INDEX(CASHBACK_RULES!$D$5:$D$304,$S42))</f>
        <v/>
      </c>
      <c r="V42" s="55" t="str">
        <f>IF($S42="","",INDEX(CASHBACK_RULES!$E$5:$E$304,$S42)&amp;"")</f>
        <v/>
      </c>
      <c r="W42" s="55" t="str">
        <f>IF($S42="","",INDEX(CASHBACK_RULES!$F$5:$F$304,$S42)&amp;"")</f>
        <v/>
      </c>
      <c r="X42" s="26" t="str">
        <f>IF($S42="","",SUMIFS(TRANSACTIONS_MASTER!$Q$5:$Q$1204,TRANSACTIONS_MASTER!$D$5:$D$1204,$T42,TRANSACTIONS_MASTER!$Z$5:$Z$1204,$V42,TRANSACTIONS_MASTER!$C$5:$C$1204,$C$2))</f>
        <v/>
      </c>
      <c r="Y42" s="25" t="str">
        <f>IF($S42="","",IF(ISNUMBER(INDEX(CASHBACK_RULES!$J$5:$J$304,$S42)),INDEX(CASHBACK_RULES!$J$5:$J$304,$S42),"∞"))</f>
        <v/>
      </c>
      <c r="Z42" s="25" t="str">
        <f>IF($S42="","",IF(ISNUMBER($Y42),MAX(0,$Y42-$X42),"∞"))</f>
        <v/>
      </c>
      <c r="AA42" s="27" t="str">
        <f>IF($S42="","",IF(ISNUMBER($Y42),IF($Y42=0,0,$X42/$Y42),""))</f>
        <v/>
      </c>
    </row>
    <row r="43" ht="20" customHeight="1">
      <c r="A43" s="81" t="str">
        <f>IF($Q43="","",36)</f>
        <v/>
      </c>
      <c r="B43" s="57" t="str">
        <f>IF($Q43="","",INDEX(TRANSACTIONS_MASTER!$B$5:$B$1204,$Q43))</f>
        <v/>
      </c>
      <c r="C43" s="55" t="str">
        <f>IF($Q43="","",INDEX(TRANSACTIONS_MASTER!$F$5:$F$1204,$Q43))</f>
        <v/>
      </c>
      <c r="D43" s="55" t="str">
        <f>IF($Q43="","",INDEX(TRANSACTIONS_MASTER!$E$5:$E$1204,$Q43))</f>
        <v/>
      </c>
      <c r="E43" s="55" t="str">
        <f>IF($Q43="","",INDEX(TRANSACTIONS_MASTER!$G$5:$G$1204,$Q43)&amp;"")</f>
        <v/>
      </c>
      <c r="F43" s="29" t="str">
        <f>IF($Q43="","",INDEX(TRANSACTIONS_MASTER!$I$5:$I$1204,$Q43))</f>
        <v/>
      </c>
      <c r="G43" s="55" t="str">
        <f>IF($Q43="","",INDEX(TRANSACTIONS_MASTER!$K$5:$K$1204,$Q43))</f>
        <v/>
      </c>
      <c r="H43" s="25" t="str">
        <f>IF($Q43="","",INDEX(TRANSACTIONS_MASTER!$L$5:$L$1204,$Q43))</f>
        <v/>
      </c>
      <c r="I43" s="56" t="str">
        <f>IF($Q43="","",INDEX(TRANSACTIONS_MASTER!$N$5:$N$1204,$Q43))</f>
        <v/>
      </c>
      <c r="J43" s="25" t="str">
        <f>IF($Q43="","",INDEX(TRANSACTIONS_MASTER!$O$5:$O$1204,$Q43))</f>
        <v/>
      </c>
      <c r="K43" s="26" t="str">
        <f>IF($Q43="","",INDEX(TRANSACTIONS_MASTER!$Q$5:$Q$1204,$Q43))</f>
        <v/>
      </c>
      <c r="L43" s="25" t="str">
        <f>IF($Q43="","",INDEX(TRANSACTIONS_MASTER!$P$5:$P$1204,$Q43))</f>
        <v/>
      </c>
      <c r="M43" s="25" t="str">
        <f>IF($Q43="","",INDEX(TRANSACTIONS_MASTER!$AA$5:$AA$1204,$Q43))</f>
        <v/>
      </c>
      <c r="N43" s="25" t="str">
        <f>IF($Q43="","",INDEX(TRANSACTIONS_MASTER!$R$5:$R$1204,$Q43))</f>
        <v/>
      </c>
      <c r="O43" s="28" t="str">
        <f>IF($Q43="","",INDEX(TRANSACTIONS_MASTER!$AB$5:$AB$1204,$Q43))</f>
        <v/>
      </c>
      <c r="P43" s="55" t="str">
        <f>IF($Q43="","",INDEX(TRANSACTIONS_MASTER!$Z$5:$Z$1204,$Q43)&amp;"")</f>
        <v/>
      </c>
      <c r="Q43" s="67" t="str">
        <f>IFERROR(MATCH($C$2&amp;"|"&amp;36,TRANSACTIONS_MASTER!$AE$5:$AE$1204,0),"")</f>
        <v/>
      </c>
      <c r="S43" s="67" t="str">
        <f>IFERROR(MATCH(36,CASHBACK_RULES!$S$5:$S$304,0),"")</f>
        <v/>
      </c>
      <c r="T43" s="55" t="str">
        <f>IF($S43="","",INDEX(CASHBACK_RULES!$B$5:$B$304,$S43))</f>
        <v/>
      </c>
      <c r="U43" s="55" t="str">
        <f>IF($S43="","",INDEX(CASHBACK_RULES!$C$5:$C$304,$S43)&amp;" "&amp;INDEX(CASHBACK_RULES!$D$5:$D$304,$S43))</f>
        <v/>
      </c>
      <c r="V43" s="55" t="str">
        <f>IF($S43="","",INDEX(CASHBACK_RULES!$E$5:$E$304,$S43)&amp;"")</f>
        <v/>
      </c>
      <c r="W43" s="55" t="str">
        <f>IF($S43="","",INDEX(CASHBACK_RULES!$F$5:$F$304,$S43)&amp;"")</f>
        <v/>
      </c>
      <c r="X43" s="26" t="str">
        <f>IF($S43="","",SUMIFS(TRANSACTIONS_MASTER!$Q$5:$Q$1204,TRANSACTIONS_MASTER!$D$5:$D$1204,$T43,TRANSACTIONS_MASTER!$Z$5:$Z$1204,$V43,TRANSACTIONS_MASTER!$C$5:$C$1204,$C$2))</f>
        <v/>
      </c>
      <c r="Y43" s="25" t="str">
        <f>IF($S43="","",IF(ISNUMBER(INDEX(CASHBACK_RULES!$J$5:$J$304,$S43)),INDEX(CASHBACK_RULES!$J$5:$J$304,$S43),"∞"))</f>
        <v/>
      </c>
      <c r="Z43" s="25" t="str">
        <f>IF($S43="","",IF(ISNUMBER($Y43),MAX(0,$Y43-$X43),"∞"))</f>
        <v/>
      </c>
      <c r="AA43" s="27" t="str">
        <f>IF($S43="","",IF(ISNUMBER($Y43),IF($Y43=0,0,$X43/$Y43),""))</f>
        <v/>
      </c>
    </row>
    <row r="44" ht="20" customHeight="1">
      <c r="A44" s="81" t="str">
        <f>IF($Q44="","",37)</f>
        <v/>
      </c>
      <c r="B44" s="57" t="str">
        <f>IF($Q44="","",INDEX(TRANSACTIONS_MASTER!$B$5:$B$1204,$Q44))</f>
        <v/>
      </c>
      <c r="C44" s="55" t="str">
        <f>IF($Q44="","",INDEX(TRANSACTIONS_MASTER!$F$5:$F$1204,$Q44))</f>
        <v/>
      </c>
      <c r="D44" s="55" t="str">
        <f>IF($Q44="","",INDEX(TRANSACTIONS_MASTER!$E$5:$E$1204,$Q44))</f>
        <v/>
      </c>
      <c r="E44" s="55" t="str">
        <f>IF($Q44="","",INDEX(TRANSACTIONS_MASTER!$G$5:$G$1204,$Q44)&amp;"")</f>
        <v/>
      </c>
      <c r="F44" s="29" t="str">
        <f>IF($Q44="","",INDEX(TRANSACTIONS_MASTER!$I$5:$I$1204,$Q44))</f>
        <v/>
      </c>
      <c r="G44" s="55" t="str">
        <f>IF($Q44="","",INDEX(TRANSACTIONS_MASTER!$K$5:$K$1204,$Q44))</f>
        <v/>
      </c>
      <c r="H44" s="25" t="str">
        <f>IF($Q44="","",INDEX(TRANSACTIONS_MASTER!$L$5:$L$1204,$Q44))</f>
        <v/>
      </c>
      <c r="I44" s="56" t="str">
        <f>IF($Q44="","",INDEX(TRANSACTIONS_MASTER!$N$5:$N$1204,$Q44))</f>
        <v/>
      </c>
      <c r="J44" s="25" t="str">
        <f>IF($Q44="","",INDEX(TRANSACTIONS_MASTER!$O$5:$O$1204,$Q44))</f>
        <v/>
      </c>
      <c r="K44" s="26" t="str">
        <f>IF($Q44="","",INDEX(TRANSACTIONS_MASTER!$Q$5:$Q$1204,$Q44))</f>
        <v/>
      </c>
      <c r="L44" s="25" t="str">
        <f>IF($Q44="","",INDEX(TRANSACTIONS_MASTER!$P$5:$P$1204,$Q44))</f>
        <v/>
      </c>
      <c r="M44" s="25" t="str">
        <f>IF($Q44="","",INDEX(TRANSACTIONS_MASTER!$AA$5:$AA$1204,$Q44))</f>
        <v/>
      </c>
      <c r="N44" s="25" t="str">
        <f>IF($Q44="","",INDEX(TRANSACTIONS_MASTER!$R$5:$R$1204,$Q44))</f>
        <v/>
      </c>
      <c r="O44" s="28" t="str">
        <f>IF($Q44="","",INDEX(TRANSACTIONS_MASTER!$AB$5:$AB$1204,$Q44))</f>
        <v/>
      </c>
      <c r="P44" s="55" t="str">
        <f>IF($Q44="","",INDEX(TRANSACTIONS_MASTER!$Z$5:$Z$1204,$Q44)&amp;"")</f>
        <v/>
      </c>
      <c r="Q44" s="67" t="str">
        <f>IFERROR(MATCH($C$2&amp;"|"&amp;37,TRANSACTIONS_MASTER!$AE$5:$AE$1204,0),"")</f>
        <v/>
      </c>
      <c r="S44" s="67" t="str">
        <f>IFERROR(MATCH(37,CASHBACK_RULES!$S$5:$S$304,0),"")</f>
        <v/>
      </c>
      <c r="T44" s="55" t="str">
        <f>IF($S44="","",INDEX(CASHBACK_RULES!$B$5:$B$304,$S44))</f>
        <v/>
      </c>
      <c r="U44" s="55" t="str">
        <f>IF($S44="","",INDEX(CASHBACK_RULES!$C$5:$C$304,$S44)&amp;" "&amp;INDEX(CASHBACK_RULES!$D$5:$D$304,$S44))</f>
        <v/>
      </c>
      <c r="V44" s="55" t="str">
        <f>IF($S44="","",INDEX(CASHBACK_RULES!$E$5:$E$304,$S44)&amp;"")</f>
        <v/>
      </c>
      <c r="W44" s="55" t="str">
        <f>IF($S44="","",INDEX(CASHBACK_RULES!$F$5:$F$304,$S44)&amp;"")</f>
        <v/>
      </c>
      <c r="X44" s="26" t="str">
        <f>IF($S44="","",SUMIFS(TRANSACTIONS_MASTER!$Q$5:$Q$1204,TRANSACTIONS_MASTER!$D$5:$D$1204,$T44,TRANSACTIONS_MASTER!$Z$5:$Z$1204,$V44,TRANSACTIONS_MASTER!$C$5:$C$1204,$C$2))</f>
        <v/>
      </c>
      <c r="Y44" s="25" t="str">
        <f>IF($S44="","",IF(ISNUMBER(INDEX(CASHBACK_RULES!$J$5:$J$304,$S44)),INDEX(CASHBACK_RULES!$J$5:$J$304,$S44),"∞"))</f>
        <v/>
      </c>
      <c r="Z44" s="25" t="str">
        <f>IF($S44="","",IF(ISNUMBER($Y44),MAX(0,$Y44-$X44),"∞"))</f>
        <v/>
      </c>
      <c r="AA44" s="27" t="str">
        <f>IF($S44="","",IF(ISNUMBER($Y44),IF($Y44=0,0,$X44/$Y44),""))</f>
        <v/>
      </c>
    </row>
    <row r="45" ht="20" customHeight="1">
      <c r="A45" s="81" t="str">
        <f>IF($Q45="","",38)</f>
        <v/>
      </c>
      <c r="B45" s="57" t="str">
        <f>IF($Q45="","",INDEX(TRANSACTIONS_MASTER!$B$5:$B$1204,$Q45))</f>
        <v/>
      </c>
      <c r="C45" s="55" t="str">
        <f>IF($Q45="","",INDEX(TRANSACTIONS_MASTER!$F$5:$F$1204,$Q45))</f>
        <v/>
      </c>
      <c r="D45" s="55" t="str">
        <f>IF($Q45="","",INDEX(TRANSACTIONS_MASTER!$E$5:$E$1204,$Q45))</f>
        <v/>
      </c>
      <c r="E45" s="55" t="str">
        <f>IF($Q45="","",INDEX(TRANSACTIONS_MASTER!$G$5:$G$1204,$Q45)&amp;"")</f>
        <v/>
      </c>
      <c r="F45" s="29" t="str">
        <f>IF($Q45="","",INDEX(TRANSACTIONS_MASTER!$I$5:$I$1204,$Q45))</f>
        <v/>
      </c>
      <c r="G45" s="55" t="str">
        <f>IF($Q45="","",INDEX(TRANSACTIONS_MASTER!$K$5:$K$1204,$Q45))</f>
        <v/>
      </c>
      <c r="H45" s="25" t="str">
        <f>IF($Q45="","",INDEX(TRANSACTIONS_MASTER!$L$5:$L$1204,$Q45))</f>
        <v/>
      </c>
      <c r="I45" s="56" t="str">
        <f>IF($Q45="","",INDEX(TRANSACTIONS_MASTER!$N$5:$N$1204,$Q45))</f>
        <v/>
      </c>
      <c r="J45" s="25" t="str">
        <f>IF($Q45="","",INDEX(TRANSACTIONS_MASTER!$O$5:$O$1204,$Q45))</f>
        <v/>
      </c>
      <c r="K45" s="26" t="str">
        <f>IF($Q45="","",INDEX(TRANSACTIONS_MASTER!$Q$5:$Q$1204,$Q45))</f>
        <v/>
      </c>
      <c r="L45" s="25" t="str">
        <f>IF($Q45="","",INDEX(TRANSACTIONS_MASTER!$P$5:$P$1204,$Q45))</f>
        <v/>
      </c>
      <c r="M45" s="25" t="str">
        <f>IF($Q45="","",INDEX(TRANSACTIONS_MASTER!$AA$5:$AA$1204,$Q45))</f>
        <v/>
      </c>
      <c r="N45" s="25" t="str">
        <f>IF($Q45="","",INDEX(TRANSACTIONS_MASTER!$R$5:$R$1204,$Q45))</f>
        <v/>
      </c>
      <c r="O45" s="28" t="str">
        <f>IF($Q45="","",INDEX(TRANSACTIONS_MASTER!$AB$5:$AB$1204,$Q45))</f>
        <v/>
      </c>
      <c r="P45" s="55" t="str">
        <f>IF($Q45="","",INDEX(TRANSACTIONS_MASTER!$Z$5:$Z$1204,$Q45)&amp;"")</f>
        <v/>
      </c>
      <c r="Q45" s="67" t="str">
        <f>IFERROR(MATCH($C$2&amp;"|"&amp;38,TRANSACTIONS_MASTER!$AE$5:$AE$1204,0),"")</f>
        <v/>
      </c>
      <c r="S45" s="67" t="str">
        <f>IFERROR(MATCH(38,CASHBACK_RULES!$S$5:$S$304,0),"")</f>
        <v/>
      </c>
      <c r="T45" s="55" t="str">
        <f>IF($S45="","",INDEX(CASHBACK_RULES!$B$5:$B$304,$S45))</f>
        <v/>
      </c>
      <c r="U45" s="55" t="str">
        <f>IF($S45="","",INDEX(CASHBACK_RULES!$C$5:$C$304,$S45)&amp;" "&amp;INDEX(CASHBACK_RULES!$D$5:$D$304,$S45))</f>
        <v/>
      </c>
      <c r="V45" s="55" t="str">
        <f>IF($S45="","",INDEX(CASHBACK_RULES!$E$5:$E$304,$S45)&amp;"")</f>
        <v/>
      </c>
      <c r="W45" s="55" t="str">
        <f>IF($S45="","",INDEX(CASHBACK_RULES!$F$5:$F$304,$S45)&amp;"")</f>
        <v/>
      </c>
      <c r="X45" s="26" t="str">
        <f>IF($S45="","",SUMIFS(TRANSACTIONS_MASTER!$Q$5:$Q$1204,TRANSACTIONS_MASTER!$D$5:$D$1204,$T45,TRANSACTIONS_MASTER!$Z$5:$Z$1204,$V45,TRANSACTIONS_MASTER!$C$5:$C$1204,$C$2))</f>
        <v/>
      </c>
      <c r="Y45" s="25" t="str">
        <f>IF($S45="","",IF(ISNUMBER(INDEX(CASHBACK_RULES!$J$5:$J$304,$S45)),INDEX(CASHBACK_RULES!$J$5:$J$304,$S45),"∞"))</f>
        <v/>
      </c>
      <c r="Z45" s="25" t="str">
        <f>IF($S45="","",IF(ISNUMBER($Y45),MAX(0,$Y45-$X45),"∞"))</f>
        <v/>
      </c>
      <c r="AA45" s="27" t="str">
        <f>IF($S45="","",IF(ISNUMBER($Y45),IF($Y45=0,0,$X45/$Y45),""))</f>
        <v/>
      </c>
    </row>
    <row r="46" ht="20" customHeight="1">
      <c r="A46" s="81" t="str">
        <f>IF($Q46="","",39)</f>
        <v/>
      </c>
      <c r="B46" s="57" t="str">
        <f>IF($Q46="","",INDEX(TRANSACTIONS_MASTER!$B$5:$B$1204,$Q46))</f>
        <v/>
      </c>
      <c r="C46" s="55" t="str">
        <f>IF($Q46="","",INDEX(TRANSACTIONS_MASTER!$F$5:$F$1204,$Q46))</f>
        <v/>
      </c>
      <c r="D46" s="55" t="str">
        <f>IF($Q46="","",INDEX(TRANSACTIONS_MASTER!$E$5:$E$1204,$Q46))</f>
        <v/>
      </c>
      <c r="E46" s="55" t="str">
        <f>IF($Q46="","",INDEX(TRANSACTIONS_MASTER!$G$5:$G$1204,$Q46)&amp;"")</f>
        <v/>
      </c>
      <c r="F46" s="29" t="str">
        <f>IF($Q46="","",INDEX(TRANSACTIONS_MASTER!$I$5:$I$1204,$Q46))</f>
        <v/>
      </c>
      <c r="G46" s="55" t="str">
        <f>IF($Q46="","",INDEX(TRANSACTIONS_MASTER!$K$5:$K$1204,$Q46))</f>
        <v/>
      </c>
      <c r="H46" s="25" t="str">
        <f>IF($Q46="","",INDEX(TRANSACTIONS_MASTER!$L$5:$L$1204,$Q46))</f>
        <v/>
      </c>
      <c r="I46" s="56" t="str">
        <f>IF($Q46="","",INDEX(TRANSACTIONS_MASTER!$N$5:$N$1204,$Q46))</f>
        <v/>
      </c>
      <c r="J46" s="25" t="str">
        <f>IF($Q46="","",INDEX(TRANSACTIONS_MASTER!$O$5:$O$1204,$Q46))</f>
        <v/>
      </c>
      <c r="K46" s="26" t="str">
        <f>IF($Q46="","",INDEX(TRANSACTIONS_MASTER!$Q$5:$Q$1204,$Q46))</f>
        <v/>
      </c>
      <c r="L46" s="25" t="str">
        <f>IF($Q46="","",INDEX(TRANSACTIONS_MASTER!$P$5:$P$1204,$Q46))</f>
        <v/>
      </c>
      <c r="M46" s="25" t="str">
        <f>IF($Q46="","",INDEX(TRANSACTIONS_MASTER!$AA$5:$AA$1204,$Q46))</f>
        <v/>
      </c>
      <c r="N46" s="25" t="str">
        <f>IF($Q46="","",INDEX(TRANSACTIONS_MASTER!$R$5:$R$1204,$Q46))</f>
        <v/>
      </c>
      <c r="O46" s="28" t="str">
        <f>IF($Q46="","",INDEX(TRANSACTIONS_MASTER!$AB$5:$AB$1204,$Q46))</f>
        <v/>
      </c>
      <c r="P46" s="55" t="str">
        <f>IF($Q46="","",INDEX(TRANSACTIONS_MASTER!$Z$5:$Z$1204,$Q46)&amp;"")</f>
        <v/>
      </c>
      <c r="Q46" s="67" t="str">
        <f>IFERROR(MATCH($C$2&amp;"|"&amp;39,TRANSACTIONS_MASTER!$AE$5:$AE$1204,0),"")</f>
        <v/>
      </c>
      <c r="S46" s="67" t="str">
        <f>IFERROR(MATCH(39,CASHBACK_RULES!$S$5:$S$304,0),"")</f>
        <v/>
      </c>
      <c r="T46" s="55" t="str">
        <f>IF($S46="","",INDEX(CASHBACK_RULES!$B$5:$B$304,$S46))</f>
        <v/>
      </c>
      <c r="U46" s="55" t="str">
        <f>IF($S46="","",INDEX(CASHBACK_RULES!$C$5:$C$304,$S46)&amp;" "&amp;INDEX(CASHBACK_RULES!$D$5:$D$304,$S46))</f>
        <v/>
      </c>
      <c r="V46" s="55" t="str">
        <f>IF($S46="","",INDEX(CASHBACK_RULES!$E$5:$E$304,$S46)&amp;"")</f>
        <v/>
      </c>
      <c r="W46" s="55" t="str">
        <f>IF($S46="","",INDEX(CASHBACK_RULES!$F$5:$F$304,$S46)&amp;"")</f>
        <v/>
      </c>
      <c r="X46" s="26" t="str">
        <f>IF($S46="","",SUMIFS(TRANSACTIONS_MASTER!$Q$5:$Q$1204,TRANSACTIONS_MASTER!$D$5:$D$1204,$T46,TRANSACTIONS_MASTER!$Z$5:$Z$1204,$V46,TRANSACTIONS_MASTER!$C$5:$C$1204,$C$2))</f>
        <v/>
      </c>
      <c r="Y46" s="25" t="str">
        <f>IF($S46="","",IF(ISNUMBER(INDEX(CASHBACK_RULES!$J$5:$J$304,$S46)),INDEX(CASHBACK_RULES!$J$5:$J$304,$S46),"∞"))</f>
        <v/>
      </c>
      <c r="Z46" s="25" t="str">
        <f>IF($S46="","",IF(ISNUMBER($Y46),MAX(0,$Y46-$X46),"∞"))</f>
        <v/>
      </c>
      <c r="AA46" s="27" t="str">
        <f>IF($S46="","",IF(ISNUMBER($Y46),IF($Y46=0,0,$X46/$Y46),""))</f>
        <v/>
      </c>
    </row>
    <row r="47" ht="20" customHeight="1">
      <c r="A47" s="81" t="str">
        <f>IF($Q47="","",40)</f>
        <v/>
      </c>
      <c r="B47" s="57" t="str">
        <f>IF($Q47="","",INDEX(TRANSACTIONS_MASTER!$B$5:$B$1204,$Q47))</f>
        <v/>
      </c>
      <c r="C47" s="55" t="str">
        <f>IF($Q47="","",INDEX(TRANSACTIONS_MASTER!$F$5:$F$1204,$Q47))</f>
        <v/>
      </c>
      <c r="D47" s="55" t="str">
        <f>IF($Q47="","",INDEX(TRANSACTIONS_MASTER!$E$5:$E$1204,$Q47))</f>
        <v/>
      </c>
      <c r="E47" s="55" t="str">
        <f>IF($Q47="","",INDEX(TRANSACTIONS_MASTER!$G$5:$G$1204,$Q47)&amp;"")</f>
        <v/>
      </c>
      <c r="F47" s="29" t="str">
        <f>IF($Q47="","",INDEX(TRANSACTIONS_MASTER!$I$5:$I$1204,$Q47))</f>
        <v/>
      </c>
      <c r="G47" s="55" t="str">
        <f>IF($Q47="","",INDEX(TRANSACTIONS_MASTER!$K$5:$K$1204,$Q47))</f>
        <v/>
      </c>
      <c r="H47" s="25" t="str">
        <f>IF($Q47="","",INDEX(TRANSACTIONS_MASTER!$L$5:$L$1204,$Q47))</f>
        <v/>
      </c>
      <c r="I47" s="56" t="str">
        <f>IF($Q47="","",INDEX(TRANSACTIONS_MASTER!$N$5:$N$1204,$Q47))</f>
        <v/>
      </c>
      <c r="J47" s="25" t="str">
        <f>IF($Q47="","",INDEX(TRANSACTIONS_MASTER!$O$5:$O$1204,$Q47))</f>
        <v/>
      </c>
      <c r="K47" s="26" t="str">
        <f>IF($Q47="","",INDEX(TRANSACTIONS_MASTER!$Q$5:$Q$1204,$Q47))</f>
        <v/>
      </c>
      <c r="L47" s="25" t="str">
        <f>IF($Q47="","",INDEX(TRANSACTIONS_MASTER!$P$5:$P$1204,$Q47))</f>
        <v/>
      </c>
      <c r="M47" s="25" t="str">
        <f>IF($Q47="","",INDEX(TRANSACTIONS_MASTER!$AA$5:$AA$1204,$Q47))</f>
        <v/>
      </c>
      <c r="N47" s="25" t="str">
        <f>IF($Q47="","",INDEX(TRANSACTIONS_MASTER!$R$5:$R$1204,$Q47))</f>
        <v/>
      </c>
      <c r="O47" s="28" t="str">
        <f>IF($Q47="","",INDEX(TRANSACTIONS_MASTER!$AB$5:$AB$1204,$Q47))</f>
        <v/>
      </c>
      <c r="P47" s="55" t="str">
        <f>IF($Q47="","",INDEX(TRANSACTIONS_MASTER!$Z$5:$Z$1204,$Q47)&amp;"")</f>
        <v/>
      </c>
      <c r="Q47" s="67" t="str">
        <f>IFERROR(MATCH($C$2&amp;"|"&amp;40,TRANSACTIONS_MASTER!$AE$5:$AE$1204,0),"")</f>
        <v/>
      </c>
      <c r="S47" s="67" t="str">
        <f>IFERROR(MATCH(40,CASHBACK_RULES!$S$5:$S$304,0),"")</f>
        <v/>
      </c>
      <c r="T47" s="55" t="str">
        <f>IF($S47="","",INDEX(CASHBACK_RULES!$B$5:$B$304,$S47))</f>
        <v/>
      </c>
      <c r="U47" s="55" t="str">
        <f>IF($S47="","",INDEX(CASHBACK_RULES!$C$5:$C$304,$S47)&amp;" "&amp;INDEX(CASHBACK_RULES!$D$5:$D$304,$S47))</f>
        <v/>
      </c>
      <c r="V47" s="55" t="str">
        <f>IF($S47="","",INDEX(CASHBACK_RULES!$E$5:$E$304,$S47)&amp;"")</f>
        <v/>
      </c>
      <c r="W47" s="55" t="str">
        <f>IF($S47="","",INDEX(CASHBACK_RULES!$F$5:$F$304,$S47)&amp;"")</f>
        <v/>
      </c>
      <c r="X47" s="26" t="str">
        <f>IF($S47="","",SUMIFS(TRANSACTIONS_MASTER!$Q$5:$Q$1204,TRANSACTIONS_MASTER!$D$5:$D$1204,$T47,TRANSACTIONS_MASTER!$Z$5:$Z$1204,$V47,TRANSACTIONS_MASTER!$C$5:$C$1204,$C$2))</f>
        <v/>
      </c>
      <c r="Y47" s="25" t="str">
        <f>IF($S47="","",IF(ISNUMBER(INDEX(CASHBACK_RULES!$J$5:$J$304,$S47)),INDEX(CASHBACK_RULES!$J$5:$J$304,$S47),"∞"))</f>
        <v/>
      </c>
      <c r="Z47" s="25" t="str">
        <f>IF($S47="","",IF(ISNUMBER($Y47),MAX(0,$Y47-$X47),"∞"))</f>
        <v/>
      </c>
      <c r="AA47" s="27" t="str">
        <f>IF($S47="","",IF(ISNUMBER($Y47),IF($Y47=0,0,$X47/$Y47),""))</f>
        <v/>
      </c>
    </row>
    <row r="48" ht="20" customHeight="1">
      <c r="A48" s="81" t="str">
        <f>IF($Q48="","",41)</f>
        <v/>
      </c>
      <c r="B48" s="57" t="str">
        <f>IF($Q48="","",INDEX(TRANSACTIONS_MASTER!$B$5:$B$1204,$Q48))</f>
        <v/>
      </c>
      <c r="C48" s="55" t="str">
        <f>IF($Q48="","",INDEX(TRANSACTIONS_MASTER!$F$5:$F$1204,$Q48))</f>
        <v/>
      </c>
      <c r="D48" s="55" t="str">
        <f>IF($Q48="","",INDEX(TRANSACTIONS_MASTER!$E$5:$E$1204,$Q48))</f>
        <v/>
      </c>
      <c r="E48" s="55" t="str">
        <f>IF($Q48="","",INDEX(TRANSACTIONS_MASTER!$G$5:$G$1204,$Q48)&amp;"")</f>
        <v/>
      </c>
      <c r="F48" s="29" t="str">
        <f>IF($Q48="","",INDEX(TRANSACTIONS_MASTER!$I$5:$I$1204,$Q48))</f>
        <v/>
      </c>
      <c r="G48" s="55" t="str">
        <f>IF($Q48="","",INDEX(TRANSACTIONS_MASTER!$K$5:$K$1204,$Q48))</f>
        <v/>
      </c>
      <c r="H48" s="25" t="str">
        <f>IF($Q48="","",INDEX(TRANSACTIONS_MASTER!$L$5:$L$1204,$Q48))</f>
        <v/>
      </c>
      <c r="I48" s="56" t="str">
        <f>IF($Q48="","",INDEX(TRANSACTIONS_MASTER!$N$5:$N$1204,$Q48))</f>
        <v/>
      </c>
      <c r="J48" s="25" t="str">
        <f>IF($Q48="","",INDEX(TRANSACTIONS_MASTER!$O$5:$O$1204,$Q48))</f>
        <v/>
      </c>
      <c r="K48" s="26" t="str">
        <f>IF($Q48="","",INDEX(TRANSACTIONS_MASTER!$Q$5:$Q$1204,$Q48))</f>
        <v/>
      </c>
      <c r="L48" s="25" t="str">
        <f>IF($Q48="","",INDEX(TRANSACTIONS_MASTER!$P$5:$P$1204,$Q48))</f>
        <v/>
      </c>
      <c r="M48" s="25" t="str">
        <f>IF($Q48="","",INDEX(TRANSACTIONS_MASTER!$AA$5:$AA$1204,$Q48))</f>
        <v/>
      </c>
      <c r="N48" s="25" t="str">
        <f>IF($Q48="","",INDEX(TRANSACTIONS_MASTER!$R$5:$R$1204,$Q48))</f>
        <v/>
      </c>
      <c r="O48" s="28" t="str">
        <f>IF($Q48="","",INDEX(TRANSACTIONS_MASTER!$AB$5:$AB$1204,$Q48))</f>
        <v/>
      </c>
      <c r="P48" s="55" t="str">
        <f>IF($Q48="","",INDEX(TRANSACTIONS_MASTER!$Z$5:$Z$1204,$Q48)&amp;"")</f>
        <v/>
      </c>
      <c r="Q48" s="67" t="str">
        <f>IFERROR(MATCH($C$2&amp;"|"&amp;41,TRANSACTIONS_MASTER!$AE$5:$AE$1204,0),"")</f>
        <v/>
      </c>
      <c r="S48" s="67" t="str">
        <f>IFERROR(MATCH(41,CASHBACK_RULES!$S$5:$S$304,0),"")</f>
        <v/>
      </c>
      <c r="T48" s="55" t="str">
        <f>IF($S48="","",INDEX(CASHBACK_RULES!$B$5:$B$304,$S48))</f>
        <v/>
      </c>
      <c r="U48" s="55" t="str">
        <f>IF($S48="","",INDEX(CASHBACK_RULES!$C$5:$C$304,$S48)&amp;" "&amp;INDEX(CASHBACK_RULES!$D$5:$D$304,$S48))</f>
        <v/>
      </c>
      <c r="V48" s="55" t="str">
        <f>IF($S48="","",INDEX(CASHBACK_RULES!$E$5:$E$304,$S48)&amp;"")</f>
        <v/>
      </c>
      <c r="W48" s="55" t="str">
        <f>IF($S48="","",INDEX(CASHBACK_RULES!$F$5:$F$304,$S48)&amp;"")</f>
        <v/>
      </c>
      <c r="X48" s="26" t="str">
        <f>IF($S48="","",SUMIFS(TRANSACTIONS_MASTER!$Q$5:$Q$1204,TRANSACTIONS_MASTER!$D$5:$D$1204,$T48,TRANSACTIONS_MASTER!$Z$5:$Z$1204,$V48,TRANSACTIONS_MASTER!$C$5:$C$1204,$C$2))</f>
        <v/>
      </c>
      <c r="Y48" s="25" t="str">
        <f>IF($S48="","",IF(ISNUMBER(INDEX(CASHBACK_RULES!$J$5:$J$304,$S48)),INDEX(CASHBACK_RULES!$J$5:$J$304,$S48),"∞"))</f>
        <v/>
      </c>
      <c r="Z48" s="25" t="str">
        <f>IF($S48="","",IF(ISNUMBER($Y48),MAX(0,$Y48-$X48),"∞"))</f>
        <v/>
      </c>
      <c r="AA48" s="27" t="str">
        <f>IF($S48="","",IF(ISNUMBER($Y48),IF($Y48=0,0,$X48/$Y48),""))</f>
        <v/>
      </c>
    </row>
    <row r="49" ht="20" customHeight="1">
      <c r="A49" s="81" t="str">
        <f>IF($Q49="","",42)</f>
        <v/>
      </c>
      <c r="B49" s="57" t="str">
        <f>IF($Q49="","",INDEX(TRANSACTIONS_MASTER!$B$5:$B$1204,$Q49))</f>
        <v/>
      </c>
      <c r="C49" s="55" t="str">
        <f>IF($Q49="","",INDEX(TRANSACTIONS_MASTER!$F$5:$F$1204,$Q49))</f>
        <v/>
      </c>
      <c r="D49" s="55" t="str">
        <f>IF($Q49="","",INDEX(TRANSACTIONS_MASTER!$E$5:$E$1204,$Q49))</f>
        <v/>
      </c>
      <c r="E49" s="55" t="str">
        <f>IF($Q49="","",INDEX(TRANSACTIONS_MASTER!$G$5:$G$1204,$Q49)&amp;"")</f>
        <v/>
      </c>
      <c r="F49" s="29" t="str">
        <f>IF($Q49="","",INDEX(TRANSACTIONS_MASTER!$I$5:$I$1204,$Q49))</f>
        <v/>
      </c>
      <c r="G49" s="55" t="str">
        <f>IF($Q49="","",INDEX(TRANSACTIONS_MASTER!$K$5:$K$1204,$Q49))</f>
        <v/>
      </c>
      <c r="H49" s="25" t="str">
        <f>IF($Q49="","",INDEX(TRANSACTIONS_MASTER!$L$5:$L$1204,$Q49))</f>
        <v/>
      </c>
      <c r="I49" s="56" t="str">
        <f>IF($Q49="","",INDEX(TRANSACTIONS_MASTER!$N$5:$N$1204,$Q49))</f>
        <v/>
      </c>
      <c r="J49" s="25" t="str">
        <f>IF($Q49="","",INDEX(TRANSACTIONS_MASTER!$O$5:$O$1204,$Q49))</f>
        <v/>
      </c>
      <c r="K49" s="26" t="str">
        <f>IF($Q49="","",INDEX(TRANSACTIONS_MASTER!$Q$5:$Q$1204,$Q49))</f>
        <v/>
      </c>
      <c r="L49" s="25" t="str">
        <f>IF($Q49="","",INDEX(TRANSACTIONS_MASTER!$P$5:$P$1204,$Q49))</f>
        <v/>
      </c>
      <c r="M49" s="25" t="str">
        <f>IF($Q49="","",INDEX(TRANSACTIONS_MASTER!$AA$5:$AA$1204,$Q49))</f>
        <v/>
      </c>
      <c r="N49" s="25" t="str">
        <f>IF($Q49="","",INDEX(TRANSACTIONS_MASTER!$R$5:$R$1204,$Q49))</f>
        <v/>
      </c>
      <c r="O49" s="28" t="str">
        <f>IF($Q49="","",INDEX(TRANSACTIONS_MASTER!$AB$5:$AB$1204,$Q49))</f>
        <v/>
      </c>
      <c r="P49" s="55" t="str">
        <f>IF($Q49="","",INDEX(TRANSACTIONS_MASTER!$Z$5:$Z$1204,$Q49)&amp;"")</f>
        <v/>
      </c>
      <c r="Q49" s="67" t="str">
        <f>IFERROR(MATCH($C$2&amp;"|"&amp;42,TRANSACTIONS_MASTER!$AE$5:$AE$1204,0),"")</f>
        <v/>
      </c>
      <c r="S49" s="67" t="str">
        <f>IFERROR(MATCH(42,CASHBACK_RULES!$S$5:$S$304,0),"")</f>
        <v/>
      </c>
      <c r="T49" s="55" t="str">
        <f>IF($S49="","",INDEX(CASHBACK_RULES!$B$5:$B$304,$S49))</f>
        <v/>
      </c>
      <c r="U49" s="55" t="str">
        <f>IF($S49="","",INDEX(CASHBACK_RULES!$C$5:$C$304,$S49)&amp;" "&amp;INDEX(CASHBACK_RULES!$D$5:$D$304,$S49))</f>
        <v/>
      </c>
      <c r="V49" s="55" t="str">
        <f>IF($S49="","",INDEX(CASHBACK_RULES!$E$5:$E$304,$S49)&amp;"")</f>
        <v/>
      </c>
      <c r="W49" s="55" t="str">
        <f>IF($S49="","",INDEX(CASHBACK_RULES!$F$5:$F$304,$S49)&amp;"")</f>
        <v/>
      </c>
      <c r="X49" s="26" t="str">
        <f>IF($S49="","",SUMIFS(TRANSACTIONS_MASTER!$Q$5:$Q$1204,TRANSACTIONS_MASTER!$D$5:$D$1204,$T49,TRANSACTIONS_MASTER!$Z$5:$Z$1204,$V49,TRANSACTIONS_MASTER!$C$5:$C$1204,$C$2))</f>
        <v/>
      </c>
      <c r="Y49" s="25" t="str">
        <f>IF($S49="","",IF(ISNUMBER(INDEX(CASHBACK_RULES!$J$5:$J$304,$S49)),INDEX(CASHBACK_RULES!$J$5:$J$304,$S49),"∞"))</f>
        <v/>
      </c>
      <c r="Z49" s="25" t="str">
        <f>IF($S49="","",IF(ISNUMBER($Y49),MAX(0,$Y49-$X49),"∞"))</f>
        <v/>
      </c>
      <c r="AA49" s="27" t="str">
        <f>IF($S49="","",IF(ISNUMBER($Y49),IF($Y49=0,0,$X49/$Y49),""))</f>
        <v/>
      </c>
    </row>
    <row r="50" ht="20" customHeight="1">
      <c r="A50" s="81" t="str">
        <f>IF($Q50="","",43)</f>
        <v/>
      </c>
      <c r="B50" s="57" t="str">
        <f>IF($Q50="","",INDEX(TRANSACTIONS_MASTER!$B$5:$B$1204,$Q50))</f>
        <v/>
      </c>
      <c r="C50" s="55" t="str">
        <f>IF($Q50="","",INDEX(TRANSACTIONS_MASTER!$F$5:$F$1204,$Q50))</f>
        <v/>
      </c>
      <c r="D50" s="55" t="str">
        <f>IF($Q50="","",INDEX(TRANSACTIONS_MASTER!$E$5:$E$1204,$Q50))</f>
        <v/>
      </c>
      <c r="E50" s="55" t="str">
        <f>IF($Q50="","",INDEX(TRANSACTIONS_MASTER!$G$5:$G$1204,$Q50)&amp;"")</f>
        <v/>
      </c>
      <c r="F50" s="29" t="str">
        <f>IF($Q50="","",INDEX(TRANSACTIONS_MASTER!$I$5:$I$1204,$Q50))</f>
        <v/>
      </c>
      <c r="G50" s="55" t="str">
        <f>IF($Q50="","",INDEX(TRANSACTIONS_MASTER!$K$5:$K$1204,$Q50))</f>
        <v/>
      </c>
      <c r="H50" s="25" t="str">
        <f>IF($Q50="","",INDEX(TRANSACTIONS_MASTER!$L$5:$L$1204,$Q50))</f>
        <v/>
      </c>
      <c r="I50" s="56" t="str">
        <f>IF($Q50="","",INDEX(TRANSACTIONS_MASTER!$N$5:$N$1204,$Q50))</f>
        <v/>
      </c>
      <c r="J50" s="25" t="str">
        <f>IF($Q50="","",INDEX(TRANSACTIONS_MASTER!$O$5:$O$1204,$Q50))</f>
        <v/>
      </c>
      <c r="K50" s="26" t="str">
        <f>IF($Q50="","",INDEX(TRANSACTIONS_MASTER!$Q$5:$Q$1204,$Q50))</f>
        <v/>
      </c>
      <c r="L50" s="25" t="str">
        <f>IF($Q50="","",INDEX(TRANSACTIONS_MASTER!$P$5:$P$1204,$Q50))</f>
        <v/>
      </c>
      <c r="M50" s="25" t="str">
        <f>IF($Q50="","",INDEX(TRANSACTIONS_MASTER!$AA$5:$AA$1204,$Q50))</f>
        <v/>
      </c>
      <c r="N50" s="25" t="str">
        <f>IF($Q50="","",INDEX(TRANSACTIONS_MASTER!$R$5:$R$1204,$Q50))</f>
        <v/>
      </c>
      <c r="O50" s="28" t="str">
        <f>IF($Q50="","",INDEX(TRANSACTIONS_MASTER!$AB$5:$AB$1204,$Q50))</f>
        <v/>
      </c>
      <c r="P50" s="55" t="str">
        <f>IF($Q50="","",INDEX(TRANSACTIONS_MASTER!$Z$5:$Z$1204,$Q50)&amp;"")</f>
        <v/>
      </c>
      <c r="Q50" s="67" t="str">
        <f>IFERROR(MATCH($C$2&amp;"|"&amp;43,TRANSACTIONS_MASTER!$AE$5:$AE$1204,0),"")</f>
        <v/>
      </c>
      <c r="S50" s="67" t="str">
        <f>IFERROR(MATCH(43,CASHBACK_RULES!$S$5:$S$304,0),"")</f>
        <v/>
      </c>
      <c r="T50" s="55" t="str">
        <f>IF($S50="","",INDEX(CASHBACK_RULES!$B$5:$B$304,$S50))</f>
        <v/>
      </c>
      <c r="U50" s="55" t="str">
        <f>IF($S50="","",INDEX(CASHBACK_RULES!$C$5:$C$304,$S50)&amp;" "&amp;INDEX(CASHBACK_RULES!$D$5:$D$304,$S50))</f>
        <v/>
      </c>
      <c r="V50" s="55" t="str">
        <f>IF($S50="","",INDEX(CASHBACK_RULES!$E$5:$E$304,$S50)&amp;"")</f>
        <v/>
      </c>
      <c r="W50" s="55" t="str">
        <f>IF($S50="","",INDEX(CASHBACK_RULES!$F$5:$F$304,$S50)&amp;"")</f>
        <v/>
      </c>
      <c r="X50" s="26" t="str">
        <f>IF($S50="","",SUMIFS(TRANSACTIONS_MASTER!$Q$5:$Q$1204,TRANSACTIONS_MASTER!$D$5:$D$1204,$T50,TRANSACTIONS_MASTER!$Z$5:$Z$1204,$V50,TRANSACTIONS_MASTER!$C$5:$C$1204,$C$2))</f>
        <v/>
      </c>
      <c r="Y50" s="25" t="str">
        <f>IF($S50="","",IF(ISNUMBER(INDEX(CASHBACK_RULES!$J$5:$J$304,$S50)),INDEX(CASHBACK_RULES!$J$5:$J$304,$S50),"∞"))</f>
        <v/>
      </c>
      <c r="Z50" s="25" t="str">
        <f>IF($S50="","",IF(ISNUMBER($Y50),MAX(0,$Y50-$X50),"∞"))</f>
        <v/>
      </c>
      <c r="AA50" s="27" t="str">
        <f>IF($S50="","",IF(ISNUMBER($Y50),IF($Y50=0,0,$X50/$Y50),""))</f>
        <v/>
      </c>
    </row>
    <row r="51" ht="20" customHeight="1">
      <c r="A51" s="81" t="str">
        <f>IF($Q51="","",44)</f>
        <v/>
      </c>
      <c r="B51" s="57" t="str">
        <f>IF($Q51="","",INDEX(TRANSACTIONS_MASTER!$B$5:$B$1204,$Q51))</f>
        <v/>
      </c>
      <c r="C51" s="55" t="str">
        <f>IF($Q51="","",INDEX(TRANSACTIONS_MASTER!$F$5:$F$1204,$Q51))</f>
        <v/>
      </c>
      <c r="D51" s="55" t="str">
        <f>IF($Q51="","",INDEX(TRANSACTIONS_MASTER!$E$5:$E$1204,$Q51))</f>
        <v/>
      </c>
      <c r="E51" s="55" t="str">
        <f>IF($Q51="","",INDEX(TRANSACTIONS_MASTER!$G$5:$G$1204,$Q51)&amp;"")</f>
        <v/>
      </c>
      <c r="F51" s="29" t="str">
        <f>IF($Q51="","",INDEX(TRANSACTIONS_MASTER!$I$5:$I$1204,$Q51))</f>
        <v/>
      </c>
      <c r="G51" s="55" t="str">
        <f>IF($Q51="","",INDEX(TRANSACTIONS_MASTER!$K$5:$K$1204,$Q51))</f>
        <v/>
      </c>
      <c r="H51" s="25" t="str">
        <f>IF($Q51="","",INDEX(TRANSACTIONS_MASTER!$L$5:$L$1204,$Q51))</f>
        <v/>
      </c>
      <c r="I51" s="56" t="str">
        <f>IF($Q51="","",INDEX(TRANSACTIONS_MASTER!$N$5:$N$1204,$Q51))</f>
        <v/>
      </c>
      <c r="J51" s="25" t="str">
        <f>IF($Q51="","",INDEX(TRANSACTIONS_MASTER!$O$5:$O$1204,$Q51))</f>
        <v/>
      </c>
      <c r="K51" s="26" t="str">
        <f>IF($Q51="","",INDEX(TRANSACTIONS_MASTER!$Q$5:$Q$1204,$Q51))</f>
        <v/>
      </c>
      <c r="L51" s="25" t="str">
        <f>IF($Q51="","",INDEX(TRANSACTIONS_MASTER!$P$5:$P$1204,$Q51))</f>
        <v/>
      </c>
      <c r="M51" s="25" t="str">
        <f>IF($Q51="","",INDEX(TRANSACTIONS_MASTER!$AA$5:$AA$1204,$Q51))</f>
        <v/>
      </c>
      <c r="N51" s="25" t="str">
        <f>IF($Q51="","",INDEX(TRANSACTIONS_MASTER!$R$5:$R$1204,$Q51))</f>
        <v/>
      </c>
      <c r="O51" s="28" t="str">
        <f>IF($Q51="","",INDEX(TRANSACTIONS_MASTER!$AB$5:$AB$1204,$Q51))</f>
        <v/>
      </c>
      <c r="P51" s="55" t="str">
        <f>IF($Q51="","",INDEX(TRANSACTIONS_MASTER!$Z$5:$Z$1204,$Q51)&amp;"")</f>
        <v/>
      </c>
      <c r="Q51" s="67" t="str">
        <f>IFERROR(MATCH($C$2&amp;"|"&amp;44,TRANSACTIONS_MASTER!$AE$5:$AE$1204,0),"")</f>
        <v/>
      </c>
      <c r="S51" s="67" t="str">
        <f>IFERROR(MATCH(44,CASHBACK_RULES!$S$5:$S$304,0),"")</f>
        <v/>
      </c>
      <c r="T51" s="55" t="str">
        <f>IF($S51="","",INDEX(CASHBACK_RULES!$B$5:$B$304,$S51))</f>
        <v/>
      </c>
      <c r="U51" s="55" t="str">
        <f>IF($S51="","",INDEX(CASHBACK_RULES!$C$5:$C$304,$S51)&amp;" "&amp;INDEX(CASHBACK_RULES!$D$5:$D$304,$S51))</f>
        <v/>
      </c>
      <c r="V51" s="55" t="str">
        <f>IF($S51="","",INDEX(CASHBACK_RULES!$E$5:$E$304,$S51)&amp;"")</f>
        <v/>
      </c>
      <c r="W51" s="55" t="str">
        <f>IF($S51="","",INDEX(CASHBACK_RULES!$F$5:$F$304,$S51)&amp;"")</f>
        <v/>
      </c>
      <c r="X51" s="26" t="str">
        <f>IF($S51="","",SUMIFS(TRANSACTIONS_MASTER!$Q$5:$Q$1204,TRANSACTIONS_MASTER!$D$5:$D$1204,$T51,TRANSACTIONS_MASTER!$Z$5:$Z$1204,$V51,TRANSACTIONS_MASTER!$C$5:$C$1204,$C$2))</f>
        <v/>
      </c>
      <c r="Y51" s="25" t="str">
        <f>IF($S51="","",IF(ISNUMBER(INDEX(CASHBACK_RULES!$J$5:$J$304,$S51)),INDEX(CASHBACK_RULES!$J$5:$J$304,$S51),"∞"))</f>
        <v/>
      </c>
      <c r="Z51" s="25" t="str">
        <f>IF($S51="","",IF(ISNUMBER($Y51),MAX(0,$Y51-$X51),"∞"))</f>
        <v/>
      </c>
      <c r="AA51" s="27" t="str">
        <f>IF($S51="","",IF(ISNUMBER($Y51),IF($Y51=0,0,$X51/$Y51),""))</f>
        <v/>
      </c>
    </row>
    <row r="52" ht="20" customHeight="1">
      <c r="A52" s="81" t="str">
        <f>IF($Q52="","",45)</f>
        <v/>
      </c>
      <c r="B52" s="57" t="str">
        <f>IF($Q52="","",INDEX(TRANSACTIONS_MASTER!$B$5:$B$1204,$Q52))</f>
        <v/>
      </c>
      <c r="C52" s="55" t="str">
        <f>IF($Q52="","",INDEX(TRANSACTIONS_MASTER!$F$5:$F$1204,$Q52))</f>
        <v/>
      </c>
      <c r="D52" s="55" t="str">
        <f>IF($Q52="","",INDEX(TRANSACTIONS_MASTER!$E$5:$E$1204,$Q52))</f>
        <v/>
      </c>
      <c r="E52" s="55" t="str">
        <f>IF($Q52="","",INDEX(TRANSACTIONS_MASTER!$G$5:$G$1204,$Q52)&amp;"")</f>
        <v/>
      </c>
      <c r="F52" s="29" t="str">
        <f>IF($Q52="","",INDEX(TRANSACTIONS_MASTER!$I$5:$I$1204,$Q52))</f>
        <v/>
      </c>
      <c r="G52" s="55" t="str">
        <f>IF($Q52="","",INDEX(TRANSACTIONS_MASTER!$K$5:$K$1204,$Q52))</f>
        <v/>
      </c>
      <c r="H52" s="25" t="str">
        <f>IF($Q52="","",INDEX(TRANSACTIONS_MASTER!$L$5:$L$1204,$Q52))</f>
        <v/>
      </c>
      <c r="I52" s="56" t="str">
        <f>IF($Q52="","",INDEX(TRANSACTIONS_MASTER!$N$5:$N$1204,$Q52))</f>
        <v/>
      </c>
      <c r="J52" s="25" t="str">
        <f>IF($Q52="","",INDEX(TRANSACTIONS_MASTER!$O$5:$O$1204,$Q52))</f>
        <v/>
      </c>
      <c r="K52" s="26" t="str">
        <f>IF($Q52="","",INDEX(TRANSACTIONS_MASTER!$Q$5:$Q$1204,$Q52))</f>
        <v/>
      </c>
      <c r="L52" s="25" t="str">
        <f>IF($Q52="","",INDEX(TRANSACTIONS_MASTER!$P$5:$P$1204,$Q52))</f>
        <v/>
      </c>
      <c r="M52" s="25" t="str">
        <f>IF($Q52="","",INDEX(TRANSACTIONS_MASTER!$AA$5:$AA$1204,$Q52))</f>
        <v/>
      </c>
      <c r="N52" s="25" t="str">
        <f>IF($Q52="","",INDEX(TRANSACTIONS_MASTER!$R$5:$R$1204,$Q52))</f>
        <v/>
      </c>
      <c r="O52" s="28" t="str">
        <f>IF($Q52="","",INDEX(TRANSACTIONS_MASTER!$AB$5:$AB$1204,$Q52))</f>
        <v/>
      </c>
      <c r="P52" s="55" t="str">
        <f>IF($Q52="","",INDEX(TRANSACTIONS_MASTER!$Z$5:$Z$1204,$Q52)&amp;"")</f>
        <v/>
      </c>
      <c r="Q52" s="67" t="str">
        <f>IFERROR(MATCH($C$2&amp;"|"&amp;45,TRANSACTIONS_MASTER!$AE$5:$AE$1204,0),"")</f>
        <v/>
      </c>
      <c r="S52" s="67" t="str">
        <f>IFERROR(MATCH(45,CASHBACK_RULES!$S$5:$S$304,0),"")</f>
        <v/>
      </c>
      <c r="T52" s="55" t="str">
        <f>IF($S52="","",INDEX(CASHBACK_RULES!$B$5:$B$304,$S52))</f>
        <v/>
      </c>
      <c r="U52" s="55" t="str">
        <f>IF($S52="","",INDEX(CASHBACK_RULES!$C$5:$C$304,$S52)&amp;" "&amp;INDEX(CASHBACK_RULES!$D$5:$D$304,$S52))</f>
        <v/>
      </c>
      <c r="V52" s="55" t="str">
        <f>IF($S52="","",INDEX(CASHBACK_RULES!$E$5:$E$304,$S52)&amp;"")</f>
        <v/>
      </c>
      <c r="W52" s="55" t="str">
        <f>IF($S52="","",INDEX(CASHBACK_RULES!$F$5:$F$304,$S52)&amp;"")</f>
        <v/>
      </c>
      <c r="X52" s="26" t="str">
        <f>IF($S52="","",SUMIFS(TRANSACTIONS_MASTER!$Q$5:$Q$1204,TRANSACTIONS_MASTER!$D$5:$D$1204,$T52,TRANSACTIONS_MASTER!$Z$5:$Z$1204,$V52,TRANSACTIONS_MASTER!$C$5:$C$1204,$C$2))</f>
        <v/>
      </c>
      <c r="Y52" s="25" t="str">
        <f>IF($S52="","",IF(ISNUMBER(INDEX(CASHBACK_RULES!$J$5:$J$304,$S52)),INDEX(CASHBACK_RULES!$J$5:$J$304,$S52),"∞"))</f>
        <v/>
      </c>
      <c r="Z52" s="25" t="str">
        <f>IF($S52="","",IF(ISNUMBER($Y52),MAX(0,$Y52-$X52),"∞"))</f>
        <v/>
      </c>
      <c r="AA52" s="27" t="str">
        <f>IF($S52="","",IF(ISNUMBER($Y52),IF($Y52=0,0,$X52/$Y52),""))</f>
        <v/>
      </c>
    </row>
    <row r="53" ht="20" customHeight="1">
      <c r="A53" s="81" t="str">
        <f>IF($Q53="","",46)</f>
        <v/>
      </c>
      <c r="B53" s="57" t="str">
        <f>IF($Q53="","",INDEX(TRANSACTIONS_MASTER!$B$5:$B$1204,$Q53))</f>
        <v/>
      </c>
      <c r="C53" s="55" t="str">
        <f>IF($Q53="","",INDEX(TRANSACTIONS_MASTER!$F$5:$F$1204,$Q53))</f>
        <v/>
      </c>
      <c r="D53" s="55" t="str">
        <f>IF($Q53="","",INDEX(TRANSACTIONS_MASTER!$E$5:$E$1204,$Q53))</f>
        <v/>
      </c>
      <c r="E53" s="55" t="str">
        <f>IF($Q53="","",INDEX(TRANSACTIONS_MASTER!$G$5:$G$1204,$Q53)&amp;"")</f>
        <v/>
      </c>
      <c r="F53" s="29" t="str">
        <f>IF($Q53="","",INDEX(TRANSACTIONS_MASTER!$I$5:$I$1204,$Q53))</f>
        <v/>
      </c>
      <c r="G53" s="55" t="str">
        <f>IF($Q53="","",INDEX(TRANSACTIONS_MASTER!$K$5:$K$1204,$Q53))</f>
        <v/>
      </c>
      <c r="H53" s="25" t="str">
        <f>IF($Q53="","",INDEX(TRANSACTIONS_MASTER!$L$5:$L$1204,$Q53))</f>
        <v/>
      </c>
      <c r="I53" s="56" t="str">
        <f>IF($Q53="","",INDEX(TRANSACTIONS_MASTER!$N$5:$N$1204,$Q53))</f>
        <v/>
      </c>
      <c r="J53" s="25" t="str">
        <f>IF($Q53="","",INDEX(TRANSACTIONS_MASTER!$O$5:$O$1204,$Q53))</f>
        <v/>
      </c>
      <c r="K53" s="26" t="str">
        <f>IF($Q53="","",INDEX(TRANSACTIONS_MASTER!$Q$5:$Q$1204,$Q53))</f>
        <v/>
      </c>
      <c r="L53" s="25" t="str">
        <f>IF($Q53="","",INDEX(TRANSACTIONS_MASTER!$P$5:$P$1204,$Q53))</f>
        <v/>
      </c>
      <c r="M53" s="25" t="str">
        <f>IF($Q53="","",INDEX(TRANSACTIONS_MASTER!$AA$5:$AA$1204,$Q53))</f>
        <v/>
      </c>
      <c r="N53" s="25" t="str">
        <f>IF($Q53="","",INDEX(TRANSACTIONS_MASTER!$R$5:$R$1204,$Q53))</f>
        <v/>
      </c>
      <c r="O53" s="28" t="str">
        <f>IF($Q53="","",INDEX(TRANSACTIONS_MASTER!$AB$5:$AB$1204,$Q53))</f>
        <v/>
      </c>
      <c r="P53" s="55" t="str">
        <f>IF($Q53="","",INDEX(TRANSACTIONS_MASTER!$Z$5:$Z$1204,$Q53)&amp;"")</f>
        <v/>
      </c>
      <c r="Q53" s="67" t="str">
        <f>IFERROR(MATCH($C$2&amp;"|"&amp;46,TRANSACTIONS_MASTER!$AE$5:$AE$1204,0),"")</f>
        <v/>
      </c>
      <c r="S53" s="67" t="str">
        <f>IFERROR(MATCH(46,CASHBACK_RULES!$S$5:$S$304,0),"")</f>
        <v/>
      </c>
      <c r="T53" s="55" t="str">
        <f>IF($S53="","",INDEX(CASHBACK_RULES!$B$5:$B$304,$S53))</f>
        <v/>
      </c>
      <c r="U53" s="55" t="str">
        <f>IF($S53="","",INDEX(CASHBACK_RULES!$C$5:$C$304,$S53)&amp;" "&amp;INDEX(CASHBACK_RULES!$D$5:$D$304,$S53))</f>
        <v/>
      </c>
      <c r="V53" s="55" t="str">
        <f>IF($S53="","",INDEX(CASHBACK_RULES!$E$5:$E$304,$S53)&amp;"")</f>
        <v/>
      </c>
      <c r="W53" s="55" t="str">
        <f>IF($S53="","",INDEX(CASHBACK_RULES!$F$5:$F$304,$S53)&amp;"")</f>
        <v/>
      </c>
      <c r="X53" s="26" t="str">
        <f>IF($S53="","",SUMIFS(TRANSACTIONS_MASTER!$Q$5:$Q$1204,TRANSACTIONS_MASTER!$D$5:$D$1204,$T53,TRANSACTIONS_MASTER!$Z$5:$Z$1204,$V53,TRANSACTIONS_MASTER!$C$5:$C$1204,$C$2))</f>
        <v/>
      </c>
      <c r="Y53" s="25" t="str">
        <f>IF($S53="","",IF(ISNUMBER(INDEX(CASHBACK_RULES!$J$5:$J$304,$S53)),INDEX(CASHBACK_RULES!$J$5:$J$304,$S53),"∞"))</f>
        <v/>
      </c>
      <c r="Z53" s="25" t="str">
        <f>IF($S53="","",IF(ISNUMBER($Y53),MAX(0,$Y53-$X53),"∞"))</f>
        <v/>
      </c>
      <c r="AA53" s="27" t="str">
        <f>IF($S53="","",IF(ISNUMBER($Y53),IF($Y53=0,0,$X53/$Y53),""))</f>
        <v/>
      </c>
    </row>
    <row r="54" ht="20" customHeight="1">
      <c r="A54" s="81" t="str">
        <f>IF($Q54="","",47)</f>
        <v/>
      </c>
      <c r="B54" s="57" t="str">
        <f>IF($Q54="","",INDEX(TRANSACTIONS_MASTER!$B$5:$B$1204,$Q54))</f>
        <v/>
      </c>
      <c r="C54" s="55" t="str">
        <f>IF($Q54="","",INDEX(TRANSACTIONS_MASTER!$F$5:$F$1204,$Q54))</f>
        <v/>
      </c>
      <c r="D54" s="55" t="str">
        <f>IF($Q54="","",INDEX(TRANSACTIONS_MASTER!$E$5:$E$1204,$Q54))</f>
        <v/>
      </c>
      <c r="E54" s="55" t="str">
        <f>IF($Q54="","",INDEX(TRANSACTIONS_MASTER!$G$5:$G$1204,$Q54)&amp;"")</f>
        <v/>
      </c>
      <c r="F54" s="29" t="str">
        <f>IF($Q54="","",INDEX(TRANSACTIONS_MASTER!$I$5:$I$1204,$Q54))</f>
        <v/>
      </c>
      <c r="G54" s="55" t="str">
        <f>IF($Q54="","",INDEX(TRANSACTIONS_MASTER!$K$5:$K$1204,$Q54))</f>
        <v/>
      </c>
      <c r="H54" s="25" t="str">
        <f>IF($Q54="","",INDEX(TRANSACTIONS_MASTER!$L$5:$L$1204,$Q54))</f>
        <v/>
      </c>
      <c r="I54" s="56" t="str">
        <f>IF($Q54="","",INDEX(TRANSACTIONS_MASTER!$N$5:$N$1204,$Q54))</f>
        <v/>
      </c>
      <c r="J54" s="25" t="str">
        <f>IF($Q54="","",INDEX(TRANSACTIONS_MASTER!$O$5:$O$1204,$Q54))</f>
        <v/>
      </c>
      <c r="K54" s="26" t="str">
        <f>IF($Q54="","",INDEX(TRANSACTIONS_MASTER!$Q$5:$Q$1204,$Q54))</f>
        <v/>
      </c>
      <c r="L54" s="25" t="str">
        <f>IF($Q54="","",INDEX(TRANSACTIONS_MASTER!$P$5:$P$1204,$Q54))</f>
        <v/>
      </c>
      <c r="M54" s="25" t="str">
        <f>IF($Q54="","",INDEX(TRANSACTIONS_MASTER!$AA$5:$AA$1204,$Q54))</f>
        <v/>
      </c>
      <c r="N54" s="25" t="str">
        <f>IF($Q54="","",INDEX(TRANSACTIONS_MASTER!$R$5:$R$1204,$Q54))</f>
        <v/>
      </c>
      <c r="O54" s="28" t="str">
        <f>IF($Q54="","",INDEX(TRANSACTIONS_MASTER!$AB$5:$AB$1204,$Q54))</f>
        <v/>
      </c>
      <c r="P54" s="55" t="str">
        <f>IF($Q54="","",INDEX(TRANSACTIONS_MASTER!$Z$5:$Z$1204,$Q54)&amp;"")</f>
        <v/>
      </c>
      <c r="Q54" s="67" t="str">
        <f>IFERROR(MATCH($C$2&amp;"|"&amp;47,TRANSACTIONS_MASTER!$AE$5:$AE$1204,0),"")</f>
        <v/>
      </c>
      <c r="S54" s="67" t="str">
        <f>IFERROR(MATCH(47,CASHBACK_RULES!$S$5:$S$304,0),"")</f>
        <v/>
      </c>
      <c r="T54" s="55" t="str">
        <f>IF($S54="","",INDEX(CASHBACK_RULES!$B$5:$B$304,$S54))</f>
        <v/>
      </c>
      <c r="U54" s="55" t="str">
        <f>IF($S54="","",INDEX(CASHBACK_RULES!$C$5:$C$304,$S54)&amp;" "&amp;INDEX(CASHBACK_RULES!$D$5:$D$304,$S54))</f>
        <v/>
      </c>
      <c r="V54" s="55" t="str">
        <f>IF($S54="","",INDEX(CASHBACK_RULES!$E$5:$E$304,$S54)&amp;"")</f>
        <v/>
      </c>
      <c r="W54" s="55" t="str">
        <f>IF($S54="","",INDEX(CASHBACK_RULES!$F$5:$F$304,$S54)&amp;"")</f>
        <v/>
      </c>
      <c r="X54" s="26" t="str">
        <f>IF($S54="","",SUMIFS(TRANSACTIONS_MASTER!$Q$5:$Q$1204,TRANSACTIONS_MASTER!$D$5:$D$1204,$T54,TRANSACTIONS_MASTER!$Z$5:$Z$1204,$V54,TRANSACTIONS_MASTER!$C$5:$C$1204,$C$2))</f>
        <v/>
      </c>
      <c r="Y54" s="25" t="str">
        <f>IF($S54="","",IF(ISNUMBER(INDEX(CASHBACK_RULES!$J$5:$J$304,$S54)),INDEX(CASHBACK_RULES!$J$5:$J$304,$S54),"∞"))</f>
        <v/>
      </c>
      <c r="Z54" s="25" t="str">
        <f>IF($S54="","",IF(ISNUMBER($Y54),MAX(0,$Y54-$X54),"∞"))</f>
        <v/>
      </c>
      <c r="AA54" s="27" t="str">
        <f>IF($S54="","",IF(ISNUMBER($Y54),IF($Y54=0,0,$X54/$Y54),""))</f>
        <v/>
      </c>
    </row>
    <row r="55" ht="20" customHeight="1">
      <c r="A55" s="81" t="str">
        <f>IF($Q55="","",48)</f>
        <v/>
      </c>
      <c r="B55" s="57" t="str">
        <f>IF($Q55="","",INDEX(TRANSACTIONS_MASTER!$B$5:$B$1204,$Q55))</f>
        <v/>
      </c>
      <c r="C55" s="55" t="str">
        <f>IF($Q55="","",INDEX(TRANSACTIONS_MASTER!$F$5:$F$1204,$Q55))</f>
        <v/>
      </c>
      <c r="D55" s="55" t="str">
        <f>IF($Q55="","",INDEX(TRANSACTIONS_MASTER!$E$5:$E$1204,$Q55))</f>
        <v/>
      </c>
      <c r="E55" s="55" t="str">
        <f>IF($Q55="","",INDEX(TRANSACTIONS_MASTER!$G$5:$G$1204,$Q55)&amp;"")</f>
        <v/>
      </c>
      <c r="F55" s="29" t="str">
        <f>IF($Q55="","",INDEX(TRANSACTIONS_MASTER!$I$5:$I$1204,$Q55))</f>
        <v/>
      </c>
      <c r="G55" s="55" t="str">
        <f>IF($Q55="","",INDEX(TRANSACTIONS_MASTER!$K$5:$K$1204,$Q55))</f>
        <v/>
      </c>
      <c r="H55" s="25" t="str">
        <f>IF($Q55="","",INDEX(TRANSACTIONS_MASTER!$L$5:$L$1204,$Q55))</f>
        <v/>
      </c>
      <c r="I55" s="56" t="str">
        <f>IF($Q55="","",INDEX(TRANSACTIONS_MASTER!$N$5:$N$1204,$Q55))</f>
        <v/>
      </c>
      <c r="J55" s="25" t="str">
        <f>IF($Q55="","",INDEX(TRANSACTIONS_MASTER!$O$5:$O$1204,$Q55))</f>
        <v/>
      </c>
      <c r="K55" s="26" t="str">
        <f>IF($Q55="","",INDEX(TRANSACTIONS_MASTER!$Q$5:$Q$1204,$Q55))</f>
        <v/>
      </c>
      <c r="L55" s="25" t="str">
        <f>IF($Q55="","",INDEX(TRANSACTIONS_MASTER!$P$5:$P$1204,$Q55))</f>
        <v/>
      </c>
      <c r="M55" s="25" t="str">
        <f>IF($Q55="","",INDEX(TRANSACTIONS_MASTER!$AA$5:$AA$1204,$Q55))</f>
        <v/>
      </c>
      <c r="N55" s="25" t="str">
        <f>IF($Q55="","",INDEX(TRANSACTIONS_MASTER!$R$5:$R$1204,$Q55))</f>
        <v/>
      </c>
      <c r="O55" s="28" t="str">
        <f>IF($Q55="","",INDEX(TRANSACTIONS_MASTER!$AB$5:$AB$1204,$Q55))</f>
        <v/>
      </c>
      <c r="P55" s="55" t="str">
        <f>IF($Q55="","",INDEX(TRANSACTIONS_MASTER!$Z$5:$Z$1204,$Q55)&amp;"")</f>
        <v/>
      </c>
      <c r="Q55" s="67" t="str">
        <f>IFERROR(MATCH($C$2&amp;"|"&amp;48,TRANSACTIONS_MASTER!$AE$5:$AE$1204,0),"")</f>
        <v/>
      </c>
      <c r="S55" s="67" t="str">
        <f>IFERROR(MATCH(48,CASHBACK_RULES!$S$5:$S$304,0),"")</f>
        <v/>
      </c>
      <c r="T55" s="55" t="str">
        <f>IF($S55="","",INDEX(CASHBACK_RULES!$B$5:$B$304,$S55))</f>
        <v/>
      </c>
      <c r="U55" s="55" t="str">
        <f>IF($S55="","",INDEX(CASHBACK_RULES!$C$5:$C$304,$S55)&amp;" "&amp;INDEX(CASHBACK_RULES!$D$5:$D$304,$S55))</f>
        <v/>
      </c>
      <c r="V55" s="55" t="str">
        <f>IF($S55="","",INDEX(CASHBACK_RULES!$E$5:$E$304,$S55)&amp;"")</f>
        <v/>
      </c>
      <c r="W55" s="55" t="str">
        <f>IF($S55="","",INDEX(CASHBACK_RULES!$F$5:$F$304,$S55)&amp;"")</f>
        <v/>
      </c>
      <c r="X55" s="26" t="str">
        <f>IF($S55="","",SUMIFS(TRANSACTIONS_MASTER!$Q$5:$Q$1204,TRANSACTIONS_MASTER!$D$5:$D$1204,$T55,TRANSACTIONS_MASTER!$Z$5:$Z$1204,$V55,TRANSACTIONS_MASTER!$C$5:$C$1204,$C$2))</f>
        <v/>
      </c>
      <c r="Y55" s="25" t="str">
        <f>IF($S55="","",IF(ISNUMBER(INDEX(CASHBACK_RULES!$J$5:$J$304,$S55)),INDEX(CASHBACK_RULES!$J$5:$J$304,$S55),"∞"))</f>
        <v/>
      </c>
      <c r="Z55" s="25" t="str">
        <f>IF($S55="","",IF(ISNUMBER($Y55),MAX(0,$Y55-$X55),"∞"))</f>
        <v/>
      </c>
      <c r="AA55" s="27" t="str">
        <f>IF($S55="","",IF(ISNUMBER($Y55),IF($Y55=0,0,$X55/$Y55),""))</f>
        <v/>
      </c>
    </row>
    <row r="56" ht="20" customHeight="1">
      <c r="A56" s="81" t="str">
        <f>IF($Q56="","",49)</f>
        <v/>
      </c>
      <c r="B56" s="57" t="str">
        <f>IF($Q56="","",INDEX(TRANSACTIONS_MASTER!$B$5:$B$1204,$Q56))</f>
        <v/>
      </c>
      <c r="C56" s="55" t="str">
        <f>IF($Q56="","",INDEX(TRANSACTIONS_MASTER!$F$5:$F$1204,$Q56))</f>
        <v/>
      </c>
      <c r="D56" s="55" t="str">
        <f>IF($Q56="","",INDEX(TRANSACTIONS_MASTER!$E$5:$E$1204,$Q56))</f>
        <v/>
      </c>
      <c r="E56" s="55" t="str">
        <f>IF($Q56="","",INDEX(TRANSACTIONS_MASTER!$G$5:$G$1204,$Q56)&amp;"")</f>
        <v/>
      </c>
      <c r="F56" s="29" t="str">
        <f>IF($Q56="","",INDEX(TRANSACTIONS_MASTER!$I$5:$I$1204,$Q56))</f>
        <v/>
      </c>
      <c r="G56" s="55" t="str">
        <f>IF($Q56="","",INDEX(TRANSACTIONS_MASTER!$K$5:$K$1204,$Q56))</f>
        <v/>
      </c>
      <c r="H56" s="25" t="str">
        <f>IF($Q56="","",INDEX(TRANSACTIONS_MASTER!$L$5:$L$1204,$Q56))</f>
        <v/>
      </c>
      <c r="I56" s="56" t="str">
        <f>IF($Q56="","",INDEX(TRANSACTIONS_MASTER!$N$5:$N$1204,$Q56))</f>
        <v/>
      </c>
      <c r="J56" s="25" t="str">
        <f>IF($Q56="","",INDEX(TRANSACTIONS_MASTER!$O$5:$O$1204,$Q56))</f>
        <v/>
      </c>
      <c r="K56" s="26" t="str">
        <f>IF($Q56="","",INDEX(TRANSACTIONS_MASTER!$Q$5:$Q$1204,$Q56))</f>
        <v/>
      </c>
      <c r="L56" s="25" t="str">
        <f>IF($Q56="","",INDEX(TRANSACTIONS_MASTER!$P$5:$P$1204,$Q56))</f>
        <v/>
      </c>
      <c r="M56" s="25" t="str">
        <f>IF($Q56="","",INDEX(TRANSACTIONS_MASTER!$AA$5:$AA$1204,$Q56))</f>
        <v/>
      </c>
      <c r="N56" s="25" t="str">
        <f>IF($Q56="","",INDEX(TRANSACTIONS_MASTER!$R$5:$R$1204,$Q56))</f>
        <v/>
      </c>
      <c r="O56" s="28" t="str">
        <f>IF($Q56="","",INDEX(TRANSACTIONS_MASTER!$AB$5:$AB$1204,$Q56))</f>
        <v/>
      </c>
      <c r="P56" s="55" t="str">
        <f>IF($Q56="","",INDEX(TRANSACTIONS_MASTER!$Z$5:$Z$1204,$Q56)&amp;"")</f>
        <v/>
      </c>
      <c r="Q56" s="67" t="str">
        <f>IFERROR(MATCH($C$2&amp;"|"&amp;49,TRANSACTIONS_MASTER!$AE$5:$AE$1204,0),"")</f>
        <v/>
      </c>
      <c r="S56" s="67" t="str">
        <f>IFERROR(MATCH(49,CASHBACK_RULES!$S$5:$S$304,0),"")</f>
        <v/>
      </c>
      <c r="T56" s="55" t="str">
        <f>IF($S56="","",INDEX(CASHBACK_RULES!$B$5:$B$304,$S56))</f>
        <v/>
      </c>
      <c r="U56" s="55" t="str">
        <f>IF($S56="","",INDEX(CASHBACK_RULES!$C$5:$C$304,$S56)&amp;" "&amp;INDEX(CASHBACK_RULES!$D$5:$D$304,$S56))</f>
        <v/>
      </c>
      <c r="V56" s="55" t="str">
        <f>IF($S56="","",INDEX(CASHBACK_RULES!$E$5:$E$304,$S56)&amp;"")</f>
        <v/>
      </c>
      <c r="W56" s="55" t="str">
        <f>IF($S56="","",INDEX(CASHBACK_RULES!$F$5:$F$304,$S56)&amp;"")</f>
        <v/>
      </c>
      <c r="X56" s="26" t="str">
        <f>IF($S56="","",SUMIFS(TRANSACTIONS_MASTER!$Q$5:$Q$1204,TRANSACTIONS_MASTER!$D$5:$D$1204,$T56,TRANSACTIONS_MASTER!$Z$5:$Z$1204,$V56,TRANSACTIONS_MASTER!$C$5:$C$1204,$C$2))</f>
        <v/>
      </c>
      <c r="Y56" s="25" t="str">
        <f>IF($S56="","",IF(ISNUMBER(INDEX(CASHBACK_RULES!$J$5:$J$304,$S56)),INDEX(CASHBACK_RULES!$J$5:$J$304,$S56),"∞"))</f>
        <v/>
      </c>
      <c r="Z56" s="25" t="str">
        <f>IF($S56="","",IF(ISNUMBER($Y56),MAX(0,$Y56-$X56),"∞"))</f>
        <v/>
      </c>
      <c r="AA56" s="27" t="str">
        <f>IF($S56="","",IF(ISNUMBER($Y56),IF($Y56=0,0,$X56/$Y56),""))</f>
        <v/>
      </c>
    </row>
    <row r="57" ht="20" customHeight="1">
      <c r="A57" s="81" t="str">
        <f>IF($Q57="","",50)</f>
        <v/>
      </c>
      <c r="B57" s="57" t="str">
        <f>IF($Q57="","",INDEX(TRANSACTIONS_MASTER!$B$5:$B$1204,$Q57))</f>
        <v/>
      </c>
      <c r="C57" s="55" t="str">
        <f>IF($Q57="","",INDEX(TRANSACTIONS_MASTER!$F$5:$F$1204,$Q57))</f>
        <v/>
      </c>
      <c r="D57" s="55" t="str">
        <f>IF($Q57="","",INDEX(TRANSACTIONS_MASTER!$E$5:$E$1204,$Q57))</f>
        <v/>
      </c>
      <c r="E57" s="55" t="str">
        <f>IF($Q57="","",INDEX(TRANSACTIONS_MASTER!$G$5:$G$1204,$Q57)&amp;"")</f>
        <v/>
      </c>
      <c r="F57" s="29" t="str">
        <f>IF($Q57="","",INDEX(TRANSACTIONS_MASTER!$I$5:$I$1204,$Q57))</f>
        <v/>
      </c>
      <c r="G57" s="55" t="str">
        <f>IF($Q57="","",INDEX(TRANSACTIONS_MASTER!$K$5:$K$1204,$Q57))</f>
        <v/>
      </c>
      <c r="H57" s="25" t="str">
        <f>IF($Q57="","",INDEX(TRANSACTIONS_MASTER!$L$5:$L$1204,$Q57))</f>
        <v/>
      </c>
      <c r="I57" s="56" t="str">
        <f>IF($Q57="","",INDEX(TRANSACTIONS_MASTER!$N$5:$N$1204,$Q57))</f>
        <v/>
      </c>
      <c r="J57" s="25" t="str">
        <f>IF($Q57="","",INDEX(TRANSACTIONS_MASTER!$O$5:$O$1204,$Q57))</f>
        <v/>
      </c>
      <c r="K57" s="26" t="str">
        <f>IF($Q57="","",INDEX(TRANSACTIONS_MASTER!$Q$5:$Q$1204,$Q57))</f>
        <v/>
      </c>
      <c r="L57" s="25" t="str">
        <f>IF($Q57="","",INDEX(TRANSACTIONS_MASTER!$P$5:$P$1204,$Q57))</f>
        <v/>
      </c>
      <c r="M57" s="25" t="str">
        <f>IF($Q57="","",INDEX(TRANSACTIONS_MASTER!$AA$5:$AA$1204,$Q57))</f>
        <v/>
      </c>
      <c r="N57" s="25" t="str">
        <f>IF($Q57="","",INDEX(TRANSACTIONS_MASTER!$R$5:$R$1204,$Q57))</f>
        <v/>
      </c>
      <c r="O57" s="28" t="str">
        <f>IF($Q57="","",INDEX(TRANSACTIONS_MASTER!$AB$5:$AB$1204,$Q57))</f>
        <v/>
      </c>
      <c r="P57" s="55" t="str">
        <f>IF($Q57="","",INDEX(TRANSACTIONS_MASTER!$Z$5:$Z$1204,$Q57)&amp;"")</f>
        <v/>
      </c>
      <c r="Q57" s="67" t="str">
        <f>IFERROR(MATCH($C$2&amp;"|"&amp;50,TRANSACTIONS_MASTER!$AE$5:$AE$1204,0),"")</f>
        <v/>
      </c>
      <c r="S57" s="67" t="str">
        <f>IFERROR(MATCH(50,CASHBACK_RULES!$S$5:$S$304,0),"")</f>
        <v/>
      </c>
      <c r="T57" s="55" t="str">
        <f>IF($S57="","",INDEX(CASHBACK_RULES!$B$5:$B$304,$S57))</f>
        <v/>
      </c>
      <c r="U57" s="55" t="str">
        <f>IF($S57="","",INDEX(CASHBACK_RULES!$C$5:$C$304,$S57)&amp;" "&amp;INDEX(CASHBACK_RULES!$D$5:$D$304,$S57))</f>
        <v/>
      </c>
      <c r="V57" s="55" t="str">
        <f>IF($S57="","",INDEX(CASHBACK_RULES!$E$5:$E$304,$S57)&amp;"")</f>
        <v/>
      </c>
      <c r="W57" s="55" t="str">
        <f>IF($S57="","",INDEX(CASHBACK_RULES!$F$5:$F$304,$S57)&amp;"")</f>
        <v/>
      </c>
      <c r="X57" s="26" t="str">
        <f>IF($S57="","",SUMIFS(TRANSACTIONS_MASTER!$Q$5:$Q$1204,TRANSACTIONS_MASTER!$D$5:$D$1204,$T57,TRANSACTIONS_MASTER!$Z$5:$Z$1204,$V57,TRANSACTIONS_MASTER!$C$5:$C$1204,$C$2))</f>
        <v/>
      </c>
      <c r="Y57" s="25" t="str">
        <f>IF($S57="","",IF(ISNUMBER(INDEX(CASHBACK_RULES!$J$5:$J$304,$S57)),INDEX(CASHBACK_RULES!$J$5:$J$304,$S57),"∞"))</f>
        <v/>
      </c>
      <c r="Z57" s="25" t="str">
        <f>IF($S57="","",IF(ISNUMBER($Y57),MAX(0,$Y57-$X57),"∞"))</f>
        <v/>
      </c>
      <c r="AA57" s="27" t="str">
        <f>IF($S57="","",IF(ISNUMBER($Y57),IF($Y57=0,0,$X57/$Y57),""))</f>
        <v/>
      </c>
    </row>
    <row r="58">
      <c r="A58" s="81" t="str">
        <f>IF($Q58="","",51)</f>
        <v/>
      </c>
      <c r="B58" s="57" t="str">
        <f>IF($Q58="","",INDEX(TRANSACTIONS_MASTER!$B$5:$B$1204,$Q58))</f>
        <v/>
      </c>
      <c r="C58" s="55" t="str">
        <f>IF($Q58="","",INDEX(TRANSACTIONS_MASTER!$F$5:$F$1204,$Q58))</f>
        <v/>
      </c>
      <c r="D58" s="55" t="str">
        <f>IF($Q58="","",INDEX(TRANSACTIONS_MASTER!$E$5:$E$1204,$Q58))</f>
        <v/>
      </c>
      <c r="E58" s="55" t="str">
        <f>IF($Q58="","",INDEX(TRANSACTIONS_MASTER!$G$5:$G$1204,$Q58)&amp;"")</f>
        <v/>
      </c>
      <c r="F58" s="29" t="str">
        <f>IF($Q58="","",INDEX(TRANSACTIONS_MASTER!$I$5:$I$1204,$Q58))</f>
        <v/>
      </c>
      <c r="G58" s="55" t="str">
        <f>IF($Q58="","",INDEX(TRANSACTIONS_MASTER!$K$5:$K$1204,$Q58))</f>
        <v/>
      </c>
      <c r="H58" s="25" t="str">
        <f>IF($Q58="","",INDEX(TRANSACTIONS_MASTER!$L$5:$L$1204,$Q58))</f>
        <v/>
      </c>
      <c r="I58" s="56" t="str">
        <f>IF($Q58="","",INDEX(TRANSACTIONS_MASTER!$N$5:$N$1204,$Q58))</f>
        <v/>
      </c>
      <c r="J58" s="25" t="str">
        <f>IF($Q58="","",INDEX(TRANSACTIONS_MASTER!$O$5:$O$1204,$Q58))</f>
        <v/>
      </c>
      <c r="K58" s="26" t="str">
        <f>IF($Q58="","",INDEX(TRANSACTIONS_MASTER!$Q$5:$Q$1204,$Q58))</f>
        <v/>
      </c>
      <c r="L58" s="25" t="str">
        <f>IF($Q58="","",INDEX(TRANSACTIONS_MASTER!$P$5:$P$1204,$Q58))</f>
        <v/>
      </c>
      <c r="M58" s="25" t="str">
        <f>IF($Q58="","",INDEX(TRANSACTIONS_MASTER!$AA$5:$AA$1204,$Q58))</f>
        <v/>
      </c>
      <c r="N58" s="25" t="str">
        <f>IF($Q58="","",INDEX(TRANSACTIONS_MASTER!$R$5:$R$1204,$Q58))</f>
        <v/>
      </c>
      <c r="O58" s="28" t="str">
        <f>IF($Q58="","",INDEX(TRANSACTIONS_MASTER!$AB$5:$AB$1204,$Q58))</f>
        <v/>
      </c>
      <c r="P58" s="55" t="str">
        <f>IF($Q58="","",INDEX(TRANSACTIONS_MASTER!$Z$5:$Z$1204,$Q58)&amp;"")</f>
        <v/>
      </c>
      <c r="Q58" s="67" t="str">
        <f>IFERROR(MATCH($C$2&amp;"|"&amp;51,TRANSACTIONS_MASTER!$AE$5:$AE$1204,0),"")</f>
        <v/>
      </c>
    </row>
    <row r="59">
      <c r="A59" s="81" t="str">
        <f>IF($Q59="","",52)</f>
        <v/>
      </c>
      <c r="B59" s="57" t="str">
        <f>IF($Q59="","",INDEX(TRANSACTIONS_MASTER!$B$5:$B$1204,$Q59))</f>
        <v/>
      </c>
      <c r="C59" s="55" t="str">
        <f>IF($Q59="","",INDEX(TRANSACTIONS_MASTER!$F$5:$F$1204,$Q59))</f>
        <v/>
      </c>
      <c r="D59" s="55" t="str">
        <f>IF($Q59="","",INDEX(TRANSACTIONS_MASTER!$E$5:$E$1204,$Q59))</f>
        <v/>
      </c>
      <c r="E59" s="55" t="str">
        <f>IF($Q59="","",INDEX(TRANSACTIONS_MASTER!$G$5:$G$1204,$Q59)&amp;"")</f>
        <v/>
      </c>
      <c r="F59" s="29" t="str">
        <f>IF($Q59="","",INDEX(TRANSACTIONS_MASTER!$I$5:$I$1204,$Q59))</f>
        <v/>
      </c>
      <c r="G59" s="55" t="str">
        <f>IF($Q59="","",INDEX(TRANSACTIONS_MASTER!$K$5:$K$1204,$Q59))</f>
        <v/>
      </c>
      <c r="H59" s="25" t="str">
        <f>IF($Q59="","",INDEX(TRANSACTIONS_MASTER!$L$5:$L$1204,$Q59))</f>
        <v/>
      </c>
      <c r="I59" s="56" t="str">
        <f>IF($Q59="","",INDEX(TRANSACTIONS_MASTER!$N$5:$N$1204,$Q59))</f>
        <v/>
      </c>
      <c r="J59" s="25" t="str">
        <f>IF($Q59="","",INDEX(TRANSACTIONS_MASTER!$O$5:$O$1204,$Q59))</f>
        <v/>
      </c>
      <c r="K59" s="26" t="str">
        <f>IF($Q59="","",INDEX(TRANSACTIONS_MASTER!$Q$5:$Q$1204,$Q59))</f>
        <v/>
      </c>
      <c r="L59" s="25" t="str">
        <f>IF($Q59="","",INDEX(TRANSACTIONS_MASTER!$P$5:$P$1204,$Q59))</f>
        <v/>
      </c>
      <c r="M59" s="25" t="str">
        <f>IF($Q59="","",INDEX(TRANSACTIONS_MASTER!$AA$5:$AA$1204,$Q59))</f>
        <v/>
      </c>
      <c r="N59" s="25" t="str">
        <f>IF($Q59="","",INDEX(TRANSACTIONS_MASTER!$R$5:$R$1204,$Q59))</f>
        <v/>
      </c>
      <c r="O59" s="28" t="str">
        <f>IF($Q59="","",INDEX(TRANSACTIONS_MASTER!$AB$5:$AB$1204,$Q59))</f>
        <v/>
      </c>
      <c r="P59" s="55" t="str">
        <f>IF($Q59="","",INDEX(TRANSACTIONS_MASTER!$Z$5:$Z$1204,$Q59)&amp;"")</f>
        <v/>
      </c>
      <c r="Q59" s="67" t="str">
        <f>IFERROR(MATCH($C$2&amp;"|"&amp;52,TRANSACTIONS_MASTER!$AE$5:$AE$1204,0),"")</f>
        <v/>
      </c>
    </row>
    <row r="60" ht="22" customHeight="1">
      <c r="A60" s="81" t="str">
        <f>IF($Q60="","",53)</f>
        <v/>
      </c>
      <c r="B60" s="57" t="str">
        <f>IF($Q60="","",INDEX(TRANSACTIONS_MASTER!$B$5:$B$1204,$Q60))</f>
        <v/>
      </c>
      <c r="C60" s="55" t="str">
        <f>IF($Q60="","",INDEX(TRANSACTIONS_MASTER!$F$5:$F$1204,$Q60))</f>
        <v/>
      </c>
      <c r="D60" s="55" t="str">
        <f>IF($Q60="","",INDEX(TRANSACTIONS_MASTER!$E$5:$E$1204,$Q60))</f>
        <v/>
      </c>
      <c r="E60" s="55" t="str">
        <f>IF($Q60="","",INDEX(TRANSACTIONS_MASTER!$G$5:$G$1204,$Q60)&amp;"")</f>
        <v/>
      </c>
      <c r="F60" s="29" t="str">
        <f>IF($Q60="","",INDEX(TRANSACTIONS_MASTER!$I$5:$I$1204,$Q60))</f>
        <v/>
      </c>
      <c r="G60" s="55" t="str">
        <f>IF($Q60="","",INDEX(TRANSACTIONS_MASTER!$K$5:$K$1204,$Q60))</f>
        <v/>
      </c>
      <c r="H60" s="25" t="str">
        <f>IF($Q60="","",INDEX(TRANSACTIONS_MASTER!$L$5:$L$1204,$Q60))</f>
        <v/>
      </c>
      <c r="I60" s="56" t="str">
        <f>IF($Q60="","",INDEX(TRANSACTIONS_MASTER!$N$5:$N$1204,$Q60))</f>
        <v/>
      </c>
      <c r="J60" s="25" t="str">
        <f>IF($Q60="","",INDEX(TRANSACTIONS_MASTER!$O$5:$O$1204,$Q60))</f>
        <v/>
      </c>
      <c r="K60" s="26" t="str">
        <f>IF($Q60="","",INDEX(TRANSACTIONS_MASTER!$Q$5:$Q$1204,$Q60))</f>
        <v/>
      </c>
      <c r="L60" s="25" t="str">
        <f>IF($Q60="","",INDEX(TRANSACTIONS_MASTER!$P$5:$P$1204,$Q60))</f>
        <v/>
      </c>
      <c r="M60" s="25" t="str">
        <f>IF($Q60="","",INDEX(TRANSACTIONS_MASTER!$AA$5:$AA$1204,$Q60))</f>
        <v/>
      </c>
      <c r="N60" s="25" t="str">
        <f>IF($Q60="","",INDEX(TRANSACTIONS_MASTER!$R$5:$R$1204,$Q60))</f>
        <v/>
      </c>
      <c r="O60" s="28" t="str">
        <f>IF($Q60="","",INDEX(TRANSACTIONS_MASTER!$AB$5:$AB$1204,$Q60))</f>
        <v/>
      </c>
      <c r="P60" s="55" t="str">
        <f>IF($Q60="","",INDEX(TRANSACTIONS_MASTER!$Z$5:$Z$1204,$Q60)&amp;"")</f>
        <v/>
      </c>
      <c r="Q60" s="67" t="str">
        <f>IFERROR(MATCH($C$2&amp;"|"&amp;53,TRANSACTIONS_MASTER!$AE$5:$AE$1204,0),"")</f>
        <v/>
      </c>
      <c r="T60" s="19" t="inlineStr">
        <is>
          <t>TỔNG THEO THẺ — chi tiêu · cashback · cap thẻ / tháng</t>
        </is>
      </c>
      <c r="U60" s="20" t="n"/>
      <c r="V60" s="20" t="n"/>
      <c r="W60" s="20" t="n"/>
      <c r="X60" s="20" t="n"/>
      <c r="Y60" s="20" t="n"/>
      <c r="Z60" s="20" t="n"/>
      <c r="AA60" s="20" t="n"/>
    </row>
    <row r="61" ht="30" customHeight="1">
      <c r="A61" s="81" t="str">
        <f>IF($Q61="","",54)</f>
        <v/>
      </c>
      <c r="B61" s="57" t="str">
        <f>IF($Q61="","",INDEX(TRANSACTIONS_MASTER!$B$5:$B$1204,$Q61))</f>
        <v/>
      </c>
      <c r="C61" s="55" t="str">
        <f>IF($Q61="","",INDEX(TRANSACTIONS_MASTER!$F$5:$F$1204,$Q61))</f>
        <v/>
      </c>
      <c r="D61" s="55" t="str">
        <f>IF($Q61="","",INDEX(TRANSACTIONS_MASTER!$E$5:$E$1204,$Q61))</f>
        <v/>
      </c>
      <c r="E61" s="55" t="str">
        <f>IF($Q61="","",INDEX(TRANSACTIONS_MASTER!$G$5:$G$1204,$Q61)&amp;"")</f>
        <v/>
      </c>
      <c r="F61" s="29" t="str">
        <f>IF($Q61="","",INDEX(TRANSACTIONS_MASTER!$I$5:$I$1204,$Q61))</f>
        <v/>
      </c>
      <c r="G61" s="55" t="str">
        <f>IF($Q61="","",INDEX(TRANSACTIONS_MASTER!$K$5:$K$1204,$Q61))</f>
        <v/>
      </c>
      <c r="H61" s="25" t="str">
        <f>IF($Q61="","",INDEX(TRANSACTIONS_MASTER!$L$5:$L$1204,$Q61))</f>
        <v/>
      </c>
      <c r="I61" s="56" t="str">
        <f>IF($Q61="","",INDEX(TRANSACTIONS_MASTER!$N$5:$N$1204,$Q61))</f>
        <v/>
      </c>
      <c r="J61" s="25" t="str">
        <f>IF($Q61="","",INDEX(TRANSACTIONS_MASTER!$O$5:$O$1204,$Q61))</f>
        <v/>
      </c>
      <c r="K61" s="26" t="str">
        <f>IF($Q61="","",INDEX(TRANSACTIONS_MASTER!$Q$5:$Q$1204,$Q61))</f>
        <v/>
      </c>
      <c r="L61" s="25" t="str">
        <f>IF($Q61="","",INDEX(TRANSACTIONS_MASTER!$P$5:$P$1204,$Q61))</f>
        <v/>
      </c>
      <c r="M61" s="25" t="str">
        <f>IF($Q61="","",INDEX(TRANSACTIONS_MASTER!$AA$5:$AA$1204,$Q61))</f>
        <v/>
      </c>
      <c r="N61" s="25" t="str">
        <f>IF($Q61="","",INDEX(TRANSACTIONS_MASTER!$R$5:$R$1204,$Q61))</f>
        <v/>
      </c>
      <c r="O61" s="28" t="str">
        <f>IF($Q61="","",INDEX(TRANSACTIONS_MASTER!$AB$5:$AB$1204,$Q61))</f>
        <v/>
      </c>
      <c r="P61" s="55" t="str">
        <f>IF($Q61="","",INDEX(TRANSACTIONS_MASTER!$Z$5:$Z$1204,$Q61)&amp;"")</f>
        <v/>
      </c>
      <c r="Q61" s="67" t="str">
        <f>IFERROR(MATCH($C$2&amp;"|"&amp;54,TRANSACTIONS_MASTER!$AE$5:$AE$1204,0),"")</f>
        <v/>
      </c>
      <c r="S61" s="21" t="inlineStr">
        <is>
          <t>#</t>
        </is>
      </c>
      <c r="T61" s="21" t="inlineStr">
        <is>
          <t>Card ID</t>
        </is>
      </c>
      <c r="U61" s="21" t="inlineStr">
        <is>
          <t>Thẻ</t>
        </is>
      </c>
      <c r="V61" s="21" t="inlineStr">
        <is>
          <t>Chi tiêu</t>
        </is>
      </c>
      <c r="W61" s="21" t="inlineStr">
        <is>
          <t>Cashback</t>
        </is>
      </c>
      <c r="X61" s="21" t="inlineStr">
        <is>
          <t>Cap thẻ / tháng</t>
        </is>
      </c>
      <c r="Y61" s="21" t="inlineStr">
        <is>
          <t>Còn lại (tối đa)</t>
        </is>
      </c>
      <c r="Z61" s="21" t="inlineStr">
        <is>
          <t>Progress</t>
        </is>
      </c>
      <c r="AA61" s="21" t="inlineStr">
        <is>
          <t>Số GD</t>
        </is>
      </c>
    </row>
    <row r="62">
      <c r="A62" s="81" t="str">
        <f>IF($Q62="","",55)</f>
        <v/>
      </c>
      <c r="B62" s="57" t="str">
        <f>IF($Q62="","",INDEX(TRANSACTIONS_MASTER!$B$5:$B$1204,$Q62))</f>
        <v/>
      </c>
      <c r="C62" s="55" t="str">
        <f>IF($Q62="","",INDEX(TRANSACTIONS_MASTER!$F$5:$F$1204,$Q62))</f>
        <v/>
      </c>
      <c r="D62" s="55" t="str">
        <f>IF($Q62="","",INDEX(TRANSACTIONS_MASTER!$E$5:$E$1204,$Q62))</f>
        <v/>
      </c>
      <c r="E62" s="55" t="str">
        <f>IF($Q62="","",INDEX(TRANSACTIONS_MASTER!$G$5:$G$1204,$Q62)&amp;"")</f>
        <v/>
      </c>
      <c r="F62" s="29" t="str">
        <f>IF($Q62="","",INDEX(TRANSACTIONS_MASTER!$I$5:$I$1204,$Q62))</f>
        <v/>
      </c>
      <c r="G62" s="55" t="str">
        <f>IF($Q62="","",INDEX(TRANSACTIONS_MASTER!$K$5:$K$1204,$Q62))</f>
        <v/>
      </c>
      <c r="H62" s="25" t="str">
        <f>IF($Q62="","",INDEX(TRANSACTIONS_MASTER!$L$5:$L$1204,$Q62))</f>
        <v/>
      </c>
      <c r="I62" s="56" t="str">
        <f>IF($Q62="","",INDEX(TRANSACTIONS_MASTER!$N$5:$N$1204,$Q62))</f>
        <v/>
      </c>
      <c r="J62" s="25" t="str">
        <f>IF($Q62="","",INDEX(TRANSACTIONS_MASTER!$O$5:$O$1204,$Q62))</f>
        <v/>
      </c>
      <c r="K62" s="26" t="str">
        <f>IF($Q62="","",INDEX(TRANSACTIONS_MASTER!$Q$5:$Q$1204,$Q62))</f>
        <v/>
      </c>
      <c r="L62" s="25" t="str">
        <f>IF($Q62="","",INDEX(TRANSACTIONS_MASTER!$P$5:$P$1204,$Q62))</f>
        <v/>
      </c>
      <c r="M62" s="25" t="str">
        <f>IF($Q62="","",INDEX(TRANSACTIONS_MASTER!$AA$5:$AA$1204,$Q62))</f>
        <v/>
      </c>
      <c r="N62" s="25" t="str">
        <f>IF($Q62="","",INDEX(TRANSACTIONS_MASTER!$R$5:$R$1204,$Q62))</f>
        <v/>
      </c>
      <c r="O62" s="28" t="str">
        <f>IF($Q62="","",INDEX(TRANSACTIONS_MASTER!$AB$5:$AB$1204,$Q62))</f>
        <v/>
      </c>
      <c r="P62" s="55" t="str">
        <f>IF($Q62="","",INDEX(TRANSACTIONS_MASTER!$Z$5:$Z$1204,$Q62)&amp;"")</f>
        <v/>
      </c>
      <c r="Q62" s="67" t="str">
        <f>IFERROR(MATCH($C$2&amp;"|"&amp;55,TRANSACTIONS_MASTER!$AE$5:$AE$1204,0),"")</f>
        <v/>
      </c>
      <c r="S62" s="67" t="n">
        <v>1</v>
      </c>
      <c r="T62" s="55" t="str">
        <f>IF(CARDS!$A5="","",CARDS!$A5)</f>
        <v>VPB-JCBZ</v>
      </c>
      <c r="U62" s="55" t="str">
        <f>IF($T62="","",CARDS!$B5&amp;" "&amp;CARDS!$C5)</f>
        <v>VPBank JCB Z Card</v>
      </c>
      <c r="V62" s="25">
        <f>IF($T62="","",SUMIFS(TRANSACTIONS_MASTER!$L$5:$L$1204,TRANSACTIONS_MASTER!$D$5:$D$1204,$T62,TRANSACTIONS_MASTER!$C$5:$C$1204,$C$2,TRANSACTIONS_MASTER!$U$5:$U$1204,"&lt;&gt;Cancelled"))</f>
        <v>16800000</v>
      </c>
      <c r="W62" s="26">
        <f>IF($T62="","",SUMIFS(TRANSACTIONS_MASTER!$Q$5:$Q$1204,TRANSACTIONS_MASTER!$D$5:$D$1204,$T62,TRANSACTIONS_MASTER!$C$5:$C$1204,$C$2))</f>
        <v>1000000</v>
      </c>
      <c r="X62" s="25">
        <f>IF($T62="","",IFERROR(IF(ISNUMBER(INDEX(CASHBACK_RULES!$K$5:$K$304,MATCH($T62,CASHBACK_RULES!$B$5:$B$304,0))),INDEX(CASHBACK_RULES!$K$5:$K$304,MATCH($T62,CASHBACK_RULES!$B$5:$B$304,0)),"∞"),"—"))</f>
        <v>1000000</v>
      </c>
      <c r="Y62" s="25">
        <f>IF($T62="","",IF($X62="—","—",IF(COUNTIFS($T$8:$T$57,$T62,$Z$8:$Z$57,"∞")&gt;0,IF(ISNUMBER($X62),MAX(0,$X62-$W62),"∞"),IF(ISNUMBER($X62),MAX(0,MIN($X62-$W62,SUMIFS($Z$8:$Z$57,$T$8:$T$57,$T62))),SUMIFS($Z$8:$Z$57,$T$8:$T$57,$T62)))))</f>
        <v>0</v>
      </c>
      <c r="Z62" s="27">
        <f>IF($T62="","",IF(ISNUMBER($X62),IF($X62=0,0,$W62/$X62),IF(ISNUMBER($Y62),IF($W62+$Y62=0,0,$W62/($W62+$Y62)),"")))</f>
        <v>1</v>
      </c>
      <c r="AA62" s="29">
        <f>IF($T62="","",COUNTIFS(TRANSACTIONS_MASTER!$D$5:$D$1204,$T62,TRANSACTIONS_MASTER!$C$5:$C$1204,$C$2,TRANSACTIONS_MASTER!$U$5:$U$1204,"&lt;&gt;Cancelled"))</f>
        <v>9</v>
      </c>
    </row>
    <row r="63">
      <c r="A63" s="81" t="str">
        <f>IF($Q63="","",56)</f>
        <v/>
      </c>
      <c r="B63" s="57" t="str">
        <f>IF($Q63="","",INDEX(TRANSACTIONS_MASTER!$B$5:$B$1204,$Q63))</f>
        <v/>
      </c>
      <c r="C63" s="55" t="str">
        <f>IF($Q63="","",INDEX(TRANSACTIONS_MASTER!$F$5:$F$1204,$Q63))</f>
        <v/>
      </c>
      <c r="D63" s="55" t="str">
        <f>IF($Q63="","",INDEX(TRANSACTIONS_MASTER!$E$5:$E$1204,$Q63))</f>
        <v/>
      </c>
      <c r="E63" s="55" t="str">
        <f>IF($Q63="","",INDEX(TRANSACTIONS_MASTER!$G$5:$G$1204,$Q63)&amp;"")</f>
        <v/>
      </c>
      <c r="F63" s="29" t="str">
        <f>IF($Q63="","",INDEX(TRANSACTIONS_MASTER!$I$5:$I$1204,$Q63))</f>
        <v/>
      </c>
      <c r="G63" s="55" t="str">
        <f>IF($Q63="","",INDEX(TRANSACTIONS_MASTER!$K$5:$K$1204,$Q63))</f>
        <v/>
      </c>
      <c r="H63" s="25" t="str">
        <f>IF($Q63="","",INDEX(TRANSACTIONS_MASTER!$L$5:$L$1204,$Q63))</f>
        <v/>
      </c>
      <c r="I63" s="56" t="str">
        <f>IF($Q63="","",INDEX(TRANSACTIONS_MASTER!$N$5:$N$1204,$Q63))</f>
        <v/>
      </c>
      <c r="J63" s="25" t="str">
        <f>IF($Q63="","",INDEX(TRANSACTIONS_MASTER!$O$5:$O$1204,$Q63))</f>
        <v/>
      </c>
      <c r="K63" s="26" t="str">
        <f>IF($Q63="","",INDEX(TRANSACTIONS_MASTER!$Q$5:$Q$1204,$Q63))</f>
        <v/>
      </c>
      <c r="L63" s="25" t="str">
        <f>IF($Q63="","",INDEX(TRANSACTIONS_MASTER!$P$5:$P$1204,$Q63))</f>
        <v/>
      </c>
      <c r="M63" s="25" t="str">
        <f>IF($Q63="","",INDEX(TRANSACTIONS_MASTER!$AA$5:$AA$1204,$Q63))</f>
        <v/>
      </c>
      <c r="N63" s="25" t="str">
        <f>IF($Q63="","",INDEX(TRANSACTIONS_MASTER!$R$5:$R$1204,$Q63))</f>
        <v/>
      </c>
      <c r="O63" s="28" t="str">
        <f>IF($Q63="","",INDEX(TRANSACTIONS_MASTER!$AB$5:$AB$1204,$Q63))</f>
        <v/>
      </c>
      <c r="P63" s="55" t="str">
        <f>IF($Q63="","",INDEX(TRANSACTIONS_MASTER!$Z$5:$Z$1204,$Q63)&amp;"")</f>
        <v/>
      </c>
      <c r="Q63" s="67" t="str">
        <f>IFERROR(MATCH($C$2&amp;"|"&amp;56,TRANSACTIONS_MASTER!$AE$5:$AE$1204,0),"")</f>
        <v/>
      </c>
      <c r="S63" s="67" t="n">
        <v>2</v>
      </c>
      <c r="T63" s="55" t="str">
        <f>IF(CARDS!$A6="","",CARDS!$A6)</f>
        <v>VIB-A</v>
      </c>
      <c r="U63" s="55" t="str">
        <f>IF($T63="","",CARDS!$B6&amp;" "&amp;CARDS!$C6)</f>
        <v>VIB Cashback Demo A</v>
      </c>
      <c r="V63" s="25">
        <f>IF($T63="","",SUMIFS(TRANSACTIONS_MASTER!$L$5:$L$1204,TRANSACTIONS_MASTER!$D$5:$D$1204,$T63,TRANSACTIONS_MASTER!$C$5:$C$1204,$C$2,TRANSACTIONS_MASTER!$U$5:$U$1204,"&lt;&gt;Cancelled"))</f>
        <v>11500000</v>
      </c>
      <c r="W63" s="26">
        <f>IF($T63="","",SUMIFS(TRANSACTIONS_MASTER!$Q$5:$Q$1204,TRANSACTIONS_MASTER!$D$5:$D$1204,$T63,TRANSACTIONS_MASTER!$C$5:$C$1204,$C$2))</f>
        <v>1000000</v>
      </c>
      <c r="X63" s="25">
        <f>IF($T63="","",IFERROR(IF(ISNUMBER(INDEX(CASHBACK_RULES!$K$5:$K$304,MATCH($T63,CASHBACK_RULES!$B$5:$B$304,0))),INDEX(CASHBACK_RULES!$K$5:$K$304,MATCH($T63,CASHBACK_RULES!$B$5:$B$304,0)),"∞"),"—"))</f>
        <v>1000000</v>
      </c>
      <c r="Y63" s="25">
        <f>IF($T63="","",IF($X63="—","—",IF(COUNTIFS($T$8:$T$57,$T63,$Z$8:$Z$57,"∞")&gt;0,IF(ISNUMBER($X63),MAX(0,$X63-$W63),"∞"),IF(ISNUMBER($X63),MAX(0,MIN($X63-$W63,SUMIFS($Z$8:$Z$57,$T$8:$T$57,$T63))),SUMIFS($Z$8:$Z$57,$T$8:$T$57,$T63)))))</f>
        <v>0</v>
      </c>
      <c r="Z63" s="27">
        <f>IF($T63="","",IF(ISNUMBER($X63),IF($X63=0,0,$W63/$X63),IF(ISNUMBER($Y63),IF($W63+$Y63=0,0,$W63/($W63+$Y63)),"")))</f>
        <v>1</v>
      </c>
      <c r="AA63" s="29">
        <f>IF($T63="","",COUNTIFS(TRANSACTIONS_MASTER!$D$5:$D$1204,$T63,TRANSACTIONS_MASTER!$C$5:$C$1204,$C$2,TRANSACTIONS_MASTER!$U$5:$U$1204,"&lt;&gt;Cancelled"))</f>
        <v>4</v>
      </c>
    </row>
    <row r="64">
      <c r="A64" s="81" t="str">
        <f>IF($Q64="","",57)</f>
        <v/>
      </c>
      <c r="B64" s="57" t="str">
        <f>IF($Q64="","",INDEX(TRANSACTIONS_MASTER!$B$5:$B$1204,$Q64))</f>
        <v/>
      </c>
      <c r="C64" s="55" t="str">
        <f>IF($Q64="","",INDEX(TRANSACTIONS_MASTER!$F$5:$F$1204,$Q64))</f>
        <v/>
      </c>
      <c r="D64" s="55" t="str">
        <f>IF($Q64="","",INDEX(TRANSACTIONS_MASTER!$E$5:$E$1204,$Q64))</f>
        <v/>
      </c>
      <c r="E64" s="55" t="str">
        <f>IF($Q64="","",INDEX(TRANSACTIONS_MASTER!$G$5:$G$1204,$Q64)&amp;"")</f>
        <v/>
      </c>
      <c r="F64" s="29" t="str">
        <f>IF($Q64="","",INDEX(TRANSACTIONS_MASTER!$I$5:$I$1204,$Q64))</f>
        <v/>
      </c>
      <c r="G64" s="55" t="str">
        <f>IF($Q64="","",INDEX(TRANSACTIONS_MASTER!$K$5:$K$1204,$Q64))</f>
        <v/>
      </c>
      <c r="H64" s="25" t="str">
        <f>IF($Q64="","",INDEX(TRANSACTIONS_MASTER!$L$5:$L$1204,$Q64))</f>
        <v/>
      </c>
      <c r="I64" s="56" t="str">
        <f>IF($Q64="","",INDEX(TRANSACTIONS_MASTER!$N$5:$N$1204,$Q64))</f>
        <v/>
      </c>
      <c r="J64" s="25" t="str">
        <f>IF($Q64="","",INDEX(TRANSACTIONS_MASTER!$O$5:$O$1204,$Q64))</f>
        <v/>
      </c>
      <c r="K64" s="26" t="str">
        <f>IF($Q64="","",INDEX(TRANSACTIONS_MASTER!$Q$5:$Q$1204,$Q64))</f>
        <v/>
      </c>
      <c r="L64" s="25" t="str">
        <f>IF($Q64="","",INDEX(TRANSACTIONS_MASTER!$P$5:$P$1204,$Q64))</f>
        <v/>
      </c>
      <c r="M64" s="25" t="str">
        <f>IF($Q64="","",INDEX(TRANSACTIONS_MASTER!$AA$5:$AA$1204,$Q64))</f>
        <v/>
      </c>
      <c r="N64" s="25" t="str">
        <f>IF($Q64="","",INDEX(TRANSACTIONS_MASTER!$R$5:$R$1204,$Q64))</f>
        <v/>
      </c>
      <c r="O64" s="28" t="str">
        <f>IF($Q64="","",INDEX(TRANSACTIONS_MASTER!$AB$5:$AB$1204,$Q64))</f>
        <v/>
      </c>
      <c r="P64" s="55" t="str">
        <f>IF($Q64="","",INDEX(TRANSACTIONS_MASTER!$Z$5:$Z$1204,$Q64)&amp;"")</f>
        <v/>
      </c>
      <c r="Q64" s="67" t="str">
        <f>IFERROR(MATCH($C$2&amp;"|"&amp;57,TRANSACTIONS_MASTER!$AE$5:$AE$1204,0),"")</f>
        <v/>
      </c>
      <c r="S64" s="67" t="n">
        <v>3</v>
      </c>
      <c r="T64" s="55" t="str">
        <f>IF(CARDS!$A7="","",CARDS!$A7)</f>
        <v>TCB-B</v>
      </c>
      <c r="U64" s="55" t="str">
        <f>IF($T64="","",CARDS!$B7&amp;" "&amp;CARDS!$C7)</f>
        <v>Techcombank Cashback Demo B</v>
      </c>
      <c r="V64" s="25">
        <f>IF($T64="","",SUMIFS(TRANSACTIONS_MASTER!$L$5:$L$1204,TRANSACTIONS_MASTER!$D$5:$D$1204,$T64,TRANSACTIONS_MASTER!$C$5:$C$1204,$C$2,TRANSACTIONS_MASTER!$U$5:$U$1204,"&lt;&gt;Cancelled"))</f>
        <v>8300000</v>
      </c>
      <c r="W64" s="26">
        <f>IF($T64="","",SUMIFS(TRANSACTIONS_MASTER!$Q$5:$Q$1204,TRANSACTIONS_MASTER!$D$5:$D$1204,$T64,TRANSACTIONS_MASTER!$C$5:$C$1204,$C$2))</f>
        <v>390000</v>
      </c>
      <c r="X64" s="25">
        <f>IF($T64="","",IFERROR(IF(ISNUMBER(INDEX(CASHBACK_RULES!$K$5:$K$304,MATCH($T64,CASHBACK_RULES!$B$5:$B$304,0))),INDEX(CASHBACK_RULES!$K$5:$K$304,MATCH($T64,CASHBACK_RULES!$B$5:$B$304,0)),"∞"),"—"))</f>
        <v>2000000</v>
      </c>
      <c r="Y64" s="25">
        <f>IF($T64="","",IF($X64="—","—",IF(COUNTIFS($T$8:$T$57,$T64,$Z$8:$Z$57,"∞")&gt;0,IF(ISNUMBER($X64),MAX(0,$X64-$W64),"∞"),IF(ISNUMBER($X64),MAX(0,MIN($X64-$W64,SUMIFS($Z$8:$Z$57,$T$8:$T$57,$T64))),SUMIFS($Z$8:$Z$57,$T$8:$T$57,$T64)))))</f>
        <v>510000</v>
      </c>
      <c r="Z64" s="27">
        <f>IF($T64="","",IF(ISNUMBER($X64),IF($X64=0,0,$W64/$X64),IF(ISNUMBER($Y64),IF($W64+$Y64=0,0,$W64/($W64+$Y64)),"")))</f>
        <v>0.195</v>
      </c>
      <c r="AA64" s="29">
        <f>IF($T64="","",COUNTIFS(TRANSACTIONS_MASTER!$D$5:$D$1204,$T64,TRANSACTIONS_MASTER!$C$5:$C$1204,$C$2,TRANSACTIONS_MASTER!$U$5:$U$1204,"&lt;&gt;Cancelled"))</f>
        <v>3</v>
      </c>
    </row>
    <row r="65">
      <c r="A65" s="81" t="str">
        <f>IF($Q65="","",58)</f>
        <v/>
      </c>
      <c r="B65" s="57" t="str">
        <f>IF($Q65="","",INDEX(TRANSACTIONS_MASTER!$B$5:$B$1204,$Q65))</f>
        <v/>
      </c>
      <c r="C65" s="55" t="str">
        <f>IF($Q65="","",INDEX(TRANSACTIONS_MASTER!$F$5:$F$1204,$Q65))</f>
        <v/>
      </c>
      <c r="D65" s="55" t="str">
        <f>IF($Q65="","",INDEX(TRANSACTIONS_MASTER!$E$5:$E$1204,$Q65))</f>
        <v/>
      </c>
      <c r="E65" s="55" t="str">
        <f>IF($Q65="","",INDEX(TRANSACTIONS_MASTER!$G$5:$G$1204,$Q65)&amp;"")</f>
        <v/>
      </c>
      <c r="F65" s="29" t="str">
        <f>IF($Q65="","",INDEX(TRANSACTIONS_MASTER!$I$5:$I$1204,$Q65))</f>
        <v/>
      </c>
      <c r="G65" s="55" t="str">
        <f>IF($Q65="","",INDEX(TRANSACTIONS_MASTER!$K$5:$K$1204,$Q65))</f>
        <v/>
      </c>
      <c r="H65" s="25" t="str">
        <f>IF($Q65="","",INDEX(TRANSACTIONS_MASTER!$L$5:$L$1204,$Q65))</f>
        <v/>
      </c>
      <c r="I65" s="56" t="str">
        <f>IF($Q65="","",INDEX(TRANSACTIONS_MASTER!$N$5:$N$1204,$Q65))</f>
        <v/>
      </c>
      <c r="J65" s="25" t="str">
        <f>IF($Q65="","",INDEX(TRANSACTIONS_MASTER!$O$5:$O$1204,$Q65))</f>
        <v/>
      </c>
      <c r="K65" s="26" t="str">
        <f>IF($Q65="","",INDEX(TRANSACTIONS_MASTER!$Q$5:$Q$1204,$Q65))</f>
        <v/>
      </c>
      <c r="L65" s="25" t="str">
        <f>IF($Q65="","",INDEX(TRANSACTIONS_MASTER!$P$5:$P$1204,$Q65))</f>
        <v/>
      </c>
      <c r="M65" s="25" t="str">
        <f>IF($Q65="","",INDEX(TRANSACTIONS_MASTER!$AA$5:$AA$1204,$Q65))</f>
        <v/>
      </c>
      <c r="N65" s="25" t="str">
        <f>IF($Q65="","",INDEX(TRANSACTIONS_MASTER!$R$5:$R$1204,$Q65))</f>
        <v/>
      </c>
      <c r="O65" s="28" t="str">
        <f>IF($Q65="","",INDEX(TRANSACTIONS_MASTER!$AB$5:$AB$1204,$Q65))</f>
        <v/>
      </c>
      <c r="P65" s="55" t="str">
        <f>IF($Q65="","",INDEX(TRANSACTIONS_MASTER!$Z$5:$Z$1204,$Q65)&amp;"")</f>
        <v/>
      </c>
      <c r="Q65" s="67" t="str">
        <f>IFERROR(MATCH($C$2&amp;"|"&amp;58,TRANSACTIONS_MASTER!$AE$5:$AE$1204,0),"")</f>
        <v/>
      </c>
      <c r="S65" s="67" t="n">
        <v>4</v>
      </c>
      <c r="T65" s="55" t="str">
        <f>IF(CARDS!$A8="","",CARDS!$A8)</f>
        <v>UOB-C</v>
      </c>
      <c r="U65" s="55" t="str">
        <f>IF($T65="","",CARDS!$B8&amp;" "&amp;CARDS!$C8)</f>
        <v>UOB Cashback Demo C</v>
      </c>
      <c r="V65" s="25">
        <f>IF($T65="","",SUMIFS(TRANSACTIONS_MASTER!$L$5:$L$1204,TRANSACTIONS_MASTER!$D$5:$D$1204,$T65,TRANSACTIONS_MASTER!$C$5:$C$1204,$C$2,TRANSACTIONS_MASTER!$U$5:$U$1204,"&lt;&gt;Cancelled"))</f>
        <v>7000000</v>
      </c>
      <c r="W65" s="26">
        <f>IF($T65="","",SUMIFS(TRANSACTIONS_MASTER!$Q$5:$Q$1204,TRANSACTIONS_MASTER!$D$5:$D$1204,$T65,TRANSACTIONS_MASTER!$C$5:$C$1204,$C$2))</f>
        <v>1000000</v>
      </c>
      <c r="X65" s="25" t="str">
        <f>IF($T65="","",IFERROR(IF(ISNUMBER(INDEX(CASHBACK_RULES!$K$5:$K$304,MATCH($T65,CASHBACK_RULES!$B$5:$B$304,0))),INDEX(CASHBACK_RULES!$K$5:$K$304,MATCH($T65,CASHBACK_RULES!$B$5:$B$304,0)),"∞"),"—"))</f>
        <v>∞</v>
      </c>
      <c r="Y65" s="25">
        <f>IF($T65="","",IF($X65="—","—",IF(COUNTIFS($T$8:$T$57,$T65,$Z$8:$Z$57,"∞")&gt;0,IF(ISNUMBER($X65),MAX(0,$X65-$W65),"∞"),IF(ISNUMBER($X65),MAX(0,MIN($X65-$W65,SUMIFS($Z$8:$Z$57,$T$8:$T$57,$T65))),SUMIFS($Z$8:$Z$57,$T$8:$T$57,$T65)))))</f>
        <v>0</v>
      </c>
      <c r="Z65" s="27">
        <f>IF($T65="","",IF(ISNUMBER($X65),IF($X65=0,0,$W65/$X65),IF(ISNUMBER($Y65),IF($W65+$Y65=0,0,$W65/($W65+$Y65)),"")))</f>
        <v>1</v>
      </c>
      <c r="AA65" s="29">
        <f>IF($T65="","",COUNTIFS(TRANSACTIONS_MASTER!$D$5:$D$1204,$T65,TRANSACTIONS_MASTER!$C$5:$C$1204,$C$2,TRANSACTIONS_MASTER!$U$5:$U$1204,"&lt;&gt;Cancelled"))</f>
        <v>2</v>
      </c>
    </row>
    <row r="66">
      <c r="A66" s="81" t="str">
        <f>IF($Q66="","",59)</f>
        <v/>
      </c>
      <c r="B66" s="57" t="str">
        <f>IF($Q66="","",INDEX(TRANSACTIONS_MASTER!$B$5:$B$1204,$Q66))</f>
        <v/>
      </c>
      <c r="C66" s="55" t="str">
        <f>IF($Q66="","",INDEX(TRANSACTIONS_MASTER!$F$5:$F$1204,$Q66))</f>
        <v/>
      </c>
      <c r="D66" s="55" t="str">
        <f>IF($Q66="","",INDEX(TRANSACTIONS_MASTER!$E$5:$E$1204,$Q66))</f>
        <v/>
      </c>
      <c r="E66" s="55" t="str">
        <f>IF($Q66="","",INDEX(TRANSACTIONS_MASTER!$G$5:$G$1204,$Q66)&amp;"")</f>
        <v/>
      </c>
      <c r="F66" s="29" t="str">
        <f>IF($Q66="","",INDEX(TRANSACTIONS_MASTER!$I$5:$I$1204,$Q66))</f>
        <v/>
      </c>
      <c r="G66" s="55" t="str">
        <f>IF($Q66="","",INDEX(TRANSACTIONS_MASTER!$K$5:$K$1204,$Q66))</f>
        <v/>
      </c>
      <c r="H66" s="25" t="str">
        <f>IF($Q66="","",INDEX(TRANSACTIONS_MASTER!$L$5:$L$1204,$Q66))</f>
        <v/>
      </c>
      <c r="I66" s="56" t="str">
        <f>IF($Q66="","",INDEX(TRANSACTIONS_MASTER!$N$5:$N$1204,$Q66))</f>
        <v/>
      </c>
      <c r="J66" s="25" t="str">
        <f>IF($Q66="","",INDEX(TRANSACTIONS_MASTER!$O$5:$O$1204,$Q66))</f>
        <v/>
      </c>
      <c r="K66" s="26" t="str">
        <f>IF($Q66="","",INDEX(TRANSACTIONS_MASTER!$Q$5:$Q$1204,$Q66))</f>
        <v/>
      </c>
      <c r="L66" s="25" t="str">
        <f>IF($Q66="","",INDEX(TRANSACTIONS_MASTER!$P$5:$P$1204,$Q66))</f>
        <v/>
      </c>
      <c r="M66" s="25" t="str">
        <f>IF($Q66="","",INDEX(TRANSACTIONS_MASTER!$AA$5:$AA$1204,$Q66))</f>
        <v/>
      </c>
      <c r="N66" s="25" t="str">
        <f>IF($Q66="","",INDEX(TRANSACTIONS_MASTER!$R$5:$R$1204,$Q66))</f>
        <v/>
      </c>
      <c r="O66" s="28" t="str">
        <f>IF($Q66="","",INDEX(TRANSACTIONS_MASTER!$AB$5:$AB$1204,$Q66))</f>
        <v/>
      </c>
      <c r="P66" s="55" t="str">
        <f>IF($Q66="","",INDEX(TRANSACTIONS_MASTER!$Z$5:$Z$1204,$Q66)&amp;"")</f>
        <v/>
      </c>
      <c r="Q66" s="67" t="str">
        <f>IFERROR(MATCH($C$2&amp;"|"&amp;59,TRANSACTIONS_MASTER!$AE$5:$AE$1204,0),"")</f>
        <v/>
      </c>
      <c r="S66" s="67" t="n">
        <v>5</v>
      </c>
      <c r="T66" s="55" t="str">
        <f>IF(CARDS!$A9="","",CARDS!$A9)</f>
        <v>MB-D</v>
      </c>
      <c r="U66" s="55" t="str">
        <f>IF($T66="","",CARDS!$B9&amp;" "&amp;CARDS!$C9)</f>
        <v>MB Cashback Demo D</v>
      </c>
      <c r="V66" s="25">
        <f>IF($T66="","",SUMIFS(TRANSACTIONS_MASTER!$L$5:$L$1204,TRANSACTIONS_MASTER!$D$5:$D$1204,$T66,TRANSACTIONS_MASTER!$C$5:$C$1204,$C$2,TRANSACTIONS_MASTER!$U$5:$U$1204,"&lt;&gt;Cancelled"))</f>
        <v>9550000</v>
      </c>
      <c r="W66" s="26">
        <f>IF($T66="","",SUMIFS(TRANSACTIONS_MASTER!$Q$5:$Q$1204,TRANSACTIONS_MASTER!$D$5:$D$1204,$T66,TRANSACTIONS_MASTER!$C$5:$C$1204,$C$2))</f>
        <v>490000</v>
      </c>
      <c r="X66" s="25">
        <f>IF($T66="","",IFERROR(IF(ISNUMBER(INDEX(CASHBACK_RULES!$K$5:$K$304,MATCH($T66,CASHBACK_RULES!$B$5:$B$304,0))),INDEX(CASHBACK_RULES!$K$5:$K$304,MATCH($T66,CASHBACK_RULES!$B$5:$B$304,0)),"∞"),"—"))</f>
        <v>600000</v>
      </c>
      <c r="Y66" s="25">
        <f>IF($T66="","",IF($X66="—","—",IF(COUNTIFS($T$8:$T$57,$T66,$Z$8:$Z$57,"∞")&gt;0,IF(ISNUMBER($X66),MAX(0,$X66-$W66),"∞"),IF(ISNUMBER($X66),MAX(0,MIN($X66-$W66,SUMIFS($Z$8:$Z$57,$T$8:$T$57,$T66))),SUMIFS($Z$8:$Z$57,$T$8:$T$57,$T66)))))</f>
        <v>110000</v>
      </c>
      <c r="Z66" s="27">
        <f>IF($T66="","",IF(ISNUMBER($X66),IF($X66=0,0,$W66/$X66),IF(ISNUMBER($Y66),IF($W66+$Y66=0,0,$W66/($W66+$Y66)),"")))</f>
        <v>0.816666666666667</v>
      </c>
      <c r="AA66" s="29">
        <f>IF($T66="","",COUNTIFS(TRANSACTIONS_MASTER!$D$5:$D$1204,$T66,TRANSACTIONS_MASTER!$C$5:$C$1204,$C$2,TRANSACTIONS_MASTER!$U$5:$U$1204,"&lt;&gt;Cancelled"))</f>
        <v>4</v>
      </c>
    </row>
    <row r="67">
      <c r="A67" s="81" t="str">
        <f>IF($Q67="","",60)</f>
        <v/>
      </c>
      <c r="B67" s="57" t="str">
        <f>IF($Q67="","",INDEX(TRANSACTIONS_MASTER!$B$5:$B$1204,$Q67))</f>
        <v/>
      </c>
      <c r="C67" s="55" t="str">
        <f>IF($Q67="","",INDEX(TRANSACTIONS_MASTER!$F$5:$F$1204,$Q67))</f>
        <v/>
      </c>
      <c r="D67" s="55" t="str">
        <f>IF($Q67="","",INDEX(TRANSACTIONS_MASTER!$E$5:$E$1204,$Q67))</f>
        <v/>
      </c>
      <c r="E67" s="55" t="str">
        <f>IF($Q67="","",INDEX(TRANSACTIONS_MASTER!$G$5:$G$1204,$Q67)&amp;"")</f>
        <v/>
      </c>
      <c r="F67" s="29" t="str">
        <f>IF($Q67="","",INDEX(TRANSACTIONS_MASTER!$I$5:$I$1204,$Q67))</f>
        <v/>
      </c>
      <c r="G67" s="55" t="str">
        <f>IF($Q67="","",INDEX(TRANSACTIONS_MASTER!$K$5:$K$1204,$Q67))</f>
        <v/>
      </c>
      <c r="H67" s="25" t="str">
        <f>IF($Q67="","",INDEX(TRANSACTIONS_MASTER!$L$5:$L$1204,$Q67))</f>
        <v/>
      </c>
      <c r="I67" s="56" t="str">
        <f>IF($Q67="","",INDEX(TRANSACTIONS_MASTER!$N$5:$N$1204,$Q67))</f>
        <v/>
      </c>
      <c r="J67" s="25" t="str">
        <f>IF($Q67="","",INDEX(TRANSACTIONS_MASTER!$O$5:$O$1204,$Q67))</f>
        <v/>
      </c>
      <c r="K67" s="26" t="str">
        <f>IF($Q67="","",INDEX(TRANSACTIONS_MASTER!$Q$5:$Q$1204,$Q67))</f>
        <v/>
      </c>
      <c r="L67" s="25" t="str">
        <f>IF($Q67="","",INDEX(TRANSACTIONS_MASTER!$P$5:$P$1204,$Q67))</f>
        <v/>
      </c>
      <c r="M67" s="25" t="str">
        <f>IF($Q67="","",INDEX(TRANSACTIONS_MASTER!$AA$5:$AA$1204,$Q67))</f>
        <v/>
      </c>
      <c r="N67" s="25" t="str">
        <f>IF($Q67="","",INDEX(TRANSACTIONS_MASTER!$R$5:$R$1204,$Q67))</f>
        <v/>
      </c>
      <c r="O67" s="28" t="str">
        <f>IF($Q67="","",INDEX(TRANSACTIONS_MASTER!$AB$5:$AB$1204,$Q67))</f>
        <v/>
      </c>
      <c r="P67" s="55" t="str">
        <f>IF($Q67="","",INDEX(TRANSACTIONS_MASTER!$Z$5:$Z$1204,$Q67)&amp;"")</f>
        <v/>
      </c>
      <c r="Q67" s="67" t="str">
        <f>IFERROR(MATCH($C$2&amp;"|"&amp;60,TRANSACTIONS_MASTER!$AE$5:$AE$1204,0),"")</f>
        <v/>
      </c>
      <c r="S67" s="67" t="n">
        <v>6</v>
      </c>
      <c r="T67" s="55" t="str">
        <f>IF(CARDS!$A10="","",CARDS!$A10)</f>
        <v>ACB-E</v>
      </c>
      <c r="U67" s="55" t="str">
        <f>IF($T67="","",CARDS!$B10&amp;" "&amp;CARDS!$C10)</f>
        <v>ACB Demo E (không cashback)</v>
      </c>
      <c r="V67" s="25">
        <f>IF($T67="","",SUMIFS(TRANSACTIONS_MASTER!$L$5:$L$1204,TRANSACTIONS_MASTER!$D$5:$D$1204,$T67,TRANSACTIONS_MASTER!$C$5:$C$1204,$C$2,TRANSACTIONS_MASTER!$U$5:$U$1204,"&lt;&gt;Cancelled"))</f>
        <v>1000000</v>
      </c>
      <c r="W67" s="26">
        <f>IF($T67="","",SUMIFS(TRANSACTIONS_MASTER!$Q$5:$Q$1204,TRANSACTIONS_MASTER!$D$5:$D$1204,$T67,TRANSACTIONS_MASTER!$C$5:$C$1204,$C$2))</f>
        <v>0</v>
      </c>
      <c r="X67" s="25" t="str">
        <f>IF($T67="","",IFERROR(IF(ISNUMBER(INDEX(CASHBACK_RULES!$K$5:$K$304,MATCH($T67,CASHBACK_RULES!$B$5:$B$304,0))),INDEX(CASHBACK_RULES!$K$5:$K$304,MATCH($T67,CASHBACK_RULES!$B$5:$B$304,0)),"∞"),"—"))</f>
        <v>∞</v>
      </c>
      <c r="Y67" s="25">
        <f>IF($T67="","",IF($X67="—","—",IF(COUNTIFS($T$8:$T$57,$T67,$Z$8:$Z$57,"∞")&gt;0,IF(ISNUMBER($X67),MAX(0,$X67-$W67),"∞"),IF(ISNUMBER($X67),MAX(0,MIN($X67-$W67,SUMIFS($Z$8:$Z$57,$T$8:$T$57,$T67))),SUMIFS($Z$8:$Z$57,$T$8:$T$57,$T67)))))</f>
        <v>0</v>
      </c>
      <c r="Z67" s="27">
        <f>IF($T67="","",IF(ISNUMBER($X67),IF($X67=0,0,$W67/$X67),IF(ISNUMBER($Y67),IF($W67+$Y67=0,0,$W67/($W67+$Y67)),"")))</f>
        <v>0</v>
      </c>
      <c r="AA67" s="29">
        <f>IF($T67="","",COUNTIFS(TRANSACTIONS_MASTER!$D$5:$D$1204,$T67,TRANSACTIONS_MASTER!$C$5:$C$1204,$C$2,TRANSACTIONS_MASTER!$U$5:$U$1204,"&lt;&gt;Cancelled"))</f>
        <v>1</v>
      </c>
    </row>
    <row r="68">
      <c r="A68" s="81" t="str">
        <f>IF($Q68="","",61)</f>
        <v/>
      </c>
      <c r="B68" s="57" t="str">
        <f>IF($Q68="","",INDEX(TRANSACTIONS_MASTER!$B$5:$B$1204,$Q68))</f>
        <v/>
      </c>
      <c r="C68" s="55" t="str">
        <f>IF($Q68="","",INDEX(TRANSACTIONS_MASTER!$F$5:$F$1204,$Q68))</f>
        <v/>
      </c>
      <c r="D68" s="55" t="str">
        <f>IF($Q68="","",INDEX(TRANSACTIONS_MASTER!$E$5:$E$1204,$Q68))</f>
        <v/>
      </c>
      <c r="E68" s="55" t="str">
        <f>IF($Q68="","",INDEX(TRANSACTIONS_MASTER!$G$5:$G$1204,$Q68)&amp;"")</f>
        <v/>
      </c>
      <c r="F68" s="29" t="str">
        <f>IF($Q68="","",INDEX(TRANSACTIONS_MASTER!$I$5:$I$1204,$Q68))</f>
        <v/>
      </c>
      <c r="G68" s="55" t="str">
        <f>IF($Q68="","",INDEX(TRANSACTIONS_MASTER!$K$5:$K$1204,$Q68))</f>
        <v/>
      </c>
      <c r="H68" s="25" t="str">
        <f>IF($Q68="","",INDEX(TRANSACTIONS_MASTER!$L$5:$L$1204,$Q68))</f>
        <v/>
      </c>
      <c r="I68" s="56" t="str">
        <f>IF($Q68="","",INDEX(TRANSACTIONS_MASTER!$N$5:$N$1204,$Q68))</f>
        <v/>
      </c>
      <c r="J68" s="25" t="str">
        <f>IF($Q68="","",INDEX(TRANSACTIONS_MASTER!$O$5:$O$1204,$Q68))</f>
        <v/>
      </c>
      <c r="K68" s="26" t="str">
        <f>IF($Q68="","",INDEX(TRANSACTIONS_MASTER!$Q$5:$Q$1204,$Q68))</f>
        <v/>
      </c>
      <c r="L68" s="25" t="str">
        <f>IF($Q68="","",INDEX(TRANSACTIONS_MASTER!$P$5:$P$1204,$Q68))</f>
        <v/>
      </c>
      <c r="M68" s="25" t="str">
        <f>IF($Q68="","",INDEX(TRANSACTIONS_MASTER!$AA$5:$AA$1204,$Q68))</f>
        <v/>
      </c>
      <c r="N68" s="25" t="str">
        <f>IF($Q68="","",INDEX(TRANSACTIONS_MASTER!$R$5:$R$1204,$Q68))</f>
        <v/>
      </c>
      <c r="O68" s="28" t="str">
        <f>IF($Q68="","",INDEX(TRANSACTIONS_MASTER!$AB$5:$AB$1204,$Q68))</f>
        <v/>
      </c>
      <c r="P68" s="55" t="str">
        <f>IF($Q68="","",INDEX(TRANSACTIONS_MASTER!$Z$5:$Z$1204,$Q68)&amp;"")</f>
        <v/>
      </c>
      <c r="Q68" s="67" t="str">
        <f>IFERROR(MATCH($C$2&amp;"|"&amp;61,TRANSACTIONS_MASTER!$AE$5:$AE$1204,0),"")</f>
        <v/>
      </c>
      <c r="S68" s="67" t="n">
        <v>7</v>
      </c>
      <c r="T68" s="55" t="str">
        <f>IF(CARDS!$A11="","",CARDS!$A11)</f>
        <v/>
      </c>
      <c r="U68" s="55" t="str">
        <f>IF($T68="","",CARDS!$B11&amp;" "&amp;CARDS!$C11)</f>
        <v/>
      </c>
      <c r="V68" s="25" t="str">
        <f>IF($T68="","",SUMIFS(TRANSACTIONS_MASTER!$L$5:$L$1204,TRANSACTIONS_MASTER!$D$5:$D$1204,$T68,TRANSACTIONS_MASTER!$C$5:$C$1204,$C$2,TRANSACTIONS_MASTER!$U$5:$U$1204,"&lt;&gt;Cancelled"))</f>
        <v/>
      </c>
      <c r="W68" s="26" t="str">
        <f>IF($T68="","",SUMIFS(TRANSACTIONS_MASTER!$Q$5:$Q$1204,TRANSACTIONS_MASTER!$D$5:$D$1204,$T68,TRANSACTIONS_MASTER!$C$5:$C$1204,$C$2))</f>
        <v/>
      </c>
      <c r="X68" s="25" t="str">
        <f>IF($T68="","",IFERROR(IF(ISNUMBER(INDEX(CASHBACK_RULES!$K$5:$K$304,MATCH($T68,CASHBACK_RULES!$B$5:$B$304,0))),INDEX(CASHBACK_RULES!$K$5:$K$304,MATCH($T68,CASHBACK_RULES!$B$5:$B$304,0)),"∞"),"—"))</f>
        <v/>
      </c>
      <c r="Y68" s="25" t="str">
        <f>IF($T68="","",IF($X68="—","—",IF(COUNTIFS($T$8:$T$57,$T68,$Z$8:$Z$57,"∞")&gt;0,IF(ISNUMBER($X68),MAX(0,$X68-$W68),"∞"),IF(ISNUMBER($X68),MAX(0,MIN($X68-$W68,SUMIFS($Z$8:$Z$57,$T$8:$T$57,$T68))),SUMIFS($Z$8:$Z$57,$T$8:$T$57,$T68)))))</f>
        <v/>
      </c>
      <c r="Z68" s="27" t="str">
        <f>IF($T68="","",IF(ISNUMBER($X68),IF($X68=0,0,$W68/$X68),IF(ISNUMBER($Y68),IF($W68+$Y68=0,0,$W68/($W68+$Y68)),"")))</f>
        <v/>
      </c>
      <c r="AA68" s="29" t="str">
        <f>IF($T68="","",COUNTIFS(TRANSACTIONS_MASTER!$D$5:$D$1204,$T68,TRANSACTIONS_MASTER!$C$5:$C$1204,$C$2,TRANSACTIONS_MASTER!$U$5:$U$1204,"&lt;&gt;Cancelled"))</f>
        <v/>
      </c>
    </row>
    <row r="69">
      <c r="A69" s="81" t="str">
        <f>IF($Q69="","",62)</f>
        <v/>
      </c>
      <c r="B69" s="57" t="str">
        <f>IF($Q69="","",INDEX(TRANSACTIONS_MASTER!$B$5:$B$1204,$Q69))</f>
        <v/>
      </c>
      <c r="C69" s="55" t="str">
        <f>IF($Q69="","",INDEX(TRANSACTIONS_MASTER!$F$5:$F$1204,$Q69))</f>
        <v/>
      </c>
      <c r="D69" s="55" t="str">
        <f>IF($Q69="","",INDEX(TRANSACTIONS_MASTER!$E$5:$E$1204,$Q69))</f>
        <v/>
      </c>
      <c r="E69" s="55" t="str">
        <f>IF($Q69="","",INDEX(TRANSACTIONS_MASTER!$G$5:$G$1204,$Q69)&amp;"")</f>
        <v/>
      </c>
      <c r="F69" s="29" t="str">
        <f>IF($Q69="","",INDEX(TRANSACTIONS_MASTER!$I$5:$I$1204,$Q69))</f>
        <v/>
      </c>
      <c r="G69" s="55" t="str">
        <f>IF($Q69="","",INDEX(TRANSACTIONS_MASTER!$K$5:$K$1204,$Q69))</f>
        <v/>
      </c>
      <c r="H69" s="25" t="str">
        <f>IF($Q69="","",INDEX(TRANSACTIONS_MASTER!$L$5:$L$1204,$Q69))</f>
        <v/>
      </c>
      <c r="I69" s="56" t="str">
        <f>IF($Q69="","",INDEX(TRANSACTIONS_MASTER!$N$5:$N$1204,$Q69))</f>
        <v/>
      </c>
      <c r="J69" s="25" t="str">
        <f>IF($Q69="","",INDEX(TRANSACTIONS_MASTER!$O$5:$O$1204,$Q69))</f>
        <v/>
      </c>
      <c r="K69" s="26" t="str">
        <f>IF($Q69="","",INDEX(TRANSACTIONS_MASTER!$Q$5:$Q$1204,$Q69))</f>
        <v/>
      </c>
      <c r="L69" s="25" t="str">
        <f>IF($Q69="","",INDEX(TRANSACTIONS_MASTER!$P$5:$P$1204,$Q69))</f>
        <v/>
      </c>
      <c r="M69" s="25" t="str">
        <f>IF($Q69="","",INDEX(TRANSACTIONS_MASTER!$AA$5:$AA$1204,$Q69))</f>
        <v/>
      </c>
      <c r="N69" s="25" t="str">
        <f>IF($Q69="","",INDEX(TRANSACTIONS_MASTER!$R$5:$R$1204,$Q69))</f>
        <v/>
      </c>
      <c r="O69" s="28" t="str">
        <f>IF($Q69="","",INDEX(TRANSACTIONS_MASTER!$AB$5:$AB$1204,$Q69))</f>
        <v/>
      </c>
      <c r="P69" s="55" t="str">
        <f>IF($Q69="","",INDEX(TRANSACTIONS_MASTER!$Z$5:$Z$1204,$Q69)&amp;"")</f>
        <v/>
      </c>
      <c r="Q69" s="67" t="str">
        <f>IFERROR(MATCH($C$2&amp;"|"&amp;62,TRANSACTIONS_MASTER!$AE$5:$AE$1204,0),"")</f>
        <v/>
      </c>
      <c r="S69" s="67" t="n">
        <v>8</v>
      </c>
      <c r="T69" s="55" t="str">
        <f>IF(CARDS!$A12="","",CARDS!$A12)</f>
        <v/>
      </c>
      <c r="U69" s="55" t="str">
        <f>IF($T69="","",CARDS!$B12&amp;" "&amp;CARDS!$C12)</f>
        <v/>
      </c>
      <c r="V69" s="25" t="str">
        <f>IF($T69="","",SUMIFS(TRANSACTIONS_MASTER!$L$5:$L$1204,TRANSACTIONS_MASTER!$D$5:$D$1204,$T69,TRANSACTIONS_MASTER!$C$5:$C$1204,$C$2,TRANSACTIONS_MASTER!$U$5:$U$1204,"&lt;&gt;Cancelled"))</f>
        <v/>
      </c>
      <c r="W69" s="26" t="str">
        <f>IF($T69="","",SUMIFS(TRANSACTIONS_MASTER!$Q$5:$Q$1204,TRANSACTIONS_MASTER!$D$5:$D$1204,$T69,TRANSACTIONS_MASTER!$C$5:$C$1204,$C$2))</f>
        <v/>
      </c>
      <c r="X69" s="25" t="str">
        <f>IF($T69="","",IFERROR(IF(ISNUMBER(INDEX(CASHBACK_RULES!$K$5:$K$304,MATCH($T69,CASHBACK_RULES!$B$5:$B$304,0))),INDEX(CASHBACK_RULES!$K$5:$K$304,MATCH($T69,CASHBACK_RULES!$B$5:$B$304,0)),"∞"),"—"))</f>
        <v/>
      </c>
      <c r="Y69" s="25" t="str">
        <f>IF($T69="","",IF($X69="—","—",IF(COUNTIFS($T$8:$T$57,$T69,$Z$8:$Z$57,"∞")&gt;0,IF(ISNUMBER($X69),MAX(0,$X69-$W69),"∞"),IF(ISNUMBER($X69),MAX(0,MIN($X69-$W69,SUMIFS($Z$8:$Z$57,$T$8:$T$57,$T69))),SUMIFS($Z$8:$Z$57,$T$8:$T$57,$T69)))))</f>
        <v/>
      </c>
      <c r="Z69" s="27" t="str">
        <f>IF($T69="","",IF(ISNUMBER($X69),IF($X69=0,0,$W69/$X69),IF(ISNUMBER($Y69),IF($W69+$Y69=0,0,$W69/($W69+$Y69)),"")))</f>
        <v/>
      </c>
      <c r="AA69" s="29" t="str">
        <f>IF($T69="","",COUNTIFS(TRANSACTIONS_MASTER!$D$5:$D$1204,$T69,TRANSACTIONS_MASTER!$C$5:$C$1204,$C$2,TRANSACTIONS_MASTER!$U$5:$U$1204,"&lt;&gt;Cancelled"))</f>
        <v/>
      </c>
    </row>
    <row r="70">
      <c r="A70" s="81" t="str">
        <f>IF($Q70="","",63)</f>
        <v/>
      </c>
      <c r="B70" s="57" t="str">
        <f>IF($Q70="","",INDEX(TRANSACTIONS_MASTER!$B$5:$B$1204,$Q70))</f>
        <v/>
      </c>
      <c r="C70" s="55" t="str">
        <f>IF($Q70="","",INDEX(TRANSACTIONS_MASTER!$F$5:$F$1204,$Q70))</f>
        <v/>
      </c>
      <c r="D70" s="55" t="str">
        <f>IF($Q70="","",INDEX(TRANSACTIONS_MASTER!$E$5:$E$1204,$Q70))</f>
        <v/>
      </c>
      <c r="E70" s="55" t="str">
        <f>IF($Q70="","",INDEX(TRANSACTIONS_MASTER!$G$5:$G$1204,$Q70)&amp;"")</f>
        <v/>
      </c>
      <c r="F70" s="29" t="str">
        <f>IF($Q70="","",INDEX(TRANSACTIONS_MASTER!$I$5:$I$1204,$Q70))</f>
        <v/>
      </c>
      <c r="G70" s="55" t="str">
        <f>IF($Q70="","",INDEX(TRANSACTIONS_MASTER!$K$5:$K$1204,$Q70))</f>
        <v/>
      </c>
      <c r="H70" s="25" t="str">
        <f>IF($Q70="","",INDEX(TRANSACTIONS_MASTER!$L$5:$L$1204,$Q70))</f>
        <v/>
      </c>
      <c r="I70" s="56" t="str">
        <f>IF($Q70="","",INDEX(TRANSACTIONS_MASTER!$N$5:$N$1204,$Q70))</f>
        <v/>
      </c>
      <c r="J70" s="25" t="str">
        <f>IF($Q70="","",INDEX(TRANSACTIONS_MASTER!$O$5:$O$1204,$Q70))</f>
        <v/>
      </c>
      <c r="K70" s="26" t="str">
        <f>IF($Q70="","",INDEX(TRANSACTIONS_MASTER!$Q$5:$Q$1204,$Q70))</f>
        <v/>
      </c>
      <c r="L70" s="25" t="str">
        <f>IF($Q70="","",INDEX(TRANSACTIONS_MASTER!$P$5:$P$1204,$Q70))</f>
        <v/>
      </c>
      <c r="M70" s="25" t="str">
        <f>IF($Q70="","",INDEX(TRANSACTIONS_MASTER!$AA$5:$AA$1204,$Q70))</f>
        <v/>
      </c>
      <c r="N70" s="25" t="str">
        <f>IF($Q70="","",INDEX(TRANSACTIONS_MASTER!$R$5:$R$1204,$Q70))</f>
        <v/>
      </c>
      <c r="O70" s="28" t="str">
        <f>IF($Q70="","",INDEX(TRANSACTIONS_MASTER!$AB$5:$AB$1204,$Q70))</f>
        <v/>
      </c>
      <c r="P70" s="55" t="str">
        <f>IF($Q70="","",INDEX(TRANSACTIONS_MASTER!$Z$5:$Z$1204,$Q70)&amp;"")</f>
        <v/>
      </c>
      <c r="Q70" s="67" t="str">
        <f>IFERROR(MATCH($C$2&amp;"|"&amp;63,TRANSACTIONS_MASTER!$AE$5:$AE$1204,0),"")</f>
        <v/>
      </c>
      <c r="S70" s="67" t="n">
        <v>9</v>
      </c>
      <c r="T70" s="55" t="str">
        <f>IF(CARDS!$A13="","",CARDS!$A13)</f>
        <v/>
      </c>
      <c r="U70" s="55" t="str">
        <f>IF($T70="","",CARDS!$B13&amp;" "&amp;CARDS!$C13)</f>
        <v/>
      </c>
      <c r="V70" s="25" t="str">
        <f>IF($T70="","",SUMIFS(TRANSACTIONS_MASTER!$L$5:$L$1204,TRANSACTIONS_MASTER!$D$5:$D$1204,$T70,TRANSACTIONS_MASTER!$C$5:$C$1204,$C$2,TRANSACTIONS_MASTER!$U$5:$U$1204,"&lt;&gt;Cancelled"))</f>
        <v/>
      </c>
      <c r="W70" s="26" t="str">
        <f>IF($T70="","",SUMIFS(TRANSACTIONS_MASTER!$Q$5:$Q$1204,TRANSACTIONS_MASTER!$D$5:$D$1204,$T70,TRANSACTIONS_MASTER!$C$5:$C$1204,$C$2))</f>
        <v/>
      </c>
      <c r="X70" s="25" t="str">
        <f>IF($T70="","",IFERROR(IF(ISNUMBER(INDEX(CASHBACK_RULES!$K$5:$K$304,MATCH($T70,CASHBACK_RULES!$B$5:$B$304,0))),INDEX(CASHBACK_RULES!$K$5:$K$304,MATCH($T70,CASHBACK_RULES!$B$5:$B$304,0)),"∞"),"—"))</f>
        <v/>
      </c>
      <c r="Y70" s="25" t="str">
        <f>IF($T70="","",IF($X70="—","—",IF(COUNTIFS($T$8:$T$57,$T70,$Z$8:$Z$57,"∞")&gt;0,IF(ISNUMBER($X70),MAX(0,$X70-$W70),"∞"),IF(ISNUMBER($X70),MAX(0,MIN($X70-$W70,SUMIFS($Z$8:$Z$57,$T$8:$T$57,$T70))),SUMIFS($Z$8:$Z$57,$T$8:$T$57,$T70)))))</f>
        <v/>
      </c>
      <c r="Z70" s="27" t="str">
        <f>IF($T70="","",IF(ISNUMBER($X70),IF($X70=0,0,$W70/$X70),IF(ISNUMBER($Y70),IF($W70+$Y70=0,0,$W70/($W70+$Y70)),"")))</f>
        <v/>
      </c>
      <c r="AA70" s="29" t="str">
        <f>IF($T70="","",COUNTIFS(TRANSACTIONS_MASTER!$D$5:$D$1204,$T70,TRANSACTIONS_MASTER!$C$5:$C$1204,$C$2,TRANSACTIONS_MASTER!$U$5:$U$1204,"&lt;&gt;Cancelled"))</f>
        <v/>
      </c>
    </row>
    <row r="71">
      <c r="A71" s="81" t="str">
        <f>IF($Q71="","",64)</f>
        <v/>
      </c>
      <c r="B71" s="57" t="str">
        <f>IF($Q71="","",INDEX(TRANSACTIONS_MASTER!$B$5:$B$1204,$Q71))</f>
        <v/>
      </c>
      <c r="C71" s="55" t="str">
        <f>IF($Q71="","",INDEX(TRANSACTIONS_MASTER!$F$5:$F$1204,$Q71))</f>
        <v/>
      </c>
      <c r="D71" s="55" t="str">
        <f>IF($Q71="","",INDEX(TRANSACTIONS_MASTER!$E$5:$E$1204,$Q71))</f>
        <v/>
      </c>
      <c r="E71" s="55" t="str">
        <f>IF($Q71="","",INDEX(TRANSACTIONS_MASTER!$G$5:$G$1204,$Q71)&amp;"")</f>
        <v/>
      </c>
      <c r="F71" s="29" t="str">
        <f>IF($Q71="","",INDEX(TRANSACTIONS_MASTER!$I$5:$I$1204,$Q71))</f>
        <v/>
      </c>
      <c r="G71" s="55" t="str">
        <f>IF($Q71="","",INDEX(TRANSACTIONS_MASTER!$K$5:$K$1204,$Q71))</f>
        <v/>
      </c>
      <c r="H71" s="25" t="str">
        <f>IF($Q71="","",INDEX(TRANSACTIONS_MASTER!$L$5:$L$1204,$Q71))</f>
        <v/>
      </c>
      <c r="I71" s="56" t="str">
        <f>IF($Q71="","",INDEX(TRANSACTIONS_MASTER!$N$5:$N$1204,$Q71))</f>
        <v/>
      </c>
      <c r="J71" s="25" t="str">
        <f>IF($Q71="","",INDEX(TRANSACTIONS_MASTER!$O$5:$O$1204,$Q71))</f>
        <v/>
      </c>
      <c r="K71" s="26" t="str">
        <f>IF($Q71="","",INDEX(TRANSACTIONS_MASTER!$Q$5:$Q$1204,$Q71))</f>
        <v/>
      </c>
      <c r="L71" s="25" t="str">
        <f>IF($Q71="","",INDEX(TRANSACTIONS_MASTER!$P$5:$P$1204,$Q71))</f>
        <v/>
      </c>
      <c r="M71" s="25" t="str">
        <f>IF($Q71="","",INDEX(TRANSACTIONS_MASTER!$AA$5:$AA$1204,$Q71))</f>
        <v/>
      </c>
      <c r="N71" s="25" t="str">
        <f>IF($Q71="","",INDEX(TRANSACTIONS_MASTER!$R$5:$R$1204,$Q71))</f>
        <v/>
      </c>
      <c r="O71" s="28" t="str">
        <f>IF($Q71="","",INDEX(TRANSACTIONS_MASTER!$AB$5:$AB$1204,$Q71))</f>
        <v/>
      </c>
      <c r="P71" s="55" t="str">
        <f>IF($Q71="","",INDEX(TRANSACTIONS_MASTER!$Z$5:$Z$1204,$Q71)&amp;"")</f>
        <v/>
      </c>
      <c r="Q71" s="67" t="str">
        <f>IFERROR(MATCH($C$2&amp;"|"&amp;64,TRANSACTIONS_MASTER!$AE$5:$AE$1204,0),"")</f>
        <v/>
      </c>
      <c r="S71" s="67" t="n">
        <v>10</v>
      </c>
      <c r="T71" s="55" t="str">
        <f>IF(CARDS!$A14="","",CARDS!$A14)</f>
        <v/>
      </c>
      <c r="U71" s="55" t="str">
        <f>IF($T71="","",CARDS!$B14&amp;" "&amp;CARDS!$C14)</f>
        <v/>
      </c>
      <c r="V71" s="25" t="str">
        <f>IF($T71="","",SUMIFS(TRANSACTIONS_MASTER!$L$5:$L$1204,TRANSACTIONS_MASTER!$D$5:$D$1204,$T71,TRANSACTIONS_MASTER!$C$5:$C$1204,$C$2,TRANSACTIONS_MASTER!$U$5:$U$1204,"&lt;&gt;Cancelled"))</f>
        <v/>
      </c>
      <c r="W71" s="26" t="str">
        <f>IF($T71="","",SUMIFS(TRANSACTIONS_MASTER!$Q$5:$Q$1204,TRANSACTIONS_MASTER!$D$5:$D$1204,$T71,TRANSACTIONS_MASTER!$C$5:$C$1204,$C$2))</f>
        <v/>
      </c>
      <c r="X71" s="25" t="str">
        <f>IF($T71="","",IFERROR(IF(ISNUMBER(INDEX(CASHBACK_RULES!$K$5:$K$304,MATCH($T71,CASHBACK_RULES!$B$5:$B$304,0))),INDEX(CASHBACK_RULES!$K$5:$K$304,MATCH($T71,CASHBACK_RULES!$B$5:$B$304,0)),"∞"),"—"))</f>
        <v/>
      </c>
      <c r="Y71" s="25" t="str">
        <f>IF($T71="","",IF($X71="—","—",IF(COUNTIFS($T$8:$T$57,$T71,$Z$8:$Z$57,"∞")&gt;0,IF(ISNUMBER($X71),MAX(0,$X71-$W71),"∞"),IF(ISNUMBER($X71),MAX(0,MIN($X71-$W71,SUMIFS($Z$8:$Z$57,$T$8:$T$57,$T71))),SUMIFS($Z$8:$Z$57,$T$8:$T$57,$T71)))))</f>
        <v/>
      </c>
      <c r="Z71" s="27" t="str">
        <f>IF($T71="","",IF(ISNUMBER($X71),IF($X71=0,0,$W71/$X71),IF(ISNUMBER($Y71),IF($W71+$Y71=0,0,$W71/($W71+$Y71)),"")))</f>
        <v/>
      </c>
      <c r="AA71" s="29" t="str">
        <f>IF($T71="","",COUNTIFS(TRANSACTIONS_MASTER!$D$5:$D$1204,$T71,TRANSACTIONS_MASTER!$C$5:$C$1204,$C$2,TRANSACTIONS_MASTER!$U$5:$U$1204,"&lt;&gt;Cancelled"))</f>
        <v/>
      </c>
    </row>
    <row r="72">
      <c r="A72" s="81" t="str">
        <f>IF($Q72="","",65)</f>
        <v/>
      </c>
      <c r="B72" s="57" t="str">
        <f>IF($Q72="","",INDEX(TRANSACTIONS_MASTER!$B$5:$B$1204,$Q72))</f>
        <v/>
      </c>
      <c r="C72" s="55" t="str">
        <f>IF($Q72="","",INDEX(TRANSACTIONS_MASTER!$F$5:$F$1204,$Q72))</f>
        <v/>
      </c>
      <c r="D72" s="55" t="str">
        <f>IF($Q72="","",INDEX(TRANSACTIONS_MASTER!$E$5:$E$1204,$Q72))</f>
        <v/>
      </c>
      <c r="E72" s="55" t="str">
        <f>IF($Q72="","",INDEX(TRANSACTIONS_MASTER!$G$5:$G$1204,$Q72)&amp;"")</f>
        <v/>
      </c>
      <c r="F72" s="29" t="str">
        <f>IF($Q72="","",INDEX(TRANSACTIONS_MASTER!$I$5:$I$1204,$Q72))</f>
        <v/>
      </c>
      <c r="G72" s="55" t="str">
        <f>IF($Q72="","",INDEX(TRANSACTIONS_MASTER!$K$5:$K$1204,$Q72))</f>
        <v/>
      </c>
      <c r="H72" s="25" t="str">
        <f>IF($Q72="","",INDEX(TRANSACTIONS_MASTER!$L$5:$L$1204,$Q72))</f>
        <v/>
      </c>
      <c r="I72" s="56" t="str">
        <f>IF($Q72="","",INDEX(TRANSACTIONS_MASTER!$N$5:$N$1204,$Q72))</f>
        <v/>
      </c>
      <c r="J72" s="25" t="str">
        <f>IF($Q72="","",INDEX(TRANSACTIONS_MASTER!$O$5:$O$1204,$Q72))</f>
        <v/>
      </c>
      <c r="K72" s="26" t="str">
        <f>IF($Q72="","",INDEX(TRANSACTIONS_MASTER!$Q$5:$Q$1204,$Q72))</f>
        <v/>
      </c>
      <c r="L72" s="25" t="str">
        <f>IF($Q72="","",INDEX(TRANSACTIONS_MASTER!$P$5:$P$1204,$Q72))</f>
        <v/>
      </c>
      <c r="M72" s="25" t="str">
        <f>IF($Q72="","",INDEX(TRANSACTIONS_MASTER!$AA$5:$AA$1204,$Q72))</f>
        <v/>
      </c>
      <c r="N72" s="25" t="str">
        <f>IF($Q72="","",INDEX(TRANSACTIONS_MASTER!$R$5:$R$1204,$Q72))</f>
        <v/>
      </c>
      <c r="O72" s="28" t="str">
        <f>IF($Q72="","",INDEX(TRANSACTIONS_MASTER!$AB$5:$AB$1204,$Q72))</f>
        <v/>
      </c>
      <c r="P72" s="55" t="str">
        <f>IF($Q72="","",INDEX(TRANSACTIONS_MASTER!$Z$5:$Z$1204,$Q72)&amp;"")</f>
        <v/>
      </c>
      <c r="Q72" s="67" t="str">
        <f>IFERROR(MATCH($C$2&amp;"|"&amp;65,TRANSACTIONS_MASTER!$AE$5:$AE$1204,0),"")</f>
        <v/>
      </c>
      <c r="S72" s="67" t="n">
        <v>11</v>
      </c>
      <c r="T72" s="55" t="str">
        <f>IF(CARDS!$A15="","",CARDS!$A15)</f>
        <v/>
      </c>
      <c r="U72" s="55" t="str">
        <f>IF($T72="","",CARDS!$B15&amp;" "&amp;CARDS!$C15)</f>
        <v/>
      </c>
      <c r="V72" s="25" t="str">
        <f>IF($T72="","",SUMIFS(TRANSACTIONS_MASTER!$L$5:$L$1204,TRANSACTIONS_MASTER!$D$5:$D$1204,$T72,TRANSACTIONS_MASTER!$C$5:$C$1204,$C$2,TRANSACTIONS_MASTER!$U$5:$U$1204,"&lt;&gt;Cancelled"))</f>
        <v/>
      </c>
      <c r="W72" s="26" t="str">
        <f>IF($T72="","",SUMIFS(TRANSACTIONS_MASTER!$Q$5:$Q$1204,TRANSACTIONS_MASTER!$D$5:$D$1204,$T72,TRANSACTIONS_MASTER!$C$5:$C$1204,$C$2))</f>
        <v/>
      </c>
      <c r="X72" s="25" t="str">
        <f>IF($T72="","",IFERROR(IF(ISNUMBER(INDEX(CASHBACK_RULES!$K$5:$K$304,MATCH($T72,CASHBACK_RULES!$B$5:$B$304,0))),INDEX(CASHBACK_RULES!$K$5:$K$304,MATCH($T72,CASHBACK_RULES!$B$5:$B$304,0)),"∞"),"—"))</f>
        <v/>
      </c>
      <c r="Y72" s="25" t="str">
        <f>IF($T72="","",IF($X72="—","—",IF(COUNTIFS($T$8:$T$57,$T72,$Z$8:$Z$57,"∞")&gt;0,IF(ISNUMBER($X72),MAX(0,$X72-$W72),"∞"),IF(ISNUMBER($X72),MAX(0,MIN($X72-$W72,SUMIFS($Z$8:$Z$57,$T$8:$T$57,$T72))),SUMIFS($Z$8:$Z$57,$T$8:$T$57,$T72)))))</f>
        <v/>
      </c>
      <c r="Z72" s="27" t="str">
        <f>IF($T72="","",IF(ISNUMBER($X72),IF($X72=0,0,$W72/$X72),IF(ISNUMBER($Y72),IF($W72+$Y72=0,0,$W72/($W72+$Y72)),"")))</f>
        <v/>
      </c>
      <c r="AA72" s="29" t="str">
        <f>IF($T72="","",COUNTIFS(TRANSACTIONS_MASTER!$D$5:$D$1204,$T72,TRANSACTIONS_MASTER!$C$5:$C$1204,$C$2,TRANSACTIONS_MASTER!$U$5:$U$1204,"&lt;&gt;Cancelled"))</f>
        <v/>
      </c>
    </row>
    <row r="73">
      <c r="A73" s="81" t="str">
        <f>IF($Q73="","",66)</f>
        <v/>
      </c>
      <c r="B73" s="57" t="str">
        <f>IF($Q73="","",INDEX(TRANSACTIONS_MASTER!$B$5:$B$1204,$Q73))</f>
        <v/>
      </c>
      <c r="C73" s="55" t="str">
        <f>IF($Q73="","",INDEX(TRANSACTIONS_MASTER!$F$5:$F$1204,$Q73))</f>
        <v/>
      </c>
      <c r="D73" s="55" t="str">
        <f>IF($Q73="","",INDEX(TRANSACTIONS_MASTER!$E$5:$E$1204,$Q73))</f>
        <v/>
      </c>
      <c r="E73" s="55" t="str">
        <f>IF($Q73="","",INDEX(TRANSACTIONS_MASTER!$G$5:$G$1204,$Q73)&amp;"")</f>
        <v/>
      </c>
      <c r="F73" s="29" t="str">
        <f>IF($Q73="","",INDEX(TRANSACTIONS_MASTER!$I$5:$I$1204,$Q73))</f>
        <v/>
      </c>
      <c r="G73" s="55" t="str">
        <f>IF($Q73="","",INDEX(TRANSACTIONS_MASTER!$K$5:$K$1204,$Q73))</f>
        <v/>
      </c>
      <c r="H73" s="25" t="str">
        <f>IF($Q73="","",INDEX(TRANSACTIONS_MASTER!$L$5:$L$1204,$Q73))</f>
        <v/>
      </c>
      <c r="I73" s="56" t="str">
        <f>IF($Q73="","",INDEX(TRANSACTIONS_MASTER!$N$5:$N$1204,$Q73))</f>
        <v/>
      </c>
      <c r="J73" s="25" t="str">
        <f>IF($Q73="","",INDEX(TRANSACTIONS_MASTER!$O$5:$O$1204,$Q73))</f>
        <v/>
      </c>
      <c r="K73" s="26" t="str">
        <f>IF($Q73="","",INDEX(TRANSACTIONS_MASTER!$Q$5:$Q$1204,$Q73))</f>
        <v/>
      </c>
      <c r="L73" s="25" t="str">
        <f>IF($Q73="","",INDEX(TRANSACTIONS_MASTER!$P$5:$P$1204,$Q73))</f>
        <v/>
      </c>
      <c r="M73" s="25" t="str">
        <f>IF($Q73="","",INDEX(TRANSACTIONS_MASTER!$AA$5:$AA$1204,$Q73))</f>
        <v/>
      </c>
      <c r="N73" s="25" t="str">
        <f>IF($Q73="","",INDEX(TRANSACTIONS_MASTER!$R$5:$R$1204,$Q73))</f>
        <v/>
      </c>
      <c r="O73" s="28" t="str">
        <f>IF($Q73="","",INDEX(TRANSACTIONS_MASTER!$AB$5:$AB$1204,$Q73))</f>
        <v/>
      </c>
      <c r="P73" s="55" t="str">
        <f>IF($Q73="","",INDEX(TRANSACTIONS_MASTER!$Z$5:$Z$1204,$Q73)&amp;"")</f>
        <v/>
      </c>
      <c r="Q73" s="67" t="str">
        <f>IFERROR(MATCH($C$2&amp;"|"&amp;66,TRANSACTIONS_MASTER!$AE$5:$AE$1204,0),"")</f>
        <v/>
      </c>
      <c r="S73" s="67" t="n">
        <v>12</v>
      </c>
      <c r="T73" s="55" t="str">
        <f>IF(CARDS!$A16="","",CARDS!$A16)</f>
        <v/>
      </c>
      <c r="U73" s="55" t="str">
        <f>IF($T73="","",CARDS!$B16&amp;" "&amp;CARDS!$C16)</f>
        <v/>
      </c>
      <c r="V73" s="25" t="str">
        <f>IF($T73="","",SUMIFS(TRANSACTIONS_MASTER!$L$5:$L$1204,TRANSACTIONS_MASTER!$D$5:$D$1204,$T73,TRANSACTIONS_MASTER!$C$5:$C$1204,$C$2,TRANSACTIONS_MASTER!$U$5:$U$1204,"&lt;&gt;Cancelled"))</f>
        <v/>
      </c>
      <c r="W73" s="26" t="str">
        <f>IF($T73="","",SUMIFS(TRANSACTIONS_MASTER!$Q$5:$Q$1204,TRANSACTIONS_MASTER!$D$5:$D$1204,$T73,TRANSACTIONS_MASTER!$C$5:$C$1204,$C$2))</f>
        <v/>
      </c>
      <c r="X73" s="25" t="str">
        <f>IF($T73="","",IFERROR(IF(ISNUMBER(INDEX(CASHBACK_RULES!$K$5:$K$304,MATCH($T73,CASHBACK_RULES!$B$5:$B$304,0))),INDEX(CASHBACK_RULES!$K$5:$K$304,MATCH($T73,CASHBACK_RULES!$B$5:$B$304,0)),"∞"),"—"))</f>
        <v/>
      </c>
      <c r="Y73" s="25" t="str">
        <f>IF($T73="","",IF($X73="—","—",IF(COUNTIFS($T$8:$T$57,$T73,$Z$8:$Z$57,"∞")&gt;0,IF(ISNUMBER($X73),MAX(0,$X73-$W73),"∞"),IF(ISNUMBER($X73),MAX(0,MIN($X73-$W73,SUMIFS($Z$8:$Z$57,$T$8:$T$57,$T73))),SUMIFS($Z$8:$Z$57,$T$8:$T$57,$T73)))))</f>
        <v/>
      </c>
      <c r="Z73" s="27" t="str">
        <f>IF($T73="","",IF(ISNUMBER($X73),IF($X73=0,0,$W73/$X73),IF(ISNUMBER($Y73),IF($W73+$Y73=0,0,$W73/($W73+$Y73)),"")))</f>
        <v/>
      </c>
      <c r="AA73" s="29" t="str">
        <f>IF($T73="","",COUNTIFS(TRANSACTIONS_MASTER!$D$5:$D$1204,$T73,TRANSACTIONS_MASTER!$C$5:$C$1204,$C$2,TRANSACTIONS_MASTER!$U$5:$U$1204,"&lt;&gt;Cancelled"))</f>
        <v/>
      </c>
    </row>
    <row r="74">
      <c r="A74" s="81" t="str">
        <f>IF($Q74="","",67)</f>
        <v/>
      </c>
      <c r="B74" s="57" t="str">
        <f>IF($Q74="","",INDEX(TRANSACTIONS_MASTER!$B$5:$B$1204,$Q74))</f>
        <v/>
      </c>
      <c r="C74" s="55" t="str">
        <f>IF($Q74="","",INDEX(TRANSACTIONS_MASTER!$F$5:$F$1204,$Q74))</f>
        <v/>
      </c>
      <c r="D74" s="55" t="str">
        <f>IF($Q74="","",INDEX(TRANSACTIONS_MASTER!$E$5:$E$1204,$Q74))</f>
        <v/>
      </c>
      <c r="E74" s="55" t="str">
        <f>IF($Q74="","",INDEX(TRANSACTIONS_MASTER!$G$5:$G$1204,$Q74)&amp;"")</f>
        <v/>
      </c>
      <c r="F74" s="29" t="str">
        <f>IF($Q74="","",INDEX(TRANSACTIONS_MASTER!$I$5:$I$1204,$Q74))</f>
        <v/>
      </c>
      <c r="G74" s="55" t="str">
        <f>IF($Q74="","",INDEX(TRANSACTIONS_MASTER!$K$5:$K$1204,$Q74))</f>
        <v/>
      </c>
      <c r="H74" s="25" t="str">
        <f>IF($Q74="","",INDEX(TRANSACTIONS_MASTER!$L$5:$L$1204,$Q74))</f>
        <v/>
      </c>
      <c r="I74" s="56" t="str">
        <f>IF($Q74="","",INDEX(TRANSACTIONS_MASTER!$N$5:$N$1204,$Q74))</f>
        <v/>
      </c>
      <c r="J74" s="25" t="str">
        <f>IF($Q74="","",INDEX(TRANSACTIONS_MASTER!$O$5:$O$1204,$Q74))</f>
        <v/>
      </c>
      <c r="K74" s="26" t="str">
        <f>IF($Q74="","",INDEX(TRANSACTIONS_MASTER!$Q$5:$Q$1204,$Q74))</f>
        <v/>
      </c>
      <c r="L74" s="25" t="str">
        <f>IF($Q74="","",INDEX(TRANSACTIONS_MASTER!$P$5:$P$1204,$Q74))</f>
        <v/>
      </c>
      <c r="M74" s="25" t="str">
        <f>IF($Q74="","",INDEX(TRANSACTIONS_MASTER!$AA$5:$AA$1204,$Q74))</f>
        <v/>
      </c>
      <c r="N74" s="25" t="str">
        <f>IF($Q74="","",INDEX(TRANSACTIONS_MASTER!$R$5:$R$1204,$Q74))</f>
        <v/>
      </c>
      <c r="O74" s="28" t="str">
        <f>IF($Q74="","",INDEX(TRANSACTIONS_MASTER!$AB$5:$AB$1204,$Q74))</f>
        <v/>
      </c>
      <c r="P74" s="55" t="str">
        <f>IF($Q74="","",INDEX(TRANSACTIONS_MASTER!$Z$5:$Z$1204,$Q74)&amp;"")</f>
        <v/>
      </c>
      <c r="Q74" s="67" t="str">
        <f>IFERROR(MATCH($C$2&amp;"|"&amp;67,TRANSACTIONS_MASTER!$AE$5:$AE$1204,0),"")</f>
        <v/>
      </c>
      <c r="S74" s="67" t="n">
        <v>13</v>
      </c>
      <c r="T74" s="55" t="str">
        <f>IF(CARDS!$A17="","",CARDS!$A17)</f>
        <v/>
      </c>
      <c r="U74" s="55" t="str">
        <f>IF($T74="","",CARDS!$B17&amp;" "&amp;CARDS!$C17)</f>
        <v/>
      </c>
      <c r="V74" s="25" t="str">
        <f>IF($T74="","",SUMIFS(TRANSACTIONS_MASTER!$L$5:$L$1204,TRANSACTIONS_MASTER!$D$5:$D$1204,$T74,TRANSACTIONS_MASTER!$C$5:$C$1204,$C$2,TRANSACTIONS_MASTER!$U$5:$U$1204,"&lt;&gt;Cancelled"))</f>
        <v/>
      </c>
      <c r="W74" s="26" t="str">
        <f>IF($T74="","",SUMIFS(TRANSACTIONS_MASTER!$Q$5:$Q$1204,TRANSACTIONS_MASTER!$D$5:$D$1204,$T74,TRANSACTIONS_MASTER!$C$5:$C$1204,$C$2))</f>
        <v/>
      </c>
      <c r="X74" s="25" t="str">
        <f>IF($T74="","",IFERROR(IF(ISNUMBER(INDEX(CASHBACK_RULES!$K$5:$K$304,MATCH($T74,CASHBACK_RULES!$B$5:$B$304,0))),INDEX(CASHBACK_RULES!$K$5:$K$304,MATCH($T74,CASHBACK_RULES!$B$5:$B$304,0)),"∞"),"—"))</f>
        <v/>
      </c>
      <c r="Y74" s="25" t="str">
        <f>IF($T74="","",IF($X74="—","—",IF(COUNTIFS($T$8:$T$57,$T74,$Z$8:$Z$57,"∞")&gt;0,IF(ISNUMBER($X74),MAX(0,$X74-$W74),"∞"),IF(ISNUMBER($X74),MAX(0,MIN($X74-$W74,SUMIFS($Z$8:$Z$57,$T$8:$T$57,$T74))),SUMIFS($Z$8:$Z$57,$T$8:$T$57,$T74)))))</f>
        <v/>
      </c>
      <c r="Z74" s="27" t="str">
        <f>IF($T74="","",IF(ISNUMBER($X74),IF($X74=0,0,$W74/$X74),IF(ISNUMBER($Y74),IF($W74+$Y74=0,0,$W74/($W74+$Y74)),"")))</f>
        <v/>
      </c>
      <c r="AA74" s="29" t="str">
        <f>IF($T74="","",COUNTIFS(TRANSACTIONS_MASTER!$D$5:$D$1204,$T74,TRANSACTIONS_MASTER!$C$5:$C$1204,$C$2,TRANSACTIONS_MASTER!$U$5:$U$1204,"&lt;&gt;Cancelled"))</f>
        <v/>
      </c>
    </row>
    <row r="75">
      <c r="A75" s="81" t="str">
        <f>IF($Q75="","",68)</f>
        <v/>
      </c>
      <c r="B75" s="57" t="str">
        <f>IF($Q75="","",INDEX(TRANSACTIONS_MASTER!$B$5:$B$1204,$Q75))</f>
        <v/>
      </c>
      <c r="C75" s="55" t="str">
        <f>IF($Q75="","",INDEX(TRANSACTIONS_MASTER!$F$5:$F$1204,$Q75))</f>
        <v/>
      </c>
      <c r="D75" s="55" t="str">
        <f>IF($Q75="","",INDEX(TRANSACTIONS_MASTER!$E$5:$E$1204,$Q75))</f>
        <v/>
      </c>
      <c r="E75" s="55" t="str">
        <f>IF($Q75="","",INDEX(TRANSACTIONS_MASTER!$G$5:$G$1204,$Q75)&amp;"")</f>
        <v/>
      </c>
      <c r="F75" s="29" t="str">
        <f>IF($Q75="","",INDEX(TRANSACTIONS_MASTER!$I$5:$I$1204,$Q75))</f>
        <v/>
      </c>
      <c r="G75" s="55" t="str">
        <f>IF($Q75="","",INDEX(TRANSACTIONS_MASTER!$K$5:$K$1204,$Q75))</f>
        <v/>
      </c>
      <c r="H75" s="25" t="str">
        <f>IF($Q75="","",INDEX(TRANSACTIONS_MASTER!$L$5:$L$1204,$Q75))</f>
        <v/>
      </c>
      <c r="I75" s="56" t="str">
        <f>IF($Q75="","",INDEX(TRANSACTIONS_MASTER!$N$5:$N$1204,$Q75))</f>
        <v/>
      </c>
      <c r="J75" s="25" t="str">
        <f>IF($Q75="","",INDEX(TRANSACTIONS_MASTER!$O$5:$O$1204,$Q75))</f>
        <v/>
      </c>
      <c r="K75" s="26" t="str">
        <f>IF($Q75="","",INDEX(TRANSACTIONS_MASTER!$Q$5:$Q$1204,$Q75))</f>
        <v/>
      </c>
      <c r="L75" s="25" t="str">
        <f>IF($Q75="","",INDEX(TRANSACTIONS_MASTER!$P$5:$P$1204,$Q75))</f>
        <v/>
      </c>
      <c r="M75" s="25" t="str">
        <f>IF($Q75="","",INDEX(TRANSACTIONS_MASTER!$AA$5:$AA$1204,$Q75))</f>
        <v/>
      </c>
      <c r="N75" s="25" t="str">
        <f>IF($Q75="","",INDEX(TRANSACTIONS_MASTER!$R$5:$R$1204,$Q75))</f>
        <v/>
      </c>
      <c r="O75" s="28" t="str">
        <f>IF($Q75="","",INDEX(TRANSACTIONS_MASTER!$AB$5:$AB$1204,$Q75))</f>
        <v/>
      </c>
      <c r="P75" s="55" t="str">
        <f>IF($Q75="","",INDEX(TRANSACTIONS_MASTER!$Z$5:$Z$1204,$Q75)&amp;"")</f>
        <v/>
      </c>
      <c r="Q75" s="67" t="str">
        <f>IFERROR(MATCH($C$2&amp;"|"&amp;68,TRANSACTIONS_MASTER!$AE$5:$AE$1204,0),"")</f>
        <v/>
      </c>
      <c r="S75" s="67" t="n">
        <v>14</v>
      </c>
      <c r="T75" s="55" t="str">
        <f>IF(CARDS!$A18="","",CARDS!$A18)</f>
        <v/>
      </c>
      <c r="U75" s="55" t="str">
        <f>IF($T75="","",CARDS!$B18&amp;" "&amp;CARDS!$C18)</f>
        <v/>
      </c>
      <c r="V75" s="25" t="str">
        <f>IF($T75="","",SUMIFS(TRANSACTIONS_MASTER!$L$5:$L$1204,TRANSACTIONS_MASTER!$D$5:$D$1204,$T75,TRANSACTIONS_MASTER!$C$5:$C$1204,$C$2,TRANSACTIONS_MASTER!$U$5:$U$1204,"&lt;&gt;Cancelled"))</f>
        <v/>
      </c>
      <c r="W75" s="26" t="str">
        <f>IF($T75="","",SUMIFS(TRANSACTIONS_MASTER!$Q$5:$Q$1204,TRANSACTIONS_MASTER!$D$5:$D$1204,$T75,TRANSACTIONS_MASTER!$C$5:$C$1204,$C$2))</f>
        <v/>
      </c>
      <c r="X75" s="25" t="str">
        <f>IF($T75="","",IFERROR(IF(ISNUMBER(INDEX(CASHBACK_RULES!$K$5:$K$304,MATCH($T75,CASHBACK_RULES!$B$5:$B$304,0))),INDEX(CASHBACK_RULES!$K$5:$K$304,MATCH($T75,CASHBACK_RULES!$B$5:$B$304,0)),"∞"),"—"))</f>
        <v/>
      </c>
      <c r="Y75" s="25" t="str">
        <f>IF($T75="","",IF($X75="—","—",IF(COUNTIFS($T$8:$T$57,$T75,$Z$8:$Z$57,"∞")&gt;0,IF(ISNUMBER($X75),MAX(0,$X75-$W75),"∞"),IF(ISNUMBER($X75),MAX(0,MIN($X75-$W75,SUMIFS($Z$8:$Z$57,$T$8:$T$57,$T75))),SUMIFS($Z$8:$Z$57,$T$8:$T$57,$T75)))))</f>
        <v/>
      </c>
      <c r="Z75" s="27" t="str">
        <f>IF($T75="","",IF(ISNUMBER($X75),IF($X75=0,0,$W75/$X75),IF(ISNUMBER($Y75),IF($W75+$Y75=0,0,$W75/($W75+$Y75)),"")))</f>
        <v/>
      </c>
      <c r="AA75" s="29" t="str">
        <f>IF($T75="","",COUNTIFS(TRANSACTIONS_MASTER!$D$5:$D$1204,$T75,TRANSACTIONS_MASTER!$C$5:$C$1204,$C$2,TRANSACTIONS_MASTER!$U$5:$U$1204,"&lt;&gt;Cancelled"))</f>
        <v/>
      </c>
    </row>
    <row r="76">
      <c r="A76" s="81" t="str">
        <f>IF($Q76="","",69)</f>
        <v/>
      </c>
      <c r="B76" s="57" t="str">
        <f>IF($Q76="","",INDEX(TRANSACTIONS_MASTER!$B$5:$B$1204,$Q76))</f>
        <v/>
      </c>
      <c r="C76" s="55" t="str">
        <f>IF($Q76="","",INDEX(TRANSACTIONS_MASTER!$F$5:$F$1204,$Q76))</f>
        <v/>
      </c>
      <c r="D76" s="55" t="str">
        <f>IF($Q76="","",INDEX(TRANSACTIONS_MASTER!$E$5:$E$1204,$Q76))</f>
        <v/>
      </c>
      <c r="E76" s="55" t="str">
        <f>IF($Q76="","",INDEX(TRANSACTIONS_MASTER!$G$5:$G$1204,$Q76)&amp;"")</f>
        <v/>
      </c>
      <c r="F76" s="29" t="str">
        <f>IF($Q76="","",INDEX(TRANSACTIONS_MASTER!$I$5:$I$1204,$Q76))</f>
        <v/>
      </c>
      <c r="G76" s="55" t="str">
        <f>IF($Q76="","",INDEX(TRANSACTIONS_MASTER!$K$5:$K$1204,$Q76))</f>
        <v/>
      </c>
      <c r="H76" s="25" t="str">
        <f>IF($Q76="","",INDEX(TRANSACTIONS_MASTER!$L$5:$L$1204,$Q76))</f>
        <v/>
      </c>
      <c r="I76" s="56" t="str">
        <f>IF($Q76="","",INDEX(TRANSACTIONS_MASTER!$N$5:$N$1204,$Q76))</f>
        <v/>
      </c>
      <c r="J76" s="25" t="str">
        <f>IF($Q76="","",INDEX(TRANSACTIONS_MASTER!$O$5:$O$1204,$Q76))</f>
        <v/>
      </c>
      <c r="K76" s="26" t="str">
        <f>IF($Q76="","",INDEX(TRANSACTIONS_MASTER!$Q$5:$Q$1204,$Q76))</f>
        <v/>
      </c>
      <c r="L76" s="25" t="str">
        <f>IF($Q76="","",INDEX(TRANSACTIONS_MASTER!$P$5:$P$1204,$Q76))</f>
        <v/>
      </c>
      <c r="M76" s="25" t="str">
        <f>IF($Q76="","",INDEX(TRANSACTIONS_MASTER!$AA$5:$AA$1204,$Q76))</f>
        <v/>
      </c>
      <c r="N76" s="25" t="str">
        <f>IF($Q76="","",INDEX(TRANSACTIONS_MASTER!$R$5:$R$1204,$Q76))</f>
        <v/>
      </c>
      <c r="O76" s="28" t="str">
        <f>IF($Q76="","",INDEX(TRANSACTIONS_MASTER!$AB$5:$AB$1204,$Q76))</f>
        <v/>
      </c>
      <c r="P76" s="55" t="str">
        <f>IF($Q76="","",INDEX(TRANSACTIONS_MASTER!$Z$5:$Z$1204,$Q76)&amp;"")</f>
        <v/>
      </c>
      <c r="Q76" s="67" t="str">
        <f>IFERROR(MATCH($C$2&amp;"|"&amp;69,TRANSACTIONS_MASTER!$AE$5:$AE$1204,0),"")</f>
        <v/>
      </c>
      <c r="S76" s="67" t="n">
        <v>15</v>
      </c>
      <c r="T76" s="55" t="str">
        <f>IF(CARDS!$A19="","",CARDS!$A19)</f>
        <v/>
      </c>
      <c r="U76" s="55" t="str">
        <f>IF($T76="","",CARDS!$B19&amp;" "&amp;CARDS!$C19)</f>
        <v/>
      </c>
      <c r="V76" s="25" t="str">
        <f>IF($T76="","",SUMIFS(TRANSACTIONS_MASTER!$L$5:$L$1204,TRANSACTIONS_MASTER!$D$5:$D$1204,$T76,TRANSACTIONS_MASTER!$C$5:$C$1204,$C$2,TRANSACTIONS_MASTER!$U$5:$U$1204,"&lt;&gt;Cancelled"))</f>
        <v/>
      </c>
      <c r="W76" s="26" t="str">
        <f>IF($T76="","",SUMIFS(TRANSACTIONS_MASTER!$Q$5:$Q$1204,TRANSACTIONS_MASTER!$D$5:$D$1204,$T76,TRANSACTIONS_MASTER!$C$5:$C$1204,$C$2))</f>
        <v/>
      </c>
      <c r="X76" s="25" t="str">
        <f>IF($T76="","",IFERROR(IF(ISNUMBER(INDEX(CASHBACK_RULES!$K$5:$K$304,MATCH($T76,CASHBACK_RULES!$B$5:$B$304,0))),INDEX(CASHBACK_RULES!$K$5:$K$304,MATCH($T76,CASHBACK_RULES!$B$5:$B$304,0)),"∞"),"—"))</f>
        <v/>
      </c>
      <c r="Y76" s="25" t="str">
        <f>IF($T76="","",IF($X76="—","—",IF(COUNTIFS($T$8:$T$57,$T76,$Z$8:$Z$57,"∞")&gt;0,IF(ISNUMBER($X76),MAX(0,$X76-$W76),"∞"),IF(ISNUMBER($X76),MAX(0,MIN($X76-$W76,SUMIFS($Z$8:$Z$57,$T$8:$T$57,$T76))),SUMIFS($Z$8:$Z$57,$T$8:$T$57,$T76)))))</f>
        <v/>
      </c>
      <c r="Z76" s="27" t="str">
        <f>IF($T76="","",IF(ISNUMBER($X76),IF($X76=0,0,$W76/$X76),IF(ISNUMBER($Y76),IF($W76+$Y76=0,0,$W76/($W76+$Y76)),"")))</f>
        <v/>
      </c>
      <c r="AA76" s="29" t="str">
        <f>IF($T76="","",COUNTIFS(TRANSACTIONS_MASTER!$D$5:$D$1204,$T76,TRANSACTIONS_MASTER!$C$5:$C$1204,$C$2,TRANSACTIONS_MASTER!$U$5:$U$1204,"&lt;&gt;Cancelled"))</f>
        <v/>
      </c>
    </row>
    <row r="77">
      <c r="A77" s="81" t="str">
        <f>IF($Q77="","",70)</f>
        <v/>
      </c>
      <c r="B77" s="57" t="str">
        <f>IF($Q77="","",INDEX(TRANSACTIONS_MASTER!$B$5:$B$1204,$Q77))</f>
        <v/>
      </c>
      <c r="C77" s="55" t="str">
        <f>IF($Q77="","",INDEX(TRANSACTIONS_MASTER!$F$5:$F$1204,$Q77))</f>
        <v/>
      </c>
      <c r="D77" s="55" t="str">
        <f>IF($Q77="","",INDEX(TRANSACTIONS_MASTER!$E$5:$E$1204,$Q77))</f>
        <v/>
      </c>
      <c r="E77" s="55" t="str">
        <f>IF($Q77="","",INDEX(TRANSACTIONS_MASTER!$G$5:$G$1204,$Q77)&amp;"")</f>
        <v/>
      </c>
      <c r="F77" s="29" t="str">
        <f>IF($Q77="","",INDEX(TRANSACTIONS_MASTER!$I$5:$I$1204,$Q77))</f>
        <v/>
      </c>
      <c r="G77" s="55" t="str">
        <f>IF($Q77="","",INDEX(TRANSACTIONS_MASTER!$K$5:$K$1204,$Q77))</f>
        <v/>
      </c>
      <c r="H77" s="25" t="str">
        <f>IF($Q77="","",INDEX(TRANSACTIONS_MASTER!$L$5:$L$1204,$Q77))</f>
        <v/>
      </c>
      <c r="I77" s="56" t="str">
        <f>IF($Q77="","",INDEX(TRANSACTIONS_MASTER!$N$5:$N$1204,$Q77))</f>
        <v/>
      </c>
      <c r="J77" s="25" t="str">
        <f>IF($Q77="","",INDEX(TRANSACTIONS_MASTER!$O$5:$O$1204,$Q77))</f>
        <v/>
      </c>
      <c r="K77" s="26" t="str">
        <f>IF($Q77="","",INDEX(TRANSACTIONS_MASTER!$Q$5:$Q$1204,$Q77))</f>
        <v/>
      </c>
      <c r="L77" s="25" t="str">
        <f>IF($Q77="","",INDEX(TRANSACTIONS_MASTER!$P$5:$P$1204,$Q77))</f>
        <v/>
      </c>
      <c r="M77" s="25" t="str">
        <f>IF($Q77="","",INDEX(TRANSACTIONS_MASTER!$AA$5:$AA$1204,$Q77))</f>
        <v/>
      </c>
      <c r="N77" s="25" t="str">
        <f>IF($Q77="","",INDEX(TRANSACTIONS_MASTER!$R$5:$R$1204,$Q77))</f>
        <v/>
      </c>
      <c r="O77" s="28" t="str">
        <f>IF($Q77="","",INDEX(TRANSACTIONS_MASTER!$AB$5:$AB$1204,$Q77))</f>
        <v/>
      </c>
      <c r="P77" s="55" t="str">
        <f>IF($Q77="","",INDEX(TRANSACTIONS_MASTER!$Z$5:$Z$1204,$Q77)&amp;"")</f>
        <v/>
      </c>
      <c r="Q77" s="67" t="str">
        <f>IFERROR(MATCH($C$2&amp;"|"&amp;70,TRANSACTIONS_MASTER!$AE$5:$AE$1204,0),"")</f>
        <v/>
      </c>
      <c r="S77" s="67" t="n">
        <v>16</v>
      </c>
      <c r="T77" s="55" t="str">
        <f>IF(CARDS!$A20="","",CARDS!$A20)</f>
        <v/>
      </c>
      <c r="U77" s="55" t="str">
        <f>IF($T77="","",CARDS!$B20&amp;" "&amp;CARDS!$C20)</f>
        <v/>
      </c>
      <c r="V77" s="25" t="str">
        <f>IF($T77="","",SUMIFS(TRANSACTIONS_MASTER!$L$5:$L$1204,TRANSACTIONS_MASTER!$D$5:$D$1204,$T77,TRANSACTIONS_MASTER!$C$5:$C$1204,$C$2,TRANSACTIONS_MASTER!$U$5:$U$1204,"&lt;&gt;Cancelled"))</f>
        <v/>
      </c>
      <c r="W77" s="26" t="str">
        <f>IF($T77="","",SUMIFS(TRANSACTIONS_MASTER!$Q$5:$Q$1204,TRANSACTIONS_MASTER!$D$5:$D$1204,$T77,TRANSACTIONS_MASTER!$C$5:$C$1204,$C$2))</f>
        <v/>
      </c>
      <c r="X77" s="25" t="str">
        <f>IF($T77="","",IFERROR(IF(ISNUMBER(INDEX(CASHBACK_RULES!$K$5:$K$304,MATCH($T77,CASHBACK_RULES!$B$5:$B$304,0))),INDEX(CASHBACK_RULES!$K$5:$K$304,MATCH($T77,CASHBACK_RULES!$B$5:$B$304,0)),"∞"),"—"))</f>
        <v/>
      </c>
      <c r="Y77" s="25" t="str">
        <f>IF($T77="","",IF($X77="—","—",IF(COUNTIFS($T$8:$T$57,$T77,$Z$8:$Z$57,"∞")&gt;0,IF(ISNUMBER($X77),MAX(0,$X77-$W77),"∞"),IF(ISNUMBER($X77),MAX(0,MIN($X77-$W77,SUMIFS($Z$8:$Z$57,$T$8:$T$57,$T77))),SUMIFS($Z$8:$Z$57,$T$8:$T$57,$T77)))))</f>
        <v/>
      </c>
      <c r="Z77" s="27" t="str">
        <f>IF($T77="","",IF(ISNUMBER($X77),IF($X77=0,0,$W77/$X77),IF(ISNUMBER($Y77),IF($W77+$Y77=0,0,$W77/($W77+$Y77)),"")))</f>
        <v/>
      </c>
      <c r="AA77" s="29" t="str">
        <f>IF($T77="","",COUNTIFS(TRANSACTIONS_MASTER!$D$5:$D$1204,$T77,TRANSACTIONS_MASTER!$C$5:$C$1204,$C$2,TRANSACTIONS_MASTER!$U$5:$U$1204,"&lt;&gt;Cancelled"))</f>
        <v/>
      </c>
    </row>
    <row r="78">
      <c r="A78" s="81" t="str">
        <f>IF($Q78="","",71)</f>
        <v/>
      </c>
      <c r="B78" s="57" t="str">
        <f>IF($Q78="","",INDEX(TRANSACTIONS_MASTER!$B$5:$B$1204,$Q78))</f>
        <v/>
      </c>
      <c r="C78" s="55" t="str">
        <f>IF($Q78="","",INDEX(TRANSACTIONS_MASTER!$F$5:$F$1204,$Q78))</f>
        <v/>
      </c>
      <c r="D78" s="55" t="str">
        <f>IF($Q78="","",INDEX(TRANSACTIONS_MASTER!$E$5:$E$1204,$Q78))</f>
        <v/>
      </c>
      <c r="E78" s="55" t="str">
        <f>IF($Q78="","",INDEX(TRANSACTIONS_MASTER!$G$5:$G$1204,$Q78)&amp;"")</f>
        <v/>
      </c>
      <c r="F78" s="29" t="str">
        <f>IF($Q78="","",INDEX(TRANSACTIONS_MASTER!$I$5:$I$1204,$Q78))</f>
        <v/>
      </c>
      <c r="G78" s="55" t="str">
        <f>IF($Q78="","",INDEX(TRANSACTIONS_MASTER!$K$5:$K$1204,$Q78))</f>
        <v/>
      </c>
      <c r="H78" s="25" t="str">
        <f>IF($Q78="","",INDEX(TRANSACTIONS_MASTER!$L$5:$L$1204,$Q78))</f>
        <v/>
      </c>
      <c r="I78" s="56" t="str">
        <f>IF($Q78="","",INDEX(TRANSACTIONS_MASTER!$N$5:$N$1204,$Q78))</f>
        <v/>
      </c>
      <c r="J78" s="25" t="str">
        <f>IF($Q78="","",INDEX(TRANSACTIONS_MASTER!$O$5:$O$1204,$Q78))</f>
        <v/>
      </c>
      <c r="K78" s="26" t="str">
        <f>IF($Q78="","",INDEX(TRANSACTIONS_MASTER!$Q$5:$Q$1204,$Q78))</f>
        <v/>
      </c>
      <c r="L78" s="25" t="str">
        <f>IF($Q78="","",INDEX(TRANSACTIONS_MASTER!$P$5:$P$1204,$Q78))</f>
        <v/>
      </c>
      <c r="M78" s="25" t="str">
        <f>IF($Q78="","",INDEX(TRANSACTIONS_MASTER!$AA$5:$AA$1204,$Q78))</f>
        <v/>
      </c>
      <c r="N78" s="25" t="str">
        <f>IF($Q78="","",INDEX(TRANSACTIONS_MASTER!$R$5:$R$1204,$Q78))</f>
        <v/>
      </c>
      <c r="O78" s="28" t="str">
        <f>IF($Q78="","",INDEX(TRANSACTIONS_MASTER!$AB$5:$AB$1204,$Q78))</f>
        <v/>
      </c>
      <c r="P78" s="55" t="str">
        <f>IF($Q78="","",INDEX(TRANSACTIONS_MASTER!$Z$5:$Z$1204,$Q78)&amp;"")</f>
        <v/>
      </c>
      <c r="Q78" s="67" t="str">
        <f>IFERROR(MATCH($C$2&amp;"|"&amp;71,TRANSACTIONS_MASTER!$AE$5:$AE$1204,0),"")</f>
        <v/>
      </c>
      <c r="S78" s="67" t="n">
        <v>17</v>
      </c>
      <c r="T78" s="55" t="str">
        <f>IF(CARDS!$A21="","",CARDS!$A21)</f>
        <v/>
      </c>
      <c r="U78" s="55" t="str">
        <f>IF($T78="","",CARDS!$B21&amp;" "&amp;CARDS!$C21)</f>
        <v/>
      </c>
      <c r="V78" s="25" t="str">
        <f>IF($T78="","",SUMIFS(TRANSACTIONS_MASTER!$L$5:$L$1204,TRANSACTIONS_MASTER!$D$5:$D$1204,$T78,TRANSACTIONS_MASTER!$C$5:$C$1204,$C$2,TRANSACTIONS_MASTER!$U$5:$U$1204,"&lt;&gt;Cancelled"))</f>
        <v/>
      </c>
      <c r="W78" s="26" t="str">
        <f>IF($T78="","",SUMIFS(TRANSACTIONS_MASTER!$Q$5:$Q$1204,TRANSACTIONS_MASTER!$D$5:$D$1204,$T78,TRANSACTIONS_MASTER!$C$5:$C$1204,$C$2))</f>
        <v/>
      </c>
      <c r="X78" s="25" t="str">
        <f>IF($T78="","",IFERROR(IF(ISNUMBER(INDEX(CASHBACK_RULES!$K$5:$K$304,MATCH($T78,CASHBACK_RULES!$B$5:$B$304,0))),INDEX(CASHBACK_RULES!$K$5:$K$304,MATCH($T78,CASHBACK_RULES!$B$5:$B$304,0)),"∞"),"—"))</f>
        <v/>
      </c>
      <c r="Y78" s="25" t="str">
        <f>IF($T78="","",IF($X78="—","—",IF(COUNTIFS($T$8:$T$57,$T78,$Z$8:$Z$57,"∞")&gt;0,IF(ISNUMBER($X78),MAX(0,$X78-$W78),"∞"),IF(ISNUMBER($X78),MAX(0,MIN($X78-$W78,SUMIFS($Z$8:$Z$57,$T$8:$T$57,$T78))),SUMIFS($Z$8:$Z$57,$T$8:$T$57,$T78)))))</f>
        <v/>
      </c>
      <c r="Z78" s="27" t="str">
        <f>IF($T78="","",IF(ISNUMBER($X78),IF($X78=0,0,$W78/$X78),IF(ISNUMBER($Y78),IF($W78+$Y78=0,0,$W78/($W78+$Y78)),"")))</f>
        <v/>
      </c>
      <c r="AA78" s="29" t="str">
        <f>IF($T78="","",COUNTIFS(TRANSACTIONS_MASTER!$D$5:$D$1204,$T78,TRANSACTIONS_MASTER!$C$5:$C$1204,$C$2,TRANSACTIONS_MASTER!$U$5:$U$1204,"&lt;&gt;Cancelled"))</f>
        <v/>
      </c>
    </row>
    <row r="79">
      <c r="A79" s="81" t="str">
        <f>IF($Q79="","",72)</f>
        <v/>
      </c>
      <c r="B79" s="57" t="str">
        <f>IF($Q79="","",INDEX(TRANSACTIONS_MASTER!$B$5:$B$1204,$Q79))</f>
        <v/>
      </c>
      <c r="C79" s="55" t="str">
        <f>IF($Q79="","",INDEX(TRANSACTIONS_MASTER!$F$5:$F$1204,$Q79))</f>
        <v/>
      </c>
      <c r="D79" s="55" t="str">
        <f>IF($Q79="","",INDEX(TRANSACTIONS_MASTER!$E$5:$E$1204,$Q79))</f>
        <v/>
      </c>
      <c r="E79" s="55" t="str">
        <f>IF($Q79="","",INDEX(TRANSACTIONS_MASTER!$G$5:$G$1204,$Q79)&amp;"")</f>
        <v/>
      </c>
      <c r="F79" s="29" t="str">
        <f>IF($Q79="","",INDEX(TRANSACTIONS_MASTER!$I$5:$I$1204,$Q79))</f>
        <v/>
      </c>
      <c r="G79" s="55" t="str">
        <f>IF($Q79="","",INDEX(TRANSACTIONS_MASTER!$K$5:$K$1204,$Q79))</f>
        <v/>
      </c>
      <c r="H79" s="25" t="str">
        <f>IF($Q79="","",INDEX(TRANSACTIONS_MASTER!$L$5:$L$1204,$Q79))</f>
        <v/>
      </c>
      <c r="I79" s="56" t="str">
        <f>IF($Q79="","",INDEX(TRANSACTIONS_MASTER!$N$5:$N$1204,$Q79))</f>
        <v/>
      </c>
      <c r="J79" s="25" t="str">
        <f>IF($Q79="","",INDEX(TRANSACTIONS_MASTER!$O$5:$O$1204,$Q79))</f>
        <v/>
      </c>
      <c r="K79" s="26" t="str">
        <f>IF($Q79="","",INDEX(TRANSACTIONS_MASTER!$Q$5:$Q$1204,$Q79))</f>
        <v/>
      </c>
      <c r="L79" s="25" t="str">
        <f>IF($Q79="","",INDEX(TRANSACTIONS_MASTER!$P$5:$P$1204,$Q79))</f>
        <v/>
      </c>
      <c r="M79" s="25" t="str">
        <f>IF($Q79="","",INDEX(TRANSACTIONS_MASTER!$AA$5:$AA$1204,$Q79))</f>
        <v/>
      </c>
      <c r="N79" s="25" t="str">
        <f>IF($Q79="","",INDEX(TRANSACTIONS_MASTER!$R$5:$R$1204,$Q79))</f>
        <v/>
      </c>
      <c r="O79" s="28" t="str">
        <f>IF($Q79="","",INDEX(TRANSACTIONS_MASTER!$AB$5:$AB$1204,$Q79))</f>
        <v/>
      </c>
      <c r="P79" s="55" t="str">
        <f>IF($Q79="","",INDEX(TRANSACTIONS_MASTER!$Z$5:$Z$1204,$Q79)&amp;"")</f>
        <v/>
      </c>
      <c r="Q79" s="67" t="str">
        <f>IFERROR(MATCH($C$2&amp;"|"&amp;72,TRANSACTIONS_MASTER!$AE$5:$AE$1204,0),"")</f>
        <v/>
      </c>
      <c r="S79" s="67" t="n">
        <v>18</v>
      </c>
      <c r="T79" s="55" t="str">
        <f>IF(CARDS!$A22="","",CARDS!$A22)</f>
        <v/>
      </c>
      <c r="U79" s="55" t="str">
        <f>IF($T79="","",CARDS!$B22&amp;" "&amp;CARDS!$C22)</f>
        <v/>
      </c>
      <c r="V79" s="25" t="str">
        <f>IF($T79="","",SUMIFS(TRANSACTIONS_MASTER!$L$5:$L$1204,TRANSACTIONS_MASTER!$D$5:$D$1204,$T79,TRANSACTIONS_MASTER!$C$5:$C$1204,$C$2,TRANSACTIONS_MASTER!$U$5:$U$1204,"&lt;&gt;Cancelled"))</f>
        <v/>
      </c>
      <c r="W79" s="26" t="str">
        <f>IF($T79="","",SUMIFS(TRANSACTIONS_MASTER!$Q$5:$Q$1204,TRANSACTIONS_MASTER!$D$5:$D$1204,$T79,TRANSACTIONS_MASTER!$C$5:$C$1204,$C$2))</f>
        <v/>
      </c>
      <c r="X79" s="25" t="str">
        <f>IF($T79="","",IFERROR(IF(ISNUMBER(INDEX(CASHBACK_RULES!$K$5:$K$304,MATCH($T79,CASHBACK_RULES!$B$5:$B$304,0))),INDEX(CASHBACK_RULES!$K$5:$K$304,MATCH($T79,CASHBACK_RULES!$B$5:$B$304,0)),"∞"),"—"))</f>
        <v/>
      </c>
      <c r="Y79" s="25" t="str">
        <f>IF($T79="","",IF($X79="—","—",IF(COUNTIFS($T$8:$T$57,$T79,$Z$8:$Z$57,"∞")&gt;0,IF(ISNUMBER($X79),MAX(0,$X79-$W79),"∞"),IF(ISNUMBER($X79),MAX(0,MIN($X79-$W79,SUMIFS($Z$8:$Z$57,$T$8:$T$57,$T79))),SUMIFS($Z$8:$Z$57,$T$8:$T$57,$T79)))))</f>
        <v/>
      </c>
      <c r="Z79" s="27" t="str">
        <f>IF($T79="","",IF(ISNUMBER($X79),IF($X79=0,0,$W79/$X79),IF(ISNUMBER($Y79),IF($W79+$Y79=0,0,$W79/($W79+$Y79)),"")))</f>
        <v/>
      </c>
      <c r="AA79" s="29" t="str">
        <f>IF($T79="","",COUNTIFS(TRANSACTIONS_MASTER!$D$5:$D$1204,$T79,TRANSACTIONS_MASTER!$C$5:$C$1204,$C$2,TRANSACTIONS_MASTER!$U$5:$U$1204,"&lt;&gt;Cancelled"))</f>
        <v/>
      </c>
    </row>
    <row r="80">
      <c r="A80" s="81" t="str">
        <f>IF($Q80="","",73)</f>
        <v/>
      </c>
      <c r="B80" s="57" t="str">
        <f>IF($Q80="","",INDEX(TRANSACTIONS_MASTER!$B$5:$B$1204,$Q80))</f>
        <v/>
      </c>
      <c r="C80" s="55" t="str">
        <f>IF($Q80="","",INDEX(TRANSACTIONS_MASTER!$F$5:$F$1204,$Q80))</f>
        <v/>
      </c>
      <c r="D80" s="55" t="str">
        <f>IF($Q80="","",INDEX(TRANSACTIONS_MASTER!$E$5:$E$1204,$Q80))</f>
        <v/>
      </c>
      <c r="E80" s="55" t="str">
        <f>IF($Q80="","",INDEX(TRANSACTIONS_MASTER!$G$5:$G$1204,$Q80)&amp;"")</f>
        <v/>
      </c>
      <c r="F80" s="29" t="str">
        <f>IF($Q80="","",INDEX(TRANSACTIONS_MASTER!$I$5:$I$1204,$Q80))</f>
        <v/>
      </c>
      <c r="G80" s="55" t="str">
        <f>IF($Q80="","",INDEX(TRANSACTIONS_MASTER!$K$5:$K$1204,$Q80))</f>
        <v/>
      </c>
      <c r="H80" s="25" t="str">
        <f>IF($Q80="","",INDEX(TRANSACTIONS_MASTER!$L$5:$L$1204,$Q80))</f>
        <v/>
      </c>
      <c r="I80" s="56" t="str">
        <f>IF($Q80="","",INDEX(TRANSACTIONS_MASTER!$N$5:$N$1204,$Q80))</f>
        <v/>
      </c>
      <c r="J80" s="25" t="str">
        <f>IF($Q80="","",INDEX(TRANSACTIONS_MASTER!$O$5:$O$1204,$Q80))</f>
        <v/>
      </c>
      <c r="K80" s="26" t="str">
        <f>IF($Q80="","",INDEX(TRANSACTIONS_MASTER!$Q$5:$Q$1204,$Q80))</f>
        <v/>
      </c>
      <c r="L80" s="25" t="str">
        <f>IF($Q80="","",INDEX(TRANSACTIONS_MASTER!$P$5:$P$1204,$Q80))</f>
        <v/>
      </c>
      <c r="M80" s="25" t="str">
        <f>IF($Q80="","",INDEX(TRANSACTIONS_MASTER!$AA$5:$AA$1204,$Q80))</f>
        <v/>
      </c>
      <c r="N80" s="25" t="str">
        <f>IF($Q80="","",INDEX(TRANSACTIONS_MASTER!$R$5:$R$1204,$Q80))</f>
        <v/>
      </c>
      <c r="O80" s="28" t="str">
        <f>IF($Q80="","",INDEX(TRANSACTIONS_MASTER!$AB$5:$AB$1204,$Q80))</f>
        <v/>
      </c>
      <c r="P80" s="55" t="str">
        <f>IF($Q80="","",INDEX(TRANSACTIONS_MASTER!$Z$5:$Z$1204,$Q80)&amp;"")</f>
        <v/>
      </c>
      <c r="Q80" s="67" t="str">
        <f>IFERROR(MATCH($C$2&amp;"|"&amp;73,TRANSACTIONS_MASTER!$AE$5:$AE$1204,0),"")</f>
        <v/>
      </c>
      <c r="S80" s="67" t="n">
        <v>19</v>
      </c>
      <c r="T80" s="55" t="str">
        <f>IF(CARDS!$A23="","",CARDS!$A23)</f>
        <v/>
      </c>
      <c r="U80" s="55" t="str">
        <f>IF($T80="","",CARDS!$B23&amp;" "&amp;CARDS!$C23)</f>
        <v/>
      </c>
      <c r="V80" s="25" t="str">
        <f>IF($T80="","",SUMIFS(TRANSACTIONS_MASTER!$L$5:$L$1204,TRANSACTIONS_MASTER!$D$5:$D$1204,$T80,TRANSACTIONS_MASTER!$C$5:$C$1204,$C$2,TRANSACTIONS_MASTER!$U$5:$U$1204,"&lt;&gt;Cancelled"))</f>
        <v/>
      </c>
      <c r="W80" s="26" t="str">
        <f>IF($T80="","",SUMIFS(TRANSACTIONS_MASTER!$Q$5:$Q$1204,TRANSACTIONS_MASTER!$D$5:$D$1204,$T80,TRANSACTIONS_MASTER!$C$5:$C$1204,$C$2))</f>
        <v/>
      </c>
      <c r="X80" s="25" t="str">
        <f>IF($T80="","",IFERROR(IF(ISNUMBER(INDEX(CASHBACK_RULES!$K$5:$K$304,MATCH($T80,CASHBACK_RULES!$B$5:$B$304,0))),INDEX(CASHBACK_RULES!$K$5:$K$304,MATCH($T80,CASHBACK_RULES!$B$5:$B$304,0)),"∞"),"—"))</f>
        <v/>
      </c>
      <c r="Y80" s="25" t="str">
        <f>IF($T80="","",IF($X80="—","—",IF(COUNTIFS($T$8:$T$57,$T80,$Z$8:$Z$57,"∞")&gt;0,IF(ISNUMBER($X80),MAX(0,$X80-$W80),"∞"),IF(ISNUMBER($X80),MAX(0,MIN($X80-$W80,SUMIFS($Z$8:$Z$57,$T$8:$T$57,$T80))),SUMIFS($Z$8:$Z$57,$T$8:$T$57,$T80)))))</f>
        <v/>
      </c>
      <c r="Z80" s="27" t="str">
        <f>IF($T80="","",IF(ISNUMBER($X80),IF($X80=0,0,$W80/$X80),IF(ISNUMBER($Y80),IF($W80+$Y80=0,0,$W80/($W80+$Y80)),"")))</f>
        <v/>
      </c>
      <c r="AA80" s="29" t="str">
        <f>IF($T80="","",COUNTIFS(TRANSACTIONS_MASTER!$D$5:$D$1204,$T80,TRANSACTIONS_MASTER!$C$5:$C$1204,$C$2,TRANSACTIONS_MASTER!$U$5:$U$1204,"&lt;&gt;Cancelled"))</f>
        <v/>
      </c>
    </row>
    <row r="81">
      <c r="A81" s="81" t="str">
        <f>IF($Q81="","",74)</f>
        <v/>
      </c>
      <c r="B81" s="57" t="str">
        <f>IF($Q81="","",INDEX(TRANSACTIONS_MASTER!$B$5:$B$1204,$Q81))</f>
        <v/>
      </c>
      <c r="C81" s="55" t="str">
        <f>IF($Q81="","",INDEX(TRANSACTIONS_MASTER!$F$5:$F$1204,$Q81))</f>
        <v/>
      </c>
      <c r="D81" s="55" t="str">
        <f>IF($Q81="","",INDEX(TRANSACTIONS_MASTER!$E$5:$E$1204,$Q81))</f>
        <v/>
      </c>
      <c r="E81" s="55" t="str">
        <f>IF($Q81="","",INDEX(TRANSACTIONS_MASTER!$G$5:$G$1204,$Q81)&amp;"")</f>
        <v/>
      </c>
      <c r="F81" s="29" t="str">
        <f>IF($Q81="","",INDEX(TRANSACTIONS_MASTER!$I$5:$I$1204,$Q81))</f>
        <v/>
      </c>
      <c r="G81" s="55" t="str">
        <f>IF($Q81="","",INDEX(TRANSACTIONS_MASTER!$K$5:$K$1204,$Q81))</f>
        <v/>
      </c>
      <c r="H81" s="25" t="str">
        <f>IF($Q81="","",INDEX(TRANSACTIONS_MASTER!$L$5:$L$1204,$Q81))</f>
        <v/>
      </c>
      <c r="I81" s="56" t="str">
        <f>IF($Q81="","",INDEX(TRANSACTIONS_MASTER!$N$5:$N$1204,$Q81))</f>
        <v/>
      </c>
      <c r="J81" s="25" t="str">
        <f>IF($Q81="","",INDEX(TRANSACTIONS_MASTER!$O$5:$O$1204,$Q81))</f>
        <v/>
      </c>
      <c r="K81" s="26" t="str">
        <f>IF($Q81="","",INDEX(TRANSACTIONS_MASTER!$Q$5:$Q$1204,$Q81))</f>
        <v/>
      </c>
      <c r="L81" s="25" t="str">
        <f>IF($Q81="","",INDEX(TRANSACTIONS_MASTER!$P$5:$P$1204,$Q81))</f>
        <v/>
      </c>
      <c r="M81" s="25" t="str">
        <f>IF($Q81="","",INDEX(TRANSACTIONS_MASTER!$AA$5:$AA$1204,$Q81))</f>
        <v/>
      </c>
      <c r="N81" s="25" t="str">
        <f>IF($Q81="","",INDEX(TRANSACTIONS_MASTER!$R$5:$R$1204,$Q81))</f>
        <v/>
      </c>
      <c r="O81" s="28" t="str">
        <f>IF($Q81="","",INDEX(TRANSACTIONS_MASTER!$AB$5:$AB$1204,$Q81))</f>
        <v/>
      </c>
      <c r="P81" s="55" t="str">
        <f>IF($Q81="","",INDEX(TRANSACTIONS_MASTER!$Z$5:$Z$1204,$Q81)&amp;"")</f>
        <v/>
      </c>
      <c r="Q81" s="67" t="str">
        <f>IFERROR(MATCH($C$2&amp;"|"&amp;74,TRANSACTIONS_MASTER!$AE$5:$AE$1204,0),"")</f>
        <v/>
      </c>
      <c r="S81" s="67" t="n">
        <v>20</v>
      </c>
      <c r="T81" s="55" t="str">
        <f>IF(CARDS!$A24="","",CARDS!$A24)</f>
        <v/>
      </c>
      <c r="U81" s="55" t="str">
        <f>IF($T81="","",CARDS!$B24&amp;" "&amp;CARDS!$C24)</f>
        <v/>
      </c>
      <c r="V81" s="25" t="str">
        <f>IF($T81="","",SUMIFS(TRANSACTIONS_MASTER!$L$5:$L$1204,TRANSACTIONS_MASTER!$D$5:$D$1204,$T81,TRANSACTIONS_MASTER!$C$5:$C$1204,$C$2,TRANSACTIONS_MASTER!$U$5:$U$1204,"&lt;&gt;Cancelled"))</f>
        <v/>
      </c>
      <c r="W81" s="26" t="str">
        <f>IF($T81="","",SUMIFS(TRANSACTIONS_MASTER!$Q$5:$Q$1204,TRANSACTIONS_MASTER!$D$5:$D$1204,$T81,TRANSACTIONS_MASTER!$C$5:$C$1204,$C$2))</f>
        <v/>
      </c>
      <c r="X81" s="25" t="str">
        <f>IF($T81="","",IFERROR(IF(ISNUMBER(INDEX(CASHBACK_RULES!$K$5:$K$304,MATCH($T81,CASHBACK_RULES!$B$5:$B$304,0))),INDEX(CASHBACK_RULES!$K$5:$K$304,MATCH($T81,CASHBACK_RULES!$B$5:$B$304,0)),"∞"),"—"))</f>
        <v/>
      </c>
      <c r="Y81" s="25" t="str">
        <f>IF($T81="","",IF($X81="—","—",IF(COUNTIFS($T$8:$T$57,$T81,$Z$8:$Z$57,"∞")&gt;0,IF(ISNUMBER($X81),MAX(0,$X81-$W81),"∞"),IF(ISNUMBER($X81),MAX(0,MIN($X81-$W81,SUMIFS($Z$8:$Z$57,$T$8:$T$57,$T81))),SUMIFS($Z$8:$Z$57,$T$8:$T$57,$T81)))))</f>
        <v/>
      </c>
      <c r="Z81" s="27" t="str">
        <f>IF($T81="","",IF(ISNUMBER($X81),IF($X81=0,0,$W81/$X81),IF(ISNUMBER($Y81),IF($W81+$Y81=0,0,$W81/($W81+$Y81)),"")))</f>
        <v/>
      </c>
      <c r="AA81" s="29" t="str">
        <f>IF($T81="","",COUNTIFS(TRANSACTIONS_MASTER!$D$5:$D$1204,$T81,TRANSACTIONS_MASTER!$C$5:$C$1204,$C$2,TRANSACTIONS_MASTER!$U$5:$U$1204,"&lt;&gt;Cancelled"))</f>
        <v/>
      </c>
    </row>
    <row r="82">
      <c r="A82" s="81" t="str">
        <f>IF($Q82="","",75)</f>
        <v/>
      </c>
      <c r="B82" s="57" t="str">
        <f>IF($Q82="","",INDEX(TRANSACTIONS_MASTER!$B$5:$B$1204,$Q82))</f>
        <v/>
      </c>
      <c r="C82" s="55" t="str">
        <f>IF($Q82="","",INDEX(TRANSACTIONS_MASTER!$F$5:$F$1204,$Q82))</f>
        <v/>
      </c>
      <c r="D82" s="55" t="str">
        <f>IF($Q82="","",INDEX(TRANSACTIONS_MASTER!$E$5:$E$1204,$Q82))</f>
        <v/>
      </c>
      <c r="E82" s="55" t="str">
        <f>IF($Q82="","",INDEX(TRANSACTIONS_MASTER!$G$5:$G$1204,$Q82)&amp;"")</f>
        <v/>
      </c>
      <c r="F82" s="29" t="str">
        <f>IF($Q82="","",INDEX(TRANSACTIONS_MASTER!$I$5:$I$1204,$Q82))</f>
        <v/>
      </c>
      <c r="G82" s="55" t="str">
        <f>IF($Q82="","",INDEX(TRANSACTIONS_MASTER!$K$5:$K$1204,$Q82))</f>
        <v/>
      </c>
      <c r="H82" s="25" t="str">
        <f>IF($Q82="","",INDEX(TRANSACTIONS_MASTER!$L$5:$L$1204,$Q82))</f>
        <v/>
      </c>
      <c r="I82" s="56" t="str">
        <f>IF($Q82="","",INDEX(TRANSACTIONS_MASTER!$N$5:$N$1204,$Q82))</f>
        <v/>
      </c>
      <c r="J82" s="25" t="str">
        <f>IF($Q82="","",INDEX(TRANSACTIONS_MASTER!$O$5:$O$1204,$Q82))</f>
        <v/>
      </c>
      <c r="K82" s="26" t="str">
        <f>IF($Q82="","",INDEX(TRANSACTIONS_MASTER!$Q$5:$Q$1204,$Q82))</f>
        <v/>
      </c>
      <c r="L82" s="25" t="str">
        <f>IF($Q82="","",INDEX(TRANSACTIONS_MASTER!$P$5:$P$1204,$Q82))</f>
        <v/>
      </c>
      <c r="M82" s="25" t="str">
        <f>IF($Q82="","",INDEX(TRANSACTIONS_MASTER!$AA$5:$AA$1204,$Q82))</f>
        <v/>
      </c>
      <c r="N82" s="25" t="str">
        <f>IF($Q82="","",INDEX(TRANSACTIONS_MASTER!$R$5:$R$1204,$Q82))</f>
        <v/>
      </c>
      <c r="O82" s="28" t="str">
        <f>IF($Q82="","",INDEX(TRANSACTIONS_MASTER!$AB$5:$AB$1204,$Q82))</f>
        <v/>
      </c>
      <c r="P82" s="55" t="str">
        <f>IF($Q82="","",INDEX(TRANSACTIONS_MASTER!$Z$5:$Z$1204,$Q82)&amp;"")</f>
        <v/>
      </c>
      <c r="Q82" s="67" t="str">
        <f>IFERROR(MATCH($C$2&amp;"|"&amp;75,TRANSACTIONS_MASTER!$AE$5:$AE$1204,0),"")</f>
        <v/>
      </c>
      <c r="S82" s="67" t="n">
        <v>21</v>
      </c>
      <c r="T82" s="55" t="str">
        <f>IF(CARDS!$A25="","",CARDS!$A25)</f>
        <v/>
      </c>
      <c r="U82" s="55" t="str">
        <f>IF($T82="","",CARDS!$B25&amp;" "&amp;CARDS!$C25)</f>
        <v/>
      </c>
      <c r="V82" s="25" t="str">
        <f>IF($T82="","",SUMIFS(TRANSACTIONS_MASTER!$L$5:$L$1204,TRANSACTIONS_MASTER!$D$5:$D$1204,$T82,TRANSACTIONS_MASTER!$C$5:$C$1204,$C$2,TRANSACTIONS_MASTER!$U$5:$U$1204,"&lt;&gt;Cancelled"))</f>
        <v/>
      </c>
      <c r="W82" s="26" t="str">
        <f>IF($T82="","",SUMIFS(TRANSACTIONS_MASTER!$Q$5:$Q$1204,TRANSACTIONS_MASTER!$D$5:$D$1204,$T82,TRANSACTIONS_MASTER!$C$5:$C$1204,$C$2))</f>
        <v/>
      </c>
      <c r="X82" s="25" t="str">
        <f>IF($T82="","",IFERROR(IF(ISNUMBER(INDEX(CASHBACK_RULES!$K$5:$K$304,MATCH($T82,CASHBACK_RULES!$B$5:$B$304,0))),INDEX(CASHBACK_RULES!$K$5:$K$304,MATCH($T82,CASHBACK_RULES!$B$5:$B$304,0)),"∞"),"—"))</f>
        <v/>
      </c>
      <c r="Y82" s="25" t="str">
        <f>IF($T82="","",IF($X82="—","—",IF(COUNTIFS($T$8:$T$57,$T82,$Z$8:$Z$57,"∞")&gt;0,IF(ISNUMBER($X82),MAX(0,$X82-$W82),"∞"),IF(ISNUMBER($X82),MAX(0,MIN($X82-$W82,SUMIFS($Z$8:$Z$57,$T$8:$T$57,$T82))),SUMIFS($Z$8:$Z$57,$T$8:$T$57,$T82)))))</f>
        <v/>
      </c>
      <c r="Z82" s="27" t="str">
        <f>IF($T82="","",IF(ISNUMBER($X82),IF($X82=0,0,$W82/$X82),IF(ISNUMBER($Y82),IF($W82+$Y82=0,0,$W82/($W82+$Y82)),"")))</f>
        <v/>
      </c>
      <c r="AA82" s="29" t="str">
        <f>IF($T82="","",COUNTIFS(TRANSACTIONS_MASTER!$D$5:$D$1204,$T82,TRANSACTIONS_MASTER!$C$5:$C$1204,$C$2,TRANSACTIONS_MASTER!$U$5:$U$1204,"&lt;&gt;Cancelled"))</f>
        <v/>
      </c>
    </row>
    <row r="83">
      <c r="A83" s="81" t="str">
        <f>IF($Q83="","",76)</f>
        <v/>
      </c>
      <c r="B83" s="57" t="str">
        <f>IF($Q83="","",INDEX(TRANSACTIONS_MASTER!$B$5:$B$1204,$Q83))</f>
        <v/>
      </c>
      <c r="C83" s="55" t="str">
        <f>IF($Q83="","",INDEX(TRANSACTIONS_MASTER!$F$5:$F$1204,$Q83))</f>
        <v/>
      </c>
      <c r="D83" s="55" t="str">
        <f>IF($Q83="","",INDEX(TRANSACTIONS_MASTER!$E$5:$E$1204,$Q83))</f>
        <v/>
      </c>
      <c r="E83" s="55" t="str">
        <f>IF($Q83="","",INDEX(TRANSACTIONS_MASTER!$G$5:$G$1204,$Q83)&amp;"")</f>
        <v/>
      </c>
      <c r="F83" s="29" t="str">
        <f>IF($Q83="","",INDEX(TRANSACTIONS_MASTER!$I$5:$I$1204,$Q83))</f>
        <v/>
      </c>
      <c r="G83" s="55" t="str">
        <f>IF($Q83="","",INDEX(TRANSACTIONS_MASTER!$K$5:$K$1204,$Q83))</f>
        <v/>
      </c>
      <c r="H83" s="25" t="str">
        <f>IF($Q83="","",INDEX(TRANSACTIONS_MASTER!$L$5:$L$1204,$Q83))</f>
        <v/>
      </c>
      <c r="I83" s="56" t="str">
        <f>IF($Q83="","",INDEX(TRANSACTIONS_MASTER!$N$5:$N$1204,$Q83))</f>
        <v/>
      </c>
      <c r="J83" s="25" t="str">
        <f>IF($Q83="","",INDEX(TRANSACTIONS_MASTER!$O$5:$O$1204,$Q83))</f>
        <v/>
      </c>
      <c r="K83" s="26" t="str">
        <f>IF($Q83="","",INDEX(TRANSACTIONS_MASTER!$Q$5:$Q$1204,$Q83))</f>
        <v/>
      </c>
      <c r="L83" s="25" t="str">
        <f>IF($Q83="","",INDEX(TRANSACTIONS_MASTER!$P$5:$P$1204,$Q83))</f>
        <v/>
      </c>
      <c r="M83" s="25" t="str">
        <f>IF($Q83="","",INDEX(TRANSACTIONS_MASTER!$AA$5:$AA$1204,$Q83))</f>
        <v/>
      </c>
      <c r="N83" s="25" t="str">
        <f>IF($Q83="","",INDEX(TRANSACTIONS_MASTER!$R$5:$R$1204,$Q83))</f>
        <v/>
      </c>
      <c r="O83" s="28" t="str">
        <f>IF($Q83="","",INDEX(TRANSACTIONS_MASTER!$AB$5:$AB$1204,$Q83))</f>
        <v/>
      </c>
      <c r="P83" s="55" t="str">
        <f>IF($Q83="","",INDEX(TRANSACTIONS_MASTER!$Z$5:$Z$1204,$Q83)&amp;"")</f>
        <v/>
      </c>
      <c r="Q83" s="67" t="str">
        <f>IFERROR(MATCH($C$2&amp;"|"&amp;76,TRANSACTIONS_MASTER!$AE$5:$AE$1204,0),"")</f>
        <v/>
      </c>
      <c r="S83" s="67" t="n">
        <v>22</v>
      </c>
      <c r="T83" s="55" t="str">
        <f>IF(CARDS!$A26="","",CARDS!$A26)</f>
        <v/>
      </c>
      <c r="U83" s="55" t="str">
        <f>IF($T83="","",CARDS!$B26&amp;" "&amp;CARDS!$C26)</f>
        <v/>
      </c>
      <c r="V83" s="25" t="str">
        <f>IF($T83="","",SUMIFS(TRANSACTIONS_MASTER!$L$5:$L$1204,TRANSACTIONS_MASTER!$D$5:$D$1204,$T83,TRANSACTIONS_MASTER!$C$5:$C$1204,$C$2,TRANSACTIONS_MASTER!$U$5:$U$1204,"&lt;&gt;Cancelled"))</f>
        <v/>
      </c>
      <c r="W83" s="26" t="str">
        <f>IF($T83="","",SUMIFS(TRANSACTIONS_MASTER!$Q$5:$Q$1204,TRANSACTIONS_MASTER!$D$5:$D$1204,$T83,TRANSACTIONS_MASTER!$C$5:$C$1204,$C$2))</f>
        <v/>
      </c>
      <c r="X83" s="25" t="str">
        <f>IF($T83="","",IFERROR(IF(ISNUMBER(INDEX(CASHBACK_RULES!$K$5:$K$304,MATCH($T83,CASHBACK_RULES!$B$5:$B$304,0))),INDEX(CASHBACK_RULES!$K$5:$K$304,MATCH($T83,CASHBACK_RULES!$B$5:$B$304,0)),"∞"),"—"))</f>
        <v/>
      </c>
      <c r="Y83" s="25" t="str">
        <f>IF($T83="","",IF($X83="—","—",IF(COUNTIFS($T$8:$T$57,$T83,$Z$8:$Z$57,"∞")&gt;0,IF(ISNUMBER($X83),MAX(0,$X83-$W83),"∞"),IF(ISNUMBER($X83),MAX(0,MIN($X83-$W83,SUMIFS($Z$8:$Z$57,$T$8:$T$57,$T83))),SUMIFS($Z$8:$Z$57,$T$8:$T$57,$T83)))))</f>
        <v/>
      </c>
      <c r="Z83" s="27" t="str">
        <f>IF($T83="","",IF(ISNUMBER($X83),IF($X83=0,0,$W83/$X83),IF(ISNUMBER($Y83),IF($W83+$Y83=0,0,$W83/($W83+$Y83)),"")))</f>
        <v/>
      </c>
      <c r="AA83" s="29" t="str">
        <f>IF($T83="","",COUNTIFS(TRANSACTIONS_MASTER!$D$5:$D$1204,$T83,TRANSACTIONS_MASTER!$C$5:$C$1204,$C$2,TRANSACTIONS_MASTER!$U$5:$U$1204,"&lt;&gt;Cancelled"))</f>
        <v/>
      </c>
    </row>
    <row r="84">
      <c r="A84" s="81" t="str">
        <f>IF($Q84="","",77)</f>
        <v/>
      </c>
      <c r="B84" s="57" t="str">
        <f>IF($Q84="","",INDEX(TRANSACTIONS_MASTER!$B$5:$B$1204,$Q84))</f>
        <v/>
      </c>
      <c r="C84" s="55" t="str">
        <f>IF($Q84="","",INDEX(TRANSACTIONS_MASTER!$F$5:$F$1204,$Q84))</f>
        <v/>
      </c>
      <c r="D84" s="55" t="str">
        <f>IF($Q84="","",INDEX(TRANSACTIONS_MASTER!$E$5:$E$1204,$Q84))</f>
        <v/>
      </c>
      <c r="E84" s="55" t="str">
        <f>IF($Q84="","",INDEX(TRANSACTIONS_MASTER!$G$5:$G$1204,$Q84)&amp;"")</f>
        <v/>
      </c>
      <c r="F84" s="29" t="str">
        <f>IF($Q84="","",INDEX(TRANSACTIONS_MASTER!$I$5:$I$1204,$Q84))</f>
        <v/>
      </c>
      <c r="G84" s="55" t="str">
        <f>IF($Q84="","",INDEX(TRANSACTIONS_MASTER!$K$5:$K$1204,$Q84))</f>
        <v/>
      </c>
      <c r="H84" s="25" t="str">
        <f>IF($Q84="","",INDEX(TRANSACTIONS_MASTER!$L$5:$L$1204,$Q84))</f>
        <v/>
      </c>
      <c r="I84" s="56" t="str">
        <f>IF($Q84="","",INDEX(TRANSACTIONS_MASTER!$N$5:$N$1204,$Q84))</f>
        <v/>
      </c>
      <c r="J84" s="25" t="str">
        <f>IF($Q84="","",INDEX(TRANSACTIONS_MASTER!$O$5:$O$1204,$Q84))</f>
        <v/>
      </c>
      <c r="K84" s="26" t="str">
        <f>IF($Q84="","",INDEX(TRANSACTIONS_MASTER!$Q$5:$Q$1204,$Q84))</f>
        <v/>
      </c>
      <c r="L84" s="25" t="str">
        <f>IF($Q84="","",INDEX(TRANSACTIONS_MASTER!$P$5:$P$1204,$Q84))</f>
        <v/>
      </c>
      <c r="M84" s="25" t="str">
        <f>IF($Q84="","",INDEX(TRANSACTIONS_MASTER!$AA$5:$AA$1204,$Q84))</f>
        <v/>
      </c>
      <c r="N84" s="25" t="str">
        <f>IF($Q84="","",INDEX(TRANSACTIONS_MASTER!$R$5:$R$1204,$Q84))</f>
        <v/>
      </c>
      <c r="O84" s="28" t="str">
        <f>IF($Q84="","",INDEX(TRANSACTIONS_MASTER!$AB$5:$AB$1204,$Q84))</f>
        <v/>
      </c>
      <c r="P84" s="55" t="str">
        <f>IF($Q84="","",INDEX(TRANSACTIONS_MASTER!$Z$5:$Z$1204,$Q84)&amp;"")</f>
        <v/>
      </c>
      <c r="Q84" s="67" t="str">
        <f>IFERROR(MATCH($C$2&amp;"|"&amp;77,TRANSACTIONS_MASTER!$AE$5:$AE$1204,0),"")</f>
        <v/>
      </c>
      <c r="S84" s="67" t="n">
        <v>23</v>
      </c>
      <c r="T84" s="55" t="str">
        <f>IF(CARDS!$A27="","",CARDS!$A27)</f>
        <v/>
      </c>
      <c r="U84" s="55" t="str">
        <f>IF($T84="","",CARDS!$B27&amp;" "&amp;CARDS!$C27)</f>
        <v/>
      </c>
      <c r="V84" s="25" t="str">
        <f>IF($T84="","",SUMIFS(TRANSACTIONS_MASTER!$L$5:$L$1204,TRANSACTIONS_MASTER!$D$5:$D$1204,$T84,TRANSACTIONS_MASTER!$C$5:$C$1204,$C$2,TRANSACTIONS_MASTER!$U$5:$U$1204,"&lt;&gt;Cancelled"))</f>
        <v/>
      </c>
      <c r="W84" s="26" t="str">
        <f>IF($T84="","",SUMIFS(TRANSACTIONS_MASTER!$Q$5:$Q$1204,TRANSACTIONS_MASTER!$D$5:$D$1204,$T84,TRANSACTIONS_MASTER!$C$5:$C$1204,$C$2))</f>
        <v/>
      </c>
      <c r="X84" s="25" t="str">
        <f>IF($T84="","",IFERROR(IF(ISNUMBER(INDEX(CASHBACK_RULES!$K$5:$K$304,MATCH($T84,CASHBACK_RULES!$B$5:$B$304,0))),INDEX(CASHBACK_RULES!$K$5:$K$304,MATCH($T84,CASHBACK_RULES!$B$5:$B$304,0)),"∞"),"—"))</f>
        <v/>
      </c>
      <c r="Y84" s="25" t="str">
        <f>IF($T84="","",IF($X84="—","—",IF(COUNTIFS($T$8:$T$57,$T84,$Z$8:$Z$57,"∞")&gt;0,IF(ISNUMBER($X84),MAX(0,$X84-$W84),"∞"),IF(ISNUMBER($X84),MAX(0,MIN($X84-$W84,SUMIFS($Z$8:$Z$57,$T$8:$T$57,$T84))),SUMIFS($Z$8:$Z$57,$T$8:$T$57,$T84)))))</f>
        <v/>
      </c>
      <c r="Z84" s="27" t="str">
        <f>IF($T84="","",IF(ISNUMBER($X84),IF($X84=0,0,$W84/$X84),IF(ISNUMBER($Y84),IF($W84+$Y84=0,0,$W84/($W84+$Y84)),"")))</f>
        <v/>
      </c>
      <c r="AA84" s="29" t="str">
        <f>IF($T84="","",COUNTIFS(TRANSACTIONS_MASTER!$D$5:$D$1204,$T84,TRANSACTIONS_MASTER!$C$5:$C$1204,$C$2,TRANSACTIONS_MASTER!$U$5:$U$1204,"&lt;&gt;Cancelled"))</f>
        <v/>
      </c>
    </row>
    <row r="85">
      <c r="A85" s="81" t="str">
        <f>IF($Q85="","",78)</f>
        <v/>
      </c>
      <c r="B85" s="57" t="str">
        <f>IF($Q85="","",INDEX(TRANSACTIONS_MASTER!$B$5:$B$1204,$Q85))</f>
        <v/>
      </c>
      <c r="C85" s="55" t="str">
        <f>IF($Q85="","",INDEX(TRANSACTIONS_MASTER!$F$5:$F$1204,$Q85))</f>
        <v/>
      </c>
      <c r="D85" s="55" t="str">
        <f>IF($Q85="","",INDEX(TRANSACTIONS_MASTER!$E$5:$E$1204,$Q85))</f>
        <v/>
      </c>
      <c r="E85" s="55" t="str">
        <f>IF($Q85="","",INDEX(TRANSACTIONS_MASTER!$G$5:$G$1204,$Q85)&amp;"")</f>
        <v/>
      </c>
      <c r="F85" s="29" t="str">
        <f>IF($Q85="","",INDEX(TRANSACTIONS_MASTER!$I$5:$I$1204,$Q85))</f>
        <v/>
      </c>
      <c r="G85" s="55" t="str">
        <f>IF($Q85="","",INDEX(TRANSACTIONS_MASTER!$K$5:$K$1204,$Q85))</f>
        <v/>
      </c>
      <c r="H85" s="25" t="str">
        <f>IF($Q85="","",INDEX(TRANSACTIONS_MASTER!$L$5:$L$1204,$Q85))</f>
        <v/>
      </c>
      <c r="I85" s="56" t="str">
        <f>IF($Q85="","",INDEX(TRANSACTIONS_MASTER!$N$5:$N$1204,$Q85))</f>
        <v/>
      </c>
      <c r="J85" s="25" t="str">
        <f>IF($Q85="","",INDEX(TRANSACTIONS_MASTER!$O$5:$O$1204,$Q85))</f>
        <v/>
      </c>
      <c r="K85" s="26" t="str">
        <f>IF($Q85="","",INDEX(TRANSACTIONS_MASTER!$Q$5:$Q$1204,$Q85))</f>
        <v/>
      </c>
      <c r="L85" s="25" t="str">
        <f>IF($Q85="","",INDEX(TRANSACTIONS_MASTER!$P$5:$P$1204,$Q85))</f>
        <v/>
      </c>
      <c r="M85" s="25" t="str">
        <f>IF($Q85="","",INDEX(TRANSACTIONS_MASTER!$AA$5:$AA$1204,$Q85))</f>
        <v/>
      </c>
      <c r="N85" s="25" t="str">
        <f>IF($Q85="","",INDEX(TRANSACTIONS_MASTER!$R$5:$R$1204,$Q85))</f>
        <v/>
      </c>
      <c r="O85" s="28" t="str">
        <f>IF($Q85="","",INDEX(TRANSACTIONS_MASTER!$AB$5:$AB$1204,$Q85))</f>
        <v/>
      </c>
      <c r="P85" s="55" t="str">
        <f>IF($Q85="","",INDEX(TRANSACTIONS_MASTER!$Z$5:$Z$1204,$Q85)&amp;"")</f>
        <v/>
      </c>
      <c r="Q85" s="67" t="str">
        <f>IFERROR(MATCH($C$2&amp;"|"&amp;78,TRANSACTIONS_MASTER!$AE$5:$AE$1204,0),"")</f>
        <v/>
      </c>
      <c r="S85" s="67" t="n">
        <v>24</v>
      </c>
      <c r="T85" s="55" t="str">
        <f>IF(CARDS!$A28="","",CARDS!$A28)</f>
        <v/>
      </c>
      <c r="U85" s="55" t="str">
        <f>IF($T85="","",CARDS!$B28&amp;" "&amp;CARDS!$C28)</f>
        <v/>
      </c>
      <c r="V85" s="25" t="str">
        <f>IF($T85="","",SUMIFS(TRANSACTIONS_MASTER!$L$5:$L$1204,TRANSACTIONS_MASTER!$D$5:$D$1204,$T85,TRANSACTIONS_MASTER!$C$5:$C$1204,$C$2,TRANSACTIONS_MASTER!$U$5:$U$1204,"&lt;&gt;Cancelled"))</f>
        <v/>
      </c>
      <c r="W85" s="26" t="str">
        <f>IF($T85="","",SUMIFS(TRANSACTIONS_MASTER!$Q$5:$Q$1204,TRANSACTIONS_MASTER!$D$5:$D$1204,$T85,TRANSACTIONS_MASTER!$C$5:$C$1204,$C$2))</f>
        <v/>
      </c>
      <c r="X85" s="25" t="str">
        <f>IF($T85="","",IFERROR(IF(ISNUMBER(INDEX(CASHBACK_RULES!$K$5:$K$304,MATCH($T85,CASHBACK_RULES!$B$5:$B$304,0))),INDEX(CASHBACK_RULES!$K$5:$K$304,MATCH($T85,CASHBACK_RULES!$B$5:$B$304,0)),"∞"),"—"))</f>
        <v/>
      </c>
      <c r="Y85" s="25" t="str">
        <f>IF($T85="","",IF($X85="—","—",IF(COUNTIFS($T$8:$T$57,$T85,$Z$8:$Z$57,"∞")&gt;0,IF(ISNUMBER($X85),MAX(0,$X85-$W85),"∞"),IF(ISNUMBER($X85),MAX(0,MIN($X85-$W85,SUMIFS($Z$8:$Z$57,$T$8:$T$57,$T85))),SUMIFS($Z$8:$Z$57,$T$8:$T$57,$T85)))))</f>
        <v/>
      </c>
      <c r="Z85" s="27" t="str">
        <f>IF($T85="","",IF(ISNUMBER($X85),IF($X85=0,0,$W85/$X85),IF(ISNUMBER($Y85),IF($W85+$Y85=0,0,$W85/($W85+$Y85)),"")))</f>
        <v/>
      </c>
      <c r="AA85" s="29" t="str">
        <f>IF($T85="","",COUNTIFS(TRANSACTIONS_MASTER!$D$5:$D$1204,$T85,TRANSACTIONS_MASTER!$C$5:$C$1204,$C$2,TRANSACTIONS_MASTER!$U$5:$U$1204,"&lt;&gt;Cancelled"))</f>
        <v/>
      </c>
    </row>
    <row r="86">
      <c r="A86" s="81" t="str">
        <f>IF($Q86="","",79)</f>
        <v/>
      </c>
      <c r="B86" s="57" t="str">
        <f>IF($Q86="","",INDEX(TRANSACTIONS_MASTER!$B$5:$B$1204,$Q86))</f>
        <v/>
      </c>
      <c r="C86" s="55" t="str">
        <f>IF($Q86="","",INDEX(TRANSACTIONS_MASTER!$F$5:$F$1204,$Q86))</f>
        <v/>
      </c>
      <c r="D86" s="55" t="str">
        <f>IF($Q86="","",INDEX(TRANSACTIONS_MASTER!$E$5:$E$1204,$Q86))</f>
        <v/>
      </c>
      <c r="E86" s="55" t="str">
        <f>IF($Q86="","",INDEX(TRANSACTIONS_MASTER!$G$5:$G$1204,$Q86)&amp;"")</f>
        <v/>
      </c>
      <c r="F86" s="29" t="str">
        <f>IF($Q86="","",INDEX(TRANSACTIONS_MASTER!$I$5:$I$1204,$Q86))</f>
        <v/>
      </c>
      <c r="G86" s="55" t="str">
        <f>IF($Q86="","",INDEX(TRANSACTIONS_MASTER!$K$5:$K$1204,$Q86))</f>
        <v/>
      </c>
      <c r="H86" s="25" t="str">
        <f>IF($Q86="","",INDEX(TRANSACTIONS_MASTER!$L$5:$L$1204,$Q86))</f>
        <v/>
      </c>
      <c r="I86" s="56" t="str">
        <f>IF($Q86="","",INDEX(TRANSACTIONS_MASTER!$N$5:$N$1204,$Q86))</f>
        <v/>
      </c>
      <c r="J86" s="25" t="str">
        <f>IF($Q86="","",INDEX(TRANSACTIONS_MASTER!$O$5:$O$1204,$Q86))</f>
        <v/>
      </c>
      <c r="K86" s="26" t="str">
        <f>IF($Q86="","",INDEX(TRANSACTIONS_MASTER!$Q$5:$Q$1204,$Q86))</f>
        <v/>
      </c>
      <c r="L86" s="25" t="str">
        <f>IF($Q86="","",INDEX(TRANSACTIONS_MASTER!$P$5:$P$1204,$Q86))</f>
        <v/>
      </c>
      <c r="M86" s="25" t="str">
        <f>IF($Q86="","",INDEX(TRANSACTIONS_MASTER!$AA$5:$AA$1204,$Q86))</f>
        <v/>
      </c>
      <c r="N86" s="25" t="str">
        <f>IF($Q86="","",INDEX(TRANSACTIONS_MASTER!$R$5:$R$1204,$Q86))</f>
        <v/>
      </c>
      <c r="O86" s="28" t="str">
        <f>IF($Q86="","",INDEX(TRANSACTIONS_MASTER!$AB$5:$AB$1204,$Q86))</f>
        <v/>
      </c>
      <c r="P86" s="55" t="str">
        <f>IF($Q86="","",INDEX(TRANSACTIONS_MASTER!$Z$5:$Z$1204,$Q86)&amp;"")</f>
        <v/>
      </c>
      <c r="Q86" s="67" t="str">
        <f>IFERROR(MATCH($C$2&amp;"|"&amp;79,TRANSACTIONS_MASTER!$AE$5:$AE$1204,0),"")</f>
        <v/>
      </c>
      <c r="S86" s="67" t="n">
        <v>25</v>
      </c>
      <c r="T86" s="55" t="str">
        <f>IF(CARDS!$A29="","",CARDS!$A29)</f>
        <v/>
      </c>
      <c r="U86" s="55" t="str">
        <f>IF($T86="","",CARDS!$B29&amp;" "&amp;CARDS!$C29)</f>
        <v/>
      </c>
      <c r="V86" s="25" t="str">
        <f>IF($T86="","",SUMIFS(TRANSACTIONS_MASTER!$L$5:$L$1204,TRANSACTIONS_MASTER!$D$5:$D$1204,$T86,TRANSACTIONS_MASTER!$C$5:$C$1204,$C$2,TRANSACTIONS_MASTER!$U$5:$U$1204,"&lt;&gt;Cancelled"))</f>
        <v/>
      </c>
      <c r="W86" s="26" t="str">
        <f>IF($T86="","",SUMIFS(TRANSACTIONS_MASTER!$Q$5:$Q$1204,TRANSACTIONS_MASTER!$D$5:$D$1204,$T86,TRANSACTIONS_MASTER!$C$5:$C$1204,$C$2))</f>
        <v/>
      </c>
      <c r="X86" s="25" t="str">
        <f>IF($T86="","",IFERROR(IF(ISNUMBER(INDEX(CASHBACK_RULES!$K$5:$K$304,MATCH($T86,CASHBACK_RULES!$B$5:$B$304,0))),INDEX(CASHBACK_RULES!$K$5:$K$304,MATCH($T86,CASHBACK_RULES!$B$5:$B$304,0)),"∞"),"—"))</f>
        <v/>
      </c>
      <c r="Y86" s="25" t="str">
        <f>IF($T86="","",IF($X86="—","—",IF(COUNTIFS($T$8:$T$57,$T86,$Z$8:$Z$57,"∞")&gt;0,IF(ISNUMBER($X86),MAX(0,$X86-$W86),"∞"),IF(ISNUMBER($X86),MAX(0,MIN($X86-$W86,SUMIFS($Z$8:$Z$57,$T$8:$T$57,$T86))),SUMIFS($Z$8:$Z$57,$T$8:$T$57,$T86)))))</f>
        <v/>
      </c>
      <c r="Z86" s="27" t="str">
        <f>IF($T86="","",IF(ISNUMBER($X86),IF($X86=0,0,$W86/$X86),IF(ISNUMBER($Y86),IF($W86+$Y86=0,0,$W86/($W86+$Y86)),"")))</f>
        <v/>
      </c>
      <c r="AA86" s="29" t="str">
        <f>IF($T86="","",COUNTIFS(TRANSACTIONS_MASTER!$D$5:$D$1204,$T86,TRANSACTIONS_MASTER!$C$5:$C$1204,$C$2,TRANSACTIONS_MASTER!$U$5:$U$1204,"&lt;&gt;Cancelled"))</f>
        <v/>
      </c>
    </row>
    <row r="87">
      <c r="A87" s="81" t="str">
        <f>IF($Q87="","",80)</f>
        <v/>
      </c>
      <c r="B87" s="57" t="str">
        <f>IF($Q87="","",INDEX(TRANSACTIONS_MASTER!$B$5:$B$1204,$Q87))</f>
        <v/>
      </c>
      <c r="C87" s="55" t="str">
        <f>IF($Q87="","",INDEX(TRANSACTIONS_MASTER!$F$5:$F$1204,$Q87))</f>
        <v/>
      </c>
      <c r="D87" s="55" t="str">
        <f>IF($Q87="","",INDEX(TRANSACTIONS_MASTER!$E$5:$E$1204,$Q87))</f>
        <v/>
      </c>
      <c r="E87" s="55" t="str">
        <f>IF($Q87="","",INDEX(TRANSACTIONS_MASTER!$G$5:$G$1204,$Q87)&amp;"")</f>
        <v/>
      </c>
      <c r="F87" s="29" t="str">
        <f>IF($Q87="","",INDEX(TRANSACTIONS_MASTER!$I$5:$I$1204,$Q87))</f>
        <v/>
      </c>
      <c r="G87" s="55" t="str">
        <f>IF($Q87="","",INDEX(TRANSACTIONS_MASTER!$K$5:$K$1204,$Q87))</f>
        <v/>
      </c>
      <c r="H87" s="25" t="str">
        <f>IF($Q87="","",INDEX(TRANSACTIONS_MASTER!$L$5:$L$1204,$Q87))</f>
        <v/>
      </c>
      <c r="I87" s="56" t="str">
        <f>IF($Q87="","",INDEX(TRANSACTIONS_MASTER!$N$5:$N$1204,$Q87))</f>
        <v/>
      </c>
      <c r="J87" s="25" t="str">
        <f>IF($Q87="","",INDEX(TRANSACTIONS_MASTER!$O$5:$O$1204,$Q87))</f>
        <v/>
      </c>
      <c r="K87" s="26" t="str">
        <f>IF($Q87="","",INDEX(TRANSACTIONS_MASTER!$Q$5:$Q$1204,$Q87))</f>
        <v/>
      </c>
      <c r="L87" s="25" t="str">
        <f>IF($Q87="","",INDEX(TRANSACTIONS_MASTER!$P$5:$P$1204,$Q87))</f>
        <v/>
      </c>
      <c r="M87" s="25" t="str">
        <f>IF($Q87="","",INDEX(TRANSACTIONS_MASTER!$AA$5:$AA$1204,$Q87))</f>
        <v/>
      </c>
      <c r="N87" s="25" t="str">
        <f>IF($Q87="","",INDEX(TRANSACTIONS_MASTER!$R$5:$R$1204,$Q87))</f>
        <v/>
      </c>
      <c r="O87" s="28" t="str">
        <f>IF($Q87="","",INDEX(TRANSACTIONS_MASTER!$AB$5:$AB$1204,$Q87))</f>
        <v/>
      </c>
      <c r="P87" s="55" t="str">
        <f>IF($Q87="","",INDEX(TRANSACTIONS_MASTER!$Z$5:$Z$1204,$Q87)&amp;"")</f>
        <v/>
      </c>
      <c r="Q87" s="67" t="str">
        <f>IFERROR(MATCH($C$2&amp;"|"&amp;80,TRANSACTIONS_MASTER!$AE$5:$AE$1204,0),"")</f>
        <v/>
      </c>
      <c r="S87" s="67" t="n">
        <v>26</v>
      </c>
      <c r="T87" s="55" t="str">
        <f>IF(CARDS!$A30="","",CARDS!$A30)</f>
        <v/>
      </c>
      <c r="U87" s="55" t="str">
        <f>IF($T87="","",CARDS!$B30&amp;" "&amp;CARDS!$C30)</f>
        <v/>
      </c>
      <c r="V87" s="25" t="str">
        <f>IF($T87="","",SUMIFS(TRANSACTIONS_MASTER!$L$5:$L$1204,TRANSACTIONS_MASTER!$D$5:$D$1204,$T87,TRANSACTIONS_MASTER!$C$5:$C$1204,$C$2,TRANSACTIONS_MASTER!$U$5:$U$1204,"&lt;&gt;Cancelled"))</f>
        <v/>
      </c>
      <c r="W87" s="26" t="str">
        <f>IF($T87="","",SUMIFS(TRANSACTIONS_MASTER!$Q$5:$Q$1204,TRANSACTIONS_MASTER!$D$5:$D$1204,$T87,TRANSACTIONS_MASTER!$C$5:$C$1204,$C$2))</f>
        <v/>
      </c>
      <c r="X87" s="25" t="str">
        <f>IF($T87="","",IFERROR(IF(ISNUMBER(INDEX(CASHBACK_RULES!$K$5:$K$304,MATCH($T87,CASHBACK_RULES!$B$5:$B$304,0))),INDEX(CASHBACK_RULES!$K$5:$K$304,MATCH($T87,CASHBACK_RULES!$B$5:$B$304,0)),"∞"),"—"))</f>
        <v/>
      </c>
      <c r="Y87" s="25" t="str">
        <f>IF($T87="","",IF($X87="—","—",IF(COUNTIFS($T$8:$T$57,$T87,$Z$8:$Z$57,"∞")&gt;0,IF(ISNUMBER($X87),MAX(0,$X87-$W87),"∞"),IF(ISNUMBER($X87),MAX(0,MIN($X87-$W87,SUMIFS($Z$8:$Z$57,$T$8:$T$57,$T87))),SUMIFS($Z$8:$Z$57,$T$8:$T$57,$T87)))))</f>
        <v/>
      </c>
      <c r="Z87" s="27" t="str">
        <f>IF($T87="","",IF(ISNUMBER($X87),IF($X87=0,0,$W87/$X87),IF(ISNUMBER($Y87),IF($W87+$Y87=0,0,$W87/($W87+$Y87)),"")))</f>
        <v/>
      </c>
      <c r="AA87" s="29" t="str">
        <f>IF($T87="","",COUNTIFS(TRANSACTIONS_MASTER!$D$5:$D$1204,$T87,TRANSACTIONS_MASTER!$C$5:$C$1204,$C$2,TRANSACTIONS_MASTER!$U$5:$U$1204,"&lt;&gt;Cancelled"))</f>
        <v/>
      </c>
    </row>
    <row r="88">
      <c r="A88" s="81" t="str">
        <f>IF($Q88="","",81)</f>
        <v/>
      </c>
      <c r="B88" s="57" t="str">
        <f>IF($Q88="","",INDEX(TRANSACTIONS_MASTER!$B$5:$B$1204,$Q88))</f>
        <v/>
      </c>
      <c r="C88" s="55" t="str">
        <f>IF($Q88="","",INDEX(TRANSACTIONS_MASTER!$F$5:$F$1204,$Q88))</f>
        <v/>
      </c>
      <c r="D88" s="55" t="str">
        <f>IF($Q88="","",INDEX(TRANSACTIONS_MASTER!$E$5:$E$1204,$Q88))</f>
        <v/>
      </c>
      <c r="E88" s="55" t="str">
        <f>IF($Q88="","",INDEX(TRANSACTIONS_MASTER!$G$5:$G$1204,$Q88)&amp;"")</f>
        <v/>
      </c>
      <c r="F88" s="29" t="str">
        <f>IF($Q88="","",INDEX(TRANSACTIONS_MASTER!$I$5:$I$1204,$Q88))</f>
        <v/>
      </c>
      <c r="G88" s="55" t="str">
        <f>IF($Q88="","",INDEX(TRANSACTIONS_MASTER!$K$5:$K$1204,$Q88))</f>
        <v/>
      </c>
      <c r="H88" s="25" t="str">
        <f>IF($Q88="","",INDEX(TRANSACTIONS_MASTER!$L$5:$L$1204,$Q88))</f>
        <v/>
      </c>
      <c r="I88" s="56" t="str">
        <f>IF($Q88="","",INDEX(TRANSACTIONS_MASTER!$N$5:$N$1204,$Q88))</f>
        <v/>
      </c>
      <c r="J88" s="25" t="str">
        <f>IF($Q88="","",INDEX(TRANSACTIONS_MASTER!$O$5:$O$1204,$Q88))</f>
        <v/>
      </c>
      <c r="K88" s="26" t="str">
        <f>IF($Q88="","",INDEX(TRANSACTIONS_MASTER!$Q$5:$Q$1204,$Q88))</f>
        <v/>
      </c>
      <c r="L88" s="25" t="str">
        <f>IF($Q88="","",INDEX(TRANSACTIONS_MASTER!$P$5:$P$1204,$Q88))</f>
        <v/>
      </c>
      <c r="M88" s="25" t="str">
        <f>IF($Q88="","",INDEX(TRANSACTIONS_MASTER!$AA$5:$AA$1204,$Q88))</f>
        <v/>
      </c>
      <c r="N88" s="25" t="str">
        <f>IF($Q88="","",INDEX(TRANSACTIONS_MASTER!$R$5:$R$1204,$Q88))</f>
        <v/>
      </c>
      <c r="O88" s="28" t="str">
        <f>IF($Q88="","",INDEX(TRANSACTIONS_MASTER!$AB$5:$AB$1204,$Q88))</f>
        <v/>
      </c>
      <c r="P88" s="55" t="str">
        <f>IF($Q88="","",INDEX(TRANSACTIONS_MASTER!$Z$5:$Z$1204,$Q88)&amp;"")</f>
        <v/>
      </c>
      <c r="Q88" s="67" t="str">
        <f>IFERROR(MATCH($C$2&amp;"|"&amp;81,TRANSACTIONS_MASTER!$AE$5:$AE$1204,0),"")</f>
        <v/>
      </c>
      <c r="S88" s="67" t="n">
        <v>27</v>
      </c>
      <c r="T88" s="55" t="str">
        <f>IF(CARDS!$A31="","",CARDS!$A31)</f>
        <v/>
      </c>
      <c r="U88" s="55" t="str">
        <f>IF($T88="","",CARDS!$B31&amp;" "&amp;CARDS!$C31)</f>
        <v/>
      </c>
      <c r="V88" s="25" t="str">
        <f>IF($T88="","",SUMIFS(TRANSACTIONS_MASTER!$L$5:$L$1204,TRANSACTIONS_MASTER!$D$5:$D$1204,$T88,TRANSACTIONS_MASTER!$C$5:$C$1204,$C$2,TRANSACTIONS_MASTER!$U$5:$U$1204,"&lt;&gt;Cancelled"))</f>
        <v/>
      </c>
      <c r="W88" s="26" t="str">
        <f>IF($T88="","",SUMIFS(TRANSACTIONS_MASTER!$Q$5:$Q$1204,TRANSACTIONS_MASTER!$D$5:$D$1204,$T88,TRANSACTIONS_MASTER!$C$5:$C$1204,$C$2))</f>
        <v/>
      </c>
      <c r="X88" s="25" t="str">
        <f>IF($T88="","",IFERROR(IF(ISNUMBER(INDEX(CASHBACK_RULES!$K$5:$K$304,MATCH($T88,CASHBACK_RULES!$B$5:$B$304,0))),INDEX(CASHBACK_RULES!$K$5:$K$304,MATCH($T88,CASHBACK_RULES!$B$5:$B$304,0)),"∞"),"—"))</f>
        <v/>
      </c>
      <c r="Y88" s="25" t="str">
        <f>IF($T88="","",IF($X88="—","—",IF(COUNTIFS($T$8:$T$57,$T88,$Z$8:$Z$57,"∞")&gt;0,IF(ISNUMBER($X88),MAX(0,$X88-$W88),"∞"),IF(ISNUMBER($X88),MAX(0,MIN($X88-$W88,SUMIFS($Z$8:$Z$57,$T$8:$T$57,$T88))),SUMIFS($Z$8:$Z$57,$T$8:$T$57,$T88)))))</f>
        <v/>
      </c>
      <c r="Z88" s="27" t="str">
        <f>IF($T88="","",IF(ISNUMBER($X88),IF($X88=0,0,$W88/$X88),IF(ISNUMBER($Y88),IF($W88+$Y88=0,0,$W88/($W88+$Y88)),"")))</f>
        <v/>
      </c>
      <c r="AA88" s="29" t="str">
        <f>IF($T88="","",COUNTIFS(TRANSACTIONS_MASTER!$D$5:$D$1204,$T88,TRANSACTIONS_MASTER!$C$5:$C$1204,$C$2,TRANSACTIONS_MASTER!$U$5:$U$1204,"&lt;&gt;Cancelled"))</f>
        <v/>
      </c>
    </row>
    <row r="89">
      <c r="A89" s="81" t="str">
        <f>IF($Q89="","",82)</f>
        <v/>
      </c>
      <c r="B89" s="57" t="str">
        <f>IF($Q89="","",INDEX(TRANSACTIONS_MASTER!$B$5:$B$1204,$Q89))</f>
        <v/>
      </c>
      <c r="C89" s="55" t="str">
        <f>IF($Q89="","",INDEX(TRANSACTIONS_MASTER!$F$5:$F$1204,$Q89))</f>
        <v/>
      </c>
      <c r="D89" s="55" t="str">
        <f>IF($Q89="","",INDEX(TRANSACTIONS_MASTER!$E$5:$E$1204,$Q89))</f>
        <v/>
      </c>
      <c r="E89" s="55" t="str">
        <f>IF($Q89="","",INDEX(TRANSACTIONS_MASTER!$G$5:$G$1204,$Q89)&amp;"")</f>
        <v/>
      </c>
      <c r="F89" s="29" t="str">
        <f>IF($Q89="","",INDEX(TRANSACTIONS_MASTER!$I$5:$I$1204,$Q89))</f>
        <v/>
      </c>
      <c r="G89" s="55" t="str">
        <f>IF($Q89="","",INDEX(TRANSACTIONS_MASTER!$K$5:$K$1204,$Q89))</f>
        <v/>
      </c>
      <c r="H89" s="25" t="str">
        <f>IF($Q89="","",INDEX(TRANSACTIONS_MASTER!$L$5:$L$1204,$Q89))</f>
        <v/>
      </c>
      <c r="I89" s="56" t="str">
        <f>IF($Q89="","",INDEX(TRANSACTIONS_MASTER!$N$5:$N$1204,$Q89))</f>
        <v/>
      </c>
      <c r="J89" s="25" t="str">
        <f>IF($Q89="","",INDEX(TRANSACTIONS_MASTER!$O$5:$O$1204,$Q89))</f>
        <v/>
      </c>
      <c r="K89" s="26" t="str">
        <f>IF($Q89="","",INDEX(TRANSACTIONS_MASTER!$Q$5:$Q$1204,$Q89))</f>
        <v/>
      </c>
      <c r="L89" s="25" t="str">
        <f>IF($Q89="","",INDEX(TRANSACTIONS_MASTER!$P$5:$P$1204,$Q89))</f>
        <v/>
      </c>
      <c r="M89" s="25" t="str">
        <f>IF($Q89="","",INDEX(TRANSACTIONS_MASTER!$AA$5:$AA$1204,$Q89))</f>
        <v/>
      </c>
      <c r="N89" s="25" t="str">
        <f>IF($Q89="","",INDEX(TRANSACTIONS_MASTER!$R$5:$R$1204,$Q89))</f>
        <v/>
      </c>
      <c r="O89" s="28" t="str">
        <f>IF($Q89="","",INDEX(TRANSACTIONS_MASTER!$AB$5:$AB$1204,$Q89))</f>
        <v/>
      </c>
      <c r="P89" s="55" t="str">
        <f>IF($Q89="","",INDEX(TRANSACTIONS_MASTER!$Z$5:$Z$1204,$Q89)&amp;"")</f>
        <v/>
      </c>
      <c r="Q89" s="67" t="str">
        <f>IFERROR(MATCH($C$2&amp;"|"&amp;82,TRANSACTIONS_MASTER!$AE$5:$AE$1204,0),"")</f>
        <v/>
      </c>
      <c r="S89" s="67" t="n">
        <v>28</v>
      </c>
      <c r="T89" s="55" t="str">
        <f>IF(CARDS!$A32="","",CARDS!$A32)</f>
        <v/>
      </c>
      <c r="U89" s="55" t="str">
        <f>IF($T89="","",CARDS!$B32&amp;" "&amp;CARDS!$C32)</f>
        <v/>
      </c>
      <c r="V89" s="25" t="str">
        <f>IF($T89="","",SUMIFS(TRANSACTIONS_MASTER!$L$5:$L$1204,TRANSACTIONS_MASTER!$D$5:$D$1204,$T89,TRANSACTIONS_MASTER!$C$5:$C$1204,$C$2,TRANSACTIONS_MASTER!$U$5:$U$1204,"&lt;&gt;Cancelled"))</f>
        <v/>
      </c>
      <c r="W89" s="26" t="str">
        <f>IF($T89="","",SUMIFS(TRANSACTIONS_MASTER!$Q$5:$Q$1204,TRANSACTIONS_MASTER!$D$5:$D$1204,$T89,TRANSACTIONS_MASTER!$C$5:$C$1204,$C$2))</f>
        <v/>
      </c>
      <c r="X89" s="25" t="str">
        <f>IF($T89="","",IFERROR(IF(ISNUMBER(INDEX(CASHBACK_RULES!$K$5:$K$304,MATCH($T89,CASHBACK_RULES!$B$5:$B$304,0))),INDEX(CASHBACK_RULES!$K$5:$K$304,MATCH($T89,CASHBACK_RULES!$B$5:$B$304,0)),"∞"),"—"))</f>
        <v/>
      </c>
      <c r="Y89" s="25" t="str">
        <f>IF($T89="","",IF($X89="—","—",IF(COUNTIFS($T$8:$T$57,$T89,$Z$8:$Z$57,"∞")&gt;0,IF(ISNUMBER($X89),MAX(0,$X89-$W89),"∞"),IF(ISNUMBER($X89),MAX(0,MIN($X89-$W89,SUMIFS($Z$8:$Z$57,$T$8:$T$57,$T89))),SUMIFS($Z$8:$Z$57,$T$8:$T$57,$T89)))))</f>
        <v/>
      </c>
      <c r="Z89" s="27" t="str">
        <f>IF($T89="","",IF(ISNUMBER($X89),IF($X89=0,0,$W89/$X89),IF(ISNUMBER($Y89),IF($W89+$Y89=0,0,$W89/($W89+$Y89)),"")))</f>
        <v/>
      </c>
      <c r="AA89" s="29" t="str">
        <f>IF($T89="","",COUNTIFS(TRANSACTIONS_MASTER!$D$5:$D$1204,$T89,TRANSACTIONS_MASTER!$C$5:$C$1204,$C$2,TRANSACTIONS_MASTER!$U$5:$U$1204,"&lt;&gt;Cancelled"))</f>
        <v/>
      </c>
    </row>
    <row r="90">
      <c r="A90" s="81" t="str">
        <f>IF($Q90="","",83)</f>
        <v/>
      </c>
      <c r="B90" s="57" t="str">
        <f>IF($Q90="","",INDEX(TRANSACTIONS_MASTER!$B$5:$B$1204,$Q90))</f>
        <v/>
      </c>
      <c r="C90" s="55" t="str">
        <f>IF($Q90="","",INDEX(TRANSACTIONS_MASTER!$F$5:$F$1204,$Q90))</f>
        <v/>
      </c>
      <c r="D90" s="55" t="str">
        <f>IF($Q90="","",INDEX(TRANSACTIONS_MASTER!$E$5:$E$1204,$Q90))</f>
        <v/>
      </c>
      <c r="E90" s="55" t="str">
        <f>IF($Q90="","",INDEX(TRANSACTIONS_MASTER!$G$5:$G$1204,$Q90)&amp;"")</f>
        <v/>
      </c>
      <c r="F90" s="29" t="str">
        <f>IF($Q90="","",INDEX(TRANSACTIONS_MASTER!$I$5:$I$1204,$Q90))</f>
        <v/>
      </c>
      <c r="G90" s="55" t="str">
        <f>IF($Q90="","",INDEX(TRANSACTIONS_MASTER!$K$5:$K$1204,$Q90))</f>
        <v/>
      </c>
      <c r="H90" s="25" t="str">
        <f>IF($Q90="","",INDEX(TRANSACTIONS_MASTER!$L$5:$L$1204,$Q90))</f>
        <v/>
      </c>
      <c r="I90" s="56" t="str">
        <f>IF($Q90="","",INDEX(TRANSACTIONS_MASTER!$N$5:$N$1204,$Q90))</f>
        <v/>
      </c>
      <c r="J90" s="25" t="str">
        <f>IF($Q90="","",INDEX(TRANSACTIONS_MASTER!$O$5:$O$1204,$Q90))</f>
        <v/>
      </c>
      <c r="K90" s="26" t="str">
        <f>IF($Q90="","",INDEX(TRANSACTIONS_MASTER!$Q$5:$Q$1204,$Q90))</f>
        <v/>
      </c>
      <c r="L90" s="25" t="str">
        <f>IF($Q90="","",INDEX(TRANSACTIONS_MASTER!$P$5:$P$1204,$Q90))</f>
        <v/>
      </c>
      <c r="M90" s="25" t="str">
        <f>IF($Q90="","",INDEX(TRANSACTIONS_MASTER!$AA$5:$AA$1204,$Q90))</f>
        <v/>
      </c>
      <c r="N90" s="25" t="str">
        <f>IF($Q90="","",INDEX(TRANSACTIONS_MASTER!$R$5:$R$1204,$Q90))</f>
        <v/>
      </c>
      <c r="O90" s="28" t="str">
        <f>IF($Q90="","",INDEX(TRANSACTIONS_MASTER!$AB$5:$AB$1204,$Q90))</f>
        <v/>
      </c>
      <c r="P90" s="55" t="str">
        <f>IF($Q90="","",INDEX(TRANSACTIONS_MASTER!$Z$5:$Z$1204,$Q90)&amp;"")</f>
        <v/>
      </c>
      <c r="Q90" s="67" t="str">
        <f>IFERROR(MATCH($C$2&amp;"|"&amp;83,TRANSACTIONS_MASTER!$AE$5:$AE$1204,0),"")</f>
        <v/>
      </c>
      <c r="S90" s="67" t="n">
        <v>29</v>
      </c>
      <c r="T90" s="55" t="str">
        <f>IF(CARDS!$A33="","",CARDS!$A33)</f>
        <v/>
      </c>
      <c r="U90" s="55" t="str">
        <f>IF($T90="","",CARDS!$B33&amp;" "&amp;CARDS!$C33)</f>
        <v/>
      </c>
      <c r="V90" s="25" t="str">
        <f>IF($T90="","",SUMIFS(TRANSACTIONS_MASTER!$L$5:$L$1204,TRANSACTIONS_MASTER!$D$5:$D$1204,$T90,TRANSACTIONS_MASTER!$C$5:$C$1204,$C$2,TRANSACTIONS_MASTER!$U$5:$U$1204,"&lt;&gt;Cancelled"))</f>
        <v/>
      </c>
      <c r="W90" s="26" t="str">
        <f>IF($T90="","",SUMIFS(TRANSACTIONS_MASTER!$Q$5:$Q$1204,TRANSACTIONS_MASTER!$D$5:$D$1204,$T90,TRANSACTIONS_MASTER!$C$5:$C$1204,$C$2))</f>
        <v/>
      </c>
      <c r="X90" s="25" t="str">
        <f>IF($T90="","",IFERROR(IF(ISNUMBER(INDEX(CASHBACK_RULES!$K$5:$K$304,MATCH($T90,CASHBACK_RULES!$B$5:$B$304,0))),INDEX(CASHBACK_RULES!$K$5:$K$304,MATCH($T90,CASHBACK_RULES!$B$5:$B$304,0)),"∞"),"—"))</f>
        <v/>
      </c>
      <c r="Y90" s="25" t="str">
        <f>IF($T90="","",IF($X90="—","—",IF(COUNTIFS($T$8:$T$57,$T90,$Z$8:$Z$57,"∞")&gt;0,IF(ISNUMBER($X90),MAX(0,$X90-$W90),"∞"),IF(ISNUMBER($X90),MAX(0,MIN($X90-$W90,SUMIFS($Z$8:$Z$57,$T$8:$T$57,$T90))),SUMIFS($Z$8:$Z$57,$T$8:$T$57,$T90)))))</f>
        <v/>
      </c>
      <c r="Z90" s="27" t="str">
        <f>IF($T90="","",IF(ISNUMBER($X90),IF($X90=0,0,$W90/$X90),IF(ISNUMBER($Y90),IF($W90+$Y90=0,0,$W90/($W90+$Y90)),"")))</f>
        <v/>
      </c>
      <c r="AA90" s="29" t="str">
        <f>IF($T90="","",COUNTIFS(TRANSACTIONS_MASTER!$D$5:$D$1204,$T90,TRANSACTIONS_MASTER!$C$5:$C$1204,$C$2,TRANSACTIONS_MASTER!$U$5:$U$1204,"&lt;&gt;Cancelled"))</f>
        <v/>
      </c>
    </row>
    <row r="91">
      <c r="A91" s="81" t="str">
        <f>IF($Q91="","",84)</f>
        <v/>
      </c>
      <c r="B91" s="57" t="str">
        <f>IF($Q91="","",INDEX(TRANSACTIONS_MASTER!$B$5:$B$1204,$Q91))</f>
        <v/>
      </c>
      <c r="C91" s="55" t="str">
        <f>IF($Q91="","",INDEX(TRANSACTIONS_MASTER!$F$5:$F$1204,$Q91))</f>
        <v/>
      </c>
      <c r="D91" s="55" t="str">
        <f>IF($Q91="","",INDEX(TRANSACTIONS_MASTER!$E$5:$E$1204,$Q91))</f>
        <v/>
      </c>
      <c r="E91" s="55" t="str">
        <f>IF($Q91="","",INDEX(TRANSACTIONS_MASTER!$G$5:$G$1204,$Q91)&amp;"")</f>
        <v/>
      </c>
      <c r="F91" s="29" t="str">
        <f>IF($Q91="","",INDEX(TRANSACTIONS_MASTER!$I$5:$I$1204,$Q91))</f>
        <v/>
      </c>
      <c r="G91" s="55" t="str">
        <f>IF($Q91="","",INDEX(TRANSACTIONS_MASTER!$K$5:$K$1204,$Q91))</f>
        <v/>
      </c>
      <c r="H91" s="25" t="str">
        <f>IF($Q91="","",INDEX(TRANSACTIONS_MASTER!$L$5:$L$1204,$Q91))</f>
        <v/>
      </c>
      <c r="I91" s="56" t="str">
        <f>IF($Q91="","",INDEX(TRANSACTIONS_MASTER!$N$5:$N$1204,$Q91))</f>
        <v/>
      </c>
      <c r="J91" s="25" t="str">
        <f>IF($Q91="","",INDEX(TRANSACTIONS_MASTER!$O$5:$O$1204,$Q91))</f>
        <v/>
      </c>
      <c r="K91" s="26" t="str">
        <f>IF($Q91="","",INDEX(TRANSACTIONS_MASTER!$Q$5:$Q$1204,$Q91))</f>
        <v/>
      </c>
      <c r="L91" s="25" t="str">
        <f>IF($Q91="","",INDEX(TRANSACTIONS_MASTER!$P$5:$P$1204,$Q91))</f>
        <v/>
      </c>
      <c r="M91" s="25" t="str">
        <f>IF($Q91="","",INDEX(TRANSACTIONS_MASTER!$AA$5:$AA$1204,$Q91))</f>
        <v/>
      </c>
      <c r="N91" s="25" t="str">
        <f>IF($Q91="","",INDEX(TRANSACTIONS_MASTER!$R$5:$R$1204,$Q91))</f>
        <v/>
      </c>
      <c r="O91" s="28" t="str">
        <f>IF($Q91="","",INDEX(TRANSACTIONS_MASTER!$AB$5:$AB$1204,$Q91))</f>
        <v/>
      </c>
      <c r="P91" s="55" t="str">
        <f>IF($Q91="","",INDEX(TRANSACTIONS_MASTER!$Z$5:$Z$1204,$Q91)&amp;"")</f>
        <v/>
      </c>
      <c r="Q91" s="67" t="str">
        <f>IFERROR(MATCH($C$2&amp;"|"&amp;84,TRANSACTIONS_MASTER!$AE$5:$AE$1204,0),"")</f>
        <v/>
      </c>
      <c r="S91" s="67" t="n">
        <v>30</v>
      </c>
      <c r="T91" s="55" t="str">
        <f>IF(CARDS!$A34="","",CARDS!$A34)</f>
        <v/>
      </c>
      <c r="U91" s="55" t="str">
        <f>IF($T91="","",CARDS!$B34&amp;" "&amp;CARDS!$C34)</f>
        <v/>
      </c>
      <c r="V91" s="25" t="str">
        <f>IF($T91="","",SUMIFS(TRANSACTIONS_MASTER!$L$5:$L$1204,TRANSACTIONS_MASTER!$D$5:$D$1204,$T91,TRANSACTIONS_MASTER!$C$5:$C$1204,$C$2,TRANSACTIONS_MASTER!$U$5:$U$1204,"&lt;&gt;Cancelled"))</f>
        <v/>
      </c>
      <c r="W91" s="26" t="str">
        <f>IF($T91="","",SUMIFS(TRANSACTIONS_MASTER!$Q$5:$Q$1204,TRANSACTIONS_MASTER!$D$5:$D$1204,$T91,TRANSACTIONS_MASTER!$C$5:$C$1204,$C$2))</f>
        <v/>
      </c>
      <c r="X91" s="25" t="str">
        <f>IF($T91="","",IFERROR(IF(ISNUMBER(INDEX(CASHBACK_RULES!$K$5:$K$304,MATCH($T91,CASHBACK_RULES!$B$5:$B$304,0))),INDEX(CASHBACK_RULES!$K$5:$K$304,MATCH($T91,CASHBACK_RULES!$B$5:$B$304,0)),"∞"),"—"))</f>
        <v/>
      </c>
      <c r="Y91" s="25" t="str">
        <f>IF($T91="","",IF($X91="—","—",IF(COUNTIFS($T$8:$T$57,$T91,$Z$8:$Z$57,"∞")&gt;0,IF(ISNUMBER($X91),MAX(0,$X91-$W91),"∞"),IF(ISNUMBER($X91),MAX(0,MIN($X91-$W91,SUMIFS($Z$8:$Z$57,$T$8:$T$57,$T91))),SUMIFS($Z$8:$Z$57,$T$8:$T$57,$T91)))))</f>
        <v/>
      </c>
      <c r="Z91" s="27" t="str">
        <f>IF($T91="","",IF(ISNUMBER($X91),IF($X91=0,0,$W91/$X91),IF(ISNUMBER($Y91),IF($W91+$Y91=0,0,$W91/($W91+$Y91)),"")))</f>
        <v/>
      </c>
      <c r="AA91" s="29" t="str">
        <f>IF($T91="","",COUNTIFS(TRANSACTIONS_MASTER!$D$5:$D$1204,$T91,TRANSACTIONS_MASTER!$C$5:$C$1204,$C$2,TRANSACTIONS_MASTER!$U$5:$U$1204,"&lt;&gt;Cancelled"))</f>
        <v/>
      </c>
    </row>
    <row r="92">
      <c r="A92" s="81" t="str">
        <f>IF($Q92="","",85)</f>
        <v/>
      </c>
      <c r="B92" s="57" t="str">
        <f>IF($Q92="","",INDEX(TRANSACTIONS_MASTER!$B$5:$B$1204,$Q92))</f>
        <v/>
      </c>
      <c r="C92" s="55" t="str">
        <f>IF($Q92="","",INDEX(TRANSACTIONS_MASTER!$F$5:$F$1204,$Q92))</f>
        <v/>
      </c>
      <c r="D92" s="55" t="str">
        <f>IF($Q92="","",INDEX(TRANSACTIONS_MASTER!$E$5:$E$1204,$Q92))</f>
        <v/>
      </c>
      <c r="E92" s="55" t="str">
        <f>IF($Q92="","",INDEX(TRANSACTIONS_MASTER!$G$5:$G$1204,$Q92)&amp;"")</f>
        <v/>
      </c>
      <c r="F92" s="29" t="str">
        <f>IF($Q92="","",INDEX(TRANSACTIONS_MASTER!$I$5:$I$1204,$Q92))</f>
        <v/>
      </c>
      <c r="G92" s="55" t="str">
        <f>IF($Q92="","",INDEX(TRANSACTIONS_MASTER!$K$5:$K$1204,$Q92))</f>
        <v/>
      </c>
      <c r="H92" s="25" t="str">
        <f>IF($Q92="","",INDEX(TRANSACTIONS_MASTER!$L$5:$L$1204,$Q92))</f>
        <v/>
      </c>
      <c r="I92" s="56" t="str">
        <f>IF($Q92="","",INDEX(TRANSACTIONS_MASTER!$N$5:$N$1204,$Q92))</f>
        <v/>
      </c>
      <c r="J92" s="25" t="str">
        <f>IF($Q92="","",INDEX(TRANSACTIONS_MASTER!$O$5:$O$1204,$Q92))</f>
        <v/>
      </c>
      <c r="K92" s="26" t="str">
        <f>IF($Q92="","",INDEX(TRANSACTIONS_MASTER!$Q$5:$Q$1204,$Q92))</f>
        <v/>
      </c>
      <c r="L92" s="25" t="str">
        <f>IF($Q92="","",INDEX(TRANSACTIONS_MASTER!$P$5:$P$1204,$Q92))</f>
        <v/>
      </c>
      <c r="M92" s="25" t="str">
        <f>IF($Q92="","",INDEX(TRANSACTIONS_MASTER!$AA$5:$AA$1204,$Q92))</f>
        <v/>
      </c>
      <c r="N92" s="25" t="str">
        <f>IF($Q92="","",INDEX(TRANSACTIONS_MASTER!$R$5:$R$1204,$Q92))</f>
        <v/>
      </c>
      <c r="O92" s="28" t="str">
        <f>IF($Q92="","",INDEX(TRANSACTIONS_MASTER!$AB$5:$AB$1204,$Q92))</f>
        <v/>
      </c>
      <c r="P92" s="55" t="str">
        <f>IF($Q92="","",INDEX(TRANSACTIONS_MASTER!$Z$5:$Z$1204,$Q92)&amp;"")</f>
        <v/>
      </c>
      <c r="Q92" s="67" t="str">
        <f>IFERROR(MATCH($C$2&amp;"|"&amp;85,TRANSACTIONS_MASTER!$AE$5:$AE$1204,0),"")</f>
        <v/>
      </c>
      <c r="T92" s="68" t="n"/>
      <c r="U92" s="69" t="inlineStr">
        <is>
          <t>TỔNG</t>
        </is>
      </c>
      <c r="V92" s="31">
        <f>SUM(V62:V91)</f>
        <v>54150000</v>
      </c>
      <c r="W92" s="31">
        <f>SUM(W62:W91)</f>
        <v>3880000</v>
      </c>
      <c r="X92" s="68" t="n"/>
      <c r="Y92" s="31">
        <f>SUM(Y62:Y91)</f>
        <v>620000</v>
      </c>
      <c r="Z92" s="68" t="n"/>
      <c r="AA92" s="32">
        <f>SUM(AA62:AA91)</f>
        <v>23</v>
      </c>
    </row>
    <row r="93">
      <c r="A93" s="81" t="str">
        <f>IF($Q93="","",86)</f>
        <v/>
      </c>
      <c r="B93" s="57" t="str">
        <f>IF($Q93="","",INDEX(TRANSACTIONS_MASTER!$B$5:$B$1204,$Q93))</f>
        <v/>
      </c>
      <c r="C93" s="55" t="str">
        <f>IF($Q93="","",INDEX(TRANSACTIONS_MASTER!$F$5:$F$1204,$Q93))</f>
        <v/>
      </c>
      <c r="D93" s="55" t="str">
        <f>IF($Q93="","",INDEX(TRANSACTIONS_MASTER!$E$5:$E$1204,$Q93))</f>
        <v/>
      </c>
      <c r="E93" s="55" t="str">
        <f>IF($Q93="","",INDEX(TRANSACTIONS_MASTER!$G$5:$G$1204,$Q93)&amp;"")</f>
        <v/>
      </c>
      <c r="F93" s="29" t="str">
        <f>IF($Q93="","",INDEX(TRANSACTIONS_MASTER!$I$5:$I$1204,$Q93))</f>
        <v/>
      </c>
      <c r="G93" s="55" t="str">
        <f>IF($Q93="","",INDEX(TRANSACTIONS_MASTER!$K$5:$K$1204,$Q93))</f>
        <v/>
      </c>
      <c r="H93" s="25" t="str">
        <f>IF($Q93="","",INDEX(TRANSACTIONS_MASTER!$L$5:$L$1204,$Q93))</f>
        <v/>
      </c>
      <c r="I93" s="56" t="str">
        <f>IF($Q93="","",INDEX(TRANSACTIONS_MASTER!$N$5:$N$1204,$Q93))</f>
        <v/>
      </c>
      <c r="J93" s="25" t="str">
        <f>IF($Q93="","",INDEX(TRANSACTIONS_MASTER!$O$5:$O$1204,$Q93))</f>
        <v/>
      </c>
      <c r="K93" s="26" t="str">
        <f>IF($Q93="","",INDEX(TRANSACTIONS_MASTER!$Q$5:$Q$1204,$Q93))</f>
        <v/>
      </c>
      <c r="L93" s="25" t="str">
        <f>IF($Q93="","",INDEX(TRANSACTIONS_MASTER!$P$5:$P$1204,$Q93))</f>
        <v/>
      </c>
      <c r="M93" s="25" t="str">
        <f>IF($Q93="","",INDEX(TRANSACTIONS_MASTER!$AA$5:$AA$1204,$Q93))</f>
        <v/>
      </c>
      <c r="N93" s="25" t="str">
        <f>IF($Q93="","",INDEX(TRANSACTIONS_MASTER!$R$5:$R$1204,$Q93))</f>
        <v/>
      </c>
      <c r="O93" s="28" t="str">
        <f>IF($Q93="","",INDEX(TRANSACTIONS_MASTER!$AB$5:$AB$1204,$Q93))</f>
        <v/>
      </c>
      <c r="P93" s="55" t="str">
        <f>IF($Q93="","",INDEX(TRANSACTIONS_MASTER!$Z$5:$Z$1204,$Q93)&amp;"")</f>
        <v/>
      </c>
      <c r="Q93" s="67" t="str">
        <f>IFERROR(MATCH($C$2&amp;"|"&amp;86,TRANSACTIONS_MASTER!$AE$5:$AE$1204,0),"")</f>
        <v/>
      </c>
    </row>
    <row r="94">
      <c r="A94" s="81" t="str">
        <f>IF($Q94="","",87)</f>
        <v/>
      </c>
      <c r="B94" s="57" t="str">
        <f>IF($Q94="","",INDEX(TRANSACTIONS_MASTER!$B$5:$B$1204,$Q94))</f>
        <v/>
      </c>
      <c r="C94" s="55" t="str">
        <f>IF($Q94="","",INDEX(TRANSACTIONS_MASTER!$F$5:$F$1204,$Q94))</f>
        <v/>
      </c>
      <c r="D94" s="55" t="str">
        <f>IF($Q94="","",INDEX(TRANSACTIONS_MASTER!$E$5:$E$1204,$Q94))</f>
        <v/>
      </c>
      <c r="E94" s="55" t="str">
        <f>IF($Q94="","",INDEX(TRANSACTIONS_MASTER!$G$5:$G$1204,$Q94)&amp;"")</f>
        <v/>
      </c>
      <c r="F94" s="29" t="str">
        <f>IF($Q94="","",INDEX(TRANSACTIONS_MASTER!$I$5:$I$1204,$Q94))</f>
        <v/>
      </c>
      <c r="G94" s="55" t="str">
        <f>IF($Q94="","",INDEX(TRANSACTIONS_MASTER!$K$5:$K$1204,$Q94))</f>
        <v/>
      </c>
      <c r="H94" s="25" t="str">
        <f>IF($Q94="","",INDEX(TRANSACTIONS_MASTER!$L$5:$L$1204,$Q94))</f>
        <v/>
      </c>
      <c r="I94" s="56" t="str">
        <f>IF($Q94="","",INDEX(TRANSACTIONS_MASTER!$N$5:$N$1204,$Q94))</f>
        <v/>
      </c>
      <c r="J94" s="25" t="str">
        <f>IF($Q94="","",INDEX(TRANSACTIONS_MASTER!$O$5:$O$1204,$Q94))</f>
        <v/>
      </c>
      <c r="K94" s="26" t="str">
        <f>IF($Q94="","",INDEX(TRANSACTIONS_MASTER!$Q$5:$Q$1204,$Q94))</f>
        <v/>
      </c>
      <c r="L94" s="25" t="str">
        <f>IF($Q94="","",INDEX(TRANSACTIONS_MASTER!$P$5:$P$1204,$Q94))</f>
        <v/>
      </c>
      <c r="M94" s="25" t="str">
        <f>IF($Q94="","",INDEX(TRANSACTIONS_MASTER!$AA$5:$AA$1204,$Q94))</f>
        <v/>
      </c>
      <c r="N94" s="25" t="str">
        <f>IF($Q94="","",INDEX(TRANSACTIONS_MASTER!$R$5:$R$1204,$Q94))</f>
        <v/>
      </c>
      <c r="O94" s="28" t="str">
        <f>IF($Q94="","",INDEX(TRANSACTIONS_MASTER!$AB$5:$AB$1204,$Q94))</f>
        <v/>
      </c>
      <c r="P94" s="55" t="str">
        <f>IF($Q94="","",INDEX(TRANSACTIONS_MASTER!$Z$5:$Z$1204,$Q94)&amp;"")</f>
        <v/>
      </c>
      <c r="Q94" s="67" t="str">
        <f>IFERROR(MATCH($C$2&amp;"|"&amp;87,TRANSACTIONS_MASTER!$AE$5:$AE$1204,0),"")</f>
        <v/>
      </c>
    </row>
    <row r="95" ht="22" customHeight="1">
      <c r="A95" s="81" t="str">
        <f>IF($Q95="","",88)</f>
        <v/>
      </c>
      <c r="B95" s="57" t="str">
        <f>IF($Q95="","",INDEX(TRANSACTIONS_MASTER!$B$5:$B$1204,$Q95))</f>
        <v/>
      </c>
      <c r="C95" s="55" t="str">
        <f>IF($Q95="","",INDEX(TRANSACTIONS_MASTER!$F$5:$F$1204,$Q95))</f>
        <v/>
      </c>
      <c r="D95" s="55" t="str">
        <f>IF($Q95="","",INDEX(TRANSACTIONS_MASTER!$E$5:$E$1204,$Q95))</f>
        <v/>
      </c>
      <c r="E95" s="55" t="str">
        <f>IF($Q95="","",INDEX(TRANSACTIONS_MASTER!$G$5:$G$1204,$Q95)&amp;"")</f>
        <v/>
      </c>
      <c r="F95" s="29" t="str">
        <f>IF($Q95="","",INDEX(TRANSACTIONS_MASTER!$I$5:$I$1204,$Q95))</f>
        <v/>
      </c>
      <c r="G95" s="55" t="str">
        <f>IF($Q95="","",INDEX(TRANSACTIONS_MASTER!$K$5:$K$1204,$Q95))</f>
        <v/>
      </c>
      <c r="H95" s="25" t="str">
        <f>IF($Q95="","",INDEX(TRANSACTIONS_MASTER!$L$5:$L$1204,$Q95))</f>
        <v/>
      </c>
      <c r="I95" s="56" t="str">
        <f>IF($Q95="","",INDEX(TRANSACTIONS_MASTER!$N$5:$N$1204,$Q95))</f>
        <v/>
      </c>
      <c r="J95" s="25" t="str">
        <f>IF($Q95="","",INDEX(TRANSACTIONS_MASTER!$O$5:$O$1204,$Q95))</f>
        <v/>
      </c>
      <c r="K95" s="26" t="str">
        <f>IF($Q95="","",INDEX(TRANSACTIONS_MASTER!$Q$5:$Q$1204,$Q95))</f>
        <v/>
      </c>
      <c r="L95" s="25" t="str">
        <f>IF($Q95="","",INDEX(TRANSACTIONS_MASTER!$P$5:$P$1204,$Q95))</f>
        <v/>
      </c>
      <c r="M95" s="25" t="str">
        <f>IF($Q95="","",INDEX(TRANSACTIONS_MASTER!$AA$5:$AA$1204,$Q95))</f>
        <v/>
      </c>
      <c r="N95" s="25" t="str">
        <f>IF($Q95="","",INDEX(TRANSACTIONS_MASTER!$R$5:$R$1204,$Q95))</f>
        <v/>
      </c>
      <c r="O95" s="28" t="str">
        <f>IF($Q95="","",INDEX(TRANSACTIONS_MASTER!$AB$5:$AB$1204,$Q95))</f>
        <v/>
      </c>
      <c r="P95" s="55" t="str">
        <f>IF($Q95="","",INDEX(TRANSACTIONS_MASTER!$Z$5:$Z$1204,$Q95)&amp;"")</f>
        <v/>
      </c>
      <c r="Q95" s="67" t="str">
        <f>IFERROR(MATCH($C$2&amp;"|"&amp;88,TRANSACTIONS_MASTER!$AE$5:$AE$1204,0),"")</f>
        <v/>
      </c>
      <c r="T95" s="19" t="inlineStr">
        <is>
          <t>THEO NGÂN HÀNG</t>
        </is>
      </c>
      <c r="U95" s="20" t="n"/>
      <c r="V95" s="20" t="n"/>
      <c r="W95" s="20" t="n"/>
      <c r="X95" s="20" t="n"/>
      <c r="Y95" s="20" t="n"/>
      <c r="Z95" s="20" t="n"/>
      <c r="AA95" s="20" t="n"/>
    </row>
    <row r="96" ht="28" customHeight="1">
      <c r="A96" s="81" t="str">
        <f>IF($Q96="","",89)</f>
        <v/>
      </c>
      <c r="B96" s="57" t="str">
        <f>IF($Q96="","",INDEX(TRANSACTIONS_MASTER!$B$5:$B$1204,$Q96))</f>
        <v/>
      </c>
      <c r="C96" s="55" t="str">
        <f>IF($Q96="","",INDEX(TRANSACTIONS_MASTER!$F$5:$F$1204,$Q96))</f>
        <v/>
      </c>
      <c r="D96" s="55" t="str">
        <f>IF($Q96="","",INDEX(TRANSACTIONS_MASTER!$E$5:$E$1204,$Q96))</f>
        <v/>
      </c>
      <c r="E96" s="55" t="str">
        <f>IF($Q96="","",INDEX(TRANSACTIONS_MASTER!$G$5:$G$1204,$Q96)&amp;"")</f>
        <v/>
      </c>
      <c r="F96" s="29" t="str">
        <f>IF($Q96="","",INDEX(TRANSACTIONS_MASTER!$I$5:$I$1204,$Q96))</f>
        <v/>
      </c>
      <c r="G96" s="55" t="str">
        <f>IF($Q96="","",INDEX(TRANSACTIONS_MASTER!$K$5:$K$1204,$Q96))</f>
        <v/>
      </c>
      <c r="H96" s="25" t="str">
        <f>IF($Q96="","",INDEX(TRANSACTIONS_MASTER!$L$5:$L$1204,$Q96))</f>
        <v/>
      </c>
      <c r="I96" s="56" t="str">
        <f>IF($Q96="","",INDEX(TRANSACTIONS_MASTER!$N$5:$N$1204,$Q96))</f>
        <v/>
      </c>
      <c r="J96" s="25" t="str">
        <f>IF($Q96="","",INDEX(TRANSACTIONS_MASTER!$O$5:$O$1204,$Q96))</f>
        <v/>
      </c>
      <c r="K96" s="26" t="str">
        <f>IF($Q96="","",INDEX(TRANSACTIONS_MASTER!$Q$5:$Q$1204,$Q96))</f>
        <v/>
      </c>
      <c r="L96" s="25" t="str">
        <f>IF($Q96="","",INDEX(TRANSACTIONS_MASTER!$P$5:$P$1204,$Q96))</f>
        <v/>
      </c>
      <c r="M96" s="25" t="str">
        <f>IF($Q96="","",INDEX(TRANSACTIONS_MASTER!$AA$5:$AA$1204,$Q96))</f>
        <v/>
      </c>
      <c r="N96" s="25" t="str">
        <f>IF($Q96="","",INDEX(TRANSACTIONS_MASTER!$R$5:$R$1204,$Q96))</f>
        <v/>
      </c>
      <c r="O96" s="28" t="str">
        <f>IF($Q96="","",INDEX(TRANSACTIONS_MASTER!$AB$5:$AB$1204,$Q96))</f>
        <v/>
      </c>
      <c r="P96" s="55" t="str">
        <f>IF($Q96="","",INDEX(TRANSACTIONS_MASTER!$Z$5:$Z$1204,$Q96)&amp;"")</f>
        <v/>
      </c>
      <c r="Q96" s="67" t="str">
        <f>IFERROR(MATCH($C$2&amp;"|"&amp;89,TRANSACTIONS_MASTER!$AE$5:$AE$1204,0),"")</f>
        <v/>
      </c>
      <c r="S96" s="21" t="inlineStr">
        <is>
          <t>#</t>
        </is>
      </c>
      <c r="T96" s="21" t="inlineStr"/>
      <c r="U96" s="21" t="inlineStr">
        <is>
          <t>Ngân hàng</t>
        </is>
      </c>
      <c r="V96" s="21" t="inlineStr">
        <is>
          <t>Chi tiêu</t>
        </is>
      </c>
      <c r="W96" s="21" t="inlineStr">
        <is>
          <t>Cashback</t>
        </is>
      </c>
    </row>
    <row r="97">
      <c r="A97" s="81" t="str">
        <f>IF($Q97="","",90)</f>
        <v/>
      </c>
      <c r="B97" s="57" t="str">
        <f>IF($Q97="","",INDEX(TRANSACTIONS_MASTER!$B$5:$B$1204,$Q97))</f>
        <v/>
      </c>
      <c r="C97" s="55" t="str">
        <f>IF($Q97="","",INDEX(TRANSACTIONS_MASTER!$F$5:$F$1204,$Q97))</f>
        <v/>
      </c>
      <c r="D97" s="55" t="str">
        <f>IF($Q97="","",INDEX(TRANSACTIONS_MASTER!$E$5:$E$1204,$Q97))</f>
        <v/>
      </c>
      <c r="E97" s="55" t="str">
        <f>IF($Q97="","",INDEX(TRANSACTIONS_MASTER!$G$5:$G$1204,$Q97)&amp;"")</f>
        <v/>
      </c>
      <c r="F97" s="29" t="str">
        <f>IF($Q97="","",INDEX(TRANSACTIONS_MASTER!$I$5:$I$1204,$Q97))</f>
        <v/>
      </c>
      <c r="G97" s="55" t="str">
        <f>IF($Q97="","",INDEX(TRANSACTIONS_MASTER!$K$5:$K$1204,$Q97))</f>
        <v/>
      </c>
      <c r="H97" s="25" t="str">
        <f>IF($Q97="","",INDEX(TRANSACTIONS_MASTER!$L$5:$L$1204,$Q97))</f>
        <v/>
      </c>
      <c r="I97" s="56" t="str">
        <f>IF($Q97="","",INDEX(TRANSACTIONS_MASTER!$N$5:$N$1204,$Q97))</f>
        <v/>
      </c>
      <c r="J97" s="25" t="str">
        <f>IF($Q97="","",INDEX(TRANSACTIONS_MASTER!$O$5:$O$1204,$Q97))</f>
        <v/>
      </c>
      <c r="K97" s="26" t="str">
        <f>IF($Q97="","",INDEX(TRANSACTIONS_MASTER!$Q$5:$Q$1204,$Q97))</f>
        <v/>
      </c>
      <c r="L97" s="25" t="str">
        <f>IF($Q97="","",INDEX(TRANSACTIONS_MASTER!$P$5:$P$1204,$Q97))</f>
        <v/>
      </c>
      <c r="M97" s="25" t="str">
        <f>IF($Q97="","",INDEX(TRANSACTIONS_MASTER!$AA$5:$AA$1204,$Q97))</f>
        <v/>
      </c>
      <c r="N97" s="25" t="str">
        <f>IF($Q97="","",INDEX(TRANSACTIONS_MASTER!$R$5:$R$1204,$Q97))</f>
        <v/>
      </c>
      <c r="O97" s="28" t="str">
        <f>IF($Q97="","",INDEX(TRANSACTIONS_MASTER!$AB$5:$AB$1204,$Q97))</f>
        <v/>
      </c>
      <c r="P97" s="55" t="str">
        <f>IF($Q97="","",INDEX(TRANSACTIONS_MASTER!$Z$5:$Z$1204,$Q97)&amp;"")</f>
        <v/>
      </c>
      <c r="Q97" s="67" t="str">
        <f>IFERROR(MATCH($C$2&amp;"|"&amp;90,TRANSACTIONS_MASTER!$AE$5:$AE$1204,0),"")</f>
        <v/>
      </c>
      <c r="S97" s="67">
        <f>IFERROR(MATCH(1,CARDS!$O$5:$O$34,0),"")</f>
        <v>1</v>
      </c>
      <c r="T97" s="55" t="n"/>
      <c r="U97" s="55" t="str">
        <f>IF($S97="","",INDEX(CARDS!$B$5:$B$34,$S97))</f>
        <v>VPBank</v>
      </c>
      <c r="V97" s="25">
        <f>IF($S97="","",SUMIFS(TRANSACTIONS_MASTER!$L$5:$L$1204,TRANSACTIONS_MASTER!$E$5:$E$1204,$U97,TRANSACTIONS_MASTER!$C$5:$C$1204,$C$2,TRANSACTIONS_MASTER!$U$5:$U$1204,"&lt;&gt;Cancelled"))</f>
        <v>16800000</v>
      </c>
      <c r="W97" s="26">
        <f>IF($S97="","",SUMIFS(TRANSACTIONS_MASTER!$Q$5:$Q$1204,TRANSACTIONS_MASTER!$E$5:$E$1204,$U97,TRANSACTIONS_MASTER!$C$5:$C$1204,$C$2))</f>
        <v>1000000</v>
      </c>
    </row>
    <row r="98">
      <c r="A98" s="81" t="str">
        <f>IF($Q98="","",91)</f>
        <v/>
      </c>
      <c r="B98" s="57" t="str">
        <f>IF($Q98="","",INDEX(TRANSACTIONS_MASTER!$B$5:$B$1204,$Q98))</f>
        <v/>
      </c>
      <c r="C98" s="55" t="str">
        <f>IF($Q98="","",INDEX(TRANSACTIONS_MASTER!$F$5:$F$1204,$Q98))</f>
        <v/>
      </c>
      <c r="D98" s="55" t="str">
        <f>IF($Q98="","",INDEX(TRANSACTIONS_MASTER!$E$5:$E$1204,$Q98))</f>
        <v/>
      </c>
      <c r="E98" s="55" t="str">
        <f>IF($Q98="","",INDEX(TRANSACTIONS_MASTER!$G$5:$G$1204,$Q98)&amp;"")</f>
        <v/>
      </c>
      <c r="F98" s="29" t="str">
        <f>IF($Q98="","",INDEX(TRANSACTIONS_MASTER!$I$5:$I$1204,$Q98))</f>
        <v/>
      </c>
      <c r="G98" s="55" t="str">
        <f>IF($Q98="","",INDEX(TRANSACTIONS_MASTER!$K$5:$K$1204,$Q98))</f>
        <v/>
      </c>
      <c r="H98" s="25" t="str">
        <f>IF($Q98="","",INDEX(TRANSACTIONS_MASTER!$L$5:$L$1204,$Q98))</f>
        <v/>
      </c>
      <c r="I98" s="56" t="str">
        <f>IF($Q98="","",INDEX(TRANSACTIONS_MASTER!$N$5:$N$1204,$Q98))</f>
        <v/>
      </c>
      <c r="J98" s="25" t="str">
        <f>IF($Q98="","",INDEX(TRANSACTIONS_MASTER!$O$5:$O$1204,$Q98))</f>
        <v/>
      </c>
      <c r="K98" s="26" t="str">
        <f>IF($Q98="","",INDEX(TRANSACTIONS_MASTER!$Q$5:$Q$1204,$Q98))</f>
        <v/>
      </c>
      <c r="L98" s="25" t="str">
        <f>IF($Q98="","",INDEX(TRANSACTIONS_MASTER!$P$5:$P$1204,$Q98))</f>
        <v/>
      </c>
      <c r="M98" s="25" t="str">
        <f>IF($Q98="","",INDEX(TRANSACTIONS_MASTER!$AA$5:$AA$1204,$Q98))</f>
        <v/>
      </c>
      <c r="N98" s="25" t="str">
        <f>IF($Q98="","",INDEX(TRANSACTIONS_MASTER!$R$5:$R$1204,$Q98))</f>
        <v/>
      </c>
      <c r="O98" s="28" t="str">
        <f>IF($Q98="","",INDEX(TRANSACTIONS_MASTER!$AB$5:$AB$1204,$Q98))</f>
        <v/>
      </c>
      <c r="P98" s="55" t="str">
        <f>IF($Q98="","",INDEX(TRANSACTIONS_MASTER!$Z$5:$Z$1204,$Q98)&amp;"")</f>
        <v/>
      </c>
      <c r="Q98" s="67" t="str">
        <f>IFERROR(MATCH($C$2&amp;"|"&amp;91,TRANSACTIONS_MASTER!$AE$5:$AE$1204,0),"")</f>
        <v/>
      </c>
      <c r="S98" s="67">
        <f>IFERROR(MATCH(2,CARDS!$O$5:$O$34,0),"")</f>
        <v>2</v>
      </c>
      <c r="T98" s="55" t="n"/>
      <c r="U98" s="55" t="str">
        <f>IF($S98="","",INDEX(CARDS!$B$5:$B$34,$S98))</f>
        <v>VIB</v>
      </c>
      <c r="V98" s="25">
        <f>IF($S98="","",SUMIFS(TRANSACTIONS_MASTER!$L$5:$L$1204,TRANSACTIONS_MASTER!$E$5:$E$1204,$U98,TRANSACTIONS_MASTER!$C$5:$C$1204,$C$2,TRANSACTIONS_MASTER!$U$5:$U$1204,"&lt;&gt;Cancelled"))</f>
        <v>11500000</v>
      </c>
      <c r="W98" s="26">
        <f>IF($S98="","",SUMIFS(TRANSACTIONS_MASTER!$Q$5:$Q$1204,TRANSACTIONS_MASTER!$E$5:$E$1204,$U98,TRANSACTIONS_MASTER!$C$5:$C$1204,$C$2))</f>
        <v>1000000</v>
      </c>
    </row>
    <row r="99">
      <c r="A99" s="81" t="str">
        <f>IF($Q99="","",92)</f>
        <v/>
      </c>
      <c r="B99" s="57" t="str">
        <f>IF($Q99="","",INDEX(TRANSACTIONS_MASTER!$B$5:$B$1204,$Q99))</f>
        <v/>
      </c>
      <c r="C99" s="55" t="str">
        <f>IF($Q99="","",INDEX(TRANSACTIONS_MASTER!$F$5:$F$1204,$Q99))</f>
        <v/>
      </c>
      <c r="D99" s="55" t="str">
        <f>IF($Q99="","",INDEX(TRANSACTIONS_MASTER!$E$5:$E$1204,$Q99))</f>
        <v/>
      </c>
      <c r="E99" s="55" t="str">
        <f>IF($Q99="","",INDEX(TRANSACTIONS_MASTER!$G$5:$G$1204,$Q99)&amp;"")</f>
        <v/>
      </c>
      <c r="F99" s="29" t="str">
        <f>IF($Q99="","",INDEX(TRANSACTIONS_MASTER!$I$5:$I$1204,$Q99))</f>
        <v/>
      </c>
      <c r="G99" s="55" t="str">
        <f>IF($Q99="","",INDEX(TRANSACTIONS_MASTER!$K$5:$K$1204,$Q99))</f>
        <v/>
      </c>
      <c r="H99" s="25" t="str">
        <f>IF($Q99="","",INDEX(TRANSACTIONS_MASTER!$L$5:$L$1204,$Q99))</f>
        <v/>
      </c>
      <c r="I99" s="56" t="str">
        <f>IF($Q99="","",INDEX(TRANSACTIONS_MASTER!$N$5:$N$1204,$Q99))</f>
        <v/>
      </c>
      <c r="J99" s="25" t="str">
        <f>IF($Q99="","",INDEX(TRANSACTIONS_MASTER!$O$5:$O$1204,$Q99))</f>
        <v/>
      </c>
      <c r="K99" s="26" t="str">
        <f>IF($Q99="","",INDEX(TRANSACTIONS_MASTER!$Q$5:$Q$1204,$Q99))</f>
        <v/>
      </c>
      <c r="L99" s="25" t="str">
        <f>IF($Q99="","",INDEX(TRANSACTIONS_MASTER!$P$5:$P$1204,$Q99))</f>
        <v/>
      </c>
      <c r="M99" s="25" t="str">
        <f>IF($Q99="","",INDEX(TRANSACTIONS_MASTER!$AA$5:$AA$1204,$Q99))</f>
        <v/>
      </c>
      <c r="N99" s="25" t="str">
        <f>IF($Q99="","",INDEX(TRANSACTIONS_MASTER!$R$5:$R$1204,$Q99))</f>
        <v/>
      </c>
      <c r="O99" s="28" t="str">
        <f>IF($Q99="","",INDEX(TRANSACTIONS_MASTER!$AB$5:$AB$1204,$Q99))</f>
        <v/>
      </c>
      <c r="P99" s="55" t="str">
        <f>IF($Q99="","",INDEX(TRANSACTIONS_MASTER!$Z$5:$Z$1204,$Q99)&amp;"")</f>
        <v/>
      </c>
      <c r="Q99" s="67" t="str">
        <f>IFERROR(MATCH($C$2&amp;"|"&amp;92,TRANSACTIONS_MASTER!$AE$5:$AE$1204,0),"")</f>
        <v/>
      </c>
      <c r="S99" s="67">
        <f>IFERROR(MATCH(3,CARDS!$O$5:$O$34,0),"")</f>
        <v>3</v>
      </c>
      <c r="T99" s="55" t="n"/>
      <c r="U99" s="55" t="str">
        <f>IF($S99="","",INDEX(CARDS!$B$5:$B$34,$S99))</f>
        <v>Techcombank</v>
      </c>
      <c r="V99" s="25">
        <f>IF($S99="","",SUMIFS(TRANSACTIONS_MASTER!$L$5:$L$1204,TRANSACTIONS_MASTER!$E$5:$E$1204,$U99,TRANSACTIONS_MASTER!$C$5:$C$1204,$C$2,TRANSACTIONS_MASTER!$U$5:$U$1204,"&lt;&gt;Cancelled"))</f>
        <v>8300000</v>
      </c>
      <c r="W99" s="26">
        <f>IF($S99="","",SUMIFS(TRANSACTIONS_MASTER!$Q$5:$Q$1204,TRANSACTIONS_MASTER!$E$5:$E$1204,$U99,TRANSACTIONS_MASTER!$C$5:$C$1204,$C$2))</f>
        <v>390000</v>
      </c>
    </row>
    <row r="100">
      <c r="A100" s="81" t="str">
        <f>IF($Q100="","",93)</f>
        <v/>
      </c>
      <c r="B100" s="57" t="str">
        <f>IF($Q100="","",INDEX(TRANSACTIONS_MASTER!$B$5:$B$1204,$Q100))</f>
        <v/>
      </c>
      <c r="C100" s="55" t="str">
        <f>IF($Q100="","",INDEX(TRANSACTIONS_MASTER!$F$5:$F$1204,$Q100))</f>
        <v/>
      </c>
      <c r="D100" s="55" t="str">
        <f>IF($Q100="","",INDEX(TRANSACTIONS_MASTER!$E$5:$E$1204,$Q100))</f>
        <v/>
      </c>
      <c r="E100" s="55" t="str">
        <f>IF($Q100="","",INDEX(TRANSACTIONS_MASTER!$G$5:$G$1204,$Q100)&amp;"")</f>
        <v/>
      </c>
      <c r="F100" s="29" t="str">
        <f>IF($Q100="","",INDEX(TRANSACTIONS_MASTER!$I$5:$I$1204,$Q100))</f>
        <v/>
      </c>
      <c r="G100" s="55" t="str">
        <f>IF($Q100="","",INDEX(TRANSACTIONS_MASTER!$K$5:$K$1204,$Q100))</f>
        <v/>
      </c>
      <c r="H100" s="25" t="str">
        <f>IF($Q100="","",INDEX(TRANSACTIONS_MASTER!$L$5:$L$1204,$Q100))</f>
        <v/>
      </c>
      <c r="I100" s="56" t="str">
        <f>IF($Q100="","",INDEX(TRANSACTIONS_MASTER!$N$5:$N$1204,$Q100))</f>
        <v/>
      </c>
      <c r="J100" s="25" t="str">
        <f>IF($Q100="","",INDEX(TRANSACTIONS_MASTER!$O$5:$O$1204,$Q100))</f>
        <v/>
      </c>
      <c r="K100" s="26" t="str">
        <f>IF($Q100="","",INDEX(TRANSACTIONS_MASTER!$Q$5:$Q$1204,$Q100))</f>
        <v/>
      </c>
      <c r="L100" s="25" t="str">
        <f>IF($Q100="","",INDEX(TRANSACTIONS_MASTER!$P$5:$P$1204,$Q100))</f>
        <v/>
      </c>
      <c r="M100" s="25" t="str">
        <f>IF($Q100="","",INDEX(TRANSACTIONS_MASTER!$AA$5:$AA$1204,$Q100))</f>
        <v/>
      </c>
      <c r="N100" s="25" t="str">
        <f>IF($Q100="","",INDEX(TRANSACTIONS_MASTER!$R$5:$R$1204,$Q100))</f>
        <v/>
      </c>
      <c r="O100" s="28" t="str">
        <f>IF($Q100="","",INDEX(TRANSACTIONS_MASTER!$AB$5:$AB$1204,$Q100))</f>
        <v/>
      </c>
      <c r="P100" s="55" t="str">
        <f>IF($Q100="","",INDEX(TRANSACTIONS_MASTER!$Z$5:$Z$1204,$Q100)&amp;"")</f>
        <v/>
      </c>
      <c r="Q100" s="67" t="str">
        <f>IFERROR(MATCH($C$2&amp;"|"&amp;93,TRANSACTIONS_MASTER!$AE$5:$AE$1204,0),"")</f>
        <v/>
      </c>
      <c r="S100" s="67">
        <f>IFERROR(MATCH(4,CARDS!$O$5:$O$34,0),"")</f>
        <v>4</v>
      </c>
      <c r="T100" s="55" t="n"/>
      <c r="U100" s="55" t="str">
        <f>IF($S100="","",INDEX(CARDS!$B$5:$B$34,$S100))</f>
        <v>UOB</v>
      </c>
      <c r="V100" s="25">
        <f>IF($S100="","",SUMIFS(TRANSACTIONS_MASTER!$L$5:$L$1204,TRANSACTIONS_MASTER!$E$5:$E$1204,$U100,TRANSACTIONS_MASTER!$C$5:$C$1204,$C$2,TRANSACTIONS_MASTER!$U$5:$U$1204,"&lt;&gt;Cancelled"))</f>
        <v>7000000</v>
      </c>
      <c r="W100" s="26">
        <f>IF($S100="","",SUMIFS(TRANSACTIONS_MASTER!$Q$5:$Q$1204,TRANSACTIONS_MASTER!$E$5:$E$1204,$U100,TRANSACTIONS_MASTER!$C$5:$C$1204,$C$2))</f>
        <v>1000000</v>
      </c>
    </row>
    <row r="101">
      <c r="A101" s="81" t="str">
        <f>IF($Q101="","",94)</f>
        <v/>
      </c>
      <c r="B101" s="57" t="str">
        <f>IF($Q101="","",INDEX(TRANSACTIONS_MASTER!$B$5:$B$1204,$Q101))</f>
        <v/>
      </c>
      <c r="C101" s="55" t="str">
        <f>IF($Q101="","",INDEX(TRANSACTIONS_MASTER!$F$5:$F$1204,$Q101))</f>
        <v/>
      </c>
      <c r="D101" s="55" t="str">
        <f>IF($Q101="","",INDEX(TRANSACTIONS_MASTER!$E$5:$E$1204,$Q101))</f>
        <v/>
      </c>
      <c r="E101" s="55" t="str">
        <f>IF($Q101="","",INDEX(TRANSACTIONS_MASTER!$G$5:$G$1204,$Q101)&amp;"")</f>
        <v/>
      </c>
      <c r="F101" s="29" t="str">
        <f>IF($Q101="","",INDEX(TRANSACTIONS_MASTER!$I$5:$I$1204,$Q101))</f>
        <v/>
      </c>
      <c r="G101" s="55" t="str">
        <f>IF($Q101="","",INDEX(TRANSACTIONS_MASTER!$K$5:$K$1204,$Q101))</f>
        <v/>
      </c>
      <c r="H101" s="25" t="str">
        <f>IF($Q101="","",INDEX(TRANSACTIONS_MASTER!$L$5:$L$1204,$Q101))</f>
        <v/>
      </c>
      <c r="I101" s="56" t="str">
        <f>IF($Q101="","",INDEX(TRANSACTIONS_MASTER!$N$5:$N$1204,$Q101))</f>
        <v/>
      </c>
      <c r="J101" s="25" t="str">
        <f>IF($Q101="","",INDEX(TRANSACTIONS_MASTER!$O$5:$O$1204,$Q101))</f>
        <v/>
      </c>
      <c r="K101" s="26" t="str">
        <f>IF($Q101="","",INDEX(TRANSACTIONS_MASTER!$Q$5:$Q$1204,$Q101))</f>
        <v/>
      </c>
      <c r="L101" s="25" t="str">
        <f>IF($Q101="","",INDEX(TRANSACTIONS_MASTER!$P$5:$P$1204,$Q101))</f>
        <v/>
      </c>
      <c r="M101" s="25" t="str">
        <f>IF($Q101="","",INDEX(TRANSACTIONS_MASTER!$AA$5:$AA$1204,$Q101))</f>
        <v/>
      </c>
      <c r="N101" s="25" t="str">
        <f>IF($Q101="","",INDEX(TRANSACTIONS_MASTER!$R$5:$R$1204,$Q101))</f>
        <v/>
      </c>
      <c r="O101" s="28" t="str">
        <f>IF($Q101="","",INDEX(TRANSACTIONS_MASTER!$AB$5:$AB$1204,$Q101))</f>
        <v/>
      </c>
      <c r="P101" s="55" t="str">
        <f>IF($Q101="","",INDEX(TRANSACTIONS_MASTER!$Z$5:$Z$1204,$Q101)&amp;"")</f>
        <v/>
      </c>
      <c r="Q101" s="67" t="str">
        <f>IFERROR(MATCH($C$2&amp;"|"&amp;94,TRANSACTIONS_MASTER!$AE$5:$AE$1204,0),"")</f>
        <v/>
      </c>
      <c r="S101" s="67">
        <f>IFERROR(MATCH(5,CARDS!$O$5:$O$34,0),"")</f>
        <v>5</v>
      </c>
      <c r="T101" s="55" t="n"/>
      <c r="U101" s="55" t="str">
        <f>IF($S101="","",INDEX(CARDS!$B$5:$B$34,$S101))</f>
        <v>MB</v>
      </c>
      <c r="V101" s="25">
        <f>IF($S101="","",SUMIFS(TRANSACTIONS_MASTER!$L$5:$L$1204,TRANSACTIONS_MASTER!$E$5:$E$1204,$U101,TRANSACTIONS_MASTER!$C$5:$C$1204,$C$2,TRANSACTIONS_MASTER!$U$5:$U$1204,"&lt;&gt;Cancelled"))</f>
        <v>9550000</v>
      </c>
      <c r="W101" s="26">
        <f>IF($S101="","",SUMIFS(TRANSACTIONS_MASTER!$Q$5:$Q$1204,TRANSACTIONS_MASTER!$E$5:$E$1204,$U101,TRANSACTIONS_MASTER!$C$5:$C$1204,$C$2))</f>
        <v>490000</v>
      </c>
    </row>
    <row r="102">
      <c r="A102" s="81" t="str">
        <f>IF($Q102="","",95)</f>
        <v/>
      </c>
      <c r="B102" s="57" t="str">
        <f>IF($Q102="","",INDEX(TRANSACTIONS_MASTER!$B$5:$B$1204,$Q102))</f>
        <v/>
      </c>
      <c r="C102" s="55" t="str">
        <f>IF($Q102="","",INDEX(TRANSACTIONS_MASTER!$F$5:$F$1204,$Q102))</f>
        <v/>
      </c>
      <c r="D102" s="55" t="str">
        <f>IF($Q102="","",INDEX(TRANSACTIONS_MASTER!$E$5:$E$1204,$Q102))</f>
        <v/>
      </c>
      <c r="E102" s="55" t="str">
        <f>IF($Q102="","",INDEX(TRANSACTIONS_MASTER!$G$5:$G$1204,$Q102)&amp;"")</f>
        <v/>
      </c>
      <c r="F102" s="29" t="str">
        <f>IF($Q102="","",INDEX(TRANSACTIONS_MASTER!$I$5:$I$1204,$Q102))</f>
        <v/>
      </c>
      <c r="G102" s="55" t="str">
        <f>IF($Q102="","",INDEX(TRANSACTIONS_MASTER!$K$5:$K$1204,$Q102))</f>
        <v/>
      </c>
      <c r="H102" s="25" t="str">
        <f>IF($Q102="","",INDEX(TRANSACTIONS_MASTER!$L$5:$L$1204,$Q102))</f>
        <v/>
      </c>
      <c r="I102" s="56" t="str">
        <f>IF($Q102="","",INDEX(TRANSACTIONS_MASTER!$N$5:$N$1204,$Q102))</f>
        <v/>
      </c>
      <c r="J102" s="25" t="str">
        <f>IF($Q102="","",INDEX(TRANSACTIONS_MASTER!$O$5:$O$1204,$Q102))</f>
        <v/>
      </c>
      <c r="K102" s="26" t="str">
        <f>IF($Q102="","",INDEX(TRANSACTIONS_MASTER!$Q$5:$Q$1204,$Q102))</f>
        <v/>
      </c>
      <c r="L102" s="25" t="str">
        <f>IF($Q102="","",INDEX(TRANSACTIONS_MASTER!$P$5:$P$1204,$Q102))</f>
        <v/>
      </c>
      <c r="M102" s="25" t="str">
        <f>IF($Q102="","",INDEX(TRANSACTIONS_MASTER!$AA$5:$AA$1204,$Q102))</f>
        <v/>
      </c>
      <c r="N102" s="25" t="str">
        <f>IF($Q102="","",INDEX(TRANSACTIONS_MASTER!$R$5:$R$1204,$Q102))</f>
        <v/>
      </c>
      <c r="O102" s="28" t="str">
        <f>IF($Q102="","",INDEX(TRANSACTIONS_MASTER!$AB$5:$AB$1204,$Q102))</f>
        <v/>
      </c>
      <c r="P102" s="55" t="str">
        <f>IF($Q102="","",INDEX(TRANSACTIONS_MASTER!$Z$5:$Z$1204,$Q102)&amp;"")</f>
        <v/>
      </c>
      <c r="Q102" s="67" t="str">
        <f>IFERROR(MATCH($C$2&amp;"|"&amp;95,TRANSACTIONS_MASTER!$AE$5:$AE$1204,0),"")</f>
        <v/>
      </c>
      <c r="S102" s="67">
        <f>IFERROR(MATCH(6,CARDS!$O$5:$O$34,0),"")</f>
        <v>6</v>
      </c>
      <c r="T102" s="55" t="n"/>
      <c r="U102" s="55" t="str">
        <f>IF($S102="","",INDEX(CARDS!$B$5:$B$34,$S102))</f>
        <v>ACB</v>
      </c>
      <c r="V102" s="25">
        <f>IF($S102="","",SUMIFS(TRANSACTIONS_MASTER!$L$5:$L$1204,TRANSACTIONS_MASTER!$E$5:$E$1204,$U102,TRANSACTIONS_MASTER!$C$5:$C$1204,$C$2,TRANSACTIONS_MASTER!$U$5:$U$1204,"&lt;&gt;Cancelled"))</f>
        <v>1000000</v>
      </c>
      <c r="W102" s="26">
        <f>IF($S102="","",SUMIFS(TRANSACTIONS_MASTER!$Q$5:$Q$1204,TRANSACTIONS_MASTER!$E$5:$E$1204,$U102,TRANSACTIONS_MASTER!$C$5:$C$1204,$C$2))</f>
        <v>0</v>
      </c>
    </row>
    <row r="103">
      <c r="A103" s="81" t="str">
        <f>IF($Q103="","",96)</f>
        <v/>
      </c>
      <c r="B103" s="57" t="str">
        <f>IF($Q103="","",INDEX(TRANSACTIONS_MASTER!$B$5:$B$1204,$Q103))</f>
        <v/>
      </c>
      <c r="C103" s="55" t="str">
        <f>IF($Q103="","",INDEX(TRANSACTIONS_MASTER!$F$5:$F$1204,$Q103))</f>
        <v/>
      </c>
      <c r="D103" s="55" t="str">
        <f>IF($Q103="","",INDEX(TRANSACTIONS_MASTER!$E$5:$E$1204,$Q103))</f>
        <v/>
      </c>
      <c r="E103" s="55" t="str">
        <f>IF($Q103="","",INDEX(TRANSACTIONS_MASTER!$G$5:$G$1204,$Q103)&amp;"")</f>
        <v/>
      </c>
      <c r="F103" s="29" t="str">
        <f>IF($Q103="","",INDEX(TRANSACTIONS_MASTER!$I$5:$I$1204,$Q103))</f>
        <v/>
      </c>
      <c r="G103" s="55" t="str">
        <f>IF($Q103="","",INDEX(TRANSACTIONS_MASTER!$K$5:$K$1204,$Q103))</f>
        <v/>
      </c>
      <c r="H103" s="25" t="str">
        <f>IF($Q103="","",INDEX(TRANSACTIONS_MASTER!$L$5:$L$1204,$Q103))</f>
        <v/>
      </c>
      <c r="I103" s="56" t="str">
        <f>IF($Q103="","",INDEX(TRANSACTIONS_MASTER!$N$5:$N$1204,$Q103))</f>
        <v/>
      </c>
      <c r="J103" s="25" t="str">
        <f>IF($Q103="","",INDEX(TRANSACTIONS_MASTER!$O$5:$O$1204,$Q103))</f>
        <v/>
      </c>
      <c r="K103" s="26" t="str">
        <f>IF($Q103="","",INDEX(TRANSACTIONS_MASTER!$Q$5:$Q$1204,$Q103))</f>
        <v/>
      </c>
      <c r="L103" s="25" t="str">
        <f>IF($Q103="","",INDEX(TRANSACTIONS_MASTER!$P$5:$P$1204,$Q103))</f>
        <v/>
      </c>
      <c r="M103" s="25" t="str">
        <f>IF($Q103="","",INDEX(TRANSACTIONS_MASTER!$AA$5:$AA$1204,$Q103))</f>
        <v/>
      </c>
      <c r="N103" s="25" t="str">
        <f>IF($Q103="","",INDEX(TRANSACTIONS_MASTER!$R$5:$R$1204,$Q103))</f>
        <v/>
      </c>
      <c r="O103" s="28" t="str">
        <f>IF($Q103="","",INDEX(TRANSACTIONS_MASTER!$AB$5:$AB$1204,$Q103))</f>
        <v/>
      </c>
      <c r="P103" s="55" t="str">
        <f>IF($Q103="","",INDEX(TRANSACTIONS_MASTER!$Z$5:$Z$1204,$Q103)&amp;"")</f>
        <v/>
      </c>
      <c r="Q103" s="67" t="str">
        <f>IFERROR(MATCH($C$2&amp;"|"&amp;96,TRANSACTIONS_MASTER!$AE$5:$AE$1204,0),"")</f>
        <v/>
      </c>
      <c r="S103" s="67" t="str">
        <f>IFERROR(MATCH(7,CARDS!$O$5:$O$34,0),"")</f>
        <v/>
      </c>
      <c r="T103" s="55" t="n"/>
      <c r="U103" s="55" t="str">
        <f>IF($S103="","",INDEX(CARDS!$B$5:$B$34,$S103))</f>
        <v/>
      </c>
      <c r="V103" s="25" t="str">
        <f>IF($S103="","",SUMIFS(TRANSACTIONS_MASTER!$L$5:$L$1204,TRANSACTIONS_MASTER!$E$5:$E$1204,$U103,TRANSACTIONS_MASTER!$C$5:$C$1204,$C$2,TRANSACTIONS_MASTER!$U$5:$U$1204,"&lt;&gt;Cancelled"))</f>
        <v/>
      </c>
      <c r="W103" s="26" t="str">
        <f>IF($S103="","",SUMIFS(TRANSACTIONS_MASTER!$Q$5:$Q$1204,TRANSACTIONS_MASTER!$E$5:$E$1204,$U103,TRANSACTIONS_MASTER!$C$5:$C$1204,$C$2))</f>
        <v/>
      </c>
    </row>
    <row r="104">
      <c r="A104" s="81" t="str">
        <f>IF($Q104="","",97)</f>
        <v/>
      </c>
      <c r="B104" s="57" t="str">
        <f>IF($Q104="","",INDEX(TRANSACTIONS_MASTER!$B$5:$B$1204,$Q104))</f>
        <v/>
      </c>
      <c r="C104" s="55" t="str">
        <f>IF($Q104="","",INDEX(TRANSACTIONS_MASTER!$F$5:$F$1204,$Q104))</f>
        <v/>
      </c>
      <c r="D104" s="55" t="str">
        <f>IF($Q104="","",INDEX(TRANSACTIONS_MASTER!$E$5:$E$1204,$Q104))</f>
        <v/>
      </c>
      <c r="E104" s="55" t="str">
        <f>IF($Q104="","",INDEX(TRANSACTIONS_MASTER!$G$5:$G$1204,$Q104)&amp;"")</f>
        <v/>
      </c>
      <c r="F104" s="29" t="str">
        <f>IF($Q104="","",INDEX(TRANSACTIONS_MASTER!$I$5:$I$1204,$Q104))</f>
        <v/>
      </c>
      <c r="G104" s="55" t="str">
        <f>IF($Q104="","",INDEX(TRANSACTIONS_MASTER!$K$5:$K$1204,$Q104))</f>
        <v/>
      </c>
      <c r="H104" s="25" t="str">
        <f>IF($Q104="","",INDEX(TRANSACTIONS_MASTER!$L$5:$L$1204,$Q104))</f>
        <v/>
      </c>
      <c r="I104" s="56" t="str">
        <f>IF($Q104="","",INDEX(TRANSACTIONS_MASTER!$N$5:$N$1204,$Q104))</f>
        <v/>
      </c>
      <c r="J104" s="25" t="str">
        <f>IF($Q104="","",INDEX(TRANSACTIONS_MASTER!$O$5:$O$1204,$Q104))</f>
        <v/>
      </c>
      <c r="K104" s="26" t="str">
        <f>IF($Q104="","",INDEX(TRANSACTIONS_MASTER!$Q$5:$Q$1204,$Q104))</f>
        <v/>
      </c>
      <c r="L104" s="25" t="str">
        <f>IF($Q104="","",INDEX(TRANSACTIONS_MASTER!$P$5:$P$1204,$Q104))</f>
        <v/>
      </c>
      <c r="M104" s="25" t="str">
        <f>IF($Q104="","",INDEX(TRANSACTIONS_MASTER!$AA$5:$AA$1204,$Q104))</f>
        <v/>
      </c>
      <c r="N104" s="25" t="str">
        <f>IF($Q104="","",INDEX(TRANSACTIONS_MASTER!$R$5:$R$1204,$Q104))</f>
        <v/>
      </c>
      <c r="O104" s="28" t="str">
        <f>IF($Q104="","",INDEX(TRANSACTIONS_MASTER!$AB$5:$AB$1204,$Q104))</f>
        <v/>
      </c>
      <c r="P104" s="55" t="str">
        <f>IF($Q104="","",INDEX(TRANSACTIONS_MASTER!$Z$5:$Z$1204,$Q104)&amp;"")</f>
        <v/>
      </c>
      <c r="Q104" s="67" t="str">
        <f>IFERROR(MATCH($C$2&amp;"|"&amp;97,TRANSACTIONS_MASTER!$AE$5:$AE$1204,0),"")</f>
        <v/>
      </c>
      <c r="S104" s="67" t="str">
        <f>IFERROR(MATCH(8,CARDS!$O$5:$O$34,0),"")</f>
        <v/>
      </c>
      <c r="T104" s="55" t="n"/>
      <c r="U104" s="55" t="str">
        <f>IF($S104="","",INDEX(CARDS!$B$5:$B$34,$S104))</f>
        <v/>
      </c>
      <c r="V104" s="25" t="str">
        <f>IF($S104="","",SUMIFS(TRANSACTIONS_MASTER!$L$5:$L$1204,TRANSACTIONS_MASTER!$E$5:$E$1204,$U104,TRANSACTIONS_MASTER!$C$5:$C$1204,$C$2,TRANSACTIONS_MASTER!$U$5:$U$1204,"&lt;&gt;Cancelled"))</f>
        <v/>
      </c>
      <c r="W104" s="26" t="str">
        <f>IF($S104="","",SUMIFS(TRANSACTIONS_MASTER!$Q$5:$Q$1204,TRANSACTIONS_MASTER!$E$5:$E$1204,$U104,TRANSACTIONS_MASTER!$C$5:$C$1204,$C$2))</f>
        <v/>
      </c>
    </row>
    <row r="105">
      <c r="A105" s="81" t="str">
        <f>IF($Q105="","",98)</f>
        <v/>
      </c>
      <c r="B105" s="57" t="str">
        <f>IF($Q105="","",INDEX(TRANSACTIONS_MASTER!$B$5:$B$1204,$Q105))</f>
        <v/>
      </c>
      <c r="C105" s="55" t="str">
        <f>IF($Q105="","",INDEX(TRANSACTIONS_MASTER!$F$5:$F$1204,$Q105))</f>
        <v/>
      </c>
      <c r="D105" s="55" t="str">
        <f>IF($Q105="","",INDEX(TRANSACTIONS_MASTER!$E$5:$E$1204,$Q105))</f>
        <v/>
      </c>
      <c r="E105" s="55" t="str">
        <f>IF($Q105="","",INDEX(TRANSACTIONS_MASTER!$G$5:$G$1204,$Q105)&amp;"")</f>
        <v/>
      </c>
      <c r="F105" s="29" t="str">
        <f>IF($Q105="","",INDEX(TRANSACTIONS_MASTER!$I$5:$I$1204,$Q105))</f>
        <v/>
      </c>
      <c r="G105" s="55" t="str">
        <f>IF($Q105="","",INDEX(TRANSACTIONS_MASTER!$K$5:$K$1204,$Q105))</f>
        <v/>
      </c>
      <c r="H105" s="25" t="str">
        <f>IF($Q105="","",INDEX(TRANSACTIONS_MASTER!$L$5:$L$1204,$Q105))</f>
        <v/>
      </c>
      <c r="I105" s="56" t="str">
        <f>IF($Q105="","",INDEX(TRANSACTIONS_MASTER!$N$5:$N$1204,$Q105))</f>
        <v/>
      </c>
      <c r="J105" s="25" t="str">
        <f>IF($Q105="","",INDEX(TRANSACTIONS_MASTER!$O$5:$O$1204,$Q105))</f>
        <v/>
      </c>
      <c r="K105" s="26" t="str">
        <f>IF($Q105="","",INDEX(TRANSACTIONS_MASTER!$Q$5:$Q$1204,$Q105))</f>
        <v/>
      </c>
      <c r="L105" s="25" t="str">
        <f>IF($Q105="","",INDEX(TRANSACTIONS_MASTER!$P$5:$P$1204,$Q105))</f>
        <v/>
      </c>
      <c r="M105" s="25" t="str">
        <f>IF($Q105="","",INDEX(TRANSACTIONS_MASTER!$AA$5:$AA$1204,$Q105))</f>
        <v/>
      </c>
      <c r="N105" s="25" t="str">
        <f>IF($Q105="","",INDEX(TRANSACTIONS_MASTER!$R$5:$R$1204,$Q105))</f>
        <v/>
      </c>
      <c r="O105" s="28" t="str">
        <f>IF($Q105="","",INDEX(TRANSACTIONS_MASTER!$AB$5:$AB$1204,$Q105))</f>
        <v/>
      </c>
      <c r="P105" s="55" t="str">
        <f>IF($Q105="","",INDEX(TRANSACTIONS_MASTER!$Z$5:$Z$1204,$Q105)&amp;"")</f>
        <v/>
      </c>
      <c r="Q105" s="67" t="str">
        <f>IFERROR(MATCH($C$2&amp;"|"&amp;98,TRANSACTIONS_MASTER!$AE$5:$AE$1204,0),"")</f>
        <v/>
      </c>
      <c r="S105" s="67" t="str">
        <f>IFERROR(MATCH(9,CARDS!$O$5:$O$34,0),"")</f>
        <v/>
      </c>
      <c r="T105" s="55" t="n"/>
      <c r="U105" s="55" t="str">
        <f>IF($S105="","",INDEX(CARDS!$B$5:$B$34,$S105))</f>
        <v/>
      </c>
      <c r="V105" s="25" t="str">
        <f>IF($S105="","",SUMIFS(TRANSACTIONS_MASTER!$L$5:$L$1204,TRANSACTIONS_MASTER!$E$5:$E$1204,$U105,TRANSACTIONS_MASTER!$C$5:$C$1204,$C$2,TRANSACTIONS_MASTER!$U$5:$U$1204,"&lt;&gt;Cancelled"))</f>
        <v/>
      </c>
      <c r="W105" s="26" t="str">
        <f>IF($S105="","",SUMIFS(TRANSACTIONS_MASTER!$Q$5:$Q$1204,TRANSACTIONS_MASTER!$E$5:$E$1204,$U105,TRANSACTIONS_MASTER!$C$5:$C$1204,$C$2))</f>
        <v/>
      </c>
    </row>
    <row r="106">
      <c r="A106" s="81" t="str">
        <f>IF($Q106="","",99)</f>
        <v/>
      </c>
      <c r="B106" s="57" t="str">
        <f>IF($Q106="","",INDEX(TRANSACTIONS_MASTER!$B$5:$B$1204,$Q106))</f>
        <v/>
      </c>
      <c r="C106" s="55" t="str">
        <f>IF($Q106="","",INDEX(TRANSACTIONS_MASTER!$F$5:$F$1204,$Q106))</f>
        <v/>
      </c>
      <c r="D106" s="55" t="str">
        <f>IF($Q106="","",INDEX(TRANSACTIONS_MASTER!$E$5:$E$1204,$Q106))</f>
        <v/>
      </c>
      <c r="E106" s="55" t="str">
        <f>IF($Q106="","",INDEX(TRANSACTIONS_MASTER!$G$5:$G$1204,$Q106)&amp;"")</f>
        <v/>
      </c>
      <c r="F106" s="29" t="str">
        <f>IF($Q106="","",INDEX(TRANSACTIONS_MASTER!$I$5:$I$1204,$Q106))</f>
        <v/>
      </c>
      <c r="G106" s="55" t="str">
        <f>IF($Q106="","",INDEX(TRANSACTIONS_MASTER!$K$5:$K$1204,$Q106))</f>
        <v/>
      </c>
      <c r="H106" s="25" t="str">
        <f>IF($Q106="","",INDEX(TRANSACTIONS_MASTER!$L$5:$L$1204,$Q106))</f>
        <v/>
      </c>
      <c r="I106" s="56" t="str">
        <f>IF($Q106="","",INDEX(TRANSACTIONS_MASTER!$N$5:$N$1204,$Q106))</f>
        <v/>
      </c>
      <c r="J106" s="25" t="str">
        <f>IF($Q106="","",INDEX(TRANSACTIONS_MASTER!$O$5:$O$1204,$Q106))</f>
        <v/>
      </c>
      <c r="K106" s="26" t="str">
        <f>IF($Q106="","",INDEX(TRANSACTIONS_MASTER!$Q$5:$Q$1204,$Q106))</f>
        <v/>
      </c>
      <c r="L106" s="25" t="str">
        <f>IF($Q106="","",INDEX(TRANSACTIONS_MASTER!$P$5:$P$1204,$Q106))</f>
        <v/>
      </c>
      <c r="M106" s="25" t="str">
        <f>IF($Q106="","",INDEX(TRANSACTIONS_MASTER!$AA$5:$AA$1204,$Q106))</f>
        <v/>
      </c>
      <c r="N106" s="25" t="str">
        <f>IF($Q106="","",INDEX(TRANSACTIONS_MASTER!$R$5:$R$1204,$Q106))</f>
        <v/>
      </c>
      <c r="O106" s="28" t="str">
        <f>IF($Q106="","",INDEX(TRANSACTIONS_MASTER!$AB$5:$AB$1204,$Q106))</f>
        <v/>
      </c>
      <c r="P106" s="55" t="str">
        <f>IF($Q106="","",INDEX(TRANSACTIONS_MASTER!$Z$5:$Z$1204,$Q106)&amp;"")</f>
        <v/>
      </c>
      <c r="Q106" s="67" t="str">
        <f>IFERROR(MATCH($C$2&amp;"|"&amp;99,TRANSACTIONS_MASTER!$AE$5:$AE$1204,0),"")</f>
        <v/>
      </c>
      <c r="S106" s="67" t="str">
        <f>IFERROR(MATCH(10,CARDS!$O$5:$O$34,0),"")</f>
        <v/>
      </c>
      <c r="T106" s="55" t="n"/>
      <c r="U106" s="55" t="str">
        <f>IF($S106="","",INDEX(CARDS!$B$5:$B$34,$S106))</f>
        <v/>
      </c>
      <c r="V106" s="25" t="str">
        <f>IF($S106="","",SUMIFS(TRANSACTIONS_MASTER!$L$5:$L$1204,TRANSACTIONS_MASTER!$E$5:$E$1204,$U106,TRANSACTIONS_MASTER!$C$5:$C$1204,$C$2,TRANSACTIONS_MASTER!$U$5:$U$1204,"&lt;&gt;Cancelled"))</f>
        <v/>
      </c>
      <c r="W106" s="26" t="str">
        <f>IF($S106="","",SUMIFS(TRANSACTIONS_MASTER!$Q$5:$Q$1204,TRANSACTIONS_MASTER!$E$5:$E$1204,$U106,TRANSACTIONS_MASTER!$C$5:$C$1204,$C$2))</f>
        <v/>
      </c>
    </row>
    <row r="107">
      <c r="A107" s="81" t="str">
        <f>IF($Q107="","",100)</f>
        <v/>
      </c>
      <c r="B107" s="57" t="str">
        <f>IF($Q107="","",INDEX(TRANSACTIONS_MASTER!$B$5:$B$1204,$Q107))</f>
        <v/>
      </c>
      <c r="C107" s="55" t="str">
        <f>IF($Q107="","",INDEX(TRANSACTIONS_MASTER!$F$5:$F$1204,$Q107))</f>
        <v/>
      </c>
      <c r="D107" s="55" t="str">
        <f>IF($Q107="","",INDEX(TRANSACTIONS_MASTER!$E$5:$E$1204,$Q107))</f>
        <v/>
      </c>
      <c r="E107" s="55" t="str">
        <f>IF($Q107="","",INDEX(TRANSACTIONS_MASTER!$G$5:$G$1204,$Q107)&amp;"")</f>
        <v/>
      </c>
      <c r="F107" s="29" t="str">
        <f>IF($Q107="","",INDEX(TRANSACTIONS_MASTER!$I$5:$I$1204,$Q107))</f>
        <v/>
      </c>
      <c r="G107" s="55" t="str">
        <f>IF($Q107="","",INDEX(TRANSACTIONS_MASTER!$K$5:$K$1204,$Q107))</f>
        <v/>
      </c>
      <c r="H107" s="25" t="str">
        <f>IF($Q107="","",INDEX(TRANSACTIONS_MASTER!$L$5:$L$1204,$Q107))</f>
        <v/>
      </c>
      <c r="I107" s="56" t="str">
        <f>IF($Q107="","",INDEX(TRANSACTIONS_MASTER!$N$5:$N$1204,$Q107))</f>
        <v/>
      </c>
      <c r="J107" s="25" t="str">
        <f>IF($Q107="","",INDEX(TRANSACTIONS_MASTER!$O$5:$O$1204,$Q107))</f>
        <v/>
      </c>
      <c r="K107" s="26" t="str">
        <f>IF($Q107="","",INDEX(TRANSACTIONS_MASTER!$Q$5:$Q$1204,$Q107))</f>
        <v/>
      </c>
      <c r="L107" s="25" t="str">
        <f>IF($Q107="","",INDEX(TRANSACTIONS_MASTER!$P$5:$P$1204,$Q107))</f>
        <v/>
      </c>
      <c r="M107" s="25" t="str">
        <f>IF($Q107="","",INDEX(TRANSACTIONS_MASTER!$AA$5:$AA$1204,$Q107))</f>
        <v/>
      </c>
      <c r="N107" s="25" t="str">
        <f>IF($Q107="","",INDEX(TRANSACTIONS_MASTER!$R$5:$R$1204,$Q107))</f>
        <v/>
      </c>
      <c r="O107" s="28" t="str">
        <f>IF($Q107="","",INDEX(TRANSACTIONS_MASTER!$AB$5:$AB$1204,$Q107))</f>
        <v/>
      </c>
      <c r="P107" s="55" t="str">
        <f>IF($Q107="","",INDEX(TRANSACTIONS_MASTER!$Z$5:$Z$1204,$Q107)&amp;"")</f>
        <v/>
      </c>
      <c r="Q107" s="67" t="str">
        <f>IFERROR(MATCH($C$2&amp;"|"&amp;100,TRANSACTIONS_MASTER!$AE$5:$AE$1204,0),"")</f>
        <v/>
      </c>
      <c r="S107" s="67" t="str">
        <f>IFERROR(MATCH(11,CARDS!$O$5:$O$34,0),"")</f>
        <v/>
      </c>
      <c r="T107" s="55" t="n"/>
      <c r="U107" s="55" t="str">
        <f>IF($S107="","",INDEX(CARDS!$B$5:$B$34,$S107))</f>
        <v/>
      </c>
      <c r="V107" s="25" t="str">
        <f>IF($S107="","",SUMIFS(TRANSACTIONS_MASTER!$L$5:$L$1204,TRANSACTIONS_MASTER!$E$5:$E$1204,$U107,TRANSACTIONS_MASTER!$C$5:$C$1204,$C$2,TRANSACTIONS_MASTER!$U$5:$U$1204,"&lt;&gt;Cancelled"))</f>
        <v/>
      </c>
      <c r="W107" s="26" t="str">
        <f>IF($S107="","",SUMIFS(TRANSACTIONS_MASTER!$Q$5:$Q$1204,TRANSACTIONS_MASTER!$E$5:$E$1204,$U107,TRANSACTIONS_MASTER!$C$5:$C$1204,$C$2))</f>
        <v/>
      </c>
    </row>
    <row r="108">
      <c r="A108" s="81" t="str">
        <f>IF($Q108="","",101)</f>
        <v/>
      </c>
      <c r="B108" s="57" t="str">
        <f>IF($Q108="","",INDEX(TRANSACTIONS_MASTER!$B$5:$B$1204,$Q108))</f>
        <v/>
      </c>
      <c r="C108" s="55" t="str">
        <f>IF($Q108="","",INDEX(TRANSACTIONS_MASTER!$F$5:$F$1204,$Q108))</f>
        <v/>
      </c>
      <c r="D108" s="55" t="str">
        <f>IF($Q108="","",INDEX(TRANSACTIONS_MASTER!$E$5:$E$1204,$Q108))</f>
        <v/>
      </c>
      <c r="E108" s="55" t="str">
        <f>IF($Q108="","",INDEX(TRANSACTIONS_MASTER!$G$5:$G$1204,$Q108)&amp;"")</f>
        <v/>
      </c>
      <c r="F108" s="29" t="str">
        <f>IF($Q108="","",INDEX(TRANSACTIONS_MASTER!$I$5:$I$1204,$Q108))</f>
        <v/>
      </c>
      <c r="G108" s="55" t="str">
        <f>IF($Q108="","",INDEX(TRANSACTIONS_MASTER!$K$5:$K$1204,$Q108))</f>
        <v/>
      </c>
      <c r="H108" s="25" t="str">
        <f>IF($Q108="","",INDEX(TRANSACTIONS_MASTER!$L$5:$L$1204,$Q108))</f>
        <v/>
      </c>
      <c r="I108" s="56" t="str">
        <f>IF($Q108="","",INDEX(TRANSACTIONS_MASTER!$N$5:$N$1204,$Q108))</f>
        <v/>
      </c>
      <c r="J108" s="25" t="str">
        <f>IF($Q108="","",INDEX(TRANSACTIONS_MASTER!$O$5:$O$1204,$Q108))</f>
        <v/>
      </c>
      <c r="K108" s="26" t="str">
        <f>IF($Q108="","",INDEX(TRANSACTIONS_MASTER!$Q$5:$Q$1204,$Q108))</f>
        <v/>
      </c>
      <c r="L108" s="25" t="str">
        <f>IF($Q108="","",INDEX(TRANSACTIONS_MASTER!$P$5:$P$1204,$Q108))</f>
        <v/>
      </c>
      <c r="M108" s="25" t="str">
        <f>IF($Q108="","",INDEX(TRANSACTIONS_MASTER!$AA$5:$AA$1204,$Q108))</f>
        <v/>
      </c>
      <c r="N108" s="25" t="str">
        <f>IF($Q108="","",INDEX(TRANSACTIONS_MASTER!$R$5:$R$1204,$Q108))</f>
        <v/>
      </c>
      <c r="O108" s="28" t="str">
        <f>IF($Q108="","",INDEX(TRANSACTIONS_MASTER!$AB$5:$AB$1204,$Q108))</f>
        <v/>
      </c>
      <c r="P108" s="55" t="str">
        <f>IF($Q108="","",INDEX(TRANSACTIONS_MASTER!$Z$5:$Z$1204,$Q108)&amp;"")</f>
        <v/>
      </c>
      <c r="Q108" s="67" t="str">
        <f>IFERROR(MATCH($C$2&amp;"|"&amp;101,TRANSACTIONS_MASTER!$AE$5:$AE$1204,0),"")</f>
        <v/>
      </c>
      <c r="S108" s="67" t="str">
        <f>IFERROR(MATCH(12,CARDS!$O$5:$O$34,0),"")</f>
        <v/>
      </c>
      <c r="T108" s="55" t="n"/>
      <c r="U108" s="55" t="str">
        <f>IF($S108="","",INDEX(CARDS!$B$5:$B$34,$S108))</f>
        <v/>
      </c>
      <c r="V108" s="25" t="str">
        <f>IF($S108="","",SUMIFS(TRANSACTIONS_MASTER!$L$5:$L$1204,TRANSACTIONS_MASTER!$E$5:$E$1204,$U108,TRANSACTIONS_MASTER!$C$5:$C$1204,$C$2,TRANSACTIONS_MASTER!$U$5:$U$1204,"&lt;&gt;Cancelled"))</f>
        <v/>
      </c>
      <c r="W108" s="26" t="str">
        <f>IF($S108="","",SUMIFS(TRANSACTIONS_MASTER!$Q$5:$Q$1204,TRANSACTIONS_MASTER!$E$5:$E$1204,$U108,TRANSACTIONS_MASTER!$C$5:$C$1204,$C$2))</f>
        <v/>
      </c>
    </row>
    <row r="109">
      <c r="A109" s="81" t="str">
        <f>IF($Q109="","",102)</f>
        <v/>
      </c>
      <c r="B109" s="57" t="str">
        <f>IF($Q109="","",INDEX(TRANSACTIONS_MASTER!$B$5:$B$1204,$Q109))</f>
        <v/>
      </c>
      <c r="C109" s="55" t="str">
        <f>IF($Q109="","",INDEX(TRANSACTIONS_MASTER!$F$5:$F$1204,$Q109))</f>
        <v/>
      </c>
      <c r="D109" s="55" t="str">
        <f>IF($Q109="","",INDEX(TRANSACTIONS_MASTER!$E$5:$E$1204,$Q109))</f>
        <v/>
      </c>
      <c r="E109" s="55" t="str">
        <f>IF($Q109="","",INDEX(TRANSACTIONS_MASTER!$G$5:$G$1204,$Q109)&amp;"")</f>
        <v/>
      </c>
      <c r="F109" s="29" t="str">
        <f>IF($Q109="","",INDEX(TRANSACTIONS_MASTER!$I$5:$I$1204,$Q109))</f>
        <v/>
      </c>
      <c r="G109" s="55" t="str">
        <f>IF($Q109="","",INDEX(TRANSACTIONS_MASTER!$K$5:$K$1204,$Q109))</f>
        <v/>
      </c>
      <c r="H109" s="25" t="str">
        <f>IF($Q109="","",INDEX(TRANSACTIONS_MASTER!$L$5:$L$1204,$Q109))</f>
        <v/>
      </c>
      <c r="I109" s="56" t="str">
        <f>IF($Q109="","",INDEX(TRANSACTIONS_MASTER!$N$5:$N$1204,$Q109))</f>
        <v/>
      </c>
      <c r="J109" s="25" t="str">
        <f>IF($Q109="","",INDEX(TRANSACTIONS_MASTER!$O$5:$O$1204,$Q109))</f>
        <v/>
      </c>
      <c r="K109" s="26" t="str">
        <f>IF($Q109="","",INDEX(TRANSACTIONS_MASTER!$Q$5:$Q$1204,$Q109))</f>
        <v/>
      </c>
      <c r="L109" s="25" t="str">
        <f>IF($Q109="","",INDEX(TRANSACTIONS_MASTER!$P$5:$P$1204,$Q109))</f>
        <v/>
      </c>
      <c r="M109" s="25" t="str">
        <f>IF($Q109="","",INDEX(TRANSACTIONS_MASTER!$AA$5:$AA$1204,$Q109))</f>
        <v/>
      </c>
      <c r="N109" s="25" t="str">
        <f>IF($Q109="","",INDEX(TRANSACTIONS_MASTER!$R$5:$R$1204,$Q109))</f>
        <v/>
      </c>
      <c r="O109" s="28" t="str">
        <f>IF($Q109="","",INDEX(TRANSACTIONS_MASTER!$AB$5:$AB$1204,$Q109))</f>
        <v/>
      </c>
      <c r="P109" s="55" t="str">
        <f>IF($Q109="","",INDEX(TRANSACTIONS_MASTER!$Z$5:$Z$1204,$Q109)&amp;"")</f>
        <v/>
      </c>
      <c r="Q109" s="67" t="str">
        <f>IFERROR(MATCH($C$2&amp;"|"&amp;102,TRANSACTIONS_MASTER!$AE$5:$AE$1204,0),"")</f>
        <v/>
      </c>
      <c r="S109" s="67" t="str">
        <f>IFERROR(MATCH(13,CARDS!$O$5:$O$34,0),"")</f>
        <v/>
      </c>
      <c r="T109" s="55" t="n"/>
      <c r="U109" s="55" t="str">
        <f>IF($S109="","",INDEX(CARDS!$B$5:$B$34,$S109))</f>
        <v/>
      </c>
      <c r="V109" s="25" t="str">
        <f>IF($S109="","",SUMIFS(TRANSACTIONS_MASTER!$L$5:$L$1204,TRANSACTIONS_MASTER!$E$5:$E$1204,$U109,TRANSACTIONS_MASTER!$C$5:$C$1204,$C$2,TRANSACTIONS_MASTER!$U$5:$U$1204,"&lt;&gt;Cancelled"))</f>
        <v/>
      </c>
      <c r="W109" s="26" t="str">
        <f>IF($S109="","",SUMIFS(TRANSACTIONS_MASTER!$Q$5:$Q$1204,TRANSACTIONS_MASTER!$E$5:$E$1204,$U109,TRANSACTIONS_MASTER!$C$5:$C$1204,$C$2))</f>
        <v/>
      </c>
    </row>
    <row r="110">
      <c r="A110" s="81" t="str">
        <f>IF($Q110="","",103)</f>
        <v/>
      </c>
      <c r="B110" s="57" t="str">
        <f>IF($Q110="","",INDEX(TRANSACTIONS_MASTER!$B$5:$B$1204,$Q110))</f>
        <v/>
      </c>
      <c r="C110" s="55" t="str">
        <f>IF($Q110="","",INDEX(TRANSACTIONS_MASTER!$F$5:$F$1204,$Q110))</f>
        <v/>
      </c>
      <c r="D110" s="55" t="str">
        <f>IF($Q110="","",INDEX(TRANSACTIONS_MASTER!$E$5:$E$1204,$Q110))</f>
        <v/>
      </c>
      <c r="E110" s="55" t="str">
        <f>IF($Q110="","",INDEX(TRANSACTIONS_MASTER!$G$5:$G$1204,$Q110)&amp;"")</f>
        <v/>
      </c>
      <c r="F110" s="29" t="str">
        <f>IF($Q110="","",INDEX(TRANSACTIONS_MASTER!$I$5:$I$1204,$Q110))</f>
        <v/>
      </c>
      <c r="G110" s="55" t="str">
        <f>IF($Q110="","",INDEX(TRANSACTIONS_MASTER!$K$5:$K$1204,$Q110))</f>
        <v/>
      </c>
      <c r="H110" s="25" t="str">
        <f>IF($Q110="","",INDEX(TRANSACTIONS_MASTER!$L$5:$L$1204,$Q110))</f>
        <v/>
      </c>
      <c r="I110" s="56" t="str">
        <f>IF($Q110="","",INDEX(TRANSACTIONS_MASTER!$N$5:$N$1204,$Q110))</f>
        <v/>
      </c>
      <c r="J110" s="25" t="str">
        <f>IF($Q110="","",INDEX(TRANSACTIONS_MASTER!$O$5:$O$1204,$Q110))</f>
        <v/>
      </c>
      <c r="K110" s="26" t="str">
        <f>IF($Q110="","",INDEX(TRANSACTIONS_MASTER!$Q$5:$Q$1204,$Q110))</f>
        <v/>
      </c>
      <c r="L110" s="25" t="str">
        <f>IF($Q110="","",INDEX(TRANSACTIONS_MASTER!$P$5:$P$1204,$Q110))</f>
        <v/>
      </c>
      <c r="M110" s="25" t="str">
        <f>IF($Q110="","",INDEX(TRANSACTIONS_MASTER!$AA$5:$AA$1204,$Q110))</f>
        <v/>
      </c>
      <c r="N110" s="25" t="str">
        <f>IF($Q110="","",INDEX(TRANSACTIONS_MASTER!$R$5:$R$1204,$Q110))</f>
        <v/>
      </c>
      <c r="O110" s="28" t="str">
        <f>IF($Q110="","",INDEX(TRANSACTIONS_MASTER!$AB$5:$AB$1204,$Q110))</f>
        <v/>
      </c>
      <c r="P110" s="55" t="str">
        <f>IF($Q110="","",INDEX(TRANSACTIONS_MASTER!$Z$5:$Z$1204,$Q110)&amp;"")</f>
        <v/>
      </c>
      <c r="Q110" s="67" t="str">
        <f>IFERROR(MATCH($C$2&amp;"|"&amp;103,TRANSACTIONS_MASTER!$AE$5:$AE$1204,0),"")</f>
        <v/>
      </c>
      <c r="S110" s="67" t="str">
        <f>IFERROR(MATCH(14,CARDS!$O$5:$O$34,0),"")</f>
        <v/>
      </c>
      <c r="T110" s="55" t="n"/>
      <c r="U110" s="55" t="str">
        <f>IF($S110="","",INDEX(CARDS!$B$5:$B$34,$S110))</f>
        <v/>
      </c>
      <c r="V110" s="25" t="str">
        <f>IF($S110="","",SUMIFS(TRANSACTIONS_MASTER!$L$5:$L$1204,TRANSACTIONS_MASTER!$E$5:$E$1204,$U110,TRANSACTIONS_MASTER!$C$5:$C$1204,$C$2,TRANSACTIONS_MASTER!$U$5:$U$1204,"&lt;&gt;Cancelled"))</f>
        <v/>
      </c>
      <c r="W110" s="26" t="str">
        <f>IF($S110="","",SUMIFS(TRANSACTIONS_MASTER!$Q$5:$Q$1204,TRANSACTIONS_MASTER!$E$5:$E$1204,$U110,TRANSACTIONS_MASTER!$C$5:$C$1204,$C$2))</f>
        <v/>
      </c>
    </row>
    <row r="111">
      <c r="A111" s="81" t="str">
        <f>IF($Q111="","",104)</f>
        <v/>
      </c>
      <c r="B111" s="57" t="str">
        <f>IF($Q111="","",INDEX(TRANSACTIONS_MASTER!$B$5:$B$1204,$Q111))</f>
        <v/>
      </c>
      <c r="C111" s="55" t="str">
        <f>IF($Q111="","",INDEX(TRANSACTIONS_MASTER!$F$5:$F$1204,$Q111))</f>
        <v/>
      </c>
      <c r="D111" s="55" t="str">
        <f>IF($Q111="","",INDEX(TRANSACTIONS_MASTER!$E$5:$E$1204,$Q111))</f>
        <v/>
      </c>
      <c r="E111" s="55" t="str">
        <f>IF($Q111="","",INDEX(TRANSACTIONS_MASTER!$G$5:$G$1204,$Q111)&amp;"")</f>
        <v/>
      </c>
      <c r="F111" s="29" t="str">
        <f>IF($Q111="","",INDEX(TRANSACTIONS_MASTER!$I$5:$I$1204,$Q111))</f>
        <v/>
      </c>
      <c r="G111" s="55" t="str">
        <f>IF($Q111="","",INDEX(TRANSACTIONS_MASTER!$K$5:$K$1204,$Q111))</f>
        <v/>
      </c>
      <c r="H111" s="25" t="str">
        <f>IF($Q111="","",INDEX(TRANSACTIONS_MASTER!$L$5:$L$1204,$Q111))</f>
        <v/>
      </c>
      <c r="I111" s="56" t="str">
        <f>IF($Q111="","",INDEX(TRANSACTIONS_MASTER!$N$5:$N$1204,$Q111))</f>
        <v/>
      </c>
      <c r="J111" s="25" t="str">
        <f>IF($Q111="","",INDEX(TRANSACTIONS_MASTER!$O$5:$O$1204,$Q111))</f>
        <v/>
      </c>
      <c r="K111" s="26" t="str">
        <f>IF($Q111="","",INDEX(TRANSACTIONS_MASTER!$Q$5:$Q$1204,$Q111))</f>
        <v/>
      </c>
      <c r="L111" s="25" t="str">
        <f>IF($Q111="","",INDEX(TRANSACTIONS_MASTER!$P$5:$P$1204,$Q111))</f>
        <v/>
      </c>
      <c r="M111" s="25" t="str">
        <f>IF($Q111="","",INDEX(TRANSACTIONS_MASTER!$AA$5:$AA$1204,$Q111))</f>
        <v/>
      </c>
      <c r="N111" s="25" t="str">
        <f>IF($Q111="","",INDEX(TRANSACTIONS_MASTER!$R$5:$R$1204,$Q111))</f>
        <v/>
      </c>
      <c r="O111" s="28" t="str">
        <f>IF($Q111="","",INDEX(TRANSACTIONS_MASTER!$AB$5:$AB$1204,$Q111))</f>
        <v/>
      </c>
      <c r="P111" s="55" t="str">
        <f>IF($Q111="","",INDEX(TRANSACTIONS_MASTER!$Z$5:$Z$1204,$Q111)&amp;"")</f>
        <v/>
      </c>
      <c r="Q111" s="67" t="str">
        <f>IFERROR(MATCH($C$2&amp;"|"&amp;104,TRANSACTIONS_MASTER!$AE$5:$AE$1204,0),"")</f>
        <v/>
      </c>
      <c r="S111" s="67" t="str">
        <f>IFERROR(MATCH(15,CARDS!$O$5:$O$34,0),"")</f>
        <v/>
      </c>
      <c r="T111" s="55" t="n"/>
      <c r="U111" s="55" t="str">
        <f>IF($S111="","",INDEX(CARDS!$B$5:$B$34,$S111))</f>
        <v/>
      </c>
      <c r="V111" s="25" t="str">
        <f>IF($S111="","",SUMIFS(TRANSACTIONS_MASTER!$L$5:$L$1204,TRANSACTIONS_MASTER!$E$5:$E$1204,$U111,TRANSACTIONS_MASTER!$C$5:$C$1204,$C$2,TRANSACTIONS_MASTER!$U$5:$U$1204,"&lt;&gt;Cancelled"))</f>
        <v/>
      </c>
      <c r="W111" s="26" t="str">
        <f>IF($S111="","",SUMIFS(TRANSACTIONS_MASTER!$Q$5:$Q$1204,TRANSACTIONS_MASTER!$E$5:$E$1204,$U111,TRANSACTIONS_MASTER!$C$5:$C$1204,$C$2))</f>
        <v/>
      </c>
    </row>
    <row r="112">
      <c r="A112" s="81" t="str">
        <f>IF($Q112="","",105)</f>
        <v/>
      </c>
      <c r="B112" s="57" t="str">
        <f>IF($Q112="","",INDEX(TRANSACTIONS_MASTER!$B$5:$B$1204,$Q112))</f>
        <v/>
      </c>
      <c r="C112" s="55" t="str">
        <f>IF($Q112="","",INDEX(TRANSACTIONS_MASTER!$F$5:$F$1204,$Q112))</f>
        <v/>
      </c>
      <c r="D112" s="55" t="str">
        <f>IF($Q112="","",INDEX(TRANSACTIONS_MASTER!$E$5:$E$1204,$Q112))</f>
        <v/>
      </c>
      <c r="E112" s="55" t="str">
        <f>IF($Q112="","",INDEX(TRANSACTIONS_MASTER!$G$5:$G$1204,$Q112)&amp;"")</f>
        <v/>
      </c>
      <c r="F112" s="29" t="str">
        <f>IF($Q112="","",INDEX(TRANSACTIONS_MASTER!$I$5:$I$1204,$Q112))</f>
        <v/>
      </c>
      <c r="G112" s="55" t="str">
        <f>IF($Q112="","",INDEX(TRANSACTIONS_MASTER!$K$5:$K$1204,$Q112))</f>
        <v/>
      </c>
      <c r="H112" s="25" t="str">
        <f>IF($Q112="","",INDEX(TRANSACTIONS_MASTER!$L$5:$L$1204,$Q112))</f>
        <v/>
      </c>
      <c r="I112" s="56" t="str">
        <f>IF($Q112="","",INDEX(TRANSACTIONS_MASTER!$N$5:$N$1204,$Q112))</f>
        <v/>
      </c>
      <c r="J112" s="25" t="str">
        <f>IF($Q112="","",INDEX(TRANSACTIONS_MASTER!$O$5:$O$1204,$Q112))</f>
        <v/>
      </c>
      <c r="K112" s="26" t="str">
        <f>IF($Q112="","",INDEX(TRANSACTIONS_MASTER!$Q$5:$Q$1204,$Q112))</f>
        <v/>
      </c>
      <c r="L112" s="25" t="str">
        <f>IF($Q112="","",INDEX(TRANSACTIONS_MASTER!$P$5:$P$1204,$Q112))</f>
        <v/>
      </c>
      <c r="M112" s="25" t="str">
        <f>IF($Q112="","",INDEX(TRANSACTIONS_MASTER!$AA$5:$AA$1204,$Q112))</f>
        <v/>
      </c>
      <c r="N112" s="25" t="str">
        <f>IF($Q112="","",INDEX(TRANSACTIONS_MASTER!$R$5:$R$1204,$Q112))</f>
        <v/>
      </c>
      <c r="O112" s="28" t="str">
        <f>IF($Q112="","",INDEX(TRANSACTIONS_MASTER!$AB$5:$AB$1204,$Q112))</f>
        <v/>
      </c>
      <c r="P112" s="55" t="str">
        <f>IF($Q112="","",INDEX(TRANSACTIONS_MASTER!$Z$5:$Z$1204,$Q112)&amp;"")</f>
        <v/>
      </c>
      <c r="Q112" s="67" t="str">
        <f>IFERROR(MATCH($C$2&amp;"|"&amp;105,TRANSACTIONS_MASTER!$AE$5:$AE$1204,0),"")</f>
        <v/>
      </c>
      <c r="T112" s="68" t="n"/>
      <c r="U112" s="69" t="inlineStr">
        <is>
          <t>TỔNG</t>
        </is>
      </c>
      <c r="V112" s="31">
        <f>SUM(V97:V111)</f>
        <v>54150000</v>
      </c>
      <c r="W112" s="31">
        <f>SUM(W97:W111)</f>
        <v>3880000</v>
      </c>
    </row>
    <row r="113">
      <c r="A113" s="81" t="str">
        <f>IF($Q113="","",106)</f>
        <v/>
      </c>
      <c r="B113" s="57" t="str">
        <f>IF($Q113="","",INDEX(TRANSACTIONS_MASTER!$B$5:$B$1204,$Q113))</f>
        <v/>
      </c>
      <c r="C113" s="55" t="str">
        <f>IF($Q113="","",INDEX(TRANSACTIONS_MASTER!$F$5:$F$1204,$Q113))</f>
        <v/>
      </c>
      <c r="D113" s="55" t="str">
        <f>IF($Q113="","",INDEX(TRANSACTIONS_MASTER!$E$5:$E$1204,$Q113))</f>
        <v/>
      </c>
      <c r="E113" s="55" t="str">
        <f>IF($Q113="","",INDEX(TRANSACTIONS_MASTER!$G$5:$G$1204,$Q113)&amp;"")</f>
        <v/>
      </c>
      <c r="F113" s="29" t="str">
        <f>IF($Q113="","",INDEX(TRANSACTIONS_MASTER!$I$5:$I$1204,$Q113))</f>
        <v/>
      </c>
      <c r="G113" s="55" t="str">
        <f>IF($Q113="","",INDEX(TRANSACTIONS_MASTER!$K$5:$K$1204,$Q113))</f>
        <v/>
      </c>
      <c r="H113" s="25" t="str">
        <f>IF($Q113="","",INDEX(TRANSACTIONS_MASTER!$L$5:$L$1204,$Q113))</f>
        <v/>
      </c>
      <c r="I113" s="56" t="str">
        <f>IF($Q113="","",INDEX(TRANSACTIONS_MASTER!$N$5:$N$1204,$Q113))</f>
        <v/>
      </c>
      <c r="J113" s="25" t="str">
        <f>IF($Q113="","",INDEX(TRANSACTIONS_MASTER!$O$5:$O$1204,$Q113))</f>
        <v/>
      </c>
      <c r="K113" s="26" t="str">
        <f>IF($Q113="","",INDEX(TRANSACTIONS_MASTER!$Q$5:$Q$1204,$Q113))</f>
        <v/>
      </c>
      <c r="L113" s="25" t="str">
        <f>IF($Q113="","",INDEX(TRANSACTIONS_MASTER!$P$5:$P$1204,$Q113))</f>
        <v/>
      </c>
      <c r="M113" s="25" t="str">
        <f>IF($Q113="","",INDEX(TRANSACTIONS_MASTER!$AA$5:$AA$1204,$Q113))</f>
        <v/>
      </c>
      <c r="N113" s="25" t="str">
        <f>IF($Q113="","",INDEX(TRANSACTIONS_MASTER!$R$5:$R$1204,$Q113))</f>
        <v/>
      </c>
      <c r="O113" s="28" t="str">
        <f>IF($Q113="","",INDEX(TRANSACTIONS_MASTER!$AB$5:$AB$1204,$Q113))</f>
        <v/>
      </c>
      <c r="P113" s="55" t="str">
        <f>IF($Q113="","",INDEX(TRANSACTIONS_MASTER!$Z$5:$Z$1204,$Q113)&amp;"")</f>
        <v/>
      </c>
      <c r="Q113" s="67" t="str">
        <f>IFERROR(MATCH($C$2&amp;"|"&amp;106,TRANSACTIONS_MASTER!$AE$5:$AE$1204,0),"")</f>
        <v/>
      </c>
    </row>
    <row r="114">
      <c r="A114" s="81" t="str">
        <f>IF($Q114="","",107)</f>
        <v/>
      </c>
      <c r="B114" s="57" t="str">
        <f>IF($Q114="","",INDEX(TRANSACTIONS_MASTER!$B$5:$B$1204,$Q114))</f>
        <v/>
      </c>
      <c r="C114" s="55" t="str">
        <f>IF($Q114="","",INDEX(TRANSACTIONS_MASTER!$F$5:$F$1204,$Q114))</f>
        <v/>
      </c>
      <c r="D114" s="55" t="str">
        <f>IF($Q114="","",INDEX(TRANSACTIONS_MASTER!$E$5:$E$1204,$Q114))</f>
        <v/>
      </c>
      <c r="E114" s="55" t="str">
        <f>IF($Q114="","",INDEX(TRANSACTIONS_MASTER!$G$5:$G$1204,$Q114)&amp;"")</f>
        <v/>
      </c>
      <c r="F114" s="29" t="str">
        <f>IF($Q114="","",INDEX(TRANSACTIONS_MASTER!$I$5:$I$1204,$Q114))</f>
        <v/>
      </c>
      <c r="G114" s="55" t="str">
        <f>IF($Q114="","",INDEX(TRANSACTIONS_MASTER!$K$5:$K$1204,$Q114))</f>
        <v/>
      </c>
      <c r="H114" s="25" t="str">
        <f>IF($Q114="","",INDEX(TRANSACTIONS_MASTER!$L$5:$L$1204,$Q114))</f>
        <v/>
      </c>
      <c r="I114" s="56" t="str">
        <f>IF($Q114="","",INDEX(TRANSACTIONS_MASTER!$N$5:$N$1204,$Q114))</f>
        <v/>
      </c>
      <c r="J114" s="25" t="str">
        <f>IF($Q114="","",INDEX(TRANSACTIONS_MASTER!$O$5:$O$1204,$Q114))</f>
        <v/>
      </c>
      <c r="K114" s="26" t="str">
        <f>IF($Q114="","",INDEX(TRANSACTIONS_MASTER!$Q$5:$Q$1204,$Q114))</f>
        <v/>
      </c>
      <c r="L114" s="25" t="str">
        <f>IF($Q114="","",INDEX(TRANSACTIONS_MASTER!$P$5:$P$1204,$Q114))</f>
        <v/>
      </c>
      <c r="M114" s="25" t="str">
        <f>IF($Q114="","",INDEX(TRANSACTIONS_MASTER!$AA$5:$AA$1204,$Q114))</f>
        <v/>
      </c>
      <c r="N114" s="25" t="str">
        <f>IF($Q114="","",INDEX(TRANSACTIONS_MASTER!$R$5:$R$1204,$Q114))</f>
        <v/>
      </c>
      <c r="O114" s="28" t="str">
        <f>IF($Q114="","",INDEX(TRANSACTIONS_MASTER!$AB$5:$AB$1204,$Q114))</f>
        <v/>
      </c>
      <c r="P114" s="55" t="str">
        <f>IF($Q114="","",INDEX(TRANSACTIONS_MASTER!$Z$5:$Z$1204,$Q114)&amp;"")</f>
        <v/>
      </c>
      <c r="Q114" s="67" t="str">
        <f>IFERROR(MATCH($C$2&amp;"|"&amp;107,TRANSACTIONS_MASTER!$AE$5:$AE$1204,0),"")</f>
        <v/>
      </c>
    </row>
    <row r="115" ht="22" customHeight="1">
      <c r="A115" s="81" t="str">
        <f>IF($Q115="","",108)</f>
        <v/>
      </c>
      <c r="B115" s="57" t="str">
        <f>IF($Q115="","",INDEX(TRANSACTIONS_MASTER!$B$5:$B$1204,$Q115))</f>
        <v/>
      </c>
      <c r="C115" s="55" t="str">
        <f>IF($Q115="","",INDEX(TRANSACTIONS_MASTER!$F$5:$F$1204,$Q115))</f>
        <v/>
      </c>
      <c r="D115" s="55" t="str">
        <f>IF($Q115="","",INDEX(TRANSACTIONS_MASTER!$E$5:$E$1204,$Q115))</f>
        <v/>
      </c>
      <c r="E115" s="55" t="str">
        <f>IF($Q115="","",INDEX(TRANSACTIONS_MASTER!$G$5:$G$1204,$Q115)&amp;"")</f>
        <v/>
      </c>
      <c r="F115" s="29" t="str">
        <f>IF($Q115="","",INDEX(TRANSACTIONS_MASTER!$I$5:$I$1204,$Q115))</f>
        <v/>
      </c>
      <c r="G115" s="55" t="str">
        <f>IF($Q115="","",INDEX(TRANSACTIONS_MASTER!$K$5:$K$1204,$Q115))</f>
        <v/>
      </c>
      <c r="H115" s="25" t="str">
        <f>IF($Q115="","",INDEX(TRANSACTIONS_MASTER!$L$5:$L$1204,$Q115))</f>
        <v/>
      </c>
      <c r="I115" s="56" t="str">
        <f>IF($Q115="","",INDEX(TRANSACTIONS_MASTER!$N$5:$N$1204,$Q115))</f>
        <v/>
      </c>
      <c r="J115" s="25" t="str">
        <f>IF($Q115="","",INDEX(TRANSACTIONS_MASTER!$O$5:$O$1204,$Q115))</f>
        <v/>
      </c>
      <c r="K115" s="26" t="str">
        <f>IF($Q115="","",INDEX(TRANSACTIONS_MASTER!$Q$5:$Q$1204,$Q115))</f>
        <v/>
      </c>
      <c r="L115" s="25" t="str">
        <f>IF($Q115="","",INDEX(TRANSACTIONS_MASTER!$P$5:$P$1204,$Q115))</f>
        <v/>
      </c>
      <c r="M115" s="25" t="str">
        <f>IF($Q115="","",INDEX(TRANSACTIONS_MASTER!$AA$5:$AA$1204,$Q115))</f>
        <v/>
      </c>
      <c r="N115" s="25" t="str">
        <f>IF($Q115="","",INDEX(TRANSACTIONS_MASTER!$R$5:$R$1204,$Q115))</f>
        <v/>
      </c>
      <c r="O115" s="28" t="str">
        <f>IF($Q115="","",INDEX(TRANSACTIONS_MASTER!$AB$5:$AB$1204,$Q115))</f>
        <v/>
      </c>
      <c r="P115" s="55" t="str">
        <f>IF($Q115="","",INDEX(TRANSACTIONS_MASTER!$Z$5:$Z$1204,$Q115)&amp;"")</f>
        <v/>
      </c>
      <c r="Q115" s="67" t="str">
        <f>IFERROR(MATCH($C$2&amp;"|"&amp;108,TRANSACTIONS_MASTER!$AE$5:$AE$1204,0),"")</f>
        <v/>
      </c>
      <c r="T115" s="19" t="inlineStr">
        <is>
          <t>THEO DANH MỤC (Category)</t>
        </is>
      </c>
      <c r="U115" s="20" t="n"/>
      <c r="V115" s="20" t="n"/>
      <c r="W115" s="20" t="n"/>
      <c r="X115" s="20" t="n"/>
      <c r="Y115" s="20" t="n"/>
      <c r="Z115" s="20" t="n"/>
      <c r="AA115" s="20" t="n"/>
    </row>
    <row r="116" ht="28" customHeight="1">
      <c r="A116" s="81" t="str">
        <f>IF($Q116="","",109)</f>
        <v/>
      </c>
      <c r="B116" s="57" t="str">
        <f>IF($Q116="","",INDEX(TRANSACTIONS_MASTER!$B$5:$B$1204,$Q116))</f>
        <v/>
      </c>
      <c r="C116" s="55" t="str">
        <f>IF($Q116="","",INDEX(TRANSACTIONS_MASTER!$F$5:$F$1204,$Q116))</f>
        <v/>
      </c>
      <c r="D116" s="55" t="str">
        <f>IF($Q116="","",INDEX(TRANSACTIONS_MASTER!$E$5:$E$1204,$Q116))</f>
        <v/>
      </c>
      <c r="E116" s="55" t="str">
        <f>IF($Q116="","",INDEX(TRANSACTIONS_MASTER!$G$5:$G$1204,$Q116)&amp;"")</f>
        <v/>
      </c>
      <c r="F116" s="29" t="str">
        <f>IF($Q116="","",INDEX(TRANSACTIONS_MASTER!$I$5:$I$1204,$Q116))</f>
        <v/>
      </c>
      <c r="G116" s="55" t="str">
        <f>IF($Q116="","",INDEX(TRANSACTIONS_MASTER!$K$5:$K$1204,$Q116))</f>
        <v/>
      </c>
      <c r="H116" s="25" t="str">
        <f>IF($Q116="","",INDEX(TRANSACTIONS_MASTER!$L$5:$L$1204,$Q116))</f>
        <v/>
      </c>
      <c r="I116" s="56" t="str">
        <f>IF($Q116="","",INDEX(TRANSACTIONS_MASTER!$N$5:$N$1204,$Q116))</f>
        <v/>
      </c>
      <c r="J116" s="25" t="str">
        <f>IF($Q116="","",INDEX(TRANSACTIONS_MASTER!$O$5:$O$1204,$Q116))</f>
        <v/>
      </c>
      <c r="K116" s="26" t="str">
        <f>IF($Q116="","",INDEX(TRANSACTIONS_MASTER!$Q$5:$Q$1204,$Q116))</f>
        <v/>
      </c>
      <c r="L116" s="25" t="str">
        <f>IF($Q116="","",INDEX(TRANSACTIONS_MASTER!$P$5:$P$1204,$Q116))</f>
        <v/>
      </c>
      <c r="M116" s="25" t="str">
        <f>IF($Q116="","",INDEX(TRANSACTIONS_MASTER!$AA$5:$AA$1204,$Q116))</f>
        <v/>
      </c>
      <c r="N116" s="25" t="str">
        <f>IF($Q116="","",INDEX(TRANSACTIONS_MASTER!$R$5:$R$1204,$Q116))</f>
        <v/>
      </c>
      <c r="O116" s="28" t="str">
        <f>IF($Q116="","",INDEX(TRANSACTIONS_MASTER!$AB$5:$AB$1204,$Q116))</f>
        <v/>
      </c>
      <c r="P116" s="55" t="str">
        <f>IF($Q116="","",INDEX(TRANSACTIONS_MASTER!$Z$5:$Z$1204,$Q116)&amp;"")</f>
        <v/>
      </c>
      <c r="Q116" s="67" t="str">
        <f>IFERROR(MATCH($C$2&amp;"|"&amp;109,TRANSACTIONS_MASTER!$AE$5:$AE$1204,0),"")</f>
        <v/>
      </c>
      <c r="S116" s="21" t="inlineStr">
        <is>
          <t>#</t>
        </is>
      </c>
      <c r="T116" s="21" t="inlineStr"/>
      <c r="U116" s="21" t="inlineStr">
        <is>
          <t>Danh mục</t>
        </is>
      </c>
      <c r="V116" s="21" t="inlineStr">
        <is>
          <t>Chi tiêu</t>
        </is>
      </c>
      <c r="W116" s="21" t="inlineStr">
        <is>
          <t>Cashback</t>
        </is>
      </c>
    </row>
    <row r="117">
      <c r="A117" s="81" t="str">
        <f>IF($Q117="","",110)</f>
        <v/>
      </c>
      <c r="B117" s="57" t="str">
        <f>IF($Q117="","",INDEX(TRANSACTIONS_MASTER!$B$5:$B$1204,$Q117))</f>
        <v/>
      </c>
      <c r="C117" s="55" t="str">
        <f>IF($Q117="","",INDEX(TRANSACTIONS_MASTER!$F$5:$F$1204,$Q117))</f>
        <v/>
      </c>
      <c r="D117" s="55" t="str">
        <f>IF($Q117="","",INDEX(TRANSACTIONS_MASTER!$E$5:$E$1204,$Q117))</f>
        <v/>
      </c>
      <c r="E117" s="55" t="str">
        <f>IF($Q117="","",INDEX(TRANSACTIONS_MASTER!$G$5:$G$1204,$Q117)&amp;"")</f>
        <v/>
      </c>
      <c r="F117" s="29" t="str">
        <f>IF($Q117="","",INDEX(TRANSACTIONS_MASTER!$I$5:$I$1204,$Q117))</f>
        <v/>
      </c>
      <c r="G117" s="55" t="str">
        <f>IF($Q117="","",INDEX(TRANSACTIONS_MASTER!$K$5:$K$1204,$Q117))</f>
        <v/>
      </c>
      <c r="H117" s="25" t="str">
        <f>IF($Q117="","",INDEX(TRANSACTIONS_MASTER!$L$5:$L$1204,$Q117))</f>
        <v/>
      </c>
      <c r="I117" s="56" t="str">
        <f>IF($Q117="","",INDEX(TRANSACTIONS_MASTER!$N$5:$N$1204,$Q117))</f>
        <v/>
      </c>
      <c r="J117" s="25" t="str">
        <f>IF($Q117="","",INDEX(TRANSACTIONS_MASTER!$O$5:$O$1204,$Q117))</f>
        <v/>
      </c>
      <c r="K117" s="26" t="str">
        <f>IF($Q117="","",INDEX(TRANSACTIONS_MASTER!$Q$5:$Q$1204,$Q117))</f>
        <v/>
      </c>
      <c r="L117" s="25" t="str">
        <f>IF($Q117="","",INDEX(TRANSACTIONS_MASTER!$P$5:$P$1204,$Q117))</f>
        <v/>
      </c>
      <c r="M117" s="25" t="str">
        <f>IF($Q117="","",INDEX(TRANSACTIONS_MASTER!$AA$5:$AA$1204,$Q117))</f>
        <v/>
      </c>
      <c r="N117" s="25" t="str">
        <f>IF($Q117="","",INDEX(TRANSACTIONS_MASTER!$R$5:$R$1204,$Q117))</f>
        <v/>
      </c>
      <c r="O117" s="28" t="str">
        <f>IF($Q117="","",INDEX(TRANSACTIONS_MASTER!$AB$5:$AB$1204,$Q117))</f>
        <v/>
      </c>
      <c r="P117" s="55" t="str">
        <f>IF($Q117="","",INDEX(TRANSACTIONS_MASTER!$Z$5:$Z$1204,$Q117)&amp;"")</f>
        <v/>
      </c>
      <c r="Q117" s="67" t="str">
        <f>IFERROR(MATCH($C$2&amp;"|"&amp;110,TRANSACTIONS_MASTER!$AE$5:$AE$1204,0),"")</f>
        <v/>
      </c>
      <c r="S117" s="67">
        <f>IFERROR(MATCH(1,INDEX((TRANSACTIONS_MASTER!$C$5:$C$1204=$C$2)*(TRANSACTIONS_MASTER!$AL$5:$AL$1204=1),0),0),"")</f>
        <v>7</v>
      </c>
      <c r="T117" s="55" t="n"/>
      <c r="U117" s="55" t="str">
        <f>IF($S117="","",INDEX(TRANSACTIONS_MASTER!$K$5:$K$1204,$S117))</f>
        <v>Fitness &amp; Wellness</v>
      </c>
      <c r="V117" s="25">
        <f>IF($S117="","",SUMIFS(TRANSACTIONS_MASTER!$L$5:$L$1204,TRANSACTIONS_MASTER!$K$5:$K$1204,$U117,TRANSACTIONS_MASTER!$C$5:$C$1204,$C$2,TRANSACTIONS_MASTER!$U$5:$U$1204,"&lt;&gt;Cancelled"))</f>
        <v>10000000</v>
      </c>
      <c r="W117" s="26">
        <f>IF($S117="","",SUMIFS(TRANSACTIONS_MASTER!$Q$5:$Q$1204,TRANSACTIONS_MASTER!$K$5:$K$1204,$U117,TRANSACTIONS_MASTER!$C$5:$C$1204,$C$2))</f>
        <v>500000</v>
      </c>
    </row>
    <row r="118">
      <c r="A118" s="81" t="str">
        <f>IF($Q118="","",111)</f>
        <v/>
      </c>
      <c r="B118" s="57" t="str">
        <f>IF($Q118="","",INDEX(TRANSACTIONS_MASTER!$B$5:$B$1204,$Q118))</f>
        <v/>
      </c>
      <c r="C118" s="55" t="str">
        <f>IF($Q118="","",INDEX(TRANSACTIONS_MASTER!$F$5:$F$1204,$Q118))</f>
        <v/>
      </c>
      <c r="D118" s="55" t="str">
        <f>IF($Q118="","",INDEX(TRANSACTIONS_MASTER!$E$5:$E$1204,$Q118))</f>
        <v/>
      </c>
      <c r="E118" s="55" t="str">
        <f>IF($Q118="","",INDEX(TRANSACTIONS_MASTER!$G$5:$G$1204,$Q118)&amp;"")</f>
        <v/>
      </c>
      <c r="F118" s="29" t="str">
        <f>IF($Q118="","",INDEX(TRANSACTIONS_MASTER!$I$5:$I$1204,$Q118))</f>
        <v/>
      </c>
      <c r="G118" s="55" t="str">
        <f>IF($Q118="","",INDEX(TRANSACTIONS_MASTER!$K$5:$K$1204,$Q118))</f>
        <v/>
      </c>
      <c r="H118" s="25" t="str">
        <f>IF($Q118="","",INDEX(TRANSACTIONS_MASTER!$L$5:$L$1204,$Q118))</f>
        <v/>
      </c>
      <c r="I118" s="56" t="str">
        <f>IF($Q118="","",INDEX(TRANSACTIONS_MASTER!$N$5:$N$1204,$Q118))</f>
        <v/>
      </c>
      <c r="J118" s="25" t="str">
        <f>IF($Q118="","",INDEX(TRANSACTIONS_MASTER!$O$5:$O$1204,$Q118))</f>
        <v/>
      </c>
      <c r="K118" s="26" t="str">
        <f>IF($Q118="","",INDEX(TRANSACTIONS_MASTER!$Q$5:$Q$1204,$Q118))</f>
        <v/>
      </c>
      <c r="L118" s="25" t="str">
        <f>IF($Q118="","",INDEX(TRANSACTIONS_MASTER!$P$5:$P$1204,$Q118))</f>
        <v/>
      </c>
      <c r="M118" s="25" t="str">
        <f>IF($Q118="","",INDEX(TRANSACTIONS_MASTER!$AA$5:$AA$1204,$Q118))</f>
        <v/>
      </c>
      <c r="N118" s="25" t="str">
        <f>IF($Q118="","",INDEX(TRANSACTIONS_MASTER!$R$5:$R$1204,$Q118))</f>
        <v/>
      </c>
      <c r="O118" s="28" t="str">
        <f>IF($Q118="","",INDEX(TRANSACTIONS_MASTER!$AB$5:$AB$1204,$Q118))</f>
        <v/>
      </c>
      <c r="P118" s="55" t="str">
        <f>IF($Q118="","",INDEX(TRANSACTIONS_MASTER!$Z$5:$Z$1204,$Q118)&amp;"")</f>
        <v/>
      </c>
      <c r="Q118" s="67" t="str">
        <f>IFERROR(MATCH($C$2&amp;"|"&amp;111,TRANSACTIONS_MASTER!$AE$5:$AE$1204,0),"")</f>
        <v/>
      </c>
      <c r="S118" s="67">
        <f>IFERROR(MATCH(1,INDEX((TRANSACTIONS_MASTER!$C$5:$C$1204=$C$2)*(TRANSACTIONS_MASTER!$AL$5:$AL$1204=2),0),0),"")</f>
        <v>8</v>
      </c>
      <c r="T118" s="55" t="n"/>
      <c r="U118" s="55" t="str">
        <f>IF($S118="","",INDEX(TRANSACTIONS_MASTER!$K$5:$K$1204,$S118))</f>
        <v>Dining</v>
      </c>
      <c r="V118" s="25">
        <f>IF($S118="","",SUMIFS(TRANSACTIONS_MASTER!$L$5:$L$1204,TRANSACTIONS_MASTER!$K$5:$K$1204,$U118,TRANSACTIONS_MASTER!$C$5:$C$1204,$C$2,TRANSACTIONS_MASTER!$U$5:$U$1204,"&lt;&gt;Cancelled"))</f>
        <v>16800000</v>
      </c>
      <c r="W118" s="26">
        <f>IF($S118="","",SUMIFS(TRANSACTIONS_MASTER!$Q$5:$Q$1204,TRANSACTIONS_MASTER!$K$5:$K$1204,$U118,TRANSACTIONS_MASTER!$C$5:$C$1204,$C$2))</f>
        <v>1850000</v>
      </c>
    </row>
    <row r="119">
      <c r="A119" s="81" t="str">
        <f>IF($Q119="","",112)</f>
        <v/>
      </c>
      <c r="B119" s="57" t="str">
        <f>IF($Q119="","",INDEX(TRANSACTIONS_MASTER!$B$5:$B$1204,$Q119))</f>
        <v/>
      </c>
      <c r="C119" s="55" t="str">
        <f>IF($Q119="","",INDEX(TRANSACTIONS_MASTER!$F$5:$F$1204,$Q119))</f>
        <v/>
      </c>
      <c r="D119" s="55" t="str">
        <f>IF($Q119="","",INDEX(TRANSACTIONS_MASTER!$E$5:$E$1204,$Q119))</f>
        <v/>
      </c>
      <c r="E119" s="55" t="str">
        <f>IF($Q119="","",INDEX(TRANSACTIONS_MASTER!$G$5:$G$1204,$Q119)&amp;"")</f>
        <v/>
      </c>
      <c r="F119" s="29" t="str">
        <f>IF($Q119="","",INDEX(TRANSACTIONS_MASTER!$I$5:$I$1204,$Q119))</f>
        <v/>
      </c>
      <c r="G119" s="55" t="str">
        <f>IF($Q119="","",INDEX(TRANSACTIONS_MASTER!$K$5:$K$1204,$Q119))</f>
        <v/>
      </c>
      <c r="H119" s="25" t="str">
        <f>IF($Q119="","",INDEX(TRANSACTIONS_MASTER!$L$5:$L$1204,$Q119))</f>
        <v/>
      </c>
      <c r="I119" s="56" t="str">
        <f>IF($Q119="","",INDEX(TRANSACTIONS_MASTER!$N$5:$N$1204,$Q119))</f>
        <v/>
      </c>
      <c r="J119" s="25" t="str">
        <f>IF($Q119="","",INDEX(TRANSACTIONS_MASTER!$O$5:$O$1204,$Q119))</f>
        <v/>
      </c>
      <c r="K119" s="26" t="str">
        <f>IF($Q119="","",INDEX(TRANSACTIONS_MASTER!$Q$5:$Q$1204,$Q119))</f>
        <v/>
      </c>
      <c r="L119" s="25" t="str">
        <f>IF($Q119="","",INDEX(TRANSACTIONS_MASTER!$P$5:$P$1204,$Q119))</f>
        <v/>
      </c>
      <c r="M119" s="25" t="str">
        <f>IF($Q119="","",INDEX(TRANSACTIONS_MASTER!$AA$5:$AA$1204,$Q119))</f>
        <v/>
      </c>
      <c r="N119" s="25" t="str">
        <f>IF($Q119="","",INDEX(TRANSACTIONS_MASTER!$R$5:$R$1204,$Q119))</f>
        <v/>
      </c>
      <c r="O119" s="28" t="str">
        <f>IF($Q119="","",INDEX(TRANSACTIONS_MASTER!$AB$5:$AB$1204,$Q119))</f>
        <v/>
      </c>
      <c r="P119" s="55" t="str">
        <f>IF($Q119="","",INDEX(TRANSACTIONS_MASTER!$Z$5:$Z$1204,$Q119)&amp;"")</f>
        <v/>
      </c>
      <c r="Q119" s="67" t="str">
        <f>IFERROR(MATCH($C$2&amp;"|"&amp;112,TRANSACTIONS_MASTER!$AE$5:$AE$1204,0),"")</f>
        <v/>
      </c>
      <c r="S119" s="67">
        <f>IFERROR(MATCH(1,INDEX((TRANSACTIONS_MASTER!$C$5:$C$1204=$C$2)*(TRANSACTIONS_MASTER!$AL$5:$AL$1204=3),0),0),"")</f>
        <v>9</v>
      </c>
      <c r="T119" s="55" t="n"/>
      <c r="U119" s="55" t="str">
        <f>IF($S119="","",INDEX(TRANSACTIONS_MASTER!$K$5:$K$1204,$S119))</f>
        <v>Groceries</v>
      </c>
      <c r="V119" s="25">
        <f>IF($S119="","",SUMIFS(TRANSACTIONS_MASTER!$L$5:$L$1204,TRANSACTIONS_MASTER!$K$5:$K$1204,$U119,TRANSACTIONS_MASTER!$C$5:$C$1204,$C$2,TRANSACTIONS_MASTER!$U$5:$U$1204,"&lt;&gt;Cancelled"))</f>
        <v>7050000</v>
      </c>
      <c r="W119" s="26">
        <f>IF($S119="","",SUMIFS(TRANSACTIONS_MASTER!$Q$5:$Q$1204,TRANSACTIONS_MASTER!$K$5:$K$1204,$U119,TRANSACTIONS_MASTER!$C$5:$C$1204,$C$2))</f>
        <v>530000</v>
      </c>
    </row>
    <row r="120">
      <c r="A120" s="81" t="str">
        <f>IF($Q120="","",113)</f>
        <v/>
      </c>
      <c r="B120" s="57" t="str">
        <f>IF($Q120="","",INDEX(TRANSACTIONS_MASTER!$B$5:$B$1204,$Q120))</f>
        <v/>
      </c>
      <c r="C120" s="55" t="str">
        <f>IF($Q120="","",INDEX(TRANSACTIONS_MASTER!$F$5:$F$1204,$Q120))</f>
        <v/>
      </c>
      <c r="D120" s="55" t="str">
        <f>IF($Q120="","",INDEX(TRANSACTIONS_MASTER!$E$5:$E$1204,$Q120))</f>
        <v/>
      </c>
      <c r="E120" s="55" t="str">
        <f>IF($Q120="","",INDEX(TRANSACTIONS_MASTER!$G$5:$G$1204,$Q120)&amp;"")</f>
        <v/>
      </c>
      <c r="F120" s="29" t="str">
        <f>IF($Q120="","",INDEX(TRANSACTIONS_MASTER!$I$5:$I$1204,$Q120))</f>
        <v/>
      </c>
      <c r="G120" s="55" t="str">
        <f>IF($Q120="","",INDEX(TRANSACTIONS_MASTER!$K$5:$K$1204,$Q120))</f>
        <v/>
      </c>
      <c r="H120" s="25" t="str">
        <f>IF($Q120="","",INDEX(TRANSACTIONS_MASTER!$L$5:$L$1204,$Q120))</f>
        <v/>
      </c>
      <c r="I120" s="56" t="str">
        <f>IF($Q120="","",INDEX(TRANSACTIONS_MASTER!$N$5:$N$1204,$Q120))</f>
        <v/>
      </c>
      <c r="J120" s="25" t="str">
        <f>IF($Q120="","",INDEX(TRANSACTIONS_MASTER!$O$5:$O$1204,$Q120))</f>
        <v/>
      </c>
      <c r="K120" s="26" t="str">
        <f>IF($Q120="","",INDEX(TRANSACTIONS_MASTER!$Q$5:$Q$1204,$Q120))</f>
        <v/>
      </c>
      <c r="L120" s="25" t="str">
        <f>IF($Q120="","",INDEX(TRANSACTIONS_MASTER!$P$5:$P$1204,$Q120))</f>
        <v/>
      </c>
      <c r="M120" s="25" t="str">
        <f>IF($Q120="","",INDEX(TRANSACTIONS_MASTER!$AA$5:$AA$1204,$Q120))</f>
        <v/>
      </c>
      <c r="N120" s="25" t="str">
        <f>IF($Q120="","",INDEX(TRANSACTIONS_MASTER!$R$5:$R$1204,$Q120))</f>
        <v/>
      </c>
      <c r="O120" s="28" t="str">
        <f>IF($Q120="","",INDEX(TRANSACTIONS_MASTER!$AB$5:$AB$1204,$Q120))</f>
        <v/>
      </c>
      <c r="P120" s="55" t="str">
        <f>IF($Q120="","",INDEX(TRANSACTIONS_MASTER!$Z$5:$Z$1204,$Q120)&amp;"")</f>
        <v/>
      </c>
      <c r="Q120" s="67" t="str">
        <f>IFERROR(MATCH($C$2&amp;"|"&amp;113,TRANSACTIONS_MASTER!$AE$5:$AE$1204,0),"")</f>
        <v/>
      </c>
      <c r="S120" s="67">
        <f>IFERROR(MATCH(1,INDEX((TRANSACTIONS_MASTER!$C$5:$C$1204=$C$2)*(TRANSACTIONS_MASTER!$AL$5:$AL$1204=4),0),0),"")</f>
        <v>13</v>
      </c>
      <c r="T120" s="55" t="n"/>
      <c r="U120" s="55" t="str">
        <f>IF($S120="","",INDEX(TRANSACTIONS_MASTER!$K$5:$K$1204,$S120))</f>
        <v>Fuel</v>
      </c>
      <c r="V120" s="25">
        <f>IF($S120="","",SUMIFS(TRANSACTIONS_MASTER!$L$5:$L$1204,TRANSACTIONS_MASTER!$K$5:$K$1204,$U120,TRANSACTIONS_MASTER!$C$5:$C$1204,$C$2,TRANSACTIONS_MASTER!$U$5:$U$1204,"&lt;&gt;Cancelled"))</f>
        <v>8500000</v>
      </c>
      <c r="W120" s="26">
        <f>IF($S120="","",SUMIFS(TRANSACTIONS_MASTER!$Q$5:$Q$1204,TRANSACTIONS_MASTER!$K$5:$K$1204,$U120,TRANSACTIONS_MASTER!$C$5:$C$1204,$C$2))</f>
        <v>360000</v>
      </c>
    </row>
    <row r="121">
      <c r="A121" s="81" t="str">
        <f>IF($Q121="","",114)</f>
        <v/>
      </c>
      <c r="B121" s="57" t="str">
        <f>IF($Q121="","",INDEX(TRANSACTIONS_MASTER!$B$5:$B$1204,$Q121))</f>
        <v/>
      </c>
      <c r="C121" s="55" t="str">
        <f>IF($Q121="","",INDEX(TRANSACTIONS_MASTER!$F$5:$F$1204,$Q121))</f>
        <v/>
      </c>
      <c r="D121" s="55" t="str">
        <f>IF($Q121="","",INDEX(TRANSACTIONS_MASTER!$E$5:$E$1204,$Q121))</f>
        <v/>
      </c>
      <c r="E121" s="55" t="str">
        <f>IF($Q121="","",INDEX(TRANSACTIONS_MASTER!$G$5:$G$1204,$Q121)&amp;"")</f>
        <v/>
      </c>
      <c r="F121" s="29" t="str">
        <f>IF($Q121="","",INDEX(TRANSACTIONS_MASTER!$I$5:$I$1204,$Q121))</f>
        <v/>
      </c>
      <c r="G121" s="55" t="str">
        <f>IF($Q121="","",INDEX(TRANSACTIONS_MASTER!$K$5:$K$1204,$Q121))</f>
        <v/>
      </c>
      <c r="H121" s="25" t="str">
        <f>IF($Q121="","",INDEX(TRANSACTIONS_MASTER!$L$5:$L$1204,$Q121))</f>
        <v/>
      </c>
      <c r="I121" s="56" t="str">
        <f>IF($Q121="","",INDEX(TRANSACTIONS_MASTER!$N$5:$N$1204,$Q121))</f>
        <v/>
      </c>
      <c r="J121" s="25" t="str">
        <f>IF($Q121="","",INDEX(TRANSACTIONS_MASTER!$O$5:$O$1204,$Q121))</f>
        <v/>
      </c>
      <c r="K121" s="26" t="str">
        <f>IF($Q121="","",INDEX(TRANSACTIONS_MASTER!$Q$5:$Q$1204,$Q121))</f>
        <v/>
      </c>
      <c r="L121" s="25" t="str">
        <f>IF($Q121="","",INDEX(TRANSACTIONS_MASTER!$P$5:$P$1204,$Q121))</f>
        <v/>
      </c>
      <c r="M121" s="25" t="str">
        <f>IF($Q121="","",INDEX(TRANSACTIONS_MASTER!$AA$5:$AA$1204,$Q121))</f>
        <v/>
      </c>
      <c r="N121" s="25" t="str">
        <f>IF($Q121="","",INDEX(TRANSACTIONS_MASTER!$R$5:$R$1204,$Q121))</f>
        <v/>
      </c>
      <c r="O121" s="28" t="str">
        <f>IF($Q121="","",INDEX(TRANSACTIONS_MASTER!$AB$5:$AB$1204,$Q121))</f>
        <v/>
      </c>
      <c r="P121" s="55" t="str">
        <f>IF($Q121="","",INDEX(TRANSACTIONS_MASTER!$Z$5:$Z$1204,$Q121)&amp;"")</f>
        <v/>
      </c>
      <c r="Q121" s="67" t="str">
        <f>IFERROR(MATCH($C$2&amp;"|"&amp;114,TRANSACTIONS_MASTER!$AE$5:$AE$1204,0),"")</f>
        <v/>
      </c>
      <c r="S121" s="67">
        <f>IFERROR(MATCH(1,INDEX((TRANSACTIONS_MASTER!$C$5:$C$1204=$C$2)*(TRANSACTIONS_MASTER!$AL$5:$AL$1204=5),0),0),"")</f>
        <v>15</v>
      </c>
      <c r="T121" s="55" t="n"/>
      <c r="U121" s="55" t="str">
        <f>IF($S121="","",INDEX(TRANSACTIONS_MASTER!$K$5:$K$1204,$S121))</f>
        <v>Shopping</v>
      </c>
      <c r="V121" s="25">
        <f>IF($S121="","",SUMIFS(TRANSACTIONS_MASTER!$L$5:$L$1204,TRANSACTIONS_MASTER!$K$5:$K$1204,$U121,TRANSACTIONS_MASTER!$C$5:$C$1204,$C$2,TRANSACTIONS_MASTER!$U$5:$U$1204,"&lt;&gt;Cancelled"))</f>
        <v>9000000</v>
      </c>
      <c r="W121" s="26">
        <f>IF($S121="","",SUMIFS(TRANSACTIONS_MASTER!$Q$5:$Q$1204,TRANSACTIONS_MASTER!$K$5:$K$1204,$U121,TRANSACTIONS_MASTER!$C$5:$C$1204,$C$2))</f>
        <v>500000</v>
      </c>
    </row>
    <row r="122">
      <c r="A122" s="81" t="str">
        <f>IF($Q122="","",115)</f>
        <v/>
      </c>
      <c r="B122" s="57" t="str">
        <f>IF($Q122="","",INDEX(TRANSACTIONS_MASTER!$B$5:$B$1204,$Q122))</f>
        <v/>
      </c>
      <c r="C122" s="55" t="str">
        <f>IF($Q122="","",INDEX(TRANSACTIONS_MASTER!$F$5:$F$1204,$Q122))</f>
        <v/>
      </c>
      <c r="D122" s="55" t="str">
        <f>IF($Q122="","",INDEX(TRANSACTIONS_MASTER!$E$5:$E$1204,$Q122))</f>
        <v/>
      </c>
      <c r="E122" s="55" t="str">
        <f>IF($Q122="","",INDEX(TRANSACTIONS_MASTER!$G$5:$G$1204,$Q122)&amp;"")</f>
        <v/>
      </c>
      <c r="F122" s="29" t="str">
        <f>IF($Q122="","",INDEX(TRANSACTIONS_MASTER!$I$5:$I$1204,$Q122))</f>
        <v/>
      </c>
      <c r="G122" s="55" t="str">
        <f>IF($Q122="","",INDEX(TRANSACTIONS_MASTER!$K$5:$K$1204,$Q122))</f>
        <v/>
      </c>
      <c r="H122" s="25" t="str">
        <f>IF($Q122="","",INDEX(TRANSACTIONS_MASTER!$L$5:$L$1204,$Q122))</f>
        <v/>
      </c>
      <c r="I122" s="56" t="str">
        <f>IF($Q122="","",INDEX(TRANSACTIONS_MASTER!$N$5:$N$1204,$Q122))</f>
        <v/>
      </c>
      <c r="J122" s="25" t="str">
        <f>IF($Q122="","",INDEX(TRANSACTIONS_MASTER!$O$5:$O$1204,$Q122))</f>
        <v/>
      </c>
      <c r="K122" s="26" t="str">
        <f>IF($Q122="","",INDEX(TRANSACTIONS_MASTER!$Q$5:$Q$1204,$Q122))</f>
        <v/>
      </c>
      <c r="L122" s="25" t="str">
        <f>IF($Q122="","",INDEX(TRANSACTIONS_MASTER!$P$5:$P$1204,$Q122))</f>
        <v/>
      </c>
      <c r="M122" s="25" t="str">
        <f>IF($Q122="","",INDEX(TRANSACTIONS_MASTER!$AA$5:$AA$1204,$Q122))</f>
        <v/>
      </c>
      <c r="N122" s="25" t="str">
        <f>IF($Q122="","",INDEX(TRANSACTIONS_MASTER!$R$5:$R$1204,$Q122))</f>
        <v/>
      </c>
      <c r="O122" s="28" t="str">
        <f>IF($Q122="","",INDEX(TRANSACTIONS_MASTER!$AB$5:$AB$1204,$Q122))</f>
        <v/>
      </c>
      <c r="P122" s="55" t="str">
        <f>IF($Q122="","",INDEX(TRANSACTIONS_MASTER!$Z$5:$Z$1204,$Q122)&amp;"")</f>
        <v/>
      </c>
      <c r="Q122" s="67" t="str">
        <f>IFERROR(MATCH($C$2&amp;"|"&amp;115,TRANSACTIONS_MASTER!$AE$5:$AE$1204,0),"")</f>
        <v/>
      </c>
      <c r="S122" s="67">
        <f>IFERROR(MATCH(1,INDEX((TRANSACTIONS_MASTER!$C$5:$C$1204=$C$2)*(TRANSACTIONS_MASTER!$AL$5:$AL$1204=6),0),0),"")</f>
        <v>17</v>
      </c>
      <c r="T122" s="55" t="n"/>
      <c r="U122" s="55" t="str">
        <f>IF($S122="","",INDEX(TRANSACTIONS_MASTER!$K$5:$K$1204,$S122))</f>
        <v>Transport</v>
      </c>
      <c r="V122" s="25">
        <f>IF($S122="","",SUMIFS(TRANSACTIONS_MASTER!$L$5:$L$1204,TRANSACTIONS_MASTER!$K$5:$K$1204,$U122,TRANSACTIONS_MASTER!$C$5:$C$1204,$C$2,TRANSACTIONS_MASTER!$U$5:$U$1204,"&lt;&gt;Cancelled"))</f>
        <v>1000000</v>
      </c>
      <c r="W122" s="26">
        <f>IF($S122="","",SUMIFS(TRANSACTIONS_MASTER!$Q$5:$Q$1204,TRANSACTIONS_MASTER!$K$5:$K$1204,$U122,TRANSACTIONS_MASTER!$C$5:$C$1204,$C$2))</f>
        <v>50000</v>
      </c>
    </row>
    <row r="123">
      <c r="A123" s="81" t="str">
        <f>IF($Q123="","",116)</f>
        <v/>
      </c>
      <c r="B123" s="57" t="str">
        <f>IF($Q123="","",INDEX(TRANSACTIONS_MASTER!$B$5:$B$1204,$Q123))</f>
        <v/>
      </c>
      <c r="C123" s="55" t="str">
        <f>IF($Q123="","",INDEX(TRANSACTIONS_MASTER!$F$5:$F$1204,$Q123))</f>
        <v/>
      </c>
      <c r="D123" s="55" t="str">
        <f>IF($Q123="","",INDEX(TRANSACTIONS_MASTER!$E$5:$E$1204,$Q123))</f>
        <v/>
      </c>
      <c r="E123" s="55" t="str">
        <f>IF($Q123="","",INDEX(TRANSACTIONS_MASTER!$G$5:$G$1204,$Q123)&amp;"")</f>
        <v/>
      </c>
      <c r="F123" s="29" t="str">
        <f>IF($Q123="","",INDEX(TRANSACTIONS_MASTER!$I$5:$I$1204,$Q123))</f>
        <v/>
      </c>
      <c r="G123" s="55" t="str">
        <f>IF($Q123="","",INDEX(TRANSACTIONS_MASTER!$K$5:$K$1204,$Q123))</f>
        <v/>
      </c>
      <c r="H123" s="25" t="str">
        <f>IF($Q123="","",INDEX(TRANSACTIONS_MASTER!$L$5:$L$1204,$Q123))</f>
        <v/>
      </c>
      <c r="I123" s="56" t="str">
        <f>IF($Q123="","",INDEX(TRANSACTIONS_MASTER!$N$5:$N$1204,$Q123))</f>
        <v/>
      </c>
      <c r="J123" s="25" t="str">
        <f>IF($Q123="","",INDEX(TRANSACTIONS_MASTER!$O$5:$O$1204,$Q123))</f>
        <v/>
      </c>
      <c r="K123" s="26" t="str">
        <f>IF($Q123="","",INDEX(TRANSACTIONS_MASTER!$Q$5:$Q$1204,$Q123))</f>
        <v/>
      </c>
      <c r="L123" s="25" t="str">
        <f>IF($Q123="","",INDEX(TRANSACTIONS_MASTER!$P$5:$P$1204,$Q123))</f>
        <v/>
      </c>
      <c r="M123" s="25" t="str">
        <f>IF($Q123="","",INDEX(TRANSACTIONS_MASTER!$AA$5:$AA$1204,$Q123))</f>
        <v/>
      </c>
      <c r="N123" s="25" t="str">
        <f>IF($Q123="","",INDEX(TRANSACTIONS_MASTER!$R$5:$R$1204,$Q123))</f>
        <v/>
      </c>
      <c r="O123" s="28" t="str">
        <f>IF($Q123="","",INDEX(TRANSACTIONS_MASTER!$AB$5:$AB$1204,$Q123))</f>
        <v/>
      </c>
      <c r="P123" s="55" t="str">
        <f>IF($Q123="","",INDEX(TRANSACTIONS_MASTER!$Z$5:$Z$1204,$Q123)&amp;"")</f>
        <v/>
      </c>
      <c r="Q123" s="67" t="str">
        <f>IFERROR(MATCH($C$2&amp;"|"&amp;116,TRANSACTIONS_MASTER!$AE$5:$AE$1204,0),"")</f>
        <v/>
      </c>
      <c r="S123" s="67">
        <f>IFERROR(MATCH(1,INDEX((TRANSACTIONS_MASTER!$C$5:$C$1204=$C$2)*(TRANSACTIONS_MASTER!$AL$5:$AL$1204=7),0),0),"")</f>
        <v>23</v>
      </c>
      <c r="T123" s="55" t="n"/>
      <c r="U123" s="55" t="str">
        <f>IF($S123="","",INDEX(TRANSACTIONS_MASTER!$K$5:$K$1204,$S123))</f>
        <v>Healthcare</v>
      </c>
      <c r="V123" s="25">
        <f>IF($S123="","",SUMIFS(TRANSACTIONS_MASTER!$L$5:$L$1204,TRANSACTIONS_MASTER!$K$5:$K$1204,$U123,TRANSACTIONS_MASTER!$C$5:$C$1204,$C$2,TRANSACTIONS_MASTER!$U$5:$U$1204,"&lt;&gt;Cancelled"))</f>
        <v>1500000</v>
      </c>
      <c r="W123" s="26">
        <f>IF($S123="","",SUMIFS(TRANSACTIONS_MASTER!$Q$5:$Q$1204,TRANSACTIONS_MASTER!$K$5:$K$1204,$U123,TRANSACTIONS_MASTER!$C$5:$C$1204,$C$2))</f>
        <v>75000</v>
      </c>
    </row>
    <row r="124">
      <c r="A124" s="81" t="str">
        <f>IF($Q124="","",117)</f>
        <v/>
      </c>
      <c r="B124" s="57" t="str">
        <f>IF($Q124="","",INDEX(TRANSACTIONS_MASTER!$B$5:$B$1204,$Q124))</f>
        <v/>
      </c>
      <c r="C124" s="55" t="str">
        <f>IF($Q124="","",INDEX(TRANSACTIONS_MASTER!$F$5:$F$1204,$Q124))</f>
        <v/>
      </c>
      <c r="D124" s="55" t="str">
        <f>IF($Q124="","",INDEX(TRANSACTIONS_MASTER!$E$5:$E$1204,$Q124))</f>
        <v/>
      </c>
      <c r="E124" s="55" t="str">
        <f>IF($Q124="","",INDEX(TRANSACTIONS_MASTER!$G$5:$G$1204,$Q124)&amp;"")</f>
        <v/>
      </c>
      <c r="F124" s="29" t="str">
        <f>IF($Q124="","",INDEX(TRANSACTIONS_MASTER!$I$5:$I$1204,$Q124))</f>
        <v/>
      </c>
      <c r="G124" s="55" t="str">
        <f>IF($Q124="","",INDEX(TRANSACTIONS_MASTER!$K$5:$K$1204,$Q124))</f>
        <v/>
      </c>
      <c r="H124" s="25" t="str">
        <f>IF($Q124="","",INDEX(TRANSACTIONS_MASTER!$L$5:$L$1204,$Q124))</f>
        <v/>
      </c>
      <c r="I124" s="56" t="str">
        <f>IF($Q124="","",INDEX(TRANSACTIONS_MASTER!$N$5:$N$1204,$Q124))</f>
        <v/>
      </c>
      <c r="J124" s="25" t="str">
        <f>IF($Q124="","",INDEX(TRANSACTIONS_MASTER!$O$5:$O$1204,$Q124))</f>
        <v/>
      </c>
      <c r="K124" s="26" t="str">
        <f>IF($Q124="","",INDEX(TRANSACTIONS_MASTER!$Q$5:$Q$1204,$Q124))</f>
        <v/>
      </c>
      <c r="L124" s="25" t="str">
        <f>IF($Q124="","",INDEX(TRANSACTIONS_MASTER!$P$5:$P$1204,$Q124))</f>
        <v/>
      </c>
      <c r="M124" s="25" t="str">
        <f>IF($Q124="","",INDEX(TRANSACTIONS_MASTER!$AA$5:$AA$1204,$Q124))</f>
        <v/>
      </c>
      <c r="N124" s="25" t="str">
        <f>IF($Q124="","",INDEX(TRANSACTIONS_MASTER!$R$5:$R$1204,$Q124))</f>
        <v/>
      </c>
      <c r="O124" s="28" t="str">
        <f>IF($Q124="","",INDEX(TRANSACTIONS_MASTER!$AB$5:$AB$1204,$Q124))</f>
        <v/>
      </c>
      <c r="P124" s="55" t="str">
        <f>IF($Q124="","",INDEX(TRANSACTIONS_MASTER!$Z$5:$Z$1204,$Q124)&amp;"")</f>
        <v/>
      </c>
      <c r="Q124" s="67" t="str">
        <f>IFERROR(MATCH($C$2&amp;"|"&amp;117,TRANSACTIONS_MASTER!$AE$5:$AE$1204,0),"")</f>
        <v/>
      </c>
      <c r="S124" s="67">
        <f>IFERROR(MATCH(1,INDEX((TRANSACTIONS_MASTER!$C$5:$C$1204=$C$2)*(TRANSACTIONS_MASTER!$AL$5:$AL$1204=8),0),0),"")</f>
        <v>24</v>
      </c>
      <c r="T124" s="55" t="n"/>
      <c r="U124" s="55" t="str">
        <f>IF($S124="","",INDEX(TRANSACTIONS_MASTER!$K$5:$K$1204,$S124))</f>
        <v>Utilities &amp; Telecom</v>
      </c>
      <c r="V124" s="25">
        <f>IF($S124="","",SUMIFS(TRANSACTIONS_MASTER!$L$5:$L$1204,TRANSACTIONS_MASTER!$K$5:$K$1204,$U124,TRANSACTIONS_MASTER!$C$5:$C$1204,$C$2,TRANSACTIONS_MASTER!$U$5:$U$1204,"&lt;&gt;Cancelled"))</f>
        <v>300000</v>
      </c>
      <c r="W124" s="26">
        <f>IF($S124="","",SUMIFS(TRANSACTIONS_MASTER!$Q$5:$Q$1204,TRANSACTIONS_MASTER!$K$5:$K$1204,$U124,TRANSACTIONS_MASTER!$C$5:$C$1204,$C$2))</f>
        <v>15000</v>
      </c>
    </row>
    <row r="125">
      <c r="A125" s="81" t="str">
        <f>IF($Q125="","",118)</f>
        <v/>
      </c>
      <c r="B125" s="57" t="str">
        <f>IF($Q125="","",INDEX(TRANSACTIONS_MASTER!$B$5:$B$1204,$Q125))</f>
        <v/>
      </c>
      <c r="C125" s="55" t="str">
        <f>IF($Q125="","",INDEX(TRANSACTIONS_MASTER!$F$5:$F$1204,$Q125))</f>
        <v/>
      </c>
      <c r="D125" s="55" t="str">
        <f>IF($Q125="","",INDEX(TRANSACTIONS_MASTER!$E$5:$E$1204,$Q125))</f>
        <v/>
      </c>
      <c r="E125" s="55" t="str">
        <f>IF($Q125="","",INDEX(TRANSACTIONS_MASTER!$G$5:$G$1204,$Q125)&amp;"")</f>
        <v/>
      </c>
      <c r="F125" s="29" t="str">
        <f>IF($Q125="","",INDEX(TRANSACTIONS_MASTER!$I$5:$I$1204,$Q125))</f>
        <v/>
      </c>
      <c r="G125" s="55" t="str">
        <f>IF($Q125="","",INDEX(TRANSACTIONS_MASTER!$K$5:$K$1204,$Q125))</f>
        <v/>
      </c>
      <c r="H125" s="25" t="str">
        <f>IF($Q125="","",INDEX(TRANSACTIONS_MASTER!$L$5:$L$1204,$Q125))</f>
        <v/>
      </c>
      <c r="I125" s="56" t="str">
        <f>IF($Q125="","",INDEX(TRANSACTIONS_MASTER!$N$5:$N$1204,$Q125))</f>
        <v/>
      </c>
      <c r="J125" s="25" t="str">
        <f>IF($Q125="","",INDEX(TRANSACTIONS_MASTER!$O$5:$O$1204,$Q125))</f>
        <v/>
      </c>
      <c r="K125" s="26" t="str">
        <f>IF($Q125="","",INDEX(TRANSACTIONS_MASTER!$Q$5:$Q$1204,$Q125))</f>
        <v/>
      </c>
      <c r="L125" s="25" t="str">
        <f>IF($Q125="","",INDEX(TRANSACTIONS_MASTER!$P$5:$P$1204,$Q125))</f>
        <v/>
      </c>
      <c r="M125" s="25" t="str">
        <f>IF($Q125="","",INDEX(TRANSACTIONS_MASTER!$AA$5:$AA$1204,$Q125))</f>
        <v/>
      </c>
      <c r="N125" s="25" t="str">
        <f>IF($Q125="","",INDEX(TRANSACTIONS_MASTER!$R$5:$R$1204,$Q125))</f>
        <v/>
      </c>
      <c r="O125" s="28" t="str">
        <f>IF($Q125="","",INDEX(TRANSACTIONS_MASTER!$AB$5:$AB$1204,$Q125))</f>
        <v/>
      </c>
      <c r="P125" s="55" t="str">
        <f>IF($Q125="","",INDEX(TRANSACTIONS_MASTER!$Z$5:$Z$1204,$Q125)&amp;"")</f>
        <v/>
      </c>
      <c r="Q125" s="67" t="str">
        <f>IFERROR(MATCH($C$2&amp;"|"&amp;118,TRANSACTIONS_MASTER!$AE$5:$AE$1204,0),"")</f>
        <v/>
      </c>
      <c r="S125" s="67" t="str">
        <f>IFERROR(MATCH(1,INDEX((TRANSACTIONS_MASTER!$C$5:$C$1204=$C$2)*(TRANSACTIONS_MASTER!$AL$5:$AL$1204=9),0),0),"")</f>
        <v/>
      </c>
      <c r="T125" s="55" t="n"/>
      <c r="U125" s="55" t="str">
        <f>IF($S125="","",INDEX(TRANSACTIONS_MASTER!$K$5:$K$1204,$S125))</f>
        <v/>
      </c>
      <c r="V125" s="25" t="str">
        <f>IF($S125="","",SUMIFS(TRANSACTIONS_MASTER!$L$5:$L$1204,TRANSACTIONS_MASTER!$K$5:$K$1204,$U125,TRANSACTIONS_MASTER!$C$5:$C$1204,$C$2,TRANSACTIONS_MASTER!$U$5:$U$1204,"&lt;&gt;Cancelled"))</f>
        <v/>
      </c>
      <c r="W125" s="26" t="str">
        <f>IF($S125="","",SUMIFS(TRANSACTIONS_MASTER!$Q$5:$Q$1204,TRANSACTIONS_MASTER!$K$5:$K$1204,$U125,TRANSACTIONS_MASTER!$C$5:$C$1204,$C$2))</f>
        <v/>
      </c>
    </row>
    <row r="126">
      <c r="A126" s="81" t="str">
        <f>IF($Q126="","",119)</f>
        <v/>
      </c>
      <c r="B126" s="57" t="str">
        <f>IF($Q126="","",INDEX(TRANSACTIONS_MASTER!$B$5:$B$1204,$Q126))</f>
        <v/>
      </c>
      <c r="C126" s="55" t="str">
        <f>IF($Q126="","",INDEX(TRANSACTIONS_MASTER!$F$5:$F$1204,$Q126))</f>
        <v/>
      </c>
      <c r="D126" s="55" t="str">
        <f>IF($Q126="","",INDEX(TRANSACTIONS_MASTER!$E$5:$E$1204,$Q126))</f>
        <v/>
      </c>
      <c r="E126" s="55" t="str">
        <f>IF($Q126="","",INDEX(TRANSACTIONS_MASTER!$G$5:$G$1204,$Q126)&amp;"")</f>
        <v/>
      </c>
      <c r="F126" s="29" t="str">
        <f>IF($Q126="","",INDEX(TRANSACTIONS_MASTER!$I$5:$I$1204,$Q126))</f>
        <v/>
      </c>
      <c r="G126" s="55" t="str">
        <f>IF($Q126="","",INDEX(TRANSACTIONS_MASTER!$K$5:$K$1204,$Q126))</f>
        <v/>
      </c>
      <c r="H126" s="25" t="str">
        <f>IF($Q126="","",INDEX(TRANSACTIONS_MASTER!$L$5:$L$1204,$Q126))</f>
        <v/>
      </c>
      <c r="I126" s="56" t="str">
        <f>IF($Q126="","",INDEX(TRANSACTIONS_MASTER!$N$5:$N$1204,$Q126))</f>
        <v/>
      </c>
      <c r="J126" s="25" t="str">
        <f>IF($Q126="","",INDEX(TRANSACTIONS_MASTER!$O$5:$O$1204,$Q126))</f>
        <v/>
      </c>
      <c r="K126" s="26" t="str">
        <f>IF($Q126="","",INDEX(TRANSACTIONS_MASTER!$Q$5:$Q$1204,$Q126))</f>
        <v/>
      </c>
      <c r="L126" s="25" t="str">
        <f>IF($Q126="","",INDEX(TRANSACTIONS_MASTER!$P$5:$P$1204,$Q126))</f>
        <v/>
      </c>
      <c r="M126" s="25" t="str">
        <f>IF($Q126="","",INDEX(TRANSACTIONS_MASTER!$AA$5:$AA$1204,$Q126))</f>
        <v/>
      </c>
      <c r="N126" s="25" t="str">
        <f>IF($Q126="","",INDEX(TRANSACTIONS_MASTER!$R$5:$R$1204,$Q126))</f>
        <v/>
      </c>
      <c r="O126" s="28" t="str">
        <f>IF($Q126="","",INDEX(TRANSACTIONS_MASTER!$AB$5:$AB$1204,$Q126))</f>
        <v/>
      </c>
      <c r="P126" s="55" t="str">
        <f>IF($Q126="","",INDEX(TRANSACTIONS_MASTER!$Z$5:$Z$1204,$Q126)&amp;"")</f>
        <v/>
      </c>
      <c r="Q126" s="67" t="str">
        <f>IFERROR(MATCH($C$2&amp;"|"&amp;119,TRANSACTIONS_MASTER!$AE$5:$AE$1204,0),"")</f>
        <v/>
      </c>
      <c r="S126" s="67" t="str">
        <f>IFERROR(MATCH(1,INDEX((TRANSACTIONS_MASTER!$C$5:$C$1204=$C$2)*(TRANSACTIONS_MASTER!$AL$5:$AL$1204=10),0),0),"")</f>
        <v/>
      </c>
      <c r="T126" s="55" t="n"/>
      <c r="U126" s="55" t="str">
        <f>IF($S126="","",INDEX(TRANSACTIONS_MASTER!$K$5:$K$1204,$S126))</f>
        <v/>
      </c>
      <c r="V126" s="25" t="str">
        <f>IF($S126="","",SUMIFS(TRANSACTIONS_MASTER!$L$5:$L$1204,TRANSACTIONS_MASTER!$K$5:$K$1204,$U126,TRANSACTIONS_MASTER!$C$5:$C$1204,$C$2,TRANSACTIONS_MASTER!$U$5:$U$1204,"&lt;&gt;Cancelled"))</f>
        <v/>
      </c>
      <c r="W126" s="26" t="str">
        <f>IF($S126="","",SUMIFS(TRANSACTIONS_MASTER!$Q$5:$Q$1204,TRANSACTIONS_MASTER!$K$5:$K$1204,$U126,TRANSACTIONS_MASTER!$C$5:$C$1204,$C$2))</f>
        <v/>
      </c>
    </row>
    <row r="127">
      <c r="A127" s="81" t="str">
        <f>IF($Q127="","",120)</f>
        <v/>
      </c>
      <c r="B127" s="57" t="str">
        <f>IF($Q127="","",INDEX(TRANSACTIONS_MASTER!$B$5:$B$1204,$Q127))</f>
        <v/>
      </c>
      <c r="C127" s="55" t="str">
        <f>IF($Q127="","",INDEX(TRANSACTIONS_MASTER!$F$5:$F$1204,$Q127))</f>
        <v/>
      </c>
      <c r="D127" s="55" t="str">
        <f>IF($Q127="","",INDEX(TRANSACTIONS_MASTER!$E$5:$E$1204,$Q127))</f>
        <v/>
      </c>
      <c r="E127" s="55" t="str">
        <f>IF($Q127="","",INDEX(TRANSACTIONS_MASTER!$G$5:$G$1204,$Q127)&amp;"")</f>
        <v/>
      </c>
      <c r="F127" s="29" t="str">
        <f>IF($Q127="","",INDEX(TRANSACTIONS_MASTER!$I$5:$I$1204,$Q127))</f>
        <v/>
      </c>
      <c r="G127" s="55" t="str">
        <f>IF($Q127="","",INDEX(TRANSACTIONS_MASTER!$K$5:$K$1204,$Q127))</f>
        <v/>
      </c>
      <c r="H127" s="25" t="str">
        <f>IF($Q127="","",INDEX(TRANSACTIONS_MASTER!$L$5:$L$1204,$Q127))</f>
        <v/>
      </c>
      <c r="I127" s="56" t="str">
        <f>IF($Q127="","",INDEX(TRANSACTIONS_MASTER!$N$5:$N$1204,$Q127))</f>
        <v/>
      </c>
      <c r="J127" s="25" t="str">
        <f>IF($Q127="","",INDEX(TRANSACTIONS_MASTER!$O$5:$O$1204,$Q127))</f>
        <v/>
      </c>
      <c r="K127" s="26" t="str">
        <f>IF($Q127="","",INDEX(TRANSACTIONS_MASTER!$Q$5:$Q$1204,$Q127))</f>
        <v/>
      </c>
      <c r="L127" s="25" t="str">
        <f>IF($Q127="","",INDEX(TRANSACTIONS_MASTER!$P$5:$P$1204,$Q127))</f>
        <v/>
      </c>
      <c r="M127" s="25" t="str">
        <f>IF($Q127="","",INDEX(TRANSACTIONS_MASTER!$AA$5:$AA$1204,$Q127))</f>
        <v/>
      </c>
      <c r="N127" s="25" t="str">
        <f>IF($Q127="","",INDEX(TRANSACTIONS_MASTER!$R$5:$R$1204,$Q127))</f>
        <v/>
      </c>
      <c r="O127" s="28" t="str">
        <f>IF($Q127="","",INDEX(TRANSACTIONS_MASTER!$AB$5:$AB$1204,$Q127))</f>
        <v/>
      </c>
      <c r="P127" s="55" t="str">
        <f>IF($Q127="","",INDEX(TRANSACTIONS_MASTER!$Z$5:$Z$1204,$Q127)&amp;"")</f>
        <v/>
      </c>
      <c r="Q127" s="67" t="str">
        <f>IFERROR(MATCH($C$2&amp;"|"&amp;120,TRANSACTIONS_MASTER!$AE$5:$AE$1204,0),"")</f>
        <v/>
      </c>
      <c r="S127" s="67" t="str">
        <f>IFERROR(MATCH(1,INDEX((TRANSACTIONS_MASTER!$C$5:$C$1204=$C$2)*(TRANSACTIONS_MASTER!$AL$5:$AL$1204=11),0),0),"")</f>
        <v/>
      </c>
      <c r="T127" s="55" t="n"/>
      <c r="U127" s="55" t="str">
        <f>IF($S127="","",INDEX(TRANSACTIONS_MASTER!$K$5:$K$1204,$S127))</f>
        <v/>
      </c>
      <c r="V127" s="25" t="str">
        <f>IF($S127="","",SUMIFS(TRANSACTIONS_MASTER!$L$5:$L$1204,TRANSACTIONS_MASTER!$K$5:$K$1204,$U127,TRANSACTIONS_MASTER!$C$5:$C$1204,$C$2,TRANSACTIONS_MASTER!$U$5:$U$1204,"&lt;&gt;Cancelled"))</f>
        <v/>
      </c>
      <c r="W127" s="26" t="str">
        <f>IF($S127="","",SUMIFS(TRANSACTIONS_MASTER!$Q$5:$Q$1204,TRANSACTIONS_MASTER!$K$5:$K$1204,$U127,TRANSACTIONS_MASTER!$C$5:$C$1204,$C$2))</f>
        <v/>
      </c>
    </row>
    <row r="128">
      <c r="A128" s="81" t="str">
        <f>IF($Q128="","",121)</f>
        <v/>
      </c>
      <c r="B128" s="57" t="str">
        <f>IF($Q128="","",INDEX(TRANSACTIONS_MASTER!$B$5:$B$1204,$Q128))</f>
        <v/>
      </c>
      <c r="C128" s="55" t="str">
        <f>IF($Q128="","",INDEX(TRANSACTIONS_MASTER!$F$5:$F$1204,$Q128))</f>
        <v/>
      </c>
      <c r="D128" s="55" t="str">
        <f>IF($Q128="","",INDEX(TRANSACTIONS_MASTER!$E$5:$E$1204,$Q128))</f>
        <v/>
      </c>
      <c r="E128" s="55" t="str">
        <f>IF($Q128="","",INDEX(TRANSACTIONS_MASTER!$G$5:$G$1204,$Q128)&amp;"")</f>
        <v/>
      </c>
      <c r="F128" s="29" t="str">
        <f>IF($Q128="","",INDEX(TRANSACTIONS_MASTER!$I$5:$I$1204,$Q128))</f>
        <v/>
      </c>
      <c r="G128" s="55" t="str">
        <f>IF($Q128="","",INDEX(TRANSACTIONS_MASTER!$K$5:$K$1204,$Q128))</f>
        <v/>
      </c>
      <c r="H128" s="25" t="str">
        <f>IF($Q128="","",INDEX(TRANSACTIONS_MASTER!$L$5:$L$1204,$Q128))</f>
        <v/>
      </c>
      <c r="I128" s="56" t="str">
        <f>IF($Q128="","",INDEX(TRANSACTIONS_MASTER!$N$5:$N$1204,$Q128))</f>
        <v/>
      </c>
      <c r="J128" s="25" t="str">
        <f>IF($Q128="","",INDEX(TRANSACTIONS_MASTER!$O$5:$O$1204,$Q128))</f>
        <v/>
      </c>
      <c r="K128" s="26" t="str">
        <f>IF($Q128="","",INDEX(TRANSACTIONS_MASTER!$Q$5:$Q$1204,$Q128))</f>
        <v/>
      </c>
      <c r="L128" s="25" t="str">
        <f>IF($Q128="","",INDEX(TRANSACTIONS_MASTER!$P$5:$P$1204,$Q128))</f>
        <v/>
      </c>
      <c r="M128" s="25" t="str">
        <f>IF($Q128="","",INDEX(TRANSACTIONS_MASTER!$AA$5:$AA$1204,$Q128))</f>
        <v/>
      </c>
      <c r="N128" s="25" t="str">
        <f>IF($Q128="","",INDEX(TRANSACTIONS_MASTER!$R$5:$R$1204,$Q128))</f>
        <v/>
      </c>
      <c r="O128" s="28" t="str">
        <f>IF($Q128="","",INDEX(TRANSACTIONS_MASTER!$AB$5:$AB$1204,$Q128))</f>
        <v/>
      </c>
      <c r="P128" s="55" t="str">
        <f>IF($Q128="","",INDEX(TRANSACTIONS_MASTER!$Z$5:$Z$1204,$Q128)&amp;"")</f>
        <v/>
      </c>
      <c r="Q128" s="67" t="str">
        <f>IFERROR(MATCH($C$2&amp;"|"&amp;121,TRANSACTIONS_MASTER!$AE$5:$AE$1204,0),"")</f>
        <v/>
      </c>
      <c r="S128" s="67" t="str">
        <f>IFERROR(MATCH(1,INDEX((TRANSACTIONS_MASTER!$C$5:$C$1204=$C$2)*(TRANSACTIONS_MASTER!$AL$5:$AL$1204=12),0),0),"")</f>
        <v/>
      </c>
      <c r="T128" s="55" t="n"/>
      <c r="U128" s="55" t="str">
        <f>IF($S128="","",INDEX(TRANSACTIONS_MASTER!$K$5:$K$1204,$S128))</f>
        <v/>
      </c>
      <c r="V128" s="25" t="str">
        <f>IF($S128="","",SUMIFS(TRANSACTIONS_MASTER!$L$5:$L$1204,TRANSACTIONS_MASTER!$K$5:$K$1204,$U128,TRANSACTIONS_MASTER!$C$5:$C$1204,$C$2,TRANSACTIONS_MASTER!$U$5:$U$1204,"&lt;&gt;Cancelled"))</f>
        <v/>
      </c>
      <c r="W128" s="26" t="str">
        <f>IF($S128="","",SUMIFS(TRANSACTIONS_MASTER!$Q$5:$Q$1204,TRANSACTIONS_MASTER!$K$5:$K$1204,$U128,TRANSACTIONS_MASTER!$C$5:$C$1204,$C$2))</f>
        <v/>
      </c>
    </row>
    <row r="129">
      <c r="A129" s="81" t="str">
        <f>IF($Q129="","",122)</f>
        <v/>
      </c>
      <c r="B129" s="57" t="str">
        <f>IF($Q129="","",INDEX(TRANSACTIONS_MASTER!$B$5:$B$1204,$Q129))</f>
        <v/>
      </c>
      <c r="C129" s="55" t="str">
        <f>IF($Q129="","",INDEX(TRANSACTIONS_MASTER!$F$5:$F$1204,$Q129))</f>
        <v/>
      </c>
      <c r="D129" s="55" t="str">
        <f>IF($Q129="","",INDEX(TRANSACTIONS_MASTER!$E$5:$E$1204,$Q129))</f>
        <v/>
      </c>
      <c r="E129" s="55" t="str">
        <f>IF($Q129="","",INDEX(TRANSACTIONS_MASTER!$G$5:$G$1204,$Q129)&amp;"")</f>
        <v/>
      </c>
      <c r="F129" s="29" t="str">
        <f>IF($Q129="","",INDEX(TRANSACTIONS_MASTER!$I$5:$I$1204,$Q129))</f>
        <v/>
      </c>
      <c r="G129" s="55" t="str">
        <f>IF($Q129="","",INDEX(TRANSACTIONS_MASTER!$K$5:$K$1204,$Q129))</f>
        <v/>
      </c>
      <c r="H129" s="25" t="str">
        <f>IF($Q129="","",INDEX(TRANSACTIONS_MASTER!$L$5:$L$1204,$Q129))</f>
        <v/>
      </c>
      <c r="I129" s="56" t="str">
        <f>IF($Q129="","",INDEX(TRANSACTIONS_MASTER!$N$5:$N$1204,$Q129))</f>
        <v/>
      </c>
      <c r="J129" s="25" t="str">
        <f>IF($Q129="","",INDEX(TRANSACTIONS_MASTER!$O$5:$O$1204,$Q129))</f>
        <v/>
      </c>
      <c r="K129" s="26" t="str">
        <f>IF($Q129="","",INDEX(TRANSACTIONS_MASTER!$Q$5:$Q$1204,$Q129))</f>
        <v/>
      </c>
      <c r="L129" s="25" t="str">
        <f>IF($Q129="","",INDEX(TRANSACTIONS_MASTER!$P$5:$P$1204,$Q129))</f>
        <v/>
      </c>
      <c r="M129" s="25" t="str">
        <f>IF($Q129="","",INDEX(TRANSACTIONS_MASTER!$AA$5:$AA$1204,$Q129))</f>
        <v/>
      </c>
      <c r="N129" s="25" t="str">
        <f>IF($Q129="","",INDEX(TRANSACTIONS_MASTER!$R$5:$R$1204,$Q129))</f>
        <v/>
      </c>
      <c r="O129" s="28" t="str">
        <f>IF($Q129="","",INDEX(TRANSACTIONS_MASTER!$AB$5:$AB$1204,$Q129))</f>
        <v/>
      </c>
      <c r="P129" s="55" t="str">
        <f>IF($Q129="","",INDEX(TRANSACTIONS_MASTER!$Z$5:$Z$1204,$Q129)&amp;"")</f>
        <v/>
      </c>
      <c r="Q129" s="67" t="str">
        <f>IFERROR(MATCH($C$2&amp;"|"&amp;122,TRANSACTIONS_MASTER!$AE$5:$AE$1204,0),"")</f>
        <v/>
      </c>
      <c r="S129" s="67" t="str">
        <f>IFERROR(MATCH(1,INDEX((TRANSACTIONS_MASTER!$C$5:$C$1204=$C$2)*(TRANSACTIONS_MASTER!$AL$5:$AL$1204=13),0),0),"")</f>
        <v/>
      </c>
      <c r="T129" s="55" t="n"/>
      <c r="U129" s="55" t="str">
        <f>IF($S129="","",INDEX(TRANSACTIONS_MASTER!$K$5:$K$1204,$S129))</f>
        <v/>
      </c>
      <c r="V129" s="25" t="str">
        <f>IF($S129="","",SUMIFS(TRANSACTIONS_MASTER!$L$5:$L$1204,TRANSACTIONS_MASTER!$K$5:$K$1204,$U129,TRANSACTIONS_MASTER!$C$5:$C$1204,$C$2,TRANSACTIONS_MASTER!$U$5:$U$1204,"&lt;&gt;Cancelled"))</f>
        <v/>
      </c>
      <c r="W129" s="26" t="str">
        <f>IF($S129="","",SUMIFS(TRANSACTIONS_MASTER!$Q$5:$Q$1204,TRANSACTIONS_MASTER!$K$5:$K$1204,$U129,TRANSACTIONS_MASTER!$C$5:$C$1204,$C$2))</f>
        <v/>
      </c>
    </row>
    <row r="130">
      <c r="A130" s="81" t="str">
        <f>IF($Q130="","",123)</f>
        <v/>
      </c>
      <c r="B130" s="57" t="str">
        <f>IF($Q130="","",INDEX(TRANSACTIONS_MASTER!$B$5:$B$1204,$Q130))</f>
        <v/>
      </c>
      <c r="C130" s="55" t="str">
        <f>IF($Q130="","",INDEX(TRANSACTIONS_MASTER!$F$5:$F$1204,$Q130))</f>
        <v/>
      </c>
      <c r="D130" s="55" t="str">
        <f>IF($Q130="","",INDEX(TRANSACTIONS_MASTER!$E$5:$E$1204,$Q130))</f>
        <v/>
      </c>
      <c r="E130" s="55" t="str">
        <f>IF($Q130="","",INDEX(TRANSACTIONS_MASTER!$G$5:$G$1204,$Q130)&amp;"")</f>
        <v/>
      </c>
      <c r="F130" s="29" t="str">
        <f>IF($Q130="","",INDEX(TRANSACTIONS_MASTER!$I$5:$I$1204,$Q130))</f>
        <v/>
      </c>
      <c r="G130" s="55" t="str">
        <f>IF($Q130="","",INDEX(TRANSACTIONS_MASTER!$K$5:$K$1204,$Q130))</f>
        <v/>
      </c>
      <c r="H130" s="25" t="str">
        <f>IF($Q130="","",INDEX(TRANSACTIONS_MASTER!$L$5:$L$1204,$Q130))</f>
        <v/>
      </c>
      <c r="I130" s="56" t="str">
        <f>IF($Q130="","",INDEX(TRANSACTIONS_MASTER!$N$5:$N$1204,$Q130))</f>
        <v/>
      </c>
      <c r="J130" s="25" t="str">
        <f>IF($Q130="","",INDEX(TRANSACTIONS_MASTER!$O$5:$O$1204,$Q130))</f>
        <v/>
      </c>
      <c r="K130" s="26" t="str">
        <f>IF($Q130="","",INDEX(TRANSACTIONS_MASTER!$Q$5:$Q$1204,$Q130))</f>
        <v/>
      </c>
      <c r="L130" s="25" t="str">
        <f>IF($Q130="","",INDEX(TRANSACTIONS_MASTER!$P$5:$P$1204,$Q130))</f>
        <v/>
      </c>
      <c r="M130" s="25" t="str">
        <f>IF($Q130="","",INDEX(TRANSACTIONS_MASTER!$AA$5:$AA$1204,$Q130))</f>
        <v/>
      </c>
      <c r="N130" s="25" t="str">
        <f>IF($Q130="","",INDEX(TRANSACTIONS_MASTER!$R$5:$R$1204,$Q130))</f>
        <v/>
      </c>
      <c r="O130" s="28" t="str">
        <f>IF($Q130="","",INDEX(TRANSACTIONS_MASTER!$AB$5:$AB$1204,$Q130))</f>
        <v/>
      </c>
      <c r="P130" s="55" t="str">
        <f>IF($Q130="","",INDEX(TRANSACTIONS_MASTER!$Z$5:$Z$1204,$Q130)&amp;"")</f>
        <v/>
      </c>
      <c r="Q130" s="67" t="str">
        <f>IFERROR(MATCH($C$2&amp;"|"&amp;123,TRANSACTIONS_MASTER!$AE$5:$AE$1204,0),"")</f>
        <v/>
      </c>
      <c r="S130" s="67" t="str">
        <f>IFERROR(MATCH(1,INDEX((TRANSACTIONS_MASTER!$C$5:$C$1204=$C$2)*(TRANSACTIONS_MASTER!$AL$5:$AL$1204=14),0),0),"")</f>
        <v/>
      </c>
      <c r="T130" s="55" t="n"/>
      <c r="U130" s="55" t="str">
        <f>IF($S130="","",INDEX(TRANSACTIONS_MASTER!$K$5:$K$1204,$S130))</f>
        <v/>
      </c>
      <c r="V130" s="25" t="str">
        <f>IF($S130="","",SUMIFS(TRANSACTIONS_MASTER!$L$5:$L$1204,TRANSACTIONS_MASTER!$K$5:$K$1204,$U130,TRANSACTIONS_MASTER!$C$5:$C$1204,$C$2,TRANSACTIONS_MASTER!$U$5:$U$1204,"&lt;&gt;Cancelled"))</f>
        <v/>
      </c>
      <c r="W130" s="26" t="str">
        <f>IF($S130="","",SUMIFS(TRANSACTIONS_MASTER!$Q$5:$Q$1204,TRANSACTIONS_MASTER!$K$5:$K$1204,$U130,TRANSACTIONS_MASTER!$C$5:$C$1204,$C$2))</f>
        <v/>
      </c>
    </row>
    <row r="131">
      <c r="A131" s="81" t="str">
        <f>IF($Q131="","",124)</f>
        <v/>
      </c>
      <c r="B131" s="57" t="str">
        <f>IF($Q131="","",INDEX(TRANSACTIONS_MASTER!$B$5:$B$1204,$Q131))</f>
        <v/>
      </c>
      <c r="C131" s="55" t="str">
        <f>IF($Q131="","",INDEX(TRANSACTIONS_MASTER!$F$5:$F$1204,$Q131))</f>
        <v/>
      </c>
      <c r="D131" s="55" t="str">
        <f>IF($Q131="","",INDEX(TRANSACTIONS_MASTER!$E$5:$E$1204,$Q131))</f>
        <v/>
      </c>
      <c r="E131" s="55" t="str">
        <f>IF($Q131="","",INDEX(TRANSACTIONS_MASTER!$G$5:$G$1204,$Q131)&amp;"")</f>
        <v/>
      </c>
      <c r="F131" s="29" t="str">
        <f>IF($Q131="","",INDEX(TRANSACTIONS_MASTER!$I$5:$I$1204,$Q131))</f>
        <v/>
      </c>
      <c r="G131" s="55" t="str">
        <f>IF($Q131="","",INDEX(TRANSACTIONS_MASTER!$K$5:$K$1204,$Q131))</f>
        <v/>
      </c>
      <c r="H131" s="25" t="str">
        <f>IF($Q131="","",INDEX(TRANSACTIONS_MASTER!$L$5:$L$1204,$Q131))</f>
        <v/>
      </c>
      <c r="I131" s="56" t="str">
        <f>IF($Q131="","",INDEX(TRANSACTIONS_MASTER!$N$5:$N$1204,$Q131))</f>
        <v/>
      </c>
      <c r="J131" s="25" t="str">
        <f>IF($Q131="","",INDEX(TRANSACTIONS_MASTER!$O$5:$O$1204,$Q131))</f>
        <v/>
      </c>
      <c r="K131" s="26" t="str">
        <f>IF($Q131="","",INDEX(TRANSACTIONS_MASTER!$Q$5:$Q$1204,$Q131))</f>
        <v/>
      </c>
      <c r="L131" s="25" t="str">
        <f>IF($Q131="","",INDEX(TRANSACTIONS_MASTER!$P$5:$P$1204,$Q131))</f>
        <v/>
      </c>
      <c r="M131" s="25" t="str">
        <f>IF($Q131="","",INDEX(TRANSACTIONS_MASTER!$AA$5:$AA$1204,$Q131))</f>
        <v/>
      </c>
      <c r="N131" s="25" t="str">
        <f>IF($Q131="","",INDEX(TRANSACTIONS_MASTER!$R$5:$R$1204,$Q131))</f>
        <v/>
      </c>
      <c r="O131" s="28" t="str">
        <f>IF($Q131="","",INDEX(TRANSACTIONS_MASTER!$AB$5:$AB$1204,$Q131))</f>
        <v/>
      </c>
      <c r="P131" s="55" t="str">
        <f>IF($Q131="","",INDEX(TRANSACTIONS_MASTER!$Z$5:$Z$1204,$Q131)&amp;"")</f>
        <v/>
      </c>
      <c r="Q131" s="67" t="str">
        <f>IFERROR(MATCH($C$2&amp;"|"&amp;124,TRANSACTIONS_MASTER!$AE$5:$AE$1204,0),"")</f>
        <v/>
      </c>
      <c r="S131" s="67" t="str">
        <f>IFERROR(MATCH(1,INDEX((TRANSACTIONS_MASTER!$C$5:$C$1204=$C$2)*(TRANSACTIONS_MASTER!$AL$5:$AL$1204=15),0),0),"")</f>
        <v/>
      </c>
      <c r="T131" s="55" t="n"/>
      <c r="U131" s="55" t="str">
        <f>IF($S131="","",INDEX(TRANSACTIONS_MASTER!$K$5:$K$1204,$S131))</f>
        <v/>
      </c>
      <c r="V131" s="25" t="str">
        <f>IF($S131="","",SUMIFS(TRANSACTIONS_MASTER!$L$5:$L$1204,TRANSACTIONS_MASTER!$K$5:$K$1204,$U131,TRANSACTIONS_MASTER!$C$5:$C$1204,$C$2,TRANSACTIONS_MASTER!$U$5:$U$1204,"&lt;&gt;Cancelled"))</f>
        <v/>
      </c>
      <c r="W131" s="26" t="str">
        <f>IF($S131="","",SUMIFS(TRANSACTIONS_MASTER!$Q$5:$Q$1204,TRANSACTIONS_MASTER!$K$5:$K$1204,$U131,TRANSACTIONS_MASTER!$C$5:$C$1204,$C$2))</f>
        <v/>
      </c>
    </row>
    <row r="132">
      <c r="A132" s="81" t="str">
        <f>IF($Q132="","",125)</f>
        <v/>
      </c>
      <c r="B132" s="57" t="str">
        <f>IF($Q132="","",INDEX(TRANSACTIONS_MASTER!$B$5:$B$1204,$Q132))</f>
        <v/>
      </c>
      <c r="C132" s="55" t="str">
        <f>IF($Q132="","",INDEX(TRANSACTIONS_MASTER!$F$5:$F$1204,$Q132))</f>
        <v/>
      </c>
      <c r="D132" s="55" t="str">
        <f>IF($Q132="","",INDEX(TRANSACTIONS_MASTER!$E$5:$E$1204,$Q132))</f>
        <v/>
      </c>
      <c r="E132" s="55" t="str">
        <f>IF($Q132="","",INDEX(TRANSACTIONS_MASTER!$G$5:$G$1204,$Q132)&amp;"")</f>
        <v/>
      </c>
      <c r="F132" s="29" t="str">
        <f>IF($Q132="","",INDEX(TRANSACTIONS_MASTER!$I$5:$I$1204,$Q132))</f>
        <v/>
      </c>
      <c r="G132" s="55" t="str">
        <f>IF($Q132="","",INDEX(TRANSACTIONS_MASTER!$K$5:$K$1204,$Q132))</f>
        <v/>
      </c>
      <c r="H132" s="25" t="str">
        <f>IF($Q132="","",INDEX(TRANSACTIONS_MASTER!$L$5:$L$1204,$Q132))</f>
        <v/>
      </c>
      <c r="I132" s="56" t="str">
        <f>IF($Q132="","",INDEX(TRANSACTIONS_MASTER!$N$5:$N$1204,$Q132))</f>
        <v/>
      </c>
      <c r="J132" s="25" t="str">
        <f>IF($Q132="","",INDEX(TRANSACTIONS_MASTER!$O$5:$O$1204,$Q132))</f>
        <v/>
      </c>
      <c r="K132" s="26" t="str">
        <f>IF($Q132="","",INDEX(TRANSACTIONS_MASTER!$Q$5:$Q$1204,$Q132))</f>
        <v/>
      </c>
      <c r="L132" s="25" t="str">
        <f>IF($Q132="","",INDEX(TRANSACTIONS_MASTER!$P$5:$P$1204,$Q132))</f>
        <v/>
      </c>
      <c r="M132" s="25" t="str">
        <f>IF($Q132="","",INDEX(TRANSACTIONS_MASTER!$AA$5:$AA$1204,$Q132))</f>
        <v/>
      </c>
      <c r="N132" s="25" t="str">
        <f>IF($Q132="","",INDEX(TRANSACTIONS_MASTER!$R$5:$R$1204,$Q132))</f>
        <v/>
      </c>
      <c r="O132" s="28" t="str">
        <f>IF($Q132="","",INDEX(TRANSACTIONS_MASTER!$AB$5:$AB$1204,$Q132))</f>
        <v/>
      </c>
      <c r="P132" s="55" t="str">
        <f>IF($Q132="","",INDEX(TRANSACTIONS_MASTER!$Z$5:$Z$1204,$Q132)&amp;"")</f>
        <v/>
      </c>
      <c r="Q132" s="67" t="str">
        <f>IFERROR(MATCH($C$2&amp;"|"&amp;125,TRANSACTIONS_MASTER!$AE$5:$AE$1204,0),"")</f>
        <v/>
      </c>
      <c r="T132" s="45" t="n"/>
      <c r="U132" s="82" t="inlineStr">
        <is>
          <t>Khác (ngoài danh sách)</t>
        </is>
      </c>
      <c r="V132" s="48">
        <f>MAX(0,SUMIFS(TRANSACTIONS_MASTER!$L$5:$L$1204,TRANSACTIONS_MASTER!$C$5:$C$1204,$C$2,TRANSACTIONS_MASTER!$U$5:$U$1204,"&lt;&gt;Cancelled")-SUM(V117:V131))</f>
        <v>0</v>
      </c>
      <c r="W132" s="48">
        <f>MAX(0,SUMIFS(TRANSACTIONS_MASTER!$Q$5:$Q$1204,TRANSACTIONS_MASTER!$C$5:$C$1204,$C$2)-SUM(W117:W131))</f>
        <v>0</v>
      </c>
    </row>
    <row r="133">
      <c r="A133" s="81" t="str">
        <f>IF($Q133="","",126)</f>
        <v/>
      </c>
      <c r="B133" s="57" t="str">
        <f>IF($Q133="","",INDEX(TRANSACTIONS_MASTER!$B$5:$B$1204,$Q133))</f>
        <v/>
      </c>
      <c r="C133" s="55" t="str">
        <f>IF($Q133="","",INDEX(TRANSACTIONS_MASTER!$F$5:$F$1204,$Q133))</f>
        <v/>
      </c>
      <c r="D133" s="55" t="str">
        <f>IF($Q133="","",INDEX(TRANSACTIONS_MASTER!$E$5:$E$1204,$Q133))</f>
        <v/>
      </c>
      <c r="E133" s="55" t="str">
        <f>IF($Q133="","",INDEX(TRANSACTIONS_MASTER!$G$5:$G$1204,$Q133)&amp;"")</f>
        <v/>
      </c>
      <c r="F133" s="29" t="str">
        <f>IF($Q133="","",INDEX(TRANSACTIONS_MASTER!$I$5:$I$1204,$Q133))</f>
        <v/>
      </c>
      <c r="G133" s="55" t="str">
        <f>IF($Q133="","",INDEX(TRANSACTIONS_MASTER!$K$5:$K$1204,$Q133))</f>
        <v/>
      </c>
      <c r="H133" s="25" t="str">
        <f>IF($Q133="","",INDEX(TRANSACTIONS_MASTER!$L$5:$L$1204,$Q133))</f>
        <v/>
      </c>
      <c r="I133" s="56" t="str">
        <f>IF($Q133="","",INDEX(TRANSACTIONS_MASTER!$N$5:$N$1204,$Q133))</f>
        <v/>
      </c>
      <c r="J133" s="25" t="str">
        <f>IF($Q133="","",INDEX(TRANSACTIONS_MASTER!$O$5:$O$1204,$Q133))</f>
        <v/>
      </c>
      <c r="K133" s="26" t="str">
        <f>IF($Q133="","",INDEX(TRANSACTIONS_MASTER!$Q$5:$Q$1204,$Q133))</f>
        <v/>
      </c>
      <c r="L133" s="25" t="str">
        <f>IF($Q133="","",INDEX(TRANSACTIONS_MASTER!$P$5:$P$1204,$Q133))</f>
        <v/>
      </c>
      <c r="M133" s="25" t="str">
        <f>IF($Q133="","",INDEX(TRANSACTIONS_MASTER!$AA$5:$AA$1204,$Q133))</f>
        <v/>
      </c>
      <c r="N133" s="25" t="str">
        <f>IF($Q133="","",INDEX(TRANSACTIONS_MASTER!$R$5:$R$1204,$Q133))</f>
        <v/>
      </c>
      <c r="O133" s="28" t="str">
        <f>IF($Q133="","",INDEX(TRANSACTIONS_MASTER!$AB$5:$AB$1204,$Q133))</f>
        <v/>
      </c>
      <c r="P133" s="55" t="str">
        <f>IF($Q133="","",INDEX(TRANSACTIONS_MASTER!$Z$5:$Z$1204,$Q133)&amp;"")</f>
        <v/>
      </c>
      <c r="Q133" s="67" t="str">
        <f>IFERROR(MATCH($C$2&amp;"|"&amp;126,TRANSACTIONS_MASTER!$AE$5:$AE$1204,0),"")</f>
        <v/>
      </c>
      <c r="T133" s="68" t="n"/>
      <c r="U133" s="69" t="inlineStr">
        <is>
          <t>TỔNG</t>
        </is>
      </c>
      <c r="V133" s="31">
        <f>SUM(V117:V132)</f>
        <v>54150000</v>
      </c>
      <c r="W133" s="31">
        <f>SUM(W117:W132)</f>
        <v>3880000</v>
      </c>
    </row>
    <row r="134">
      <c r="A134" s="81" t="str">
        <f>IF($Q134="","",127)</f>
        <v/>
      </c>
      <c r="B134" s="57" t="str">
        <f>IF($Q134="","",INDEX(TRANSACTIONS_MASTER!$B$5:$B$1204,$Q134))</f>
        <v/>
      </c>
      <c r="C134" s="55" t="str">
        <f>IF($Q134="","",INDEX(TRANSACTIONS_MASTER!$F$5:$F$1204,$Q134))</f>
        <v/>
      </c>
      <c r="D134" s="55" t="str">
        <f>IF($Q134="","",INDEX(TRANSACTIONS_MASTER!$E$5:$E$1204,$Q134))</f>
        <v/>
      </c>
      <c r="E134" s="55" t="str">
        <f>IF($Q134="","",INDEX(TRANSACTIONS_MASTER!$G$5:$G$1204,$Q134)&amp;"")</f>
        <v/>
      </c>
      <c r="F134" s="29" t="str">
        <f>IF($Q134="","",INDEX(TRANSACTIONS_MASTER!$I$5:$I$1204,$Q134))</f>
        <v/>
      </c>
      <c r="G134" s="55" t="str">
        <f>IF($Q134="","",INDEX(TRANSACTIONS_MASTER!$K$5:$K$1204,$Q134))</f>
        <v/>
      </c>
      <c r="H134" s="25" t="str">
        <f>IF($Q134="","",INDEX(TRANSACTIONS_MASTER!$L$5:$L$1204,$Q134))</f>
        <v/>
      </c>
      <c r="I134" s="56" t="str">
        <f>IF($Q134="","",INDEX(TRANSACTIONS_MASTER!$N$5:$N$1204,$Q134))</f>
        <v/>
      </c>
      <c r="J134" s="25" t="str">
        <f>IF($Q134="","",INDEX(TRANSACTIONS_MASTER!$O$5:$O$1204,$Q134))</f>
        <v/>
      </c>
      <c r="K134" s="26" t="str">
        <f>IF($Q134="","",INDEX(TRANSACTIONS_MASTER!$Q$5:$Q$1204,$Q134))</f>
        <v/>
      </c>
      <c r="L134" s="25" t="str">
        <f>IF($Q134="","",INDEX(TRANSACTIONS_MASTER!$P$5:$P$1204,$Q134))</f>
        <v/>
      </c>
      <c r="M134" s="25" t="str">
        <f>IF($Q134="","",INDEX(TRANSACTIONS_MASTER!$AA$5:$AA$1204,$Q134))</f>
        <v/>
      </c>
      <c r="N134" s="25" t="str">
        <f>IF($Q134="","",INDEX(TRANSACTIONS_MASTER!$R$5:$R$1204,$Q134))</f>
        <v/>
      </c>
      <c r="O134" s="28" t="str">
        <f>IF($Q134="","",INDEX(TRANSACTIONS_MASTER!$AB$5:$AB$1204,$Q134))</f>
        <v/>
      </c>
      <c r="P134" s="55" t="str">
        <f>IF($Q134="","",INDEX(TRANSACTIONS_MASTER!$Z$5:$Z$1204,$Q134)&amp;"")</f>
        <v/>
      </c>
      <c r="Q134" s="67" t="str">
        <f>IFERROR(MATCH($C$2&amp;"|"&amp;127,TRANSACTIONS_MASTER!$AE$5:$AE$1204,0),"")</f>
        <v/>
      </c>
    </row>
    <row r="135">
      <c r="A135" s="81" t="str">
        <f>IF($Q135="","",128)</f>
        <v/>
      </c>
      <c r="B135" s="57" t="str">
        <f>IF($Q135="","",INDEX(TRANSACTIONS_MASTER!$B$5:$B$1204,$Q135))</f>
        <v/>
      </c>
      <c r="C135" s="55" t="str">
        <f>IF($Q135="","",INDEX(TRANSACTIONS_MASTER!$F$5:$F$1204,$Q135))</f>
        <v/>
      </c>
      <c r="D135" s="55" t="str">
        <f>IF($Q135="","",INDEX(TRANSACTIONS_MASTER!$E$5:$E$1204,$Q135))</f>
        <v/>
      </c>
      <c r="E135" s="55" t="str">
        <f>IF($Q135="","",INDEX(TRANSACTIONS_MASTER!$G$5:$G$1204,$Q135)&amp;"")</f>
        <v/>
      </c>
      <c r="F135" s="29" t="str">
        <f>IF($Q135="","",INDEX(TRANSACTIONS_MASTER!$I$5:$I$1204,$Q135))</f>
        <v/>
      </c>
      <c r="G135" s="55" t="str">
        <f>IF($Q135="","",INDEX(TRANSACTIONS_MASTER!$K$5:$K$1204,$Q135))</f>
        <v/>
      </c>
      <c r="H135" s="25" t="str">
        <f>IF($Q135="","",INDEX(TRANSACTIONS_MASTER!$L$5:$L$1204,$Q135))</f>
        <v/>
      </c>
      <c r="I135" s="56" t="str">
        <f>IF($Q135="","",INDEX(TRANSACTIONS_MASTER!$N$5:$N$1204,$Q135))</f>
        <v/>
      </c>
      <c r="J135" s="25" t="str">
        <f>IF($Q135="","",INDEX(TRANSACTIONS_MASTER!$O$5:$O$1204,$Q135))</f>
        <v/>
      </c>
      <c r="K135" s="26" t="str">
        <f>IF($Q135="","",INDEX(TRANSACTIONS_MASTER!$Q$5:$Q$1204,$Q135))</f>
        <v/>
      </c>
      <c r="L135" s="25" t="str">
        <f>IF($Q135="","",INDEX(TRANSACTIONS_MASTER!$P$5:$P$1204,$Q135))</f>
        <v/>
      </c>
      <c r="M135" s="25" t="str">
        <f>IF($Q135="","",INDEX(TRANSACTIONS_MASTER!$AA$5:$AA$1204,$Q135))</f>
        <v/>
      </c>
      <c r="N135" s="25" t="str">
        <f>IF($Q135="","",INDEX(TRANSACTIONS_MASTER!$R$5:$R$1204,$Q135))</f>
        <v/>
      </c>
      <c r="O135" s="28" t="str">
        <f>IF($Q135="","",INDEX(TRANSACTIONS_MASTER!$AB$5:$AB$1204,$Q135))</f>
        <v/>
      </c>
      <c r="P135" s="55" t="str">
        <f>IF($Q135="","",INDEX(TRANSACTIONS_MASTER!$Z$5:$Z$1204,$Q135)&amp;"")</f>
        <v/>
      </c>
      <c r="Q135" s="67" t="str">
        <f>IFERROR(MATCH($C$2&amp;"|"&amp;128,TRANSACTIONS_MASTER!$AE$5:$AE$1204,0),"")</f>
        <v/>
      </c>
    </row>
    <row r="136" ht="22" customHeight="1">
      <c r="A136" s="81" t="str">
        <f>IF($Q136="","",129)</f>
        <v/>
      </c>
      <c r="B136" s="57" t="str">
        <f>IF($Q136="","",INDEX(TRANSACTIONS_MASTER!$B$5:$B$1204,$Q136))</f>
        <v/>
      </c>
      <c r="C136" s="55" t="str">
        <f>IF($Q136="","",INDEX(TRANSACTIONS_MASTER!$F$5:$F$1204,$Q136))</f>
        <v/>
      </c>
      <c r="D136" s="55" t="str">
        <f>IF($Q136="","",INDEX(TRANSACTIONS_MASTER!$E$5:$E$1204,$Q136))</f>
        <v/>
      </c>
      <c r="E136" s="55" t="str">
        <f>IF($Q136="","",INDEX(TRANSACTIONS_MASTER!$G$5:$G$1204,$Q136)&amp;"")</f>
        <v/>
      </c>
      <c r="F136" s="29" t="str">
        <f>IF($Q136="","",INDEX(TRANSACTIONS_MASTER!$I$5:$I$1204,$Q136))</f>
        <v/>
      </c>
      <c r="G136" s="55" t="str">
        <f>IF($Q136="","",INDEX(TRANSACTIONS_MASTER!$K$5:$K$1204,$Q136))</f>
        <v/>
      </c>
      <c r="H136" s="25" t="str">
        <f>IF($Q136="","",INDEX(TRANSACTIONS_MASTER!$L$5:$L$1204,$Q136))</f>
        <v/>
      </c>
      <c r="I136" s="56" t="str">
        <f>IF($Q136="","",INDEX(TRANSACTIONS_MASTER!$N$5:$N$1204,$Q136))</f>
        <v/>
      </c>
      <c r="J136" s="25" t="str">
        <f>IF($Q136="","",INDEX(TRANSACTIONS_MASTER!$O$5:$O$1204,$Q136))</f>
        <v/>
      </c>
      <c r="K136" s="26" t="str">
        <f>IF($Q136="","",INDEX(TRANSACTIONS_MASTER!$Q$5:$Q$1204,$Q136))</f>
        <v/>
      </c>
      <c r="L136" s="25" t="str">
        <f>IF($Q136="","",INDEX(TRANSACTIONS_MASTER!$P$5:$P$1204,$Q136))</f>
        <v/>
      </c>
      <c r="M136" s="25" t="str">
        <f>IF($Q136="","",INDEX(TRANSACTIONS_MASTER!$AA$5:$AA$1204,$Q136))</f>
        <v/>
      </c>
      <c r="N136" s="25" t="str">
        <f>IF($Q136="","",INDEX(TRANSACTIONS_MASTER!$R$5:$R$1204,$Q136))</f>
        <v/>
      </c>
      <c r="O136" s="28" t="str">
        <f>IF($Q136="","",INDEX(TRANSACTIONS_MASTER!$AB$5:$AB$1204,$Q136))</f>
        <v/>
      </c>
      <c r="P136" s="55" t="str">
        <f>IF($Q136="","",INDEX(TRANSACTIONS_MASTER!$Z$5:$Z$1204,$Q136)&amp;"")</f>
        <v/>
      </c>
      <c r="Q136" s="67" t="str">
        <f>IFERROR(MATCH($C$2&amp;"|"&amp;129,TRANSACTIONS_MASTER!$AE$5:$AE$1204,0),"")</f>
        <v/>
      </c>
      <c r="T136" s="19" t="inlineStr">
        <is>
          <t>THEO MCC</t>
        </is>
      </c>
      <c r="U136" s="20" t="n"/>
      <c r="V136" s="20" t="n"/>
      <c r="W136" s="20" t="n"/>
      <c r="X136" s="20" t="n"/>
      <c r="Y136" s="20" t="n"/>
      <c r="Z136" s="20" t="n"/>
      <c r="AA136" s="20" t="n"/>
    </row>
    <row r="137" ht="28" customHeight="1">
      <c r="A137" s="81" t="str">
        <f>IF($Q137="","",130)</f>
        <v/>
      </c>
      <c r="B137" s="57" t="str">
        <f>IF($Q137="","",INDEX(TRANSACTIONS_MASTER!$B$5:$B$1204,$Q137))</f>
        <v/>
      </c>
      <c r="C137" s="55" t="str">
        <f>IF($Q137="","",INDEX(TRANSACTIONS_MASTER!$F$5:$F$1204,$Q137))</f>
        <v/>
      </c>
      <c r="D137" s="55" t="str">
        <f>IF($Q137="","",INDEX(TRANSACTIONS_MASTER!$E$5:$E$1204,$Q137))</f>
        <v/>
      </c>
      <c r="E137" s="55" t="str">
        <f>IF($Q137="","",INDEX(TRANSACTIONS_MASTER!$G$5:$G$1204,$Q137)&amp;"")</f>
        <v/>
      </c>
      <c r="F137" s="29" t="str">
        <f>IF($Q137="","",INDEX(TRANSACTIONS_MASTER!$I$5:$I$1204,$Q137))</f>
        <v/>
      </c>
      <c r="G137" s="55" t="str">
        <f>IF($Q137="","",INDEX(TRANSACTIONS_MASTER!$K$5:$K$1204,$Q137))</f>
        <v/>
      </c>
      <c r="H137" s="25" t="str">
        <f>IF($Q137="","",INDEX(TRANSACTIONS_MASTER!$L$5:$L$1204,$Q137))</f>
        <v/>
      </c>
      <c r="I137" s="56" t="str">
        <f>IF($Q137="","",INDEX(TRANSACTIONS_MASTER!$N$5:$N$1204,$Q137))</f>
        <v/>
      </c>
      <c r="J137" s="25" t="str">
        <f>IF($Q137="","",INDEX(TRANSACTIONS_MASTER!$O$5:$O$1204,$Q137))</f>
        <v/>
      </c>
      <c r="K137" s="26" t="str">
        <f>IF($Q137="","",INDEX(TRANSACTIONS_MASTER!$Q$5:$Q$1204,$Q137))</f>
        <v/>
      </c>
      <c r="L137" s="25" t="str">
        <f>IF($Q137="","",INDEX(TRANSACTIONS_MASTER!$P$5:$P$1204,$Q137))</f>
        <v/>
      </c>
      <c r="M137" s="25" t="str">
        <f>IF($Q137="","",INDEX(TRANSACTIONS_MASTER!$AA$5:$AA$1204,$Q137))</f>
        <v/>
      </c>
      <c r="N137" s="25" t="str">
        <f>IF($Q137="","",INDEX(TRANSACTIONS_MASTER!$R$5:$R$1204,$Q137))</f>
        <v/>
      </c>
      <c r="O137" s="28" t="str">
        <f>IF($Q137="","",INDEX(TRANSACTIONS_MASTER!$AB$5:$AB$1204,$Q137))</f>
        <v/>
      </c>
      <c r="P137" s="55" t="str">
        <f>IF($Q137="","",INDEX(TRANSACTIONS_MASTER!$Z$5:$Z$1204,$Q137)&amp;"")</f>
        <v/>
      </c>
      <c r="Q137" s="67" t="str">
        <f>IFERROR(MATCH($C$2&amp;"|"&amp;130,TRANSACTIONS_MASTER!$AE$5:$AE$1204,0),"")</f>
        <v/>
      </c>
      <c r="S137" s="21" t="inlineStr">
        <is>
          <t>#</t>
        </is>
      </c>
      <c r="T137" s="21" t="inlineStr">
        <is>
          <t>MCC</t>
        </is>
      </c>
      <c r="U137" s="21" t="inlineStr">
        <is>
          <t>Tên MCC</t>
        </is>
      </c>
      <c r="V137" s="21" t="inlineStr">
        <is>
          <t>Chi tiêu</t>
        </is>
      </c>
      <c r="W137" s="21" t="inlineStr">
        <is>
          <t>Cashback</t>
        </is>
      </c>
    </row>
    <row r="138">
      <c r="A138" s="81" t="str">
        <f>IF($Q138="","",131)</f>
        <v/>
      </c>
      <c r="B138" s="57" t="str">
        <f>IF($Q138="","",INDEX(TRANSACTIONS_MASTER!$B$5:$B$1204,$Q138))</f>
        <v/>
      </c>
      <c r="C138" s="55" t="str">
        <f>IF($Q138="","",INDEX(TRANSACTIONS_MASTER!$F$5:$F$1204,$Q138))</f>
        <v/>
      </c>
      <c r="D138" s="55" t="str">
        <f>IF($Q138="","",INDEX(TRANSACTIONS_MASTER!$E$5:$E$1204,$Q138))</f>
        <v/>
      </c>
      <c r="E138" s="55" t="str">
        <f>IF($Q138="","",INDEX(TRANSACTIONS_MASTER!$G$5:$G$1204,$Q138)&amp;"")</f>
        <v/>
      </c>
      <c r="F138" s="29" t="str">
        <f>IF($Q138="","",INDEX(TRANSACTIONS_MASTER!$I$5:$I$1204,$Q138))</f>
        <v/>
      </c>
      <c r="G138" s="55" t="str">
        <f>IF($Q138="","",INDEX(TRANSACTIONS_MASTER!$K$5:$K$1204,$Q138))</f>
        <v/>
      </c>
      <c r="H138" s="25" t="str">
        <f>IF($Q138="","",INDEX(TRANSACTIONS_MASTER!$L$5:$L$1204,$Q138))</f>
        <v/>
      </c>
      <c r="I138" s="56" t="str">
        <f>IF($Q138="","",INDEX(TRANSACTIONS_MASTER!$N$5:$N$1204,$Q138))</f>
        <v/>
      </c>
      <c r="J138" s="25" t="str">
        <f>IF($Q138="","",INDEX(TRANSACTIONS_MASTER!$O$5:$O$1204,$Q138))</f>
        <v/>
      </c>
      <c r="K138" s="26" t="str">
        <f>IF($Q138="","",INDEX(TRANSACTIONS_MASTER!$Q$5:$Q$1204,$Q138))</f>
        <v/>
      </c>
      <c r="L138" s="25" t="str">
        <f>IF($Q138="","",INDEX(TRANSACTIONS_MASTER!$P$5:$P$1204,$Q138))</f>
        <v/>
      </c>
      <c r="M138" s="25" t="str">
        <f>IF($Q138="","",INDEX(TRANSACTIONS_MASTER!$AA$5:$AA$1204,$Q138))</f>
        <v/>
      </c>
      <c r="N138" s="25" t="str">
        <f>IF($Q138="","",INDEX(TRANSACTIONS_MASTER!$R$5:$R$1204,$Q138))</f>
        <v/>
      </c>
      <c r="O138" s="28" t="str">
        <f>IF($Q138="","",INDEX(TRANSACTIONS_MASTER!$AB$5:$AB$1204,$Q138))</f>
        <v/>
      </c>
      <c r="P138" s="55" t="str">
        <f>IF($Q138="","",INDEX(TRANSACTIONS_MASTER!$Z$5:$Z$1204,$Q138)&amp;"")</f>
        <v/>
      </c>
      <c r="Q138" s="67" t="str">
        <f>IFERROR(MATCH($C$2&amp;"|"&amp;131,TRANSACTIONS_MASTER!$AE$5:$AE$1204,0),"")</f>
        <v/>
      </c>
      <c r="S138" s="67">
        <f>IFERROR(MATCH(1,INDEX((TRANSACTIONS_MASTER!$C$5:$C$1204=$C$2)*(TRANSACTIONS_MASTER!$AJ$5:$AJ$1204=1),0),0),"")</f>
        <v>7</v>
      </c>
      <c r="T138" s="29">
        <f>IF($S138="","",INDEX(TRANSACTIONS_MASTER!$I$5:$I$1204,$S138))</f>
        <v>7997</v>
      </c>
      <c r="U138" s="55" t="str">
        <f>IF($S138="","",INDEX(TRANSACTIONS_MASTER!$J$5:$J$1204,$S138))</f>
        <v>Membership Clubs (Sports / Recreation)</v>
      </c>
      <c r="V138" s="25">
        <f>IF($S138="","",SUMIFS(TRANSACTIONS_MASTER!$L$5:$L$1204,TRANSACTIONS_MASTER!$I$5:$I$1204,$T138,TRANSACTIONS_MASTER!$C$5:$C$1204,$C$2,TRANSACTIONS_MASTER!$U$5:$U$1204,"&lt;&gt;Cancelled"))</f>
        <v>10000000</v>
      </c>
      <c r="W138" s="26">
        <f>IF($S138="","",SUMIFS(TRANSACTIONS_MASTER!$Q$5:$Q$1204,TRANSACTIONS_MASTER!$I$5:$I$1204,$T138,TRANSACTIONS_MASTER!$C$5:$C$1204,$C$2))</f>
        <v>500000</v>
      </c>
    </row>
    <row r="139">
      <c r="A139" s="81" t="str">
        <f>IF($Q139="","",132)</f>
        <v/>
      </c>
      <c r="B139" s="57" t="str">
        <f>IF($Q139="","",INDEX(TRANSACTIONS_MASTER!$B$5:$B$1204,$Q139))</f>
        <v/>
      </c>
      <c r="C139" s="55" t="str">
        <f>IF($Q139="","",INDEX(TRANSACTIONS_MASTER!$F$5:$F$1204,$Q139))</f>
        <v/>
      </c>
      <c r="D139" s="55" t="str">
        <f>IF($Q139="","",INDEX(TRANSACTIONS_MASTER!$E$5:$E$1204,$Q139))</f>
        <v/>
      </c>
      <c r="E139" s="55" t="str">
        <f>IF($Q139="","",INDEX(TRANSACTIONS_MASTER!$G$5:$G$1204,$Q139)&amp;"")</f>
        <v/>
      </c>
      <c r="F139" s="29" t="str">
        <f>IF($Q139="","",INDEX(TRANSACTIONS_MASTER!$I$5:$I$1204,$Q139))</f>
        <v/>
      </c>
      <c r="G139" s="55" t="str">
        <f>IF($Q139="","",INDEX(TRANSACTIONS_MASTER!$K$5:$K$1204,$Q139))</f>
        <v/>
      </c>
      <c r="H139" s="25" t="str">
        <f>IF($Q139="","",INDEX(TRANSACTIONS_MASTER!$L$5:$L$1204,$Q139))</f>
        <v/>
      </c>
      <c r="I139" s="56" t="str">
        <f>IF($Q139="","",INDEX(TRANSACTIONS_MASTER!$N$5:$N$1204,$Q139))</f>
        <v/>
      </c>
      <c r="J139" s="25" t="str">
        <f>IF($Q139="","",INDEX(TRANSACTIONS_MASTER!$O$5:$O$1204,$Q139))</f>
        <v/>
      </c>
      <c r="K139" s="26" t="str">
        <f>IF($Q139="","",INDEX(TRANSACTIONS_MASTER!$Q$5:$Q$1204,$Q139))</f>
        <v/>
      </c>
      <c r="L139" s="25" t="str">
        <f>IF($Q139="","",INDEX(TRANSACTIONS_MASTER!$P$5:$P$1204,$Q139))</f>
        <v/>
      </c>
      <c r="M139" s="25" t="str">
        <f>IF($Q139="","",INDEX(TRANSACTIONS_MASTER!$AA$5:$AA$1204,$Q139))</f>
        <v/>
      </c>
      <c r="N139" s="25" t="str">
        <f>IF($Q139="","",INDEX(TRANSACTIONS_MASTER!$R$5:$R$1204,$Q139))</f>
        <v/>
      </c>
      <c r="O139" s="28" t="str">
        <f>IF($Q139="","",INDEX(TRANSACTIONS_MASTER!$AB$5:$AB$1204,$Q139))</f>
        <v/>
      </c>
      <c r="P139" s="55" t="str">
        <f>IF($Q139="","",INDEX(TRANSACTIONS_MASTER!$Z$5:$Z$1204,$Q139)&amp;"")</f>
        <v/>
      </c>
      <c r="Q139" s="67" t="str">
        <f>IFERROR(MATCH($C$2&amp;"|"&amp;132,TRANSACTIONS_MASTER!$AE$5:$AE$1204,0),"")</f>
        <v/>
      </c>
      <c r="S139" s="67">
        <f>IFERROR(MATCH(1,INDEX((TRANSACTIONS_MASTER!$C$5:$C$1204=$C$2)*(TRANSACTIONS_MASTER!$AJ$5:$AJ$1204=2),0),0),"")</f>
        <v>8</v>
      </c>
      <c r="T139" s="29">
        <f>IF($S139="","",INDEX(TRANSACTIONS_MASTER!$I$5:$I$1204,$S139))</f>
        <v>5812</v>
      </c>
      <c r="U139" s="55" t="str">
        <f>IF($S139="","",INDEX(TRANSACTIONS_MASTER!$J$5:$J$1204,$S139))</f>
        <v>Eating Places / Restaurants</v>
      </c>
      <c r="V139" s="25">
        <f>IF($S139="","",SUMIFS(TRANSACTIONS_MASTER!$L$5:$L$1204,TRANSACTIONS_MASTER!$I$5:$I$1204,$T139,TRANSACTIONS_MASTER!$C$5:$C$1204,$C$2,TRANSACTIONS_MASTER!$U$5:$U$1204,"&lt;&gt;Cancelled"))</f>
        <v>12300000</v>
      </c>
      <c r="W139" s="26">
        <f>IF($S139="","",SUMIFS(TRANSACTIONS_MASTER!$Q$5:$Q$1204,TRANSACTIONS_MASTER!$I$5:$I$1204,$T139,TRANSACTIONS_MASTER!$C$5:$C$1204,$C$2))</f>
        <v>1300000</v>
      </c>
    </row>
    <row r="140">
      <c r="A140" s="81" t="str">
        <f>IF($Q140="","",133)</f>
        <v/>
      </c>
      <c r="B140" s="57" t="str">
        <f>IF($Q140="","",INDEX(TRANSACTIONS_MASTER!$B$5:$B$1204,$Q140))</f>
        <v/>
      </c>
      <c r="C140" s="55" t="str">
        <f>IF($Q140="","",INDEX(TRANSACTIONS_MASTER!$F$5:$F$1204,$Q140))</f>
        <v/>
      </c>
      <c r="D140" s="55" t="str">
        <f>IF($Q140="","",INDEX(TRANSACTIONS_MASTER!$E$5:$E$1204,$Q140))</f>
        <v/>
      </c>
      <c r="E140" s="55" t="str">
        <f>IF($Q140="","",INDEX(TRANSACTIONS_MASTER!$G$5:$G$1204,$Q140)&amp;"")</f>
        <v/>
      </c>
      <c r="F140" s="29" t="str">
        <f>IF($Q140="","",INDEX(TRANSACTIONS_MASTER!$I$5:$I$1204,$Q140))</f>
        <v/>
      </c>
      <c r="G140" s="55" t="str">
        <f>IF($Q140="","",INDEX(TRANSACTIONS_MASTER!$K$5:$K$1204,$Q140))</f>
        <v/>
      </c>
      <c r="H140" s="25" t="str">
        <f>IF($Q140="","",INDEX(TRANSACTIONS_MASTER!$L$5:$L$1204,$Q140))</f>
        <v/>
      </c>
      <c r="I140" s="56" t="str">
        <f>IF($Q140="","",INDEX(TRANSACTIONS_MASTER!$N$5:$N$1204,$Q140))</f>
        <v/>
      </c>
      <c r="J140" s="25" t="str">
        <f>IF($Q140="","",INDEX(TRANSACTIONS_MASTER!$O$5:$O$1204,$Q140))</f>
        <v/>
      </c>
      <c r="K140" s="26" t="str">
        <f>IF($Q140="","",INDEX(TRANSACTIONS_MASTER!$Q$5:$Q$1204,$Q140))</f>
        <v/>
      </c>
      <c r="L140" s="25" t="str">
        <f>IF($Q140="","",INDEX(TRANSACTIONS_MASTER!$P$5:$P$1204,$Q140))</f>
        <v/>
      </c>
      <c r="M140" s="25" t="str">
        <f>IF($Q140="","",INDEX(TRANSACTIONS_MASTER!$AA$5:$AA$1204,$Q140))</f>
        <v/>
      </c>
      <c r="N140" s="25" t="str">
        <f>IF($Q140="","",INDEX(TRANSACTIONS_MASTER!$R$5:$R$1204,$Q140))</f>
        <v/>
      </c>
      <c r="O140" s="28" t="str">
        <f>IF($Q140="","",INDEX(TRANSACTIONS_MASTER!$AB$5:$AB$1204,$Q140))</f>
        <v/>
      </c>
      <c r="P140" s="55" t="str">
        <f>IF($Q140="","",INDEX(TRANSACTIONS_MASTER!$Z$5:$Z$1204,$Q140)&amp;"")</f>
        <v/>
      </c>
      <c r="Q140" s="67" t="str">
        <f>IFERROR(MATCH($C$2&amp;"|"&amp;133,TRANSACTIONS_MASTER!$AE$5:$AE$1204,0),"")</f>
        <v/>
      </c>
      <c r="S140" s="67">
        <f>IFERROR(MATCH(1,INDEX((TRANSACTIONS_MASTER!$C$5:$C$1204=$C$2)*(TRANSACTIONS_MASTER!$AJ$5:$AJ$1204=3),0),0),"")</f>
        <v>9</v>
      </c>
      <c r="T140" s="29">
        <f>IF($S140="","",INDEX(TRANSACTIONS_MASTER!$I$5:$I$1204,$S140))</f>
        <v>5411</v>
      </c>
      <c r="U140" s="55" t="str">
        <f>IF($S140="","",INDEX(TRANSACTIONS_MASTER!$J$5:$J$1204,$S140))</f>
        <v>Grocery Stores / Supermarkets</v>
      </c>
      <c r="V140" s="25">
        <f>IF($S140="","",SUMIFS(TRANSACTIONS_MASTER!$L$5:$L$1204,TRANSACTIONS_MASTER!$I$5:$I$1204,$T140,TRANSACTIONS_MASTER!$C$5:$C$1204,$C$2,TRANSACTIONS_MASTER!$U$5:$U$1204,"&lt;&gt;Cancelled"))</f>
        <v>7050000</v>
      </c>
      <c r="W140" s="26">
        <f>IF($S140="","",SUMIFS(TRANSACTIONS_MASTER!$Q$5:$Q$1204,TRANSACTIONS_MASTER!$I$5:$I$1204,$T140,TRANSACTIONS_MASTER!$C$5:$C$1204,$C$2))</f>
        <v>530000</v>
      </c>
    </row>
    <row r="141">
      <c r="A141" s="81" t="str">
        <f>IF($Q141="","",134)</f>
        <v/>
      </c>
      <c r="B141" s="57" t="str">
        <f>IF($Q141="","",INDEX(TRANSACTIONS_MASTER!$B$5:$B$1204,$Q141))</f>
        <v/>
      </c>
      <c r="C141" s="55" t="str">
        <f>IF($Q141="","",INDEX(TRANSACTIONS_MASTER!$F$5:$F$1204,$Q141))</f>
        <v/>
      </c>
      <c r="D141" s="55" t="str">
        <f>IF($Q141="","",INDEX(TRANSACTIONS_MASTER!$E$5:$E$1204,$Q141))</f>
        <v/>
      </c>
      <c r="E141" s="55" t="str">
        <f>IF($Q141="","",INDEX(TRANSACTIONS_MASTER!$G$5:$G$1204,$Q141)&amp;"")</f>
        <v/>
      </c>
      <c r="F141" s="29" t="str">
        <f>IF($Q141="","",INDEX(TRANSACTIONS_MASTER!$I$5:$I$1204,$Q141))</f>
        <v/>
      </c>
      <c r="G141" s="55" t="str">
        <f>IF($Q141="","",INDEX(TRANSACTIONS_MASTER!$K$5:$K$1204,$Q141))</f>
        <v/>
      </c>
      <c r="H141" s="25" t="str">
        <f>IF($Q141="","",INDEX(TRANSACTIONS_MASTER!$L$5:$L$1204,$Q141))</f>
        <v/>
      </c>
      <c r="I141" s="56" t="str">
        <f>IF($Q141="","",INDEX(TRANSACTIONS_MASTER!$N$5:$N$1204,$Q141))</f>
        <v/>
      </c>
      <c r="J141" s="25" t="str">
        <f>IF($Q141="","",INDEX(TRANSACTIONS_MASTER!$O$5:$O$1204,$Q141))</f>
        <v/>
      </c>
      <c r="K141" s="26" t="str">
        <f>IF($Q141="","",INDEX(TRANSACTIONS_MASTER!$Q$5:$Q$1204,$Q141))</f>
        <v/>
      </c>
      <c r="L141" s="25" t="str">
        <f>IF($Q141="","",INDEX(TRANSACTIONS_MASTER!$P$5:$P$1204,$Q141))</f>
        <v/>
      </c>
      <c r="M141" s="25" t="str">
        <f>IF($Q141="","",INDEX(TRANSACTIONS_MASTER!$AA$5:$AA$1204,$Q141))</f>
        <v/>
      </c>
      <c r="N141" s="25" t="str">
        <f>IF($Q141="","",INDEX(TRANSACTIONS_MASTER!$R$5:$R$1204,$Q141))</f>
        <v/>
      </c>
      <c r="O141" s="28" t="str">
        <f>IF($Q141="","",INDEX(TRANSACTIONS_MASTER!$AB$5:$AB$1204,$Q141))</f>
        <v/>
      </c>
      <c r="P141" s="55" t="str">
        <f>IF($Q141="","",INDEX(TRANSACTIONS_MASTER!$Z$5:$Z$1204,$Q141)&amp;"")</f>
        <v/>
      </c>
      <c r="Q141" s="67" t="str">
        <f>IFERROR(MATCH($C$2&amp;"|"&amp;134,TRANSACTIONS_MASTER!$AE$5:$AE$1204,0),"")</f>
        <v/>
      </c>
      <c r="S141" s="67">
        <f>IFERROR(MATCH(1,INDEX((TRANSACTIONS_MASTER!$C$5:$C$1204=$C$2)*(TRANSACTIONS_MASTER!$AJ$5:$AJ$1204=4),0),0),"")</f>
        <v>12</v>
      </c>
      <c r="T141" s="29">
        <f>IF($S141="","",INDEX(TRANSACTIONS_MASTER!$I$5:$I$1204,$S141))</f>
        <v>5813</v>
      </c>
      <c r="U141" s="55" t="str">
        <f>IF($S141="","",INDEX(TRANSACTIONS_MASTER!$J$5:$J$1204,$S141))</f>
        <v>Drinking Places (Bars, Taverns)</v>
      </c>
      <c r="V141" s="25">
        <f>IF($S141="","",SUMIFS(TRANSACTIONS_MASTER!$L$5:$L$1204,TRANSACTIONS_MASTER!$I$5:$I$1204,$T141,TRANSACTIONS_MASTER!$C$5:$C$1204,$C$2,TRANSACTIONS_MASTER!$U$5:$U$1204,"&lt;&gt;Cancelled"))</f>
        <v>600000</v>
      </c>
      <c r="W141" s="26">
        <f>IF($S141="","",SUMIFS(TRANSACTIONS_MASTER!$Q$5:$Q$1204,TRANSACTIONS_MASTER!$I$5:$I$1204,$T141,TRANSACTIONS_MASTER!$C$5:$C$1204,$C$2))</f>
        <v>90000</v>
      </c>
    </row>
    <row r="142">
      <c r="A142" s="81" t="str">
        <f>IF($Q142="","",135)</f>
        <v/>
      </c>
      <c r="B142" s="57" t="str">
        <f>IF($Q142="","",INDEX(TRANSACTIONS_MASTER!$B$5:$B$1204,$Q142))</f>
        <v/>
      </c>
      <c r="C142" s="55" t="str">
        <f>IF($Q142="","",INDEX(TRANSACTIONS_MASTER!$F$5:$F$1204,$Q142))</f>
        <v/>
      </c>
      <c r="D142" s="55" t="str">
        <f>IF($Q142="","",INDEX(TRANSACTIONS_MASTER!$E$5:$E$1204,$Q142))</f>
        <v/>
      </c>
      <c r="E142" s="55" t="str">
        <f>IF($Q142="","",INDEX(TRANSACTIONS_MASTER!$G$5:$G$1204,$Q142)&amp;"")</f>
        <v/>
      </c>
      <c r="F142" s="29" t="str">
        <f>IF($Q142="","",INDEX(TRANSACTIONS_MASTER!$I$5:$I$1204,$Q142))</f>
        <v/>
      </c>
      <c r="G142" s="55" t="str">
        <f>IF($Q142="","",INDEX(TRANSACTIONS_MASTER!$K$5:$K$1204,$Q142))</f>
        <v/>
      </c>
      <c r="H142" s="25" t="str">
        <f>IF($Q142="","",INDEX(TRANSACTIONS_MASTER!$L$5:$L$1204,$Q142))</f>
        <v/>
      </c>
      <c r="I142" s="56" t="str">
        <f>IF($Q142="","",INDEX(TRANSACTIONS_MASTER!$N$5:$N$1204,$Q142))</f>
        <v/>
      </c>
      <c r="J142" s="25" t="str">
        <f>IF($Q142="","",INDEX(TRANSACTIONS_MASTER!$O$5:$O$1204,$Q142))</f>
        <v/>
      </c>
      <c r="K142" s="26" t="str">
        <f>IF($Q142="","",INDEX(TRANSACTIONS_MASTER!$Q$5:$Q$1204,$Q142))</f>
        <v/>
      </c>
      <c r="L142" s="25" t="str">
        <f>IF($Q142="","",INDEX(TRANSACTIONS_MASTER!$P$5:$P$1204,$Q142))</f>
        <v/>
      </c>
      <c r="M142" s="25" t="str">
        <f>IF($Q142="","",INDEX(TRANSACTIONS_MASTER!$AA$5:$AA$1204,$Q142))</f>
        <v/>
      </c>
      <c r="N142" s="25" t="str">
        <f>IF($Q142="","",INDEX(TRANSACTIONS_MASTER!$R$5:$R$1204,$Q142))</f>
        <v/>
      </c>
      <c r="O142" s="28" t="str">
        <f>IF($Q142="","",INDEX(TRANSACTIONS_MASTER!$AB$5:$AB$1204,$Q142))</f>
        <v/>
      </c>
      <c r="P142" s="55" t="str">
        <f>IF($Q142="","",INDEX(TRANSACTIONS_MASTER!$Z$5:$Z$1204,$Q142)&amp;"")</f>
        <v/>
      </c>
      <c r="Q142" s="67" t="str">
        <f>IFERROR(MATCH($C$2&amp;"|"&amp;135,TRANSACTIONS_MASTER!$AE$5:$AE$1204,0),"")</f>
        <v/>
      </c>
      <c r="S142" s="67">
        <f>IFERROR(MATCH(1,INDEX((TRANSACTIONS_MASTER!$C$5:$C$1204=$C$2)*(TRANSACTIONS_MASTER!$AJ$5:$AJ$1204=5),0),0),"")</f>
        <v>13</v>
      </c>
      <c r="T142" s="29">
        <f>IF($S142="","",INDEX(TRANSACTIONS_MASTER!$I$5:$I$1204,$S142))</f>
        <v>5541</v>
      </c>
      <c r="U142" s="55" t="str">
        <f>IF($S142="","",INDEX(TRANSACTIONS_MASTER!$J$5:$J$1204,$S142))</f>
        <v>Service Stations</v>
      </c>
      <c r="V142" s="25">
        <f>IF($S142="","",SUMIFS(TRANSACTIONS_MASTER!$L$5:$L$1204,TRANSACTIONS_MASTER!$I$5:$I$1204,$T142,TRANSACTIONS_MASTER!$C$5:$C$1204,$C$2,TRANSACTIONS_MASTER!$U$5:$U$1204,"&lt;&gt;Cancelled"))</f>
        <v>8500000</v>
      </c>
      <c r="W142" s="26">
        <f>IF($S142="","",SUMIFS(TRANSACTIONS_MASTER!$Q$5:$Q$1204,TRANSACTIONS_MASTER!$I$5:$I$1204,$T142,TRANSACTIONS_MASTER!$C$5:$C$1204,$C$2))</f>
        <v>360000</v>
      </c>
    </row>
    <row r="143">
      <c r="A143" s="81" t="str">
        <f>IF($Q143="","",136)</f>
        <v/>
      </c>
      <c r="B143" s="57" t="str">
        <f>IF($Q143="","",INDEX(TRANSACTIONS_MASTER!$B$5:$B$1204,$Q143))</f>
        <v/>
      </c>
      <c r="C143" s="55" t="str">
        <f>IF($Q143="","",INDEX(TRANSACTIONS_MASTER!$F$5:$F$1204,$Q143))</f>
        <v/>
      </c>
      <c r="D143" s="55" t="str">
        <f>IF($Q143="","",INDEX(TRANSACTIONS_MASTER!$E$5:$E$1204,$Q143))</f>
        <v/>
      </c>
      <c r="E143" s="55" t="str">
        <f>IF($Q143="","",INDEX(TRANSACTIONS_MASTER!$G$5:$G$1204,$Q143)&amp;"")</f>
        <v/>
      </c>
      <c r="F143" s="29" t="str">
        <f>IF($Q143="","",INDEX(TRANSACTIONS_MASTER!$I$5:$I$1204,$Q143))</f>
        <v/>
      </c>
      <c r="G143" s="55" t="str">
        <f>IF($Q143="","",INDEX(TRANSACTIONS_MASTER!$K$5:$K$1204,$Q143))</f>
        <v/>
      </c>
      <c r="H143" s="25" t="str">
        <f>IF($Q143="","",INDEX(TRANSACTIONS_MASTER!$L$5:$L$1204,$Q143))</f>
        <v/>
      </c>
      <c r="I143" s="56" t="str">
        <f>IF($Q143="","",INDEX(TRANSACTIONS_MASTER!$N$5:$N$1204,$Q143))</f>
        <v/>
      </c>
      <c r="J143" s="25" t="str">
        <f>IF($Q143="","",INDEX(TRANSACTIONS_MASTER!$O$5:$O$1204,$Q143))</f>
        <v/>
      </c>
      <c r="K143" s="26" t="str">
        <f>IF($Q143="","",INDEX(TRANSACTIONS_MASTER!$Q$5:$Q$1204,$Q143))</f>
        <v/>
      </c>
      <c r="L143" s="25" t="str">
        <f>IF($Q143="","",INDEX(TRANSACTIONS_MASTER!$P$5:$P$1204,$Q143))</f>
        <v/>
      </c>
      <c r="M143" s="25" t="str">
        <f>IF($Q143="","",INDEX(TRANSACTIONS_MASTER!$AA$5:$AA$1204,$Q143))</f>
        <v/>
      </c>
      <c r="N143" s="25" t="str">
        <f>IF($Q143="","",INDEX(TRANSACTIONS_MASTER!$R$5:$R$1204,$Q143))</f>
        <v/>
      </c>
      <c r="O143" s="28" t="str">
        <f>IF($Q143="","",INDEX(TRANSACTIONS_MASTER!$AB$5:$AB$1204,$Q143))</f>
        <v/>
      </c>
      <c r="P143" s="55" t="str">
        <f>IF($Q143="","",INDEX(TRANSACTIONS_MASTER!$Z$5:$Z$1204,$Q143)&amp;"")</f>
        <v/>
      </c>
      <c r="Q143" s="67" t="str">
        <f>IFERROR(MATCH($C$2&amp;"|"&amp;136,TRANSACTIONS_MASTER!$AE$5:$AE$1204,0),"")</f>
        <v/>
      </c>
      <c r="S143" s="67">
        <f>IFERROR(MATCH(1,INDEX((TRANSACTIONS_MASTER!$C$5:$C$1204=$C$2)*(TRANSACTIONS_MASTER!$AJ$5:$AJ$1204=6),0),0),"")</f>
        <v>14</v>
      </c>
      <c r="T143" s="29">
        <f>IF($S143="","",INDEX(TRANSACTIONS_MASTER!$I$5:$I$1204,$S143))</f>
        <v>5811</v>
      </c>
      <c r="U143" s="55" t="str">
        <f>IF($S143="","",INDEX(TRANSACTIONS_MASTER!$J$5:$J$1204,$S143))</f>
        <v>Caterers</v>
      </c>
      <c r="V143" s="25">
        <f>IF($S143="","",SUMIFS(TRANSACTIONS_MASTER!$L$5:$L$1204,TRANSACTIONS_MASTER!$I$5:$I$1204,$T143,TRANSACTIONS_MASTER!$C$5:$C$1204,$C$2,TRANSACTIONS_MASTER!$U$5:$U$1204,"&lt;&gt;Cancelled"))</f>
        <v>400000</v>
      </c>
      <c r="W143" s="26">
        <f>IF($S143="","",SUMIFS(TRANSACTIONS_MASTER!$Q$5:$Q$1204,TRANSACTIONS_MASTER!$I$5:$I$1204,$T143,TRANSACTIONS_MASTER!$C$5:$C$1204,$C$2))</f>
        <v>60000</v>
      </c>
    </row>
    <row r="144">
      <c r="A144" s="81" t="str">
        <f>IF($Q144="","",137)</f>
        <v/>
      </c>
      <c r="B144" s="57" t="str">
        <f>IF($Q144="","",INDEX(TRANSACTIONS_MASTER!$B$5:$B$1204,$Q144))</f>
        <v/>
      </c>
      <c r="C144" s="55" t="str">
        <f>IF($Q144="","",INDEX(TRANSACTIONS_MASTER!$F$5:$F$1204,$Q144))</f>
        <v/>
      </c>
      <c r="D144" s="55" t="str">
        <f>IF($Q144="","",INDEX(TRANSACTIONS_MASTER!$E$5:$E$1204,$Q144))</f>
        <v/>
      </c>
      <c r="E144" s="55" t="str">
        <f>IF($Q144="","",INDEX(TRANSACTIONS_MASTER!$G$5:$G$1204,$Q144)&amp;"")</f>
        <v/>
      </c>
      <c r="F144" s="29" t="str">
        <f>IF($Q144="","",INDEX(TRANSACTIONS_MASTER!$I$5:$I$1204,$Q144))</f>
        <v/>
      </c>
      <c r="G144" s="55" t="str">
        <f>IF($Q144="","",INDEX(TRANSACTIONS_MASTER!$K$5:$K$1204,$Q144))</f>
        <v/>
      </c>
      <c r="H144" s="25" t="str">
        <f>IF($Q144="","",INDEX(TRANSACTIONS_MASTER!$L$5:$L$1204,$Q144))</f>
        <v/>
      </c>
      <c r="I144" s="56" t="str">
        <f>IF($Q144="","",INDEX(TRANSACTIONS_MASTER!$N$5:$N$1204,$Q144))</f>
        <v/>
      </c>
      <c r="J144" s="25" t="str">
        <f>IF($Q144="","",INDEX(TRANSACTIONS_MASTER!$O$5:$O$1204,$Q144))</f>
        <v/>
      </c>
      <c r="K144" s="26" t="str">
        <f>IF($Q144="","",INDEX(TRANSACTIONS_MASTER!$Q$5:$Q$1204,$Q144))</f>
        <v/>
      </c>
      <c r="L144" s="25" t="str">
        <f>IF($Q144="","",INDEX(TRANSACTIONS_MASTER!$P$5:$P$1204,$Q144))</f>
        <v/>
      </c>
      <c r="M144" s="25" t="str">
        <f>IF($Q144="","",INDEX(TRANSACTIONS_MASTER!$AA$5:$AA$1204,$Q144))</f>
        <v/>
      </c>
      <c r="N144" s="25" t="str">
        <f>IF($Q144="","",INDEX(TRANSACTIONS_MASTER!$R$5:$R$1204,$Q144))</f>
        <v/>
      </c>
      <c r="O144" s="28" t="str">
        <f>IF($Q144="","",INDEX(TRANSACTIONS_MASTER!$AB$5:$AB$1204,$Q144))</f>
        <v/>
      </c>
      <c r="P144" s="55" t="str">
        <f>IF($Q144="","",INDEX(TRANSACTIONS_MASTER!$Z$5:$Z$1204,$Q144)&amp;"")</f>
        <v/>
      </c>
      <c r="Q144" s="67" t="str">
        <f>IFERROR(MATCH($C$2&amp;"|"&amp;137,TRANSACTIONS_MASTER!$AE$5:$AE$1204,0),"")</f>
        <v/>
      </c>
      <c r="S144" s="67">
        <f>IFERROR(MATCH(1,INDEX((TRANSACTIONS_MASTER!$C$5:$C$1204=$C$2)*(TRANSACTIONS_MASTER!$AJ$5:$AJ$1204=7),0),0),"")</f>
        <v>15</v>
      </c>
      <c r="T144" s="29">
        <f>IF($S144="","",INDEX(TRANSACTIONS_MASTER!$I$5:$I$1204,$S144))</f>
        <v>5311</v>
      </c>
      <c r="U144" s="55" t="str">
        <f>IF($S144="","",INDEX(TRANSACTIONS_MASTER!$J$5:$J$1204,$S144))</f>
        <v>Department Stores</v>
      </c>
      <c r="V144" s="25">
        <f>IF($S144="","",SUMIFS(TRANSACTIONS_MASTER!$L$5:$L$1204,TRANSACTIONS_MASTER!$I$5:$I$1204,$T144,TRANSACTIONS_MASTER!$C$5:$C$1204,$C$2,TRANSACTIONS_MASTER!$U$5:$U$1204,"&lt;&gt;Cancelled"))</f>
        <v>3000000</v>
      </c>
      <c r="W144" s="26">
        <f>IF($S144="","",SUMIFS(TRANSACTIONS_MASTER!$Q$5:$Q$1204,TRANSACTIONS_MASTER!$I$5:$I$1204,$T144,TRANSACTIONS_MASTER!$C$5:$C$1204,$C$2))</f>
        <v>0</v>
      </c>
    </row>
    <row r="145">
      <c r="A145" s="81" t="str">
        <f>IF($Q145="","",138)</f>
        <v/>
      </c>
      <c r="B145" s="57" t="str">
        <f>IF($Q145="","",INDEX(TRANSACTIONS_MASTER!$B$5:$B$1204,$Q145))</f>
        <v/>
      </c>
      <c r="C145" s="55" t="str">
        <f>IF($Q145="","",INDEX(TRANSACTIONS_MASTER!$F$5:$F$1204,$Q145))</f>
        <v/>
      </c>
      <c r="D145" s="55" t="str">
        <f>IF($Q145="","",INDEX(TRANSACTIONS_MASTER!$E$5:$E$1204,$Q145))</f>
        <v/>
      </c>
      <c r="E145" s="55" t="str">
        <f>IF($Q145="","",INDEX(TRANSACTIONS_MASTER!$G$5:$G$1204,$Q145)&amp;"")</f>
        <v/>
      </c>
      <c r="F145" s="29" t="str">
        <f>IF($Q145="","",INDEX(TRANSACTIONS_MASTER!$I$5:$I$1204,$Q145))</f>
        <v/>
      </c>
      <c r="G145" s="55" t="str">
        <f>IF($Q145="","",INDEX(TRANSACTIONS_MASTER!$K$5:$K$1204,$Q145))</f>
        <v/>
      </c>
      <c r="H145" s="25" t="str">
        <f>IF($Q145="","",INDEX(TRANSACTIONS_MASTER!$L$5:$L$1204,$Q145))</f>
        <v/>
      </c>
      <c r="I145" s="56" t="str">
        <f>IF($Q145="","",INDEX(TRANSACTIONS_MASTER!$N$5:$N$1204,$Q145))</f>
        <v/>
      </c>
      <c r="J145" s="25" t="str">
        <f>IF($Q145="","",INDEX(TRANSACTIONS_MASTER!$O$5:$O$1204,$Q145))</f>
        <v/>
      </c>
      <c r="K145" s="26" t="str">
        <f>IF($Q145="","",INDEX(TRANSACTIONS_MASTER!$Q$5:$Q$1204,$Q145))</f>
        <v/>
      </c>
      <c r="L145" s="25" t="str">
        <f>IF($Q145="","",INDEX(TRANSACTIONS_MASTER!$P$5:$P$1204,$Q145))</f>
        <v/>
      </c>
      <c r="M145" s="25" t="str">
        <f>IF($Q145="","",INDEX(TRANSACTIONS_MASTER!$AA$5:$AA$1204,$Q145))</f>
        <v/>
      </c>
      <c r="N145" s="25" t="str">
        <f>IF($Q145="","",INDEX(TRANSACTIONS_MASTER!$R$5:$R$1204,$Q145))</f>
        <v/>
      </c>
      <c r="O145" s="28" t="str">
        <f>IF($Q145="","",INDEX(TRANSACTIONS_MASTER!$AB$5:$AB$1204,$Q145))</f>
        <v/>
      </c>
      <c r="P145" s="55" t="str">
        <f>IF($Q145="","",INDEX(TRANSACTIONS_MASTER!$Z$5:$Z$1204,$Q145)&amp;"")</f>
        <v/>
      </c>
      <c r="Q145" s="67" t="str">
        <f>IFERROR(MATCH($C$2&amp;"|"&amp;138,TRANSACTIONS_MASTER!$AE$5:$AE$1204,0),"")</f>
        <v/>
      </c>
      <c r="S145" s="67">
        <f>IFERROR(MATCH(1,INDEX((TRANSACTIONS_MASTER!$C$5:$C$1204=$C$2)*(TRANSACTIONS_MASTER!$AJ$5:$AJ$1204=8),0),0),"")</f>
        <v>16</v>
      </c>
      <c r="T145" s="29">
        <f>IF($S145="","",INDEX(TRANSACTIONS_MASTER!$I$5:$I$1204,$S145))</f>
        <v>5399</v>
      </c>
      <c r="U145" s="55" t="str">
        <f>IF($S145="","",INDEX(TRANSACTIONS_MASTER!$J$5:$J$1204,$S145))</f>
        <v>Misc. General Merchandise</v>
      </c>
      <c r="V145" s="25">
        <f>IF($S145="","",SUMIFS(TRANSACTIONS_MASTER!$L$5:$L$1204,TRANSACTIONS_MASTER!$I$5:$I$1204,$T145,TRANSACTIONS_MASTER!$C$5:$C$1204,$C$2,TRANSACTIONS_MASTER!$U$5:$U$1204,"&lt;&gt;Cancelled"))</f>
        <v>6000000</v>
      </c>
      <c r="W145" s="26">
        <f>IF($S145="","",SUMIFS(TRANSACTIONS_MASTER!$Q$5:$Q$1204,TRANSACTIONS_MASTER!$I$5:$I$1204,$T145,TRANSACTIONS_MASTER!$C$5:$C$1204,$C$2))</f>
        <v>500000</v>
      </c>
    </row>
    <row r="146">
      <c r="A146" s="81" t="str">
        <f>IF($Q146="","",139)</f>
        <v/>
      </c>
      <c r="B146" s="57" t="str">
        <f>IF($Q146="","",INDEX(TRANSACTIONS_MASTER!$B$5:$B$1204,$Q146))</f>
        <v/>
      </c>
      <c r="C146" s="55" t="str">
        <f>IF($Q146="","",INDEX(TRANSACTIONS_MASTER!$F$5:$F$1204,$Q146))</f>
        <v/>
      </c>
      <c r="D146" s="55" t="str">
        <f>IF($Q146="","",INDEX(TRANSACTIONS_MASTER!$E$5:$E$1204,$Q146))</f>
        <v/>
      </c>
      <c r="E146" s="55" t="str">
        <f>IF($Q146="","",INDEX(TRANSACTIONS_MASTER!$G$5:$G$1204,$Q146)&amp;"")</f>
        <v/>
      </c>
      <c r="F146" s="29" t="str">
        <f>IF($Q146="","",INDEX(TRANSACTIONS_MASTER!$I$5:$I$1204,$Q146))</f>
        <v/>
      </c>
      <c r="G146" s="55" t="str">
        <f>IF($Q146="","",INDEX(TRANSACTIONS_MASTER!$K$5:$K$1204,$Q146))</f>
        <v/>
      </c>
      <c r="H146" s="25" t="str">
        <f>IF($Q146="","",INDEX(TRANSACTIONS_MASTER!$L$5:$L$1204,$Q146))</f>
        <v/>
      </c>
      <c r="I146" s="56" t="str">
        <f>IF($Q146="","",INDEX(TRANSACTIONS_MASTER!$N$5:$N$1204,$Q146))</f>
        <v/>
      </c>
      <c r="J146" s="25" t="str">
        <f>IF($Q146="","",INDEX(TRANSACTIONS_MASTER!$O$5:$O$1204,$Q146))</f>
        <v/>
      </c>
      <c r="K146" s="26" t="str">
        <f>IF($Q146="","",INDEX(TRANSACTIONS_MASTER!$Q$5:$Q$1204,$Q146))</f>
        <v/>
      </c>
      <c r="L146" s="25" t="str">
        <f>IF($Q146="","",INDEX(TRANSACTIONS_MASTER!$P$5:$P$1204,$Q146))</f>
        <v/>
      </c>
      <c r="M146" s="25" t="str">
        <f>IF($Q146="","",INDEX(TRANSACTIONS_MASTER!$AA$5:$AA$1204,$Q146))</f>
        <v/>
      </c>
      <c r="N146" s="25" t="str">
        <f>IF($Q146="","",INDEX(TRANSACTIONS_MASTER!$R$5:$R$1204,$Q146))</f>
        <v/>
      </c>
      <c r="O146" s="28" t="str">
        <f>IF($Q146="","",INDEX(TRANSACTIONS_MASTER!$AB$5:$AB$1204,$Q146))</f>
        <v/>
      </c>
      <c r="P146" s="55" t="str">
        <f>IF($Q146="","",INDEX(TRANSACTIONS_MASTER!$Z$5:$Z$1204,$Q146)&amp;"")</f>
        <v/>
      </c>
      <c r="Q146" s="67" t="str">
        <f>IFERROR(MATCH($C$2&amp;"|"&amp;139,TRANSACTIONS_MASTER!$AE$5:$AE$1204,0),"")</f>
        <v/>
      </c>
      <c r="S146" s="67">
        <f>IFERROR(MATCH(1,INDEX((TRANSACTIONS_MASTER!$C$5:$C$1204=$C$2)*(TRANSACTIONS_MASTER!$AJ$5:$AJ$1204=9),0),0),"")</f>
        <v>17</v>
      </c>
      <c r="T146" s="29">
        <f>IF($S146="","",INDEX(TRANSACTIONS_MASTER!$I$5:$I$1204,$S146))</f>
        <v>4121</v>
      </c>
      <c r="U146" s="55" t="str">
        <f>IF($S146="","",INDEX(TRANSACTIONS_MASTER!$J$5:$J$1204,$S146))</f>
        <v>Taxicabs / Limousines</v>
      </c>
      <c r="V146" s="25">
        <f>IF($S146="","",SUMIFS(TRANSACTIONS_MASTER!$L$5:$L$1204,TRANSACTIONS_MASTER!$I$5:$I$1204,$T146,TRANSACTIONS_MASTER!$C$5:$C$1204,$C$2,TRANSACTIONS_MASTER!$U$5:$U$1204,"&lt;&gt;Cancelled"))</f>
        <v>1000000</v>
      </c>
      <c r="W146" s="26">
        <f>IF($S146="","",SUMIFS(TRANSACTIONS_MASTER!$Q$5:$Q$1204,TRANSACTIONS_MASTER!$I$5:$I$1204,$T146,TRANSACTIONS_MASTER!$C$5:$C$1204,$C$2))</f>
        <v>50000</v>
      </c>
    </row>
    <row r="147">
      <c r="A147" s="81" t="str">
        <f>IF($Q147="","",140)</f>
        <v/>
      </c>
      <c r="B147" s="57" t="str">
        <f>IF($Q147="","",INDEX(TRANSACTIONS_MASTER!$B$5:$B$1204,$Q147))</f>
        <v/>
      </c>
      <c r="C147" s="55" t="str">
        <f>IF($Q147="","",INDEX(TRANSACTIONS_MASTER!$F$5:$F$1204,$Q147))</f>
        <v/>
      </c>
      <c r="D147" s="55" t="str">
        <f>IF($Q147="","",INDEX(TRANSACTIONS_MASTER!$E$5:$E$1204,$Q147))</f>
        <v/>
      </c>
      <c r="E147" s="55" t="str">
        <f>IF($Q147="","",INDEX(TRANSACTIONS_MASTER!$G$5:$G$1204,$Q147)&amp;"")</f>
        <v/>
      </c>
      <c r="F147" s="29" t="str">
        <f>IF($Q147="","",INDEX(TRANSACTIONS_MASTER!$I$5:$I$1204,$Q147))</f>
        <v/>
      </c>
      <c r="G147" s="55" t="str">
        <f>IF($Q147="","",INDEX(TRANSACTIONS_MASTER!$K$5:$K$1204,$Q147))</f>
        <v/>
      </c>
      <c r="H147" s="25" t="str">
        <f>IF($Q147="","",INDEX(TRANSACTIONS_MASTER!$L$5:$L$1204,$Q147))</f>
        <v/>
      </c>
      <c r="I147" s="56" t="str">
        <f>IF($Q147="","",INDEX(TRANSACTIONS_MASTER!$N$5:$N$1204,$Q147))</f>
        <v/>
      </c>
      <c r="J147" s="25" t="str">
        <f>IF($Q147="","",INDEX(TRANSACTIONS_MASTER!$O$5:$O$1204,$Q147))</f>
        <v/>
      </c>
      <c r="K147" s="26" t="str">
        <f>IF($Q147="","",INDEX(TRANSACTIONS_MASTER!$Q$5:$Q$1204,$Q147))</f>
        <v/>
      </c>
      <c r="L147" s="25" t="str">
        <f>IF($Q147="","",INDEX(TRANSACTIONS_MASTER!$P$5:$P$1204,$Q147))</f>
        <v/>
      </c>
      <c r="M147" s="25" t="str">
        <f>IF($Q147="","",INDEX(TRANSACTIONS_MASTER!$AA$5:$AA$1204,$Q147))</f>
        <v/>
      </c>
      <c r="N147" s="25" t="str">
        <f>IF($Q147="","",INDEX(TRANSACTIONS_MASTER!$R$5:$R$1204,$Q147))</f>
        <v/>
      </c>
      <c r="O147" s="28" t="str">
        <f>IF($Q147="","",INDEX(TRANSACTIONS_MASTER!$AB$5:$AB$1204,$Q147))</f>
        <v/>
      </c>
      <c r="P147" s="55" t="str">
        <f>IF($Q147="","",INDEX(TRANSACTIONS_MASTER!$Z$5:$Z$1204,$Q147)&amp;"")</f>
        <v/>
      </c>
      <c r="Q147" s="67" t="str">
        <f>IFERROR(MATCH($C$2&amp;"|"&amp;140,TRANSACTIONS_MASTER!$AE$5:$AE$1204,0),"")</f>
        <v/>
      </c>
      <c r="S147" s="67">
        <f>IFERROR(MATCH(1,INDEX((TRANSACTIONS_MASTER!$C$5:$C$1204=$C$2)*(TRANSACTIONS_MASTER!$AJ$5:$AJ$1204=10),0),0),"")</f>
        <v>18</v>
      </c>
      <c r="T147" s="29">
        <f>IF($S147="","",INDEX(TRANSACTIONS_MASTER!$I$5:$I$1204,$S147))</f>
        <v>5814</v>
      </c>
      <c r="U147" s="55" t="str">
        <f>IF($S147="","",INDEX(TRANSACTIONS_MASTER!$J$5:$J$1204,$S147))</f>
        <v>Fast Food Restaurants</v>
      </c>
      <c r="V147" s="25">
        <f>IF($S147="","",SUMIFS(TRANSACTIONS_MASTER!$L$5:$L$1204,TRANSACTIONS_MASTER!$I$5:$I$1204,$T147,TRANSACTIONS_MASTER!$C$5:$C$1204,$C$2,TRANSACTIONS_MASTER!$U$5:$U$1204,"&lt;&gt;Cancelled"))</f>
        <v>3500000</v>
      </c>
      <c r="W147" s="26">
        <f>IF($S147="","",SUMIFS(TRANSACTIONS_MASTER!$Q$5:$Q$1204,TRANSACTIONS_MASTER!$I$5:$I$1204,$T147,TRANSACTIONS_MASTER!$C$5:$C$1204,$C$2))</f>
        <v>400000</v>
      </c>
    </row>
    <row r="148">
      <c r="A148" s="81" t="str">
        <f>IF($Q148="","",141)</f>
        <v/>
      </c>
      <c r="B148" s="57" t="str">
        <f>IF($Q148="","",INDEX(TRANSACTIONS_MASTER!$B$5:$B$1204,$Q148))</f>
        <v/>
      </c>
      <c r="C148" s="55" t="str">
        <f>IF($Q148="","",INDEX(TRANSACTIONS_MASTER!$F$5:$F$1204,$Q148))</f>
        <v/>
      </c>
      <c r="D148" s="55" t="str">
        <f>IF($Q148="","",INDEX(TRANSACTIONS_MASTER!$E$5:$E$1204,$Q148))</f>
        <v/>
      </c>
      <c r="E148" s="55" t="str">
        <f>IF($Q148="","",INDEX(TRANSACTIONS_MASTER!$G$5:$G$1204,$Q148)&amp;"")</f>
        <v/>
      </c>
      <c r="F148" s="29" t="str">
        <f>IF($Q148="","",INDEX(TRANSACTIONS_MASTER!$I$5:$I$1204,$Q148))</f>
        <v/>
      </c>
      <c r="G148" s="55" t="str">
        <f>IF($Q148="","",INDEX(TRANSACTIONS_MASTER!$K$5:$K$1204,$Q148))</f>
        <v/>
      </c>
      <c r="H148" s="25" t="str">
        <f>IF($Q148="","",INDEX(TRANSACTIONS_MASTER!$L$5:$L$1204,$Q148))</f>
        <v/>
      </c>
      <c r="I148" s="56" t="str">
        <f>IF($Q148="","",INDEX(TRANSACTIONS_MASTER!$N$5:$N$1204,$Q148))</f>
        <v/>
      </c>
      <c r="J148" s="25" t="str">
        <f>IF($Q148="","",INDEX(TRANSACTIONS_MASTER!$O$5:$O$1204,$Q148))</f>
        <v/>
      </c>
      <c r="K148" s="26" t="str">
        <f>IF($Q148="","",INDEX(TRANSACTIONS_MASTER!$Q$5:$Q$1204,$Q148))</f>
        <v/>
      </c>
      <c r="L148" s="25" t="str">
        <f>IF($Q148="","",INDEX(TRANSACTIONS_MASTER!$P$5:$P$1204,$Q148))</f>
        <v/>
      </c>
      <c r="M148" s="25" t="str">
        <f>IF($Q148="","",INDEX(TRANSACTIONS_MASTER!$AA$5:$AA$1204,$Q148))</f>
        <v/>
      </c>
      <c r="N148" s="25" t="str">
        <f>IF($Q148="","",INDEX(TRANSACTIONS_MASTER!$R$5:$R$1204,$Q148))</f>
        <v/>
      </c>
      <c r="O148" s="28" t="str">
        <f>IF($Q148="","",INDEX(TRANSACTIONS_MASTER!$AB$5:$AB$1204,$Q148))</f>
        <v/>
      </c>
      <c r="P148" s="55" t="str">
        <f>IF($Q148="","",INDEX(TRANSACTIONS_MASTER!$Z$5:$Z$1204,$Q148)&amp;"")</f>
        <v/>
      </c>
      <c r="Q148" s="67" t="str">
        <f>IFERROR(MATCH($C$2&amp;"|"&amp;141,TRANSACTIONS_MASTER!$AE$5:$AE$1204,0),"")</f>
        <v/>
      </c>
      <c r="S148" s="67">
        <f>IFERROR(MATCH(1,INDEX((TRANSACTIONS_MASTER!$C$5:$C$1204=$C$2)*(TRANSACTIONS_MASTER!$AJ$5:$AJ$1204=11),0),0),"")</f>
        <v>23</v>
      </c>
      <c r="T148" s="29">
        <f>IF($S148="","",INDEX(TRANSACTIONS_MASTER!$I$5:$I$1204,$S148))</f>
        <v>8062</v>
      </c>
      <c r="U148" s="55" t="str">
        <f>IF($S148="","",INDEX(TRANSACTIONS_MASTER!$J$5:$J$1204,$S148))</f>
        <v>Hospitals</v>
      </c>
      <c r="V148" s="25">
        <f>IF($S148="","",SUMIFS(TRANSACTIONS_MASTER!$L$5:$L$1204,TRANSACTIONS_MASTER!$I$5:$I$1204,$T148,TRANSACTIONS_MASTER!$C$5:$C$1204,$C$2,TRANSACTIONS_MASTER!$U$5:$U$1204,"&lt;&gt;Cancelled"))</f>
        <v>1500000</v>
      </c>
      <c r="W148" s="26">
        <f>IF($S148="","",SUMIFS(TRANSACTIONS_MASTER!$Q$5:$Q$1204,TRANSACTIONS_MASTER!$I$5:$I$1204,$T148,TRANSACTIONS_MASTER!$C$5:$C$1204,$C$2))</f>
        <v>75000</v>
      </c>
    </row>
    <row r="149">
      <c r="A149" s="81" t="str">
        <f>IF($Q149="","",142)</f>
        <v/>
      </c>
      <c r="B149" s="57" t="str">
        <f>IF($Q149="","",INDEX(TRANSACTIONS_MASTER!$B$5:$B$1204,$Q149))</f>
        <v/>
      </c>
      <c r="C149" s="55" t="str">
        <f>IF($Q149="","",INDEX(TRANSACTIONS_MASTER!$F$5:$F$1204,$Q149))</f>
        <v/>
      </c>
      <c r="D149" s="55" t="str">
        <f>IF($Q149="","",INDEX(TRANSACTIONS_MASTER!$E$5:$E$1204,$Q149))</f>
        <v/>
      </c>
      <c r="E149" s="55" t="str">
        <f>IF($Q149="","",INDEX(TRANSACTIONS_MASTER!$G$5:$G$1204,$Q149)&amp;"")</f>
        <v/>
      </c>
      <c r="F149" s="29" t="str">
        <f>IF($Q149="","",INDEX(TRANSACTIONS_MASTER!$I$5:$I$1204,$Q149))</f>
        <v/>
      </c>
      <c r="G149" s="55" t="str">
        <f>IF($Q149="","",INDEX(TRANSACTIONS_MASTER!$K$5:$K$1204,$Q149))</f>
        <v/>
      </c>
      <c r="H149" s="25" t="str">
        <f>IF($Q149="","",INDEX(TRANSACTIONS_MASTER!$L$5:$L$1204,$Q149))</f>
        <v/>
      </c>
      <c r="I149" s="56" t="str">
        <f>IF($Q149="","",INDEX(TRANSACTIONS_MASTER!$N$5:$N$1204,$Q149))</f>
        <v/>
      </c>
      <c r="J149" s="25" t="str">
        <f>IF($Q149="","",INDEX(TRANSACTIONS_MASTER!$O$5:$O$1204,$Q149))</f>
        <v/>
      </c>
      <c r="K149" s="26" t="str">
        <f>IF($Q149="","",INDEX(TRANSACTIONS_MASTER!$Q$5:$Q$1204,$Q149))</f>
        <v/>
      </c>
      <c r="L149" s="25" t="str">
        <f>IF($Q149="","",INDEX(TRANSACTIONS_MASTER!$P$5:$P$1204,$Q149))</f>
        <v/>
      </c>
      <c r="M149" s="25" t="str">
        <f>IF($Q149="","",INDEX(TRANSACTIONS_MASTER!$AA$5:$AA$1204,$Q149))</f>
        <v/>
      </c>
      <c r="N149" s="25" t="str">
        <f>IF($Q149="","",INDEX(TRANSACTIONS_MASTER!$R$5:$R$1204,$Q149))</f>
        <v/>
      </c>
      <c r="O149" s="28" t="str">
        <f>IF($Q149="","",INDEX(TRANSACTIONS_MASTER!$AB$5:$AB$1204,$Q149))</f>
        <v/>
      </c>
      <c r="P149" s="55" t="str">
        <f>IF($Q149="","",INDEX(TRANSACTIONS_MASTER!$Z$5:$Z$1204,$Q149)&amp;"")</f>
        <v/>
      </c>
      <c r="Q149" s="67" t="str">
        <f>IFERROR(MATCH($C$2&amp;"|"&amp;142,TRANSACTIONS_MASTER!$AE$5:$AE$1204,0),"")</f>
        <v/>
      </c>
      <c r="S149" s="67">
        <f>IFERROR(MATCH(1,INDEX((TRANSACTIONS_MASTER!$C$5:$C$1204=$C$2)*(TRANSACTIONS_MASTER!$AJ$5:$AJ$1204=12),0),0),"")</f>
        <v>24</v>
      </c>
      <c r="T149" s="29">
        <f>IF($S149="","",INDEX(TRANSACTIONS_MASTER!$I$5:$I$1204,$S149))</f>
        <v>4814</v>
      </c>
      <c r="U149" s="55" t="str">
        <f>IF($S149="","",INDEX(TRANSACTIONS_MASTER!$J$5:$J$1204,$S149))</f>
        <v>Telecommunication Services</v>
      </c>
      <c r="V149" s="25">
        <f>IF($S149="","",SUMIFS(TRANSACTIONS_MASTER!$L$5:$L$1204,TRANSACTIONS_MASTER!$I$5:$I$1204,$T149,TRANSACTIONS_MASTER!$C$5:$C$1204,$C$2,TRANSACTIONS_MASTER!$U$5:$U$1204,"&lt;&gt;Cancelled"))</f>
        <v>300000</v>
      </c>
      <c r="W149" s="26">
        <f>IF($S149="","",SUMIFS(TRANSACTIONS_MASTER!$Q$5:$Q$1204,TRANSACTIONS_MASTER!$I$5:$I$1204,$T149,TRANSACTIONS_MASTER!$C$5:$C$1204,$C$2))</f>
        <v>15000</v>
      </c>
    </row>
    <row r="150">
      <c r="A150" s="81" t="str">
        <f>IF($Q150="","",143)</f>
        <v/>
      </c>
      <c r="B150" s="57" t="str">
        <f>IF($Q150="","",INDEX(TRANSACTIONS_MASTER!$B$5:$B$1204,$Q150))</f>
        <v/>
      </c>
      <c r="C150" s="55" t="str">
        <f>IF($Q150="","",INDEX(TRANSACTIONS_MASTER!$F$5:$F$1204,$Q150))</f>
        <v/>
      </c>
      <c r="D150" s="55" t="str">
        <f>IF($Q150="","",INDEX(TRANSACTIONS_MASTER!$E$5:$E$1204,$Q150))</f>
        <v/>
      </c>
      <c r="E150" s="55" t="str">
        <f>IF($Q150="","",INDEX(TRANSACTIONS_MASTER!$G$5:$G$1204,$Q150)&amp;"")</f>
        <v/>
      </c>
      <c r="F150" s="29" t="str">
        <f>IF($Q150="","",INDEX(TRANSACTIONS_MASTER!$I$5:$I$1204,$Q150))</f>
        <v/>
      </c>
      <c r="G150" s="55" t="str">
        <f>IF($Q150="","",INDEX(TRANSACTIONS_MASTER!$K$5:$K$1204,$Q150))</f>
        <v/>
      </c>
      <c r="H150" s="25" t="str">
        <f>IF($Q150="","",INDEX(TRANSACTIONS_MASTER!$L$5:$L$1204,$Q150))</f>
        <v/>
      </c>
      <c r="I150" s="56" t="str">
        <f>IF($Q150="","",INDEX(TRANSACTIONS_MASTER!$N$5:$N$1204,$Q150))</f>
        <v/>
      </c>
      <c r="J150" s="25" t="str">
        <f>IF($Q150="","",INDEX(TRANSACTIONS_MASTER!$O$5:$O$1204,$Q150))</f>
        <v/>
      </c>
      <c r="K150" s="26" t="str">
        <f>IF($Q150="","",INDEX(TRANSACTIONS_MASTER!$Q$5:$Q$1204,$Q150))</f>
        <v/>
      </c>
      <c r="L150" s="25" t="str">
        <f>IF($Q150="","",INDEX(TRANSACTIONS_MASTER!$P$5:$P$1204,$Q150))</f>
        <v/>
      </c>
      <c r="M150" s="25" t="str">
        <f>IF($Q150="","",INDEX(TRANSACTIONS_MASTER!$AA$5:$AA$1204,$Q150))</f>
        <v/>
      </c>
      <c r="N150" s="25" t="str">
        <f>IF($Q150="","",INDEX(TRANSACTIONS_MASTER!$R$5:$R$1204,$Q150))</f>
        <v/>
      </c>
      <c r="O150" s="28" t="str">
        <f>IF($Q150="","",INDEX(TRANSACTIONS_MASTER!$AB$5:$AB$1204,$Q150))</f>
        <v/>
      </c>
      <c r="P150" s="55" t="str">
        <f>IF($Q150="","",INDEX(TRANSACTIONS_MASTER!$Z$5:$Z$1204,$Q150)&amp;"")</f>
        <v/>
      </c>
      <c r="Q150" s="67" t="str">
        <f>IFERROR(MATCH($C$2&amp;"|"&amp;143,TRANSACTIONS_MASTER!$AE$5:$AE$1204,0),"")</f>
        <v/>
      </c>
      <c r="S150" s="67" t="str">
        <f>IFERROR(MATCH(1,INDEX((TRANSACTIONS_MASTER!$C$5:$C$1204=$C$2)*(TRANSACTIONS_MASTER!$AJ$5:$AJ$1204=13),0),0),"")</f>
        <v/>
      </c>
      <c r="T150" s="29" t="str">
        <f>IF($S150="","",INDEX(TRANSACTIONS_MASTER!$I$5:$I$1204,$S150))</f>
        <v/>
      </c>
      <c r="U150" s="55" t="str">
        <f>IF($S150="","",INDEX(TRANSACTIONS_MASTER!$J$5:$J$1204,$S150))</f>
        <v/>
      </c>
      <c r="V150" s="25" t="str">
        <f>IF($S150="","",SUMIFS(TRANSACTIONS_MASTER!$L$5:$L$1204,TRANSACTIONS_MASTER!$I$5:$I$1204,$T150,TRANSACTIONS_MASTER!$C$5:$C$1204,$C$2,TRANSACTIONS_MASTER!$U$5:$U$1204,"&lt;&gt;Cancelled"))</f>
        <v/>
      </c>
      <c r="W150" s="26" t="str">
        <f>IF($S150="","",SUMIFS(TRANSACTIONS_MASTER!$Q$5:$Q$1204,TRANSACTIONS_MASTER!$I$5:$I$1204,$T150,TRANSACTIONS_MASTER!$C$5:$C$1204,$C$2))</f>
        <v/>
      </c>
    </row>
    <row r="151">
      <c r="A151" s="81" t="str">
        <f>IF($Q151="","",144)</f>
        <v/>
      </c>
      <c r="B151" s="57" t="str">
        <f>IF($Q151="","",INDEX(TRANSACTIONS_MASTER!$B$5:$B$1204,$Q151))</f>
        <v/>
      </c>
      <c r="C151" s="55" t="str">
        <f>IF($Q151="","",INDEX(TRANSACTIONS_MASTER!$F$5:$F$1204,$Q151))</f>
        <v/>
      </c>
      <c r="D151" s="55" t="str">
        <f>IF($Q151="","",INDEX(TRANSACTIONS_MASTER!$E$5:$E$1204,$Q151))</f>
        <v/>
      </c>
      <c r="E151" s="55" t="str">
        <f>IF($Q151="","",INDEX(TRANSACTIONS_MASTER!$G$5:$G$1204,$Q151)&amp;"")</f>
        <v/>
      </c>
      <c r="F151" s="29" t="str">
        <f>IF($Q151="","",INDEX(TRANSACTIONS_MASTER!$I$5:$I$1204,$Q151))</f>
        <v/>
      </c>
      <c r="G151" s="55" t="str">
        <f>IF($Q151="","",INDEX(TRANSACTIONS_MASTER!$K$5:$K$1204,$Q151))</f>
        <v/>
      </c>
      <c r="H151" s="25" t="str">
        <f>IF($Q151="","",INDEX(TRANSACTIONS_MASTER!$L$5:$L$1204,$Q151))</f>
        <v/>
      </c>
      <c r="I151" s="56" t="str">
        <f>IF($Q151="","",INDEX(TRANSACTIONS_MASTER!$N$5:$N$1204,$Q151))</f>
        <v/>
      </c>
      <c r="J151" s="25" t="str">
        <f>IF($Q151="","",INDEX(TRANSACTIONS_MASTER!$O$5:$O$1204,$Q151))</f>
        <v/>
      </c>
      <c r="K151" s="26" t="str">
        <f>IF($Q151="","",INDEX(TRANSACTIONS_MASTER!$Q$5:$Q$1204,$Q151))</f>
        <v/>
      </c>
      <c r="L151" s="25" t="str">
        <f>IF($Q151="","",INDEX(TRANSACTIONS_MASTER!$P$5:$P$1204,$Q151))</f>
        <v/>
      </c>
      <c r="M151" s="25" t="str">
        <f>IF($Q151="","",INDEX(TRANSACTIONS_MASTER!$AA$5:$AA$1204,$Q151))</f>
        <v/>
      </c>
      <c r="N151" s="25" t="str">
        <f>IF($Q151="","",INDEX(TRANSACTIONS_MASTER!$R$5:$R$1204,$Q151))</f>
        <v/>
      </c>
      <c r="O151" s="28" t="str">
        <f>IF($Q151="","",INDEX(TRANSACTIONS_MASTER!$AB$5:$AB$1204,$Q151))</f>
        <v/>
      </c>
      <c r="P151" s="55" t="str">
        <f>IF($Q151="","",INDEX(TRANSACTIONS_MASTER!$Z$5:$Z$1204,$Q151)&amp;"")</f>
        <v/>
      </c>
      <c r="Q151" s="67" t="str">
        <f>IFERROR(MATCH($C$2&amp;"|"&amp;144,TRANSACTIONS_MASTER!$AE$5:$AE$1204,0),"")</f>
        <v/>
      </c>
      <c r="S151" s="67" t="str">
        <f>IFERROR(MATCH(1,INDEX((TRANSACTIONS_MASTER!$C$5:$C$1204=$C$2)*(TRANSACTIONS_MASTER!$AJ$5:$AJ$1204=14),0),0),"")</f>
        <v/>
      </c>
      <c r="T151" s="29" t="str">
        <f>IF($S151="","",INDEX(TRANSACTIONS_MASTER!$I$5:$I$1204,$S151))</f>
        <v/>
      </c>
      <c r="U151" s="55" t="str">
        <f>IF($S151="","",INDEX(TRANSACTIONS_MASTER!$J$5:$J$1204,$S151))</f>
        <v/>
      </c>
      <c r="V151" s="25" t="str">
        <f>IF($S151="","",SUMIFS(TRANSACTIONS_MASTER!$L$5:$L$1204,TRANSACTIONS_MASTER!$I$5:$I$1204,$T151,TRANSACTIONS_MASTER!$C$5:$C$1204,$C$2,TRANSACTIONS_MASTER!$U$5:$U$1204,"&lt;&gt;Cancelled"))</f>
        <v/>
      </c>
      <c r="W151" s="26" t="str">
        <f>IF($S151="","",SUMIFS(TRANSACTIONS_MASTER!$Q$5:$Q$1204,TRANSACTIONS_MASTER!$I$5:$I$1204,$T151,TRANSACTIONS_MASTER!$C$5:$C$1204,$C$2))</f>
        <v/>
      </c>
    </row>
    <row r="152">
      <c r="A152" s="81" t="str">
        <f>IF($Q152="","",145)</f>
        <v/>
      </c>
      <c r="B152" s="57" t="str">
        <f>IF($Q152="","",INDEX(TRANSACTIONS_MASTER!$B$5:$B$1204,$Q152))</f>
        <v/>
      </c>
      <c r="C152" s="55" t="str">
        <f>IF($Q152="","",INDEX(TRANSACTIONS_MASTER!$F$5:$F$1204,$Q152))</f>
        <v/>
      </c>
      <c r="D152" s="55" t="str">
        <f>IF($Q152="","",INDEX(TRANSACTIONS_MASTER!$E$5:$E$1204,$Q152))</f>
        <v/>
      </c>
      <c r="E152" s="55" t="str">
        <f>IF($Q152="","",INDEX(TRANSACTIONS_MASTER!$G$5:$G$1204,$Q152)&amp;"")</f>
        <v/>
      </c>
      <c r="F152" s="29" t="str">
        <f>IF($Q152="","",INDEX(TRANSACTIONS_MASTER!$I$5:$I$1204,$Q152))</f>
        <v/>
      </c>
      <c r="G152" s="55" t="str">
        <f>IF($Q152="","",INDEX(TRANSACTIONS_MASTER!$K$5:$K$1204,$Q152))</f>
        <v/>
      </c>
      <c r="H152" s="25" t="str">
        <f>IF($Q152="","",INDEX(TRANSACTIONS_MASTER!$L$5:$L$1204,$Q152))</f>
        <v/>
      </c>
      <c r="I152" s="56" t="str">
        <f>IF($Q152="","",INDEX(TRANSACTIONS_MASTER!$N$5:$N$1204,$Q152))</f>
        <v/>
      </c>
      <c r="J152" s="25" t="str">
        <f>IF($Q152="","",INDEX(TRANSACTIONS_MASTER!$O$5:$O$1204,$Q152))</f>
        <v/>
      </c>
      <c r="K152" s="26" t="str">
        <f>IF($Q152="","",INDEX(TRANSACTIONS_MASTER!$Q$5:$Q$1204,$Q152))</f>
        <v/>
      </c>
      <c r="L152" s="25" t="str">
        <f>IF($Q152="","",INDEX(TRANSACTIONS_MASTER!$P$5:$P$1204,$Q152))</f>
        <v/>
      </c>
      <c r="M152" s="25" t="str">
        <f>IF($Q152="","",INDEX(TRANSACTIONS_MASTER!$AA$5:$AA$1204,$Q152))</f>
        <v/>
      </c>
      <c r="N152" s="25" t="str">
        <f>IF($Q152="","",INDEX(TRANSACTIONS_MASTER!$R$5:$R$1204,$Q152))</f>
        <v/>
      </c>
      <c r="O152" s="28" t="str">
        <f>IF($Q152="","",INDEX(TRANSACTIONS_MASTER!$AB$5:$AB$1204,$Q152))</f>
        <v/>
      </c>
      <c r="P152" s="55" t="str">
        <f>IF($Q152="","",INDEX(TRANSACTIONS_MASTER!$Z$5:$Z$1204,$Q152)&amp;"")</f>
        <v/>
      </c>
      <c r="Q152" s="67" t="str">
        <f>IFERROR(MATCH($C$2&amp;"|"&amp;145,TRANSACTIONS_MASTER!$AE$5:$AE$1204,0),"")</f>
        <v/>
      </c>
      <c r="S152" s="67" t="str">
        <f>IFERROR(MATCH(1,INDEX((TRANSACTIONS_MASTER!$C$5:$C$1204=$C$2)*(TRANSACTIONS_MASTER!$AJ$5:$AJ$1204=15),0),0),"")</f>
        <v/>
      </c>
      <c r="T152" s="29" t="str">
        <f>IF($S152="","",INDEX(TRANSACTIONS_MASTER!$I$5:$I$1204,$S152))</f>
        <v/>
      </c>
      <c r="U152" s="55" t="str">
        <f>IF($S152="","",INDEX(TRANSACTIONS_MASTER!$J$5:$J$1204,$S152))</f>
        <v/>
      </c>
      <c r="V152" s="25" t="str">
        <f>IF($S152="","",SUMIFS(TRANSACTIONS_MASTER!$L$5:$L$1204,TRANSACTIONS_MASTER!$I$5:$I$1204,$T152,TRANSACTIONS_MASTER!$C$5:$C$1204,$C$2,TRANSACTIONS_MASTER!$U$5:$U$1204,"&lt;&gt;Cancelled"))</f>
        <v/>
      </c>
      <c r="W152" s="26" t="str">
        <f>IF($S152="","",SUMIFS(TRANSACTIONS_MASTER!$Q$5:$Q$1204,TRANSACTIONS_MASTER!$I$5:$I$1204,$T152,TRANSACTIONS_MASTER!$C$5:$C$1204,$C$2))</f>
        <v/>
      </c>
    </row>
    <row r="153">
      <c r="A153" s="81" t="str">
        <f>IF($Q153="","",146)</f>
        <v/>
      </c>
      <c r="B153" s="57" t="str">
        <f>IF($Q153="","",INDEX(TRANSACTIONS_MASTER!$B$5:$B$1204,$Q153))</f>
        <v/>
      </c>
      <c r="C153" s="55" t="str">
        <f>IF($Q153="","",INDEX(TRANSACTIONS_MASTER!$F$5:$F$1204,$Q153))</f>
        <v/>
      </c>
      <c r="D153" s="55" t="str">
        <f>IF($Q153="","",INDEX(TRANSACTIONS_MASTER!$E$5:$E$1204,$Q153))</f>
        <v/>
      </c>
      <c r="E153" s="55" t="str">
        <f>IF($Q153="","",INDEX(TRANSACTIONS_MASTER!$G$5:$G$1204,$Q153)&amp;"")</f>
        <v/>
      </c>
      <c r="F153" s="29" t="str">
        <f>IF($Q153="","",INDEX(TRANSACTIONS_MASTER!$I$5:$I$1204,$Q153))</f>
        <v/>
      </c>
      <c r="G153" s="55" t="str">
        <f>IF($Q153="","",INDEX(TRANSACTIONS_MASTER!$K$5:$K$1204,$Q153))</f>
        <v/>
      </c>
      <c r="H153" s="25" t="str">
        <f>IF($Q153="","",INDEX(TRANSACTIONS_MASTER!$L$5:$L$1204,$Q153))</f>
        <v/>
      </c>
      <c r="I153" s="56" t="str">
        <f>IF($Q153="","",INDEX(TRANSACTIONS_MASTER!$N$5:$N$1204,$Q153))</f>
        <v/>
      </c>
      <c r="J153" s="25" t="str">
        <f>IF($Q153="","",INDEX(TRANSACTIONS_MASTER!$O$5:$O$1204,$Q153))</f>
        <v/>
      </c>
      <c r="K153" s="26" t="str">
        <f>IF($Q153="","",INDEX(TRANSACTIONS_MASTER!$Q$5:$Q$1204,$Q153))</f>
        <v/>
      </c>
      <c r="L153" s="25" t="str">
        <f>IF($Q153="","",INDEX(TRANSACTIONS_MASTER!$P$5:$P$1204,$Q153))</f>
        <v/>
      </c>
      <c r="M153" s="25" t="str">
        <f>IF($Q153="","",INDEX(TRANSACTIONS_MASTER!$AA$5:$AA$1204,$Q153))</f>
        <v/>
      </c>
      <c r="N153" s="25" t="str">
        <f>IF($Q153="","",INDEX(TRANSACTIONS_MASTER!$R$5:$R$1204,$Q153))</f>
        <v/>
      </c>
      <c r="O153" s="28" t="str">
        <f>IF($Q153="","",INDEX(TRANSACTIONS_MASTER!$AB$5:$AB$1204,$Q153))</f>
        <v/>
      </c>
      <c r="P153" s="55" t="str">
        <f>IF($Q153="","",INDEX(TRANSACTIONS_MASTER!$Z$5:$Z$1204,$Q153)&amp;"")</f>
        <v/>
      </c>
      <c r="Q153" s="67" t="str">
        <f>IFERROR(MATCH($C$2&amp;"|"&amp;146,TRANSACTIONS_MASTER!$AE$5:$AE$1204,0),"")</f>
        <v/>
      </c>
      <c r="T153" s="45" t="n"/>
      <c r="U153" s="82" t="inlineStr">
        <is>
          <t>Khác (ngoài danh sách)</t>
        </is>
      </c>
      <c r="V153" s="48">
        <f>MAX(0,SUMIFS(TRANSACTIONS_MASTER!$L$5:$L$1204,TRANSACTIONS_MASTER!$C$5:$C$1204,$C$2,TRANSACTIONS_MASTER!$U$5:$U$1204,"&lt;&gt;Cancelled")-SUM(V138:V152))</f>
        <v>0</v>
      </c>
      <c r="W153" s="48">
        <f>MAX(0,SUMIFS(TRANSACTIONS_MASTER!$Q$5:$Q$1204,TRANSACTIONS_MASTER!$C$5:$C$1204,$C$2)-SUM(W138:W152))</f>
        <v>0</v>
      </c>
    </row>
    <row r="154">
      <c r="A154" s="81" t="str">
        <f>IF($Q154="","",147)</f>
        <v/>
      </c>
      <c r="B154" s="57" t="str">
        <f>IF($Q154="","",INDEX(TRANSACTIONS_MASTER!$B$5:$B$1204,$Q154))</f>
        <v/>
      </c>
      <c r="C154" s="55" t="str">
        <f>IF($Q154="","",INDEX(TRANSACTIONS_MASTER!$F$5:$F$1204,$Q154))</f>
        <v/>
      </c>
      <c r="D154" s="55" t="str">
        <f>IF($Q154="","",INDEX(TRANSACTIONS_MASTER!$E$5:$E$1204,$Q154))</f>
        <v/>
      </c>
      <c r="E154" s="55" t="str">
        <f>IF($Q154="","",INDEX(TRANSACTIONS_MASTER!$G$5:$G$1204,$Q154)&amp;"")</f>
        <v/>
      </c>
      <c r="F154" s="29" t="str">
        <f>IF($Q154="","",INDEX(TRANSACTIONS_MASTER!$I$5:$I$1204,$Q154))</f>
        <v/>
      </c>
      <c r="G154" s="55" t="str">
        <f>IF($Q154="","",INDEX(TRANSACTIONS_MASTER!$K$5:$K$1204,$Q154))</f>
        <v/>
      </c>
      <c r="H154" s="25" t="str">
        <f>IF($Q154="","",INDEX(TRANSACTIONS_MASTER!$L$5:$L$1204,$Q154))</f>
        <v/>
      </c>
      <c r="I154" s="56" t="str">
        <f>IF($Q154="","",INDEX(TRANSACTIONS_MASTER!$N$5:$N$1204,$Q154))</f>
        <v/>
      </c>
      <c r="J154" s="25" t="str">
        <f>IF($Q154="","",INDEX(TRANSACTIONS_MASTER!$O$5:$O$1204,$Q154))</f>
        <v/>
      </c>
      <c r="K154" s="26" t="str">
        <f>IF($Q154="","",INDEX(TRANSACTIONS_MASTER!$Q$5:$Q$1204,$Q154))</f>
        <v/>
      </c>
      <c r="L154" s="25" t="str">
        <f>IF($Q154="","",INDEX(TRANSACTIONS_MASTER!$P$5:$P$1204,$Q154))</f>
        <v/>
      </c>
      <c r="M154" s="25" t="str">
        <f>IF($Q154="","",INDEX(TRANSACTIONS_MASTER!$AA$5:$AA$1204,$Q154))</f>
        <v/>
      </c>
      <c r="N154" s="25" t="str">
        <f>IF($Q154="","",INDEX(TRANSACTIONS_MASTER!$R$5:$R$1204,$Q154))</f>
        <v/>
      </c>
      <c r="O154" s="28" t="str">
        <f>IF($Q154="","",INDEX(TRANSACTIONS_MASTER!$AB$5:$AB$1204,$Q154))</f>
        <v/>
      </c>
      <c r="P154" s="55" t="str">
        <f>IF($Q154="","",INDEX(TRANSACTIONS_MASTER!$Z$5:$Z$1204,$Q154)&amp;"")</f>
        <v/>
      </c>
      <c r="Q154" s="67" t="str">
        <f>IFERROR(MATCH($C$2&amp;"|"&amp;147,TRANSACTIONS_MASTER!$AE$5:$AE$1204,0),"")</f>
        <v/>
      </c>
      <c r="T154" s="68" t="n"/>
      <c r="U154" s="69" t="inlineStr">
        <is>
          <t>TỔNG</t>
        </is>
      </c>
      <c r="V154" s="31">
        <f>SUM(V138:V153)</f>
        <v>54150000</v>
      </c>
      <c r="W154" s="31">
        <f>SUM(W138:W153)</f>
        <v>3880000</v>
      </c>
    </row>
    <row r="155">
      <c r="A155" s="81" t="str">
        <f>IF($Q155="","",148)</f>
        <v/>
      </c>
      <c r="B155" s="57" t="str">
        <f>IF($Q155="","",INDEX(TRANSACTIONS_MASTER!$B$5:$B$1204,$Q155))</f>
        <v/>
      </c>
      <c r="C155" s="55" t="str">
        <f>IF($Q155="","",INDEX(TRANSACTIONS_MASTER!$F$5:$F$1204,$Q155))</f>
        <v/>
      </c>
      <c r="D155" s="55" t="str">
        <f>IF($Q155="","",INDEX(TRANSACTIONS_MASTER!$E$5:$E$1204,$Q155))</f>
        <v/>
      </c>
      <c r="E155" s="55" t="str">
        <f>IF($Q155="","",INDEX(TRANSACTIONS_MASTER!$G$5:$G$1204,$Q155)&amp;"")</f>
        <v/>
      </c>
      <c r="F155" s="29" t="str">
        <f>IF($Q155="","",INDEX(TRANSACTIONS_MASTER!$I$5:$I$1204,$Q155))</f>
        <v/>
      </c>
      <c r="G155" s="55" t="str">
        <f>IF($Q155="","",INDEX(TRANSACTIONS_MASTER!$K$5:$K$1204,$Q155))</f>
        <v/>
      </c>
      <c r="H155" s="25" t="str">
        <f>IF($Q155="","",INDEX(TRANSACTIONS_MASTER!$L$5:$L$1204,$Q155))</f>
        <v/>
      </c>
      <c r="I155" s="56" t="str">
        <f>IF($Q155="","",INDEX(TRANSACTIONS_MASTER!$N$5:$N$1204,$Q155))</f>
        <v/>
      </c>
      <c r="J155" s="25" t="str">
        <f>IF($Q155="","",INDEX(TRANSACTIONS_MASTER!$O$5:$O$1204,$Q155))</f>
        <v/>
      </c>
      <c r="K155" s="26" t="str">
        <f>IF($Q155="","",INDEX(TRANSACTIONS_MASTER!$Q$5:$Q$1204,$Q155))</f>
        <v/>
      </c>
      <c r="L155" s="25" t="str">
        <f>IF($Q155="","",INDEX(TRANSACTIONS_MASTER!$P$5:$P$1204,$Q155))</f>
        <v/>
      </c>
      <c r="M155" s="25" t="str">
        <f>IF($Q155="","",INDEX(TRANSACTIONS_MASTER!$AA$5:$AA$1204,$Q155))</f>
        <v/>
      </c>
      <c r="N155" s="25" t="str">
        <f>IF($Q155="","",INDEX(TRANSACTIONS_MASTER!$R$5:$R$1204,$Q155))</f>
        <v/>
      </c>
      <c r="O155" s="28" t="str">
        <f>IF($Q155="","",INDEX(TRANSACTIONS_MASTER!$AB$5:$AB$1204,$Q155))</f>
        <v/>
      </c>
      <c r="P155" s="55" t="str">
        <f>IF($Q155="","",INDEX(TRANSACTIONS_MASTER!$Z$5:$Z$1204,$Q155)&amp;"")</f>
        <v/>
      </c>
      <c r="Q155" s="67" t="str">
        <f>IFERROR(MATCH($C$2&amp;"|"&amp;148,TRANSACTIONS_MASTER!$AE$5:$AE$1204,0),"")</f>
        <v/>
      </c>
    </row>
    <row r="156">
      <c r="A156" s="81" t="str">
        <f>IF($Q156="","",149)</f>
        <v/>
      </c>
      <c r="B156" s="57" t="str">
        <f>IF($Q156="","",INDEX(TRANSACTIONS_MASTER!$B$5:$B$1204,$Q156))</f>
        <v/>
      </c>
      <c r="C156" s="55" t="str">
        <f>IF($Q156="","",INDEX(TRANSACTIONS_MASTER!$F$5:$F$1204,$Q156))</f>
        <v/>
      </c>
      <c r="D156" s="55" t="str">
        <f>IF($Q156="","",INDEX(TRANSACTIONS_MASTER!$E$5:$E$1204,$Q156))</f>
        <v/>
      </c>
      <c r="E156" s="55" t="str">
        <f>IF($Q156="","",INDEX(TRANSACTIONS_MASTER!$G$5:$G$1204,$Q156)&amp;"")</f>
        <v/>
      </c>
      <c r="F156" s="29" t="str">
        <f>IF($Q156="","",INDEX(TRANSACTIONS_MASTER!$I$5:$I$1204,$Q156))</f>
        <v/>
      </c>
      <c r="G156" s="55" t="str">
        <f>IF($Q156="","",INDEX(TRANSACTIONS_MASTER!$K$5:$K$1204,$Q156))</f>
        <v/>
      </c>
      <c r="H156" s="25" t="str">
        <f>IF($Q156="","",INDEX(TRANSACTIONS_MASTER!$L$5:$L$1204,$Q156))</f>
        <v/>
      </c>
      <c r="I156" s="56" t="str">
        <f>IF($Q156="","",INDEX(TRANSACTIONS_MASTER!$N$5:$N$1204,$Q156))</f>
        <v/>
      </c>
      <c r="J156" s="25" t="str">
        <f>IF($Q156="","",INDEX(TRANSACTIONS_MASTER!$O$5:$O$1204,$Q156))</f>
        <v/>
      </c>
      <c r="K156" s="26" t="str">
        <f>IF($Q156="","",INDEX(TRANSACTIONS_MASTER!$Q$5:$Q$1204,$Q156))</f>
        <v/>
      </c>
      <c r="L156" s="25" t="str">
        <f>IF($Q156="","",INDEX(TRANSACTIONS_MASTER!$P$5:$P$1204,$Q156))</f>
        <v/>
      </c>
      <c r="M156" s="25" t="str">
        <f>IF($Q156="","",INDEX(TRANSACTIONS_MASTER!$AA$5:$AA$1204,$Q156))</f>
        <v/>
      </c>
      <c r="N156" s="25" t="str">
        <f>IF($Q156="","",INDEX(TRANSACTIONS_MASTER!$R$5:$R$1204,$Q156))</f>
        <v/>
      </c>
      <c r="O156" s="28" t="str">
        <f>IF($Q156="","",INDEX(TRANSACTIONS_MASTER!$AB$5:$AB$1204,$Q156))</f>
        <v/>
      </c>
      <c r="P156" s="55" t="str">
        <f>IF($Q156="","",INDEX(TRANSACTIONS_MASTER!$Z$5:$Z$1204,$Q156)&amp;"")</f>
        <v/>
      </c>
      <c r="Q156" s="67" t="str">
        <f>IFERROR(MATCH($C$2&amp;"|"&amp;149,TRANSACTIONS_MASTER!$AE$5:$AE$1204,0),"")</f>
        <v/>
      </c>
    </row>
    <row r="157" ht="22" customHeight="1">
      <c r="A157" s="81" t="str">
        <f>IF($Q157="","",150)</f>
        <v/>
      </c>
      <c r="B157" s="57" t="str">
        <f>IF($Q157="","",INDEX(TRANSACTIONS_MASTER!$B$5:$B$1204,$Q157))</f>
        <v/>
      </c>
      <c r="C157" s="55" t="str">
        <f>IF($Q157="","",INDEX(TRANSACTIONS_MASTER!$F$5:$F$1204,$Q157))</f>
        <v/>
      </c>
      <c r="D157" s="55" t="str">
        <f>IF($Q157="","",INDEX(TRANSACTIONS_MASTER!$E$5:$E$1204,$Q157))</f>
        <v/>
      </c>
      <c r="E157" s="55" t="str">
        <f>IF($Q157="","",INDEX(TRANSACTIONS_MASTER!$G$5:$G$1204,$Q157)&amp;"")</f>
        <v/>
      </c>
      <c r="F157" s="29" t="str">
        <f>IF($Q157="","",INDEX(TRANSACTIONS_MASTER!$I$5:$I$1204,$Q157))</f>
        <v/>
      </c>
      <c r="G157" s="55" t="str">
        <f>IF($Q157="","",INDEX(TRANSACTIONS_MASTER!$K$5:$K$1204,$Q157))</f>
        <v/>
      </c>
      <c r="H157" s="25" t="str">
        <f>IF($Q157="","",INDEX(TRANSACTIONS_MASTER!$L$5:$L$1204,$Q157))</f>
        <v/>
      </c>
      <c r="I157" s="56" t="str">
        <f>IF($Q157="","",INDEX(TRANSACTIONS_MASTER!$N$5:$N$1204,$Q157))</f>
        <v/>
      </c>
      <c r="J157" s="25" t="str">
        <f>IF($Q157="","",INDEX(TRANSACTIONS_MASTER!$O$5:$O$1204,$Q157))</f>
        <v/>
      </c>
      <c r="K157" s="26" t="str">
        <f>IF($Q157="","",INDEX(TRANSACTIONS_MASTER!$Q$5:$Q$1204,$Q157))</f>
        <v/>
      </c>
      <c r="L157" s="25" t="str">
        <f>IF($Q157="","",INDEX(TRANSACTIONS_MASTER!$P$5:$P$1204,$Q157))</f>
        <v/>
      </c>
      <c r="M157" s="25" t="str">
        <f>IF($Q157="","",INDEX(TRANSACTIONS_MASTER!$AA$5:$AA$1204,$Q157))</f>
        <v/>
      </c>
      <c r="N157" s="25" t="str">
        <f>IF($Q157="","",INDEX(TRANSACTIONS_MASTER!$R$5:$R$1204,$Q157))</f>
        <v/>
      </c>
      <c r="O157" s="28" t="str">
        <f>IF($Q157="","",INDEX(TRANSACTIONS_MASTER!$AB$5:$AB$1204,$Q157))</f>
        <v/>
      </c>
      <c r="P157" s="55" t="str">
        <f>IF($Q157="","",INDEX(TRANSACTIONS_MASTER!$Z$5:$Z$1204,$Q157)&amp;"")</f>
        <v/>
      </c>
      <c r="Q157" s="67" t="str">
        <f>IFERROR(MATCH($C$2&amp;"|"&amp;150,TRANSACTIONS_MASTER!$AE$5:$AE$1204,0),"")</f>
        <v/>
      </c>
      <c r="T157" s="19" t="inlineStr">
        <is>
          <t>THEO MERCHANT</t>
        </is>
      </c>
      <c r="U157" s="20" t="n"/>
      <c r="V157" s="20" t="n"/>
      <c r="W157" s="20" t="n"/>
      <c r="X157" s="20" t="n"/>
      <c r="Y157" s="20" t="n"/>
      <c r="Z157" s="20" t="n"/>
      <c r="AA157" s="20" t="n"/>
    </row>
    <row r="158" ht="28" customHeight="1">
      <c r="A158" s="81" t="str">
        <f>IF($Q158="","",151)</f>
        <v/>
      </c>
      <c r="B158" s="57" t="str">
        <f>IF($Q158="","",INDEX(TRANSACTIONS_MASTER!$B$5:$B$1204,$Q158))</f>
        <v/>
      </c>
      <c r="C158" s="55" t="str">
        <f>IF($Q158="","",INDEX(TRANSACTIONS_MASTER!$F$5:$F$1204,$Q158))</f>
        <v/>
      </c>
      <c r="D158" s="55" t="str">
        <f>IF($Q158="","",INDEX(TRANSACTIONS_MASTER!$E$5:$E$1204,$Q158))</f>
        <v/>
      </c>
      <c r="E158" s="55" t="str">
        <f>IF($Q158="","",INDEX(TRANSACTIONS_MASTER!$G$5:$G$1204,$Q158)&amp;"")</f>
        <v/>
      </c>
      <c r="F158" s="29" t="str">
        <f>IF($Q158="","",INDEX(TRANSACTIONS_MASTER!$I$5:$I$1204,$Q158))</f>
        <v/>
      </c>
      <c r="G158" s="55" t="str">
        <f>IF($Q158="","",INDEX(TRANSACTIONS_MASTER!$K$5:$K$1204,$Q158))</f>
        <v/>
      </c>
      <c r="H158" s="25" t="str">
        <f>IF($Q158="","",INDEX(TRANSACTIONS_MASTER!$L$5:$L$1204,$Q158))</f>
        <v/>
      </c>
      <c r="I158" s="56" t="str">
        <f>IF($Q158="","",INDEX(TRANSACTIONS_MASTER!$N$5:$N$1204,$Q158))</f>
        <v/>
      </c>
      <c r="J158" s="25" t="str">
        <f>IF($Q158="","",INDEX(TRANSACTIONS_MASTER!$O$5:$O$1204,$Q158))</f>
        <v/>
      </c>
      <c r="K158" s="26" t="str">
        <f>IF($Q158="","",INDEX(TRANSACTIONS_MASTER!$Q$5:$Q$1204,$Q158))</f>
        <v/>
      </c>
      <c r="L158" s="25" t="str">
        <f>IF($Q158="","",INDEX(TRANSACTIONS_MASTER!$P$5:$P$1204,$Q158))</f>
        <v/>
      </c>
      <c r="M158" s="25" t="str">
        <f>IF($Q158="","",INDEX(TRANSACTIONS_MASTER!$AA$5:$AA$1204,$Q158))</f>
        <v/>
      </c>
      <c r="N158" s="25" t="str">
        <f>IF($Q158="","",INDEX(TRANSACTIONS_MASTER!$R$5:$R$1204,$Q158))</f>
        <v/>
      </c>
      <c r="O158" s="28" t="str">
        <f>IF($Q158="","",INDEX(TRANSACTIONS_MASTER!$AB$5:$AB$1204,$Q158))</f>
        <v/>
      </c>
      <c r="P158" s="55" t="str">
        <f>IF($Q158="","",INDEX(TRANSACTIONS_MASTER!$Z$5:$Z$1204,$Q158)&amp;"")</f>
        <v/>
      </c>
      <c r="Q158" s="67" t="str">
        <f>IFERROR(MATCH($C$2&amp;"|"&amp;151,TRANSACTIONS_MASTER!$AE$5:$AE$1204,0),"")</f>
        <v/>
      </c>
      <c r="S158" s="21" t="inlineStr">
        <is>
          <t>#</t>
        </is>
      </c>
      <c r="T158" s="21" t="inlineStr"/>
      <c r="U158" s="21" t="inlineStr">
        <is>
          <t>Merchant</t>
        </is>
      </c>
      <c r="V158" s="21" t="inlineStr">
        <is>
          <t>Chi tiêu</t>
        </is>
      </c>
      <c r="W158" s="21" t="inlineStr">
        <is>
          <t>Cashback</t>
        </is>
      </c>
    </row>
    <row r="159">
      <c r="A159" s="81" t="str">
        <f>IF($Q159="","",152)</f>
        <v/>
      </c>
      <c r="B159" s="57" t="str">
        <f>IF($Q159="","",INDEX(TRANSACTIONS_MASTER!$B$5:$B$1204,$Q159))</f>
        <v/>
      </c>
      <c r="C159" s="55" t="str">
        <f>IF($Q159="","",INDEX(TRANSACTIONS_MASTER!$F$5:$F$1204,$Q159))</f>
        <v/>
      </c>
      <c r="D159" s="55" t="str">
        <f>IF($Q159="","",INDEX(TRANSACTIONS_MASTER!$E$5:$E$1204,$Q159))</f>
        <v/>
      </c>
      <c r="E159" s="55" t="str">
        <f>IF($Q159="","",INDEX(TRANSACTIONS_MASTER!$G$5:$G$1204,$Q159)&amp;"")</f>
        <v/>
      </c>
      <c r="F159" s="29" t="str">
        <f>IF($Q159="","",INDEX(TRANSACTIONS_MASTER!$I$5:$I$1204,$Q159))</f>
        <v/>
      </c>
      <c r="G159" s="55" t="str">
        <f>IF($Q159="","",INDEX(TRANSACTIONS_MASTER!$K$5:$K$1204,$Q159))</f>
        <v/>
      </c>
      <c r="H159" s="25" t="str">
        <f>IF($Q159="","",INDEX(TRANSACTIONS_MASTER!$L$5:$L$1204,$Q159))</f>
        <v/>
      </c>
      <c r="I159" s="56" t="str">
        <f>IF($Q159="","",INDEX(TRANSACTIONS_MASTER!$N$5:$N$1204,$Q159))</f>
        <v/>
      </c>
      <c r="J159" s="25" t="str">
        <f>IF($Q159="","",INDEX(TRANSACTIONS_MASTER!$O$5:$O$1204,$Q159))</f>
        <v/>
      </c>
      <c r="K159" s="26" t="str">
        <f>IF($Q159="","",INDEX(TRANSACTIONS_MASTER!$Q$5:$Q$1204,$Q159))</f>
        <v/>
      </c>
      <c r="L159" s="25" t="str">
        <f>IF($Q159="","",INDEX(TRANSACTIONS_MASTER!$P$5:$P$1204,$Q159))</f>
        <v/>
      </c>
      <c r="M159" s="25" t="str">
        <f>IF($Q159="","",INDEX(TRANSACTIONS_MASTER!$AA$5:$AA$1204,$Q159))</f>
        <v/>
      </c>
      <c r="N159" s="25" t="str">
        <f>IF($Q159="","",INDEX(TRANSACTIONS_MASTER!$R$5:$R$1204,$Q159))</f>
        <v/>
      </c>
      <c r="O159" s="28" t="str">
        <f>IF($Q159="","",INDEX(TRANSACTIONS_MASTER!$AB$5:$AB$1204,$Q159))</f>
        <v/>
      </c>
      <c r="P159" s="55" t="str">
        <f>IF($Q159="","",INDEX(TRANSACTIONS_MASTER!$Z$5:$Z$1204,$Q159)&amp;"")</f>
        <v/>
      </c>
      <c r="Q159" s="67" t="str">
        <f>IFERROR(MATCH($C$2&amp;"|"&amp;152,TRANSACTIONS_MASTER!$AE$5:$AE$1204,0),"")</f>
        <v/>
      </c>
      <c r="S159" s="67">
        <f>IFERROR(MATCH(1,INDEX((TRANSACTIONS_MASTER!$C$5:$C$1204=$C$2)*(TRANSACTIONS_MASTER!$AN$5:$AN$1204=1),0),0),"")</f>
        <v>7</v>
      </c>
      <c r="T159" s="55" t="n"/>
      <c r="U159" s="55" t="str">
        <f>IF($S159="","",INDEX(TRANSACTIONS_MASTER!$G$5:$G$1204,$S159)&amp;"")</f>
        <v>California Fitness</v>
      </c>
      <c r="V159" s="25">
        <f>IF($S159="","",SUMIFS(TRANSACTIONS_MASTER!$L$5:$L$1204,TRANSACTIONS_MASTER!$G$5:$G$1204,$U159,TRANSACTIONS_MASTER!$C$5:$C$1204,$C$2,TRANSACTIONS_MASTER!$U$5:$U$1204,"&lt;&gt;Cancelled"))</f>
        <v>10000000</v>
      </c>
      <c r="W159" s="26">
        <f>IF($S159="","",SUMIFS(TRANSACTIONS_MASTER!$Q$5:$Q$1204,TRANSACTIONS_MASTER!$G$5:$G$1204,$U159,TRANSACTIONS_MASTER!$C$5:$C$1204,$C$2))</f>
        <v>500000</v>
      </c>
    </row>
    <row r="160">
      <c r="A160" s="81" t="str">
        <f>IF($Q160="","",153)</f>
        <v/>
      </c>
      <c r="B160" s="57" t="str">
        <f>IF($Q160="","",INDEX(TRANSACTIONS_MASTER!$B$5:$B$1204,$Q160))</f>
        <v/>
      </c>
      <c r="C160" s="55" t="str">
        <f>IF($Q160="","",INDEX(TRANSACTIONS_MASTER!$F$5:$F$1204,$Q160))</f>
        <v/>
      </c>
      <c r="D160" s="55" t="str">
        <f>IF($Q160="","",INDEX(TRANSACTIONS_MASTER!$E$5:$E$1204,$Q160))</f>
        <v/>
      </c>
      <c r="E160" s="55" t="str">
        <f>IF($Q160="","",INDEX(TRANSACTIONS_MASTER!$G$5:$G$1204,$Q160)&amp;"")</f>
        <v/>
      </c>
      <c r="F160" s="29" t="str">
        <f>IF($Q160="","",INDEX(TRANSACTIONS_MASTER!$I$5:$I$1204,$Q160))</f>
        <v/>
      </c>
      <c r="G160" s="55" t="str">
        <f>IF($Q160="","",INDEX(TRANSACTIONS_MASTER!$K$5:$K$1204,$Q160))</f>
        <v/>
      </c>
      <c r="H160" s="25" t="str">
        <f>IF($Q160="","",INDEX(TRANSACTIONS_MASTER!$L$5:$L$1204,$Q160))</f>
        <v/>
      </c>
      <c r="I160" s="56" t="str">
        <f>IF($Q160="","",INDEX(TRANSACTIONS_MASTER!$N$5:$N$1204,$Q160))</f>
        <v/>
      </c>
      <c r="J160" s="25" t="str">
        <f>IF($Q160="","",INDEX(TRANSACTIONS_MASTER!$O$5:$O$1204,$Q160))</f>
        <v/>
      </c>
      <c r="K160" s="26" t="str">
        <f>IF($Q160="","",INDEX(TRANSACTIONS_MASTER!$Q$5:$Q$1204,$Q160))</f>
        <v/>
      </c>
      <c r="L160" s="25" t="str">
        <f>IF($Q160="","",INDEX(TRANSACTIONS_MASTER!$P$5:$P$1204,$Q160))</f>
        <v/>
      </c>
      <c r="M160" s="25" t="str">
        <f>IF($Q160="","",INDEX(TRANSACTIONS_MASTER!$AA$5:$AA$1204,$Q160))</f>
        <v/>
      </c>
      <c r="N160" s="25" t="str">
        <f>IF($Q160="","",INDEX(TRANSACTIONS_MASTER!$R$5:$R$1204,$Q160))</f>
        <v/>
      </c>
      <c r="O160" s="28" t="str">
        <f>IF($Q160="","",INDEX(TRANSACTIONS_MASTER!$AB$5:$AB$1204,$Q160))</f>
        <v/>
      </c>
      <c r="P160" s="55" t="str">
        <f>IF($Q160="","",INDEX(TRANSACTIONS_MASTER!$Z$5:$Z$1204,$Q160)&amp;"")</f>
        <v/>
      </c>
      <c r="Q160" s="67" t="str">
        <f>IFERROR(MATCH($C$2&amp;"|"&amp;153,TRANSACTIONS_MASTER!$AE$5:$AE$1204,0),"")</f>
        <v/>
      </c>
      <c r="S160" s="67">
        <f>IFERROR(MATCH(1,INDEX((TRANSACTIONS_MASTER!$C$5:$C$1204=$C$2)*(TRANSACTIONS_MASTER!$AN$5:$AN$1204=2),0),0),"")</f>
        <v>8</v>
      </c>
      <c r="T160" s="55" t="n"/>
      <c r="U160" s="55" t="str">
        <f>IF($S160="","",INDEX(TRANSACTIONS_MASTER!$G$5:$G$1204,$S160)&amp;"")</f>
        <v>Nhà hàng Hải Sản Biển Đông</v>
      </c>
      <c r="V160" s="25">
        <f>IF($S160="","",SUMIFS(TRANSACTIONS_MASTER!$L$5:$L$1204,TRANSACTIONS_MASTER!$G$5:$G$1204,$U160,TRANSACTIONS_MASTER!$C$5:$C$1204,$C$2,TRANSACTIONS_MASTER!$U$5:$U$1204,"&lt;&gt;Cancelled"))</f>
        <v>1200000</v>
      </c>
      <c r="W160" s="26">
        <f>IF($S160="","",SUMIFS(TRANSACTIONS_MASTER!$Q$5:$Q$1204,TRANSACTIONS_MASTER!$G$5:$G$1204,$U160,TRANSACTIONS_MASTER!$C$5:$C$1204,$C$2))</f>
        <v>180000</v>
      </c>
    </row>
    <row r="161">
      <c r="A161" s="81" t="str">
        <f>IF($Q161="","",154)</f>
        <v/>
      </c>
      <c r="B161" s="57" t="str">
        <f>IF($Q161="","",INDEX(TRANSACTIONS_MASTER!$B$5:$B$1204,$Q161))</f>
        <v/>
      </c>
      <c r="C161" s="55" t="str">
        <f>IF($Q161="","",INDEX(TRANSACTIONS_MASTER!$F$5:$F$1204,$Q161))</f>
        <v/>
      </c>
      <c r="D161" s="55" t="str">
        <f>IF($Q161="","",INDEX(TRANSACTIONS_MASTER!$E$5:$E$1204,$Q161))</f>
        <v/>
      </c>
      <c r="E161" s="55" t="str">
        <f>IF($Q161="","",INDEX(TRANSACTIONS_MASTER!$G$5:$G$1204,$Q161)&amp;"")</f>
        <v/>
      </c>
      <c r="F161" s="29" t="str">
        <f>IF($Q161="","",INDEX(TRANSACTIONS_MASTER!$I$5:$I$1204,$Q161))</f>
        <v/>
      </c>
      <c r="G161" s="55" t="str">
        <f>IF($Q161="","",INDEX(TRANSACTIONS_MASTER!$K$5:$K$1204,$Q161))</f>
        <v/>
      </c>
      <c r="H161" s="25" t="str">
        <f>IF($Q161="","",INDEX(TRANSACTIONS_MASTER!$L$5:$L$1204,$Q161))</f>
        <v/>
      </c>
      <c r="I161" s="56" t="str">
        <f>IF($Q161="","",INDEX(TRANSACTIONS_MASTER!$N$5:$N$1204,$Q161))</f>
        <v/>
      </c>
      <c r="J161" s="25" t="str">
        <f>IF($Q161="","",INDEX(TRANSACTIONS_MASTER!$O$5:$O$1204,$Q161))</f>
        <v/>
      </c>
      <c r="K161" s="26" t="str">
        <f>IF($Q161="","",INDEX(TRANSACTIONS_MASTER!$Q$5:$Q$1204,$Q161))</f>
        <v/>
      </c>
      <c r="L161" s="25" t="str">
        <f>IF($Q161="","",INDEX(TRANSACTIONS_MASTER!$P$5:$P$1204,$Q161))</f>
        <v/>
      </c>
      <c r="M161" s="25" t="str">
        <f>IF($Q161="","",INDEX(TRANSACTIONS_MASTER!$AA$5:$AA$1204,$Q161))</f>
        <v/>
      </c>
      <c r="N161" s="25" t="str">
        <f>IF($Q161="","",INDEX(TRANSACTIONS_MASTER!$R$5:$R$1204,$Q161))</f>
        <v/>
      </c>
      <c r="O161" s="28" t="str">
        <f>IF($Q161="","",INDEX(TRANSACTIONS_MASTER!$AB$5:$AB$1204,$Q161))</f>
        <v/>
      </c>
      <c r="P161" s="55" t="str">
        <f>IF($Q161="","",INDEX(TRANSACTIONS_MASTER!$Z$5:$Z$1204,$Q161)&amp;"")</f>
        <v/>
      </c>
      <c r="Q161" s="67" t="str">
        <f>IFERROR(MATCH($C$2&amp;"|"&amp;154,TRANSACTIONS_MASTER!$AE$5:$AE$1204,0),"")</f>
        <v/>
      </c>
      <c r="S161" s="67">
        <f>IFERROR(MATCH(1,INDEX((TRANSACTIONS_MASTER!$C$5:$C$1204=$C$2)*(TRANSACTIONS_MASTER!$AN$5:$AN$1204=3),0),0),"")</f>
        <v>9</v>
      </c>
      <c r="T161" s="55" t="n"/>
      <c r="U161" s="55" t="str">
        <f>IF($S161="","",INDEX(TRANSACTIONS_MASTER!$G$5:$G$1204,$S161)&amp;"")</f>
        <v>WinMart</v>
      </c>
      <c r="V161" s="25">
        <f>IF($S161="","",SUMIFS(TRANSACTIONS_MASTER!$L$5:$L$1204,TRANSACTIONS_MASTER!$G$5:$G$1204,$U161,TRANSACTIONS_MASTER!$C$5:$C$1204,$C$2,TRANSACTIONS_MASTER!$U$5:$U$1204,"&lt;&gt;Cancelled"))</f>
        <v>7000000</v>
      </c>
      <c r="W161" s="26">
        <f>IF($S161="","",SUMIFS(TRANSACTIONS_MASTER!$Q$5:$Q$1204,TRANSACTIONS_MASTER!$G$5:$G$1204,$U161,TRANSACTIONS_MASTER!$C$5:$C$1204,$C$2))</f>
        <v>530000</v>
      </c>
    </row>
    <row r="162">
      <c r="A162" s="81" t="str">
        <f>IF($Q162="","",155)</f>
        <v/>
      </c>
      <c r="B162" s="57" t="str">
        <f>IF($Q162="","",INDEX(TRANSACTIONS_MASTER!$B$5:$B$1204,$Q162))</f>
        <v/>
      </c>
      <c r="C162" s="55" t="str">
        <f>IF($Q162="","",INDEX(TRANSACTIONS_MASTER!$F$5:$F$1204,$Q162))</f>
        <v/>
      </c>
      <c r="D162" s="55" t="str">
        <f>IF($Q162="","",INDEX(TRANSACTIONS_MASTER!$E$5:$E$1204,$Q162))</f>
        <v/>
      </c>
      <c r="E162" s="55" t="str">
        <f>IF($Q162="","",INDEX(TRANSACTIONS_MASTER!$G$5:$G$1204,$Q162)&amp;"")</f>
        <v/>
      </c>
      <c r="F162" s="29" t="str">
        <f>IF($Q162="","",INDEX(TRANSACTIONS_MASTER!$I$5:$I$1204,$Q162))</f>
        <v/>
      </c>
      <c r="G162" s="55" t="str">
        <f>IF($Q162="","",INDEX(TRANSACTIONS_MASTER!$K$5:$K$1204,$Q162))</f>
        <v/>
      </c>
      <c r="H162" s="25" t="str">
        <f>IF($Q162="","",INDEX(TRANSACTIONS_MASTER!$L$5:$L$1204,$Q162))</f>
        <v/>
      </c>
      <c r="I162" s="56" t="str">
        <f>IF($Q162="","",INDEX(TRANSACTIONS_MASTER!$N$5:$N$1204,$Q162))</f>
        <v/>
      </c>
      <c r="J162" s="25" t="str">
        <f>IF($Q162="","",INDEX(TRANSACTIONS_MASTER!$O$5:$O$1204,$Q162))</f>
        <v/>
      </c>
      <c r="K162" s="26" t="str">
        <f>IF($Q162="","",INDEX(TRANSACTIONS_MASTER!$Q$5:$Q$1204,$Q162))</f>
        <v/>
      </c>
      <c r="L162" s="25" t="str">
        <f>IF($Q162="","",INDEX(TRANSACTIONS_MASTER!$P$5:$P$1204,$Q162))</f>
        <v/>
      </c>
      <c r="M162" s="25" t="str">
        <f>IF($Q162="","",INDEX(TRANSACTIONS_MASTER!$AA$5:$AA$1204,$Q162))</f>
        <v/>
      </c>
      <c r="N162" s="25" t="str">
        <f>IF($Q162="","",INDEX(TRANSACTIONS_MASTER!$R$5:$R$1204,$Q162))</f>
        <v/>
      </c>
      <c r="O162" s="28" t="str">
        <f>IF($Q162="","",INDEX(TRANSACTIONS_MASTER!$AB$5:$AB$1204,$Q162))</f>
        <v/>
      </c>
      <c r="P162" s="55" t="str">
        <f>IF($Q162="","",INDEX(TRANSACTIONS_MASTER!$Z$5:$Z$1204,$Q162)&amp;"")</f>
        <v/>
      </c>
      <c r="Q162" s="67" t="str">
        <f>IFERROR(MATCH($C$2&amp;"|"&amp;155,TRANSACTIONS_MASTER!$AE$5:$AE$1204,0),"")</f>
        <v/>
      </c>
      <c r="S162" s="67">
        <f>IFERROR(MATCH(1,INDEX((TRANSACTIONS_MASTER!$C$5:$C$1204=$C$2)*(TRANSACTIONS_MASTER!$AN$5:$AN$1204=4),0),0),"")</f>
        <v>10</v>
      </c>
      <c r="T162" s="55" t="n"/>
      <c r="U162" s="55" t="str">
        <f>IF($S162="","",INDEX(TRANSACTIONS_MASTER!$G$5:$G$1204,$S162)&amp;"")</f>
        <v>Pizza 4P's</v>
      </c>
      <c r="V162" s="25">
        <f>IF($S162="","",SUMIFS(TRANSACTIONS_MASTER!$L$5:$L$1204,TRANSACTIONS_MASTER!$G$5:$G$1204,$U162,TRANSACTIONS_MASTER!$C$5:$C$1204,$C$2,TRANSACTIONS_MASTER!$U$5:$U$1204,"&lt;&gt;Cancelled"))</f>
        <v>800000</v>
      </c>
      <c r="W162" s="26">
        <f>IF($S162="","",SUMIFS(TRANSACTIONS_MASTER!$Q$5:$Q$1204,TRANSACTIONS_MASTER!$G$5:$G$1204,$U162,TRANSACTIONS_MASTER!$C$5:$C$1204,$C$2))</f>
        <v>120000</v>
      </c>
    </row>
    <row r="163">
      <c r="A163" s="81" t="str">
        <f>IF($Q163="","",156)</f>
        <v/>
      </c>
      <c r="B163" s="57" t="str">
        <f>IF($Q163="","",INDEX(TRANSACTIONS_MASTER!$B$5:$B$1204,$Q163))</f>
        <v/>
      </c>
      <c r="C163" s="55" t="str">
        <f>IF($Q163="","",INDEX(TRANSACTIONS_MASTER!$F$5:$F$1204,$Q163))</f>
        <v/>
      </c>
      <c r="D163" s="55" t="str">
        <f>IF($Q163="","",INDEX(TRANSACTIONS_MASTER!$E$5:$E$1204,$Q163))</f>
        <v/>
      </c>
      <c r="E163" s="55" t="str">
        <f>IF($Q163="","",INDEX(TRANSACTIONS_MASTER!$G$5:$G$1204,$Q163)&amp;"")</f>
        <v/>
      </c>
      <c r="F163" s="29" t="str">
        <f>IF($Q163="","",INDEX(TRANSACTIONS_MASTER!$I$5:$I$1204,$Q163))</f>
        <v/>
      </c>
      <c r="G163" s="55" t="str">
        <f>IF($Q163="","",INDEX(TRANSACTIONS_MASTER!$K$5:$K$1204,$Q163))</f>
        <v/>
      </c>
      <c r="H163" s="25" t="str">
        <f>IF($Q163="","",INDEX(TRANSACTIONS_MASTER!$L$5:$L$1204,$Q163))</f>
        <v/>
      </c>
      <c r="I163" s="56" t="str">
        <f>IF($Q163="","",INDEX(TRANSACTIONS_MASTER!$N$5:$N$1204,$Q163))</f>
        <v/>
      </c>
      <c r="J163" s="25" t="str">
        <f>IF($Q163="","",INDEX(TRANSACTIONS_MASTER!$O$5:$O$1204,$Q163))</f>
        <v/>
      </c>
      <c r="K163" s="26" t="str">
        <f>IF($Q163="","",INDEX(TRANSACTIONS_MASTER!$Q$5:$Q$1204,$Q163))</f>
        <v/>
      </c>
      <c r="L163" s="25" t="str">
        <f>IF($Q163="","",INDEX(TRANSACTIONS_MASTER!$P$5:$P$1204,$Q163))</f>
        <v/>
      </c>
      <c r="M163" s="25" t="str">
        <f>IF($Q163="","",INDEX(TRANSACTIONS_MASTER!$AA$5:$AA$1204,$Q163))</f>
        <v/>
      </c>
      <c r="N163" s="25" t="str">
        <f>IF($Q163="","",INDEX(TRANSACTIONS_MASTER!$R$5:$R$1204,$Q163))</f>
        <v/>
      </c>
      <c r="O163" s="28" t="str">
        <f>IF($Q163="","",INDEX(TRANSACTIONS_MASTER!$AB$5:$AB$1204,$Q163))</f>
        <v/>
      </c>
      <c r="P163" s="55" t="str">
        <f>IF($Q163="","",INDEX(TRANSACTIONS_MASTER!$Z$5:$Z$1204,$Q163)&amp;"")</f>
        <v/>
      </c>
      <c r="Q163" s="67" t="str">
        <f>IFERROR(MATCH($C$2&amp;"|"&amp;156,TRANSACTIONS_MASTER!$AE$5:$AE$1204,0),"")</f>
        <v/>
      </c>
      <c r="S163" s="67">
        <f>IFERROR(MATCH(1,INDEX((TRANSACTIONS_MASTER!$C$5:$C$1204=$C$2)*(TRANSACTIONS_MASTER!$AN$5:$AN$1204=5),0),0),"")</f>
        <v>11</v>
      </c>
      <c r="T163" s="55" t="n"/>
      <c r="U163" s="55" t="str">
        <f>IF($S163="","",INDEX(TRANSACTIONS_MASTER!$G$5:$G$1204,$S163)&amp;"")</f>
        <v>Sushi Hokkaido</v>
      </c>
      <c r="V163" s="25">
        <f>IF($S163="","",SUMIFS(TRANSACTIONS_MASTER!$L$5:$L$1204,TRANSACTIONS_MASTER!$G$5:$G$1204,$U163,TRANSACTIONS_MASTER!$C$5:$C$1204,$C$2,TRANSACTIONS_MASTER!$U$5:$U$1204,"&lt;&gt;Cancelled"))</f>
        <v>4000000</v>
      </c>
      <c r="W163" s="26">
        <f>IF($S163="","",SUMIFS(TRANSACTIONS_MASTER!$Q$5:$Q$1204,TRANSACTIONS_MASTER!$G$5:$G$1204,$U163,TRANSACTIONS_MASTER!$C$5:$C$1204,$C$2))</f>
        <v>600000</v>
      </c>
    </row>
    <row r="164">
      <c r="A164" s="81" t="str">
        <f>IF($Q164="","",157)</f>
        <v/>
      </c>
      <c r="B164" s="57" t="str">
        <f>IF($Q164="","",INDEX(TRANSACTIONS_MASTER!$B$5:$B$1204,$Q164))</f>
        <v/>
      </c>
      <c r="C164" s="55" t="str">
        <f>IF($Q164="","",INDEX(TRANSACTIONS_MASTER!$F$5:$F$1204,$Q164))</f>
        <v/>
      </c>
      <c r="D164" s="55" t="str">
        <f>IF($Q164="","",INDEX(TRANSACTIONS_MASTER!$E$5:$E$1204,$Q164))</f>
        <v/>
      </c>
      <c r="E164" s="55" t="str">
        <f>IF($Q164="","",INDEX(TRANSACTIONS_MASTER!$G$5:$G$1204,$Q164)&amp;"")</f>
        <v/>
      </c>
      <c r="F164" s="29" t="str">
        <f>IF($Q164="","",INDEX(TRANSACTIONS_MASTER!$I$5:$I$1204,$Q164))</f>
        <v/>
      </c>
      <c r="G164" s="55" t="str">
        <f>IF($Q164="","",INDEX(TRANSACTIONS_MASTER!$K$5:$K$1204,$Q164))</f>
        <v/>
      </c>
      <c r="H164" s="25" t="str">
        <f>IF($Q164="","",INDEX(TRANSACTIONS_MASTER!$L$5:$L$1204,$Q164))</f>
        <v/>
      </c>
      <c r="I164" s="56" t="str">
        <f>IF($Q164="","",INDEX(TRANSACTIONS_MASTER!$N$5:$N$1204,$Q164))</f>
        <v/>
      </c>
      <c r="J164" s="25" t="str">
        <f>IF($Q164="","",INDEX(TRANSACTIONS_MASTER!$O$5:$O$1204,$Q164))</f>
        <v/>
      </c>
      <c r="K164" s="26" t="str">
        <f>IF($Q164="","",INDEX(TRANSACTIONS_MASTER!$Q$5:$Q$1204,$Q164))</f>
        <v/>
      </c>
      <c r="L164" s="25" t="str">
        <f>IF($Q164="","",INDEX(TRANSACTIONS_MASTER!$P$5:$P$1204,$Q164))</f>
        <v/>
      </c>
      <c r="M164" s="25" t="str">
        <f>IF($Q164="","",INDEX(TRANSACTIONS_MASTER!$AA$5:$AA$1204,$Q164))</f>
        <v/>
      </c>
      <c r="N164" s="25" t="str">
        <f>IF($Q164="","",INDEX(TRANSACTIONS_MASTER!$R$5:$R$1204,$Q164))</f>
        <v/>
      </c>
      <c r="O164" s="28" t="str">
        <f>IF($Q164="","",INDEX(TRANSACTIONS_MASTER!$AB$5:$AB$1204,$Q164))</f>
        <v/>
      </c>
      <c r="P164" s="55" t="str">
        <f>IF($Q164="","",INDEX(TRANSACTIONS_MASTER!$Z$5:$Z$1204,$Q164)&amp;"")</f>
        <v/>
      </c>
      <c r="Q164" s="67" t="str">
        <f>IFERROR(MATCH($C$2&amp;"|"&amp;157,TRANSACTIONS_MASTER!$AE$5:$AE$1204,0),"")</f>
        <v/>
      </c>
      <c r="S164" s="67">
        <f>IFERROR(MATCH(1,INDEX((TRANSACTIONS_MASTER!$C$5:$C$1204=$C$2)*(TRANSACTIONS_MASTER!$AN$5:$AN$1204=6),0),0),"")</f>
        <v>12</v>
      </c>
      <c r="T164" s="55" t="n"/>
      <c r="U164" s="55" t="str">
        <f>IF($S164="","",INDEX(TRANSACTIONS_MASTER!$G$5:$G$1204,$S164)&amp;"")</f>
        <v>Pub Beer Corner</v>
      </c>
      <c r="V164" s="25">
        <f>IF($S164="","",SUMIFS(TRANSACTIONS_MASTER!$L$5:$L$1204,TRANSACTIONS_MASTER!$G$5:$G$1204,$U164,TRANSACTIONS_MASTER!$C$5:$C$1204,$C$2,TRANSACTIONS_MASTER!$U$5:$U$1204,"&lt;&gt;Cancelled"))</f>
        <v>600000</v>
      </c>
      <c r="W164" s="26">
        <f>IF($S164="","",SUMIFS(TRANSACTIONS_MASTER!$Q$5:$Q$1204,TRANSACTIONS_MASTER!$G$5:$G$1204,$U164,TRANSACTIONS_MASTER!$C$5:$C$1204,$C$2))</f>
        <v>90000</v>
      </c>
    </row>
    <row r="165">
      <c r="A165" s="81" t="str">
        <f>IF($Q165="","",158)</f>
        <v/>
      </c>
      <c r="B165" s="57" t="str">
        <f>IF($Q165="","",INDEX(TRANSACTIONS_MASTER!$B$5:$B$1204,$Q165))</f>
        <v/>
      </c>
      <c r="C165" s="55" t="str">
        <f>IF($Q165="","",INDEX(TRANSACTIONS_MASTER!$F$5:$F$1204,$Q165))</f>
        <v/>
      </c>
      <c r="D165" s="55" t="str">
        <f>IF($Q165="","",INDEX(TRANSACTIONS_MASTER!$E$5:$E$1204,$Q165))</f>
        <v/>
      </c>
      <c r="E165" s="55" t="str">
        <f>IF($Q165="","",INDEX(TRANSACTIONS_MASTER!$G$5:$G$1204,$Q165)&amp;"")</f>
        <v/>
      </c>
      <c r="F165" s="29" t="str">
        <f>IF($Q165="","",INDEX(TRANSACTIONS_MASTER!$I$5:$I$1204,$Q165))</f>
        <v/>
      </c>
      <c r="G165" s="55" t="str">
        <f>IF($Q165="","",INDEX(TRANSACTIONS_MASTER!$K$5:$K$1204,$Q165))</f>
        <v/>
      </c>
      <c r="H165" s="25" t="str">
        <f>IF($Q165="","",INDEX(TRANSACTIONS_MASTER!$L$5:$L$1204,$Q165))</f>
        <v/>
      </c>
      <c r="I165" s="56" t="str">
        <f>IF($Q165="","",INDEX(TRANSACTIONS_MASTER!$N$5:$N$1204,$Q165))</f>
        <v/>
      </c>
      <c r="J165" s="25" t="str">
        <f>IF($Q165="","",INDEX(TRANSACTIONS_MASTER!$O$5:$O$1204,$Q165))</f>
        <v/>
      </c>
      <c r="K165" s="26" t="str">
        <f>IF($Q165="","",INDEX(TRANSACTIONS_MASTER!$Q$5:$Q$1204,$Q165))</f>
        <v/>
      </c>
      <c r="L165" s="25" t="str">
        <f>IF($Q165="","",INDEX(TRANSACTIONS_MASTER!$P$5:$P$1204,$Q165))</f>
        <v/>
      </c>
      <c r="M165" s="25" t="str">
        <f>IF($Q165="","",INDEX(TRANSACTIONS_MASTER!$AA$5:$AA$1204,$Q165))</f>
        <v/>
      </c>
      <c r="N165" s="25" t="str">
        <f>IF($Q165="","",INDEX(TRANSACTIONS_MASTER!$R$5:$R$1204,$Q165))</f>
        <v/>
      </c>
      <c r="O165" s="28" t="str">
        <f>IF($Q165="","",INDEX(TRANSACTIONS_MASTER!$AB$5:$AB$1204,$Q165))</f>
        <v/>
      </c>
      <c r="P165" s="55" t="str">
        <f>IF($Q165="","",INDEX(TRANSACTIONS_MASTER!$Z$5:$Z$1204,$Q165)&amp;"")</f>
        <v/>
      </c>
      <c r="Q165" s="67" t="str">
        <f>IFERROR(MATCH($C$2&amp;"|"&amp;158,TRANSACTIONS_MASTER!$AE$5:$AE$1204,0),"")</f>
        <v/>
      </c>
      <c r="S165" s="67">
        <f>IFERROR(MATCH(1,INDEX((TRANSACTIONS_MASTER!$C$5:$C$1204=$C$2)*(TRANSACTIONS_MASTER!$AN$5:$AN$1204=7),0),0),"")</f>
        <v>13</v>
      </c>
      <c r="T165" s="55" t="n"/>
      <c r="U165" s="55" t="str">
        <f>IF($S165="","",INDEX(TRANSACTIONS_MASTER!$G$5:$G$1204,$S165)&amp;"")</f>
        <v>Petrolimex</v>
      </c>
      <c r="V165" s="25">
        <f>IF($S165="","",SUMIFS(TRANSACTIONS_MASTER!$L$5:$L$1204,TRANSACTIONS_MASTER!$G$5:$G$1204,$U165,TRANSACTIONS_MASTER!$C$5:$C$1204,$C$2,TRANSACTIONS_MASTER!$U$5:$U$1204,"&lt;&gt;Cancelled"))</f>
        <v>8500000</v>
      </c>
      <c r="W165" s="26">
        <f>IF($S165="","",SUMIFS(TRANSACTIONS_MASTER!$Q$5:$Q$1204,TRANSACTIONS_MASTER!$G$5:$G$1204,$U165,TRANSACTIONS_MASTER!$C$5:$C$1204,$C$2))</f>
        <v>360000</v>
      </c>
    </row>
    <row r="166">
      <c r="A166" s="81" t="str">
        <f>IF($Q166="","",159)</f>
        <v/>
      </c>
      <c r="B166" s="57" t="str">
        <f>IF($Q166="","",INDEX(TRANSACTIONS_MASTER!$B$5:$B$1204,$Q166))</f>
        <v/>
      </c>
      <c r="C166" s="55" t="str">
        <f>IF($Q166="","",INDEX(TRANSACTIONS_MASTER!$F$5:$F$1204,$Q166))</f>
        <v/>
      </c>
      <c r="D166" s="55" t="str">
        <f>IF($Q166="","",INDEX(TRANSACTIONS_MASTER!$E$5:$E$1204,$Q166))</f>
        <v/>
      </c>
      <c r="E166" s="55" t="str">
        <f>IF($Q166="","",INDEX(TRANSACTIONS_MASTER!$G$5:$G$1204,$Q166)&amp;"")</f>
        <v/>
      </c>
      <c r="F166" s="29" t="str">
        <f>IF($Q166="","",INDEX(TRANSACTIONS_MASTER!$I$5:$I$1204,$Q166))</f>
        <v/>
      </c>
      <c r="G166" s="55" t="str">
        <f>IF($Q166="","",INDEX(TRANSACTIONS_MASTER!$K$5:$K$1204,$Q166))</f>
        <v/>
      </c>
      <c r="H166" s="25" t="str">
        <f>IF($Q166="","",INDEX(TRANSACTIONS_MASTER!$L$5:$L$1204,$Q166))</f>
        <v/>
      </c>
      <c r="I166" s="56" t="str">
        <f>IF($Q166="","",INDEX(TRANSACTIONS_MASTER!$N$5:$N$1204,$Q166))</f>
        <v/>
      </c>
      <c r="J166" s="25" t="str">
        <f>IF($Q166="","",INDEX(TRANSACTIONS_MASTER!$O$5:$O$1204,$Q166))</f>
        <v/>
      </c>
      <c r="K166" s="26" t="str">
        <f>IF($Q166="","",INDEX(TRANSACTIONS_MASTER!$Q$5:$Q$1204,$Q166))</f>
        <v/>
      </c>
      <c r="L166" s="25" t="str">
        <f>IF($Q166="","",INDEX(TRANSACTIONS_MASTER!$P$5:$P$1204,$Q166))</f>
        <v/>
      </c>
      <c r="M166" s="25" t="str">
        <f>IF($Q166="","",INDEX(TRANSACTIONS_MASTER!$AA$5:$AA$1204,$Q166))</f>
        <v/>
      </c>
      <c r="N166" s="25" t="str">
        <f>IF($Q166="","",INDEX(TRANSACTIONS_MASTER!$R$5:$R$1204,$Q166))</f>
        <v/>
      </c>
      <c r="O166" s="28" t="str">
        <f>IF($Q166="","",INDEX(TRANSACTIONS_MASTER!$AB$5:$AB$1204,$Q166))</f>
        <v/>
      </c>
      <c r="P166" s="55" t="str">
        <f>IF($Q166="","",INDEX(TRANSACTIONS_MASTER!$Z$5:$Z$1204,$Q166)&amp;"")</f>
        <v/>
      </c>
      <c r="Q166" s="67" t="str">
        <f>IFERROR(MATCH($C$2&amp;"|"&amp;159,TRANSACTIONS_MASTER!$AE$5:$AE$1204,0),"")</f>
        <v/>
      </c>
      <c r="S166" s="67">
        <f>IFERROR(MATCH(1,INDEX((TRANSACTIONS_MASTER!$C$5:$C$1204=$C$2)*(TRANSACTIONS_MASTER!$AN$5:$AN$1204=8),0),0),"")</f>
        <v>14</v>
      </c>
      <c r="T166" s="55" t="n"/>
      <c r="U166" s="55" t="str">
        <f>IF($S166="","",INDEX(TRANSACTIONS_MASTER!$G$5:$G$1204,$S166)&amp;"")</f>
        <v>Sunrise Catering</v>
      </c>
      <c r="V166" s="25">
        <f>IF($S166="","",SUMIFS(TRANSACTIONS_MASTER!$L$5:$L$1204,TRANSACTIONS_MASTER!$G$5:$G$1204,$U166,TRANSACTIONS_MASTER!$C$5:$C$1204,$C$2,TRANSACTIONS_MASTER!$U$5:$U$1204,"&lt;&gt;Cancelled"))</f>
        <v>400000</v>
      </c>
      <c r="W166" s="26">
        <f>IF($S166="","",SUMIFS(TRANSACTIONS_MASTER!$Q$5:$Q$1204,TRANSACTIONS_MASTER!$G$5:$G$1204,$U166,TRANSACTIONS_MASTER!$C$5:$C$1204,$C$2))</f>
        <v>60000</v>
      </c>
    </row>
    <row r="167">
      <c r="A167" s="81" t="str">
        <f>IF($Q167="","",160)</f>
        <v/>
      </c>
      <c r="B167" s="57" t="str">
        <f>IF($Q167="","",INDEX(TRANSACTIONS_MASTER!$B$5:$B$1204,$Q167))</f>
        <v/>
      </c>
      <c r="C167" s="55" t="str">
        <f>IF($Q167="","",INDEX(TRANSACTIONS_MASTER!$F$5:$F$1204,$Q167))</f>
        <v/>
      </c>
      <c r="D167" s="55" t="str">
        <f>IF($Q167="","",INDEX(TRANSACTIONS_MASTER!$E$5:$E$1204,$Q167))</f>
        <v/>
      </c>
      <c r="E167" s="55" t="str">
        <f>IF($Q167="","",INDEX(TRANSACTIONS_MASTER!$G$5:$G$1204,$Q167)&amp;"")</f>
        <v/>
      </c>
      <c r="F167" s="29" t="str">
        <f>IF($Q167="","",INDEX(TRANSACTIONS_MASTER!$I$5:$I$1204,$Q167))</f>
        <v/>
      </c>
      <c r="G167" s="55" t="str">
        <f>IF($Q167="","",INDEX(TRANSACTIONS_MASTER!$K$5:$K$1204,$Q167))</f>
        <v/>
      </c>
      <c r="H167" s="25" t="str">
        <f>IF($Q167="","",INDEX(TRANSACTIONS_MASTER!$L$5:$L$1204,$Q167))</f>
        <v/>
      </c>
      <c r="I167" s="56" t="str">
        <f>IF($Q167="","",INDEX(TRANSACTIONS_MASTER!$N$5:$N$1204,$Q167))</f>
        <v/>
      </c>
      <c r="J167" s="25" t="str">
        <f>IF($Q167="","",INDEX(TRANSACTIONS_MASTER!$O$5:$O$1204,$Q167))</f>
        <v/>
      </c>
      <c r="K167" s="26" t="str">
        <f>IF($Q167="","",INDEX(TRANSACTIONS_MASTER!$Q$5:$Q$1204,$Q167))</f>
        <v/>
      </c>
      <c r="L167" s="25" t="str">
        <f>IF($Q167="","",INDEX(TRANSACTIONS_MASTER!$P$5:$P$1204,$Q167))</f>
        <v/>
      </c>
      <c r="M167" s="25" t="str">
        <f>IF($Q167="","",INDEX(TRANSACTIONS_MASTER!$AA$5:$AA$1204,$Q167))</f>
        <v/>
      </c>
      <c r="N167" s="25" t="str">
        <f>IF($Q167="","",INDEX(TRANSACTIONS_MASTER!$R$5:$R$1204,$Q167))</f>
        <v/>
      </c>
      <c r="O167" s="28" t="str">
        <f>IF($Q167="","",INDEX(TRANSACTIONS_MASTER!$AB$5:$AB$1204,$Q167))</f>
        <v/>
      </c>
      <c r="P167" s="55" t="str">
        <f>IF($Q167="","",INDEX(TRANSACTIONS_MASTER!$Z$5:$Z$1204,$Q167)&amp;"")</f>
        <v/>
      </c>
      <c r="Q167" s="67" t="str">
        <f>IFERROR(MATCH($C$2&amp;"|"&amp;160,TRANSACTIONS_MASTER!$AE$5:$AE$1204,0),"")</f>
        <v/>
      </c>
      <c r="S167" s="67">
        <f>IFERROR(MATCH(1,INDEX((TRANSACTIONS_MASTER!$C$5:$C$1204=$C$2)*(TRANSACTIONS_MASTER!$AN$5:$AN$1204=9),0),0),"")</f>
        <v>15</v>
      </c>
      <c r="T167" s="55" t="n"/>
      <c r="U167" s="55" t="str">
        <f>IF($S167="","",INDEX(TRANSACTIONS_MASTER!$G$5:$G$1204,$S167)&amp;"")</f>
        <v>Vincom Center</v>
      </c>
      <c r="V167" s="25">
        <f>IF($S167="","",SUMIFS(TRANSACTIONS_MASTER!$L$5:$L$1204,TRANSACTIONS_MASTER!$G$5:$G$1204,$U167,TRANSACTIONS_MASTER!$C$5:$C$1204,$C$2,TRANSACTIONS_MASTER!$U$5:$U$1204,"&lt;&gt;Cancelled"))</f>
        <v>2000000</v>
      </c>
      <c r="W167" s="26">
        <f>IF($S167="","",SUMIFS(TRANSACTIONS_MASTER!$Q$5:$Q$1204,TRANSACTIONS_MASTER!$G$5:$G$1204,$U167,TRANSACTIONS_MASTER!$C$5:$C$1204,$C$2))</f>
        <v>0</v>
      </c>
    </row>
    <row r="168">
      <c r="A168" s="81" t="str">
        <f>IF($Q168="","",161)</f>
        <v/>
      </c>
      <c r="B168" s="57" t="str">
        <f>IF($Q168="","",INDEX(TRANSACTIONS_MASTER!$B$5:$B$1204,$Q168))</f>
        <v/>
      </c>
      <c r="C168" s="55" t="str">
        <f>IF($Q168="","",INDEX(TRANSACTIONS_MASTER!$F$5:$F$1204,$Q168))</f>
        <v/>
      </c>
      <c r="D168" s="55" t="str">
        <f>IF($Q168="","",INDEX(TRANSACTIONS_MASTER!$E$5:$E$1204,$Q168))</f>
        <v/>
      </c>
      <c r="E168" s="55" t="str">
        <f>IF($Q168="","",INDEX(TRANSACTIONS_MASTER!$G$5:$G$1204,$Q168)&amp;"")</f>
        <v/>
      </c>
      <c r="F168" s="29" t="str">
        <f>IF($Q168="","",INDEX(TRANSACTIONS_MASTER!$I$5:$I$1204,$Q168))</f>
        <v/>
      </c>
      <c r="G168" s="55" t="str">
        <f>IF($Q168="","",INDEX(TRANSACTIONS_MASTER!$K$5:$K$1204,$Q168))</f>
        <v/>
      </c>
      <c r="H168" s="25" t="str">
        <f>IF($Q168="","",INDEX(TRANSACTIONS_MASTER!$L$5:$L$1204,$Q168))</f>
        <v/>
      </c>
      <c r="I168" s="56" t="str">
        <f>IF($Q168="","",INDEX(TRANSACTIONS_MASTER!$N$5:$N$1204,$Q168))</f>
        <v/>
      </c>
      <c r="J168" s="25" t="str">
        <f>IF($Q168="","",INDEX(TRANSACTIONS_MASTER!$O$5:$O$1204,$Q168))</f>
        <v/>
      </c>
      <c r="K168" s="26" t="str">
        <f>IF($Q168="","",INDEX(TRANSACTIONS_MASTER!$Q$5:$Q$1204,$Q168))</f>
        <v/>
      </c>
      <c r="L168" s="25" t="str">
        <f>IF($Q168="","",INDEX(TRANSACTIONS_MASTER!$P$5:$P$1204,$Q168))</f>
        <v/>
      </c>
      <c r="M168" s="25" t="str">
        <f>IF($Q168="","",INDEX(TRANSACTIONS_MASTER!$AA$5:$AA$1204,$Q168))</f>
        <v/>
      </c>
      <c r="N168" s="25" t="str">
        <f>IF($Q168="","",INDEX(TRANSACTIONS_MASTER!$R$5:$R$1204,$Q168))</f>
        <v/>
      </c>
      <c r="O168" s="28" t="str">
        <f>IF($Q168="","",INDEX(TRANSACTIONS_MASTER!$AB$5:$AB$1204,$Q168))</f>
        <v/>
      </c>
      <c r="P168" s="55" t="str">
        <f>IF($Q168="","",INDEX(TRANSACTIONS_MASTER!$Z$5:$Z$1204,$Q168)&amp;"")</f>
        <v/>
      </c>
      <c r="Q168" s="67" t="str">
        <f>IFERROR(MATCH($C$2&amp;"|"&amp;161,TRANSACTIONS_MASTER!$AE$5:$AE$1204,0),"")</f>
        <v/>
      </c>
      <c r="S168" s="67">
        <f>IFERROR(MATCH(1,INDEX((TRANSACTIONS_MASTER!$C$5:$C$1204=$C$2)*(TRANSACTIONS_MASTER!$AN$5:$AN$1204=10),0),0),"")</f>
        <v>16</v>
      </c>
      <c r="T168" s="55" t="n"/>
      <c r="U168" s="55" t="str">
        <f>IF($S168="","",INDEX(TRANSACTIONS_MASTER!$G$5:$G$1204,$S168)&amp;"")</f>
        <v>Lazada</v>
      </c>
      <c r="V168" s="25">
        <f>IF($S168="","",SUMIFS(TRANSACTIONS_MASTER!$L$5:$L$1204,TRANSACTIONS_MASTER!$G$5:$G$1204,$U168,TRANSACTIONS_MASTER!$C$5:$C$1204,$C$2,TRANSACTIONS_MASTER!$U$5:$U$1204,"&lt;&gt;Cancelled"))</f>
        <v>5000000</v>
      </c>
      <c r="W168" s="26">
        <f>IF($S168="","",SUMIFS(TRANSACTIONS_MASTER!$Q$5:$Q$1204,TRANSACTIONS_MASTER!$G$5:$G$1204,$U168,TRANSACTIONS_MASTER!$C$5:$C$1204,$C$2))</f>
        <v>500000</v>
      </c>
    </row>
    <row r="169">
      <c r="A169" s="81" t="str">
        <f>IF($Q169="","",162)</f>
        <v/>
      </c>
      <c r="B169" s="57" t="str">
        <f>IF($Q169="","",INDEX(TRANSACTIONS_MASTER!$B$5:$B$1204,$Q169))</f>
        <v/>
      </c>
      <c r="C169" s="55" t="str">
        <f>IF($Q169="","",INDEX(TRANSACTIONS_MASTER!$F$5:$F$1204,$Q169))</f>
        <v/>
      </c>
      <c r="D169" s="55" t="str">
        <f>IF($Q169="","",INDEX(TRANSACTIONS_MASTER!$E$5:$E$1204,$Q169))</f>
        <v/>
      </c>
      <c r="E169" s="55" t="str">
        <f>IF($Q169="","",INDEX(TRANSACTIONS_MASTER!$G$5:$G$1204,$Q169)&amp;"")</f>
        <v/>
      </c>
      <c r="F169" s="29" t="str">
        <f>IF($Q169="","",INDEX(TRANSACTIONS_MASTER!$I$5:$I$1204,$Q169))</f>
        <v/>
      </c>
      <c r="G169" s="55" t="str">
        <f>IF($Q169="","",INDEX(TRANSACTIONS_MASTER!$K$5:$K$1204,$Q169))</f>
        <v/>
      </c>
      <c r="H169" s="25" t="str">
        <f>IF($Q169="","",INDEX(TRANSACTIONS_MASTER!$L$5:$L$1204,$Q169))</f>
        <v/>
      </c>
      <c r="I169" s="56" t="str">
        <f>IF($Q169="","",INDEX(TRANSACTIONS_MASTER!$N$5:$N$1204,$Q169))</f>
        <v/>
      </c>
      <c r="J169" s="25" t="str">
        <f>IF($Q169="","",INDEX(TRANSACTIONS_MASTER!$O$5:$O$1204,$Q169))</f>
        <v/>
      </c>
      <c r="K169" s="26" t="str">
        <f>IF($Q169="","",INDEX(TRANSACTIONS_MASTER!$Q$5:$Q$1204,$Q169))</f>
        <v/>
      </c>
      <c r="L169" s="25" t="str">
        <f>IF($Q169="","",INDEX(TRANSACTIONS_MASTER!$P$5:$P$1204,$Q169))</f>
        <v/>
      </c>
      <c r="M169" s="25" t="str">
        <f>IF($Q169="","",INDEX(TRANSACTIONS_MASTER!$AA$5:$AA$1204,$Q169))</f>
        <v/>
      </c>
      <c r="N169" s="25" t="str">
        <f>IF($Q169="","",INDEX(TRANSACTIONS_MASTER!$R$5:$R$1204,$Q169))</f>
        <v/>
      </c>
      <c r="O169" s="28" t="str">
        <f>IF($Q169="","",INDEX(TRANSACTIONS_MASTER!$AB$5:$AB$1204,$Q169))</f>
        <v/>
      </c>
      <c r="P169" s="55" t="str">
        <f>IF($Q169="","",INDEX(TRANSACTIONS_MASTER!$Z$5:$Z$1204,$Q169)&amp;"")</f>
        <v/>
      </c>
      <c r="Q169" s="67" t="str">
        <f>IFERROR(MATCH($C$2&amp;"|"&amp;162,TRANSACTIONS_MASTER!$AE$5:$AE$1204,0),"")</f>
        <v/>
      </c>
      <c r="S169" s="67">
        <f>IFERROR(MATCH(1,INDEX((TRANSACTIONS_MASTER!$C$5:$C$1204=$C$2)*(TRANSACTIONS_MASTER!$AN$5:$AN$1204=11),0),0),"")</f>
        <v>17</v>
      </c>
      <c r="T169" s="55" t="n"/>
      <c r="U169" s="55" t="str">
        <f>IF($S169="","",INDEX(TRANSACTIONS_MASTER!$G$5:$G$1204,$S169)&amp;"")</f>
        <v>Xanh SM</v>
      </c>
      <c r="V169" s="25">
        <f>IF($S169="","",SUMIFS(TRANSACTIONS_MASTER!$L$5:$L$1204,TRANSACTIONS_MASTER!$G$5:$G$1204,$U169,TRANSACTIONS_MASTER!$C$5:$C$1204,$C$2,TRANSACTIONS_MASTER!$U$5:$U$1204,"&lt;&gt;Cancelled"))</f>
        <v>1000000</v>
      </c>
      <c r="W169" s="26">
        <f>IF($S169="","",SUMIFS(TRANSACTIONS_MASTER!$Q$5:$Q$1204,TRANSACTIONS_MASTER!$G$5:$G$1204,$U169,TRANSACTIONS_MASTER!$C$5:$C$1204,$C$2))</f>
        <v>50000</v>
      </c>
    </row>
    <row r="170">
      <c r="A170" s="81" t="str">
        <f>IF($Q170="","",163)</f>
        <v/>
      </c>
      <c r="B170" s="57" t="str">
        <f>IF($Q170="","",INDEX(TRANSACTIONS_MASTER!$B$5:$B$1204,$Q170))</f>
        <v/>
      </c>
      <c r="C170" s="55" t="str">
        <f>IF($Q170="","",INDEX(TRANSACTIONS_MASTER!$F$5:$F$1204,$Q170))</f>
        <v/>
      </c>
      <c r="D170" s="55" t="str">
        <f>IF($Q170="","",INDEX(TRANSACTIONS_MASTER!$E$5:$E$1204,$Q170))</f>
        <v/>
      </c>
      <c r="E170" s="55" t="str">
        <f>IF($Q170="","",INDEX(TRANSACTIONS_MASTER!$G$5:$G$1204,$Q170)&amp;"")</f>
        <v/>
      </c>
      <c r="F170" s="29" t="str">
        <f>IF($Q170="","",INDEX(TRANSACTIONS_MASTER!$I$5:$I$1204,$Q170))</f>
        <v/>
      </c>
      <c r="G170" s="55" t="str">
        <f>IF($Q170="","",INDEX(TRANSACTIONS_MASTER!$K$5:$K$1204,$Q170))</f>
        <v/>
      </c>
      <c r="H170" s="25" t="str">
        <f>IF($Q170="","",INDEX(TRANSACTIONS_MASTER!$L$5:$L$1204,$Q170))</f>
        <v/>
      </c>
      <c r="I170" s="56" t="str">
        <f>IF($Q170="","",INDEX(TRANSACTIONS_MASTER!$N$5:$N$1204,$Q170))</f>
        <v/>
      </c>
      <c r="J170" s="25" t="str">
        <f>IF($Q170="","",INDEX(TRANSACTIONS_MASTER!$O$5:$O$1204,$Q170))</f>
        <v/>
      </c>
      <c r="K170" s="26" t="str">
        <f>IF($Q170="","",INDEX(TRANSACTIONS_MASTER!$Q$5:$Q$1204,$Q170))</f>
        <v/>
      </c>
      <c r="L170" s="25" t="str">
        <f>IF($Q170="","",INDEX(TRANSACTIONS_MASTER!$P$5:$P$1204,$Q170))</f>
        <v/>
      </c>
      <c r="M170" s="25" t="str">
        <f>IF($Q170="","",INDEX(TRANSACTIONS_MASTER!$AA$5:$AA$1204,$Q170))</f>
        <v/>
      </c>
      <c r="N170" s="25" t="str">
        <f>IF($Q170="","",INDEX(TRANSACTIONS_MASTER!$R$5:$R$1204,$Q170))</f>
        <v/>
      </c>
      <c r="O170" s="28" t="str">
        <f>IF($Q170="","",INDEX(TRANSACTIONS_MASTER!$AB$5:$AB$1204,$Q170))</f>
        <v/>
      </c>
      <c r="P170" s="55" t="str">
        <f>IF($Q170="","",INDEX(TRANSACTIONS_MASTER!$Z$5:$Z$1204,$Q170)&amp;"")</f>
        <v/>
      </c>
      <c r="Q170" s="67" t="str">
        <f>IFERROR(MATCH($C$2&amp;"|"&amp;163,TRANSACTIONS_MASTER!$AE$5:$AE$1204,0),"")</f>
        <v/>
      </c>
      <c r="S170" s="67">
        <f>IFERROR(MATCH(1,INDEX((TRANSACTIONS_MASTER!$C$5:$C$1204=$C$2)*(TRANSACTIONS_MASTER!$AN$5:$AN$1204=12),0),0),"")</f>
        <v>18</v>
      </c>
      <c r="T170" s="55" t="n"/>
      <c r="U170" s="55" t="str">
        <f>IF($S170="","",INDEX(TRANSACTIONS_MASTER!$G$5:$G$1204,$S170)&amp;"")</f>
        <v>GrabFood</v>
      </c>
      <c r="V170" s="25">
        <f>IF($S170="","",SUMIFS(TRANSACTIONS_MASTER!$L$5:$L$1204,TRANSACTIONS_MASTER!$G$5:$G$1204,$U170,TRANSACTIONS_MASTER!$C$5:$C$1204,$C$2,TRANSACTIONS_MASTER!$U$5:$U$1204,"&lt;&gt;Cancelled"))</f>
        <v>500000</v>
      </c>
      <c r="W170" s="26">
        <f>IF($S170="","",SUMIFS(TRANSACTIONS_MASTER!$Q$5:$Q$1204,TRANSACTIONS_MASTER!$G$5:$G$1204,$U170,TRANSACTIONS_MASTER!$C$5:$C$1204,$C$2))</f>
        <v>0</v>
      </c>
    </row>
    <row r="171">
      <c r="A171" s="81" t="str">
        <f>IF($Q171="","",164)</f>
        <v/>
      </c>
      <c r="B171" s="57" t="str">
        <f>IF($Q171="","",INDEX(TRANSACTIONS_MASTER!$B$5:$B$1204,$Q171))</f>
        <v/>
      </c>
      <c r="C171" s="55" t="str">
        <f>IF($Q171="","",INDEX(TRANSACTIONS_MASTER!$F$5:$F$1204,$Q171))</f>
        <v/>
      </c>
      <c r="D171" s="55" t="str">
        <f>IF($Q171="","",INDEX(TRANSACTIONS_MASTER!$E$5:$E$1204,$Q171))</f>
        <v/>
      </c>
      <c r="E171" s="55" t="str">
        <f>IF($Q171="","",INDEX(TRANSACTIONS_MASTER!$G$5:$G$1204,$Q171)&amp;"")</f>
        <v/>
      </c>
      <c r="F171" s="29" t="str">
        <f>IF($Q171="","",INDEX(TRANSACTIONS_MASTER!$I$5:$I$1204,$Q171))</f>
        <v/>
      </c>
      <c r="G171" s="55" t="str">
        <f>IF($Q171="","",INDEX(TRANSACTIONS_MASTER!$K$5:$K$1204,$Q171))</f>
        <v/>
      </c>
      <c r="H171" s="25" t="str">
        <f>IF($Q171="","",INDEX(TRANSACTIONS_MASTER!$L$5:$L$1204,$Q171))</f>
        <v/>
      </c>
      <c r="I171" s="56" t="str">
        <f>IF($Q171="","",INDEX(TRANSACTIONS_MASTER!$N$5:$N$1204,$Q171))</f>
        <v/>
      </c>
      <c r="J171" s="25" t="str">
        <f>IF($Q171="","",INDEX(TRANSACTIONS_MASTER!$O$5:$O$1204,$Q171))</f>
        <v/>
      </c>
      <c r="K171" s="26" t="str">
        <f>IF($Q171="","",INDEX(TRANSACTIONS_MASTER!$Q$5:$Q$1204,$Q171))</f>
        <v/>
      </c>
      <c r="L171" s="25" t="str">
        <f>IF($Q171="","",INDEX(TRANSACTIONS_MASTER!$P$5:$P$1204,$Q171))</f>
        <v/>
      </c>
      <c r="M171" s="25" t="str">
        <f>IF($Q171="","",INDEX(TRANSACTIONS_MASTER!$AA$5:$AA$1204,$Q171))</f>
        <v/>
      </c>
      <c r="N171" s="25" t="str">
        <f>IF($Q171="","",INDEX(TRANSACTIONS_MASTER!$R$5:$R$1204,$Q171))</f>
        <v/>
      </c>
      <c r="O171" s="28" t="str">
        <f>IF($Q171="","",INDEX(TRANSACTIONS_MASTER!$AB$5:$AB$1204,$Q171))</f>
        <v/>
      </c>
      <c r="P171" s="55" t="str">
        <f>IF($Q171="","",INDEX(TRANSACTIONS_MASTER!$Z$5:$Z$1204,$Q171)&amp;"")</f>
        <v/>
      </c>
      <c r="Q171" s="67" t="str">
        <f>IFERROR(MATCH($C$2&amp;"|"&amp;164,TRANSACTIONS_MASTER!$AE$5:$AE$1204,0),"")</f>
        <v/>
      </c>
      <c r="S171" s="67">
        <f>IFERROR(MATCH(1,INDEX((TRANSACTIONS_MASTER!$C$5:$C$1204=$C$2)*(TRANSACTIONS_MASTER!$AN$5:$AN$1204=13),0),0),"")</f>
        <v>20</v>
      </c>
      <c r="T171" s="55" t="n"/>
      <c r="U171" s="55" t="str">
        <f>IF($S171="","",INDEX(TRANSACTIONS_MASTER!$G$5:$G$1204,$S171)&amp;"")</f>
        <v>KFC</v>
      </c>
      <c r="V171" s="25">
        <f>IF($S171="","",SUMIFS(TRANSACTIONS_MASTER!$L$5:$L$1204,TRANSACTIONS_MASTER!$G$5:$G$1204,$U171,TRANSACTIONS_MASTER!$C$5:$C$1204,$C$2,TRANSACTIONS_MASTER!$U$5:$U$1204,"&lt;&gt;Cancelled"))</f>
        <v>3000000</v>
      </c>
      <c r="W171" s="26">
        <f>IF($S171="","",SUMIFS(TRANSACTIONS_MASTER!$Q$5:$Q$1204,TRANSACTIONS_MASTER!$G$5:$G$1204,$U171,TRANSACTIONS_MASTER!$C$5:$C$1204,$C$2))</f>
        <v>400000</v>
      </c>
    </row>
    <row r="172">
      <c r="A172" s="81" t="str">
        <f>IF($Q172="","",165)</f>
        <v/>
      </c>
      <c r="B172" s="57" t="str">
        <f>IF($Q172="","",INDEX(TRANSACTIONS_MASTER!$B$5:$B$1204,$Q172))</f>
        <v/>
      </c>
      <c r="C172" s="55" t="str">
        <f>IF($Q172="","",INDEX(TRANSACTIONS_MASTER!$F$5:$F$1204,$Q172))</f>
        <v/>
      </c>
      <c r="D172" s="55" t="str">
        <f>IF($Q172="","",INDEX(TRANSACTIONS_MASTER!$E$5:$E$1204,$Q172))</f>
        <v/>
      </c>
      <c r="E172" s="55" t="str">
        <f>IF($Q172="","",INDEX(TRANSACTIONS_MASTER!$G$5:$G$1204,$Q172)&amp;"")</f>
        <v/>
      </c>
      <c r="F172" s="29" t="str">
        <f>IF($Q172="","",INDEX(TRANSACTIONS_MASTER!$I$5:$I$1204,$Q172))</f>
        <v/>
      </c>
      <c r="G172" s="55" t="str">
        <f>IF($Q172="","",INDEX(TRANSACTIONS_MASTER!$K$5:$K$1204,$Q172))</f>
        <v/>
      </c>
      <c r="H172" s="25" t="str">
        <f>IF($Q172="","",INDEX(TRANSACTIONS_MASTER!$L$5:$L$1204,$Q172))</f>
        <v/>
      </c>
      <c r="I172" s="56" t="str">
        <f>IF($Q172="","",INDEX(TRANSACTIONS_MASTER!$N$5:$N$1204,$Q172))</f>
        <v/>
      </c>
      <c r="J172" s="25" t="str">
        <f>IF($Q172="","",INDEX(TRANSACTIONS_MASTER!$O$5:$O$1204,$Q172))</f>
        <v/>
      </c>
      <c r="K172" s="26" t="str">
        <f>IF($Q172="","",INDEX(TRANSACTIONS_MASTER!$Q$5:$Q$1204,$Q172))</f>
        <v/>
      </c>
      <c r="L172" s="25" t="str">
        <f>IF($Q172="","",INDEX(TRANSACTIONS_MASTER!$P$5:$P$1204,$Q172))</f>
        <v/>
      </c>
      <c r="M172" s="25" t="str">
        <f>IF($Q172="","",INDEX(TRANSACTIONS_MASTER!$AA$5:$AA$1204,$Q172))</f>
        <v/>
      </c>
      <c r="N172" s="25" t="str">
        <f>IF($Q172="","",INDEX(TRANSACTIONS_MASTER!$R$5:$R$1204,$Q172))</f>
        <v/>
      </c>
      <c r="O172" s="28" t="str">
        <f>IF($Q172="","",INDEX(TRANSACTIONS_MASTER!$AB$5:$AB$1204,$Q172))</f>
        <v/>
      </c>
      <c r="P172" s="55" t="str">
        <f>IF($Q172="","",INDEX(TRANSACTIONS_MASTER!$Z$5:$Z$1204,$Q172)&amp;"")</f>
        <v/>
      </c>
      <c r="Q172" s="67" t="str">
        <f>IFERROR(MATCH($C$2&amp;"|"&amp;165,TRANSACTIONS_MASTER!$AE$5:$AE$1204,0),"")</f>
        <v/>
      </c>
      <c r="S172" s="67">
        <f>IFERROR(MATCH(1,INDEX((TRANSACTIONS_MASTER!$C$5:$C$1204=$C$2)*(TRANSACTIONS_MASTER!$AN$5:$AN$1204=14),0),0),"")</f>
        <v>21</v>
      </c>
      <c r="T172" s="55" t="n"/>
      <c r="U172" s="55" t="str">
        <f>IF($S172="","",INDEX(TRANSACTIONS_MASTER!$G$5:$G$1204,$S172)&amp;"")</f>
        <v>Nhà hàng Hoàng Yến</v>
      </c>
      <c r="V172" s="25">
        <f>IF($S172="","",SUMIFS(TRANSACTIONS_MASTER!$L$5:$L$1204,TRANSACTIONS_MASTER!$G$5:$G$1204,$U172,TRANSACTIONS_MASTER!$C$5:$C$1204,$C$2,TRANSACTIONS_MASTER!$U$5:$U$1204,"&lt;&gt;Cancelled"))</f>
        <v>0</v>
      </c>
      <c r="W172" s="26">
        <f>IF($S172="","",SUMIFS(TRANSACTIONS_MASTER!$Q$5:$Q$1204,TRANSACTIONS_MASTER!$G$5:$G$1204,$U172,TRANSACTIONS_MASTER!$C$5:$C$1204,$C$2))</f>
        <v>0</v>
      </c>
    </row>
    <row r="173">
      <c r="A173" s="81" t="str">
        <f>IF($Q173="","",166)</f>
        <v/>
      </c>
      <c r="B173" s="57" t="str">
        <f>IF($Q173="","",INDEX(TRANSACTIONS_MASTER!$B$5:$B$1204,$Q173))</f>
        <v/>
      </c>
      <c r="C173" s="55" t="str">
        <f>IF($Q173="","",INDEX(TRANSACTIONS_MASTER!$F$5:$F$1204,$Q173))</f>
        <v/>
      </c>
      <c r="D173" s="55" t="str">
        <f>IF($Q173="","",INDEX(TRANSACTIONS_MASTER!$E$5:$E$1204,$Q173))</f>
        <v/>
      </c>
      <c r="E173" s="55" t="str">
        <f>IF($Q173="","",INDEX(TRANSACTIONS_MASTER!$G$5:$G$1204,$Q173)&amp;"")</f>
        <v/>
      </c>
      <c r="F173" s="29" t="str">
        <f>IF($Q173="","",INDEX(TRANSACTIONS_MASTER!$I$5:$I$1204,$Q173))</f>
        <v/>
      </c>
      <c r="G173" s="55" t="str">
        <f>IF($Q173="","",INDEX(TRANSACTIONS_MASTER!$K$5:$K$1204,$Q173))</f>
        <v/>
      </c>
      <c r="H173" s="25" t="str">
        <f>IF($Q173="","",INDEX(TRANSACTIONS_MASTER!$L$5:$L$1204,$Q173))</f>
        <v/>
      </c>
      <c r="I173" s="56" t="str">
        <f>IF($Q173="","",INDEX(TRANSACTIONS_MASTER!$N$5:$N$1204,$Q173))</f>
        <v/>
      </c>
      <c r="J173" s="25" t="str">
        <f>IF($Q173="","",INDEX(TRANSACTIONS_MASTER!$O$5:$O$1204,$Q173))</f>
        <v/>
      </c>
      <c r="K173" s="26" t="str">
        <f>IF($Q173="","",INDEX(TRANSACTIONS_MASTER!$Q$5:$Q$1204,$Q173))</f>
        <v/>
      </c>
      <c r="L173" s="25" t="str">
        <f>IF($Q173="","",INDEX(TRANSACTIONS_MASTER!$P$5:$P$1204,$Q173))</f>
        <v/>
      </c>
      <c r="M173" s="25" t="str">
        <f>IF($Q173="","",INDEX(TRANSACTIONS_MASTER!$AA$5:$AA$1204,$Q173))</f>
        <v/>
      </c>
      <c r="N173" s="25" t="str">
        <f>IF($Q173="","",INDEX(TRANSACTIONS_MASTER!$R$5:$R$1204,$Q173))</f>
        <v/>
      </c>
      <c r="O173" s="28" t="str">
        <f>IF($Q173="","",INDEX(TRANSACTIONS_MASTER!$AB$5:$AB$1204,$Q173))</f>
        <v/>
      </c>
      <c r="P173" s="55" t="str">
        <f>IF($Q173="","",INDEX(TRANSACTIONS_MASTER!$Z$5:$Z$1204,$Q173)&amp;"")</f>
        <v/>
      </c>
      <c r="Q173" s="67" t="str">
        <f>IFERROR(MATCH($C$2&amp;"|"&amp;166,TRANSACTIONS_MASTER!$AE$5:$AE$1204,0),"")</f>
        <v/>
      </c>
      <c r="S173" s="67">
        <f>IFERROR(MATCH(1,INDEX((TRANSACTIONS_MASTER!$C$5:$C$1204=$C$2)*(TRANSACTIONS_MASTER!$AN$5:$AN$1204=15),0),0),"")</f>
        <v>22</v>
      </c>
      <c r="T173" s="55" t="n"/>
      <c r="U173" s="55" t="str">
        <f>IF($S173="","",INDEX(TRANSACTIONS_MASTER!$G$5:$G$1204,$S173)&amp;"")</f>
        <v>Quán Ăn Ngon</v>
      </c>
      <c r="V173" s="25">
        <f>IF($S173="","",SUMIFS(TRANSACTIONS_MASTER!$L$5:$L$1204,TRANSACTIONS_MASTER!$G$5:$G$1204,$U173,TRANSACTIONS_MASTER!$C$5:$C$1204,$C$2,TRANSACTIONS_MASTER!$U$5:$U$1204,"&lt;&gt;Cancelled"))</f>
        <v>300000</v>
      </c>
      <c r="W173" s="26">
        <f>IF($S173="","",SUMIFS(TRANSACTIONS_MASTER!$Q$5:$Q$1204,TRANSACTIONS_MASTER!$G$5:$G$1204,$U173,TRANSACTIONS_MASTER!$C$5:$C$1204,$C$2))</f>
        <v>0</v>
      </c>
    </row>
    <row r="174">
      <c r="A174" s="81" t="str">
        <f>IF($Q174="","",167)</f>
        <v/>
      </c>
      <c r="B174" s="57" t="str">
        <f>IF($Q174="","",INDEX(TRANSACTIONS_MASTER!$B$5:$B$1204,$Q174))</f>
        <v/>
      </c>
      <c r="C174" s="55" t="str">
        <f>IF($Q174="","",INDEX(TRANSACTIONS_MASTER!$F$5:$F$1204,$Q174))</f>
        <v/>
      </c>
      <c r="D174" s="55" t="str">
        <f>IF($Q174="","",INDEX(TRANSACTIONS_MASTER!$E$5:$E$1204,$Q174))</f>
        <v/>
      </c>
      <c r="E174" s="55" t="str">
        <f>IF($Q174="","",INDEX(TRANSACTIONS_MASTER!$G$5:$G$1204,$Q174)&amp;"")</f>
        <v/>
      </c>
      <c r="F174" s="29" t="str">
        <f>IF($Q174="","",INDEX(TRANSACTIONS_MASTER!$I$5:$I$1204,$Q174))</f>
        <v/>
      </c>
      <c r="G174" s="55" t="str">
        <f>IF($Q174="","",INDEX(TRANSACTIONS_MASTER!$K$5:$K$1204,$Q174))</f>
        <v/>
      </c>
      <c r="H174" s="25" t="str">
        <f>IF($Q174="","",INDEX(TRANSACTIONS_MASTER!$L$5:$L$1204,$Q174))</f>
        <v/>
      </c>
      <c r="I174" s="56" t="str">
        <f>IF($Q174="","",INDEX(TRANSACTIONS_MASTER!$N$5:$N$1204,$Q174))</f>
        <v/>
      </c>
      <c r="J174" s="25" t="str">
        <f>IF($Q174="","",INDEX(TRANSACTIONS_MASTER!$O$5:$O$1204,$Q174))</f>
        <v/>
      </c>
      <c r="K174" s="26" t="str">
        <f>IF($Q174="","",INDEX(TRANSACTIONS_MASTER!$Q$5:$Q$1204,$Q174))</f>
        <v/>
      </c>
      <c r="L174" s="25" t="str">
        <f>IF($Q174="","",INDEX(TRANSACTIONS_MASTER!$P$5:$P$1204,$Q174))</f>
        <v/>
      </c>
      <c r="M174" s="25" t="str">
        <f>IF($Q174="","",INDEX(TRANSACTIONS_MASTER!$AA$5:$AA$1204,$Q174))</f>
        <v/>
      </c>
      <c r="N174" s="25" t="str">
        <f>IF($Q174="","",INDEX(TRANSACTIONS_MASTER!$R$5:$R$1204,$Q174))</f>
        <v/>
      </c>
      <c r="O174" s="28" t="str">
        <f>IF($Q174="","",INDEX(TRANSACTIONS_MASTER!$AB$5:$AB$1204,$Q174))</f>
        <v/>
      </c>
      <c r="P174" s="55" t="str">
        <f>IF($Q174="","",INDEX(TRANSACTIONS_MASTER!$Z$5:$Z$1204,$Q174)&amp;"")</f>
        <v/>
      </c>
      <c r="Q174" s="67" t="str">
        <f>IFERROR(MATCH($C$2&amp;"|"&amp;167,TRANSACTIONS_MASTER!$AE$5:$AE$1204,0),"")</f>
        <v/>
      </c>
      <c r="S174" s="67">
        <f>IFERROR(MATCH(1,INDEX((TRANSACTIONS_MASTER!$C$5:$C$1204=$C$2)*(TRANSACTIONS_MASTER!$AN$5:$AN$1204=16),0),0),"")</f>
        <v>23</v>
      </c>
      <c r="T174" s="55" t="n"/>
      <c r="U174" s="55" t="str">
        <f>IF($S174="","",INDEX(TRANSACTIONS_MASTER!$G$5:$G$1204,$S174)&amp;"")</f>
        <v>Bệnh viện Vinmec</v>
      </c>
      <c r="V174" s="25">
        <f>IF($S174="","",SUMIFS(TRANSACTIONS_MASTER!$L$5:$L$1204,TRANSACTIONS_MASTER!$G$5:$G$1204,$U174,TRANSACTIONS_MASTER!$C$5:$C$1204,$C$2,TRANSACTIONS_MASTER!$U$5:$U$1204,"&lt;&gt;Cancelled"))</f>
        <v>1500000</v>
      </c>
      <c r="W174" s="26">
        <f>IF($S174="","",SUMIFS(TRANSACTIONS_MASTER!$Q$5:$Q$1204,TRANSACTIONS_MASTER!$G$5:$G$1204,$U174,TRANSACTIONS_MASTER!$C$5:$C$1204,$C$2))</f>
        <v>75000</v>
      </c>
    </row>
    <row r="175">
      <c r="A175" s="81" t="str">
        <f>IF($Q175="","",168)</f>
        <v/>
      </c>
      <c r="B175" s="57" t="str">
        <f>IF($Q175="","",INDEX(TRANSACTIONS_MASTER!$B$5:$B$1204,$Q175))</f>
        <v/>
      </c>
      <c r="C175" s="55" t="str">
        <f>IF($Q175="","",INDEX(TRANSACTIONS_MASTER!$F$5:$F$1204,$Q175))</f>
        <v/>
      </c>
      <c r="D175" s="55" t="str">
        <f>IF($Q175="","",INDEX(TRANSACTIONS_MASTER!$E$5:$E$1204,$Q175))</f>
        <v/>
      </c>
      <c r="E175" s="55" t="str">
        <f>IF($Q175="","",INDEX(TRANSACTIONS_MASTER!$G$5:$G$1204,$Q175)&amp;"")</f>
        <v/>
      </c>
      <c r="F175" s="29" t="str">
        <f>IF($Q175="","",INDEX(TRANSACTIONS_MASTER!$I$5:$I$1204,$Q175))</f>
        <v/>
      </c>
      <c r="G175" s="55" t="str">
        <f>IF($Q175="","",INDEX(TRANSACTIONS_MASTER!$K$5:$K$1204,$Q175))</f>
        <v/>
      </c>
      <c r="H175" s="25" t="str">
        <f>IF($Q175="","",INDEX(TRANSACTIONS_MASTER!$L$5:$L$1204,$Q175))</f>
        <v/>
      </c>
      <c r="I175" s="56" t="str">
        <f>IF($Q175="","",INDEX(TRANSACTIONS_MASTER!$N$5:$N$1204,$Q175))</f>
        <v/>
      </c>
      <c r="J175" s="25" t="str">
        <f>IF($Q175="","",INDEX(TRANSACTIONS_MASTER!$O$5:$O$1204,$Q175))</f>
        <v/>
      </c>
      <c r="K175" s="26" t="str">
        <f>IF($Q175="","",INDEX(TRANSACTIONS_MASTER!$Q$5:$Q$1204,$Q175))</f>
        <v/>
      </c>
      <c r="L175" s="25" t="str">
        <f>IF($Q175="","",INDEX(TRANSACTIONS_MASTER!$P$5:$P$1204,$Q175))</f>
        <v/>
      </c>
      <c r="M175" s="25" t="str">
        <f>IF($Q175="","",INDEX(TRANSACTIONS_MASTER!$AA$5:$AA$1204,$Q175))</f>
        <v/>
      </c>
      <c r="N175" s="25" t="str">
        <f>IF($Q175="","",INDEX(TRANSACTIONS_MASTER!$R$5:$R$1204,$Q175))</f>
        <v/>
      </c>
      <c r="O175" s="28" t="str">
        <f>IF($Q175="","",INDEX(TRANSACTIONS_MASTER!$AB$5:$AB$1204,$Q175))</f>
        <v/>
      </c>
      <c r="P175" s="55" t="str">
        <f>IF($Q175="","",INDEX(TRANSACTIONS_MASTER!$Z$5:$Z$1204,$Q175)&amp;"")</f>
        <v/>
      </c>
      <c r="Q175" s="67" t="str">
        <f>IFERROR(MATCH($C$2&amp;"|"&amp;168,TRANSACTIONS_MASTER!$AE$5:$AE$1204,0),"")</f>
        <v/>
      </c>
      <c r="S175" s="67">
        <f>IFERROR(MATCH(1,INDEX((TRANSACTIONS_MASTER!$C$5:$C$1204=$C$2)*(TRANSACTIONS_MASTER!$AN$5:$AN$1204=17),0),0),"")</f>
        <v>24</v>
      </c>
      <c r="T175" s="55" t="n"/>
      <c r="U175" s="55" t="str">
        <f>IF($S175="","",INDEX(TRANSACTIONS_MASTER!$G$5:$G$1204,$S175)&amp;"")</f>
        <v>Viettel</v>
      </c>
      <c r="V175" s="25">
        <f>IF($S175="","",SUMIFS(TRANSACTIONS_MASTER!$L$5:$L$1204,TRANSACTIONS_MASTER!$G$5:$G$1204,$U175,TRANSACTIONS_MASTER!$C$5:$C$1204,$C$2,TRANSACTIONS_MASTER!$U$5:$U$1204,"&lt;&gt;Cancelled"))</f>
        <v>300000</v>
      </c>
      <c r="W175" s="26">
        <f>IF($S175="","",SUMIFS(TRANSACTIONS_MASTER!$Q$5:$Q$1204,TRANSACTIONS_MASTER!$G$5:$G$1204,$U175,TRANSACTIONS_MASTER!$C$5:$C$1204,$C$2))</f>
        <v>15000</v>
      </c>
    </row>
    <row r="176">
      <c r="A176" s="81" t="str">
        <f>IF($Q176="","",169)</f>
        <v/>
      </c>
      <c r="B176" s="57" t="str">
        <f>IF($Q176="","",INDEX(TRANSACTIONS_MASTER!$B$5:$B$1204,$Q176))</f>
        <v/>
      </c>
      <c r="C176" s="55" t="str">
        <f>IF($Q176="","",INDEX(TRANSACTIONS_MASTER!$F$5:$F$1204,$Q176))</f>
        <v/>
      </c>
      <c r="D176" s="55" t="str">
        <f>IF($Q176="","",INDEX(TRANSACTIONS_MASTER!$E$5:$E$1204,$Q176))</f>
        <v/>
      </c>
      <c r="E176" s="55" t="str">
        <f>IF($Q176="","",INDEX(TRANSACTIONS_MASTER!$G$5:$G$1204,$Q176)&amp;"")</f>
        <v/>
      </c>
      <c r="F176" s="29" t="str">
        <f>IF($Q176="","",INDEX(TRANSACTIONS_MASTER!$I$5:$I$1204,$Q176))</f>
        <v/>
      </c>
      <c r="G176" s="55" t="str">
        <f>IF($Q176="","",INDEX(TRANSACTIONS_MASTER!$K$5:$K$1204,$Q176))</f>
        <v/>
      </c>
      <c r="H176" s="25" t="str">
        <f>IF($Q176="","",INDEX(TRANSACTIONS_MASTER!$L$5:$L$1204,$Q176))</f>
        <v/>
      </c>
      <c r="I176" s="56" t="str">
        <f>IF($Q176="","",INDEX(TRANSACTIONS_MASTER!$N$5:$N$1204,$Q176))</f>
        <v/>
      </c>
      <c r="J176" s="25" t="str">
        <f>IF($Q176="","",INDEX(TRANSACTIONS_MASTER!$O$5:$O$1204,$Q176))</f>
        <v/>
      </c>
      <c r="K176" s="26" t="str">
        <f>IF($Q176="","",INDEX(TRANSACTIONS_MASTER!$Q$5:$Q$1204,$Q176))</f>
        <v/>
      </c>
      <c r="L176" s="25" t="str">
        <f>IF($Q176="","",INDEX(TRANSACTIONS_MASTER!$P$5:$P$1204,$Q176))</f>
        <v/>
      </c>
      <c r="M176" s="25" t="str">
        <f>IF($Q176="","",INDEX(TRANSACTIONS_MASTER!$AA$5:$AA$1204,$Q176))</f>
        <v/>
      </c>
      <c r="N176" s="25" t="str">
        <f>IF($Q176="","",INDEX(TRANSACTIONS_MASTER!$R$5:$R$1204,$Q176))</f>
        <v/>
      </c>
      <c r="O176" s="28" t="str">
        <f>IF($Q176="","",INDEX(TRANSACTIONS_MASTER!$AB$5:$AB$1204,$Q176))</f>
        <v/>
      </c>
      <c r="P176" s="55" t="str">
        <f>IF($Q176="","",INDEX(TRANSACTIONS_MASTER!$Z$5:$Z$1204,$Q176)&amp;"")</f>
        <v/>
      </c>
      <c r="Q176" s="67" t="str">
        <f>IFERROR(MATCH($C$2&amp;"|"&amp;169,TRANSACTIONS_MASTER!$AE$5:$AE$1204,0),"")</f>
        <v/>
      </c>
      <c r="S176" s="67">
        <f>IFERROR(MATCH(1,INDEX((TRANSACTIONS_MASTER!$C$5:$C$1204=$C$2)*(TRANSACTIONS_MASTER!$AN$5:$AN$1204=18),0),0),"")</f>
        <v>25</v>
      </c>
      <c r="T176" s="55" t="n"/>
      <c r="U176" s="55" t="str">
        <f>IF($S176="","",INDEX(TRANSACTIONS_MASTER!$G$5:$G$1204,$S176)&amp;"")</f>
        <v>Kichi Kichi</v>
      </c>
      <c r="V176" s="25">
        <f>IF($S176="","",SUMIFS(TRANSACTIONS_MASTER!$L$5:$L$1204,TRANSACTIONS_MASTER!$G$5:$G$1204,$U176,TRANSACTIONS_MASTER!$C$5:$C$1204,$C$2,TRANSACTIONS_MASTER!$U$5:$U$1204,"&lt;&gt;Cancelled"))</f>
        <v>6000000</v>
      </c>
      <c r="W176" s="26">
        <f>IF($S176="","",SUMIFS(TRANSACTIONS_MASTER!$Q$5:$Q$1204,TRANSACTIONS_MASTER!$G$5:$G$1204,$U176,TRANSACTIONS_MASTER!$C$5:$C$1204,$C$2))</f>
        <v>400000</v>
      </c>
    </row>
    <row r="177">
      <c r="A177" s="81" t="str">
        <f>IF($Q177="","",170)</f>
        <v/>
      </c>
      <c r="B177" s="57" t="str">
        <f>IF($Q177="","",INDEX(TRANSACTIONS_MASTER!$B$5:$B$1204,$Q177))</f>
        <v/>
      </c>
      <c r="C177" s="55" t="str">
        <f>IF($Q177="","",INDEX(TRANSACTIONS_MASTER!$F$5:$F$1204,$Q177))</f>
        <v/>
      </c>
      <c r="D177" s="55" t="str">
        <f>IF($Q177="","",INDEX(TRANSACTIONS_MASTER!$E$5:$E$1204,$Q177))</f>
        <v/>
      </c>
      <c r="E177" s="55" t="str">
        <f>IF($Q177="","",INDEX(TRANSACTIONS_MASTER!$G$5:$G$1204,$Q177)&amp;"")</f>
        <v/>
      </c>
      <c r="F177" s="29" t="str">
        <f>IF($Q177="","",INDEX(TRANSACTIONS_MASTER!$I$5:$I$1204,$Q177))</f>
        <v/>
      </c>
      <c r="G177" s="55" t="str">
        <f>IF($Q177="","",INDEX(TRANSACTIONS_MASTER!$K$5:$K$1204,$Q177))</f>
        <v/>
      </c>
      <c r="H177" s="25" t="str">
        <f>IF($Q177="","",INDEX(TRANSACTIONS_MASTER!$L$5:$L$1204,$Q177))</f>
        <v/>
      </c>
      <c r="I177" s="56" t="str">
        <f>IF($Q177="","",INDEX(TRANSACTIONS_MASTER!$N$5:$N$1204,$Q177))</f>
        <v/>
      </c>
      <c r="J177" s="25" t="str">
        <f>IF($Q177="","",INDEX(TRANSACTIONS_MASTER!$O$5:$O$1204,$Q177))</f>
        <v/>
      </c>
      <c r="K177" s="26" t="str">
        <f>IF($Q177="","",INDEX(TRANSACTIONS_MASTER!$Q$5:$Q$1204,$Q177))</f>
        <v/>
      </c>
      <c r="L177" s="25" t="str">
        <f>IF($Q177="","",INDEX(TRANSACTIONS_MASTER!$P$5:$P$1204,$Q177))</f>
        <v/>
      </c>
      <c r="M177" s="25" t="str">
        <f>IF($Q177="","",INDEX(TRANSACTIONS_MASTER!$AA$5:$AA$1204,$Q177))</f>
        <v/>
      </c>
      <c r="N177" s="25" t="str">
        <f>IF($Q177="","",INDEX(TRANSACTIONS_MASTER!$R$5:$R$1204,$Q177))</f>
        <v/>
      </c>
      <c r="O177" s="28" t="str">
        <f>IF($Q177="","",INDEX(TRANSACTIONS_MASTER!$AB$5:$AB$1204,$Q177))</f>
        <v/>
      </c>
      <c r="P177" s="55" t="str">
        <f>IF($Q177="","",INDEX(TRANSACTIONS_MASTER!$Z$5:$Z$1204,$Q177)&amp;"")</f>
        <v/>
      </c>
      <c r="Q177" s="67" t="str">
        <f>IFERROR(MATCH($C$2&amp;"|"&amp;170,TRANSACTIONS_MASTER!$AE$5:$AE$1204,0),"")</f>
        <v/>
      </c>
      <c r="S177" s="67">
        <f>IFERROR(MATCH(1,INDEX((TRANSACTIONS_MASTER!$C$5:$C$1204=$C$2)*(TRANSACTIONS_MASTER!$AN$5:$AN$1204=19),0),0),"")</f>
        <v>26</v>
      </c>
      <c r="T177" s="55" t="n"/>
      <c r="U177" s="55" t="str">
        <f>IF($S177="","",INDEX(TRANSACTIONS_MASTER!$G$5:$G$1204,$S177)&amp;"")</f>
        <v>Circle K</v>
      </c>
      <c r="V177" s="25">
        <f>IF($S177="","",SUMIFS(TRANSACTIONS_MASTER!$L$5:$L$1204,TRANSACTIONS_MASTER!$G$5:$G$1204,$U177,TRANSACTIONS_MASTER!$C$5:$C$1204,$C$2,TRANSACTIONS_MASTER!$U$5:$U$1204,"&lt;&gt;Cancelled"))</f>
        <v>50000</v>
      </c>
      <c r="W177" s="26">
        <f>IF($S177="","",SUMIFS(TRANSACTIONS_MASTER!$Q$5:$Q$1204,TRANSACTIONS_MASTER!$G$5:$G$1204,$U177,TRANSACTIONS_MASTER!$C$5:$C$1204,$C$2))</f>
        <v>0</v>
      </c>
    </row>
    <row r="178">
      <c r="A178" s="81" t="str">
        <f>IF($Q178="","",171)</f>
        <v/>
      </c>
      <c r="B178" s="57" t="str">
        <f>IF($Q178="","",INDEX(TRANSACTIONS_MASTER!$B$5:$B$1204,$Q178))</f>
        <v/>
      </c>
      <c r="C178" s="55" t="str">
        <f>IF($Q178="","",INDEX(TRANSACTIONS_MASTER!$F$5:$F$1204,$Q178))</f>
        <v/>
      </c>
      <c r="D178" s="55" t="str">
        <f>IF($Q178="","",INDEX(TRANSACTIONS_MASTER!$E$5:$E$1204,$Q178))</f>
        <v/>
      </c>
      <c r="E178" s="55" t="str">
        <f>IF($Q178="","",INDEX(TRANSACTIONS_MASTER!$G$5:$G$1204,$Q178)&amp;"")</f>
        <v/>
      </c>
      <c r="F178" s="29" t="str">
        <f>IF($Q178="","",INDEX(TRANSACTIONS_MASTER!$I$5:$I$1204,$Q178))</f>
        <v/>
      </c>
      <c r="G178" s="55" t="str">
        <f>IF($Q178="","",INDEX(TRANSACTIONS_MASTER!$K$5:$K$1204,$Q178))</f>
        <v/>
      </c>
      <c r="H178" s="25" t="str">
        <f>IF($Q178="","",INDEX(TRANSACTIONS_MASTER!$L$5:$L$1204,$Q178))</f>
        <v/>
      </c>
      <c r="I178" s="56" t="str">
        <f>IF($Q178="","",INDEX(TRANSACTIONS_MASTER!$N$5:$N$1204,$Q178))</f>
        <v/>
      </c>
      <c r="J178" s="25" t="str">
        <f>IF($Q178="","",INDEX(TRANSACTIONS_MASTER!$O$5:$O$1204,$Q178))</f>
        <v/>
      </c>
      <c r="K178" s="26" t="str">
        <f>IF($Q178="","",INDEX(TRANSACTIONS_MASTER!$Q$5:$Q$1204,$Q178))</f>
        <v/>
      </c>
      <c r="L178" s="25" t="str">
        <f>IF($Q178="","",INDEX(TRANSACTIONS_MASTER!$P$5:$P$1204,$Q178))</f>
        <v/>
      </c>
      <c r="M178" s="25" t="str">
        <f>IF($Q178="","",INDEX(TRANSACTIONS_MASTER!$AA$5:$AA$1204,$Q178))</f>
        <v/>
      </c>
      <c r="N178" s="25" t="str">
        <f>IF($Q178="","",INDEX(TRANSACTIONS_MASTER!$R$5:$R$1204,$Q178))</f>
        <v/>
      </c>
      <c r="O178" s="28" t="str">
        <f>IF($Q178="","",INDEX(TRANSACTIONS_MASTER!$AB$5:$AB$1204,$Q178))</f>
        <v/>
      </c>
      <c r="P178" s="55" t="str">
        <f>IF($Q178="","",INDEX(TRANSACTIONS_MASTER!$Z$5:$Z$1204,$Q178)&amp;"")</f>
        <v/>
      </c>
      <c r="Q178" s="67" t="str">
        <f>IFERROR(MATCH($C$2&amp;"|"&amp;171,TRANSACTIONS_MASTER!$AE$5:$AE$1204,0),"")</f>
        <v/>
      </c>
      <c r="S178" s="67">
        <f>IFERROR(MATCH(1,INDEX((TRANSACTIONS_MASTER!$C$5:$C$1204=$C$2)*(TRANSACTIONS_MASTER!$AN$5:$AN$1204=20),0),0),"")</f>
        <v>29</v>
      </c>
      <c r="T178" s="55" t="n"/>
      <c r="U178" s="55" t="str">
        <f>IF($S178="","",INDEX(TRANSACTIONS_MASTER!$G$5:$G$1204,$S178)&amp;"")</f>
        <v>Shopee</v>
      </c>
      <c r="V178" s="25">
        <f>IF($S178="","",SUMIFS(TRANSACTIONS_MASTER!$L$5:$L$1204,TRANSACTIONS_MASTER!$G$5:$G$1204,$U178,TRANSACTIONS_MASTER!$C$5:$C$1204,$C$2,TRANSACTIONS_MASTER!$U$5:$U$1204,"&lt;&gt;Cancelled"))</f>
        <v>1000000</v>
      </c>
      <c r="W178" s="26">
        <f>IF($S178="","",SUMIFS(TRANSACTIONS_MASTER!$Q$5:$Q$1204,TRANSACTIONS_MASTER!$G$5:$G$1204,$U178,TRANSACTIONS_MASTER!$C$5:$C$1204,$C$2))</f>
        <v>0</v>
      </c>
    </row>
    <row r="179">
      <c r="A179" s="81" t="str">
        <f>IF($Q179="","",172)</f>
        <v/>
      </c>
      <c r="B179" s="57" t="str">
        <f>IF($Q179="","",INDEX(TRANSACTIONS_MASTER!$B$5:$B$1204,$Q179))</f>
        <v/>
      </c>
      <c r="C179" s="55" t="str">
        <f>IF($Q179="","",INDEX(TRANSACTIONS_MASTER!$F$5:$F$1204,$Q179))</f>
        <v/>
      </c>
      <c r="D179" s="55" t="str">
        <f>IF($Q179="","",INDEX(TRANSACTIONS_MASTER!$E$5:$E$1204,$Q179))</f>
        <v/>
      </c>
      <c r="E179" s="55" t="str">
        <f>IF($Q179="","",INDEX(TRANSACTIONS_MASTER!$G$5:$G$1204,$Q179)&amp;"")</f>
        <v/>
      </c>
      <c r="F179" s="29" t="str">
        <f>IF($Q179="","",INDEX(TRANSACTIONS_MASTER!$I$5:$I$1204,$Q179))</f>
        <v/>
      </c>
      <c r="G179" s="55" t="str">
        <f>IF($Q179="","",INDEX(TRANSACTIONS_MASTER!$K$5:$K$1204,$Q179))</f>
        <v/>
      </c>
      <c r="H179" s="25" t="str">
        <f>IF($Q179="","",INDEX(TRANSACTIONS_MASTER!$L$5:$L$1204,$Q179))</f>
        <v/>
      </c>
      <c r="I179" s="56" t="str">
        <f>IF($Q179="","",INDEX(TRANSACTIONS_MASTER!$N$5:$N$1204,$Q179))</f>
        <v/>
      </c>
      <c r="J179" s="25" t="str">
        <f>IF($Q179="","",INDEX(TRANSACTIONS_MASTER!$O$5:$O$1204,$Q179))</f>
        <v/>
      </c>
      <c r="K179" s="26" t="str">
        <f>IF($Q179="","",INDEX(TRANSACTIONS_MASTER!$Q$5:$Q$1204,$Q179))</f>
        <v/>
      </c>
      <c r="L179" s="25" t="str">
        <f>IF($Q179="","",INDEX(TRANSACTIONS_MASTER!$P$5:$P$1204,$Q179))</f>
        <v/>
      </c>
      <c r="M179" s="25" t="str">
        <f>IF($Q179="","",INDEX(TRANSACTIONS_MASTER!$AA$5:$AA$1204,$Q179))</f>
        <v/>
      </c>
      <c r="N179" s="25" t="str">
        <f>IF($Q179="","",INDEX(TRANSACTIONS_MASTER!$R$5:$R$1204,$Q179))</f>
        <v/>
      </c>
      <c r="O179" s="28" t="str">
        <f>IF($Q179="","",INDEX(TRANSACTIONS_MASTER!$AB$5:$AB$1204,$Q179))</f>
        <v/>
      </c>
      <c r="P179" s="55" t="str">
        <f>IF($Q179="","",INDEX(TRANSACTIONS_MASTER!$Z$5:$Z$1204,$Q179)&amp;"")</f>
        <v/>
      </c>
      <c r="Q179" s="67" t="str">
        <f>IFERROR(MATCH($C$2&amp;"|"&amp;172,TRANSACTIONS_MASTER!$AE$5:$AE$1204,0),"")</f>
        <v/>
      </c>
      <c r="T179" s="45" t="n"/>
      <c r="U179" s="82" t="inlineStr">
        <is>
          <t>Khác (ngoài danh sách)</t>
        </is>
      </c>
      <c r="V179" s="48">
        <f>MAX(0,SUMIFS(TRANSACTIONS_MASTER!$L$5:$L$1204,TRANSACTIONS_MASTER!$C$5:$C$1204,$C$2,TRANSACTIONS_MASTER!$U$5:$U$1204,"&lt;&gt;Cancelled")-SUM(V159:V178))</f>
        <v>1000000</v>
      </c>
      <c r="W179" s="48">
        <f>MAX(0,SUMIFS(TRANSACTIONS_MASTER!$Q$5:$Q$1204,TRANSACTIONS_MASTER!$C$5:$C$1204,$C$2)-SUM(W159:W178))</f>
        <v>0</v>
      </c>
    </row>
    <row r="180">
      <c r="A180" s="81" t="str">
        <f>IF($Q180="","",173)</f>
        <v/>
      </c>
      <c r="B180" s="57" t="str">
        <f>IF($Q180="","",INDEX(TRANSACTIONS_MASTER!$B$5:$B$1204,$Q180))</f>
        <v/>
      </c>
      <c r="C180" s="55" t="str">
        <f>IF($Q180="","",INDEX(TRANSACTIONS_MASTER!$F$5:$F$1204,$Q180))</f>
        <v/>
      </c>
      <c r="D180" s="55" t="str">
        <f>IF($Q180="","",INDEX(TRANSACTIONS_MASTER!$E$5:$E$1204,$Q180))</f>
        <v/>
      </c>
      <c r="E180" s="55" t="str">
        <f>IF($Q180="","",INDEX(TRANSACTIONS_MASTER!$G$5:$G$1204,$Q180)&amp;"")</f>
        <v/>
      </c>
      <c r="F180" s="29" t="str">
        <f>IF($Q180="","",INDEX(TRANSACTIONS_MASTER!$I$5:$I$1204,$Q180))</f>
        <v/>
      </c>
      <c r="G180" s="55" t="str">
        <f>IF($Q180="","",INDEX(TRANSACTIONS_MASTER!$K$5:$K$1204,$Q180))</f>
        <v/>
      </c>
      <c r="H180" s="25" t="str">
        <f>IF($Q180="","",INDEX(TRANSACTIONS_MASTER!$L$5:$L$1204,$Q180))</f>
        <v/>
      </c>
      <c r="I180" s="56" t="str">
        <f>IF($Q180="","",INDEX(TRANSACTIONS_MASTER!$N$5:$N$1204,$Q180))</f>
        <v/>
      </c>
      <c r="J180" s="25" t="str">
        <f>IF($Q180="","",INDEX(TRANSACTIONS_MASTER!$O$5:$O$1204,$Q180))</f>
        <v/>
      </c>
      <c r="K180" s="26" t="str">
        <f>IF($Q180="","",INDEX(TRANSACTIONS_MASTER!$Q$5:$Q$1204,$Q180))</f>
        <v/>
      </c>
      <c r="L180" s="25" t="str">
        <f>IF($Q180="","",INDEX(TRANSACTIONS_MASTER!$P$5:$P$1204,$Q180))</f>
        <v/>
      </c>
      <c r="M180" s="25" t="str">
        <f>IF($Q180="","",INDEX(TRANSACTIONS_MASTER!$AA$5:$AA$1204,$Q180))</f>
        <v/>
      </c>
      <c r="N180" s="25" t="str">
        <f>IF($Q180="","",INDEX(TRANSACTIONS_MASTER!$R$5:$R$1204,$Q180))</f>
        <v/>
      </c>
      <c r="O180" s="28" t="str">
        <f>IF($Q180="","",INDEX(TRANSACTIONS_MASTER!$AB$5:$AB$1204,$Q180))</f>
        <v/>
      </c>
      <c r="P180" s="55" t="str">
        <f>IF($Q180="","",INDEX(TRANSACTIONS_MASTER!$Z$5:$Z$1204,$Q180)&amp;"")</f>
        <v/>
      </c>
      <c r="Q180" s="67" t="str">
        <f>IFERROR(MATCH($C$2&amp;"|"&amp;173,TRANSACTIONS_MASTER!$AE$5:$AE$1204,0),"")</f>
        <v/>
      </c>
      <c r="T180" s="68" t="n"/>
      <c r="U180" s="69" t="inlineStr">
        <is>
          <t>TỔNG</t>
        </is>
      </c>
      <c r="V180" s="31">
        <f>SUM(V159:V179)</f>
        <v>54150000</v>
      </c>
      <c r="W180" s="31">
        <f>SUM(W159:W179)</f>
        <v>3880000</v>
      </c>
    </row>
    <row r="181">
      <c r="A181" s="81" t="str">
        <f>IF($Q181="","",174)</f>
        <v/>
      </c>
      <c r="B181" s="57" t="str">
        <f>IF($Q181="","",INDEX(TRANSACTIONS_MASTER!$B$5:$B$1204,$Q181))</f>
        <v/>
      </c>
      <c r="C181" s="55" t="str">
        <f>IF($Q181="","",INDEX(TRANSACTIONS_MASTER!$F$5:$F$1204,$Q181))</f>
        <v/>
      </c>
      <c r="D181" s="55" t="str">
        <f>IF($Q181="","",INDEX(TRANSACTIONS_MASTER!$E$5:$E$1204,$Q181))</f>
        <v/>
      </c>
      <c r="E181" s="55" t="str">
        <f>IF($Q181="","",INDEX(TRANSACTIONS_MASTER!$G$5:$G$1204,$Q181)&amp;"")</f>
        <v/>
      </c>
      <c r="F181" s="29" t="str">
        <f>IF($Q181="","",INDEX(TRANSACTIONS_MASTER!$I$5:$I$1204,$Q181))</f>
        <v/>
      </c>
      <c r="G181" s="55" t="str">
        <f>IF($Q181="","",INDEX(TRANSACTIONS_MASTER!$K$5:$K$1204,$Q181))</f>
        <v/>
      </c>
      <c r="H181" s="25" t="str">
        <f>IF($Q181="","",INDEX(TRANSACTIONS_MASTER!$L$5:$L$1204,$Q181))</f>
        <v/>
      </c>
      <c r="I181" s="56" t="str">
        <f>IF($Q181="","",INDEX(TRANSACTIONS_MASTER!$N$5:$N$1204,$Q181))</f>
        <v/>
      </c>
      <c r="J181" s="25" t="str">
        <f>IF($Q181="","",INDEX(TRANSACTIONS_MASTER!$O$5:$O$1204,$Q181))</f>
        <v/>
      </c>
      <c r="K181" s="26" t="str">
        <f>IF($Q181="","",INDEX(TRANSACTIONS_MASTER!$Q$5:$Q$1204,$Q181))</f>
        <v/>
      </c>
      <c r="L181" s="25" t="str">
        <f>IF($Q181="","",INDEX(TRANSACTIONS_MASTER!$P$5:$P$1204,$Q181))</f>
        <v/>
      </c>
      <c r="M181" s="25" t="str">
        <f>IF($Q181="","",INDEX(TRANSACTIONS_MASTER!$AA$5:$AA$1204,$Q181))</f>
        <v/>
      </c>
      <c r="N181" s="25" t="str">
        <f>IF($Q181="","",INDEX(TRANSACTIONS_MASTER!$R$5:$R$1204,$Q181))</f>
        <v/>
      </c>
      <c r="O181" s="28" t="str">
        <f>IF($Q181="","",INDEX(TRANSACTIONS_MASTER!$AB$5:$AB$1204,$Q181))</f>
        <v/>
      </c>
      <c r="P181" s="55" t="str">
        <f>IF($Q181="","",INDEX(TRANSACTIONS_MASTER!$Z$5:$Z$1204,$Q181)&amp;"")</f>
        <v/>
      </c>
      <c r="Q181" s="67" t="str">
        <f>IFERROR(MATCH($C$2&amp;"|"&amp;174,TRANSACTIONS_MASTER!$AE$5:$AE$1204,0),"")</f>
        <v/>
      </c>
    </row>
    <row r="182">
      <c r="A182" s="81" t="str">
        <f>IF($Q182="","",175)</f>
        <v/>
      </c>
      <c r="B182" s="57" t="str">
        <f>IF($Q182="","",INDEX(TRANSACTIONS_MASTER!$B$5:$B$1204,$Q182))</f>
        <v/>
      </c>
      <c r="C182" s="55" t="str">
        <f>IF($Q182="","",INDEX(TRANSACTIONS_MASTER!$F$5:$F$1204,$Q182))</f>
        <v/>
      </c>
      <c r="D182" s="55" t="str">
        <f>IF($Q182="","",INDEX(TRANSACTIONS_MASTER!$E$5:$E$1204,$Q182))</f>
        <v/>
      </c>
      <c r="E182" s="55" t="str">
        <f>IF($Q182="","",INDEX(TRANSACTIONS_MASTER!$G$5:$G$1204,$Q182)&amp;"")</f>
        <v/>
      </c>
      <c r="F182" s="29" t="str">
        <f>IF($Q182="","",INDEX(TRANSACTIONS_MASTER!$I$5:$I$1204,$Q182))</f>
        <v/>
      </c>
      <c r="G182" s="55" t="str">
        <f>IF($Q182="","",INDEX(TRANSACTIONS_MASTER!$K$5:$K$1204,$Q182))</f>
        <v/>
      </c>
      <c r="H182" s="25" t="str">
        <f>IF($Q182="","",INDEX(TRANSACTIONS_MASTER!$L$5:$L$1204,$Q182))</f>
        <v/>
      </c>
      <c r="I182" s="56" t="str">
        <f>IF($Q182="","",INDEX(TRANSACTIONS_MASTER!$N$5:$N$1204,$Q182))</f>
        <v/>
      </c>
      <c r="J182" s="25" t="str">
        <f>IF($Q182="","",INDEX(TRANSACTIONS_MASTER!$O$5:$O$1204,$Q182))</f>
        <v/>
      </c>
      <c r="K182" s="26" t="str">
        <f>IF($Q182="","",INDEX(TRANSACTIONS_MASTER!$Q$5:$Q$1204,$Q182))</f>
        <v/>
      </c>
      <c r="L182" s="25" t="str">
        <f>IF($Q182="","",INDEX(TRANSACTIONS_MASTER!$P$5:$P$1204,$Q182))</f>
        <v/>
      </c>
      <c r="M182" s="25" t="str">
        <f>IF($Q182="","",INDEX(TRANSACTIONS_MASTER!$AA$5:$AA$1204,$Q182))</f>
        <v/>
      </c>
      <c r="N182" s="25" t="str">
        <f>IF($Q182="","",INDEX(TRANSACTIONS_MASTER!$R$5:$R$1204,$Q182))</f>
        <v/>
      </c>
      <c r="O182" s="28" t="str">
        <f>IF($Q182="","",INDEX(TRANSACTIONS_MASTER!$AB$5:$AB$1204,$Q182))</f>
        <v/>
      </c>
      <c r="P182" s="55" t="str">
        <f>IF($Q182="","",INDEX(TRANSACTIONS_MASTER!$Z$5:$Z$1204,$Q182)&amp;"")</f>
        <v/>
      </c>
      <c r="Q182" s="67" t="str">
        <f>IFERROR(MATCH($C$2&amp;"|"&amp;175,TRANSACTIONS_MASTER!$AE$5:$AE$1204,0),"")</f>
        <v/>
      </c>
    </row>
    <row r="183">
      <c r="A183" s="81" t="str">
        <f>IF($Q183="","",176)</f>
        <v/>
      </c>
      <c r="B183" s="57" t="str">
        <f>IF($Q183="","",INDEX(TRANSACTIONS_MASTER!$B$5:$B$1204,$Q183))</f>
        <v/>
      </c>
      <c r="C183" s="55" t="str">
        <f>IF($Q183="","",INDEX(TRANSACTIONS_MASTER!$F$5:$F$1204,$Q183))</f>
        <v/>
      </c>
      <c r="D183" s="55" t="str">
        <f>IF($Q183="","",INDEX(TRANSACTIONS_MASTER!$E$5:$E$1204,$Q183))</f>
        <v/>
      </c>
      <c r="E183" s="55" t="str">
        <f>IF($Q183="","",INDEX(TRANSACTIONS_MASTER!$G$5:$G$1204,$Q183)&amp;"")</f>
        <v/>
      </c>
      <c r="F183" s="29" t="str">
        <f>IF($Q183="","",INDEX(TRANSACTIONS_MASTER!$I$5:$I$1204,$Q183))</f>
        <v/>
      </c>
      <c r="G183" s="55" t="str">
        <f>IF($Q183="","",INDEX(TRANSACTIONS_MASTER!$K$5:$K$1204,$Q183))</f>
        <v/>
      </c>
      <c r="H183" s="25" t="str">
        <f>IF($Q183="","",INDEX(TRANSACTIONS_MASTER!$L$5:$L$1204,$Q183))</f>
        <v/>
      </c>
      <c r="I183" s="56" t="str">
        <f>IF($Q183="","",INDEX(TRANSACTIONS_MASTER!$N$5:$N$1204,$Q183))</f>
        <v/>
      </c>
      <c r="J183" s="25" t="str">
        <f>IF($Q183="","",INDEX(TRANSACTIONS_MASTER!$O$5:$O$1204,$Q183))</f>
        <v/>
      </c>
      <c r="K183" s="26" t="str">
        <f>IF($Q183="","",INDEX(TRANSACTIONS_MASTER!$Q$5:$Q$1204,$Q183))</f>
        <v/>
      </c>
      <c r="L183" s="25" t="str">
        <f>IF($Q183="","",INDEX(TRANSACTIONS_MASTER!$P$5:$P$1204,$Q183))</f>
        <v/>
      </c>
      <c r="M183" s="25" t="str">
        <f>IF($Q183="","",INDEX(TRANSACTIONS_MASTER!$AA$5:$AA$1204,$Q183))</f>
        <v/>
      </c>
      <c r="N183" s="25" t="str">
        <f>IF($Q183="","",INDEX(TRANSACTIONS_MASTER!$R$5:$R$1204,$Q183))</f>
        <v/>
      </c>
      <c r="O183" s="28" t="str">
        <f>IF($Q183="","",INDEX(TRANSACTIONS_MASTER!$AB$5:$AB$1204,$Q183))</f>
        <v/>
      </c>
      <c r="P183" s="55" t="str">
        <f>IF($Q183="","",INDEX(TRANSACTIONS_MASTER!$Z$5:$Z$1204,$Q183)&amp;"")</f>
        <v/>
      </c>
      <c r="Q183" s="67" t="str">
        <f>IFERROR(MATCH($C$2&amp;"|"&amp;176,TRANSACTIONS_MASTER!$AE$5:$AE$1204,0),"")</f>
        <v/>
      </c>
    </row>
    <row r="184">
      <c r="A184" s="81" t="str">
        <f>IF($Q184="","",177)</f>
        <v/>
      </c>
      <c r="B184" s="57" t="str">
        <f>IF($Q184="","",INDEX(TRANSACTIONS_MASTER!$B$5:$B$1204,$Q184))</f>
        <v/>
      </c>
      <c r="C184" s="55" t="str">
        <f>IF($Q184="","",INDEX(TRANSACTIONS_MASTER!$F$5:$F$1204,$Q184))</f>
        <v/>
      </c>
      <c r="D184" s="55" t="str">
        <f>IF($Q184="","",INDEX(TRANSACTIONS_MASTER!$E$5:$E$1204,$Q184))</f>
        <v/>
      </c>
      <c r="E184" s="55" t="str">
        <f>IF($Q184="","",INDEX(TRANSACTIONS_MASTER!$G$5:$G$1204,$Q184)&amp;"")</f>
        <v/>
      </c>
      <c r="F184" s="29" t="str">
        <f>IF($Q184="","",INDEX(TRANSACTIONS_MASTER!$I$5:$I$1204,$Q184))</f>
        <v/>
      </c>
      <c r="G184" s="55" t="str">
        <f>IF($Q184="","",INDEX(TRANSACTIONS_MASTER!$K$5:$K$1204,$Q184))</f>
        <v/>
      </c>
      <c r="H184" s="25" t="str">
        <f>IF($Q184="","",INDEX(TRANSACTIONS_MASTER!$L$5:$L$1204,$Q184))</f>
        <v/>
      </c>
      <c r="I184" s="56" t="str">
        <f>IF($Q184="","",INDEX(TRANSACTIONS_MASTER!$N$5:$N$1204,$Q184))</f>
        <v/>
      </c>
      <c r="J184" s="25" t="str">
        <f>IF($Q184="","",INDEX(TRANSACTIONS_MASTER!$O$5:$O$1204,$Q184))</f>
        <v/>
      </c>
      <c r="K184" s="26" t="str">
        <f>IF($Q184="","",INDEX(TRANSACTIONS_MASTER!$Q$5:$Q$1204,$Q184))</f>
        <v/>
      </c>
      <c r="L184" s="25" t="str">
        <f>IF($Q184="","",INDEX(TRANSACTIONS_MASTER!$P$5:$P$1204,$Q184))</f>
        <v/>
      </c>
      <c r="M184" s="25" t="str">
        <f>IF($Q184="","",INDEX(TRANSACTIONS_MASTER!$AA$5:$AA$1204,$Q184))</f>
        <v/>
      </c>
      <c r="N184" s="25" t="str">
        <f>IF($Q184="","",INDEX(TRANSACTIONS_MASTER!$R$5:$R$1204,$Q184))</f>
        <v/>
      </c>
      <c r="O184" s="28" t="str">
        <f>IF($Q184="","",INDEX(TRANSACTIONS_MASTER!$AB$5:$AB$1204,$Q184))</f>
        <v/>
      </c>
      <c r="P184" s="55" t="str">
        <f>IF($Q184="","",INDEX(TRANSACTIONS_MASTER!$Z$5:$Z$1204,$Q184)&amp;"")</f>
        <v/>
      </c>
      <c r="Q184" s="67" t="str">
        <f>IFERROR(MATCH($C$2&amp;"|"&amp;177,TRANSACTIONS_MASTER!$AE$5:$AE$1204,0),"")</f>
        <v/>
      </c>
    </row>
    <row r="185">
      <c r="A185" s="81" t="str">
        <f>IF($Q185="","",178)</f>
        <v/>
      </c>
      <c r="B185" s="57" t="str">
        <f>IF($Q185="","",INDEX(TRANSACTIONS_MASTER!$B$5:$B$1204,$Q185))</f>
        <v/>
      </c>
      <c r="C185" s="55" t="str">
        <f>IF($Q185="","",INDEX(TRANSACTIONS_MASTER!$F$5:$F$1204,$Q185))</f>
        <v/>
      </c>
      <c r="D185" s="55" t="str">
        <f>IF($Q185="","",INDEX(TRANSACTIONS_MASTER!$E$5:$E$1204,$Q185))</f>
        <v/>
      </c>
      <c r="E185" s="55" t="str">
        <f>IF($Q185="","",INDEX(TRANSACTIONS_MASTER!$G$5:$G$1204,$Q185)&amp;"")</f>
        <v/>
      </c>
      <c r="F185" s="29" t="str">
        <f>IF($Q185="","",INDEX(TRANSACTIONS_MASTER!$I$5:$I$1204,$Q185))</f>
        <v/>
      </c>
      <c r="G185" s="55" t="str">
        <f>IF($Q185="","",INDEX(TRANSACTIONS_MASTER!$K$5:$K$1204,$Q185))</f>
        <v/>
      </c>
      <c r="H185" s="25" t="str">
        <f>IF($Q185="","",INDEX(TRANSACTIONS_MASTER!$L$5:$L$1204,$Q185))</f>
        <v/>
      </c>
      <c r="I185" s="56" t="str">
        <f>IF($Q185="","",INDEX(TRANSACTIONS_MASTER!$N$5:$N$1204,$Q185))</f>
        <v/>
      </c>
      <c r="J185" s="25" t="str">
        <f>IF($Q185="","",INDEX(TRANSACTIONS_MASTER!$O$5:$O$1204,$Q185))</f>
        <v/>
      </c>
      <c r="K185" s="26" t="str">
        <f>IF($Q185="","",INDEX(TRANSACTIONS_MASTER!$Q$5:$Q$1204,$Q185))</f>
        <v/>
      </c>
      <c r="L185" s="25" t="str">
        <f>IF($Q185="","",INDEX(TRANSACTIONS_MASTER!$P$5:$P$1204,$Q185))</f>
        <v/>
      </c>
      <c r="M185" s="25" t="str">
        <f>IF($Q185="","",INDEX(TRANSACTIONS_MASTER!$AA$5:$AA$1204,$Q185))</f>
        <v/>
      </c>
      <c r="N185" s="25" t="str">
        <f>IF($Q185="","",INDEX(TRANSACTIONS_MASTER!$R$5:$R$1204,$Q185))</f>
        <v/>
      </c>
      <c r="O185" s="28" t="str">
        <f>IF($Q185="","",INDEX(TRANSACTIONS_MASTER!$AB$5:$AB$1204,$Q185))</f>
        <v/>
      </c>
      <c r="P185" s="55" t="str">
        <f>IF($Q185="","",INDEX(TRANSACTIONS_MASTER!$Z$5:$Z$1204,$Q185)&amp;"")</f>
        <v/>
      </c>
      <c r="Q185" s="67" t="str">
        <f>IFERROR(MATCH($C$2&amp;"|"&amp;178,TRANSACTIONS_MASTER!$AE$5:$AE$1204,0),"")</f>
        <v/>
      </c>
    </row>
    <row r="186">
      <c r="A186" s="81" t="str">
        <f>IF($Q186="","",179)</f>
        <v/>
      </c>
      <c r="B186" s="57" t="str">
        <f>IF($Q186="","",INDEX(TRANSACTIONS_MASTER!$B$5:$B$1204,$Q186))</f>
        <v/>
      </c>
      <c r="C186" s="55" t="str">
        <f>IF($Q186="","",INDEX(TRANSACTIONS_MASTER!$F$5:$F$1204,$Q186))</f>
        <v/>
      </c>
      <c r="D186" s="55" t="str">
        <f>IF($Q186="","",INDEX(TRANSACTIONS_MASTER!$E$5:$E$1204,$Q186))</f>
        <v/>
      </c>
      <c r="E186" s="55" t="str">
        <f>IF($Q186="","",INDEX(TRANSACTIONS_MASTER!$G$5:$G$1204,$Q186)&amp;"")</f>
        <v/>
      </c>
      <c r="F186" s="29" t="str">
        <f>IF($Q186="","",INDEX(TRANSACTIONS_MASTER!$I$5:$I$1204,$Q186))</f>
        <v/>
      </c>
      <c r="G186" s="55" t="str">
        <f>IF($Q186="","",INDEX(TRANSACTIONS_MASTER!$K$5:$K$1204,$Q186))</f>
        <v/>
      </c>
      <c r="H186" s="25" t="str">
        <f>IF($Q186="","",INDEX(TRANSACTIONS_MASTER!$L$5:$L$1204,$Q186))</f>
        <v/>
      </c>
      <c r="I186" s="56" t="str">
        <f>IF($Q186="","",INDEX(TRANSACTIONS_MASTER!$N$5:$N$1204,$Q186))</f>
        <v/>
      </c>
      <c r="J186" s="25" t="str">
        <f>IF($Q186="","",INDEX(TRANSACTIONS_MASTER!$O$5:$O$1204,$Q186))</f>
        <v/>
      </c>
      <c r="K186" s="26" t="str">
        <f>IF($Q186="","",INDEX(TRANSACTIONS_MASTER!$Q$5:$Q$1204,$Q186))</f>
        <v/>
      </c>
      <c r="L186" s="25" t="str">
        <f>IF($Q186="","",INDEX(TRANSACTIONS_MASTER!$P$5:$P$1204,$Q186))</f>
        <v/>
      </c>
      <c r="M186" s="25" t="str">
        <f>IF($Q186="","",INDEX(TRANSACTIONS_MASTER!$AA$5:$AA$1204,$Q186))</f>
        <v/>
      </c>
      <c r="N186" s="25" t="str">
        <f>IF($Q186="","",INDEX(TRANSACTIONS_MASTER!$R$5:$R$1204,$Q186))</f>
        <v/>
      </c>
      <c r="O186" s="28" t="str">
        <f>IF($Q186="","",INDEX(TRANSACTIONS_MASTER!$AB$5:$AB$1204,$Q186))</f>
        <v/>
      </c>
      <c r="P186" s="55" t="str">
        <f>IF($Q186="","",INDEX(TRANSACTIONS_MASTER!$Z$5:$Z$1204,$Q186)&amp;"")</f>
        <v/>
      </c>
      <c r="Q186" s="67" t="str">
        <f>IFERROR(MATCH($C$2&amp;"|"&amp;179,TRANSACTIONS_MASTER!$AE$5:$AE$1204,0),"")</f>
        <v/>
      </c>
    </row>
    <row r="187">
      <c r="A187" s="81" t="str">
        <f>IF($Q187="","",180)</f>
        <v/>
      </c>
      <c r="B187" s="57" t="str">
        <f>IF($Q187="","",INDEX(TRANSACTIONS_MASTER!$B$5:$B$1204,$Q187))</f>
        <v/>
      </c>
      <c r="C187" s="55" t="str">
        <f>IF($Q187="","",INDEX(TRANSACTIONS_MASTER!$F$5:$F$1204,$Q187))</f>
        <v/>
      </c>
      <c r="D187" s="55" t="str">
        <f>IF($Q187="","",INDEX(TRANSACTIONS_MASTER!$E$5:$E$1204,$Q187))</f>
        <v/>
      </c>
      <c r="E187" s="55" t="str">
        <f>IF($Q187="","",INDEX(TRANSACTIONS_MASTER!$G$5:$G$1204,$Q187)&amp;"")</f>
        <v/>
      </c>
      <c r="F187" s="29" t="str">
        <f>IF($Q187="","",INDEX(TRANSACTIONS_MASTER!$I$5:$I$1204,$Q187))</f>
        <v/>
      </c>
      <c r="G187" s="55" t="str">
        <f>IF($Q187="","",INDEX(TRANSACTIONS_MASTER!$K$5:$K$1204,$Q187))</f>
        <v/>
      </c>
      <c r="H187" s="25" t="str">
        <f>IF($Q187="","",INDEX(TRANSACTIONS_MASTER!$L$5:$L$1204,$Q187))</f>
        <v/>
      </c>
      <c r="I187" s="56" t="str">
        <f>IF($Q187="","",INDEX(TRANSACTIONS_MASTER!$N$5:$N$1204,$Q187))</f>
        <v/>
      </c>
      <c r="J187" s="25" t="str">
        <f>IF($Q187="","",INDEX(TRANSACTIONS_MASTER!$O$5:$O$1204,$Q187))</f>
        <v/>
      </c>
      <c r="K187" s="26" t="str">
        <f>IF($Q187="","",INDEX(TRANSACTIONS_MASTER!$Q$5:$Q$1204,$Q187))</f>
        <v/>
      </c>
      <c r="L187" s="25" t="str">
        <f>IF($Q187="","",INDEX(TRANSACTIONS_MASTER!$P$5:$P$1204,$Q187))</f>
        <v/>
      </c>
      <c r="M187" s="25" t="str">
        <f>IF($Q187="","",INDEX(TRANSACTIONS_MASTER!$AA$5:$AA$1204,$Q187))</f>
        <v/>
      </c>
      <c r="N187" s="25" t="str">
        <f>IF($Q187="","",INDEX(TRANSACTIONS_MASTER!$R$5:$R$1204,$Q187))</f>
        <v/>
      </c>
      <c r="O187" s="28" t="str">
        <f>IF($Q187="","",INDEX(TRANSACTIONS_MASTER!$AB$5:$AB$1204,$Q187))</f>
        <v/>
      </c>
      <c r="P187" s="55" t="str">
        <f>IF($Q187="","",INDEX(TRANSACTIONS_MASTER!$Z$5:$Z$1204,$Q187)&amp;"")</f>
        <v/>
      </c>
      <c r="Q187" s="67" t="str">
        <f>IFERROR(MATCH($C$2&amp;"|"&amp;180,TRANSACTIONS_MASTER!$AE$5:$AE$1204,0),"")</f>
        <v/>
      </c>
    </row>
    <row r="188">
      <c r="A188" s="81" t="str">
        <f>IF($Q188="","",181)</f>
        <v/>
      </c>
      <c r="B188" s="57" t="str">
        <f>IF($Q188="","",INDEX(TRANSACTIONS_MASTER!$B$5:$B$1204,$Q188))</f>
        <v/>
      </c>
      <c r="C188" s="55" t="str">
        <f>IF($Q188="","",INDEX(TRANSACTIONS_MASTER!$F$5:$F$1204,$Q188))</f>
        <v/>
      </c>
      <c r="D188" s="55" t="str">
        <f>IF($Q188="","",INDEX(TRANSACTIONS_MASTER!$E$5:$E$1204,$Q188))</f>
        <v/>
      </c>
      <c r="E188" s="55" t="str">
        <f>IF($Q188="","",INDEX(TRANSACTIONS_MASTER!$G$5:$G$1204,$Q188)&amp;"")</f>
        <v/>
      </c>
      <c r="F188" s="29" t="str">
        <f>IF($Q188="","",INDEX(TRANSACTIONS_MASTER!$I$5:$I$1204,$Q188))</f>
        <v/>
      </c>
      <c r="G188" s="55" t="str">
        <f>IF($Q188="","",INDEX(TRANSACTIONS_MASTER!$K$5:$K$1204,$Q188))</f>
        <v/>
      </c>
      <c r="H188" s="25" t="str">
        <f>IF($Q188="","",INDEX(TRANSACTIONS_MASTER!$L$5:$L$1204,$Q188))</f>
        <v/>
      </c>
      <c r="I188" s="56" t="str">
        <f>IF($Q188="","",INDEX(TRANSACTIONS_MASTER!$N$5:$N$1204,$Q188))</f>
        <v/>
      </c>
      <c r="J188" s="25" t="str">
        <f>IF($Q188="","",INDEX(TRANSACTIONS_MASTER!$O$5:$O$1204,$Q188))</f>
        <v/>
      </c>
      <c r="K188" s="26" t="str">
        <f>IF($Q188="","",INDEX(TRANSACTIONS_MASTER!$Q$5:$Q$1204,$Q188))</f>
        <v/>
      </c>
      <c r="L188" s="25" t="str">
        <f>IF($Q188="","",INDEX(TRANSACTIONS_MASTER!$P$5:$P$1204,$Q188))</f>
        <v/>
      </c>
      <c r="M188" s="25" t="str">
        <f>IF($Q188="","",INDEX(TRANSACTIONS_MASTER!$AA$5:$AA$1204,$Q188))</f>
        <v/>
      </c>
      <c r="N188" s="25" t="str">
        <f>IF($Q188="","",INDEX(TRANSACTIONS_MASTER!$R$5:$R$1204,$Q188))</f>
        <v/>
      </c>
      <c r="O188" s="28" t="str">
        <f>IF($Q188="","",INDEX(TRANSACTIONS_MASTER!$AB$5:$AB$1204,$Q188))</f>
        <v/>
      </c>
      <c r="P188" s="55" t="str">
        <f>IF($Q188="","",INDEX(TRANSACTIONS_MASTER!$Z$5:$Z$1204,$Q188)&amp;"")</f>
        <v/>
      </c>
      <c r="Q188" s="67" t="str">
        <f>IFERROR(MATCH($C$2&amp;"|"&amp;181,TRANSACTIONS_MASTER!$AE$5:$AE$1204,0),"")</f>
        <v/>
      </c>
    </row>
    <row r="189">
      <c r="A189" s="81" t="str">
        <f>IF($Q189="","",182)</f>
        <v/>
      </c>
      <c r="B189" s="57" t="str">
        <f>IF($Q189="","",INDEX(TRANSACTIONS_MASTER!$B$5:$B$1204,$Q189))</f>
        <v/>
      </c>
      <c r="C189" s="55" t="str">
        <f>IF($Q189="","",INDEX(TRANSACTIONS_MASTER!$F$5:$F$1204,$Q189))</f>
        <v/>
      </c>
      <c r="D189" s="55" t="str">
        <f>IF($Q189="","",INDEX(TRANSACTIONS_MASTER!$E$5:$E$1204,$Q189))</f>
        <v/>
      </c>
      <c r="E189" s="55" t="str">
        <f>IF($Q189="","",INDEX(TRANSACTIONS_MASTER!$G$5:$G$1204,$Q189)&amp;"")</f>
        <v/>
      </c>
      <c r="F189" s="29" t="str">
        <f>IF($Q189="","",INDEX(TRANSACTIONS_MASTER!$I$5:$I$1204,$Q189))</f>
        <v/>
      </c>
      <c r="G189" s="55" t="str">
        <f>IF($Q189="","",INDEX(TRANSACTIONS_MASTER!$K$5:$K$1204,$Q189))</f>
        <v/>
      </c>
      <c r="H189" s="25" t="str">
        <f>IF($Q189="","",INDEX(TRANSACTIONS_MASTER!$L$5:$L$1204,$Q189))</f>
        <v/>
      </c>
      <c r="I189" s="56" t="str">
        <f>IF($Q189="","",INDEX(TRANSACTIONS_MASTER!$N$5:$N$1204,$Q189))</f>
        <v/>
      </c>
      <c r="J189" s="25" t="str">
        <f>IF($Q189="","",INDEX(TRANSACTIONS_MASTER!$O$5:$O$1204,$Q189))</f>
        <v/>
      </c>
      <c r="K189" s="26" t="str">
        <f>IF($Q189="","",INDEX(TRANSACTIONS_MASTER!$Q$5:$Q$1204,$Q189))</f>
        <v/>
      </c>
      <c r="L189" s="25" t="str">
        <f>IF($Q189="","",INDEX(TRANSACTIONS_MASTER!$P$5:$P$1204,$Q189))</f>
        <v/>
      </c>
      <c r="M189" s="25" t="str">
        <f>IF($Q189="","",INDEX(TRANSACTIONS_MASTER!$AA$5:$AA$1204,$Q189))</f>
        <v/>
      </c>
      <c r="N189" s="25" t="str">
        <f>IF($Q189="","",INDEX(TRANSACTIONS_MASTER!$R$5:$R$1204,$Q189))</f>
        <v/>
      </c>
      <c r="O189" s="28" t="str">
        <f>IF($Q189="","",INDEX(TRANSACTIONS_MASTER!$AB$5:$AB$1204,$Q189))</f>
        <v/>
      </c>
      <c r="P189" s="55" t="str">
        <f>IF($Q189="","",INDEX(TRANSACTIONS_MASTER!$Z$5:$Z$1204,$Q189)&amp;"")</f>
        <v/>
      </c>
      <c r="Q189" s="67" t="str">
        <f>IFERROR(MATCH($C$2&amp;"|"&amp;182,TRANSACTIONS_MASTER!$AE$5:$AE$1204,0),"")</f>
        <v/>
      </c>
    </row>
    <row r="190">
      <c r="A190" s="81" t="str">
        <f>IF($Q190="","",183)</f>
        <v/>
      </c>
      <c r="B190" s="57" t="str">
        <f>IF($Q190="","",INDEX(TRANSACTIONS_MASTER!$B$5:$B$1204,$Q190))</f>
        <v/>
      </c>
      <c r="C190" s="55" t="str">
        <f>IF($Q190="","",INDEX(TRANSACTIONS_MASTER!$F$5:$F$1204,$Q190))</f>
        <v/>
      </c>
      <c r="D190" s="55" t="str">
        <f>IF($Q190="","",INDEX(TRANSACTIONS_MASTER!$E$5:$E$1204,$Q190))</f>
        <v/>
      </c>
      <c r="E190" s="55" t="str">
        <f>IF($Q190="","",INDEX(TRANSACTIONS_MASTER!$G$5:$G$1204,$Q190)&amp;"")</f>
        <v/>
      </c>
      <c r="F190" s="29" t="str">
        <f>IF($Q190="","",INDEX(TRANSACTIONS_MASTER!$I$5:$I$1204,$Q190))</f>
        <v/>
      </c>
      <c r="G190" s="55" t="str">
        <f>IF($Q190="","",INDEX(TRANSACTIONS_MASTER!$K$5:$K$1204,$Q190))</f>
        <v/>
      </c>
      <c r="H190" s="25" t="str">
        <f>IF($Q190="","",INDEX(TRANSACTIONS_MASTER!$L$5:$L$1204,$Q190))</f>
        <v/>
      </c>
      <c r="I190" s="56" t="str">
        <f>IF($Q190="","",INDEX(TRANSACTIONS_MASTER!$N$5:$N$1204,$Q190))</f>
        <v/>
      </c>
      <c r="J190" s="25" t="str">
        <f>IF($Q190="","",INDEX(TRANSACTIONS_MASTER!$O$5:$O$1204,$Q190))</f>
        <v/>
      </c>
      <c r="K190" s="26" t="str">
        <f>IF($Q190="","",INDEX(TRANSACTIONS_MASTER!$Q$5:$Q$1204,$Q190))</f>
        <v/>
      </c>
      <c r="L190" s="25" t="str">
        <f>IF($Q190="","",INDEX(TRANSACTIONS_MASTER!$P$5:$P$1204,$Q190))</f>
        <v/>
      </c>
      <c r="M190" s="25" t="str">
        <f>IF($Q190="","",INDEX(TRANSACTIONS_MASTER!$AA$5:$AA$1204,$Q190))</f>
        <v/>
      </c>
      <c r="N190" s="25" t="str">
        <f>IF($Q190="","",INDEX(TRANSACTIONS_MASTER!$R$5:$R$1204,$Q190))</f>
        <v/>
      </c>
      <c r="O190" s="28" t="str">
        <f>IF($Q190="","",INDEX(TRANSACTIONS_MASTER!$AB$5:$AB$1204,$Q190))</f>
        <v/>
      </c>
      <c r="P190" s="55" t="str">
        <f>IF($Q190="","",INDEX(TRANSACTIONS_MASTER!$Z$5:$Z$1204,$Q190)&amp;"")</f>
        <v/>
      </c>
      <c r="Q190" s="67" t="str">
        <f>IFERROR(MATCH($C$2&amp;"|"&amp;183,TRANSACTIONS_MASTER!$AE$5:$AE$1204,0),"")</f>
        <v/>
      </c>
    </row>
    <row r="191">
      <c r="A191" s="81" t="str">
        <f>IF($Q191="","",184)</f>
        <v/>
      </c>
      <c r="B191" s="57" t="str">
        <f>IF($Q191="","",INDEX(TRANSACTIONS_MASTER!$B$5:$B$1204,$Q191))</f>
        <v/>
      </c>
      <c r="C191" s="55" t="str">
        <f>IF($Q191="","",INDEX(TRANSACTIONS_MASTER!$F$5:$F$1204,$Q191))</f>
        <v/>
      </c>
      <c r="D191" s="55" t="str">
        <f>IF($Q191="","",INDEX(TRANSACTIONS_MASTER!$E$5:$E$1204,$Q191))</f>
        <v/>
      </c>
      <c r="E191" s="55" t="str">
        <f>IF($Q191="","",INDEX(TRANSACTIONS_MASTER!$G$5:$G$1204,$Q191)&amp;"")</f>
        <v/>
      </c>
      <c r="F191" s="29" t="str">
        <f>IF($Q191="","",INDEX(TRANSACTIONS_MASTER!$I$5:$I$1204,$Q191))</f>
        <v/>
      </c>
      <c r="G191" s="55" t="str">
        <f>IF($Q191="","",INDEX(TRANSACTIONS_MASTER!$K$5:$K$1204,$Q191))</f>
        <v/>
      </c>
      <c r="H191" s="25" t="str">
        <f>IF($Q191="","",INDEX(TRANSACTIONS_MASTER!$L$5:$L$1204,$Q191))</f>
        <v/>
      </c>
      <c r="I191" s="56" t="str">
        <f>IF($Q191="","",INDEX(TRANSACTIONS_MASTER!$N$5:$N$1204,$Q191))</f>
        <v/>
      </c>
      <c r="J191" s="25" t="str">
        <f>IF($Q191="","",INDEX(TRANSACTIONS_MASTER!$O$5:$O$1204,$Q191))</f>
        <v/>
      </c>
      <c r="K191" s="26" t="str">
        <f>IF($Q191="","",INDEX(TRANSACTIONS_MASTER!$Q$5:$Q$1204,$Q191))</f>
        <v/>
      </c>
      <c r="L191" s="25" t="str">
        <f>IF($Q191="","",INDEX(TRANSACTIONS_MASTER!$P$5:$P$1204,$Q191))</f>
        <v/>
      </c>
      <c r="M191" s="25" t="str">
        <f>IF($Q191="","",INDEX(TRANSACTIONS_MASTER!$AA$5:$AA$1204,$Q191))</f>
        <v/>
      </c>
      <c r="N191" s="25" t="str">
        <f>IF($Q191="","",INDEX(TRANSACTIONS_MASTER!$R$5:$R$1204,$Q191))</f>
        <v/>
      </c>
      <c r="O191" s="28" t="str">
        <f>IF($Q191="","",INDEX(TRANSACTIONS_MASTER!$AB$5:$AB$1204,$Q191))</f>
        <v/>
      </c>
      <c r="P191" s="55" t="str">
        <f>IF($Q191="","",INDEX(TRANSACTIONS_MASTER!$Z$5:$Z$1204,$Q191)&amp;"")</f>
        <v/>
      </c>
      <c r="Q191" s="67" t="str">
        <f>IFERROR(MATCH($C$2&amp;"|"&amp;184,TRANSACTIONS_MASTER!$AE$5:$AE$1204,0),"")</f>
        <v/>
      </c>
    </row>
    <row r="192">
      <c r="A192" s="81" t="str">
        <f>IF($Q192="","",185)</f>
        <v/>
      </c>
      <c r="B192" s="57" t="str">
        <f>IF($Q192="","",INDEX(TRANSACTIONS_MASTER!$B$5:$B$1204,$Q192))</f>
        <v/>
      </c>
      <c r="C192" s="55" t="str">
        <f>IF($Q192="","",INDEX(TRANSACTIONS_MASTER!$F$5:$F$1204,$Q192))</f>
        <v/>
      </c>
      <c r="D192" s="55" t="str">
        <f>IF($Q192="","",INDEX(TRANSACTIONS_MASTER!$E$5:$E$1204,$Q192))</f>
        <v/>
      </c>
      <c r="E192" s="55" t="str">
        <f>IF($Q192="","",INDEX(TRANSACTIONS_MASTER!$G$5:$G$1204,$Q192)&amp;"")</f>
        <v/>
      </c>
      <c r="F192" s="29" t="str">
        <f>IF($Q192="","",INDEX(TRANSACTIONS_MASTER!$I$5:$I$1204,$Q192))</f>
        <v/>
      </c>
      <c r="G192" s="55" t="str">
        <f>IF($Q192="","",INDEX(TRANSACTIONS_MASTER!$K$5:$K$1204,$Q192))</f>
        <v/>
      </c>
      <c r="H192" s="25" t="str">
        <f>IF($Q192="","",INDEX(TRANSACTIONS_MASTER!$L$5:$L$1204,$Q192))</f>
        <v/>
      </c>
      <c r="I192" s="56" t="str">
        <f>IF($Q192="","",INDEX(TRANSACTIONS_MASTER!$N$5:$N$1204,$Q192))</f>
        <v/>
      </c>
      <c r="J192" s="25" t="str">
        <f>IF($Q192="","",INDEX(TRANSACTIONS_MASTER!$O$5:$O$1204,$Q192))</f>
        <v/>
      </c>
      <c r="K192" s="26" t="str">
        <f>IF($Q192="","",INDEX(TRANSACTIONS_MASTER!$Q$5:$Q$1204,$Q192))</f>
        <v/>
      </c>
      <c r="L192" s="25" t="str">
        <f>IF($Q192="","",INDEX(TRANSACTIONS_MASTER!$P$5:$P$1204,$Q192))</f>
        <v/>
      </c>
      <c r="M192" s="25" t="str">
        <f>IF($Q192="","",INDEX(TRANSACTIONS_MASTER!$AA$5:$AA$1204,$Q192))</f>
        <v/>
      </c>
      <c r="N192" s="25" t="str">
        <f>IF($Q192="","",INDEX(TRANSACTIONS_MASTER!$R$5:$R$1204,$Q192))</f>
        <v/>
      </c>
      <c r="O192" s="28" t="str">
        <f>IF($Q192="","",INDEX(TRANSACTIONS_MASTER!$AB$5:$AB$1204,$Q192))</f>
        <v/>
      </c>
      <c r="P192" s="55" t="str">
        <f>IF($Q192="","",INDEX(TRANSACTIONS_MASTER!$Z$5:$Z$1204,$Q192)&amp;"")</f>
        <v/>
      </c>
      <c r="Q192" s="67" t="str">
        <f>IFERROR(MATCH($C$2&amp;"|"&amp;185,TRANSACTIONS_MASTER!$AE$5:$AE$1204,0),"")</f>
        <v/>
      </c>
    </row>
    <row r="193">
      <c r="A193" s="81" t="str">
        <f>IF($Q193="","",186)</f>
        <v/>
      </c>
      <c r="B193" s="57" t="str">
        <f>IF($Q193="","",INDEX(TRANSACTIONS_MASTER!$B$5:$B$1204,$Q193))</f>
        <v/>
      </c>
      <c r="C193" s="55" t="str">
        <f>IF($Q193="","",INDEX(TRANSACTIONS_MASTER!$F$5:$F$1204,$Q193))</f>
        <v/>
      </c>
      <c r="D193" s="55" t="str">
        <f>IF($Q193="","",INDEX(TRANSACTIONS_MASTER!$E$5:$E$1204,$Q193))</f>
        <v/>
      </c>
      <c r="E193" s="55" t="str">
        <f>IF($Q193="","",INDEX(TRANSACTIONS_MASTER!$G$5:$G$1204,$Q193)&amp;"")</f>
        <v/>
      </c>
      <c r="F193" s="29" t="str">
        <f>IF($Q193="","",INDEX(TRANSACTIONS_MASTER!$I$5:$I$1204,$Q193))</f>
        <v/>
      </c>
      <c r="G193" s="55" t="str">
        <f>IF($Q193="","",INDEX(TRANSACTIONS_MASTER!$K$5:$K$1204,$Q193))</f>
        <v/>
      </c>
      <c r="H193" s="25" t="str">
        <f>IF($Q193="","",INDEX(TRANSACTIONS_MASTER!$L$5:$L$1204,$Q193))</f>
        <v/>
      </c>
      <c r="I193" s="56" t="str">
        <f>IF($Q193="","",INDEX(TRANSACTIONS_MASTER!$N$5:$N$1204,$Q193))</f>
        <v/>
      </c>
      <c r="J193" s="25" t="str">
        <f>IF($Q193="","",INDEX(TRANSACTIONS_MASTER!$O$5:$O$1204,$Q193))</f>
        <v/>
      </c>
      <c r="K193" s="26" t="str">
        <f>IF($Q193="","",INDEX(TRANSACTIONS_MASTER!$Q$5:$Q$1204,$Q193))</f>
        <v/>
      </c>
      <c r="L193" s="25" t="str">
        <f>IF($Q193="","",INDEX(TRANSACTIONS_MASTER!$P$5:$P$1204,$Q193))</f>
        <v/>
      </c>
      <c r="M193" s="25" t="str">
        <f>IF($Q193="","",INDEX(TRANSACTIONS_MASTER!$AA$5:$AA$1204,$Q193))</f>
        <v/>
      </c>
      <c r="N193" s="25" t="str">
        <f>IF($Q193="","",INDEX(TRANSACTIONS_MASTER!$R$5:$R$1204,$Q193))</f>
        <v/>
      </c>
      <c r="O193" s="28" t="str">
        <f>IF($Q193="","",INDEX(TRANSACTIONS_MASTER!$AB$5:$AB$1204,$Q193))</f>
        <v/>
      </c>
      <c r="P193" s="55" t="str">
        <f>IF($Q193="","",INDEX(TRANSACTIONS_MASTER!$Z$5:$Z$1204,$Q193)&amp;"")</f>
        <v/>
      </c>
      <c r="Q193" s="67" t="str">
        <f>IFERROR(MATCH($C$2&amp;"|"&amp;186,TRANSACTIONS_MASTER!$AE$5:$AE$1204,0),"")</f>
        <v/>
      </c>
    </row>
    <row r="194">
      <c r="A194" s="81" t="str">
        <f>IF($Q194="","",187)</f>
        <v/>
      </c>
      <c r="B194" s="57" t="str">
        <f>IF($Q194="","",INDEX(TRANSACTIONS_MASTER!$B$5:$B$1204,$Q194))</f>
        <v/>
      </c>
      <c r="C194" s="55" t="str">
        <f>IF($Q194="","",INDEX(TRANSACTIONS_MASTER!$F$5:$F$1204,$Q194))</f>
        <v/>
      </c>
      <c r="D194" s="55" t="str">
        <f>IF($Q194="","",INDEX(TRANSACTIONS_MASTER!$E$5:$E$1204,$Q194))</f>
        <v/>
      </c>
      <c r="E194" s="55" t="str">
        <f>IF($Q194="","",INDEX(TRANSACTIONS_MASTER!$G$5:$G$1204,$Q194)&amp;"")</f>
        <v/>
      </c>
      <c r="F194" s="29" t="str">
        <f>IF($Q194="","",INDEX(TRANSACTIONS_MASTER!$I$5:$I$1204,$Q194))</f>
        <v/>
      </c>
      <c r="G194" s="55" t="str">
        <f>IF($Q194="","",INDEX(TRANSACTIONS_MASTER!$K$5:$K$1204,$Q194))</f>
        <v/>
      </c>
      <c r="H194" s="25" t="str">
        <f>IF($Q194="","",INDEX(TRANSACTIONS_MASTER!$L$5:$L$1204,$Q194))</f>
        <v/>
      </c>
      <c r="I194" s="56" t="str">
        <f>IF($Q194="","",INDEX(TRANSACTIONS_MASTER!$N$5:$N$1204,$Q194))</f>
        <v/>
      </c>
      <c r="J194" s="25" t="str">
        <f>IF($Q194="","",INDEX(TRANSACTIONS_MASTER!$O$5:$O$1204,$Q194))</f>
        <v/>
      </c>
      <c r="K194" s="26" t="str">
        <f>IF($Q194="","",INDEX(TRANSACTIONS_MASTER!$Q$5:$Q$1204,$Q194))</f>
        <v/>
      </c>
      <c r="L194" s="25" t="str">
        <f>IF($Q194="","",INDEX(TRANSACTIONS_MASTER!$P$5:$P$1204,$Q194))</f>
        <v/>
      </c>
      <c r="M194" s="25" t="str">
        <f>IF($Q194="","",INDEX(TRANSACTIONS_MASTER!$AA$5:$AA$1204,$Q194))</f>
        <v/>
      </c>
      <c r="N194" s="25" t="str">
        <f>IF($Q194="","",INDEX(TRANSACTIONS_MASTER!$R$5:$R$1204,$Q194))</f>
        <v/>
      </c>
      <c r="O194" s="28" t="str">
        <f>IF($Q194="","",INDEX(TRANSACTIONS_MASTER!$AB$5:$AB$1204,$Q194))</f>
        <v/>
      </c>
      <c r="P194" s="55" t="str">
        <f>IF($Q194="","",INDEX(TRANSACTIONS_MASTER!$Z$5:$Z$1204,$Q194)&amp;"")</f>
        <v/>
      </c>
      <c r="Q194" s="67" t="str">
        <f>IFERROR(MATCH($C$2&amp;"|"&amp;187,TRANSACTIONS_MASTER!$AE$5:$AE$1204,0),"")</f>
        <v/>
      </c>
    </row>
    <row r="195">
      <c r="A195" s="81" t="str">
        <f>IF($Q195="","",188)</f>
        <v/>
      </c>
      <c r="B195" s="57" t="str">
        <f>IF($Q195="","",INDEX(TRANSACTIONS_MASTER!$B$5:$B$1204,$Q195))</f>
        <v/>
      </c>
      <c r="C195" s="55" t="str">
        <f>IF($Q195="","",INDEX(TRANSACTIONS_MASTER!$F$5:$F$1204,$Q195))</f>
        <v/>
      </c>
      <c r="D195" s="55" t="str">
        <f>IF($Q195="","",INDEX(TRANSACTIONS_MASTER!$E$5:$E$1204,$Q195))</f>
        <v/>
      </c>
      <c r="E195" s="55" t="str">
        <f>IF($Q195="","",INDEX(TRANSACTIONS_MASTER!$G$5:$G$1204,$Q195)&amp;"")</f>
        <v/>
      </c>
      <c r="F195" s="29" t="str">
        <f>IF($Q195="","",INDEX(TRANSACTIONS_MASTER!$I$5:$I$1204,$Q195))</f>
        <v/>
      </c>
      <c r="G195" s="55" t="str">
        <f>IF($Q195="","",INDEX(TRANSACTIONS_MASTER!$K$5:$K$1204,$Q195))</f>
        <v/>
      </c>
      <c r="H195" s="25" t="str">
        <f>IF($Q195="","",INDEX(TRANSACTIONS_MASTER!$L$5:$L$1204,$Q195))</f>
        <v/>
      </c>
      <c r="I195" s="56" t="str">
        <f>IF($Q195="","",INDEX(TRANSACTIONS_MASTER!$N$5:$N$1204,$Q195))</f>
        <v/>
      </c>
      <c r="J195" s="25" t="str">
        <f>IF($Q195="","",INDEX(TRANSACTIONS_MASTER!$O$5:$O$1204,$Q195))</f>
        <v/>
      </c>
      <c r="K195" s="26" t="str">
        <f>IF($Q195="","",INDEX(TRANSACTIONS_MASTER!$Q$5:$Q$1204,$Q195))</f>
        <v/>
      </c>
      <c r="L195" s="25" t="str">
        <f>IF($Q195="","",INDEX(TRANSACTIONS_MASTER!$P$5:$P$1204,$Q195))</f>
        <v/>
      </c>
      <c r="M195" s="25" t="str">
        <f>IF($Q195="","",INDEX(TRANSACTIONS_MASTER!$AA$5:$AA$1204,$Q195))</f>
        <v/>
      </c>
      <c r="N195" s="25" t="str">
        <f>IF($Q195="","",INDEX(TRANSACTIONS_MASTER!$R$5:$R$1204,$Q195))</f>
        <v/>
      </c>
      <c r="O195" s="28" t="str">
        <f>IF($Q195="","",INDEX(TRANSACTIONS_MASTER!$AB$5:$AB$1204,$Q195))</f>
        <v/>
      </c>
      <c r="P195" s="55" t="str">
        <f>IF($Q195="","",INDEX(TRANSACTIONS_MASTER!$Z$5:$Z$1204,$Q195)&amp;"")</f>
        <v/>
      </c>
      <c r="Q195" s="67" t="str">
        <f>IFERROR(MATCH($C$2&amp;"|"&amp;188,TRANSACTIONS_MASTER!$AE$5:$AE$1204,0),"")</f>
        <v/>
      </c>
    </row>
    <row r="196">
      <c r="A196" s="81" t="str">
        <f>IF($Q196="","",189)</f>
        <v/>
      </c>
      <c r="B196" s="57" t="str">
        <f>IF($Q196="","",INDEX(TRANSACTIONS_MASTER!$B$5:$B$1204,$Q196))</f>
        <v/>
      </c>
      <c r="C196" s="55" t="str">
        <f>IF($Q196="","",INDEX(TRANSACTIONS_MASTER!$F$5:$F$1204,$Q196))</f>
        <v/>
      </c>
      <c r="D196" s="55" t="str">
        <f>IF($Q196="","",INDEX(TRANSACTIONS_MASTER!$E$5:$E$1204,$Q196))</f>
        <v/>
      </c>
      <c r="E196" s="55" t="str">
        <f>IF($Q196="","",INDEX(TRANSACTIONS_MASTER!$G$5:$G$1204,$Q196)&amp;"")</f>
        <v/>
      </c>
      <c r="F196" s="29" t="str">
        <f>IF($Q196="","",INDEX(TRANSACTIONS_MASTER!$I$5:$I$1204,$Q196))</f>
        <v/>
      </c>
      <c r="G196" s="55" t="str">
        <f>IF($Q196="","",INDEX(TRANSACTIONS_MASTER!$K$5:$K$1204,$Q196))</f>
        <v/>
      </c>
      <c r="H196" s="25" t="str">
        <f>IF($Q196="","",INDEX(TRANSACTIONS_MASTER!$L$5:$L$1204,$Q196))</f>
        <v/>
      </c>
      <c r="I196" s="56" t="str">
        <f>IF($Q196="","",INDEX(TRANSACTIONS_MASTER!$N$5:$N$1204,$Q196))</f>
        <v/>
      </c>
      <c r="J196" s="25" t="str">
        <f>IF($Q196="","",INDEX(TRANSACTIONS_MASTER!$O$5:$O$1204,$Q196))</f>
        <v/>
      </c>
      <c r="K196" s="26" t="str">
        <f>IF($Q196="","",INDEX(TRANSACTIONS_MASTER!$Q$5:$Q$1204,$Q196))</f>
        <v/>
      </c>
      <c r="L196" s="25" t="str">
        <f>IF($Q196="","",INDEX(TRANSACTIONS_MASTER!$P$5:$P$1204,$Q196))</f>
        <v/>
      </c>
      <c r="M196" s="25" t="str">
        <f>IF($Q196="","",INDEX(TRANSACTIONS_MASTER!$AA$5:$AA$1204,$Q196))</f>
        <v/>
      </c>
      <c r="N196" s="25" t="str">
        <f>IF($Q196="","",INDEX(TRANSACTIONS_MASTER!$R$5:$R$1204,$Q196))</f>
        <v/>
      </c>
      <c r="O196" s="28" t="str">
        <f>IF($Q196="","",INDEX(TRANSACTIONS_MASTER!$AB$5:$AB$1204,$Q196))</f>
        <v/>
      </c>
      <c r="P196" s="55" t="str">
        <f>IF($Q196="","",INDEX(TRANSACTIONS_MASTER!$Z$5:$Z$1204,$Q196)&amp;"")</f>
        <v/>
      </c>
      <c r="Q196" s="67" t="str">
        <f>IFERROR(MATCH($C$2&amp;"|"&amp;189,TRANSACTIONS_MASTER!$AE$5:$AE$1204,0),"")</f>
        <v/>
      </c>
    </row>
    <row r="197">
      <c r="A197" s="81" t="str">
        <f>IF($Q197="","",190)</f>
        <v/>
      </c>
      <c r="B197" s="57" t="str">
        <f>IF($Q197="","",INDEX(TRANSACTIONS_MASTER!$B$5:$B$1204,$Q197))</f>
        <v/>
      </c>
      <c r="C197" s="55" t="str">
        <f>IF($Q197="","",INDEX(TRANSACTIONS_MASTER!$F$5:$F$1204,$Q197))</f>
        <v/>
      </c>
      <c r="D197" s="55" t="str">
        <f>IF($Q197="","",INDEX(TRANSACTIONS_MASTER!$E$5:$E$1204,$Q197))</f>
        <v/>
      </c>
      <c r="E197" s="55" t="str">
        <f>IF($Q197="","",INDEX(TRANSACTIONS_MASTER!$G$5:$G$1204,$Q197)&amp;"")</f>
        <v/>
      </c>
      <c r="F197" s="29" t="str">
        <f>IF($Q197="","",INDEX(TRANSACTIONS_MASTER!$I$5:$I$1204,$Q197))</f>
        <v/>
      </c>
      <c r="G197" s="55" t="str">
        <f>IF($Q197="","",INDEX(TRANSACTIONS_MASTER!$K$5:$K$1204,$Q197))</f>
        <v/>
      </c>
      <c r="H197" s="25" t="str">
        <f>IF($Q197="","",INDEX(TRANSACTIONS_MASTER!$L$5:$L$1204,$Q197))</f>
        <v/>
      </c>
      <c r="I197" s="56" t="str">
        <f>IF($Q197="","",INDEX(TRANSACTIONS_MASTER!$N$5:$N$1204,$Q197))</f>
        <v/>
      </c>
      <c r="J197" s="25" t="str">
        <f>IF($Q197="","",INDEX(TRANSACTIONS_MASTER!$O$5:$O$1204,$Q197))</f>
        <v/>
      </c>
      <c r="K197" s="26" t="str">
        <f>IF($Q197="","",INDEX(TRANSACTIONS_MASTER!$Q$5:$Q$1204,$Q197))</f>
        <v/>
      </c>
      <c r="L197" s="25" t="str">
        <f>IF($Q197="","",INDEX(TRANSACTIONS_MASTER!$P$5:$P$1204,$Q197))</f>
        <v/>
      </c>
      <c r="M197" s="25" t="str">
        <f>IF($Q197="","",INDEX(TRANSACTIONS_MASTER!$AA$5:$AA$1204,$Q197))</f>
        <v/>
      </c>
      <c r="N197" s="25" t="str">
        <f>IF($Q197="","",INDEX(TRANSACTIONS_MASTER!$R$5:$R$1204,$Q197))</f>
        <v/>
      </c>
      <c r="O197" s="28" t="str">
        <f>IF($Q197="","",INDEX(TRANSACTIONS_MASTER!$AB$5:$AB$1204,$Q197))</f>
        <v/>
      </c>
      <c r="P197" s="55" t="str">
        <f>IF($Q197="","",INDEX(TRANSACTIONS_MASTER!$Z$5:$Z$1204,$Q197)&amp;"")</f>
        <v/>
      </c>
      <c r="Q197" s="67" t="str">
        <f>IFERROR(MATCH($C$2&amp;"|"&amp;190,TRANSACTIONS_MASTER!$AE$5:$AE$1204,0),"")</f>
        <v/>
      </c>
    </row>
    <row r="198">
      <c r="A198" s="81" t="str">
        <f>IF($Q198="","",191)</f>
        <v/>
      </c>
      <c r="B198" s="57" t="str">
        <f>IF($Q198="","",INDEX(TRANSACTIONS_MASTER!$B$5:$B$1204,$Q198))</f>
        <v/>
      </c>
      <c r="C198" s="55" t="str">
        <f>IF($Q198="","",INDEX(TRANSACTIONS_MASTER!$F$5:$F$1204,$Q198))</f>
        <v/>
      </c>
      <c r="D198" s="55" t="str">
        <f>IF($Q198="","",INDEX(TRANSACTIONS_MASTER!$E$5:$E$1204,$Q198))</f>
        <v/>
      </c>
      <c r="E198" s="55" t="str">
        <f>IF($Q198="","",INDEX(TRANSACTIONS_MASTER!$G$5:$G$1204,$Q198)&amp;"")</f>
        <v/>
      </c>
      <c r="F198" s="29" t="str">
        <f>IF($Q198="","",INDEX(TRANSACTIONS_MASTER!$I$5:$I$1204,$Q198))</f>
        <v/>
      </c>
      <c r="G198" s="55" t="str">
        <f>IF($Q198="","",INDEX(TRANSACTIONS_MASTER!$K$5:$K$1204,$Q198))</f>
        <v/>
      </c>
      <c r="H198" s="25" t="str">
        <f>IF($Q198="","",INDEX(TRANSACTIONS_MASTER!$L$5:$L$1204,$Q198))</f>
        <v/>
      </c>
      <c r="I198" s="56" t="str">
        <f>IF($Q198="","",INDEX(TRANSACTIONS_MASTER!$N$5:$N$1204,$Q198))</f>
        <v/>
      </c>
      <c r="J198" s="25" t="str">
        <f>IF($Q198="","",INDEX(TRANSACTIONS_MASTER!$O$5:$O$1204,$Q198))</f>
        <v/>
      </c>
      <c r="K198" s="26" t="str">
        <f>IF($Q198="","",INDEX(TRANSACTIONS_MASTER!$Q$5:$Q$1204,$Q198))</f>
        <v/>
      </c>
      <c r="L198" s="25" t="str">
        <f>IF($Q198="","",INDEX(TRANSACTIONS_MASTER!$P$5:$P$1204,$Q198))</f>
        <v/>
      </c>
      <c r="M198" s="25" t="str">
        <f>IF($Q198="","",INDEX(TRANSACTIONS_MASTER!$AA$5:$AA$1204,$Q198))</f>
        <v/>
      </c>
      <c r="N198" s="25" t="str">
        <f>IF($Q198="","",INDEX(TRANSACTIONS_MASTER!$R$5:$R$1204,$Q198))</f>
        <v/>
      </c>
      <c r="O198" s="28" t="str">
        <f>IF($Q198="","",INDEX(TRANSACTIONS_MASTER!$AB$5:$AB$1204,$Q198))</f>
        <v/>
      </c>
      <c r="P198" s="55" t="str">
        <f>IF($Q198="","",INDEX(TRANSACTIONS_MASTER!$Z$5:$Z$1204,$Q198)&amp;"")</f>
        <v/>
      </c>
      <c r="Q198" s="67" t="str">
        <f>IFERROR(MATCH($C$2&amp;"|"&amp;191,TRANSACTIONS_MASTER!$AE$5:$AE$1204,0),"")</f>
        <v/>
      </c>
    </row>
    <row r="199">
      <c r="A199" s="81" t="str">
        <f>IF($Q199="","",192)</f>
        <v/>
      </c>
      <c r="B199" s="57" t="str">
        <f>IF($Q199="","",INDEX(TRANSACTIONS_MASTER!$B$5:$B$1204,$Q199))</f>
        <v/>
      </c>
      <c r="C199" s="55" t="str">
        <f>IF($Q199="","",INDEX(TRANSACTIONS_MASTER!$F$5:$F$1204,$Q199))</f>
        <v/>
      </c>
      <c r="D199" s="55" t="str">
        <f>IF($Q199="","",INDEX(TRANSACTIONS_MASTER!$E$5:$E$1204,$Q199))</f>
        <v/>
      </c>
      <c r="E199" s="55" t="str">
        <f>IF($Q199="","",INDEX(TRANSACTIONS_MASTER!$G$5:$G$1204,$Q199)&amp;"")</f>
        <v/>
      </c>
      <c r="F199" s="29" t="str">
        <f>IF($Q199="","",INDEX(TRANSACTIONS_MASTER!$I$5:$I$1204,$Q199))</f>
        <v/>
      </c>
      <c r="G199" s="55" t="str">
        <f>IF($Q199="","",INDEX(TRANSACTIONS_MASTER!$K$5:$K$1204,$Q199))</f>
        <v/>
      </c>
      <c r="H199" s="25" t="str">
        <f>IF($Q199="","",INDEX(TRANSACTIONS_MASTER!$L$5:$L$1204,$Q199))</f>
        <v/>
      </c>
      <c r="I199" s="56" t="str">
        <f>IF($Q199="","",INDEX(TRANSACTIONS_MASTER!$N$5:$N$1204,$Q199))</f>
        <v/>
      </c>
      <c r="J199" s="25" t="str">
        <f>IF($Q199="","",INDEX(TRANSACTIONS_MASTER!$O$5:$O$1204,$Q199))</f>
        <v/>
      </c>
      <c r="K199" s="26" t="str">
        <f>IF($Q199="","",INDEX(TRANSACTIONS_MASTER!$Q$5:$Q$1204,$Q199))</f>
        <v/>
      </c>
      <c r="L199" s="25" t="str">
        <f>IF($Q199="","",INDEX(TRANSACTIONS_MASTER!$P$5:$P$1204,$Q199))</f>
        <v/>
      </c>
      <c r="M199" s="25" t="str">
        <f>IF($Q199="","",INDEX(TRANSACTIONS_MASTER!$AA$5:$AA$1204,$Q199))</f>
        <v/>
      </c>
      <c r="N199" s="25" t="str">
        <f>IF($Q199="","",INDEX(TRANSACTIONS_MASTER!$R$5:$R$1204,$Q199))</f>
        <v/>
      </c>
      <c r="O199" s="28" t="str">
        <f>IF($Q199="","",INDEX(TRANSACTIONS_MASTER!$AB$5:$AB$1204,$Q199))</f>
        <v/>
      </c>
      <c r="P199" s="55" t="str">
        <f>IF($Q199="","",INDEX(TRANSACTIONS_MASTER!$Z$5:$Z$1204,$Q199)&amp;"")</f>
        <v/>
      </c>
      <c r="Q199" s="67" t="str">
        <f>IFERROR(MATCH($C$2&amp;"|"&amp;192,TRANSACTIONS_MASTER!$AE$5:$AE$1204,0),"")</f>
        <v/>
      </c>
    </row>
    <row r="200">
      <c r="A200" s="81" t="str">
        <f>IF($Q200="","",193)</f>
        <v/>
      </c>
      <c r="B200" s="57" t="str">
        <f>IF($Q200="","",INDEX(TRANSACTIONS_MASTER!$B$5:$B$1204,$Q200))</f>
        <v/>
      </c>
      <c r="C200" s="55" t="str">
        <f>IF($Q200="","",INDEX(TRANSACTIONS_MASTER!$F$5:$F$1204,$Q200))</f>
        <v/>
      </c>
      <c r="D200" s="55" t="str">
        <f>IF($Q200="","",INDEX(TRANSACTIONS_MASTER!$E$5:$E$1204,$Q200))</f>
        <v/>
      </c>
      <c r="E200" s="55" t="str">
        <f>IF($Q200="","",INDEX(TRANSACTIONS_MASTER!$G$5:$G$1204,$Q200)&amp;"")</f>
        <v/>
      </c>
      <c r="F200" s="29" t="str">
        <f>IF($Q200="","",INDEX(TRANSACTIONS_MASTER!$I$5:$I$1204,$Q200))</f>
        <v/>
      </c>
      <c r="G200" s="55" t="str">
        <f>IF($Q200="","",INDEX(TRANSACTIONS_MASTER!$K$5:$K$1204,$Q200))</f>
        <v/>
      </c>
      <c r="H200" s="25" t="str">
        <f>IF($Q200="","",INDEX(TRANSACTIONS_MASTER!$L$5:$L$1204,$Q200))</f>
        <v/>
      </c>
      <c r="I200" s="56" t="str">
        <f>IF($Q200="","",INDEX(TRANSACTIONS_MASTER!$N$5:$N$1204,$Q200))</f>
        <v/>
      </c>
      <c r="J200" s="25" t="str">
        <f>IF($Q200="","",INDEX(TRANSACTIONS_MASTER!$O$5:$O$1204,$Q200))</f>
        <v/>
      </c>
      <c r="K200" s="26" t="str">
        <f>IF($Q200="","",INDEX(TRANSACTIONS_MASTER!$Q$5:$Q$1204,$Q200))</f>
        <v/>
      </c>
      <c r="L200" s="25" t="str">
        <f>IF($Q200="","",INDEX(TRANSACTIONS_MASTER!$P$5:$P$1204,$Q200))</f>
        <v/>
      </c>
      <c r="M200" s="25" t="str">
        <f>IF($Q200="","",INDEX(TRANSACTIONS_MASTER!$AA$5:$AA$1204,$Q200))</f>
        <v/>
      </c>
      <c r="N200" s="25" t="str">
        <f>IF($Q200="","",INDEX(TRANSACTIONS_MASTER!$R$5:$R$1204,$Q200))</f>
        <v/>
      </c>
      <c r="O200" s="28" t="str">
        <f>IF($Q200="","",INDEX(TRANSACTIONS_MASTER!$AB$5:$AB$1204,$Q200))</f>
        <v/>
      </c>
      <c r="P200" s="55" t="str">
        <f>IF($Q200="","",INDEX(TRANSACTIONS_MASTER!$Z$5:$Z$1204,$Q200)&amp;"")</f>
        <v/>
      </c>
      <c r="Q200" s="67" t="str">
        <f>IFERROR(MATCH($C$2&amp;"|"&amp;193,TRANSACTIONS_MASTER!$AE$5:$AE$1204,0),"")</f>
        <v/>
      </c>
    </row>
    <row r="201">
      <c r="A201" s="81" t="str">
        <f>IF($Q201="","",194)</f>
        <v/>
      </c>
      <c r="B201" s="57" t="str">
        <f>IF($Q201="","",INDEX(TRANSACTIONS_MASTER!$B$5:$B$1204,$Q201))</f>
        <v/>
      </c>
      <c r="C201" s="55" t="str">
        <f>IF($Q201="","",INDEX(TRANSACTIONS_MASTER!$F$5:$F$1204,$Q201))</f>
        <v/>
      </c>
      <c r="D201" s="55" t="str">
        <f>IF($Q201="","",INDEX(TRANSACTIONS_MASTER!$E$5:$E$1204,$Q201))</f>
        <v/>
      </c>
      <c r="E201" s="55" t="str">
        <f>IF($Q201="","",INDEX(TRANSACTIONS_MASTER!$G$5:$G$1204,$Q201)&amp;"")</f>
        <v/>
      </c>
      <c r="F201" s="29" t="str">
        <f>IF($Q201="","",INDEX(TRANSACTIONS_MASTER!$I$5:$I$1204,$Q201))</f>
        <v/>
      </c>
      <c r="G201" s="55" t="str">
        <f>IF($Q201="","",INDEX(TRANSACTIONS_MASTER!$K$5:$K$1204,$Q201))</f>
        <v/>
      </c>
      <c r="H201" s="25" t="str">
        <f>IF($Q201="","",INDEX(TRANSACTIONS_MASTER!$L$5:$L$1204,$Q201))</f>
        <v/>
      </c>
      <c r="I201" s="56" t="str">
        <f>IF($Q201="","",INDEX(TRANSACTIONS_MASTER!$N$5:$N$1204,$Q201))</f>
        <v/>
      </c>
      <c r="J201" s="25" t="str">
        <f>IF($Q201="","",INDEX(TRANSACTIONS_MASTER!$O$5:$O$1204,$Q201))</f>
        <v/>
      </c>
      <c r="K201" s="26" t="str">
        <f>IF($Q201="","",INDEX(TRANSACTIONS_MASTER!$Q$5:$Q$1204,$Q201))</f>
        <v/>
      </c>
      <c r="L201" s="25" t="str">
        <f>IF($Q201="","",INDEX(TRANSACTIONS_MASTER!$P$5:$P$1204,$Q201))</f>
        <v/>
      </c>
      <c r="M201" s="25" t="str">
        <f>IF($Q201="","",INDEX(TRANSACTIONS_MASTER!$AA$5:$AA$1204,$Q201))</f>
        <v/>
      </c>
      <c r="N201" s="25" t="str">
        <f>IF($Q201="","",INDEX(TRANSACTIONS_MASTER!$R$5:$R$1204,$Q201))</f>
        <v/>
      </c>
      <c r="O201" s="28" t="str">
        <f>IF($Q201="","",INDEX(TRANSACTIONS_MASTER!$AB$5:$AB$1204,$Q201))</f>
        <v/>
      </c>
      <c r="P201" s="55" t="str">
        <f>IF($Q201="","",INDEX(TRANSACTIONS_MASTER!$Z$5:$Z$1204,$Q201)&amp;"")</f>
        <v/>
      </c>
      <c r="Q201" s="67" t="str">
        <f>IFERROR(MATCH($C$2&amp;"|"&amp;194,TRANSACTIONS_MASTER!$AE$5:$AE$1204,0),"")</f>
        <v/>
      </c>
    </row>
    <row r="202">
      <c r="A202" s="81" t="str">
        <f>IF($Q202="","",195)</f>
        <v/>
      </c>
      <c r="B202" s="57" t="str">
        <f>IF($Q202="","",INDEX(TRANSACTIONS_MASTER!$B$5:$B$1204,$Q202))</f>
        <v/>
      </c>
      <c r="C202" s="55" t="str">
        <f>IF($Q202="","",INDEX(TRANSACTIONS_MASTER!$F$5:$F$1204,$Q202))</f>
        <v/>
      </c>
      <c r="D202" s="55" t="str">
        <f>IF($Q202="","",INDEX(TRANSACTIONS_MASTER!$E$5:$E$1204,$Q202))</f>
        <v/>
      </c>
      <c r="E202" s="55" t="str">
        <f>IF($Q202="","",INDEX(TRANSACTIONS_MASTER!$G$5:$G$1204,$Q202)&amp;"")</f>
        <v/>
      </c>
      <c r="F202" s="29" t="str">
        <f>IF($Q202="","",INDEX(TRANSACTIONS_MASTER!$I$5:$I$1204,$Q202))</f>
        <v/>
      </c>
      <c r="G202" s="55" t="str">
        <f>IF($Q202="","",INDEX(TRANSACTIONS_MASTER!$K$5:$K$1204,$Q202))</f>
        <v/>
      </c>
      <c r="H202" s="25" t="str">
        <f>IF($Q202="","",INDEX(TRANSACTIONS_MASTER!$L$5:$L$1204,$Q202))</f>
        <v/>
      </c>
      <c r="I202" s="56" t="str">
        <f>IF($Q202="","",INDEX(TRANSACTIONS_MASTER!$N$5:$N$1204,$Q202))</f>
        <v/>
      </c>
      <c r="J202" s="25" t="str">
        <f>IF($Q202="","",INDEX(TRANSACTIONS_MASTER!$O$5:$O$1204,$Q202))</f>
        <v/>
      </c>
      <c r="K202" s="26" t="str">
        <f>IF($Q202="","",INDEX(TRANSACTIONS_MASTER!$Q$5:$Q$1204,$Q202))</f>
        <v/>
      </c>
      <c r="L202" s="25" t="str">
        <f>IF($Q202="","",INDEX(TRANSACTIONS_MASTER!$P$5:$P$1204,$Q202))</f>
        <v/>
      </c>
      <c r="M202" s="25" t="str">
        <f>IF($Q202="","",INDEX(TRANSACTIONS_MASTER!$AA$5:$AA$1204,$Q202))</f>
        <v/>
      </c>
      <c r="N202" s="25" t="str">
        <f>IF($Q202="","",INDEX(TRANSACTIONS_MASTER!$R$5:$R$1204,$Q202))</f>
        <v/>
      </c>
      <c r="O202" s="28" t="str">
        <f>IF($Q202="","",INDEX(TRANSACTIONS_MASTER!$AB$5:$AB$1204,$Q202))</f>
        <v/>
      </c>
      <c r="P202" s="55" t="str">
        <f>IF($Q202="","",INDEX(TRANSACTIONS_MASTER!$Z$5:$Z$1204,$Q202)&amp;"")</f>
        <v/>
      </c>
      <c r="Q202" s="67" t="str">
        <f>IFERROR(MATCH($C$2&amp;"|"&amp;195,TRANSACTIONS_MASTER!$AE$5:$AE$1204,0),"")</f>
        <v/>
      </c>
    </row>
    <row r="203">
      <c r="A203" s="81" t="str">
        <f>IF($Q203="","",196)</f>
        <v/>
      </c>
      <c r="B203" s="57" t="str">
        <f>IF($Q203="","",INDEX(TRANSACTIONS_MASTER!$B$5:$B$1204,$Q203))</f>
        <v/>
      </c>
      <c r="C203" s="55" t="str">
        <f>IF($Q203="","",INDEX(TRANSACTIONS_MASTER!$F$5:$F$1204,$Q203))</f>
        <v/>
      </c>
      <c r="D203" s="55" t="str">
        <f>IF($Q203="","",INDEX(TRANSACTIONS_MASTER!$E$5:$E$1204,$Q203))</f>
        <v/>
      </c>
      <c r="E203" s="55" t="str">
        <f>IF($Q203="","",INDEX(TRANSACTIONS_MASTER!$G$5:$G$1204,$Q203)&amp;"")</f>
        <v/>
      </c>
      <c r="F203" s="29" t="str">
        <f>IF($Q203="","",INDEX(TRANSACTIONS_MASTER!$I$5:$I$1204,$Q203))</f>
        <v/>
      </c>
      <c r="G203" s="55" t="str">
        <f>IF($Q203="","",INDEX(TRANSACTIONS_MASTER!$K$5:$K$1204,$Q203))</f>
        <v/>
      </c>
      <c r="H203" s="25" t="str">
        <f>IF($Q203="","",INDEX(TRANSACTIONS_MASTER!$L$5:$L$1204,$Q203))</f>
        <v/>
      </c>
      <c r="I203" s="56" t="str">
        <f>IF($Q203="","",INDEX(TRANSACTIONS_MASTER!$N$5:$N$1204,$Q203))</f>
        <v/>
      </c>
      <c r="J203" s="25" t="str">
        <f>IF($Q203="","",INDEX(TRANSACTIONS_MASTER!$O$5:$O$1204,$Q203))</f>
        <v/>
      </c>
      <c r="K203" s="26" t="str">
        <f>IF($Q203="","",INDEX(TRANSACTIONS_MASTER!$Q$5:$Q$1204,$Q203))</f>
        <v/>
      </c>
      <c r="L203" s="25" t="str">
        <f>IF($Q203="","",INDEX(TRANSACTIONS_MASTER!$P$5:$P$1204,$Q203))</f>
        <v/>
      </c>
      <c r="M203" s="25" t="str">
        <f>IF($Q203="","",INDEX(TRANSACTIONS_MASTER!$AA$5:$AA$1204,$Q203))</f>
        <v/>
      </c>
      <c r="N203" s="25" t="str">
        <f>IF($Q203="","",INDEX(TRANSACTIONS_MASTER!$R$5:$R$1204,$Q203))</f>
        <v/>
      </c>
      <c r="O203" s="28" t="str">
        <f>IF($Q203="","",INDEX(TRANSACTIONS_MASTER!$AB$5:$AB$1204,$Q203))</f>
        <v/>
      </c>
      <c r="P203" s="55" t="str">
        <f>IF($Q203="","",INDEX(TRANSACTIONS_MASTER!$Z$5:$Z$1204,$Q203)&amp;"")</f>
        <v/>
      </c>
      <c r="Q203" s="67" t="str">
        <f>IFERROR(MATCH($C$2&amp;"|"&amp;196,TRANSACTIONS_MASTER!$AE$5:$AE$1204,0),"")</f>
        <v/>
      </c>
    </row>
    <row r="204">
      <c r="A204" s="81" t="str">
        <f>IF($Q204="","",197)</f>
        <v/>
      </c>
      <c r="B204" s="57" t="str">
        <f>IF($Q204="","",INDEX(TRANSACTIONS_MASTER!$B$5:$B$1204,$Q204))</f>
        <v/>
      </c>
      <c r="C204" s="55" t="str">
        <f>IF($Q204="","",INDEX(TRANSACTIONS_MASTER!$F$5:$F$1204,$Q204))</f>
        <v/>
      </c>
      <c r="D204" s="55" t="str">
        <f>IF($Q204="","",INDEX(TRANSACTIONS_MASTER!$E$5:$E$1204,$Q204))</f>
        <v/>
      </c>
      <c r="E204" s="55" t="str">
        <f>IF($Q204="","",INDEX(TRANSACTIONS_MASTER!$G$5:$G$1204,$Q204)&amp;"")</f>
        <v/>
      </c>
      <c r="F204" s="29" t="str">
        <f>IF($Q204="","",INDEX(TRANSACTIONS_MASTER!$I$5:$I$1204,$Q204))</f>
        <v/>
      </c>
      <c r="G204" s="55" t="str">
        <f>IF($Q204="","",INDEX(TRANSACTIONS_MASTER!$K$5:$K$1204,$Q204))</f>
        <v/>
      </c>
      <c r="H204" s="25" t="str">
        <f>IF($Q204="","",INDEX(TRANSACTIONS_MASTER!$L$5:$L$1204,$Q204))</f>
        <v/>
      </c>
      <c r="I204" s="56" t="str">
        <f>IF($Q204="","",INDEX(TRANSACTIONS_MASTER!$N$5:$N$1204,$Q204))</f>
        <v/>
      </c>
      <c r="J204" s="25" t="str">
        <f>IF($Q204="","",INDEX(TRANSACTIONS_MASTER!$O$5:$O$1204,$Q204))</f>
        <v/>
      </c>
      <c r="K204" s="26" t="str">
        <f>IF($Q204="","",INDEX(TRANSACTIONS_MASTER!$Q$5:$Q$1204,$Q204))</f>
        <v/>
      </c>
      <c r="L204" s="25" t="str">
        <f>IF($Q204="","",INDEX(TRANSACTIONS_MASTER!$P$5:$P$1204,$Q204))</f>
        <v/>
      </c>
      <c r="M204" s="25" t="str">
        <f>IF($Q204="","",INDEX(TRANSACTIONS_MASTER!$AA$5:$AA$1204,$Q204))</f>
        <v/>
      </c>
      <c r="N204" s="25" t="str">
        <f>IF($Q204="","",INDEX(TRANSACTIONS_MASTER!$R$5:$R$1204,$Q204))</f>
        <v/>
      </c>
      <c r="O204" s="28" t="str">
        <f>IF($Q204="","",INDEX(TRANSACTIONS_MASTER!$AB$5:$AB$1204,$Q204))</f>
        <v/>
      </c>
      <c r="P204" s="55" t="str">
        <f>IF($Q204="","",INDEX(TRANSACTIONS_MASTER!$Z$5:$Z$1204,$Q204)&amp;"")</f>
        <v/>
      </c>
      <c r="Q204" s="67" t="str">
        <f>IFERROR(MATCH($C$2&amp;"|"&amp;197,TRANSACTIONS_MASTER!$AE$5:$AE$1204,0),"")</f>
        <v/>
      </c>
    </row>
    <row r="205">
      <c r="A205" s="81" t="str">
        <f>IF($Q205="","",198)</f>
        <v/>
      </c>
      <c r="B205" s="57" t="str">
        <f>IF($Q205="","",INDEX(TRANSACTIONS_MASTER!$B$5:$B$1204,$Q205))</f>
        <v/>
      </c>
      <c r="C205" s="55" t="str">
        <f>IF($Q205="","",INDEX(TRANSACTIONS_MASTER!$F$5:$F$1204,$Q205))</f>
        <v/>
      </c>
      <c r="D205" s="55" t="str">
        <f>IF($Q205="","",INDEX(TRANSACTIONS_MASTER!$E$5:$E$1204,$Q205))</f>
        <v/>
      </c>
      <c r="E205" s="55" t="str">
        <f>IF($Q205="","",INDEX(TRANSACTIONS_MASTER!$G$5:$G$1204,$Q205)&amp;"")</f>
        <v/>
      </c>
      <c r="F205" s="29" t="str">
        <f>IF($Q205="","",INDEX(TRANSACTIONS_MASTER!$I$5:$I$1204,$Q205))</f>
        <v/>
      </c>
      <c r="G205" s="55" t="str">
        <f>IF($Q205="","",INDEX(TRANSACTIONS_MASTER!$K$5:$K$1204,$Q205))</f>
        <v/>
      </c>
      <c r="H205" s="25" t="str">
        <f>IF($Q205="","",INDEX(TRANSACTIONS_MASTER!$L$5:$L$1204,$Q205))</f>
        <v/>
      </c>
      <c r="I205" s="56" t="str">
        <f>IF($Q205="","",INDEX(TRANSACTIONS_MASTER!$N$5:$N$1204,$Q205))</f>
        <v/>
      </c>
      <c r="J205" s="25" t="str">
        <f>IF($Q205="","",INDEX(TRANSACTIONS_MASTER!$O$5:$O$1204,$Q205))</f>
        <v/>
      </c>
      <c r="K205" s="26" t="str">
        <f>IF($Q205="","",INDEX(TRANSACTIONS_MASTER!$Q$5:$Q$1204,$Q205))</f>
        <v/>
      </c>
      <c r="L205" s="25" t="str">
        <f>IF($Q205="","",INDEX(TRANSACTIONS_MASTER!$P$5:$P$1204,$Q205))</f>
        <v/>
      </c>
      <c r="M205" s="25" t="str">
        <f>IF($Q205="","",INDEX(TRANSACTIONS_MASTER!$AA$5:$AA$1204,$Q205))</f>
        <v/>
      </c>
      <c r="N205" s="25" t="str">
        <f>IF($Q205="","",INDEX(TRANSACTIONS_MASTER!$R$5:$R$1204,$Q205))</f>
        <v/>
      </c>
      <c r="O205" s="28" t="str">
        <f>IF($Q205="","",INDEX(TRANSACTIONS_MASTER!$AB$5:$AB$1204,$Q205))</f>
        <v/>
      </c>
      <c r="P205" s="55" t="str">
        <f>IF($Q205="","",INDEX(TRANSACTIONS_MASTER!$Z$5:$Z$1204,$Q205)&amp;"")</f>
        <v/>
      </c>
      <c r="Q205" s="67" t="str">
        <f>IFERROR(MATCH($C$2&amp;"|"&amp;198,TRANSACTIONS_MASTER!$AE$5:$AE$1204,0),"")</f>
        <v/>
      </c>
    </row>
    <row r="206">
      <c r="A206" s="81" t="str">
        <f>IF($Q206="","",199)</f>
        <v/>
      </c>
      <c r="B206" s="57" t="str">
        <f>IF($Q206="","",INDEX(TRANSACTIONS_MASTER!$B$5:$B$1204,$Q206))</f>
        <v/>
      </c>
      <c r="C206" s="55" t="str">
        <f>IF($Q206="","",INDEX(TRANSACTIONS_MASTER!$F$5:$F$1204,$Q206))</f>
        <v/>
      </c>
      <c r="D206" s="55" t="str">
        <f>IF($Q206="","",INDEX(TRANSACTIONS_MASTER!$E$5:$E$1204,$Q206))</f>
        <v/>
      </c>
      <c r="E206" s="55" t="str">
        <f>IF($Q206="","",INDEX(TRANSACTIONS_MASTER!$G$5:$G$1204,$Q206)&amp;"")</f>
        <v/>
      </c>
      <c r="F206" s="29" t="str">
        <f>IF($Q206="","",INDEX(TRANSACTIONS_MASTER!$I$5:$I$1204,$Q206))</f>
        <v/>
      </c>
      <c r="G206" s="55" t="str">
        <f>IF($Q206="","",INDEX(TRANSACTIONS_MASTER!$K$5:$K$1204,$Q206))</f>
        <v/>
      </c>
      <c r="H206" s="25" t="str">
        <f>IF($Q206="","",INDEX(TRANSACTIONS_MASTER!$L$5:$L$1204,$Q206))</f>
        <v/>
      </c>
      <c r="I206" s="56" t="str">
        <f>IF($Q206="","",INDEX(TRANSACTIONS_MASTER!$N$5:$N$1204,$Q206))</f>
        <v/>
      </c>
      <c r="J206" s="25" t="str">
        <f>IF($Q206="","",INDEX(TRANSACTIONS_MASTER!$O$5:$O$1204,$Q206))</f>
        <v/>
      </c>
      <c r="K206" s="26" t="str">
        <f>IF($Q206="","",INDEX(TRANSACTIONS_MASTER!$Q$5:$Q$1204,$Q206))</f>
        <v/>
      </c>
      <c r="L206" s="25" t="str">
        <f>IF($Q206="","",INDEX(TRANSACTIONS_MASTER!$P$5:$P$1204,$Q206))</f>
        <v/>
      </c>
      <c r="M206" s="25" t="str">
        <f>IF($Q206="","",INDEX(TRANSACTIONS_MASTER!$AA$5:$AA$1204,$Q206))</f>
        <v/>
      </c>
      <c r="N206" s="25" t="str">
        <f>IF($Q206="","",INDEX(TRANSACTIONS_MASTER!$R$5:$R$1204,$Q206))</f>
        <v/>
      </c>
      <c r="O206" s="28" t="str">
        <f>IF($Q206="","",INDEX(TRANSACTIONS_MASTER!$AB$5:$AB$1204,$Q206))</f>
        <v/>
      </c>
      <c r="P206" s="55" t="str">
        <f>IF($Q206="","",INDEX(TRANSACTIONS_MASTER!$Z$5:$Z$1204,$Q206)&amp;"")</f>
        <v/>
      </c>
      <c r="Q206" s="67" t="str">
        <f>IFERROR(MATCH($C$2&amp;"|"&amp;199,TRANSACTIONS_MASTER!$AE$5:$AE$1204,0),"")</f>
        <v/>
      </c>
    </row>
    <row r="207">
      <c r="A207" s="81" t="str">
        <f>IF($Q207="","",200)</f>
        <v/>
      </c>
      <c r="B207" s="57" t="str">
        <f>IF($Q207="","",INDEX(TRANSACTIONS_MASTER!$B$5:$B$1204,$Q207))</f>
        <v/>
      </c>
      <c r="C207" s="55" t="str">
        <f>IF($Q207="","",INDEX(TRANSACTIONS_MASTER!$F$5:$F$1204,$Q207))</f>
        <v/>
      </c>
      <c r="D207" s="55" t="str">
        <f>IF($Q207="","",INDEX(TRANSACTIONS_MASTER!$E$5:$E$1204,$Q207))</f>
        <v/>
      </c>
      <c r="E207" s="55" t="str">
        <f>IF($Q207="","",INDEX(TRANSACTIONS_MASTER!$G$5:$G$1204,$Q207)&amp;"")</f>
        <v/>
      </c>
      <c r="F207" s="29" t="str">
        <f>IF($Q207="","",INDEX(TRANSACTIONS_MASTER!$I$5:$I$1204,$Q207))</f>
        <v/>
      </c>
      <c r="G207" s="55" t="str">
        <f>IF($Q207="","",INDEX(TRANSACTIONS_MASTER!$K$5:$K$1204,$Q207))</f>
        <v/>
      </c>
      <c r="H207" s="25" t="str">
        <f>IF($Q207="","",INDEX(TRANSACTIONS_MASTER!$L$5:$L$1204,$Q207))</f>
        <v/>
      </c>
      <c r="I207" s="56" t="str">
        <f>IF($Q207="","",INDEX(TRANSACTIONS_MASTER!$N$5:$N$1204,$Q207))</f>
        <v/>
      </c>
      <c r="J207" s="25" t="str">
        <f>IF($Q207="","",INDEX(TRANSACTIONS_MASTER!$O$5:$O$1204,$Q207))</f>
        <v/>
      </c>
      <c r="K207" s="26" t="str">
        <f>IF($Q207="","",INDEX(TRANSACTIONS_MASTER!$Q$5:$Q$1204,$Q207))</f>
        <v/>
      </c>
      <c r="L207" s="25" t="str">
        <f>IF($Q207="","",INDEX(TRANSACTIONS_MASTER!$P$5:$P$1204,$Q207))</f>
        <v/>
      </c>
      <c r="M207" s="25" t="str">
        <f>IF($Q207="","",INDEX(TRANSACTIONS_MASTER!$AA$5:$AA$1204,$Q207))</f>
        <v/>
      </c>
      <c r="N207" s="25" t="str">
        <f>IF($Q207="","",INDEX(TRANSACTIONS_MASTER!$R$5:$R$1204,$Q207))</f>
        <v/>
      </c>
      <c r="O207" s="28" t="str">
        <f>IF($Q207="","",INDEX(TRANSACTIONS_MASTER!$AB$5:$AB$1204,$Q207))</f>
        <v/>
      </c>
      <c r="P207" s="55" t="str">
        <f>IF($Q207="","",INDEX(TRANSACTIONS_MASTER!$Z$5:$Z$1204,$Q207)&amp;"")</f>
        <v/>
      </c>
      <c r="Q207" s="67" t="str">
        <f>IFERROR(MATCH($C$2&amp;"|"&amp;200,TRANSACTIONS_MASTER!$AE$5:$AE$1204,0),"")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autoFilter ref="A7:P207"/>
  <mergeCells count="14">
    <mergeCell ref="I4:J4"/>
    <mergeCell ref="T3:W3"/>
    <mergeCell ref="B3:C3"/>
    <mergeCell ref="T4:W4"/>
    <mergeCell ref="M4:O4"/>
    <mergeCell ref="M3:O3"/>
    <mergeCell ref="F4:H4"/>
    <mergeCell ref="D4:E4"/>
    <mergeCell ref="K4:L4"/>
    <mergeCell ref="F3:H3"/>
    <mergeCell ref="D3:E3"/>
    <mergeCell ref="B4:C4"/>
    <mergeCell ref="K3:L3"/>
    <mergeCell ref="I3:J3"/>
  </mergeCells>
  <conditionalFormatting sqref="AA8:AA57">
    <cfRule type="dataBar" priority="1">
      <dataBar showValue="1">
        <cfvo type="num" val="0"/>
        <cfvo type="num" val="1"/>
        <color rgb="00F2A1BF"/>
      </dataBar>
    </cfRule>
    <cfRule type="expression" priority="2" dxfId="8">
      <formula>AND(ISNUMBER(AA8),AA8&gt;=1)</formula>
    </cfRule>
  </conditionalFormatting>
  <conditionalFormatting sqref="Z8:Z57">
    <cfRule type="cellIs" priority="3" operator="equal" dxfId="1">
      <formula>0</formula>
    </cfRule>
  </conditionalFormatting>
  <conditionalFormatting sqref="Z62:Z91">
    <cfRule type="dataBar" priority="4">
      <dataBar showValue="1">
        <cfvo type="num" val="0"/>
        <cfvo type="num" val="1"/>
        <color rgb="00F2A1BF"/>
      </dataBar>
    </cfRule>
    <cfRule type="expression" priority="5" dxfId="8">
      <formula>AND(ISNUMBER(Z62),Z62&gt;=1)</formula>
    </cfRule>
  </conditionalFormatting>
  <conditionalFormatting sqref="Y62:Y91">
    <cfRule type="cellIs" priority="6" operator="equal" dxfId="1">
      <formula>0</formula>
    </cfRule>
  </conditionalFormatting>
  <conditionalFormatting sqref="A8:P207">
    <cfRule type="expression" priority="7" dxfId="5" stopIfTrue="0">
      <formula>MOD(ROW(),2)=0</formula>
    </cfRule>
  </conditionalFormatting>
  <conditionalFormatting sqref="O8:O207">
    <cfRule type="cellIs" priority="8" operator="equal" dxfId="3">
      <formula>"Được hoàn"</formula>
    </cfRule>
    <cfRule type="cellIs" priority="9" operator="equal" dxfId="2">
      <formula>"Hoàn một phần"</formula>
    </cfRule>
    <cfRule type="cellIs" priority="10" operator="equal" dxfId="1">
      <formula>"Đã đạt cap"</formula>
    </cfRule>
    <cfRule type="cellIs" priority="11" operator="equal" dxfId="4">
      <formula>"Không được hoàn"</formula>
    </cfRule>
    <cfRule type="cellIs" priority="12" operator="equal" dxfId="0">
      <formula>"Đã hủy"</formula>
    </cfRule>
  </conditionalFormatting>
  <conditionalFormatting sqref="K8:K207">
    <cfRule type="expression" priority="13" dxfId="7">
      <formula>AND(ISNUMBER($K8),$K8&gt;0)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F8C8DC"/>
    <outlinePr summaryBelow="1" summaryRight="1"/>
    <pageSetUpPr/>
  </sheetPr>
  <dimension ref="A1:AA20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13" customWidth="1" min="4" max="4"/>
    <col width="22" customWidth="1" min="5" max="5"/>
    <col width="8" customWidth="1" min="6" max="6"/>
    <col width="17" customWidth="1" min="7" max="7"/>
    <col width="14" customWidth="1" min="8" max="8"/>
    <col width="10" customWidth="1" min="9" max="9"/>
    <col width="15" customWidth="1" min="10" max="10"/>
    <col width="15" customWidth="1" min="11" max="11"/>
    <col width="14" customWidth="1" min="12" max="12"/>
    <col width="14" customWidth="1" min="13" max="13"/>
    <col width="15" customWidth="1" min="14" max="14"/>
    <col width="16" customWidth="1" min="15" max="15"/>
    <col width="14" customWidth="1" min="16" max="16"/>
    <col width="3" customWidth="1" min="17" max="17"/>
    <col width="3" customWidth="1" min="18" max="18"/>
    <col width="4" customWidth="1" min="19" max="19"/>
    <col width="12" customWidth="1" min="20" max="20"/>
    <col width="30" customWidth="1" min="21" max="21"/>
    <col width="15" customWidth="1" min="22" max="22"/>
    <col width="17" customWidth="1" min="23" max="23"/>
    <col width="15" customWidth="1" min="24" max="24"/>
    <col width="15" customWidth="1" min="25" max="25"/>
    <col width="15" customWidth="1" min="26" max="26"/>
    <col width="12" customWidth="1" min="27" max="27"/>
  </cols>
  <sheetData>
    <row r="1" ht="28" customHeight="1">
      <c r="B1" s="70" t="str">
        <f>"THÁNG "&amp;MOD($C$2,100)&amp;"/"&amp;INT($C$2/100)&amp;"   ♥"</f>
        <v>THÁNG 11/2026   ♥</v>
      </c>
    </row>
    <row r="2" ht="20" customHeight="1">
      <c r="B2" s="71" t="inlineStr">
        <is>
          <t>Mã tháng</t>
        </is>
      </c>
      <c r="C2" s="72" t="n">
        <v>202611</v>
      </c>
      <c r="E2" s="66" t="str">
        <f>HYPERLINK("#Dashboard!A1","← Dashboard")</f>
        <v>← Dashboard</v>
      </c>
      <c r="G2" s="66" t="str">
        <f>HYPERLINK("#TRANSACTIONS_MASTER!A1","Giao dịch (nhập ở đây) →")</f>
        <v>Giao dịch (nhập ở đây) →</v>
      </c>
      <c r="J2" s="66" t="str">
        <f>HYPERLINK("#'2026-11'!S6","Cap &amp; thẻ →")</f>
        <v>Cap &amp; thẻ →</v>
      </c>
      <c r="L2" s="66" t="str">
        <f>HYPERLINK("#'2026-11'!S95","Phân tích →")</f>
        <v>Phân tích →</v>
      </c>
      <c r="N2" s="66" t="str">
        <f>HYPERLINK("#'2026-11'!A1","↑ Đầu trang")</f>
        <v>↑ Đầu trang</v>
      </c>
      <c r="O2" s="73" t="inlineStr">
        <is>
          <t>Sheet này là bản xem tự động — nhập giao dịch ở TRANSACTIONS_MASTER</t>
        </is>
      </c>
    </row>
    <row r="3" ht="17" customHeight="1">
      <c r="B3" s="74" t="inlineStr">
        <is>
          <t>💰 Tổng chi tiêu</t>
        </is>
      </c>
      <c r="C3" s="75" t="n"/>
      <c r="D3" s="74" t="inlineStr">
        <is>
          <t>★ Tổng cashback (thực nhận)</t>
        </is>
      </c>
      <c r="E3" s="75" t="n"/>
      <c r="F3" s="74" t="inlineStr">
        <is>
          <t>Cashback còn có thể nhận</t>
        </is>
      </c>
      <c r="G3" s="75" t="n"/>
      <c r="H3" s="75" t="n"/>
      <c r="I3" s="74" t="inlineStr">
        <is>
          <t>Số giao dịch</t>
        </is>
      </c>
      <c r="J3" s="75" t="n"/>
      <c r="K3" s="74" t="inlineStr">
        <is>
          <t>Số thẻ sử dụng</t>
        </is>
      </c>
      <c r="L3" s="75" t="n"/>
      <c r="M3" s="74" t="inlineStr">
        <is>
          <t>Thẻ có cashback cao nhất</t>
        </is>
      </c>
      <c r="N3" s="75" t="n"/>
      <c r="O3" s="75" t="n"/>
      <c r="T3" s="74" t="inlineStr">
        <is>
          <t>Danh mục chi tiêu nhiều nhất</t>
        </is>
      </c>
      <c r="U3" s="75" t="n"/>
      <c r="V3" s="75" t="n"/>
      <c r="W3" s="75" t="n"/>
    </row>
    <row r="4" ht="30" customHeight="1">
      <c r="B4" s="76">
        <f>SUMIFS(TRANSACTIONS_MASTER!$L$5:$L$1204,TRANSACTIONS_MASTER!$C$5:$C$1204,$C$2,TRANSACTIONS_MASTER!$U$5:$U$1204,"&lt;&gt;Cancelled")</f>
        <v>0</v>
      </c>
      <c r="C4" s="77" t="n"/>
      <c r="D4" s="76">
        <f>SUMIFS(TRANSACTIONS_MASTER!$Q$5:$Q$1204,TRANSACTIONS_MASTER!$C$5:$C$1204,$C$2)</f>
        <v>0</v>
      </c>
      <c r="E4" s="77" t="n"/>
      <c r="F4" s="76">
        <f>SUM($Y$62:$Y$91)</f>
        <v>4500000</v>
      </c>
      <c r="G4" s="77" t="n"/>
      <c r="H4" s="77" t="n"/>
      <c r="I4" s="78">
        <f>COUNTIFS(TRANSACTIONS_MASTER!$C$5:$C$1204,$C$2,TRANSACTIONS_MASTER!$U$5:$U$1204,"&lt;&gt;Cancelled")</f>
        <v>0</v>
      </c>
      <c r="J4" s="77" t="n"/>
      <c r="K4" s="78">
        <f>COUNTIF($AA$62:$AA$91,"&gt;0")</f>
        <v>0</v>
      </c>
      <c r="L4" s="77" t="n"/>
      <c r="M4" s="79" t="str">
        <f>IF(MAX($W$62:$W$91)&gt;0,INDEX($U$62:$U$91,MATCH(MAX($W$62:$W$91),$W$62:$W$91,0)),"—")</f>
        <v>—</v>
      </c>
      <c r="N4" s="77" t="n"/>
      <c r="O4" s="77" t="n"/>
      <c r="T4" s="79" t="str">
        <f>IF(MAX($V$117:$V$131)&gt;0,INDEX($U$117:$U$131,MATCH(MAX($V$117:$V$131),$V$117:$V$131,0)),"—")</f>
        <v>—</v>
      </c>
      <c r="U4" s="77" t="n"/>
      <c r="V4" s="77" t="n"/>
      <c r="W4" s="77" t="n"/>
    </row>
    <row r="5" ht="6" customHeight="1"/>
    <row r="6" ht="22" customHeight="1">
      <c r="A6" s="19" t="inlineStr">
        <is>
          <t>GIAO DỊCH TRONG THÁNG</t>
        </is>
      </c>
      <c r="B6" s="20" t="n"/>
      <c r="C6" s="20" t="n"/>
      <c r="D6" s="20" t="n"/>
      <c r="E6" s="20" t="n"/>
      <c r="F6" s="20" t="n"/>
      <c r="G6" s="20" t="n"/>
      <c r="H6" s="80" t="str">
        <f>IF(COUNTIFS(TRANSACTIONS_MASTER!$C$5:$C$1204,$C$2)&gt;200,"⚠ Còn "&amp;(COUNTIFS(TRANSACTIONS_MASTER!$C$5:$C$1204,$C$2)-200)&amp;" giao dịch chưa hiển thị — xem TRANSACTIONS_MASTER","")</f>
        <v/>
      </c>
      <c r="I6" s="20" t="n"/>
      <c r="J6" s="20" t="n"/>
      <c r="K6" s="20" t="n"/>
      <c r="L6" s="20" t="n"/>
      <c r="M6" s="20" t="n"/>
      <c r="N6" s="20" t="n"/>
      <c r="O6" s="20" t="n"/>
      <c r="P6" s="20" t="n"/>
      <c r="T6" s="19" t="inlineStr">
        <is>
          <t>THEO DÕI CAP — TỪNG NHÓM CASHBACK (progress bar)</t>
        </is>
      </c>
      <c r="U6" s="20" t="n"/>
      <c r="V6" s="20" t="n"/>
      <c r="W6" s="20" t="n"/>
      <c r="X6" s="20" t="n"/>
      <c r="Y6" s="20" t="n"/>
      <c r="Z6" s="20" t="n"/>
      <c r="AA6" s="20" t="n"/>
    </row>
    <row r="7" ht="30" customHeight="1">
      <c r="A7" s="21" t="inlineStr">
        <is>
          <t>#</t>
        </is>
      </c>
      <c r="B7" s="21" t="inlineStr">
        <is>
          <t>Ngày</t>
        </is>
      </c>
      <c r="C7" s="21" t="inlineStr">
        <is>
          <t>Thẻ</t>
        </is>
      </c>
      <c r="D7" s="21" t="inlineStr">
        <is>
          <t>Ngân hàng</t>
        </is>
      </c>
      <c r="E7" s="21" t="inlineStr">
        <is>
          <t>Merchant</t>
        </is>
      </c>
      <c r="F7" s="21" t="inlineStr">
        <is>
          <t>MCC</t>
        </is>
      </c>
      <c r="G7" s="21" t="inlineStr">
        <is>
          <t>Danh mục</t>
        </is>
      </c>
      <c r="H7" s="21" t="inlineStr">
        <is>
          <t>Số tiền</t>
        </is>
      </c>
      <c r="I7" s="21" t="inlineStr">
        <is>
          <t>Cashback %</t>
        </is>
      </c>
      <c r="J7" s="21" t="inlineStr">
        <is>
          <t>Cashback tính toán</t>
        </is>
      </c>
      <c r="K7" s="21" t="inlineStr">
        <is>
          <t>Cashback thực nhận</t>
        </is>
      </c>
      <c r="L7" s="21" t="inlineStr">
        <is>
          <t>Cap danh mục</t>
        </is>
      </c>
      <c r="M7" s="21" t="inlineStr">
        <is>
          <t>Cap thẻ</t>
        </is>
      </c>
      <c r="N7" s="21" t="inlineStr">
        <is>
          <t>Cashback còn lại</t>
        </is>
      </c>
      <c r="O7" s="21" t="inlineStr">
        <is>
          <t>Trạng thái hoàn</t>
        </is>
      </c>
      <c r="P7" s="21" t="inlineStr">
        <is>
          <t>Nhóm cashback</t>
        </is>
      </c>
      <c r="Q7" s="21" t="inlineStr">
        <is>
          <t>⚙</t>
        </is>
      </c>
      <c r="S7" s="21" t="inlineStr">
        <is>
          <t>#</t>
        </is>
      </c>
      <c r="T7" s="21" t="inlineStr">
        <is>
          <t>Card ID</t>
        </is>
      </c>
      <c r="U7" s="21" t="inlineStr">
        <is>
          <t>Thẻ</t>
        </is>
      </c>
      <c r="V7" s="21" t="inlineStr">
        <is>
          <t>Nhóm</t>
        </is>
      </c>
      <c r="W7" s="21" t="inlineStr">
        <is>
          <t>Danh mục</t>
        </is>
      </c>
      <c r="X7" s="21" t="inlineStr">
        <is>
          <t>Đã cashback</t>
        </is>
      </c>
      <c r="Y7" s="21" t="inlineStr">
        <is>
          <t>Cap nhóm</t>
        </is>
      </c>
      <c r="Z7" s="21" t="inlineStr">
        <is>
          <t>Còn lại</t>
        </is>
      </c>
      <c r="AA7" s="21" t="inlineStr">
        <is>
          <t>Progress</t>
        </is>
      </c>
    </row>
    <row r="8" ht="20" customHeight="1">
      <c r="A8" s="81" t="str">
        <f>IF($Q8="","",1)</f>
        <v/>
      </c>
      <c r="B8" s="57" t="str">
        <f>IF($Q8="","",INDEX(TRANSACTIONS_MASTER!$B$5:$B$1204,$Q8))</f>
        <v/>
      </c>
      <c r="C8" s="55" t="str">
        <f>IF($Q8="","",INDEX(TRANSACTIONS_MASTER!$F$5:$F$1204,$Q8))</f>
        <v/>
      </c>
      <c r="D8" s="55" t="str">
        <f>IF($Q8="","",INDEX(TRANSACTIONS_MASTER!$E$5:$E$1204,$Q8))</f>
        <v/>
      </c>
      <c r="E8" s="55" t="str">
        <f>IF($Q8="","",INDEX(TRANSACTIONS_MASTER!$G$5:$G$1204,$Q8)&amp;"")</f>
        <v/>
      </c>
      <c r="F8" s="29" t="str">
        <f>IF($Q8="","",INDEX(TRANSACTIONS_MASTER!$I$5:$I$1204,$Q8))</f>
        <v/>
      </c>
      <c r="G8" s="55" t="str">
        <f>IF($Q8="","",INDEX(TRANSACTIONS_MASTER!$K$5:$K$1204,$Q8))</f>
        <v/>
      </c>
      <c r="H8" s="25" t="str">
        <f>IF($Q8="","",INDEX(TRANSACTIONS_MASTER!$L$5:$L$1204,$Q8))</f>
        <v/>
      </c>
      <c r="I8" s="56" t="str">
        <f>IF($Q8="","",INDEX(TRANSACTIONS_MASTER!$N$5:$N$1204,$Q8))</f>
        <v/>
      </c>
      <c r="J8" s="25" t="str">
        <f>IF($Q8="","",INDEX(TRANSACTIONS_MASTER!$O$5:$O$1204,$Q8))</f>
        <v/>
      </c>
      <c r="K8" s="26" t="str">
        <f>IF($Q8="","",INDEX(TRANSACTIONS_MASTER!$Q$5:$Q$1204,$Q8))</f>
        <v/>
      </c>
      <c r="L8" s="25" t="str">
        <f>IF($Q8="","",INDEX(TRANSACTIONS_MASTER!$P$5:$P$1204,$Q8))</f>
        <v/>
      </c>
      <c r="M8" s="25" t="str">
        <f>IF($Q8="","",INDEX(TRANSACTIONS_MASTER!$AA$5:$AA$1204,$Q8))</f>
        <v/>
      </c>
      <c r="N8" s="25" t="str">
        <f>IF($Q8="","",INDEX(TRANSACTIONS_MASTER!$R$5:$R$1204,$Q8))</f>
        <v/>
      </c>
      <c r="O8" s="28" t="str">
        <f>IF($Q8="","",INDEX(TRANSACTIONS_MASTER!$AB$5:$AB$1204,$Q8))</f>
        <v/>
      </c>
      <c r="P8" s="55" t="str">
        <f>IF($Q8="","",INDEX(TRANSACTIONS_MASTER!$Z$5:$Z$1204,$Q8)&amp;"")</f>
        <v/>
      </c>
      <c r="Q8" s="67" t="str">
        <f>IFERROR(MATCH($C$2&amp;"|"&amp;1,TRANSACTIONS_MASTER!$AE$5:$AE$1204,0),"")</f>
        <v/>
      </c>
      <c r="S8" s="67">
        <f>IFERROR(MATCH(1,CASHBACK_RULES!$S$5:$S$304,0),"")</f>
        <v>1</v>
      </c>
      <c r="T8" s="55" t="str">
        <f>IF($S8="","",INDEX(CASHBACK_RULES!$B$5:$B$304,$S8))</f>
        <v>VPB-JCBZ</v>
      </c>
      <c r="U8" s="55" t="str">
        <f>IF($S8="","",INDEX(CASHBACK_RULES!$C$5:$C$304,$S8)&amp;" "&amp;INDEX(CASHBACK_RULES!$D$5:$D$304,$S8))</f>
        <v>VPBank JCB Z Card</v>
      </c>
      <c r="V8" s="55" t="str">
        <f>IF($S8="","",INDEX(CASHBACK_RULES!$E$5:$E$304,$S8)&amp;"")</f>
        <v>Group 1</v>
      </c>
      <c r="W8" s="55" t="str">
        <f>IF($S8="","",INDEX(CASHBACK_RULES!$F$5:$F$304,$S8)&amp;"")</f>
        <v>Dining</v>
      </c>
      <c r="X8" s="26">
        <f>IF($S8="","",SUMIFS(TRANSACTIONS_MASTER!$Q$5:$Q$1204,TRANSACTIONS_MASTER!$D$5:$D$1204,$T8,TRANSACTIONS_MASTER!$Z$5:$Z$1204,$V8,TRANSACTIONS_MASTER!$C$5:$C$1204,$C$2))</f>
        <v>0</v>
      </c>
      <c r="Y8" s="25">
        <f>IF($S8="","",IF(ISNUMBER(INDEX(CASHBACK_RULES!$J$5:$J$304,$S8)),INDEX(CASHBACK_RULES!$J$5:$J$304,$S8),"∞"))</f>
        <v>500000</v>
      </c>
      <c r="Z8" s="25">
        <f>IF($S8="","",IF(ISNUMBER($Y8),MAX(0,$Y8-$X8),"∞"))</f>
        <v>500000</v>
      </c>
      <c r="AA8" s="27">
        <f>IF($S8="","",IF(ISNUMBER($Y8),IF($Y8=0,0,$X8/$Y8),""))</f>
        <v>0</v>
      </c>
    </row>
    <row r="9" ht="20" customHeight="1">
      <c r="A9" s="81" t="str">
        <f>IF($Q9="","",2)</f>
        <v/>
      </c>
      <c r="B9" s="57" t="str">
        <f>IF($Q9="","",INDEX(TRANSACTIONS_MASTER!$B$5:$B$1204,$Q9))</f>
        <v/>
      </c>
      <c r="C9" s="55" t="str">
        <f>IF($Q9="","",INDEX(TRANSACTIONS_MASTER!$F$5:$F$1204,$Q9))</f>
        <v/>
      </c>
      <c r="D9" s="55" t="str">
        <f>IF($Q9="","",INDEX(TRANSACTIONS_MASTER!$E$5:$E$1204,$Q9))</f>
        <v/>
      </c>
      <c r="E9" s="55" t="str">
        <f>IF($Q9="","",INDEX(TRANSACTIONS_MASTER!$G$5:$G$1204,$Q9)&amp;"")</f>
        <v/>
      </c>
      <c r="F9" s="29" t="str">
        <f>IF($Q9="","",INDEX(TRANSACTIONS_MASTER!$I$5:$I$1204,$Q9))</f>
        <v/>
      </c>
      <c r="G9" s="55" t="str">
        <f>IF($Q9="","",INDEX(TRANSACTIONS_MASTER!$K$5:$K$1204,$Q9))</f>
        <v/>
      </c>
      <c r="H9" s="25" t="str">
        <f>IF($Q9="","",INDEX(TRANSACTIONS_MASTER!$L$5:$L$1204,$Q9))</f>
        <v/>
      </c>
      <c r="I9" s="56" t="str">
        <f>IF($Q9="","",INDEX(TRANSACTIONS_MASTER!$N$5:$N$1204,$Q9))</f>
        <v/>
      </c>
      <c r="J9" s="25" t="str">
        <f>IF($Q9="","",INDEX(TRANSACTIONS_MASTER!$O$5:$O$1204,$Q9))</f>
        <v/>
      </c>
      <c r="K9" s="26" t="str">
        <f>IF($Q9="","",INDEX(TRANSACTIONS_MASTER!$Q$5:$Q$1204,$Q9))</f>
        <v/>
      </c>
      <c r="L9" s="25" t="str">
        <f>IF($Q9="","",INDEX(TRANSACTIONS_MASTER!$P$5:$P$1204,$Q9))</f>
        <v/>
      </c>
      <c r="M9" s="25" t="str">
        <f>IF($Q9="","",INDEX(TRANSACTIONS_MASTER!$AA$5:$AA$1204,$Q9))</f>
        <v/>
      </c>
      <c r="N9" s="25" t="str">
        <f>IF($Q9="","",INDEX(TRANSACTIONS_MASTER!$R$5:$R$1204,$Q9))</f>
        <v/>
      </c>
      <c r="O9" s="28" t="str">
        <f>IF($Q9="","",INDEX(TRANSACTIONS_MASTER!$AB$5:$AB$1204,$Q9))</f>
        <v/>
      </c>
      <c r="P9" s="55" t="str">
        <f>IF($Q9="","",INDEX(TRANSACTIONS_MASTER!$Z$5:$Z$1204,$Q9)&amp;"")</f>
        <v/>
      </c>
      <c r="Q9" s="67" t="str">
        <f>IFERROR(MATCH($C$2&amp;"|"&amp;2,TRANSACTIONS_MASTER!$AE$5:$AE$1204,0),"")</f>
        <v/>
      </c>
      <c r="S9" s="67">
        <f>IFERROR(MATCH(2,CASHBACK_RULES!$S$5:$S$304,0),"")</f>
        <v>5</v>
      </c>
      <c r="T9" s="55" t="str">
        <f>IF($S9="","",INDEX(CASHBACK_RULES!$B$5:$B$304,$S9))</f>
        <v>VPB-JCBZ</v>
      </c>
      <c r="U9" s="55" t="str">
        <f>IF($S9="","",INDEX(CASHBACK_RULES!$C$5:$C$304,$S9)&amp;" "&amp;INDEX(CASHBACK_RULES!$D$5:$D$304,$S9))</f>
        <v>VPBank JCB Z Card</v>
      </c>
      <c r="V9" s="55" t="str">
        <f>IF($S9="","",INDEX(CASHBACK_RULES!$E$5:$E$304,$S9)&amp;"")</f>
        <v>Group 2</v>
      </c>
      <c r="W9" s="55" t="str">
        <f>IF($S9="","",INDEX(CASHBACK_RULES!$F$5:$F$304,$S9)&amp;"")</f>
        <v>Entertainment / Fitness</v>
      </c>
      <c r="X9" s="26">
        <f>IF($S9="","",SUMIFS(TRANSACTIONS_MASTER!$Q$5:$Q$1204,TRANSACTIONS_MASTER!$D$5:$D$1204,$T9,TRANSACTIONS_MASTER!$Z$5:$Z$1204,$V9,TRANSACTIONS_MASTER!$C$5:$C$1204,$C$2))</f>
        <v>0</v>
      </c>
      <c r="Y9" s="25">
        <f>IF($S9="","",IF(ISNUMBER(INDEX(CASHBACK_RULES!$J$5:$J$304,$S9)),INDEX(CASHBACK_RULES!$J$5:$J$304,$S9),"∞"))</f>
        <v>500000</v>
      </c>
      <c r="Z9" s="25">
        <f>IF($S9="","",IF(ISNUMBER($Y9),MAX(0,$Y9-$X9),"∞"))</f>
        <v>500000</v>
      </c>
      <c r="AA9" s="27">
        <f>IF($S9="","",IF(ISNUMBER($Y9),IF($Y9=0,0,$X9/$Y9),""))</f>
        <v>0</v>
      </c>
    </row>
    <row r="10" ht="20" customHeight="1">
      <c r="A10" s="81" t="str">
        <f>IF($Q10="","",3)</f>
        <v/>
      </c>
      <c r="B10" s="57" t="str">
        <f>IF($Q10="","",INDEX(TRANSACTIONS_MASTER!$B$5:$B$1204,$Q10))</f>
        <v/>
      </c>
      <c r="C10" s="55" t="str">
        <f>IF($Q10="","",INDEX(TRANSACTIONS_MASTER!$F$5:$F$1204,$Q10))</f>
        <v/>
      </c>
      <c r="D10" s="55" t="str">
        <f>IF($Q10="","",INDEX(TRANSACTIONS_MASTER!$E$5:$E$1204,$Q10))</f>
        <v/>
      </c>
      <c r="E10" s="55" t="str">
        <f>IF($Q10="","",INDEX(TRANSACTIONS_MASTER!$G$5:$G$1204,$Q10)&amp;"")</f>
        <v/>
      </c>
      <c r="F10" s="29" t="str">
        <f>IF($Q10="","",INDEX(TRANSACTIONS_MASTER!$I$5:$I$1204,$Q10))</f>
        <v/>
      </c>
      <c r="G10" s="55" t="str">
        <f>IF($Q10="","",INDEX(TRANSACTIONS_MASTER!$K$5:$K$1204,$Q10))</f>
        <v/>
      </c>
      <c r="H10" s="25" t="str">
        <f>IF($Q10="","",INDEX(TRANSACTIONS_MASTER!$L$5:$L$1204,$Q10))</f>
        <v/>
      </c>
      <c r="I10" s="56" t="str">
        <f>IF($Q10="","",INDEX(TRANSACTIONS_MASTER!$N$5:$N$1204,$Q10))</f>
        <v/>
      </c>
      <c r="J10" s="25" t="str">
        <f>IF($Q10="","",INDEX(TRANSACTIONS_MASTER!$O$5:$O$1204,$Q10))</f>
        <v/>
      </c>
      <c r="K10" s="26" t="str">
        <f>IF($Q10="","",INDEX(TRANSACTIONS_MASTER!$Q$5:$Q$1204,$Q10))</f>
        <v/>
      </c>
      <c r="L10" s="25" t="str">
        <f>IF($Q10="","",INDEX(TRANSACTIONS_MASTER!$P$5:$P$1204,$Q10))</f>
        <v/>
      </c>
      <c r="M10" s="25" t="str">
        <f>IF($Q10="","",INDEX(TRANSACTIONS_MASTER!$AA$5:$AA$1204,$Q10))</f>
        <v/>
      </c>
      <c r="N10" s="25" t="str">
        <f>IF($Q10="","",INDEX(TRANSACTIONS_MASTER!$R$5:$R$1204,$Q10))</f>
        <v/>
      </c>
      <c r="O10" s="28" t="str">
        <f>IF($Q10="","",INDEX(TRANSACTIONS_MASTER!$AB$5:$AB$1204,$Q10))</f>
        <v/>
      </c>
      <c r="P10" s="55" t="str">
        <f>IF($Q10="","",INDEX(TRANSACTIONS_MASTER!$Z$5:$Z$1204,$Q10)&amp;"")</f>
        <v/>
      </c>
      <c r="Q10" s="67" t="str">
        <f>IFERROR(MATCH($C$2&amp;"|"&amp;3,TRANSACTIONS_MASTER!$AE$5:$AE$1204,0),"")</f>
        <v/>
      </c>
      <c r="S10" s="67">
        <f>IFERROR(MATCH(3,CASHBACK_RULES!$S$5:$S$304,0),"")</f>
        <v>9</v>
      </c>
      <c r="T10" s="55" t="str">
        <f>IF($S10="","",INDEX(CASHBACK_RULES!$B$5:$B$304,$S10))</f>
        <v>VPB-JCBZ</v>
      </c>
      <c r="U10" s="55" t="str">
        <f>IF($S10="","",INDEX(CASHBACK_RULES!$C$5:$C$304,$S10)&amp;" "&amp;INDEX(CASHBACK_RULES!$D$5:$D$304,$S10))</f>
        <v>VPBank JCB Z Card</v>
      </c>
      <c r="V10" s="55" t="str">
        <f>IF($S10="","",INDEX(CASHBACK_RULES!$E$5:$E$304,$S10)&amp;"")</f>
        <v>Group 3</v>
      </c>
      <c r="W10" s="55" t="str">
        <f>IF($S10="","",INDEX(CASHBACK_RULES!$F$5:$F$304,$S10)&amp;"")</f>
        <v>Transport / Food Delivery</v>
      </c>
      <c r="X10" s="26">
        <f>IF($S10="","",SUMIFS(TRANSACTIONS_MASTER!$Q$5:$Q$1204,TRANSACTIONS_MASTER!$D$5:$D$1204,$T10,TRANSACTIONS_MASTER!$Z$5:$Z$1204,$V10,TRANSACTIONS_MASTER!$C$5:$C$1204,$C$2))</f>
        <v>0</v>
      </c>
      <c r="Y10" s="25">
        <f>IF($S10="","",IF(ISNUMBER(INDEX(CASHBACK_RULES!$J$5:$J$304,$S10)),INDEX(CASHBACK_RULES!$J$5:$J$304,$S10),"∞"))</f>
        <v>500000</v>
      </c>
      <c r="Z10" s="25">
        <f>IF($S10="","",IF(ISNUMBER($Y10),MAX(0,$Y10-$X10),"∞"))</f>
        <v>500000</v>
      </c>
      <c r="AA10" s="27">
        <f>IF($S10="","",IF(ISNUMBER($Y10),IF($Y10=0,0,$X10/$Y10),""))</f>
        <v>0</v>
      </c>
    </row>
    <row r="11" ht="20" customHeight="1">
      <c r="A11" s="81" t="str">
        <f>IF($Q11="","",4)</f>
        <v/>
      </c>
      <c r="B11" s="57" t="str">
        <f>IF($Q11="","",INDEX(TRANSACTIONS_MASTER!$B$5:$B$1204,$Q11))</f>
        <v/>
      </c>
      <c r="C11" s="55" t="str">
        <f>IF($Q11="","",INDEX(TRANSACTIONS_MASTER!$F$5:$F$1204,$Q11))</f>
        <v/>
      </c>
      <c r="D11" s="55" t="str">
        <f>IF($Q11="","",INDEX(TRANSACTIONS_MASTER!$E$5:$E$1204,$Q11))</f>
        <v/>
      </c>
      <c r="E11" s="55" t="str">
        <f>IF($Q11="","",INDEX(TRANSACTIONS_MASTER!$G$5:$G$1204,$Q11)&amp;"")</f>
        <v/>
      </c>
      <c r="F11" s="29" t="str">
        <f>IF($Q11="","",INDEX(TRANSACTIONS_MASTER!$I$5:$I$1204,$Q11))</f>
        <v/>
      </c>
      <c r="G11" s="55" t="str">
        <f>IF($Q11="","",INDEX(TRANSACTIONS_MASTER!$K$5:$K$1204,$Q11))</f>
        <v/>
      </c>
      <c r="H11" s="25" t="str">
        <f>IF($Q11="","",INDEX(TRANSACTIONS_MASTER!$L$5:$L$1204,$Q11))</f>
        <v/>
      </c>
      <c r="I11" s="56" t="str">
        <f>IF($Q11="","",INDEX(TRANSACTIONS_MASTER!$N$5:$N$1204,$Q11))</f>
        <v/>
      </c>
      <c r="J11" s="25" t="str">
        <f>IF($Q11="","",INDEX(TRANSACTIONS_MASTER!$O$5:$O$1204,$Q11))</f>
        <v/>
      </c>
      <c r="K11" s="26" t="str">
        <f>IF($Q11="","",INDEX(TRANSACTIONS_MASTER!$Q$5:$Q$1204,$Q11))</f>
        <v/>
      </c>
      <c r="L11" s="25" t="str">
        <f>IF($Q11="","",INDEX(TRANSACTIONS_MASTER!$P$5:$P$1204,$Q11))</f>
        <v/>
      </c>
      <c r="M11" s="25" t="str">
        <f>IF($Q11="","",INDEX(TRANSACTIONS_MASTER!$AA$5:$AA$1204,$Q11))</f>
        <v/>
      </c>
      <c r="N11" s="25" t="str">
        <f>IF($Q11="","",INDEX(TRANSACTIONS_MASTER!$R$5:$R$1204,$Q11))</f>
        <v/>
      </c>
      <c r="O11" s="28" t="str">
        <f>IF($Q11="","",INDEX(TRANSACTIONS_MASTER!$AB$5:$AB$1204,$Q11))</f>
        <v/>
      </c>
      <c r="P11" s="55" t="str">
        <f>IF($Q11="","",INDEX(TRANSACTIONS_MASTER!$Z$5:$Z$1204,$Q11)&amp;"")</f>
        <v/>
      </c>
      <c r="Q11" s="67" t="str">
        <f>IFERROR(MATCH($C$2&amp;"|"&amp;4,TRANSACTIONS_MASTER!$AE$5:$AE$1204,0),"")</f>
        <v/>
      </c>
      <c r="S11" s="67">
        <f>IFERROR(MATCH(4,CASHBACK_RULES!$S$5:$S$304,0),"")</f>
        <v>11</v>
      </c>
      <c r="T11" s="55" t="str">
        <f>IF($S11="","",INDEX(CASHBACK_RULES!$B$5:$B$304,$S11))</f>
        <v>VIB-A</v>
      </c>
      <c r="U11" s="55" t="str">
        <f>IF($S11="","",INDEX(CASHBACK_RULES!$C$5:$C$304,$S11)&amp;" "&amp;INDEX(CASHBACK_RULES!$D$5:$D$304,$S11))</f>
        <v>VIB Cashback Demo A</v>
      </c>
      <c r="V11" s="55" t="str">
        <f>IF($S11="","",INDEX(CASHBACK_RULES!$E$5:$E$304,$S11)&amp;"")</f>
        <v>Group 1</v>
      </c>
      <c r="W11" s="55" t="str">
        <f>IF($S11="","",INDEX(CASHBACK_RULES!$F$5:$F$304,$S11)&amp;"")</f>
        <v>Groceries</v>
      </c>
      <c r="X11" s="26">
        <f>IF($S11="","",SUMIFS(TRANSACTIONS_MASTER!$Q$5:$Q$1204,TRANSACTIONS_MASTER!$D$5:$D$1204,$T11,TRANSACTIONS_MASTER!$Z$5:$Z$1204,$V11,TRANSACTIONS_MASTER!$C$5:$C$1204,$C$2))</f>
        <v>0</v>
      </c>
      <c r="Y11" s="25">
        <f>IF($S11="","",IF(ISNUMBER(INDEX(CASHBACK_RULES!$J$5:$J$304,$S11)),INDEX(CASHBACK_RULES!$J$5:$J$304,$S11),"∞"))</f>
        <v>500000</v>
      </c>
      <c r="Z11" s="25">
        <f>IF($S11="","",IF(ISNUMBER($Y11),MAX(0,$Y11-$X11),"∞"))</f>
        <v>500000</v>
      </c>
      <c r="AA11" s="27">
        <f>IF($S11="","",IF(ISNUMBER($Y11),IF($Y11=0,0,$X11/$Y11),""))</f>
        <v>0</v>
      </c>
    </row>
    <row r="12" ht="20" customHeight="1">
      <c r="A12" s="81" t="str">
        <f>IF($Q12="","",5)</f>
        <v/>
      </c>
      <c r="B12" s="57" t="str">
        <f>IF($Q12="","",INDEX(TRANSACTIONS_MASTER!$B$5:$B$1204,$Q12))</f>
        <v/>
      </c>
      <c r="C12" s="55" t="str">
        <f>IF($Q12="","",INDEX(TRANSACTIONS_MASTER!$F$5:$F$1204,$Q12))</f>
        <v/>
      </c>
      <c r="D12" s="55" t="str">
        <f>IF($Q12="","",INDEX(TRANSACTIONS_MASTER!$E$5:$E$1204,$Q12))</f>
        <v/>
      </c>
      <c r="E12" s="55" t="str">
        <f>IF($Q12="","",INDEX(TRANSACTIONS_MASTER!$G$5:$G$1204,$Q12)&amp;"")</f>
        <v/>
      </c>
      <c r="F12" s="29" t="str">
        <f>IF($Q12="","",INDEX(TRANSACTIONS_MASTER!$I$5:$I$1204,$Q12))</f>
        <v/>
      </c>
      <c r="G12" s="55" t="str">
        <f>IF($Q12="","",INDEX(TRANSACTIONS_MASTER!$K$5:$K$1204,$Q12))</f>
        <v/>
      </c>
      <c r="H12" s="25" t="str">
        <f>IF($Q12="","",INDEX(TRANSACTIONS_MASTER!$L$5:$L$1204,$Q12))</f>
        <v/>
      </c>
      <c r="I12" s="56" t="str">
        <f>IF($Q12="","",INDEX(TRANSACTIONS_MASTER!$N$5:$N$1204,$Q12))</f>
        <v/>
      </c>
      <c r="J12" s="25" t="str">
        <f>IF($Q12="","",INDEX(TRANSACTIONS_MASTER!$O$5:$O$1204,$Q12))</f>
        <v/>
      </c>
      <c r="K12" s="26" t="str">
        <f>IF($Q12="","",INDEX(TRANSACTIONS_MASTER!$Q$5:$Q$1204,$Q12))</f>
        <v/>
      </c>
      <c r="L12" s="25" t="str">
        <f>IF($Q12="","",INDEX(TRANSACTIONS_MASTER!$P$5:$P$1204,$Q12))</f>
        <v/>
      </c>
      <c r="M12" s="25" t="str">
        <f>IF($Q12="","",INDEX(TRANSACTIONS_MASTER!$AA$5:$AA$1204,$Q12))</f>
        <v/>
      </c>
      <c r="N12" s="25" t="str">
        <f>IF($Q12="","",INDEX(TRANSACTIONS_MASTER!$R$5:$R$1204,$Q12))</f>
        <v/>
      </c>
      <c r="O12" s="28" t="str">
        <f>IF($Q12="","",INDEX(TRANSACTIONS_MASTER!$AB$5:$AB$1204,$Q12))</f>
        <v/>
      </c>
      <c r="P12" s="55" t="str">
        <f>IF($Q12="","",INDEX(TRANSACTIONS_MASTER!$Z$5:$Z$1204,$Q12)&amp;"")</f>
        <v/>
      </c>
      <c r="Q12" s="67" t="str">
        <f>IFERROR(MATCH($C$2&amp;"|"&amp;5,TRANSACTIONS_MASTER!$AE$5:$AE$1204,0),"")</f>
        <v/>
      </c>
      <c r="S12" s="67">
        <f>IFERROR(MATCH(5,CASHBACK_RULES!$S$5:$S$304,0),"")</f>
        <v>13</v>
      </c>
      <c r="T12" s="55" t="str">
        <f>IF($S12="","",INDEX(CASHBACK_RULES!$B$5:$B$304,$S12))</f>
        <v>VIB-A</v>
      </c>
      <c r="U12" s="55" t="str">
        <f>IF($S12="","",INDEX(CASHBACK_RULES!$C$5:$C$304,$S12)&amp;" "&amp;INDEX(CASHBACK_RULES!$D$5:$D$304,$S12))</f>
        <v>VIB Cashback Demo A</v>
      </c>
      <c r="V12" s="55" t="str">
        <f>IF($S12="","",INDEX(CASHBACK_RULES!$E$5:$E$304,$S12)&amp;"")</f>
        <v>Group 2</v>
      </c>
      <c r="W12" s="55" t="str">
        <f>IF($S12="","",INDEX(CASHBACK_RULES!$F$5:$F$304,$S12)&amp;"")</f>
        <v>Shopping</v>
      </c>
      <c r="X12" s="26">
        <f>IF($S12="","",SUMIFS(TRANSACTIONS_MASTER!$Q$5:$Q$1204,TRANSACTIONS_MASTER!$D$5:$D$1204,$T12,TRANSACTIONS_MASTER!$Z$5:$Z$1204,$V12,TRANSACTIONS_MASTER!$C$5:$C$1204,$C$2))</f>
        <v>0</v>
      </c>
      <c r="Y12" s="25">
        <f>IF($S12="","",IF(ISNUMBER(INDEX(CASHBACK_RULES!$J$5:$J$304,$S12)),INDEX(CASHBACK_RULES!$J$5:$J$304,$S12),"∞"))</f>
        <v>500000</v>
      </c>
      <c r="Z12" s="25">
        <f>IF($S12="","",IF(ISNUMBER($Y12),MAX(0,$Y12-$X12),"∞"))</f>
        <v>500000</v>
      </c>
      <c r="AA12" s="27">
        <f>IF($S12="","",IF(ISNUMBER($Y12),IF($Y12=0,0,$X12/$Y12),""))</f>
        <v>0</v>
      </c>
    </row>
    <row r="13" ht="20" customHeight="1">
      <c r="A13" s="81" t="str">
        <f>IF($Q13="","",6)</f>
        <v/>
      </c>
      <c r="B13" s="57" t="str">
        <f>IF($Q13="","",INDEX(TRANSACTIONS_MASTER!$B$5:$B$1204,$Q13))</f>
        <v/>
      </c>
      <c r="C13" s="55" t="str">
        <f>IF($Q13="","",INDEX(TRANSACTIONS_MASTER!$F$5:$F$1204,$Q13))</f>
        <v/>
      </c>
      <c r="D13" s="55" t="str">
        <f>IF($Q13="","",INDEX(TRANSACTIONS_MASTER!$E$5:$E$1204,$Q13))</f>
        <v/>
      </c>
      <c r="E13" s="55" t="str">
        <f>IF($Q13="","",INDEX(TRANSACTIONS_MASTER!$G$5:$G$1204,$Q13)&amp;"")</f>
        <v/>
      </c>
      <c r="F13" s="29" t="str">
        <f>IF($Q13="","",INDEX(TRANSACTIONS_MASTER!$I$5:$I$1204,$Q13))</f>
        <v/>
      </c>
      <c r="G13" s="55" t="str">
        <f>IF($Q13="","",INDEX(TRANSACTIONS_MASTER!$K$5:$K$1204,$Q13))</f>
        <v/>
      </c>
      <c r="H13" s="25" t="str">
        <f>IF($Q13="","",INDEX(TRANSACTIONS_MASTER!$L$5:$L$1204,$Q13))</f>
        <v/>
      </c>
      <c r="I13" s="56" t="str">
        <f>IF($Q13="","",INDEX(TRANSACTIONS_MASTER!$N$5:$N$1204,$Q13))</f>
        <v/>
      </c>
      <c r="J13" s="25" t="str">
        <f>IF($Q13="","",INDEX(TRANSACTIONS_MASTER!$O$5:$O$1204,$Q13))</f>
        <v/>
      </c>
      <c r="K13" s="26" t="str">
        <f>IF($Q13="","",INDEX(TRANSACTIONS_MASTER!$Q$5:$Q$1204,$Q13))</f>
        <v/>
      </c>
      <c r="L13" s="25" t="str">
        <f>IF($Q13="","",INDEX(TRANSACTIONS_MASTER!$P$5:$P$1204,$Q13))</f>
        <v/>
      </c>
      <c r="M13" s="25" t="str">
        <f>IF($Q13="","",INDEX(TRANSACTIONS_MASTER!$AA$5:$AA$1204,$Q13))</f>
        <v/>
      </c>
      <c r="N13" s="25" t="str">
        <f>IF($Q13="","",INDEX(TRANSACTIONS_MASTER!$R$5:$R$1204,$Q13))</f>
        <v/>
      </c>
      <c r="O13" s="28" t="str">
        <f>IF($Q13="","",INDEX(TRANSACTIONS_MASTER!$AB$5:$AB$1204,$Q13))</f>
        <v/>
      </c>
      <c r="P13" s="55" t="str">
        <f>IF($Q13="","",INDEX(TRANSACTIONS_MASTER!$Z$5:$Z$1204,$Q13)&amp;"")</f>
        <v/>
      </c>
      <c r="Q13" s="67" t="str">
        <f>IFERROR(MATCH($C$2&amp;"|"&amp;6,TRANSACTIONS_MASTER!$AE$5:$AE$1204,0),"")</f>
        <v/>
      </c>
      <c r="S13" s="67">
        <f>IFERROR(MATCH(6,CASHBACK_RULES!$S$5:$S$304,0),"")</f>
        <v>15</v>
      </c>
      <c r="T13" s="55" t="str">
        <f>IF($S13="","",INDEX(CASHBACK_RULES!$B$5:$B$304,$S13))</f>
        <v>TCB-B</v>
      </c>
      <c r="U13" s="55" t="str">
        <f>IF($S13="","",INDEX(CASHBACK_RULES!$C$5:$C$304,$S13)&amp;" "&amp;INDEX(CASHBACK_RULES!$D$5:$D$304,$S13))</f>
        <v>Techcombank Cashback Demo B</v>
      </c>
      <c r="V13" s="55" t="str">
        <f>IF($S13="","",INDEX(CASHBACK_RULES!$E$5:$E$304,$S13)&amp;"")</f>
        <v>Group 1</v>
      </c>
      <c r="W13" s="55" t="str">
        <f>IF($S13="","",INDEX(CASHBACK_RULES!$F$5:$F$304,$S13)&amp;"")</f>
        <v>Fuel &amp; Transport</v>
      </c>
      <c r="X13" s="26">
        <f>IF($S13="","",SUMIFS(TRANSACTIONS_MASTER!$Q$5:$Q$1204,TRANSACTIONS_MASTER!$D$5:$D$1204,$T13,TRANSACTIONS_MASTER!$Z$5:$Z$1204,$V13,TRANSACTIONS_MASTER!$C$5:$C$1204,$C$2))</f>
        <v>0</v>
      </c>
      <c r="Y13" s="25">
        <f>IF($S13="","",IF(ISNUMBER(INDEX(CASHBACK_RULES!$J$5:$J$304,$S13)),INDEX(CASHBACK_RULES!$J$5:$J$304,$S13),"∞"))</f>
        <v>300000</v>
      </c>
      <c r="Z13" s="25">
        <f>IF($S13="","",IF(ISNUMBER($Y13),MAX(0,$Y13-$X13),"∞"))</f>
        <v>300000</v>
      </c>
      <c r="AA13" s="27">
        <f>IF($S13="","",IF(ISNUMBER($Y13),IF($Y13=0,0,$X13/$Y13),""))</f>
        <v>0</v>
      </c>
    </row>
    <row r="14" ht="20" customHeight="1">
      <c r="A14" s="81" t="str">
        <f>IF($Q14="","",7)</f>
        <v/>
      </c>
      <c r="B14" s="57" t="str">
        <f>IF($Q14="","",INDEX(TRANSACTIONS_MASTER!$B$5:$B$1204,$Q14))</f>
        <v/>
      </c>
      <c r="C14" s="55" t="str">
        <f>IF($Q14="","",INDEX(TRANSACTIONS_MASTER!$F$5:$F$1204,$Q14))</f>
        <v/>
      </c>
      <c r="D14" s="55" t="str">
        <f>IF($Q14="","",INDEX(TRANSACTIONS_MASTER!$E$5:$E$1204,$Q14))</f>
        <v/>
      </c>
      <c r="E14" s="55" t="str">
        <f>IF($Q14="","",INDEX(TRANSACTIONS_MASTER!$G$5:$G$1204,$Q14)&amp;"")</f>
        <v/>
      </c>
      <c r="F14" s="29" t="str">
        <f>IF($Q14="","",INDEX(TRANSACTIONS_MASTER!$I$5:$I$1204,$Q14))</f>
        <v/>
      </c>
      <c r="G14" s="55" t="str">
        <f>IF($Q14="","",INDEX(TRANSACTIONS_MASTER!$K$5:$K$1204,$Q14))</f>
        <v/>
      </c>
      <c r="H14" s="25" t="str">
        <f>IF($Q14="","",INDEX(TRANSACTIONS_MASTER!$L$5:$L$1204,$Q14))</f>
        <v/>
      </c>
      <c r="I14" s="56" t="str">
        <f>IF($Q14="","",INDEX(TRANSACTIONS_MASTER!$N$5:$N$1204,$Q14))</f>
        <v/>
      </c>
      <c r="J14" s="25" t="str">
        <f>IF($Q14="","",INDEX(TRANSACTIONS_MASTER!$O$5:$O$1204,$Q14))</f>
        <v/>
      </c>
      <c r="K14" s="26" t="str">
        <f>IF($Q14="","",INDEX(TRANSACTIONS_MASTER!$Q$5:$Q$1204,$Q14))</f>
        <v/>
      </c>
      <c r="L14" s="25" t="str">
        <f>IF($Q14="","",INDEX(TRANSACTIONS_MASTER!$P$5:$P$1204,$Q14))</f>
        <v/>
      </c>
      <c r="M14" s="25" t="str">
        <f>IF($Q14="","",INDEX(TRANSACTIONS_MASTER!$AA$5:$AA$1204,$Q14))</f>
        <v/>
      </c>
      <c r="N14" s="25" t="str">
        <f>IF($Q14="","",INDEX(TRANSACTIONS_MASTER!$R$5:$R$1204,$Q14))</f>
        <v/>
      </c>
      <c r="O14" s="28" t="str">
        <f>IF($Q14="","",INDEX(TRANSACTIONS_MASTER!$AB$5:$AB$1204,$Q14))</f>
        <v/>
      </c>
      <c r="P14" s="55" t="str">
        <f>IF($Q14="","",INDEX(TRANSACTIONS_MASTER!$Z$5:$Z$1204,$Q14)&amp;"")</f>
        <v/>
      </c>
      <c r="Q14" s="67" t="str">
        <f>IFERROR(MATCH($C$2&amp;"|"&amp;7,TRANSACTIONS_MASTER!$AE$5:$AE$1204,0),"")</f>
        <v/>
      </c>
      <c r="S14" s="67">
        <f>IFERROR(MATCH(7,CASHBACK_RULES!$S$5:$S$304,0),"")</f>
        <v>18</v>
      </c>
      <c r="T14" s="55" t="str">
        <f>IF($S14="","",INDEX(CASHBACK_RULES!$B$5:$B$304,$S14))</f>
        <v>TCB-B</v>
      </c>
      <c r="U14" s="55" t="str">
        <f>IF($S14="","",INDEX(CASHBACK_RULES!$C$5:$C$304,$S14)&amp;" "&amp;INDEX(CASHBACK_RULES!$D$5:$D$304,$S14))</f>
        <v>Techcombank Cashback Demo B</v>
      </c>
      <c r="V14" s="55" t="str">
        <f>IF($S14="","",INDEX(CASHBACK_RULES!$E$5:$E$304,$S14)&amp;"")</f>
        <v>Group 2</v>
      </c>
      <c r="W14" s="55" t="str">
        <f>IF($S14="","",INDEX(CASHBACK_RULES!$F$5:$F$304,$S14)&amp;"")</f>
        <v>Healthcare</v>
      </c>
      <c r="X14" s="26">
        <f>IF($S14="","",SUMIFS(TRANSACTIONS_MASTER!$Q$5:$Q$1204,TRANSACTIONS_MASTER!$D$5:$D$1204,$T14,TRANSACTIONS_MASTER!$Z$5:$Z$1204,$V14,TRANSACTIONS_MASTER!$C$5:$C$1204,$C$2))</f>
        <v>0</v>
      </c>
      <c r="Y14" s="25">
        <f>IF($S14="","",IF(ISNUMBER(INDEX(CASHBACK_RULES!$J$5:$J$304,$S14)),INDEX(CASHBACK_RULES!$J$5:$J$304,$S14),"∞"))</f>
        <v>300000</v>
      </c>
      <c r="Z14" s="25">
        <f>IF($S14="","",IF(ISNUMBER($Y14),MAX(0,$Y14-$X14),"∞"))</f>
        <v>300000</v>
      </c>
      <c r="AA14" s="27">
        <f>IF($S14="","",IF(ISNUMBER($Y14),IF($Y14=0,0,$X14/$Y14),""))</f>
        <v>0</v>
      </c>
    </row>
    <row r="15" ht="20" customHeight="1">
      <c r="A15" s="81" t="str">
        <f>IF($Q15="","",8)</f>
        <v/>
      </c>
      <c r="B15" s="57" t="str">
        <f>IF($Q15="","",INDEX(TRANSACTIONS_MASTER!$B$5:$B$1204,$Q15))</f>
        <v/>
      </c>
      <c r="C15" s="55" t="str">
        <f>IF($Q15="","",INDEX(TRANSACTIONS_MASTER!$F$5:$F$1204,$Q15))</f>
        <v/>
      </c>
      <c r="D15" s="55" t="str">
        <f>IF($Q15="","",INDEX(TRANSACTIONS_MASTER!$E$5:$E$1204,$Q15))</f>
        <v/>
      </c>
      <c r="E15" s="55" t="str">
        <f>IF($Q15="","",INDEX(TRANSACTIONS_MASTER!$G$5:$G$1204,$Q15)&amp;"")</f>
        <v/>
      </c>
      <c r="F15" s="29" t="str">
        <f>IF($Q15="","",INDEX(TRANSACTIONS_MASTER!$I$5:$I$1204,$Q15))</f>
        <v/>
      </c>
      <c r="G15" s="55" t="str">
        <f>IF($Q15="","",INDEX(TRANSACTIONS_MASTER!$K$5:$K$1204,$Q15))</f>
        <v/>
      </c>
      <c r="H15" s="25" t="str">
        <f>IF($Q15="","",INDEX(TRANSACTIONS_MASTER!$L$5:$L$1204,$Q15))</f>
        <v/>
      </c>
      <c r="I15" s="56" t="str">
        <f>IF($Q15="","",INDEX(TRANSACTIONS_MASTER!$N$5:$N$1204,$Q15))</f>
        <v/>
      </c>
      <c r="J15" s="25" t="str">
        <f>IF($Q15="","",INDEX(TRANSACTIONS_MASTER!$O$5:$O$1204,$Q15))</f>
        <v/>
      </c>
      <c r="K15" s="26" t="str">
        <f>IF($Q15="","",INDEX(TRANSACTIONS_MASTER!$Q$5:$Q$1204,$Q15))</f>
        <v/>
      </c>
      <c r="L15" s="25" t="str">
        <f>IF($Q15="","",INDEX(TRANSACTIONS_MASTER!$P$5:$P$1204,$Q15))</f>
        <v/>
      </c>
      <c r="M15" s="25" t="str">
        <f>IF($Q15="","",INDEX(TRANSACTIONS_MASTER!$AA$5:$AA$1204,$Q15))</f>
        <v/>
      </c>
      <c r="N15" s="25" t="str">
        <f>IF($Q15="","",INDEX(TRANSACTIONS_MASTER!$R$5:$R$1204,$Q15))</f>
        <v/>
      </c>
      <c r="O15" s="28" t="str">
        <f>IF($Q15="","",INDEX(TRANSACTIONS_MASTER!$AB$5:$AB$1204,$Q15))</f>
        <v/>
      </c>
      <c r="P15" s="55" t="str">
        <f>IF($Q15="","",INDEX(TRANSACTIONS_MASTER!$Z$5:$Z$1204,$Q15)&amp;"")</f>
        <v/>
      </c>
      <c r="Q15" s="67" t="str">
        <f>IFERROR(MATCH($C$2&amp;"|"&amp;8,TRANSACTIONS_MASTER!$AE$5:$AE$1204,0),"")</f>
        <v/>
      </c>
      <c r="S15" s="67">
        <f>IFERROR(MATCH(8,CASHBACK_RULES!$S$5:$S$304,0),"")</f>
        <v>20</v>
      </c>
      <c r="T15" s="55" t="str">
        <f>IF($S15="","",INDEX(CASHBACK_RULES!$B$5:$B$304,$S15))</f>
        <v>TCB-B</v>
      </c>
      <c r="U15" s="55" t="str">
        <f>IF($S15="","",INDEX(CASHBACK_RULES!$C$5:$C$304,$S15)&amp;" "&amp;INDEX(CASHBACK_RULES!$D$5:$D$304,$S15))</f>
        <v>Techcombank Cashback Demo B</v>
      </c>
      <c r="V15" s="55" t="str">
        <f>IF($S15="","",INDEX(CASHBACK_RULES!$E$5:$E$304,$S15)&amp;"")</f>
        <v>Group 3</v>
      </c>
      <c r="W15" s="55" t="str">
        <f>IF($S15="","",INDEX(CASHBACK_RULES!$F$5:$F$304,$S15)&amp;"")</f>
        <v>Utilities &amp; Telecom</v>
      </c>
      <c r="X15" s="26">
        <f>IF($S15="","",SUMIFS(TRANSACTIONS_MASTER!$Q$5:$Q$1204,TRANSACTIONS_MASTER!$D$5:$D$1204,$T15,TRANSACTIONS_MASTER!$Z$5:$Z$1204,$V15,TRANSACTIONS_MASTER!$C$5:$C$1204,$C$2))</f>
        <v>0</v>
      </c>
      <c r="Y15" s="25">
        <f>IF($S15="","",IF(ISNUMBER(INDEX(CASHBACK_RULES!$J$5:$J$304,$S15)),INDEX(CASHBACK_RULES!$J$5:$J$304,$S15),"∞"))</f>
        <v>300000</v>
      </c>
      <c r="Z15" s="25">
        <f>IF($S15="","",IF(ISNUMBER($Y15),MAX(0,$Y15-$X15),"∞"))</f>
        <v>300000</v>
      </c>
      <c r="AA15" s="27">
        <f>IF($S15="","",IF(ISNUMBER($Y15),IF($Y15=0,0,$X15/$Y15),""))</f>
        <v>0</v>
      </c>
    </row>
    <row r="16" ht="20" customHeight="1">
      <c r="A16" s="81" t="str">
        <f>IF($Q16="","",9)</f>
        <v/>
      </c>
      <c r="B16" s="57" t="str">
        <f>IF($Q16="","",INDEX(TRANSACTIONS_MASTER!$B$5:$B$1204,$Q16))</f>
        <v/>
      </c>
      <c r="C16" s="55" t="str">
        <f>IF($Q16="","",INDEX(TRANSACTIONS_MASTER!$F$5:$F$1204,$Q16))</f>
        <v/>
      </c>
      <c r="D16" s="55" t="str">
        <f>IF($Q16="","",INDEX(TRANSACTIONS_MASTER!$E$5:$E$1204,$Q16))</f>
        <v/>
      </c>
      <c r="E16" s="55" t="str">
        <f>IF($Q16="","",INDEX(TRANSACTIONS_MASTER!$G$5:$G$1204,$Q16)&amp;"")</f>
        <v/>
      </c>
      <c r="F16" s="29" t="str">
        <f>IF($Q16="","",INDEX(TRANSACTIONS_MASTER!$I$5:$I$1204,$Q16))</f>
        <v/>
      </c>
      <c r="G16" s="55" t="str">
        <f>IF($Q16="","",INDEX(TRANSACTIONS_MASTER!$K$5:$K$1204,$Q16))</f>
        <v/>
      </c>
      <c r="H16" s="25" t="str">
        <f>IF($Q16="","",INDEX(TRANSACTIONS_MASTER!$L$5:$L$1204,$Q16))</f>
        <v/>
      </c>
      <c r="I16" s="56" t="str">
        <f>IF($Q16="","",INDEX(TRANSACTIONS_MASTER!$N$5:$N$1204,$Q16))</f>
        <v/>
      </c>
      <c r="J16" s="25" t="str">
        <f>IF($Q16="","",INDEX(TRANSACTIONS_MASTER!$O$5:$O$1204,$Q16))</f>
        <v/>
      </c>
      <c r="K16" s="26" t="str">
        <f>IF($Q16="","",INDEX(TRANSACTIONS_MASTER!$Q$5:$Q$1204,$Q16))</f>
        <v/>
      </c>
      <c r="L16" s="25" t="str">
        <f>IF($Q16="","",INDEX(TRANSACTIONS_MASTER!$P$5:$P$1204,$Q16))</f>
        <v/>
      </c>
      <c r="M16" s="25" t="str">
        <f>IF($Q16="","",INDEX(TRANSACTIONS_MASTER!$AA$5:$AA$1204,$Q16))</f>
        <v/>
      </c>
      <c r="N16" s="25" t="str">
        <f>IF($Q16="","",INDEX(TRANSACTIONS_MASTER!$R$5:$R$1204,$Q16))</f>
        <v/>
      </c>
      <c r="O16" s="28" t="str">
        <f>IF($Q16="","",INDEX(TRANSACTIONS_MASTER!$AB$5:$AB$1204,$Q16))</f>
        <v/>
      </c>
      <c r="P16" s="55" t="str">
        <f>IF($Q16="","",INDEX(TRANSACTIONS_MASTER!$Z$5:$Z$1204,$Q16)&amp;"")</f>
        <v/>
      </c>
      <c r="Q16" s="67" t="str">
        <f>IFERROR(MATCH($C$2&amp;"|"&amp;9,TRANSACTIONS_MASTER!$AE$5:$AE$1204,0),"")</f>
        <v/>
      </c>
      <c r="S16" s="67">
        <f>IFERROR(MATCH(9,CASHBACK_RULES!$S$5:$S$304,0),"")</f>
        <v>22</v>
      </c>
      <c r="T16" s="55" t="str">
        <f>IF($S16="","",INDEX(CASHBACK_RULES!$B$5:$B$304,$S16))</f>
        <v>UOB-C</v>
      </c>
      <c r="U16" s="55" t="str">
        <f>IF($S16="","",INDEX(CASHBACK_RULES!$C$5:$C$304,$S16)&amp;" "&amp;INDEX(CASHBACK_RULES!$D$5:$D$304,$S16))</f>
        <v>UOB Cashback Demo C</v>
      </c>
      <c r="V16" s="55" t="str">
        <f>IF($S16="","",INDEX(CASHBACK_RULES!$E$5:$E$304,$S16)&amp;"")</f>
        <v>Group 1</v>
      </c>
      <c r="W16" s="55" t="str">
        <f>IF($S16="","",INDEX(CASHBACK_RULES!$F$5:$F$304,$S16)&amp;"")</f>
        <v>Dining</v>
      </c>
      <c r="X16" s="26">
        <f>IF($S16="","",SUMIFS(TRANSACTIONS_MASTER!$Q$5:$Q$1204,TRANSACTIONS_MASTER!$D$5:$D$1204,$T16,TRANSACTIONS_MASTER!$Z$5:$Z$1204,$V16,TRANSACTIONS_MASTER!$C$5:$C$1204,$C$2))</f>
        <v>0</v>
      </c>
      <c r="Y16" s="25">
        <f>IF($S16="","",IF(ISNUMBER(INDEX(CASHBACK_RULES!$J$5:$J$304,$S16)),INDEX(CASHBACK_RULES!$J$5:$J$304,$S16),"∞"))</f>
        <v>1000000</v>
      </c>
      <c r="Z16" s="25">
        <f>IF($S16="","",IF(ISNUMBER($Y16),MAX(0,$Y16-$X16),"∞"))</f>
        <v>1000000</v>
      </c>
      <c r="AA16" s="27">
        <f>IF($S16="","",IF(ISNUMBER($Y16),IF($Y16=0,0,$X16/$Y16),""))</f>
        <v>0</v>
      </c>
    </row>
    <row r="17" ht="20" customHeight="1">
      <c r="A17" s="81" t="str">
        <f>IF($Q17="","",10)</f>
        <v/>
      </c>
      <c r="B17" s="57" t="str">
        <f>IF($Q17="","",INDEX(TRANSACTIONS_MASTER!$B$5:$B$1204,$Q17))</f>
        <v/>
      </c>
      <c r="C17" s="55" t="str">
        <f>IF($Q17="","",INDEX(TRANSACTIONS_MASTER!$F$5:$F$1204,$Q17))</f>
        <v/>
      </c>
      <c r="D17" s="55" t="str">
        <f>IF($Q17="","",INDEX(TRANSACTIONS_MASTER!$E$5:$E$1204,$Q17))</f>
        <v/>
      </c>
      <c r="E17" s="55" t="str">
        <f>IF($Q17="","",INDEX(TRANSACTIONS_MASTER!$G$5:$G$1204,$Q17)&amp;"")</f>
        <v/>
      </c>
      <c r="F17" s="29" t="str">
        <f>IF($Q17="","",INDEX(TRANSACTIONS_MASTER!$I$5:$I$1204,$Q17))</f>
        <v/>
      </c>
      <c r="G17" s="55" t="str">
        <f>IF($Q17="","",INDEX(TRANSACTIONS_MASTER!$K$5:$K$1204,$Q17))</f>
        <v/>
      </c>
      <c r="H17" s="25" t="str">
        <f>IF($Q17="","",INDEX(TRANSACTIONS_MASTER!$L$5:$L$1204,$Q17))</f>
        <v/>
      </c>
      <c r="I17" s="56" t="str">
        <f>IF($Q17="","",INDEX(TRANSACTIONS_MASTER!$N$5:$N$1204,$Q17))</f>
        <v/>
      </c>
      <c r="J17" s="25" t="str">
        <f>IF($Q17="","",INDEX(TRANSACTIONS_MASTER!$O$5:$O$1204,$Q17))</f>
        <v/>
      </c>
      <c r="K17" s="26" t="str">
        <f>IF($Q17="","",INDEX(TRANSACTIONS_MASTER!$Q$5:$Q$1204,$Q17))</f>
        <v/>
      </c>
      <c r="L17" s="25" t="str">
        <f>IF($Q17="","",INDEX(TRANSACTIONS_MASTER!$P$5:$P$1204,$Q17))</f>
        <v/>
      </c>
      <c r="M17" s="25" t="str">
        <f>IF($Q17="","",INDEX(TRANSACTIONS_MASTER!$AA$5:$AA$1204,$Q17))</f>
        <v/>
      </c>
      <c r="N17" s="25" t="str">
        <f>IF($Q17="","",INDEX(TRANSACTIONS_MASTER!$R$5:$R$1204,$Q17))</f>
        <v/>
      </c>
      <c r="O17" s="28" t="str">
        <f>IF($Q17="","",INDEX(TRANSACTIONS_MASTER!$AB$5:$AB$1204,$Q17))</f>
        <v/>
      </c>
      <c r="P17" s="55" t="str">
        <f>IF($Q17="","",INDEX(TRANSACTIONS_MASTER!$Z$5:$Z$1204,$Q17)&amp;"")</f>
        <v/>
      </c>
      <c r="Q17" s="67" t="str">
        <f>IFERROR(MATCH($C$2&amp;"|"&amp;10,TRANSACTIONS_MASTER!$AE$5:$AE$1204,0),"")</f>
        <v/>
      </c>
      <c r="S17" s="67">
        <f>IFERROR(MATCH(10,CASHBACK_RULES!$S$5:$S$304,0),"")</f>
        <v>24</v>
      </c>
      <c r="T17" s="55" t="str">
        <f>IF($S17="","",INDEX(CASHBACK_RULES!$B$5:$B$304,$S17))</f>
        <v>MB-D</v>
      </c>
      <c r="U17" s="55" t="str">
        <f>IF($S17="","",INDEX(CASHBACK_RULES!$C$5:$C$304,$S17)&amp;" "&amp;INDEX(CASHBACK_RULES!$D$5:$D$304,$S17))</f>
        <v>MB Cashback Demo D</v>
      </c>
      <c r="V17" s="55" t="str">
        <f>IF($S17="","",INDEX(CASHBACK_RULES!$E$5:$E$304,$S17)&amp;"")</f>
        <v>Dining</v>
      </c>
      <c r="W17" s="55" t="str">
        <f>IF($S17="","",INDEX(CASHBACK_RULES!$F$5:$F$304,$S17)&amp;"")</f>
        <v>Dining</v>
      </c>
      <c r="X17" s="26">
        <f>IF($S17="","",SUMIFS(TRANSACTIONS_MASTER!$Q$5:$Q$1204,TRANSACTIONS_MASTER!$D$5:$D$1204,$T17,TRANSACTIONS_MASTER!$Z$5:$Z$1204,$V17,TRANSACTIONS_MASTER!$C$5:$C$1204,$C$2))</f>
        <v>0</v>
      </c>
      <c r="Y17" s="25">
        <f>IF($S17="","",IF(ISNUMBER(INDEX(CASHBACK_RULES!$J$5:$J$304,$S17)),INDEX(CASHBACK_RULES!$J$5:$J$304,$S17),"∞"))</f>
        <v>500000</v>
      </c>
      <c r="Z17" s="25">
        <f>IF($S17="","",IF(ISNUMBER($Y17),MAX(0,$Y17-$X17),"∞"))</f>
        <v>500000</v>
      </c>
      <c r="AA17" s="27">
        <f>IF($S17="","",IF(ISNUMBER($Y17),IF($Y17=0,0,$X17/$Y17),""))</f>
        <v>0</v>
      </c>
    </row>
    <row r="18" ht="20" customHeight="1">
      <c r="A18" s="81" t="str">
        <f>IF($Q18="","",11)</f>
        <v/>
      </c>
      <c r="B18" s="57" t="str">
        <f>IF($Q18="","",INDEX(TRANSACTIONS_MASTER!$B$5:$B$1204,$Q18))</f>
        <v/>
      </c>
      <c r="C18" s="55" t="str">
        <f>IF($Q18="","",INDEX(TRANSACTIONS_MASTER!$F$5:$F$1204,$Q18))</f>
        <v/>
      </c>
      <c r="D18" s="55" t="str">
        <f>IF($Q18="","",INDEX(TRANSACTIONS_MASTER!$E$5:$E$1204,$Q18))</f>
        <v/>
      </c>
      <c r="E18" s="55" t="str">
        <f>IF($Q18="","",INDEX(TRANSACTIONS_MASTER!$G$5:$G$1204,$Q18)&amp;"")</f>
        <v/>
      </c>
      <c r="F18" s="29" t="str">
        <f>IF($Q18="","",INDEX(TRANSACTIONS_MASTER!$I$5:$I$1204,$Q18))</f>
        <v/>
      </c>
      <c r="G18" s="55" t="str">
        <f>IF($Q18="","",INDEX(TRANSACTIONS_MASTER!$K$5:$K$1204,$Q18))</f>
        <v/>
      </c>
      <c r="H18" s="25" t="str">
        <f>IF($Q18="","",INDEX(TRANSACTIONS_MASTER!$L$5:$L$1204,$Q18))</f>
        <v/>
      </c>
      <c r="I18" s="56" t="str">
        <f>IF($Q18="","",INDEX(TRANSACTIONS_MASTER!$N$5:$N$1204,$Q18))</f>
        <v/>
      </c>
      <c r="J18" s="25" t="str">
        <f>IF($Q18="","",INDEX(TRANSACTIONS_MASTER!$O$5:$O$1204,$Q18))</f>
        <v/>
      </c>
      <c r="K18" s="26" t="str">
        <f>IF($Q18="","",INDEX(TRANSACTIONS_MASTER!$Q$5:$Q$1204,$Q18))</f>
        <v/>
      </c>
      <c r="L18" s="25" t="str">
        <f>IF($Q18="","",INDEX(TRANSACTIONS_MASTER!$P$5:$P$1204,$Q18))</f>
        <v/>
      </c>
      <c r="M18" s="25" t="str">
        <f>IF($Q18="","",INDEX(TRANSACTIONS_MASTER!$AA$5:$AA$1204,$Q18))</f>
        <v/>
      </c>
      <c r="N18" s="25" t="str">
        <f>IF($Q18="","",INDEX(TRANSACTIONS_MASTER!$R$5:$R$1204,$Q18))</f>
        <v/>
      </c>
      <c r="O18" s="28" t="str">
        <f>IF($Q18="","",INDEX(TRANSACTIONS_MASTER!$AB$5:$AB$1204,$Q18))</f>
        <v/>
      </c>
      <c r="P18" s="55" t="str">
        <f>IF($Q18="","",INDEX(TRANSACTIONS_MASTER!$Z$5:$Z$1204,$Q18)&amp;"")</f>
        <v/>
      </c>
      <c r="Q18" s="67" t="str">
        <f>IFERROR(MATCH($C$2&amp;"|"&amp;11,TRANSACTIONS_MASTER!$AE$5:$AE$1204,0),"")</f>
        <v/>
      </c>
      <c r="S18" s="67">
        <f>IFERROR(MATCH(11,CASHBACK_RULES!$S$5:$S$304,0),"")</f>
        <v>25</v>
      </c>
      <c r="T18" s="55" t="str">
        <f>IF($S18="","",INDEX(CASHBACK_RULES!$B$5:$B$304,$S18))</f>
        <v>MB-D</v>
      </c>
      <c r="U18" s="55" t="str">
        <f>IF($S18="","",INDEX(CASHBACK_RULES!$C$5:$C$304,$S18)&amp;" "&amp;INDEX(CASHBACK_RULES!$D$5:$D$304,$S18))</f>
        <v>MB Cashback Demo D</v>
      </c>
      <c r="V18" s="55" t="str">
        <f>IF($S18="","",INDEX(CASHBACK_RULES!$E$5:$E$304,$S18)&amp;"")</f>
        <v>Fuel</v>
      </c>
      <c r="W18" s="55" t="str">
        <f>IF($S18="","",INDEX(CASHBACK_RULES!$F$5:$F$304,$S18)&amp;"")</f>
        <v>Fuel</v>
      </c>
      <c r="X18" s="26">
        <f>IF($S18="","",SUMIFS(TRANSACTIONS_MASTER!$Q$5:$Q$1204,TRANSACTIONS_MASTER!$D$5:$D$1204,$T18,TRANSACTIONS_MASTER!$Z$5:$Z$1204,$V18,TRANSACTIONS_MASTER!$C$5:$C$1204,$C$2))</f>
        <v>0</v>
      </c>
      <c r="Y18" s="25">
        <f>IF($S18="","",IF(ISNUMBER(INDEX(CASHBACK_RULES!$J$5:$J$304,$S18)),INDEX(CASHBACK_RULES!$J$5:$J$304,$S18),"∞"))</f>
        <v>200000</v>
      </c>
      <c r="Z18" s="25">
        <f>IF($S18="","",IF(ISNUMBER($Y18),MAX(0,$Y18-$X18),"∞"))</f>
        <v>200000</v>
      </c>
      <c r="AA18" s="27">
        <f>IF($S18="","",IF(ISNUMBER($Y18),IF($Y18=0,0,$X18/$Y18),""))</f>
        <v>0</v>
      </c>
    </row>
    <row r="19" ht="20" customHeight="1">
      <c r="A19" s="81" t="str">
        <f>IF($Q19="","",12)</f>
        <v/>
      </c>
      <c r="B19" s="57" t="str">
        <f>IF($Q19="","",INDEX(TRANSACTIONS_MASTER!$B$5:$B$1204,$Q19))</f>
        <v/>
      </c>
      <c r="C19" s="55" t="str">
        <f>IF($Q19="","",INDEX(TRANSACTIONS_MASTER!$F$5:$F$1204,$Q19))</f>
        <v/>
      </c>
      <c r="D19" s="55" t="str">
        <f>IF($Q19="","",INDEX(TRANSACTIONS_MASTER!$E$5:$E$1204,$Q19))</f>
        <v/>
      </c>
      <c r="E19" s="55" t="str">
        <f>IF($Q19="","",INDEX(TRANSACTIONS_MASTER!$G$5:$G$1204,$Q19)&amp;"")</f>
        <v/>
      </c>
      <c r="F19" s="29" t="str">
        <f>IF($Q19="","",INDEX(TRANSACTIONS_MASTER!$I$5:$I$1204,$Q19))</f>
        <v/>
      </c>
      <c r="G19" s="55" t="str">
        <f>IF($Q19="","",INDEX(TRANSACTIONS_MASTER!$K$5:$K$1204,$Q19))</f>
        <v/>
      </c>
      <c r="H19" s="25" t="str">
        <f>IF($Q19="","",INDEX(TRANSACTIONS_MASTER!$L$5:$L$1204,$Q19))</f>
        <v/>
      </c>
      <c r="I19" s="56" t="str">
        <f>IF($Q19="","",INDEX(TRANSACTIONS_MASTER!$N$5:$N$1204,$Q19))</f>
        <v/>
      </c>
      <c r="J19" s="25" t="str">
        <f>IF($Q19="","",INDEX(TRANSACTIONS_MASTER!$O$5:$O$1204,$Q19))</f>
        <v/>
      </c>
      <c r="K19" s="26" t="str">
        <f>IF($Q19="","",INDEX(TRANSACTIONS_MASTER!$Q$5:$Q$1204,$Q19))</f>
        <v/>
      </c>
      <c r="L19" s="25" t="str">
        <f>IF($Q19="","",INDEX(TRANSACTIONS_MASTER!$P$5:$P$1204,$Q19))</f>
        <v/>
      </c>
      <c r="M19" s="25" t="str">
        <f>IF($Q19="","",INDEX(TRANSACTIONS_MASTER!$AA$5:$AA$1204,$Q19))</f>
        <v/>
      </c>
      <c r="N19" s="25" t="str">
        <f>IF($Q19="","",INDEX(TRANSACTIONS_MASTER!$R$5:$R$1204,$Q19))</f>
        <v/>
      </c>
      <c r="O19" s="28" t="str">
        <f>IF($Q19="","",INDEX(TRANSACTIONS_MASTER!$AB$5:$AB$1204,$Q19))</f>
        <v/>
      </c>
      <c r="P19" s="55" t="str">
        <f>IF($Q19="","",INDEX(TRANSACTIONS_MASTER!$Z$5:$Z$1204,$Q19)&amp;"")</f>
        <v/>
      </c>
      <c r="Q19" s="67" t="str">
        <f>IFERROR(MATCH($C$2&amp;"|"&amp;12,TRANSACTIONS_MASTER!$AE$5:$AE$1204,0),"")</f>
        <v/>
      </c>
      <c r="S19" s="67">
        <f>IFERROR(MATCH(12,CASHBACK_RULES!$S$5:$S$304,0),"")</f>
        <v>26</v>
      </c>
      <c r="T19" s="55" t="str">
        <f>IF($S19="","",INDEX(CASHBACK_RULES!$B$5:$B$304,$S19))</f>
        <v>MB-D</v>
      </c>
      <c r="U19" s="55" t="str">
        <f>IF($S19="","",INDEX(CASHBACK_RULES!$C$5:$C$304,$S19)&amp;" "&amp;INDEX(CASHBACK_RULES!$D$5:$D$304,$S19))</f>
        <v>MB Cashback Demo D</v>
      </c>
      <c r="V19" s="55" t="str">
        <f>IF($S19="","",INDEX(CASHBACK_RULES!$E$5:$E$304,$S19)&amp;"")</f>
        <v>Groceries</v>
      </c>
      <c r="W19" s="55" t="str">
        <f>IF($S19="","",INDEX(CASHBACK_RULES!$F$5:$F$304,$S19)&amp;"")</f>
        <v>Groceries</v>
      </c>
      <c r="X19" s="26">
        <f>IF($S19="","",SUMIFS(TRANSACTIONS_MASTER!$Q$5:$Q$1204,TRANSACTIONS_MASTER!$D$5:$D$1204,$T19,TRANSACTIONS_MASTER!$Z$5:$Z$1204,$V19,TRANSACTIONS_MASTER!$C$5:$C$1204,$C$2))</f>
        <v>0</v>
      </c>
      <c r="Y19" s="25">
        <f>IF($S19="","",IF(ISNUMBER(INDEX(CASHBACK_RULES!$J$5:$J$304,$S19)),INDEX(CASHBACK_RULES!$J$5:$J$304,$S19),"∞"))</f>
        <v>100000</v>
      </c>
      <c r="Z19" s="25">
        <f>IF($S19="","",IF(ISNUMBER($Y19),MAX(0,$Y19-$X19),"∞"))</f>
        <v>100000</v>
      </c>
      <c r="AA19" s="27">
        <f>IF($S19="","",IF(ISNUMBER($Y19),IF($Y19=0,0,$X19/$Y19),""))</f>
        <v>0</v>
      </c>
    </row>
    <row r="20" ht="20" customHeight="1">
      <c r="A20" s="81" t="str">
        <f>IF($Q20="","",13)</f>
        <v/>
      </c>
      <c r="B20" s="57" t="str">
        <f>IF($Q20="","",INDEX(TRANSACTIONS_MASTER!$B$5:$B$1204,$Q20))</f>
        <v/>
      </c>
      <c r="C20" s="55" t="str">
        <f>IF($Q20="","",INDEX(TRANSACTIONS_MASTER!$F$5:$F$1204,$Q20))</f>
        <v/>
      </c>
      <c r="D20" s="55" t="str">
        <f>IF($Q20="","",INDEX(TRANSACTIONS_MASTER!$E$5:$E$1204,$Q20))</f>
        <v/>
      </c>
      <c r="E20" s="55" t="str">
        <f>IF($Q20="","",INDEX(TRANSACTIONS_MASTER!$G$5:$G$1204,$Q20)&amp;"")</f>
        <v/>
      </c>
      <c r="F20" s="29" t="str">
        <f>IF($Q20="","",INDEX(TRANSACTIONS_MASTER!$I$5:$I$1204,$Q20))</f>
        <v/>
      </c>
      <c r="G20" s="55" t="str">
        <f>IF($Q20="","",INDEX(TRANSACTIONS_MASTER!$K$5:$K$1204,$Q20))</f>
        <v/>
      </c>
      <c r="H20" s="25" t="str">
        <f>IF($Q20="","",INDEX(TRANSACTIONS_MASTER!$L$5:$L$1204,$Q20))</f>
        <v/>
      </c>
      <c r="I20" s="56" t="str">
        <f>IF($Q20="","",INDEX(TRANSACTIONS_MASTER!$N$5:$N$1204,$Q20))</f>
        <v/>
      </c>
      <c r="J20" s="25" t="str">
        <f>IF($Q20="","",INDEX(TRANSACTIONS_MASTER!$O$5:$O$1204,$Q20))</f>
        <v/>
      </c>
      <c r="K20" s="26" t="str">
        <f>IF($Q20="","",INDEX(TRANSACTIONS_MASTER!$Q$5:$Q$1204,$Q20))</f>
        <v/>
      </c>
      <c r="L20" s="25" t="str">
        <f>IF($Q20="","",INDEX(TRANSACTIONS_MASTER!$P$5:$P$1204,$Q20))</f>
        <v/>
      </c>
      <c r="M20" s="25" t="str">
        <f>IF($Q20="","",INDEX(TRANSACTIONS_MASTER!$AA$5:$AA$1204,$Q20))</f>
        <v/>
      </c>
      <c r="N20" s="25" t="str">
        <f>IF($Q20="","",INDEX(TRANSACTIONS_MASTER!$R$5:$R$1204,$Q20))</f>
        <v/>
      </c>
      <c r="O20" s="28" t="str">
        <f>IF($Q20="","",INDEX(TRANSACTIONS_MASTER!$AB$5:$AB$1204,$Q20))</f>
        <v/>
      </c>
      <c r="P20" s="55" t="str">
        <f>IF($Q20="","",INDEX(TRANSACTIONS_MASTER!$Z$5:$Z$1204,$Q20)&amp;"")</f>
        <v/>
      </c>
      <c r="Q20" s="67" t="str">
        <f>IFERROR(MATCH($C$2&amp;"|"&amp;13,TRANSACTIONS_MASTER!$AE$5:$AE$1204,0),"")</f>
        <v/>
      </c>
      <c r="S20" s="67">
        <f>IFERROR(MATCH(13,CASHBACK_RULES!$S$5:$S$304,0),"")</f>
        <v>27</v>
      </c>
      <c r="T20" s="55" t="str">
        <f>IF($S20="","",INDEX(CASHBACK_RULES!$B$5:$B$304,$S20))</f>
        <v>MB-D</v>
      </c>
      <c r="U20" s="55" t="str">
        <f>IF($S20="","",INDEX(CASHBACK_RULES!$C$5:$C$304,$S20)&amp;" "&amp;INDEX(CASHBACK_RULES!$D$5:$D$304,$S20))</f>
        <v>MB Cashback Demo D</v>
      </c>
      <c r="V20" s="55" t="str">
        <f>IF($S20="","",INDEX(CASHBACK_RULES!$E$5:$E$304,$S20)&amp;"")</f>
        <v>Shopping</v>
      </c>
      <c r="W20" s="55" t="str">
        <f>IF($S20="","",INDEX(CASHBACK_RULES!$F$5:$F$304,$S20)&amp;"")</f>
        <v>Shopping</v>
      </c>
      <c r="X20" s="26">
        <f>IF($S20="","",SUMIFS(TRANSACTIONS_MASTER!$Q$5:$Q$1204,TRANSACTIONS_MASTER!$D$5:$D$1204,$T20,TRANSACTIONS_MASTER!$Z$5:$Z$1204,$V20,TRANSACTIONS_MASTER!$C$5:$C$1204,$C$2))</f>
        <v>0</v>
      </c>
      <c r="Y20" s="25">
        <f>IF($S20="","",IF(ISNUMBER(INDEX(CASHBACK_RULES!$J$5:$J$304,$S20)),INDEX(CASHBACK_RULES!$J$5:$J$304,$S20),"∞"))</f>
        <v>100000</v>
      </c>
      <c r="Z20" s="25">
        <f>IF($S20="","",IF(ISNUMBER($Y20),MAX(0,$Y20-$X20),"∞"))</f>
        <v>100000</v>
      </c>
      <c r="AA20" s="27">
        <f>IF($S20="","",IF(ISNUMBER($Y20),IF($Y20=0,0,$X20/$Y20),""))</f>
        <v>0</v>
      </c>
    </row>
    <row r="21" ht="20" customHeight="1">
      <c r="A21" s="81" t="str">
        <f>IF($Q21="","",14)</f>
        <v/>
      </c>
      <c r="B21" s="57" t="str">
        <f>IF($Q21="","",INDEX(TRANSACTIONS_MASTER!$B$5:$B$1204,$Q21))</f>
        <v/>
      </c>
      <c r="C21" s="55" t="str">
        <f>IF($Q21="","",INDEX(TRANSACTIONS_MASTER!$F$5:$F$1204,$Q21))</f>
        <v/>
      </c>
      <c r="D21" s="55" t="str">
        <f>IF($Q21="","",INDEX(TRANSACTIONS_MASTER!$E$5:$E$1204,$Q21))</f>
        <v/>
      </c>
      <c r="E21" s="55" t="str">
        <f>IF($Q21="","",INDEX(TRANSACTIONS_MASTER!$G$5:$G$1204,$Q21)&amp;"")</f>
        <v/>
      </c>
      <c r="F21" s="29" t="str">
        <f>IF($Q21="","",INDEX(TRANSACTIONS_MASTER!$I$5:$I$1204,$Q21))</f>
        <v/>
      </c>
      <c r="G21" s="55" t="str">
        <f>IF($Q21="","",INDEX(TRANSACTIONS_MASTER!$K$5:$K$1204,$Q21))</f>
        <v/>
      </c>
      <c r="H21" s="25" t="str">
        <f>IF($Q21="","",INDEX(TRANSACTIONS_MASTER!$L$5:$L$1204,$Q21))</f>
        <v/>
      </c>
      <c r="I21" s="56" t="str">
        <f>IF($Q21="","",INDEX(TRANSACTIONS_MASTER!$N$5:$N$1204,$Q21))</f>
        <v/>
      </c>
      <c r="J21" s="25" t="str">
        <f>IF($Q21="","",INDEX(TRANSACTIONS_MASTER!$O$5:$O$1204,$Q21))</f>
        <v/>
      </c>
      <c r="K21" s="26" t="str">
        <f>IF($Q21="","",INDEX(TRANSACTIONS_MASTER!$Q$5:$Q$1204,$Q21))</f>
        <v/>
      </c>
      <c r="L21" s="25" t="str">
        <f>IF($Q21="","",INDEX(TRANSACTIONS_MASTER!$P$5:$P$1204,$Q21))</f>
        <v/>
      </c>
      <c r="M21" s="25" t="str">
        <f>IF($Q21="","",INDEX(TRANSACTIONS_MASTER!$AA$5:$AA$1204,$Q21))</f>
        <v/>
      </c>
      <c r="N21" s="25" t="str">
        <f>IF($Q21="","",INDEX(TRANSACTIONS_MASTER!$R$5:$R$1204,$Q21))</f>
        <v/>
      </c>
      <c r="O21" s="28" t="str">
        <f>IF($Q21="","",INDEX(TRANSACTIONS_MASTER!$AB$5:$AB$1204,$Q21))</f>
        <v/>
      </c>
      <c r="P21" s="55" t="str">
        <f>IF($Q21="","",INDEX(TRANSACTIONS_MASTER!$Z$5:$Z$1204,$Q21)&amp;"")</f>
        <v/>
      </c>
      <c r="Q21" s="67" t="str">
        <f>IFERROR(MATCH($C$2&amp;"|"&amp;14,TRANSACTIONS_MASTER!$AE$5:$AE$1204,0),"")</f>
        <v/>
      </c>
      <c r="S21" s="67" t="str">
        <f>IFERROR(MATCH(14,CASHBACK_RULES!$S$5:$S$304,0),"")</f>
        <v/>
      </c>
      <c r="T21" s="55" t="str">
        <f>IF($S21="","",INDEX(CASHBACK_RULES!$B$5:$B$304,$S21))</f>
        <v/>
      </c>
      <c r="U21" s="55" t="str">
        <f>IF($S21="","",INDEX(CASHBACK_RULES!$C$5:$C$304,$S21)&amp;" "&amp;INDEX(CASHBACK_RULES!$D$5:$D$304,$S21))</f>
        <v/>
      </c>
      <c r="V21" s="55" t="str">
        <f>IF($S21="","",INDEX(CASHBACK_RULES!$E$5:$E$304,$S21)&amp;"")</f>
        <v/>
      </c>
      <c r="W21" s="55" t="str">
        <f>IF($S21="","",INDEX(CASHBACK_RULES!$F$5:$F$304,$S21)&amp;"")</f>
        <v/>
      </c>
      <c r="X21" s="26" t="str">
        <f>IF($S21="","",SUMIFS(TRANSACTIONS_MASTER!$Q$5:$Q$1204,TRANSACTIONS_MASTER!$D$5:$D$1204,$T21,TRANSACTIONS_MASTER!$Z$5:$Z$1204,$V21,TRANSACTIONS_MASTER!$C$5:$C$1204,$C$2))</f>
        <v/>
      </c>
      <c r="Y21" s="25" t="str">
        <f>IF($S21="","",IF(ISNUMBER(INDEX(CASHBACK_RULES!$J$5:$J$304,$S21)),INDEX(CASHBACK_RULES!$J$5:$J$304,$S21),"∞"))</f>
        <v/>
      </c>
      <c r="Z21" s="25" t="str">
        <f>IF($S21="","",IF(ISNUMBER($Y21),MAX(0,$Y21-$X21),"∞"))</f>
        <v/>
      </c>
      <c r="AA21" s="27" t="str">
        <f>IF($S21="","",IF(ISNUMBER($Y21),IF($Y21=0,0,$X21/$Y21),""))</f>
        <v/>
      </c>
    </row>
    <row r="22" ht="20" customHeight="1">
      <c r="A22" s="81" t="str">
        <f>IF($Q22="","",15)</f>
        <v/>
      </c>
      <c r="B22" s="57" t="str">
        <f>IF($Q22="","",INDEX(TRANSACTIONS_MASTER!$B$5:$B$1204,$Q22))</f>
        <v/>
      </c>
      <c r="C22" s="55" t="str">
        <f>IF($Q22="","",INDEX(TRANSACTIONS_MASTER!$F$5:$F$1204,$Q22))</f>
        <v/>
      </c>
      <c r="D22" s="55" t="str">
        <f>IF($Q22="","",INDEX(TRANSACTIONS_MASTER!$E$5:$E$1204,$Q22))</f>
        <v/>
      </c>
      <c r="E22" s="55" t="str">
        <f>IF($Q22="","",INDEX(TRANSACTIONS_MASTER!$G$5:$G$1204,$Q22)&amp;"")</f>
        <v/>
      </c>
      <c r="F22" s="29" t="str">
        <f>IF($Q22="","",INDEX(TRANSACTIONS_MASTER!$I$5:$I$1204,$Q22))</f>
        <v/>
      </c>
      <c r="G22" s="55" t="str">
        <f>IF($Q22="","",INDEX(TRANSACTIONS_MASTER!$K$5:$K$1204,$Q22))</f>
        <v/>
      </c>
      <c r="H22" s="25" t="str">
        <f>IF($Q22="","",INDEX(TRANSACTIONS_MASTER!$L$5:$L$1204,$Q22))</f>
        <v/>
      </c>
      <c r="I22" s="56" t="str">
        <f>IF($Q22="","",INDEX(TRANSACTIONS_MASTER!$N$5:$N$1204,$Q22))</f>
        <v/>
      </c>
      <c r="J22" s="25" t="str">
        <f>IF($Q22="","",INDEX(TRANSACTIONS_MASTER!$O$5:$O$1204,$Q22))</f>
        <v/>
      </c>
      <c r="K22" s="26" t="str">
        <f>IF($Q22="","",INDEX(TRANSACTIONS_MASTER!$Q$5:$Q$1204,$Q22))</f>
        <v/>
      </c>
      <c r="L22" s="25" t="str">
        <f>IF($Q22="","",INDEX(TRANSACTIONS_MASTER!$P$5:$P$1204,$Q22))</f>
        <v/>
      </c>
      <c r="M22" s="25" t="str">
        <f>IF($Q22="","",INDEX(TRANSACTIONS_MASTER!$AA$5:$AA$1204,$Q22))</f>
        <v/>
      </c>
      <c r="N22" s="25" t="str">
        <f>IF($Q22="","",INDEX(TRANSACTIONS_MASTER!$R$5:$R$1204,$Q22))</f>
        <v/>
      </c>
      <c r="O22" s="28" t="str">
        <f>IF($Q22="","",INDEX(TRANSACTIONS_MASTER!$AB$5:$AB$1204,$Q22))</f>
        <v/>
      </c>
      <c r="P22" s="55" t="str">
        <f>IF($Q22="","",INDEX(TRANSACTIONS_MASTER!$Z$5:$Z$1204,$Q22)&amp;"")</f>
        <v/>
      </c>
      <c r="Q22" s="67" t="str">
        <f>IFERROR(MATCH($C$2&amp;"|"&amp;15,TRANSACTIONS_MASTER!$AE$5:$AE$1204,0),"")</f>
        <v/>
      </c>
      <c r="S22" s="67" t="str">
        <f>IFERROR(MATCH(15,CASHBACK_RULES!$S$5:$S$304,0),"")</f>
        <v/>
      </c>
      <c r="T22" s="55" t="str">
        <f>IF($S22="","",INDEX(CASHBACK_RULES!$B$5:$B$304,$S22))</f>
        <v/>
      </c>
      <c r="U22" s="55" t="str">
        <f>IF($S22="","",INDEX(CASHBACK_RULES!$C$5:$C$304,$S22)&amp;" "&amp;INDEX(CASHBACK_RULES!$D$5:$D$304,$S22))</f>
        <v/>
      </c>
      <c r="V22" s="55" t="str">
        <f>IF($S22="","",INDEX(CASHBACK_RULES!$E$5:$E$304,$S22)&amp;"")</f>
        <v/>
      </c>
      <c r="W22" s="55" t="str">
        <f>IF($S22="","",INDEX(CASHBACK_RULES!$F$5:$F$304,$S22)&amp;"")</f>
        <v/>
      </c>
      <c r="X22" s="26" t="str">
        <f>IF($S22="","",SUMIFS(TRANSACTIONS_MASTER!$Q$5:$Q$1204,TRANSACTIONS_MASTER!$D$5:$D$1204,$T22,TRANSACTIONS_MASTER!$Z$5:$Z$1204,$V22,TRANSACTIONS_MASTER!$C$5:$C$1204,$C$2))</f>
        <v/>
      </c>
      <c r="Y22" s="25" t="str">
        <f>IF($S22="","",IF(ISNUMBER(INDEX(CASHBACK_RULES!$J$5:$J$304,$S22)),INDEX(CASHBACK_RULES!$J$5:$J$304,$S22),"∞"))</f>
        <v/>
      </c>
      <c r="Z22" s="25" t="str">
        <f>IF($S22="","",IF(ISNUMBER($Y22),MAX(0,$Y22-$X22),"∞"))</f>
        <v/>
      </c>
      <c r="AA22" s="27" t="str">
        <f>IF($S22="","",IF(ISNUMBER($Y22),IF($Y22=0,0,$X22/$Y22),""))</f>
        <v/>
      </c>
    </row>
    <row r="23" ht="20" customHeight="1">
      <c r="A23" s="81" t="str">
        <f>IF($Q23="","",16)</f>
        <v/>
      </c>
      <c r="B23" s="57" t="str">
        <f>IF($Q23="","",INDEX(TRANSACTIONS_MASTER!$B$5:$B$1204,$Q23))</f>
        <v/>
      </c>
      <c r="C23" s="55" t="str">
        <f>IF($Q23="","",INDEX(TRANSACTIONS_MASTER!$F$5:$F$1204,$Q23))</f>
        <v/>
      </c>
      <c r="D23" s="55" t="str">
        <f>IF($Q23="","",INDEX(TRANSACTIONS_MASTER!$E$5:$E$1204,$Q23))</f>
        <v/>
      </c>
      <c r="E23" s="55" t="str">
        <f>IF($Q23="","",INDEX(TRANSACTIONS_MASTER!$G$5:$G$1204,$Q23)&amp;"")</f>
        <v/>
      </c>
      <c r="F23" s="29" t="str">
        <f>IF($Q23="","",INDEX(TRANSACTIONS_MASTER!$I$5:$I$1204,$Q23))</f>
        <v/>
      </c>
      <c r="G23" s="55" t="str">
        <f>IF($Q23="","",INDEX(TRANSACTIONS_MASTER!$K$5:$K$1204,$Q23))</f>
        <v/>
      </c>
      <c r="H23" s="25" t="str">
        <f>IF($Q23="","",INDEX(TRANSACTIONS_MASTER!$L$5:$L$1204,$Q23))</f>
        <v/>
      </c>
      <c r="I23" s="56" t="str">
        <f>IF($Q23="","",INDEX(TRANSACTIONS_MASTER!$N$5:$N$1204,$Q23))</f>
        <v/>
      </c>
      <c r="J23" s="25" t="str">
        <f>IF($Q23="","",INDEX(TRANSACTIONS_MASTER!$O$5:$O$1204,$Q23))</f>
        <v/>
      </c>
      <c r="K23" s="26" t="str">
        <f>IF($Q23="","",INDEX(TRANSACTIONS_MASTER!$Q$5:$Q$1204,$Q23))</f>
        <v/>
      </c>
      <c r="L23" s="25" t="str">
        <f>IF($Q23="","",INDEX(TRANSACTIONS_MASTER!$P$5:$P$1204,$Q23))</f>
        <v/>
      </c>
      <c r="M23" s="25" t="str">
        <f>IF($Q23="","",INDEX(TRANSACTIONS_MASTER!$AA$5:$AA$1204,$Q23))</f>
        <v/>
      </c>
      <c r="N23" s="25" t="str">
        <f>IF($Q23="","",INDEX(TRANSACTIONS_MASTER!$R$5:$R$1204,$Q23))</f>
        <v/>
      </c>
      <c r="O23" s="28" t="str">
        <f>IF($Q23="","",INDEX(TRANSACTIONS_MASTER!$AB$5:$AB$1204,$Q23))</f>
        <v/>
      </c>
      <c r="P23" s="55" t="str">
        <f>IF($Q23="","",INDEX(TRANSACTIONS_MASTER!$Z$5:$Z$1204,$Q23)&amp;"")</f>
        <v/>
      </c>
      <c r="Q23" s="67" t="str">
        <f>IFERROR(MATCH($C$2&amp;"|"&amp;16,TRANSACTIONS_MASTER!$AE$5:$AE$1204,0),"")</f>
        <v/>
      </c>
      <c r="S23" s="67" t="str">
        <f>IFERROR(MATCH(16,CASHBACK_RULES!$S$5:$S$304,0),"")</f>
        <v/>
      </c>
      <c r="T23" s="55" t="str">
        <f>IF($S23="","",INDEX(CASHBACK_RULES!$B$5:$B$304,$S23))</f>
        <v/>
      </c>
      <c r="U23" s="55" t="str">
        <f>IF($S23="","",INDEX(CASHBACK_RULES!$C$5:$C$304,$S23)&amp;" "&amp;INDEX(CASHBACK_RULES!$D$5:$D$304,$S23))</f>
        <v/>
      </c>
      <c r="V23" s="55" t="str">
        <f>IF($S23="","",INDEX(CASHBACK_RULES!$E$5:$E$304,$S23)&amp;"")</f>
        <v/>
      </c>
      <c r="W23" s="55" t="str">
        <f>IF($S23="","",INDEX(CASHBACK_RULES!$F$5:$F$304,$S23)&amp;"")</f>
        <v/>
      </c>
      <c r="X23" s="26" t="str">
        <f>IF($S23="","",SUMIFS(TRANSACTIONS_MASTER!$Q$5:$Q$1204,TRANSACTIONS_MASTER!$D$5:$D$1204,$T23,TRANSACTIONS_MASTER!$Z$5:$Z$1204,$V23,TRANSACTIONS_MASTER!$C$5:$C$1204,$C$2))</f>
        <v/>
      </c>
      <c r="Y23" s="25" t="str">
        <f>IF($S23="","",IF(ISNUMBER(INDEX(CASHBACK_RULES!$J$5:$J$304,$S23)),INDEX(CASHBACK_RULES!$J$5:$J$304,$S23),"∞"))</f>
        <v/>
      </c>
      <c r="Z23" s="25" t="str">
        <f>IF($S23="","",IF(ISNUMBER($Y23),MAX(0,$Y23-$X23),"∞"))</f>
        <v/>
      </c>
      <c r="AA23" s="27" t="str">
        <f>IF($S23="","",IF(ISNUMBER($Y23),IF($Y23=0,0,$X23/$Y23),""))</f>
        <v/>
      </c>
    </row>
    <row r="24" ht="20" customHeight="1">
      <c r="A24" s="81" t="str">
        <f>IF($Q24="","",17)</f>
        <v/>
      </c>
      <c r="B24" s="57" t="str">
        <f>IF($Q24="","",INDEX(TRANSACTIONS_MASTER!$B$5:$B$1204,$Q24))</f>
        <v/>
      </c>
      <c r="C24" s="55" t="str">
        <f>IF($Q24="","",INDEX(TRANSACTIONS_MASTER!$F$5:$F$1204,$Q24))</f>
        <v/>
      </c>
      <c r="D24" s="55" t="str">
        <f>IF($Q24="","",INDEX(TRANSACTIONS_MASTER!$E$5:$E$1204,$Q24))</f>
        <v/>
      </c>
      <c r="E24" s="55" t="str">
        <f>IF($Q24="","",INDEX(TRANSACTIONS_MASTER!$G$5:$G$1204,$Q24)&amp;"")</f>
        <v/>
      </c>
      <c r="F24" s="29" t="str">
        <f>IF($Q24="","",INDEX(TRANSACTIONS_MASTER!$I$5:$I$1204,$Q24))</f>
        <v/>
      </c>
      <c r="G24" s="55" t="str">
        <f>IF($Q24="","",INDEX(TRANSACTIONS_MASTER!$K$5:$K$1204,$Q24))</f>
        <v/>
      </c>
      <c r="H24" s="25" t="str">
        <f>IF($Q24="","",INDEX(TRANSACTIONS_MASTER!$L$5:$L$1204,$Q24))</f>
        <v/>
      </c>
      <c r="I24" s="56" t="str">
        <f>IF($Q24="","",INDEX(TRANSACTIONS_MASTER!$N$5:$N$1204,$Q24))</f>
        <v/>
      </c>
      <c r="J24" s="25" t="str">
        <f>IF($Q24="","",INDEX(TRANSACTIONS_MASTER!$O$5:$O$1204,$Q24))</f>
        <v/>
      </c>
      <c r="K24" s="26" t="str">
        <f>IF($Q24="","",INDEX(TRANSACTIONS_MASTER!$Q$5:$Q$1204,$Q24))</f>
        <v/>
      </c>
      <c r="L24" s="25" t="str">
        <f>IF($Q24="","",INDEX(TRANSACTIONS_MASTER!$P$5:$P$1204,$Q24))</f>
        <v/>
      </c>
      <c r="M24" s="25" t="str">
        <f>IF($Q24="","",INDEX(TRANSACTIONS_MASTER!$AA$5:$AA$1204,$Q24))</f>
        <v/>
      </c>
      <c r="N24" s="25" t="str">
        <f>IF($Q24="","",INDEX(TRANSACTIONS_MASTER!$R$5:$R$1204,$Q24))</f>
        <v/>
      </c>
      <c r="O24" s="28" t="str">
        <f>IF($Q24="","",INDEX(TRANSACTIONS_MASTER!$AB$5:$AB$1204,$Q24))</f>
        <v/>
      </c>
      <c r="P24" s="55" t="str">
        <f>IF($Q24="","",INDEX(TRANSACTIONS_MASTER!$Z$5:$Z$1204,$Q24)&amp;"")</f>
        <v/>
      </c>
      <c r="Q24" s="67" t="str">
        <f>IFERROR(MATCH($C$2&amp;"|"&amp;17,TRANSACTIONS_MASTER!$AE$5:$AE$1204,0),"")</f>
        <v/>
      </c>
      <c r="S24" s="67" t="str">
        <f>IFERROR(MATCH(17,CASHBACK_RULES!$S$5:$S$304,0),"")</f>
        <v/>
      </c>
      <c r="T24" s="55" t="str">
        <f>IF($S24="","",INDEX(CASHBACK_RULES!$B$5:$B$304,$S24))</f>
        <v/>
      </c>
      <c r="U24" s="55" t="str">
        <f>IF($S24="","",INDEX(CASHBACK_RULES!$C$5:$C$304,$S24)&amp;" "&amp;INDEX(CASHBACK_RULES!$D$5:$D$304,$S24))</f>
        <v/>
      </c>
      <c r="V24" s="55" t="str">
        <f>IF($S24="","",INDEX(CASHBACK_RULES!$E$5:$E$304,$S24)&amp;"")</f>
        <v/>
      </c>
      <c r="W24" s="55" t="str">
        <f>IF($S24="","",INDEX(CASHBACK_RULES!$F$5:$F$304,$S24)&amp;"")</f>
        <v/>
      </c>
      <c r="X24" s="26" t="str">
        <f>IF($S24="","",SUMIFS(TRANSACTIONS_MASTER!$Q$5:$Q$1204,TRANSACTIONS_MASTER!$D$5:$D$1204,$T24,TRANSACTIONS_MASTER!$Z$5:$Z$1204,$V24,TRANSACTIONS_MASTER!$C$5:$C$1204,$C$2))</f>
        <v/>
      </c>
      <c r="Y24" s="25" t="str">
        <f>IF($S24="","",IF(ISNUMBER(INDEX(CASHBACK_RULES!$J$5:$J$304,$S24)),INDEX(CASHBACK_RULES!$J$5:$J$304,$S24),"∞"))</f>
        <v/>
      </c>
      <c r="Z24" s="25" t="str">
        <f>IF($S24="","",IF(ISNUMBER($Y24),MAX(0,$Y24-$X24),"∞"))</f>
        <v/>
      </c>
      <c r="AA24" s="27" t="str">
        <f>IF($S24="","",IF(ISNUMBER($Y24),IF($Y24=0,0,$X24/$Y24),""))</f>
        <v/>
      </c>
    </row>
    <row r="25" ht="20" customHeight="1">
      <c r="A25" s="81" t="str">
        <f>IF($Q25="","",18)</f>
        <v/>
      </c>
      <c r="B25" s="57" t="str">
        <f>IF($Q25="","",INDEX(TRANSACTIONS_MASTER!$B$5:$B$1204,$Q25))</f>
        <v/>
      </c>
      <c r="C25" s="55" t="str">
        <f>IF($Q25="","",INDEX(TRANSACTIONS_MASTER!$F$5:$F$1204,$Q25))</f>
        <v/>
      </c>
      <c r="D25" s="55" t="str">
        <f>IF($Q25="","",INDEX(TRANSACTIONS_MASTER!$E$5:$E$1204,$Q25))</f>
        <v/>
      </c>
      <c r="E25" s="55" t="str">
        <f>IF($Q25="","",INDEX(TRANSACTIONS_MASTER!$G$5:$G$1204,$Q25)&amp;"")</f>
        <v/>
      </c>
      <c r="F25" s="29" t="str">
        <f>IF($Q25="","",INDEX(TRANSACTIONS_MASTER!$I$5:$I$1204,$Q25))</f>
        <v/>
      </c>
      <c r="G25" s="55" t="str">
        <f>IF($Q25="","",INDEX(TRANSACTIONS_MASTER!$K$5:$K$1204,$Q25))</f>
        <v/>
      </c>
      <c r="H25" s="25" t="str">
        <f>IF($Q25="","",INDEX(TRANSACTIONS_MASTER!$L$5:$L$1204,$Q25))</f>
        <v/>
      </c>
      <c r="I25" s="56" t="str">
        <f>IF($Q25="","",INDEX(TRANSACTIONS_MASTER!$N$5:$N$1204,$Q25))</f>
        <v/>
      </c>
      <c r="J25" s="25" t="str">
        <f>IF($Q25="","",INDEX(TRANSACTIONS_MASTER!$O$5:$O$1204,$Q25))</f>
        <v/>
      </c>
      <c r="K25" s="26" t="str">
        <f>IF($Q25="","",INDEX(TRANSACTIONS_MASTER!$Q$5:$Q$1204,$Q25))</f>
        <v/>
      </c>
      <c r="L25" s="25" t="str">
        <f>IF($Q25="","",INDEX(TRANSACTIONS_MASTER!$P$5:$P$1204,$Q25))</f>
        <v/>
      </c>
      <c r="M25" s="25" t="str">
        <f>IF($Q25="","",INDEX(TRANSACTIONS_MASTER!$AA$5:$AA$1204,$Q25))</f>
        <v/>
      </c>
      <c r="N25" s="25" t="str">
        <f>IF($Q25="","",INDEX(TRANSACTIONS_MASTER!$R$5:$R$1204,$Q25))</f>
        <v/>
      </c>
      <c r="O25" s="28" t="str">
        <f>IF($Q25="","",INDEX(TRANSACTIONS_MASTER!$AB$5:$AB$1204,$Q25))</f>
        <v/>
      </c>
      <c r="P25" s="55" t="str">
        <f>IF($Q25="","",INDEX(TRANSACTIONS_MASTER!$Z$5:$Z$1204,$Q25)&amp;"")</f>
        <v/>
      </c>
      <c r="Q25" s="67" t="str">
        <f>IFERROR(MATCH($C$2&amp;"|"&amp;18,TRANSACTIONS_MASTER!$AE$5:$AE$1204,0),"")</f>
        <v/>
      </c>
      <c r="S25" s="67" t="str">
        <f>IFERROR(MATCH(18,CASHBACK_RULES!$S$5:$S$304,0),"")</f>
        <v/>
      </c>
      <c r="T25" s="55" t="str">
        <f>IF($S25="","",INDEX(CASHBACK_RULES!$B$5:$B$304,$S25))</f>
        <v/>
      </c>
      <c r="U25" s="55" t="str">
        <f>IF($S25="","",INDEX(CASHBACK_RULES!$C$5:$C$304,$S25)&amp;" "&amp;INDEX(CASHBACK_RULES!$D$5:$D$304,$S25))</f>
        <v/>
      </c>
      <c r="V25" s="55" t="str">
        <f>IF($S25="","",INDEX(CASHBACK_RULES!$E$5:$E$304,$S25)&amp;"")</f>
        <v/>
      </c>
      <c r="W25" s="55" t="str">
        <f>IF($S25="","",INDEX(CASHBACK_RULES!$F$5:$F$304,$S25)&amp;"")</f>
        <v/>
      </c>
      <c r="X25" s="26" t="str">
        <f>IF($S25="","",SUMIFS(TRANSACTIONS_MASTER!$Q$5:$Q$1204,TRANSACTIONS_MASTER!$D$5:$D$1204,$T25,TRANSACTIONS_MASTER!$Z$5:$Z$1204,$V25,TRANSACTIONS_MASTER!$C$5:$C$1204,$C$2))</f>
        <v/>
      </c>
      <c r="Y25" s="25" t="str">
        <f>IF($S25="","",IF(ISNUMBER(INDEX(CASHBACK_RULES!$J$5:$J$304,$S25)),INDEX(CASHBACK_RULES!$J$5:$J$304,$S25),"∞"))</f>
        <v/>
      </c>
      <c r="Z25" s="25" t="str">
        <f>IF($S25="","",IF(ISNUMBER($Y25),MAX(0,$Y25-$X25),"∞"))</f>
        <v/>
      </c>
      <c r="AA25" s="27" t="str">
        <f>IF($S25="","",IF(ISNUMBER($Y25),IF($Y25=0,0,$X25/$Y25),""))</f>
        <v/>
      </c>
    </row>
    <row r="26" ht="20" customHeight="1">
      <c r="A26" s="81" t="str">
        <f>IF($Q26="","",19)</f>
        <v/>
      </c>
      <c r="B26" s="57" t="str">
        <f>IF($Q26="","",INDEX(TRANSACTIONS_MASTER!$B$5:$B$1204,$Q26))</f>
        <v/>
      </c>
      <c r="C26" s="55" t="str">
        <f>IF($Q26="","",INDEX(TRANSACTIONS_MASTER!$F$5:$F$1204,$Q26))</f>
        <v/>
      </c>
      <c r="D26" s="55" t="str">
        <f>IF($Q26="","",INDEX(TRANSACTIONS_MASTER!$E$5:$E$1204,$Q26))</f>
        <v/>
      </c>
      <c r="E26" s="55" t="str">
        <f>IF($Q26="","",INDEX(TRANSACTIONS_MASTER!$G$5:$G$1204,$Q26)&amp;"")</f>
        <v/>
      </c>
      <c r="F26" s="29" t="str">
        <f>IF($Q26="","",INDEX(TRANSACTIONS_MASTER!$I$5:$I$1204,$Q26))</f>
        <v/>
      </c>
      <c r="G26" s="55" t="str">
        <f>IF($Q26="","",INDEX(TRANSACTIONS_MASTER!$K$5:$K$1204,$Q26))</f>
        <v/>
      </c>
      <c r="H26" s="25" t="str">
        <f>IF($Q26="","",INDEX(TRANSACTIONS_MASTER!$L$5:$L$1204,$Q26))</f>
        <v/>
      </c>
      <c r="I26" s="56" t="str">
        <f>IF($Q26="","",INDEX(TRANSACTIONS_MASTER!$N$5:$N$1204,$Q26))</f>
        <v/>
      </c>
      <c r="J26" s="25" t="str">
        <f>IF($Q26="","",INDEX(TRANSACTIONS_MASTER!$O$5:$O$1204,$Q26))</f>
        <v/>
      </c>
      <c r="K26" s="26" t="str">
        <f>IF($Q26="","",INDEX(TRANSACTIONS_MASTER!$Q$5:$Q$1204,$Q26))</f>
        <v/>
      </c>
      <c r="L26" s="25" t="str">
        <f>IF($Q26="","",INDEX(TRANSACTIONS_MASTER!$P$5:$P$1204,$Q26))</f>
        <v/>
      </c>
      <c r="M26" s="25" t="str">
        <f>IF($Q26="","",INDEX(TRANSACTIONS_MASTER!$AA$5:$AA$1204,$Q26))</f>
        <v/>
      </c>
      <c r="N26" s="25" t="str">
        <f>IF($Q26="","",INDEX(TRANSACTIONS_MASTER!$R$5:$R$1204,$Q26))</f>
        <v/>
      </c>
      <c r="O26" s="28" t="str">
        <f>IF($Q26="","",INDEX(TRANSACTIONS_MASTER!$AB$5:$AB$1204,$Q26))</f>
        <v/>
      </c>
      <c r="P26" s="55" t="str">
        <f>IF($Q26="","",INDEX(TRANSACTIONS_MASTER!$Z$5:$Z$1204,$Q26)&amp;"")</f>
        <v/>
      </c>
      <c r="Q26" s="67" t="str">
        <f>IFERROR(MATCH($C$2&amp;"|"&amp;19,TRANSACTIONS_MASTER!$AE$5:$AE$1204,0),"")</f>
        <v/>
      </c>
      <c r="S26" s="67" t="str">
        <f>IFERROR(MATCH(19,CASHBACK_RULES!$S$5:$S$304,0),"")</f>
        <v/>
      </c>
      <c r="T26" s="55" t="str">
        <f>IF($S26="","",INDEX(CASHBACK_RULES!$B$5:$B$304,$S26))</f>
        <v/>
      </c>
      <c r="U26" s="55" t="str">
        <f>IF($S26="","",INDEX(CASHBACK_RULES!$C$5:$C$304,$S26)&amp;" "&amp;INDEX(CASHBACK_RULES!$D$5:$D$304,$S26))</f>
        <v/>
      </c>
      <c r="V26" s="55" t="str">
        <f>IF($S26="","",INDEX(CASHBACK_RULES!$E$5:$E$304,$S26)&amp;"")</f>
        <v/>
      </c>
      <c r="W26" s="55" t="str">
        <f>IF($S26="","",INDEX(CASHBACK_RULES!$F$5:$F$304,$S26)&amp;"")</f>
        <v/>
      </c>
      <c r="X26" s="26" t="str">
        <f>IF($S26="","",SUMIFS(TRANSACTIONS_MASTER!$Q$5:$Q$1204,TRANSACTIONS_MASTER!$D$5:$D$1204,$T26,TRANSACTIONS_MASTER!$Z$5:$Z$1204,$V26,TRANSACTIONS_MASTER!$C$5:$C$1204,$C$2))</f>
        <v/>
      </c>
      <c r="Y26" s="25" t="str">
        <f>IF($S26="","",IF(ISNUMBER(INDEX(CASHBACK_RULES!$J$5:$J$304,$S26)),INDEX(CASHBACK_RULES!$J$5:$J$304,$S26),"∞"))</f>
        <v/>
      </c>
      <c r="Z26" s="25" t="str">
        <f>IF($S26="","",IF(ISNUMBER($Y26),MAX(0,$Y26-$X26),"∞"))</f>
        <v/>
      </c>
      <c r="AA26" s="27" t="str">
        <f>IF($S26="","",IF(ISNUMBER($Y26),IF($Y26=0,0,$X26/$Y26),""))</f>
        <v/>
      </c>
    </row>
    <row r="27" ht="20" customHeight="1">
      <c r="A27" s="81" t="str">
        <f>IF($Q27="","",20)</f>
        <v/>
      </c>
      <c r="B27" s="57" t="str">
        <f>IF($Q27="","",INDEX(TRANSACTIONS_MASTER!$B$5:$B$1204,$Q27))</f>
        <v/>
      </c>
      <c r="C27" s="55" t="str">
        <f>IF($Q27="","",INDEX(TRANSACTIONS_MASTER!$F$5:$F$1204,$Q27))</f>
        <v/>
      </c>
      <c r="D27" s="55" t="str">
        <f>IF($Q27="","",INDEX(TRANSACTIONS_MASTER!$E$5:$E$1204,$Q27))</f>
        <v/>
      </c>
      <c r="E27" s="55" t="str">
        <f>IF($Q27="","",INDEX(TRANSACTIONS_MASTER!$G$5:$G$1204,$Q27)&amp;"")</f>
        <v/>
      </c>
      <c r="F27" s="29" t="str">
        <f>IF($Q27="","",INDEX(TRANSACTIONS_MASTER!$I$5:$I$1204,$Q27))</f>
        <v/>
      </c>
      <c r="G27" s="55" t="str">
        <f>IF($Q27="","",INDEX(TRANSACTIONS_MASTER!$K$5:$K$1204,$Q27))</f>
        <v/>
      </c>
      <c r="H27" s="25" t="str">
        <f>IF($Q27="","",INDEX(TRANSACTIONS_MASTER!$L$5:$L$1204,$Q27))</f>
        <v/>
      </c>
      <c r="I27" s="56" t="str">
        <f>IF($Q27="","",INDEX(TRANSACTIONS_MASTER!$N$5:$N$1204,$Q27))</f>
        <v/>
      </c>
      <c r="J27" s="25" t="str">
        <f>IF($Q27="","",INDEX(TRANSACTIONS_MASTER!$O$5:$O$1204,$Q27))</f>
        <v/>
      </c>
      <c r="K27" s="26" t="str">
        <f>IF($Q27="","",INDEX(TRANSACTIONS_MASTER!$Q$5:$Q$1204,$Q27))</f>
        <v/>
      </c>
      <c r="L27" s="25" t="str">
        <f>IF($Q27="","",INDEX(TRANSACTIONS_MASTER!$P$5:$P$1204,$Q27))</f>
        <v/>
      </c>
      <c r="M27" s="25" t="str">
        <f>IF($Q27="","",INDEX(TRANSACTIONS_MASTER!$AA$5:$AA$1204,$Q27))</f>
        <v/>
      </c>
      <c r="N27" s="25" t="str">
        <f>IF($Q27="","",INDEX(TRANSACTIONS_MASTER!$R$5:$R$1204,$Q27))</f>
        <v/>
      </c>
      <c r="O27" s="28" t="str">
        <f>IF($Q27="","",INDEX(TRANSACTIONS_MASTER!$AB$5:$AB$1204,$Q27))</f>
        <v/>
      </c>
      <c r="P27" s="55" t="str">
        <f>IF($Q27="","",INDEX(TRANSACTIONS_MASTER!$Z$5:$Z$1204,$Q27)&amp;"")</f>
        <v/>
      </c>
      <c r="Q27" s="67" t="str">
        <f>IFERROR(MATCH($C$2&amp;"|"&amp;20,TRANSACTIONS_MASTER!$AE$5:$AE$1204,0),"")</f>
        <v/>
      </c>
      <c r="S27" s="67" t="str">
        <f>IFERROR(MATCH(20,CASHBACK_RULES!$S$5:$S$304,0),"")</f>
        <v/>
      </c>
      <c r="T27" s="55" t="str">
        <f>IF($S27="","",INDEX(CASHBACK_RULES!$B$5:$B$304,$S27))</f>
        <v/>
      </c>
      <c r="U27" s="55" t="str">
        <f>IF($S27="","",INDEX(CASHBACK_RULES!$C$5:$C$304,$S27)&amp;" "&amp;INDEX(CASHBACK_RULES!$D$5:$D$304,$S27))</f>
        <v/>
      </c>
      <c r="V27" s="55" t="str">
        <f>IF($S27="","",INDEX(CASHBACK_RULES!$E$5:$E$304,$S27)&amp;"")</f>
        <v/>
      </c>
      <c r="W27" s="55" t="str">
        <f>IF($S27="","",INDEX(CASHBACK_RULES!$F$5:$F$304,$S27)&amp;"")</f>
        <v/>
      </c>
      <c r="X27" s="26" t="str">
        <f>IF($S27="","",SUMIFS(TRANSACTIONS_MASTER!$Q$5:$Q$1204,TRANSACTIONS_MASTER!$D$5:$D$1204,$T27,TRANSACTIONS_MASTER!$Z$5:$Z$1204,$V27,TRANSACTIONS_MASTER!$C$5:$C$1204,$C$2))</f>
        <v/>
      </c>
      <c r="Y27" s="25" t="str">
        <f>IF($S27="","",IF(ISNUMBER(INDEX(CASHBACK_RULES!$J$5:$J$304,$S27)),INDEX(CASHBACK_RULES!$J$5:$J$304,$S27),"∞"))</f>
        <v/>
      </c>
      <c r="Z27" s="25" t="str">
        <f>IF($S27="","",IF(ISNUMBER($Y27),MAX(0,$Y27-$X27),"∞"))</f>
        <v/>
      </c>
      <c r="AA27" s="27" t="str">
        <f>IF($S27="","",IF(ISNUMBER($Y27),IF($Y27=0,0,$X27/$Y27),""))</f>
        <v/>
      </c>
    </row>
    <row r="28" ht="20" customHeight="1">
      <c r="A28" s="81" t="str">
        <f>IF($Q28="","",21)</f>
        <v/>
      </c>
      <c r="B28" s="57" t="str">
        <f>IF($Q28="","",INDEX(TRANSACTIONS_MASTER!$B$5:$B$1204,$Q28))</f>
        <v/>
      </c>
      <c r="C28" s="55" t="str">
        <f>IF($Q28="","",INDEX(TRANSACTIONS_MASTER!$F$5:$F$1204,$Q28))</f>
        <v/>
      </c>
      <c r="D28" s="55" t="str">
        <f>IF($Q28="","",INDEX(TRANSACTIONS_MASTER!$E$5:$E$1204,$Q28))</f>
        <v/>
      </c>
      <c r="E28" s="55" t="str">
        <f>IF($Q28="","",INDEX(TRANSACTIONS_MASTER!$G$5:$G$1204,$Q28)&amp;"")</f>
        <v/>
      </c>
      <c r="F28" s="29" t="str">
        <f>IF($Q28="","",INDEX(TRANSACTIONS_MASTER!$I$5:$I$1204,$Q28))</f>
        <v/>
      </c>
      <c r="G28" s="55" t="str">
        <f>IF($Q28="","",INDEX(TRANSACTIONS_MASTER!$K$5:$K$1204,$Q28))</f>
        <v/>
      </c>
      <c r="H28" s="25" t="str">
        <f>IF($Q28="","",INDEX(TRANSACTIONS_MASTER!$L$5:$L$1204,$Q28))</f>
        <v/>
      </c>
      <c r="I28" s="56" t="str">
        <f>IF($Q28="","",INDEX(TRANSACTIONS_MASTER!$N$5:$N$1204,$Q28))</f>
        <v/>
      </c>
      <c r="J28" s="25" t="str">
        <f>IF($Q28="","",INDEX(TRANSACTIONS_MASTER!$O$5:$O$1204,$Q28))</f>
        <v/>
      </c>
      <c r="K28" s="26" t="str">
        <f>IF($Q28="","",INDEX(TRANSACTIONS_MASTER!$Q$5:$Q$1204,$Q28))</f>
        <v/>
      </c>
      <c r="L28" s="25" t="str">
        <f>IF($Q28="","",INDEX(TRANSACTIONS_MASTER!$P$5:$P$1204,$Q28))</f>
        <v/>
      </c>
      <c r="M28" s="25" t="str">
        <f>IF($Q28="","",INDEX(TRANSACTIONS_MASTER!$AA$5:$AA$1204,$Q28))</f>
        <v/>
      </c>
      <c r="N28" s="25" t="str">
        <f>IF($Q28="","",INDEX(TRANSACTIONS_MASTER!$R$5:$R$1204,$Q28))</f>
        <v/>
      </c>
      <c r="O28" s="28" t="str">
        <f>IF($Q28="","",INDEX(TRANSACTIONS_MASTER!$AB$5:$AB$1204,$Q28))</f>
        <v/>
      </c>
      <c r="P28" s="55" t="str">
        <f>IF($Q28="","",INDEX(TRANSACTIONS_MASTER!$Z$5:$Z$1204,$Q28)&amp;"")</f>
        <v/>
      </c>
      <c r="Q28" s="67" t="str">
        <f>IFERROR(MATCH($C$2&amp;"|"&amp;21,TRANSACTIONS_MASTER!$AE$5:$AE$1204,0),"")</f>
        <v/>
      </c>
      <c r="S28" s="67" t="str">
        <f>IFERROR(MATCH(21,CASHBACK_RULES!$S$5:$S$304,0),"")</f>
        <v/>
      </c>
      <c r="T28" s="55" t="str">
        <f>IF($S28="","",INDEX(CASHBACK_RULES!$B$5:$B$304,$S28))</f>
        <v/>
      </c>
      <c r="U28" s="55" t="str">
        <f>IF($S28="","",INDEX(CASHBACK_RULES!$C$5:$C$304,$S28)&amp;" "&amp;INDEX(CASHBACK_RULES!$D$5:$D$304,$S28))</f>
        <v/>
      </c>
      <c r="V28" s="55" t="str">
        <f>IF($S28="","",INDEX(CASHBACK_RULES!$E$5:$E$304,$S28)&amp;"")</f>
        <v/>
      </c>
      <c r="W28" s="55" t="str">
        <f>IF($S28="","",INDEX(CASHBACK_RULES!$F$5:$F$304,$S28)&amp;"")</f>
        <v/>
      </c>
      <c r="X28" s="26" t="str">
        <f>IF($S28="","",SUMIFS(TRANSACTIONS_MASTER!$Q$5:$Q$1204,TRANSACTIONS_MASTER!$D$5:$D$1204,$T28,TRANSACTIONS_MASTER!$Z$5:$Z$1204,$V28,TRANSACTIONS_MASTER!$C$5:$C$1204,$C$2))</f>
        <v/>
      </c>
      <c r="Y28" s="25" t="str">
        <f>IF($S28="","",IF(ISNUMBER(INDEX(CASHBACK_RULES!$J$5:$J$304,$S28)),INDEX(CASHBACK_RULES!$J$5:$J$304,$S28),"∞"))</f>
        <v/>
      </c>
      <c r="Z28" s="25" t="str">
        <f>IF($S28="","",IF(ISNUMBER($Y28),MAX(0,$Y28-$X28),"∞"))</f>
        <v/>
      </c>
      <c r="AA28" s="27" t="str">
        <f>IF($S28="","",IF(ISNUMBER($Y28),IF($Y28=0,0,$X28/$Y28),""))</f>
        <v/>
      </c>
    </row>
    <row r="29" ht="20" customHeight="1">
      <c r="A29" s="81" t="str">
        <f>IF($Q29="","",22)</f>
        <v/>
      </c>
      <c r="B29" s="57" t="str">
        <f>IF($Q29="","",INDEX(TRANSACTIONS_MASTER!$B$5:$B$1204,$Q29))</f>
        <v/>
      </c>
      <c r="C29" s="55" t="str">
        <f>IF($Q29="","",INDEX(TRANSACTIONS_MASTER!$F$5:$F$1204,$Q29))</f>
        <v/>
      </c>
      <c r="D29" s="55" t="str">
        <f>IF($Q29="","",INDEX(TRANSACTIONS_MASTER!$E$5:$E$1204,$Q29))</f>
        <v/>
      </c>
      <c r="E29" s="55" t="str">
        <f>IF($Q29="","",INDEX(TRANSACTIONS_MASTER!$G$5:$G$1204,$Q29)&amp;"")</f>
        <v/>
      </c>
      <c r="F29" s="29" t="str">
        <f>IF($Q29="","",INDEX(TRANSACTIONS_MASTER!$I$5:$I$1204,$Q29))</f>
        <v/>
      </c>
      <c r="G29" s="55" t="str">
        <f>IF($Q29="","",INDEX(TRANSACTIONS_MASTER!$K$5:$K$1204,$Q29))</f>
        <v/>
      </c>
      <c r="H29" s="25" t="str">
        <f>IF($Q29="","",INDEX(TRANSACTIONS_MASTER!$L$5:$L$1204,$Q29))</f>
        <v/>
      </c>
      <c r="I29" s="56" t="str">
        <f>IF($Q29="","",INDEX(TRANSACTIONS_MASTER!$N$5:$N$1204,$Q29))</f>
        <v/>
      </c>
      <c r="J29" s="25" t="str">
        <f>IF($Q29="","",INDEX(TRANSACTIONS_MASTER!$O$5:$O$1204,$Q29))</f>
        <v/>
      </c>
      <c r="K29" s="26" t="str">
        <f>IF($Q29="","",INDEX(TRANSACTIONS_MASTER!$Q$5:$Q$1204,$Q29))</f>
        <v/>
      </c>
      <c r="L29" s="25" t="str">
        <f>IF($Q29="","",INDEX(TRANSACTIONS_MASTER!$P$5:$P$1204,$Q29))</f>
        <v/>
      </c>
      <c r="M29" s="25" t="str">
        <f>IF($Q29="","",INDEX(TRANSACTIONS_MASTER!$AA$5:$AA$1204,$Q29))</f>
        <v/>
      </c>
      <c r="N29" s="25" t="str">
        <f>IF($Q29="","",INDEX(TRANSACTIONS_MASTER!$R$5:$R$1204,$Q29))</f>
        <v/>
      </c>
      <c r="O29" s="28" t="str">
        <f>IF($Q29="","",INDEX(TRANSACTIONS_MASTER!$AB$5:$AB$1204,$Q29))</f>
        <v/>
      </c>
      <c r="P29" s="55" t="str">
        <f>IF($Q29="","",INDEX(TRANSACTIONS_MASTER!$Z$5:$Z$1204,$Q29)&amp;"")</f>
        <v/>
      </c>
      <c r="Q29" s="67" t="str">
        <f>IFERROR(MATCH($C$2&amp;"|"&amp;22,TRANSACTIONS_MASTER!$AE$5:$AE$1204,0),"")</f>
        <v/>
      </c>
      <c r="S29" s="67" t="str">
        <f>IFERROR(MATCH(22,CASHBACK_RULES!$S$5:$S$304,0),"")</f>
        <v/>
      </c>
      <c r="T29" s="55" t="str">
        <f>IF($S29="","",INDEX(CASHBACK_RULES!$B$5:$B$304,$S29))</f>
        <v/>
      </c>
      <c r="U29" s="55" t="str">
        <f>IF($S29="","",INDEX(CASHBACK_RULES!$C$5:$C$304,$S29)&amp;" "&amp;INDEX(CASHBACK_RULES!$D$5:$D$304,$S29))</f>
        <v/>
      </c>
      <c r="V29" s="55" t="str">
        <f>IF($S29="","",INDEX(CASHBACK_RULES!$E$5:$E$304,$S29)&amp;"")</f>
        <v/>
      </c>
      <c r="W29" s="55" t="str">
        <f>IF($S29="","",INDEX(CASHBACK_RULES!$F$5:$F$304,$S29)&amp;"")</f>
        <v/>
      </c>
      <c r="X29" s="26" t="str">
        <f>IF($S29="","",SUMIFS(TRANSACTIONS_MASTER!$Q$5:$Q$1204,TRANSACTIONS_MASTER!$D$5:$D$1204,$T29,TRANSACTIONS_MASTER!$Z$5:$Z$1204,$V29,TRANSACTIONS_MASTER!$C$5:$C$1204,$C$2))</f>
        <v/>
      </c>
      <c r="Y29" s="25" t="str">
        <f>IF($S29="","",IF(ISNUMBER(INDEX(CASHBACK_RULES!$J$5:$J$304,$S29)),INDEX(CASHBACK_RULES!$J$5:$J$304,$S29),"∞"))</f>
        <v/>
      </c>
      <c r="Z29" s="25" t="str">
        <f>IF($S29="","",IF(ISNUMBER($Y29),MAX(0,$Y29-$X29),"∞"))</f>
        <v/>
      </c>
      <c r="AA29" s="27" t="str">
        <f>IF($S29="","",IF(ISNUMBER($Y29),IF($Y29=0,0,$X29/$Y29),""))</f>
        <v/>
      </c>
    </row>
    <row r="30" ht="20" customHeight="1">
      <c r="A30" s="81" t="str">
        <f>IF($Q30="","",23)</f>
        <v/>
      </c>
      <c r="B30" s="57" t="str">
        <f>IF($Q30="","",INDEX(TRANSACTIONS_MASTER!$B$5:$B$1204,$Q30))</f>
        <v/>
      </c>
      <c r="C30" s="55" t="str">
        <f>IF($Q30="","",INDEX(TRANSACTIONS_MASTER!$F$5:$F$1204,$Q30))</f>
        <v/>
      </c>
      <c r="D30" s="55" t="str">
        <f>IF($Q30="","",INDEX(TRANSACTIONS_MASTER!$E$5:$E$1204,$Q30))</f>
        <v/>
      </c>
      <c r="E30" s="55" t="str">
        <f>IF($Q30="","",INDEX(TRANSACTIONS_MASTER!$G$5:$G$1204,$Q30)&amp;"")</f>
        <v/>
      </c>
      <c r="F30" s="29" t="str">
        <f>IF($Q30="","",INDEX(TRANSACTIONS_MASTER!$I$5:$I$1204,$Q30))</f>
        <v/>
      </c>
      <c r="G30" s="55" t="str">
        <f>IF($Q30="","",INDEX(TRANSACTIONS_MASTER!$K$5:$K$1204,$Q30))</f>
        <v/>
      </c>
      <c r="H30" s="25" t="str">
        <f>IF($Q30="","",INDEX(TRANSACTIONS_MASTER!$L$5:$L$1204,$Q30))</f>
        <v/>
      </c>
      <c r="I30" s="56" t="str">
        <f>IF($Q30="","",INDEX(TRANSACTIONS_MASTER!$N$5:$N$1204,$Q30))</f>
        <v/>
      </c>
      <c r="J30" s="25" t="str">
        <f>IF($Q30="","",INDEX(TRANSACTIONS_MASTER!$O$5:$O$1204,$Q30))</f>
        <v/>
      </c>
      <c r="K30" s="26" t="str">
        <f>IF($Q30="","",INDEX(TRANSACTIONS_MASTER!$Q$5:$Q$1204,$Q30))</f>
        <v/>
      </c>
      <c r="L30" s="25" t="str">
        <f>IF($Q30="","",INDEX(TRANSACTIONS_MASTER!$P$5:$P$1204,$Q30))</f>
        <v/>
      </c>
      <c r="M30" s="25" t="str">
        <f>IF($Q30="","",INDEX(TRANSACTIONS_MASTER!$AA$5:$AA$1204,$Q30))</f>
        <v/>
      </c>
      <c r="N30" s="25" t="str">
        <f>IF($Q30="","",INDEX(TRANSACTIONS_MASTER!$R$5:$R$1204,$Q30))</f>
        <v/>
      </c>
      <c r="O30" s="28" t="str">
        <f>IF($Q30="","",INDEX(TRANSACTIONS_MASTER!$AB$5:$AB$1204,$Q30))</f>
        <v/>
      </c>
      <c r="P30" s="55" t="str">
        <f>IF($Q30="","",INDEX(TRANSACTIONS_MASTER!$Z$5:$Z$1204,$Q30)&amp;"")</f>
        <v/>
      </c>
      <c r="Q30" s="67" t="str">
        <f>IFERROR(MATCH($C$2&amp;"|"&amp;23,TRANSACTIONS_MASTER!$AE$5:$AE$1204,0),"")</f>
        <v/>
      </c>
      <c r="S30" s="67" t="str">
        <f>IFERROR(MATCH(23,CASHBACK_RULES!$S$5:$S$304,0),"")</f>
        <v/>
      </c>
      <c r="T30" s="55" t="str">
        <f>IF($S30="","",INDEX(CASHBACK_RULES!$B$5:$B$304,$S30))</f>
        <v/>
      </c>
      <c r="U30" s="55" t="str">
        <f>IF($S30="","",INDEX(CASHBACK_RULES!$C$5:$C$304,$S30)&amp;" "&amp;INDEX(CASHBACK_RULES!$D$5:$D$304,$S30))</f>
        <v/>
      </c>
      <c r="V30" s="55" t="str">
        <f>IF($S30="","",INDEX(CASHBACK_RULES!$E$5:$E$304,$S30)&amp;"")</f>
        <v/>
      </c>
      <c r="W30" s="55" t="str">
        <f>IF($S30="","",INDEX(CASHBACK_RULES!$F$5:$F$304,$S30)&amp;"")</f>
        <v/>
      </c>
      <c r="X30" s="26" t="str">
        <f>IF($S30="","",SUMIFS(TRANSACTIONS_MASTER!$Q$5:$Q$1204,TRANSACTIONS_MASTER!$D$5:$D$1204,$T30,TRANSACTIONS_MASTER!$Z$5:$Z$1204,$V30,TRANSACTIONS_MASTER!$C$5:$C$1204,$C$2))</f>
        <v/>
      </c>
      <c r="Y30" s="25" t="str">
        <f>IF($S30="","",IF(ISNUMBER(INDEX(CASHBACK_RULES!$J$5:$J$304,$S30)),INDEX(CASHBACK_RULES!$J$5:$J$304,$S30),"∞"))</f>
        <v/>
      </c>
      <c r="Z30" s="25" t="str">
        <f>IF($S30="","",IF(ISNUMBER($Y30),MAX(0,$Y30-$X30),"∞"))</f>
        <v/>
      </c>
      <c r="AA30" s="27" t="str">
        <f>IF($S30="","",IF(ISNUMBER($Y30),IF($Y30=0,0,$X30/$Y30),""))</f>
        <v/>
      </c>
    </row>
    <row r="31" ht="20" customHeight="1">
      <c r="A31" s="81" t="str">
        <f>IF($Q31="","",24)</f>
        <v/>
      </c>
      <c r="B31" s="57" t="str">
        <f>IF($Q31="","",INDEX(TRANSACTIONS_MASTER!$B$5:$B$1204,$Q31))</f>
        <v/>
      </c>
      <c r="C31" s="55" t="str">
        <f>IF($Q31="","",INDEX(TRANSACTIONS_MASTER!$F$5:$F$1204,$Q31))</f>
        <v/>
      </c>
      <c r="D31" s="55" t="str">
        <f>IF($Q31="","",INDEX(TRANSACTIONS_MASTER!$E$5:$E$1204,$Q31))</f>
        <v/>
      </c>
      <c r="E31" s="55" t="str">
        <f>IF($Q31="","",INDEX(TRANSACTIONS_MASTER!$G$5:$G$1204,$Q31)&amp;"")</f>
        <v/>
      </c>
      <c r="F31" s="29" t="str">
        <f>IF($Q31="","",INDEX(TRANSACTIONS_MASTER!$I$5:$I$1204,$Q31))</f>
        <v/>
      </c>
      <c r="G31" s="55" t="str">
        <f>IF($Q31="","",INDEX(TRANSACTIONS_MASTER!$K$5:$K$1204,$Q31))</f>
        <v/>
      </c>
      <c r="H31" s="25" t="str">
        <f>IF($Q31="","",INDEX(TRANSACTIONS_MASTER!$L$5:$L$1204,$Q31))</f>
        <v/>
      </c>
      <c r="I31" s="56" t="str">
        <f>IF($Q31="","",INDEX(TRANSACTIONS_MASTER!$N$5:$N$1204,$Q31))</f>
        <v/>
      </c>
      <c r="J31" s="25" t="str">
        <f>IF($Q31="","",INDEX(TRANSACTIONS_MASTER!$O$5:$O$1204,$Q31))</f>
        <v/>
      </c>
      <c r="K31" s="26" t="str">
        <f>IF($Q31="","",INDEX(TRANSACTIONS_MASTER!$Q$5:$Q$1204,$Q31))</f>
        <v/>
      </c>
      <c r="L31" s="25" t="str">
        <f>IF($Q31="","",INDEX(TRANSACTIONS_MASTER!$P$5:$P$1204,$Q31))</f>
        <v/>
      </c>
      <c r="M31" s="25" t="str">
        <f>IF($Q31="","",INDEX(TRANSACTIONS_MASTER!$AA$5:$AA$1204,$Q31))</f>
        <v/>
      </c>
      <c r="N31" s="25" t="str">
        <f>IF($Q31="","",INDEX(TRANSACTIONS_MASTER!$R$5:$R$1204,$Q31))</f>
        <v/>
      </c>
      <c r="O31" s="28" t="str">
        <f>IF($Q31="","",INDEX(TRANSACTIONS_MASTER!$AB$5:$AB$1204,$Q31))</f>
        <v/>
      </c>
      <c r="P31" s="55" t="str">
        <f>IF($Q31="","",INDEX(TRANSACTIONS_MASTER!$Z$5:$Z$1204,$Q31)&amp;"")</f>
        <v/>
      </c>
      <c r="Q31" s="67" t="str">
        <f>IFERROR(MATCH($C$2&amp;"|"&amp;24,TRANSACTIONS_MASTER!$AE$5:$AE$1204,0),"")</f>
        <v/>
      </c>
      <c r="S31" s="67" t="str">
        <f>IFERROR(MATCH(24,CASHBACK_RULES!$S$5:$S$304,0),"")</f>
        <v/>
      </c>
      <c r="T31" s="55" t="str">
        <f>IF($S31="","",INDEX(CASHBACK_RULES!$B$5:$B$304,$S31))</f>
        <v/>
      </c>
      <c r="U31" s="55" t="str">
        <f>IF($S31="","",INDEX(CASHBACK_RULES!$C$5:$C$304,$S31)&amp;" "&amp;INDEX(CASHBACK_RULES!$D$5:$D$304,$S31))</f>
        <v/>
      </c>
      <c r="V31" s="55" t="str">
        <f>IF($S31="","",INDEX(CASHBACK_RULES!$E$5:$E$304,$S31)&amp;"")</f>
        <v/>
      </c>
      <c r="W31" s="55" t="str">
        <f>IF($S31="","",INDEX(CASHBACK_RULES!$F$5:$F$304,$S31)&amp;"")</f>
        <v/>
      </c>
      <c r="X31" s="26" t="str">
        <f>IF($S31="","",SUMIFS(TRANSACTIONS_MASTER!$Q$5:$Q$1204,TRANSACTIONS_MASTER!$D$5:$D$1204,$T31,TRANSACTIONS_MASTER!$Z$5:$Z$1204,$V31,TRANSACTIONS_MASTER!$C$5:$C$1204,$C$2))</f>
        <v/>
      </c>
      <c r="Y31" s="25" t="str">
        <f>IF($S31="","",IF(ISNUMBER(INDEX(CASHBACK_RULES!$J$5:$J$304,$S31)),INDEX(CASHBACK_RULES!$J$5:$J$304,$S31),"∞"))</f>
        <v/>
      </c>
      <c r="Z31" s="25" t="str">
        <f>IF($S31="","",IF(ISNUMBER($Y31),MAX(0,$Y31-$X31),"∞"))</f>
        <v/>
      </c>
      <c r="AA31" s="27" t="str">
        <f>IF($S31="","",IF(ISNUMBER($Y31),IF($Y31=0,0,$X31/$Y31),""))</f>
        <v/>
      </c>
    </row>
    <row r="32" ht="20" customHeight="1">
      <c r="A32" s="81" t="str">
        <f>IF($Q32="","",25)</f>
        <v/>
      </c>
      <c r="B32" s="57" t="str">
        <f>IF($Q32="","",INDEX(TRANSACTIONS_MASTER!$B$5:$B$1204,$Q32))</f>
        <v/>
      </c>
      <c r="C32" s="55" t="str">
        <f>IF($Q32="","",INDEX(TRANSACTIONS_MASTER!$F$5:$F$1204,$Q32))</f>
        <v/>
      </c>
      <c r="D32" s="55" t="str">
        <f>IF($Q32="","",INDEX(TRANSACTIONS_MASTER!$E$5:$E$1204,$Q32))</f>
        <v/>
      </c>
      <c r="E32" s="55" t="str">
        <f>IF($Q32="","",INDEX(TRANSACTIONS_MASTER!$G$5:$G$1204,$Q32)&amp;"")</f>
        <v/>
      </c>
      <c r="F32" s="29" t="str">
        <f>IF($Q32="","",INDEX(TRANSACTIONS_MASTER!$I$5:$I$1204,$Q32))</f>
        <v/>
      </c>
      <c r="G32" s="55" t="str">
        <f>IF($Q32="","",INDEX(TRANSACTIONS_MASTER!$K$5:$K$1204,$Q32))</f>
        <v/>
      </c>
      <c r="H32" s="25" t="str">
        <f>IF($Q32="","",INDEX(TRANSACTIONS_MASTER!$L$5:$L$1204,$Q32))</f>
        <v/>
      </c>
      <c r="I32" s="56" t="str">
        <f>IF($Q32="","",INDEX(TRANSACTIONS_MASTER!$N$5:$N$1204,$Q32))</f>
        <v/>
      </c>
      <c r="J32" s="25" t="str">
        <f>IF($Q32="","",INDEX(TRANSACTIONS_MASTER!$O$5:$O$1204,$Q32))</f>
        <v/>
      </c>
      <c r="K32" s="26" t="str">
        <f>IF($Q32="","",INDEX(TRANSACTIONS_MASTER!$Q$5:$Q$1204,$Q32))</f>
        <v/>
      </c>
      <c r="L32" s="25" t="str">
        <f>IF($Q32="","",INDEX(TRANSACTIONS_MASTER!$P$5:$P$1204,$Q32))</f>
        <v/>
      </c>
      <c r="M32" s="25" t="str">
        <f>IF($Q32="","",INDEX(TRANSACTIONS_MASTER!$AA$5:$AA$1204,$Q32))</f>
        <v/>
      </c>
      <c r="N32" s="25" t="str">
        <f>IF($Q32="","",INDEX(TRANSACTIONS_MASTER!$R$5:$R$1204,$Q32))</f>
        <v/>
      </c>
      <c r="O32" s="28" t="str">
        <f>IF($Q32="","",INDEX(TRANSACTIONS_MASTER!$AB$5:$AB$1204,$Q32))</f>
        <v/>
      </c>
      <c r="P32" s="55" t="str">
        <f>IF($Q32="","",INDEX(TRANSACTIONS_MASTER!$Z$5:$Z$1204,$Q32)&amp;"")</f>
        <v/>
      </c>
      <c r="Q32" s="67" t="str">
        <f>IFERROR(MATCH($C$2&amp;"|"&amp;25,TRANSACTIONS_MASTER!$AE$5:$AE$1204,0),"")</f>
        <v/>
      </c>
      <c r="S32" s="67" t="str">
        <f>IFERROR(MATCH(25,CASHBACK_RULES!$S$5:$S$304,0),"")</f>
        <v/>
      </c>
      <c r="T32" s="55" t="str">
        <f>IF($S32="","",INDEX(CASHBACK_RULES!$B$5:$B$304,$S32))</f>
        <v/>
      </c>
      <c r="U32" s="55" t="str">
        <f>IF($S32="","",INDEX(CASHBACK_RULES!$C$5:$C$304,$S32)&amp;" "&amp;INDEX(CASHBACK_RULES!$D$5:$D$304,$S32))</f>
        <v/>
      </c>
      <c r="V32" s="55" t="str">
        <f>IF($S32="","",INDEX(CASHBACK_RULES!$E$5:$E$304,$S32)&amp;"")</f>
        <v/>
      </c>
      <c r="W32" s="55" t="str">
        <f>IF($S32="","",INDEX(CASHBACK_RULES!$F$5:$F$304,$S32)&amp;"")</f>
        <v/>
      </c>
      <c r="X32" s="26" t="str">
        <f>IF($S32="","",SUMIFS(TRANSACTIONS_MASTER!$Q$5:$Q$1204,TRANSACTIONS_MASTER!$D$5:$D$1204,$T32,TRANSACTIONS_MASTER!$Z$5:$Z$1204,$V32,TRANSACTIONS_MASTER!$C$5:$C$1204,$C$2))</f>
        <v/>
      </c>
      <c r="Y32" s="25" t="str">
        <f>IF($S32="","",IF(ISNUMBER(INDEX(CASHBACK_RULES!$J$5:$J$304,$S32)),INDEX(CASHBACK_RULES!$J$5:$J$304,$S32),"∞"))</f>
        <v/>
      </c>
      <c r="Z32" s="25" t="str">
        <f>IF($S32="","",IF(ISNUMBER($Y32),MAX(0,$Y32-$X32),"∞"))</f>
        <v/>
      </c>
      <c r="AA32" s="27" t="str">
        <f>IF($S32="","",IF(ISNUMBER($Y32),IF($Y32=0,0,$X32/$Y32),""))</f>
        <v/>
      </c>
    </row>
    <row r="33" ht="20" customHeight="1">
      <c r="A33" s="81" t="str">
        <f>IF($Q33="","",26)</f>
        <v/>
      </c>
      <c r="B33" s="57" t="str">
        <f>IF($Q33="","",INDEX(TRANSACTIONS_MASTER!$B$5:$B$1204,$Q33))</f>
        <v/>
      </c>
      <c r="C33" s="55" t="str">
        <f>IF($Q33="","",INDEX(TRANSACTIONS_MASTER!$F$5:$F$1204,$Q33))</f>
        <v/>
      </c>
      <c r="D33" s="55" t="str">
        <f>IF($Q33="","",INDEX(TRANSACTIONS_MASTER!$E$5:$E$1204,$Q33))</f>
        <v/>
      </c>
      <c r="E33" s="55" t="str">
        <f>IF($Q33="","",INDEX(TRANSACTIONS_MASTER!$G$5:$G$1204,$Q33)&amp;"")</f>
        <v/>
      </c>
      <c r="F33" s="29" t="str">
        <f>IF($Q33="","",INDEX(TRANSACTIONS_MASTER!$I$5:$I$1204,$Q33))</f>
        <v/>
      </c>
      <c r="G33" s="55" t="str">
        <f>IF($Q33="","",INDEX(TRANSACTIONS_MASTER!$K$5:$K$1204,$Q33))</f>
        <v/>
      </c>
      <c r="H33" s="25" t="str">
        <f>IF($Q33="","",INDEX(TRANSACTIONS_MASTER!$L$5:$L$1204,$Q33))</f>
        <v/>
      </c>
      <c r="I33" s="56" t="str">
        <f>IF($Q33="","",INDEX(TRANSACTIONS_MASTER!$N$5:$N$1204,$Q33))</f>
        <v/>
      </c>
      <c r="J33" s="25" t="str">
        <f>IF($Q33="","",INDEX(TRANSACTIONS_MASTER!$O$5:$O$1204,$Q33))</f>
        <v/>
      </c>
      <c r="K33" s="26" t="str">
        <f>IF($Q33="","",INDEX(TRANSACTIONS_MASTER!$Q$5:$Q$1204,$Q33))</f>
        <v/>
      </c>
      <c r="L33" s="25" t="str">
        <f>IF($Q33="","",INDEX(TRANSACTIONS_MASTER!$P$5:$P$1204,$Q33))</f>
        <v/>
      </c>
      <c r="M33" s="25" t="str">
        <f>IF($Q33="","",INDEX(TRANSACTIONS_MASTER!$AA$5:$AA$1204,$Q33))</f>
        <v/>
      </c>
      <c r="N33" s="25" t="str">
        <f>IF($Q33="","",INDEX(TRANSACTIONS_MASTER!$R$5:$R$1204,$Q33))</f>
        <v/>
      </c>
      <c r="O33" s="28" t="str">
        <f>IF($Q33="","",INDEX(TRANSACTIONS_MASTER!$AB$5:$AB$1204,$Q33))</f>
        <v/>
      </c>
      <c r="P33" s="55" t="str">
        <f>IF($Q33="","",INDEX(TRANSACTIONS_MASTER!$Z$5:$Z$1204,$Q33)&amp;"")</f>
        <v/>
      </c>
      <c r="Q33" s="67" t="str">
        <f>IFERROR(MATCH($C$2&amp;"|"&amp;26,TRANSACTIONS_MASTER!$AE$5:$AE$1204,0),"")</f>
        <v/>
      </c>
      <c r="S33" s="67" t="str">
        <f>IFERROR(MATCH(26,CASHBACK_RULES!$S$5:$S$304,0),"")</f>
        <v/>
      </c>
      <c r="T33" s="55" t="str">
        <f>IF($S33="","",INDEX(CASHBACK_RULES!$B$5:$B$304,$S33))</f>
        <v/>
      </c>
      <c r="U33" s="55" t="str">
        <f>IF($S33="","",INDEX(CASHBACK_RULES!$C$5:$C$304,$S33)&amp;" "&amp;INDEX(CASHBACK_RULES!$D$5:$D$304,$S33))</f>
        <v/>
      </c>
      <c r="V33" s="55" t="str">
        <f>IF($S33="","",INDEX(CASHBACK_RULES!$E$5:$E$304,$S33)&amp;"")</f>
        <v/>
      </c>
      <c r="W33" s="55" t="str">
        <f>IF($S33="","",INDEX(CASHBACK_RULES!$F$5:$F$304,$S33)&amp;"")</f>
        <v/>
      </c>
      <c r="X33" s="26" t="str">
        <f>IF($S33="","",SUMIFS(TRANSACTIONS_MASTER!$Q$5:$Q$1204,TRANSACTIONS_MASTER!$D$5:$D$1204,$T33,TRANSACTIONS_MASTER!$Z$5:$Z$1204,$V33,TRANSACTIONS_MASTER!$C$5:$C$1204,$C$2))</f>
        <v/>
      </c>
      <c r="Y33" s="25" t="str">
        <f>IF($S33="","",IF(ISNUMBER(INDEX(CASHBACK_RULES!$J$5:$J$304,$S33)),INDEX(CASHBACK_RULES!$J$5:$J$304,$S33),"∞"))</f>
        <v/>
      </c>
      <c r="Z33" s="25" t="str">
        <f>IF($S33="","",IF(ISNUMBER($Y33),MAX(0,$Y33-$X33),"∞"))</f>
        <v/>
      </c>
      <c r="AA33" s="27" t="str">
        <f>IF($S33="","",IF(ISNUMBER($Y33),IF($Y33=0,0,$X33/$Y33),""))</f>
        <v/>
      </c>
    </row>
    <row r="34" ht="20" customHeight="1">
      <c r="A34" s="81" t="str">
        <f>IF($Q34="","",27)</f>
        <v/>
      </c>
      <c r="B34" s="57" t="str">
        <f>IF($Q34="","",INDEX(TRANSACTIONS_MASTER!$B$5:$B$1204,$Q34))</f>
        <v/>
      </c>
      <c r="C34" s="55" t="str">
        <f>IF($Q34="","",INDEX(TRANSACTIONS_MASTER!$F$5:$F$1204,$Q34))</f>
        <v/>
      </c>
      <c r="D34" s="55" t="str">
        <f>IF($Q34="","",INDEX(TRANSACTIONS_MASTER!$E$5:$E$1204,$Q34))</f>
        <v/>
      </c>
      <c r="E34" s="55" t="str">
        <f>IF($Q34="","",INDEX(TRANSACTIONS_MASTER!$G$5:$G$1204,$Q34)&amp;"")</f>
        <v/>
      </c>
      <c r="F34" s="29" t="str">
        <f>IF($Q34="","",INDEX(TRANSACTIONS_MASTER!$I$5:$I$1204,$Q34))</f>
        <v/>
      </c>
      <c r="G34" s="55" t="str">
        <f>IF($Q34="","",INDEX(TRANSACTIONS_MASTER!$K$5:$K$1204,$Q34))</f>
        <v/>
      </c>
      <c r="H34" s="25" t="str">
        <f>IF($Q34="","",INDEX(TRANSACTIONS_MASTER!$L$5:$L$1204,$Q34))</f>
        <v/>
      </c>
      <c r="I34" s="56" t="str">
        <f>IF($Q34="","",INDEX(TRANSACTIONS_MASTER!$N$5:$N$1204,$Q34))</f>
        <v/>
      </c>
      <c r="J34" s="25" t="str">
        <f>IF($Q34="","",INDEX(TRANSACTIONS_MASTER!$O$5:$O$1204,$Q34))</f>
        <v/>
      </c>
      <c r="K34" s="26" t="str">
        <f>IF($Q34="","",INDEX(TRANSACTIONS_MASTER!$Q$5:$Q$1204,$Q34))</f>
        <v/>
      </c>
      <c r="L34" s="25" t="str">
        <f>IF($Q34="","",INDEX(TRANSACTIONS_MASTER!$P$5:$P$1204,$Q34))</f>
        <v/>
      </c>
      <c r="M34" s="25" t="str">
        <f>IF($Q34="","",INDEX(TRANSACTIONS_MASTER!$AA$5:$AA$1204,$Q34))</f>
        <v/>
      </c>
      <c r="N34" s="25" t="str">
        <f>IF($Q34="","",INDEX(TRANSACTIONS_MASTER!$R$5:$R$1204,$Q34))</f>
        <v/>
      </c>
      <c r="O34" s="28" t="str">
        <f>IF($Q34="","",INDEX(TRANSACTIONS_MASTER!$AB$5:$AB$1204,$Q34))</f>
        <v/>
      </c>
      <c r="P34" s="55" t="str">
        <f>IF($Q34="","",INDEX(TRANSACTIONS_MASTER!$Z$5:$Z$1204,$Q34)&amp;"")</f>
        <v/>
      </c>
      <c r="Q34" s="67" t="str">
        <f>IFERROR(MATCH($C$2&amp;"|"&amp;27,TRANSACTIONS_MASTER!$AE$5:$AE$1204,0),"")</f>
        <v/>
      </c>
      <c r="S34" s="67" t="str">
        <f>IFERROR(MATCH(27,CASHBACK_RULES!$S$5:$S$304,0),"")</f>
        <v/>
      </c>
      <c r="T34" s="55" t="str">
        <f>IF($S34="","",INDEX(CASHBACK_RULES!$B$5:$B$304,$S34))</f>
        <v/>
      </c>
      <c r="U34" s="55" t="str">
        <f>IF($S34="","",INDEX(CASHBACK_RULES!$C$5:$C$304,$S34)&amp;" "&amp;INDEX(CASHBACK_RULES!$D$5:$D$304,$S34))</f>
        <v/>
      </c>
      <c r="V34" s="55" t="str">
        <f>IF($S34="","",INDEX(CASHBACK_RULES!$E$5:$E$304,$S34)&amp;"")</f>
        <v/>
      </c>
      <c r="W34" s="55" t="str">
        <f>IF($S34="","",INDEX(CASHBACK_RULES!$F$5:$F$304,$S34)&amp;"")</f>
        <v/>
      </c>
      <c r="X34" s="26" t="str">
        <f>IF($S34="","",SUMIFS(TRANSACTIONS_MASTER!$Q$5:$Q$1204,TRANSACTIONS_MASTER!$D$5:$D$1204,$T34,TRANSACTIONS_MASTER!$Z$5:$Z$1204,$V34,TRANSACTIONS_MASTER!$C$5:$C$1204,$C$2))</f>
        <v/>
      </c>
      <c r="Y34" s="25" t="str">
        <f>IF($S34="","",IF(ISNUMBER(INDEX(CASHBACK_RULES!$J$5:$J$304,$S34)),INDEX(CASHBACK_RULES!$J$5:$J$304,$S34),"∞"))</f>
        <v/>
      </c>
      <c r="Z34" s="25" t="str">
        <f>IF($S34="","",IF(ISNUMBER($Y34),MAX(0,$Y34-$X34),"∞"))</f>
        <v/>
      </c>
      <c r="AA34" s="27" t="str">
        <f>IF($S34="","",IF(ISNUMBER($Y34),IF($Y34=0,0,$X34/$Y34),""))</f>
        <v/>
      </c>
    </row>
    <row r="35" ht="20" customHeight="1">
      <c r="A35" s="81" t="str">
        <f>IF($Q35="","",28)</f>
        <v/>
      </c>
      <c r="B35" s="57" t="str">
        <f>IF($Q35="","",INDEX(TRANSACTIONS_MASTER!$B$5:$B$1204,$Q35))</f>
        <v/>
      </c>
      <c r="C35" s="55" t="str">
        <f>IF($Q35="","",INDEX(TRANSACTIONS_MASTER!$F$5:$F$1204,$Q35))</f>
        <v/>
      </c>
      <c r="D35" s="55" t="str">
        <f>IF($Q35="","",INDEX(TRANSACTIONS_MASTER!$E$5:$E$1204,$Q35))</f>
        <v/>
      </c>
      <c r="E35" s="55" t="str">
        <f>IF($Q35="","",INDEX(TRANSACTIONS_MASTER!$G$5:$G$1204,$Q35)&amp;"")</f>
        <v/>
      </c>
      <c r="F35" s="29" t="str">
        <f>IF($Q35="","",INDEX(TRANSACTIONS_MASTER!$I$5:$I$1204,$Q35))</f>
        <v/>
      </c>
      <c r="G35" s="55" t="str">
        <f>IF($Q35="","",INDEX(TRANSACTIONS_MASTER!$K$5:$K$1204,$Q35))</f>
        <v/>
      </c>
      <c r="H35" s="25" t="str">
        <f>IF($Q35="","",INDEX(TRANSACTIONS_MASTER!$L$5:$L$1204,$Q35))</f>
        <v/>
      </c>
      <c r="I35" s="56" t="str">
        <f>IF($Q35="","",INDEX(TRANSACTIONS_MASTER!$N$5:$N$1204,$Q35))</f>
        <v/>
      </c>
      <c r="J35" s="25" t="str">
        <f>IF($Q35="","",INDEX(TRANSACTIONS_MASTER!$O$5:$O$1204,$Q35))</f>
        <v/>
      </c>
      <c r="K35" s="26" t="str">
        <f>IF($Q35="","",INDEX(TRANSACTIONS_MASTER!$Q$5:$Q$1204,$Q35))</f>
        <v/>
      </c>
      <c r="L35" s="25" t="str">
        <f>IF($Q35="","",INDEX(TRANSACTIONS_MASTER!$P$5:$P$1204,$Q35))</f>
        <v/>
      </c>
      <c r="M35" s="25" t="str">
        <f>IF($Q35="","",INDEX(TRANSACTIONS_MASTER!$AA$5:$AA$1204,$Q35))</f>
        <v/>
      </c>
      <c r="N35" s="25" t="str">
        <f>IF($Q35="","",INDEX(TRANSACTIONS_MASTER!$R$5:$R$1204,$Q35))</f>
        <v/>
      </c>
      <c r="O35" s="28" t="str">
        <f>IF($Q35="","",INDEX(TRANSACTIONS_MASTER!$AB$5:$AB$1204,$Q35))</f>
        <v/>
      </c>
      <c r="P35" s="55" t="str">
        <f>IF($Q35="","",INDEX(TRANSACTIONS_MASTER!$Z$5:$Z$1204,$Q35)&amp;"")</f>
        <v/>
      </c>
      <c r="Q35" s="67" t="str">
        <f>IFERROR(MATCH($C$2&amp;"|"&amp;28,TRANSACTIONS_MASTER!$AE$5:$AE$1204,0),"")</f>
        <v/>
      </c>
      <c r="S35" s="67" t="str">
        <f>IFERROR(MATCH(28,CASHBACK_RULES!$S$5:$S$304,0),"")</f>
        <v/>
      </c>
      <c r="T35" s="55" t="str">
        <f>IF($S35="","",INDEX(CASHBACK_RULES!$B$5:$B$304,$S35))</f>
        <v/>
      </c>
      <c r="U35" s="55" t="str">
        <f>IF($S35="","",INDEX(CASHBACK_RULES!$C$5:$C$304,$S35)&amp;" "&amp;INDEX(CASHBACK_RULES!$D$5:$D$304,$S35))</f>
        <v/>
      </c>
      <c r="V35" s="55" t="str">
        <f>IF($S35="","",INDEX(CASHBACK_RULES!$E$5:$E$304,$S35)&amp;"")</f>
        <v/>
      </c>
      <c r="W35" s="55" t="str">
        <f>IF($S35="","",INDEX(CASHBACK_RULES!$F$5:$F$304,$S35)&amp;"")</f>
        <v/>
      </c>
      <c r="X35" s="26" t="str">
        <f>IF($S35="","",SUMIFS(TRANSACTIONS_MASTER!$Q$5:$Q$1204,TRANSACTIONS_MASTER!$D$5:$D$1204,$T35,TRANSACTIONS_MASTER!$Z$5:$Z$1204,$V35,TRANSACTIONS_MASTER!$C$5:$C$1204,$C$2))</f>
        <v/>
      </c>
      <c r="Y35" s="25" t="str">
        <f>IF($S35="","",IF(ISNUMBER(INDEX(CASHBACK_RULES!$J$5:$J$304,$S35)),INDEX(CASHBACK_RULES!$J$5:$J$304,$S35),"∞"))</f>
        <v/>
      </c>
      <c r="Z35" s="25" t="str">
        <f>IF($S35="","",IF(ISNUMBER($Y35),MAX(0,$Y35-$X35),"∞"))</f>
        <v/>
      </c>
      <c r="AA35" s="27" t="str">
        <f>IF($S35="","",IF(ISNUMBER($Y35),IF($Y35=0,0,$X35/$Y35),""))</f>
        <v/>
      </c>
    </row>
    <row r="36" ht="20" customHeight="1">
      <c r="A36" s="81" t="str">
        <f>IF($Q36="","",29)</f>
        <v/>
      </c>
      <c r="B36" s="57" t="str">
        <f>IF($Q36="","",INDEX(TRANSACTIONS_MASTER!$B$5:$B$1204,$Q36))</f>
        <v/>
      </c>
      <c r="C36" s="55" t="str">
        <f>IF($Q36="","",INDEX(TRANSACTIONS_MASTER!$F$5:$F$1204,$Q36))</f>
        <v/>
      </c>
      <c r="D36" s="55" t="str">
        <f>IF($Q36="","",INDEX(TRANSACTIONS_MASTER!$E$5:$E$1204,$Q36))</f>
        <v/>
      </c>
      <c r="E36" s="55" t="str">
        <f>IF($Q36="","",INDEX(TRANSACTIONS_MASTER!$G$5:$G$1204,$Q36)&amp;"")</f>
        <v/>
      </c>
      <c r="F36" s="29" t="str">
        <f>IF($Q36="","",INDEX(TRANSACTIONS_MASTER!$I$5:$I$1204,$Q36))</f>
        <v/>
      </c>
      <c r="G36" s="55" t="str">
        <f>IF($Q36="","",INDEX(TRANSACTIONS_MASTER!$K$5:$K$1204,$Q36))</f>
        <v/>
      </c>
      <c r="H36" s="25" t="str">
        <f>IF($Q36="","",INDEX(TRANSACTIONS_MASTER!$L$5:$L$1204,$Q36))</f>
        <v/>
      </c>
      <c r="I36" s="56" t="str">
        <f>IF($Q36="","",INDEX(TRANSACTIONS_MASTER!$N$5:$N$1204,$Q36))</f>
        <v/>
      </c>
      <c r="J36" s="25" t="str">
        <f>IF($Q36="","",INDEX(TRANSACTIONS_MASTER!$O$5:$O$1204,$Q36))</f>
        <v/>
      </c>
      <c r="K36" s="26" t="str">
        <f>IF($Q36="","",INDEX(TRANSACTIONS_MASTER!$Q$5:$Q$1204,$Q36))</f>
        <v/>
      </c>
      <c r="L36" s="25" t="str">
        <f>IF($Q36="","",INDEX(TRANSACTIONS_MASTER!$P$5:$P$1204,$Q36))</f>
        <v/>
      </c>
      <c r="M36" s="25" t="str">
        <f>IF($Q36="","",INDEX(TRANSACTIONS_MASTER!$AA$5:$AA$1204,$Q36))</f>
        <v/>
      </c>
      <c r="N36" s="25" t="str">
        <f>IF($Q36="","",INDEX(TRANSACTIONS_MASTER!$R$5:$R$1204,$Q36))</f>
        <v/>
      </c>
      <c r="O36" s="28" t="str">
        <f>IF($Q36="","",INDEX(TRANSACTIONS_MASTER!$AB$5:$AB$1204,$Q36))</f>
        <v/>
      </c>
      <c r="P36" s="55" t="str">
        <f>IF($Q36="","",INDEX(TRANSACTIONS_MASTER!$Z$5:$Z$1204,$Q36)&amp;"")</f>
        <v/>
      </c>
      <c r="Q36" s="67" t="str">
        <f>IFERROR(MATCH($C$2&amp;"|"&amp;29,TRANSACTIONS_MASTER!$AE$5:$AE$1204,0),"")</f>
        <v/>
      </c>
      <c r="S36" s="67" t="str">
        <f>IFERROR(MATCH(29,CASHBACK_RULES!$S$5:$S$304,0),"")</f>
        <v/>
      </c>
      <c r="T36" s="55" t="str">
        <f>IF($S36="","",INDEX(CASHBACK_RULES!$B$5:$B$304,$S36))</f>
        <v/>
      </c>
      <c r="U36" s="55" t="str">
        <f>IF($S36="","",INDEX(CASHBACK_RULES!$C$5:$C$304,$S36)&amp;" "&amp;INDEX(CASHBACK_RULES!$D$5:$D$304,$S36))</f>
        <v/>
      </c>
      <c r="V36" s="55" t="str">
        <f>IF($S36="","",INDEX(CASHBACK_RULES!$E$5:$E$304,$S36)&amp;"")</f>
        <v/>
      </c>
      <c r="W36" s="55" t="str">
        <f>IF($S36="","",INDEX(CASHBACK_RULES!$F$5:$F$304,$S36)&amp;"")</f>
        <v/>
      </c>
      <c r="X36" s="26" t="str">
        <f>IF($S36="","",SUMIFS(TRANSACTIONS_MASTER!$Q$5:$Q$1204,TRANSACTIONS_MASTER!$D$5:$D$1204,$T36,TRANSACTIONS_MASTER!$Z$5:$Z$1204,$V36,TRANSACTIONS_MASTER!$C$5:$C$1204,$C$2))</f>
        <v/>
      </c>
      <c r="Y36" s="25" t="str">
        <f>IF($S36="","",IF(ISNUMBER(INDEX(CASHBACK_RULES!$J$5:$J$304,$S36)),INDEX(CASHBACK_RULES!$J$5:$J$304,$S36),"∞"))</f>
        <v/>
      </c>
      <c r="Z36" s="25" t="str">
        <f>IF($S36="","",IF(ISNUMBER($Y36),MAX(0,$Y36-$X36),"∞"))</f>
        <v/>
      </c>
      <c r="AA36" s="27" t="str">
        <f>IF($S36="","",IF(ISNUMBER($Y36),IF($Y36=0,0,$X36/$Y36),""))</f>
        <v/>
      </c>
    </row>
    <row r="37" ht="20" customHeight="1">
      <c r="A37" s="81" t="str">
        <f>IF($Q37="","",30)</f>
        <v/>
      </c>
      <c r="B37" s="57" t="str">
        <f>IF($Q37="","",INDEX(TRANSACTIONS_MASTER!$B$5:$B$1204,$Q37))</f>
        <v/>
      </c>
      <c r="C37" s="55" t="str">
        <f>IF($Q37="","",INDEX(TRANSACTIONS_MASTER!$F$5:$F$1204,$Q37))</f>
        <v/>
      </c>
      <c r="D37" s="55" t="str">
        <f>IF($Q37="","",INDEX(TRANSACTIONS_MASTER!$E$5:$E$1204,$Q37))</f>
        <v/>
      </c>
      <c r="E37" s="55" t="str">
        <f>IF($Q37="","",INDEX(TRANSACTIONS_MASTER!$G$5:$G$1204,$Q37)&amp;"")</f>
        <v/>
      </c>
      <c r="F37" s="29" t="str">
        <f>IF($Q37="","",INDEX(TRANSACTIONS_MASTER!$I$5:$I$1204,$Q37))</f>
        <v/>
      </c>
      <c r="G37" s="55" t="str">
        <f>IF($Q37="","",INDEX(TRANSACTIONS_MASTER!$K$5:$K$1204,$Q37))</f>
        <v/>
      </c>
      <c r="H37" s="25" t="str">
        <f>IF($Q37="","",INDEX(TRANSACTIONS_MASTER!$L$5:$L$1204,$Q37))</f>
        <v/>
      </c>
      <c r="I37" s="56" t="str">
        <f>IF($Q37="","",INDEX(TRANSACTIONS_MASTER!$N$5:$N$1204,$Q37))</f>
        <v/>
      </c>
      <c r="J37" s="25" t="str">
        <f>IF($Q37="","",INDEX(TRANSACTIONS_MASTER!$O$5:$O$1204,$Q37))</f>
        <v/>
      </c>
      <c r="K37" s="26" t="str">
        <f>IF($Q37="","",INDEX(TRANSACTIONS_MASTER!$Q$5:$Q$1204,$Q37))</f>
        <v/>
      </c>
      <c r="L37" s="25" t="str">
        <f>IF($Q37="","",INDEX(TRANSACTIONS_MASTER!$P$5:$P$1204,$Q37))</f>
        <v/>
      </c>
      <c r="M37" s="25" t="str">
        <f>IF($Q37="","",INDEX(TRANSACTIONS_MASTER!$AA$5:$AA$1204,$Q37))</f>
        <v/>
      </c>
      <c r="N37" s="25" t="str">
        <f>IF($Q37="","",INDEX(TRANSACTIONS_MASTER!$R$5:$R$1204,$Q37))</f>
        <v/>
      </c>
      <c r="O37" s="28" t="str">
        <f>IF($Q37="","",INDEX(TRANSACTIONS_MASTER!$AB$5:$AB$1204,$Q37))</f>
        <v/>
      </c>
      <c r="P37" s="55" t="str">
        <f>IF($Q37="","",INDEX(TRANSACTIONS_MASTER!$Z$5:$Z$1204,$Q37)&amp;"")</f>
        <v/>
      </c>
      <c r="Q37" s="67" t="str">
        <f>IFERROR(MATCH($C$2&amp;"|"&amp;30,TRANSACTIONS_MASTER!$AE$5:$AE$1204,0),"")</f>
        <v/>
      </c>
      <c r="S37" s="67" t="str">
        <f>IFERROR(MATCH(30,CASHBACK_RULES!$S$5:$S$304,0),"")</f>
        <v/>
      </c>
      <c r="T37" s="55" t="str">
        <f>IF($S37="","",INDEX(CASHBACK_RULES!$B$5:$B$304,$S37))</f>
        <v/>
      </c>
      <c r="U37" s="55" t="str">
        <f>IF($S37="","",INDEX(CASHBACK_RULES!$C$5:$C$304,$S37)&amp;" "&amp;INDEX(CASHBACK_RULES!$D$5:$D$304,$S37))</f>
        <v/>
      </c>
      <c r="V37" s="55" t="str">
        <f>IF($S37="","",INDEX(CASHBACK_RULES!$E$5:$E$304,$S37)&amp;"")</f>
        <v/>
      </c>
      <c r="W37" s="55" t="str">
        <f>IF($S37="","",INDEX(CASHBACK_RULES!$F$5:$F$304,$S37)&amp;"")</f>
        <v/>
      </c>
      <c r="X37" s="26" t="str">
        <f>IF($S37="","",SUMIFS(TRANSACTIONS_MASTER!$Q$5:$Q$1204,TRANSACTIONS_MASTER!$D$5:$D$1204,$T37,TRANSACTIONS_MASTER!$Z$5:$Z$1204,$V37,TRANSACTIONS_MASTER!$C$5:$C$1204,$C$2))</f>
        <v/>
      </c>
      <c r="Y37" s="25" t="str">
        <f>IF($S37="","",IF(ISNUMBER(INDEX(CASHBACK_RULES!$J$5:$J$304,$S37)),INDEX(CASHBACK_RULES!$J$5:$J$304,$S37),"∞"))</f>
        <v/>
      </c>
      <c r="Z37" s="25" t="str">
        <f>IF($S37="","",IF(ISNUMBER($Y37),MAX(0,$Y37-$X37),"∞"))</f>
        <v/>
      </c>
      <c r="AA37" s="27" t="str">
        <f>IF($S37="","",IF(ISNUMBER($Y37),IF($Y37=0,0,$X37/$Y37),""))</f>
        <v/>
      </c>
    </row>
    <row r="38" ht="20" customHeight="1">
      <c r="A38" s="81" t="str">
        <f>IF($Q38="","",31)</f>
        <v/>
      </c>
      <c r="B38" s="57" t="str">
        <f>IF($Q38="","",INDEX(TRANSACTIONS_MASTER!$B$5:$B$1204,$Q38))</f>
        <v/>
      </c>
      <c r="C38" s="55" t="str">
        <f>IF($Q38="","",INDEX(TRANSACTIONS_MASTER!$F$5:$F$1204,$Q38))</f>
        <v/>
      </c>
      <c r="D38" s="55" t="str">
        <f>IF($Q38="","",INDEX(TRANSACTIONS_MASTER!$E$5:$E$1204,$Q38))</f>
        <v/>
      </c>
      <c r="E38" s="55" t="str">
        <f>IF($Q38="","",INDEX(TRANSACTIONS_MASTER!$G$5:$G$1204,$Q38)&amp;"")</f>
        <v/>
      </c>
      <c r="F38" s="29" t="str">
        <f>IF($Q38="","",INDEX(TRANSACTIONS_MASTER!$I$5:$I$1204,$Q38))</f>
        <v/>
      </c>
      <c r="G38" s="55" t="str">
        <f>IF($Q38="","",INDEX(TRANSACTIONS_MASTER!$K$5:$K$1204,$Q38))</f>
        <v/>
      </c>
      <c r="H38" s="25" t="str">
        <f>IF($Q38="","",INDEX(TRANSACTIONS_MASTER!$L$5:$L$1204,$Q38))</f>
        <v/>
      </c>
      <c r="I38" s="56" t="str">
        <f>IF($Q38="","",INDEX(TRANSACTIONS_MASTER!$N$5:$N$1204,$Q38))</f>
        <v/>
      </c>
      <c r="J38" s="25" t="str">
        <f>IF($Q38="","",INDEX(TRANSACTIONS_MASTER!$O$5:$O$1204,$Q38))</f>
        <v/>
      </c>
      <c r="K38" s="26" t="str">
        <f>IF($Q38="","",INDEX(TRANSACTIONS_MASTER!$Q$5:$Q$1204,$Q38))</f>
        <v/>
      </c>
      <c r="L38" s="25" t="str">
        <f>IF($Q38="","",INDEX(TRANSACTIONS_MASTER!$P$5:$P$1204,$Q38))</f>
        <v/>
      </c>
      <c r="M38" s="25" t="str">
        <f>IF($Q38="","",INDEX(TRANSACTIONS_MASTER!$AA$5:$AA$1204,$Q38))</f>
        <v/>
      </c>
      <c r="N38" s="25" t="str">
        <f>IF($Q38="","",INDEX(TRANSACTIONS_MASTER!$R$5:$R$1204,$Q38))</f>
        <v/>
      </c>
      <c r="O38" s="28" t="str">
        <f>IF($Q38="","",INDEX(TRANSACTIONS_MASTER!$AB$5:$AB$1204,$Q38))</f>
        <v/>
      </c>
      <c r="P38" s="55" t="str">
        <f>IF($Q38="","",INDEX(TRANSACTIONS_MASTER!$Z$5:$Z$1204,$Q38)&amp;"")</f>
        <v/>
      </c>
      <c r="Q38" s="67" t="str">
        <f>IFERROR(MATCH($C$2&amp;"|"&amp;31,TRANSACTIONS_MASTER!$AE$5:$AE$1204,0),"")</f>
        <v/>
      </c>
      <c r="S38" s="67" t="str">
        <f>IFERROR(MATCH(31,CASHBACK_RULES!$S$5:$S$304,0),"")</f>
        <v/>
      </c>
      <c r="T38" s="55" t="str">
        <f>IF($S38="","",INDEX(CASHBACK_RULES!$B$5:$B$304,$S38))</f>
        <v/>
      </c>
      <c r="U38" s="55" t="str">
        <f>IF($S38="","",INDEX(CASHBACK_RULES!$C$5:$C$304,$S38)&amp;" "&amp;INDEX(CASHBACK_RULES!$D$5:$D$304,$S38))</f>
        <v/>
      </c>
      <c r="V38" s="55" t="str">
        <f>IF($S38="","",INDEX(CASHBACK_RULES!$E$5:$E$304,$S38)&amp;"")</f>
        <v/>
      </c>
      <c r="W38" s="55" t="str">
        <f>IF($S38="","",INDEX(CASHBACK_RULES!$F$5:$F$304,$S38)&amp;"")</f>
        <v/>
      </c>
      <c r="X38" s="26" t="str">
        <f>IF($S38="","",SUMIFS(TRANSACTIONS_MASTER!$Q$5:$Q$1204,TRANSACTIONS_MASTER!$D$5:$D$1204,$T38,TRANSACTIONS_MASTER!$Z$5:$Z$1204,$V38,TRANSACTIONS_MASTER!$C$5:$C$1204,$C$2))</f>
        <v/>
      </c>
      <c r="Y38" s="25" t="str">
        <f>IF($S38="","",IF(ISNUMBER(INDEX(CASHBACK_RULES!$J$5:$J$304,$S38)),INDEX(CASHBACK_RULES!$J$5:$J$304,$S38),"∞"))</f>
        <v/>
      </c>
      <c r="Z38" s="25" t="str">
        <f>IF($S38="","",IF(ISNUMBER($Y38),MAX(0,$Y38-$X38),"∞"))</f>
        <v/>
      </c>
      <c r="AA38" s="27" t="str">
        <f>IF($S38="","",IF(ISNUMBER($Y38),IF($Y38=0,0,$X38/$Y38),""))</f>
        <v/>
      </c>
    </row>
    <row r="39" ht="20" customHeight="1">
      <c r="A39" s="81" t="str">
        <f>IF($Q39="","",32)</f>
        <v/>
      </c>
      <c r="B39" s="57" t="str">
        <f>IF($Q39="","",INDEX(TRANSACTIONS_MASTER!$B$5:$B$1204,$Q39))</f>
        <v/>
      </c>
      <c r="C39" s="55" t="str">
        <f>IF($Q39="","",INDEX(TRANSACTIONS_MASTER!$F$5:$F$1204,$Q39))</f>
        <v/>
      </c>
      <c r="D39" s="55" t="str">
        <f>IF($Q39="","",INDEX(TRANSACTIONS_MASTER!$E$5:$E$1204,$Q39))</f>
        <v/>
      </c>
      <c r="E39" s="55" t="str">
        <f>IF($Q39="","",INDEX(TRANSACTIONS_MASTER!$G$5:$G$1204,$Q39)&amp;"")</f>
        <v/>
      </c>
      <c r="F39" s="29" t="str">
        <f>IF($Q39="","",INDEX(TRANSACTIONS_MASTER!$I$5:$I$1204,$Q39))</f>
        <v/>
      </c>
      <c r="G39" s="55" t="str">
        <f>IF($Q39="","",INDEX(TRANSACTIONS_MASTER!$K$5:$K$1204,$Q39))</f>
        <v/>
      </c>
      <c r="H39" s="25" t="str">
        <f>IF($Q39="","",INDEX(TRANSACTIONS_MASTER!$L$5:$L$1204,$Q39))</f>
        <v/>
      </c>
      <c r="I39" s="56" t="str">
        <f>IF($Q39="","",INDEX(TRANSACTIONS_MASTER!$N$5:$N$1204,$Q39))</f>
        <v/>
      </c>
      <c r="J39" s="25" t="str">
        <f>IF($Q39="","",INDEX(TRANSACTIONS_MASTER!$O$5:$O$1204,$Q39))</f>
        <v/>
      </c>
      <c r="K39" s="26" t="str">
        <f>IF($Q39="","",INDEX(TRANSACTIONS_MASTER!$Q$5:$Q$1204,$Q39))</f>
        <v/>
      </c>
      <c r="L39" s="25" t="str">
        <f>IF($Q39="","",INDEX(TRANSACTIONS_MASTER!$P$5:$P$1204,$Q39))</f>
        <v/>
      </c>
      <c r="M39" s="25" t="str">
        <f>IF($Q39="","",INDEX(TRANSACTIONS_MASTER!$AA$5:$AA$1204,$Q39))</f>
        <v/>
      </c>
      <c r="N39" s="25" t="str">
        <f>IF($Q39="","",INDEX(TRANSACTIONS_MASTER!$R$5:$R$1204,$Q39))</f>
        <v/>
      </c>
      <c r="O39" s="28" t="str">
        <f>IF($Q39="","",INDEX(TRANSACTIONS_MASTER!$AB$5:$AB$1204,$Q39))</f>
        <v/>
      </c>
      <c r="P39" s="55" t="str">
        <f>IF($Q39="","",INDEX(TRANSACTIONS_MASTER!$Z$5:$Z$1204,$Q39)&amp;"")</f>
        <v/>
      </c>
      <c r="Q39" s="67" t="str">
        <f>IFERROR(MATCH($C$2&amp;"|"&amp;32,TRANSACTIONS_MASTER!$AE$5:$AE$1204,0),"")</f>
        <v/>
      </c>
      <c r="S39" s="67" t="str">
        <f>IFERROR(MATCH(32,CASHBACK_RULES!$S$5:$S$304,0),"")</f>
        <v/>
      </c>
      <c r="T39" s="55" t="str">
        <f>IF($S39="","",INDEX(CASHBACK_RULES!$B$5:$B$304,$S39))</f>
        <v/>
      </c>
      <c r="U39" s="55" t="str">
        <f>IF($S39="","",INDEX(CASHBACK_RULES!$C$5:$C$304,$S39)&amp;" "&amp;INDEX(CASHBACK_RULES!$D$5:$D$304,$S39))</f>
        <v/>
      </c>
      <c r="V39" s="55" t="str">
        <f>IF($S39="","",INDEX(CASHBACK_RULES!$E$5:$E$304,$S39)&amp;"")</f>
        <v/>
      </c>
      <c r="W39" s="55" t="str">
        <f>IF($S39="","",INDEX(CASHBACK_RULES!$F$5:$F$304,$S39)&amp;"")</f>
        <v/>
      </c>
      <c r="X39" s="26" t="str">
        <f>IF($S39="","",SUMIFS(TRANSACTIONS_MASTER!$Q$5:$Q$1204,TRANSACTIONS_MASTER!$D$5:$D$1204,$T39,TRANSACTIONS_MASTER!$Z$5:$Z$1204,$V39,TRANSACTIONS_MASTER!$C$5:$C$1204,$C$2))</f>
        <v/>
      </c>
      <c r="Y39" s="25" t="str">
        <f>IF($S39="","",IF(ISNUMBER(INDEX(CASHBACK_RULES!$J$5:$J$304,$S39)),INDEX(CASHBACK_RULES!$J$5:$J$304,$S39),"∞"))</f>
        <v/>
      </c>
      <c r="Z39" s="25" t="str">
        <f>IF($S39="","",IF(ISNUMBER($Y39),MAX(0,$Y39-$X39),"∞"))</f>
        <v/>
      </c>
      <c r="AA39" s="27" t="str">
        <f>IF($S39="","",IF(ISNUMBER($Y39),IF($Y39=0,0,$X39/$Y39),""))</f>
        <v/>
      </c>
    </row>
    <row r="40" ht="20" customHeight="1">
      <c r="A40" s="81" t="str">
        <f>IF($Q40="","",33)</f>
        <v/>
      </c>
      <c r="B40" s="57" t="str">
        <f>IF($Q40="","",INDEX(TRANSACTIONS_MASTER!$B$5:$B$1204,$Q40))</f>
        <v/>
      </c>
      <c r="C40" s="55" t="str">
        <f>IF($Q40="","",INDEX(TRANSACTIONS_MASTER!$F$5:$F$1204,$Q40))</f>
        <v/>
      </c>
      <c r="D40" s="55" t="str">
        <f>IF($Q40="","",INDEX(TRANSACTIONS_MASTER!$E$5:$E$1204,$Q40))</f>
        <v/>
      </c>
      <c r="E40" s="55" t="str">
        <f>IF($Q40="","",INDEX(TRANSACTIONS_MASTER!$G$5:$G$1204,$Q40)&amp;"")</f>
        <v/>
      </c>
      <c r="F40" s="29" t="str">
        <f>IF($Q40="","",INDEX(TRANSACTIONS_MASTER!$I$5:$I$1204,$Q40))</f>
        <v/>
      </c>
      <c r="G40" s="55" t="str">
        <f>IF($Q40="","",INDEX(TRANSACTIONS_MASTER!$K$5:$K$1204,$Q40))</f>
        <v/>
      </c>
      <c r="H40" s="25" t="str">
        <f>IF($Q40="","",INDEX(TRANSACTIONS_MASTER!$L$5:$L$1204,$Q40))</f>
        <v/>
      </c>
      <c r="I40" s="56" t="str">
        <f>IF($Q40="","",INDEX(TRANSACTIONS_MASTER!$N$5:$N$1204,$Q40))</f>
        <v/>
      </c>
      <c r="J40" s="25" t="str">
        <f>IF($Q40="","",INDEX(TRANSACTIONS_MASTER!$O$5:$O$1204,$Q40))</f>
        <v/>
      </c>
      <c r="K40" s="26" t="str">
        <f>IF($Q40="","",INDEX(TRANSACTIONS_MASTER!$Q$5:$Q$1204,$Q40))</f>
        <v/>
      </c>
      <c r="L40" s="25" t="str">
        <f>IF($Q40="","",INDEX(TRANSACTIONS_MASTER!$P$5:$P$1204,$Q40))</f>
        <v/>
      </c>
      <c r="M40" s="25" t="str">
        <f>IF($Q40="","",INDEX(TRANSACTIONS_MASTER!$AA$5:$AA$1204,$Q40))</f>
        <v/>
      </c>
      <c r="N40" s="25" t="str">
        <f>IF($Q40="","",INDEX(TRANSACTIONS_MASTER!$R$5:$R$1204,$Q40))</f>
        <v/>
      </c>
      <c r="O40" s="28" t="str">
        <f>IF($Q40="","",INDEX(TRANSACTIONS_MASTER!$AB$5:$AB$1204,$Q40))</f>
        <v/>
      </c>
      <c r="P40" s="55" t="str">
        <f>IF($Q40="","",INDEX(TRANSACTIONS_MASTER!$Z$5:$Z$1204,$Q40)&amp;"")</f>
        <v/>
      </c>
      <c r="Q40" s="67" t="str">
        <f>IFERROR(MATCH($C$2&amp;"|"&amp;33,TRANSACTIONS_MASTER!$AE$5:$AE$1204,0),"")</f>
        <v/>
      </c>
      <c r="S40" s="67" t="str">
        <f>IFERROR(MATCH(33,CASHBACK_RULES!$S$5:$S$304,0),"")</f>
        <v/>
      </c>
      <c r="T40" s="55" t="str">
        <f>IF($S40="","",INDEX(CASHBACK_RULES!$B$5:$B$304,$S40))</f>
        <v/>
      </c>
      <c r="U40" s="55" t="str">
        <f>IF($S40="","",INDEX(CASHBACK_RULES!$C$5:$C$304,$S40)&amp;" "&amp;INDEX(CASHBACK_RULES!$D$5:$D$304,$S40))</f>
        <v/>
      </c>
      <c r="V40" s="55" t="str">
        <f>IF($S40="","",INDEX(CASHBACK_RULES!$E$5:$E$304,$S40)&amp;"")</f>
        <v/>
      </c>
      <c r="W40" s="55" t="str">
        <f>IF($S40="","",INDEX(CASHBACK_RULES!$F$5:$F$304,$S40)&amp;"")</f>
        <v/>
      </c>
      <c r="X40" s="26" t="str">
        <f>IF($S40="","",SUMIFS(TRANSACTIONS_MASTER!$Q$5:$Q$1204,TRANSACTIONS_MASTER!$D$5:$D$1204,$T40,TRANSACTIONS_MASTER!$Z$5:$Z$1204,$V40,TRANSACTIONS_MASTER!$C$5:$C$1204,$C$2))</f>
        <v/>
      </c>
      <c r="Y40" s="25" t="str">
        <f>IF($S40="","",IF(ISNUMBER(INDEX(CASHBACK_RULES!$J$5:$J$304,$S40)),INDEX(CASHBACK_RULES!$J$5:$J$304,$S40),"∞"))</f>
        <v/>
      </c>
      <c r="Z40" s="25" t="str">
        <f>IF($S40="","",IF(ISNUMBER($Y40),MAX(0,$Y40-$X40),"∞"))</f>
        <v/>
      </c>
      <c r="AA40" s="27" t="str">
        <f>IF($S40="","",IF(ISNUMBER($Y40),IF($Y40=0,0,$X40/$Y40),""))</f>
        <v/>
      </c>
    </row>
    <row r="41" ht="20" customHeight="1">
      <c r="A41" s="81" t="str">
        <f>IF($Q41="","",34)</f>
        <v/>
      </c>
      <c r="B41" s="57" t="str">
        <f>IF($Q41="","",INDEX(TRANSACTIONS_MASTER!$B$5:$B$1204,$Q41))</f>
        <v/>
      </c>
      <c r="C41" s="55" t="str">
        <f>IF($Q41="","",INDEX(TRANSACTIONS_MASTER!$F$5:$F$1204,$Q41))</f>
        <v/>
      </c>
      <c r="D41" s="55" t="str">
        <f>IF($Q41="","",INDEX(TRANSACTIONS_MASTER!$E$5:$E$1204,$Q41))</f>
        <v/>
      </c>
      <c r="E41" s="55" t="str">
        <f>IF($Q41="","",INDEX(TRANSACTIONS_MASTER!$G$5:$G$1204,$Q41)&amp;"")</f>
        <v/>
      </c>
      <c r="F41" s="29" t="str">
        <f>IF($Q41="","",INDEX(TRANSACTIONS_MASTER!$I$5:$I$1204,$Q41))</f>
        <v/>
      </c>
      <c r="G41" s="55" t="str">
        <f>IF($Q41="","",INDEX(TRANSACTIONS_MASTER!$K$5:$K$1204,$Q41))</f>
        <v/>
      </c>
      <c r="H41" s="25" t="str">
        <f>IF($Q41="","",INDEX(TRANSACTIONS_MASTER!$L$5:$L$1204,$Q41))</f>
        <v/>
      </c>
      <c r="I41" s="56" t="str">
        <f>IF($Q41="","",INDEX(TRANSACTIONS_MASTER!$N$5:$N$1204,$Q41))</f>
        <v/>
      </c>
      <c r="J41" s="25" t="str">
        <f>IF($Q41="","",INDEX(TRANSACTIONS_MASTER!$O$5:$O$1204,$Q41))</f>
        <v/>
      </c>
      <c r="K41" s="26" t="str">
        <f>IF($Q41="","",INDEX(TRANSACTIONS_MASTER!$Q$5:$Q$1204,$Q41))</f>
        <v/>
      </c>
      <c r="L41" s="25" t="str">
        <f>IF($Q41="","",INDEX(TRANSACTIONS_MASTER!$P$5:$P$1204,$Q41))</f>
        <v/>
      </c>
      <c r="M41" s="25" t="str">
        <f>IF($Q41="","",INDEX(TRANSACTIONS_MASTER!$AA$5:$AA$1204,$Q41))</f>
        <v/>
      </c>
      <c r="N41" s="25" t="str">
        <f>IF($Q41="","",INDEX(TRANSACTIONS_MASTER!$R$5:$R$1204,$Q41))</f>
        <v/>
      </c>
      <c r="O41" s="28" t="str">
        <f>IF($Q41="","",INDEX(TRANSACTIONS_MASTER!$AB$5:$AB$1204,$Q41))</f>
        <v/>
      </c>
      <c r="P41" s="55" t="str">
        <f>IF($Q41="","",INDEX(TRANSACTIONS_MASTER!$Z$5:$Z$1204,$Q41)&amp;"")</f>
        <v/>
      </c>
      <c r="Q41" s="67" t="str">
        <f>IFERROR(MATCH($C$2&amp;"|"&amp;34,TRANSACTIONS_MASTER!$AE$5:$AE$1204,0),"")</f>
        <v/>
      </c>
      <c r="S41" s="67" t="str">
        <f>IFERROR(MATCH(34,CASHBACK_RULES!$S$5:$S$304,0),"")</f>
        <v/>
      </c>
      <c r="T41" s="55" t="str">
        <f>IF($S41="","",INDEX(CASHBACK_RULES!$B$5:$B$304,$S41))</f>
        <v/>
      </c>
      <c r="U41" s="55" t="str">
        <f>IF($S41="","",INDEX(CASHBACK_RULES!$C$5:$C$304,$S41)&amp;" "&amp;INDEX(CASHBACK_RULES!$D$5:$D$304,$S41))</f>
        <v/>
      </c>
      <c r="V41" s="55" t="str">
        <f>IF($S41="","",INDEX(CASHBACK_RULES!$E$5:$E$304,$S41)&amp;"")</f>
        <v/>
      </c>
      <c r="W41" s="55" t="str">
        <f>IF($S41="","",INDEX(CASHBACK_RULES!$F$5:$F$304,$S41)&amp;"")</f>
        <v/>
      </c>
      <c r="X41" s="26" t="str">
        <f>IF($S41="","",SUMIFS(TRANSACTIONS_MASTER!$Q$5:$Q$1204,TRANSACTIONS_MASTER!$D$5:$D$1204,$T41,TRANSACTIONS_MASTER!$Z$5:$Z$1204,$V41,TRANSACTIONS_MASTER!$C$5:$C$1204,$C$2))</f>
        <v/>
      </c>
      <c r="Y41" s="25" t="str">
        <f>IF($S41="","",IF(ISNUMBER(INDEX(CASHBACK_RULES!$J$5:$J$304,$S41)),INDEX(CASHBACK_RULES!$J$5:$J$304,$S41),"∞"))</f>
        <v/>
      </c>
      <c r="Z41" s="25" t="str">
        <f>IF($S41="","",IF(ISNUMBER($Y41),MAX(0,$Y41-$X41),"∞"))</f>
        <v/>
      </c>
      <c r="AA41" s="27" t="str">
        <f>IF($S41="","",IF(ISNUMBER($Y41),IF($Y41=0,0,$X41/$Y41),""))</f>
        <v/>
      </c>
    </row>
    <row r="42" ht="20" customHeight="1">
      <c r="A42" s="81" t="str">
        <f>IF($Q42="","",35)</f>
        <v/>
      </c>
      <c r="B42" s="57" t="str">
        <f>IF($Q42="","",INDEX(TRANSACTIONS_MASTER!$B$5:$B$1204,$Q42))</f>
        <v/>
      </c>
      <c r="C42" s="55" t="str">
        <f>IF($Q42="","",INDEX(TRANSACTIONS_MASTER!$F$5:$F$1204,$Q42))</f>
        <v/>
      </c>
      <c r="D42" s="55" t="str">
        <f>IF($Q42="","",INDEX(TRANSACTIONS_MASTER!$E$5:$E$1204,$Q42))</f>
        <v/>
      </c>
      <c r="E42" s="55" t="str">
        <f>IF($Q42="","",INDEX(TRANSACTIONS_MASTER!$G$5:$G$1204,$Q42)&amp;"")</f>
        <v/>
      </c>
      <c r="F42" s="29" t="str">
        <f>IF($Q42="","",INDEX(TRANSACTIONS_MASTER!$I$5:$I$1204,$Q42))</f>
        <v/>
      </c>
      <c r="G42" s="55" t="str">
        <f>IF($Q42="","",INDEX(TRANSACTIONS_MASTER!$K$5:$K$1204,$Q42))</f>
        <v/>
      </c>
      <c r="H42" s="25" t="str">
        <f>IF($Q42="","",INDEX(TRANSACTIONS_MASTER!$L$5:$L$1204,$Q42))</f>
        <v/>
      </c>
      <c r="I42" s="56" t="str">
        <f>IF($Q42="","",INDEX(TRANSACTIONS_MASTER!$N$5:$N$1204,$Q42))</f>
        <v/>
      </c>
      <c r="J42" s="25" t="str">
        <f>IF($Q42="","",INDEX(TRANSACTIONS_MASTER!$O$5:$O$1204,$Q42))</f>
        <v/>
      </c>
      <c r="K42" s="26" t="str">
        <f>IF($Q42="","",INDEX(TRANSACTIONS_MASTER!$Q$5:$Q$1204,$Q42))</f>
        <v/>
      </c>
      <c r="L42" s="25" t="str">
        <f>IF($Q42="","",INDEX(TRANSACTIONS_MASTER!$P$5:$P$1204,$Q42))</f>
        <v/>
      </c>
      <c r="M42" s="25" t="str">
        <f>IF($Q42="","",INDEX(TRANSACTIONS_MASTER!$AA$5:$AA$1204,$Q42))</f>
        <v/>
      </c>
      <c r="N42" s="25" t="str">
        <f>IF($Q42="","",INDEX(TRANSACTIONS_MASTER!$R$5:$R$1204,$Q42))</f>
        <v/>
      </c>
      <c r="O42" s="28" t="str">
        <f>IF($Q42="","",INDEX(TRANSACTIONS_MASTER!$AB$5:$AB$1204,$Q42))</f>
        <v/>
      </c>
      <c r="P42" s="55" t="str">
        <f>IF($Q42="","",INDEX(TRANSACTIONS_MASTER!$Z$5:$Z$1204,$Q42)&amp;"")</f>
        <v/>
      </c>
      <c r="Q42" s="67" t="str">
        <f>IFERROR(MATCH($C$2&amp;"|"&amp;35,TRANSACTIONS_MASTER!$AE$5:$AE$1204,0),"")</f>
        <v/>
      </c>
      <c r="S42" s="67" t="str">
        <f>IFERROR(MATCH(35,CASHBACK_RULES!$S$5:$S$304,0),"")</f>
        <v/>
      </c>
      <c r="T42" s="55" t="str">
        <f>IF($S42="","",INDEX(CASHBACK_RULES!$B$5:$B$304,$S42))</f>
        <v/>
      </c>
      <c r="U42" s="55" t="str">
        <f>IF($S42="","",INDEX(CASHBACK_RULES!$C$5:$C$304,$S42)&amp;" "&amp;INDEX(CASHBACK_RULES!$D$5:$D$304,$S42))</f>
        <v/>
      </c>
      <c r="V42" s="55" t="str">
        <f>IF($S42="","",INDEX(CASHBACK_RULES!$E$5:$E$304,$S42)&amp;"")</f>
        <v/>
      </c>
      <c r="W42" s="55" t="str">
        <f>IF($S42="","",INDEX(CASHBACK_RULES!$F$5:$F$304,$S42)&amp;"")</f>
        <v/>
      </c>
      <c r="X42" s="26" t="str">
        <f>IF($S42="","",SUMIFS(TRANSACTIONS_MASTER!$Q$5:$Q$1204,TRANSACTIONS_MASTER!$D$5:$D$1204,$T42,TRANSACTIONS_MASTER!$Z$5:$Z$1204,$V42,TRANSACTIONS_MASTER!$C$5:$C$1204,$C$2))</f>
        <v/>
      </c>
      <c r="Y42" s="25" t="str">
        <f>IF($S42="","",IF(ISNUMBER(INDEX(CASHBACK_RULES!$J$5:$J$304,$S42)),INDEX(CASHBACK_RULES!$J$5:$J$304,$S42),"∞"))</f>
        <v/>
      </c>
      <c r="Z42" s="25" t="str">
        <f>IF($S42="","",IF(ISNUMBER($Y42),MAX(0,$Y42-$X42),"∞"))</f>
        <v/>
      </c>
      <c r="AA42" s="27" t="str">
        <f>IF($S42="","",IF(ISNUMBER($Y42),IF($Y42=0,0,$X42/$Y42),""))</f>
        <v/>
      </c>
    </row>
    <row r="43" ht="20" customHeight="1">
      <c r="A43" s="81" t="str">
        <f>IF($Q43="","",36)</f>
        <v/>
      </c>
      <c r="B43" s="57" t="str">
        <f>IF($Q43="","",INDEX(TRANSACTIONS_MASTER!$B$5:$B$1204,$Q43))</f>
        <v/>
      </c>
      <c r="C43" s="55" t="str">
        <f>IF($Q43="","",INDEX(TRANSACTIONS_MASTER!$F$5:$F$1204,$Q43))</f>
        <v/>
      </c>
      <c r="D43" s="55" t="str">
        <f>IF($Q43="","",INDEX(TRANSACTIONS_MASTER!$E$5:$E$1204,$Q43))</f>
        <v/>
      </c>
      <c r="E43" s="55" t="str">
        <f>IF($Q43="","",INDEX(TRANSACTIONS_MASTER!$G$5:$G$1204,$Q43)&amp;"")</f>
        <v/>
      </c>
      <c r="F43" s="29" t="str">
        <f>IF($Q43="","",INDEX(TRANSACTIONS_MASTER!$I$5:$I$1204,$Q43))</f>
        <v/>
      </c>
      <c r="G43" s="55" t="str">
        <f>IF($Q43="","",INDEX(TRANSACTIONS_MASTER!$K$5:$K$1204,$Q43))</f>
        <v/>
      </c>
      <c r="H43" s="25" t="str">
        <f>IF($Q43="","",INDEX(TRANSACTIONS_MASTER!$L$5:$L$1204,$Q43))</f>
        <v/>
      </c>
      <c r="I43" s="56" t="str">
        <f>IF($Q43="","",INDEX(TRANSACTIONS_MASTER!$N$5:$N$1204,$Q43))</f>
        <v/>
      </c>
      <c r="J43" s="25" t="str">
        <f>IF($Q43="","",INDEX(TRANSACTIONS_MASTER!$O$5:$O$1204,$Q43))</f>
        <v/>
      </c>
      <c r="K43" s="26" t="str">
        <f>IF($Q43="","",INDEX(TRANSACTIONS_MASTER!$Q$5:$Q$1204,$Q43))</f>
        <v/>
      </c>
      <c r="L43" s="25" t="str">
        <f>IF($Q43="","",INDEX(TRANSACTIONS_MASTER!$P$5:$P$1204,$Q43))</f>
        <v/>
      </c>
      <c r="M43" s="25" t="str">
        <f>IF($Q43="","",INDEX(TRANSACTIONS_MASTER!$AA$5:$AA$1204,$Q43))</f>
        <v/>
      </c>
      <c r="N43" s="25" t="str">
        <f>IF($Q43="","",INDEX(TRANSACTIONS_MASTER!$R$5:$R$1204,$Q43))</f>
        <v/>
      </c>
      <c r="O43" s="28" t="str">
        <f>IF($Q43="","",INDEX(TRANSACTIONS_MASTER!$AB$5:$AB$1204,$Q43))</f>
        <v/>
      </c>
      <c r="P43" s="55" t="str">
        <f>IF($Q43="","",INDEX(TRANSACTIONS_MASTER!$Z$5:$Z$1204,$Q43)&amp;"")</f>
        <v/>
      </c>
      <c r="Q43" s="67" t="str">
        <f>IFERROR(MATCH($C$2&amp;"|"&amp;36,TRANSACTIONS_MASTER!$AE$5:$AE$1204,0),"")</f>
        <v/>
      </c>
      <c r="S43" s="67" t="str">
        <f>IFERROR(MATCH(36,CASHBACK_RULES!$S$5:$S$304,0),"")</f>
        <v/>
      </c>
      <c r="T43" s="55" t="str">
        <f>IF($S43="","",INDEX(CASHBACK_RULES!$B$5:$B$304,$S43))</f>
        <v/>
      </c>
      <c r="U43" s="55" t="str">
        <f>IF($S43="","",INDEX(CASHBACK_RULES!$C$5:$C$304,$S43)&amp;" "&amp;INDEX(CASHBACK_RULES!$D$5:$D$304,$S43))</f>
        <v/>
      </c>
      <c r="V43" s="55" t="str">
        <f>IF($S43="","",INDEX(CASHBACK_RULES!$E$5:$E$304,$S43)&amp;"")</f>
        <v/>
      </c>
      <c r="W43" s="55" t="str">
        <f>IF($S43="","",INDEX(CASHBACK_RULES!$F$5:$F$304,$S43)&amp;"")</f>
        <v/>
      </c>
      <c r="X43" s="26" t="str">
        <f>IF($S43="","",SUMIFS(TRANSACTIONS_MASTER!$Q$5:$Q$1204,TRANSACTIONS_MASTER!$D$5:$D$1204,$T43,TRANSACTIONS_MASTER!$Z$5:$Z$1204,$V43,TRANSACTIONS_MASTER!$C$5:$C$1204,$C$2))</f>
        <v/>
      </c>
      <c r="Y43" s="25" t="str">
        <f>IF($S43="","",IF(ISNUMBER(INDEX(CASHBACK_RULES!$J$5:$J$304,$S43)),INDEX(CASHBACK_RULES!$J$5:$J$304,$S43),"∞"))</f>
        <v/>
      </c>
      <c r="Z43" s="25" t="str">
        <f>IF($S43="","",IF(ISNUMBER($Y43),MAX(0,$Y43-$X43),"∞"))</f>
        <v/>
      </c>
      <c r="AA43" s="27" t="str">
        <f>IF($S43="","",IF(ISNUMBER($Y43),IF($Y43=0,0,$X43/$Y43),""))</f>
        <v/>
      </c>
    </row>
    <row r="44" ht="20" customHeight="1">
      <c r="A44" s="81" t="str">
        <f>IF($Q44="","",37)</f>
        <v/>
      </c>
      <c r="B44" s="57" t="str">
        <f>IF($Q44="","",INDEX(TRANSACTIONS_MASTER!$B$5:$B$1204,$Q44))</f>
        <v/>
      </c>
      <c r="C44" s="55" t="str">
        <f>IF($Q44="","",INDEX(TRANSACTIONS_MASTER!$F$5:$F$1204,$Q44))</f>
        <v/>
      </c>
      <c r="D44" s="55" t="str">
        <f>IF($Q44="","",INDEX(TRANSACTIONS_MASTER!$E$5:$E$1204,$Q44))</f>
        <v/>
      </c>
      <c r="E44" s="55" t="str">
        <f>IF($Q44="","",INDEX(TRANSACTIONS_MASTER!$G$5:$G$1204,$Q44)&amp;"")</f>
        <v/>
      </c>
      <c r="F44" s="29" t="str">
        <f>IF($Q44="","",INDEX(TRANSACTIONS_MASTER!$I$5:$I$1204,$Q44))</f>
        <v/>
      </c>
      <c r="G44" s="55" t="str">
        <f>IF($Q44="","",INDEX(TRANSACTIONS_MASTER!$K$5:$K$1204,$Q44))</f>
        <v/>
      </c>
      <c r="H44" s="25" t="str">
        <f>IF($Q44="","",INDEX(TRANSACTIONS_MASTER!$L$5:$L$1204,$Q44))</f>
        <v/>
      </c>
      <c r="I44" s="56" t="str">
        <f>IF($Q44="","",INDEX(TRANSACTIONS_MASTER!$N$5:$N$1204,$Q44))</f>
        <v/>
      </c>
      <c r="J44" s="25" t="str">
        <f>IF($Q44="","",INDEX(TRANSACTIONS_MASTER!$O$5:$O$1204,$Q44))</f>
        <v/>
      </c>
      <c r="K44" s="26" t="str">
        <f>IF($Q44="","",INDEX(TRANSACTIONS_MASTER!$Q$5:$Q$1204,$Q44))</f>
        <v/>
      </c>
      <c r="L44" s="25" t="str">
        <f>IF($Q44="","",INDEX(TRANSACTIONS_MASTER!$P$5:$P$1204,$Q44))</f>
        <v/>
      </c>
      <c r="M44" s="25" t="str">
        <f>IF($Q44="","",INDEX(TRANSACTIONS_MASTER!$AA$5:$AA$1204,$Q44))</f>
        <v/>
      </c>
      <c r="N44" s="25" t="str">
        <f>IF($Q44="","",INDEX(TRANSACTIONS_MASTER!$R$5:$R$1204,$Q44))</f>
        <v/>
      </c>
      <c r="O44" s="28" t="str">
        <f>IF($Q44="","",INDEX(TRANSACTIONS_MASTER!$AB$5:$AB$1204,$Q44))</f>
        <v/>
      </c>
      <c r="P44" s="55" t="str">
        <f>IF($Q44="","",INDEX(TRANSACTIONS_MASTER!$Z$5:$Z$1204,$Q44)&amp;"")</f>
        <v/>
      </c>
      <c r="Q44" s="67" t="str">
        <f>IFERROR(MATCH($C$2&amp;"|"&amp;37,TRANSACTIONS_MASTER!$AE$5:$AE$1204,0),"")</f>
        <v/>
      </c>
      <c r="S44" s="67" t="str">
        <f>IFERROR(MATCH(37,CASHBACK_RULES!$S$5:$S$304,0),"")</f>
        <v/>
      </c>
      <c r="T44" s="55" t="str">
        <f>IF($S44="","",INDEX(CASHBACK_RULES!$B$5:$B$304,$S44))</f>
        <v/>
      </c>
      <c r="U44" s="55" t="str">
        <f>IF($S44="","",INDEX(CASHBACK_RULES!$C$5:$C$304,$S44)&amp;" "&amp;INDEX(CASHBACK_RULES!$D$5:$D$304,$S44))</f>
        <v/>
      </c>
      <c r="V44" s="55" t="str">
        <f>IF($S44="","",INDEX(CASHBACK_RULES!$E$5:$E$304,$S44)&amp;"")</f>
        <v/>
      </c>
      <c r="W44" s="55" t="str">
        <f>IF($S44="","",INDEX(CASHBACK_RULES!$F$5:$F$304,$S44)&amp;"")</f>
        <v/>
      </c>
      <c r="X44" s="26" t="str">
        <f>IF($S44="","",SUMIFS(TRANSACTIONS_MASTER!$Q$5:$Q$1204,TRANSACTIONS_MASTER!$D$5:$D$1204,$T44,TRANSACTIONS_MASTER!$Z$5:$Z$1204,$V44,TRANSACTIONS_MASTER!$C$5:$C$1204,$C$2))</f>
        <v/>
      </c>
      <c r="Y44" s="25" t="str">
        <f>IF($S44="","",IF(ISNUMBER(INDEX(CASHBACK_RULES!$J$5:$J$304,$S44)),INDEX(CASHBACK_RULES!$J$5:$J$304,$S44),"∞"))</f>
        <v/>
      </c>
      <c r="Z44" s="25" t="str">
        <f>IF($S44="","",IF(ISNUMBER($Y44),MAX(0,$Y44-$X44),"∞"))</f>
        <v/>
      </c>
      <c r="AA44" s="27" t="str">
        <f>IF($S44="","",IF(ISNUMBER($Y44),IF($Y44=0,0,$X44/$Y44),""))</f>
        <v/>
      </c>
    </row>
    <row r="45" ht="20" customHeight="1">
      <c r="A45" s="81" t="str">
        <f>IF($Q45="","",38)</f>
        <v/>
      </c>
      <c r="B45" s="57" t="str">
        <f>IF($Q45="","",INDEX(TRANSACTIONS_MASTER!$B$5:$B$1204,$Q45))</f>
        <v/>
      </c>
      <c r="C45" s="55" t="str">
        <f>IF($Q45="","",INDEX(TRANSACTIONS_MASTER!$F$5:$F$1204,$Q45))</f>
        <v/>
      </c>
      <c r="D45" s="55" t="str">
        <f>IF($Q45="","",INDEX(TRANSACTIONS_MASTER!$E$5:$E$1204,$Q45))</f>
        <v/>
      </c>
      <c r="E45" s="55" t="str">
        <f>IF($Q45="","",INDEX(TRANSACTIONS_MASTER!$G$5:$G$1204,$Q45)&amp;"")</f>
        <v/>
      </c>
      <c r="F45" s="29" t="str">
        <f>IF($Q45="","",INDEX(TRANSACTIONS_MASTER!$I$5:$I$1204,$Q45))</f>
        <v/>
      </c>
      <c r="G45" s="55" t="str">
        <f>IF($Q45="","",INDEX(TRANSACTIONS_MASTER!$K$5:$K$1204,$Q45))</f>
        <v/>
      </c>
      <c r="H45" s="25" t="str">
        <f>IF($Q45="","",INDEX(TRANSACTIONS_MASTER!$L$5:$L$1204,$Q45))</f>
        <v/>
      </c>
      <c r="I45" s="56" t="str">
        <f>IF($Q45="","",INDEX(TRANSACTIONS_MASTER!$N$5:$N$1204,$Q45))</f>
        <v/>
      </c>
      <c r="J45" s="25" t="str">
        <f>IF($Q45="","",INDEX(TRANSACTIONS_MASTER!$O$5:$O$1204,$Q45))</f>
        <v/>
      </c>
      <c r="K45" s="26" t="str">
        <f>IF($Q45="","",INDEX(TRANSACTIONS_MASTER!$Q$5:$Q$1204,$Q45))</f>
        <v/>
      </c>
      <c r="L45" s="25" t="str">
        <f>IF($Q45="","",INDEX(TRANSACTIONS_MASTER!$P$5:$P$1204,$Q45))</f>
        <v/>
      </c>
      <c r="M45" s="25" t="str">
        <f>IF($Q45="","",INDEX(TRANSACTIONS_MASTER!$AA$5:$AA$1204,$Q45))</f>
        <v/>
      </c>
      <c r="N45" s="25" t="str">
        <f>IF($Q45="","",INDEX(TRANSACTIONS_MASTER!$R$5:$R$1204,$Q45))</f>
        <v/>
      </c>
      <c r="O45" s="28" t="str">
        <f>IF($Q45="","",INDEX(TRANSACTIONS_MASTER!$AB$5:$AB$1204,$Q45))</f>
        <v/>
      </c>
      <c r="P45" s="55" t="str">
        <f>IF($Q45="","",INDEX(TRANSACTIONS_MASTER!$Z$5:$Z$1204,$Q45)&amp;"")</f>
        <v/>
      </c>
      <c r="Q45" s="67" t="str">
        <f>IFERROR(MATCH($C$2&amp;"|"&amp;38,TRANSACTIONS_MASTER!$AE$5:$AE$1204,0),"")</f>
        <v/>
      </c>
      <c r="S45" s="67" t="str">
        <f>IFERROR(MATCH(38,CASHBACK_RULES!$S$5:$S$304,0),"")</f>
        <v/>
      </c>
      <c r="T45" s="55" t="str">
        <f>IF($S45="","",INDEX(CASHBACK_RULES!$B$5:$B$304,$S45))</f>
        <v/>
      </c>
      <c r="U45" s="55" t="str">
        <f>IF($S45="","",INDEX(CASHBACK_RULES!$C$5:$C$304,$S45)&amp;" "&amp;INDEX(CASHBACK_RULES!$D$5:$D$304,$S45))</f>
        <v/>
      </c>
      <c r="V45" s="55" t="str">
        <f>IF($S45="","",INDEX(CASHBACK_RULES!$E$5:$E$304,$S45)&amp;"")</f>
        <v/>
      </c>
      <c r="W45" s="55" t="str">
        <f>IF($S45="","",INDEX(CASHBACK_RULES!$F$5:$F$304,$S45)&amp;"")</f>
        <v/>
      </c>
      <c r="X45" s="26" t="str">
        <f>IF($S45="","",SUMIFS(TRANSACTIONS_MASTER!$Q$5:$Q$1204,TRANSACTIONS_MASTER!$D$5:$D$1204,$T45,TRANSACTIONS_MASTER!$Z$5:$Z$1204,$V45,TRANSACTIONS_MASTER!$C$5:$C$1204,$C$2))</f>
        <v/>
      </c>
      <c r="Y45" s="25" t="str">
        <f>IF($S45="","",IF(ISNUMBER(INDEX(CASHBACK_RULES!$J$5:$J$304,$S45)),INDEX(CASHBACK_RULES!$J$5:$J$304,$S45),"∞"))</f>
        <v/>
      </c>
      <c r="Z45" s="25" t="str">
        <f>IF($S45="","",IF(ISNUMBER($Y45),MAX(0,$Y45-$X45),"∞"))</f>
        <v/>
      </c>
      <c r="AA45" s="27" t="str">
        <f>IF($S45="","",IF(ISNUMBER($Y45),IF($Y45=0,0,$X45/$Y45),""))</f>
        <v/>
      </c>
    </row>
    <row r="46" ht="20" customHeight="1">
      <c r="A46" s="81" t="str">
        <f>IF($Q46="","",39)</f>
        <v/>
      </c>
      <c r="B46" s="57" t="str">
        <f>IF($Q46="","",INDEX(TRANSACTIONS_MASTER!$B$5:$B$1204,$Q46))</f>
        <v/>
      </c>
      <c r="C46" s="55" t="str">
        <f>IF($Q46="","",INDEX(TRANSACTIONS_MASTER!$F$5:$F$1204,$Q46))</f>
        <v/>
      </c>
      <c r="D46" s="55" t="str">
        <f>IF($Q46="","",INDEX(TRANSACTIONS_MASTER!$E$5:$E$1204,$Q46))</f>
        <v/>
      </c>
      <c r="E46" s="55" t="str">
        <f>IF($Q46="","",INDEX(TRANSACTIONS_MASTER!$G$5:$G$1204,$Q46)&amp;"")</f>
        <v/>
      </c>
      <c r="F46" s="29" t="str">
        <f>IF($Q46="","",INDEX(TRANSACTIONS_MASTER!$I$5:$I$1204,$Q46))</f>
        <v/>
      </c>
      <c r="G46" s="55" t="str">
        <f>IF($Q46="","",INDEX(TRANSACTIONS_MASTER!$K$5:$K$1204,$Q46))</f>
        <v/>
      </c>
      <c r="H46" s="25" t="str">
        <f>IF($Q46="","",INDEX(TRANSACTIONS_MASTER!$L$5:$L$1204,$Q46))</f>
        <v/>
      </c>
      <c r="I46" s="56" t="str">
        <f>IF($Q46="","",INDEX(TRANSACTIONS_MASTER!$N$5:$N$1204,$Q46))</f>
        <v/>
      </c>
      <c r="J46" s="25" t="str">
        <f>IF($Q46="","",INDEX(TRANSACTIONS_MASTER!$O$5:$O$1204,$Q46))</f>
        <v/>
      </c>
      <c r="K46" s="26" t="str">
        <f>IF($Q46="","",INDEX(TRANSACTIONS_MASTER!$Q$5:$Q$1204,$Q46))</f>
        <v/>
      </c>
      <c r="L46" s="25" t="str">
        <f>IF($Q46="","",INDEX(TRANSACTIONS_MASTER!$P$5:$P$1204,$Q46))</f>
        <v/>
      </c>
      <c r="M46" s="25" t="str">
        <f>IF($Q46="","",INDEX(TRANSACTIONS_MASTER!$AA$5:$AA$1204,$Q46))</f>
        <v/>
      </c>
      <c r="N46" s="25" t="str">
        <f>IF($Q46="","",INDEX(TRANSACTIONS_MASTER!$R$5:$R$1204,$Q46))</f>
        <v/>
      </c>
      <c r="O46" s="28" t="str">
        <f>IF($Q46="","",INDEX(TRANSACTIONS_MASTER!$AB$5:$AB$1204,$Q46))</f>
        <v/>
      </c>
      <c r="P46" s="55" t="str">
        <f>IF($Q46="","",INDEX(TRANSACTIONS_MASTER!$Z$5:$Z$1204,$Q46)&amp;"")</f>
        <v/>
      </c>
      <c r="Q46" s="67" t="str">
        <f>IFERROR(MATCH($C$2&amp;"|"&amp;39,TRANSACTIONS_MASTER!$AE$5:$AE$1204,0),"")</f>
        <v/>
      </c>
      <c r="S46" s="67" t="str">
        <f>IFERROR(MATCH(39,CASHBACK_RULES!$S$5:$S$304,0),"")</f>
        <v/>
      </c>
      <c r="T46" s="55" t="str">
        <f>IF($S46="","",INDEX(CASHBACK_RULES!$B$5:$B$304,$S46))</f>
        <v/>
      </c>
      <c r="U46" s="55" t="str">
        <f>IF($S46="","",INDEX(CASHBACK_RULES!$C$5:$C$304,$S46)&amp;" "&amp;INDEX(CASHBACK_RULES!$D$5:$D$304,$S46))</f>
        <v/>
      </c>
      <c r="V46" s="55" t="str">
        <f>IF($S46="","",INDEX(CASHBACK_RULES!$E$5:$E$304,$S46)&amp;"")</f>
        <v/>
      </c>
      <c r="W46" s="55" t="str">
        <f>IF($S46="","",INDEX(CASHBACK_RULES!$F$5:$F$304,$S46)&amp;"")</f>
        <v/>
      </c>
      <c r="X46" s="26" t="str">
        <f>IF($S46="","",SUMIFS(TRANSACTIONS_MASTER!$Q$5:$Q$1204,TRANSACTIONS_MASTER!$D$5:$D$1204,$T46,TRANSACTIONS_MASTER!$Z$5:$Z$1204,$V46,TRANSACTIONS_MASTER!$C$5:$C$1204,$C$2))</f>
        <v/>
      </c>
      <c r="Y46" s="25" t="str">
        <f>IF($S46="","",IF(ISNUMBER(INDEX(CASHBACK_RULES!$J$5:$J$304,$S46)),INDEX(CASHBACK_RULES!$J$5:$J$304,$S46),"∞"))</f>
        <v/>
      </c>
      <c r="Z46" s="25" t="str">
        <f>IF($S46="","",IF(ISNUMBER($Y46),MAX(0,$Y46-$X46),"∞"))</f>
        <v/>
      </c>
      <c r="AA46" s="27" t="str">
        <f>IF($S46="","",IF(ISNUMBER($Y46),IF($Y46=0,0,$X46/$Y46),""))</f>
        <v/>
      </c>
    </row>
    <row r="47" ht="20" customHeight="1">
      <c r="A47" s="81" t="str">
        <f>IF($Q47="","",40)</f>
        <v/>
      </c>
      <c r="B47" s="57" t="str">
        <f>IF($Q47="","",INDEX(TRANSACTIONS_MASTER!$B$5:$B$1204,$Q47))</f>
        <v/>
      </c>
      <c r="C47" s="55" t="str">
        <f>IF($Q47="","",INDEX(TRANSACTIONS_MASTER!$F$5:$F$1204,$Q47))</f>
        <v/>
      </c>
      <c r="D47" s="55" t="str">
        <f>IF($Q47="","",INDEX(TRANSACTIONS_MASTER!$E$5:$E$1204,$Q47))</f>
        <v/>
      </c>
      <c r="E47" s="55" t="str">
        <f>IF($Q47="","",INDEX(TRANSACTIONS_MASTER!$G$5:$G$1204,$Q47)&amp;"")</f>
        <v/>
      </c>
      <c r="F47" s="29" t="str">
        <f>IF($Q47="","",INDEX(TRANSACTIONS_MASTER!$I$5:$I$1204,$Q47))</f>
        <v/>
      </c>
      <c r="G47" s="55" t="str">
        <f>IF($Q47="","",INDEX(TRANSACTIONS_MASTER!$K$5:$K$1204,$Q47))</f>
        <v/>
      </c>
      <c r="H47" s="25" t="str">
        <f>IF($Q47="","",INDEX(TRANSACTIONS_MASTER!$L$5:$L$1204,$Q47))</f>
        <v/>
      </c>
      <c r="I47" s="56" t="str">
        <f>IF($Q47="","",INDEX(TRANSACTIONS_MASTER!$N$5:$N$1204,$Q47))</f>
        <v/>
      </c>
      <c r="J47" s="25" t="str">
        <f>IF($Q47="","",INDEX(TRANSACTIONS_MASTER!$O$5:$O$1204,$Q47))</f>
        <v/>
      </c>
      <c r="K47" s="26" t="str">
        <f>IF($Q47="","",INDEX(TRANSACTIONS_MASTER!$Q$5:$Q$1204,$Q47))</f>
        <v/>
      </c>
      <c r="L47" s="25" t="str">
        <f>IF($Q47="","",INDEX(TRANSACTIONS_MASTER!$P$5:$P$1204,$Q47))</f>
        <v/>
      </c>
      <c r="M47" s="25" t="str">
        <f>IF($Q47="","",INDEX(TRANSACTIONS_MASTER!$AA$5:$AA$1204,$Q47))</f>
        <v/>
      </c>
      <c r="N47" s="25" t="str">
        <f>IF($Q47="","",INDEX(TRANSACTIONS_MASTER!$R$5:$R$1204,$Q47))</f>
        <v/>
      </c>
      <c r="O47" s="28" t="str">
        <f>IF($Q47="","",INDEX(TRANSACTIONS_MASTER!$AB$5:$AB$1204,$Q47))</f>
        <v/>
      </c>
      <c r="P47" s="55" t="str">
        <f>IF($Q47="","",INDEX(TRANSACTIONS_MASTER!$Z$5:$Z$1204,$Q47)&amp;"")</f>
        <v/>
      </c>
      <c r="Q47" s="67" t="str">
        <f>IFERROR(MATCH($C$2&amp;"|"&amp;40,TRANSACTIONS_MASTER!$AE$5:$AE$1204,0),"")</f>
        <v/>
      </c>
      <c r="S47" s="67" t="str">
        <f>IFERROR(MATCH(40,CASHBACK_RULES!$S$5:$S$304,0),"")</f>
        <v/>
      </c>
      <c r="T47" s="55" t="str">
        <f>IF($S47="","",INDEX(CASHBACK_RULES!$B$5:$B$304,$S47))</f>
        <v/>
      </c>
      <c r="U47" s="55" t="str">
        <f>IF($S47="","",INDEX(CASHBACK_RULES!$C$5:$C$304,$S47)&amp;" "&amp;INDEX(CASHBACK_RULES!$D$5:$D$304,$S47))</f>
        <v/>
      </c>
      <c r="V47" s="55" t="str">
        <f>IF($S47="","",INDEX(CASHBACK_RULES!$E$5:$E$304,$S47)&amp;"")</f>
        <v/>
      </c>
      <c r="W47" s="55" t="str">
        <f>IF($S47="","",INDEX(CASHBACK_RULES!$F$5:$F$304,$S47)&amp;"")</f>
        <v/>
      </c>
      <c r="X47" s="26" t="str">
        <f>IF($S47="","",SUMIFS(TRANSACTIONS_MASTER!$Q$5:$Q$1204,TRANSACTIONS_MASTER!$D$5:$D$1204,$T47,TRANSACTIONS_MASTER!$Z$5:$Z$1204,$V47,TRANSACTIONS_MASTER!$C$5:$C$1204,$C$2))</f>
        <v/>
      </c>
      <c r="Y47" s="25" t="str">
        <f>IF($S47="","",IF(ISNUMBER(INDEX(CASHBACK_RULES!$J$5:$J$304,$S47)),INDEX(CASHBACK_RULES!$J$5:$J$304,$S47),"∞"))</f>
        <v/>
      </c>
      <c r="Z47" s="25" t="str">
        <f>IF($S47="","",IF(ISNUMBER($Y47),MAX(0,$Y47-$X47),"∞"))</f>
        <v/>
      </c>
      <c r="AA47" s="27" t="str">
        <f>IF($S47="","",IF(ISNUMBER($Y47),IF($Y47=0,0,$X47/$Y47),""))</f>
        <v/>
      </c>
    </row>
    <row r="48" ht="20" customHeight="1">
      <c r="A48" s="81" t="str">
        <f>IF($Q48="","",41)</f>
        <v/>
      </c>
      <c r="B48" s="57" t="str">
        <f>IF($Q48="","",INDEX(TRANSACTIONS_MASTER!$B$5:$B$1204,$Q48))</f>
        <v/>
      </c>
      <c r="C48" s="55" t="str">
        <f>IF($Q48="","",INDEX(TRANSACTIONS_MASTER!$F$5:$F$1204,$Q48))</f>
        <v/>
      </c>
      <c r="D48" s="55" t="str">
        <f>IF($Q48="","",INDEX(TRANSACTIONS_MASTER!$E$5:$E$1204,$Q48))</f>
        <v/>
      </c>
      <c r="E48" s="55" t="str">
        <f>IF($Q48="","",INDEX(TRANSACTIONS_MASTER!$G$5:$G$1204,$Q48)&amp;"")</f>
        <v/>
      </c>
      <c r="F48" s="29" t="str">
        <f>IF($Q48="","",INDEX(TRANSACTIONS_MASTER!$I$5:$I$1204,$Q48))</f>
        <v/>
      </c>
      <c r="G48" s="55" t="str">
        <f>IF($Q48="","",INDEX(TRANSACTIONS_MASTER!$K$5:$K$1204,$Q48))</f>
        <v/>
      </c>
      <c r="H48" s="25" t="str">
        <f>IF($Q48="","",INDEX(TRANSACTIONS_MASTER!$L$5:$L$1204,$Q48))</f>
        <v/>
      </c>
      <c r="I48" s="56" t="str">
        <f>IF($Q48="","",INDEX(TRANSACTIONS_MASTER!$N$5:$N$1204,$Q48))</f>
        <v/>
      </c>
      <c r="J48" s="25" t="str">
        <f>IF($Q48="","",INDEX(TRANSACTIONS_MASTER!$O$5:$O$1204,$Q48))</f>
        <v/>
      </c>
      <c r="K48" s="26" t="str">
        <f>IF($Q48="","",INDEX(TRANSACTIONS_MASTER!$Q$5:$Q$1204,$Q48))</f>
        <v/>
      </c>
      <c r="L48" s="25" t="str">
        <f>IF($Q48="","",INDEX(TRANSACTIONS_MASTER!$P$5:$P$1204,$Q48))</f>
        <v/>
      </c>
      <c r="M48" s="25" t="str">
        <f>IF($Q48="","",INDEX(TRANSACTIONS_MASTER!$AA$5:$AA$1204,$Q48))</f>
        <v/>
      </c>
      <c r="N48" s="25" t="str">
        <f>IF($Q48="","",INDEX(TRANSACTIONS_MASTER!$R$5:$R$1204,$Q48))</f>
        <v/>
      </c>
      <c r="O48" s="28" t="str">
        <f>IF($Q48="","",INDEX(TRANSACTIONS_MASTER!$AB$5:$AB$1204,$Q48))</f>
        <v/>
      </c>
      <c r="P48" s="55" t="str">
        <f>IF($Q48="","",INDEX(TRANSACTIONS_MASTER!$Z$5:$Z$1204,$Q48)&amp;"")</f>
        <v/>
      </c>
      <c r="Q48" s="67" t="str">
        <f>IFERROR(MATCH($C$2&amp;"|"&amp;41,TRANSACTIONS_MASTER!$AE$5:$AE$1204,0),"")</f>
        <v/>
      </c>
      <c r="S48" s="67" t="str">
        <f>IFERROR(MATCH(41,CASHBACK_RULES!$S$5:$S$304,0),"")</f>
        <v/>
      </c>
      <c r="T48" s="55" t="str">
        <f>IF($S48="","",INDEX(CASHBACK_RULES!$B$5:$B$304,$S48))</f>
        <v/>
      </c>
      <c r="U48" s="55" t="str">
        <f>IF($S48="","",INDEX(CASHBACK_RULES!$C$5:$C$304,$S48)&amp;" "&amp;INDEX(CASHBACK_RULES!$D$5:$D$304,$S48))</f>
        <v/>
      </c>
      <c r="V48" s="55" t="str">
        <f>IF($S48="","",INDEX(CASHBACK_RULES!$E$5:$E$304,$S48)&amp;"")</f>
        <v/>
      </c>
      <c r="W48" s="55" t="str">
        <f>IF($S48="","",INDEX(CASHBACK_RULES!$F$5:$F$304,$S48)&amp;"")</f>
        <v/>
      </c>
      <c r="X48" s="26" t="str">
        <f>IF($S48="","",SUMIFS(TRANSACTIONS_MASTER!$Q$5:$Q$1204,TRANSACTIONS_MASTER!$D$5:$D$1204,$T48,TRANSACTIONS_MASTER!$Z$5:$Z$1204,$V48,TRANSACTIONS_MASTER!$C$5:$C$1204,$C$2))</f>
        <v/>
      </c>
      <c r="Y48" s="25" t="str">
        <f>IF($S48="","",IF(ISNUMBER(INDEX(CASHBACK_RULES!$J$5:$J$304,$S48)),INDEX(CASHBACK_RULES!$J$5:$J$304,$S48),"∞"))</f>
        <v/>
      </c>
      <c r="Z48" s="25" t="str">
        <f>IF($S48="","",IF(ISNUMBER($Y48),MAX(0,$Y48-$X48),"∞"))</f>
        <v/>
      </c>
      <c r="AA48" s="27" t="str">
        <f>IF($S48="","",IF(ISNUMBER($Y48),IF($Y48=0,0,$X48/$Y48),""))</f>
        <v/>
      </c>
    </row>
    <row r="49" ht="20" customHeight="1">
      <c r="A49" s="81" t="str">
        <f>IF($Q49="","",42)</f>
        <v/>
      </c>
      <c r="B49" s="57" t="str">
        <f>IF($Q49="","",INDEX(TRANSACTIONS_MASTER!$B$5:$B$1204,$Q49))</f>
        <v/>
      </c>
      <c r="C49" s="55" t="str">
        <f>IF($Q49="","",INDEX(TRANSACTIONS_MASTER!$F$5:$F$1204,$Q49))</f>
        <v/>
      </c>
      <c r="D49" s="55" t="str">
        <f>IF($Q49="","",INDEX(TRANSACTIONS_MASTER!$E$5:$E$1204,$Q49))</f>
        <v/>
      </c>
      <c r="E49" s="55" t="str">
        <f>IF($Q49="","",INDEX(TRANSACTIONS_MASTER!$G$5:$G$1204,$Q49)&amp;"")</f>
        <v/>
      </c>
      <c r="F49" s="29" t="str">
        <f>IF($Q49="","",INDEX(TRANSACTIONS_MASTER!$I$5:$I$1204,$Q49))</f>
        <v/>
      </c>
      <c r="G49" s="55" t="str">
        <f>IF($Q49="","",INDEX(TRANSACTIONS_MASTER!$K$5:$K$1204,$Q49))</f>
        <v/>
      </c>
      <c r="H49" s="25" t="str">
        <f>IF($Q49="","",INDEX(TRANSACTIONS_MASTER!$L$5:$L$1204,$Q49))</f>
        <v/>
      </c>
      <c r="I49" s="56" t="str">
        <f>IF($Q49="","",INDEX(TRANSACTIONS_MASTER!$N$5:$N$1204,$Q49))</f>
        <v/>
      </c>
      <c r="J49" s="25" t="str">
        <f>IF($Q49="","",INDEX(TRANSACTIONS_MASTER!$O$5:$O$1204,$Q49))</f>
        <v/>
      </c>
      <c r="K49" s="26" t="str">
        <f>IF($Q49="","",INDEX(TRANSACTIONS_MASTER!$Q$5:$Q$1204,$Q49))</f>
        <v/>
      </c>
      <c r="L49" s="25" t="str">
        <f>IF($Q49="","",INDEX(TRANSACTIONS_MASTER!$P$5:$P$1204,$Q49))</f>
        <v/>
      </c>
      <c r="M49" s="25" t="str">
        <f>IF($Q49="","",INDEX(TRANSACTIONS_MASTER!$AA$5:$AA$1204,$Q49))</f>
        <v/>
      </c>
      <c r="N49" s="25" t="str">
        <f>IF($Q49="","",INDEX(TRANSACTIONS_MASTER!$R$5:$R$1204,$Q49))</f>
        <v/>
      </c>
      <c r="O49" s="28" t="str">
        <f>IF($Q49="","",INDEX(TRANSACTIONS_MASTER!$AB$5:$AB$1204,$Q49))</f>
        <v/>
      </c>
      <c r="P49" s="55" t="str">
        <f>IF($Q49="","",INDEX(TRANSACTIONS_MASTER!$Z$5:$Z$1204,$Q49)&amp;"")</f>
        <v/>
      </c>
      <c r="Q49" s="67" t="str">
        <f>IFERROR(MATCH($C$2&amp;"|"&amp;42,TRANSACTIONS_MASTER!$AE$5:$AE$1204,0),"")</f>
        <v/>
      </c>
      <c r="S49" s="67" t="str">
        <f>IFERROR(MATCH(42,CASHBACK_RULES!$S$5:$S$304,0),"")</f>
        <v/>
      </c>
      <c r="T49" s="55" t="str">
        <f>IF($S49="","",INDEX(CASHBACK_RULES!$B$5:$B$304,$S49))</f>
        <v/>
      </c>
      <c r="U49" s="55" t="str">
        <f>IF($S49="","",INDEX(CASHBACK_RULES!$C$5:$C$304,$S49)&amp;" "&amp;INDEX(CASHBACK_RULES!$D$5:$D$304,$S49))</f>
        <v/>
      </c>
      <c r="V49" s="55" t="str">
        <f>IF($S49="","",INDEX(CASHBACK_RULES!$E$5:$E$304,$S49)&amp;"")</f>
        <v/>
      </c>
      <c r="W49" s="55" t="str">
        <f>IF($S49="","",INDEX(CASHBACK_RULES!$F$5:$F$304,$S49)&amp;"")</f>
        <v/>
      </c>
      <c r="X49" s="26" t="str">
        <f>IF($S49="","",SUMIFS(TRANSACTIONS_MASTER!$Q$5:$Q$1204,TRANSACTIONS_MASTER!$D$5:$D$1204,$T49,TRANSACTIONS_MASTER!$Z$5:$Z$1204,$V49,TRANSACTIONS_MASTER!$C$5:$C$1204,$C$2))</f>
        <v/>
      </c>
      <c r="Y49" s="25" t="str">
        <f>IF($S49="","",IF(ISNUMBER(INDEX(CASHBACK_RULES!$J$5:$J$304,$S49)),INDEX(CASHBACK_RULES!$J$5:$J$304,$S49),"∞"))</f>
        <v/>
      </c>
      <c r="Z49" s="25" t="str">
        <f>IF($S49="","",IF(ISNUMBER($Y49),MAX(0,$Y49-$X49),"∞"))</f>
        <v/>
      </c>
      <c r="AA49" s="27" t="str">
        <f>IF($S49="","",IF(ISNUMBER($Y49),IF($Y49=0,0,$X49/$Y49),""))</f>
        <v/>
      </c>
    </row>
    <row r="50" ht="20" customHeight="1">
      <c r="A50" s="81" t="str">
        <f>IF($Q50="","",43)</f>
        <v/>
      </c>
      <c r="B50" s="57" t="str">
        <f>IF($Q50="","",INDEX(TRANSACTIONS_MASTER!$B$5:$B$1204,$Q50))</f>
        <v/>
      </c>
      <c r="C50" s="55" t="str">
        <f>IF($Q50="","",INDEX(TRANSACTIONS_MASTER!$F$5:$F$1204,$Q50))</f>
        <v/>
      </c>
      <c r="D50" s="55" t="str">
        <f>IF($Q50="","",INDEX(TRANSACTIONS_MASTER!$E$5:$E$1204,$Q50))</f>
        <v/>
      </c>
      <c r="E50" s="55" t="str">
        <f>IF($Q50="","",INDEX(TRANSACTIONS_MASTER!$G$5:$G$1204,$Q50)&amp;"")</f>
        <v/>
      </c>
      <c r="F50" s="29" t="str">
        <f>IF($Q50="","",INDEX(TRANSACTIONS_MASTER!$I$5:$I$1204,$Q50))</f>
        <v/>
      </c>
      <c r="G50" s="55" t="str">
        <f>IF($Q50="","",INDEX(TRANSACTIONS_MASTER!$K$5:$K$1204,$Q50))</f>
        <v/>
      </c>
      <c r="H50" s="25" t="str">
        <f>IF($Q50="","",INDEX(TRANSACTIONS_MASTER!$L$5:$L$1204,$Q50))</f>
        <v/>
      </c>
      <c r="I50" s="56" t="str">
        <f>IF($Q50="","",INDEX(TRANSACTIONS_MASTER!$N$5:$N$1204,$Q50))</f>
        <v/>
      </c>
      <c r="J50" s="25" t="str">
        <f>IF($Q50="","",INDEX(TRANSACTIONS_MASTER!$O$5:$O$1204,$Q50))</f>
        <v/>
      </c>
      <c r="K50" s="26" t="str">
        <f>IF($Q50="","",INDEX(TRANSACTIONS_MASTER!$Q$5:$Q$1204,$Q50))</f>
        <v/>
      </c>
      <c r="L50" s="25" t="str">
        <f>IF($Q50="","",INDEX(TRANSACTIONS_MASTER!$P$5:$P$1204,$Q50))</f>
        <v/>
      </c>
      <c r="M50" s="25" t="str">
        <f>IF($Q50="","",INDEX(TRANSACTIONS_MASTER!$AA$5:$AA$1204,$Q50))</f>
        <v/>
      </c>
      <c r="N50" s="25" t="str">
        <f>IF($Q50="","",INDEX(TRANSACTIONS_MASTER!$R$5:$R$1204,$Q50))</f>
        <v/>
      </c>
      <c r="O50" s="28" t="str">
        <f>IF($Q50="","",INDEX(TRANSACTIONS_MASTER!$AB$5:$AB$1204,$Q50))</f>
        <v/>
      </c>
      <c r="P50" s="55" t="str">
        <f>IF($Q50="","",INDEX(TRANSACTIONS_MASTER!$Z$5:$Z$1204,$Q50)&amp;"")</f>
        <v/>
      </c>
      <c r="Q50" s="67" t="str">
        <f>IFERROR(MATCH($C$2&amp;"|"&amp;43,TRANSACTIONS_MASTER!$AE$5:$AE$1204,0),"")</f>
        <v/>
      </c>
      <c r="S50" s="67" t="str">
        <f>IFERROR(MATCH(43,CASHBACK_RULES!$S$5:$S$304,0),"")</f>
        <v/>
      </c>
      <c r="T50" s="55" t="str">
        <f>IF($S50="","",INDEX(CASHBACK_RULES!$B$5:$B$304,$S50))</f>
        <v/>
      </c>
      <c r="U50" s="55" t="str">
        <f>IF($S50="","",INDEX(CASHBACK_RULES!$C$5:$C$304,$S50)&amp;" "&amp;INDEX(CASHBACK_RULES!$D$5:$D$304,$S50))</f>
        <v/>
      </c>
      <c r="V50" s="55" t="str">
        <f>IF($S50="","",INDEX(CASHBACK_RULES!$E$5:$E$304,$S50)&amp;"")</f>
        <v/>
      </c>
      <c r="W50" s="55" t="str">
        <f>IF($S50="","",INDEX(CASHBACK_RULES!$F$5:$F$304,$S50)&amp;"")</f>
        <v/>
      </c>
      <c r="X50" s="26" t="str">
        <f>IF($S50="","",SUMIFS(TRANSACTIONS_MASTER!$Q$5:$Q$1204,TRANSACTIONS_MASTER!$D$5:$D$1204,$T50,TRANSACTIONS_MASTER!$Z$5:$Z$1204,$V50,TRANSACTIONS_MASTER!$C$5:$C$1204,$C$2))</f>
        <v/>
      </c>
      <c r="Y50" s="25" t="str">
        <f>IF($S50="","",IF(ISNUMBER(INDEX(CASHBACK_RULES!$J$5:$J$304,$S50)),INDEX(CASHBACK_RULES!$J$5:$J$304,$S50),"∞"))</f>
        <v/>
      </c>
      <c r="Z50" s="25" t="str">
        <f>IF($S50="","",IF(ISNUMBER($Y50),MAX(0,$Y50-$X50),"∞"))</f>
        <v/>
      </c>
      <c r="AA50" s="27" t="str">
        <f>IF($S50="","",IF(ISNUMBER($Y50),IF($Y50=0,0,$X50/$Y50),""))</f>
        <v/>
      </c>
    </row>
    <row r="51" ht="20" customHeight="1">
      <c r="A51" s="81" t="str">
        <f>IF($Q51="","",44)</f>
        <v/>
      </c>
      <c r="B51" s="57" t="str">
        <f>IF($Q51="","",INDEX(TRANSACTIONS_MASTER!$B$5:$B$1204,$Q51))</f>
        <v/>
      </c>
      <c r="C51" s="55" t="str">
        <f>IF($Q51="","",INDEX(TRANSACTIONS_MASTER!$F$5:$F$1204,$Q51))</f>
        <v/>
      </c>
      <c r="D51" s="55" t="str">
        <f>IF($Q51="","",INDEX(TRANSACTIONS_MASTER!$E$5:$E$1204,$Q51))</f>
        <v/>
      </c>
      <c r="E51" s="55" t="str">
        <f>IF($Q51="","",INDEX(TRANSACTIONS_MASTER!$G$5:$G$1204,$Q51)&amp;"")</f>
        <v/>
      </c>
      <c r="F51" s="29" t="str">
        <f>IF($Q51="","",INDEX(TRANSACTIONS_MASTER!$I$5:$I$1204,$Q51))</f>
        <v/>
      </c>
      <c r="G51" s="55" t="str">
        <f>IF($Q51="","",INDEX(TRANSACTIONS_MASTER!$K$5:$K$1204,$Q51))</f>
        <v/>
      </c>
      <c r="H51" s="25" t="str">
        <f>IF($Q51="","",INDEX(TRANSACTIONS_MASTER!$L$5:$L$1204,$Q51))</f>
        <v/>
      </c>
      <c r="I51" s="56" t="str">
        <f>IF($Q51="","",INDEX(TRANSACTIONS_MASTER!$N$5:$N$1204,$Q51))</f>
        <v/>
      </c>
      <c r="J51" s="25" t="str">
        <f>IF($Q51="","",INDEX(TRANSACTIONS_MASTER!$O$5:$O$1204,$Q51))</f>
        <v/>
      </c>
      <c r="K51" s="26" t="str">
        <f>IF($Q51="","",INDEX(TRANSACTIONS_MASTER!$Q$5:$Q$1204,$Q51))</f>
        <v/>
      </c>
      <c r="L51" s="25" t="str">
        <f>IF($Q51="","",INDEX(TRANSACTIONS_MASTER!$P$5:$P$1204,$Q51))</f>
        <v/>
      </c>
      <c r="M51" s="25" t="str">
        <f>IF($Q51="","",INDEX(TRANSACTIONS_MASTER!$AA$5:$AA$1204,$Q51))</f>
        <v/>
      </c>
      <c r="N51" s="25" t="str">
        <f>IF($Q51="","",INDEX(TRANSACTIONS_MASTER!$R$5:$R$1204,$Q51))</f>
        <v/>
      </c>
      <c r="O51" s="28" t="str">
        <f>IF($Q51="","",INDEX(TRANSACTIONS_MASTER!$AB$5:$AB$1204,$Q51))</f>
        <v/>
      </c>
      <c r="P51" s="55" t="str">
        <f>IF($Q51="","",INDEX(TRANSACTIONS_MASTER!$Z$5:$Z$1204,$Q51)&amp;"")</f>
        <v/>
      </c>
      <c r="Q51" s="67" t="str">
        <f>IFERROR(MATCH($C$2&amp;"|"&amp;44,TRANSACTIONS_MASTER!$AE$5:$AE$1204,0),"")</f>
        <v/>
      </c>
      <c r="S51" s="67" t="str">
        <f>IFERROR(MATCH(44,CASHBACK_RULES!$S$5:$S$304,0),"")</f>
        <v/>
      </c>
      <c r="T51" s="55" t="str">
        <f>IF($S51="","",INDEX(CASHBACK_RULES!$B$5:$B$304,$S51))</f>
        <v/>
      </c>
      <c r="U51" s="55" t="str">
        <f>IF($S51="","",INDEX(CASHBACK_RULES!$C$5:$C$304,$S51)&amp;" "&amp;INDEX(CASHBACK_RULES!$D$5:$D$304,$S51))</f>
        <v/>
      </c>
      <c r="V51" s="55" t="str">
        <f>IF($S51="","",INDEX(CASHBACK_RULES!$E$5:$E$304,$S51)&amp;"")</f>
        <v/>
      </c>
      <c r="W51" s="55" t="str">
        <f>IF($S51="","",INDEX(CASHBACK_RULES!$F$5:$F$304,$S51)&amp;"")</f>
        <v/>
      </c>
      <c r="X51" s="26" t="str">
        <f>IF($S51="","",SUMIFS(TRANSACTIONS_MASTER!$Q$5:$Q$1204,TRANSACTIONS_MASTER!$D$5:$D$1204,$T51,TRANSACTIONS_MASTER!$Z$5:$Z$1204,$V51,TRANSACTIONS_MASTER!$C$5:$C$1204,$C$2))</f>
        <v/>
      </c>
      <c r="Y51" s="25" t="str">
        <f>IF($S51="","",IF(ISNUMBER(INDEX(CASHBACK_RULES!$J$5:$J$304,$S51)),INDEX(CASHBACK_RULES!$J$5:$J$304,$S51),"∞"))</f>
        <v/>
      </c>
      <c r="Z51" s="25" t="str">
        <f>IF($S51="","",IF(ISNUMBER($Y51),MAX(0,$Y51-$X51),"∞"))</f>
        <v/>
      </c>
      <c r="AA51" s="27" t="str">
        <f>IF($S51="","",IF(ISNUMBER($Y51),IF($Y51=0,0,$X51/$Y51),""))</f>
        <v/>
      </c>
    </row>
    <row r="52" ht="20" customHeight="1">
      <c r="A52" s="81" t="str">
        <f>IF($Q52="","",45)</f>
        <v/>
      </c>
      <c r="B52" s="57" t="str">
        <f>IF($Q52="","",INDEX(TRANSACTIONS_MASTER!$B$5:$B$1204,$Q52))</f>
        <v/>
      </c>
      <c r="C52" s="55" t="str">
        <f>IF($Q52="","",INDEX(TRANSACTIONS_MASTER!$F$5:$F$1204,$Q52))</f>
        <v/>
      </c>
      <c r="D52" s="55" t="str">
        <f>IF($Q52="","",INDEX(TRANSACTIONS_MASTER!$E$5:$E$1204,$Q52))</f>
        <v/>
      </c>
      <c r="E52" s="55" t="str">
        <f>IF($Q52="","",INDEX(TRANSACTIONS_MASTER!$G$5:$G$1204,$Q52)&amp;"")</f>
        <v/>
      </c>
      <c r="F52" s="29" t="str">
        <f>IF($Q52="","",INDEX(TRANSACTIONS_MASTER!$I$5:$I$1204,$Q52))</f>
        <v/>
      </c>
      <c r="G52" s="55" t="str">
        <f>IF($Q52="","",INDEX(TRANSACTIONS_MASTER!$K$5:$K$1204,$Q52))</f>
        <v/>
      </c>
      <c r="H52" s="25" t="str">
        <f>IF($Q52="","",INDEX(TRANSACTIONS_MASTER!$L$5:$L$1204,$Q52))</f>
        <v/>
      </c>
      <c r="I52" s="56" t="str">
        <f>IF($Q52="","",INDEX(TRANSACTIONS_MASTER!$N$5:$N$1204,$Q52))</f>
        <v/>
      </c>
      <c r="J52" s="25" t="str">
        <f>IF($Q52="","",INDEX(TRANSACTIONS_MASTER!$O$5:$O$1204,$Q52))</f>
        <v/>
      </c>
      <c r="K52" s="26" t="str">
        <f>IF($Q52="","",INDEX(TRANSACTIONS_MASTER!$Q$5:$Q$1204,$Q52))</f>
        <v/>
      </c>
      <c r="L52" s="25" t="str">
        <f>IF($Q52="","",INDEX(TRANSACTIONS_MASTER!$P$5:$P$1204,$Q52))</f>
        <v/>
      </c>
      <c r="M52" s="25" t="str">
        <f>IF($Q52="","",INDEX(TRANSACTIONS_MASTER!$AA$5:$AA$1204,$Q52))</f>
        <v/>
      </c>
      <c r="N52" s="25" t="str">
        <f>IF($Q52="","",INDEX(TRANSACTIONS_MASTER!$R$5:$R$1204,$Q52))</f>
        <v/>
      </c>
      <c r="O52" s="28" t="str">
        <f>IF($Q52="","",INDEX(TRANSACTIONS_MASTER!$AB$5:$AB$1204,$Q52))</f>
        <v/>
      </c>
      <c r="P52" s="55" t="str">
        <f>IF($Q52="","",INDEX(TRANSACTIONS_MASTER!$Z$5:$Z$1204,$Q52)&amp;"")</f>
        <v/>
      </c>
      <c r="Q52" s="67" t="str">
        <f>IFERROR(MATCH($C$2&amp;"|"&amp;45,TRANSACTIONS_MASTER!$AE$5:$AE$1204,0),"")</f>
        <v/>
      </c>
      <c r="S52" s="67" t="str">
        <f>IFERROR(MATCH(45,CASHBACK_RULES!$S$5:$S$304,0),"")</f>
        <v/>
      </c>
      <c r="T52" s="55" t="str">
        <f>IF($S52="","",INDEX(CASHBACK_RULES!$B$5:$B$304,$S52))</f>
        <v/>
      </c>
      <c r="U52" s="55" t="str">
        <f>IF($S52="","",INDEX(CASHBACK_RULES!$C$5:$C$304,$S52)&amp;" "&amp;INDEX(CASHBACK_RULES!$D$5:$D$304,$S52))</f>
        <v/>
      </c>
      <c r="V52" s="55" t="str">
        <f>IF($S52="","",INDEX(CASHBACK_RULES!$E$5:$E$304,$S52)&amp;"")</f>
        <v/>
      </c>
      <c r="W52" s="55" t="str">
        <f>IF($S52="","",INDEX(CASHBACK_RULES!$F$5:$F$304,$S52)&amp;"")</f>
        <v/>
      </c>
      <c r="X52" s="26" t="str">
        <f>IF($S52="","",SUMIFS(TRANSACTIONS_MASTER!$Q$5:$Q$1204,TRANSACTIONS_MASTER!$D$5:$D$1204,$T52,TRANSACTIONS_MASTER!$Z$5:$Z$1204,$V52,TRANSACTIONS_MASTER!$C$5:$C$1204,$C$2))</f>
        <v/>
      </c>
      <c r="Y52" s="25" t="str">
        <f>IF($S52="","",IF(ISNUMBER(INDEX(CASHBACK_RULES!$J$5:$J$304,$S52)),INDEX(CASHBACK_RULES!$J$5:$J$304,$S52),"∞"))</f>
        <v/>
      </c>
      <c r="Z52" s="25" t="str">
        <f>IF($S52="","",IF(ISNUMBER($Y52),MAX(0,$Y52-$X52),"∞"))</f>
        <v/>
      </c>
      <c r="AA52" s="27" t="str">
        <f>IF($S52="","",IF(ISNUMBER($Y52),IF($Y52=0,0,$X52/$Y52),""))</f>
        <v/>
      </c>
    </row>
    <row r="53" ht="20" customHeight="1">
      <c r="A53" s="81" t="str">
        <f>IF($Q53="","",46)</f>
        <v/>
      </c>
      <c r="B53" s="57" t="str">
        <f>IF($Q53="","",INDEX(TRANSACTIONS_MASTER!$B$5:$B$1204,$Q53))</f>
        <v/>
      </c>
      <c r="C53" s="55" t="str">
        <f>IF($Q53="","",INDEX(TRANSACTIONS_MASTER!$F$5:$F$1204,$Q53))</f>
        <v/>
      </c>
      <c r="D53" s="55" t="str">
        <f>IF($Q53="","",INDEX(TRANSACTIONS_MASTER!$E$5:$E$1204,$Q53))</f>
        <v/>
      </c>
      <c r="E53" s="55" t="str">
        <f>IF($Q53="","",INDEX(TRANSACTIONS_MASTER!$G$5:$G$1204,$Q53)&amp;"")</f>
        <v/>
      </c>
      <c r="F53" s="29" t="str">
        <f>IF($Q53="","",INDEX(TRANSACTIONS_MASTER!$I$5:$I$1204,$Q53))</f>
        <v/>
      </c>
      <c r="G53" s="55" t="str">
        <f>IF($Q53="","",INDEX(TRANSACTIONS_MASTER!$K$5:$K$1204,$Q53))</f>
        <v/>
      </c>
      <c r="H53" s="25" t="str">
        <f>IF($Q53="","",INDEX(TRANSACTIONS_MASTER!$L$5:$L$1204,$Q53))</f>
        <v/>
      </c>
      <c r="I53" s="56" t="str">
        <f>IF($Q53="","",INDEX(TRANSACTIONS_MASTER!$N$5:$N$1204,$Q53))</f>
        <v/>
      </c>
      <c r="J53" s="25" t="str">
        <f>IF($Q53="","",INDEX(TRANSACTIONS_MASTER!$O$5:$O$1204,$Q53))</f>
        <v/>
      </c>
      <c r="K53" s="26" t="str">
        <f>IF($Q53="","",INDEX(TRANSACTIONS_MASTER!$Q$5:$Q$1204,$Q53))</f>
        <v/>
      </c>
      <c r="L53" s="25" t="str">
        <f>IF($Q53="","",INDEX(TRANSACTIONS_MASTER!$P$5:$P$1204,$Q53))</f>
        <v/>
      </c>
      <c r="M53" s="25" t="str">
        <f>IF($Q53="","",INDEX(TRANSACTIONS_MASTER!$AA$5:$AA$1204,$Q53))</f>
        <v/>
      </c>
      <c r="N53" s="25" t="str">
        <f>IF($Q53="","",INDEX(TRANSACTIONS_MASTER!$R$5:$R$1204,$Q53))</f>
        <v/>
      </c>
      <c r="O53" s="28" t="str">
        <f>IF($Q53="","",INDEX(TRANSACTIONS_MASTER!$AB$5:$AB$1204,$Q53))</f>
        <v/>
      </c>
      <c r="P53" s="55" t="str">
        <f>IF($Q53="","",INDEX(TRANSACTIONS_MASTER!$Z$5:$Z$1204,$Q53)&amp;"")</f>
        <v/>
      </c>
      <c r="Q53" s="67" t="str">
        <f>IFERROR(MATCH($C$2&amp;"|"&amp;46,TRANSACTIONS_MASTER!$AE$5:$AE$1204,0),"")</f>
        <v/>
      </c>
      <c r="S53" s="67" t="str">
        <f>IFERROR(MATCH(46,CASHBACK_RULES!$S$5:$S$304,0),"")</f>
        <v/>
      </c>
      <c r="T53" s="55" t="str">
        <f>IF($S53="","",INDEX(CASHBACK_RULES!$B$5:$B$304,$S53))</f>
        <v/>
      </c>
      <c r="U53" s="55" t="str">
        <f>IF($S53="","",INDEX(CASHBACK_RULES!$C$5:$C$304,$S53)&amp;" "&amp;INDEX(CASHBACK_RULES!$D$5:$D$304,$S53))</f>
        <v/>
      </c>
      <c r="V53" s="55" t="str">
        <f>IF($S53="","",INDEX(CASHBACK_RULES!$E$5:$E$304,$S53)&amp;"")</f>
        <v/>
      </c>
      <c r="W53" s="55" t="str">
        <f>IF($S53="","",INDEX(CASHBACK_RULES!$F$5:$F$304,$S53)&amp;"")</f>
        <v/>
      </c>
      <c r="X53" s="26" t="str">
        <f>IF($S53="","",SUMIFS(TRANSACTIONS_MASTER!$Q$5:$Q$1204,TRANSACTIONS_MASTER!$D$5:$D$1204,$T53,TRANSACTIONS_MASTER!$Z$5:$Z$1204,$V53,TRANSACTIONS_MASTER!$C$5:$C$1204,$C$2))</f>
        <v/>
      </c>
      <c r="Y53" s="25" t="str">
        <f>IF($S53="","",IF(ISNUMBER(INDEX(CASHBACK_RULES!$J$5:$J$304,$S53)),INDEX(CASHBACK_RULES!$J$5:$J$304,$S53),"∞"))</f>
        <v/>
      </c>
      <c r="Z53" s="25" t="str">
        <f>IF($S53="","",IF(ISNUMBER($Y53),MAX(0,$Y53-$X53),"∞"))</f>
        <v/>
      </c>
      <c r="AA53" s="27" t="str">
        <f>IF($S53="","",IF(ISNUMBER($Y53),IF($Y53=0,0,$X53/$Y53),""))</f>
        <v/>
      </c>
    </row>
    <row r="54" ht="20" customHeight="1">
      <c r="A54" s="81" t="str">
        <f>IF($Q54="","",47)</f>
        <v/>
      </c>
      <c r="B54" s="57" t="str">
        <f>IF($Q54="","",INDEX(TRANSACTIONS_MASTER!$B$5:$B$1204,$Q54))</f>
        <v/>
      </c>
      <c r="C54" s="55" t="str">
        <f>IF($Q54="","",INDEX(TRANSACTIONS_MASTER!$F$5:$F$1204,$Q54))</f>
        <v/>
      </c>
      <c r="D54" s="55" t="str">
        <f>IF($Q54="","",INDEX(TRANSACTIONS_MASTER!$E$5:$E$1204,$Q54))</f>
        <v/>
      </c>
      <c r="E54" s="55" t="str">
        <f>IF($Q54="","",INDEX(TRANSACTIONS_MASTER!$G$5:$G$1204,$Q54)&amp;"")</f>
        <v/>
      </c>
      <c r="F54" s="29" t="str">
        <f>IF($Q54="","",INDEX(TRANSACTIONS_MASTER!$I$5:$I$1204,$Q54))</f>
        <v/>
      </c>
      <c r="G54" s="55" t="str">
        <f>IF($Q54="","",INDEX(TRANSACTIONS_MASTER!$K$5:$K$1204,$Q54))</f>
        <v/>
      </c>
      <c r="H54" s="25" t="str">
        <f>IF($Q54="","",INDEX(TRANSACTIONS_MASTER!$L$5:$L$1204,$Q54))</f>
        <v/>
      </c>
      <c r="I54" s="56" t="str">
        <f>IF($Q54="","",INDEX(TRANSACTIONS_MASTER!$N$5:$N$1204,$Q54))</f>
        <v/>
      </c>
      <c r="J54" s="25" t="str">
        <f>IF($Q54="","",INDEX(TRANSACTIONS_MASTER!$O$5:$O$1204,$Q54))</f>
        <v/>
      </c>
      <c r="K54" s="26" t="str">
        <f>IF($Q54="","",INDEX(TRANSACTIONS_MASTER!$Q$5:$Q$1204,$Q54))</f>
        <v/>
      </c>
      <c r="L54" s="25" t="str">
        <f>IF($Q54="","",INDEX(TRANSACTIONS_MASTER!$P$5:$P$1204,$Q54))</f>
        <v/>
      </c>
      <c r="M54" s="25" t="str">
        <f>IF($Q54="","",INDEX(TRANSACTIONS_MASTER!$AA$5:$AA$1204,$Q54))</f>
        <v/>
      </c>
      <c r="N54" s="25" t="str">
        <f>IF($Q54="","",INDEX(TRANSACTIONS_MASTER!$R$5:$R$1204,$Q54))</f>
        <v/>
      </c>
      <c r="O54" s="28" t="str">
        <f>IF($Q54="","",INDEX(TRANSACTIONS_MASTER!$AB$5:$AB$1204,$Q54))</f>
        <v/>
      </c>
      <c r="P54" s="55" t="str">
        <f>IF($Q54="","",INDEX(TRANSACTIONS_MASTER!$Z$5:$Z$1204,$Q54)&amp;"")</f>
        <v/>
      </c>
      <c r="Q54" s="67" t="str">
        <f>IFERROR(MATCH($C$2&amp;"|"&amp;47,TRANSACTIONS_MASTER!$AE$5:$AE$1204,0),"")</f>
        <v/>
      </c>
      <c r="S54" s="67" t="str">
        <f>IFERROR(MATCH(47,CASHBACK_RULES!$S$5:$S$304,0),"")</f>
        <v/>
      </c>
      <c r="T54" s="55" t="str">
        <f>IF($S54="","",INDEX(CASHBACK_RULES!$B$5:$B$304,$S54))</f>
        <v/>
      </c>
      <c r="U54" s="55" t="str">
        <f>IF($S54="","",INDEX(CASHBACK_RULES!$C$5:$C$304,$S54)&amp;" "&amp;INDEX(CASHBACK_RULES!$D$5:$D$304,$S54))</f>
        <v/>
      </c>
      <c r="V54" s="55" t="str">
        <f>IF($S54="","",INDEX(CASHBACK_RULES!$E$5:$E$304,$S54)&amp;"")</f>
        <v/>
      </c>
      <c r="W54" s="55" t="str">
        <f>IF($S54="","",INDEX(CASHBACK_RULES!$F$5:$F$304,$S54)&amp;"")</f>
        <v/>
      </c>
      <c r="X54" s="26" t="str">
        <f>IF($S54="","",SUMIFS(TRANSACTIONS_MASTER!$Q$5:$Q$1204,TRANSACTIONS_MASTER!$D$5:$D$1204,$T54,TRANSACTIONS_MASTER!$Z$5:$Z$1204,$V54,TRANSACTIONS_MASTER!$C$5:$C$1204,$C$2))</f>
        <v/>
      </c>
      <c r="Y54" s="25" t="str">
        <f>IF($S54="","",IF(ISNUMBER(INDEX(CASHBACK_RULES!$J$5:$J$304,$S54)),INDEX(CASHBACK_RULES!$J$5:$J$304,$S54),"∞"))</f>
        <v/>
      </c>
      <c r="Z54" s="25" t="str">
        <f>IF($S54="","",IF(ISNUMBER($Y54),MAX(0,$Y54-$X54),"∞"))</f>
        <v/>
      </c>
      <c r="AA54" s="27" t="str">
        <f>IF($S54="","",IF(ISNUMBER($Y54),IF($Y54=0,0,$X54/$Y54),""))</f>
        <v/>
      </c>
    </row>
    <row r="55" ht="20" customHeight="1">
      <c r="A55" s="81" t="str">
        <f>IF($Q55="","",48)</f>
        <v/>
      </c>
      <c r="B55" s="57" t="str">
        <f>IF($Q55="","",INDEX(TRANSACTIONS_MASTER!$B$5:$B$1204,$Q55))</f>
        <v/>
      </c>
      <c r="C55" s="55" t="str">
        <f>IF($Q55="","",INDEX(TRANSACTIONS_MASTER!$F$5:$F$1204,$Q55))</f>
        <v/>
      </c>
      <c r="D55" s="55" t="str">
        <f>IF($Q55="","",INDEX(TRANSACTIONS_MASTER!$E$5:$E$1204,$Q55))</f>
        <v/>
      </c>
      <c r="E55" s="55" t="str">
        <f>IF($Q55="","",INDEX(TRANSACTIONS_MASTER!$G$5:$G$1204,$Q55)&amp;"")</f>
        <v/>
      </c>
      <c r="F55" s="29" t="str">
        <f>IF($Q55="","",INDEX(TRANSACTIONS_MASTER!$I$5:$I$1204,$Q55))</f>
        <v/>
      </c>
      <c r="G55" s="55" t="str">
        <f>IF($Q55="","",INDEX(TRANSACTIONS_MASTER!$K$5:$K$1204,$Q55))</f>
        <v/>
      </c>
      <c r="H55" s="25" t="str">
        <f>IF($Q55="","",INDEX(TRANSACTIONS_MASTER!$L$5:$L$1204,$Q55))</f>
        <v/>
      </c>
      <c r="I55" s="56" t="str">
        <f>IF($Q55="","",INDEX(TRANSACTIONS_MASTER!$N$5:$N$1204,$Q55))</f>
        <v/>
      </c>
      <c r="J55" s="25" t="str">
        <f>IF($Q55="","",INDEX(TRANSACTIONS_MASTER!$O$5:$O$1204,$Q55))</f>
        <v/>
      </c>
      <c r="K55" s="26" t="str">
        <f>IF($Q55="","",INDEX(TRANSACTIONS_MASTER!$Q$5:$Q$1204,$Q55))</f>
        <v/>
      </c>
      <c r="L55" s="25" t="str">
        <f>IF($Q55="","",INDEX(TRANSACTIONS_MASTER!$P$5:$P$1204,$Q55))</f>
        <v/>
      </c>
      <c r="M55" s="25" t="str">
        <f>IF($Q55="","",INDEX(TRANSACTIONS_MASTER!$AA$5:$AA$1204,$Q55))</f>
        <v/>
      </c>
      <c r="N55" s="25" t="str">
        <f>IF($Q55="","",INDEX(TRANSACTIONS_MASTER!$R$5:$R$1204,$Q55))</f>
        <v/>
      </c>
      <c r="O55" s="28" t="str">
        <f>IF($Q55="","",INDEX(TRANSACTIONS_MASTER!$AB$5:$AB$1204,$Q55))</f>
        <v/>
      </c>
      <c r="P55" s="55" t="str">
        <f>IF($Q55="","",INDEX(TRANSACTIONS_MASTER!$Z$5:$Z$1204,$Q55)&amp;"")</f>
        <v/>
      </c>
      <c r="Q55" s="67" t="str">
        <f>IFERROR(MATCH($C$2&amp;"|"&amp;48,TRANSACTIONS_MASTER!$AE$5:$AE$1204,0),"")</f>
        <v/>
      </c>
      <c r="S55" s="67" t="str">
        <f>IFERROR(MATCH(48,CASHBACK_RULES!$S$5:$S$304,0),"")</f>
        <v/>
      </c>
      <c r="T55" s="55" t="str">
        <f>IF($S55="","",INDEX(CASHBACK_RULES!$B$5:$B$304,$S55))</f>
        <v/>
      </c>
      <c r="U55" s="55" t="str">
        <f>IF($S55="","",INDEX(CASHBACK_RULES!$C$5:$C$304,$S55)&amp;" "&amp;INDEX(CASHBACK_RULES!$D$5:$D$304,$S55))</f>
        <v/>
      </c>
      <c r="V55" s="55" t="str">
        <f>IF($S55="","",INDEX(CASHBACK_RULES!$E$5:$E$304,$S55)&amp;"")</f>
        <v/>
      </c>
      <c r="W55" s="55" t="str">
        <f>IF($S55="","",INDEX(CASHBACK_RULES!$F$5:$F$304,$S55)&amp;"")</f>
        <v/>
      </c>
      <c r="X55" s="26" t="str">
        <f>IF($S55="","",SUMIFS(TRANSACTIONS_MASTER!$Q$5:$Q$1204,TRANSACTIONS_MASTER!$D$5:$D$1204,$T55,TRANSACTIONS_MASTER!$Z$5:$Z$1204,$V55,TRANSACTIONS_MASTER!$C$5:$C$1204,$C$2))</f>
        <v/>
      </c>
      <c r="Y55" s="25" t="str">
        <f>IF($S55="","",IF(ISNUMBER(INDEX(CASHBACK_RULES!$J$5:$J$304,$S55)),INDEX(CASHBACK_RULES!$J$5:$J$304,$S55),"∞"))</f>
        <v/>
      </c>
      <c r="Z55" s="25" t="str">
        <f>IF($S55="","",IF(ISNUMBER($Y55),MAX(0,$Y55-$X55),"∞"))</f>
        <v/>
      </c>
      <c r="AA55" s="27" t="str">
        <f>IF($S55="","",IF(ISNUMBER($Y55),IF($Y55=0,0,$X55/$Y55),""))</f>
        <v/>
      </c>
    </row>
    <row r="56" ht="20" customHeight="1">
      <c r="A56" s="81" t="str">
        <f>IF($Q56="","",49)</f>
        <v/>
      </c>
      <c r="B56" s="57" t="str">
        <f>IF($Q56="","",INDEX(TRANSACTIONS_MASTER!$B$5:$B$1204,$Q56))</f>
        <v/>
      </c>
      <c r="C56" s="55" t="str">
        <f>IF($Q56="","",INDEX(TRANSACTIONS_MASTER!$F$5:$F$1204,$Q56))</f>
        <v/>
      </c>
      <c r="D56" s="55" t="str">
        <f>IF($Q56="","",INDEX(TRANSACTIONS_MASTER!$E$5:$E$1204,$Q56))</f>
        <v/>
      </c>
      <c r="E56" s="55" t="str">
        <f>IF($Q56="","",INDEX(TRANSACTIONS_MASTER!$G$5:$G$1204,$Q56)&amp;"")</f>
        <v/>
      </c>
      <c r="F56" s="29" t="str">
        <f>IF($Q56="","",INDEX(TRANSACTIONS_MASTER!$I$5:$I$1204,$Q56))</f>
        <v/>
      </c>
      <c r="G56" s="55" t="str">
        <f>IF($Q56="","",INDEX(TRANSACTIONS_MASTER!$K$5:$K$1204,$Q56))</f>
        <v/>
      </c>
      <c r="H56" s="25" t="str">
        <f>IF($Q56="","",INDEX(TRANSACTIONS_MASTER!$L$5:$L$1204,$Q56))</f>
        <v/>
      </c>
      <c r="I56" s="56" t="str">
        <f>IF($Q56="","",INDEX(TRANSACTIONS_MASTER!$N$5:$N$1204,$Q56))</f>
        <v/>
      </c>
      <c r="J56" s="25" t="str">
        <f>IF($Q56="","",INDEX(TRANSACTIONS_MASTER!$O$5:$O$1204,$Q56))</f>
        <v/>
      </c>
      <c r="K56" s="26" t="str">
        <f>IF($Q56="","",INDEX(TRANSACTIONS_MASTER!$Q$5:$Q$1204,$Q56))</f>
        <v/>
      </c>
      <c r="L56" s="25" t="str">
        <f>IF($Q56="","",INDEX(TRANSACTIONS_MASTER!$P$5:$P$1204,$Q56))</f>
        <v/>
      </c>
      <c r="M56" s="25" t="str">
        <f>IF($Q56="","",INDEX(TRANSACTIONS_MASTER!$AA$5:$AA$1204,$Q56))</f>
        <v/>
      </c>
      <c r="N56" s="25" t="str">
        <f>IF($Q56="","",INDEX(TRANSACTIONS_MASTER!$R$5:$R$1204,$Q56))</f>
        <v/>
      </c>
      <c r="O56" s="28" t="str">
        <f>IF($Q56="","",INDEX(TRANSACTIONS_MASTER!$AB$5:$AB$1204,$Q56))</f>
        <v/>
      </c>
      <c r="P56" s="55" t="str">
        <f>IF($Q56="","",INDEX(TRANSACTIONS_MASTER!$Z$5:$Z$1204,$Q56)&amp;"")</f>
        <v/>
      </c>
      <c r="Q56" s="67" t="str">
        <f>IFERROR(MATCH($C$2&amp;"|"&amp;49,TRANSACTIONS_MASTER!$AE$5:$AE$1204,0),"")</f>
        <v/>
      </c>
      <c r="S56" s="67" t="str">
        <f>IFERROR(MATCH(49,CASHBACK_RULES!$S$5:$S$304,0),"")</f>
        <v/>
      </c>
      <c r="T56" s="55" t="str">
        <f>IF($S56="","",INDEX(CASHBACK_RULES!$B$5:$B$304,$S56))</f>
        <v/>
      </c>
      <c r="U56" s="55" t="str">
        <f>IF($S56="","",INDEX(CASHBACK_RULES!$C$5:$C$304,$S56)&amp;" "&amp;INDEX(CASHBACK_RULES!$D$5:$D$304,$S56))</f>
        <v/>
      </c>
      <c r="V56" s="55" t="str">
        <f>IF($S56="","",INDEX(CASHBACK_RULES!$E$5:$E$304,$S56)&amp;"")</f>
        <v/>
      </c>
      <c r="W56" s="55" t="str">
        <f>IF($S56="","",INDEX(CASHBACK_RULES!$F$5:$F$304,$S56)&amp;"")</f>
        <v/>
      </c>
      <c r="X56" s="26" t="str">
        <f>IF($S56="","",SUMIFS(TRANSACTIONS_MASTER!$Q$5:$Q$1204,TRANSACTIONS_MASTER!$D$5:$D$1204,$T56,TRANSACTIONS_MASTER!$Z$5:$Z$1204,$V56,TRANSACTIONS_MASTER!$C$5:$C$1204,$C$2))</f>
        <v/>
      </c>
      <c r="Y56" s="25" t="str">
        <f>IF($S56="","",IF(ISNUMBER(INDEX(CASHBACK_RULES!$J$5:$J$304,$S56)),INDEX(CASHBACK_RULES!$J$5:$J$304,$S56),"∞"))</f>
        <v/>
      </c>
      <c r="Z56" s="25" t="str">
        <f>IF($S56="","",IF(ISNUMBER($Y56),MAX(0,$Y56-$X56),"∞"))</f>
        <v/>
      </c>
      <c r="AA56" s="27" t="str">
        <f>IF($S56="","",IF(ISNUMBER($Y56),IF($Y56=0,0,$X56/$Y56),""))</f>
        <v/>
      </c>
    </row>
    <row r="57" ht="20" customHeight="1">
      <c r="A57" s="81" t="str">
        <f>IF($Q57="","",50)</f>
        <v/>
      </c>
      <c r="B57" s="57" t="str">
        <f>IF($Q57="","",INDEX(TRANSACTIONS_MASTER!$B$5:$B$1204,$Q57))</f>
        <v/>
      </c>
      <c r="C57" s="55" t="str">
        <f>IF($Q57="","",INDEX(TRANSACTIONS_MASTER!$F$5:$F$1204,$Q57))</f>
        <v/>
      </c>
      <c r="D57" s="55" t="str">
        <f>IF($Q57="","",INDEX(TRANSACTIONS_MASTER!$E$5:$E$1204,$Q57))</f>
        <v/>
      </c>
      <c r="E57" s="55" t="str">
        <f>IF($Q57="","",INDEX(TRANSACTIONS_MASTER!$G$5:$G$1204,$Q57)&amp;"")</f>
        <v/>
      </c>
      <c r="F57" s="29" t="str">
        <f>IF($Q57="","",INDEX(TRANSACTIONS_MASTER!$I$5:$I$1204,$Q57))</f>
        <v/>
      </c>
      <c r="G57" s="55" t="str">
        <f>IF($Q57="","",INDEX(TRANSACTIONS_MASTER!$K$5:$K$1204,$Q57))</f>
        <v/>
      </c>
      <c r="H57" s="25" t="str">
        <f>IF($Q57="","",INDEX(TRANSACTIONS_MASTER!$L$5:$L$1204,$Q57))</f>
        <v/>
      </c>
      <c r="I57" s="56" t="str">
        <f>IF($Q57="","",INDEX(TRANSACTIONS_MASTER!$N$5:$N$1204,$Q57))</f>
        <v/>
      </c>
      <c r="J57" s="25" t="str">
        <f>IF($Q57="","",INDEX(TRANSACTIONS_MASTER!$O$5:$O$1204,$Q57))</f>
        <v/>
      </c>
      <c r="K57" s="26" t="str">
        <f>IF($Q57="","",INDEX(TRANSACTIONS_MASTER!$Q$5:$Q$1204,$Q57))</f>
        <v/>
      </c>
      <c r="L57" s="25" t="str">
        <f>IF($Q57="","",INDEX(TRANSACTIONS_MASTER!$P$5:$P$1204,$Q57))</f>
        <v/>
      </c>
      <c r="M57" s="25" t="str">
        <f>IF($Q57="","",INDEX(TRANSACTIONS_MASTER!$AA$5:$AA$1204,$Q57))</f>
        <v/>
      </c>
      <c r="N57" s="25" t="str">
        <f>IF($Q57="","",INDEX(TRANSACTIONS_MASTER!$R$5:$R$1204,$Q57))</f>
        <v/>
      </c>
      <c r="O57" s="28" t="str">
        <f>IF($Q57="","",INDEX(TRANSACTIONS_MASTER!$AB$5:$AB$1204,$Q57))</f>
        <v/>
      </c>
      <c r="P57" s="55" t="str">
        <f>IF($Q57="","",INDEX(TRANSACTIONS_MASTER!$Z$5:$Z$1204,$Q57)&amp;"")</f>
        <v/>
      </c>
      <c r="Q57" s="67" t="str">
        <f>IFERROR(MATCH($C$2&amp;"|"&amp;50,TRANSACTIONS_MASTER!$AE$5:$AE$1204,0),"")</f>
        <v/>
      </c>
      <c r="S57" s="67" t="str">
        <f>IFERROR(MATCH(50,CASHBACK_RULES!$S$5:$S$304,0),"")</f>
        <v/>
      </c>
      <c r="T57" s="55" t="str">
        <f>IF($S57="","",INDEX(CASHBACK_RULES!$B$5:$B$304,$S57))</f>
        <v/>
      </c>
      <c r="U57" s="55" t="str">
        <f>IF($S57="","",INDEX(CASHBACK_RULES!$C$5:$C$304,$S57)&amp;" "&amp;INDEX(CASHBACK_RULES!$D$5:$D$304,$S57))</f>
        <v/>
      </c>
      <c r="V57" s="55" t="str">
        <f>IF($S57="","",INDEX(CASHBACK_RULES!$E$5:$E$304,$S57)&amp;"")</f>
        <v/>
      </c>
      <c r="W57" s="55" t="str">
        <f>IF($S57="","",INDEX(CASHBACK_RULES!$F$5:$F$304,$S57)&amp;"")</f>
        <v/>
      </c>
      <c r="X57" s="26" t="str">
        <f>IF($S57="","",SUMIFS(TRANSACTIONS_MASTER!$Q$5:$Q$1204,TRANSACTIONS_MASTER!$D$5:$D$1204,$T57,TRANSACTIONS_MASTER!$Z$5:$Z$1204,$V57,TRANSACTIONS_MASTER!$C$5:$C$1204,$C$2))</f>
        <v/>
      </c>
      <c r="Y57" s="25" t="str">
        <f>IF($S57="","",IF(ISNUMBER(INDEX(CASHBACK_RULES!$J$5:$J$304,$S57)),INDEX(CASHBACK_RULES!$J$5:$J$304,$S57),"∞"))</f>
        <v/>
      </c>
      <c r="Z57" s="25" t="str">
        <f>IF($S57="","",IF(ISNUMBER($Y57),MAX(0,$Y57-$X57),"∞"))</f>
        <v/>
      </c>
      <c r="AA57" s="27" t="str">
        <f>IF($S57="","",IF(ISNUMBER($Y57),IF($Y57=0,0,$X57/$Y57),""))</f>
        <v/>
      </c>
    </row>
    <row r="58">
      <c r="A58" s="81" t="str">
        <f>IF($Q58="","",51)</f>
        <v/>
      </c>
      <c r="B58" s="57" t="str">
        <f>IF($Q58="","",INDEX(TRANSACTIONS_MASTER!$B$5:$B$1204,$Q58))</f>
        <v/>
      </c>
      <c r="C58" s="55" t="str">
        <f>IF($Q58="","",INDEX(TRANSACTIONS_MASTER!$F$5:$F$1204,$Q58))</f>
        <v/>
      </c>
      <c r="D58" s="55" t="str">
        <f>IF($Q58="","",INDEX(TRANSACTIONS_MASTER!$E$5:$E$1204,$Q58))</f>
        <v/>
      </c>
      <c r="E58" s="55" t="str">
        <f>IF($Q58="","",INDEX(TRANSACTIONS_MASTER!$G$5:$G$1204,$Q58)&amp;"")</f>
        <v/>
      </c>
      <c r="F58" s="29" t="str">
        <f>IF($Q58="","",INDEX(TRANSACTIONS_MASTER!$I$5:$I$1204,$Q58))</f>
        <v/>
      </c>
      <c r="G58" s="55" t="str">
        <f>IF($Q58="","",INDEX(TRANSACTIONS_MASTER!$K$5:$K$1204,$Q58))</f>
        <v/>
      </c>
      <c r="H58" s="25" t="str">
        <f>IF($Q58="","",INDEX(TRANSACTIONS_MASTER!$L$5:$L$1204,$Q58))</f>
        <v/>
      </c>
      <c r="I58" s="56" t="str">
        <f>IF($Q58="","",INDEX(TRANSACTIONS_MASTER!$N$5:$N$1204,$Q58))</f>
        <v/>
      </c>
      <c r="J58" s="25" t="str">
        <f>IF($Q58="","",INDEX(TRANSACTIONS_MASTER!$O$5:$O$1204,$Q58))</f>
        <v/>
      </c>
      <c r="K58" s="26" t="str">
        <f>IF($Q58="","",INDEX(TRANSACTIONS_MASTER!$Q$5:$Q$1204,$Q58))</f>
        <v/>
      </c>
      <c r="L58" s="25" t="str">
        <f>IF($Q58="","",INDEX(TRANSACTIONS_MASTER!$P$5:$P$1204,$Q58))</f>
        <v/>
      </c>
      <c r="M58" s="25" t="str">
        <f>IF($Q58="","",INDEX(TRANSACTIONS_MASTER!$AA$5:$AA$1204,$Q58))</f>
        <v/>
      </c>
      <c r="N58" s="25" t="str">
        <f>IF($Q58="","",INDEX(TRANSACTIONS_MASTER!$R$5:$R$1204,$Q58))</f>
        <v/>
      </c>
      <c r="O58" s="28" t="str">
        <f>IF($Q58="","",INDEX(TRANSACTIONS_MASTER!$AB$5:$AB$1204,$Q58))</f>
        <v/>
      </c>
      <c r="P58" s="55" t="str">
        <f>IF($Q58="","",INDEX(TRANSACTIONS_MASTER!$Z$5:$Z$1204,$Q58)&amp;"")</f>
        <v/>
      </c>
      <c r="Q58" s="67" t="str">
        <f>IFERROR(MATCH($C$2&amp;"|"&amp;51,TRANSACTIONS_MASTER!$AE$5:$AE$1204,0),"")</f>
        <v/>
      </c>
    </row>
    <row r="59">
      <c r="A59" s="81" t="str">
        <f>IF($Q59="","",52)</f>
        <v/>
      </c>
      <c r="B59" s="57" t="str">
        <f>IF($Q59="","",INDEX(TRANSACTIONS_MASTER!$B$5:$B$1204,$Q59))</f>
        <v/>
      </c>
      <c r="C59" s="55" t="str">
        <f>IF($Q59="","",INDEX(TRANSACTIONS_MASTER!$F$5:$F$1204,$Q59))</f>
        <v/>
      </c>
      <c r="D59" s="55" t="str">
        <f>IF($Q59="","",INDEX(TRANSACTIONS_MASTER!$E$5:$E$1204,$Q59))</f>
        <v/>
      </c>
      <c r="E59" s="55" t="str">
        <f>IF($Q59="","",INDEX(TRANSACTIONS_MASTER!$G$5:$G$1204,$Q59)&amp;"")</f>
        <v/>
      </c>
      <c r="F59" s="29" t="str">
        <f>IF($Q59="","",INDEX(TRANSACTIONS_MASTER!$I$5:$I$1204,$Q59))</f>
        <v/>
      </c>
      <c r="G59" s="55" t="str">
        <f>IF($Q59="","",INDEX(TRANSACTIONS_MASTER!$K$5:$K$1204,$Q59))</f>
        <v/>
      </c>
      <c r="H59" s="25" t="str">
        <f>IF($Q59="","",INDEX(TRANSACTIONS_MASTER!$L$5:$L$1204,$Q59))</f>
        <v/>
      </c>
      <c r="I59" s="56" t="str">
        <f>IF($Q59="","",INDEX(TRANSACTIONS_MASTER!$N$5:$N$1204,$Q59))</f>
        <v/>
      </c>
      <c r="J59" s="25" t="str">
        <f>IF($Q59="","",INDEX(TRANSACTIONS_MASTER!$O$5:$O$1204,$Q59))</f>
        <v/>
      </c>
      <c r="K59" s="26" t="str">
        <f>IF($Q59="","",INDEX(TRANSACTIONS_MASTER!$Q$5:$Q$1204,$Q59))</f>
        <v/>
      </c>
      <c r="L59" s="25" t="str">
        <f>IF($Q59="","",INDEX(TRANSACTIONS_MASTER!$P$5:$P$1204,$Q59))</f>
        <v/>
      </c>
      <c r="M59" s="25" t="str">
        <f>IF($Q59="","",INDEX(TRANSACTIONS_MASTER!$AA$5:$AA$1204,$Q59))</f>
        <v/>
      </c>
      <c r="N59" s="25" t="str">
        <f>IF($Q59="","",INDEX(TRANSACTIONS_MASTER!$R$5:$R$1204,$Q59))</f>
        <v/>
      </c>
      <c r="O59" s="28" t="str">
        <f>IF($Q59="","",INDEX(TRANSACTIONS_MASTER!$AB$5:$AB$1204,$Q59))</f>
        <v/>
      </c>
      <c r="P59" s="55" t="str">
        <f>IF($Q59="","",INDEX(TRANSACTIONS_MASTER!$Z$5:$Z$1204,$Q59)&amp;"")</f>
        <v/>
      </c>
      <c r="Q59" s="67" t="str">
        <f>IFERROR(MATCH($C$2&amp;"|"&amp;52,TRANSACTIONS_MASTER!$AE$5:$AE$1204,0),"")</f>
        <v/>
      </c>
    </row>
    <row r="60" ht="22" customHeight="1">
      <c r="A60" s="81" t="str">
        <f>IF($Q60="","",53)</f>
        <v/>
      </c>
      <c r="B60" s="57" t="str">
        <f>IF($Q60="","",INDEX(TRANSACTIONS_MASTER!$B$5:$B$1204,$Q60))</f>
        <v/>
      </c>
      <c r="C60" s="55" t="str">
        <f>IF($Q60="","",INDEX(TRANSACTIONS_MASTER!$F$5:$F$1204,$Q60))</f>
        <v/>
      </c>
      <c r="D60" s="55" t="str">
        <f>IF($Q60="","",INDEX(TRANSACTIONS_MASTER!$E$5:$E$1204,$Q60))</f>
        <v/>
      </c>
      <c r="E60" s="55" t="str">
        <f>IF($Q60="","",INDEX(TRANSACTIONS_MASTER!$G$5:$G$1204,$Q60)&amp;"")</f>
        <v/>
      </c>
      <c r="F60" s="29" t="str">
        <f>IF($Q60="","",INDEX(TRANSACTIONS_MASTER!$I$5:$I$1204,$Q60))</f>
        <v/>
      </c>
      <c r="G60" s="55" t="str">
        <f>IF($Q60="","",INDEX(TRANSACTIONS_MASTER!$K$5:$K$1204,$Q60))</f>
        <v/>
      </c>
      <c r="H60" s="25" t="str">
        <f>IF($Q60="","",INDEX(TRANSACTIONS_MASTER!$L$5:$L$1204,$Q60))</f>
        <v/>
      </c>
      <c r="I60" s="56" t="str">
        <f>IF($Q60="","",INDEX(TRANSACTIONS_MASTER!$N$5:$N$1204,$Q60))</f>
        <v/>
      </c>
      <c r="J60" s="25" t="str">
        <f>IF($Q60="","",INDEX(TRANSACTIONS_MASTER!$O$5:$O$1204,$Q60))</f>
        <v/>
      </c>
      <c r="K60" s="26" t="str">
        <f>IF($Q60="","",INDEX(TRANSACTIONS_MASTER!$Q$5:$Q$1204,$Q60))</f>
        <v/>
      </c>
      <c r="L60" s="25" t="str">
        <f>IF($Q60="","",INDEX(TRANSACTIONS_MASTER!$P$5:$P$1204,$Q60))</f>
        <v/>
      </c>
      <c r="M60" s="25" t="str">
        <f>IF($Q60="","",INDEX(TRANSACTIONS_MASTER!$AA$5:$AA$1204,$Q60))</f>
        <v/>
      </c>
      <c r="N60" s="25" t="str">
        <f>IF($Q60="","",INDEX(TRANSACTIONS_MASTER!$R$5:$R$1204,$Q60))</f>
        <v/>
      </c>
      <c r="O60" s="28" t="str">
        <f>IF($Q60="","",INDEX(TRANSACTIONS_MASTER!$AB$5:$AB$1204,$Q60))</f>
        <v/>
      </c>
      <c r="P60" s="55" t="str">
        <f>IF($Q60="","",INDEX(TRANSACTIONS_MASTER!$Z$5:$Z$1204,$Q60)&amp;"")</f>
        <v/>
      </c>
      <c r="Q60" s="67" t="str">
        <f>IFERROR(MATCH($C$2&amp;"|"&amp;53,TRANSACTIONS_MASTER!$AE$5:$AE$1204,0),"")</f>
        <v/>
      </c>
      <c r="T60" s="19" t="inlineStr">
        <is>
          <t>TỔNG THEO THẺ — chi tiêu · cashback · cap thẻ / tháng</t>
        </is>
      </c>
      <c r="U60" s="20" t="n"/>
      <c r="V60" s="20" t="n"/>
      <c r="W60" s="20" t="n"/>
      <c r="X60" s="20" t="n"/>
      <c r="Y60" s="20" t="n"/>
      <c r="Z60" s="20" t="n"/>
      <c r="AA60" s="20" t="n"/>
    </row>
    <row r="61" ht="30" customHeight="1">
      <c r="A61" s="81" t="str">
        <f>IF($Q61="","",54)</f>
        <v/>
      </c>
      <c r="B61" s="57" t="str">
        <f>IF($Q61="","",INDEX(TRANSACTIONS_MASTER!$B$5:$B$1204,$Q61))</f>
        <v/>
      </c>
      <c r="C61" s="55" t="str">
        <f>IF($Q61="","",INDEX(TRANSACTIONS_MASTER!$F$5:$F$1204,$Q61))</f>
        <v/>
      </c>
      <c r="D61" s="55" t="str">
        <f>IF($Q61="","",INDEX(TRANSACTIONS_MASTER!$E$5:$E$1204,$Q61))</f>
        <v/>
      </c>
      <c r="E61" s="55" t="str">
        <f>IF($Q61="","",INDEX(TRANSACTIONS_MASTER!$G$5:$G$1204,$Q61)&amp;"")</f>
        <v/>
      </c>
      <c r="F61" s="29" t="str">
        <f>IF($Q61="","",INDEX(TRANSACTIONS_MASTER!$I$5:$I$1204,$Q61))</f>
        <v/>
      </c>
      <c r="G61" s="55" t="str">
        <f>IF($Q61="","",INDEX(TRANSACTIONS_MASTER!$K$5:$K$1204,$Q61))</f>
        <v/>
      </c>
      <c r="H61" s="25" t="str">
        <f>IF($Q61="","",INDEX(TRANSACTIONS_MASTER!$L$5:$L$1204,$Q61))</f>
        <v/>
      </c>
      <c r="I61" s="56" t="str">
        <f>IF($Q61="","",INDEX(TRANSACTIONS_MASTER!$N$5:$N$1204,$Q61))</f>
        <v/>
      </c>
      <c r="J61" s="25" t="str">
        <f>IF($Q61="","",INDEX(TRANSACTIONS_MASTER!$O$5:$O$1204,$Q61))</f>
        <v/>
      </c>
      <c r="K61" s="26" t="str">
        <f>IF($Q61="","",INDEX(TRANSACTIONS_MASTER!$Q$5:$Q$1204,$Q61))</f>
        <v/>
      </c>
      <c r="L61" s="25" t="str">
        <f>IF($Q61="","",INDEX(TRANSACTIONS_MASTER!$P$5:$P$1204,$Q61))</f>
        <v/>
      </c>
      <c r="M61" s="25" t="str">
        <f>IF($Q61="","",INDEX(TRANSACTIONS_MASTER!$AA$5:$AA$1204,$Q61))</f>
        <v/>
      </c>
      <c r="N61" s="25" t="str">
        <f>IF($Q61="","",INDEX(TRANSACTIONS_MASTER!$R$5:$R$1204,$Q61))</f>
        <v/>
      </c>
      <c r="O61" s="28" t="str">
        <f>IF($Q61="","",INDEX(TRANSACTIONS_MASTER!$AB$5:$AB$1204,$Q61))</f>
        <v/>
      </c>
      <c r="P61" s="55" t="str">
        <f>IF($Q61="","",INDEX(TRANSACTIONS_MASTER!$Z$5:$Z$1204,$Q61)&amp;"")</f>
        <v/>
      </c>
      <c r="Q61" s="67" t="str">
        <f>IFERROR(MATCH($C$2&amp;"|"&amp;54,TRANSACTIONS_MASTER!$AE$5:$AE$1204,0),"")</f>
        <v/>
      </c>
      <c r="S61" s="21" t="inlineStr">
        <is>
          <t>#</t>
        </is>
      </c>
      <c r="T61" s="21" t="inlineStr">
        <is>
          <t>Card ID</t>
        </is>
      </c>
      <c r="U61" s="21" t="inlineStr">
        <is>
          <t>Thẻ</t>
        </is>
      </c>
      <c r="V61" s="21" t="inlineStr">
        <is>
          <t>Chi tiêu</t>
        </is>
      </c>
      <c r="W61" s="21" t="inlineStr">
        <is>
          <t>Cashback</t>
        </is>
      </c>
      <c r="X61" s="21" t="inlineStr">
        <is>
          <t>Cap thẻ / tháng</t>
        </is>
      </c>
      <c r="Y61" s="21" t="inlineStr">
        <is>
          <t>Còn lại (tối đa)</t>
        </is>
      </c>
      <c r="Z61" s="21" t="inlineStr">
        <is>
          <t>Progress</t>
        </is>
      </c>
      <c r="AA61" s="21" t="inlineStr">
        <is>
          <t>Số GD</t>
        </is>
      </c>
    </row>
    <row r="62">
      <c r="A62" s="81" t="str">
        <f>IF($Q62="","",55)</f>
        <v/>
      </c>
      <c r="B62" s="57" t="str">
        <f>IF($Q62="","",INDEX(TRANSACTIONS_MASTER!$B$5:$B$1204,$Q62))</f>
        <v/>
      </c>
      <c r="C62" s="55" t="str">
        <f>IF($Q62="","",INDEX(TRANSACTIONS_MASTER!$F$5:$F$1204,$Q62))</f>
        <v/>
      </c>
      <c r="D62" s="55" t="str">
        <f>IF($Q62="","",INDEX(TRANSACTIONS_MASTER!$E$5:$E$1204,$Q62))</f>
        <v/>
      </c>
      <c r="E62" s="55" t="str">
        <f>IF($Q62="","",INDEX(TRANSACTIONS_MASTER!$G$5:$G$1204,$Q62)&amp;"")</f>
        <v/>
      </c>
      <c r="F62" s="29" t="str">
        <f>IF($Q62="","",INDEX(TRANSACTIONS_MASTER!$I$5:$I$1204,$Q62))</f>
        <v/>
      </c>
      <c r="G62" s="55" t="str">
        <f>IF($Q62="","",INDEX(TRANSACTIONS_MASTER!$K$5:$K$1204,$Q62))</f>
        <v/>
      </c>
      <c r="H62" s="25" t="str">
        <f>IF($Q62="","",INDEX(TRANSACTIONS_MASTER!$L$5:$L$1204,$Q62))</f>
        <v/>
      </c>
      <c r="I62" s="56" t="str">
        <f>IF($Q62="","",INDEX(TRANSACTIONS_MASTER!$N$5:$N$1204,$Q62))</f>
        <v/>
      </c>
      <c r="J62" s="25" t="str">
        <f>IF($Q62="","",INDEX(TRANSACTIONS_MASTER!$O$5:$O$1204,$Q62))</f>
        <v/>
      </c>
      <c r="K62" s="26" t="str">
        <f>IF($Q62="","",INDEX(TRANSACTIONS_MASTER!$Q$5:$Q$1204,$Q62))</f>
        <v/>
      </c>
      <c r="L62" s="25" t="str">
        <f>IF($Q62="","",INDEX(TRANSACTIONS_MASTER!$P$5:$P$1204,$Q62))</f>
        <v/>
      </c>
      <c r="M62" s="25" t="str">
        <f>IF($Q62="","",INDEX(TRANSACTIONS_MASTER!$AA$5:$AA$1204,$Q62))</f>
        <v/>
      </c>
      <c r="N62" s="25" t="str">
        <f>IF($Q62="","",INDEX(TRANSACTIONS_MASTER!$R$5:$R$1204,$Q62))</f>
        <v/>
      </c>
      <c r="O62" s="28" t="str">
        <f>IF($Q62="","",INDEX(TRANSACTIONS_MASTER!$AB$5:$AB$1204,$Q62))</f>
        <v/>
      </c>
      <c r="P62" s="55" t="str">
        <f>IF($Q62="","",INDEX(TRANSACTIONS_MASTER!$Z$5:$Z$1204,$Q62)&amp;"")</f>
        <v/>
      </c>
      <c r="Q62" s="67" t="str">
        <f>IFERROR(MATCH($C$2&amp;"|"&amp;55,TRANSACTIONS_MASTER!$AE$5:$AE$1204,0),"")</f>
        <v/>
      </c>
      <c r="S62" s="67" t="n">
        <v>1</v>
      </c>
      <c r="T62" s="55" t="str">
        <f>IF(CARDS!$A5="","",CARDS!$A5)</f>
        <v>VPB-JCBZ</v>
      </c>
      <c r="U62" s="55" t="str">
        <f>IF($T62="","",CARDS!$B5&amp;" "&amp;CARDS!$C5)</f>
        <v>VPBank JCB Z Card</v>
      </c>
      <c r="V62" s="25">
        <f>IF($T62="","",SUMIFS(TRANSACTIONS_MASTER!$L$5:$L$1204,TRANSACTIONS_MASTER!$D$5:$D$1204,$T62,TRANSACTIONS_MASTER!$C$5:$C$1204,$C$2,TRANSACTIONS_MASTER!$U$5:$U$1204,"&lt;&gt;Cancelled"))</f>
        <v>0</v>
      </c>
      <c r="W62" s="26">
        <f>IF($T62="","",SUMIFS(TRANSACTIONS_MASTER!$Q$5:$Q$1204,TRANSACTIONS_MASTER!$D$5:$D$1204,$T62,TRANSACTIONS_MASTER!$C$5:$C$1204,$C$2))</f>
        <v>0</v>
      </c>
      <c r="X62" s="25">
        <f>IF($T62="","",IFERROR(IF(ISNUMBER(INDEX(CASHBACK_RULES!$K$5:$K$304,MATCH($T62,CASHBACK_RULES!$B$5:$B$304,0))),INDEX(CASHBACK_RULES!$K$5:$K$304,MATCH($T62,CASHBACK_RULES!$B$5:$B$304,0)),"∞"),"—"))</f>
        <v>1000000</v>
      </c>
      <c r="Y62" s="25">
        <f>IF($T62="","",IF($X62="—","—",IF(COUNTIFS($T$8:$T$57,$T62,$Z$8:$Z$57,"∞")&gt;0,IF(ISNUMBER($X62),MAX(0,$X62-$W62),"∞"),IF(ISNUMBER($X62),MAX(0,MIN($X62-$W62,SUMIFS($Z$8:$Z$57,$T$8:$T$57,$T62))),SUMIFS($Z$8:$Z$57,$T$8:$T$57,$T62)))))</f>
        <v>1000000</v>
      </c>
      <c r="Z62" s="27">
        <f>IF($T62="","",IF(ISNUMBER($X62),IF($X62=0,0,$W62/$X62),IF(ISNUMBER($Y62),IF($W62+$Y62=0,0,$W62/($W62+$Y62)),"")))</f>
        <v>0</v>
      </c>
      <c r="AA62" s="29">
        <f>IF($T62="","",COUNTIFS(TRANSACTIONS_MASTER!$D$5:$D$1204,$T62,TRANSACTIONS_MASTER!$C$5:$C$1204,$C$2,TRANSACTIONS_MASTER!$U$5:$U$1204,"&lt;&gt;Cancelled"))</f>
        <v>0</v>
      </c>
    </row>
    <row r="63">
      <c r="A63" s="81" t="str">
        <f>IF($Q63="","",56)</f>
        <v/>
      </c>
      <c r="B63" s="57" t="str">
        <f>IF($Q63="","",INDEX(TRANSACTIONS_MASTER!$B$5:$B$1204,$Q63))</f>
        <v/>
      </c>
      <c r="C63" s="55" t="str">
        <f>IF($Q63="","",INDEX(TRANSACTIONS_MASTER!$F$5:$F$1204,$Q63))</f>
        <v/>
      </c>
      <c r="D63" s="55" t="str">
        <f>IF($Q63="","",INDEX(TRANSACTIONS_MASTER!$E$5:$E$1204,$Q63))</f>
        <v/>
      </c>
      <c r="E63" s="55" t="str">
        <f>IF($Q63="","",INDEX(TRANSACTIONS_MASTER!$G$5:$G$1204,$Q63)&amp;"")</f>
        <v/>
      </c>
      <c r="F63" s="29" t="str">
        <f>IF($Q63="","",INDEX(TRANSACTIONS_MASTER!$I$5:$I$1204,$Q63))</f>
        <v/>
      </c>
      <c r="G63" s="55" t="str">
        <f>IF($Q63="","",INDEX(TRANSACTIONS_MASTER!$K$5:$K$1204,$Q63))</f>
        <v/>
      </c>
      <c r="H63" s="25" t="str">
        <f>IF($Q63="","",INDEX(TRANSACTIONS_MASTER!$L$5:$L$1204,$Q63))</f>
        <v/>
      </c>
      <c r="I63" s="56" t="str">
        <f>IF($Q63="","",INDEX(TRANSACTIONS_MASTER!$N$5:$N$1204,$Q63))</f>
        <v/>
      </c>
      <c r="J63" s="25" t="str">
        <f>IF($Q63="","",INDEX(TRANSACTIONS_MASTER!$O$5:$O$1204,$Q63))</f>
        <v/>
      </c>
      <c r="K63" s="26" t="str">
        <f>IF($Q63="","",INDEX(TRANSACTIONS_MASTER!$Q$5:$Q$1204,$Q63))</f>
        <v/>
      </c>
      <c r="L63" s="25" t="str">
        <f>IF($Q63="","",INDEX(TRANSACTIONS_MASTER!$P$5:$P$1204,$Q63))</f>
        <v/>
      </c>
      <c r="M63" s="25" t="str">
        <f>IF($Q63="","",INDEX(TRANSACTIONS_MASTER!$AA$5:$AA$1204,$Q63))</f>
        <v/>
      </c>
      <c r="N63" s="25" t="str">
        <f>IF($Q63="","",INDEX(TRANSACTIONS_MASTER!$R$5:$R$1204,$Q63))</f>
        <v/>
      </c>
      <c r="O63" s="28" t="str">
        <f>IF($Q63="","",INDEX(TRANSACTIONS_MASTER!$AB$5:$AB$1204,$Q63))</f>
        <v/>
      </c>
      <c r="P63" s="55" t="str">
        <f>IF($Q63="","",INDEX(TRANSACTIONS_MASTER!$Z$5:$Z$1204,$Q63)&amp;"")</f>
        <v/>
      </c>
      <c r="Q63" s="67" t="str">
        <f>IFERROR(MATCH($C$2&amp;"|"&amp;56,TRANSACTIONS_MASTER!$AE$5:$AE$1204,0),"")</f>
        <v/>
      </c>
      <c r="S63" s="67" t="n">
        <v>2</v>
      </c>
      <c r="T63" s="55" t="str">
        <f>IF(CARDS!$A6="","",CARDS!$A6)</f>
        <v>VIB-A</v>
      </c>
      <c r="U63" s="55" t="str">
        <f>IF($T63="","",CARDS!$B6&amp;" "&amp;CARDS!$C6)</f>
        <v>VIB Cashback Demo A</v>
      </c>
      <c r="V63" s="25">
        <f>IF($T63="","",SUMIFS(TRANSACTIONS_MASTER!$L$5:$L$1204,TRANSACTIONS_MASTER!$D$5:$D$1204,$T63,TRANSACTIONS_MASTER!$C$5:$C$1204,$C$2,TRANSACTIONS_MASTER!$U$5:$U$1204,"&lt;&gt;Cancelled"))</f>
        <v>0</v>
      </c>
      <c r="W63" s="26">
        <f>IF($T63="","",SUMIFS(TRANSACTIONS_MASTER!$Q$5:$Q$1204,TRANSACTIONS_MASTER!$D$5:$D$1204,$T63,TRANSACTIONS_MASTER!$C$5:$C$1204,$C$2))</f>
        <v>0</v>
      </c>
      <c r="X63" s="25">
        <f>IF($T63="","",IFERROR(IF(ISNUMBER(INDEX(CASHBACK_RULES!$K$5:$K$304,MATCH($T63,CASHBACK_RULES!$B$5:$B$304,0))),INDEX(CASHBACK_RULES!$K$5:$K$304,MATCH($T63,CASHBACK_RULES!$B$5:$B$304,0)),"∞"),"—"))</f>
        <v>1000000</v>
      </c>
      <c r="Y63" s="25">
        <f>IF($T63="","",IF($X63="—","—",IF(COUNTIFS($T$8:$T$57,$T63,$Z$8:$Z$57,"∞")&gt;0,IF(ISNUMBER($X63),MAX(0,$X63-$W63),"∞"),IF(ISNUMBER($X63),MAX(0,MIN($X63-$W63,SUMIFS($Z$8:$Z$57,$T$8:$T$57,$T63))),SUMIFS($Z$8:$Z$57,$T$8:$T$57,$T63)))))</f>
        <v>1000000</v>
      </c>
      <c r="Z63" s="27">
        <f>IF($T63="","",IF(ISNUMBER($X63),IF($X63=0,0,$W63/$X63),IF(ISNUMBER($Y63),IF($W63+$Y63=0,0,$W63/($W63+$Y63)),"")))</f>
        <v>0</v>
      </c>
      <c r="AA63" s="29">
        <f>IF($T63="","",COUNTIFS(TRANSACTIONS_MASTER!$D$5:$D$1204,$T63,TRANSACTIONS_MASTER!$C$5:$C$1204,$C$2,TRANSACTIONS_MASTER!$U$5:$U$1204,"&lt;&gt;Cancelled"))</f>
        <v>0</v>
      </c>
    </row>
    <row r="64">
      <c r="A64" s="81" t="str">
        <f>IF($Q64="","",57)</f>
        <v/>
      </c>
      <c r="B64" s="57" t="str">
        <f>IF($Q64="","",INDEX(TRANSACTIONS_MASTER!$B$5:$B$1204,$Q64))</f>
        <v/>
      </c>
      <c r="C64" s="55" t="str">
        <f>IF($Q64="","",INDEX(TRANSACTIONS_MASTER!$F$5:$F$1204,$Q64))</f>
        <v/>
      </c>
      <c r="D64" s="55" t="str">
        <f>IF($Q64="","",INDEX(TRANSACTIONS_MASTER!$E$5:$E$1204,$Q64))</f>
        <v/>
      </c>
      <c r="E64" s="55" t="str">
        <f>IF($Q64="","",INDEX(TRANSACTIONS_MASTER!$G$5:$G$1204,$Q64)&amp;"")</f>
        <v/>
      </c>
      <c r="F64" s="29" t="str">
        <f>IF($Q64="","",INDEX(TRANSACTIONS_MASTER!$I$5:$I$1204,$Q64))</f>
        <v/>
      </c>
      <c r="G64" s="55" t="str">
        <f>IF($Q64="","",INDEX(TRANSACTIONS_MASTER!$K$5:$K$1204,$Q64))</f>
        <v/>
      </c>
      <c r="H64" s="25" t="str">
        <f>IF($Q64="","",INDEX(TRANSACTIONS_MASTER!$L$5:$L$1204,$Q64))</f>
        <v/>
      </c>
      <c r="I64" s="56" t="str">
        <f>IF($Q64="","",INDEX(TRANSACTIONS_MASTER!$N$5:$N$1204,$Q64))</f>
        <v/>
      </c>
      <c r="J64" s="25" t="str">
        <f>IF($Q64="","",INDEX(TRANSACTIONS_MASTER!$O$5:$O$1204,$Q64))</f>
        <v/>
      </c>
      <c r="K64" s="26" t="str">
        <f>IF($Q64="","",INDEX(TRANSACTIONS_MASTER!$Q$5:$Q$1204,$Q64))</f>
        <v/>
      </c>
      <c r="L64" s="25" t="str">
        <f>IF($Q64="","",INDEX(TRANSACTIONS_MASTER!$P$5:$P$1204,$Q64))</f>
        <v/>
      </c>
      <c r="M64" s="25" t="str">
        <f>IF($Q64="","",INDEX(TRANSACTIONS_MASTER!$AA$5:$AA$1204,$Q64))</f>
        <v/>
      </c>
      <c r="N64" s="25" t="str">
        <f>IF($Q64="","",INDEX(TRANSACTIONS_MASTER!$R$5:$R$1204,$Q64))</f>
        <v/>
      </c>
      <c r="O64" s="28" t="str">
        <f>IF($Q64="","",INDEX(TRANSACTIONS_MASTER!$AB$5:$AB$1204,$Q64))</f>
        <v/>
      </c>
      <c r="P64" s="55" t="str">
        <f>IF($Q64="","",INDEX(TRANSACTIONS_MASTER!$Z$5:$Z$1204,$Q64)&amp;"")</f>
        <v/>
      </c>
      <c r="Q64" s="67" t="str">
        <f>IFERROR(MATCH($C$2&amp;"|"&amp;57,TRANSACTIONS_MASTER!$AE$5:$AE$1204,0),"")</f>
        <v/>
      </c>
      <c r="S64" s="67" t="n">
        <v>3</v>
      </c>
      <c r="T64" s="55" t="str">
        <f>IF(CARDS!$A7="","",CARDS!$A7)</f>
        <v>TCB-B</v>
      </c>
      <c r="U64" s="55" t="str">
        <f>IF($T64="","",CARDS!$B7&amp;" "&amp;CARDS!$C7)</f>
        <v>Techcombank Cashback Demo B</v>
      </c>
      <c r="V64" s="25">
        <f>IF($T64="","",SUMIFS(TRANSACTIONS_MASTER!$L$5:$L$1204,TRANSACTIONS_MASTER!$D$5:$D$1204,$T64,TRANSACTIONS_MASTER!$C$5:$C$1204,$C$2,TRANSACTIONS_MASTER!$U$5:$U$1204,"&lt;&gt;Cancelled"))</f>
        <v>0</v>
      </c>
      <c r="W64" s="26">
        <f>IF($T64="","",SUMIFS(TRANSACTIONS_MASTER!$Q$5:$Q$1204,TRANSACTIONS_MASTER!$D$5:$D$1204,$T64,TRANSACTIONS_MASTER!$C$5:$C$1204,$C$2))</f>
        <v>0</v>
      </c>
      <c r="X64" s="25">
        <f>IF($T64="","",IFERROR(IF(ISNUMBER(INDEX(CASHBACK_RULES!$K$5:$K$304,MATCH($T64,CASHBACK_RULES!$B$5:$B$304,0))),INDEX(CASHBACK_RULES!$K$5:$K$304,MATCH($T64,CASHBACK_RULES!$B$5:$B$304,0)),"∞"),"—"))</f>
        <v>2000000</v>
      </c>
      <c r="Y64" s="25">
        <f>IF($T64="","",IF($X64="—","—",IF(COUNTIFS($T$8:$T$57,$T64,$Z$8:$Z$57,"∞")&gt;0,IF(ISNUMBER($X64),MAX(0,$X64-$W64),"∞"),IF(ISNUMBER($X64),MAX(0,MIN($X64-$W64,SUMIFS($Z$8:$Z$57,$T$8:$T$57,$T64))),SUMIFS($Z$8:$Z$57,$T$8:$T$57,$T64)))))</f>
        <v>900000</v>
      </c>
      <c r="Z64" s="27">
        <f>IF($T64="","",IF(ISNUMBER($X64),IF($X64=0,0,$W64/$X64),IF(ISNUMBER($Y64),IF($W64+$Y64=0,0,$W64/($W64+$Y64)),"")))</f>
        <v>0</v>
      </c>
      <c r="AA64" s="29">
        <f>IF($T64="","",COUNTIFS(TRANSACTIONS_MASTER!$D$5:$D$1204,$T64,TRANSACTIONS_MASTER!$C$5:$C$1204,$C$2,TRANSACTIONS_MASTER!$U$5:$U$1204,"&lt;&gt;Cancelled"))</f>
        <v>0</v>
      </c>
    </row>
    <row r="65">
      <c r="A65" s="81" t="str">
        <f>IF($Q65="","",58)</f>
        <v/>
      </c>
      <c r="B65" s="57" t="str">
        <f>IF($Q65="","",INDEX(TRANSACTIONS_MASTER!$B$5:$B$1204,$Q65))</f>
        <v/>
      </c>
      <c r="C65" s="55" t="str">
        <f>IF($Q65="","",INDEX(TRANSACTIONS_MASTER!$F$5:$F$1204,$Q65))</f>
        <v/>
      </c>
      <c r="D65" s="55" t="str">
        <f>IF($Q65="","",INDEX(TRANSACTIONS_MASTER!$E$5:$E$1204,$Q65))</f>
        <v/>
      </c>
      <c r="E65" s="55" t="str">
        <f>IF($Q65="","",INDEX(TRANSACTIONS_MASTER!$G$5:$G$1204,$Q65)&amp;"")</f>
        <v/>
      </c>
      <c r="F65" s="29" t="str">
        <f>IF($Q65="","",INDEX(TRANSACTIONS_MASTER!$I$5:$I$1204,$Q65))</f>
        <v/>
      </c>
      <c r="G65" s="55" t="str">
        <f>IF($Q65="","",INDEX(TRANSACTIONS_MASTER!$K$5:$K$1204,$Q65))</f>
        <v/>
      </c>
      <c r="H65" s="25" t="str">
        <f>IF($Q65="","",INDEX(TRANSACTIONS_MASTER!$L$5:$L$1204,$Q65))</f>
        <v/>
      </c>
      <c r="I65" s="56" t="str">
        <f>IF($Q65="","",INDEX(TRANSACTIONS_MASTER!$N$5:$N$1204,$Q65))</f>
        <v/>
      </c>
      <c r="J65" s="25" t="str">
        <f>IF($Q65="","",INDEX(TRANSACTIONS_MASTER!$O$5:$O$1204,$Q65))</f>
        <v/>
      </c>
      <c r="K65" s="26" t="str">
        <f>IF($Q65="","",INDEX(TRANSACTIONS_MASTER!$Q$5:$Q$1204,$Q65))</f>
        <v/>
      </c>
      <c r="L65" s="25" t="str">
        <f>IF($Q65="","",INDEX(TRANSACTIONS_MASTER!$P$5:$P$1204,$Q65))</f>
        <v/>
      </c>
      <c r="M65" s="25" t="str">
        <f>IF($Q65="","",INDEX(TRANSACTIONS_MASTER!$AA$5:$AA$1204,$Q65))</f>
        <v/>
      </c>
      <c r="N65" s="25" t="str">
        <f>IF($Q65="","",INDEX(TRANSACTIONS_MASTER!$R$5:$R$1204,$Q65))</f>
        <v/>
      </c>
      <c r="O65" s="28" t="str">
        <f>IF($Q65="","",INDEX(TRANSACTIONS_MASTER!$AB$5:$AB$1204,$Q65))</f>
        <v/>
      </c>
      <c r="P65" s="55" t="str">
        <f>IF($Q65="","",INDEX(TRANSACTIONS_MASTER!$Z$5:$Z$1204,$Q65)&amp;"")</f>
        <v/>
      </c>
      <c r="Q65" s="67" t="str">
        <f>IFERROR(MATCH($C$2&amp;"|"&amp;58,TRANSACTIONS_MASTER!$AE$5:$AE$1204,0),"")</f>
        <v/>
      </c>
      <c r="S65" s="67" t="n">
        <v>4</v>
      </c>
      <c r="T65" s="55" t="str">
        <f>IF(CARDS!$A8="","",CARDS!$A8)</f>
        <v>UOB-C</v>
      </c>
      <c r="U65" s="55" t="str">
        <f>IF($T65="","",CARDS!$B8&amp;" "&amp;CARDS!$C8)</f>
        <v>UOB Cashback Demo C</v>
      </c>
      <c r="V65" s="25">
        <f>IF($T65="","",SUMIFS(TRANSACTIONS_MASTER!$L$5:$L$1204,TRANSACTIONS_MASTER!$D$5:$D$1204,$T65,TRANSACTIONS_MASTER!$C$5:$C$1204,$C$2,TRANSACTIONS_MASTER!$U$5:$U$1204,"&lt;&gt;Cancelled"))</f>
        <v>0</v>
      </c>
      <c r="W65" s="26">
        <f>IF($T65="","",SUMIFS(TRANSACTIONS_MASTER!$Q$5:$Q$1204,TRANSACTIONS_MASTER!$D$5:$D$1204,$T65,TRANSACTIONS_MASTER!$C$5:$C$1204,$C$2))</f>
        <v>0</v>
      </c>
      <c r="X65" s="25" t="str">
        <f>IF($T65="","",IFERROR(IF(ISNUMBER(INDEX(CASHBACK_RULES!$K$5:$K$304,MATCH($T65,CASHBACK_RULES!$B$5:$B$304,0))),INDEX(CASHBACK_RULES!$K$5:$K$304,MATCH($T65,CASHBACK_RULES!$B$5:$B$304,0)),"∞"),"—"))</f>
        <v>∞</v>
      </c>
      <c r="Y65" s="25">
        <f>IF($T65="","",IF($X65="—","—",IF(COUNTIFS($T$8:$T$57,$T65,$Z$8:$Z$57,"∞")&gt;0,IF(ISNUMBER($X65),MAX(0,$X65-$W65),"∞"),IF(ISNUMBER($X65),MAX(0,MIN($X65-$W65,SUMIFS($Z$8:$Z$57,$T$8:$T$57,$T65))),SUMIFS($Z$8:$Z$57,$T$8:$T$57,$T65)))))</f>
        <v>1000000</v>
      </c>
      <c r="Z65" s="27">
        <f>IF($T65="","",IF(ISNUMBER($X65),IF($X65=0,0,$W65/$X65),IF(ISNUMBER($Y65),IF($W65+$Y65=0,0,$W65/($W65+$Y65)),"")))</f>
        <v>0</v>
      </c>
      <c r="AA65" s="29">
        <f>IF($T65="","",COUNTIFS(TRANSACTIONS_MASTER!$D$5:$D$1204,$T65,TRANSACTIONS_MASTER!$C$5:$C$1204,$C$2,TRANSACTIONS_MASTER!$U$5:$U$1204,"&lt;&gt;Cancelled"))</f>
        <v>0</v>
      </c>
    </row>
    <row r="66">
      <c r="A66" s="81" t="str">
        <f>IF($Q66="","",59)</f>
        <v/>
      </c>
      <c r="B66" s="57" t="str">
        <f>IF($Q66="","",INDEX(TRANSACTIONS_MASTER!$B$5:$B$1204,$Q66))</f>
        <v/>
      </c>
      <c r="C66" s="55" t="str">
        <f>IF($Q66="","",INDEX(TRANSACTIONS_MASTER!$F$5:$F$1204,$Q66))</f>
        <v/>
      </c>
      <c r="D66" s="55" t="str">
        <f>IF($Q66="","",INDEX(TRANSACTIONS_MASTER!$E$5:$E$1204,$Q66))</f>
        <v/>
      </c>
      <c r="E66" s="55" t="str">
        <f>IF($Q66="","",INDEX(TRANSACTIONS_MASTER!$G$5:$G$1204,$Q66)&amp;"")</f>
        <v/>
      </c>
      <c r="F66" s="29" t="str">
        <f>IF($Q66="","",INDEX(TRANSACTIONS_MASTER!$I$5:$I$1204,$Q66))</f>
        <v/>
      </c>
      <c r="G66" s="55" t="str">
        <f>IF($Q66="","",INDEX(TRANSACTIONS_MASTER!$K$5:$K$1204,$Q66))</f>
        <v/>
      </c>
      <c r="H66" s="25" t="str">
        <f>IF($Q66="","",INDEX(TRANSACTIONS_MASTER!$L$5:$L$1204,$Q66))</f>
        <v/>
      </c>
      <c r="I66" s="56" t="str">
        <f>IF($Q66="","",INDEX(TRANSACTIONS_MASTER!$N$5:$N$1204,$Q66))</f>
        <v/>
      </c>
      <c r="J66" s="25" t="str">
        <f>IF($Q66="","",INDEX(TRANSACTIONS_MASTER!$O$5:$O$1204,$Q66))</f>
        <v/>
      </c>
      <c r="K66" s="26" t="str">
        <f>IF($Q66="","",INDEX(TRANSACTIONS_MASTER!$Q$5:$Q$1204,$Q66))</f>
        <v/>
      </c>
      <c r="L66" s="25" t="str">
        <f>IF($Q66="","",INDEX(TRANSACTIONS_MASTER!$P$5:$P$1204,$Q66))</f>
        <v/>
      </c>
      <c r="M66" s="25" t="str">
        <f>IF($Q66="","",INDEX(TRANSACTIONS_MASTER!$AA$5:$AA$1204,$Q66))</f>
        <v/>
      </c>
      <c r="N66" s="25" t="str">
        <f>IF($Q66="","",INDEX(TRANSACTIONS_MASTER!$R$5:$R$1204,$Q66))</f>
        <v/>
      </c>
      <c r="O66" s="28" t="str">
        <f>IF($Q66="","",INDEX(TRANSACTIONS_MASTER!$AB$5:$AB$1204,$Q66))</f>
        <v/>
      </c>
      <c r="P66" s="55" t="str">
        <f>IF($Q66="","",INDEX(TRANSACTIONS_MASTER!$Z$5:$Z$1204,$Q66)&amp;"")</f>
        <v/>
      </c>
      <c r="Q66" s="67" t="str">
        <f>IFERROR(MATCH($C$2&amp;"|"&amp;59,TRANSACTIONS_MASTER!$AE$5:$AE$1204,0),"")</f>
        <v/>
      </c>
      <c r="S66" s="67" t="n">
        <v>5</v>
      </c>
      <c r="T66" s="55" t="str">
        <f>IF(CARDS!$A9="","",CARDS!$A9)</f>
        <v>MB-D</v>
      </c>
      <c r="U66" s="55" t="str">
        <f>IF($T66="","",CARDS!$B9&amp;" "&amp;CARDS!$C9)</f>
        <v>MB Cashback Demo D</v>
      </c>
      <c r="V66" s="25">
        <f>IF($T66="","",SUMIFS(TRANSACTIONS_MASTER!$L$5:$L$1204,TRANSACTIONS_MASTER!$D$5:$D$1204,$T66,TRANSACTIONS_MASTER!$C$5:$C$1204,$C$2,TRANSACTIONS_MASTER!$U$5:$U$1204,"&lt;&gt;Cancelled"))</f>
        <v>0</v>
      </c>
      <c r="W66" s="26">
        <f>IF($T66="","",SUMIFS(TRANSACTIONS_MASTER!$Q$5:$Q$1204,TRANSACTIONS_MASTER!$D$5:$D$1204,$T66,TRANSACTIONS_MASTER!$C$5:$C$1204,$C$2))</f>
        <v>0</v>
      </c>
      <c r="X66" s="25">
        <f>IF($T66="","",IFERROR(IF(ISNUMBER(INDEX(CASHBACK_RULES!$K$5:$K$304,MATCH($T66,CASHBACK_RULES!$B$5:$B$304,0))),INDEX(CASHBACK_RULES!$K$5:$K$304,MATCH($T66,CASHBACK_RULES!$B$5:$B$304,0)),"∞"),"—"))</f>
        <v>600000</v>
      </c>
      <c r="Y66" s="25">
        <f>IF($T66="","",IF($X66="—","—",IF(COUNTIFS($T$8:$T$57,$T66,$Z$8:$Z$57,"∞")&gt;0,IF(ISNUMBER($X66),MAX(0,$X66-$W66),"∞"),IF(ISNUMBER($X66),MAX(0,MIN($X66-$W66,SUMIFS($Z$8:$Z$57,$T$8:$T$57,$T66))),SUMIFS($Z$8:$Z$57,$T$8:$T$57,$T66)))))</f>
        <v>600000</v>
      </c>
      <c r="Z66" s="27">
        <f>IF($T66="","",IF(ISNUMBER($X66),IF($X66=0,0,$W66/$X66),IF(ISNUMBER($Y66),IF($W66+$Y66=0,0,$W66/($W66+$Y66)),"")))</f>
        <v>0</v>
      </c>
      <c r="AA66" s="29">
        <f>IF($T66="","",COUNTIFS(TRANSACTIONS_MASTER!$D$5:$D$1204,$T66,TRANSACTIONS_MASTER!$C$5:$C$1204,$C$2,TRANSACTIONS_MASTER!$U$5:$U$1204,"&lt;&gt;Cancelled"))</f>
        <v>0</v>
      </c>
    </row>
    <row r="67">
      <c r="A67" s="81" t="str">
        <f>IF($Q67="","",60)</f>
        <v/>
      </c>
      <c r="B67" s="57" t="str">
        <f>IF($Q67="","",INDEX(TRANSACTIONS_MASTER!$B$5:$B$1204,$Q67))</f>
        <v/>
      </c>
      <c r="C67" s="55" t="str">
        <f>IF($Q67="","",INDEX(TRANSACTIONS_MASTER!$F$5:$F$1204,$Q67))</f>
        <v/>
      </c>
      <c r="D67" s="55" t="str">
        <f>IF($Q67="","",INDEX(TRANSACTIONS_MASTER!$E$5:$E$1204,$Q67))</f>
        <v/>
      </c>
      <c r="E67" s="55" t="str">
        <f>IF($Q67="","",INDEX(TRANSACTIONS_MASTER!$G$5:$G$1204,$Q67)&amp;"")</f>
        <v/>
      </c>
      <c r="F67" s="29" t="str">
        <f>IF($Q67="","",INDEX(TRANSACTIONS_MASTER!$I$5:$I$1204,$Q67))</f>
        <v/>
      </c>
      <c r="G67" s="55" t="str">
        <f>IF($Q67="","",INDEX(TRANSACTIONS_MASTER!$K$5:$K$1204,$Q67))</f>
        <v/>
      </c>
      <c r="H67" s="25" t="str">
        <f>IF($Q67="","",INDEX(TRANSACTIONS_MASTER!$L$5:$L$1204,$Q67))</f>
        <v/>
      </c>
      <c r="I67" s="56" t="str">
        <f>IF($Q67="","",INDEX(TRANSACTIONS_MASTER!$N$5:$N$1204,$Q67))</f>
        <v/>
      </c>
      <c r="J67" s="25" t="str">
        <f>IF($Q67="","",INDEX(TRANSACTIONS_MASTER!$O$5:$O$1204,$Q67))</f>
        <v/>
      </c>
      <c r="K67" s="26" t="str">
        <f>IF($Q67="","",INDEX(TRANSACTIONS_MASTER!$Q$5:$Q$1204,$Q67))</f>
        <v/>
      </c>
      <c r="L67" s="25" t="str">
        <f>IF($Q67="","",INDEX(TRANSACTIONS_MASTER!$P$5:$P$1204,$Q67))</f>
        <v/>
      </c>
      <c r="M67" s="25" t="str">
        <f>IF($Q67="","",INDEX(TRANSACTIONS_MASTER!$AA$5:$AA$1204,$Q67))</f>
        <v/>
      </c>
      <c r="N67" s="25" t="str">
        <f>IF($Q67="","",INDEX(TRANSACTIONS_MASTER!$R$5:$R$1204,$Q67))</f>
        <v/>
      </c>
      <c r="O67" s="28" t="str">
        <f>IF($Q67="","",INDEX(TRANSACTIONS_MASTER!$AB$5:$AB$1204,$Q67))</f>
        <v/>
      </c>
      <c r="P67" s="55" t="str">
        <f>IF($Q67="","",INDEX(TRANSACTIONS_MASTER!$Z$5:$Z$1204,$Q67)&amp;"")</f>
        <v/>
      </c>
      <c r="Q67" s="67" t="str">
        <f>IFERROR(MATCH($C$2&amp;"|"&amp;60,TRANSACTIONS_MASTER!$AE$5:$AE$1204,0),"")</f>
        <v/>
      </c>
      <c r="S67" s="67" t="n">
        <v>6</v>
      </c>
      <c r="T67" s="55" t="str">
        <f>IF(CARDS!$A10="","",CARDS!$A10)</f>
        <v>ACB-E</v>
      </c>
      <c r="U67" s="55" t="str">
        <f>IF($T67="","",CARDS!$B10&amp;" "&amp;CARDS!$C10)</f>
        <v>ACB Demo E (không cashback)</v>
      </c>
      <c r="V67" s="25">
        <f>IF($T67="","",SUMIFS(TRANSACTIONS_MASTER!$L$5:$L$1204,TRANSACTIONS_MASTER!$D$5:$D$1204,$T67,TRANSACTIONS_MASTER!$C$5:$C$1204,$C$2,TRANSACTIONS_MASTER!$U$5:$U$1204,"&lt;&gt;Cancelled"))</f>
        <v>0</v>
      </c>
      <c r="W67" s="26">
        <f>IF($T67="","",SUMIFS(TRANSACTIONS_MASTER!$Q$5:$Q$1204,TRANSACTIONS_MASTER!$D$5:$D$1204,$T67,TRANSACTIONS_MASTER!$C$5:$C$1204,$C$2))</f>
        <v>0</v>
      </c>
      <c r="X67" s="25" t="str">
        <f>IF($T67="","",IFERROR(IF(ISNUMBER(INDEX(CASHBACK_RULES!$K$5:$K$304,MATCH($T67,CASHBACK_RULES!$B$5:$B$304,0))),INDEX(CASHBACK_RULES!$K$5:$K$304,MATCH($T67,CASHBACK_RULES!$B$5:$B$304,0)),"∞"),"—"))</f>
        <v>∞</v>
      </c>
      <c r="Y67" s="25">
        <f>IF($T67="","",IF($X67="—","—",IF(COUNTIFS($T$8:$T$57,$T67,$Z$8:$Z$57,"∞")&gt;0,IF(ISNUMBER($X67),MAX(0,$X67-$W67),"∞"),IF(ISNUMBER($X67),MAX(0,MIN($X67-$W67,SUMIFS($Z$8:$Z$57,$T$8:$T$57,$T67))),SUMIFS($Z$8:$Z$57,$T$8:$T$57,$T67)))))</f>
        <v>0</v>
      </c>
      <c r="Z67" s="27">
        <f>IF($T67="","",IF(ISNUMBER($X67),IF($X67=0,0,$W67/$X67),IF(ISNUMBER($Y67),IF($W67+$Y67=0,0,$W67/($W67+$Y67)),"")))</f>
        <v>0</v>
      </c>
      <c r="AA67" s="29">
        <f>IF($T67="","",COUNTIFS(TRANSACTIONS_MASTER!$D$5:$D$1204,$T67,TRANSACTIONS_MASTER!$C$5:$C$1204,$C$2,TRANSACTIONS_MASTER!$U$5:$U$1204,"&lt;&gt;Cancelled"))</f>
        <v>0</v>
      </c>
    </row>
    <row r="68">
      <c r="A68" s="81" t="str">
        <f>IF($Q68="","",61)</f>
        <v/>
      </c>
      <c r="B68" s="57" t="str">
        <f>IF($Q68="","",INDEX(TRANSACTIONS_MASTER!$B$5:$B$1204,$Q68))</f>
        <v/>
      </c>
      <c r="C68" s="55" t="str">
        <f>IF($Q68="","",INDEX(TRANSACTIONS_MASTER!$F$5:$F$1204,$Q68))</f>
        <v/>
      </c>
      <c r="D68" s="55" t="str">
        <f>IF($Q68="","",INDEX(TRANSACTIONS_MASTER!$E$5:$E$1204,$Q68))</f>
        <v/>
      </c>
      <c r="E68" s="55" t="str">
        <f>IF($Q68="","",INDEX(TRANSACTIONS_MASTER!$G$5:$G$1204,$Q68)&amp;"")</f>
        <v/>
      </c>
      <c r="F68" s="29" t="str">
        <f>IF($Q68="","",INDEX(TRANSACTIONS_MASTER!$I$5:$I$1204,$Q68))</f>
        <v/>
      </c>
      <c r="G68" s="55" t="str">
        <f>IF($Q68="","",INDEX(TRANSACTIONS_MASTER!$K$5:$K$1204,$Q68))</f>
        <v/>
      </c>
      <c r="H68" s="25" t="str">
        <f>IF($Q68="","",INDEX(TRANSACTIONS_MASTER!$L$5:$L$1204,$Q68))</f>
        <v/>
      </c>
      <c r="I68" s="56" t="str">
        <f>IF($Q68="","",INDEX(TRANSACTIONS_MASTER!$N$5:$N$1204,$Q68))</f>
        <v/>
      </c>
      <c r="J68" s="25" t="str">
        <f>IF($Q68="","",INDEX(TRANSACTIONS_MASTER!$O$5:$O$1204,$Q68))</f>
        <v/>
      </c>
      <c r="K68" s="26" t="str">
        <f>IF($Q68="","",INDEX(TRANSACTIONS_MASTER!$Q$5:$Q$1204,$Q68))</f>
        <v/>
      </c>
      <c r="L68" s="25" t="str">
        <f>IF($Q68="","",INDEX(TRANSACTIONS_MASTER!$P$5:$P$1204,$Q68))</f>
        <v/>
      </c>
      <c r="M68" s="25" t="str">
        <f>IF($Q68="","",INDEX(TRANSACTIONS_MASTER!$AA$5:$AA$1204,$Q68))</f>
        <v/>
      </c>
      <c r="N68" s="25" t="str">
        <f>IF($Q68="","",INDEX(TRANSACTIONS_MASTER!$R$5:$R$1204,$Q68))</f>
        <v/>
      </c>
      <c r="O68" s="28" t="str">
        <f>IF($Q68="","",INDEX(TRANSACTIONS_MASTER!$AB$5:$AB$1204,$Q68))</f>
        <v/>
      </c>
      <c r="P68" s="55" t="str">
        <f>IF($Q68="","",INDEX(TRANSACTIONS_MASTER!$Z$5:$Z$1204,$Q68)&amp;"")</f>
        <v/>
      </c>
      <c r="Q68" s="67" t="str">
        <f>IFERROR(MATCH($C$2&amp;"|"&amp;61,TRANSACTIONS_MASTER!$AE$5:$AE$1204,0),"")</f>
        <v/>
      </c>
      <c r="S68" s="67" t="n">
        <v>7</v>
      </c>
      <c r="T68" s="55" t="str">
        <f>IF(CARDS!$A11="","",CARDS!$A11)</f>
        <v/>
      </c>
      <c r="U68" s="55" t="str">
        <f>IF($T68="","",CARDS!$B11&amp;" "&amp;CARDS!$C11)</f>
        <v/>
      </c>
      <c r="V68" s="25" t="str">
        <f>IF($T68="","",SUMIFS(TRANSACTIONS_MASTER!$L$5:$L$1204,TRANSACTIONS_MASTER!$D$5:$D$1204,$T68,TRANSACTIONS_MASTER!$C$5:$C$1204,$C$2,TRANSACTIONS_MASTER!$U$5:$U$1204,"&lt;&gt;Cancelled"))</f>
        <v/>
      </c>
      <c r="W68" s="26" t="str">
        <f>IF($T68="","",SUMIFS(TRANSACTIONS_MASTER!$Q$5:$Q$1204,TRANSACTIONS_MASTER!$D$5:$D$1204,$T68,TRANSACTIONS_MASTER!$C$5:$C$1204,$C$2))</f>
        <v/>
      </c>
      <c r="X68" s="25" t="str">
        <f>IF($T68="","",IFERROR(IF(ISNUMBER(INDEX(CASHBACK_RULES!$K$5:$K$304,MATCH($T68,CASHBACK_RULES!$B$5:$B$304,0))),INDEX(CASHBACK_RULES!$K$5:$K$304,MATCH($T68,CASHBACK_RULES!$B$5:$B$304,0)),"∞"),"—"))</f>
        <v/>
      </c>
      <c r="Y68" s="25" t="str">
        <f>IF($T68="","",IF($X68="—","—",IF(COUNTIFS($T$8:$T$57,$T68,$Z$8:$Z$57,"∞")&gt;0,IF(ISNUMBER($X68),MAX(0,$X68-$W68),"∞"),IF(ISNUMBER($X68),MAX(0,MIN($X68-$W68,SUMIFS($Z$8:$Z$57,$T$8:$T$57,$T68))),SUMIFS($Z$8:$Z$57,$T$8:$T$57,$T68)))))</f>
        <v/>
      </c>
      <c r="Z68" s="27" t="str">
        <f>IF($T68="","",IF(ISNUMBER($X68),IF($X68=0,0,$W68/$X68),IF(ISNUMBER($Y68),IF($W68+$Y68=0,0,$W68/($W68+$Y68)),"")))</f>
        <v/>
      </c>
      <c r="AA68" s="29" t="str">
        <f>IF($T68="","",COUNTIFS(TRANSACTIONS_MASTER!$D$5:$D$1204,$T68,TRANSACTIONS_MASTER!$C$5:$C$1204,$C$2,TRANSACTIONS_MASTER!$U$5:$U$1204,"&lt;&gt;Cancelled"))</f>
        <v/>
      </c>
    </row>
    <row r="69">
      <c r="A69" s="81" t="str">
        <f>IF($Q69="","",62)</f>
        <v/>
      </c>
      <c r="B69" s="57" t="str">
        <f>IF($Q69="","",INDEX(TRANSACTIONS_MASTER!$B$5:$B$1204,$Q69))</f>
        <v/>
      </c>
      <c r="C69" s="55" t="str">
        <f>IF($Q69="","",INDEX(TRANSACTIONS_MASTER!$F$5:$F$1204,$Q69))</f>
        <v/>
      </c>
      <c r="D69" s="55" t="str">
        <f>IF($Q69="","",INDEX(TRANSACTIONS_MASTER!$E$5:$E$1204,$Q69))</f>
        <v/>
      </c>
      <c r="E69" s="55" t="str">
        <f>IF($Q69="","",INDEX(TRANSACTIONS_MASTER!$G$5:$G$1204,$Q69)&amp;"")</f>
        <v/>
      </c>
      <c r="F69" s="29" t="str">
        <f>IF($Q69="","",INDEX(TRANSACTIONS_MASTER!$I$5:$I$1204,$Q69))</f>
        <v/>
      </c>
      <c r="G69" s="55" t="str">
        <f>IF($Q69="","",INDEX(TRANSACTIONS_MASTER!$K$5:$K$1204,$Q69))</f>
        <v/>
      </c>
      <c r="H69" s="25" t="str">
        <f>IF($Q69="","",INDEX(TRANSACTIONS_MASTER!$L$5:$L$1204,$Q69))</f>
        <v/>
      </c>
      <c r="I69" s="56" t="str">
        <f>IF($Q69="","",INDEX(TRANSACTIONS_MASTER!$N$5:$N$1204,$Q69))</f>
        <v/>
      </c>
      <c r="J69" s="25" t="str">
        <f>IF($Q69="","",INDEX(TRANSACTIONS_MASTER!$O$5:$O$1204,$Q69))</f>
        <v/>
      </c>
      <c r="K69" s="26" t="str">
        <f>IF($Q69="","",INDEX(TRANSACTIONS_MASTER!$Q$5:$Q$1204,$Q69))</f>
        <v/>
      </c>
      <c r="L69" s="25" t="str">
        <f>IF($Q69="","",INDEX(TRANSACTIONS_MASTER!$P$5:$P$1204,$Q69))</f>
        <v/>
      </c>
      <c r="M69" s="25" t="str">
        <f>IF($Q69="","",INDEX(TRANSACTIONS_MASTER!$AA$5:$AA$1204,$Q69))</f>
        <v/>
      </c>
      <c r="N69" s="25" t="str">
        <f>IF($Q69="","",INDEX(TRANSACTIONS_MASTER!$R$5:$R$1204,$Q69))</f>
        <v/>
      </c>
      <c r="O69" s="28" t="str">
        <f>IF($Q69="","",INDEX(TRANSACTIONS_MASTER!$AB$5:$AB$1204,$Q69))</f>
        <v/>
      </c>
      <c r="P69" s="55" t="str">
        <f>IF($Q69="","",INDEX(TRANSACTIONS_MASTER!$Z$5:$Z$1204,$Q69)&amp;"")</f>
        <v/>
      </c>
      <c r="Q69" s="67" t="str">
        <f>IFERROR(MATCH($C$2&amp;"|"&amp;62,TRANSACTIONS_MASTER!$AE$5:$AE$1204,0),"")</f>
        <v/>
      </c>
      <c r="S69" s="67" t="n">
        <v>8</v>
      </c>
      <c r="T69" s="55" t="str">
        <f>IF(CARDS!$A12="","",CARDS!$A12)</f>
        <v/>
      </c>
      <c r="U69" s="55" t="str">
        <f>IF($T69="","",CARDS!$B12&amp;" "&amp;CARDS!$C12)</f>
        <v/>
      </c>
      <c r="V69" s="25" t="str">
        <f>IF($T69="","",SUMIFS(TRANSACTIONS_MASTER!$L$5:$L$1204,TRANSACTIONS_MASTER!$D$5:$D$1204,$T69,TRANSACTIONS_MASTER!$C$5:$C$1204,$C$2,TRANSACTIONS_MASTER!$U$5:$U$1204,"&lt;&gt;Cancelled"))</f>
        <v/>
      </c>
      <c r="W69" s="26" t="str">
        <f>IF($T69="","",SUMIFS(TRANSACTIONS_MASTER!$Q$5:$Q$1204,TRANSACTIONS_MASTER!$D$5:$D$1204,$T69,TRANSACTIONS_MASTER!$C$5:$C$1204,$C$2))</f>
        <v/>
      </c>
      <c r="X69" s="25" t="str">
        <f>IF($T69="","",IFERROR(IF(ISNUMBER(INDEX(CASHBACK_RULES!$K$5:$K$304,MATCH($T69,CASHBACK_RULES!$B$5:$B$304,0))),INDEX(CASHBACK_RULES!$K$5:$K$304,MATCH($T69,CASHBACK_RULES!$B$5:$B$304,0)),"∞"),"—"))</f>
        <v/>
      </c>
      <c r="Y69" s="25" t="str">
        <f>IF($T69="","",IF($X69="—","—",IF(COUNTIFS($T$8:$T$57,$T69,$Z$8:$Z$57,"∞")&gt;0,IF(ISNUMBER($X69),MAX(0,$X69-$W69),"∞"),IF(ISNUMBER($X69),MAX(0,MIN($X69-$W69,SUMIFS($Z$8:$Z$57,$T$8:$T$57,$T69))),SUMIFS($Z$8:$Z$57,$T$8:$T$57,$T69)))))</f>
        <v/>
      </c>
      <c r="Z69" s="27" t="str">
        <f>IF($T69="","",IF(ISNUMBER($X69),IF($X69=0,0,$W69/$X69),IF(ISNUMBER($Y69),IF($W69+$Y69=0,0,$W69/($W69+$Y69)),"")))</f>
        <v/>
      </c>
      <c r="AA69" s="29" t="str">
        <f>IF($T69="","",COUNTIFS(TRANSACTIONS_MASTER!$D$5:$D$1204,$T69,TRANSACTIONS_MASTER!$C$5:$C$1204,$C$2,TRANSACTIONS_MASTER!$U$5:$U$1204,"&lt;&gt;Cancelled"))</f>
        <v/>
      </c>
    </row>
    <row r="70">
      <c r="A70" s="81" t="str">
        <f>IF($Q70="","",63)</f>
        <v/>
      </c>
      <c r="B70" s="57" t="str">
        <f>IF($Q70="","",INDEX(TRANSACTIONS_MASTER!$B$5:$B$1204,$Q70))</f>
        <v/>
      </c>
      <c r="C70" s="55" t="str">
        <f>IF($Q70="","",INDEX(TRANSACTIONS_MASTER!$F$5:$F$1204,$Q70))</f>
        <v/>
      </c>
      <c r="D70" s="55" t="str">
        <f>IF($Q70="","",INDEX(TRANSACTIONS_MASTER!$E$5:$E$1204,$Q70))</f>
        <v/>
      </c>
      <c r="E70" s="55" t="str">
        <f>IF($Q70="","",INDEX(TRANSACTIONS_MASTER!$G$5:$G$1204,$Q70)&amp;"")</f>
        <v/>
      </c>
      <c r="F70" s="29" t="str">
        <f>IF($Q70="","",INDEX(TRANSACTIONS_MASTER!$I$5:$I$1204,$Q70))</f>
        <v/>
      </c>
      <c r="G70" s="55" t="str">
        <f>IF($Q70="","",INDEX(TRANSACTIONS_MASTER!$K$5:$K$1204,$Q70))</f>
        <v/>
      </c>
      <c r="H70" s="25" t="str">
        <f>IF($Q70="","",INDEX(TRANSACTIONS_MASTER!$L$5:$L$1204,$Q70))</f>
        <v/>
      </c>
      <c r="I70" s="56" t="str">
        <f>IF($Q70="","",INDEX(TRANSACTIONS_MASTER!$N$5:$N$1204,$Q70))</f>
        <v/>
      </c>
      <c r="J70" s="25" t="str">
        <f>IF($Q70="","",INDEX(TRANSACTIONS_MASTER!$O$5:$O$1204,$Q70))</f>
        <v/>
      </c>
      <c r="K70" s="26" t="str">
        <f>IF($Q70="","",INDEX(TRANSACTIONS_MASTER!$Q$5:$Q$1204,$Q70))</f>
        <v/>
      </c>
      <c r="L70" s="25" t="str">
        <f>IF($Q70="","",INDEX(TRANSACTIONS_MASTER!$P$5:$P$1204,$Q70))</f>
        <v/>
      </c>
      <c r="M70" s="25" t="str">
        <f>IF($Q70="","",INDEX(TRANSACTIONS_MASTER!$AA$5:$AA$1204,$Q70))</f>
        <v/>
      </c>
      <c r="N70" s="25" t="str">
        <f>IF($Q70="","",INDEX(TRANSACTIONS_MASTER!$R$5:$R$1204,$Q70))</f>
        <v/>
      </c>
      <c r="O70" s="28" t="str">
        <f>IF($Q70="","",INDEX(TRANSACTIONS_MASTER!$AB$5:$AB$1204,$Q70))</f>
        <v/>
      </c>
      <c r="P70" s="55" t="str">
        <f>IF($Q70="","",INDEX(TRANSACTIONS_MASTER!$Z$5:$Z$1204,$Q70)&amp;"")</f>
        <v/>
      </c>
      <c r="Q70" s="67" t="str">
        <f>IFERROR(MATCH($C$2&amp;"|"&amp;63,TRANSACTIONS_MASTER!$AE$5:$AE$1204,0),"")</f>
        <v/>
      </c>
      <c r="S70" s="67" t="n">
        <v>9</v>
      </c>
      <c r="T70" s="55" t="str">
        <f>IF(CARDS!$A13="","",CARDS!$A13)</f>
        <v/>
      </c>
      <c r="U70" s="55" t="str">
        <f>IF($T70="","",CARDS!$B13&amp;" "&amp;CARDS!$C13)</f>
        <v/>
      </c>
      <c r="V70" s="25" t="str">
        <f>IF($T70="","",SUMIFS(TRANSACTIONS_MASTER!$L$5:$L$1204,TRANSACTIONS_MASTER!$D$5:$D$1204,$T70,TRANSACTIONS_MASTER!$C$5:$C$1204,$C$2,TRANSACTIONS_MASTER!$U$5:$U$1204,"&lt;&gt;Cancelled"))</f>
        <v/>
      </c>
      <c r="W70" s="26" t="str">
        <f>IF($T70="","",SUMIFS(TRANSACTIONS_MASTER!$Q$5:$Q$1204,TRANSACTIONS_MASTER!$D$5:$D$1204,$T70,TRANSACTIONS_MASTER!$C$5:$C$1204,$C$2))</f>
        <v/>
      </c>
      <c r="X70" s="25" t="str">
        <f>IF($T70="","",IFERROR(IF(ISNUMBER(INDEX(CASHBACK_RULES!$K$5:$K$304,MATCH($T70,CASHBACK_RULES!$B$5:$B$304,0))),INDEX(CASHBACK_RULES!$K$5:$K$304,MATCH($T70,CASHBACK_RULES!$B$5:$B$304,0)),"∞"),"—"))</f>
        <v/>
      </c>
      <c r="Y70" s="25" t="str">
        <f>IF($T70="","",IF($X70="—","—",IF(COUNTIFS($T$8:$T$57,$T70,$Z$8:$Z$57,"∞")&gt;0,IF(ISNUMBER($X70),MAX(0,$X70-$W70),"∞"),IF(ISNUMBER($X70),MAX(0,MIN($X70-$W70,SUMIFS($Z$8:$Z$57,$T$8:$T$57,$T70))),SUMIFS($Z$8:$Z$57,$T$8:$T$57,$T70)))))</f>
        <v/>
      </c>
      <c r="Z70" s="27" t="str">
        <f>IF($T70="","",IF(ISNUMBER($X70),IF($X70=0,0,$W70/$X70),IF(ISNUMBER($Y70),IF($W70+$Y70=0,0,$W70/($W70+$Y70)),"")))</f>
        <v/>
      </c>
      <c r="AA70" s="29" t="str">
        <f>IF($T70="","",COUNTIFS(TRANSACTIONS_MASTER!$D$5:$D$1204,$T70,TRANSACTIONS_MASTER!$C$5:$C$1204,$C$2,TRANSACTIONS_MASTER!$U$5:$U$1204,"&lt;&gt;Cancelled"))</f>
        <v/>
      </c>
    </row>
    <row r="71">
      <c r="A71" s="81" t="str">
        <f>IF($Q71="","",64)</f>
        <v/>
      </c>
      <c r="B71" s="57" t="str">
        <f>IF($Q71="","",INDEX(TRANSACTIONS_MASTER!$B$5:$B$1204,$Q71))</f>
        <v/>
      </c>
      <c r="C71" s="55" t="str">
        <f>IF($Q71="","",INDEX(TRANSACTIONS_MASTER!$F$5:$F$1204,$Q71))</f>
        <v/>
      </c>
      <c r="D71" s="55" t="str">
        <f>IF($Q71="","",INDEX(TRANSACTIONS_MASTER!$E$5:$E$1204,$Q71))</f>
        <v/>
      </c>
      <c r="E71" s="55" t="str">
        <f>IF($Q71="","",INDEX(TRANSACTIONS_MASTER!$G$5:$G$1204,$Q71)&amp;"")</f>
        <v/>
      </c>
      <c r="F71" s="29" t="str">
        <f>IF($Q71="","",INDEX(TRANSACTIONS_MASTER!$I$5:$I$1204,$Q71))</f>
        <v/>
      </c>
      <c r="G71" s="55" t="str">
        <f>IF($Q71="","",INDEX(TRANSACTIONS_MASTER!$K$5:$K$1204,$Q71))</f>
        <v/>
      </c>
      <c r="H71" s="25" t="str">
        <f>IF($Q71="","",INDEX(TRANSACTIONS_MASTER!$L$5:$L$1204,$Q71))</f>
        <v/>
      </c>
      <c r="I71" s="56" t="str">
        <f>IF($Q71="","",INDEX(TRANSACTIONS_MASTER!$N$5:$N$1204,$Q71))</f>
        <v/>
      </c>
      <c r="J71" s="25" t="str">
        <f>IF($Q71="","",INDEX(TRANSACTIONS_MASTER!$O$5:$O$1204,$Q71))</f>
        <v/>
      </c>
      <c r="K71" s="26" t="str">
        <f>IF($Q71="","",INDEX(TRANSACTIONS_MASTER!$Q$5:$Q$1204,$Q71))</f>
        <v/>
      </c>
      <c r="L71" s="25" t="str">
        <f>IF($Q71="","",INDEX(TRANSACTIONS_MASTER!$P$5:$P$1204,$Q71))</f>
        <v/>
      </c>
      <c r="M71" s="25" t="str">
        <f>IF($Q71="","",INDEX(TRANSACTIONS_MASTER!$AA$5:$AA$1204,$Q71))</f>
        <v/>
      </c>
      <c r="N71" s="25" t="str">
        <f>IF($Q71="","",INDEX(TRANSACTIONS_MASTER!$R$5:$R$1204,$Q71))</f>
        <v/>
      </c>
      <c r="O71" s="28" t="str">
        <f>IF($Q71="","",INDEX(TRANSACTIONS_MASTER!$AB$5:$AB$1204,$Q71))</f>
        <v/>
      </c>
      <c r="P71" s="55" t="str">
        <f>IF($Q71="","",INDEX(TRANSACTIONS_MASTER!$Z$5:$Z$1204,$Q71)&amp;"")</f>
        <v/>
      </c>
      <c r="Q71" s="67" t="str">
        <f>IFERROR(MATCH($C$2&amp;"|"&amp;64,TRANSACTIONS_MASTER!$AE$5:$AE$1204,0),"")</f>
        <v/>
      </c>
      <c r="S71" s="67" t="n">
        <v>10</v>
      </c>
      <c r="T71" s="55" t="str">
        <f>IF(CARDS!$A14="","",CARDS!$A14)</f>
        <v/>
      </c>
      <c r="U71" s="55" t="str">
        <f>IF($T71="","",CARDS!$B14&amp;" "&amp;CARDS!$C14)</f>
        <v/>
      </c>
      <c r="V71" s="25" t="str">
        <f>IF($T71="","",SUMIFS(TRANSACTIONS_MASTER!$L$5:$L$1204,TRANSACTIONS_MASTER!$D$5:$D$1204,$T71,TRANSACTIONS_MASTER!$C$5:$C$1204,$C$2,TRANSACTIONS_MASTER!$U$5:$U$1204,"&lt;&gt;Cancelled"))</f>
        <v/>
      </c>
      <c r="W71" s="26" t="str">
        <f>IF($T71="","",SUMIFS(TRANSACTIONS_MASTER!$Q$5:$Q$1204,TRANSACTIONS_MASTER!$D$5:$D$1204,$T71,TRANSACTIONS_MASTER!$C$5:$C$1204,$C$2))</f>
        <v/>
      </c>
      <c r="X71" s="25" t="str">
        <f>IF($T71="","",IFERROR(IF(ISNUMBER(INDEX(CASHBACK_RULES!$K$5:$K$304,MATCH($T71,CASHBACK_RULES!$B$5:$B$304,0))),INDEX(CASHBACK_RULES!$K$5:$K$304,MATCH($T71,CASHBACK_RULES!$B$5:$B$304,0)),"∞"),"—"))</f>
        <v/>
      </c>
      <c r="Y71" s="25" t="str">
        <f>IF($T71="","",IF($X71="—","—",IF(COUNTIFS($T$8:$T$57,$T71,$Z$8:$Z$57,"∞")&gt;0,IF(ISNUMBER($X71),MAX(0,$X71-$W71),"∞"),IF(ISNUMBER($X71),MAX(0,MIN($X71-$W71,SUMIFS($Z$8:$Z$57,$T$8:$T$57,$T71))),SUMIFS($Z$8:$Z$57,$T$8:$T$57,$T71)))))</f>
        <v/>
      </c>
      <c r="Z71" s="27" t="str">
        <f>IF($T71="","",IF(ISNUMBER($X71),IF($X71=0,0,$W71/$X71),IF(ISNUMBER($Y71),IF($W71+$Y71=0,0,$W71/($W71+$Y71)),"")))</f>
        <v/>
      </c>
      <c r="AA71" s="29" t="str">
        <f>IF($T71="","",COUNTIFS(TRANSACTIONS_MASTER!$D$5:$D$1204,$T71,TRANSACTIONS_MASTER!$C$5:$C$1204,$C$2,TRANSACTIONS_MASTER!$U$5:$U$1204,"&lt;&gt;Cancelled"))</f>
        <v/>
      </c>
    </row>
    <row r="72">
      <c r="A72" s="81" t="str">
        <f>IF($Q72="","",65)</f>
        <v/>
      </c>
      <c r="B72" s="57" t="str">
        <f>IF($Q72="","",INDEX(TRANSACTIONS_MASTER!$B$5:$B$1204,$Q72))</f>
        <v/>
      </c>
      <c r="C72" s="55" t="str">
        <f>IF($Q72="","",INDEX(TRANSACTIONS_MASTER!$F$5:$F$1204,$Q72))</f>
        <v/>
      </c>
      <c r="D72" s="55" t="str">
        <f>IF($Q72="","",INDEX(TRANSACTIONS_MASTER!$E$5:$E$1204,$Q72))</f>
        <v/>
      </c>
      <c r="E72" s="55" t="str">
        <f>IF($Q72="","",INDEX(TRANSACTIONS_MASTER!$G$5:$G$1204,$Q72)&amp;"")</f>
        <v/>
      </c>
      <c r="F72" s="29" t="str">
        <f>IF($Q72="","",INDEX(TRANSACTIONS_MASTER!$I$5:$I$1204,$Q72))</f>
        <v/>
      </c>
      <c r="G72" s="55" t="str">
        <f>IF($Q72="","",INDEX(TRANSACTIONS_MASTER!$K$5:$K$1204,$Q72))</f>
        <v/>
      </c>
      <c r="H72" s="25" t="str">
        <f>IF($Q72="","",INDEX(TRANSACTIONS_MASTER!$L$5:$L$1204,$Q72))</f>
        <v/>
      </c>
      <c r="I72" s="56" t="str">
        <f>IF($Q72="","",INDEX(TRANSACTIONS_MASTER!$N$5:$N$1204,$Q72))</f>
        <v/>
      </c>
      <c r="J72" s="25" t="str">
        <f>IF($Q72="","",INDEX(TRANSACTIONS_MASTER!$O$5:$O$1204,$Q72))</f>
        <v/>
      </c>
      <c r="K72" s="26" t="str">
        <f>IF($Q72="","",INDEX(TRANSACTIONS_MASTER!$Q$5:$Q$1204,$Q72))</f>
        <v/>
      </c>
      <c r="L72" s="25" t="str">
        <f>IF($Q72="","",INDEX(TRANSACTIONS_MASTER!$P$5:$P$1204,$Q72))</f>
        <v/>
      </c>
      <c r="M72" s="25" t="str">
        <f>IF($Q72="","",INDEX(TRANSACTIONS_MASTER!$AA$5:$AA$1204,$Q72))</f>
        <v/>
      </c>
      <c r="N72" s="25" t="str">
        <f>IF($Q72="","",INDEX(TRANSACTIONS_MASTER!$R$5:$R$1204,$Q72))</f>
        <v/>
      </c>
      <c r="O72" s="28" t="str">
        <f>IF($Q72="","",INDEX(TRANSACTIONS_MASTER!$AB$5:$AB$1204,$Q72))</f>
        <v/>
      </c>
      <c r="P72" s="55" t="str">
        <f>IF($Q72="","",INDEX(TRANSACTIONS_MASTER!$Z$5:$Z$1204,$Q72)&amp;"")</f>
        <v/>
      </c>
      <c r="Q72" s="67" t="str">
        <f>IFERROR(MATCH($C$2&amp;"|"&amp;65,TRANSACTIONS_MASTER!$AE$5:$AE$1204,0),"")</f>
        <v/>
      </c>
      <c r="S72" s="67" t="n">
        <v>11</v>
      </c>
      <c r="T72" s="55" t="str">
        <f>IF(CARDS!$A15="","",CARDS!$A15)</f>
        <v/>
      </c>
      <c r="U72" s="55" t="str">
        <f>IF($T72="","",CARDS!$B15&amp;" "&amp;CARDS!$C15)</f>
        <v/>
      </c>
      <c r="V72" s="25" t="str">
        <f>IF($T72="","",SUMIFS(TRANSACTIONS_MASTER!$L$5:$L$1204,TRANSACTIONS_MASTER!$D$5:$D$1204,$T72,TRANSACTIONS_MASTER!$C$5:$C$1204,$C$2,TRANSACTIONS_MASTER!$U$5:$U$1204,"&lt;&gt;Cancelled"))</f>
        <v/>
      </c>
      <c r="W72" s="26" t="str">
        <f>IF($T72="","",SUMIFS(TRANSACTIONS_MASTER!$Q$5:$Q$1204,TRANSACTIONS_MASTER!$D$5:$D$1204,$T72,TRANSACTIONS_MASTER!$C$5:$C$1204,$C$2))</f>
        <v/>
      </c>
      <c r="X72" s="25" t="str">
        <f>IF($T72="","",IFERROR(IF(ISNUMBER(INDEX(CASHBACK_RULES!$K$5:$K$304,MATCH($T72,CASHBACK_RULES!$B$5:$B$304,0))),INDEX(CASHBACK_RULES!$K$5:$K$304,MATCH($T72,CASHBACK_RULES!$B$5:$B$304,0)),"∞"),"—"))</f>
        <v/>
      </c>
      <c r="Y72" s="25" t="str">
        <f>IF($T72="","",IF($X72="—","—",IF(COUNTIFS($T$8:$T$57,$T72,$Z$8:$Z$57,"∞")&gt;0,IF(ISNUMBER($X72),MAX(0,$X72-$W72),"∞"),IF(ISNUMBER($X72),MAX(0,MIN($X72-$W72,SUMIFS($Z$8:$Z$57,$T$8:$T$57,$T72))),SUMIFS($Z$8:$Z$57,$T$8:$T$57,$T72)))))</f>
        <v/>
      </c>
      <c r="Z72" s="27" t="str">
        <f>IF($T72="","",IF(ISNUMBER($X72),IF($X72=0,0,$W72/$X72),IF(ISNUMBER($Y72),IF($W72+$Y72=0,0,$W72/($W72+$Y72)),"")))</f>
        <v/>
      </c>
      <c r="AA72" s="29" t="str">
        <f>IF($T72="","",COUNTIFS(TRANSACTIONS_MASTER!$D$5:$D$1204,$T72,TRANSACTIONS_MASTER!$C$5:$C$1204,$C$2,TRANSACTIONS_MASTER!$U$5:$U$1204,"&lt;&gt;Cancelled"))</f>
        <v/>
      </c>
    </row>
    <row r="73">
      <c r="A73" s="81" t="str">
        <f>IF($Q73="","",66)</f>
        <v/>
      </c>
      <c r="B73" s="57" t="str">
        <f>IF($Q73="","",INDEX(TRANSACTIONS_MASTER!$B$5:$B$1204,$Q73))</f>
        <v/>
      </c>
      <c r="C73" s="55" t="str">
        <f>IF($Q73="","",INDEX(TRANSACTIONS_MASTER!$F$5:$F$1204,$Q73))</f>
        <v/>
      </c>
      <c r="D73" s="55" t="str">
        <f>IF($Q73="","",INDEX(TRANSACTIONS_MASTER!$E$5:$E$1204,$Q73))</f>
        <v/>
      </c>
      <c r="E73" s="55" t="str">
        <f>IF($Q73="","",INDEX(TRANSACTIONS_MASTER!$G$5:$G$1204,$Q73)&amp;"")</f>
        <v/>
      </c>
      <c r="F73" s="29" t="str">
        <f>IF($Q73="","",INDEX(TRANSACTIONS_MASTER!$I$5:$I$1204,$Q73))</f>
        <v/>
      </c>
      <c r="G73" s="55" t="str">
        <f>IF($Q73="","",INDEX(TRANSACTIONS_MASTER!$K$5:$K$1204,$Q73))</f>
        <v/>
      </c>
      <c r="H73" s="25" t="str">
        <f>IF($Q73="","",INDEX(TRANSACTIONS_MASTER!$L$5:$L$1204,$Q73))</f>
        <v/>
      </c>
      <c r="I73" s="56" t="str">
        <f>IF($Q73="","",INDEX(TRANSACTIONS_MASTER!$N$5:$N$1204,$Q73))</f>
        <v/>
      </c>
      <c r="J73" s="25" t="str">
        <f>IF($Q73="","",INDEX(TRANSACTIONS_MASTER!$O$5:$O$1204,$Q73))</f>
        <v/>
      </c>
      <c r="K73" s="26" t="str">
        <f>IF($Q73="","",INDEX(TRANSACTIONS_MASTER!$Q$5:$Q$1204,$Q73))</f>
        <v/>
      </c>
      <c r="L73" s="25" t="str">
        <f>IF($Q73="","",INDEX(TRANSACTIONS_MASTER!$P$5:$P$1204,$Q73))</f>
        <v/>
      </c>
      <c r="M73" s="25" t="str">
        <f>IF($Q73="","",INDEX(TRANSACTIONS_MASTER!$AA$5:$AA$1204,$Q73))</f>
        <v/>
      </c>
      <c r="N73" s="25" t="str">
        <f>IF($Q73="","",INDEX(TRANSACTIONS_MASTER!$R$5:$R$1204,$Q73))</f>
        <v/>
      </c>
      <c r="O73" s="28" t="str">
        <f>IF($Q73="","",INDEX(TRANSACTIONS_MASTER!$AB$5:$AB$1204,$Q73))</f>
        <v/>
      </c>
      <c r="P73" s="55" t="str">
        <f>IF($Q73="","",INDEX(TRANSACTIONS_MASTER!$Z$5:$Z$1204,$Q73)&amp;"")</f>
        <v/>
      </c>
      <c r="Q73" s="67" t="str">
        <f>IFERROR(MATCH($C$2&amp;"|"&amp;66,TRANSACTIONS_MASTER!$AE$5:$AE$1204,0),"")</f>
        <v/>
      </c>
      <c r="S73" s="67" t="n">
        <v>12</v>
      </c>
      <c r="T73" s="55" t="str">
        <f>IF(CARDS!$A16="","",CARDS!$A16)</f>
        <v/>
      </c>
      <c r="U73" s="55" t="str">
        <f>IF($T73="","",CARDS!$B16&amp;" "&amp;CARDS!$C16)</f>
        <v/>
      </c>
      <c r="V73" s="25" t="str">
        <f>IF($T73="","",SUMIFS(TRANSACTIONS_MASTER!$L$5:$L$1204,TRANSACTIONS_MASTER!$D$5:$D$1204,$T73,TRANSACTIONS_MASTER!$C$5:$C$1204,$C$2,TRANSACTIONS_MASTER!$U$5:$U$1204,"&lt;&gt;Cancelled"))</f>
        <v/>
      </c>
      <c r="W73" s="26" t="str">
        <f>IF($T73="","",SUMIFS(TRANSACTIONS_MASTER!$Q$5:$Q$1204,TRANSACTIONS_MASTER!$D$5:$D$1204,$T73,TRANSACTIONS_MASTER!$C$5:$C$1204,$C$2))</f>
        <v/>
      </c>
      <c r="X73" s="25" t="str">
        <f>IF($T73="","",IFERROR(IF(ISNUMBER(INDEX(CASHBACK_RULES!$K$5:$K$304,MATCH($T73,CASHBACK_RULES!$B$5:$B$304,0))),INDEX(CASHBACK_RULES!$K$5:$K$304,MATCH($T73,CASHBACK_RULES!$B$5:$B$304,0)),"∞"),"—"))</f>
        <v/>
      </c>
      <c r="Y73" s="25" t="str">
        <f>IF($T73="","",IF($X73="—","—",IF(COUNTIFS($T$8:$T$57,$T73,$Z$8:$Z$57,"∞")&gt;0,IF(ISNUMBER($X73),MAX(0,$X73-$W73),"∞"),IF(ISNUMBER($X73),MAX(0,MIN($X73-$W73,SUMIFS($Z$8:$Z$57,$T$8:$T$57,$T73))),SUMIFS($Z$8:$Z$57,$T$8:$T$57,$T73)))))</f>
        <v/>
      </c>
      <c r="Z73" s="27" t="str">
        <f>IF($T73="","",IF(ISNUMBER($X73),IF($X73=0,0,$W73/$X73),IF(ISNUMBER($Y73),IF($W73+$Y73=0,0,$W73/($W73+$Y73)),"")))</f>
        <v/>
      </c>
      <c r="AA73" s="29" t="str">
        <f>IF($T73="","",COUNTIFS(TRANSACTIONS_MASTER!$D$5:$D$1204,$T73,TRANSACTIONS_MASTER!$C$5:$C$1204,$C$2,TRANSACTIONS_MASTER!$U$5:$U$1204,"&lt;&gt;Cancelled"))</f>
        <v/>
      </c>
    </row>
    <row r="74">
      <c r="A74" s="81" t="str">
        <f>IF($Q74="","",67)</f>
        <v/>
      </c>
      <c r="B74" s="57" t="str">
        <f>IF($Q74="","",INDEX(TRANSACTIONS_MASTER!$B$5:$B$1204,$Q74))</f>
        <v/>
      </c>
      <c r="C74" s="55" t="str">
        <f>IF($Q74="","",INDEX(TRANSACTIONS_MASTER!$F$5:$F$1204,$Q74))</f>
        <v/>
      </c>
      <c r="D74" s="55" t="str">
        <f>IF($Q74="","",INDEX(TRANSACTIONS_MASTER!$E$5:$E$1204,$Q74))</f>
        <v/>
      </c>
      <c r="E74" s="55" t="str">
        <f>IF($Q74="","",INDEX(TRANSACTIONS_MASTER!$G$5:$G$1204,$Q74)&amp;"")</f>
        <v/>
      </c>
      <c r="F74" s="29" t="str">
        <f>IF($Q74="","",INDEX(TRANSACTIONS_MASTER!$I$5:$I$1204,$Q74))</f>
        <v/>
      </c>
      <c r="G74" s="55" t="str">
        <f>IF($Q74="","",INDEX(TRANSACTIONS_MASTER!$K$5:$K$1204,$Q74))</f>
        <v/>
      </c>
      <c r="H74" s="25" t="str">
        <f>IF($Q74="","",INDEX(TRANSACTIONS_MASTER!$L$5:$L$1204,$Q74))</f>
        <v/>
      </c>
      <c r="I74" s="56" t="str">
        <f>IF($Q74="","",INDEX(TRANSACTIONS_MASTER!$N$5:$N$1204,$Q74))</f>
        <v/>
      </c>
      <c r="J74" s="25" t="str">
        <f>IF($Q74="","",INDEX(TRANSACTIONS_MASTER!$O$5:$O$1204,$Q74))</f>
        <v/>
      </c>
      <c r="K74" s="26" t="str">
        <f>IF($Q74="","",INDEX(TRANSACTIONS_MASTER!$Q$5:$Q$1204,$Q74))</f>
        <v/>
      </c>
      <c r="L74" s="25" t="str">
        <f>IF($Q74="","",INDEX(TRANSACTIONS_MASTER!$P$5:$P$1204,$Q74))</f>
        <v/>
      </c>
      <c r="M74" s="25" t="str">
        <f>IF($Q74="","",INDEX(TRANSACTIONS_MASTER!$AA$5:$AA$1204,$Q74))</f>
        <v/>
      </c>
      <c r="N74" s="25" t="str">
        <f>IF($Q74="","",INDEX(TRANSACTIONS_MASTER!$R$5:$R$1204,$Q74))</f>
        <v/>
      </c>
      <c r="O74" s="28" t="str">
        <f>IF($Q74="","",INDEX(TRANSACTIONS_MASTER!$AB$5:$AB$1204,$Q74))</f>
        <v/>
      </c>
      <c r="P74" s="55" t="str">
        <f>IF($Q74="","",INDEX(TRANSACTIONS_MASTER!$Z$5:$Z$1204,$Q74)&amp;"")</f>
        <v/>
      </c>
      <c r="Q74" s="67" t="str">
        <f>IFERROR(MATCH($C$2&amp;"|"&amp;67,TRANSACTIONS_MASTER!$AE$5:$AE$1204,0),"")</f>
        <v/>
      </c>
      <c r="S74" s="67" t="n">
        <v>13</v>
      </c>
      <c r="T74" s="55" t="str">
        <f>IF(CARDS!$A17="","",CARDS!$A17)</f>
        <v/>
      </c>
      <c r="U74" s="55" t="str">
        <f>IF($T74="","",CARDS!$B17&amp;" "&amp;CARDS!$C17)</f>
        <v/>
      </c>
      <c r="V74" s="25" t="str">
        <f>IF($T74="","",SUMIFS(TRANSACTIONS_MASTER!$L$5:$L$1204,TRANSACTIONS_MASTER!$D$5:$D$1204,$T74,TRANSACTIONS_MASTER!$C$5:$C$1204,$C$2,TRANSACTIONS_MASTER!$U$5:$U$1204,"&lt;&gt;Cancelled"))</f>
        <v/>
      </c>
      <c r="W74" s="26" t="str">
        <f>IF($T74="","",SUMIFS(TRANSACTIONS_MASTER!$Q$5:$Q$1204,TRANSACTIONS_MASTER!$D$5:$D$1204,$T74,TRANSACTIONS_MASTER!$C$5:$C$1204,$C$2))</f>
        <v/>
      </c>
      <c r="X74" s="25" t="str">
        <f>IF($T74="","",IFERROR(IF(ISNUMBER(INDEX(CASHBACK_RULES!$K$5:$K$304,MATCH($T74,CASHBACK_RULES!$B$5:$B$304,0))),INDEX(CASHBACK_RULES!$K$5:$K$304,MATCH($T74,CASHBACK_RULES!$B$5:$B$304,0)),"∞"),"—"))</f>
        <v/>
      </c>
      <c r="Y74" s="25" t="str">
        <f>IF($T74="","",IF($X74="—","—",IF(COUNTIFS($T$8:$T$57,$T74,$Z$8:$Z$57,"∞")&gt;0,IF(ISNUMBER($X74),MAX(0,$X74-$W74),"∞"),IF(ISNUMBER($X74),MAX(0,MIN($X74-$W74,SUMIFS($Z$8:$Z$57,$T$8:$T$57,$T74))),SUMIFS($Z$8:$Z$57,$T$8:$T$57,$T74)))))</f>
        <v/>
      </c>
      <c r="Z74" s="27" t="str">
        <f>IF($T74="","",IF(ISNUMBER($X74),IF($X74=0,0,$W74/$X74),IF(ISNUMBER($Y74),IF($W74+$Y74=0,0,$W74/($W74+$Y74)),"")))</f>
        <v/>
      </c>
      <c r="AA74" s="29" t="str">
        <f>IF($T74="","",COUNTIFS(TRANSACTIONS_MASTER!$D$5:$D$1204,$T74,TRANSACTIONS_MASTER!$C$5:$C$1204,$C$2,TRANSACTIONS_MASTER!$U$5:$U$1204,"&lt;&gt;Cancelled"))</f>
        <v/>
      </c>
    </row>
    <row r="75">
      <c r="A75" s="81" t="str">
        <f>IF($Q75="","",68)</f>
        <v/>
      </c>
      <c r="B75" s="57" t="str">
        <f>IF($Q75="","",INDEX(TRANSACTIONS_MASTER!$B$5:$B$1204,$Q75))</f>
        <v/>
      </c>
      <c r="C75" s="55" t="str">
        <f>IF($Q75="","",INDEX(TRANSACTIONS_MASTER!$F$5:$F$1204,$Q75))</f>
        <v/>
      </c>
      <c r="D75" s="55" t="str">
        <f>IF($Q75="","",INDEX(TRANSACTIONS_MASTER!$E$5:$E$1204,$Q75))</f>
        <v/>
      </c>
      <c r="E75" s="55" t="str">
        <f>IF($Q75="","",INDEX(TRANSACTIONS_MASTER!$G$5:$G$1204,$Q75)&amp;"")</f>
        <v/>
      </c>
      <c r="F75" s="29" t="str">
        <f>IF($Q75="","",INDEX(TRANSACTIONS_MASTER!$I$5:$I$1204,$Q75))</f>
        <v/>
      </c>
      <c r="G75" s="55" t="str">
        <f>IF($Q75="","",INDEX(TRANSACTIONS_MASTER!$K$5:$K$1204,$Q75))</f>
        <v/>
      </c>
      <c r="H75" s="25" t="str">
        <f>IF($Q75="","",INDEX(TRANSACTIONS_MASTER!$L$5:$L$1204,$Q75))</f>
        <v/>
      </c>
      <c r="I75" s="56" t="str">
        <f>IF($Q75="","",INDEX(TRANSACTIONS_MASTER!$N$5:$N$1204,$Q75))</f>
        <v/>
      </c>
      <c r="J75" s="25" t="str">
        <f>IF($Q75="","",INDEX(TRANSACTIONS_MASTER!$O$5:$O$1204,$Q75))</f>
        <v/>
      </c>
      <c r="K75" s="26" t="str">
        <f>IF($Q75="","",INDEX(TRANSACTIONS_MASTER!$Q$5:$Q$1204,$Q75))</f>
        <v/>
      </c>
      <c r="L75" s="25" t="str">
        <f>IF($Q75="","",INDEX(TRANSACTIONS_MASTER!$P$5:$P$1204,$Q75))</f>
        <v/>
      </c>
      <c r="M75" s="25" t="str">
        <f>IF($Q75="","",INDEX(TRANSACTIONS_MASTER!$AA$5:$AA$1204,$Q75))</f>
        <v/>
      </c>
      <c r="N75" s="25" t="str">
        <f>IF($Q75="","",INDEX(TRANSACTIONS_MASTER!$R$5:$R$1204,$Q75))</f>
        <v/>
      </c>
      <c r="O75" s="28" t="str">
        <f>IF($Q75="","",INDEX(TRANSACTIONS_MASTER!$AB$5:$AB$1204,$Q75))</f>
        <v/>
      </c>
      <c r="P75" s="55" t="str">
        <f>IF($Q75="","",INDEX(TRANSACTIONS_MASTER!$Z$5:$Z$1204,$Q75)&amp;"")</f>
        <v/>
      </c>
      <c r="Q75" s="67" t="str">
        <f>IFERROR(MATCH($C$2&amp;"|"&amp;68,TRANSACTIONS_MASTER!$AE$5:$AE$1204,0),"")</f>
        <v/>
      </c>
      <c r="S75" s="67" t="n">
        <v>14</v>
      </c>
      <c r="T75" s="55" t="str">
        <f>IF(CARDS!$A18="","",CARDS!$A18)</f>
        <v/>
      </c>
      <c r="U75" s="55" t="str">
        <f>IF($T75="","",CARDS!$B18&amp;" "&amp;CARDS!$C18)</f>
        <v/>
      </c>
      <c r="V75" s="25" t="str">
        <f>IF($T75="","",SUMIFS(TRANSACTIONS_MASTER!$L$5:$L$1204,TRANSACTIONS_MASTER!$D$5:$D$1204,$T75,TRANSACTIONS_MASTER!$C$5:$C$1204,$C$2,TRANSACTIONS_MASTER!$U$5:$U$1204,"&lt;&gt;Cancelled"))</f>
        <v/>
      </c>
      <c r="W75" s="26" t="str">
        <f>IF($T75="","",SUMIFS(TRANSACTIONS_MASTER!$Q$5:$Q$1204,TRANSACTIONS_MASTER!$D$5:$D$1204,$T75,TRANSACTIONS_MASTER!$C$5:$C$1204,$C$2))</f>
        <v/>
      </c>
      <c r="X75" s="25" t="str">
        <f>IF($T75="","",IFERROR(IF(ISNUMBER(INDEX(CASHBACK_RULES!$K$5:$K$304,MATCH($T75,CASHBACK_RULES!$B$5:$B$304,0))),INDEX(CASHBACK_RULES!$K$5:$K$304,MATCH($T75,CASHBACK_RULES!$B$5:$B$304,0)),"∞"),"—"))</f>
        <v/>
      </c>
      <c r="Y75" s="25" t="str">
        <f>IF($T75="","",IF($X75="—","—",IF(COUNTIFS($T$8:$T$57,$T75,$Z$8:$Z$57,"∞")&gt;0,IF(ISNUMBER($X75),MAX(0,$X75-$W75),"∞"),IF(ISNUMBER($X75),MAX(0,MIN($X75-$W75,SUMIFS($Z$8:$Z$57,$T$8:$T$57,$T75))),SUMIFS($Z$8:$Z$57,$T$8:$T$57,$T75)))))</f>
        <v/>
      </c>
      <c r="Z75" s="27" t="str">
        <f>IF($T75="","",IF(ISNUMBER($X75),IF($X75=0,0,$W75/$X75),IF(ISNUMBER($Y75),IF($W75+$Y75=0,0,$W75/($W75+$Y75)),"")))</f>
        <v/>
      </c>
      <c r="AA75" s="29" t="str">
        <f>IF($T75="","",COUNTIFS(TRANSACTIONS_MASTER!$D$5:$D$1204,$T75,TRANSACTIONS_MASTER!$C$5:$C$1204,$C$2,TRANSACTIONS_MASTER!$U$5:$U$1204,"&lt;&gt;Cancelled"))</f>
        <v/>
      </c>
    </row>
    <row r="76">
      <c r="A76" s="81" t="str">
        <f>IF($Q76="","",69)</f>
        <v/>
      </c>
      <c r="B76" s="57" t="str">
        <f>IF($Q76="","",INDEX(TRANSACTIONS_MASTER!$B$5:$B$1204,$Q76))</f>
        <v/>
      </c>
      <c r="C76" s="55" t="str">
        <f>IF($Q76="","",INDEX(TRANSACTIONS_MASTER!$F$5:$F$1204,$Q76))</f>
        <v/>
      </c>
      <c r="D76" s="55" t="str">
        <f>IF($Q76="","",INDEX(TRANSACTIONS_MASTER!$E$5:$E$1204,$Q76))</f>
        <v/>
      </c>
      <c r="E76" s="55" t="str">
        <f>IF($Q76="","",INDEX(TRANSACTIONS_MASTER!$G$5:$G$1204,$Q76)&amp;"")</f>
        <v/>
      </c>
      <c r="F76" s="29" t="str">
        <f>IF($Q76="","",INDEX(TRANSACTIONS_MASTER!$I$5:$I$1204,$Q76))</f>
        <v/>
      </c>
      <c r="G76" s="55" t="str">
        <f>IF($Q76="","",INDEX(TRANSACTIONS_MASTER!$K$5:$K$1204,$Q76))</f>
        <v/>
      </c>
      <c r="H76" s="25" t="str">
        <f>IF($Q76="","",INDEX(TRANSACTIONS_MASTER!$L$5:$L$1204,$Q76))</f>
        <v/>
      </c>
      <c r="I76" s="56" t="str">
        <f>IF($Q76="","",INDEX(TRANSACTIONS_MASTER!$N$5:$N$1204,$Q76))</f>
        <v/>
      </c>
      <c r="J76" s="25" t="str">
        <f>IF($Q76="","",INDEX(TRANSACTIONS_MASTER!$O$5:$O$1204,$Q76))</f>
        <v/>
      </c>
      <c r="K76" s="26" t="str">
        <f>IF($Q76="","",INDEX(TRANSACTIONS_MASTER!$Q$5:$Q$1204,$Q76))</f>
        <v/>
      </c>
      <c r="L76" s="25" t="str">
        <f>IF($Q76="","",INDEX(TRANSACTIONS_MASTER!$P$5:$P$1204,$Q76))</f>
        <v/>
      </c>
      <c r="M76" s="25" t="str">
        <f>IF($Q76="","",INDEX(TRANSACTIONS_MASTER!$AA$5:$AA$1204,$Q76))</f>
        <v/>
      </c>
      <c r="N76" s="25" t="str">
        <f>IF($Q76="","",INDEX(TRANSACTIONS_MASTER!$R$5:$R$1204,$Q76))</f>
        <v/>
      </c>
      <c r="O76" s="28" t="str">
        <f>IF($Q76="","",INDEX(TRANSACTIONS_MASTER!$AB$5:$AB$1204,$Q76))</f>
        <v/>
      </c>
      <c r="P76" s="55" t="str">
        <f>IF($Q76="","",INDEX(TRANSACTIONS_MASTER!$Z$5:$Z$1204,$Q76)&amp;"")</f>
        <v/>
      </c>
      <c r="Q76" s="67" t="str">
        <f>IFERROR(MATCH($C$2&amp;"|"&amp;69,TRANSACTIONS_MASTER!$AE$5:$AE$1204,0),"")</f>
        <v/>
      </c>
      <c r="S76" s="67" t="n">
        <v>15</v>
      </c>
      <c r="T76" s="55" t="str">
        <f>IF(CARDS!$A19="","",CARDS!$A19)</f>
        <v/>
      </c>
      <c r="U76" s="55" t="str">
        <f>IF($T76="","",CARDS!$B19&amp;" "&amp;CARDS!$C19)</f>
        <v/>
      </c>
      <c r="V76" s="25" t="str">
        <f>IF($T76="","",SUMIFS(TRANSACTIONS_MASTER!$L$5:$L$1204,TRANSACTIONS_MASTER!$D$5:$D$1204,$T76,TRANSACTIONS_MASTER!$C$5:$C$1204,$C$2,TRANSACTIONS_MASTER!$U$5:$U$1204,"&lt;&gt;Cancelled"))</f>
        <v/>
      </c>
      <c r="W76" s="26" t="str">
        <f>IF($T76="","",SUMIFS(TRANSACTIONS_MASTER!$Q$5:$Q$1204,TRANSACTIONS_MASTER!$D$5:$D$1204,$T76,TRANSACTIONS_MASTER!$C$5:$C$1204,$C$2))</f>
        <v/>
      </c>
      <c r="X76" s="25" t="str">
        <f>IF($T76="","",IFERROR(IF(ISNUMBER(INDEX(CASHBACK_RULES!$K$5:$K$304,MATCH($T76,CASHBACK_RULES!$B$5:$B$304,0))),INDEX(CASHBACK_RULES!$K$5:$K$304,MATCH($T76,CASHBACK_RULES!$B$5:$B$304,0)),"∞"),"—"))</f>
        <v/>
      </c>
      <c r="Y76" s="25" t="str">
        <f>IF($T76="","",IF($X76="—","—",IF(COUNTIFS($T$8:$T$57,$T76,$Z$8:$Z$57,"∞")&gt;0,IF(ISNUMBER($X76),MAX(0,$X76-$W76),"∞"),IF(ISNUMBER($X76),MAX(0,MIN($X76-$W76,SUMIFS($Z$8:$Z$57,$T$8:$T$57,$T76))),SUMIFS($Z$8:$Z$57,$T$8:$T$57,$T76)))))</f>
        <v/>
      </c>
      <c r="Z76" s="27" t="str">
        <f>IF($T76="","",IF(ISNUMBER($X76),IF($X76=0,0,$W76/$X76),IF(ISNUMBER($Y76),IF($W76+$Y76=0,0,$W76/($W76+$Y76)),"")))</f>
        <v/>
      </c>
      <c r="AA76" s="29" t="str">
        <f>IF($T76="","",COUNTIFS(TRANSACTIONS_MASTER!$D$5:$D$1204,$T76,TRANSACTIONS_MASTER!$C$5:$C$1204,$C$2,TRANSACTIONS_MASTER!$U$5:$U$1204,"&lt;&gt;Cancelled"))</f>
        <v/>
      </c>
    </row>
    <row r="77">
      <c r="A77" s="81" t="str">
        <f>IF($Q77="","",70)</f>
        <v/>
      </c>
      <c r="B77" s="57" t="str">
        <f>IF($Q77="","",INDEX(TRANSACTIONS_MASTER!$B$5:$B$1204,$Q77))</f>
        <v/>
      </c>
      <c r="C77" s="55" t="str">
        <f>IF($Q77="","",INDEX(TRANSACTIONS_MASTER!$F$5:$F$1204,$Q77))</f>
        <v/>
      </c>
      <c r="D77" s="55" t="str">
        <f>IF($Q77="","",INDEX(TRANSACTIONS_MASTER!$E$5:$E$1204,$Q77))</f>
        <v/>
      </c>
      <c r="E77" s="55" t="str">
        <f>IF($Q77="","",INDEX(TRANSACTIONS_MASTER!$G$5:$G$1204,$Q77)&amp;"")</f>
        <v/>
      </c>
      <c r="F77" s="29" t="str">
        <f>IF($Q77="","",INDEX(TRANSACTIONS_MASTER!$I$5:$I$1204,$Q77))</f>
        <v/>
      </c>
      <c r="G77" s="55" t="str">
        <f>IF($Q77="","",INDEX(TRANSACTIONS_MASTER!$K$5:$K$1204,$Q77))</f>
        <v/>
      </c>
      <c r="H77" s="25" t="str">
        <f>IF($Q77="","",INDEX(TRANSACTIONS_MASTER!$L$5:$L$1204,$Q77))</f>
        <v/>
      </c>
      <c r="I77" s="56" t="str">
        <f>IF($Q77="","",INDEX(TRANSACTIONS_MASTER!$N$5:$N$1204,$Q77))</f>
        <v/>
      </c>
      <c r="J77" s="25" t="str">
        <f>IF($Q77="","",INDEX(TRANSACTIONS_MASTER!$O$5:$O$1204,$Q77))</f>
        <v/>
      </c>
      <c r="K77" s="26" t="str">
        <f>IF($Q77="","",INDEX(TRANSACTIONS_MASTER!$Q$5:$Q$1204,$Q77))</f>
        <v/>
      </c>
      <c r="L77" s="25" t="str">
        <f>IF($Q77="","",INDEX(TRANSACTIONS_MASTER!$P$5:$P$1204,$Q77))</f>
        <v/>
      </c>
      <c r="M77" s="25" t="str">
        <f>IF($Q77="","",INDEX(TRANSACTIONS_MASTER!$AA$5:$AA$1204,$Q77))</f>
        <v/>
      </c>
      <c r="N77" s="25" t="str">
        <f>IF($Q77="","",INDEX(TRANSACTIONS_MASTER!$R$5:$R$1204,$Q77))</f>
        <v/>
      </c>
      <c r="O77" s="28" t="str">
        <f>IF($Q77="","",INDEX(TRANSACTIONS_MASTER!$AB$5:$AB$1204,$Q77))</f>
        <v/>
      </c>
      <c r="P77" s="55" t="str">
        <f>IF($Q77="","",INDEX(TRANSACTIONS_MASTER!$Z$5:$Z$1204,$Q77)&amp;"")</f>
        <v/>
      </c>
      <c r="Q77" s="67" t="str">
        <f>IFERROR(MATCH($C$2&amp;"|"&amp;70,TRANSACTIONS_MASTER!$AE$5:$AE$1204,0),"")</f>
        <v/>
      </c>
      <c r="S77" s="67" t="n">
        <v>16</v>
      </c>
      <c r="T77" s="55" t="str">
        <f>IF(CARDS!$A20="","",CARDS!$A20)</f>
        <v/>
      </c>
      <c r="U77" s="55" t="str">
        <f>IF($T77="","",CARDS!$B20&amp;" "&amp;CARDS!$C20)</f>
        <v/>
      </c>
      <c r="V77" s="25" t="str">
        <f>IF($T77="","",SUMIFS(TRANSACTIONS_MASTER!$L$5:$L$1204,TRANSACTIONS_MASTER!$D$5:$D$1204,$T77,TRANSACTIONS_MASTER!$C$5:$C$1204,$C$2,TRANSACTIONS_MASTER!$U$5:$U$1204,"&lt;&gt;Cancelled"))</f>
        <v/>
      </c>
      <c r="W77" s="26" t="str">
        <f>IF($T77="","",SUMIFS(TRANSACTIONS_MASTER!$Q$5:$Q$1204,TRANSACTIONS_MASTER!$D$5:$D$1204,$T77,TRANSACTIONS_MASTER!$C$5:$C$1204,$C$2))</f>
        <v/>
      </c>
      <c r="X77" s="25" t="str">
        <f>IF($T77="","",IFERROR(IF(ISNUMBER(INDEX(CASHBACK_RULES!$K$5:$K$304,MATCH($T77,CASHBACK_RULES!$B$5:$B$304,0))),INDEX(CASHBACK_RULES!$K$5:$K$304,MATCH($T77,CASHBACK_RULES!$B$5:$B$304,0)),"∞"),"—"))</f>
        <v/>
      </c>
      <c r="Y77" s="25" t="str">
        <f>IF($T77="","",IF($X77="—","—",IF(COUNTIFS($T$8:$T$57,$T77,$Z$8:$Z$57,"∞")&gt;0,IF(ISNUMBER($X77),MAX(0,$X77-$W77),"∞"),IF(ISNUMBER($X77),MAX(0,MIN($X77-$W77,SUMIFS($Z$8:$Z$57,$T$8:$T$57,$T77))),SUMIFS($Z$8:$Z$57,$T$8:$T$57,$T77)))))</f>
        <v/>
      </c>
      <c r="Z77" s="27" t="str">
        <f>IF($T77="","",IF(ISNUMBER($X77),IF($X77=0,0,$W77/$X77),IF(ISNUMBER($Y77),IF($W77+$Y77=0,0,$W77/($W77+$Y77)),"")))</f>
        <v/>
      </c>
      <c r="AA77" s="29" t="str">
        <f>IF($T77="","",COUNTIFS(TRANSACTIONS_MASTER!$D$5:$D$1204,$T77,TRANSACTIONS_MASTER!$C$5:$C$1204,$C$2,TRANSACTIONS_MASTER!$U$5:$U$1204,"&lt;&gt;Cancelled"))</f>
        <v/>
      </c>
    </row>
    <row r="78">
      <c r="A78" s="81" t="str">
        <f>IF($Q78="","",71)</f>
        <v/>
      </c>
      <c r="B78" s="57" t="str">
        <f>IF($Q78="","",INDEX(TRANSACTIONS_MASTER!$B$5:$B$1204,$Q78))</f>
        <v/>
      </c>
      <c r="C78" s="55" t="str">
        <f>IF($Q78="","",INDEX(TRANSACTIONS_MASTER!$F$5:$F$1204,$Q78))</f>
        <v/>
      </c>
      <c r="D78" s="55" t="str">
        <f>IF($Q78="","",INDEX(TRANSACTIONS_MASTER!$E$5:$E$1204,$Q78))</f>
        <v/>
      </c>
      <c r="E78" s="55" t="str">
        <f>IF($Q78="","",INDEX(TRANSACTIONS_MASTER!$G$5:$G$1204,$Q78)&amp;"")</f>
        <v/>
      </c>
      <c r="F78" s="29" t="str">
        <f>IF($Q78="","",INDEX(TRANSACTIONS_MASTER!$I$5:$I$1204,$Q78))</f>
        <v/>
      </c>
      <c r="G78" s="55" t="str">
        <f>IF($Q78="","",INDEX(TRANSACTIONS_MASTER!$K$5:$K$1204,$Q78))</f>
        <v/>
      </c>
      <c r="H78" s="25" t="str">
        <f>IF($Q78="","",INDEX(TRANSACTIONS_MASTER!$L$5:$L$1204,$Q78))</f>
        <v/>
      </c>
      <c r="I78" s="56" t="str">
        <f>IF($Q78="","",INDEX(TRANSACTIONS_MASTER!$N$5:$N$1204,$Q78))</f>
        <v/>
      </c>
      <c r="J78" s="25" t="str">
        <f>IF($Q78="","",INDEX(TRANSACTIONS_MASTER!$O$5:$O$1204,$Q78))</f>
        <v/>
      </c>
      <c r="K78" s="26" t="str">
        <f>IF($Q78="","",INDEX(TRANSACTIONS_MASTER!$Q$5:$Q$1204,$Q78))</f>
        <v/>
      </c>
      <c r="L78" s="25" t="str">
        <f>IF($Q78="","",INDEX(TRANSACTIONS_MASTER!$P$5:$P$1204,$Q78))</f>
        <v/>
      </c>
      <c r="M78" s="25" t="str">
        <f>IF($Q78="","",INDEX(TRANSACTIONS_MASTER!$AA$5:$AA$1204,$Q78))</f>
        <v/>
      </c>
      <c r="N78" s="25" t="str">
        <f>IF($Q78="","",INDEX(TRANSACTIONS_MASTER!$R$5:$R$1204,$Q78))</f>
        <v/>
      </c>
      <c r="O78" s="28" t="str">
        <f>IF($Q78="","",INDEX(TRANSACTIONS_MASTER!$AB$5:$AB$1204,$Q78))</f>
        <v/>
      </c>
      <c r="P78" s="55" t="str">
        <f>IF($Q78="","",INDEX(TRANSACTIONS_MASTER!$Z$5:$Z$1204,$Q78)&amp;"")</f>
        <v/>
      </c>
      <c r="Q78" s="67" t="str">
        <f>IFERROR(MATCH($C$2&amp;"|"&amp;71,TRANSACTIONS_MASTER!$AE$5:$AE$1204,0),"")</f>
        <v/>
      </c>
      <c r="S78" s="67" t="n">
        <v>17</v>
      </c>
      <c r="T78" s="55" t="str">
        <f>IF(CARDS!$A21="","",CARDS!$A21)</f>
        <v/>
      </c>
      <c r="U78" s="55" t="str">
        <f>IF($T78="","",CARDS!$B21&amp;" "&amp;CARDS!$C21)</f>
        <v/>
      </c>
      <c r="V78" s="25" t="str">
        <f>IF($T78="","",SUMIFS(TRANSACTIONS_MASTER!$L$5:$L$1204,TRANSACTIONS_MASTER!$D$5:$D$1204,$T78,TRANSACTIONS_MASTER!$C$5:$C$1204,$C$2,TRANSACTIONS_MASTER!$U$5:$U$1204,"&lt;&gt;Cancelled"))</f>
        <v/>
      </c>
      <c r="W78" s="26" t="str">
        <f>IF($T78="","",SUMIFS(TRANSACTIONS_MASTER!$Q$5:$Q$1204,TRANSACTIONS_MASTER!$D$5:$D$1204,$T78,TRANSACTIONS_MASTER!$C$5:$C$1204,$C$2))</f>
        <v/>
      </c>
      <c r="X78" s="25" t="str">
        <f>IF($T78="","",IFERROR(IF(ISNUMBER(INDEX(CASHBACK_RULES!$K$5:$K$304,MATCH($T78,CASHBACK_RULES!$B$5:$B$304,0))),INDEX(CASHBACK_RULES!$K$5:$K$304,MATCH($T78,CASHBACK_RULES!$B$5:$B$304,0)),"∞"),"—"))</f>
        <v/>
      </c>
      <c r="Y78" s="25" t="str">
        <f>IF($T78="","",IF($X78="—","—",IF(COUNTIFS($T$8:$T$57,$T78,$Z$8:$Z$57,"∞")&gt;0,IF(ISNUMBER($X78),MAX(0,$X78-$W78),"∞"),IF(ISNUMBER($X78),MAX(0,MIN($X78-$W78,SUMIFS($Z$8:$Z$57,$T$8:$T$57,$T78))),SUMIFS($Z$8:$Z$57,$T$8:$T$57,$T78)))))</f>
        <v/>
      </c>
      <c r="Z78" s="27" t="str">
        <f>IF($T78="","",IF(ISNUMBER($X78),IF($X78=0,0,$W78/$X78),IF(ISNUMBER($Y78),IF($W78+$Y78=0,0,$W78/($W78+$Y78)),"")))</f>
        <v/>
      </c>
      <c r="AA78" s="29" t="str">
        <f>IF($T78="","",COUNTIFS(TRANSACTIONS_MASTER!$D$5:$D$1204,$T78,TRANSACTIONS_MASTER!$C$5:$C$1204,$C$2,TRANSACTIONS_MASTER!$U$5:$U$1204,"&lt;&gt;Cancelled"))</f>
        <v/>
      </c>
    </row>
    <row r="79">
      <c r="A79" s="81" t="str">
        <f>IF($Q79="","",72)</f>
        <v/>
      </c>
      <c r="B79" s="57" t="str">
        <f>IF($Q79="","",INDEX(TRANSACTIONS_MASTER!$B$5:$B$1204,$Q79))</f>
        <v/>
      </c>
      <c r="C79" s="55" t="str">
        <f>IF($Q79="","",INDEX(TRANSACTIONS_MASTER!$F$5:$F$1204,$Q79))</f>
        <v/>
      </c>
      <c r="D79" s="55" t="str">
        <f>IF($Q79="","",INDEX(TRANSACTIONS_MASTER!$E$5:$E$1204,$Q79))</f>
        <v/>
      </c>
      <c r="E79" s="55" t="str">
        <f>IF($Q79="","",INDEX(TRANSACTIONS_MASTER!$G$5:$G$1204,$Q79)&amp;"")</f>
        <v/>
      </c>
      <c r="F79" s="29" t="str">
        <f>IF($Q79="","",INDEX(TRANSACTIONS_MASTER!$I$5:$I$1204,$Q79))</f>
        <v/>
      </c>
      <c r="G79" s="55" t="str">
        <f>IF($Q79="","",INDEX(TRANSACTIONS_MASTER!$K$5:$K$1204,$Q79))</f>
        <v/>
      </c>
      <c r="H79" s="25" t="str">
        <f>IF($Q79="","",INDEX(TRANSACTIONS_MASTER!$L$5:$L$1204,$Q79))</f>
        <v/>
      </c>
      <c r="I79" s="56" t="str">
        <f>IF($Q79="","",INDEX(TRANSACTIONS_MASTER!$N$5:$N$1204,$Q79))</f>
        <v/>
      </c>
      <c r="J79" s="25" t="str">
        <f>IF($Q79="","",INDEX(TRANSACTIONS_MASTER!$O$5:$O$1204,$Q79))</f>
        <v/>
      </c>
      <c r="K79" s="26" t="str">
        <f>IF($Q79="","",INDEX(TRANSACTIONS_MASTER!$Q$5:$Q$1204,$Q79))</f>
        <v/>
      </c>
      <c r="L79" s="25" t="str">
        <f>IF($Q79="","",INDEX(TRANSACTIONS_MASTER!$P$5:$P$1204,$Q79))</f>
        <v/>
      </c>
      <c r="M79" s="25" t="str">
        <f>IF($Q79="","",INDEX(TRANSACTIONS_MASTER!$AA$5:$AA$1204,$Q79))</f>
        <v/>
      </c>
      <c r="N79" s="25" t="str">
        <f>IF($Q79="","",INDEX(TRANSACTIONS_MASTER!$R$5:$R$1204,$Q79))</f>
        <v/>
      </c>
      <c r="O79" s="28" t="str">
        <f>IF($Q79="","",INDEX(TRANSACTIONS_MASTER!$AB$5:$AB$1204,$Q79))</f>
        <v/>
      </c>
      <c r="P79" s="55" t="str">
        <f>IF($Q79="","",INDEX(TRANSACTIONS_MASTER!$Z$5:$Z$1204,$Q79)&amp;"")</f>
        <v/>
      </c>
      <c r="Q79" s="67" t="str">
        <f>IFERROR(MATCH($C$2&amp;"|"&amp;72,TRANSACTIONS_MASTER!$AE$5:$AE$1204,0),"")</f>
        <v/>
      </c>
      <c r="S79" s="67" t="n">
        <v>18</v>
      </c>
      <c r="T79" s="55" t="str">
        <f>IF(CARDS!$A22="","",CARDS!$A22)</f>
        <v/>
      </c>
      <c r="U79" s="55" t="str">
        <f>IF($T79="","",CARDS!$B22&amp;" "&amp;CARDS!$C22)</f>
        <v/>
      </c>
      <c r="V79" s="25" t="str">
        <f>IF($T79="","",SUMIFS(TRANSACTIONS_MASTER!$L$5:$L$1204,TRANSACTIONS_MASTER!$D$5:$D$1204,$T79,TRANSACTIONS_MASTER!$C$5:$C$1204,$C$2,TRANSACTIONS_MASTER!$U$5:$U$1204,"&lt;&gt;Cancelled"))</f>
        <v/>
      </c>
      <c r="W79" s="26" t="str">
        <f>IF($T79="","",SUMIFS(TRANSACTIONS_MASTER!$Q$5:$Q$1204,TRANSACTIONS_MASTER!$D$5:$D$1204,$T79,TRANSACTIONS_MASTER!$C$5:$C$1204,$C$2))</f>
        <v/>
      </c>
      <c r="X79" s="25" t="str">
        <f>IF($T79="","",IFERROR(IF(ISNUMBER(INDEX(CASHBACK_RULES!$K$5:$K$304,MATCH($T79,CASHBACK_RULES!$B$5:$B$304,0))),INDEX(CASHBACK_RULES!$K$5:$K$304,MATCH($T79,CASHBACK_RULES!$B$5:$B$304,0)),"∞"),"—"))</f>
        <v/>
      </c>
      <c r="Y79" s="25" t="str">
        <f>IF($T79="","",IF($X79="—","—",IF(COUNTIFS($T$8:$T$57,$T79,$Z$8:$Z$57,"∞")&gt;0,IF(ISNUMBER($X79),MAX(0,$X79-$W79),"∞"),IF(ISNUMBER($X79),MAX(0,MIN($X79-$W79,SUMIFS($Z$8:$Z$57,$T$8:$T$57,$T79))),SUMIFS($Z$8:$Z$57,$T$8:$T$57,$T79)))))</f>
        <v/>
      </c>
      <c r="Z79" s="27" t="str">
        <f>IF($T79="","",IF(ISNUMBER($X79),IF($X79=0,0,$W79/$X79),IF(ISNUMBER($Y79),IF($W79+$Y79=0,0,$W79/($W79+$Y79)),"")))</f>
        <v/>
      </c>
      <c r="AA79" s="29" t="str">
        <f>IF($T79="","",COUNTIFS(TRANSACTIONS_MASTER!$D$5:$D$1204,$T79,TRANSACTIONS_MASTER!$C$5:$C$1204,$C$2,TRANSACTIONS_MASTER!$U$5:$U$1204,"&lt;&gt;Cancelled"))</f>
        <v/>
      </c>
    </row>
    <row r="80">
      <c r="A80" s="81" t="str">
        <f>IF($Q80="","",73)</f>
        <v/>
      </c>
      <c r="B80" s="57" t="str">
        <f>IF($Q80="","",INDEX(TRANSACTIONS_MASTER!$B$5:$B$1204,$Q80))</f>
        <v/>
      </c>
      <c r="C80" s="55" t="str">
        <f>IF($Q80="","",INDEX(TRANSACTIONS_MASTER!$F$5:$F$1204,$Q80))</f>
        <v/>
      </c>
      <c r="D80" s="55" t="str">
        <f>IF($Q80="","",INDEX(TRANSACTIONS_MASTER!$E$5:$E$1204,$Q80))</f>
        <v/>
      </c>
      <c r="E80" s="55" t="str">
        <f>IF($Q80="","",INDEX(TRANSACTIONS_MASTER!$G$5:$G$1204,$Q80)&amp;"")</f>
        <v/>
      </c>
      <c r="F80" s="29" t="str">
        <f>IF($Q80="","",INDEX(TRANSACTIONS_MASTER!$I$5:$I$1204,$Q80))</f>
        <v/>
      </c>
      <c r="G80" s="55" t="str">
        <f>IF($Q80="","",INDEX(TRANSACTIONS_MASTER!$K$5:$K$1204,$Q80))</f>
        <v/>
      </c>
      <c r="H80" s="25" t="str">
        <f>IF($Q80="","",INDEX(TRANSACTIONS_MASTER!$L$5:$L$1204,$Q80))</f>
        <v/>
      </c>
      <c r="I80" s="56" t="str">
        <f>IF($Q80="","",INDEX(TRANSACTIONS_MASTER!$N$5:$N$1204,$Q80))</f>
        <v/>
      </c>
      <c r="J80" s="25" t="str">
        <f>IF($Q80="","",INDEX(TRANSACTIONS_MASTER!$O$5:$O$1204,$Q80))</f>
        <v/>
      </c>
      <c r="K80" s="26" t="str">
        <f>IF($Q80="","",INDEX(TRANSACTIONS_MASTER!$Q$5:$Q$1204,$Q80))</f>
        <v/>
      </c>
      <c r="L80" s="25" t="str">
        <f>IF($Q80="","",INDEX(TRANSACTIONS_MASTER!$P$5:$P$1204,$Q80))</f>
        <v/>
      </c>
      <c r="M80" s="25" t="str">
        <f>IF($Q80="","",INDEX(TRANSACTIONS_MASTER!$AA$5:$AA$1204,$Q80))</f>
        <v/>
      </c>
      <c r="N80" s="25" t="str">
        <f>IF($Q80="","",INDEX(TRANSACTIONS_MASTER!$R$5:$R$1204,$Q80))</f>
        <v/>
      </c>
      <c r="O80" s="28" t="str">
        <f>IF($Q80="","",INDEX(TRANSACTIONS_MASTER!$AB$5:$AB$1204,$Q80))</f>
        <v/>
      </c>
      <c r="P80" s="55" t="str">
        <f>IF($Q80="","",INDEX(TRANSACTIONS_MASTER!$Z$5:$Z$1204,$Q80)&amp;"")</f>
        <v/>
      </c>
      <c r="Q80" s="67" t="str">
        <f>IFERROR(MATCH($C$2&amp;"|"&amp;73,TRANSACTIONS_MASTER!$AE$5:$AE$1204,0),"")</f>
        <v/>
      </c>
      <c r="S80" s="67" t="n">
        <v>19</v>
      </c>
      <c r="T80" s="55" t="str">
        <f>IF(CARDS!$A23="","",CARDS!$A23)</f>
        <v/>
      </c>
      <c r="U80" s="55" t="str">
        <f>IF($T80="","",CARDS!$B23&amp;" "&amp;CARDS!$C23)</f>
        <v/>
      </c>
      <c r="V80" s="25" t="str">
        <f>IF($T80="","",SUMIFS(TRANSACTIONS_MASTER!$L$5:$L$1204,TRANSACTIONS_MASTER!$D$5:$D$1204,$T80,TRANSACTIONS_MASTER!$C$5:$C$1204,$C$2,TRANSACTIONS_MASTER!$U$5:$U$1204,"&lt;&gt;Cancelled"))</f>
        <v/>
      </c>
      <c r="W80" s="26" t="str">
        <f>IF($T80="","",SUMIFS(TRANSACTIONS_MASTER!$Q$5:$Q$1204,TRANSACTIONS_MASTER!$D$5:$D$1204,$T80,TRANSACTIONS_MASTER!$C$5:$C$1204,$C$2))</f>
        <v/>
      </c>
      <c r="X80" s="25" t="str">
        <f>IF($T80="","",IFERROR(IF(ISNUMBER(INDEX(CASHBACK_RULES!$K$5:$K$304,MATCH($T80,CASHBACK_RULES!$B$5:$B$304,0))),INDEX(CASHBACK_RULES!$K$5:$K$304,MATCH($T80,CASHBACK_RULES!$B$5:$B$304,0)),"∞"),"—"))</f>
        <v/>
      </c>
      <c r="Y80" s="25" t="str">
        <f>IF($T80="","",IF($X80="—","—",IF(COUNTIFS($T$8:$T$57,$T80,$Z$8:$Z$57,"∞")&gt;0,IF(ISNUMBER($X80),MAX(0,$X80-$W80),"∞"),IF(ISNUMBER($X80),MAX(0,MIN($X80-$W80,SUMIFS($Z$8:$Z$57,$T$8:$T$57,$T80))),SUMIFS($Z$8:$Z$57,$T$8:$T$57,$T80)))))</f>
        <v/>
      </c>
      <c r="Z80" s="27" t="str">
        <f>IF($T80="","",IF(ISNUMBER($X80),IF($X80=0,0,$W80/$X80),IF(ISNUMBER($Y80),IF($W80+$Y80=0,0,$W80/($W80+$Y80)),"")))</f>
        <v/>
      </c>
      <c r="AA80" s="29" t="str">
        <f>IF($T80="","",COUNTIFS(TRANSACTIONS_MASTER!$D$5:$D$1204,$T80,TRANSACTIONS_MASTER!$C$5:$C$1204,$C$2,TRANSACTIONS_MASTER!$U$5:$U$1204,"&lt;&gt;Cancelled"))</f>
        <v/>
      </c>
    </row>
    <row r="81">
      <c r="A81" s="81" t="str">
        <f>IF($Q81="","",74)</f>
        <v/>
      </c>
      <c r="B81" s="57" t="str">
        <f>IF($Q81="","",INDEX(TRANSACTIONS_MASTER!$B$5:$B$1204,$Q81))</f>
        <v/>
      </c>
      <c r="C81" s="55" t="str">
        <f>IF($Q81="","",INDEX(TRANSACTIONS_MASTER!$F$5:$F$1204,$Q81))</f>
        <v/>
      </c>
      <c r="D81" s="55" t="str">
        <f>IF($Q81="","",INDEX(TRANSACTIONS_MASTER!$E$5:$E$1204,$Q81))</f>
        <v/>
      </c>
      <c r="E81" s="55" t="str">
        <f>IF($Q81="","",INDEX(TRANSACTIONS_MASTER!$G$5:$G$1204,$Q81)&amp;"")</f>
        <v/>
      </c>
      <c r="F81" s="29" t="str">
        <f>IF($Q81="","",INDEX(TRANSACTIONS_MASTER!$I$5:$I$1204,$Q81))</f>
        <v/>
      </c>
      <c r="G81" s="55" t="str">
        <f>IF($Q81="","",INDEX(TRANSACTIONS_MASTER!$K$5:$K$1204,$Q81))</f>
        <v/>
      </c>
      <c r="H81" s="25" t="str">
        <f>IF($Q81="","",INDEX(TRANSACTIONS_MASTER!$L$5:$L$1204,$Q81))</f>
        <v/>
      </c>
      <c r="I81" s="56" t="str">
        <f>IF($Q81="","",INDEX(TRANSACTIONS_MASTER!$N$5:$N$1204,$Q81))</f>
        <v/>
      </c>
      <c r="J81" s="25" t="str">
        <f>IF($Q81="","",INDEX(TRANSACTIONS_MASTER!$O$5:$O$1204,$Q81))</f>
        <v/>
      </c>
      <c r="K81" s="26" t="str">
        <f>IF($Q81="","",INDEX(TRANSACTIONS_MASTER!$Q$5:$Q$1204,$Q81))</f>
        <v/>
      </c>
      <c r="L81" s="25" t="str">
        <f>IF($Q81="","",INDEX(TRANSACTIONS_MASTER!$P$5:$P$1204,$Q81))</f>
        <v/>
      </c>
      <c r="M81" s="25" t="str">
        <f>IF($Q81="","",INDEX(TRANSACTIONS_MASTER!$AA$5:$AA$1204,$Q81))</f>
        <v/>
      </c>
      <c r="N81" s="25" t="str">
        <f>IF($Q81="","",INDEX(TRANSACTIONS_MASTER!$R$5:$R$1204,$Q81))</f>
        <v/>
      </c>
      <c r="O81" s="28" t="str">
        <f>IF($Q81="","",INDEX(TRANSACTIONS_MASTER!$AB$5:$AB$1204,$Q81))</f>
        <v/>
      </c>
      <c r="P81" s="55" t="str">
        <f>IF($Q81="","",INDEX(TRANSACTIONS_MASTER!$Z$5:$Z$1204,$Q81)&amp;"")</f>
        <v/>
      </c>
      <c r="Q81" s="67" t="str">
        <f>IFERROR(MATCH($C$2&amp;"|"&amp;74,TRANSACTIONS_MASTER!$AE$5:$AE$1204,0),"")</f>
        <v/>
      </c>
      <c r="S81" s="67" t="n">
        <v>20</v>
      </c>
      <c r="T81" s="55" t="str">
        <f>IF(CARDS!$A24="","",CARDS!$A24)</f>
        <v/>
      </c>
      <c r="U81" s="55" t="str">
        <f>IF($T81="","",CARDS!$B24&amp;" "&amp;CARDS!$C24)</f>
        <v/>
      </c>
      <c r="V81" s="25" t="str">
        <f>IF($T81="","",SUMIFS(TRANSACTIONS_MASTER!$L$5:$L$1204,TRANSACTIONS_MASTER!$D$5:$D$1204,$T81,TRANSACTIONS_MASTER!$C$5:$C$1204,$C$2,TRANSACTIONS_MASTER!$U$5:$U$1204,"&lt;&gt;Cancelled"))</f>
        <v/>
      </c>
      <c r="W81" s="26" t="str">
        <f>IF($T81="","",SUMIFS(TRANSACTIONS_MASTER!$Q$5:$Q$1204,TRANSACTIONS_MASTER!$D$5:$D$1204,$T81,TRANSACTIONS_MASTER!$C$5:$C$1204,$C$2))</f>
        <v/>
      </c>
      <c r="X81" s="25" t="str">
        <f>IF($T81="","",IFERROR(IF(ISNUMBER(INDEX(CASHBACK_RULES!$K$5:$K$304,MATCH($T81,CASHBACK_RULES!$B$5:$B$304,0))),INDEX(CASHBACK_RULES!$K$5:$K$304,MATCH($T81,CASHBACK_RULES!$B$5:$B$304,0)),"∞"),"—"))</f>
        <v/>
      </c>
      <c r="Y81" s="25" t="str">
        <f>IF($T81="","",IF($X81="—","—",IF(COUNTIFS($T$8:$T$57,$T81,$Z$8:$Z$57,"∞")&gt;0,IF(ISNUMBER($X81),MAX(0,$X81-$W81),"∞"),IF(ISNUMBER($X81),MAX(0,MIN($X81-$W81,SUMIFS($Z$8:$Z$57,$T$8:$T$57,$T81))),SUMIFS($Z$8:$Z$57,$T$8:$T$57,$T81)))))</f>
        <v/>
      </c>
      <c r="Z81" s="27" t="str">
        <f>IF($T81="","",IF(ISNUMBER($X81),IF($X81=0,0,$W81/$X81),IF(ISNUMBER($Y81),IF($W81+$Y81=0,0,$W81/($W81+$Y81)),"")))</f>
        <v/>
      </c>
      <c r="AA81" s="29" t="str">
        <f>IF($T81="","",COUNTIFS(TRANSACTIONS_MASTER!$D$5:$D$1204,$T81,TRANSACTIONS_MASTER!$C$5:$C$1204,$C$2,TRANSACTIONS_MASTER!$U$5:$U$1204,"&lt;&gt;Cancelled"))</f>
        <v/>
      </c>
    </row>
    <row r="82">
      <c r="A82" s="81" t="str">
        <f>IF($Q82="","",75)</f>
        <v/>
      </c>
      <c r="B82" s="57" t="str">
        <f>IF($Q82="","",INDEX(TRANSACTIONS_MASTER!$B$5:$B$1204,$Q82))</f>
        <v/>
      </c>
      <c r="C82" s="55" t="str">
        <f>IF($Q82="","",INDEX(TRANSACTIONS_MASTER!$F$5:$F$1204,$Q82))</f>
        <v/>
      </c>
      <c r="D82" s="55" t="str">
        <f>IF($Q82="","",INDEX(TRANSACTIONS_MASTER!$E$5:$E$1204,$Q82))</f>
        <v/>
      </c>
      <c r="E82" s="55" t="str">
        <f>IF($Q82="","",INDEX(TRANSACTIONS_MASTER!$G$5:$G$1204,$Q82)&amp;"")</f>
        <v/>
      </c>
      <c r="F82" s="29" t="str">
        <f>IF($Q82="","",INDEX(TRANSACTIONS_MASTER!$I$5:$I$1204,$Q82))</f>
        <v/>
      </c>
      <c r="G82" s="55" t="str">
        <f>IF($Q82="","",INDEX(TRANSACTIONS_MASTER!$K$5:$K$1204,$Q82))</f>
        <v/>
      </c>
      <c r="H82" s="25" t="str">
        <f>IF($Q82="","",INDEX(TRANSACTIONS_MASTER!$L$5:$L$1204,$Q82))</f>
        <v/>
      </c>
      <c r="I82" s="56" t="str">
        <f>IF($Q82="","",INDEX(TRANSACTIONS_MASTER!$N$5:$N$1204,$Q82))</f>
        <v/>
      </c>
      <c r="J82" s="25" t="str">
        <f>IF($Q82="","",INDEX(TRANSACTIONS_MASTER!$O$5:$O$1204,$Q82))</f>
        <v/>
      </c>
      <c r="K82" s="26" t="str">
        <f>IF($Q82="","",INDEX(TRANSACTIONS_MASTER!$Q$5:$Q$1204,$Q82))</f>
        <v/>
      </c>
      <c r="L82" s="25" t="str">
        <f>IF($Q82="","",INDEX(TRANSACTIONS_MASTER!$P$5:$P$1204,$Q82))</f>
        <v/>
      </c>
      <c r="M82" s="25" t="str">
        <f>IF($Q82="","",INDEX(TRANSACTIONS_MASTER!$AA$5:$AA$1204,$Q82))</f>
        <v/>
      </c>
      <c r="N82" s="25" t="str">
        <f>IF($Q82="","",INDEX(TRANSACTIONS_MASTER!$R$5:$R$1204,$Q82))</f>
        <v/>
      </c>
      <c r="O82" s="28" t="str">
        <f>IF($Q82="","",INDEX(TRANSACTIONS_MASTER!$AB$5:$AB$1204,$Q82))</f>
        <v/>
      </c>
      <c r="P82" s="55" t="str">
        <f>IF($Q82="","",INDEX(TRANSACTIONS_MASTER!$Z$5:$Z$1204,$Q82)&amp;"")</f>
        <v/>
      </c>
      <c r="Q82" s="67" t="str">
        <f>IFERROR(MATCH($C$2&amp;"|"&amp;75,TRANSACTIONS_MASTER!$AE$5:$AE$1204,0),"")</f>
        <v/>
      </c>
      <c r="S82" s="67" t="n">
        <v>21</v>
      </c>
      <c r="T82" s="55" t="str">
        <f>IF(CARDS!$A25="","",CARDS!$A25)</f>
        <v/>
      </c>
      <c r="U82" s="55" t="str">
        <f>IF($T82="","",CARDS!$B25&amp;" "&amp;CARDS!$C25)</f>
        <v/>
      </c>
      <c r="V82" s="25" t="str">
        <f>IF($T82="","",SUMIFS(TRANSACTIONS_MASTER!$L$5:$L$1204,TRANSACTIONS_MASTER!$D$5:$D$1204,$T82,TRANSACTIONS_MASTER!$C$5:$C$1204,$C$2,TRANSACTIONS_MASTER!$U$5:$U$1204,"&lt;&gt;Cancelled"))</f>
        <v/>
      </c>
      <c r="W82" s="26" t="str">
        <f>IF($T82="","",SUMIFS(TRANSACTIONS_MASTER!$Q$5:$Q$1204,TRANSACTIONS_MASTER!$D$5:$D$1204,$T82,TRANSACTIONS_MASTER!$C$5:$C$1204,$C$2))</f>
        <v/>
      </c>
      <c r="X82" s="25" t="str">
        <f>IF($T82="","",IFERROR(IF(ISNUMBER(INDEX(CASHBACK_RULES!$K$5:$K$304,MATCH($T82,CASHBACK_RULES!$B$5:$B$304,0))),INDEX(CASHBACK_RULES!$K$5:$K$304,MATCH($T82,CASHBACK_RULES!$B$5:$B$304,0)),"∞"),"—"))</f>
        <v/>
      </c>
      <c r="Y82" s="25" t="str">
        <f>IF($T82="","",IF($X82="—","—",IF(COUNTIFS($T$8:$T$57,$T82,$Z$8:$Z$57,"∞")&gt;0,IF(ISNUMBER($X82),MAX(0,$X82-$W82),"∞"),IF(ISNUMBER($X82),MAX(0,MIN($X82-$W82,SUMIFS($Z$8:$Z$57,$T$8:$T$57,$T82))),SUMIFS($Z$8:$Z$57,$T$8:$T$57,$T82)))))</f>
        <v/>
      </c>
      <c r="Z82" s="27" t="str">
        <f>IF($T82="","",IF(ISNUMBER($X82),IF($X82=0,0,$W82/$X82),IF(ISNUMBER($Y82),IF($W82+$Y82=0,0,$W82/($W82+$Y82)),"")))</f>
        <v/>
      </c>
      <c r="AA82" s="29" t="str">
        <f>IF($T82="","",COUNTIFS(TRANSACTIONS_MASTER!$D$5:$D$1204,$T82,TRANSACTIONS_MASTER!$C$5:$C$1204,$C$2,TRANSACTIONS_MASTER!$U$5:$U$1204,"&lt;&gt;Cancelled"))</f>
        <v/>
      </c>
    </row>
    <row r="83">
      <c r="A83" s="81" t="str">
        <f>IF($Q83="","",76)</f>
        <v/>
      </c>
      <c r="B83" s="57" t="str">
        <f>IF($Q83="","",INDEX(TRANSACTIONS_MASTER!$B$5:$B$1204,$Q83))</f>
        <v/>
      </c>
      <c r="C83" s="55" t="str">
        <f>IF($Q83="","",INDEX(TRANSACTIONS_MASTER!$F$5:$F$1204,$Q83))</f>
        <v/>
      </c>
      <c r="D83" s="55" t="str">
        <f>IF($Q83="","",INDEX(TRANSACTIONS_MASTER!$E$5:$E$1204,$Q83))</f>
        <v/>
      </c>
      <c r="E83" s="55" t="str">
        <f>IF($Q83="","",INDEX(TRANSACTIONS_MASTER!$G$5:$G$1204,$Q83)&amp;"")</f>
        <v/>
      </c>
      <c r="F83" s="29" t="str">
        <f>IF($Q83="","",INDEX(TRANSACTIONS_MASTER!$I$5:$I$1204,$Q83))</f>
        <v/>
      </c>
      <c r="G83" s="55" t="str">
        <f>IF($Q83="","",INDEX(TRANSACTIONS_MASTER!$K$5:$K$1204,$Q83))</f>
        <v/>
      </c>
      <c r="H83" s="25" t="str">
        <f>IF($Q83="","",INDEX(TRANSACTIONS_MASTER!$L$5:$L$1204,$Q83))</f>
        <v/>
      </c>
      <c r="I83" s="56" t="str">
        <f>IF($Q83="","",INDEX(TRANSACTIONS_MASTER!$N$5:$N$1204,$Q83))</f>
        <v/>
      </c>
      <c r="J83" s="25" t="str">
        <f>IF($Q83="","",INDEX(TRANSACTIONS_MASTER!$O$5:$O$1204,$Q83))</f>
        <v/>
      </c>
      <c r="K83" s="26" t="str">
        <f>IF($Q83="","",INDEX(TRANSACTIONS_MASTER!$Q$5:$Q$1204,$Q83))</f>
        <v/>
      </c>
      <c r="L83" s="25" t="str">
        <f>IF($Q83="","",INDEX(TRANSACTIONS_MASTER!$P$5:$P$1204,$Q83))</f>
        <v/>
      </c>
      <c r="M83" s="25" t="str">
        <f>IF($Q83="","",INDEX(TRANSACTIONS_MASTER!$AA$5:$AA$1204,$Q83))</f>
        <v/>
      </c>
      <c r="N83" s="25" t="str">
        <f>IF($Q83="","",INDEX(TRANSACTIONS_MASTER!$R$5:$R$1204,$Q83))</f>
        <v/>
      </c>
      <c r="O83" s="28" t="str">
        <f>IF($Q83="","",INDEX(TRANSACTIONS_MASTER!$AB$5:$AB$1204,$Q83))</f>
        <v/>
      </c>
      <c r="P83" s="55" t="str">
        <f>IF($Q83="","",INDEX(TRANSACTIONS_MASTER!$Z$5:$Z$1204,$Q83)&amp;"")</f>
        <v/>
      </c>
      <c r="Q83" s="67" t="str">
        <f>IFERROR(MATCH($C$2&amp;"|"&amp;76,TRANSACTIONS_MASTER!$AE$5:$AE$1204,0),"")</f>
        <v/>
      </c>
      <c r="S83" s="67" t="n">
        <v>22</v>
      </c>
      <c r="T83" s="55" t="str">
        <f>IF(CARDS!$A26="","",CARDS!$A26)</f>
        <v/>
      </c>
      <c r="U83" s="55" t="str">
        <f>IF($T83="","",CARDS!$B26&amp;" "&amp;CARDS!$C26)</f>
        <v/>
      </c>
      <c r="V83" s="25" t="str">
        <f>IF($T83="","",SUMIFS(TRANSACTIONS_MASTER!$L$5:$L$1204,TRANSACTIONS_MASTER!$D$5:$D$1204,$T83,TRANSACTIONS_MASTER!$C$5:$C$1204,$C$2,TRANSACTIONS_MASTER!$U$5:$U$1204,"&lt;&gt;Cancelled"))</f>
        <v/>
      </c>
      <c r="W83" s="26" t="str">
        <f>IF($T83="","",SUMIFS(TRANSACTIONS_MASTER!$Q$5:$Q$1204,TRANSACTIONS_MASTER!$D$5:$D$1204,$T83,TRANSACTIONS_MASTER!$C$5:$C$1204,$C$2))</f>
        <v/>
      </c>
      <c r="X83" s="25" t="str">
        <f>IF($T83="","",IFERROR(IF(ISNUMBER(INDEX(CASHBACK_RULES!$K$5:$K$304,MATCH($T83,CASHBACK_RULES!$B$5:$B$304,0))),INDEX(CASHBACK_RULES!$K$5:$K$304,MATCH($T83,CASHBACK_RULES!$B$5:$B$304,0)),"∞"),"—"))</f>
        <v/>
      </c>
      <c r="Y83" s="25" t="str">
        <f>IF($T83="","",IF($X83="—","—",IF(COUNTIFS($T$8:$T$57,$T83,$Z$8:$Z$57,"∞")&gt;0,IF(ISNUMBER($X83),MAX(0,$X83-$W83),"∞"),IF(ISNUMBER($X83),MAX(0,MIN($X83-$W83,SUMIFS($Z$8:$Z$57,$T$8:$T$57,$T83))),SUMIFS($Z$8:$Z$57,$T$8:$T$57,$T83)))))</f>
        <v/>
      </c>
      <c r="Z83" s="27" t="str">
        <f>IF($T83="","",IF(ISNUMBER($X83),IF($X83=0,0,$W83/$X83),IF(ISNUMBER($Y83),IF($W83+$Y83=0,0,$W83/($W83+$Y83)),"")))</f>
        <v/>
      </c>
      <c r="AA83" s="29" t="str">
        <f>IF($T83="","",COUNTIFS(TRANSACTIONS_MASTER!$D$5:$D$1204,$T83,TRANSACTIONS_MASTER!$C$5:$C$1204,$C$2,TRANSACTIONS_MASTER!$U$5:$U$1204,"&lt;&gt;Cancelled"))</f>
        <v/>
      </c>
    </row>
    <row r="84">
      <c r="A84" s="81" t="str">
        <f>IF($Q84="","",77)</f>
        <v/>
      </c>
      <c r="B84" s="57" t="str">
        <f>IF($Q84="","",INDEX(TRANSACTIONS_MASTER!$B$5:$B$1204,$Q84))</f>
        <v/>
      </c>
      <c r="C84" s="55" t="str">
        <f>IF($Q84="","",INDEX(TRANSACTIONS_MASTER!$F$5:$F$1204,$Q84))</f>
        <v/>
      </c>
      <c r="D84" s="55" t="str">
        <f>IF($Q84="","",INDEX(TRANSACTIONS_MASTER!$E$5:$E$1204,$Q84))</f>
        <v/>
      </c>
      <c r="E84" s="55" t="str">
        <f>IF($Q84="","",INDEX(TRANSACTIONS_MASTER!$G$5:$G$1204,$Q84)&amp;"")</f>
        <v/>
      </c>
      <c r="F84" s="29" t="str">
        <f>IF($Q84="","",INDEX(TRANSACTIONS_MASTER!$I$5:$I$1204,$Q84))</f>
        <v/>
      </c>
      <c r="G84" s="55" t="str">
        <f>IF($Q84="","",INDEX(TRANSACTIONS_MASTER!$K$5:$K$1204,$Q84))</f>
        <v/>
      </c>
      <c r="H84" s="25" t="str">
        <f>IF($Q84="","",INDEX(TRANSACTIONS_MASTER!$L$5:$L$1204,$Q84))</f>
        <v/>
      </c>
      <c r="I84" s="56" t="str">
        <f>IF($Q84="","",INDEX(TRANSACTIONS_MASTER!$N$5:$N$1204,$Q84))</f>
        <v/>
      </c>
      <c r="J84" s="25" t="str">
        <f>IF($Q84="","",INDEX(TRANSACTIONS_MASTER!$O$5:$O$1204,$Q84))</f>
        <v/>
      </c>
      <c r="K84" s="26" t="str">
        <f>IF($Q84="","",INDEX(TRANSACTIONS_MASTER!$Q$5:$Q$1204,$Q84))</f>
        <v/>
      </c>
      <c r="L84" s="25" t="str">
        <f>IF($Q84="","",INDEX(TRANSACTIONS_MASTER!$P$5:$P$1204,$Q84))</f>
        <v/>
      </c>
      <c r="M84" s="25" t="str">
        <f>IF($Q84="","",INDEX(TRANSACTIONS_MASTER!$AA$5:$AA$1204,$Q84))</f>
        <v/>
      </c>
      <c r="N84" s="25" t="str">
        <f>IF($Q84="","",INDEX(TRANSACTIONS_MASTER!$R$5:$R$1204,$Q84))</f>
        <v/>
      </c>
      <c r="O84" s="28" t="str">
        <f>IF($Q84="","",INDEX(TRANSACTIONS_MASTER!$AB$5:$AB$1204,$Q84))</f>
        <v/>
      </c>
      <c r="P84" s="55" t="str">
        <f>IF($Q84="","",INDEX(TRANSACTIONS_MASTER!$Z$5:$Z$1204,$Q84)&amp;"")</f>
        <v/>
      </c>
      <c r="Q84" s="67" t="str">
        <f>IFERROR(MATCH($C$2&amp;"|"&amp;77,TRANSACTIONS_MASTER!$AE$5:$AE$1204,0),"")</f>
        <v/>
      </c>
      <c r="S84" s="67" t="n">
        <v>23</v>
      </c>
      <c r="T84" s="55" t="str">
        <f>IF(CARDS!$A27="","",CARDS!$A27)</f>
        <v/>
      </c>
      <c r="U84" s="55" t="str">
        <f>IF($T84="","",CARDS!$B27&amp;" "&amp;CARDS!$C27)</f>
        <v/>
      </c>
      <c r="V84" s="25" t="str">
        <f>IF($T84="","",SUMIFS(TRANSACTIONS_MASTER!$L$5:$L$1204,TRANSACTIONS_MASTER!$D$5:$D$1204,$T84,TRANSACTIONS_MASTER!$C$5:$C$1204,$C$2,TRANSACTIONS_MASTER!$U$5:$U$1204,"&lt;&gt;Cancelled"))</f>
        <v/>
      </c>
      <c r="W84" s="26" t="str">
        <f>IF($T84="","",SUMIFS(TRANSACTIONS_MASTER!$Q$5:$Q$1204,TRANSACTIONS_MASTER!$D$5:$D$1204,$T84,TRANSACTIONS_MASTER!$C$5:$C$1204,$C$2))</f>
        <v/>
      </c>
      <c r="X84" s="25" t="str">
        <f>IF($T84="","",IFERROR(IF(ISNUMBER(INDEX(CASHBACK_RULES!$K$5:$K$304,MATCH($T84,CASHBACK_RULES!$B$5:$B$304,0))),INDEX(CASHBACK_RULES!$K$5:$K$304,MATCH($T84,CASHBACK_RULES!$B$5:$B$304,0)),"∞"),"—"))</f>
        <v/>
      </c>
      <c r="Y84" s="25" t="str">
        <f>IF($T84="","",IF($X84="—","—",IF(COUNTIFS($T$8:$T$57,$T84,$Z$8:$Z$57,"∞")&gt;0,IF(ISNUMBER($X84),MAX(0,$X84-$W84),"∞"),IF(ISNUMBER($X84),MAX(0,MIN($X84-$W84,SUMIFS($Z$8:$Z$57,$T$8:$T$57,$T84))),SUMIFS($Z$8:$Z$57,$T$8:$T$57,$T84)))))</f>
        <v/>
      </c>
      <c r="Z84" s="27" t="str">
        <f>IF($T84="","",IF(ISNUMBER($X84),IF($X84=0,0,$W84/$X84),IF(ISNUMBER($Y84),IF($W84+$Y84=0,0,$W84/($W84+$Y84)),"")))</f>
        <v/>
      </c>
      <c r="AA84" s="29" t="str">
        <f>IF($T84="","",COUNTIFS(TRANSACTIONS_MASTER!$D$5:$D$1204,$T84,TRANSACTIONS_MASTER!$C$5:$C$1204,$C$2,TRANSACTIONS_MASTER!$U$5:$U$1204,"&lt;&gt;Cancelled"))</f>
        <v/>
      </c>
    </row>
    <row r="85">
      <c r="A85" s="81" t="str">
        <f>IF($Q85="","",78)</f>
        <v/>
      </c>
      <c r="B85" s="57" t="str">
        <f>IF($Q85="","",INDEX(TRANSACTIONS_MASTER!$B$5:$B$1204,$Q85))</f>
        <v/>
      </c>
      <c r="C85" s="55" t="str">
        <f>IF($Q85="","",INDEX(TRANSACTIONS_MASTER!$F$5:$F$1204,$Q85))</f>
        <v/>
      </c>
      <c r="D85" s="55" t="str">
        <f>IF($Q85="","",INDEX(TRANSACTIONS_MASTER!$E$5:$E$1204,$Q85))</f>
        <v/>
      </c>
      <c r="E85" s="55" t="str">
        <f>IF($Q85="","",INDEX(TRANSACTIONS_MASTER!$G$5:$G$1204,$Q85)&amp;"")</f>
        <v/>
      </c>
      <c r="F85" s="29" t="str">
        <f>IF($Q85="","",INDEX(TRANSACTIONS_MASTER!$I$5:$I$1204,$Q85))</f>
        <v/>
      </c>
      <c r="G85" s="55" t="str">
        <f>IF($Q85="","",INDEX(TRANSACTIONS_MASTER!$K$5:$K$1204,$Q85))</f>
        <v/>
      </c>
      <c r="H85" s="25" t="str">
        <f>IF($Q85="","",INDEX(TRANSACTIONS_MASTER!$L$5:$L$1204,$Q85))</f>
        <v/>
      </c>
      <c r="I85" s="56" t="str">
        <f>IF($Q85="","",INDEX(TRANSACTIONS_MASTER!$N$5:$N$1204,$Q85))</f>
        <v/>
      </c>
      <c r="J85" s="25" t="str">
        <f>IF($Q85="","",INDEX(TRANSACTIONS_MASTER!$O$5:$O$1204,$Q85))</f>
        <v/>
      </c>
      <c r="K85" s="26" t="str">
        <f>IF($Q85="","",INDEX(TRANSACTIONS_MASTER!$Q$5:$Q$1204,$Q85))</f>
        <v/>
      </c>
      <c r="L85" s="25" t="str">
        <f>IF($Q85="","",INDEX(TRANSACTIONS_MASTER!$P$5:$P$1204,$Q85))</f>
        <v/>
      </c>
      <c r="M85" s="25" t="str">
        <f>IF($Q85="","",INDEX(TRANSACTIONS_MASTER!$AA$5:$AA$1204,$Q85))</f>
        <v/>
      </c>
      <c r="N85" s="25" t="str">
        <f>IF($Q85="","",INDEX(TRANSACTIONS_MASTER!$R$5:$R$1204,$Q85))</f>
        <v/>
      </c>
      <c r="O85" s="28" t="str">
        <f>IF($Q85="","",INDEX(TRANSACTIONS_MASTER!$AB$5:$AB$1204,$Q85))</f>
        <v/>
      </c>
      <c r="P85" s="55" t="str">
        <f>IF($Q85="","",INDEX(TRANSACTIONS_MASTER!$Z$5:$Z$1204,$Q85)&amp;"")</f>
        <v/>
      </c>
      <c r="Q85" s="67" t="str">
        <f>IFERROR(MATCH($C$2&amp;"|"&amp;78,TRANSACTIONS_MASTER!$AE$5:$AE$1204,0),"")</f>
        <v/>
      </c>
      <c r="S85" s="67" t="n">
        <v>24</v>
      </c>
      <c r="T85" s="55" t="str">
        <f>IF(CARDS!$A28="","",CARDS!$A28)</f>
        <v/>
      </c>
      <c r="U85" s="55" t="str">
        <f>IF($T85="","",CARDS!$B28&amp;" "&amp;CARDS!$C28)</f>
        <v/>
      </c>
      <c r="V85" s="25" t="str">
        <f>IF($T85="","",SUMIFS(TRANSACTIONS_MASTER!$L$5:$L$1204,TRANSACTIONS_MASTER!$D$5:$D$1204,$T85,TRANSACTIONS_MASTER!$C$5:$C$1204,$C$2,TRANSACTIONS_MASTER!$U$5:$U$1204,"&lt;&gt;Cancelled"))</f>
        <v/>
      </c>
      <c r="W85" s="26" t="str">
        <f>IF($T85="","",SUMIFS(TRANSACTIONS_MASTER!$Q$5:$Q$1204,TRANSACTIONS_MASTER!$D$5:$D$1204,$T85,TRANSACTIONS_MASTER!$C$5:$C$1204,$C$2))</f>
        <v/>
      </c>
      <c r="X85" s="25" t="str">
        <f>IF($T85="","",IFERROR(IF(ISNUMBER(INDEX(CASHBACK_RULES!$K$5:$K$304,MATCH($T85,CASHBACK_RULES!$B$5:$B$304,0))),INDEX(CASHBACK_RULES!$K$5:$K$304,MATCH($T85,CASHBACK_RULES!$B$5:$B$304,0)),"∞"),"—"))</f>
        <v/>
      </c>
      <c r="Y85" s="25" t="str">
        <f>IF($T85="","",IF($X85="—","—",IF(COUNTIFS($T$8:$T$57,$T85,$Z$8:$Z$57,"∞")&gt;0,IF(ISNUMBER($X85),MAX(0,$X85-$W85),"∞"),IF(ISNUMBER($X85),MAX(0,MIN($X85-$W85,SUMIFS($Z$8:$Z$57,$T$8:$T$57,$T85))),SUMIFS($Z$8:$Z$57,$T$8:$T$57,$T85)))))</f>
        <v/>
      </c>
      <c r="Z85" s="27" t="str">
        <f>IF($T85="","",IF(ISNUMBER($X85),IF($X85=0,0,$W85/$X85),IF(ISNUMBER($Y85),IF($W85+$Y85=0,0,$W85/($W85+$Y85)),"")))</f>
        <v/>
      </c>
      <c r="AA85" s="29" t="str">
        <f>IF($T85="","",COUNTIFS(TRANSACTIONS_MASTER!$D$5:$D$1204,$T85,TRANSACTIONS_MASTER!$C$5:$C$1204,$C$2,TRANSACTIONS_MASTER!$U$5:$U$1204,"&lt;&gt;Cancelled"))</f>
        <v/>
      </c>
    </row>
    <row r="86">
      <c r="A86" s="81" t="str">
        <f>IF($Q86="","",79)</f>
        <v/>
      </c>
      <c r="B86" s="57" t="str">
        <f>IF($Q86="","",INDEX(TRANSACTIONS_MASTER!$B$5:$B$1204,$Q86))</f>
        <v/>
      </c>
      <c r="C86" s="55" t="str">
        <f>IF($Q86="","",INDEX(TRANSACTIONS_MASTER!$F$5:$F$1204,$Q86))</f>
        <v/>
      </c>
      <c r="D86" s="55" t="str">
        <f>IF($Q86="","",INDEX(TRANSACTIONS_MASTER!$E$5:$E$1204,$Q86))</f>
        <v/>
      </c>
      <c r="E86" s="55" t="str">
        <f>IF($Q86="","",INDEX(TRANSACTIONS_MASTER!$G$5:$G$1204,$Q86)&amp;"")</f>
        <v/>
      </c>
      <c r="F86" s="29" t="str">
        <f>IF($Q86="","",INDEX(TRANSACTIONS_MASTER!$I$5:$I$1204,$Q86))</f>
        <v/>
      </c>
      <c r="G86" s="55" t="str">
        <f>IF($Q86="","",INDEX(TRANSACTIONS_MASTER!$K$5:$K$1204,$Q86))</f>
        <v/>
      </c>
      <c r="H86" s="25" t="str">
        <f>IF($Q86="","",INDEX(TRANSACTIONS_MASTER!$L$5:$L$1204,$Q86))</f>
        <v/>
      </c>
      <c r="I86" s="56" t="str">
        <f>IF($Q86="","",INDEX(TRANSACTIONS_MASTER!$N$5:$N$1204,$Q86))</f>
        <v/>
      </c>
      <c r="J86" s="25" t="str">
        <f>IF($Q86="","",INDEX(TRANSACTIONS_MASTER!$O$5:$O$1204,$Q86))</f>
        <v/>
      </c>
      <c r="K86" s="26" t="str">
        <f>IF($Q86="","",INDEX(TRANSACTIONS_MASTER!$Q$5:$Q$1204,$Q86))</f>
        <v/>
      </c>
      <c r="L86" s="25" t="str">
        <f>IF($Q86="","",INDEX(TRANSACTIONS_MASTER!$P$5:$P$1204,$Q86))</f>
        <v/>
      </c>
      <c r="M86" s="25" t="str">
        <f>IF($Q86="","",INDEX(TRANSACTIONS_MASTER!$AA$5:$AA$1204,$Q86))</f>
        <v/>
      </c>
      <c r="N86" s="25" t="str">
        <f>IF($Q86="","",INDEX(TRANSACTIONS_MASTER!$R$5:$R$1204,$Q86))</f>
        <v/>
      </c>
      <c r="O86" s="28" t="str">
        <f>IF($Q86="","",INDEX(TRANSACTIONS_MASTER!$AB$5:$AB$1204,$Q86))</f>
        <v/>
      </c>
      <c r="P86" s="55" t="str">
        <f>IF($Q86="","",INDEX(TRANSACTIONS_MASTER!$Z$5:$Z$1204,$Q86)&amp;"")</f>
        <v/>
      </c>
      <c r="Q86" s="67" t="str">
        <f>IFERROR(MATCH($C$2&amp;"|"&amp;79,TRANSACTIONS_MASTER!$AE$5:$AE$1204,0),"")</f>
        <v/>
      </c>
      <c r="S86" s="67" t="n">
        <v>25</v>
      </c>
      <c r="T86" s="55" t="str">
        <f>IF(CARDS!$A29="","",CARDS!$A29)</f>
        <v/>
      </c>
      <c r="U86" s="55" t="str">
        <f>IF($T86="","",CARDS!$B29&amp;" "&amp;CARDS!$C29)</f>
        <v/>
      </c>
      <c r="V86" s="25" t="str">
        <f>IF($T86="","",SUMIFS(TRANSACTIONS_MASTER!$L$5:$L$1204,TRANSACTIONS_MASTER!$D$5:$D$1204,$T86,TRANSACTIONS_MASTER!$C$5:$C$1204,$C$2,TRANSACTIONS_MASTER!$U$5:$U$1204,"&lt;&gt;Cancelled"))</f>
        <v/>
      </c>
      <c r="W86" s="26" t="str">
        <f>IF($T86="","",SUMIFS(TRANSACTIONS_MASTER!$Q$5:$Q$1204,TRANSACTIONS_MASTER!$D$5:$D$1204,$T86,TRANSACTIONS_MASTER!$C$5:$C$1204,$C$2))</f>
        <v/>
      </c>
      <c r="X86" s="25" t="str">
        <f>IF($T86="","",IFERROR(IF(ISNUMBER(INDEX(CASHBACK_RULES!$K$5:$K$304,MATCH($T86,CASHBACK_RULES!$B$5:$B$304,0))),INDEX(CASHBACK_RULES!$K$5:$K$304,MATCH($T86,CASHBACK_RULES!$B$5:$B$304,0)),"∞"),"—"))</f>
        <v/>
      </c>
      <c r="Y86" s="25" t="str">
        <f>IF($T86="","",IF($X86="—","—",IF(COUNTIFS($T$8:$T$57,$T86,$Z$8:$Z$57,"∞")&gt;0,IF(ISNUMBER($X86),MAX(0,$X86-$W86),"∞"),IF(ISNUMBER($X86),MAX(0,MIN($X86-$W86,SUMIFS($Z$8:$Z$57,$T$8:$T$57,$T86))),SUMIFS($Z$8:$Z$57,$T$8:$T$57,$T86)))))</f>
        <v/>
      </c>
      <c r="Z86" s="27" t="str">
        <f>IF($T86="","",IF(ISNUMBER($X86),IF($X86=0,0,$W86/$X86),IF(ISNUMBER($Y86),IF($W86+$Y86=0,0,$W86/($W86+$Y86)),"")))</f>
        <v/>
      </c>
      <c r="AA86" s="29" t="str">
        <f>IF($T86="","",COUNTIFS(TRANSACTIONS_MASTER!$D$5:$D$1204,$T86,TRANSACTIONS_MASTER!$C$5:$C$1204,$C$2,TRANSACTIONS_MASTER!$U$5:$U$1204,"&lt;&gt;Cancelled"))</f>
        <v/>
      </c>
    </row>
    <row r="87">
      <c r="A87" s="81" t="str">
        <f>IF($Q87="","",80)</f>
        <v/>
      </c>
      <c r="B87" s="57" t="str">
        <f>IF($Q87="","",INDEX(TRANSACTIONS_MASTER!$B$5:$B$1204,$Q87))</f>
        <v/>
      </c>
      <c r="C87" s="55" t="str">
        <f>IF($Q87="","",INDEX(TRANSACTIONS_MASTER!$F$5:$F$1204,$Q87))</f>
        <v/>
      </c>
      <c r="D87" s="55" t="str">
        <f>IF($Q87="","",INDEX(TRANSACTIONS_MASTER!$E$5:$E$1204,$Q87))</f>
        <v/>
      </c>
      <c r="E87" s="55" t="str">
        <f>IF($Q87="","",INDEX(TRANSACTIONS_MASTER!$G$5:$G$1204,$Q87)&amp;"")</f>
        <v/>
      </c>
      <c r="F87" s="29" t="str">
        <f>IF($Q87="","",INDEX(TRANSACTIONS_MASTER!$I$5:$I$1204,$Q87))</f>
        <v/>
      </c>
      <c r="G87" s="55" t="str">
        <f>IF($Q87="","",INDEX(TRANSACTIONS_MASTER!$K$5:$K$1204,$Q87))</f>
        <v/>
      </c>
      <c r="H87" s="25" t="str">
        <f>IF($Q87="","",INDEX(TRANSACTIONS_MASTER!$L$5:$L$1204,$Q87))</f>
        <v/>
      </c>
      <c r="I87" s="56" t="str">
        <f>IF($Q87="","",INDEX(TRANSACTIONS_MASTER!$N$5:$N$1204,$Q87))</f>
        <v/>
      </c>
      <c r="J87" s="25" t="str">
        <f>IF($Q87="","",INDEX(TRANSACTIONS_MASTER!$O$5:$O$1204,$Q87))</f>
        <v/>
      </c>
      <c r="K87" s="26" t="str">
        <f>IF($Q87="","",INDEX(TRANSACTIONS_MASTER!$Q$5:$Q$1204,$Q87))</f>
        <v/>
      </c>
      <c r="L87" s="25" t="str">
        <f>IF($Q87="","",INDEX(TRANSACTIONS_MASTER!$P$5:$P$1204,$Q87))</f>
        <v/>
      </c>
      <c r="M87" s="25" t="str">
        <f>IF($Q87="","",INDEX(TRANSACTIONS_MASTER!$AA$5:$AA$1204,$Q87))</f>
        <v/>
      </c>
      <c r="N87" s="25" t="str">
        <f>IF($Q87="","",INDEX(TRANSACTIONS_MASTER!$R$5:$R$1204,$Q87))</f>
        <v/>
      </c>
      <c r="O87" s="28" t="str">
        <f>IF($Q87="","",INDEX(TRANSACTIONS_MASTER!$AB$5:$AB$1204,$Q87))</f>
        <v/>
      </c>
      <c r="P87" s="55" t="str">
        <f>IF($Q87="","",INDEX(TRANSACTIONS_MASTER!$Z$5:$Z$1204,$Q87)&amp;"")</f>
        <v/>
      </c>
      <c r="Q87" s="67" t="str">
        <f>IFERROR(MATCH($C$2&amp;"|"&amp;80,TRANSACTIONS_MASTER!$AE$5:$AE$1204,0),"")</f>
        <v/>
      </c>
      <c r="S87" s="67" t="n">
        <v>26</v>
      </c>
      <c r="T87" s="55" t="str">
        <f>IF(CARDS!$A30="","",CARDS!$A30)</f>
        <v/>
      </c>
      <c r="U87" s="55" t="str">
        <f>IF($T87="","",CARDS!$B30&amp;" "&amp;CARDS!$C30)</f>
        <v/>
      </c>
      <c r="V87" s="25" t="str">
        <f>IF($T87="","",SUMIFS(TRANSACTIONS_MASTER!$L$5:$L$1204,TRANSACTIONS_MASTER!$D$5:$D$1204,$T87,TRANSACTIONS_MASTER!$C$5:$C$1204,$C$2,TRANSACTIONS_MASTER!$U$5:$U$1204,"&lt;&gt;Cancelled"))</f>
        <v/>
      </c>
      <c r="W87" s="26" t="str">
        <f>IF($T87="","",SUMIFS(TRANSACTIONS_MASTER!$Q$5:$Q$1204,TRANSACTIONS_MASTER!$D$5:$D$1204,$T87,TRANSACTIONS_MASTER!$C$5:$C$1204,$C$2))</f>
        <v/>
      </c>
      <c r="X87" s="25" t="str">
        <f>IF($T87="","",IFERROR(IF(ISNUMBER(INDEX(CASHBACK_RULES!$K$5:$K$304,MATCH($T87,CASHBACK_RULES!$B$5:$B$304,0))),INDEX(CASHBACK_RULES!$K$5:$K$304,MATCH($T87,CASHBACK_RULES!$B$5:$B$304,0)),"∞"),"—"))</f>
        <v/>
      </c>
      <c r="Y87" s="25" t="str">
        <f>IF($T87="","",IF($X87="—","—",IF(COUNTIFS($T$8:$T$57,$T87,$Z$8:$Z$57,"∞")&gt;0,IF(ISNUMBER($X87),MAX(0,$X87-$W87),"∞"),IF(ISNUMBER($X87),MAX(0,MIN($X87-$W87,SUMIFS($Z$8:$Z$57,$T$8:$T$57,$T87))),SUMIFS($Z$8:$Z$57,$T$8:$T$57,$T87)))))</f>
        <v/>
      </c>
      <c r="Z87" s="27" t="str">
        <f>IF($T87="","",IF(ISNUMBER($X87),IF($X87=0,0,$W87/$X87),IF(ISNUMBER($Y87),IF($W87+$Y87=0,0,$W87/($W87+$Y87)),"")))</f>
        <v/>
      </c>
      <c r="AA87" s="29" t="str">
        <f>IF($T87="","",COUNTIFS(TRANSACTIONS_MASTER!$D$5:$D$1204,$T87,TRANSACTIONS_MASTER!$C$5:$C$1204,$C$2,TRANSACTIONS_MASTER!$U$5:$U$1204,"&lt;&gt;Cancelled"))</f>
        <v/>
      </c>
    </row>
    <row r="88">
      <c r="A88" s="81" t="str">
        <f>IF($Q88="","",81)</f>
        <v/>
      </c>
      <c r="B88" s="57" t="str">
        <f>IF($Q88="","",INDEX(TRANSACTIONS_MASTER!$B$5:$B$1204,$Q88))</f>
        <v/>
      </c>
      <c r="C88" s="55" t="str">
        <f>IF($Q88="","",INDEX(TRANSACTIONS_MASTER!$F$5:$F$1204,$Q88))</f>
        <v/>
      </c>
      <c r="D88" s="55" t="str">
        <f>IF($Q88="","",INDEX(TRANSACTIONS_MASTER!$E$5:$E$1204,$Q88))</f>
        <v/>
      </c>
      <c r="E88" s="55" t="str">
        <f>IF($Q88="","",INDEX(TRANSACTIONS_MASTER!$G$5:$G$1204,$Q88)&amp;"")</f>
        <v/>
      </c>
      <c r="F88" s="29" t="str">
        <f>IF($Q88="","",INDEX(TRANSACTIONS_MASTER!$I$5:$I$1204,$Q88))</f>
        <v/>
      </c>
      <c r="G88" s="55" t="str">
        <f>IF($Q88="","",INDEX(TRANSACTIONS_MASTER!$K$5:$K$1204,$Q88))</f>
        <v/>
      </c>
      <c r="H88" s="25" t="str">
        <f>IF($Q88="","",INDEX(TRANSACTIONS_MASTER!$L$5:$L$1204,$Q88))</f>
        <v/>
      </c>
      <c r="I88" s="56" t="str">
        <f>IF($Q88="","",INDEX(TRANSACTIONS_MASTER!$N$5:$N$1204,$Q88))</f>
        <v/>
      </c>
      <c r="J88" s="25" t="str">
        <f>IF($Q88="","",INDEX(TRANSACTIONS_MASTER!$O$5:$O$1204,$Q88))</f>
        <v/>
      </c>
      <c r="K88" s="26" t="str">
        <f>IF($Q88="","",INDEX(TRANSACTIONS_MASTER!$Q$5:$Q$1204,$Q88))</f>
        <v/>
      </c>
      <c r="L88" s="25" t="str">
        <f>IF($Q88="","",INDEX(TRANSACTIONS_MASTER!$P$5:$P$1204,$Q88))</f>
        <v/>
      </c>
      <c r="M88" s="25" t="str">
        <f>IF($Q88="","",INDEX(TRANSACTIONS_MASTER!$AA$5:$AA$1204,$Q88))</f>
        <v/>
      </c>
      <c r="N88" s="25" t="str">
        <f>IF($Q88="","",INDEX(TRANSACTIONS_MASTER!$R$5:$R$1204,$Q88))</f>
        <v/>
      </c>
      <c r="O88" s="28" t="str">
        <f>IF($Q88="","",INDEX(TRANSACTIONS_MASTER!$AB$5:$AB$1204,$Q88))</f>
        <v/>
      </c>
      <c r="P88" s="55" t="str">
        <f>IF($Q88="","",INDEX(TRANSACTIONS_MASTER!$Z$5:$Z$1204,$Q88)&amp;"")</f>
        <v/>
      </c>
      <c r="Q88" s="67" t="str">
        <f>IFERROR(MATCH($C$2&amp;"|"&amp;81,TRANSACTIONS_MASTER!$AE$5:$AE$1204,0),"")</f>
        <v/>
      </c>
      <c r="S88" s="67" t="n">
        <v>27</v>
      </c>
      <c r="T88" s="55" t="str">
        <f>IF(CARDS!$A31="","",CARDS!$A31)</f>
        <v/>
      </c>
      <c r="U88" s="55" t="str">
        <f>IF($T88="","",CARDS!$B31&amp;" "&amp;CARDS!$C31)</f>
        <v/>
      </c>
      <c r="V88" s="25" t="str">
        <f>IF($T88="","",SUMIFS(TRANSACTIONS_MASTER!$L$5:$L$1204,TRANSACTIONS_MASTER!$D$5:$D$1204,$T88,TRANSACTIONS_MASTER!$C$5:$C$1204,$C$2,TRANSACTIONS_MASTER!$U$5:$U$1204,"&lt;&gt;Cancelled"))</f>
        <v/>
      </c>
      <c r="W88" s="26" t="str">
        <f>IF($T88="","",SUMIFS(TRANSACTIONS_MASTER!$Q$5:$Q$1204,TRANSACTIONS_MASTER!$D$5:$D$1204,$T88,TRANSACTIONS_MASTER!$C$5:$C$1204,$C$2))</f>
        <v/>
      </c>
      <c r="X88" s="25" t="str">
        <f>IF($T88="","",IFERROR(IF(ISNUMBER(INDEX(CASHBACK_RULES!$K$5:$K$304,MATCH($T88,CASHBACK_RULES!$B$5:$B$304,0))),INDEX(CASHBACK_RULES!$K$5:$K$304,MATCH($T88,CASHBACK_RULES!$B$5:$B$304,0)),"∞"),"—"))</f>
        <v/>
      </c>
      <c r="Y88" s="25" t="str">
        <f>IF($T88="","",IF($X88="—","—",IF(COUNTIFS($T$8:$T$57,$T88,$Z$8:$Z$57,"∞")&gt;0,IF(ISNUMBER($X88),MAX(0,$X88-$W88),"∞"),IF(ISNUMBER($X88),MAX(0,MIN($X88-$W88,SUMIFS($Z$8:$Z$57,$T$8:$T$57,$T88))),SUMIFS($Z$8:$Z$57,$T$8:$T$57,$T88)))))</f>
        <v/>
      </c>
      <c r="Z88" s="27" t="str">
        <f>IF($T88="","",IF(ISNUMBER($X88),IF($X88=0,0,$W88/$X88),IF(ISNUMBER($Y88),IF($W88+$Y88=0,0,$W88/($W88+$Y88)),"")))</f>
        <v/>
      </c>
      <c r="AA88" s="29" t="str">
        <f>IF($T88="","",COUNTIFS(TRANSACTIONS_MASTER!$D$5:$D$1204,$T88,TRANSACTIONS_MASTER!$C$5:$C$1204,$C$2,TRANSACTIONS_MASTER!$U$5:$U$1204,"&lt;&gt;Cancelled"))</f>
        <v/>
      </c>
    </row>
    <row r="89">
      <c r="A89" s="81" t="str">
        <f>IF($Q89="","",82)</f>
        <v/>
      </c>
      <c r="B89" s="57" t="str">
        <f>IF($Q89="","",INDEX(TRANSACTIONS_MASTER!$B$5:$B$1204,$Q89))</f>
        <v/>
      </c>
      <c r="C89" s="55" t="str">
        <f>IF($Q89="","",INDEX(TRANSACTIONS_MASTER!$F$5:$F$1204,$Q89))</f>
        <v/>
      </c>
      <c r="D89" s="55" t="str">
        <f>IF($Q89="","",INDEX(TRANSACTIONS_MASTER!$E$5:$E$1204,$Q89))</f>
        <v/>
      </c>
      <c r="E89" s="55" t="str">
        <f>IF($Q89="","",INDEX(TRANSACTIONS_MASTER!$G$5:$G$1204,$Q89)&amp;"")</f>
        <v/>
      </c>
      <c r="F89" s="29" t="str">
        <f>IF($Q89="","",INDEX(TRANSACTIONS_MASTER!$I$5:$I$1204,$Q89))</f>
        <v/>
      </c>
      <c r="G89" s="55" t="str">
        <f>IF($Q89="","",INDEX(TRANSACTIONS_MASTER!$K$5:$K$1204,$Q89))</f>
        <v/>
      </c>
      <c r="H89" s="25" t="str">
        <f>IF($Q89="","",INDEX(TRANSACTIONS_MASTER!$L$5:$L$1204,$Q89))</f>
        <v/>
      </c>
      <c r="I89" s="56" t="str">
        <f>IF($Q89="","",INDEX(TRANSACTIONS_MASTER!$N$5:$N$1204,$Q89))</f>
        <v/>
      </c>
      <c r="J89" s="25" t="str">
        <f>IF($Q89="","",INDEX(TRANSACTIONS_MASTER!$O$5:$O$1204,$Q89))</f>
        <v/>
      </c>
      <c r="K89" s="26" t="str">
        <f>IF($Q89="","",INDEX(TRANSACTIONS_MASTER!$Q$5:$Q$1204,$Q89))</f>
        <v/>
      </c>
      <c r="L89" s="25" t="str">
        <f>IF($Q89="","",INDEX(TRANSACTIONS_MASTER!$P$5:$P$1204,$Q89))</f>
        <v/>
      </c>
      <c r="M89" s="25" t="str">
        <f>IF($Q89="","",INDEX(TRANSACTIONS_MASTER!$AA$5:$AA$1204,$Q89))</f>
        <v/>
      </c>
      <c r="N89" s="25" t="str">
        <f>IF($Q89="","",INDEX(TRANSACTIONS_MASTER!$R$5:$R$1204,$Q89))</f>
        <v/>
      </c>
      <c r="O89" s="28" t="str">
        <f>IF($Q89="","",INDEX(TRANSACTIONS_MASTER!$AB$5:$AB$1204,$Q89))</f>
        <v/>
      </c>
      <c r="P89" s="55" t="str">
        <f>IF($Q89="","",INDEX(TRANSACTIONS_MASTER!$Z$5:$Z$1204,$Q89)&amp;"")</f>
        <v/>
      </c>
      <c r="Q89" s="67" t="str">
        <f>IFERROR(MATCH($C$2&amp;"|"&amp;82,TRANSACTIONS_MASTER!$AE$5:$AE$1204,0),"")</f>
        <v/>
      </c>
      <c r="S89" s="67" t="n">
        <v>28</v>
      </c>
      <c r="T89" s="55" t="str">
        <f>IF(CARDS!$A32="","",CARDS!$A32)</f>
        <v/>
      </c>
      <c r="U89" s="55" t="str">
        <f>IF($T89="","",CARDS!$B32&amp;" "&amp;CARDS!$C32)</f>
        <v/>
      </c>
      <c r="V89" s="25" t="str">
        <f>IF($T89="","",SUMIFS(TRANSACTIONS_MASTER!$L$5:$L$1204,TRANSACTIONS_MASTER!$D$5:$D$1204,$T89,TRANSACTIONS_MASTER!$C$5:$C$1204,$C$2,TRANSACTIONS_MASTER!$U$5:$U$1204,"&lt;&gt;Cancelled"))</f>
        <v/>
      </c>
      <c r="W89" s="26" t="str">
        <f>IF($T89="","",SUMIFS(TRANSACTIONS_MASTER!$Q$5:$Q$1204,TRANSACTIONS_MASTER!$D$5:$D$1204,$T89,TRANSACTIONS_MASTER!$C$5:$C$1204,$C$2))</f>
        <v/>
      </c>
      <c r="X89" s="25" t="str">
        <f>IF($T89="","",IFERROR(IF(ISNUMBER(INDEX(CASHBACK_RULES!$K$5:$K$304,MATCH($T89,CASHBACK_RULES!$B$5:$B$304,0))),INDEX(CASHBACK_RULES!$K$5:$K$304,MATCH($T89,CASHBACK_RULES!$B$5:$B$304,0)),"∞"),"—"))</f>
        <v/>
      </c>
      <c r="Y89" s="25" t="str">
        <f>IF($T89="","",IF($X89="—","—",IF(COUNTIFS($T$8:$T$57,$T89,$Z$8:$Z$57,"∞")&gt;0,IF(ISNUMBER($X89),MAX(0,$X89-$W89),"∞"),IF(ISNUMBER($X89),MAX(0,MIN($X89-$W89,SUMIFS($Z$8:$Z$57,$T$8:$T$57,$T89))),SUMIFS($Z$8:$Z$57,$T$8:$T$57,$T89)))))</f>
        <v/>
      </c>
      <c r="Z89" s="27" t="str">
        <f>IF($T89="","",IF(ISNUMBER($X89),IF($X89=0,0,$W89/$X89),IF(ISNUMBER($Y89),IF($W89+$Y89=0,0,$W89/($W89+$Y89)),"")))</f>
        <v/>
      </c>
      <c r="AA89" s="29" t="str">
        <f>IF($T89="","",COUNTIFS(TRANSACTIONS_MASTER!$D$5:$D$1204,$T89,TRANSACTIONS_MASTER!$C$5:$C$1204,$C$2,TRANSACTIONS_MASTER!$U$5:$U$1204,"&lt;&gt;Cancelled"))</f>
        <v/>
      </c>
    </row>
    <row r="90">
      <c r="A90" s="81" t="str">
        <f>IF($Q90="","",83)</f>
        <v/>
      </c>
      <c r="B90" s="57" t="str">
        <f>IF($Q90="","",INDEX(TRANSACTIONS_MASTER!$B$5:$B$1204,$Q90))</f>
        <v/>
      </c>
      <c r="C90" s="55" t="str">
        <f>IF($Q90="","",INDEX(TRANSACTIONS_MASTER!$F$5:$F$1204,$Q90))</f>
        <v/>
      </c>
      <c r="D90" s="55" t="str">
        <f>IF($Q90="","",INDEX(TRANSACTIONS_MASTER!$E$5:$E$1204,$Q90))</f>
        <v/>
      </c>
      <c r="E90" s="55" t="str">
        <f>IF($Q90="","",INDEX(TRANSACTIONS_MASTER!$G$5:$G$1204,$Q90)&amp;"")</f>
        <v/>
      </c>
      <c r="F90" s="29" t="str">
        <f>IF($Q90="","",INDEX(TRANSACTIONS_MASTER!$I$5:$I$1204,$Q90))</f>
        <v/>
      </c>
      <c r="G90" s="55" t="str">
        <f>IF($Q90="","",INDEX(TRANSACTIONS_MASTER!$K$5:$K$1204,$Q90))</f>
        <v/>
      </c>
      <c r="H90" s="25" t="str">
        <f>IF($Q90="","",INDEX(TRANSACTIONS_MASTER!$L$5:$L$1204,$Q90))</f>
        <v/>
      </c>
      <c r="I90" s="56" t="str">
        <f>IF($Q90="","",INDEX(TRANSACTIONS_MASTER!$N$5:$N$1204,$Q90))</f>
        <v/>
      </c>
      <c r="J90" s="25" t="str">
        <f>IF($Q90="","",INDEX(TRANSACTIONS_MASTER!$O$5:$O$1204,$Q90))</f>
        <v/>
      </c>
      <c r="K90" s="26" t="str">
        <f>IF($Q90="","",INDEX(TRANSACTIONS_MASTER!$Q$5:$Q$1204,$Q90))</f>
        <v/>
      </c>
      <c r="L90" s="25" t="str">
        <f>IF($Q90="","",INDEX(TRANSACTIONS_MASTER!$P$5:$P$1204,$Q90))</f>
        <v/>
      </c>
      <c r="M90" s="25" t="str">
        <f>IF($Q90="","",INDEX(TRANSACTIONS_MASTER!$AA$5:$AA$1204,$Q90))</f>
        <v/>
      </c>
      <c r="N90" s="25" t="str">
        <f>IF($Q90="","",INDEX(TRANSACTIONS_MASTER!$R$5:$R$1204,$Q90))</f>
        <v/>
      </c>
      <c r="O90" s="28" t="str">
        <f>IF($Q90="","",INDEX(TRANSACTIONS_MASTER!$AB$5:$AB$1204,$Q90))</f>
        <v/>
      </c>
      <c r="P90" s="55" t="str">
        <f>IF($Q90="","",INDEX(TRANSACTIONS_MASTER!$Z$5:$Z$1204,$Q90)&amp;"")</f>
        <v/>
      </c>
      <c r="Q90" s="67" t="str">
        <f>IFERROR(MATCH($C$2&amp;"|"&amp;83,TRANSACTIONS_MASTER!$AE$5:$AE$1204,0),"")</f>
        <v/>
      </c>
      <c r="S90" s="67" t="n">
        <v>29</v>
      </c>
      <c r="T90" s="55" t="str">
        <f>IF(CARDS!$A33="","",CARDS!$A33)</f>
        <v/>
      </c>
      <c r="U90" s="55" t="str">
        <f>IF($T90="","",CARDS!$B33&amp;" "&amp;CARDS!$C33)</f>
        <v/>
      </c>
      <c r="V90" s="25" t="str">
        <f>IF($T90="","",SUMIFS(TRANSACTIONS_MASTER!$L$5:$L$1204,TRANSACTIONS_MASTER!$D$5:$D$1204,$T90,TRANSACTIONS_MASTER!$C$5:$C$1204,$C$2,TRANSACTIONS_MASTER!$U$5:$U$1204,"&lt;&gt;Cancelled"))</f>
        <v/>
      </c>
      <c r="W90" s="26" t="str">
        <f>IF($T90="","",SUMIFS(TRANSACTIONS_MASTER!$Q$5:$Q$1204,TRANSACTIONS_MASTER!$D$5:$D$1204,$T90,TRANSACTIONS_MASTER!$C$5:$C$1204,$C$2))</f>
        <v/>
      </c>
      <c r="X90" s="25" t="str">
        <f>IF($T90="","",IFERROR(IF(ISNUMBER(INDEX(CASHBACK_RULES!$K$5:$K$304,MATCH($T90,CASHBACK_RULES!$B$5:$B$304,0))),INDEX(CASHBACK_RULES!$K$5:$K$304,MATCH($T90,CASHBACK_RULES!$B$5:$B$304,0)),"∞"),"—"))</f>
        <v/>
      </c>
      <c r="Y90" s="25" t="str">
        <f>IF($T90="","",IF($X90="—","—",IF(COUNTIFS($T$8:$T$57,$T90,$Z$8:$Z$57,"∞")&gt;0,IF(ISNUMBER($X90),MAX(0,$X90-$W90),"∞"),IF(ISNUMBER($X90),MAX(0,MIN($X90-$W90,SUMIFS($Z$8:$Z$57,$T$8:$T$57,$T90))),SUMIFS($Z$8:$Z$57,$T$8:$T$57,$T90)))))</f>
        <v/>
      </c>
      <c r="Z90" s="27" t="str">
        <f>IF($T90="","",IF(ISNUMBER($X90),IF($X90=0,0,$W90/$X90),IF(ISNUMBER($Y90),IF($W90+$Y90=0,0,$W90/($W90+$Y90)),"")))</f>
        <v/>
      </c>
      <c r="AA90" s="29" t="str">
        <f>IF($T90="","",COUNTIFS(TRANSACTIONS_MASTER!$D$5:$D$1204,$T90,TRANSACTIONS_MASTER!$C$5:$C$1204,$C$2,TRANSACTIONS_MASTER!$U$5:$U$1204,"&lt;&gt;Cancelled"))</f>
        <v/>
      </c>
    </row>
    <row r="91">
      <c r="A91" s="81" t="str">
        <f>IF($Q91="","",84)</f>
        <v/>
      </c>
      <c r="B91" s="57" t="str">
        <f>IF($Q91="","",INDEX(TRANSACTIONS_MASTER!$B$5:$B$1204,$Q91))</f>
        <v/>
      </c>
      <c r="C91" s="55" t="str">
        <f>IF($Q91="","",INDEX(TRANSACTIONS_MASTER!$F$5:$F$1204,$Q91))</f>
        <v/>
      </c>
      <c r="D91" s="55" t="str">
        <f>IF($Q91="","",INDEX(TRANSACTIONS_MASTER!$E$5:$E$1204,$Q91))</f>
        <v/>
      </c>
      <c r="E91" s="55" t="str">
        <f>IF($Q91="","",INDEX(TRANSACTIONS_MASTER!$G$5:$G$1204,$Q91)&amp;"")</f>
        <v/>
      </c>
      <c r="F91" s="29" t="str">
        <f>IF($Q91="","",INDEX(TRANSACTIONS_MASTER!$I$5:$I$1204,$Q91))</f>
        <v/>
      </c>
      <c r="G91" s="55" t="str">
        <f>IF($Q91="","",INDEX(TRANSACTIONS_MASTER!$K$5:$K$1204,$Q91))</f>
        <v/>
      </c>
      <c r="H91" s="25" t="str">
        <f>IF($Q91="","",INDEX(TRANSACTIONS_MASTER!$L$5:$L$1204,$Q91))</f>
        <v/>
      </c>
      <c r="I91" s="56" t="str">
        <f>IF($Q91="","",INDEX(TRANSACTIONS_MASTER!$N$5:$N$1204,$Q91))</f>
        <v/>
      </c>
      <c r="J91" s="25" t="str">
        <f>IF($Q91="","",INDEX(TRANSACTIONS_MASTER!$O$5:$O$1204,$Q91))</f>
        <v/>
      </c>
      <c r="K91" s="26" t="str">
        <f>IF($Q91="","",INDEX(TRANSACTIONS_MASTER!$Q$5:$Q$1204,$Q91))</f>
        <v/>
      </c>
      <c r="L91" s="25" t="str">
        <f>IF($Q91="","",INDEX(TRANSACTIONS_MASTER!$P$5:$P$1204,$Q91))</f>
        <v/>
      </c>
      <c r="M91" s="25" t="str">
        <f>IF($Q91="","",INDEX(TRANSACTIONS_MASTER!$AA$5:$AA$1204,$Q91))</f>
        <v/>
      </c>
      <c r="N91" s="25" t="str">
        <f>IF($Q91="","",INDEX(TRANSACTIONS_MASTER!$R$5:$R$1204,$Q91))</f>
        <v/>
      </c>
      <c r="O91" s="28" t="str">
        <f>IF($Q91="","",INDEX(TRANSACTIONS_MASTER!$AB$5:$AB$1204,$Q91))</f>
        <v/>
      </c>
      <c r="P91" s="55" t="str">
        <f>IF($Q91="","",INDEX(TRANSACTIONS_MASTER!$Z$5:$Z$1204,$Q91)&amp;"")</f>
        <v/>
      </c>
      <c r="Q91" s="67" t="str">
        <f>IFERROR(MATCH($C$2&amp;"|"&amp;84,TRANSACTIONS_MASTER!$AE$5:$AE$1204,0),"")</f>
        <v/>
      </c>
      <c r="S91" s="67" t="n">
        <v>30</v>
      </c>
      <c r="T91" s="55" t="str">
        <f>IF(CARDS!$A34="","",CARDS!$A34)</f>
        <v/>
      </c>
      <c r="U91" s="55" t="str">
        <f>IF($T91="","",CARDS!$B34&amp;" "&amp;CARDS!$C34)</f>
        <v/>
      </c>
      <c r="V91" s="25" t="str">
        <f>IF($T91="","",SUMIFS(TRANSACTIONS_MASTER!$L$5:$L$1204,TRANSACTIONS_MASTER!$D$5:$D$1204,$T91,TRANSACTIONS_MASTER!$C$5:$C$1204,$C$2,TRANSACTIONS_MASTER!$U$5:$U$1204,"&lt;&gt;Cancelled"))</f>
        <v/>
      </c>
      <c r="W91" s="26" t="str">
        <f>IF($T91="","",SUMIFS(TRANSACTIONS_MASTER!$Q$5:$Q$1204,TRANSACTIONS_MASTER!$D$5:$D$1204,$T91,TRANSACTIONS_MASTER!$C$5:$C$1204,$C$2))</f>
        <v/>
      </c>
      <c r="X91" s="25" t="str">
        <f>IF($T91="","",IFERROR(IF(ISNUMBER(INDEX(CASHBACK_RULES!$K$5:$K$304,MATCH($T91,CASHBACK_RULES!$B$5:$B$304,0))),INDEX(CASHBACK_RULES!$K$5:$K$304,MATCH($T91,CASHBACK_RULES!$B$5:$B$304,0)),"∞"),"—"))</f>
        <v/>
      </c>
      <c r="Y91" s="25" t="str">
        <f>IF($T91="","",IF($X91="—","—",IF(COUNTIFS($T$8:$T$57,$T91,$Z$8:$Z$57,"∞")&gt;0,IF(ISNUMBER($X91),MAX(0,$X91-$W91),"∞"),IF(ISNUMBER($X91),MAX(0,MIN($X91-$W91,SUMIFS($Z$8:$Z$57,$T$8:$T$57,$T91))),SUMIFS($Z$8:$Z$57,$T$8:$T$57,$T91)))))</f>
        <v/>
      </c>
      <c r="Z91" s="27" t="str">
        <f>IF($T91="","",IF(ISNUMBER($X91),IF($X91=0,0,$W91/$X91),IF(ISNUMBER($Y91),IF($W91+$Y91=0,0,$W91/($W91+$Y91)),"")))</f>
        <v/>
      </c>
      <c r="AA91" s="29" t="str">
        <f>IF($T91="","",COUNTIFS(TRANSACTIONS_MASTER!$D$5:$D$1204,$T91,TRANSACTIONS_MASTER!$C$5:$C$1204,$C$2,TRANSACTIONS_MASTER!$U$5:$U$1204,"&lt;&gt;Cancelled"))</f>
        <v/>
      </c>
    </row>
    <row r="92">
      <c r="A92" s="81" t="str">
        <f>IF($Q92="","",85)</f>
        <v/>
      </c>
      <c r="B92" s="57" t="str">
        <f>IF($Q92="","",INDEX(TRANSACTIONS_MASTER!$B$5:$B$1204,$Q92))</f>
        <v/>
      </c>
      <c r="C92" s="55" t="str">
        <f>IF($Q92="","",INDEX(TRANSACTIONS_MASTER!$F$5:$F$1204,$Q92))</f>
        <v/>
      </c>
      <c r="D92" s="55" t="str">
        <f>IF($Q92="","",INDEX(TRANSACTIONS_MASTER!$E$5:$E$1204,$Q92))</f>
        <v/>
      </c>
      <c r="E92" s="55" t="str">
        <f>IF($Q92="","",INDEX(TRANSACTIONS_MASTER!$G$5:$G$1204,$Q92)&amp;"")</f>
        <v/>
      </c>
      <c r="F92" s="29" t="str">
        <f>IF($Q92="","",INDEX(TRANSACTIONS_MASTER!$I$5:$I$1204,$Q92))</f>
        <v/>
      </c>
      <c r="G92" s="55" t="str">
        <f>IF($Q92="","",INDEX(TRANSACTIONS_MASTER!$K$5:$K$1204,$Q92))</f>
        <v/>
      </c>
      <c r="H92" s="25" t="str">
        <f>IF($Q92="","",INDEX(TRANSACTIONS_MASTER!$L$5:$L$1204,$Q92))</f>
        <v/>
      </c>
      <c r="I92" s="56" t="str">
        <f>IF($Q92="","",INDEX(TRANSACTIONS_MASTER!$N$5:$N$1204,$Q92))</f>
        <v/>
      </c>
      <c r="J92" s="25" t="str">
        <f>IF($Q92="","",INDEX(TRANSACTIONS_MASTER!$O$5:$O$1204,$Q92))</f>
        <v/>
      </c>
      <c r="K92" s="26" t="str">
        <f>IF($Q92="","",INDEX(TRANSACTIONS_MASTER!$Q$5:$Q$1204,$Q92))</f>
        <v/>
      </c>
      <c r="L92" s="25" t="str">
        <f>IF($Q92="","",INDEX(TRANSACTIONS_MASTER!$P$5:$P$1204,$Q92))</f>
        <v/>
      </c>
      <c r="M92" s="25" t="str">
        <f>IF($Q92="","",INDEX(TRANSACTIONS_MASTER!$AA$5:$AA$1204,$Q92))</f>
        <v/>
      </c>
      <c r="N92" s="25" t="str">
        <f>IF($Q92="","",INDEX(TRANSACTIONS_MASTER!$R$5:$R$1204,$Q92))</f>
        <v/>
      </c>
      <c r="O92" s="28" t="str">
        <f>IF($Q92="","",INDEX(TRANSACTIONS_MASTER!$AB$5:$AB$1204,$Q92))</f>
        <v/>
      </c>
      <c r="P92" s="55" t="str">
        <f>IF($Q92="","",INDEX(TRANSACTIONS_MASTER!$Z$5:$Z$1204,$Q92)&amp;"")</f>
        <v/>
      </c>
      <c r="Q92" s="67" t="str">
        <f>IFERROR(MATCH($C$2&amp;"|"&amp;85,TRANSACTIONS_MASTER!$AE$5:$AE$1204,0),"")</f>
        <v/>
      </c>
      <c r="T92" s="68" t="n"/>
      <c r="U92" s="69" t="inlineStr">
        <is>
          <t>TỔNG</t>
        </is>
      </c>
      <c r="V92" s="31">
        <f>SUM(V62:V91)</f>
        <v>0</v>
      </c>
      <c r="W92" s="31">
        <f>SUM(W62:W91)</f>
        <v>0</v>
      </c>
      <c r="X92" s="68" t="n"/>
      <c r="Y92" s="31">
        <f>SUM(Y62:Y91)</f>
        <v>4500000</v>
      </c>
      <c r="Z92" s="68" t="n"/>
      <c r="AA92" s="32">
        <f>SUM(AA62:AA91)</f>
        <v>0</v>
      </c>
    </row>
    <row r="93">
      <c r="A93" s="81" t="str">
        <f>IF($Q93="","",86)</f>
        <v/>
      </c>
      <c r="B93" s="57" t="str">
        <f>IF($Q93="","",INDEX(TRANSACTIONS_MASTER!$B$5:$B$1204,$Q93))</f>
        <v/>
      </c>
      <c r="C93" s="55" t="str">
        <f>IF($Q93="","",INDEX(TRANSACTIONS_MASTER!$F$5:$F$1204,$Q93))</f>
        <v/>
      </c>
      <c r="D93" s="55" t="str">
        <f>IF($Q93="","",INDEX(TRANSACTIONS_MASTER!$E$5:$E$1204,$Q93))</f>
        <v/>
      </c>
      <c r="E93" s="55" t="str">
        <f>IF($Q93="","",INDEX(TRANSACTIONS_MASTER!$G$5:$G$1204,$Q93)&amp;"")</f>
        <v/>
      </c>
      <c r="F93" s="29" t="str">
        <f>IF($Q93="","",INDEX(TRANSACTIONS_MASTER!$I$5:$I$1204,$Q93))</f>
        <v/>
      </c>
      <c r="G93" s="55" t="str">
        <f>IF($Q93="","",INDEX(TRANSACTIONS_MASTER!$K$5:$K$1204,$Q93))</f>
        <v/>
      </c>
      <c r="H93" s="25" t="str">
        <f>IF($Q93="","",INDEX(TRANSACTIONS_MASTER!$L$5:$L$1204,$Q93))</f>
        <v/>
      </c>
      <c r="I93" s="56" t="str">
        <f>IF($Q93="","",INDEX(TRANSACTIONS_MASTER!$N$5:$N$1204,$Q93))</f>
        <v/>
      </c>
      <c r="J93" s="25" t="str">
        <f>IF($Q93="","",INDEX(TRANSACTIONS_MASTER!$O$5:$O$1204,$Q93))</f>
        <v/>
      </c>
      <c r="K93" s="26" t="str">
        <f>IF($Q93="","",INDEX(TRANSACTIONS_MASTER!$Q$5:$Q$1204,$Q93))</f>
        <v/>
      </c>
      <c r="L93" s="25" t="str">
        <f>IF($Q93="","",INDEX(TRANSACTIONS_MASTER!$P$5:$P$1204,$Q93))</f>
        <v/>
      </c>
      <c r="M93" s="25" t="str">
        <f>IF($Q93="","",INDEX(TRANSACTIONS_MASTER!$AA$5:$AA$1204,$Q93))</f>
        <v/>
      </c>
      <c r="N93" s="25" t="str">
        <f>IF($Q93="","",INDEX(TRANSACTIONS_MASTER!$R$5:$R$1204,$Q93))</f>
        <v/>
      </c>
      <c r="O93" s="28" t="str">
        <f>IF($Q93="","",INDEX(TRANSACTIONS_MASTER!$AB$5:$AB$1204,$Q93))</f>
        <v/>
      </c>
      <c r="P93" s="55" t="str">
        <f>IF($Q93="","",INDEX(TRANSACTIONS_MASTER!$Z$5:$Z$1204,$Q93)&amp;"")</f>
        <v/>
      </c>
      <c r="Q93" s="67" t="str">
        <f>IFERROR(MATCH($C$2&amp;"|"&amp;86,TRANSACTIONS_MASTER!$AE$5:$AE$1204,0),"")</f>
        <v/>
      </c>
    </row>
    <row r="94">
      <c r="A94" s="81" t="str">
        <f>IF($Q94="","",87)</f>
        <v/>
      </c>
      <c r="B94" s="57" t="str">
        <f>IF($Q94="","",INDEX(TRANSACTIONS_MASTER!$B$5:$B$1204,$Q94))</f>
        <v/>
      </c>
      <c r="C94" s="55" t="str">
        <f>IF($Q94="","",INDEX(TRANSACTIONS_MASTER!$F$5:$F$1204,$Q94))</f>
        <v/>
      </c>
      <c r="D94" s="55" t="str">
        <f>IF($Q94="","",INDEX(TRANSACTIONS_MASTER!$E$5:$E$1204,$Q94))</f>
        <v/>
      </c>
      <c r="E94" s="55" t="str">
        <f>IF($Q94="","",INDEX(TRANSACTIONS_MASTER!$G$5:$G$1204,$Q94)&amp;"")</f>
        <v/>
      </c>
      <c r="F94" s="29" t="str">
        <f>IF($Q94="","",INDEX(TRANSACTIONS_MASTER!$I$5:$I$1204,$Q94))</f>
        <v/>
      </c>
      <c r="G94" s="55" t="str">
        <f>IF($Q94="","",INDEX(TRANSACTIONS_MASTER!$K$5:$K$1204,$Q94))</f>
        <v/>
      </c>
      <c r="H94" s="25" t="str">
        <f>IF($Q94="","",INDEX(TRANSACTIONS_MASTER!$L$5:$L$1204,$Q94))</f>
        <v/>
      </c>
      <c r="I94" s="56" t="str">
        <f>IF($Q94="","",INDEX(TRANSACTIONS_MASTER!$N$5:$N$1204,$Q94))</f>
        <v/>
      </c>
      <c r="J94" s="25" t="str">
        <f>IF($Q94="","",INDEX(TRANSACTIONS_MASTER!$O$5:$O$1204,$Q94))</f>
        <v/>
      </c>
      <c r="K94" s="26" t="str">
        <f>IF($Q94="","",INDEX(TRANSACTIONS_MASTER!$Q$5:$Q$1204,$Q94))</f>
        <v/>
      </c>
      <c r="L94" s="25" t="str">
        <f>IF($Q94="","",INDEX(TRANSACTIONS_MASTER!$P$5:$P$1204,$Q94))</f>
        <v/>
      </c>
      <c r="M94" s="25" t="str">
        <f>IF($Q94="","",INDEX(TRANSACTIONS_MASTER!$AA$5:$AA$1204,$Q94))</f>
        <v/>
      </c>
      <c r="N94" s="25" t="str">
        <f>IF($Q94="","",INDEX(TRANSACTIONS_MASTER!$R$5:$R$1204,$Q94))</f>
        <v/>
      </c>
      <c r="O94" s="28" t="str">
        <f>IF($Q94="","",INDEX(TRANSACTIONS_MASTER!$AB$5:$AB$1204,$Q94))</f>
        <v/>
      </c>
      <c r="P94" s="55" t="str">
        <f>IF($Q94="","",INDEX(TRANSACTIONS_MASTER!$Z$5:$Z$1204,$Q94)&amp;"")</f>
        <v/>
      </c>
      <c r="Q94" s="67" t="str">
        <f>IFERROR(MATCH($C$2&amp;"|"&amp;87,TRANSACTIONS_MASTER!$AE$5:$AE$1204,0),"")</f>
        <v/>
      </c>
    </row>
    <row r="95" ht="22" customHeight="1">
      <c r="A95" s="81" t="str">
        <f>IF($Q95="","",88)</f>
        <v/>
      </c>
      <c r="B95" s="57" t="str">
        <f>IF($Q95="","",INDEX(TRANSACTIONS_MASTER!$B$5:$B$1204,$Q95))</f>
        <v/>
      </c>
      <c r="C95" s="55" t="str">
        <f>IF($Q95="","",INDEX(TRANSACTIONS_MASTER!$F$5:$F$1204,$Q95))</f>
        <v/>
      </c>
      <c r="D95" s="55" t="str">
        <f>IF($Q95="","",INDEX(TRANSACTIONS_MASTER!$E$5:$E$1204,$Q95))</f>
        <v/>
      </c>
      <c r="E95" s="55" t="str">
        <f>IF($Q95="","",INDEX(TRANSACTIONS_MASTER!$G$5:$G$1204,$Q95)&amp;"")</f>
        <v/>
      </c>
      <c r="F95" s="29" t="str">
        <f>IF($Q95="","",INDEX(TRANSACTIONS_MASTER!$I$5:$I$1204,$Q95))</f>
        <v/>
      </c>
      <c r="G95" s="55" t="str">
        <f>IF($Q95="","",INDEX(TRANSACTIONS_MASTER!$K$5:$K$1204,$Q95))</f>
        <v/>
      </c>
      <c r="H95" s="25" t="str">
        <f>IF($Q95="","",INDEX(TRANSACTIONS_MASTER!$L$5:$L$1204,$Q95))</f>
        <v/>
      </c>
      <c r="I95" s="56" t="str">
        <f>IF($Q95="","",INDEX(TRANSACTIONS_MASTER!$N$5:$N$1204,$Q95))</f>
        <v/>
      </c>
      <c r="J95" s="25" t="str">
        <f>IF($Q95="","",INDEX(TRANSACTIONS_MASTER!$O$5:$O$1204,$Q95))</f>
        <v/>
      </c>
      <c r="K95" s="26" t="str">
        <f>IF($Q95="","",INDEX(TRANSACTIONS_MASTER!$Q$5:$Q$1204,$Q95))</f>
        <v/>
      </c>
      <c r="L95" s="25" t="str">
        <f>IF($Q95="","",INDEX(TRANSACTIONS_MASTER!$P$5:$P$1204,$Q95))</f>
        <v/>
      </c>
      <c r="M95" s="25" t="str">
        <f>IF($Q95="","",INDEX(TRANSACTIONS_MASTER!$AA$5:$AA$1204,$Q95))</f>
        <v/>
      </c>
      <c r="N95" s="25" t="str">
        <f>IF($Q95="","",INDEX(TRANSACTIONS_MASTER!$R$5:$R$1204,$Q95))</f>
        <v/>
      </c>
      <c r="O95" s="28" t="str">
        <f>IF($Q95="","",INDEX(TRANSACTIONS_MASTER!$AB$5:$AB$1204,$Q95))</f>
        <v/>
      </c>
      <c r="P95" s="55" t="str">
        <f>IF($Q95="","",INDEX(TRANSACTIONS_MASTER!$Z$5:$Z$1204,$Q95)&amp;"")</f>
        <v/>
      </c>
      <c r="Q95" s="67" t="str">
        <f>IFERROR(MATCH($C$2&amp;"|"&amp;88,TRANSACTIONS_MASTER!$AE$5:$AE$1204,0),"")</f>
        <v/>
      </c>
      <c r="T95" s="19" t="inlineStr">
        <is>
          <t>THEO NGÂN HÀNG</t>
        </is>
      </c>
      <c r="U95" s="20" t="n"/>
      <c r="V95" s="20" t="n"/>
      <c r="W95" s="20" t="n"/>
      <c r="X95" s="20" t="n"/>
      <c r="Y95" s="20" t="n"/>
      <c r="Z95" s="20" t="n"/>
      <c r="AA95" s="20" t="n"/>
    </row>
    <row r="96" ht="28" customHeight="1">
      <c r="A96" s="81" t="str">
        <f>IF($Q96="","",89)</f>
        <v/>
      </c>
      <c r="B96" s="57" t="str">
        <f>IF($Q96="","",INDEX(TRANSACTIONS_MASTER!$B$5:$B$1204,$Q96))</f>
        <v/>
      </c>
      <c r="C96" s="55" t="str">
        <f>IF($Q96="","",INDEX(TRANSACTIONS_MASTER!$F$5:$F$1204,$Q96))</f>
        <v/>
      </c>
      <c r="D96" s="55" t="str">
        <f>IF($Q96="","",INDEX(TRANSACTIONS_MASTER!$E$5:$E$1204,$Q96))</f>
        <v/>
      </c>
      <c r="E96" s="55" t="str">
        <f>IF($Q96="","",INDEX(TRANSACTIONS_MASTER!$G$5:$G$1204,$Q96)&amp;"")</f>
        <v/>
      </c>
      <c r="F96" s="29" t="str">
        <f>IF($Q96="","",INDEX(TRANSACTIONS_MASTER!$I$5:$I$1204,$Q96))</f>
        <v/>
      </c>
      <c r="G96" s="55" t="str">
        <f>IF($Q96="","",INDEX(TRANSACTIONS_MASTER!$K$5:$K$1204,$Q96))</f>
        <v/>
      </c>
      <c r="H96" s="25" t="str">
        <f>IF($Q96="","",INDEX(TRANSACTIONS_MASTER!$L$5:$L$1204,$Q96))</f>
        <v/>
      </c>
      <c r="I96" s="56" t="str">
        <f>IF($Q96="","",INDEX(TRANSACTIONS_MASTER!$N$5:$N$1204,$Q96))</f>
        <v/>
      </c>
      <c r="J96" s="25" t="str">
        <f>IF($Q96="","",INDEX(TRANSACTIONS_MASTER!$O$5:$O$1204,$Q96))</f>
        <v/>
      </c>
      <c r="K96" s="26" t="str">
        <f>IF($Q96="","",INDEX(TRANSACTIONS_MASTER!$Q$5:$Q$1204,$Q96))</f>
        <v/>
      </c>
      <c r="L96" s="25" t="str">
        <f>IF($Q96="","",INDEX(TRANSACTIONS_MASTER!$P$5:$P$1204,$Q96))</f>
        <v/>
      </c>
      <c r="M96" s="25" t="str">
        <f>IF($Q96="","",INDEX(TRANSACTIONS_MASTER!$AA$5:$AA$1204,$Q96))</f>
        <v/>
      </c>
      <c r="N96" s="25" t="str">
        <f>IF($Q96="","",INDEX(TRANSACTIONS_MASTER!$R$5:$R$1204,$Q96))</f>
        <v/>
      </c>
      <c r="O96" s="28" t="str">
        <f>IF($Q96="","",INDEX(TRANSACTIONS_MASTER!$AB$5:$AB$1204,$Q96))</f>
        <v/>
      </c>
      <c r="P96" s="55" t="str">
        <f>IF($Q96="","",INDEX(TRANSACTIONS_MASTER!$Z$5:$Z$1204,$Q96)&amp;"")</f>
        <v/>
      </c>
      <c r="Q96" s="67" t="str">
        <f>IFERROR(MATCH($C$2&amp;"|"&amp;89,TRANSACTIONS_MASTER!$AE$5:$AE$1204,0),"")</f>
        <v/>
      </c>
      <c r="S96" s="21" t="inlineStr">
        <is>
          <t>#</t>
        </is>
      </c>
      <c r="T96" s="21" t="inlineStr"/>
      <c r="U96" s="21" t="inlineStr">
        <is>
          <t>Ngân hàng</t>
        </is>
      </c>
      <c r="V96" s="21" t="inlineStr">
        <is>
          <t>Chi tiêu</t>
        </is>
      </c>
      <c r="W96" s="21" t="inlineStr">
        <is>
          <t>Cashback</t>
        </is>
      </c>
    </row>
    <row r="97">
      <c r="A97" s="81" t="str">
        <f>IF($Q97="","",90)</f>
        <v/>
      </c>
      <c r="B97" s="57" t="str">
        <f>IF($Q97="","",INDEX(TRANSACTIONS_MASTER!$B$5:$B$1204,$Q97))</f>
        <v/>
      </c>
      <c r="C97" s="55" t="str">
        <f>IF($Q97="","",INDEX(TRANSACTIONS_MASTER!$F$5:$F$1204,$Q97))</f>
        <v/>
      </c>
      <c r="D97" s="55" t="str">
        <f>IF($Q97="","",INDEX(TRANSACTIONS_MASTER!$E$5:$E$1204,$Q97))</f>
        <v/>
      </c>
      <c r="E97" s="55" t="str">
        <f>IF($Q97="","",INDEX(TRANSACTIONS_MASTER!$G$5:$G$1204,$Q97)&amp;"")</f>
        <v/>
      </c>
      <c r="F97" s="29" t="str">
        <f>IF($Q97="","",INDEX(TRANSACTIONS_MASTER!$I$5:$I$1204,$Q97))</f>
        <v/>
      </c>
      <c r="G97" s="55" t="str">
        <f>IF($Q97="","",INDEX(TRANSACTIONS_MASTER!$K$5:$K$1204,$Q97))</f>
        <v/>
      </c>
      <c r="H97" s="25" t="str">
        <f>IF($Q97="","",INDEX(TRANSACTIONS_MASTER!$L$5:$L$1204,$Q97))</f>
        <v/>
      </c>
      <c r="I97" s="56" t="str">
        <f>IF($Q97="","",INDEX(TRANSACTIONS_MASTER!$N$5:$N$1204,$Q97))</f>
        <v/>
      </c>
      <c r="J97" s="25" t="str">
        <f>IF($Q97="","",INDEX(TRANSACTIONS_MASTER!$O$5:$O$1204,$Q97))</f>
        <v/>
      </c>
      <c r="K97" s="26" t="str">
        <f>IF($Q97="","",INDEX(TRANSACTIONS_MASTER!$Q$5:$Q$1204,$Q97))</f>
        <v/>
      </c>
      <c r="L97" s="25" t="str">
        <f>IF($Q97="","",INDEX(TRANSACTIONS_MASTER!$P$5:$P$1204,$Q97))</f>
        <v/>
      </c>
      <c r="M97" s="25" t="str">
        <f>IF($Q97="","",INDEX(TRANSACTIONS_MASTER!$AA$5:$AA$1204,$Q97))</f>
        <v/>
      </c>
      <c r="N97" s="25" t="str">
        <f>IF($Q97="","",INDEX(TRANSACTIONS_MASTER!$R$5:$R$1204,$Q97))</f>
        <v/>
      </c>
      <c r="O97" s="28" t="str">
        <f>IF($Q97="","",INDEX(TRANSACTIONS_MASTER!$AB$5:$AB$1204,$Q97))</f>
        <v/>
      </c>
      <c r="P97" s="55" t="str">
        <f>IF($Q97="","",INDEX(TRANSACTIONS_MASTER!$Z$5:$Z$1204,$Q97)&amp;"")</f>
        <v/>
      </c>
      <c r="Q97" s="67" t="str">
        <f>IFERROR(MATCH($C$2&amp;"|"&amp;90,TRANSACTIONS_MASTER!$AE$5:$AE$1204,0),"")</f>
        <v/>
      </c>
      <c r="S97" s="67">
        <f>IFERROR(MATCH(1,CARDS!$O$5:$O$34,0),"")</f>
        <v>1</v>
      </c>
      <c r="T97" s="55" t="n"/>
      <c r="U97" s="55" t="str">
        <f>IF($S97="","",INDEX(CARDS!$B$5:$B$34,$S97))</f>
        <v>VPBank</v>
      </c>
      <c r="V97" s="25">
        <f>IF($S97="","",SUMIFS(TRANSACTIONS_MASTER!$L$5:$L$1204,TRANSACTIONS_MASTER!$E$5:$E$1204,$U97,TRANSACTIONS_MASTER!$C$5:$C$1204,$C$2,TRANSACTIONS_MASTER!$U$5:$U$1204,"&lt;&gt;Cancelled"))</f>
        <v>0</v>
      </c>
      <c r="W97" s="26">
        <f>IF($S97="","",SUMIFS(TRANSACTIONS_MASTER!$Q$5:$Q$1204,TRANSACTIONS_MASTER!$E$5:$E$1204,$U97,TRANSACTIONS_MASTER!$C$5:$C$1204,$C$2))</f>
        <v>0</v>
      </c>
    </row>
    <row r="98">
      <c r="A98" s="81" t="str">
        <f>IF($Q98="","",91)</f>
        <v/>
      </c>
      <c r="B98" s="57" t="str">
        <f>IF($Q98="","",INDEX(TRANSACTIONS_MASTER!$B$5:$B$1204,$Q98))</f>
        <v/>
      </c>
      <c r="C98" s="55" t="str">
        <f>IF($Q98="","",INDEX(TRANSACTIONS_MASTER!$F$5:$F$1204,$Q98))</f>
        <v/>
      </c>
      <c r="D98" s="55" t="str">
        <f>IF($Q98="","",INDEX(TRANSACTIONS_MASTER!$E$5:$E$1204,$Q98))</f>
        <v/>
      </c>
      <c r="E98" s="55" t="str">
        <f>IF($Q98="","",INDEX(TRANSACTIONS_MASTER!$G$5:$G$1204,$Q98)&amp;"")</f>
        <v/>
      </c>
      <c r="F98" s="29" t="str">
        <f>IF($Q98="","",INDEX(TRANSACTIONS_MASTER!$I$5:$I$1204,$Q98))</f>
        <v/>
      </c>
      <c r="G98" s="55" t="str">
        <f>IF($Q98="","",INDEX(TRANSACTIONS_MASTER!$K$5:$K$1204,$Q98))</f>
        <v/>
      </c>
      <c r="H98" s="25" t="str">
        <f>IF($Q98="","",INDEX(TRANSACTIONS_MASTER!$L$5:$L$1204,$Q98))</f>
        <v/>
      </c>
      <c r="I98" s="56" t="str">
        <f>IF($Q98="","",INDEX(TRANSACTIONS_MASTER!$N$5:$N$1204,$Q98))</f>
        <v/>
      </c>
      <c r="J98" s="25" t="str">
        <f>IF($Q98="","",INDEX(TRANSACTIONS_MASTER!$O$5:$O$1204,$Q98))</f>
        <v/>
      </c>
      <c r="K98" s="26" t="str">
        <f>IF($Q98="","",INDEX(TRANSACTIONS_MASTER!$Q$5:$Q$1204,$Q98))</f>
        <v/>
      </c>
      <c r="L98" s="25" t="str">
        <f>IF($Q98="","",INDEX(TRANSACTIONS_MASTER!$P$5:$P$1204,$Q98))</f>
        <v/>
      </c>
      <c r="M98" s="25" t="str">
        <f>IF($Q98="","",INDEX(TRANSACTIONS_MASTER!$AA$5:$AA$1204,$Q98))</f>
        <v/>
      </c>
      <c r="N98" s="25" t="str">
        <f>IF($Q98="","",INDEX(TRANSACTIONS_MASTER!$R$5:$R$1204,$Q98))</f>
        <v/>
      </c>
      <c r="O98" s="28" t="str">
        <f>IF($Q98="","",INDEX(TRANSACTIONS_MASTER!$AB$5:$AB$1204,$Q98))</f>
        <v/>
      </c>
      <c r="P98" s="55" t="str">
        <f>IF($Q98="","",INDEX(TRANSACTIONS_MASTER!$Z$5:$Z$1204,$Q98)&amp;"")</f>
        <v/>
      </c>
      <c r="Q98" s="67" t="str">
        <f>IFERROR(MATCH($C$2&amp;"|"&amp;91,TRANSACTIONS_MASTER!$AE$5:$AE$1204,0),"")</f>
        <v/>
      </c>
      <c r="S98" s="67">
        <f>IFERROR(MATCH(2,CARDS!$O$5:$O$34,0),"")</f>
        <v>2</v>
      </c>
      <c r="T98" s="55" t="n"/>
      <c r="U98" s="55" t="str">
        <f>IF($S98="","",INDEX(CARDS!$B$5:$B$34,$S98))</f>
        <v>VIB</v>
      </c>
      <c r="V98" s="25">
        <f>IF($S98="","",SUMIFS(TRANSACTIONS_MASTER!$L$5:$L$1204,TRANSACTIONS_MASTER!$E$5:$E$1204,$U98,TRANSACTIONS_MASTER!$C$5:$C$1204,$C$2,TRANSACTIONS_MASTER!$U$5:$U$1204,"&lt;&gt;Cancelled"))</f>
        <v>0</v>
      </c>
      <c r="W98" s="26">
        <f>IF($S98="","",SUMIFS(TRANSACTIONS_MASTER!$Q$5:$Q$1204,TRANSACTIONS_MASTER!$E$5:$E$1204,$U98,TRANSACTIONS_MASTER!$C$5:$C$1204,$C$2))</f>
        <v>0</v>
      </c>
    </row>
    <row r="99">
      <c r="A99" s="81" t="str">
        <f>IF($Q99="","",92)</f>
        <v/>
      </c>
      <c r="B99" s="57" t="str">
        <f>IF($Q99="","",INDEX(TRANSACTIONS_MASTER!$B$5:$B$1204,$Q99))</f>
        <v/>
      </c>
      <c r="C99" s="55" t="str">
        <f>IF($Q99="","",INDEX(TRANSACTIONS_MASTER!$F$5:$F$1204,$Q99))</f>
        <v/>
      </c>
      <c r="D99" s="55" t="str">
        <f>IF($Q99="","",INDEX(TRANSACTIONS_MASTER!$E$5:$E$1204,$Q99))</f>
        <v/>
      </c>
      <c r="E99" s="55" t="str">
        <f>IF($Q99="","",INDEX(TRANSACTIONS_MASTER!$G$5:$G$1204,$Q99)&amp;"")</f>
        <v/>
      </c>
      <c r="F99" s="29" t="str">
        <f>IF($Q99="","",INDEX(TRANSACTIONS_MASTER!$I$5:$I$1204,$Q99))</f>
        <v/>
      </c>
      <c r="G99" s="55" t="str">
        <f>IF($Q99="","",INDEX(TRANSACTIONS_MASTER!$K$5:$K$1204,$Q99))</f>
        <v/>
      </c>
      <c r="H99" s="25" t="str">
        <f>IF($Q99="","",INDEX(TRANSACTIONS_MASTER!$L$5:$L$1204,$Q99))</f>
        <v/>
      </c>
      <c r="I99" s="56" t="str">
        <f>IF($Q99="","",INDEX(TRANSACTIONS_MASTER!$N$5:$N$1204,$Q99))</f>
        <v/>
      </c>
      <c r="J99" s="25" t="str">
        <f>IF($Q99="","",INDEX(TRANSACTIONS_MASTER!$O$5:$O$1204,$Q99))</f>
        <v/>
      </c>
      <c r="K99" s="26" t="str">
        <f>IF($Q99="","",INDEX(TRANSACTIONS_MASTER!$Q$5:$Q$1204,$Q99))</f>
        <v/>
      </c>
      <c r="L99" s="25" t="str">
        <f>IF($Q99="","",INDEX(TRANSACTIONS_MASTER!$P$5:$P$1204,$Q99))</f>
        <v/>
      </c>
      <c r="M99" s="25" t="str">
        <f>IF($Q99="","",INDEX(TRANSACTIONS_MASTER!$AA$5:$AA$1204,$Q99))</f>
        <v/>
      </c>
      <c r="N99" s="25" t="str">
        <f>IF($Q99="","",INDEX(TRANSACTIONS_MASTER!$R$5:$R$1204,$Q99))</f>
        <v/>
      </c>
      <c r="O99" s="28" t="str">
        <f>IF($Q99="","",INDEX(TRANSACTIONS_MASTER!$AB$5:$AB$1204,$Q99))</f>
        <v/>
      </c>
      <c r="P99" s="55" t="str">
        <f>IF($Q99="","",INDEX(TRANSACTIONS_MASTER!$Z$5:$Z$1204,$Q99)&amp;"")</f>
        <v/>
      </c>
      <c r="Q99" s="67" t="str">
        <f>IFERROR(MATCH($C$2&amp;"|"&amp;92,TRANSACTIONS_MASTER!$AE$5:$AE$1204,0),"")</f>
        <v/>
      </c>
      <c r="S99" s="67">
        <f>IFERROR(MATCH(3,CARDS!$O$5:$O$34,0),"")</f>
        <v>3</v>
      </c>
      <c r="T99" s="55" t="n"/>
      <c r="U99" s="55" t="str">
        <f>IF($S99="","",INDEX(CARDS!$B$5:$B$34,$S99))</f>
        <v>Techcombank</v>
      </c>
      <c r="V99" s="25">
        <f>IF($S99="","",SUMIFS(TRANSACTIONS_MASTER!$L$5:$L$1204,TRANSACTIONS_MASTER!$E$5:$E$1204,$U99,TRANSACTIONS_MASTER!$C$5:$C$1204,$C$2,TRANSACTIONS_MASTER!$U$5:$U$1204,"&lt;&gt;Cancelled"))</f>
        <v>0</v>
      </c>
      <c r="W99" s="26">
        <f>IF($S99="","",SUMIFS(TRANSACTIONS_MASTER!$Q$5:$Q$1204,TRANSACTIONS_MASTER!$E$5:$E$1204,$U99,TRANSACTIONS_MASTER!$C$5:$C$1204,$C$2))</f>
        <v>0</v>
      </c>
    </row>
    <row r="100">
      <c r="A100" s="81" t="str">
        <f>IF($Q100="","",93)</f>
        <v/>
      </c>
      <c r="B100" s="57" t="str">
        <f>IF($Q100="","",INDEX(TRANSACTIONS_MASTER!$B$5:$B$1204,$Q100))</f>
        <v/>
      </c>
      <c r="C100" s="55" t="str">
        <f>IF($Q100="","",INDEX(TRANSACTIONS_MASTER!$F$5:$F$1204,$Q100))</f>
        <v/>
      </c>
      <c r="D100" s="55" t="str">
        <f>IF($Q100="","",INDEX(TRANSACTIONS_MASTER!$E$5:$E$1204,$Q100))</f>
        <v/>
      </c>
      <c r="E100" s="55" t="str">
        <f>IF($Q100="","",INDEX(TRANSACTIONS_MASTER!$G$5:$G$1204,$Q100)&amp;"")</f>
        <v/>
      </c>
      <c r="F100" s="29" t="str">
        <f>IF($Q100="","",INDEX(TRANSACTIONS_MASTER!$I$5:$I$1204,$Q100))</f>
        <v/>
      </c>
      <c r="G100" s="55" t="str">
        <f>IF($Q100="","",INDEX(TRANSACTIONS_MASTER!$K$5:$K$1204,$Q100))</f>
        <v/>
      </c>
      <c r="H100" s="25" t="str">
        <f>IF($Q100="","",INDEX(TRANSACTIONS_MASTER!$L$5:$L$1204,$Q100))</f>
        <v/>
      </c>
      <c r="I100" s="56" t="str">
        <f>IF($Q100="","",INDEX(TRANSACTIONS_MASTER!$N$5:$N$1204,$Q100))</f>
        <v/>
      </c>
      <c r="J100" s="25" t="str">
        <f>IF($Q100="","",INDEX(TRANSACTIONS_MASTER!$O$5:$O$1204,$Q100))</f>
        <v/>
      </c>
      <c r="K100" s="26" t="str">
        <f>IF($Q100="","",INDEX(TRANSACTIONS_MASTER!$Q$5:$Q$1204,$Q100))</f>
        <v/>
      </c>
      <c r="L100" s="25" t="str">
        <f>IF($Q100="","",INDEX(TRANSACTIONS_MASTER!$P$5:$P$1204,$Q100))</f>
        <v/>
      </c>
      <c r="M100" s="25" t="str">
        <f>IF($Q100="","",INDEX(TRANSACTIONS_MASTER!$AA$5:$AA$1204,$Q100))</f>
        <v/>
      </c>
      <c r="N100" s="25" t="str">
        <f>IF($Q100="","",INDEX(TRANSACTIONS_MASTER!$R$5:$R$1204,$Q100))</f>
        <v/>
      </c>
      <c r="O100" s="28" t="str">
        <f>IF($Q100="","",INDEX(TRANSACTIONS_MASTER!$AB$5:$AB$1204,$Q100))</f>
        <v/>
      </c>
      <c r="P100" s="55" t="str">
        <f>IF($Q100="","",INDEX(TRANSACTIONS_MASTER!$Z$5:$Z$1204,$Q100)&amp;"")</f>
        <v/>
      </c>
      <c r="Q100" s="67" t="str">
        <f>IFERROR(MATCH($C$2&amp;"|"&amp;93,TRANSACTIONS_MASTER!$AE$5:$AE$1204,0),"")</f>
        <v/>
      </c>
      <c r="S100" s="67">
        <f>IFERROR(MATCH(4,CARDS!$O$5:$O$34,0),"")</f>
        <v>4</v>
      </c>
      <c r="T100" s="55" t="n"/>
      <c r="U100" s="55" t="str">
        <f>IF($S100="","",INDEX(CARDS!$B$5:$B$34,$S100))</f>
        <v>UOB</v>
      </c>
      <c r="V100" s="25">
        <f>IF($S100="","",SUMIFS(TRANSACTIONS_MASTER!$L$5:$L$1204,TRANSACTIONS_MASTER!$E$5:$E$1204,$U100,TRANSACTIONS_MASTER!$C$5:$C$1204,$C$2,TRANSACTIONS_MASTER!$U$5:$U$1204,"&lt;&gt;Cancelled"))</f>
        <v>0</v>
      </c>
      <c r="W100" s="26">
        <f>IF($S100="","",SUMIFS(TRANSACTIONS_MASTER!$Q$5:$Q$1204,TRANSACTIONS_MASTER!$E$5:$E$1204,$U100,TRANSACTIONS_MASTER!$C$5:$C$1204,$C$2))</f>
        <v>0</v>
      </c>
    </row>
    <row r="101">
      <c r="A101" s="81" t="str">
        <f>IF($Q101="","",94)</f>
        <v/>
      </c>
      <c r="B101" s="57" t="str">
        <f>IF($Q101="","",INDEX(TRANSACTIONS_MASTER!$B$5:$B$1204,$Q101))</f>
        <v/>
      </c>
      <c r="C101" s="55" t="str">
        <f>IF($Q101="","",INDEX(TRANSACTIONS_MASTER!$F$5:$F$1204,$Q101))</f>
        <v/>
      </c>
      <c r="D101" s="55" t="str">
        <f>IF($Q101="","",INDEX(TRANSACTIONS_MASTER!$E$5:$E$1204,$Q101))</f>
        <v/>
      </c>
      <c r="E101" s="55" t="str">
        <f>IF($Q101="","",INDEX(TRANSACTIONS_MASTER!$G$5:$G$1204,$Q101)&amp;"")</f>
        <v/>
      </c>
      <c r="F101" s="29" t="str">
        <f>IF($Q101="","",INDEX(TRANSACTIONS_MASTER!$I$5:$I$1204,$Q101))</f>
        <v/>
      </c>
      <c r="G101" s="55" t="str">
        <f>IF($Q101="","",INDEX(TRANSACTIONS_MASTER!$K$5:$K$1204,$Q101))</f>
        <v/>
      </c>
      <c r="H101" s="25" t="str">
        <f>IF($Q101="","",INDEX(TRANSACTIONS_MASTER!$L$5:$L$1204,$Q101))</f>
        <v/>
      </c>
      <c r="I101" s="56" t="str">
        <f>IF($Q101="","",INDEX(TRANSACTIONS_MASTER!$N$5:$N$1204,$Q101))</f>
        <v/>
      </c>
      <c r="J101" s="25" t="str">
        <f>IF($Q101="","",INDEX(TRANSACTIONS_MASTER!$O$5:$O$1204,$Q101))</f>
        <v/>
      </c>
      <c r="K101" s="26" t="str">
        <f>IF($Q101="","",INDEX(TRANSACTIONS_MASTER!$Q$5:$Q$1204,$Q101))</f>
        <v/>
      </c>
      <c r="L101" s="25" t="str">
        <f>IF($Q101="","",INDEX(TRANSACTIONS_MASTER!$P$5:$P$1204,$Q101))</f>
        <v/>
      </c>
      <c r="M101" s="25" t="str">
        <f>IF($Q101="","",INDEX(TRANSACTIONS_MASTER!$AA$5:$AA$1204,$Q101))</f>
        <v/>
      </c>
      <c r="N101" s="25" t="str">
        <f>IF($Q101="","",INDEX(TRANSACTIONS_MASTER!$R$5:$R$1204,$Q101))</f>
        <v/>
      </c>
      <c r="O101" s="28" t="str">
        <f>IF($Q101="","",INDEX(TRANSACTIONS_MASTER!$AB$5:$AB$1204,$Q101))</f>
        <v/>
      </c>
      <c r="P101" s="55" t="str">
        <f>IF($Q101="","",INDEX(TRANSACTIONS_MASTER!$Z$5:$Z$1204,$Q101)&amp;"")</f>
        <v/>
      </c>
      <c r="Q101" s="67" t="str">
        <f>IFERROR(MATCH($C$2&amp;"|"&amp;94,TRANSACTIONS_MASTER!$AE$5:$AE$1204,0),"")</f>
        <v/>
      </c>
      <c r="S101" s="67">
        <f>IFERROR(MATCH(5,CARDS!$O$5:$O$34,0),"")</f>
        <v>5</v>
      </c>
      <c r="T101" s="55" t="n"/>
      <c r="U101" s="55" t="str">
        <f>IF($S101="","",INDEX(CARDS!$B$5:$B$34,$S101))</f>
        <v>MB</v>
      </c>
      <c r="V101" s="25">
        <f>IF($S101="","",SUMIFS(TRANSACTIONS_MASTER!$L$5:$L$1204,TRANSACTIONS_MASTER!$E$5:$E$1204,$U101,TRANSACTIONS_MASTER!$C$5:$C$1204,$C$2,TRANSACTIONS_MASTER!$U$5:$U$1204,"&lt;&gt;Cancelled"))</f>
        <v>0</v>
      </c>
      <c r="W101" s="26">
        <f>IF($S101="","",SUMIFS(TRANSACTIONS_MASTER!$Q$5:$Q$1204,TRANSACTIONS_MASTER!$E$5:$E$1204,$U101,TRANSACTIONS_MASTER!$C$5:$C$1204,$C$2))</f>
        <v>0</v>
      </c>
    </row>
    <row r="102">
      <c r="A102" s="81" t="str">
        <f>IF($Q102="","",95)</f>
        <v/>
      </c>
      <c r="B102" s="57" t="str">
        <f>IF($Q102="","",INDEX(TRANSACTIONS_MASTER!$B$5:$B$1204,$Q102))</f>
        <v/>
      </c>
      <c r="C102" s="55" t="str">
        <f>IF($Q102="","",INDEX(TRANSACTIONS_MASTER!$F$5:$F$1204,$Q102))</f>
        <v/>
      </c>
      <c r="D102" s="55" t="str">
        <f>IF($Q102="","",INDEX(TRANSACTIONS_MASTER!$E$5:$E$1204,$Q102))</f>
        <v/>
      </c>
      <c r="E102" s="55" t="str">
        <f>IF($Q102="","",INDEX(TRANSACTIONS_MASTER!$G$5:$G$1204,$Q102)&amp;"")</f>
        <v/>
      </c>
      <c r="F102" s="29" t="str">
        <f>IF($Q102="","",INDEX(TRANSACTIONS_MASTER!$I$5:$I$1204,$Q102))</f>
        <v/>
      </c>
      <c r="G102" s="55" t="str">
        <f>IF($Q102="","",INDEX(TRANSACTIONS_MASTER!$K$5:$K$1204,$Q102))</f>
        <v/>
      </c>
      <c r="H102" s="25" t="str">
        <f>IF($Q102="","",INDEX(TRANSACTIONS_MASTER!$L$5:$L$1204,$Q102))</f>
        <v/>
      </c>
      <c r="I102" s="56" t="str">
        <f>IF($Q102="","",INDEX(TRANSACTIONS_MASTER!$N$5:$N$1204,$Q102))</f>
        <v/>
      </c>
      <c r="J102" s="25" t="str">
        <f>IF($Q102="","",INDEX(TRANSACTIONS_MASTER!$O$5:$O$1204,$Q102))</f>
        <v/>
      </c>
      <c r="K102" s="26" t="str">
        <f>IF($Q102="","",INDEX(TRANSACTIONS_MASTER!$Q$5:$Q$1204,$Q102))</f>
        <v/>
      </c>
      <c r="L102" s="25" t="str">
        <f>IF($Q102="","",INDEX(TRANSACTIONS_MASTER!$P$5:$P$1204,$Q102))</f>
        <v/>
      </c>
      <c r="M102" s="25" t="str">
        <f>IF($Q102="","",INDEX(TRANSACTIONS_MASTER!$AA$5:$AA$1204,$Q102))</f>
        <v/>
      </c>
      <c r="N102" s="25" t="str">
        <f>IF($Q102="","",INDEX(TRANSACTIONS_MASTER!$R$5:$R$1204,$Q102))</f>
        <v/>
      </c>
      <c r="O102" s="28" t="str">
        <f>IF($Q102="","",INDEX(TRANSACTIONS_MASTER!$AB$5:$AB$1204,$Q102))</f>
        <v/>
      </c>
      <c r="P102" s="55" t="str">
        <f>IF($Q102="","",INDEX(TRANSACTIONS_MASTER!$Z$5:$Z$1204,$Q102)&amp;"")</f>
        <v/>
      </c>
      <c r="Q102" s="67" t="str">
        <f>IFERROR(MATCH($C$2&amp;"|"&amp;95,TRANSACTIONS_MASTER!$AE$5:$AE$1204,0),"")</f>
        <v/>
      </c>
      <c r="S102" s="67">
        <f>IFERROR(MATCH(6,CARDS!$O$5:$O$34,0),"")</f>
        <v>6</v>
      </c>
      <c r="T102" s="55" t="n"/>
      <c r="U102" s="55" t="str">
        <f>IF($S102="","",INDEX(CARDS!$B$5:$B$34,$S102))</f>
        <v>ACB</v>
      </c>
      <c r="V102" s="25">
        <f>IF($S102="","",SUMIFS(TRANSACTIONS_MASTER!$L$5:$L$1204,TRANSACTIONS_MASTER!$E$5:$E$1204,$U102,TRANSACTIONS_MASTER!$C$5:$C$1204,$C$2,TRANSACTIONS_MASTER!$U$5:$U$1204,"&lt;&gt;Cancelled"))</f>
        <v>0</v>
      </c>
      <c r="W102" s="26">
        <f>IF($S102="","",SUMIFS(TRANSACTIONS_MASTER!$Q$5:$Q$1204,TRANSACTIONS_MASTER!$E$5:$E$1204,$U102,TRANSACTIONS_MASTER!$C$5:$C$1204,$C$2))</f>
        <v>0</v>
      </c>
    </row>
    <row r="103">
      <c r="A103" s="81" t="str">
        <f>IF($Q103="","",96)</f>
        <v/>
      </c>
      <c r="B103" s="57" t="str">
        <f>IF($Q103="","",INDEX(TRANSACTIONS_MASTER!$B$5:$B$1204,$Q103))</f>
        <v/>
      </c>
      <c r="C103" s="55" t="str">
        <f>IF($Q103="","",INDEX(TRANSACTIONS_MASTER!$F$5:$F$1204,$Q103))</f>
        <v/>
      </c>
      <c r="D103" s="55" t="str">
        <f>IF($Q103="","",INDEX(TRANSACTIONS_MASTER!$E$5:$E$1204,$Q103))</f>
        <v/>
      </c>
      <c r="E103" s="55" t="str">
        <f>IF($Q103="","",INDEX(TRANSACTIONS_MASTER!$G$5:$G$1204,$Q103)&amp;"")</f>
        <v/>
      </c>
      <c r="F103" s="29" t="str">
        <f>IF($Q103="","",INDEX(TRANSACTIONS_MASTER!$I$5:$I$1204,$Q103))</f>
        <v/>
      </c>
      <c r="G103" s="55" t="str">
        <f>IF($Q103="","",INDEX(TRANSACTIONS_MASTER!$K$5:$K$1204,$Q103))</f>
        <v/>
      </c>
      <c r="H103" s="25" t="str">
        <f>IF($Q103="","",INDEX(TRANSACTIONS_MASTER!$L$5:$L$1204,$Q103))</f>
        <v/>
      </c>
      <c r="I103" s="56" t="str">
        <f>IF($Q103="","",INDEX(TRANSACTIONS_MASTER!$N$5:$N$1204,$Q103))</f>
        <v/>
      </c>
      <c r="J103" s="25" t="str">
        <f>IF($Q103="","",INDEX(TRANSACTIONS_MASTER!$O$5:$O$1204,$Q103))</f>
        <v/>
      </c>
      <c r="K103" s="26" t="str">
        <f>IF($Q103="","",INDEX(TRANSACTIONS_MASTER!$Q$5:$Q$1204,$Q103))</f>
        <v/>
      </c>
      <c r="L103" s="25" t="str">
        <f>IF($Q103="","",INDEX(TRANSACTIONS_MASTER!$P$5:$P$1204,$Q103))</f>
        <v/>
      </c>
      <c r="M103" s="25" t="str">
        <f>IF($Q103="","",INDEX(TRANSACTIONS_MASTER!$AA$5:$AA$1204,$Q103))</f>
        <v/>
      </c>
      <c r="N103" s="25" t="str">
        <f>IF($Q103="","",INDEX(TRANSACTIONS_MASTER!$R$5:$R$1204,$Q103))</f>
        <v/>
      </c>
      <c r="O103" s="28" t="str">
        <f>IF($Q103="","",INDEX(TRANSACTIONS_MASTER!$AB$5:$AB$1204,$Q103))</f>
        <v/>
      </c>
      <c r="P103" s="55" t="str">
        <f>IF($Q103="","",INDEX(TRANSACTIONS_MASTER!$Z$5:$Z$1204,$Q103)&amp;"")</f>
        <v/>
      </c>
      <c r="Q103" s="67" t="str">
        <f>IFERROR(MATCH($C$2&amp;"|"&amp;96,TRANSACTIONS_MASTER!$AE$5:$AE$1204,0),"")</f>
        <v/>
      </c>
      <c r="S103" s="67" t="str">
        <f>IFERROR(MATCH(7,CARDS!$O$5:$O$34,0),"")</f>
        <v/>
      </c>
      <c r="T103" s="55" t="n"/>
      <c r="U103" s="55" t="str">
        <f>IF($S103="","",INDEX(CARDS!$B$5:$B$34,$S103))</f>
        <v/>
      </c>
      <c r="V103" s="25" t="str">
        <f>IF($S103="","",SUMIFS(TRANSACTIONS_MASTER!$L$5:$L$1204,TRANSACTIONS_MASTER!$E$5:$E$1204,$U103,TRANSACTIONS_MASTER!$C$5:$C$1204,$C$2,TRANSACTIONS_MASTER!$U$5:$U$1204,"&lt;&gt;Cancelled"))</f>
        <v/>
      </c>
      <c r="W103" s="26" t="str">
        <f>IF($S103="","",SUMIFS(TRANSACTIONS_MASTER!$Q$5:$Q$1204,TRANSACTIONS_MASTER!$E$5:$E$1204,$U103,TRANSACTIONS_MASTER!$C$5:$C$1204,$C$2))</f>
        <v/>
      </c>
    </row>
    <row r="104">
      <c r="A104" s="81" t="str">
        <f>IF($Q104="","",97)</f>
        <v/>
      </c>
      <c r="B104" s="57" t="str">
        <f>IF($Q104="","",INDEX(TRANSACTIONS_MASTER!$B$5:$B$1204,$Q104))</f>
        <v/>
      </c>
      <c r="C104" s="55" t="str">
        <f>IF($Q104="","",INDEX(TRANSACTIONS_MASTER!$F$5:$F$1204,$Q104))</f>
        <v/>
      </c>
      <c r="D104" s="55" t="str">
        <f>IF($Q104="","",INDEX(TRANSACTIONS_MASTER!$E$5:$E$1204,$Q104))</f>
        <v/>
      </c>
      <c r="E104" s="55" t="str">
        <f>IF($Q104="","",INDEX(TRANSACTIONS_MASTER!$G$5:$G$1204,$Q104)&amp;"")</f>
        <v/>
      </c>
      <c r="F104" s="29" t="str">
        <f>IF($Q104="","",INDEX(TRANSACTIONS_MASTER!$I$5:$I$1204,$Q104))</f>
        <v/>
      </c>
      <c r="G104" s="55" t="str">
        <f>IF($Q104="","",INDEX(TRANSACTIONS_MASTER!$K$5:$K$1204,$Q104))</f>
        <v/>
      </c>
      <c r="H104" s="25" t="str">
        <f>IF($Q104="","",INDEX(TRANSACTIONS_MASTER!$L$5:$L$1204,$Q104))</f>
        <v/>
      </c>
      <c r="I104" s="56" t="str">
        <f>IF($Q104="","",INDEX(TRANSACTIONS_MASTER!$N$5:$N$1204,$Q104))</f>
        <v/>
      </c>
      <c r="J104" s="25" t="str">
        <f>IF($Q104="","",INDEX(TRANSACTIONS_MASTER!$O$5:$O$1204,$Q104))</f>
        <v/>
      </c>
      <c r="K104" s="26" t="str">
        <f>IF($Q104="","",INDEX(TRANSACTIONS_MASTER!$Q$5:$Q$1204,$Q104))</f>
        <v/>
      </c>
      <c r="L104" s="25" t="str">
        <f>IF($Q104="","",INDEX(TRANSACTIONS_MASTER!$P$5:$P$1204,$Q104))</f>
        <v/>
      </c>
      <c r="M104" s="25" t="str">
        <f>IF($Q104="","",INDEX(TRANSACTIONS_MASTER!$AA$5:$AA$1204,$Q104))</f>
        <v/>
      </c>
      <c r="N104" s="25" t="str">
        <f>IF($Q104="","",INDEX(TRANSACTIONS_MASTER!$R$5:$R$1204,$Q104))</f>
        <v/>
      </c>
      <c r="O104" s="28" t="str">
        <f>IF($Q104="","",INDEX(TRANSACTIONS_MASTER!$AB$5:$AB$1204,$Q104))</f>
        <v/>
      </c>
      <c r="P104" s="55" t="str">
        <f>IF($Q104="","",INDEX(TRANSACTIONS_MASTER!$Z$5:$Z$1204,$Q104)&amp;"")</f>
        <v/>
      </c>
      <c r="Q104" s="67" t="str">
        <f>IFERROR(MATCH($C$2&amp;"|"&amp;97,TRANSACTIONS_MASTER!$AE$5:$AE$1204,0),"")</f>
        <v/>
      </c>
      <c r="S104" s="67" t="str">
        <f>IFERROR(MATCH(8,CARDS!$O$5:$O$34,0),"")</f>
        <v/>
      </c>
      <c r="T104" s="55" t="n"/>
      <c r="U104" s="55" t="str">
        <f>IF($S104="","",INDEX(CARDS!$B$5:$B$34,$S104))</f>
        <v/>
      </c>
      <c r="V104" s="25" t="str">
        <f>IF($S104="","",SUMIFS(TRANSACTIONS_MASTER!$L$5:$L$1204,TRANSACTIONS_MASTER!$E$5:$E$1204,$U104,TRANSACTIONS_MASTER!$C$5:$C$1204,$C$2,TRANSACTIONS_MASTER!$U$5:$U$1204,"&lt;&gt;Cancelled"))</f>
        <v/>
      </c>
      <c r="W104" s="26" t="str">
        <f>IF($S104="","",SUMIFS(TRANSACTIONS_MASTER!$Q$5:$Q$1204,TRANSACTIONS_MASTER!$E$5:$E$1204,$U104,TRANSACTIONS_MASTER!$C$5:$C$1204,$C$2))</f>
        <v/>
      </c>
    </row>
    <row r="105">
      <c r="A105" s="81" t="str">
        <f>IF($Q105="","",98)</f>
        <v/>
      </c>
      <c r="B105" s="57" t="str">
        <f>IF($Q105="","",INDEX(TRANSACTIONS_MASTER!$B$5:$B$1204,$Q105))</f>
        <v/>
      </c>
      <c r="C105" s="55" t="str">
        <f>IF($Q105="","",INDEX(TRANSACTIONS_MASTER!$F$5:$F$1204,$Q105))</f>
        <v/>
      </c>
      <c r="D105" s="55" t="str">
        <f>IF($Q105="","",INDEX(TRANSACTIONS_MASTER!$E$5:$E$1204,$Q105))</f>
        <v/>
      </c>
      <c r="E105" s="55" t="str">
        <f>IF($Q105="","",INDEX(TRANSACTIONS_MASTER!$G$5:$G$1204,$Q105)&amp;"")</f>
        <v/>
      </c>
      <c r="F105" s="29" t="str">
        <f>IF($Q105="","",INDEX(TRANSACTIONS_MASTER!$I$5:$I$1204,$Q105))</f>
        <v/>
      </c>
      <c r="G105" s="55" t="str">
        <f>IF($Q105="","",INDEX(TRANSACTIONS_MASTER!$K$5:$K$1204,$Q105))</f>
        <v/>
      </c>
      <c r="H105" s="25" t="str">
        <f>IF($Q105="","",INDEX(TRANSACTIONS_MASTER!$L$5:$L$1204,$Q105))</f>
        <v/>
      </c>
      <c r="I105" s="56" t="str">
        <f>IF($Q105="","",INDEX(TRANSACTIONS_MASTER!$N$5:$N$1204,$Q105))</f>
        <v/>
      </c>
      <c r="J105" s="25" t="str">
        <f>IF($Q105="","",INDEX(TRANSACTIONS_MASTER!$O$5:$O$1204,$Q105))</f>
        <v/>
      </c>
      <c r="K105" s="26" t="str">
        <f>IF($Q105="","",INDEX(TRANSACTIONS_MASTER!$Q$5:$Q$1204,$Q105))</f>
        <v/>
      </c>
      <c r="L105" s="25" t="str">
        <f>IF($Q105="","",INDEX(TRANSACTIONS_MASTER!$P$5:$P$1204,$Q105))</f>
        <v/>
      </c>
      <c r="M105" s="25" t="str">
        <f>IF($Q105="","",INDEX(TRANSACTIONS_MASTER!$AA$5:$AA$1204,$Q105))</f>
        <v/>
      </c>
      <c r="N105" s="25" t="str">
        <f>IF($Q105="","",INDEX(TRANSACTIONS_MASTER!$R$5:$R$1204,$Q105))</f>
        <v/>
      </c>
      <c r="O105" s="28" t="str">
        <f>IF($Q105="","",INDEX(TRANSACTIONS_MASTER!$AB$5:$AB$1204,$Q105))</f>
        <v/>
      </c>
      <c r="P105" s="55" t="str">
        <f>IF($Q105="","",INDEX(TRANSACTIONS_MASTER!$Z$5:$Z$1204,$Q105)&amp;"")</f>
        <v/>
      </c>
      <c r="Q105" s="67" t="str">
        <f>IFERROR(MATCH($C$2&amp;"|"&amp;98,TRANSACTIONS_MASTER!$AE$5:$AE$1204,0),"")</f>
        <v/>
      </c>
      <c r="S105" s="67" t="str">
        <f>IFERROR(MATCH(9,CARDS!$O$5:$O$34,0),"")</f>
        <v/>
      </c>
      <c r="T105" s="55" t="n"/>
      <c r="U105" s="55" t="str">
        <f>IF($S105="","",INDEX(CARDS!$B$5:$B$34,$S105))</f>
        <v/>
      </c>
      <c r="V105" s="25" t="str">
        <f>IF($S105="","",SUMIFS(TRANSACTIONS_MASTER!$L$5:$L$1204,TRANSACTIONS_MASTER!$E$5:$E$1204,$U105,TRANSACTIONS_MASTER!$C$5:$C$1204,$C$2,TRANSACTIONS_MASTER!$U$5:$U$1204,"&lt;&gt;Cancelled"))</f>
        <v/>
      </c>
      <c r="W105" s="26" t="str">
        <f>IF($S105="","",SUMIFS(TRANSACTIONS_MASTER!$Q$5:$Q$1204,TRANSACTIONS_MASTER!$E$5:$E$1204,$U105,TRANSACTIONS_MASTER!$C$5:$C$1204,$C$2))</f>
        <v/>
      </c>
    </row>
    <row r="106">
      <c r="A106" s="81" t="str">
        <f>IF($Q106="","",99)</f>
        <v/>
      </c>
      <c r="B106" s="57" t="str">
        <f>IF($Q106="","",INDEX(TRANSACTIONS_MASTER!$B$5:$B$1204,$Q106))</f>
        <v/>
      </c>
      <c r="C106" s="55" t="str">
        <f>IF($Q106="","",INDEX(TRANSACTIONS_MASTER!$F$5:$F$1204,$Q106))</f>
        <v/>
      </c>
      <c r="D106" s="55" t="str">
        <f>IF($Q106="","",INDEX(TRANSACTIONS_MASTER!$E$5:$E$1204,$Q106))</f>
        <v/>
      </c>
      <c r="E106" s="55" t="str">
        <f>IF($Q106="","",INDEX(TRANSACTIONS_MASTER!$G$5:$G$1204,$Q106)&amp;"")</f>
        <v/>
      </c>
      <c r="F106" s="29" t="str">
        <f>IF($Q106="","",INDEX(TRANSACTIONS_MASTER!$I$5:$I$1204,$Q106))</f>
        <v/>
      </c>
      <c r="G106" s="55" t="str">
        <f>IF($Q106="","",INDEX(TRANSACTIONS_MASTER!$K$5:$K$1204,$Q106))</f>
        <v/>
      </c>
      <c r="H106" s="25" t="str">
        <f>IF($Q106="","",INDEX(TRANSACTIONS_MASTER!$L$5:$L$1204,$Q106))</f>
        <v/>
      </c>
      <c r="I106" s="56" t="str">
        <f>IF($Q106="","",INDEX(TRANSACTIONS_MASTER!$N$5:$N$1204,$Q106))</f>
        <v/>
      </c>
      <c r="J106" s="25" t="str">
        <f>IF($Q106="","",INDEX(TRANSACTIONS_MASTER!$O$5:$O$1204,$Q106))</f>
        <v/>
      </c>
      <c r="K106" s="26" t="str">
        <f>IF($Q106="","",INDEX(TRANSACTIONS_MASTER!$Q$5:$Q$1204,$Q106))</f>
        <v/>
      </c>
      <c r="L106" s="25" t="str">
        <f>IF($Q106="","",INDEX(TRANSACTIONS_MASTER!$P$5:$P$1204,$Q106))</f>
        <v/>
      </c>
      <c r="M106" s="25" t="str">
        <f>IF($Q106="","",INDEX(TRANSACTIONS_MASTER!$AA$5:$AA$1204,$Q106))</f>
        <v/>
      </c>
      <c r="N106" s="25" t="str">
        <f>IF($Q106="","",INDEX(TRANSACTIONS_MASTER!$R$5:$R$1204,$Q106))</f>
        <v/>
      </c>
      <c r="O106" s="28" t="str">
        <f>IF($Q106="","",INDEX(TRANSACTIONS_MASTER!$AB$5:$AB$1204,$Q106))</f>
        <v/>
      </c>
      <c r="P106" s="55" t="str">
        <f>IF($Q106="","",INDEX(TRANSACTIONS_MASTER!$Z$5:$Z$1204,$Q106)&amp;"")</f>
        <v/>
      </c>
      <c r="Q106" s="67" t="str">
        <f>IFERROR(MATCH($C$2&amp;"|"&amp;99,TRANSACTIONS_MASTER!$AE$5:$AE$1204,0),"")</f>
        <v/>
      </c>
      <c r="S106" s="67" t="str">
        <f>IFERROR(MATCH(10,CARDS!$O$5:$O$34,0),"")</f>
        <v/>
      </c>
      <c r="T106" s="55" t="n"/>
      <c r="U106" s="55" t="str">
        <f>IF($S106="","",INDEX(CARDS!$B$5:$B$34,$S106))</f>
        <v/>
      </c>
      <c r="V106" s="25" t="str">
        <f>IF($S106="","",SUMIFS(TRANSACTIONS_MASTER!$L$5:$L$1204,TRANSACTIONS_MASTER!$E$5:$E$1204,$U106,TRANSACTIONS_MASTER!$C$5:$C$1204,$C$2,TRANSACTIONS_MASTER!$U$5:$U$1204,"&lt;&gt;Cancelled"))</f>
        <v/>
      </c>
      <c r="W106" s="26" t="str">
        <f>IF($S106="","",SUMIFS(TRANSACTIONS_MASTER!$Q$5:$Q$1204,TRANSACTIONS_MASTER!$E$5:$E$1204,$U106,TRANSACTIONS_MASTER!$C$5:$C$1204,$C$2))</f>
        <v/>
      </c>
    </row>
    <row r="107">
      <c r="A107" s="81" t="str">
        <f>IF($Q107="","",100)</f>
        <v/>
      </c>
      <c r="B107" s="57" t="str">
        <f>IF($Q107="","",INDEX(TRANSACTIONS_MASTER!$B$5:$B$1204,$Q107))</f>
        <v/>
      </c>
      <c r="C107" s="55" t="str">
        <f>IF($Q107="","",INDEX(TRANSACTIONS_MASTER!$F$5:$F$1204,$Q107))</f>
        <v/>
      </c>
      <c r="D107" s="55" t="str">
        <f>IF($Q107="","",INDEX(TRANSACTIONS_MASTER!$E$5:$E$1204,$Q107))</f>
        <v/>
      </c>
      <c r="E107" s="55" t="str">
        <f>IF($Q107="","",INDEX(TRANSACTIONS_MASTER!$G$5:$G$1204,$Q107)&amp;"")</f>
        <v/>
      </c>
      <c r="F107" s="29" t="str">
        <f>IF($Q107="","",INDEX(TRANSACTIONS_MASTER!$I$5:$I$1204,$Q107))</f>
        <v/>
      </c>
      <c r="G107" s="55" t="str">
        <f>IF($Q107="","",INDEX(TRANSACTIONS_MASTER!$K$5:$K$1204,$Q107))</f>
        <v/>
      </c>
      <c r="H107" s="25" t="str">
        <f>IF($Q107="","",INDEX(TRANSACTIONS_MASTER!$L$5:$L$1204,$Q107))</f>
        <v/>
      </c>
      <c r="I107" s="56" t="str">
        <f>IF($Q107="","",INDEX(TRANSACTIONS_MASTER!$N$5:$N$1204,$Q107))</f>
        <v/>
      </c>
      <c r="J107" s="25" t="str">
        <f>IF($Q107="","",INDEX(TRANSACTIONS_MASTER!$O$5:$O$1204,$Q107))</f>
        <v/>
      </c>
      <c r="K107" s="26" t="str">
        <f>IF($Q107="","",INDEX(TRANSACTIONS_MASTER!$Q$5:$Q$1204,$Q107))</f>
        <v/>
      </c>
      <c r="L107" s="25" t="str">
        <f>IF($Q107="","",INDEX(TRANSACTIONS_MASTER!$P$5:$P$1204,$Q107))</f>
        <v/>
      </c>
      <c r="M107" s="25" t="str">
        <f>IF($Q107="","",INDEX(TRANSACTIONS_MASTER!$AA$5:$AA$1204,$Q107))</f>
        <v/>
      </c>
      <c r="N107" s="25" t="str">
        <f>IF($Q107="","",INDEX(TRANSACTIONS_MASTER!$R$5:$R$1204,$Q107))</f>
        <v/>
      </c>
      <c r="O107" s="28" t="str">
        <f>IF($Q107="","",INDEX(TRANSACTIONS_MASTER!$AB$5:$AB$1204,$Q107))</f>
        <v/>
      </c>
      <c r="P107" s="55" t="str">
        <f>IF($Q107="","",INDEX(TRANSACTIONS_MASTER!$Z$5:$Z$1204,$Q107)&amp;"")</f>
        <v/>
      </c>
      <c r="Q107" s="67" t="str">
        <f>IFERROR(MATCH($C$2&amp;"|"&amp;100,TRANSACTIONS_MASTER!$AE$5:$AE$1204,0),"")</f>
        <v/>
      </c>
      <c r="S107" s="67" t="str">
        <f>IFERROR(MATCH(11,CARDS!$O$5:$O$34,0),"")</f>
        <v/>
      </c>
      <c r="T107" s="55" t="n"/>
      <c r="U107" s="55" t="str">
        <f>IF($S107="","",INDEX(CARDS!$B$5:$B$34,$S107))</f>
        <v/>
      </c>
      <c r="V107" s="25" t="str">
        <f>IF($S107="","",SUMIFS(TRANSACTIONS_MASTER!$L$5:$L$1204,TRANSACTIONS_MASTER!$E$5:$E$1204,$U107,TRANSACTIONS_MASTER!$C$5:$C$1204,$C$2,TRANSACTIONS_MASTER!$U$5:$U$1204,"&lt;&gt;Cancelled"))</f>
        <v/>
      </c>
      <c r="W107" s="26" t="str">
        <f>IF($S107="","",SUMIFS(TRANSACTIONS_MASTER!$Q$5:$Q$1204,TRANSACTIONS_MASTER!$E$5:$E$1204,$U107,TRANSACTIONS_MASTER!$C$5:$C$1204,$C$2))</f>
        <v/>
      </c>
    </row>
    <row r="108">
      <c r="A108" s="81" t="str">
        <f>IF($Q108="","",101)</f>
        <v/>
      </c>
      <c r="B108" s="57" t="str">
        <f>IF($Q108="","",INDEX(TRANSACTIONS_MASTER!$B$5:$B$1204,$Q108))</f>
        <v/>
      </c>
      <c r="C108" s="55" t="str">
        <f>IF($Q108="","",INDEX(TRANSACTIONS_MASTER!$F$5:$F$1204,$Q108))</f>
        <v/>
      </c>
      <c r="D108" s="55" t="str">
        <f>IF($Q108="","",INDEX(TRANSACTIONS_MASTER!$E$5:$E$1204,$Q108))</f>
        <v/>
      </c>
      <c r="E108" s="55" t="str">
        <f>IF($Q108="","",INDEX(TRANSACTIONS_MASTER!$G$5:$G$1204,$Q108)&amp;"")</f>
        <v/>
      </c>
      <c r="F108" s="29" t="str">
        <f>IF($Q108="","",INDEX(TRANSACTIONS_MASTER!$I$5:$I$1204,$Q108))</f>
        <v/>
      </c>
      <c r="G108" s="55" t="str">
        <f>IF($Q108="","",INDEX(TRANSACTIONS_MASTER!$K$5:$K$1204,$Q108))</f>
        <v/>
      </c>
      <c r="H108" s="25" t="str">
        <f>IF($Q108="","",INDEX(TRANSACTIONS_MASTER!$L$5:$L$1204,$Q108))</f>
        <v/>
      </c>
      <c r="I108" s="56" t="str">
        <f>IF($Q108="","",INDEX(TRANSACTIONS_MASTER!$N$5:$N$1204,$Q108))</f>
        <v/>
      </c>
      <c r="J108" s="25" t="str">
        <f>IF($Q108="","",INDEX(TRANSACTIONS_MASTER!$O$5:$O$1204,$Q108))</f>
        <v/>
      </c>
      <c r="K108" s="26" t="str">
        <f>IF($Q108="","",INDEX(TRANSACTIONS_MASTER!$Q$5:$Q$1204,$Q108))</f>
        <v/>
      </c>
      <c r="L108" s="25" t="str">
        <f>IF($Q108="","",INDEX(TRANSACTIONS_MASTER!$P$5:$P$1204,$Q108))</f>
        <v/>
      </c>
      <c r="M108" s="25" t="str">
        <f>IF($Q108="","",INDEX(TRANSACTIONS_MASTER!$AA$5:$AA$1204,$Q108))</f>
        <v/>
      </c>
      <c r="N108" s="25" t="str">
        <f>IF($Q108="","",INDEX(TRANSACTIONS_MASTER!$R$5:$R$1204,$Q108))</f>
        <v/>
      </c>
      <c r="O108" s="28" t="str">
        <f>IF($Q108="","",INDEX(TRANSACTIONS_MASTER!$AB$5:$AB$1204,$Q108))</f>
        <v/>
      </c>
      <c r="P108" s="55" t="str">
        <f>IF($Q108="","",INDEX(TRANSACTIONS_MASTER!$Z$5:$Z$1204,$Q108)&amp;"")</f>
        <v/>
      </c>
      <c r="Q108" s="67" t="str">
        <f>IFERROR(MATCH($C$2&amp;"|"&amp;101,TRANSACTIONS_MASTER!$AE$5:$AE$1204,0),"")</f>
        <v/>
      </c>
      <c r="S108" s="67" t="str">
        <f>IFERROR(MATCH(12,CARDS!$O$5:$O$34,0),"")</f>
        <v/>
      </c>
      <c r="T108" s="55" t="n"/>
      <c r="U108" s="55" t="str">
        <f>IF($S108="","",INDEX(CARDS!$B$5:$B$34,$S108))</f>
        <v/>
      </c>
      <c r="V108" s="25" t="str">
        <f>IF($S108="","",SUMIFS(TRANSACTIONS_MASTER!$L$5:$L$1204,TRANSACTIONS_MASTER!$E$5:$E$1204,$U108,TRANSACTIONS_MASTER!$C$5:$C$1204,$C$2,TRANSACTIONS_MASTER!$U$5:$U$1204,"&lt;&gt;Cancelled"))</f>
        <v/>
      </c>
      <c r="W108" s="26" t="str">
        <f>IF($S108="","",SUMIFS(TRANSACTIONS_MASTER!$Q$5:$Q$1204,TRANSACTIONS_MASTER!$E$5:$E$1204,$U108,TRANSACTIONS_MASTER!$C$5:$C$1204,$C$2))</f>
        <v/>
      </c>
    </row>
    <row r="109">
      <c r="A109" s="81" t="str">
        <f>IF($Q109="","",102)</f>
        <v/>
      </c>
      <c r="B109" s="57" t="str">
        <f>IF($Q109="","",INDEX(TRANSACTIONS_MASTER!$B$5:$B$1204,$Q109))</f>
        <v/>
      </c>
      <c r="C109" s="55" t="str">
        <f>IF($Q109="","",INDEX(TRANSACTIONS_MASTER!$F$5:$F$1204,$Q109))</f>
        <v/>
      </c>
      <c r="D109" s="55" t="str">
        <f>IF($Q109="","",INDEX(TRANSACTIONS_MASTER!$E$5:$E$1204,$Q109))</f>
        <v/>
      </c>
      <c r="E109" s="55" t="str">
        <f>IF($Q109="","",INDEX(TRANSACTIONS_MASTER!$G$5:$G$1204,$Q109)&amp;"")</f>
        <v/>
      </c>
      <c r="F109" s="29" t="str">
        <f>IF($Q109="","",INDEX(TRANSACTIONS_MASTER!$I$5:$I$1204,$Q109))</f>
        <v/>
      </c>
      <c r="G109" s="55" t="str">
        <f>IF($Q109="","",INDEX(TRANSACTIONS_MASTER!$K$5:$K$1204,$Q109))</f>
        <v/>
      </c>
      <c r="H109" s="25" t="str">
        <f>IF($Q109="","",INDEX(TRANSACTIONS_MASTER!$L$5:$L$1204,$Q109))</f>
        <v/>
      </c>
      <c r="I109" s="56" t="str">
        <f>IF($Q109="","",INDEX(TRANSACTIONS_MASTER!$N$5:$N$1204,$Q109))</f>
        <v/>
      </c>
      <c r="J109" s="25" t="str">
        <f>IF($Q109="","",INDEX(TRANSACTIONS_MASTER!$O$5:$O$1204,$Q109))</f>
        <v/>
      </c>
      <c r="K109" s="26" t="str">
        <f>IF($Q109="","",INDEX(TRANSACTIONS_MASTER!$Q$5:$Q$1204,$Q109))</f>
        <v/>
      </c>
      <c r="L109" s="25" t="str">
        <f>IF($Q109="","",INDEX(TRANSACTIONS_MASTER!$P$5:$P$1204,$Q109))</f>
        <v/>
      </c>
      <c r="M109" s="25" t="str">
        <f>IF($Q109="","",INDEX(TRANSACTIONS_MASTER!$AA$5:$AA$1204,$Q109))</f>
        <v/>
      </c>
      <c r="N109" s="25" t="str">
        <f>IF($Q109="","",INDEX(TRANSACTIONS_MASTER!$R$5:$R$1204,$Q109))</f>
        <v/>
      </c>
      <c r="O109" s="28" t="str">
        <f>IF($Q109="","",INDEX(TRANSACTIONS_MASTER!$AB$5:$AB$1204,$Q109))</f>
        <v/>
      </c>
      <c r="P109" s="55" t="str">
        <f>IF($Q109="","",INDEX(TRANSACTIONS_MASTER!$Z$5:$Z$1204,$Q109)&amp;"")</f>
        <v/>
      </c>
      <c r="Q109" s="67" t="str">
        <f>IFERROR(MATCH($C$2&amp;"|"&amp;102,TRANSACTIONS_MASTER!$AE$5:$AE$1204,0),"")</f>
        <v/>
      </c>
      <c r="S109" s="67" t="str">
        <f>IFERROR(MATCH(13,CARDS!$O$5:$O$34,0),"")</f>
        <v/>
      </c>
      <c r="T109" s="55" t="n"/>
      <c r="U109" s="55" t="str">
        <f>IF($S109="","",INDEX(CARDS!$B$5:$B$34,$S109))</f>
        <v/>
      </c>
      <c r="V109" s="25" t="str">
        <f>IF($S109="","",SUMIFS(TRANSACTIONS_MASTER!$L$5:$L$1204,TRANSACTIONS_MASTER!$E$5:$E$1204,$U109,TRANSACTIONS_MASTER!$C$5:$C$1204,$C$2,TRANSACTIONS_MASTER!$U$5:$U$1204,"&lt;&gt;Cancelled"))</f>
        <v/>
      </c>
      <c r="W109" s="26" t="str">
        <f>IF($S109="","",SUMIFS(TRANSACTIONS_MASTER!$Q$5:$Q$1204,TRANSACTIONS_MASTER!$E$5:$E$1204,$U109,TRANSACTIONS_MASTER!$C$5:$C$1204,$C$2))</f>
        <v/>
      </c>
    </row>
    <row r="110">
      <c r="A110" s="81" t="str">
        <f>IF($Q110="","",103)</f>
        <v/>
      </c>
      <c r="B110" s="57" t="str">
        <f>IF($Q110="","",INDEX(TRANSACTIONS_MASTER!$B$5:$B$1204,$Q110))</f>
        <v/>
      </c>
      <c r="C110" s="55" t="str">
        <f>IF($Q110="","",INDEX(TRANSACTIONS_MASTER!$F$5:$F$1204,$Q110))</f>
        <v/>
      </c>
      <c r="D110" s="55" t="str">
        <f>IF($Q110="","",INDEX(TRANSACTIONS_MASTER!$E$5:$E$1204,$Q110))</f>
        <v/>
      </c>
      <c r="E110" s="55" t="str">
        <f>IF($Q110="","",INDEX(TRANSACTIONS_MASTER!$G$5:$G$1204,$Q110)&amp;"")</f>
        <v/>
      </c>
      <c r="F110" s="29" t="str">
        <f>IF($Q110="","",INDEX(TRANSACTIONS_MASTER!$I$5:$I$1204,$Q110))</f>
        <v/>
      </c>
      <c r="G110" s="55" t="str">
        <f>IF($Q110="","",INDEX(TRANSACTIONS_MASTER!$K$5:$K$1204,$Q110))</f>
        <v/>
      </c>
      <c r="H110" s="25" t="str">
        <f>IF($Q110="","",INDEX(TRANSACTIONS_MASTER!$L$5:$L$1204,$Q110))</f>
        <v/>
      </c>
      <c r="I110" s="56" t="str">
        <f>IF($Q110="","",INDEX(TRANSACTIONS_MASTER!$N$5:$N$1204,$Q110))</f>
        <v/>
      </c>
      <c r="J110" s="25" t="str">
        <f>IF($Q110="","",INDEX(TRANSACTIONS_MASTER!$O$5:$O$1204,$Q110))</f>
        <v/>
      </c>
      <c r="K110" s="26" t="str">
        <f>IF($Q110="","",INDEX(TRANSACTIONS_MASTER!$Q$5:$Q$1204,$Q110))</f>
        <v/>
      </c>
      <c r="L110" s="25" t="str">
        <f>IF($Q110="","",INDEX(TRANSACTIONS_MASTER!$P$5:$P$1204,$Q110))</f>
        <v/>
      </c>
      <c r="M110" s="25" t="str">
        <f>IF($Q110="","",INDEX(TRANSACTIONS_MASTER!$AA$5:$AA$1204,$Q110))</f>
        <v/>
      </c>
      <c r="N110" s="25" t="str">
        <f>IF($Q110="","",INDEX(TRANSACTIONS_MASTER!$R$5:$R$1204,$Q110))</f>
        <v/>
      </c>
      <c r="O110" s="28" t="str">
        <f>IF($Q110="","",INDEX(TRANSACTIONS_MASTER!$AB$5:$AB$1204,$Q110))</f>
        <v/>
      </c>
      <c r="P110" s="55" t="str">
        <f>IF($Q110="","",INDEX(TRANSACTIONS_MASTER!$Z$5:$Z$1204,$Q110)&amp;"")</f>
        <v/>
      </c>
      <c r="Q110" s="67" t="str">
        <f>IFERROR(MATCH($C$2&amp;"|"&amp;103,TRANSACTIONS_MASTER!$AE$5:$AE$1204,0),"")</f>
        <v/>
      </c>
      <c r="S110" s="67" t="str">
        <f>IFERROR(MATCH(14,CARDS!$O$5:$O$34,0),"")</f>
        <v/>
      </c>
      <c r="T110" s="55" t="n"/>
      <c r="U110" s="55" t="str">
        <f>IF($S110="","",INDEX(CARDS!$B$5:$B$34,$S110))</f>
        <v/>
      </c>
      <c r="V110" s="25" t="str">
        <f>IF($S110="","",SUMIFS(TRANSACTIONS_MASTER!$L$5:$L$1204,TRANSACTIONS_MASTER!$E$5:$E$1204,$U110,TRANSACTIONS_MASTER!$C$5:$C$1204,$C$2,TRANSACTIONS_MASTER!$U$5:$U$1204,"&lt;&gt;Cancelled"))</f>
        <v/>
      </c>
      <c r="W110" s="26" t="str">
        <f>IF($S110="","",SUMIFS(TRANSACTIONS_MASTER!$Q$5:$Q$1204,TRANSACTIONS_MASTER!$E$5:$E$1204,$U110,TRANSACTIONS_MASTER!$C$5:$C$1204,$C$2))</f>
        <v/>
      </c>
    </row>
    <row r="111">
      <c r="A111" s="81" t="str">
        <f>IF($Q111="","",104)</f>
        <v/>
      </c>
      <c r="B111" s="57" t="str">
        <f>IF($Q111="","",INDEX(TRANSACTIONS_MASTER!$B$5:$B$1204,$Q111))</f>
        <v/>
      </c>
      <c r="C111" s="55" t="str">
        <f>IF($Q111="","",INDEX(TRANSACTIONS_MASTER!$F$5:$F$1204,$Q111))</f>
        <v/>
      </c>
      <c r="D111" s="55" t="str">
        <f>IF($Q111="","",INDEX(TRANSACTIONS_MASTER!$E$5:$E$1204,$Q111))</f>
        <v/>
      </c>
      <c r="E111" s="55" t="str">
        <f>IF($Q111="","",INDEX(TRANSACTIONS_MASTER!$G$5:$G$1204,$Q111)&amp;"")</f>
        <v/>
      </c>
      <c r="F111" s="29" t="str">
        <f>IF($Q111="","",INDEX(TRANSACTIONS_MASTER!$I$5:$I$1204,$Q111))</f>
        <v/>
      </c>
      <c r="G111" s="55" t="str">
        <f>IF($Q111="","",INDEX(TRANSACTIONS_MASTER!$K$5:$K$1204,$Q111))</f>
        <v/>
      </c>
      <c r="H111" s="25" t="str">
        <f>IF($Q111="","",INDEX(TRANSACTIONS_MASTER!$L$5:$L$1204,$Q111))</f>
        <v/>
      </c>
      <c r="I111" s="56" t="str">
        <f>IF($Q111="","",INDEX(TRANSACTIONS_MASTER!$N$5:$N$1204,$Q111))</f>
        <v/>
      </c>
      <c r="J111" s="25" t="str">
        <f>IF($Q111="","",INDEX(TRANSACTIONS_MASTER!$O$5:$O$1204,$Q111))</f>
        <v/>
      </c>
      <c r="K111" s="26" t="str">
        <f>IF($Q111="","",INDEX(TRANSACTIONS_MASTER!$Q$5:$Q$1204,$Q111))</f>
        <v/>
      </c>
      <c r="L111" s="25" t="str">
        <f>IF($Q111="","",INDEX(TRANSACTIONS_MASTER!$P$5:$P$1204,$Q111))</f>
        <v/>
      </c>
      <c r="M111" s="25" t="str">
        <f>IF($Q111="","",INDEX(TRANSACTIONS_MASTER!$AA$5:$AA$1204,$Q111))</f>
        <v/>
      </c>
      <c r="N111" s="25" t="str">
        <f>IF($Q111="","",INDEX(TRANSACTIONS_MASTER!$R$5:$R$1204,$Q111))</f>
        <v/>
      </c>
      <c r="O111" s="28" t="str">
        <f>IF($Q111="","",INDEX(TRANSACTIONS_MASTER!$AB$5:$AB$1204,$Q111))</f>
        <v/>
      </c>
      <c r="P111" s="55" t="str">
        <f>IF($Q111="","",INDEX(TRANSACTIONS_MASTER!$Z$5:$Z$1204,$Q111)&amp;"")</f>
        <v/>
      </c>
      <c r="Q111" s="67" t="str">
        <f>IFERROR(MATCH($C$2&amp;"|"&amp;104,TRANSACTIONS_MASTER!$AE$5:$AE$1204,0),"")</f>
        <v/>
      </c>
      <c r="S111" s="67" t="str">
        <f>IFERROR(MATCH(15,CARDS!$O$5:$O$34,0),"")</f>
        <v/>
      </c>
      <c r="T111" s="55" t="n"/>
      <c r="U111" s="55" t="str">
        <f>IF($S111="","",INDEX(CARDS!$B$5:$B$34,$S111))</f>
        <v/>
      </c>
      <c r="V111" s="25" t="str">
        <f>IF($S111="","",SUMIFS(TRANSACTIONS_MASTER!$L$5:$L$1204,TRANSACTIONS_MASTER!$E$5:$E$1204,$U111,TRANSACTIONS_MASTER!$C$5:$C$1204,$C$2,TRANSACTIONS_MASTER!$U$5:$U$1204,"&lt;&gt;Cancelled"))</f>
        <v/>
      </c>
      <c r="W111" s="26" t="str">
        <f>IF($S111="","",SUMIFS(TRANSACTIONS_MASTER!$Q$5:$Q$1204,TRANSACTIONS_MASTER!$E$5:$E$1204,$U111,TRANSACTIONS_MASTER!$C$5:$C$1204,$C$2))</f>
        <v/>
      </c>
    </row>
    <row r="112">
      <c r="A112" s="81" t="str">
        <f>IF($Q112="","",105)</f>
        <v/>
      </c>
      <c r="B112" s="57" t="str">
        <f>IF($Q112="","",INDEX(TRANSACTIONS_MASTER!$B$5:$B$1204,$Q112))</f>
        <v/>
      </c>
      <c r="C112" s="55" t="str">
        <f>IF($Q112="","",INDEX(TRANSACTIONS_MASTER!$F$5:$F$1204,$Q112))</f>
        <v/>
      </c>
      <c r="D112" s="55" t="str">
        <f>IF($Q112="","",INDEX(TRANSACTIONS_MASTER!$E$5:$E$1204,$Q112))</f>
        <v/>
      </c>
      <c r="E112" s="55" t="str">
        <f>IF($Q112="","",INDEX(TRANSACTIONS_MASTER!$G$5:$G$1204,$Q112)&amp;"")</f>
        <v/>
      </c>
      <c r="F112" s="29" t="str">
        <f>IF($Q112="","",INDEX(TRANSACTIONS_MASTER!$I$5:$I$1204,$Q112))</f>
        <v/>
      </c>
      <c r="G112" s="55" t="str">
        <f>IF($Q112="","",INDEX(TRANSACTIONS_MASTER!$K$5:$K$1204,$Q112))</f>
        <v/>
      </c>
      <c r="H112" s="25" t="str">
        <f>IF($Q112="","",INDEX(TRANSACTIONS_MASTER!$L$5:$L$1204,$Q112))</f>
        <v/>
      </c>
      <c r="I112" s="56" t="str">
        <f>IF($Q112="","",INDEX(TRANSACTIONS_MASTER!$N$5:$N$1204,$Q112))</f>
        <v/>
      </c>
      <c r="J112" s="25" t="str">
        <f>IF($Q112="","",INDEX(TRANSACTIONS_MASTER!$O$5:$O$1204,$Q112))</f>
        <v/>
      </c>
      <c r="K112" s="26" t="str">
        <f>IF($Q112="","",INDEX(TRANSACTIONS_MASTER!$Q$5:$Q$1204,$Q112))</f>
        <v/>
      </c>
      <c r="L112" s="25" t="str">
        <f>IF($Q112="","",INDEX(TRANSACTIONS_MASTER!$P$5:$P$1204,$Q112))</f>
        <v/>
      </c>
      <c r="M112" s="25" t="str">
        <f>IF($Q112="","",INDEX(TRANSACTIONS_MASTER!$AA$5:$AA$1204,$Q112))</f>
        <v/>
      </c>
      <c r="N112" s="25" t="str">
        <f>IF($Q112="","",INDEX(TRANSACTIONS_MASTER!$R$5:$R$1204,$Q112))</f>
        <v/>
      </c>
      <c r="O112" s="28" t="str">
        <f>IF($Q112="","",INDEX(TRANSACTIONS_MASTER!$AB$5:$AB$1204,$Q112))</f>
        <v/>
      </c>
      <c r="P112" s="55" t="str">
        <f>IF($Q112="","",INDEX(TRANSACTIONS_MASTER!$Z$5:$Z$1204,$Q112)&amp;"")</f>
        <v/>
      </c>
      <c r="Q112" s="67" t="str">
        <f>IFERROR(MATCH($C$2&amp;"|"&amp;105,TRANSACTIONS_MASTER!$AE$5:$AE$1204,0),"")</f>
        <v/>
      </c>
      <c r="T112" s="68" t="n"/>
      <c r="U112" s="69" t="inlineStr">
        <is>
          <t>TỔNG</t>
        </is>
      </c>
      <c r="V112" s="31">
        <f>SUM(V97:V111)</f>
        <v>0</v>
      </c>
      <c r="W112" s="31">
        <f>SUM(W97:W111)</f>
        <v>0</v>
      </c>
    </row>
    <row r="113">
      <c r="A113" s="81" t="str">
        <f>IF($Q113="","",106)</f>
        <v/>
      </c>
      <c r="B113" s="57" t="str">
        <f>IF($Q113="","",INDEX(TRANSACTIONS_MASTER!$B$5:$B$1204,$Q113))</f>
        <v/>
      </c>
      <c r="C113" s="55" t="str">
        <f>IF($Q113="","",INDEX(TRANSACTIONS_MASTER!$F$5:$F$1204,$Q113))</f>
        <v/>
      </c>
      <c r="D113" s="55" t="str">
        <f>IF($Q113="","",INDEX(TRANSACTIONS_MASTER!$E$5:$E$1204,$Q113))</f>
        <v/>
      </c>
      <c r="E113" s="55" t="str">
        <f>IF($Q113="","",INDEX(TRANSACTIONS_MASTER!$G$5:$G$1204,$Q113)&amp;"")</f>
        <v/>
      </c>
      <c r="F113" s="29" t="str">
        <f>IF($Q113="","",INDEX(TRANSACTIONS_MASTER!$I$5:$I$1204,$Q113))</f>
        <v/>
      </c>
      <c r="G113" s="55" t="str">
        <f>IF($Q113="","",INDEX(TRANSACTIONS_MASTER!$K$5:$K$1204,$Q113))</f>
        <v/>
      </c>
      <c r="H113" s="25" t="str">
        <f>IF($Q113="","",INDEX(TRANSACTIONS_MASTER!$L$5:$L$1204,$Q113))</f>
        <v/>
      </c>
      <c r="I113" s="56" t="str">
        <f>IF($Q113="","",INDEX(TRANSACTIONS_MASTER!$N$5:$N$1204,$Q113))</f>
        <v/>
      </c>
      <c r="J113" s="25" t="str">
        <f>IF($Q113="","",INDEX(TRANSACTIONS_MASTER!$O$5:$O$1204,$Q113))</f>
        <v/>
      </c>
      <c r="K113" s="26" t="str">
        <f>IF($Q113="","",INDEX(TRANSACTIONS_MASTER!$Q$5:$Q$1204,$Q113))</f>
        <v/>
      </c>
      <c r="L113" s="25" t="str">
        <f>IF($Q113="","",INDEX(TRANSACTIONS_MASTER!$P$5:$P$1204,$Q113))</f>
        <v/>
      </c>
      <c r="M113" s="25" t="str">
        <f>IF($Q113="","",INDEX(TRANSACTIONS_MASTER!$AA$5:$AA$1204,$Q113))</f>
        <v/>
      </c>
      <c r="N113" s="25" t="str">
        <f>IF($Q113="","",INDEX(TRANSACTIONS_MASTER!$R$5:$R$1204,$Q113))</f>
        <v/>
      </c>
      <c r="O113" s="28" t="str">
        <f>IF($Q113="","",INDEX(TRANSACTIONS_MASTER!$AB$5:$AB$1204,$Q113))</f>
        <v/>
      </c>
      <c r="P113" s="55" t="str">
        <f>IF($Q113="","",INDEX(TRANSACTIONS_MASTER!$Z$5:$Z$1204,$Q113)&amp;"")</f>
        <v/>
      </c>
      <c r="Q113" s="67" t="str">
        <f>IFERROR(MATCH($C$2&amp;"|"&amp;106,TRANSACTIONS_MASTER!$AE$5:$AE$1204,0),"")</f>
        <v/>
      </c>
    </row>
    <row r="114">
      <c r="A114" s="81" t="str">
        <f>IF($Q114="","",107)</f>
        <v/>
      </c>
      <c r="B114" s="57" t="str">
        <f>IF($Q114="","",INDEX(TRANSACTIONS_MASTER!$B$5:$B$1204,$Q114))</f>
        <v/>
      </c>
      <c r="C114" s="55" t="str">
        <f>IF($Q114="","",INDEX(TRANSACTIONS_MASTER!$F$5:$F$1204,$Q114))</f>
        <v/>
      </c>
      <c r="D114" s="55" t="str">
        <f>IF($Q114="","",INDEX(TRANSACTIONS_MASTER!$E$5:$E$1204,$Q114))</f>
        <v/>
      </c>
      <c r="E114" s="55" t="str">
        <f>IF($Q114="","",INDEX(TRANSACTIONS_MASTER!$G$5:$G$1204,$Q114)&amp;"")</f>
        <v/>
      </c>
      <c r="F114" s="29" t="str">
        <f>IF($Q114="","",INDEX(TRANSACTIONS_MASTER!$I$5:$I$1204,$Q114))</f>
        <v/>
      </c>
      <c r="G114" s="55" t="str">
        <f>IF($Q114="","",INDEX(TRANSACTIONS_MASTER!$K$5:$K$1204,$Q114))</f>
        <v/>
      </c>
      <c r="H114" s="25" t="str">
        <f>IF($Q114="","",INDEX(TRANSACTIONS_MASTER!$L$5:$L$1204,$Q114))</f>
        <v/>
      </c>
      <c r="I114" s="56" t="str">
        <f>IF($Q114="","",INDEX(TRANSACTIONS_MASTER!$N$5:$N$1204,$Q114))</f>
        <v/>
      </c>
      <c r="J114" s="25" t="str">
        <f>IF($Q114="","",INDEX(TRANSACTIONS_MASTER!$O$5:$O$1204,$Q114))</f>
        <v/>
      </c>
      <c r="K114" s="26" t="str">
        <f>IF($Q114="","",INDEX(TRANSACTIONS_MASTER!$Q$5:$Q$1204,$Q114))</f>
        <v/>
      </c>
      <c r="L114" s="25" t="str">
        <f>IF($Q114="","",INDEX(TRANSACTIONS_MASTER!$P$5:$P$1204,$Q114))</f>
        <v/>
      </c>
      <c r="M114" s="25" t="str">
        <f>IF($Q114="","",INDEX(TRANSACTIONS_MASTER!$AA$5:$AA$1204,$Q114))</f>
        <v/>
      </c>
      <c r="N114" s="25" t="str">
        <f>IF($Q114="","",INDEX(TRANSACTIONS_MASTER!$R$5:$R$1204,$Q114))</f>
        <v/>
      </c>
      <c r="O114" s="28" t="str">
        <f>IF($Q114="","",INDEX(TRANSACTIONS_MASTER!$AB$5:$AB$1204,$Q114))</f>
        <v/>
      </c>
      <c r="P114" s="55" t="str">
        <f>IF($Q114="","",INDEX(TRANSACTIONS_MASTER!$Z$5:$Z$1204,$Q114)&amp;"")</f>
        <v/>
      </c>
      <c r="Q114" s="67" t="str">
        <f>IFERROR(MATCH($C$2&amp;"|"&amp;107,TRANSACTIONS_MASTER!$AE$5:$AE$1204,0),"")</f>
        <v/>
      </c>
    </row>
    <row r="115" ht="22" customHeight="1">
      <c r="A115" s="81" t="str">
        <f>IF($Q115="","",108)</f>
        <v/>
      </c>
      <c r="B115" s="57" t="str">
        <f>IF($Q115="","",INDEX(TRANSACTIONS_MASTER!$B$5:$B$1204,$Q115))</f>
        <v/>
      </c>
      <c r="C115" s="55" t="str">
        <f>IF($Q115="","",INDEX(TRANSACTIONS_MASTER!$F$5:$F$1204,$Q115))</f>
        <v/>
      </c>
      <c r="D115" s="55" t="str">
        <f>IF($Q115="","",INDEX(TRANSACTIONS_MASTER!$E$5:$E$1204,$Q115))</f>
        <v/>
      </c>
      <c r="E115" s="55" t="str">
        <f>IF($Q115="","",INDEX(TRANSACTIONS_MASTER!$G$5:$G$1204,$Q115)&amp;"")</f>
        <v/>
      </c>
      <c r="F115" s="29" t="str">
        <f>IF($Q115="","",INDEX(TRANSACTIONS_MASTER!$I$5:$I$1204,$Q115))</f>
        <v/>
      </c>
      <c r="G115" s="55" t="str">
        <f>IF($Q115="","",INDEX(TRANSACTIONS_MASTER!$K$5:$K$1204,$Q115))</f>
        <v/>
      </c>
      <c r="H115" s="25" t="str">
        <f>IF($Q115="","",INDEX(TRANSACTIONS_MASTER!$L$5:$L$1204,$Q115))</f>
        <v/>
      </c>
      <c r="I115" s="56" t="str">
        <f>IF($Q115="","",INDEX(TRANSACTIONS_MASTER!$N$5:$N$1204,$Q115))</f>
        <v/>
      </c>
      <c r="J115" s="25" t="str">
        <f>IF($Q115="","",INDEX(TRANSACTIONS_MASTER!$O$5:$O$1204,$Q115))</f>
        <v/>
      </c>
      <c r="K115" s="26" t="str">
        <f>IF($Q115="","",INDEX(TRANSACTIONS_MASTER!$Q$5:$Q$1204,$Q115))</f>
        <v/>
      </c>
      <c r="L115" s="25" t="str">
        <f>IF($Q115="","",INDEX(TRANSACTIONS_MASTER!$P$5:$P$1204,$Q115))</f>
        <v/>
      </c>
      <c r="M115" s="25" t="str">
        <f>IF($Q115="","",INDEX(TRANSACTIONS_MASTER!$AA$5:$AA$1204,$Q115))</f>
        <v/>
      </c>
      <c r="N115" s="25" t="str">
        <f>IF($Q115="","",INDEX(TRANSACTIONS_MASTER!$R$5:$R$1204,$Q115))</f>
        <v/>
      </c>
      <c r="O115" s="28" t="str">
        <f>IF($Q115="","",INDEX(TRANSACTIONS_MASTER!$AB$5:$AB$1204,$Q115))</f>
        <v/>
      </c>
      <c r="P115" s="55" t="str">
        <f>IF($Q115="","",INDEX(TRANSACTIONS_MASTER!$Z$5:$Z$1204,$Q115)&amp;"")</f>
        <v/>
      </c>
      <c r="Q115" s="67" t="str">
        <f>IFERROR(MATCH($C$2&amp;"|"&amp;108,TRANSACTIONS_MASTER!$AE$5:$AE$1204,0),"")</f>
        <v/>
      </c>
      <c r="T115" s="19" t="inlineStr">
        <is>
          <t>THEO DANH MỤC (Category)</t>
        </is>
      </c>
      <c r="U115" s="20" t="n"/>
      <c r="V115" s="20" t="n"/>
      <c r="W115" s="20" t="n"/>
      <c r="X115" s="20" t="n"/>
      <c r="Y115" s="20" t="n"/>
      <c r="Z115" s="20" t="n"/>
      <c r="AA115" s="20" t="n"/>
    </row>
    <row r="116" ht="28" customHeight="1">
      <c r="A116" s="81" t="str">
        <f>IF($Q116="","",109)</f>
        <v/>
      </c>
      <c r="B116" s="57" t="str">
        <f>IF($Q116="","",INDEX(TRANSACTIONS_MASTER!$B$5:$B$1204,$Q116))</f>
        <v/>
      </c>
      <c r="C116" s="55" t="str">
        <f>IF($Q116="","",INDEX(TRANSACTIONS_MASTER!$F$5:$F$1204,$Q116))</f>
        <v/>
      </c>
      <c r="D116" s="55" t="str">
        <f>IF($Q116="","",INDEX(TRANSACTIONS_MASTER!$E$5:$E$1204,$Q116))</f>
        <v/>
      </c>
      <c r="E116" s="55" t="str">
        <f>IF($Q116="","",INDEX(TRANSACTIONS_MASTER!$G$5:$G$1204,$Q116)&amp;"")</f>
        <v/>
      </c>
      <c r="F116" s="29" t="str">
        <f>IF($Q116="","",INDEX(TRANSACTIONS_MASTER!$I$5:$I$1204,$Q116))</f>
        <v/>
      </c>
      <c r="G116" s="55" t="str">
        <f>IF($Q116="","",INDEX(TRANSACTIONS_MASTER!$K$5:$K$1204,$Q116))</f>
        <v/>
      </c>
      <c r="H116" s="25" t="str">
        <f>IF($Q116="","",INDEX(TRANSACTIONS_MASTER!$L$5:$L$1204,$Q116))</f>
        <v/>
      </c>
      <c r="I116" s="56" t="str">
        <f>IF($Q116="","",INDEX(TRANSACTIONS_MASTER!$N$5:$N$1204,$Q116))</f>
        <v/>
      </c>
      <c r="J116" s="25" t="str">
        <f>IF($Q116="","",INDEX(TRANSACTIONS_MASTER!$O$5:$O$1204,$Q116))</f>
        <v/>
      </c>
      <c r="K116" s="26" t="str">
        <f>IF($Q116="","",INDEX(TRANSACTIONS_MASTER!$Q$5:$Q$1204,$Q116))</f>
        <v/>
      </c>
      <c r="L116" s="25" t="str">
        <f>IF($Q116="","",INDEX(TRANSACTIONS_MASTER!$P$5:$P$1204,$Q116))</f>
        <v/>
      </c>
      <c r="M116" s="25" t="str">
        <f>IF($Q116="","",INDEX(TRANSACTIONS_MASTER!$AA$5:$AA$1204,$Q116))</f>
        <v/>
      </c>
      <c r="N116" s="25" t="str">
        <f>IF($Q116="","",INDEX(TRANSACTIONS_MASTER!$R$5:$R$1204,$Q116))</f>
        <v/>
      </c>
      <c r="O116" s="28" t="str">
        <f>IF($Q116="","",INDEX(TRANSACTIONS_MASTER!$AB$5:$AB$1204,$Q116))</f>
        <v/>
      </c>
      <c r="P116" s="55" t="str">
        <f>IF($Q116="","",INDEX(TRANSACTIONS_MASTER!$Z$5:$Z$1204,$Q116)&amp;"")</f>
        <v/>
      </c>
      <c r="Q116" s="67" t="str">
        <f>IFERROR(MATCH($C$2&amp;"|"&amp;109,TRANSACTIONS_MASTER!$AE$5:$AE$1204,0),"")</f>
        <v/>
      </c>
      <c r="S116" s="21" t="inlineStr">
        <is>
          <t>#</t>
        </is>
      </c>
      <c r="T116" s="21" t="inlineStr"/>
      <c r="U116" s="21" t="inlineStr">
        <is>
          <t>Danh mục</t>
        </is>
      </c>
      <c r="V116" s="21" t="inlineStr">
        <is>
          <t>Chi tiêu</t>
        </is>
      </c>
      <c r="W116" s="21" t="inlineStr">
        <is>
          <t>Cashback</t>
        </is>
      </c>
    </row>
    <row r="117">
      <c r="A117" s="81" t="str">
        <f>IF($Q117="","",110)</f>
        <v/>
      </c>
      <c r="B117" s="57" t="str">
        <f>IF($Q117="","",INDEX(TRANSACTIONS_MASTER!$B$5:$B$1204,$Q117))</f>
        <v/>
      </c>
      <c r="C117" s="55" t="str">
        <f>IF($Q117="","",INDEX(TRANSACTIONS_MASTER!$F$5:$F$1204,$Q117))</f>
        <v/>
      </c>
      <c r="D117" s="55" t="str">
        <f>IF($Q117="","",INDEX(TRANSACTIONS_MASTER!$E$5:$E$1204,$Q117))</f>
        <v/>
      </c>
      <c r="E117" s="55" t="str">
        <f>IF($Q117="","",INDEX(TRANSACTIONS_MASTER!$G$5:$G$1204,$Q117)&amp;"")</f>
        <v/>
      </c>
      <c r="F117" s="29" t="str">
        <f>IF($Q117="","",INDEX(TRANSACTIONS_MASTER!$I$5:$I$1204,$Q117))</f>
        <v/>
      </c>
      <c r="G117" s="55" t="str">
        <f>IF($Q117="","",INDEX(TRANSACTIONS_MASTER!$K$5:$K$1204,$Q117))</f>
        <v/>
      </c>
      <c r="H117" s="25" t="str">
        <f>IF($Q117="","",INDEX(TRANSACTIONS_MASTER!$L$5:$L$1204,$Q117))</f>
        <v/>
      </c>
      <c r="I117" s="56" t="str">
        <f>IF($Q117="","",INDEX(TRANSACTIONS_MASTER!$N$5:$N$1204,$Q117))</f>
        <v/>
      </c>
      <c r="J117" s="25" t="str">
        <f>IF($Q117="","",INDEX(TRANSACTIONS_MASTER!$O$5:$O$1204,$Q117))</f>
        <v/>
      </c>
      <c r="K117" s="26" t="str">
        <f>IF($Q117="","",INDEX(TRANSACTIONS_MASTER!$Q$5:$Q$1204,$Q117))</f>
        <v/>
      </c>
      <c r="L117" s="25" t="str">
        <f>IF($Q117="","",INDEX(TRANSACTIONS_MASTER!$P$5:$P$1204,$Q117))</f>
        <v/>
      </c>
      <c r="M117" s="25" t="str">
        <f>IF($Q117="","",INDEX(TRANSACTIONS_MASTER!$AA$5:$AA$1204,$Q117))</f>
        <v/>
      </c>
      <c r="N117" s="25" t="str">
        <f>IF($Q117="","",INDEX(TRANSACTIONS_MASTER!$R$5:$R$1204,$Q117))</f>
        <v/>
      </c>
      <c r="O117" s="28" t="str">
        <f>IF($Q117="","",INDEX(TRANSACTIONS_MASTER!$AB$5:$AB$1204,$Q117))</f>
        <v/>
      </c>
      <c r="P117" s="55" t="str">
        <f>IF($Q117="","",INDEX(TRANSACTIONS_MASTER!$Z$5:$Z$1204,$Q117)&amp;"")</f>
        <v/>
      </c>
      <c r="Q117" s="67" t="str">
        <f>IFERROR(MATCH($C$2&amp;"|"&amp;110,TRANSACTIONS_MASTER!$AE$5:$AE$1204,0),"")</f>
        <v/>
      </c>
      <c r="S117" s="67" t="str">
        <f>IFERROR(MATCH(1,INDEX((TRANSACTIONS_MASTER!$C$5:$C$1204=$C$2)*(TRANSACTIONS_MASTER!$AL$5:$AL$1204=1),0),0),"")</f>
        <v/>
      </c>
      <c r="T117" s="55" t="n"/>
      <c r="U117" s="55" t="str">
        <f>IF($S117="","",INDEX(TRANSACTIONS_MASTER!$K$5:$K$1204,$S117))</f>
        <v/>
      </c>
      <c r="V117" s="25" t="str">
        <f>IF($S117="","",SUMIFS(TRANSACTIONS_MASTER!$L$5:$L$1204,TRANSACTIONS_MASTER!$K$5:$K$1204,$U117,TRANSACTIONS_MASTER!$C$5:$C$1204,$C$2,TRANSACTIONS_MASTER!$U$5:$U$1204,"&lt;&gt;Cancelled"))</f>
        <v/>
      </c>
      <c r="W117" s="26" t="str">
        <f>IF($S117="","",SUMIFS(TRANSACTIONS_MASTER!$Q$5:$Q$1204,TRANSACTIONS_MASTER!$K$5:$K$1204,$U117,TRANSACTIONS_MASTER!$C$5:$C$1204,$C$2))</f>
        <v/>
      </c>
    </row>
    <row r="118">
      <c r="A118" s="81" t="str">
        <f>IF($Q118="","",111)</f>
        <v/>
      </c>
      <c r="B118" s="57" t="str">
        <f>IF($Q118="","",INDEX(TRANSACTIONS_MASTER!$B$5:$B$1204,$Q118))</f>
        <v/>
      </c>
      <c r="C118" s="55" t="str">
        <f>IF($Q118="","",INDEX(TRANSACTIONS_MASTER!$F$5:$F$1204,$Q118))</f>
        <v/>
      </c>
      <c r="D118" s="55" t="str">
        <f>IF($Q118="","",INDEX(TRANSACTIONS_MASTER!$E$5:$E$1204,$Q118))</f>
        <v/>
      </c>
      <c r="E118" s="55" t="str">
        <f>IF($Q118="","",INDEX(TRANSACTIONS_MASTER!$G$5:$G$1204,$Q118)&amp;"")</f>
        <v/>
      </c>
      <c r="F118" s="29" t="str">
        <f>IF($Q118="","",INDEX(TRANSACTIONS_MASTER!$I$5:$I$1204,$Q118))</f>
        <v/>
      </c>
      <c r="G118" s="55" t="str">
        <f>IF($Q118="","",INDEX(TRANSACTIONS_MASTER!$K$5:$K$1204,$Q118))</f>
        <v/>
      </c>
      <c r="H118" s="25" t="str">
        <f>IF($Q118="","",INDEX(TRANSACTIONS_MASTER!$L$5:$L$1204,$Q118))</f>
        <v/>
      </c>
      <c r="I118" s="56" t="str">
        <f>IF($Q118="","",INDEX(TRANSACTIONS_MASTER!$N$5:$N$1204,$Q118))</f>
        <v/>
      </c>
      <c r="J118" s="25" t="str">
        <f>IF($Q118="","",INDEX(TRANSACTIONS_MASTER!$O$5:$O$1204,$Q118))</f>
        <v/>
      </c>
      <c r="K118" s="26" t="str">
        <f>IF($Q118="","",INDEX(TRANSACTIONS_MASTER!$Q$5:$Q$1204,$Q118))</f>
        <v/>
      </c>
      <c r="L118" s="25" t="str">
        <f>IF($Q118="","",INDEX(TRANSACTIONS_MASTER!$P$5:$P$1204,$Q118))</f>
        <v/>
      </c>
      <c r="M118" s="25" t="str">
        <f>IF($Q118="","",INDEX(TRANSACTIONS_MASTER!$AA$5:$AA$1204,$Q118))</f>
        <v/>
      </c>
      <c r="N118" s="25" t="str">
        <f>IF($Q118="","",INDEX(TRANSACTIONS_MASTER!$R$5:$R$1204,$Q118))</f>
        <v/>
      </c>
      <c r="O118" s="28" t="str">
        <f>IF($Q118="","",INDEX(TRANSACTIONS_MASTER!$AB$5:$AB$1204,$Q118))</f>
        <v/>
      </c>
      <c r="P118" s="55" t="str">
        <f>IF($Q118="","",INDEX(TRANSACTIONS_MASTER!$Z$5:$Z$1204,$Q118)&amp;"")</f>
        <v/>
      </c>
      <c r="Q118" s="67" t="str">
        <f>IFERROR(MATCH($C$2&amp;"|"&amp;111,TRANSACTIONS_MASTER!$AE$5:$AE$1204,0),"")</f>
        <v/>
      </c>
      <c r="S118" s="67" t="str">
        <f>IFERROR(MATCH(1,INDEX((TRANSACTIONS_MASTER!$C$5:$C$1204=$C$2)*(TRANSACTIONS_MASTER!$AL$5:$AL$1204=2),0),0),"")</f>
        <v/>
      </c>
      <c r="T118" s="55" t="n"/>
      <c r="U118" s="55" t="str">
        <f>IF($S118="","",INDEX(TRANSACTIONS_MASTER!$K$5:$K$1204,$S118))</f>
        <v/>
      </c>
      <c r="V118" s="25" t="str">
        <f>IF($S118="","",SUMIFS(TRANSACTIONS_MASTER!$L$5:$L$1204,TRANSACTIONS_MASTER!$K$5:$K$1204,$U118,TRANSACTIONS_MASTER!$C$5:$C$1204,$C$2,TRANSACTIONS_MASTER!$U$5:$U$1204,"&lt;&gt;Cancelled"))</f>
        <v/>
      </c>
      <c r="W118" s="26" t="str">
        <f>IF($S118="","",SUMIFS(TRANSACTIONS_MASTER!$Q$5:$Q$1204,TRANSACTIONS_MASTER!$K$5:$K$1204,$U118,TRANSACTIONS_MASTER!$C$5:$C$1204,$C$2))</f>
        <v/>
      </c>
    </row>
    <row r="119">
      <c r="A119" s="81" t="str">
        <f>IF($Q119="","",112)</f>
        <v/>
      </c>
      <c r="B119" s="57" t="str">
        <f>IF($Q119="","",INDEX(TRANSACTIONS_MASTER!$B$5:$B$1204,$Q119))</f>
        <v/>
      </c>
      <c r="C119" s="55" t="str">
        <f>IF($Q119="","",INDEX(TRANSACTIONS_MASTER!$F$5:$F$1204,$Q119))</f>
        <v/>
      </c>
      <c r="D119" s="55" t="str">
        <f>IF($Q119="","",INDEX(TRANSACTIONS_MASTER!$E$5:$E$1204,$Q119))</f>
        <v/>
      </c>
      <c r="E119" s="55" t="str">
        <f>IF($Q119="","",INDEX(TRANSACTIONS_MASTER!$G$5:$G$1204,$Q119)&amp;"")</f>
        <v/>
      </c>
      <c r="F119" s="29" t="str">
        <f>IF($Q119="","",INDEX(TRANSACTIONS_MASTER!$I$5:$I$1204,$Q119))</f>
        <v/>
      </c>
      <c r="G119" s="55" t="str">
        <f>IF($Q119="","",INDEX(TRANSACTIONS_MASTER!$K$5:$K$1204,$Q119))</f>
        <v/>
      </c>
      <c r="H119" s="25" t="str">
        <f>IF($Q119="","",INDEX(TRANSACTIONS_MASTER!$L$5:$L$1204,$Q119))</f>
        <v/>
      </c>
      <c r="I119" s="56" t="str">
        <f>IF($Q119="","",INDEX(TRANSACTIONS_MASTER!$N$5:$N$1204,$Q119))</f>
        <v/>
      </c>
      <c r="J119" s="25" t="str">
        <f>IF($Q119="","",INDEX(TRANSACTIONS_MASTER!$O$5:$O$1204,$Q119))</f>
        <v/>
      </c>
      <c r="K119" s="26" t="str">
        <f>IF($Q119="","",INDEX(TRANSACTIONS_MASTER!$Q$5:$Q$1204,$Q119))</f>
        <v/>
      </c>
      <c r="L119" s="25" t="str">
        <f>IF($Q119="","",INDEX(TRANSACTIONS_MASTER!$P$5:$P$1204,$Q119))</f>
        <v/>
      </c>
      <c r="M119" s="25" t="str">
        <f>IF($Q119="","",INDEX(TRANSACTIONS_MASTER!$AA$5:$AA$1204,$Q119))</f>
        <v/>
      </c>
      <c r="N119" s="25" t="str">
        <f>IF($Q119="","",INDEX(TRANSACTIONS_MASTER!$R$5:$R$1204,$Q119))</f>
        <v/>
      </c>
      <c r="O119" s="28" t="str">
        <f>IF($Q119="","",INDEX(TRANSACTIONS_MASTER!$AB$5:$AB$1204,$Q119))</f>
        <v/>
      </c>
      <c r="P119" s="55" t="str">
        <f>IF($Q119="","",INDEX(TRANSACTIONS_MASTER!$Z$5:$Z$1204,$Q119)&amp;"")</f>
        <v/>
      </c>
      <c r="Q119" s="67" t="str">
        <f>IFERROR(MATCH($C$2&amp;"|"&amp;112,TRANSACTIONS_MASTER!$AE$5:$AE$1204,0),"")</f>
        <v/>
      </c>
      <c r="S119" s="67" t="str">
        <f>IFERROR(MATCH(1,INDEX((TRANSACTIONS_MASTER!$C$5:$C$1204=$C$2)*(TRANSACTIONS_MASTER!$AL$5:$AL$1204=3),0),0),"")</f>
        <v/>
      </c>
      <c r="T119" s="55" t="n"/>
      <c r="U119" s="55" t="str">
        <f>IF($S119="","",INDEX(TRANSACTIONS_MASTER!$K$5:$K$1204,$S119))</f>
        <v/>
      </c>
      <c r="V119" s="25" t="str">
        <f>IF($S119="","",SUMIFS(TRANSACTIONS_MASTER!$L$5:$L$1204,TRANSACTIONS_MASTER!$K$5:$K$1204,$U119,TRANSACTIONS_MASTER!$C$5:$C$1204,$C$2,TRANSACTIONS_MASTER!$U$5:$U$1204,"&lt;&gt;Cancelled"))</f>
        <v/>
      </c>
      <c r="W119" s="26" t="str">
        <f>IF($S119="","",SUMIFS(TRANSACTIONS_MASTER!$Q$5:$Q$1204,TRANSACTIONS_MASTER!$K$5:$K$1204,$U119,TRANSACTIONS_MASTER!$C$5:$C$1204,$C$2))</f>
        <v/>
      </c>
    </row>
    <row r="120">
      <c r="A120" s="81" t="str">
        <f>IF($Q120="","",113)</f>
        <v/>
      </c>
      <c r="B120" s="57" t="str">
        <f>IF($Q120="","",INDEX(TRANSACTIONS_MASTER!$B$5:$B$1204,$Q120))</f>
        <v/>
      </c>
      <c r="C120" s="55" t="str">
        <f>IF($Q120="","",INDEX(TRANSACTIONS_MASTER!$F$5:$F$1204,$Q120))</f>
        <v/>
      </c>
      <c r="D120" s="55" t="str">
        <f>IF($Q120="","",INDEX(TRANSACTIONS_MASTER!$E$5:$E$1204,$Q120))</f>
        <v/>
      </c>
      <c r="E120" s="55" t="str">
        <f>IF($Q120="","",INDEX(TRANSACTIONS_MASTER!$G$5:$G$1204,$Q120)&amp;"")</f>
        <v/>
      </c>
      <c r="F120" s="29" t="str">
        <f>IF($Q120="","",INDEX(TRANSACTIONS_MASTER!$I$5:$I$1204,$Q120))</f>
        <v/>
      </c>
      <c r="G120" s="55" t="str">
        <f>IF($Q120="","",INDEX(TRANSACTIONS_MASTER!$K$5:$K$1204,$Q120))</f>
        <v/>
      </c>
      <c r="H120" s="25" t="str">
        <f>IF($Q120="","",INDEX(TRANSACTIONS_MASTER!$L$5:$L$1204,$Q120))</f>
        <v/>
      </c>
      <c r="I120" s="56" t="str">
        <f>IF($Q120="","",INDEX(TRANSACTIONS_MASTER!$N$5:$N$1204,$Q120))</f>
        <v/>
      </c>
      <c r="J120" s="25" t="str">
        <f>IF($Q120="","",INDEX(TRANSACTIONS_MASTER!$O$5:$O$1204,$Q120))</f>
        <v/>
      </c>
      <c r="K120" s="26" t="str">
        <f>IF($Q120="","",INDEX(TRANSACTIONS_MASTER!$Q$5:$Q$1204,$Q120))</f>
        <v/>
      </c>
      <c r="L120" s="25" t="str">
        <f>IF($Q120="","",INDEX(TRANSACTIONS_MASTER!$P$5:$P$1204,$Q120))</f>
        <v/>
      </c>
      <c r="M120" s="25" t="str">
        <f>IF($Q120="","",INDEX(TRANSACTIONS_MASTER!$AA$5:$AA$1204,$Q120))</f>
        <v/>
      </c>
      <c r="N120" s="25" t="str">
        <f>IF($Q120="","",INDEX(TRANSACTIONS_MASTER!$R$5:$R$1204,$Q120))</f>
        <v/>
      </c>
      <c r="O120" s="28" t="str">
        <f>IF($Q120="","",INDEX(TRANSACTIONS_MASTER!$AB$5:$AB$1204,$Q120))</f>
        <v/>
      </c>
      <c r="P120" s="55" t="str">
        <f>IF($Q120="","",INDEX(TRANSACTIONS_MASTER!$Z$5:$Z$1204,$Q120)&amp;"")</f>
        <v/>
      </c>
      <c r="Q120" s="67" t="str">
        <f>IFERROR(MATCH($C$2&amp;"|"&amp;113,TRANSACTIONS_MASTER!$AE$5:$AE$1204,0),"")</f>
        <v/>
      </c>
      <c r="S120" s="67" t="str">
        <f>IFERROR(MATCH(1,INDEX((TRANSACTIONS_MASTER!$C$5:$C$1204=$C$2)*(TRANSACTIONS_MASTER!$AL$5:$AL$1204=4),0),0),"")</f>
        <v/>
      </c>
      <c r="T120" s="55" t="n"/>
      <c r="U120" s="55" t="str">
        <f>IF($S120="","",INDEX(TRANSACTIONS_MASTER!$K$5:$K$1204,$S120))</f>
        <v/>
      </c>
      <c r="V120" s="25" t="str">
        <f>IF($S120="","",SUMIFS(TRANSACTIONS_MASTER!$L$5:$L$1204,TRANSACTIONS_MASTER!$K$5:$K$1204,$U120,TRANSACTIONS_MASTER!$C$5:$C$1204,$C$2,TRANSACTIONS_MASTER!$U$5:$U$1204,"&lt;&gt;Cancelled"))</f>
        <v/>
      </c>
      <c r="W120" s="26" t="str">
        <f>IF($S120="","",SUMIFS(TRANSACTIONS_MASTER!$Q$5:$Q$1204,TRANSACTIONS_MASTER!$K$5:$K$1204,$U120,TRANSACTIONS_MASTER!$C$5:$C$1204,$C$2))</f>
        <v/>
      </c>
    </row>
    <row r="121">
      <c r="A121" s="81" t="str">
        <f>IF($Q121="","",114)</f>
        <v/>
      </c>
      <c r="B121" s="57" t="str">
        <f>IF($Q121="","",INDEX(TRANSACTIONS_MASTER!$B$5:$B$1204,$Q121))</f>
        <v/>
      </c>
      <c r="C121" s="55" t="str">
        <f>IF($Q121="","",INDEX(TRANSACTIONS_MASTER!$F$5:$F$1204,$Q121))</f>
        <v/>
      </c>
      <c r="D121" s="55" t="str">
        <f>IF($Q121="","",INDEX(TRANSACTIONS_MASTER!$E$5:$E$1204,$Q121))</f>
        <v/>
      </c>
      <c r="E121" s="55" t="str">
        <f>IF($Q121="","",INDEX(TRANSACTIONS_MASTER!$G$5:$G$1204,$Q121)&amp;"")</f>
        <v/>
      </c>
      <c r="F121" s="29" t="str">
        <f>IF($Q121="","",INDEX(TRANSACTIONS_MASTER!$I$5:$I$1204,$Q121))</f>
        <v/>
      </c>
      <c r="G121" s="55" t="str">
        <f>IF($Q121="","",INDEX(TRANSACTIONS_MASTER!$K$5:$K$1204,$Q121))</f>
        <v/>
      </c>
      <c r="H121" s="25" t="str">
        <f>IF($Q121="","",INDEX(TRANSACTIONS_MASTER!$L$5:$L$1204,$Q121))</f>
        <v/>
      </c>
      <c r="I121" s="56" t="str">
        <f>IF($Q121="","",INDEX(TRANSACTIONS_MASTER!$N$5:$N$1204,$Q121))</f>
        <v/>
      </c>
      <c r="J121" s="25" t="str">
        <f>IF($Q121="","",INDEX(TRANSACTIONS_MASTER!$O$5:$O$1204,$Q121))</f>
        <v/>
      </c>
      <c r="K121" s="26" t="str">
        <f>IF($Q121="","",INDEX(TRANSACTIONS_MASTER!$Q$5:$Q$1204,$Q121))</f>
        <v/>
      </c>
      <c r="L121" s="25" t="str">
        <f>IF($Q121="","",INDEX(TRANSACTIONS_MASTER!$P$5:$P$1204,$Q121))</f>
        <v/>
      </c>
      <c r="M121" s="25" t="str">
        <f>IF($Q121="","",INDEX(TRANSACTIONS_MASTER!$AA$5:$AA$1204,$Q121))</f>
        <v/>
      </c>
      <c r="N121" s="25" t="str">
        <f>IF($Q121="","",INDEX(TRANSACTIONS_MASTER!$R$5:$R$1204,$Q121))</f>
        <v/>
      </c>
      <c r="O121" s="28" t="str">
        <f>IF($Q121="","",INDEX(TRANSACTIONS_MASTER!$AB$5:$AB$1204,$Q121))</f>
        <v/>
      </c>
      <c r="P121" s="55" t="str">
        <f>IF($Q121="","",INDEX(TRANSACTIONS_MASTER!$Z$5:$Z$1204,$Q121)&amp;"")</f>
        <v/>
      </c>
      <c r="Q121" s="67" t="str">
        <f>IFERROR(MATCH($C$2&amp;"|"&amp;114,TRANSACTIONS_MASTER!$AE$5:$AE$1204,0),"")</f>
        <v/>
      </c>
      <c r="S121" s="67" t="str">
        <f>IFERROR(MATCH(1,INDEX((TRANSACTIONS_MASTER!$C$5:$C$1204=$C$2)*(TRANSACTIONS_MASTER!$AL$5:$AL$1204=5),0),0),"")</f>
        <v/>
      </c>
      <c r="T121" s="55" t="n"/>
      <c r="U121" s="55" t="str">
        <f>IF($S121="","",INDEX(TRANSACTIONS_MASTER!$K$5:$K$1204,$S121))</f>
        <v/>
      </c>
      <c r="V121" s="25" t="str">
        <f>IF($S121="","",SUMIFS(TRANSACTIONS_MASTER!$L$5:$L$1204,TRANSACTIONS_MASTER!$K$5:$K$1204,$U121,TRANSACTIONS_MASTER!$C$5:$C$1204,$C$2,TRANSACTIONS_MASTER!$U$5:$U$1204,"&lt;&gt;Cancelled"))</f>
        <v/>
      </c>
      <c r="W121" s="26" t="str">
        <f>IF($S121="","",SUMIFS(TRANSACTIONS_MASTER!$Q$5:$Q$1204,TRANSACTIONS_MASTER!$K$5:$K$1204,$U121,TRANSACTIONS_MASTER!$C$5:$C$1204,$C$2))</f>
        <v/>
      </c>
    </row>
    <row r="122">
      <c r="A122" s="81" t="str">
        <f>IF($Q122="","",115)</f>
        <v/>
      </c>
      <c r="B122" s="57" t="str">
        <f>IF($Q122="","",INDEX(TRANSACTIONS_MASTER!$B$5:$B$1204,$Q122))</f>
        <v/>
      </c>
      <c r="C122" s="55" t="str">
        <f>IF($Q122="","",INDEX(TRANSACTIONS_MASTER!$F$5:$F$1204,$Q122))</f>
        <v/>
      </c>
      <c r="D122" s="55" t="str">
        <f>IF($Q122="","",INDEX(TRANSACTIONS_MASTER!$E$5:$E$1204,$Q122))</f>
        <v/>
      </c>
      <c r="E122" s="55" t="str">
        <f>IF($Q122="","",INDEX(TRANSACTIONS_MASTER!$G$5:$G$1204,$Q122)&amp;"")</f>
        <v/>
      </c>
      <c r="F122" s="29" t="str">
        <f>IF($Q122="","",INDEX(TRANSACTIONS_MASTER!$I$5:$I$1204,$Q122))</f>
        <v/>
      </c>
      <c r="G122" s="55" t="str">
        <f>IF($Q122="","",INDEX(TRANSACTIONS_MASTER!$K$5:$K$1204,$Q122))</f>
        <v/>
      </c>
      <c r="H122" s="25" t="str">
        <f>IF($Q122="","",INDEX(TRANSACTIONS_MASTER!$L$5:$L$1204,$Q122))</f>
        <v/>
      </c>
      <c r="I122" s="56" t="str">
        <f>IF($Q122="","",INDEX(TRANSACTIONS_MASTER!$N$5:$N$1204,$Q122))</f>
        <v/>
      </c>
      <c r="J122" s="25" t="str">
        <f>IF($Q122="","",INDEX(TRANSACTIONS_MASTER!$O$5:$O$1204,$Q122))</f>
        <v/>
      </c>
      <c r="K122" s="26" t="str">
        <f>IF($Q122="","",INDEX(TRANSACTIONS_MASTER!$Q$5:$Q$1204,$Q122))</f>
        <v/>
      </c>
      <c r="L122" s="25" t="str">
        <f>IF($Q122="","",INDEX(TRANSACTIONS_MASTER!$P$5:$P$1204,$Q122))</f>
        <v/>
      </c>
      <c r="M122" s="25" t="str">
        <f>IF($Q122="","",INDEX(TRANSACTIONS_MASTER!$AA$5:$AA$1204,$Q122))</f>
        <v/>
      </c>
      <c r="N122" s="25" t="str">
        <f>IF($Q122="","",INDEX(TRANSACTIONS_MASTER!$R$5:$R$1204,$Q122))</f>
        <v/>
      </c>
      <c r="O122" s="28" t="str">
        <f>IF($Q122="","",INDEX(TRANSACTIONS_MASTER!$AB$5:$AB$1204,$Q122))</f>
        <v/>
      </c>
      <c r="P122" s="55" t="str">
        <f>IF($Q122="","",INDEX(TRANSACTIONS_MASTER!$Z$5:$Z$1204,$Q122)&amp;"")</f>
        <v/>
      </c>
      <c r="Q122" s="67" t="str">
        <f>IFERROR(MATCH($C$2&amp;"|"&amp;115,TRANSACTIONS_MASTER!$AE$5:$AE$1204,0),"")</f>
        <v/>
      </c>
      <c r="S122" s="67" t="str">
        <f>IFERROR(MATCH(1,INDEX((TRANSACTIONS_MASTER!$C$5:$C$1204=$C$2)*(TRANSACTIONS_MASTER!$AL$5:$AL$1204=6),0),0),"")</f>
        <v/>
      </c>
      <c r="T122" s="55" t="n"/>
      <c r="U122" s="55" t="str">
        <f>IF($S122="","",INDEX(TRANSACTIONS_MASTER!$K$5:$K$1204,$S122))</f>
        <v/>
      </c>
      <c r="V122" s="25" t="str">
        <f>IF($S122="","",SUMIFS(TRANSACTIONS_MASTER!$L$5:$L$1204,TRANSACTIONS_MASTER!$K$5:$K$1204,$U122,TRANSACTIONS_MASTER!$C$5:$C$1204,$C$2,TRANSACTIONS_MASTER!$U$5:$U$1204,"&lt;&gt;Cancelled"))</f>
        <v/>
      </c>
      <c r="W122" s="26" t="str">
        <f>IF($S122="","",SUMIFS(TRANSACTIONS_MASTER!$Q$5:$Q$1204,TRANSACTIONS_MASTER!$K$5:$K$1204,$U122,TRANSACTIONS_MASTER!$C$5:$C$1204,$C$2))</f>
        <v/>
      </c>
    </row>
    <row r="123">
      <c r="A123" s="81" t="str">
        <f>IF($Q123="","",116)</f>
        <v/>
      </c>
      <c r="B123" s="57" t="str">
        <f>IF($Q123="","",INDEX(TRANSACTIONS_MASTER!$B$5:$B$1204,$Q123))</f>
        <v/>
      </c>
      <c r="C123" s="55" t="str">
        <f>IF($Q123="","",INDEX(TRANSACTIONS_MASTER!$F$5:$F$1204,$Q123))</f>
        <v/>
      </c>
      <c r="D123" s="55" t="str">
        <f>IF($Q123="","",INDEX(TRANSACTIONS_MASTER!$E$5:$E$1204,$Q123))</f>
        <v/>
      </c>
      <c r="E123" s="55" t="str">
        <f>IF($Q123="","",INDEX(TRANSACTIONS_MASTER!$G$5:$G$1204,$Q123)&amp;"")</f>
        <v/>
      </c>
      <c r="F123" s="29" t="str">
        <f>IF($Q123="","",INDEX(TRANSACTIONS_MASTER!$I$5:$I$1204,$Q123))</f>
        <v/>
      </c>
      <c r="G123" s="55" t="str">
        <f>IF($Q123="","",INDEX(TRANSACTIONS_MASTER!$K$5:$K$1204,$Q123))</f>
        <v/>
      </c>
      <c r="H123" s="25" t="str">
        <f>IF($Q123="","",INDEX(TRANSACTIONS_MASTER!$L$5:$L$1204,$Q123))</f>
        <v/>
      </c>
      <c r="I123" s="56" t="str">
        <f>IF($Q123="","",INDEX(TRANSACTIONS_MASTER!$N$5:$N$1204,$Q123))</f>
        <v/>
      </c>
      <c r="J123" s="25" t="str">
        <f>IF($Q123="","",INDEX(TRANSACTIONS_MASTER!$O$5:$O$1204,$Q123))</f>
        <v/>
      </c>
      <c r="K123" s="26" t="str">
        <f>IF($Q123="","",INDEX(TRANSACTIONS_MASTER!$Q$5:$Q$1204,$Q123))</f>
        <v/>
      </c>
      <c r="L123" s="25" t="str">
        <f>IF($Q123="","",INDEX(TRANSACTIONS_MASTER!$P$5:$P$1204,$Q123))</f>
        <v/>
      </c>
      <c r="M123" s="25" t="str">
        <f>IF($Q123="","",INDEX(TRANSACTIONS_MASTER!$AA$5:$AA$1204,$Q123))</f>
        <v/>
      </c>
      <c r="N123" s="25" t="str">
        <f>IF($Q123="","",INDEX(TRANSACTIONS_MASTER!$R$5:$R$1204,$Q123))</f>
        <v/>
      </c>
      <c r="O123" s="28" t="str">
        <f>IF($Q123="","",INDEX(TRANSACTIONS_MASTER!$AB$5:$AB$1204,$Q123))</f>
        <v/>
      </c>
      <c r="P123" s="55" t="str">
        <f>IF($Q123="","",INDEX(TRANSACTIONS_MASTER!$Z$5:$Z$1204,$Q123)&amp;"")</f>
        <v/>
      </c>
      <c r="Q123" s="67" t="str">
        <f>IFERROR(MATCH($C$2&amp;"|"&amp;116,TRANSACTIONS_MASTER!$AE$5:$AE$1204,0),"")</f>
        <v/>
      </c>
      <c r="S123" s="67" t="str">
        <f>IFERROR(MATCH(1,INDEX((TRANSACTIONS_MASTER!$C$5:$C$1204=$C$2)*(TRANSACTIONS_MASTER!$AL$5:$AL$1204=7),0),0),"")</f>
        <v/>
      </c>
      <c r="T123" s="55" t="n"/>
      <c r="U123" s="55" t="str">
        <f>IF($S123="","",INDEX(TRANSACTIONS_MASTER!$K$5:$K$1204,$S123))</f>
        <v/>
      </c>
      <c r="V123" s="25" t="str">
        <f>IF($S123="","",SUMIFS(TRANSACTIONS_MASTER!$L$5:$L$1204,TRANSACTIONS_MASTER!$K$5:$K$1204,$U123,TRANSACTIONS_MASTER!$C$5:$C$1204,$C$2,TRANSACTIONS_MASTER!$U$5:$U$1204,"&lt;&gt;Cancelled"))</f>
        <v/>
      </c>
      <c r="W123" s="26" t="str">
        <f>IF($S123="","",SUMIFS(TRANSACTIONS_MASTER!$Q$5:$Q$1204,TRANSACTIONS_MASTER!$K$5:$K$1204,$U123,TRANSACTIONS_MASTER!$C$5:$C$1204,$C$2))</f>
        <v/>
      </c>
    </row>
    <row r="124">
      <c r="A124" s="81" t="str">
        <f>IF($Q124="","",117)</f>
        <v/>
      </c>
      <c r="B124" s="57" t="str">
        <f>IF($Q124="","",INDEX(TRANSACTIONS_MASTER!$B$5:$B$1204,$Q124))</f>
        <v/>
      </c>
      <c r="C124" s="55" t="str">
        <f>IF($Q124="","",INDEX(TRANSACTIONS_MASTER!$F$5:$F$1204,$Q124))</f>
        <v/>
      </c>
      <c r="D124" s="55" t="str">
        <f>IF($Q124="","",INDEX(TRANSACTIONS_MASTER!$E$5:$E$1204,$Q124))</f>
        <v/>
      </c>
      <c r="E124" s="55" t="str">
        <f>IF($Q124="","",INDEX(TRANSACTIONS_MASTER!$G$5:$G$1204,$Q124)&amp;"")</f>
        <v/>
      </c>
      <c r="F124" s="29" t="str">
        <f>IF($Q124="","",INDEX(TRANSACTIONS_MASTER!$I$5:$I$1204,$Q124))</f>
        <v/>
      </c>
      <c r="G124" s="55" t="str">
        <f>IF($Q124="","",INDEX(TRANSACTIONS_MASTER!$K$5:$K$1204,$Q124))</f>
        <v/>
      </c>
      <c r="H124" s="25" t="str">
        <f>IF($Q124="","",INDEX(TRANSACTIONS_MASTER!$L$5:$L$1204,$Q124))</f>
        <v/>
      </c>
      <c r="I124" s="56" t="str">
        <f>IF($Q124="","",INDEX(TRANSACTIONS_MASTER!$N$5:$N$1204,$Q124))</f>
        <v/>
      </c>
      <c r="J124" s="25" t="str">
        <f>IF($Q124="","",INDEX(TRANSACTIONS_MASTER!$O$5:$O$1204,$Q124))</f>
        <v/>
      </c>
      <c r="K124" s="26" t="str">
        <f>IF($Q124="","",INDEX(TRANSACTIONS_MASTER!$Q$5:$Q$1204,$Q124))</f>
        <v/>
      </c>
      <c r="L124" s="25" t="str">
        <f>IF($Q124="","",INDEX(TRANSACTIONS_MASTER!$P$5:$P$1204,$Q124))</f>
        <v/>
      </c>
      <c r="M124" s="25" t="str">
        <f>IF($Q124="","",INDEX(TRANSACTIONS_MASTER!$AA$5:$AA$1204,$Q124))</f>
        <v/>
      </c>
      <c r="N124" s="25" t="str">
        <f>IF($Q124="","",INDEX(TRANSACTIONS_MASTER!$R$5:$R$1204,$Q124))</f>
        <v/>
      </c>
      <c r="O124" s="28" t="str">
        <f>IF($Q124="","",INDEX(TRANSACTIONS_MASTER!$AB$5:$AB$1204,$Q124))</f>
        <v/>
      </c>
      <c r="P124" s="55" t="str">
        <f>IF($Q124="","",INDEX(TRANSACTIONS_MASTER!$Z$5:$Z$1204,$Q124)&amp;"")</f>
        <v/>
      </c>
      <c r="Q124" s="67" t="str">
        <f>IFERROR(MATCH($C$2&amp;"|"&amp;117,TRANSACTIONS_MASTER!$AE$5:$AE$1204,0),"")</f>
        <v/>
      </c>
      <c r="S124" s="67" t="str">
        <f>IFERROR(MATCH(1,INDEX((TRANSACTIONS_MASTER!$C$5:$C$1204=$C$2)*(TRANSACTIONS_MASTER!$AL$5:$AL$1204=8),0),0),"")</f>
        <v/>
      </c>
      <c r="T124" s="55" t="n"/>
      <c r="U124" s="55" t="str">
        <f>IF($S124="","",INDEX(TRANSACTIONS_MASTER!$K$5:$K$1204,$S124))</f>
        <v/>
      </c>
      <c r="V124" s="25" t="str">
        <f>IF($S124="","",SUMIFS(TRANSACTIONS_MASTER!$L$5:$L$1204,TRANSACTIONS_MASTER!$K$5:$K$1204,$U124,TRANSACTIONS_MASTER!$C$5:$C$1204,$C$2,TRANSACTIONS_MASTER!$U$5:$U$1204,"&lt;&gt;Cancelled"))</f>
        <v/>
      </c>
      <c r="W124" s="26" t="str">
        <f>IF($S124="","",SUMIFS(TRANSACTIONS_MASTER!$Q$5:$Q$1204,TRANSACTIONS_MASTER!$K$5:$K$1204,$U124,TRANSACTIONS_MASTER!$C$5:$C$1204,$C$2))</f>
        <v/>
      </c>
    </row>
    <row r="125">
      <c r="A125" s="81" t="str">
        <f>IF($Q125="","",118)</f>
        <v/>
      </c>
      <c r="B125" s="57" t="str">
        <f>IF($Q125="","",INDEX(TRANSACTIONS_MASTER!$B$5:$B$1204,$Q125))</f>
        <v/>
      </c>
      <c r="C125" s="55" t="str">
        <f>IF($Q125="","",INDEX(TRANSACTIONS_MASTER!$F$5:$F$1204,$Q125))</f>
        <v/>
      </c>
      <c r="D125" s="55" t="str">
        <f>IF($Q125="","",INDEX(TRANSACTIONS_MASTER!$E$5:$E$1204,$Q125))</f>
        <v/>
      </c>
      <c r="E125" s="55" t="str">
        <f>IF($Q125="","",INDEX(TRANSACTIONS_MASTER!$G$5:$G$1204,$Q125)&amp;"")</f>
        <v/>
      </c>
      <c r="F125" s="29" t="str">
        <f>IF($Q125="","",INDEX(TRANSACTIONS_MASTER!$I$5:$I$1204,$Q125))</f>
        <v/>
      </c>
      <c r="G125" s="55" t="str">
        <f>IF($Q125="","",INDEX(TRANSACTIONS_MASTER!$K$5:$K$1204,$Q125))</f>
        <v/>
      </c>
      <c r="H125" s="25" t="str">
        <f>IF($Q125="","",INDEX(TRANSACTIONS_MASTER!$L$5:$L$1204,$Q125))</f>
        <v/>
      </c>
      <c r="I125" s="56" t="str">
        <f>IF($Q125="","",INDEX(TRANSACTIONS_MASTER!$N$5:$N$1204,$Q125))</f>
        <v/>
      </c>
      <c r="J125" s="25" t="str">
        <f>IF($Q125="","",INDEX(TRANSACTIONS_MASTER!$O$5:$O$1204,$Q125))</f>
        <v/>
      </c>
      <c r="K125" s="26" t="str">
        <f>IF($Q125="","",INDEX(TRANSACTIONS_MASTER!$Q$5:$Q$1204,$Q125))</f>
        <v/>
      </c>
      <c r="L125" s="25" t="str">
        <f>IF($Q125="","",INDEX(TRANSACTIONS_MASTER!$P$5:$P$1204,$Q125))</f>
        <v/>
      </c>
      <c r="M125" s="25" t="str">
        <f>IF($Q125="","",INDEX(TRANSACTIONS_MASTER!$AA$5:$AA$1204,$Q125))</f>
        <v/>
      </c>
      <c r="N125" s="25" t="str">
        <f>IF($Q125="","",INDEX(TRANSACTIONS_MASTER!$R$5:$R$1204,$Q125))</f>
        <v/>
      </c>
      <c r="O125" s="28" t="str">
        <f>IF($Q125="","",INDEX(TRANSACTIONS_MASTER!$AB$5:$AB$1204,$Q125))</f>
        <v/>
      </c>
      <c r="P125" s="55" t="str">
        <f>IF($Q125="","",INDEX(TRANSACTIONS_MASTER!$Z$5:$Z$1204,$Q125)&amp;"")</f>
        <v/>
      </c>
      <c r="Q125" s="67" t="str">
        <f>IFERROR(MATCH($C$2&amp;"|"&amp;118,TRANSACTIONS_MASTER!$AE$5:$AE$1204,0),"")</f>
        <v/>
      </c>
      <c r="S125" s="67" t="str">
        <f>IFERROR(MATCH(1,INDEX((TRANSACTIONS_MASTER!$C$5:$C$1204=$C$2)*(TRANSACTIONS_MASTER!$AL$5:$AL$1204=9),0),0),"")</f>
        <v/>
      </c>
      <c r="T125" s="55" t="n"/>
      <c r="U125" s="55" t="str">
        <f>IF($S125="","",INDEX(TRANSACTIONS_MASTER!$K$5:$K$1204,$S125))</f>
        <v/>
      </c>
      <c r="V125" s="25" t="str">
        <f>IF($S125="","",SUMIFS(TRANSACTIONS_MASTER!$L$5:$L$1204,TRANSACTIONS_MASTER!$K$5:$K$1204,$U125,TRANSACTIONS_MASTER!$C$5:$C$1204,$C$2,TRANSACTIONS_MASTER!$U$5:$U$1204,"&lt;&gt;Cancelled"))</f>
        <v/>
      </c>
      <c r="W125" s="26" t="str">
        <f>IF($S125="","",SUMIFS(TRANSACTIONS_MASTER!$Q$5:$Q$1204,TRANSACTIONS_MASTER!$K$5:$K$1204,$U125,TRANSACTIONS_MASTER!$C$5:$C$1204,$C$2))</f>
        <v/>
      </c>
    </row>
    <row r="126">
      <c r="A126" s="81" t="str">
        <f>IF($Q126="","",119)</f>
        <v/>
      </c>
      <c r="B126" s="57" t="str">
        <f>IF($Q126="","",INDEX(TRANSACTIONS_MASTER!$B$5:$B$1204,$Q126))</f>
        <v/>
      </c>
      <c r="C126" s="55" t="str">
        <f>IF($Q126="","",INDEX(TRANSACTIONS_MASTER!$F$5:$F$1204,$Q126))</f>
        <v/>
      </c>
      <c r="D126" s="55" t="str">
        <f>IF($Q126="","",INDEX(TRANSACTIONS_MASTER!$E$5:$E$1204,$Q126))</f>
        <v/>
      </c>
      <c r="E126" s="55" t="str">
        <f>IF($Q126="","",INDEX(TRANSACTIONS_MASTER!$G$5:$G$1204,$Q126)&amp;"")</f>
        <v/>
      </c>
      <c r="F126" s="29" t="str">
        <f>IF($Q126="","",INDEX(TRANSACTIONS_MASTER!$I$5:$I$1204,$Q126))</f>
        <v/>
      </c>
      <c r="G126" s="55" t="str">
        <f>IF($Q126="","",INDEX(TRANSACTIONS_MASTER!$K$5:$K$1204,$Q126))</f>
        <v/>
      </c>
      <c r="H126" s="25" t="str">
        <f>IF($Q126="","",INDEX(TRANSACTIONS_MASTER!$L$5:$L$1204,$Q126))</f>
        <v/>
      </c>
      <c r="I126" s="56" t="str">
        <f>IF($Q126="","",INDEX(TRANSACTIONS_MASTER!$N$5:$N$1204,$Q126))</f>
        <v/>
      </c>
      <c r="J126" s="25" t="str">
        <f>IF($Q126="","",INDEX(TRANSACTIONS_MASTER!$O$5:$O$1204,$Q126))</f>
        <v/>
      </c>
      <c r="K126" s="26" t="str">
        <f>IF($Q126="","",INDEX(TRANSACTIONS_MASTER!$Q$5:$Q$1204,$Q126))</f>
        <v/>
      </c>
      <c r="L126" s="25" t="str">
        <f>IF($Q126="","",INDEX(TRANSACTIONS_MASTER!$P$5:$P$1204,$Q126))</f>
        <v/>
      </c>
      <c r="M126" s="25" t="str">
        <f>IF($Q126="","",INDEX(TRANSACTIONS_MASTER!$AA$5:$AA$1204,$Q126))</f>
        <v/>
      </c>
      <c r="N126" s="25" t="str">
        <f>IF($Q126="","",INDEX(TRANSACTIONS_MASTER!$R$5:$R$1204,$Q126))</f>
        <v/>
      </c>
      <c r="O126" s="28" t="str">
        <f>IF($Q126="","",INDEX(TRANSACTIONS_MASTER!$AB$5:$AB$1204,$Q126))</f>
        <v/>
      </c>
      <c r="P126" s="55" t="str">
        <f>IF($Q126="","",INDEX(TRANSACTIONS_MASTER!$Z$5:$Z$1204,$Q126)&amp;"")</f>
        <v/>
      </c>
      <c r="Q126" s="67" t="str">
        <f>IFERROR(MATCH($C$2&amp;"|"&amp;119,TRANSACTIONS_MASTER!$AE$5:$AE$1204,0),"")</f>
        <v/>
      </c>
      <c r="S126" s="67" t="str">
        <f>IFERROR(MATCH(1,INDEX((TRANSACTIONS_MASTER!$C$5:$C$1204=$C$2)*(TRANSACTIONS_MASTER!$AL$5:$AL$1204=10),0),0),"")</f>
        <v/>
      </c>
      <c r="T126" s="55" t="n"/>
      <c r="U126" s="55" t="str">
        <f>IF($S126="","",INDEX(TRANSACTIONS_MASTER!$K$5:$K$1204,$S126))</f>
        <v/>
      </c>
      <c r="V126" s="25" t="str">
        <f>IF($S126="","",SUMIFS(TRANSACTIONS_MASTER!$L$5:$L$1204,TRANSACTIONS_MASTER!$K$5:$K$1204,$U126,TRANSACTIONS_MASTER!$C$5:$C$1204,$C$2,TRANSACTIONS_MASTER!$U$5:$U$1204,"&lt;&gt;Cancelled"))</f>
        <v/>
      </c>
      <c r="W126" s="26" t="str">
        <f>IF($S126="","",SUMIFS(TRANSACTIONS_MASTER!$Q$5:$Q$1204,TRANSACTIONS_MASTER!$K$5:$K$1204,$U126,TRANSACTIONS_MASTER!$C$5:$C$1204,$C$2))</f>
        <v/>
      </c>
    </row>
    <row r="127">
      <c r="A127" s="81" t="str">
        <f>IF($Q127="","",120)</f>
        <v/>
      </c>
      <c r="B127" s="57" t="str">
        <f>IF($Q127="","",INDEX(TRANSACTIONS_MASTER!$B$5:$B$1204,$Q127))</f>
        <v/>
      </c>
      <c r="C127" s="55" t="str">
        <f>IF($Q127="","",INDEX(TRANSACTIONS_MASTER!$F$5:$F$1204,$Q127))</f>
        <v/>
      </c>
      <c r="D127" s="55" t="str">
        <f>IF($Q127="","",INDEX(TRANSACTIONS_MASTER!$E$5:$E$1204,$Q127))</f>
        <v/>
      </c>
      <c r="E127" s="55" t="str">
        <f>IF($Q127="","",INDEX(TRANSACTIONS_MASTER!$G$5:$G$1204,$Q127)&amp;"")</f>
        <v/>
      </c>
      <c r="F127" s="29" t="str">
        <f>IF($Q127="","",INDEX(TRANSACTIONS_MASTER!$I$5:$I$1204,$Q127))</f>
        <v/>
      </c>
      <c r="G127" s="55" t="str">
        <f>IF($Q127="","",INDEX(TRANSACTIONS_MASTER!$K$5:$K$1204,$Q127))</f>
        <v/>
      </c>
      <c r="H127" s="25" t="str">
        <f>IF($Q127="","",INDEX(TRANSACTIONS_MASTER!$L$5:$L$1204,$Q127))</f>
        <v/>
      </c>
      <c r="I127" s="56" t="str">
        <f>IF($Q127="","",INDEX(TRANSACTIONS_MASTER!$N$5:$N$1204,$Q127))</f>
        <v/>
      </c>
      <c r="J127" s="25" t="str">
        <f>IF($Q127="","",INDEX(TRANSACTIONS_MASTER!$O$5:$O$1204,$Q127))</f>
        <v/>
      </c>
      <c r="K127" s="26" t="str">
        <f>IF($Q127="","",INDEX(TRANSACTIONS_MASTER!$Q$5:$Q$1204,$Q127))</f>
        <v/>
      </c>
      <c r="L127" s="25" t="str">
        <f>IF($Q127="","",INDEX(TRANSACTIONS_MASTER!$P$5:$P$1204,$Q127))</f>
        <v/>
      </c>
      <c r="M127" s="25" t="str">
        <f>IF($Q127="","",INDEX(TRANSACTIONS_MASTER!$AA$5:$AA$1204,$Q127))</f>
        <v/>
      </c>
      <c r="N127" s="25" t="str">
        <f>IF($Q127="","",INDEX(TRANSACTIONS_MASTER!$R$5:$R$1204,$Q127))</f>
        <v/>
      </c>
      <c r="O127" s="28" t="str">
        <f>IF($Q127="","",INDEX(TRANSACTIONS_MASTER!$AB$5:$AB$1204,$Q127))</f>
        <v/>
      </c>
      <c r="P127" s="55" t="str">
        <f>IF($Q127="","",INDEX(TRANSACTIONS_MASTER!$Z$5:$Z$1204,$Q127)&amp;"")</f>
        <v/>
      </c>
      <c r="Q127" s="67" t="str">
        <f>IFERROR(MATCH($C$2&amp;"|"&amp;120,TRANSACTIONS_MASTER!$AE$5:$AE$1204,0),"")</f>
        <v/>
      </c>
      <c r="S127" s="67" t="str">
        <f>IFERROR(MATCH(1,INDEX((TRANSACTIONS_MASTER!$C$5:$C$1204=$C$2)*(TRANSACTIONS_MASTER!$AL$5:$AL$1204=11),0),0),"")</f>
        <v/>
      </c>
      <c r="T127" s="55" t="n"/>
      <c r="U127" s="55" t="str">
        <f>IF($S127="","",INDEX(TRANSACTIONS_MASTER!$K$5:$K$1204,$S127))</f>
        <v/>
      </c>
      <c r="V127" s="25" t="str">
        <f>IF($S127="","",SUMIFS(TRANSACTIONS_MASTER!$L$5:$L$1204,TRANSACTIONS_MASTER!$K$5:$K$1204,$U127,TRANSACTIONS_MASTER!$C$5:$C$1204,$C$2,TRANSACTIONS_MASTER!$U$5:$U$1204,"&lt;&gt;Cancelled"))</f>
        <v/>
      </c>
      <c r="W127" s="26" t="str">
        <f>IF($S127="","",SUMIFS(TRANSACTIONS_MASTER!$Q$5:$Q$1204,TRANSACTIONS_MASTER!$K$5:$K$1204,$U127,TRANSACTIONS_MASTER!$C$5:$C$1204,$C$2))</f>
        <v/>
      </c>
    </row>
    <row r="128">
      <c r="A128" s="81" t="str">
        <f>IF($Q128="","",121)</f>
        <v/>
      </c>
      <c r="B128" s="57" t="str">
        <f>IF($Q128="","",INDEX(TRANSACTIONS_MASTER!$B$5:$B$1204,$Q128))</f>
        <v/>
      </c>
      <c r="C128" s="55" t="str">
        <f>IF($Q128="","",INDEX(TRANSACTIONS_MASTER!$F$5:$F$1204,$Q128))</f>
        <v/>
      </c>
      <c r="D128" s="55" t="str">
        <f>IF($Q128="","",INDEX(TRANSACTIONS_MASTER!$E$5:$E$1204,$Q128))</f>
        <v/>
      </c>
      <c r="E128" s="55" t="str">
        <f>IF($Q128="","",INDEX(TRANSACTIONS_MASTER!$G$5:$G$1204,$Q128)&amp;"")</f>
        <v/>
      </c>
      <c r="F128" s="29" t="str">
        <f>IF($Q128="","",INDEX(TRANSACTIONS_MASTER!$I$5:$I$1204,$Q128))</f>
        <v/>
      </c>
      <c r="G128" s="55" t="str">
        <f>IF($Q128="","",INDEX(TRANSACTIONS_MASTER!$K$5:$K$1204,$Q128))</f>
        <v/>
      </c>
      <c r="H128" s="25" t="str">
        <f>IF($Q128="","",INDEX(TRANSACTIONS_MASTER!$L$5:$L$1204,$Q128))</f>
        <v/>
      </c>
      <c r="I128" s="56" t="str">
        <f>IF($Q128="","",INDEX(TRANSACTIONS_MASTER!$N$5:$N$1204,$Q128))</f>
        <v/>
      </c>
      <c r="J128" s="25" t="str">
        <f>IF($Q128="","",INDEX(TRANSACTIONS_MASTER!$O$5:$O$1204,$Q128))</f>
        <v/>
      </c>
      <c r="K128" s="26" t="str">
        <f>IF($Q128="","",INDEX(TRANSACTIONS_MASTER!$Q$5:$Q$1204,$Q128))</f>
        <v/>
      </c>
      <c r="L128" s="25" t="str">
        <f>IF($Q128="","",INDEX(TRANSACTIONS_MASTER!$P$5:$P$1204,$Q128))</f>
        <v/>
      </c>
      <c r="M128" s="25" t="str">
        <f>IF($Q128="","",INDEX(TRANSACTIONS_MASTER!$AA$5:$AA$1204,$Q128))</f>
        <v/>
      </c>
      <c r="N128" s="25" t="str">
        <f>IF($Q128="","",INDEX(TRANSACTIONS_MASTER!$R$5:$R$1204,$Q128))</f>
        <v/>
      </c>
      <c r="O128" s="28" t="str">
        <f>IF($Q128="","",INDEX(TRANSACTIONS_MASTER!$AB$5:$AB$1204,$Q128))</f>
        <v/>
      </c>
      <c r="P128" s="55" t="str">
        <f>IF($Q128="","",INDEX(TRANSACTIONS_MASTER!$Z$5:$Z$1204,$Q128)&amp;"")</f>
        <v/>
      </c>
      <c r="Q128" s="67" t="str">
        <f>IFERROR(MATCH($C$2&amp;"|"&amp;121,TRANSACTIONS_MASTER!$AE$5:$AE$1204,0),"")</f>
        <v/>
      </c>
      <c r="S128" s="67" t="str">
        <f>IFERROR(MATCH(1,INDEX((TRANSACTIONS_MASTER!$C$5:$C$1204=$C$2)*(TRANSACTIONS_MASTER!$AL$5:$AL$1204=12),0),0),"")</f>
        <v/>
      </c>
      <c r="T128" s="55" t="n"/>
      <c r="U128" s="55" t="str">
        <f>IF($S128="","",INDEX(TRANSACTIONS_MASTER!$K$5:$K$1204,$S128))</f>
        <v/>
      </c>
      <c r="V128" s="25" t="str">
        <f>IF($S128="","",SUMIFS(TRANSACTIONS_MASTER!$L$5:$L$1204,TRANSACTIONS_MASTER!$K$5:$K$1204,$U128,TRANSACTIONS_MASTER!$C$5:$C$1204,$C$2,TRANSACTIONS_MASTER!$U$5:$U$1204,"&lt;&gt;Cancelled"))</f>
        <v/>
      </c>
      <c r="W128" s="26" t="str">
        <f>IF($S128="","",SUMIFS(TRANSACTIONS_MASTER!$Q$5:$Q$1204,TRANSACTIONS_MASTER!$K$5:$K$1204,$U128,TRANSACTIONS_MASTER!$C$5:$C$1204,$C$2))</f>
        <v/>
      </c>
    </row>
    <row r="129">
      <c r="A129" s="81" t="str">
        <f>IF($Q129="","",122)</f>
        <v/>
      </c>
      <c r="B129" s="57" t="str">
        <f>IF($Q129="","",INDEX(TRANSACTIONS_MASTER!$B$5:$B$1204,$Q129))</f>
        <v/>
      </c>
      <c r="C129" s="55" t="str">
        <f>IF($Q129="","",INDEX(TRANSACTIONS_MASTER!$F$5:$F$1204,$Q129))</f>
        <v/>
      </c>
      <c r="D129" s="55" t="str">
        <f>IF($Q129="","",INDEX(TRANSACTIONS_MASTER!$E$5:$E$1204,$Q129))</f>
        <v/>
      </c>
      <c r="E129" s="55" t="str">
        <f>IF($Q129="","",INDEX(TRANSACTIONS_MASTER!$G$5:$G$1204,$Q129)&amp;"")</f>
        <v/>
      </c>
      <c r="F129" s="29" t="str">
        <f>IF($Q129="","",INDEX(TRANSACTIONS_MASTER!$I$5:$I$1204,$Q129))</f>
        <v/>
      </c>
      <c r="G129" s="55" t="str">
        <f>IF($Q129="","",INDEX(TRANSACTIONS_MASTER!$K$5:$K$1204,$Q129))</f>
        <v/>
      </c>
      <c r="H129" s="25" t="str">
        <f>IF($Q129="","",INDEX(TRANSACTIONS_MASTER!$L$5:$L$1204,$Q129))</f>
        <v/>
      </c>
      <c r="I129" s="56" t="str">
        <f>IF($Q129="","",INDEX(TRANSACTIONS_MASTER!$N$5:$N$1204,$Q129))</f>
        <v/>
      </c>
      <c r="J129" s="25" t="str">
        <f>IF($Q129="","",INDEX(TRANSACTIONS_MASTER!$O$5:$O$1204,$Q129))</f>
        <v/>
      </c>
      <c r="K129" s="26" t="str">
        <f>IF($Q129="","",INDEX(TRANSACTIONS_MASTER!$Q$5:$Q$1204,$Q129))</f>
        <v/>
      </c>
      <c r="L129" s="25" t="str">
        <f>IF($Q129="","",INDEX(TRANSACTIONS_MASTER!$P$5:$P$1204,$Q129))</f>
        <v/>
      </c>
      <c r="M129" s="25" t="str">
        <f>IF($Q129="","",INDEX(TRANSACTIONS_MASTER!$AA$5:$AA$1204,$Q129))</f>
        <v/>
      </c>
      <c r="N129" s="25" t="str">
        <f>IF($Q129="","",INDEX(TRANSACTIONS_MASTER!$R$5:$R$1204,$Q129))</f>
        <v/>
      </c>
      <c r="O129" s="28" t="str">
        <f>IF($Q129="","",INDEX(TRANSACTIONS_MASTER!$AB$5:$AB$1204,$Q129))</f>
        <v/>
      </c>
      <c r="P129" s="55" t="str">
        <f>IF($Q129="","",INDEX(TRANSACTIONS_MASTER!$Z$5:$Z$1204,$Q129)&amp;"")</f>
        <v/>
      </c>
      <c r="Q129" s="67" t="str">
        <f>IFERROR(MATCH($C$2&amp;"|"&amp;122,TRANSACTIONS_MASTER!$AE$5:$AE$1204,0),"")</f>
        <v/>
      </c>
      <c r="S129" s="67" t="str">
        <f>IFERROR(MATCH(1,INDEX((TRANSACTIONS_MASTER!$C$5:$C$1204=$C$2)*(TRANSACTIONS_MASTER!$AL$5:$AL$1204=13),0),0),"")</f>
        <v/>
      </c>
      <c r="T129" s="55" t="n"/>
      <c r="U129" s="55" t="str">
        <f>IF($S129="","",INDEX(TRANSACTIONS_MASTER!$K$5:$K$1204,$S129))</f>
        <v/>
      </c>
      <c r="V129" s="25" t="str">
        <f>IF($S129="","",SUMIFS(TRANSACTIONS_MASTER!$L$5:$L$1204,TRANSACTIONS_MASTER!$K$5:$K$1204,$U129,TRANSACTIONS_MASTER!$C$5:$C$1204,$C$2,TRANSACTIONS_MASTER!$U$5:$U$1204,"&lt;&gt;Cancelled"))</f>
        <v/>
      </c>
      <c r="W129" s="26" t="str">
        <f>IF($S129="","",SUMIFS(TRANSACTIONS_MASTER!$Q$5:$Q$1204,TRANSACTIONS_MASTER!$K$5:$K$1204,$U129,TRANSACTIONS_MASTER!$C$5:$C$1204,$C$2))</f>
        <v/>
      </c>
    </row>
    <row r="130">
      <c r="A130" s="81" t="str">
        <f>IF($Q130="","",123)</f>
        <v/>
      </c>
      <c r="B130" s="57" t="str">
        <f>IF($Q130="","",INDEX(TRANSACTIONS_MASTER!$B$5:$B$1204,$Q130))</f>
        <v/>
      </c>
      <c r="C130" s="55" t="str">
        <f>IF($Q130="","",INDEX(TRANSACTIONS_MASTER!$F$5:$F$1204,$Q130))</f>
        <v/>
      </c>
      <c r="D130" s="55" t="str">
        <f>IF($Q130="","",INDEX(TRANSACTIONS_MASTER!$E$5:$E$1204,$Q130))</f>
        <v/>
      </c>
      <c r="E130" s="55" t="str">
        <f>IF($Q130="","",INDEX(TRANSACTIONS_MASTER!$G$5:$G$1204,$Q130)&amp;"")</f>
        <v/>
      </c>
      <c r="F130" s="29" t="str">
        <f>IF($Q130="","",INDEX(TRANSACTIONS_MASTER!$I$5:$I$1204,$Q130))</f>
        <v/>
      </c>
      <c r="G130" s="55" t="str">
        <f>IF($Q130="","",INDEX(TRANSACTIONS_MASTER!$K$5:$K$1204,$Q130))</f>
        <v/>
      </c>
      <c r="H130" s="25" t="str">
        <f>IF($Q130="","",INDEX(TRANSACTIONS_MASTER!$L$5:$L$1204,$Q130))</f>
        <v/>
      </c>
      <c r="I130" s="56" t="str">
        <f>IF($Q130="","",INDEX(TRANSACTIONS_MASTER!$N$5:$N$1204,$Q130))</f>
        <v/>
      </c>
      <c r="J130" s="25" t="str">
        <f>IF($Q130="","",INDEX(TRANSACTIONS_MASTER!$O$5:$O$1204,$Q130))</f>
        <v/>
      </c>
      <c r="K130" s="26" t="str">
        <f>IF($Q130="","",INDEX(TRANSACTIONS_MASTER!$Q$5:$Q$1204,$Q130))</f>
        <v/>
      </c>
      <c r="L130" s="25" t="str">
        <f>IF($Q130="","",INDEX(TRANSACTIONS_MASTER!$P$5:$P$1204,$Q130))</f>
        <v/>
      </c>
      <c r="M130" s="25" t="str">
        <f>IF($Q130="","",INDEX(TRANSACTIONS_MASTER!$AA$5:$AA$1204,$Q130))</f>
        <v/>
      </c>
      <c r="N130" s="25" t="str">
        <f>IF($Q130="","",INDEX(TRANSACTIONS_MASTER!$R$5:$R$1204,$Q130))</f>
        <v/>
      </c>
      <c r="O130" s="28" t="str">
        <f>IF($Q130="","",INDEX(TRANSACTIONS_MASTER!$AB$5:$AB$1204,$Q130))</f>
        <v/>
      </c>
      <c r="P130" s="55" t="str">
        <f>IF($Q130="","",INDEX(TRANSACTIONS_MASTER!$Z$5:$Z$1204,$Q130)&amp;"")</f>
        <v/>
      </c>
      <c r="Q130" s="67" t="str">
        <f>IFERROR(MATCH($C$2&amp;"|"&amp;123,TRANSACTIONS_MASTER!$AE$5:$AE$1204,0),"")</f>
        <v/>
      </c>
      <c r="S130" s="67" t="str">
        <f>IFERROR(MATCH(1,INDEX((TRANSACTIONS_MASTER!$C$5:$C$1204=$C$2)*(TRANSACTIONS_MASTER!$AL$5:$AL$1204=14),0),0),"")</f>
        <v/>
      </c>
      <c r="T130" s="55" t="n"/>
      <c r="U130" s="55" t="str">
        <f>IF($S130="","",INDEX(TRANSACTIONS_MASTER!$K$5:$K$1204,$S130))</f>
        <v/>
      </c>
      <c r="V130" s="25" t="str">
        <f>IF($S130="","",SUMIFS(TRANSACTIONS_MASTER!$L$5:$L$1204,TRANSACTIONS_MASTER!$K$5:$K$1204,$U130,TRANSACTIONS_MASTER!$C$5:$C$1204,$C$2,TRANSACTIONS_MASTER!$U$5:$U$1204,"&lt;&gt;Cancelled"))</f>
        <v/>
      </c>
      <c r="W130" s="26" t="str">
        <f>IF($S130="","",SUMIFS(TRANSACTIONS_MASTER!$Q$5:$Q$1204,TRANSACTIONS_MASTER!$K$5:$K$1204,$U130,TRANSACTIONS_MASTER!$C$5:$C$1204,$C$2))</f>
        <v/>
      </c>
    </row>
    <row r="131">
      <c r="A131" s="81" t="str">
        <f>IF($Q131="","",124)</f>
        <v/>
      </c>
      <c r="B131" s="57" t="str">
        <f>IF($Q131="","",INDEX(TRANSACTIONS_MASTER!$B$5:$B$1204,$Q131))</f>
        <v/>
      </c>
      <c r="C131" s="55" t="str">
        <f>IF($Q131="","",INDEX(TRANSACTIONS_MASTER!$F$5:$F$1204,$Q131))</f>
        <v/>
      </c>
      <c r="D131" s="55" t="str">
        <f>IF($Q131="","",INDEX(TRANSACTIONS_MASTER!$E$5:$E$1204,$Q131))</f>
        <v/>
      </c>
      <c r="E131" s="55" t="str">
        <f>IF($Q131="","",INDEX(TRANSACTIONS_MASTER!$G$5:$G$1204,$Q131)&amp;"")</f>
        <v/>
      </c>
      <c r="F131" s="29" t="str">
        <f>IF($Q131="","",INDEX(TRANSACTIONS_MASTER!$I$5:$I$1204,$Q131))</f>
        <v/>
      </c>
      <c r="G131" s="55" t="str">
        <f>IF($Q131="","",INDEX(TRANSACTIONS_MASTER!$K$5:$K$1204,$Q131))</f>
        <v/>
      </c>
      <c r="H131" s="25" t="str">
        <f>IF($Q131="","",INDEX(TRANSACTIONS_MASTER!$L$5:$L$1204,$Q131))</f>
        <v/>
      </c>
      <c r="I131" s="56" t="str">
        <f>IF($Q131="","",INDEX(TRANSACTIONS_MASTER!$N$5:$N$1204,$Q131))</f>
        <v/>
      </c>
      <c r="J131" s="25" t="str">
        <f>IF($Q131="","",INDEX(TRANSACTIONS_MASTER!$O$5:$O$1204,$Q131))</f>
        <v/>
      </c>
      <c r="K131" s="26" t="str">
        <f>IF($Q131="","",INDEX(TRANSACTIONS_MASTER!$Q$5:$Q$1204,$Q131))</f>
        <v/>
      </c>
      <c r="L131" s="25" t="str">
        <f>IF($Q131="","",INDEX(TRANSACTIONS_MASTER!$P$5:$P$1204,$Q131))</f>
        <v/>
      </c>
      <c r="M131" s="25" t="str">
        <f>IF($Q131="","",INDEX(TRANSACTIONS_MASTER!$AA$5:$AA$1204,$Q131))</f>
        <v/>
      </c>
      <c r="N131" s="25" t="str">
        <f>IF($Q131="","",INDEX(TRANSACTIONS_MASTER!$R$5:$R$1204,$Q131))</f>
        <v/>
      </c>
      <c r="O131" s="28" t="str">
        <f>IF($Q131="","",INDEX(TRANSACTIONS_MASTER!$AB$5:$AB$1204,$Q131))</f>
        <v/>
      </c>
      <c r="P131" s="55" t="str">
        <f>IF($Q131="","",INDEX(TRANSACTIONS_MASTER!$Z$5:$Z$1204,$Q131)&amp;"")</f>
        <v/>
      </c>
      <c r="Q131" s="67" t="str">
        <f>IFERROR(MATCH($C$2&amp;"|"&amp;124,TRANSACTIONS_MASTER!$AE$5:$AE$1204,0),"")</f>
        <v/>
      </c>
      <c r="S131" s="67" t="str">
        <f>IFERROR(MATCH(1,INDEX((TRANSACTIONS_MASTER!$C$5:$C$1204=$C$2)*(TRANSACTIONS_MASTER!$AL$5:$AL$1204=15),0),0),"")</f>
        <v/>
      </c>
      <c r="T131" s="55" t="n"/>
      <c r="U131" s="55" t="str">
        <f>IF($S131="","",INDEX(TRANSACTIONS_MASTER!$K$5:$K$1204,$S131))</f>
        <v/>
      </c>
      <c r="V131" s="25" t="str">
        <f>IF($S131="","",SUMIFS(TRANSACTIONS_MASTER!$L$5:$L$1204,TRANSACTIONS_MASTER!$K$5:$K$1204,$U131,TRANSACTIONS_MASTER!$C$5:$C$1204,$C$2,TRANSACTIONS_MASTER!$U$5:$U$1204,"&lt;&gt;Cancelled"))</f>
        <v/>
      </c>
      <c r="W131" s="26" t="str">
        <f>IF($S131="","",SUMIFS(TRANSACTIONS_MASTER!$Q$5:$Q$1204,TRANSACTIONS_MASTER!$K$5:$K$1204,$U131,TRANSACTIONS_MASTER!$C$5:$C$1204,$C$2))</f>
        <v/>
      </c>
    </row>
    <row r="132">
      <c r="A132" s="81" t="str">
        <f>IF($Q132="","",125)</f>
        <v/>
      </c>
      <c r="B132" s="57" t="str">
        <f>IF($Q132="","",INDEX(TRANSACTIONS_MASTER!$B$5:$B$1204,$Q132))</f>
        <v/>
      </c>
      <c r="C132" s="55" t="str">
        <f>IF($Q132="","",INDEX(TRANSACTIONS_MASTER!$F$5:$F$1204,$Q132))</f>
        <v/>
      </c>
      <c r="D132" s="55" t="str">
        <f>IF($Q132="","",INDEX(TRANSACTIONS_MASTER!$E$5:$E$1204,$Q132))</f>
        <v/>
      </c>
      <c r="E132" s="55" t="str">
        <f>IF($Q132="","",INDEX(TRANSACTIONS_MASTER!$G$5:$G$1204,$Q132)&amp;"")</f>
        <v/>
      </c>
      <c r="F132" s="29" t="str">
        <f>IF($Q132="","",INDEX(TRANSACTIONS_MASTER!$I$5:$I$1204,$Q132))</f>
        <v/>
      </c>
      <c r="G132" s="55" t="str">
        <f>IF($Q132="","",INDEX(TRANSACTIONS_MASTER!$K$5:$K$1204,$Q132))</f>
        <v/>
      </c>
      <c r="H132" s="25" t="str">
        <f>IF($Q132="","",INDEX(TRANSACTIONS_MASTER!$L$5:$L$1204,$Q132))</f>
        <v/>
      </c>
      <c r="I132" s="56" t="str">
        <f>IF($Q132="","",INDEX(TRANSACTIONS_MASTER!$N$5:$N$1204,$Q132))</f>
        <v/>
      </c>
      <c r="J132" s="25" t="str">
        <f>IF($Q132="","",INDEX(TRANSACTIONS_MASTER!$O$5:$O$1204,$Q132))</f>
        <v/>
      </c>
      <c r="K132" s="26" t="str">
        <f>IF($Q132="","",INDEX(TRANSACTIONS_MASTER!$Q$5:$Q$1204,$Q132))</f>
        <v/>
      </c>
      <c r="L132" s="25" t="str">
        <f>IF($Q132="","",INDEX(TRANSACTIONS_MASTER!$P$5:$P$1204,$Q132))</f>
        <v/>
      </c>
      <c r="M132" s="25" t="str">
        <f>IF($Q132="","",INDEX(TRANSACTIONS_MASTER!$AA$5:$AA$1204,$Q132))</f>
        <v/>
      </c>
      <c r="N132" s="25" t="str">
        <f>IF($Q132="","",INDEX(TRANSACTIONS_MASTER!$R$5:$R$1204,$Q132))</f>
        <v/>
      </c>
      <c r="O132" s="28" t="str">
        <f>IF($Q132="","",INDEX(TRANSACTIONS_MASTER!$AB$5:$AB$1204,$Q132))</f>
        <v/>
      </c>
      <c r="P132" s="55" t="str">
        <f>IF($Q132="","",INDEX(TRANSACTIONS_MASTER!$Z$5:$Z$1204,$Q132)&amp;"")</f>
        <v/>
      </c>
      <c r="Q132" s="67" t="str">
        <f>IFERROR(MATCH($C$2&amp;"|"&amp;125,TRANSACTIONS_MASTER!$AE$5:$AE$1204,0),"")</f>
        <v/>
      </c>
      <c r="T132" s="45" t="n"/>
      <c r="U132" s="82" t="inlineStr">
        <is>
          <t>Khác (ngoài danh sách)</t>
        </is>
      </c>
      <c r="V132" s="48">
        <f>MAX(0,SUMIFS(TRANSACTIONS_MASTER!$L$5:$L$1204,TRANSACTIONS_MASTER!$C$5:$C$1204,$C$2,TRANSACTIONS_MASTER!$U$5:$U$1204,"&lt;&gt;Cancelled")-SUM(V117:V131))</f>
        <v>0</v>
      </c>
      <c r="W132" s="48">
        <f>MAX(0,SUMIFS(TRANSACTIONS_MASTER!$Q$5:$Q$1204,TRANSACTIONS_MASTER!$C$5:$C$1204,$C$2)-SUM(W117:W131))</f>
        <v>0</v>
      </c>
    </row>
    <row r="133">
      <c r="A133" s="81" t="str">
        <f>IF($Q133="","",126)</f>
        <v/>
      </c>
      <c r="B133" s="57" t="str">
        <f>IF($Q133="","",INDEX(TRANSACTIONS_MASTER!$B$5:$B$1204,$Q133))</f>
        <v/>
      </c>
      <c r="C133" s="55" t="str">
        <f>IF($Q133="","",INDEX(TRANSACTIONS_MASTER!$F$5:$F$1204,$Q133))</f>
        <v/>
      </c>
      <c r="D133" s="55" t="str">
        <f>IF($Q133="","",INDEX(TRANSACTIONS_MASTER!$E$5:$E$1204,$Q133))</f>
        <v/>
      </c>
      <c r="E133" s="55" t="str">
        <f>IF($Q133="","",INDEX(TRANSACTIONS_MASTER!$G$5:$G$1204,$Q133)&amp;"")</f>
        <v/>
      </c>
      <c r="F133" s="29" t="str">
        <f>IF($Q133="","",INDEX(TRANSACTIONS_MASTER!$I$5:$I$1204,$Q133))</f>
        <v/>
      </c>
      <c r="G133" s="55" t="str">
        <f>IF($Q133="","",INDEX(TRANSACTIONS_MASTER!$K$5:$K$1204,$Q133))</f>
        <v/>
      </c>
      <c r="H133" s="25" t="str">
        <f>IF($Q133="","",INDEX(TRANSACTIONS_MASTER!$L$5:$L$1204,$Q133))</f>
        <v/>
      </c>
      <c r="I133" s="56" t="str">
        <f>IF($Q133="","",INDEX(TRANSACTIONS_MASTER!$N$5:$N$1204,$Q133))</f>
        <v/>
      </c>
      <c r="J133" s="25" t="str">
        <f>IF($Q133="","",INDEX(TRANSACTIONS_MASTER!$O$5:$O$1204,$Q133))</f>
        <v/>
      </c>
      <c r="K133" s="26" t="str">
        <f>IF($Q133="","",INDEX(TRANSACTIONS_MASTER!$Q$5:$Q$1204,$Q133))</f>
        <v/>
      </c>
      <c r="L133" s="25" t="str">
        <f>IF($Q133="","",INDEX(TRANSACTIONS_MASTER!$P$5:$P$1204,$Q133))</f>
        <v/>
      </c>
      <c r="M133" s="25" t="str">
        <f>IF($Q133="","",INDEX(TRANSACTIONS_MASTER!$AA$5:$AA$1204,$Q133))</f>
        <v/>
      </c>
      <c r="N133" s="25" t="str">
        <f>IF($Q133="","",INDEX(TRANSACTIONS_MASTER!$R$5:$R$1204,$Q133))</f>
        <v/>
      </c>
      <c r="O133" s="28" t="str">
        <f>IF($Q133="","",INDEX(TRANSACTIONS_MASTER!$AB$5:$AB$1204,$Q133))</f>
        <v/>
      </c>
      <c r="P133" s="55" t="str">
        <f>IF($Q133="","",INDEX(TRANSACTIONS_MASTER!$Z$5:$Z$1204,$Q133)&amp;"")</f>
        <v/>
      </c>
      <c r="Q133" s="67" t="str">
        <f>IFERROR(MATCH($C$2&amp;"|"&amp;126,TRANSACTIONS_MASTER!$AE$5:$AE$1204,0),"")</f>
        <v/>
      </c>
      <c r="T133" s="68" t="n"/>
      <c r="U133" s="69" t="inlineStr">
        <is>
          <t>TỔNG</t>
        </is>
      </c>
      <c r="V133" s="31">
        <f>SUM(V117:V132)</f>
        <v>0</v>
      </c>
      <c r="W133" s="31">
        <f>SUM(W117:W132)</f>
        <v>0</v>
      </c>
    </row>
    <row r="134">
      <c r="A134" s="81" t="str">
        <f>IF($Q134="","",127)</f>
        <v/>
      </c>
      <c r="B134" s="57" t="str">
        <f>IF($Q134="","",INDEX(TRANSACTIONS_MASTER!$B$5:$B$1204,$Q134))</f>
        <v/>
      </c>
      <c r="C134" s="55" t="str">
        <f>IF($Q134="","",INDEX(TRANSACTIONS_MASTER!$F$5:$F$1204,$Q134))</f>
        <v/>
      </c>
      <c r="D134" s="55" t="str">
        <f>IF($Q134="","",INDEX(TRANSACTIONS_MASTER!$E$5:$E$1204,$Q134))</f>
        <v/>
      </c>
      <c r="E134" s="55" t="str">
        <f>IF($Q134="","",INDEX(TRANSACTIONS_MASTER!$G$5:$G$1204,$Q134)&amp;"")</f>
        <v/>
      </c>
      <c r="F134" s="29" t="str">
        <f>IF($Q134="","",INDEX(TRANSACTIONS_MASTER!$I$5:$I$1204,$Q134))</f>
        <v/>
      </c>
      <c r="G134" s="55" t="str">
        <f>IF($Q134="","",INDEX(TRANSACTIONS_MASTER!$K$5:$K$1204,$Q134))</f>
        <v/>
      </c>
      <c r="H134" s="25" t="str">
        <f>IF($Q134="","",INDEX(TRANSACTIONS_MASTER!$L$5:$L$1204,$Q134))</f>
        <v/>
      </c>
      <c r="I134" s="56" t="str">
        <f>IF($Q134="","",INDEX(TRANSACTIONS_MASTER!$N$5:$N$1204,$Q134))</f>
        <v/>
      </c>
      <c r="J134" s="25" t="str">
        <f>IF($Q134="","",INDEX(TRANSACTIONS_MASTER!$O$5:$O$1204,$Q134))</f>
        <v/>
      </c>
      <c r="K134" s="26" t="str">
        <f>IF($Q134="","",INDEX(TRANSACTIONS_MASTER!$Q$5:$Q$1204,$Q134))</f>
        <v/>
      </c>
      <c r="L134" s="25" t="str">
        <f>IF($Q134="","",INDEX(TRANSACTIONS_MASTER!$P$5:$P$1204,$Q134))</f>
        <v/>
      </c>
      <c r="M134" s="25" t="str">
        <f>IF($Q134="","",INDEX(TRANSACTIONS_MASTER!$AA$5:$AA$1204,$Q134))</f>
        <v/>
      </c>
      <c r="N134" s="25" t="str">
        <f>IF($Q134="","",INDEX(TRANSACTIONS_MASTER!$R$5:$R$1204,$Q134))</f>
        <v/>
      </c>
      <c r="O134" s="28" t="str">
        <f>IF($Q134="","",INDEX(TRANSACTIONS_MASTER!$AB$5:$AB$1204,$Q134))</f>
        <v/>
      </c>
      <c r="P134" s="55" t="str">
        <f>IF($Q134="","",INDEX(TRANSACTIONS_MASTER!$Z$5:$Z$1204,$Q134)&amp;"")</f>
        <v/>
      </c>
      <c r="Q134" s="67" t="str">
        <f>IFERROR(MATCH($C$2&amp;"|"&amp;127,TRANSACTIONS_MASTER!$AE$5:$AE$1204,0),"")</f>
        <v/>
      </c>
    </row>
    <row r="135">
      <c r="A135" s="81" t="str">
        <f>IF($Q135="","",128)</f>
        <v/>
      </c>
      <c r="B135" s="57" t="str">
        <f>IF($Q135="","",INDEX(TRANSACTIONS_MASTER!$B$5:$B$1204,$Q135))</f>
        <v/>
      </c>
      <c r="C135" s="55" t="str">
        <f>IF($Q135="","",INDEX(TRANSACTIONS_MASTER!$F$5:$F$1204,$Q135))</f>
        <v/>
      </c>
      <c r="D135" s="55" t="str">
        <f>IF($Q135="","",INDEX(TRANSACTIONS_MASTER!$E$5:$E$1204,$Q135))</f>
        <v/>
      </c>
      <c r="E135" s="55" t="str">
        <f>IF($Q135="","",INDEX(TRANSACTIONS_MASTER!$G$5:$G$1204,$Q135)&amp;"")</f>
        <v/>
      </c>
      <c r="F135" s="29" t="str">
        <f>IF($Q135="","",INDEX(TRANSACTIONS_MASTER!$I$5:$I$1204,$Q135))</f>
        <v/>
      </c>
      <c r="G135" s="55" t="str">
        <f>IF($Q135="","",INDEX(TRANSACTIONS_MASTER!$K$5:$K$1204,$Q135))</f>
        <v/>
      </c>
      <c r="H135" s="25" t="str">
        <f>IF($Q135="","",INDEX(TRANSACTIONS_MASTER!$L$5:$L$1204,$Q135))</f>
        <v/>
      </c>
      <c r="I135" s="56" t="str">
        <f>IF($Q135="","",INDEX(TRANSACTIONS_MASTER!$N$5:$N$1204,$Q135))</f>
        <v/>
      </c>
      <c r="J135" s="25" t="str">
        <f>IF($Q135="","",INDEX(TRANSACTIONS_MASTER!$O$5:$O$1204,$Q135))</f>
        <v/>
      </c>
      <c r="K135" s="26" t="str">
        <f>IF($Q135="","",INDEX(TRANSACTIONS_MASTER!$Q$5:$Q$1204,$Q135))</f>
        <v/>
      </c>
      <c r="L135" s="25" t="str">
        <f>IF($Q135="","",INDEX(TRANSACTIONS_MASTER!$P$5:$P$1204,$Q135))</f>
        <v/>
      </c>
      <c r="M135" s="25" t="str">
        <f>IF($Q135="","",INDEX(TRANSACTIONS_MASTER!$AA$5:$AA$1204,$Q135))</f>
        <v/>
      </c>
      <c r="N135" s="25" t="str">
        <f>IF($Q135="","",INDEX(TRANSACTIONS_MASTER!$R$5:$R$1204,$Q135))</f>
        <v/>
      </c>
      <c r="O135" s="28" t="str">
        <f>IF($Q135="","",INDEX(TRANSACTIONS_MASTER!$AB$5:$AB$1204,$Q135))</f>
        <v/>
      </c>
      <c r="P135" s="55" t="str">
        <f>IF($Q135="","",INDEX(TRANSACTIONS_MASTER!$Z$5:$Z$1204,$Q135)&amp;"")</f>
        <v/>
      </c>
      <c r="Q135" s="67" t="str">
        <f>IFERROR(MATCH($C$2&amp;"|"&amp;128,TRANSACTIONS_MASTER!$AE$5:$AE$1204,0),"")</f>
        <v/>
      </c>
    </row>
    <row r="136" ht="22" customHeight="1">
      <c r="A136" s="81" t="str">
        <f>IF($Q136="","",129)</f>
        <v/>
      </c>
      <c r="B136" s="57" t="str">
        <f>IF($Q136="","",INDEX(TRANSACTIONS_MASTER!$B$5:$B$1204,$Q136))</f>
        <v/>
      </c>
      <c r="C136" s="55" t="str">
        <f>IF($Q136="","",INDEX(TRANSACTIONS_MASTER!$F$5:$F$1204,$Q136))</f>
        <v/>
      </c>
      <c r="D136" s="55" t="str">
        <f>IF($Q136="","",INDEX(TRANSACTIONS_MASTER!$E$5:$E$1204,$Q136))</f>
        <v/>
      </c>
      <c r="E136" s="55" t="str">
        <f>IF($Q136="","",INDEX(TRANSACTIONS_MASTER!$G$5:$G$1204,$Q136)&amp;"")</f>
        <v/>
      </c>
      <c r="F136" s="29" t="str">
        <f>IF($Q136="","",INDEX(TRANSACTIONS_MASTER!$I$5:$I$1204,$Q136))</f>
        <v/>
      </c>
      <c r="G136" s="55" t="str">
        <f>IF($Q136="","",INDEX(TRANSACTIONS_MASTER!$K$5:$K$1204,$Q136))</f>
        <v/>
      </c>
      <c r="H136" s="25" t="str">
        <f>IF($Q136="","",INDEX(TRANSACTIONS_MASTER!$L$5:$L$1204,$Q136))</f>
        <v/>
      </c>
      <c r="I136" s="56" t="str">
        <f>IF($Q136="","",INDEX(TRANSACTIONS_MASTER!$N$5:$N$1204,$Q136))</f>
        <v/>
      </c>
      <c r="J136" s="25" t="str">
        <f>IF($Q136="","",INDEX(TRANSACTIONS_MASTER!$O$5:$O$1204,$Q136))</f>
        <v/>
      </c>
      <c r="K136" s="26" t="str">
        <f>IF($Q136="","",INDEX(TRANSACTIONS_MASTER!$Q$5:$Q$1204,$Q136))</f>
        <v/>
      </c>
      <c r="L136" s="25" t="str">
        <f>IF($Q136="","",INDEX(TRANSACTIONS_MASTER!$P$5:$P$1204,$Q136))</f>
        <v/>
      </c>
      <c r="M136" s="25" t="str">
        <f>IF($Q136="","",INDEX(TRANSACTIONS_MASTER!$AA$5:$AA$1204,$Q136))</f>
        <v/>
      </c>
      <c r="N136" s="25" t="str">
        <f>IF($Q136="","",INDEX(TRANSACTIONS_MASTER!$R$5:$R$1204,$Q136))</f>
        <v/>
      </c>
      <c r="O136" s="28" t="str">
        <f>IF($Q136="","",INDEX(TRANSACTIONS_MASTER!$AB$5:$AB$1204,$Q136))</f>
        <v/>
      </c>
      <c r="P136" s="55" t="str">
        <f>IF($Q136="","",INDEX(TRANSACTIONS_MASTER!$Z$5:$Z$1204,$Q136)&amp;"")</f>
        <v/>
      </c>
      <c r="Q136" s="67" t="str">
        <f>IFERROR(MATCH($C$2&amp;"|"&amp;129,TRANSACTIONS_MASTER!$AE$5:$AE$1204,0),"")</f>
        <v/>
      </c>
      <c r="T136" s="19" t="inlineStr">
        <is>
          <t>THEO MCC</t>
        </is>
      </c>
      <c r="U136" s="20" t="n"/>
      <c r="V136" s="20" t="n"/>
      <c r="W136" s="20" t="n"/>
      <c r="X136" s="20" t="n"/>
      <c r="Y136" s="20" t="n"/>
      <c r="Z136" s="20" t="n"/>
      <c r="AA136" s="20" t="n"/>
    </row>
    <row r="137" ht="28" customHeight="1">
      <c r="A137" s="81" t="str">
        <f>IF($Q137="","",130)</f>
        <v/>
      </c>
      <c r="B137" s="57" t="str">
        <f>IF($Q137="","",INDEX(TRANSACTIONS_MASTER!$B$5:$B$1204,$Q137))</f>
        <v/>
      </c>
      <c r="C137" s="55" t="str">
        <f>IF($Q137="","",INDEX(TRANSACTIONS_MASTER!$F$5:$F$1204,$Q137))</f>
        <v/>
      </c>
      <c r="D137" s="55" t="str">
        <f>IF($Q137="","",INDEX(TRANSACTIONS_MASTER!$E$5:$E$1204,$Q137))</f>
        <v/>
      </c>
      <c r="E137" s="55" t="str">
        <f>IF($Q137="","",INDEX(TRANSACTIONS_MASTER!$G$5:$G$1204,$Q137)&amp;"")</f>
        <v/>
      </c>
      <c r="F137" s="29" t="str">
        <f>IF($Q137="","",INDEX(TRANSACTIONS_MASTER!$I$5:$I$1204,$Q137))</f>
        <v/>
      </c>
      <c r="G137" s="55" t="str">
        <f>IF($Q137="","",INDEX(TRANSACTIONS_MASTER!$K$5:$K$1204,$Q137))</f>
        <v/>
      </c>
      <c r="H137" s="25" t="str">
        <f>IF($Q137="","",INDEX(TRANSACTIONS_MASTER!$L$5:$L$1204,$Q137))</f>
        <v/>
      </c>
      <c r="I137" s="56" t="str">
        <f>IF($Q137="","",INDEX(TRANSACTIONS_MASTER!$N$5:$N$1204,$Q137))</f>
        <v/>
      </c>
      <c r="J137" s="25" t="str">
        <f>IF($Q137="","",INDEX(TRANSACTIONS_MASTER!$O$5:$O$1204,$Q137))</f>
        <v/>
      </c>
      <c r="K137" s="26" t="str">
        <f>IF($Q137="","",INDEX(TRANSACTIONS_MASTER!$Q$5:$Q$1204,$Q137))</f>
        <v/>
      </c>
      <c r="L137" s="25" t="str">
        <f>IF($Q137="","",INDEX(TRANSACTIONS_MASTER!$P$5:$P$1204,$Q137))</f>
        <v/>
      </c>
      <c r="M137" s="25" t="str">
        <f>IF($Q137="","",INDEX(TRANSACTIONS_MASTER!$AA$5:$AA$1204,$Q137))</f>
        <v/>
      </c>
      <c r="N137" s="25" t="str">
        <f>IF($Q137="","",INDEX(TRANSACTIONS_MASTER!$R$5:$R$1204,$Q137))</f>
        <v/>
      </c>
      <c r="O137" s="28" t="str">
        <f>IF($Q137="","",INDEX(TRANSACTIONS_MASTER!$AB$5:$AB$1204,$Q137))</f>
        <v/>
      </c>
      <c r="P137" s="55" t="str">
        <f>IF($Q137="","",INDEX(TRANSACTIONS_MASTER!$Z$5:$Z$1204,$Q137)&amp;"")</f>
        <v/>
      </c>
      <c r="Q137" s="67" t="str">
        <f>IFERROR(MATCH($C$2&amp;"|"&amp;130,TRANSACTIONS_MASTER!$AE$5:$AE$1204,0),"")</f>
        <v/>
      </c>
      <c r="S137" s="21" t="inlineStr">
        <is>
          <t>#</t>
        </is>
      </c>
      <c r="T137" s="21" t="inlineStr">
        <is>
          <t>MCC</t>
        </is>
      </c>
      <c r="U137" s="21" t="inlineStr">
        <is>
          <t>Tên MCC</t>
        </is>
      </c>
      <c r="V137" s="21" t="inlineStr">
        <is>
          <t>Chi tiêu</t>
        </is>
      </c>
      <c r="W137" s="21" t="inlineStr">
        <is>
          <t>Cashback</t>
        </is>
      </c>
    </row>
    <row r="138">
      <c r="A138" s="81" t="str">
        <f>IF($Q138="","",131)</f>
        <v/>
      </c>
      <c r="B138" s="57" t="str">
        <f>IF($Q138="","",INDEX(TRANSACTIONS_MASTER!$B$5:$B$1204,$Q138))</f>
        <v/>
      </c>
      <c r="C138" s="55" t="str">
        <f>IF($Q138="","",INDEX(TRANSACTIONS_MASTER!$F$5:$F$1204,$Q138))</f>
        <v/>
      </c>
      <c r="D138" s="55" t="str">
        <f>IF($Q138="","",INDEX(TRANSACTIONS_MASTER!$E$5:$E$1204,$Q138))</f>
        <v/>
      </c>
      <c r="E138" s="55" t="str">
        <f>IF($Q138="","",INDEX(TRANSACTIONS_MASTER!$G$5:$G$1204,$Q138)&amp;"")</f>
        <v/>
      </c>
      <c r="F138" s="29" t="str">
        <f>IF($Q138="","",INDEX(TRANSACTIONS_MASTER!$I$5:$I$1204,$Q138))</f>
        <v/>
      </c>
      <c r="G138" s="55" t="str">
        <f>IF($Q138="","",INDEX(TRANSACTIONS_MASTER!$K$5:$K$1204,$Q138))</f>
        <v/>
      </c>
      <c r="H138" s="25" t="str">
        <f>IF($Q138="","",INDEX(TRANSACTIONS_MASTER!$L$5:$L$1204,$Q138))</f>
        <v/>
      </c>
      <c r="I138" s="56" t="str">
        <f>IF($Q138="","",INDEX(TRANSACTIONS_MASTER!$N$5:$N$1204,$Q138))</f>
        <v/>
      </c>
      <c r="J138" s="25" t="str">
        <f>IF($Q138="","",INDEX(TRANSACTIONS_MASTER!$O$5:$O$1204,$Q138))</f>
        <v/>
      </c>
      <c r="K138" s="26" t="str">
        <f>IF($Q138="","",INDEX(TRANSACTIONS_MASTER!$Q$5:$Q$1204,$Q138))</f>
        <v/>
      </c>
      <c r="L138" s="25" t="str">
        <f>IF($Q138="","",INDEX(TRANSACTIONS_MASTER!$P$5:$P$1204,$Q138))</f>
        <v/>
      </c>
      <c r="M138" s="25" t="str">
        <f>IF($Q138="","",INDEX(TRANSACTIONS_MASTER!$AA$5:$AA$1204,$Q138))</f>
        <v/>
      </c>
      <c r="N138" s="25" t="str">
        <f>IF($Q138="","",INDEX(TRANSACTIONS_MASTER!$R$5:$R$1204,$Q138))</f>
        <v/>
      </c>
      <c r="O138" s="28" t="str">
        <f>IF($Q138="","",INDEX(TRANSACTIONS_MASTER!$AB$5:$AB$1204,$Q138))</f>
        <v/>
      </c>
      <c r="P138" s="55" t="str">
        <f>IF($Q138="","",INDEX(TRANSACTIONS_MASTER!$Z$5:$Z$1204,$Q138)&amp;"")</f>
        <v/>
      </c>
      <c r="Q138" s="67" t="str">
        <f>IFERROR(MATCH($C$2&amp;"|"&amp;131,TRANSACTIONS_MASTER!$AE$5:$AE$1204,0),"")</f>
        <v/>
      </c>
      <c r="S138" s="67" t="str">
        <f>IFERROR(MATCH(1,INDEX((TRANSACTIONS_MASTER!$C$5:$C$1204=$C$2)*(TRANSACTIONS_MASTER!$AJ$5:$AJ$1204=1),0),0),"")</f>
        <v/>
      </c>
      <c r="T138" s="29" t="str">
        <f>IF($S138="","",INDEX(TRANSACTIONS_MASTER!$I$5:$I$1204,$S138))</f>
        <v/>
      </c>
      <c r="U138" s="55" t="str">
        <f>IF($S138="","",INDEX(TRANSACTIONS_MASTER!$J$5:$J$1204,$S138))</f>
        <v/>
      </c>
      <c r="V138" s="25" t="str">
        <f>IF($S138="","",SUMIFS(TRANSACTIONS_MASTER!$L$5:$L$1204,TRANSACTIONS_MASTER!$I$5:$I$1204,$T138,TRANSACTIONS_MASTER!$C$5:$C$1204,$C$2,TRANSACTIONS_MASTER!$U$5:$U$1204,"&lt;&gt;Cancelled"))</f>
        <v/>
      </c>
      <c r="W138" s="26" t="str">
        <f>IF($S138="","",SUMIFS(TRANSACTIONS_MASTER!$Q$5:$Q$1204,TRANSACTIONS_MASTER!$I$5:$I$1204,$T138,TRANSACTIONS_MASTER!$C$5:$C$1204,$C$2))</f>
        <v/>
      </c>
    </row>
    <row r="139">
      <c r="A139" s="81" t="str">
        <f>IF($Q139="","",132)</f>
        <v/>
      </c>
      <c r="B139" s="57" t="str">
        <f>IF($Q139="","",INDEX(TRANSACTIONS_MASTER!$B$5:$B$1204,$Q139))</f>
        <v/>
      </c>
      <c r="C139" s="55" t="str">
        <f>IF($Q139="","",INDEX(TRANSACTIONS_MASTER!$F$5:$F$1204,$Q139))</f>
        <v/>
      </c>
      <c r="D139" s="55" t="str">
        <f>IF($Q139="","",INDEX(TRANSACTIONS_MASTER!$E$5:$E$1204,$Q139))</f>
        <v/>
      </c>
      <c r="E139" s="55" t="str">
        <f>IF($Q139="","",INDEX(TRANSACTIONS_MASTER!$G$5:$G$1204,$Q139)&amp;"")</f>
        <v/>
      </c>
      <c r="F139" s="29" t="str">
        <f>IF($Q139="","",INDEX(TRANSACTIONS_MASTER!$I$5:$I$1204,$Q139))</f>
        <v/>
      </c>
      <c r="G139" s="55" t="str">
        <f>IF($Q139="","",INDEX(TRANSACTIONS_MASTER!$K$5:$K$1204,$Q139))</f>
        <v/>
      </c>
      <c r="H139" s="25" t="str">
        <f>IF($Q139="","",INDEX(TRANSACTIONS_MASTER!$L$5:$L$1204,$Q139))</f>
        <v/>
      </c>
      <c r="I139" s="56" t="str">
        <f>IF($Q139="","",INDEX(TRANSACTIONS_MASTER!$N$5:$N$1204,$Q139))</f>
        <v/>
      </c>
      <c r="J139" s="25" t="str">
        <f>IF($Q139="","",INDEX(TRANSACTIONS_MASTER!$O$5:$O$1204,$Q139))</f>
        <v/>
      </c>
      <c r="K139" s="26" t="str">
        <f>IF($Q139="","",INDEX(TRANSACTIONS_MASTER!$Q$5:$Q$1204,$Q139))</f>
        <v/>
      </c>
      <c r="L139" s="25" t="str">
        <f>IF($Q139="","",INDEX(TRANSACTIONS_MASTER!$P$5:$P$1204,$Q139))</f>
        <v/>
      </c>
      <c r="M139" s="25" t="str">
        <f>IF($Q139="","",INDEX(TRANSACTIONS_MASTER!$AA$5:$AA$1204,$Q139))</f>
        <v/>
      </c>
      <c r="N139" s="25" t="str">
        <f>IF($Q139="","",INDEX(TRANSACTIONS_MASTER!$R$5:$R$1204,$Q139))</f>
        <v/>
      </c>
      <c r="O139" s="28" t="str">
        <f>IF($Q139="","",INDEX(TRANSACTIONS_MASTER!$AB$5:$AB$1204,$Q139))</f>
        <v/>
      </c>
      <c r="P139" s="55" t="str">
        <f>IF($Q139="","",INDEX(TRANSACTIONS_MASTER!$Z$5:$Z$1204,$Q139)&amp;"")</f>
        <v/>
      </c>
      <c r="Q139" s="67" t="str">
        <f>IFERROR(MATCH($C$2&amp;"|"&amp;132,TRANSACTIONS_MASTER!$AE$5:$AE$1204,0),"")</f>
        <v/>
      </c>
      <c r="S139" s="67" t="str">
        <f>IFERROR(MATCH(1,INDEX((TRANSACTIONS_MASTER!$C$5:$C$1204=$C$2)*(TRANSACTIONS_MASTER!$AJ$5:$AJ$1204=2),0),0),"")</f>
        <v/>
      </c>
      <c r="T139" s="29" t="str">
        <f>IF($S139="","",INDEX(TRANSACTIONS_MASTER!$I$5:$I$1204,$S139))</f>
        <v/>
      </c>
      <c r="U139" s="55" t="str">
        <f>IF($S139="","",INDEX(TRANSACTIONS_MASTER!$J$5:$J$1204,$S139))</f>
        <v/>
      </c>
      <c r="V139" s="25" t="str">
        <f>IF($S139="","",SUMIFS(TRANSACTIONS_MASTER!$L$5:$L$1204,TRANSACTIONS_MASTER!$I$5:$I$1204,$T139,TRANSACTIONS_MASTER!$C$5:$C$1204,$C$2,TRANSACTIONS_MASTER!$U$5:$U$1204,"&lt;&gt;Cancelled"))</f>
        <v/>
      </c>
      <c r="W139" s="26" t="str">
        <f>IF($S139="","",SUMIFS(TRANSACTIONS_MASTER!$Q$5:$Q$1204,TRANSACTIONS_MASTER!$I$5:$I$1204,$T139,TRANSACTIONS_MASTER!$C$5:$C$1204,$C$2))</f>
        <v/>
      </c>
    </row>
    <row r="140">
      <c r="A140" s="81" t="str">
        <f>IF($Q140="","",133)</f>
        <v/>
      </c>
      <c r="B140" s="57" t="str">
        <f>IF($Q140="","",INDEX(TRANSACTIONS_MASTER!$B$5:$B$1204,$Q140))</f>
        <v/>
      </c>
      <c r="C140" s="55" t="str">
        <f>IF($Q140="","",INDEX(TRANSACTIONS_MASTER!$F$5:$F$1204,$Q140))</f>
        <v/>
      </c>
      <c r="D140" s="55" t="str">
        <f>IF($Q140="","",INDEX(TRANSACTIONS_MASTER!$E$5:$E$1204,$Q140))</f>
        <v/>
      </c>
      <c r="E140" s="55" t="str">
        <f>IF($Q140="","",INDEX(TRANSACTIONS_MASTER!$G$5:$G$1204,$Q140)&amp;"")</f>
        <v/>
      </c>
      <c r="F140" s="29" t="str">
        <f>IF($Q140="","",INDEX(TRANSACTIONS_MASTER!$I$5:$I$1204,$Q140))</f>
        <v/>
      </c>
      <c r="G140" s="55" t="str">
        <f>IF($Q140="","",INDEX(TRANSACTIONS_MASTER!$K$5:$K$1204,$Q140))</f>
        <v/>
      </c>
      <c r="H140" s="25" t="str">
        <f>IF($Q140="","",INDEX(TRANSACTIONS_MASTER!$L$5:$L$1204,$Q140))</f>
        <v/>
      </c>
      <c r="I140" s="56" t="str">
        <f>IF($Q140="","",INDEX(TRANSACTIONS_MASTER!$N$5:$N$1204,$Q140))</f>
        <v/>
      </c>
      <c r="J140" s="25" t="str">
        <f>IF($Q140="","",INDEX(TRANSACTIONS_MASTER!$O$5:$O$1204,$Q140))</f>
        <v/>
      </c>
      <c r="K140" s="26" t="str">
        <f>IF($Q140="","",INDEX(TRANSACTIONS_MASTER!$Q$5:$Q$1204,$Q140))</f>
        <v/>
      </c>
      <c r="L140" s="25" t="str">
        <f>IF($Q140="","",INDEX(TRANSACTIONS_MASTER!$P$5:$P$1204,$Q140))</f>
        <v/>
      </c>
      <c r="M140" s="25" t="str">
        <f>IF($Q140="","",INDEX(TRANSACTIONS_MASTER!$AA$5:$AA$1204,$Q140))</f>
        <v/>
      </c>
      <c r="N140" s="25" t="str">
        <f>IF($Q140="","",INDEX(TRANSACTIONS_MASTER!$R$5:$R$1204,$Q140))</f>
        <v/>
      </c>
      <c r="O140" s="28" t="str">
        <f>IF($Q140="","",INDEX(TRANSACTIONS_MASTER!$AB$5:$AB$1204,$Q140))</f>
        <v/>
      </c>
      <c r="P140" s="55" t="str">
        <f>IF($Q140="","",INDEX(TRANSACTIONS_MASTER!$Z$5:$Z$1204,$Q140)&amp;"")</f>
        <v/>
      </c>
      <c r="Q140" s="67" t="str">
        <f>IFERROR(MATCH($C$2&amp;"|"&amp;133,TRANSACTIONS_MASTER!$AE$5:$AE$1204,0),"")</f>
        <v/>
      </c>
      <c r="S140" s="67" t="str">
        <f>IFERROR(MATCH(1,INDEX((TRANSACTIONS_MASTER!$C$5:$C$1204=$C$2)*(TRANSACTIONS_MASTER!$AJ$5:$AJ$1204=3),0),0),"")</f>
        <v/>
      </c>
      <c r="T140" s="29" t="str">
        <f>IF($S140="","",INDEX(TRANSACTIONS_MASTER!$I$5:$I$1204,$S140))</f>
        <v/>
      </c>
      <c r="U140" s="55" t="str">
        <f>IF($S140="","",INDEX(TRANSACTIONS_MASTER!$J$5:$J$1204,$S140))</f>
        <v/>
      </c>
      <c r="V140" s="25" t="str">
        <f>IF($S140="","",SUMIFS(TRANSACTIONS_MASTER!$L$5:$L$1204,TRANSACTIONS_MASTER!$I$5:$I$1204,$T140,TRANSACTIONS_MASTER!$C$5:$C$1204,$C$2,TRANSACTIONS_MASTER!$U$5:$U$1204,"&lt;&gt;Cancelled"))</f>
        <v/>
      </c>
      <c r="W140" s="26" t="str">
        <f>IF($S140="","",SUMIFS(TRANSACTIONS_MASTER!$Q$5:$Q$1204,TRANSACTIONS_MASTER!$I$5:$I$1204,$T140,TRANSACTIONS_MASTER!$C$5:$C$1204,$C$2))</f>
        <v/>
      </c>
    </row>
    <row r="141">
      <c r="A141" s="81" t="str">
        <f>IF($Q141="","",134)</f>
        <v/>
      </c>
      <c r="B141" s="57" t="str">
        <f>IF($Q141="","",INDEX(TRANSACTIONS_MASTER!$B$5:$B$1204,$Q141))</f>
        <v/>
      </c>
      <c r="C141" s="55" t="str">
        <f>IF($Q141="","",INDEX(TRANSACTIONS_MASTER!$F$5:$F$1204,$Q141))</f>
        <v/>
      </c>
      <c r="D141" s="55" t="str">
        <f>IF($Q141="","",INDEX(TRANSACTIONS_MASTER!$E$5:$E$1204,$Q141))</f>
        <v/>
      </c>
      <c r="E141" s="55" t="str">
        <f>IF($Q141="","",INDEX(TRANSACTIONS_MASTER!$G$5:$G$1204,$Q141)&amp;"")</f>
        <v/>
      </c>
      <c r="F141" s="29" t="str">
        <f>IF($Q141="","",INDEX(TRANSACTIONS_MASTER!$I$5:$I$1204,$Q141))</f>
        <v/>
      </c>
      <c r="G141" s="55" t="str">
        <f>IF($Q141="","",INDEX(TRANSACTIONS_MASTER!$K$5:$K$1204,$Q141))</f>
        <v/>
      </c>
      <c r="H141" s="25" t="str">
        <f>IF($Q141="","",INDEX(TRANSACTIONS_MASTER!$L$5:$L$1204,$Q141))</f>
        <v/>
      </c>
      <c r="I141" s="56" t="str">
        <f>IF($Q141="","",INDEX(TRANSACTIONS_MASTER!$N$5:$N$1204,$Q141))</f>
        <v/>
      </c>
      <c r="J141" s="25" t="str">
        <f>IF($Q141="","",INDEX(TRANSACTIONS_MASTER!$O$5:$O$1204,$Q141))</f>
        <v/>
      </c>
      <c r="K141" s="26" t="str">
        <f>IF($Q141="","",INDEX(TRANSACTIONS_MASTER!$Q$5:$Q$1204,$Q141))</f>
        <v/>
      </c>
      <c r="L141" s="25" t="str">
        <f>IF($Q141="","",INDEX(TRANSACTIONS_MASTER!$P$5:$P$1204,$Q141))</f>
        <v/>
      </c>
      <c r="M141" s="25" t="str">
        <f>IF($Q141="","",INDEX(TRANSACTIONS_MASTER!$AA$5:$AA$1204,$Q141))</f>
        <v/>
      </c>
      <c r="N141" s="25" t="str">
        <f>IF($Q141="","",INDEX(TRANSACTIONS_MASTER!$R$5:$R$1204,$Q141))</f>
        <v/>
      </c>
      <c r="O141" s="28" t="str">
        <f>IF($Q141="","",INDEX(TRANSACTIONS_MASTER!$AB$5:$AB$1204,$Q141))</f>
        <v/>
      </c>
      <c r="P141" s="55" t="str">
        <f>IF($Q141="","",INDEX(TRANSACTIONS_MASTER!$Z$5:$Z$1204,$Q141)&amp;"")</f>
        <v/>
      </c>
      <c r="Q141" s="67" t="str">
        <f>IFERROR(MATCH($C$2&amp;"|"&amp;134,TRANSACTIONS_MASTER!$AE$5:$AE$1204,0),"")</f>
        <v/>
      </c>
      <c r="S141" s="67" t="str">
        <f>IFERROR(MATCH(1,INDEX((TRANSACTIONS_MASTER!$C$5:$C$1204=$C$2)*(TRANSACTIONS_MASTER!$AJ$5:$AJ$1204=4),0),0),"")</f>
        <v/>
      </c>
      <c r="T141" s="29" t="str">
        <f>IF($S141="","",INDEX(TRANSACTIONS_MASTER!$I$5:$I$1204,$S141))</f>
        <v/>
      </c>
      <c r="U141" s="55" t="str">
        <f>IF($S141="","",INDEX(TRANSACTIONS_MASTER!$J$5:$J$1204,$S141))</f>
        <v/>
      </c>
      <c r="V141" s="25" t="str">
        <f>IF($S141="","",SUMIFS(TRANSACTIONS_MASTER!$L$5:$L$1204,TRANSACTIONS_MASTER!$I$5:$I$1204,$T141,TRANSACTIONS_MASTER!$C$5:$C$1204,$C$2,TRANSACTIONS_MASTER!$U$5:$U$1204,"&lt;&gt;Cancelled"))</f>
        <v/>
      </c>
      <c r="W141" s="26" t="str">
        <f>IF($S141="","",SUMIFS(TRANSACTIONS_MASTER!$Q$5:$Q$1204,TRANSACTIONS_MASTER!$I$5:$I$1204,$T141,TRANSACTIONS_MASTER!$C$5:$C$1204,$C$2))</f>
        <v/>
      </c>
    </row>
    <row r="142">
      <c r="A142" s="81" t="str">
        <f>IF($Q142="","",135)</f>
        <v/>
      </c>
      <c r="B142" s="57" t="str">
        <f>IF($Q142="","",INDEX(TRANSACTIONS_MASTER!$B$5:$B$1204,$Q142))</f>
        <v/>
      </c>
      <c r="C142" s="55" t="str">
        <f>IF($Q142="","",INDEX(TRANSACTIONS_MASTER!$F$5:$F$1204,$Q142))</f>
        <v/>
      </c>
      <c r="D142" s="55" t="str">
        <f>IF($Q142="","",INDEX(TRANSACTIONS_MASTER!$E$5:$E$1204,$Q142))</f>
        <v/>
      </c>
      <c r="E142" s="55" t="str">
        <f>IF($Q142="","",INDEX(TRANSACTIONS_MASTER!$G$5:$G$1204,$Q142)&amp;"")</f>
        <v/>
      </c>
      <c r="F142" s="29" t="str">
        <f>IF($Q142="","",INDEX(TRANSACTIONS_MASTER!$I$5:$I$1204,$Q142))</f>
        <v/>
      </c>
      <c r="G142" s="55" t="str">
        <f>IF($Q142="","",INDEX(TRANSACTIONS_MASTER!$K$5:$K$1204,$Q142))</f>
        <v/>
      </c>
      <c r="H142" s="25" t="str">
        <f>IF($Q142="","",INDEX(TRANSACTIONS_MASTER!$L$5:$L$1204,$Q142))</f>
        <v/>
      </c>
      <c r="I142" s="56" t="str">
        <f>IF($Q142="","",INDEX(TRANSACTIONS_MASTER!$N$5:$N$1204,$Q142))</f>
        <v/>
      </c>
      <c r="J142" s="25" t="str">
        <f>IF($Q142="","",INDEX(TRANSACTIONS_MASTER!$O$5:$O$1204,$Q142))</f>
        <v/>
      </c>
      <c r="K142" s="26" t="str">
        <f>IF($Q142="","",INDEX(TRANSACTIONS_MASTER!$Q$5:$Q$1204,$Q142))</f>
        <v/>
      </c>
      <c r="L142" s="25" t="str">
        <f>IF($Q142="","",INDEX(TRANSACTIONS_MASTER!$P$5:$P$1204,$Q142))</f>
        <v/>
      </c>
      <c r="M142" s="25" t="str">
        <f>IF($Q142="","",INDEX(TRANSACTIONS_MASTER!$AA$5:$AA$1204,$Q142))</f>
        <v/>
      </c>
      <c r="N142" s="25" t="str">
        <f>IF($Q142="","",INDEX(TRANSACTIONS_MASTER!$R$5:$R$1204,$Q142))</f>
        <v/>
      </c>
      <c r="O142" s="28" t="str">
        <f>IF($Q142="","",INDEX(TRANSACTIONS_MASTER!$AB$5:$AB$1204,$Q142))</f>
        <v/>
      </c>
      <c r="P142" s="55" t="str">
        <f>IF($Q142="","",INDEX(TRANSACTIONS_MASTER!$Z$5:$Z$1204,$Q142)&amp;"")</f>
        <v/>
      </c>
      <c r="Q142" s="67" t="str">
        <f>IFERROR(MATCH($C$2&amp;"|"&amp;135,TRANSACTIONS_MASTER!$AE$5:$AE$1204,0),"")</f>
        <v/>
      </c>
      <c r="S142" s="67" t="str">
        <f>IFERROR(MATCH(1,INDEX((TRANSACTIONS_MASTER!$C$5:$C$1204=$C$2)*(TRANSACTIONS_MASTER!$AJ$5:$AJ$1204=5),0),0),"")</f>
        <v/>
      </c>
      <c r="T142" s="29" t="str">
        <f>IF($S142="","",INDEX(TRANSACTIONS_MASTER!$I$5:$I$1204,$S142))</f>
        <v/>
      </c>
      <c r="U142" s="55" t="str">
        <f>IF($S142="","",INDEX(TRANSACTIONS_MASTER!$J$5:$J$1204,$S142))</f>
        <v/>
      </c>
      <c r="V142" s="25" t="str">
        <f>IF($S142="","",SUMIFS(TRANSACTIONS_MASTER!$L$5:$L$1204,TRANSACTIONS_MASTER!$I$5:$I$1204,$T142,TRANSACTIONS_MASTER!$C$5:$C$1204,$C$2,TRANSACTIONS_MASTER!$U$5:$U$1204,"&lt;&gt;Cancelled"))</f>
        <v/>
      </c>
      <c r="W142" s="26" t="str">
        <f>IF($S142="","",SUMIFS(TRANSACTIONS_MASTER!$Q$5:$Q$1204,TRANSACTIONS_MASTER!$I$5:$I$1204,$T142,TRANSACTIONS_MASTER!$C$5:$C$1204,$C$2))</f>
        <v/>
      </c>
    </row>
    <row r="143">
      <c r="A143" s="81" t="str">
        <f>IF($Q143="","",136)</f>
        <v/>
      </c>
      <c r="B143" s="57" t="str">
        <f>IF($Q143="","",INDEX(TRANSACTIONS_MASTER!$B$5:$B$1204,$Q143))</f>
        <v/>
      </c>
      <c r="C143" s="55" t="str">
        <f>IF($Q143="","",INDEX(TRANSACTIONS_MASTER!$F$5:$F$1204,$Q143))</f>
        <v/>
      </c>
      <c r="D143" s="55" t="str">
        <f>IF($Q143="","",INDEX(TRANSACTIONS_MASTER!$E$5:$E$1204,$Q143))</f>
        <v/>
      </c>
      <c r="E143" s="55" t="str">
        <f>IF($Q143="","",INDEX(TRANSACTIONS_MASTER!$G$5:$G$1204,$Q143)&amp;"")</f>
        <v/>
      </c>
      <c r="F143" s="29" t="str">
        <f>IF($Q143="","",INDEX(TRANSACTIONS_MASTER!$I$5:$I$1204,$Q143))</f>
        <v/>
      </c>
      <c r="G143" s="55" t="str">
        <f>IF($Q143="","",INDEX(TRANSACTIONS_MASTER!$K$5:$K$1204,$Q143))</f>
        <v/>
      </c>
      <c r="H143" s="25" t="str">
        <f>IF($Q143="","",INDEX(TRANSACTIONS_MASTER!$L$5:$L$1204,$Q143))</f>
        <v/>
      </c>
      <c r="I143" s="56" t="str">
        <f>IF($Q143="","",INDEX(TRANSACTIONS_MASTER!$N$5:$N$1204,$Q143))</f>
        <v/>
      </c>
      <c r="J143" s="25" t="str">
        <f>IF($Q143="","",INDEX(TRANSACTIONS_MASTER!$O$5:$O$1204,$Q143))</f>
        <v/>
      </c>
      <c r="K143" s="26" t="str">
        <f>IF($Q143="","",INDEX(TRANSACTIONS_MASTER!$Q$5:$Q$1204,$Q143))</f>
        <v/>
      </c>
      <c r="L143" s="25" t="str">
        <f>IF($Q143="","",INDEX(TRANSACTIONS_MASTER!$P$5:$P$1204,$Q143))</f>
        <v/>
      </c>
      <c r="M143" s="25" t="str">
        <f>IF($Q143="","",INDEX(TRANSACTIONS_MASTER!$AA$5:$AA$1204,$Q143))</f>
        <v/>
      </c>
      <c r="N143" s="25" t="str">
        <f>IF($Q143="","",INDEX(TRANSACTIONS_MASTER!$R$5:$R$1204,$Q143))</f>
        <v/>
      </c>
      <c r="O143" s="28" t="str">
        <f>IF($Q143="","",INDEX(TRANSACTIONS_MASTER!$AB$5:$AB$1204,$Q143))</f>
        <v/>
      </c>
      <c r="P143" s="55" t="str">
        <f>IF($Q143="","",INDEX(TRANSACTIONS_MASTER!$Z$5:$Z$1204,$Q143)&amp;"")</f>
        <v/>
      </c>
      <c r="Q143" s="67" t="str">
        <f>IFERROR(MATCH($C$2&amp;"|"&amp;136,TRANSACTIONS_MASTER!$AE$5:$AE$1204,0),"")</f>
        <v/>
      </c>
      <c r="S143" s="67" t="str">
        <f>IFERROR(MATCH(1,INDEX((TRANSACTIONS_MASTER!$C$5:$C$1204=$C$2)*(TRANSACTIONS_MASTER!$AJ$5:$AJ$1204=6),0),0),"")</f>
        <v/>
      </c>
      <c r="T143" s="29" t="str">
        <f>IF($S143="","",INDEX(TRANSACTIONS_MASTER!$I$5:$I$1204,$S143))</f>
        <v/>
      </c>
      <c r="U143" s="55" t="str">
        <f>IF($S143="","",INDEX(TRANSACTIONS_MASTER!$J$5:$J$1204,$S143))</f>
        <v/>
      </c>
      <c r="V143" s="25" t="str">
        <f>IF($S143="","",SUMIFS(TRANSACTIONS_MASTER!$L$5:$L$1204,TRANSACTIONS_MASTER!$I$5:$I$1204,$T143,TRANSACTIONS_MASTER!$C$5:$C$1204,$C$2,TRANSACTIONS_MASTER!$U$5:$U$1204,"&lt;&gt;Cancelled"))</f>
        <v/>
      </c>
      <c r="W143" s="26" t="str">
        <f>IF($S143="","",SUMIFS(TRANSACTIONS_MASTER!$Q$5:$Q$1204,TRANSACTIONS_MASTER!$I$5:$I$1204,$T143,TRANSACTIONS_MASTER!$C$5:$C$1204,$C$2))</f>
        <v/>
      </c>
    </row>
    <row r="144">
      <c r="A144" s="81" t="str">
        <f>IF($Q144="","",137)</f>
        <v/>
      </c>
      <c r="B144" s="57" t="str">
        <f>IF($Q144="","",INDEX(TRANSACTIONS_MASTER!$B$5:$B$1204,$Q144))</f>
        <v/>
      </c>
      <c r="C144" s="55" t="str">
        <f>IF($Q144="","",INDEX(TRANSACTIONS_MASTER!$F$5:$F$1204,$Q144))</f>
        <v/>
      </c>
      <c r="D144" s="55" t="str">
        <f>IF($Q144="","",INDEX(TRANSACTIONS_MASTER!$E$5:$E$1204,$Q144))</f>
        <v/>
      </c>
      <c r="E144" s="55" t="str">
        <f>IF($Q144="","",INDEX(TRANSACTIONS_MASTER!$G$5:$G$1204,$Q144)&amp;"")</f>
        <v/>
      </c>
      <c r="F144" s="29" t="str">
        <f>IF($Q144="","",INDEX(TRANSACTIONS_MASTER!$I$5:$I$1204,$Q144))</f>
        <v/>
      </c>
      <c r="G144" s="55" t="str">
        <f>IF($Q144="","",INDEX(TRANSACTIONS_MASTER!$K$5:$K$1204,$Q144))</f>
        <v/>
      </c>
      <c r="H144" s="25" t="str">
        <f>IF($Q144="","",INDEX(TRANSACTIONS_MASTER!$L$5:$L$1204,$Q144))</f>
        <v/>
      </c>
      <c r="I144" s="56" t="str">
        <f>IF($Q144="","",INDEX(TRANSACTIONS_MASTER!$N$5:$N$1204,$Q144))</f>
        <v/>
      </c>
      <c r="J144" s="25" t="str">
        <f>IF($Q144="","",INDEX(TRANSACTIONS_MASTER!$O$5:$O$1204,$Q144))</f>
        <v/>
      </c>
      <c r="K144" s="26" t="str">
        <f>IF($Q144="","",INDEX(TRANSACTIONS_MASTER!$Q$5:$Q$1204,$Q144))</f>
        <v/>
      </c>
      <c r="L144" s="25" t="str">
        <f>IF($Q144="","",INDEX(TRANSACTIONS_MASTER!$P$5:$P$1204,$Q144))</f>
        <v/>
      </c>
      <c r="M144" s="25" t="str">
        <f>IF($Q144="","",INDEX(TRANSACTIONS_MASTER!$AA$5:$AA$1204,$Q144))</f>
        <v/>
      </c>
      <c r="N144" s="25" t="str">
        <f>IF($Q144="","",INDEX(TRANSACTIONS_MASTER!$R$5:$R$1204,$Q144))</f>
        <v/>
      </c>
      <c r="O144" s="28" t="str">
        <f>IF($Q144="","",INDEX(TRANSACTIONS_MASTER!$AB$5:$AB$1204,$Q144))</f>
        <v/>
      </c>
      <c r="P144" s="55" t="str">
        <f>IF($Q144="","",INDEX(TRANSACTIONS_MASTER!$Z$5:$Z$1204,$Q144)&amp;"")</f>
        <v/>
      </c>
      <c r="Q144" s="67" t="str">
        <f>IFERROR(MATCH($C$2&amp;"|"&amp;137,TRANSACTIONS_MASTER!$AE$5:$AE$1204,0),"")</f>
        <v/>
      </c>
      <c r="S144" s="67" t="str">
        <f>IFERROR(MATCH(1,INDEX((TRANSACTIONS_MASTER!$C$5:$C$1204=$C$2)*(TRANSACTIONS_MASTER!$AJ$5:$AJ$1204=7),0),0),"")</f>
        <v/>
      </c>
      <c r="T144" s="29" t="str">
        <f>IF($S144="","",INDEX(TRANSACTIONS_MASTER!$I$5:$I$1204,$S144))</f>
        <v/>
      </c>
      <c r="U144" s="55" t="str">
        <f>IF($S144="","",INDEX(TRANSACTIONS_MASTER!$J$5:$J$1204,$S144))</f>
        <v/>
      </c>
      <c r="V144" s="25" t="str">
        <f>IF($S144="","",SUMIFS(TRANSACTIONS_MASTER!$L$5:$L$1204,TRANSACTIONS_MASTER!$I$5:$I$1204,$T144,TRANSACTIONS_MASTER!$C$5:$C$1204,$C$2,TRANSACTIONS_MASTER!$U$5:$U$1204,"&lt;&gt;Cancelled"))</f>
        <v/>
      </c>
      <c r="W144" s="26" t="str">
        <f>IF($S144="","",SUMIFS(TRANSACTIONS_MASTER!$Q$5:$Q$1204,TRANSACTIONS_MASTER!$I$5:$I$1204,$T144,TRANSACTIONS_MASTER!$C$5:$C$1204,$C$2))</f>
        <v/>
      </c>
    </row>
    <row r="145">
      <c r="A145" s="81" t="str">
        <f>IF($Q145="","",138)</f>
        <v/>
      </c>
      <c r="B145" s="57" t="str">
        <f>IF($Q145="","",INDEX(TRANSACTIONS_MASTER!$B$5:$B$1204,$Q145))</f>
        <v/>
      </c>
      <c r="C145" s="55" t="str">
        <f>IF($Q145="","",INDEX(TRANSACTIONS_MASTER!$F$5:$F$1204,$Q145))</f>
        <v/>
      </c>
      <c r="D145" s="55" t="str">
        <f>IF($Q145="","",INDEX(TRANSACTIONS_MASTER!$E$5:$E$1204,$Q145))</f>
        <v/>
      </c>
      <c r="E145" s="55" t="str">
        <f>IF($Q145="","",INDEX(TRANSACTIONS_MASTER!$G$5:$G$1204,$Q145)&amp;"")</f>
        <v/>
      </c>
      <c r="F145" s="29" t="str">
        <f>IF($Q145="","",INDEX(TRANSACTIONS_MASTER!$I$5:$I$1204,$Q145))</f>
        <v/>
      </c>
      <c r="G145" s="55" t="str">
        <f>IF($Q145="","",INDEX(TRANSACTIONS_MASTER!$K$5:$K$1204,$Q145))</f>
        <v/>
      </c>
      <c r="H145" s="25" t="str">
        <f>IF($Q145="","",INDEX(TRANSACTIONS_MASTER!$L$5:$L$1204,$Q145))</f>
        <v/>
      </c>
      <c r="I145" s="56" t="str">
        <f>IF($Q145="","",INDEX(TRANSACTIONS_MASTER!$N$5:$N$1204,$Q145))</f>
        <v/>
      </c>
      <c r="J145" s="25" t="str">
        <f>IF($Q145="","",INDEX(TRANSACTIONS_MASTER!$O$5:$O$1204,$Q145))</f>
        <v/>
      </c>
      <c r="K145" s="26" t="str">
        <f>IF($Q145="","",INDEX(TRANSACTIONS_MASTER!$Q$5:$Q$1204,$Q145))</f>
        <v/>
      </c>
      <c r="L145" s="25" t="str">
        <f>IF($Q145="","",INDEX(TRANSACTIONS_MASTER!$P$5:$P$1204,$Q145))</f>
        <v/>
      </c>
      <c r="M145" s="25" t="str">
        <f>IF($Q145="","",INDEX(TRANSACTIONS_MASTER!$AA$5:$AA$1204,$Q145))</f>
        <v/>
      </c>
      <c r="N145" s="25" t="str">
        <f>IF($Q145="","",INDEX(TRANSACTIONS_MASTER!$R$5:$R$1204,$Q145))</f>
        <v/>
      </c>
      <c r="O145" s="28" t="str">
        <f>IF($Q145="","",INDEX(TRANSACTIONS_MASTER!$AB$5:$AB$1204,$Q145))</f>
        <v/>
      </c>
      <c r="P145" s="55" t="str">
        <f>IF($Q145="","",INDEX(TRANSACTIONS_MASTER!$Z$5:$Z$1204,$Q145)&amp;"")</f>
        <v/>
      </c>
      <c r="Q145" s="67" t="str">
        <f>IFERROR(MATCH($C$2&amp;"|"&amp;138,TRANSACTIONS_MASTER!$AE$5:$AE$1204,0),"")</f>
        <v/>
      </c>
      <c r="S145" s="67" t="str">
        <f>IFERROR(MATCH(1,INDEX((TRANSACTIONS_MASTER!$C$5:$C$1204=$C$2)*(TRANSACTIONS_MASTER!$AJ$5:$AJ$1204=8),0),0),"")</f>
        <v/>
      </c>
      <c r="T145" s="29" t="str">
        <f>IF($S145="","",INDEX(TRANSACTIONS_MASTER!$I$5:$I$1204,$S145))</f>
        <v/>
      </c>
      <c r="U145" s="55" t="str">
        <f>IF($S145="","",INDEX(TRANSACTIONS_MASTER!$J$5:$J$1204,$S145))</f>
        <v/>
      </c>
      <c r="V145" s="25" t="str">
        <f>IF($S145="","",SUMIFS(TRANSACTIONS_MASTER!$L$5:$L$1204,TRANSACTIONS_MASTER!$I$5:$I$1204,$T145,TRANSACTIONS_MASTER!$C$5:$C$1204,$C$2,TRANSACTIONS_MASTER!$U$5:$U$1204,"&lt;&gt;Cancelled"))</f>
        <v/>
      </c>
      <c r="W145" s="26" t="str">
        <f>IF($S145="","",SUMIFS(TRANSACTIONS_MASTER!$Q$5:$Q$1204,TRANSACTIONS_MASTER!$I$5:$I$1204,$T145,TRANSACTIONS_MASTER!$C$5:$C$1204,$C$2))</f>
        <v/>
      </c>
    </row>
    <row r="146">
      <c r="A146" s="81" t="str">
        <f>IF($Q146="","",139)</f>
        <v/>
      </c>
      <c r="B146" s="57" t="str">
        <f>IF($Q146="","",INDEX(TRANSACTIONS_MASTER!$B$5:$B$1204,$Q146))</f>
        <v/>
      </c>
      <c r="C146" s="55" t="str">
        <f>IF($Q146="","",INDEX(TRANSACTIONS_MASTER!$F$5:$F$1204,$Q146))</f>
        <v/>
      </c>
      <c r="D146" s="55" t="str">
        <f>IF($Q146="","",INDEX(TRANSACTIONS_MASTER!$E$5:$E$1204,$Q146))</f>
        <v/>
      </c>
      <c r="E146" s="55" t="str">
        <f>IF($Q146="","",INDEX(TRANSACTIONS_MASTER!$G$5:$G$1204,$Q146)&amp;"")</f>
        <v/>
      </c>
      <c r="F146" s="29" t="str">
        <f>IF($Q146="","",INDEX(TRANSACTIONS_MASTER!$I$5:$I$1204,$Q146))</f>
        <v/>
      </c>
      <c r="G146" s="55" t="str">
        <f>IF($Q146="","",INDEX(TRANSACTIONS_MASTER!$K$5:$K$1204,$Q146))</f>
        <v/>
      </c>
      <c r="H146" s="25" t="str">
        <f>IF($Q146="","",INDEX(TRANSACTIONS_MASTER!$L$5:$L$1204,$Q146))</f>
        <v/>
      </c>
      <c r="I146" s="56" t="str">
        <f>IF($Q146="","",INDEX(TRANSACTIONS_MASTER!$N$5:$N$1204,$Q146))</f>
        <v/>
      </c>
      <c r="J146" s="25" t="str">
        <f>IF($Q146="","",INDEX(TRANSACTIONS_MASTER!$O$5:$O$1204,$Q146))</f>
        <v/>
      </c>
      <c r="K146" s="26" t="str">
        <f>IF($Q146="","",INDEX(TRANSACTIONS_MASTER!$Q$5:$Q$1204,$Q146))</f>
        <v/>
      </c>
      <c r="L146" s="25" t="str">
        <f>IF($Q146="","",INDEX(TRANSACTIONS_MASTER!$P$5:$P$1204,$Q146))</f>
        <v/>
      </c>
      <c r="M146" s="25" t="str">
        <f>IF($Q146="","",INDEX(TRANSACTIONS_MASTER!$AA$5:$AA$1204,$Q146))</f>
        <v/>
      </c>
      <c r="N146" s="25" t="str">
        <f>IF($Q146="","",INDEX(TRANSACTIONS_MASTER!$R$5:$R$1204,$Q146))</f>
        <v/>
      </c>
      <c r="O146" s="28" t="str">
        <f>IF($Q146="","",INDEX(TRANSACTIONS_MASTER!$AB$5:$AB$1204,$Q146))</f>
        <v/>
      </c>
      <c r="P146" s="55" t="str">
        <f>IF($Q146="","",INDEX(TRANSACTIONS_MASTER!$Z$5:$Z$1204,$Q146)&amp;"")</f>
        <v/>
      </c>
      <c r="Q146" s="67" t="str">
        <f>IFERROR(MATCH($C$2&amp;"|"&amp;139,TRANSACTIONS_MASTER!$AE$5:$AE$1204,0),"")</f>
        <v/>
      </c>
      <c r="S146" s="67" t="str">
        <f>IFERROR(MATCH(1,INDEX((TRANSACTIONS_MASTER!$C$5:$C$1204=$C$2)*(TRANSACTIONS_MASTER!$AJ$5:$AJ$1204=9),0),0),"")</f>
        <v/>
      </c>
      <c r="T146" s="29" t="str">
        <f>IF($S146="","",INDEX(TRANSACTIONS_MASTER!$I$5:$I$1204,$S146))</f>
        <v/>
      </c>
      <c r="U146" s="55" t="str">
        <f>IF($S146="","",INDEX(TRANSACTIONS_MASTER!$J$5:$J$1204,$S146))</f>
        <v/>
      </c>
      <c r="V146" s="25" t="str">
        <f>IF($S146="","",SUMIFS(TRANSACTIONS_MASTER!$L$5:$L$1204,TRANSACTIONS_MASTER!$I$5:$I$1204,$T146,TRANSACTIONS_MASTER!$C$5:$C$1204,$C$2,TRANSACTIONS_MASTER!$U$5:$U$1204,"&lt;&gt;Cancelled"))</f>
        <v/>
      </c>
      <c r="W146" s="26" t="str">
        <f>IF($S146="","",SUMIFS(TRANSACTIONS_MASTER!$Q$5:$Q$1204,TRANSACTIONS_MASTER!$I$5:$I$1204,$T146,TRANSACTIONS_MASTER!$C$5:$C$1204,$C$2))</f>
        <v/>
      </c>
    </row>
    <row r="147">
      <c r="A147" s="81" t="str">
        <f>IF($Q147="","",140)</f>
        <v/>
      </c>
      <c r="B147" s="57" t="str">
        <f>IF($Q147="","",INDEX(TRANSACTIONS_MASTER!$B$5:$B$1204,$Q147))</f>
        <v/>
      </c>
      <c r="C147" s="55" t="str">
        <f>IF($Q147="","",INDEX(TRANSACTIONS_MASTER!$F$5:$F$1204,$Q147))</f>
        <v/>
      </c>
      <c r="D147" s="55" t="str">
        <f>IF($Q147="","",INDEX(TRANSACTIONS_MASTER!$E$5:$E$1204,$Q147))</f>
        <v/>
      </c>
      <c r="E147" s="55" t="str">
        <f>IF($Q147="","",INDEX(TRANSACTIONS_MASTER!$G$5:$G$1204,$Q147)&amp;"")</f>
        <v/>
      </c>
      <c r="F147" s="29" t="str">
        <f>IF($Q147="","",INDEX(TRANSACTIONS_MASTER!$I$5:$I$1204,$Q147))</f>
        <v/>
      </c>
      <c r="G147" s="55" t="str">
        <f>IF($Q147="","",INDEX(TRANSACTIONS_MASTER!$K$5:$K$1204,$Q147))</f>
        <v/>
      </c>
      <c r="H147" s="25" t="str">
        <f>IF($Q147="","",INDEX(TRANSACTIONS_MASTER!$L$5:$L$1204,$Q147))</f>
        <v/>
      </c>
      <c r="I147" s="56" t="str">
        <f>IF($Q147="","",INDEX(TRANSACTIONS_MASTER!$N$5:$N$1204,$Q147))</f>
        <v/>
      </c>
      <c r="J147" s="25" t="str">
        <f>IF($Q147="","",INDEX(TRANSACTIONS_MASTER!$O$5:$O$1204,$Q147))</f>
        <v/>
      </c>
      <c r="K147" s="26" t="str">
        <f>IF($Q147="","",INDEX(TRANSACTIONS_MASTER!$Q$5:$Q$1204,$Q147))</f>
        <v/>
      </c>
      <c r="L147" s="25" t="str">
        <f>IF($Q147="","",INDEX(TRANSACTIONS_MASTER!$P$5:$P$1204,$Q147))</f>
        <v/>
      </c>
      <c r="M147" s="25" t="str">
        <f>IF($Q147="","",INDEX(TRANSACTIONS_MASTER!$AA$5:$AA$1204,$Q147))</f>
        <v/>
      </c>
      <c r="N147" s="25" t="str">
        <f>IF($Q147="","",INDEX(TRANSACTIONS_MASTER!$R$5:$R$1204,$Q147))</f>
        <v/>
      </c>
      <c r="O147" s="28" t="str">
        <f>IF($Q147="","",INDEX(TRANSACTIONS_MASTER!$AB$5:$AB$1204,$Q147))</f>
        <v/>
      </c>
      <c r="P147" s="55" t="str">
        <f>IF($Q147="","",INDEX(TRANSACTIONS_MASTER!$Z$5:$Z$1204,$Q147)&amp;"")</f>
        <v/>
      </c>
      <c r="Q147" s="67" t="str">
        <f>IFERROR(MATCH($C$2&amp;"|"&amp;140,TRANSACTIONS_MASTER!$AE$5:$AE$1204,0),"")</f>
        <v/>
      </c>
      <c r="S147" s="67" t="str">
        <f>IFERROR(MATCH(1,INDEX((TRANSACTIONS_MASTER!$C$5:$C$1204=$C$2)*(TRANSACTIONS_MASTER!$AJ$5:$AJ$1204=10),0),0),"")</f>
        <v/>
      </c>
      <c r="T147" s="29" t="str">
        <f>IF($S147="","",INDEX(TRANSACTIONS_MASTER!$I$5:$I$1204,$S147))</f>
        <v/>
      </c>
      <c r="U147" s="55" t="str">
        <f>IF($S147="","",INDEX(TRANSACTIONS_MASTER!$J$5:$J$1204,$S147))</f>
        <v/>
      </c>
      <c r="V147" s="25" t="str">
        <f>IF($S147="","",SUMIFS(TRANSACTIONS_MASTER!$L$5:$L$1204,TRANSACTIONS_MASTER!$I$5:$I$1204,$T147,TRANSACTIONS_MASTER!$C$5:$C$1204,$C$2,TRANSACTIONS_MASTER!$U$5:$U$1204,"&lt;&gt;Cancelled"))</f>
        <v/>
      </c>
      <c r="W147" s="26" t="str">
        <f>IF($S147="","",SUMIFS(TRANSACTIONS_MASTER!$Q$5:$Q$1204,TRANSACTIONS_MASTER!$I$5:$I$1204,$T147,TRANSACTIONS_MASTER!$C$5:$C$1204,$C$2))</f>
        <v/>
      </c>
    </row>
    <row r="148">
      <c r="A148" s="81" t="str">
        <f>IF($Q148="","",141)</f>
        <v/>
      </c>
      <c r="B148" s="57" t="str">
        <f>IF($Q148="","",INDEX(TRANSACTIONS_MASTER!$B$5:$B$1204,$Q148))</f>
        <v/>
      </c>
      <c r="C148" s="55" t="str">
        <f>IF($Q148="","",INDEX(TRANSACTIONS_MASTER!$F$5:$F$1204,$Q148))</f>
        <v/>
      </c>
      <c r="D148" s="55" t="str">
        <f>IF($Q148="","",INDEX(TRANSACTIONS_MASTER!$E$5:$E$1204,$Q148))</f>
        <v/>
      </c>
      <c r="E148" s="55" t="str">
        <f>IF($Q148="","",INDEX(TRANSACTIONS_MASTER!$G$5:$G$1204,$Q148)&amp;"")</f>
        <v/>
      </c>
      <c r="F148" s="29" t="str">
        <f>IF($Q148="","",INDEX(TRANSACTIONS_MASTER!$I$5:$I$1204,$Q148))</f>
        <v/>
      </c>
      <c r="G148" s="55" t="str">
        <f>IF($Q148="","",INDEX(TRANSACTIONS_MASTER!$K$5:$K$1204,$Q148))</f>
        <v/>
      </c>
      <c r="H148" s="25" t="str">
        <f>IF($Q148="","",INDEX(TRANSACTIONS_MASTER!$L$5:$L$1204,$Q148))</f>
        <v/>
      </c>
      <c r="I148" s="56" t="str">
        <f>IF($Q148="","",INDEX(TRANSACTIONS_MASTER!$N$5:$N$1204,$Q148))</f>
        <v/>
      </c>
      <c r="J148" s="25" t="str">
        <f>IF($Q148="","",INDEX(TRANSACTIONS_MASTER!$O$5:$O$1204,$Q148))</f>
        <v/>
      </c>
      <c r="K148" s="26" t="str">
        <f>IF($Q148="","",INDEX(TRANSACTIONS_MASTER!$Q$5:$Q$1204,$Q148))</f>
        <v/>
      </c>
      <c r="L148" s="25" t="str">
        <f>IF($Q148="","",INDEX(TRANSACTIONS_MASTER!$P$5:$P$1204,$Q148))</f>
        <v/>
      </c>
      <c r="M148" s="25" t="str">
        <f>IF($Q148="","",INDEX(TRANSACTIONS_MASTER!$AA$5:$AA$1204,$Q148))</f>
        <v/>
      </c>
      <c r="N148" s="25" t="str">
        <f>IF($Q148="","",INDEX(TRANSACTIONS_MASTER!$R$5:$R$1204,$Q148))</f>
        <v/>
      </c>
      <c r="O148" s="28" t="str">
        <f>IF($Q148="","",INDEX(TRANSACTIONS_MASTER!$AB$5:$AB$1204,$Q148))</f>
        <v/>
      </c>
      <c r="P148" s="55" t="str">
        <f>IF($Q148="","",INDEX(TRANSACTIONS_MASTER!$Z$5:$Z$1204,$Q148)&amp;"")</f>
        <v/>
      </c>
      <c r="Q148" s="67" t="str">
        <f>IFERROR(MATCH($C$2&amp;"|"&amp;141,TRANSACTIONS_MASTER!$AE$5:$AE$1204,0),"")</f>
        <v/>
      </c>
      <c r="S148" s="67" t="str">
        <f>IFERROR(MATCH(1,INDEX((TRANSACTIONS_MASTER!$C$5:$C$1204=$C$2)*(TRANSACTIONS_MASTER!$AJ$5:$AJ$1204=11),0),0),"")</f>
        <v/>
      </c>
      <c r="T148" s="29" t="str">
        <f>IF($S148="","",INDEX(TRANSACTIONS_MASTER!$I$5:$I$1204,$S148))</f>
        <v/>
      </c>
      <c r="U148" s="55" t="str">
        <f>IF($S148="","",INDEX(TRANSACTIONS_MASTER!$J$5:$J$1204,$S148))</f>
        <v/>
      </c>
      <c r="V148" s="25" t="str">
        <f>IF($S148="","",SUMIFS(TRANSACTIONS_MASTER!$L$5:$L$1204,TRANSACTIONS_MASTER!$I$5:$I$1204,$T148,TRANSACTIONS_MASTER!$C$5:$C$1204,$C$2,TRANSACTIONS_MASTER!$U$5:$U$1204,"&lt;&gt;Cancelled"))</f>
        <v/>
      </c>
      <c r="W148" s="26" t="str">
        <f>IF($S148="","",SUMIFS(TRANSACTIONS_MASTER!$Q$5:$Q$1204,TRANSACTIONS_MASTER!$I$5:$I$1204,$T148,TRANSACTIONS_MASTER!$C$5:$C$1204,$C$2))</f>
        <v/>
      </c>
    </row>
    <row r="149">
      <c r="A149" s="81" t="str">
        <f>IF($Q149="","",142)</f>
        <v/>
      </c>
      <c r="B149" s="57" t="str">
        <f>IF($Q149="","",INDEX(TRANSACTIONS_MASTER!$B$5:$B$1204,$Q149))</f>
        <v/>
      </c>
      <c r="C149" s="55" t="str">
        <f>IF($Q149="","",INDEX(TRANSACTIONS_MASTER!$F$5:$F$1204,$Q149))</f>
        <v/>
      </c>
      <c r="D149" s="55" t="str">
        <f>IF($Q149="","",INDEX(TRANSACTIONS_MASTER!$E$5:$E$1204,$Q149))</f>
        <v/>
      </c>
      <c r="E149" s="55" t="str">
        <f>IF($Q149="","",INDEX(TRANSACTIONS_MASTER!$G$5:$G$1204,$Q149)&amp;"")</f>
        <v/>
      </c>
      <c r="F149" s="29" t="str">
        <f>IF($Q149="","",INDEX(TRANSACTIONS_MASTER!$I$5:$I$1204,$Q149))</f>
        <v/>
      </c>
      <c r="G149" s="55" t="str">
        <f>IF($Q149="","",INDEX(TRANSACTIONS_MASTER!$K$5:$K$1204,$Q149))</f>
        <v/>
      </c>
      <c r="H149" s="25" t="str">
        <f>IF($Q149="","",INDEX(TRANSACTIONS_MASTER!$L$5:$L$1204,$Q149))</f>
        <v/>
      </c>
      <c r="I149" s="56" t="str">
        <f>IF($Q149="","",INDEX(TRANSACTIONS_MASTER!$N$5:$N$1204,$Q149))</f>
        <v/>
      </c>
      <c r="J149" s="25" t="str">
        <f>IF($Q149="","",INDEX(TRANSACTIONS_MASTER!$O$5:$O$1204,$Q149))</f>
        <v/>
      </c>
      <c r="K149" s="26" t="str">
        <f>IF($Q149="","",INDEX(TRANSACTIONS_MASTER!$Q$5:$Q$1204,$Q149))</f>
        <v/>
      </c>
      <c r="L149" s="25" t="str">
        <f>IF($Q149="","",INDEX(TRANSACTIONS_MASTER!$P$5:$P$1204,$Q149))</f>
        <v/>
      </c>
      <c r="M149" s="25" t="str">
        <f>IF($Q149="","",INDEX(TRANSACTIONS_MASTER!$AA$5:$AA$1204,$Q149))</f>
        <v/>
      </c>
      <c r="N149" s="25" t="str">
        <f>IF($Q149="","",INDEX(TRANSACTIONS_MASTER!$R$5:$R$1204,$Q149))</f>
        <v/>
      </c>
      <c r="O149" s="28" t="str">
        <f>IF($Q149="","",INDEX(TRANSACTIONS_MASTER!$AB$5:$AB$1204,$Q149))</f>
        <v/>
      </c>
      <c r="P149" s="55" t="str">
        <f>IF($Q149="","",INDEX(TRANSACTIONS_MASTER!$Z$5:$Z$1204,$Q149)&amp;"")</f>
        <v/>
      </c>
      <c r="Q149" s="67" t="str">
        <f>IFERROR(MATCH($C$2&amp;"|"&amp;142,TRANSACTIONS_MASTER!$AE$5:$AE$1204,0),"")</f>
        <v/>
      </c>
      <c r="S149" s="67" t="str">
        <f>IFERROR(MATCH(1,INDEX((TRANSACTIONS_MASTER!$C$5:$C$1204=$C$2)*(TRANSACTIONS_MASTER!$AJ$5:$AJ$1204=12),0),0),"")</f>
        <v/>
      </c>
      <c r="T149" s="29" t="str">
        <f>IF($S149="","",INDEX(TRANSACTIONS_MASTER!$I$5:$I$1204,$S149))</f>
        <v/>
      </c>
      <c r="U149" s="55" t="str">
        <f>IF($S149="","",INDEX(TRANSACTIONS_MASTER!$J$5:$J$1204,$S149))</f>
        <v/>
      </c>
      <c r="V149" s="25" t="str">
        <f>IF($S149="","",SUMIFS(TRANSACTIONS_MASTER!$L$5:$L$1204,TRANSACTIONS_MASTER!$I$5:$I$1204,$T149,TRANSACTIONS_MASTER!$C$5:$C$1204,$C$2,TRANSACTIONS_MASTER!$U$5:$U$1204,"&lt;&gt;Cancelled"))</f>
        <v/>
      </c>
      <c r="W149" s="26" t="str">
        <f>IF($S149="","",SUMIFS(TRANSACTIONS_MASTER!$Q$5:$Q$1204,TRANSACTIONS_MASTER!$I$5:$I$1204,$T149,TRANSACTIONS_MASTER!$C$5:$C$1204,$C$2))</f>
        <v/>
      </c>
    </row>
    <row r="150">
      <c r="A150" s="81" t="str">
        <f>IF($Q150="","",143)</f>
        <v/>
      </c>
      <c r="B150" s="57" t="str">
        <f>IF($Q150="","",INDEX(TRANSACTIONS_MASTER!$B$5:$B$1204,$Q150))</f>
        <v/>
      </c>
      <c r="C150" s="55" t="str">
        <f>IF($Q150="","",INDEX(TRANSACTIONS_MASTER!$F$5:$F$1204,$Q150))</f>
        <v/>
      </c>
      <c r="D150" s="55" t="str">
        <f>IF($Q150="","",INDEX(TRANSACTIONS_MASTER!$E$5:$E$1204,$Q150))</f>
        <v/>
      </c>
      <c r="E150" s="55" t="str">
        <f>IF($Q150="","",INDEX(TRANSACTIONS_MASTER!$G$5:$G$1204,$Q150)&amp;"")</f>
        <v/>
      </c>
      <c r="F150" s="29" t="str">
        <f>IF($Q150="","",INDEX(TRANSACTIONS_MASTER!$I$5:$I$1204,$Q150))</f>
        <v/>
      </c>
      <c r="G150" s="55" t="str">
        <f>IF($Q150="","",INDEX(TRANSACTIONS_MASTER!$K$5:$K$1204,$Q150))</f>
        <v/>
      </c>
      <c r="H150" s="25" t="str">
        <f>IF($Q150="","",INDEX(TRANSACTIONS_MASTER!$L$5:$L$1204,$Q150))</f>
        <v/>
      </c>
      <c r="I150" s="56" t="str">
        <f>IF($Q150="","",INDEX(TRANSACTIONS_MASTER!$N$5:$N$1204,$Q150))</f>
        <v/>
      </c>
      <c r="J150" s="25" t="str">
        <f>IF($Q150="","",INDEX(TRANSACTIONS_MASTER!$O$5:$O$1204,$Q150))</f>
        <v/>
      </c>
      <c r="K150" s="26" t="str">
        <f>IF($Q150="","",INDEX(TRANSACTIONS_MASTER!$Q$5:$Q$1204,$Q150))</f>
        <v/>
      </c>
      <c r="L150" s="25" t="str">
        <f>IF($Q150="","",INDEX(TRANSACTIONS_MASTER!$P$5:$P$1204,$Q150))</f>
        <v/>
      </c>
      <c r="M150" s="25" t="str">
        <f>IF($Q150="","",INDEX(TRANSACTIONS_MASTER!$AA$5:$AA$1204,$Q150))</f>
        <v/>
      </c>
      <c r="N150" s="25" t="str">
        <f>IF($Q150="","",INDEX(TRANSACTIONS_MASTER!$R$5:$R$1204,$Q150))</f>
        <v/>
      </c>
      <c r="O150" s="28" t="str">
        <f>IF($Q150="","",INDEX(TRANSACTIONS_MASTER!$AB$5:$AB$1204,$Q150))</f>
        <v/>
      </c>
      <c r="P150" s="55" t="str">
        <f>IF($Q150="","",INDEX(TRANSACTIONS_MASTER!$Z$5:$Z$1204,$Q150)&amp;"")</f>
        <v/>
      </c>
      <c r="Q150" s="67" t="str">
        <f>IFERROR(MATCH($C$2&amp;"|"&amp;143,TRANSACTIONS_MASTER!$AE$5:$AE$1204,0),"")</f>
        <v/>
      </c>
      <c r="S150" s="67" t="str">
        <f>IFERROR(MATCH(1,INDEX((TRANSACTIONS_MASTER!$C$5:$C$1204=$C$2)*(TRANSACTIONS_MASTER!$AJ$5:$AJ$1204=13),0),0),"")</f>
        <v/>
      </c>
      <c r="T150" s="29" t="str">
        <f>IF($S150="","",INDEX(TRANSACTIONS_MASTER!$I$5:$I$1204,$S150))</f>
        <v/>
      </c>
      <c r="U150" s="55" t="str">
        <f>IF($S150="","",INDEX(TRANSACTIONS_MASTER!$J$5:$J$1204,$S150))</f>
        <v/>
      </c>
      <c r="V150" s="25" t="str">
        <f>IF($S150="","",SUMIFS(TRANSACTIONS_MASTER!$L$5:$L$1204,TRANSACTIONS_MASTER!$I$5:$I$1204,$T150,TRANSACTIONS_MASTER!$C$5:$C$1204,$C$2,TRANSACTIONS_MASTER!$U$5:$U$1204,"&lt;&gt;Cancelled"))</f>
        <v/>
      </c>
      <c r="W150" s="26" t="str">
        <f>IF($S150="","",SUMIFS(TRANSACTIONS_MASTER!$Q$5:$Q$1204,TRANSACTIONS_MASTER!$I$5:$I$1204,$T150,TRANSACTIONS_MASTER!$C$5:$C$1204,$C$2))</f>
        <v/>
      </c>
    </row>
    <row r="151">
      <c r="A151" s="81" t="str">
        <f>IF($Q151="","",144)</f>
        <v/>
      </c>
      <c r="B151" s="57" t="str">
        <f>IF($Q151="","",INDEX(TRANSACTIONS_MASTER!$B$5:$B$1204,$Q151))</f>
        <v/>
      </c>
      <c r="C151" s="55" t="str">
        <f>IF($Q151="","",INDEX(TRANSACTIONS_MASTER!$F$5:$F$1204,$Q151))</f>
        <v/>
      </c>
      <c r="D151" s="55" t="str">
        <f>IF($Q151="","",INDEX(TRANSACTIONS_MASTER!$E$5:$E$1204,$Q151))</f>
        <v/>
      </c>
      <c r="E151" s="55" t="str">
        <f>IF($Q151="","",INDEX(TRANSACTIONS_MASTER!$G$5:$G$1204,$Q151)&amp;"")</f>
        <v/>
      </c>
      <c r="F151" s="29" t="str">
        <f>IF($Q151="","",INDEX(TRANSACTIONS_MASTER!$I$5:$I$1204,$Q151))</f>
        <v/>
      </c>
      <c r="G151" s="55" t="str">
        <f>IF($Q151="","",INDEX(TRANSACTIONS_MASTER!$K$5:$K$1204,$Q151))</f>
        <v/>
      </c>
      <c r="H151" s="25" t="str">
        <f>IF($Q151="","",INDEX(TRANSACTIONS_MASTER!$L$5:$L$1204,$Q151))</f>
        <v/>
      </c>
      <c r="I151" s="56" t="str">
        <f>IF($Q151="","",INDEX(TRANSACTIONS_MASTER!$N$5:$N$1204,$Q151))</f>
        <v/>
      </c>
      <c r="J151" s="25" t="str">
        <f>IF($Q151="","",INDEX(TRANSACTIONS_MASTER!$O$5:$O$1204,$Q151))</f>
        <v/>
      </c>
      <c r="K151" s="26" t="str">
        <f>IF($Q151="","",INDEX(TRANSACTIONS_MASTER!$Q$5:$Q$1204,$Q151))</f>
        <v/>
      </c>
      <c r="L151" s="25" t="str">
        <f>IF($Q151="","",INDEX(TRANSACTIONS_MASTER!$P$5:$P$1204,$Q151))</f>
        <v/>
      </c>
      <c r="M151" s="25" t="str">
        <f>IF($Q151="","",INDEX(TRANSACTIONS_MASTER!$AA$5:$AA$1204,$Q151))</f>
        <v/>
      </c>
      <c r="N151" s="25" t="str">
        <f>IF($Q151="","",INDEX(TRANSACTIONS_MASTER!$R$5:$R$1204,$Q151))</f>
        <v/>
      </c>
      <c r="O151" s="28" t="str">
        <f>IF($Q151="","",INDEX(TRANSACTIONS_MASTER!$AB$5:$AB$1204,$Q151))</f>
        <v/>
      </c>
      <c r="P151" s="55" t="str">
        <f>IF($Q151="","",INDEX(TRANSACTIONS_MASTER!$Z$5:$Z$1204,$Q151)&amp;"")</f>
        <v/>
      </c>
      <c r="Q151" s="67" t="str">
        <f>IFERROR(MATCH($C$2&amp;"|"&amp;144,TRANSACTIONS_MASTER!$AE$5:$AE$1204,0),"")</f>
        <v/>
      </c>
      <c r="S151" s="67" t="str">
        <f>IFERROR(MATCH(1,INDEX((TRANSACTIONS_MASTER!$C$5:$C$1204=$C$2)*(TRANSACTIONS_MASTER!$AJ$5:$AJ$1204=14),0),0),"")</f>
        <v/>
      </c>
      <c r="T151" s="29" t="str">
        <f>IF($S151="","",INDEX(TRANSACTIONS_MASTER!$I$5:$I$1204,$S151))</f>
        <v/>
      </c>
      <c r="U151" s="55" t="str">
        <f>IF($S151="","",INDEX(TRANSACTIONS_MASTER!$J$5:$J$1204,$S151))</f>
        <v/>
      </c>
      <c r="V151" s="25" t="str">
        <f>IF($S151="","",SUMIFS(TRANSACTIONS_MASTER!$L$5:$L$1204,TRANSACTIONS_MASTER!$I$5:$I$1204,$T151,TRANSACTIONS_MASTER!$C$5:$C$1204,$C$2,TRANSACTIONS_MASTER!$U$5:$U$1204,"&lt;&gt;Cancelled"))</f>
        <v/>
      </c>
      <c r="W151" s="26" t="str">
        <f>IF($S151="","",SUMIFS(TRANSACTIONS_MASTER!$Q$5:$Q$1204,TRANSACTIONS_MASTER!$I$5:$I$1204,$T151,TRANSACTIONS_MASTER!$C$5:$C$1204,$C$2))</f>
        <v/>
      </c>
    </row>
    <row r="152">
      <c r="A152" s="81" t="str">
        <f>IF($Q152="","",145)</f>
        <v/>
      </c>
      <c r="B152" s="57" t="str">
        <f>IF($Q152="","",INDEX(TRANSACTIONS_MASTER!$B$5:$B$1204,$Q152))</f>
        <v/>
      </c>
      <c r="C152" s="55" t="str">
        <f>IF($Q152="","",INDEX(TRANSACTIONS_MASTER!$F$5:$F$1204,$Q152))</f>
        <v/>
      </c>
      <c r="D152" s="55" t="str">
        <f>IF($Q152="","",INDEX(TRANSACTIONS_MASTER!$E$5:$E$1204,$Q152))</f>
        <v/>
      </c>
      <c r="E152" s="55" t="str">
        <f>IF($Q152="","",INDEX(TRANSACTIONS_MASTER!$G$5:$G$1204,$Q152)&amp;"")</f>
        <v/>
      </c>
      <c r="F152" s="29" t="str">
        <f>IF($Q152="","",INDEX(TRANSACTIONS_MASTER!$I$5:$I$1204,$Q152))</f>
        <v/>
      </c>
      <c r="G152" s="55" t="str">
        <f>IF($Q152="","",INDEX(TRANSACTIONS_MASTER!$K$5:$K$1204,$Q152))</f>
        <v/>
      </c>
      <c r="H152" s="25" t="str">
        <f>IF($Q152="","",INDEX(TRANSACTIONS_MASTER!$L$5:$L$1204,$Q152))</f>
        <v/>
      </c>
      <c r="I152" s="56" t="str">
        <f>IF($Q152="","",INDEX(TRANSACTIONS_MASTER!$N$5:$N$1204,$Q152))</f>
        <v/>
      </c>
      <c r="J152" s="25" t="str">
        <f>IF($Q152="","",INDEX(TRANSACTIONS_MASTER!$O$5:$O$1204,$Q152))</f>
        <v/>
      </c>
      <c r="K152" s="26" t="str">
        <f>IF($Q152="","",INDEX(TRANSACTIONS_MASTER!$Q$5:$Q$1204,$Q152))</f>
        <v/>
      </c>
      <c r="L152" s="25" t="str">
        <f>IF($Q152="","",INDEX(TRANSACTIONS_MASTER!$P$5:$P$1204,$Q152))</f>
        <v/>
      </c>
      <c r="M152" s="25" t="str">
        <f>IF($Q152="","",INDEX(TRANSACTIONS_MASTER!$AA$5:$AA$1204,$Q152))</f>
        <v/>
      </c>
      <c r="N152" s="25" t="str">
        <f>IF($Q152="","",INDEX(TRANSACTIONS_MASTER!$R$5:$R$1204,$Q152))</f>
        <v/>
      </c>
      <c r="O152" s="28" t="str">
        <f>IF($Q152="","",INDEX(TRANSACTIONS_MASTER!$AB$5:$AB$1204,$Q152))</f>
        <v/>
      </c>
      <c r="P152" s="55" t="str">
        <f>IF($Q152="","",INDEX(TRANSACTIONS_MASTER!$Z$5:$Z$1204,$Q152)&amp;"")</f>
        <v/>
      </c>
      <c r="Q152" s="67" t="str">
        <f>IFERROR(MATCH($C$2&amp;"|"&amp;145,TRANSACTIONS_MASTER!$AE$5:$AE$1204,0),"")</f>
        <v/>
      </c>
      <c r="S152" s="67" t="str">
        <f>IFERROR(MATCH(1,INDEX((TRANSACTIONS_MASTER!$C$5:$C$1204=$C$2)*(TRANSACTIONS_MASTER!$AJ$5:$AJ$1204=15),0),0),"")</f>
        <v/>
      </c>
      <c r="T152" s="29" t="str">
        <f>IF($S152="","",INDEX(TRANSACTIONS_MASTER!$I$5:$I$1204,$S152))</f>
        <v/>
      </c>
      <c r="U152" s="55" t="str">
        <f>IF($S152="","",INDEX(TRANSACTIONS_MASTER!$J$5:$J$1204,$S152))</f>
        <v/>
      </c>
      <c r="V152" s="25" t="str">
        <f>IF($S152="","",SUMIFS(TRANSACTIONS_MASTER!$L$5:$L$1204,TRANSACTIONS_MASTER!$I$5:$I$1204,$T152,TRANSACTIONS_MASTER!$C$5:$C$1204,$C$2,TRANSACTIONS_MASTER!$U$5:$U$1204,"&lt;&gt;Cancelled"))</f>
        <v/>
      </c>
      <c r="W152" s="26" t="str">
        <f>IF($S152="","",SUMIFS(TRANSACTIONS_MASTER!$Q$5:$Q$1204,TRANSACTIONS_MASTER!$I$5:$I$1204,$T152,TRANSACTIONS_MASTER!$C$5:$C$1204,$C$2))</f>
        <v/>
      </c>
    </row>
    <row r="153">
      <c r="A153" s="81" t="str">
        <f>IF($Q153="","",146)</f>
        <v/>
      </c>
      <c r="B153" s="57" t="str">
        <f>IF($Q153="","",INDEX(TRANSACTIONS_MASTER!$B$5:$B$1204,$Q153))</f>
        <v/>
      </c>
      <c r="C153" s="55" t="str">
        <f>IF($Q153="","",INDEX(TRANSACTIONS_MASTER!$F$5:$F$1204,$Q153))</f>
        <v/>
      </c>
      <c r="D153" s="55" t="str">
        <f>IF($Q153="","",INDEX(TRANSACTIONS_MASTER!$E$5:$E$1204,$Q153))</f>
        <v/>
      </c>
      <c r="E153" s="55" t="str">
        <f>IF($Q153="","",INDEX(TRANSACTIONS_MASTER!$G$5:$G$1204,$Q153)&amp;"")</f>
        <v/>
      </c>
      <c r="F153" s="29" t="str">
        <f>IF($Q153="","",INDEX(TRANSACTIONS_MASTER!$I$5:$I$1204,$Q153))</f>
        <v/>
      </c>
      <c r="G153" s="55" t="str">
        <f>IF($Q153="","",INDEX(TRANSACTIONS_MASTER!$K$5:$K$1204,$Q153))</f>
        <v/>
      </c>
      <c r="H153" s="25" t="str">
        <f>IF($Q153="","",INDEX(TRANSACTIONS_MASTER!$L$5:$L$1204,$Q153))</f>
        <v/>
      </c>
      <c r="I153" s="56" t="str">
        <f>IF($Q153="","",INDEX(TRANSACTIONS_MASTER!$N$5:$N$1204,$Q153))</f>
        <v/>
      </c>
      <c r="J153" s="25" t="str">
        <f>IF($Q153="","",INDEX(TRANSACTIONS_MASTER!$O$5:$O$1204,$Q153))</f>
        <v/>
      </c>
      <c r="K153" s="26" t="str">
        <f>IF($Q153="","",INDEX(TRANSACTIONS_MASTER!$Q$5:$Q$1204,$Q153))</f>
        <v/>
      </c>
      <c r="L153" s="25" t="str">
        <f>IF($Q153="","",INDEX(TRANSACTIONS_MASTER!$P$5:$P$1204,$Q153))</f>
        <v/>
      </c>
      <c r="M153" s="25" t="str">
        <f>IF($Q153="","",INDEX(TRANSACTIONS_MASTER!$AA$5:$AA$1204,$Q153))</f>
        <v/>
      </c>
      <c r="N153" s="25" t="str">
        <f>IF($Q153="","",INDEX(TRANSACTIONS_MASTER!$R$5:$R$1204,$Q153))</f>
        <v/>
      </c>
      <c r="O153" s="28" t="str">
        <f>IF($Q153="","",INDEX(TRANSACTIONS_MASTER!$AB$5:$AB$1204,$Q153))</f>
        <v/>
      </c>
      <c r="P153" s="55" t="str">
        <f>IF($Q153="","",INDEX(TRANSACTIONS_MASTER!$Z$5:$Z$1204,$Q153)&amp;"")</f>
        <v/>
      </c>
      <c r="Q153" s="67" t="str">
        <f>IFERROR(MATCH($C$2&amp;"|"&amp;146,TRANSACTIONS_MASTER!$AE$5:$AE$1204,0),"")</f>
        <v/>
      </c>
      <c r="T153" s="45" t="n"/>
      <c r="U153" s="82" t="inlineStr">
        <is>
          <t>Khác (ngoài danh sách)</t>
        </is>
      </c>
      <c r="V153" s="48">
        <f>MAX(0,SUMIFS(TRANSACTIONS_MASTER!$L$5:$L$1204,TRANSACTIONS_MASTER!$C$5:$C$1204,$C$2,TRANSACTIONS_MASTER!$U$5:$U$1204,"&lt;&gt;Cancelled")-SUM(V138:V152))</f>
        <v>0</v>
      </c>
      <c r="W153" s="48">
        <f>MAX(0,SUMIFS(TRANSACTIONS_MASTER!$Q$5:$Q$1204,TRANSACTIONS_MASTER!$C$5:$C$1204,$C$2)-SUM(W138:W152))</f>
        <v>0</v>
      </c>
    </row>
    <row r="154">
      <c r="A154" s="81" t="str">
        <f>IF($Q154="","",147)</f>
        <v/>
      </c>
      <c r="B154" s="57" t="str">
        <f>IF($Q154="","",INDEX(TRANSACTIONS_MASTER!$B$5:$B$1204,$Q154))</f>
        <v/>
      </c>
      <c r="C154" s="55" t="str">
        <f>IF($Q154="","",INDEX(TRANSACTIONS_MASTER!$F$5:$F$1204,$Q154))</f>
        <v/>
      </c>
      <c r="D154" s="55" t="str">
        <f>IF($Q154="","",INDEX(TRANSACTIONS_MASTER!$E$5:$E$1204,$Q154))</f>
        <v/>
      </c>
      <c r="E154" s="55" t="str">
        <f>IF($Q154="","",INDEX(TRANSACTIONS_MASTER!$G$5:$G$1204,$Q154)&amp;"")</f>
        <v/>
      </c>
      <c r="F154" s="29" t="str">
        <f>IF($Q154="","",INDEX(TRANSACTIONS_MASTER!$I$5:$I$1204,$Q154))</f>
        <v/>
      </c>
      <c r="G154" s="55" t="str">
        <f>IF($Q154="","",INDEX(TRANSACTIONS_MASTER!$K$5:$K$1204,$Q154))</f>
        <v/>
      </c>
      <c r="H154" s="25" t="str">
        <f>IF($Q154="","",INDEX(TRANSACTIONS_MASTER!$L$5:$L$1204,$Q154))</f>
        <v/>
      </c>
      <c r="I154" s="56" t="str">
        <f>IF($Q154="","",INDEX(TRANSACTIONS_MASTER!$N$5:$N$1204,$Q154))</f>
        <v/>
      </c>
      <c r="J154" s="25" t="str">
        <f>IF($Q154="","",INDEX(TRANSACTIONS_MASTER!$O$5:$O$1204,$Q154))</f>
        <v/>
      </c>
      <c r="K154" s="26" t="str">
        <f>IF($Q154="","",INDEX(TRANSACTIONS_MASTER!$Q$5:$Q$1204,$Q154))</f>
        <v/>
      </c>
      <c r="L154" s="25" t="str">
        <f>IF($Q154="","",INDEX(TRANSACTIONS_MASTER!$P$5:$P$1204,$Q154))</f>
        <v/>
      </c>
      <c r="M154" s="25" t="str">
        <f>IF($Q154="","",INDEX(TRANSACTIONS_MASTER!$AA$5:$AA$1204,$Q154))</f>
        <v/>
      </c>
      <c r="N154" s="25" t="str">
        <f>IF($Q154="","",INDEX(TRANSACTIONS_MASTER!$R$5:$R$1204,$Q154))</f>
        <v/>
      </c>
      <c r="O154" s="28" t="str">
        <f>IF($Q154="","",INDEX(TRANSACTIONS_MASTER!$AB$5:$AB$1204,$Q154))</f>
        <v/>
      </c>
      <c r="P154" s="55" t="str">
        <f>IF($Q154="","",INDEX(TRANSACTIONS_MASTER!$Z$5:$Z$1204,$Q154)&amp;"")</f>
        <v/>
      </c>
      <c r="Q154" s="67" t="str">
        <f>IFERROR(MATCH($C$2&amp;"|"&amp;147,TRANSACTIONS_MASTER!$AE$5:$AE$1204,0),"")</f>
        <v/>
      </c>
      <c r="T154" s="68" t="n"/>
      <c r="U154" s="69" t="inlineStr">
        <is>
          <t>TỔNG</t>
        </is>
      </c>
      <c r="V154" s="31">
        <f>SUM(V138:V153)</f>
        <v>0</v>
      </c>
      <c r="W154" s="31">
        <f>SUM(W138:W153)</f>
        <v>0</v>
      </c>
    </row>
    <row r="155">
      <c r="A155" s="81" t="str">
        <f>IF($Q155="","",148)</f>
        <v/>
      </c>
      <c r="B155" s="57" t="str">
        <f>IF($Q155="","",INDEX(TRANSACTIONS_MASTER!$B$5:$B$1204,$Q155))</f>
        <v/>
      </c>
      <c r="C155" s="55" t="str">
        <f>IF($Q155="","",INDEX(TRANSACTIONS_MASTER!$F$5:$F$1204,$Q155))</f>
        <v/>
      </c>
      <c r="D155" s="55" t="str">
        <f>IF($Q155="","",INDEX(TRANSACTIONS_MASTER!$E$5:$E$1204,$Q155))</f>
        <v/>
      </c>
      <c r="E155" s="55" t="str">
        <f>IF($Q155="","",INDEX(TRANSACTIONS_MASTER!$G$5:$G$1204,$Q155)&amp;"")</f>
        <v/>
      </c>
      <c r="F155" s="29" t="str">
        <f>IF($Q155="","",INDEX(TRANSACTIONS_MASTER!$I$5:$I$1204,$Q155))</f>
        <v/>
      </c>
      <c r="G155" s="55" t="str">
        <f>IF($Q155="","",INDEX(TRANSACTIONS_MASTER!$K$5:$K$1204,$Q155))</f>
        <v/>
      </c>
      <c r="H155" s="25" t="str">
        <f>IF($Q155="","",INDEX(TRANSACTIONS_MASTER!$L$5:$L$1204,$Q155))</f>
        <v/>
      </c>
      <c r="I155" s="56" t="str">
        <f>IF($Q155="","",INDEX(TRANSACTIONS_MASTER!$N$5:$N$1204,$Q155))</f>
        <v/>
      </c>
      <c r="J155" s="25" t="str">
        <f>IF($Q155="","",INDEX(TRANSACTIONS_MASTER!$O$5:$O$1204,$Q155))</f>
        <v/>
      </c>
      <c r="K155" s="26" t="str">
        <f>IF($Q155="","",INDEX(TRANSACTIONS_MASTER!$Q$5:$Q$1204,$Q155))</f>
        <v/>
      </c>
      <c r="L155" s="25" t="str">
        <f>IF($Q155="","",INDEX(TRANSACTIONS_MASTER!$P$5:$P$1204,$Q155))</f>
        <v/>
      </c>
      <c r="M155" s="25" t="str">
        <f>IF($Q155="","",INDEX(TRANSACTIONS_MASTER!$AA$5:$AA$1204,$Q155))</f>
        <v/>
      </c>
      <c r="N155" s="25" t="str">
        <f>IF($Q155="","",INDEX(TRANSACTIONS_MASTER!$R$5:$R$1204,$Q155))</f>
        <v/>
      </c>
      <c r="O155" s="28" t="str">
        <f>IF($Q155="","",INDEX(TRANSACTIONS_MASTER!$AB$5:$AB$1204,$Q155))</f>
        <v/>
      </c>
      <c r="P155" s="55" t="str">
        <f>IF($Q155="","",INDEX(TRANSACTIONS_MASTER!$Z$5:$Z$1204,$Q155)&amp;"")</f>
        <v/>
      </c>
      <c r="Q155" s="67" t="str">
        <f>IFERROR(MATCH($C$2&amp;"|"&amp;148,TRANSACTIONS_MASTER!$AE$5:$AE$1204,0),"")</f>
        <v/>
      </c>
    </row>
    <row r="156">
      <c r="A156" s="81" t="str">
        <f>IF($Q156="","",149)</f>
        <v/>
      </c>
      <c r="B156" s="57" t="str">
        <f>IF($Q156="","",INDEX(TRANSACTIONS_MASTER!$B$5:$B$1204,$Q156))</f>
        <v/>
      </c>
      <c r="C156" s="55" t="str">
        <f>IF($Q156="","",INDEX(TRANSACTIONS_MASTER!$F$5:$F$1204,$Q156))</f>
        <v/>
      </c>
      <c r="D156" s="55" t="str">
        <f>IF($Q156="","",INDEX(TRANSACTIONS_MASTER!$E$5:$E$1204,$Q156))</f>
        <v/>
      </c>
      <c r="E156" s="55" t="str">
        <f>IF($Q156="","",INDEX(TRANSACTIONS_MASTER!$G$5:$G$1204,$Q156)&amp;"")</f>
        <v/>
      </c>
      <c r="F156" s="29" t="str">
        <f>IF($Q156="","",INDEX(TRANSACTIONS_MASTER!$I$5:$I$1204,$Q156))</f>
        <v/>
      </c>
      <c r="G156" s="55" t="str">
        <f>IF($Q156="","",INDEX(TRANSACTIONS_MASTER!$K$5:$K$1204,$Q156))</f>
        <v/>
      </c>
      <c r="H156" s="25" t="str">
        <f>IF($Q156="","",INDEX(TRANSACTIONS_MASTER!$L$5:$L$1204,$Q156))</f>
        <v/>
      </c>
      <c r="I156" s="56" t="str">
        <f>IF($Q156="","",INDEX(TRANSACTIONS_MASTER!$N$5:$N$1204,$Q156))</f>
        <v/>
      </c>
      <c r="J156" s="25" t="str">
        <f>IF($Q156="","",INDEX(TRANSACTIONS_MASTER!$O$5:$O$1204,$Q156))</f>
        <v/>
      </c>
      <c r="K156" s="26" t="str">
        <f>IF($Q156="","",INDEX(TRANSACTIONS_MASTER!$Q$5:$Q$1204,$Q156))</f>
        <v/>
      </c>
      <c r="L156" s="25" t="str">
        <f>IF($Q156="","",INDEX(TRANSACTIONS_MASTER!$P$5:$P$1204,$Q156))</f>
        <v/>
      </c>
      <c r="M156" s="25" t="str">
        <f>IF($Q156="","",INDEX(TRANSACTIONS_MASTER!$AA$5:$AA$1204,$Q156))</f>
        <v/>
      </c>
      <c r="N156" s="25" t="str">
        <f>IF($Q156="","",INDEX(TRANSACTIONS_MASTER!$R$5:$R$1204,$Q156))</f>
        <v/>
      </c>
      <c r="O156" s="28" t="str">
        <f>IF($Q156="","",INDEX(TRANSACTIONS_MASTER!$AB$5:$AB$1204,$Q156))</f>
        <v/>
      </c>
      <c r="P156" s="55" t="str">
        <f>IF($Q156="","",INDEX(TRANSACTIONS_MASTER!$Z$5:$Z$1204,$Q156)&amp;"")</f>
        <v/>
      </c>
      <c r="Q156" s="67" t="str">
        <f>IFERROR(MATCH($C$2&amp;"|"&amp;149,TRANSACTIONS_MASTER!$AE$5:$AE$1204,0),"")</f>
        <v/>
      </c>
    </row>
    <row r="157" ht="22" customHeight="1">
      <c r="A157" s="81" t="str">
        <f>IF($Q157="","",150)</f>
        <v/>
      </c>
      <c r="B157" s="57" t="str">
        <f>IF($Q157="","",INDEX(TRANSACTIONS_MASTER!$B$5:$B$1204,$Q157))</f>
        <v/>
      </c>
      <c r="C157" s="55" t="str">
        <f>IF($Q157="","",INDEX(TRANSACTIONS_MASTER!$F$5:$F$1204,$Q157))</f>
        <v/>
      </c>
      <c r="D157" s="55" t="str">
        <f>IF($Q157="","",INDEX(TRANSACTIONS_MASTER!$E$5:$E$1204,$Q157))</f>
        <v/>
      </c>
      <c r="E157" s="55" t="str">
        <f>IF($Q157="","",INDEX(TRANSACTIONS_MASTER!$G$5:$G$1204,$Q157)&amp;"")</f>
        <v/>
      </c>
      <c r="F157" s="29" t="str">
        <f>IF($Q157="","",INDEX(TRANSACTIONS_MASTER!$I$5:$I$1204,$Q157))</f>
        <v/>
      </c>
      <c r="G157" s="55" t="str">
        <f>IF($Q157="","",INDEX(TRANSACTIONS_MASTER!$K$5:$K$1204,$Q157))</f>
        <v/>
      </c>
      <c r="H157" s="25" t="str">
        <f>IF($Q157="","",INDEX(TRANSACTIONS_MASTER!$L$5:$L$1204,$Q157))</f>
        <v/>
      </c>
      <c r="I157" s="56" t="str">
        <f>IF($Q157="","",INDEX(TRANSACTIONS_MASTER!$N$5:$N$1204,$Q157))</f>
        <v/>
      </c>
      <c r="J157" s="25" t="str">
        <f>IF($Q157="","",INDEX(TRANSACTIONS_MASTER!$O$5:$O$1204,$Q157))</f>
        <v/>
      </c>
      <c r="K157" s="26" t="str">
        <f>IF($Q157="","",INDEX(TRANSACTIONS_MASTER!$Q$5:$Q$1204,$Q157))</f>
        <v/>
      </c>
      <c r="L157" s="25" t="str">
        <f>IF($Q157="","",INDEX(TRANSACTIONS_MASTER!$P$5:$P$1204,$Q157))</f>
        <v/>
      </c>
      <c r="M157" s="25" t="str">
        <f>IF($Q157="","",INDEX(TRANSACTIONS_MASTER!$AA$5:$AA$1204,$Q157))</f>
        <v/>
      </c>
      <c r="N157" s="25" t="str">
        <f>IF($Q157="","",INDEX(TRANSACTIONS_MASTER!$R$5:$R$1204,$Q157))</f>
        <v/>
      </c>
      <c r="O157" s="28" t="str">
        <f>IF($Q157="","",INDEX(TRANSACTIONS_MASTER!$AB$5:$AB$1204,$Q157))</f>
        <v/>
      </c>
      <c r="P157" s="55" t="str">
        <f>IF($Q157="","",INDEX(TRANSACTIONS_MASTER!$Z$5:$Z$1204,$Q157)&amp;"")</f>
        <v/>
      </c>
      <c r="Q157" s="67" t="str">
        <f>IFERROR(MATCH($C$2&amp;"|"&amp;150,TRANSACTIONS_MASTER!$AE$5:$AE$1204,0),"")</f>
        <v/>
      </c>
      <c r="T157" s="19" t="inlineStr">
        <is>
          <t>THEO MERCHANT</t>
        </is>
      </c>
      <c r="U157" s="20" t="n"/>
      <c r="V157" s="20" t="n"/>
      <c r="W157" s="20" t="n"/>
      <c r="X157" s="20" t="n"/>
      <c r="Y157" s="20" t="n"/>
      <c r="Z157" s="20" t="n"/>
      <c r="AA157" s="20" t="n"/>
    </row>
    <row r="158" ht="28" customHeight="1">
      <c r="A158" s="81" t="str">
        <f>IF($Q158="","",151)</f>
        <v/>
      </c>
      <c r="B158" s="57" t="str">
        <f>IF($Q158="","",INDEX(TRANSACTIONS_MASTER!$B$5:$B$1204,$Q158))</f>
        <v/>
      </c>
      <c r="C158" s="55" t="str">
        <f>IF($Q158="","",INDEX(TRANSACTIONS_MASTER!$F$5:$F$1204,$Q158))</f>
        <v/>
      </c>
      <c r="D158" s="55" t="str">
        <f>IF($Q158="","",INDEX(TRANSACTIONS_MASTER!$E$5:$E$1204,$Q158))</f>
        <v/>
      </c>
      <c r="E158" s="55" t="str">
        <f>IF($Q158="","",INDEX(TRANSACTIONS_MASTER!$G$5:$G$1204,$Q158)&amp;"")</f>
        <v/>
      </c>
      <c r="F158" s="29" t="str">
        <f>IF($Q158="","",INDEX(TRANSACTIONS_MASTER!$I$5:$I$1204,$Q158))</f>
        <v/>
      </c>
      <c r="G158" s="55" t="str">
        <f>IF($Q158="","",INDEX(TRANSACTIONS_MASTER!$K$5:$K$1204,$Q158))</f>
        <v/>
      </c>
      <c r="H158" s="25" t="str">
        <f>IF($Q158="","",INDEX(TRANSACTIONS_MASTER!$L$5:$L$1204,$Q158))</f>
        <v/>
      </c>
      <c r="I158" s="56" t="str">
        <f>IF($Q158="","",INDEX(TRANSACTIONS_MASTER!$N$5:$N$1204,$Q158))</f>
        <v/>
      </c>
      <c r="J158" s="25" t="str">
        <f>IF($Q158="","",INDEX(TRANSACTIONS_MASTER!$O$5:$O$1204,$Q158))</f>
        <v/>
      </c>
      <c r="K158" s="26" t="str">
        <f>IF($Q158="","",INDEX(TRANSACTIONS_MASTER!$Q$5:$Q$1204,$Q158))</f>
        <v/>
      </c>
      <c r="L158" s="25" t="str">
        <f>IF($Q158="","",INDEX(TRANSACTIONS_MASTER!$P$5:$P$1204,$Q158))</f>
        <v/>
      </c>
      <c r="M158" s="25" t="str">
        <f>IF($Q158="","",INDEX(TRANSACTIONS_MASTER!$AA$5:$AA$1204,$Q158))</f>
        <v/>
      </c>
      <c r="N158" s="25" t="str">
        <f>IF($Q158="","",INDEX(TRANSACTIONS_MASTER!$R$5:$R$1204,$Q158))</f>
        <v/>
      </c>
      <c r="O158" s="28" t="str">
        <f>IF($Q158="","",INDEX(TRANSACTIONS_MASTER!$AB$5:$AB$1204,$Q158))</f>
        <v/>
      </c>
      <c r="P158" s="55" t="str">
        <f>IF($Q158="","",INDEX(TRANSACTIONS_MASTER!$Z$5:$Z$1204,$Q158)&amp;"")</f>
        <v/>
      </c>
      <c r="Q158" s="67" t="str">
        <f>IFERROR(MATCH($C$2&amp;"|"&amp;151,TRANSACTIONS_MASTER!$AE$5:$AE$1204,0),"")</f>
        <v/>
      </c>
      <c r="S158" s="21" t="inlineStr">
        <is>
          <t>#</t>
        </is>
      </c>
      <c r="T158" s="21" t="inlineStr"/>
      <c r="U158" s="21" t="inlineStr">
        <is>
          <t>Merchant</t>
        </is>
      </c>
      <c r="V158" s="21" t="inlineStr">
        <is>
          <t>Chi tiêu</t>
        </is>
      </c>
      <c r="W158" s="21" t="inlineStr">
        <is>
          <t>Cashback</t>
        </is>
      </c>
    </row>
    <row r="159">
      <c r="A159" s="81" t="str">
        <f>IF($Q159="","",152)</f>
        <v/>
      </c>
      <c r="B159" s="57" t="str">
        <f>IF($Q159="","",INDEX(TRANSACTIONS_MASTER!$B$5:$B$1204,$Q159))</f>
        <v/>
      </c>
      <c r="C159" s="55" t="str">
        <f>IF($Q159="","",INDEX(TRANSACTIONS_MASTER!$F$5:$F$1204,$Q159))</f>
        <v/>
      </c>
      <c r="D159" s="55" t="str">
        <f>IF($Q159="","",INDEX(TRANSACTIONS_MASTER!$E$5:$E$1204,$Q159))</f>
        <v/>
      </c>
      <c r="E159" s="55" t="str">
        <f>IF($Q159="","",INDEX(TRANSACTIONS_MASTER!$G$5:$G$1204,$Q159)&amp;"")</f>
        <v/>
      </c>
      <c r="F159" s="29" t="str">
        <f>IF($Q159="","",INDEX(TRANSACTIONS_MASTER!$I$5:$I$1204,$Q159))</f>
        <v/>
      </c>
      <c r="G159" s="55" t="str">
        <f>IF($Q159="","",INDEX(TRANSACTIONS_MASTER!$K$5:$K$1204,$Q159))</f>
        <v/>
      </c>
      <c r="H159" s="25" t="str">
        <f>IF($Q159="","",INDEX(TRANSACTIONS_MASTER!$L$5:$L$1204,$Q159))</f>
        <v/>
      </c>
      <c r="I159" s="56" t="str">
        <f>IF($Q159="","",INDEX(TRANSACTIONS_MASTER!$N$5:$N$1204,$Q159))</f>
        <v/>
      </c>
      <c r="J159" s="25" t="str">
        <f>IF($Q159="","",INDEX(TRANSACTIONS_MASTER!$O$5:$O$1204,$Q159))</f>
        <v/>
      </c>
      <c r="K159" s="26" t="str">
        <f>IF($Q159="","",INDEX(TRANSACTIONS_MASTER!$Q$5:$Q$1204,$Q159))</f>
        <v/>
      </c>
      <c r="L159" s="25" t="str">
        <f>IF($Q159="","",INDEX(TRANSACTIONS_MASTER!$P$5:$P$1204,$Q159))</f>
        <v/>
      </c>
      <c r="M159" s="25" t="str">
        <f>IF($Q159="","",INDEX(TRANSACTIONS_MASTER!$AA$5:$AA$1204,$Q159))</f>
        <v/>
      </c>
      <c r="N159" s="25" t="str">
        <f>IF($Q159="","",INDEX(TRANSACTIONS_MASTER!$R$5:$R$1204,$Q159))</f>
        <v/>
      </c>
      <c r="O159" s="28" t="str">
        <f>IF($Q159="","",INDEX(TRANSACTIONS_MASTER!$AB$5:$AB$1204,$Q159))</f>
        <v/>
      </c>
      <c r="P159" s="55" t="str">
        <f>IF($Q159="","",INDEX(TRANSACTIONS_MASTER!$Z$5:$Z$1204,$Q159)&amp;"")</f>
        <v/>
      </c>
      <c r="Q159" s="67" t="str">
        <f>IFERROR(MATCH($C$2&amp;"|"&amp;152,TRANSACTIONS_MASTER!$AE$5:$AE$1204,0),"")</f>
        <v/>
      </c>
      <c r="S159" s="67" t="str">
        <f>IFERROR(MATCH(1,INDEX((TRANSACTIONS_MASTER!$C$5:$C$1204=$C$2)*(TRANSACTIONS_MASTER!$AN$5:$AN$1204=1),0),0),"")</f>
        <v/>
      </c>
      <c r="T159" s="55" t="n"/>
      <c r="U159" s="55" t="str">
        <f>IF($S159="","",INDEX(TRANSACTIONS_MASTER!$G$5:$G$1204,$S159)&amp;"")</f>
        <v/>
      </c>
      <c r="V159" s="25" t="str">
        <f>IF($S159="","",SUMIFS(TRANSACTIONS_MASTER!$L$5:$L$1204,TRANSACTIONS_MASTER!$G$5:$G$1204,$U159,TRANSACTIONS_MASTER!$C$5:$C$1204,$C$2,TRANSACTIONS_MASTER!$U$5:$U$1204,"&lt;&gt;Cancelled"))</f>
        <v/>
      </c>
      <c r="W159" s="26" t="str">
        <f>IF($S159="","",SUMIFS(TRANSACTIONS_MASTER!$Q$5:$Q$1204,TRANSACTIONS_MASTER!$G$5:$G$1204,$U159,TRANSACTIONS_MASTER!$C$5:$C$1204,$C$2))</f>
        <v/>
      </c>
    </row>
    <row r="160">
      <c r="A160" s="81" t="str">
        <f>IF($Q160="","",153)</f>
        <v/>
      </c>
      <c r="B160" s="57" t="str">
        <f>IF($Q160="","",INDEX(TRANSACTIONS_MASTER!$B$5:$B$1204,$Q160))</f>
        <v/>
      </c>
      <c r="C160" s="55" t="str">
        <f>IF($Q160="","",INDEX(TRANSACTIONS_MASTER!$F$5:$F$1204,$Q160))</f>
        <v/>
      </c>
      <c r="D160" s="55" t="str">
        <f>IF($Q160="","",INDEX(TRANSACTIONS_MASTER!$E$5:$E$1204,$Q160))</f>
        <v/>
      </c>
      <c r="E160" s="55" t="str">
        <f>IF($Q160="","",INDEX(TRANSACTIONS_MASTER!$G$5:$G$1204,$Q160)&amp;"")</f>
        <v/>
      </c>
      <c r="F160" s="29" t="str">
        <f>IF($Q160="","",INDEX(TRANSACTIONS_MASTER!$I$5:$I$1204,$Q160))</f>
        <v/>
      </c>
      <c r="G160" s="55" t="str">
        <f>IF($Q160="","",INDEX(TRANSACTIONS_MASTER!$K$5:$K$1204,$Q160))</f>
        <v/>
      </c>
      <c r="H160" s="25" t="str">
        <f>IF($Q160="","",INDEX(TRANSACTIONS_MASTER!$L$5:$L$1204,$Q160))</f>
        <v/>
      </c>
      <c r="I160" s="56" t="str">
        <f>IF($Q160="","",INDEX(TRANSACTIONS_MASTER!$N$5:$N$1204,$Q160))</f>
        <v/>
      </c>
      <c r="J160" s="25" t="str">
        <f>IF($Q160="","",INDEX(TRANSACTIONS_MASTER!$O$5:$O$1204,$Q160))</f>
        <v/>
      </c>
      <c r="K160" s="26" t="str">
        <f>IF($Q160="","",INDEX(TRANSACTIONS_MASTER!$Q$5:$Q$1204,$Q160))</f>
        <v/>
      </c>
      <c r="L160" s="25" t="str">
        <f>IF($Q160="","",INDEX(TRANSACTIONS_MASTER!$P$5:$P$1204,$Q160))</f>
        <v/>
      </c>
      <c r="M160" s="25" t="str">
        <f>IF($Q160="","",INDEX(TRANSACTIONS_MASTER!$AA$5:$AA$1204,$Q160))</f>
        <v/>
      </c>
      <c r="N160" s="25" t="str">
        <f>IF($Q160="","",INDEX(TRANSACTIONS_MASTER!$R$5:$R$1204,$Q160))</f>
        <v/>
      </c>
      <c r="O160" s="28" t="str">
        <f>IF($Q160="","",INDEX(TRANSACTIONS_MASTER!$AB$5:$AB$1204,$Q160))</f>
        <v/>
      </c>
      <c r="P160" s="55" t="str">
        <f>IF($Q160="","",INDEX(TRANSACTIONS_MASTER!$Z$5:$Z$1204,$Q160)&amp;"")</f>
        <v/>
      </c>
      <c r="Q160" s="67" t="str">
        <f>IFERROR(MATCH($C$2&amp;"|"&amp;153,TRANSACTIONS_MASTER!$AE$5:$AE$1204,0),"")</f>
        <v/>
      </c>
      <c r="S160" s="67" t="str">
        <f>IFERROR(MATCH(1,INDEX((TRANSACTIONS_MASTER!$C$5:$C$1204=$C$2)*(TRANSACTIONS_MASTER!$AN$5:$AN$1204=2),0),0),"")</f>
        <v/>
      </c>
      <c r="T160" s="55" t="n"/>
      <c r="U160" s="55" t="str">
        <f>IF($S160="","",INDEX(TRANSACTIONS_MASTER!$G$5:$G$1204,$S160)&amp;"")</f>
        <v/>
      </c>
      <c r="V160" s="25" t="str">
        <f>IF($S160="","",SUMIFS(TRANSACTIONS_MASTER!$L$5:$L$1204,TRANSACTIONS_MASTER!$G$5:$G$1204,$U160,TRANSACTIONS_MASTER!$C$5:$C$1204,$C$2,TRANSACTIONS_MASTER!$U$5:$U$1204,"&lt;&gt;Cancelled"))</f>
        <v/>
      </c>
      <c r="W160" s="26" t="str">
        <f>IF($S160="","",SUMIFS(TRANSACTIONS_MASTER!$Q$5:$Q$1204,TRANSACTIONS_MASTER!$G$5:$G$1204,$U160,TRANSACTIONS_MASTER!$C$5:$C$1204,$C$2))</f>
        <v/>
      </c>
    </row>
    <row r="161">
      <c r="A161" s="81" t="str">
        <f>IF($Q161="","",154)</f>
        <v/>
      </c>
      <c r="B161" s="57" t="str">
        <f>IF($Q161="","",INDEX(TRANSACTIONS_MASTER!$B$5:$B$1204,$Q161))</f>
        <v/>
      </c>
      <c r="C161" s="55" t="str">
        <f>IF($Q161="","",INDEX(TRANSACTIONS_MASTER!$F$5:$F$1204,$Q161))</f>
        <v/>
      </c>
      <c r="D161" s="55" t="str">
        <f>IF($Q161="","",INDEX(TRANSACTIONS_MASTER!$E$5:$E$1204,$Q161))</f>
        <v/>
      </c>
      <c r="E161" s="55" t="str">
        <f>IF($Q161="","",INDEX(TRANSACTIONS_MASTER!$G$5:$G$1204,$Q161)&amp;"")</f>
        <v/>
      </c>
      <c r="F161" s="29" t="str">
        <f>IF($Q161="","",INDEX(TRANSACTIONS_MASTER!$I$5:$I$1204,$Q161))</f>
        <v/>
      </c>
      <c r="G161" s="55" t="str">
        <f>IF($Q161="","",INDEX(TRANSACTIONS_MASTER!$K$5:$K$1204,$Q161))</f>
        <v/>
      </c>
      <c r="H161" s="25" t="str">
        <f>IF($Q161="","",INDEX(TRANSACTIONS_MASTER!$L$5:$L$1204,$Q161))</f>
        <v/>
      </c>
      <c r="I161" s="56" t="str">
        <f>IF($Q161="","",INDEX(TRANSACTIONS_MASTER!$N$5:$N$1204,$Q161))</f>
        <v/>
      </c>
      <c r="J161" s="25" t="str">
        <f>IF($Q161="","",INDEX(TRANSACTIONS_MASTER!$O$5:$O$1204,$Q161))</f>
        <v/>
      </c>
      <c r="K161" s="26" t="str">
        <f>IF($Q161="","",INDEX(TRANSACTIONS_MASTER!$Q$5:$Q$1204,$Q161))</f>
        <v/>
      </c>
      <c r="L161" s="25" t="str">
        <f>IF($Q161="","",INDEX(TRANSACTIONS_MASTER!$P$5:$P$1204,$Q161))</f>
        <v/>
      </c>
      <c r="M161" s="25" t="str">
        <f>IF($Q161="","",INDEX(TRANSACTIONS_MASTER!$AA$5:$AA$1204,$Q161))</f>
        <v/>
      </c>
      <c r="N161" s="25" t="str">
        <f>IF($Q161="","",INDEX(TRANSACTIONS_MASTER!$R$5:$R$1204,$Q161))</f>
        <v/>
      </c>
      <c r="O161" s="28" t="str">
        <f>IF($Q161="","",INDEX(TRANSACTIONS_MASTER!$AB$5:$AB$1204,$Q161))</f>
        <v/>
      </c>
      <c r="P161" s="55" t="str">
        <f>IF($Q161="","",INDEX(TRANSACTIONS_MASTER!$Z$5:$Z$1204,$Q161)&amp;"")</f>
        <v/>
      </c>
      <c r="Q161" s="67" t="str">
        <f>IFERROR(MATCH($C$2&amp;"|"&amp;154,TRANSACTIONS_MASTER!$AE$5:$AE$1204,0),"")</f>
        <v/>
      </c>
      <c r="S161" s="67" t="str">
        <f>IFERROR(MATCH(1,INDEX((TRANSACTIONS_MASTER!$C$5:$C$1204=$C$2)*(TRANSACTIONS_MASTER!$AN$5:$AN$1204=3),0),0),"")</f>
        <v/>
      </c>
      <c r="T161" s="55" t="n"/>
      <c r="U161" s="55" t="str">
        <f>IF($S161="","",INDEX(TRANSACTIONS_MASTER!$G$5:$G$1204,$S161)&amp;"")</f>
        <v/>
      </c>
      <c r="V161" s="25" t="str">
        <f>IF($S161="","",SUMIFS(TRANSACTIONS_MASTER!$L$5:$L$1204,TRANSACTIONS_MASTER!$G$5:$G$1204,$U161,TRANSACTIONS_MASTER!$C$5:$C$1204,$C$2,TRANSACTIONS_MASTER!$U$5:$U$1204,"&lt;&gt;Cancelled"))</f>
        <v/>
      </c>
      <c r="W161" s="26" t="str">
        <f>IF($S161="","",SUMIFS(TRANSACTIONS_MASTER!$Q$5:$Q$1204,TRANSACTIONS_MASTER!$G$5:$G$1204,$U161,TRANSACTIONS_MASTER!$C$5:$C$1204,$C$2))</f>
        <v/>
      </c>
    </row>
    <row r="162">
      <c r="A162" s="81" t="str">
        <f>IF($Q162="","",155)</f>
        <v/>
      </c>
      <c r="B162" s="57" t="str">
        <f>IF($Q162="","",INDEX(TRANSACTIONS_MASTER!$B$5:$B$1204,$Q162))</f>
        <v/>
      </c>
      <c r="C162" s="55" t="str">
        <f>IF($Q162="","",INDEX(TRANSACTIONS_MASTER!$F$5:$F$1204,$Q162))</f>
        <v/>
      </c>
      <c r="D162" s="55" t="str">
        <f>IF($Q162="","",INDEX(TRANSACTIONS_MASTER!$E$5:$E$1204,$Q162))</f>
        <v/>
      </c>
      <c r="E162" s="55" t="str">
        <f>IF($Q162="","",INDEX(TRANSACTIONS_MASTER!$G$5:$G$1204,$Q162)&amp;"")</f>
        <v/>
      </c>
      <c r="F162" s="29" t="str">
        <f>IF($Q162="","",INDEX(TRANSACTIONS_MASTER!$I$5:$I$1204,$Q162))</f>
        <v/>
      </c>
      <c r="G162" s="55" t="str">
        <f>IF($Q162="","",INDEX(TRANSACTIONS_MASTER!$K$5:$K$1204,$Q162))</f>
        <v/>
      </c>
      <c r="H162" s="25" t="str">
        <f>IF($Q162="","",INDEX(TRANSACTIONS_MASTER!$L$5:$L$1204,$Q162))</f>
        <v/>
      </c>
      <c r="I162" s="56" t="str">
        <f>IF($Q162="","",INDEX(TRANSACTIONS_MASTER!$N$5:$N$1204,$Q162))</f>
        <v/>
      </c>
      <c r="J162" s="25" t="str">
        <f>IF($Q162="","",INDEX(TRANSACTIONS_MASTER!$O$5:$O$1204,$Q162))</f>
        <v/>
      </c>
      <c r="K162" s="26" t="str">
        <f>IF($Q162="","",INDEX(TRANSACTIONS_MASTER!$Q$5:$Q$1204,$Q162))</f>
        <v/>
      </c>
      <c r="L162" s="25" t="str">
        <f>IF($Q162="","",INDEX(TRANSACTIONS_MASTER!$P$5:$P$1204,$Q162))</f>
        <v/>
      </c>
      <c r="M162" s="25" t="str">
        <f>IF($Q162="","",INDEX(TRANSACTIONS_MASTER!$AA$5:$AA$1204,$Q162))</f>
        <v/>
      </c>
      <c r="N162" s="25" t="str">
        <f>IF($Q162="","",INDEX(TRANSACTIONS_MASTER!$R$5:$R$1204,$Q162))</f>
        <v/>
      </c>
      <c r="O162" s="28" t="str">
        <f>IF($Q162="","",INDEX(TRANSACTIONS_MASTER!$AB$5:$AB$1204,$Q162))</f>
        <v/>
      </c>
      <c r="P162" s="55" t="str">
        <f>IF($Q162="","",INDEX(TRANSACTIONS_MASTER!$Z$5:$Z$1204,$Q162)&amp;"")</f>
        <v/>
      </c>
      <c r="Q162" s="67" t="str">
        <f>IFERROR(MATCH($C$2&amp;"|"&amp;155,TRANSACTIONS_MASTER!$AE$5:$AE$1204,0),"")</f>
        <v/>
      </c>
      <c r="S162" s="67" t="str">
        <f>IFERROR(MATCH(1,INDEX((TRANSACTIONS_MASTER!$C$5:$C$1204=$C$2)*(TRANSACTIONS_MASTER!$AN$5:$AN$1204=4),0),0),"")</f>
        <v/>
      </c>
      <c r="T162" s="55" t="n"/>
      <c r="U162" s="55" t="str">
        <f>IF($S162="","",INDEX(TRANSACTIONS_MASTER!$G$5:$G$1204,$S162)&amp;"")</f>
        <v/>
      </c>
      <c r="V162" s="25" t="str">
        <f>IF($S162="","",SUMIFS(TRANSACTIONS_MASTER!$L$5:$L$1204,TRANSACTIONS_MASTER!$G$5:$G$1204,$U162,TRANSACTIONS_MASTER!$C$5:$C$1204,$C$2,TRANSACTIONS_MASTER!$U$5:$U$1204,"&lt;&gt;Cancelled"))</f>
        <v/>
      </c>
      <c r="W162" s="26" t="str">
        <f>IF($S162="","",SUMIFS(TRANSACTIONS_MASTER!$Q$5:$Q$1204,TRANSACTIONS_MASTER!$G$5:$G$1204,$U162,TRANSACTIONS_MASTER!$C$5:$C$1204,$C$2))</f>
        <v/>
      </c>
    </row>
    <row r="163">
      <c r="A163" s="81" t="str">
        <f>IF($Q163="","",156)</f>
        <v/>
      </c>
      <c r="B163" s="57" t="str">
        <f>IF($Q163="","",INDEX(TRANSACTIONS_MASTER!$B$5:$B$1204,$Q163))</f>
        <v/>
      </c>
      <c r="C163" s="55" t="str">
        <f>IF($Q163="","",INDEX(TRANSACTIONS_MASTER!$F$5:$F$1204,$Q163))</f>
        <v/>
      </c>
      <c r="D163" s="55" t="str">
        <f>IF($Q163="","",INDEX(TRANSACTIONS_MASTER!$E$5:$E$1204,$Q163))</f>
        <v/>
      </c>
      <c r="E163" s="55" t="str">
        <f>IF($Q163="","",INDEX(TRANSACTIONS_MASTER!$G$5:$G$1204,$Q163)&amp;"")</f>
        <v/>
      </c>
      <c r="F163" s="29" t="str">
        <f>IF($Q163="","",INDEX(TRANSACTIONS_MASTER!$I$5:$I$1204,$Q163))</f>
        <v/>
      </c>
      <c r="G163" s="55" t="str">
        <f>IF($Q163="","",INDEX(TRANSACTIONS_MASTER!$K$5:$K$1204,$Q163))</f>
        <v/>
      </c>
      <c r="H163" s="25" t="str">
        <f>IF($Q163="","",INDEX(TRANSACTIONS_MASTER!$L$5:$L$1204,$Q163))</f>
        <v/>
      </c>
      <c r="I163" s="56" t="str">
        <f>IF($Q163="","",INDEX(TRANSACTIONS_MASTER!$N$5:$N$1204,$Q163))</f>
        <v/>
      </c>
      <c r="J163" s="25" t="str">
        <f>IF($Q163="","",INDEX(TRANSACTIONS_MASTER!$O$5:$O$1204,$Q163))</f>
        <v/>
      </c>
      <c r="K163" s="26" t="str">
        <f>IF($Q163="","",INDEX(TRANSACTIONS_MASTER!$Q$5:$Q$1204,$Q163))</f>
        <v/>
      </c>
      <c r="L163" s="25" t="str">
        <f>IF($Q163="","",INDEX(TRANSACTIONS_MASTER!$P$5:$P$1204,$Q163))</f>
        <v/>
      </c>
      <c r="M163" s="25" t="str">
        <f>IF($Q163="","",INDEX(TRANSACTIONS_MASTER!$AA$5:$AA$1204,$Q163))</f>
        <v/>
      </c>
      <c r="N163" s="25" t="str">
        <f>IF($Q163="","",INDEX(TRANSACTIONS_MASTER!$R$5:$R$1204,$Q163))</f>
        <v/>
      </c>
      <c r="O163" s="28" t="str">
        <f>IF($Q163="","",INDEX(TRANSACTIONS_MASTER!$AB$5:$AB$1204,$Q163))</f>
        <v/>
      </c>
      <c r="P163" s="55" t="str">
        <f>IF($Q163="","",INDEX(TRANSACTIONS_MASTER!$Z$5:$Z$1204,$Q163)&amp;"")</f>
        <v/>
      </c>
      <c r="Q163" s="67" t="str">
        <f>IFERROR(MATCH($C$2&amp;"|"&amp;156,TRANSACTIONS_MASTER!$AE$5:$AE$1204,0),"")</f>
        <v/>
      </c>
      <c r="S163" s="67" t="str">
        <f>IFERROR(MATCH(1,INDEX((TRANSACTIONS_MASTER!$C$5:$C$1204=$C$2)*(TRANSACTIONS_MASTER!$AN$5:$AN$1204=5),0),0),"")</f>
        <v/>
      </c>
      <c r="T163" s="55" t="n"/>
      <c r="U163" s="55" t="str">
        <f>IF($S163="","",INDEX(TRANSACTIONS_MASTER!$G$5:$G$1204,$S163)&amp;"")</f>
        <v/>
      </c>
      <c r="V163" s="25" t="str">
        <f>IF($S163="","",SUMIFS(TRANSACTIONS_MASTER!$L$5:$L$1204,TRANSACTIONS_MASTER!$G$5:$G$1204,$U163,TRANSACTIONS_MASTER!$C$5:$C$1204,$C$2,TRANSACTIONS_MASTER!$U$5:$U$1204,"&lt;&gt;Cancelled"))</f>
        <v/>
      </c>
      <c r="W163" s="26" t="str">
        <f>IF($S163="","",SUMIFS(TRANSACTIONS_MASTER!$Q$5:$Q$1204,TRANSACTIONS_MASTER!$G$5:$G$1204,$U163,TRANSACTIONS_MASTER!$C$5:$C$1204,$C$2))</f>
        <v/>
      </c>
    </row>
    <row r="164">
      <c r="A164" s="81" t="str">
        <f>IF($Q164="","",157)</f>
        <v/>
      </c>
      <c r="B164" s="57" t="str">
        <f>IF($Q164="","",INDEX(TRANSACTIONS_MASTER!$B$5:$B$1204,$Q164))</f>
        <v/>
      </c>
      <c r="C164" s="55" t="str">
        <f>IF($Q164="","",INDEX(TRANSACTIONS_MASTER!$F$5:$F$1204,$Q164))</f>
        <v/>
      </c>
      <c r="D164" s="55" t="str">
        <f>IF($Q164="","",INDEX(TRANSACTIONS_MASTER!$E$5:$E$1204,$Q164))</f>
        <v/>
      </c>
      <c r="E164" s="55" t="str">
        <f>IF($Q164="","",INDEX(TRANSACTIONS_MASTER!$G$5:$G$1204,$Q164)&amp;"")</f>
        <v/>
      </c>
      <c r="F164" s="29" t="str">
        <f>IF($Q164="","",INDEX(TRANSACTIONS_MASTER!$I$5:$I$1204,$Q164))</f>
        <v/>
      </c>
      <c r="G164" s="55" t="str">
        <f>IF($Q164="","",INDEX(TRANSACTIONS_MASTER!$K$5:$K$1204,$Q164))</f>
        <v/>
      </c>
      <c r="H164" s="25" t="str">
        <f>IF($Q164="","",INDEX(TRANSACTIONS_MASTER!$L$5:$L$1204,$Q164))</f>
        <v/>
      </c>
      <c r="I164" s="56" t="str">
        <f>IF($Q164="","",INDEX(TRANSACTIONS_MASTER!$N$5:$N$1204,$Q164))</f>
        <v/>
      </c>
      <c r="J164" s="25" t="str">
        <f>IF($Q164="","",INDEX(TRANSACTIONS_MASTER!$O$5:$O$1204,$Q164))</f>
        <v/>
      </c>
      <c r="K164" s="26" t="str">
        <f>IF($Q164="","",INDEX(TRANSACTIONS_MASTER!$Q$5:$Q$1204,$Q164))</f>
        <v/>
      </c>
      <c r="L164" s="25" t="str">
        <f>IF($Q164="","",INDEX(TRANSACTIONS_MASTER!$P$5:$P$1204,$Q164))</f>
        <v/>
      </c>
      <c r="M164" s="25" t="str">
        <f>IF($Q164="","",INDEX(TRANSACTIONS_MASTER!$AA$5:$AA$1204,$Q164))</f>
        <v/>
      </c>
      <c r="N164" s="25" t="str">
        <f>IF($Q164="","",INDEX(TRANSACTIONS_MASTER!$R$5:$R$1204,$Q164))</f>
        <v/>
      </c>
      <c r="O164" s="28" t="str">
        <f>IF($Q164="","",INDEX(TRANSACTIONS_MASTER!$AB$5:$AB$1204,$Q164))</f>
        <v/>
      </c>
      <c r="P164" s="55" t="str">
        <f>IF($Q164="","",INDEX(TRANSACTIONS_MASTER!$Z$5:$Z$1204,$Q164)&amp;"")</f>
        <v/>
      </c>
      <c r="Q164" s="67" t="str">
        <f>IFERROR(MATCH($C$2&amp;"|"&amp;157,TRANSACTIONS_MASTER!$AE$5:$AE$1204,0),"")</f>
        <v/>
      </c>
      <c r="S164" s="67" t="str">
        <f>IFERROR(MATCH(1,INDEX((TRANSACTIONS_MASTER!$C$5:$C$1204=$C$2)*(TRANSACTIONS_MASTER!$AN$5:$AN$1204=6),0),0),"")</f>
        <v/>
      </c>
      <c r="T164" s="55" t="n"/>
      <c r="U164" s="55" t="str">
        <f>IF($S164="","",INDEX(TRANSACTIONS_MASTER!$G$5:$G$1204,$S164)&amp;"")</f>
        <v/>
      </c>
      <c r="V164" s="25" t="str">
        <f>IF($S164="","",SUMIFS(TRANSACTIONS_MASTER!$L$5:$L$1204,TRANSACTIONS_MASTER!$G$5:$G$1204,$U164,TRANSACTIONS_MASTER!$C$5:$C$1204,$C$2,TRANSACTIONS_MASTER!$U$5:$U$1204,"&lt;&gt;Cancelled"))</f>
        <v/>
      </c>
      <c r="W164" s="26" t="str">
        <f>IF($S164="","",SUMIFS(TRANSACTIONS_MASTER!$Q$5:$Q$1204,TRANSACTIONS_MASTER!$G$5:$G$1204,$U164,TRANSACTIONS_MASTER!$C$5:$C$1204,$C$2))</f>
        <v/>
      </c>
    </row>
    <row r="165">
      <c r="A165" s="81" t="str">
        <f>IF($Q165="","",158)</f>
        <v/>
      </c>
      <c r="B165" s="57" t="str">
        <f>IF($Q165="","",INDEX(TRANSACTIONS_MASTER!$B$5:$B$1204,$Q165))</f>
        <v/>
      </c>
      <c r="C165" s="55" t="str">
        <f>IF($Q165="","",INDEX(TRANSACTIONS_MASTER!$F$5:$F$1204,$Q165))</f>
        <v/>
      </c>
      <c r="D165" s="55" t="str">
        <f>IF($Q165="","",INDEX(TRANSACTIONS_MASTER!$E$5:$E$1204,$Q165))</f>
        <v/>
      </c>
      <c r="E165" s="55" t="str">
        <f>IF($Q165="","",INDEX(TRANSACTIONS_MASTER!$G$5:$G$1204,$Q165)&amp;"")</f>
        <v/>
      </c>
      <c r="F165" s="29" t="str">
        <f>IF($Q165="","",INDEX(TRANSACTIONS_MASTER!$I$5:$I$1204,$Q165))</f>
        <v/>
      </c>
      <c r="G165" s="55" t="str">
        <f>IF($Q165="","",INDEX(TRANSACTIONS_MASTER!$K$5:$K$1204,$Q165))</f>
        <v/>
      </c>
      <c r="H165" s="25" t="str">
        <f>IF($Q165="","",INDEX(TRANSACTIONS_MASTER!$L$5:$L$1204,$Q165))</f>
        <v/>
      </c>
      <c r="I165" s="56" t="str">
        <f>IF($Q165="","",INDEX(TRANSACTIONS_MASTER!$N$5:$N$1204,$Q165))</f>
        <v/>
      </c>
      <c r="J165" s="25" t="str">
        <f>IF($Q165="","",INDEX(TRANSACTIONS_MASTER!$O$5:$O$1204,$Q165))</f>
        <v/>
      </c>
      <c r="K165" s="26" t="str">
        <f>IF($Q165="","",INDEX(TRANSACTIONS_MASTER!$Q$5:$Q$1204,$Q165))</f>
        <v/>
      </c>
      <c r="L165" s="25" t="str">
        <f>IF($Q165="","",INDEX(TRANSACTIONS_MASTER!$P$5:$P$1204,$Q165))</f>
        <v/>
      </c>
      <c r="M165" s="25" t="str">
        <f>IF($Q165="","",INDEX(TRANSACTIONS_MASTER!$AA$5:$AA$1204,$Q165))</f>
        <v/>
      </c>
      <c r="N165" s="25" t="str">
        <f>IF($Q165="","",INDEX(TRANSACTIONS_MASTER!$R$5:$R$1204,$Q165))</f>
        <v/>
      </c>
      <c r="O165" s="28" t="str">
        <f>IF($Q165="","",INDEX(TRANSACTIONS_MASTER!$AB$5:$AB$1204,$Q165))</f>
        <v/>
      </c>
      <c r="P165" s="55" t="str">
        <f>IF($Q165="","",INDEX(TRANSACTIONS_MASTER!$Z$5:$Z$1204,$Q165)&amp;"")</f>
        <v/>
      </c>
      <c r="Q165" s="67" t="str">
        <f>IFERROR(MATCH($C$2&amp;"|"&amp;158,TRANSACTIONS_MASTER!$AE$5:$AE$1204,0),"")</f>
        <v/>
      </c>
      <c r="S165" s="67" t="str">
        <f>IFERROR(MATCH(1,INDEX((TRANSACTIONS_MASTER!$C$5:$C$1204=$C$2)*(TRANSACTIONS_MASTER!$AN$5:$AN$1204=7),0),0),"")</f>
        <v/>
      </c>
      <c r="T165" s="55" t="n"/>
      <c r="U165" s="55" t="str">
        <f>IF($S165="","",INDEX(TRANSACTIONS_MASTER!$G$5:$G$1204,$S165)&amp;"")</f>
        <v/>
      </c>
      <c r="V165" s="25" t="str">
        <f>IF($S165="","",SUMIFS(TRANSACTIONS_MASTER!$L$5:$L$1204,TRANSACTIONS_MASTER!$G$5:$G$1204,$U165,TRANSACTIONS_MASTER!$C$5:$C$1204,$C$2,TRANSACTIONS_MASTER!$U$5:$U$1204,"&lt;&gt;Cancelled"))</f>
        <v/>
      </c>
      <c r="W165" s="26" t="str">
        <f>IF($S165="","",SUMIFS(TRANSACTIONS_MASTER!$Q$5:$Q$1204,TRANSACTIONS_MASTER!$G$5:$G$1204,$U165,TRANSACTIONS_MASTER!$C$5:$C$1204,$C$2))</f>
        <v/>
      </c>
    </row>
    <row r="166">
      <c r="A166" s="81" t="str">
        <f>IF($Q166="","",159)</f>
        <v/>
      </c>
      <c r="B166" s="57" t="str">
        <f>IF($Q166="","",INDEX(TRANSACTIONS_MASTER!$B$5:$B$1204,$Q166))</f>
        <v/>
      </c>
      <c r="C166" s="55" t="str">
        <f>IF($Q166="","",INDEX(TRANSACTIONS_MASTER!$F$5:$F$1204,$Q166))</f>
        <v/>
      </c>
      <c r="D166" s="55" t="str">
        <f>IF($Q166="","",INDEX(TRANSACTIONS_MASTER!$E$5:$E$1204,$Q166))</f>
        <v/>
      </c>
      <c r="E166" s="55" t="str">
        <f>IF($Q166="","",INDEX(TRANSACTIONS_MASTER!$G$5:$G$1204,$Q166)&amp;"")</f>
        <v/>
      </c>
      <c r="F166" s="29" t="str">
        <f>IF($Q166="","",INDEX(TRANSACTIONS_MASTER!$I$5:$I$1204,$Q166))</f>
        <v/>
      </c>
      <c r="G166" s="55" t="str">
        <f>IF($Q166="","",INDEX(TRANSACTIONS_MASTER!$K$5:$K$1204,$Q166))</f>
        <v/>
      </c>
      <c r="H166" s="25" t="str">
        <f>IF($Q166="","",INDEX(TRANSACTIONS_MASTER!$L$5:$L$1204,$Q166))</f>
        <v/>
      </c>
      <c r="I166" s="56" t="str">
        <f>IF($Q166="","",INDEX(TRANSACTIONS_MASTER!$N$5:$N$1204,$Q166))</f>
        <v/>
      </c>
      <c r="J166" s="25" t="str">
        <f>IF($Q166="","",INDEX(TRANSACTIONS_MASTER!$O$5:$O$1204,$Q166))</f>
        <v/>
      </c>
      <c r="K166" s="26" t="str">
        <f>IF($Q166="","",INDEX(TRANSACTIONS_MASTER!$Q$5:$Q$1204,$Q166))</f>
        <v/>
      </c>
      <c r="L166" s="25" t="str">
        <f>IF($Q166="","",INDEX(TRANSACTIONS_MASTER!$P$5:$P$1204,$Q166))</f>
        <v/>
      </c>
      <c r="M166" s="25" t="str">
        <f>IF($Q166="","",INDEX(TRANSACTIONS_MASTER!$AA$5:$AA$1204,$Q166))</f>
        <v/>
      </c>
      <c r="N166" s="25" t="str">
        <f>IF($Q166="","",INDEX(TRANSACTIONS_MASTER!$R$5:$R$1204,$Q166))</f>
        <v/>
      </c>
      <c r="O166" s="28" t="str">
        <f>IF($Q166="","",INDEX(TRANSACTIONS_MASTER!$AB$5:$AB$1204,$Q166))</f>
        <v/>
      </c>
      <c r="P166" s="55" t="str">
        <f>IF($Q166="","",INDEX(TRANSACTIONS_MASTER!$Z$5:$Z$1204,$Q166)&amp;"")</f>
        <v/>
      </c>
      <c r="Q166" s="67" t="str">
        <f>IFERROR(MATCH($C$2&amp;"|"&amp;159,TRANSACTIONS_MASTER!$AE$5:$AE$1204,0),"")</f>
        <v/>
      </c>
      <c r="S166" s="67" t="str">
        <f>IFERROR(MATCH(1,INDEX((TRANSACTIONS_MASTER!$C$5:$C$1204=$C$2)*(TRANSACTIONS_MASTER!$AN$5:$AN$1204=8),0),0),"")</f>
        <v/>
      </c>
      <c r="T166" s="55" t="n"/>
      <c r="U166" s="55" t="str">
        <f>IF($S166="","",INDEX(TRANSACTIONS_MASTER!$G$5:$G$1204,$S166)&amp;"")</f>
        <v/>
      </c>
      <c r="V166" s="25" t="str">
        <f>IF($S166="","",SUMIFS(TRANSACTIONS_MASTER!$L$5:$L$1204,TRANSACTIONS_MASTER!$G$5:$G$1204,$U166,TRANSACTIONS_MASTER!$C$5:$C$1204,$C$2,TRANSACTIONS_MASTER!$U$5:$U$1204,"&lt;&gt;Cancelled"))</f>
        <v/>
      </c>
      <c r="W166" s="26" t="str">
        <f>IF($S166="","",SUMIFS(TRANSACTIONS_MASTER!$Q$5:$Q$1204,TRANSACTIONS_MASTER!$G$5:$G$1204,$U166,TRANSACTIONS_MASTER!$C$5:$C$1204,$C$2))</f>
        <v/>
      </c>
    </row>
    <row r="167">
      <c r="A167" s="81" t="str">
        <f>IF($Q167="","",160)</f>
        <v/>
      </c>
      <c r="B167" s="57" t="str">
        <f>IF($Q167="","",INDEX(TRANSACTIONS_MASTER!$B$5:$B$1204,$Q167))</f>
        <v/>
      </c>
      <c r="C167" s="55" t="str">
        <f>IF($Q167="","",INDEX(TRANSACTIONS_MASTER!$F$5:$F$1204,$Q167))</f>
        <v/>
      </c>
      <c r="D167" s="55" t="str">
        <f>IF($Q167="","",INDEX(TRANSACTIONS_MASTER!$E$5:$E$1204,$Q167))</f>
        <v/>
      </c>
      <c r="E167" s="55" t="str">
        <f>IF($Q167="","",INDEX(TRANSACTIONS_MASTER!$G$5:$G$1204,$Q167)&amp;"")</f>
        <v/>
      </c>
      <c r="F167" s="29" t="str">
        <f>IF($Q167="","",INDEX(TRANSACTIONS_MASTER!$I$5:$I$1204,$Q167))</f>
        <v/>
      </c>
      <c r="G167" s="55" t="str">
        <f>IF($Q167="","",INDEX(TRANSACTIONS_MASTER!$K$5:$K$1204,$Q167))</f>
        <v/>
      </c>
      <c r="H167" s="25" t="str">
        <f>IF($Q167="","",INDEX(TRANSACTIONS_MASTER!$L$5:$L$1204,$Q167))</f>
        <v/>
      </c>
      <c r="I167" s="56" t="str">
        <f>IF($Q167="","",INDEX(TRANSACTIONS_MASTER!$N$5:$N$1204,$Q167))</f>
        <v/>
      </c>
      <c r="J167" s="25" t="str">
        <f>IF($Q167="","",INDEX(TRANSACTIONS_MASTER!$O$5:$O$1204,$Q167))</f>
        <v/>
      </c>
      <c r="K167" s="26" t="str">
        <f>IF($Q167="","",INDEX(TRANSACTIONS_MASTER!$Q$5:$Q$1204,$Q167))</f>
        <v/>
      </c>
      <c r="L167" s="25" t="str">
        <f>IF($Q167="","",INDEX(TRANSACTIONS_MASTER!$P$5:$P$1204,$Q167))</f>
        <v/>
      </c>
      <c r="M167" s="25" t="str">
        <f>IF($Q167="","",INDEX(TRANSACTIONS_MASTER!$AA$5:$AA$1204,$Q167))</f>
        <v/>
      </c>
      <c r="N167" s="25" t="str">
        <f>IF($Q167="","",INDEX(TRANSACTIONS_MASTER!$R$5:$R$1204,$Q167))</f>
        <v/>
      </c>
      <c r="O167" s="28" t="str">
        <f>IF($Q167="","",INDEX(TRANSACTIONS_MASTER!$AB$5:$AB$1204,$Q167))</f>
        <v/>
      </c>
      <c r="P167" s="55" t="str">
        <f>IF($Q167="","",INDEX(TRANSACTIONS_MASTER!$Z$5:$Z$1204,$Q167)&amp;"")</f>
        <v/>
      </c>
      <c r="Q167" s="67" t="str">
        <f>IFERROR(MATCH($C$2&amp;"|"&amp;160,TRANSACTIONS_MASTER!$AE$5:$AE$1204,0),"")</f>
        <v/>
      </c>
      <c r="S167" s="67" t="str">
        <f>IFERROR(MATCH(1,INDEX((TRANSACTIONS_MASTER!$C$5:$C$1204=$C$2)*(TRANSACTIONS_MASTER!$AN$5:$AN$1204=9),0),0),"")</f>
        <v/>
      </c>
      <c r="T167" s="55" t="n"/>
      <c r="U167" s="55" t="str">
        <f>IF($S167="","",INDEX(TRANSACTIONS_MASTER!$G$5:$G$1204,$S167)&amp;"")</f>
        <v/>
      </c>
      <c r="V167" s="25" t="str">
        <f>IF($S167="","",SUMIFS(TRANSACTIONS_MASTER!$L$5:$L$1204,TRANSACTIONS_MASTER!$G$5:$G$1204,$U167,TRANSACTIONS_MASTER!$C$5:$C$1204,$C$2,TRANSACTIONS_MASTER!$U$5:$U$1204,"&lt;&gt;Cancelled"))</f>
        <v/>
      </c>
      <c r="W167" s="26" t="str">
        <f>IF($S167="","",SUMIFS(TRANSACTIONS_MASTER!$Q$5:$Q$1204,TRANSACTIONS_MASTER!$G$5:$G$1204,$U167,TRANSACTIONS_MASTER!$C$5:$C$1204,$C$2))</f>
        <v/>
      </c>
    </row>
    <row r="168">
      <c r="A168" s="81" t="str">
        <f>IF($Q168="","",161)</f>
        <v/>
      </c>
      <c r="B168" s="57" t="str">
        <f>IF($Q168="","",INDEX(TRANSACTIONS_MASTER!$B$5:$B$1204,$Q168))</f>
        <v/>
      </c>
      <c r="C168" s="55" t="str">
        <f>IF($Q168="","",INDEX(TRANSACTIONS_MASTER!$F$5:$F$1204,$Q168))</f>
        <v/>
      </c>
      <c r="D168" s="55" t="str">
        <f>IF($Q168="","",INDEX(TRANSACTIONS_MASTER!$E$5:$E$1204,$Q168))</f>
        <v/>
      </c>
      <c r="E168" s="55" t="str">
        <f>IF($Q168="","",INDEX(TRANSACTIONS_MASTER!$G$5:$G$1204,$Q168)&amp;"")</f>
        <v/>
      </c>
      <c r="F168" s="29" t="str">
        <f>IF($Q168="","",INDEX(TRANSACTIONS_MASTER!$I$5:$I$1204,$Q168))</f>
        <v/>
      </c>
      <c r="G168" s="55" t="str">
        <f>IF($Q168="","",INDEX(TRANSACTIONS_MASTER!$K$5:$K$1204,$Q168))</f>
        <v/>
      </c>
      <c r="H168" s="25" t="str">
        <f>IF($Q168="","",INDEX(TRANSACTIONS_MASTER!$L$5:$L$1204,$Q168))</f>
        <v/>
      </c>
      <c r="I168" s="56" t="str">
        <f>IF($Q168="","",INDEX(TRANSACTIONS_MASTER!$N$5:$N$1204,$Q168))</f>
        <v/>
      </c>
      <c r="J168" s="25" t="str">
        <f>IF($Q168="","",INDEX(TRANSACTIONS_MASTER!$O$5:$O$1204,$Q168))</f>
        <v/>
      </c>
      <c r="K168" s="26" t="str">
        <f>IF($Q168="","",INDEX(TRANSACTIONS_MASTER!$Q$5:$Q$1204,$Q168))</f>
        <v/>
      </c>
      <c r="L168" s="25" t="str">
        <f>IF($Q168="","",INDEX(TRANSACTIONS_MASTER!$P$5:$P$1204,$Q168))</f>
        <v/>
      </c>
      <c r="M168" s="25" t="str">
        <f>IF($Q168="","",INDEX(TRANSACTIONS_MASTER!$AA$5:$AA$1204,$Q168))</f>
        <v/>
      </c>
      <c r="N168" s="25" t="str">
        <f>IF($Q168="","",INDEX(TRANSACTIONS_MASTER!$R$5:$R$1204,$Q168))</f>
        <v/>
      </c>
      <c r="O168" s="28" t="str">
        <f>IF($Q168="","",INDEX(TRANSACTIONS_MASTER!$AB$5:$AB$1204,$Q168))</f>
        <v/>
      </c>
      <c r="P168" s="55" t="str">
        <f>IF($Q168="","",INDEX(TRANSACTIONS_MASTER!$Z$5:$Z$1204,$Q168)&amp;"")</f>
        <v/>
      </c>
      <c r="Q168" s="67" t="str">
        <f>IFERROR(MATCH($C$2&amp;"|"&amp;161,TRANSACTIONS_MASTER!$AE$5:$AE$1204,0),"")</f>
        <v/>
      </c>
      <c r="S168" s="67" t="str">
        <f>IFERROR(MATCH(1,INDEX((TRANSACTIONS_MASTER!$C$5:$C$1204=$C$2)*(TRANSACTIONS_MASTER!$AN$5:$AN$1204=10),0),0),"")</f>
        <v/>
      </c>
      <c r="T168" s="55" t="n"/>
      <c r="U168" s="55" t="str">
        <f>IF($S168="","",INDEX(TRANSACTIONS_MASTER!$G$5:$G$1204,$S168)&amp;"")</f>
        <v/>
      </c>
      <c r="V168" s="25" t="str">
        <f>IF($S168="","",SUMIFS(TRANSACTIONS_MASTER!$L$5:$L$1204,TRANSACTIONS_MASTER!$G$5:$G$1204,$U168,TRANSACTIONS_MASTER!$C$5:$C$1204,$C$2,TRANSACTIONS_MASTER!$U$5:$U$1204,"&lt;&gt;Cancelled"))</f>
        <v/>
      </c>
      <c r="W168" s="26" t="str">
        <f>IF($S168="","",SUMIFS(TRANSACTIONS_MASTER!$Q$5:$Q$1204,TRANSACTIONS_MASTER!$G$5:$G$1204,$U168,TRANSACTIONS_MASTER!$C$5:$C$1204,$C$2))</f>
        <v/>
      </c>
    </row>
    <row r="169">
      <c r="A169" s="81" t="str">
        <f>IF($Q169="","",162)</f>
        <v/>
      </c>
      <c r="B169" s="57" t="str">
        <f>IF($Q169="","",INDEX(TRANSACTIONS_MASTER!$B$5:$B$1204,$Q169))</f>
        <v/>
      </c>
      <c r="C169" s="55" t="str">
        <f>IF($Q169="","",INDEX(TRANSACTIONS_MASTER!$F$5:$F$1204,$Q169))</f>
        <v/>
      </c>
      <c r="D169" s="55" t="str">
        <f>IF($Q169="","",INDEX(TRANSACTIONS_MASTER!$E$5:$E$1204,$Q169))</f>
        <v/>
      </c>
      <c r="E169" s="55" t="str">
        <f>IF($Q169="","",INDEX(TRANSACTIONS_MASTER!$G$5:$G$1204,$Q169)&amp;"")</f>
        <v/>
      </c>
      <c r="F169" s="29" t="str">
        <f>IF($Q169="","",INDEX(TRANSACTIONS_MASTER!$I$5:$I$1204,$Q169))</f>
        <v/>
      </c>
      <c r="G169" s="55" t="str">
        <f>IF($Q169="","",INDEX(TRANSACTIONS_MASTER!$K$5:$K$1204,$Q169))</f>
        <v/>
      </c>
      <c r="H169" s="25" t="str">
        <f>IF($Q169="","",INDEX(TRANSACTIONS_MASTER!$L$5:$L$1204,$Q169))</f>
        <v/>
      </c>
      <c r="I169" s="56" t="str">
        <f>IF($Q169="","",INDEX(TRANSACTIONS_MASTER!$N$5:$N$1204,$Q169))</f>
        <v/>
      </c>
      <c r="J169" s="25" t="str">
        <f>IF($Q169="","",INDEX(TRANSACTIONS_MASTER!$O$5:$O$1204,$Q169))</f>
        <v/>
      </c>
      <c r="K169" s="26" t="str">
        <f>IF($Q169="","",INDEX(TRANSACTIONS_MASTER!$Q$5:$Q$1204,$Q169))</f>
        <v/>
      </c>
      <c r="L169" s="25" t="str">
        <f>IF($Q169="","",INDEX(TRANSACTIONS_MASTER!$P$5:$P$1204,$Q169))</f>
        <v/>
      </c>
      <c r="M169" s="25" t="str">
        <f>IF($Q169="","",INDEX(TRANSACTIONS_MASTER!$AA$5:$AA$1204,$Q169))</f>
        <v/>
      </c>
      <c r="N169" s="25" t="str">
        <f>IF($Q169="","",INDEX(TRANSACTIONS_MASTER!$R$5:$R$1204,$Q169))</f>
        <v/>
      </c>
      <c r="O169" s="28" t="str">
        <f>IF($Q169="","",INDEX(TRANSACTIONS_MASTER!$AB$5:$AB$1204,$Q169))</f>
        <v/>
      </c>
      <c r="P169" s="55" t="str">
        <f>IF($Q169="","",INDEX(TRANSACTIONS_MASTER!$Z$5:$Z$1204,$Q169)&amp;"")</f>
        <v/>
      </c>
      <c r="Q169" s="67" t="str">
        <f>IFERROR(MATCH($C$2&amp;"|"&amp;162,TRANSACTIONS_MASTER!$AE$5:$AE$1204,0),"")</f>
        <v/>
      </c>
      <c r="S169" s="67" t="str">
        <f>IFERROR(MATCH(1,INDEX((TRANSACTIONS_MASTER!$C$5:$C$1204=$C$2)*(TRANSACTIONS_MASTER!$AN$5:$AN$1204=11),0),0),"")</f>
        <v/>
      </c>
      <c r="T169" s="55" t="n"/>
      <c r="U169" s="55" t="str">
        <f>IF($S169="","",INDEX(TRANSACTIONS_MASTER!$G$5:$G$1204,$S169)&amp;"")</f>
        <v/>
      </c>
      <c r="V169" s="25" t="str">
        <f>IF($S169="","",SUMIFS(TRANSACTIONS_MASTER!$L$5:$L$1204,TRANSACTIONS_MASTER!$G$5:$G$1204,$U169,TRANSACTIONS_MASTER!$C$5:$C$1204,$C$2,TRANSACTIONS_MASTER!$U$5:$U$1204,"&lt;&gt;Cancelled"))</f>
        <v/>
      </c>
      <c r="W169" s="26" t="str">
        <f>IF($S169="","",SUMIFS(TRANSACTIONS_MASTER!$Q$5:$Q$1204,TRANSACTIONS_MASTER!$G$5:$G$1204,$U169,TRANSACTIONS_MASTER!$C$5:$C$1204,$C$2))</f>
        <v/>
      </c>
    </row>
    <row r="170">
      <c r="A170" s="81" t="str">
        <f>IF($Q170="","",163)</f>
        <v/>
      </c>
      <c r="B170" s="57" t="str">
        <f>IF($Q170="","",INDEX(TRANSACTIONS_MASTER!$B$5:$B$1204,$Q170))</f>
        <v/>
      </c>
      <c r="C170" s="55" t="str">
        <f>IF($Q170="","",INDEX(TRANSACTIONS_MASTER!$F$5:$F$1204,$Q170))</f>
        <v/>
      </c>
      <c r="D170" s="55" t="str">
        <f>IF($Q170="","",INDEX(TRANSACTIONS_MASTER!$E$5:$E$1204,$Q170))</f>
        <v/>
      </c>
      <c r="E170" s="55" t="str">
        <f>IF($Q170="","",INDEX(TRANSACTIONS_MASTER!$G$5:$G$1204,$Q170)&amp;"")</f>
        <v/>
      </c>
      <c r="F170" s="29" t="str">
        <f>IF($Q170="","",INDEX(TRANSACTIONS_MASTER!$I$5:$I$1204,$Q170))</f>
        <v/>
      </c>
      <c r="G170" s="55" t="str">
        <f>IF($Q170="","",INDEX(TRANSACTIONS_MASTER!$K$5:$K$1204,$Q170))</f>
        <v/>
      </c>
      <c r="H170" s="25" t="str">
        <f>IF($Q170="","",INDEX(TRANSACTIONS_MASTER!$L$5:$L$1204,$Q170))</f>
        <v/>
      </c>
      <c r="I170" s="56" t="str">
        <f>IF($Q170="","",INDEX(TRANSACTIONS_MASTER!$N$5:$N$1204,$Q170))</f>
        <v/>
      </c>
      <c r="J170" s="25" t="str">
        <f>IF($Q170="","",INDEX(TRANSACTIONS_MASTER!$O$5:$O$1204,$Q170))</f>
        <v/>
      </c>
      <c r="K170" s="26" t="str">
        <f>IF($Q170="","",INDEX(TRANSACTIONS_MASTER!$Q$5:$Q$1204,$Q170))</f>
        <v/>
      </c>
      <c r="L170" s="25" t="str">
        <f>IF($Q170="","",INDEX(TRANSACTIONS_MASTER!$P$5:$P$1204,$Q170))</f>
        <v/>
      </c>
      <c r="M170" s="25" t="str">
        <f>IF($Q170="","",INDEX(TRANSACTIONS_MASTER!$AA$5:$AA$1204,$Q170))</f>
        <v/>
      </c>
      <c r="N170" s="25" t="str">
        <f>IF($Q170="","",INDEX(TRANSACTIONS_MASTER!$R$5:$R$1204,$Q170))</f>
        <v/>
      </c>
      <c r="O170" s="28" t="str">
        <f>IF($Q170="","",INDEX(TRANSACTIONS_MASTER!$AB$5:$AB$1204,$Q170))</f>
        <v/>
      </c>
      <c r="P170" s="55" t="str">
        <f>IF($Q170="","",INDEX(TRANSACTIONS_MASTER!$Z$5:$Z$1204,$Q170)&amp;"")</f>
        <v/>
      </c>
      <c r="Q170" s="67" t="str">
        <f>IFERROR(MATCH($C$2&amp;"|"&amp;163,TRANSACTIONS_MASTER!$AE$5:$AE$1204,0),"")</f>
        <v/>
      </c>
      <c r="S170" s="67" t="str">
        <f>IFERROR(MATCH(1,INDEX((TRANSACTIONS_MASTER!$C$5:$C$1204=$C$2)*(TRANSACTIONS_MASTER!$AN$5:$AN$1204=12),0),0),"")</f>
        <v/>
      </c>
      <c r="T170" s="55" t="n"/>
      <c r="U170" s="55" t="str">
        <f>IF($S170="","",INDEX(TRANSACTIONS_MASTER!$G$5:$G$1204,$S170)&amp;"")</f>
        <v/>
      </c>
      <c r="V170" s="25" t="str">
        <f>IF($S170="","",SUMIFS(TRANSACTIONS_MASTER!$L$5:$L$1204,TRANSACTIONS_MASTER!$G$5:$G$1204,$U170,TRANSACTIONS_MASTER!$C$5:$C$1204,$C$2,TRANSACTIONS_MASTER!$U$5:$U$1204,"&lt;&gt;Cancelled"))</f>
        <v/>
      </c>
      <c r="W170" s="26" t="str">
        <f>IF($S170="","",SUMIFS(TRANSACTIONS_MASTER!$Q$5:$Q$1204,TRANSACTIONS_MASTER!$G$5:$G$1204,$U170,TRANSACTIONS_MASTER!$C$5:$C$1204,$C$2))</f>
        <v/>
      </c>
    </row>
    <row r="171">
      <c r="A171" s="81" t="str">
        <f>IF($Q171="","",164)</f>
        <v/>
      </c>
      <c r="B171" s="57" t="str">
        <f>IF($Q171="","",INDEX(TRANSACTIONS_MASTER!$B$5:$B$1204,$Q171))</f>
        <v/>
      </c>
      <c r="C171" s="55" t="str">
        <f>IF($Q171="","",INDEX(TRANSACTIONS_MASTER!$F$5:$F$1204,$Q171))</f>
        <v/>
      </c>
      <c r="D171" s="55" t="str">
        <f>IF($Q171="","",INDEX(TRANSACTIONS_MASTER!$E$5:$E$1204,$Q171))</f>
        <v/>
      </c>
      <c r="E171" s="55" t="str">
        <f>IF($Q171="","",INDEX(TRANSACTIONS_MASTER!$G$5:$G$1204,$Q171)&amp;"")</f>
        <v/>
      </c>
      <c r="F171" s="29" t="str">
        <f>IF($Q171="","",INDEX(TRANSACTIONS_MASTER!$I$5:$I$1204,$Q171))</f>
        <v/>
      </c>
      <c r="G171" s="55" t="str">
        <f>IF($Q171="","",INDEX(TRANSACTIONS_MASTER!$K$5:$K$1204,$Q171))</f>
        <v/>
      </c>
      <c r="H171" s="25" t="str">
        <f>IF($Q171="","",INDEX(TRANSACTIONS_MASTER!$L$5:$L$1204,$Q171))</f>
        <v/>
      </c>
      <c r="I171" s="56" t="str">
        <f>IF($Q171="","",INDEX(TRANSACTIONS_MASTER!$N$5:$N$1204,$Q171))</f>
        <v/>
      </c>
      <c r="J171" s="25" t="str">
        <f>IF($Q171="","",INDEX(TRANSACTIONS_MASTER!$O$5:$O$1204,$Q171))</f>
        <v/>
      </c>
      <c r="K171" s="26" t="str">
        <f>IF($Q171="","",INDEX(TRANSACTIONS_MASTER!$Q$5:$Q$1204,$Q171))</f>
        <v/>
      </c>
      <c r="L171" s="25" t="str">
        <f>IF($Q171="","",INDEX(TRANSACTIONS_MASTER!$P$5:$P$1204,$Q171))</f>
        <v/>
      </c>
      <c r="M171" s="25" t="str">
        <f>IF($Q171="","",INDEX(TRANSACTIONS_MASTER!$AA$5:$AA$1204,$Q171))</f>
        <v/>
      </c>
      <c r="N171" s="25" t="str">
        <f>IF($Q171="","",INDEX(TRANSACTIONS_MASTER!$R$5:$R$1204,$Q171))</f>
        <v/>
      </c>
      <c r="O171" s="28" t="str">
        <f>IF($Q171="","",INDEX(TRANSACTIONS_MASTER!$AB$5:$AB$1204,$Q171))</f>
        <v/>
      </c>
      <c r="P171" s="55" t="str">
        <f>IF($Q171="","",INDEX(TRANSACTIONS_MASTER!$Z$5:$Z$1204,$Q171)&amp;"")</f>
        <v/>
      </c>
      <c r="Q171" s="67" t="str">
        <f>IFERROR(MATCH($C$2&amp;"|"&amp;164,TRANSACTIONS_MASTER!$AE$5:$AE$1204,0),"")</f>
        <v/>
      </c>
      <c r="S171" s="67" t="str">
        <f>IFERROR(MATCH(1,INDEX((TRANSACTIONS_MASTER!$C$5:$C$1204=$C$2)*(TRANSACTIONS_MASTER!$AN$5:$AN$1204=13),0),0),"")</f>
        <v/>
      </c>
      <c r="T171" s="55" t="n"/>
      <c r="U171" s="55" t="str">
        <f>IF($S171="","",INDEX(TRANSACTIONS_MASTER!$G$5:$G$1204,$S171)&amp;"")</f>
        <v/>
      </c>
      <c r="V171" s="25" t="str">
        <f>IF($S171="","",SUMIFS(TRANSACTIONS_MASTER!$L$5:$L$1204,TRANSACTIONS_MASTER!$G$5:$G$1204,$U171,TRANSACTIONS_MASTER!$C$5:$C$1204,$C$2,TRANSACTIONS_MASTER!$U$5:$U$1204,"&lt;&gt;Cancelled"))</f>
        <v/>
      </c>
      <c r="W171" s="26" t="str">
        <f>IF($S171="","",SUMIFS(TRANSACTIONS_MASTER!$Q$5:$Q$1204,TRANSACTIONS_MASTER!$G$5:$G$1204,$U171,TRANSACTIONS_MASTER!$C$5:$C$1204,$C$2))</f>
        <v/>
      </c>
    </row>
    <row r="172">
      <c r="A172" s="81" t="str">
        <f>IF($Q172="","",165)</f>
        <v/>
      </c>
      <c r="B172" s="57" t="str">
        <f>IF($Q172="","",INDEX(TRANSACTIONS_MASTER!$B$5:$B$1204,$Q172))</f>
        <v/>
      </c>
      <c r="C172" s="55" t="str">
        <f>IF($Q172="","",INDEX(TRANSACTIONS_MASTER!$F$5:$F$1204,$Q172))</f>
        <v/>
      </c>
      <c r="D172" s="55" t="str">
        <f>IF($Q172="","",INDEX(TRANSACTIONS_MASTER!$E$5:$E$1204,$Q172))</f>
        <v/>
      </c>
      <c r="E172" s="55" t="str">
        <f>IF($Q172="","",INDEX(TRANSACTIONS_MASTER!$G$5:$G$1204,$Q172)&amp;"")</f>
        <v/>
      </c>
      <c r="F172" s="29" t="str">
        <f>IF($Q172="","",INDEX(TRANSACTIONS_MASTER!$I$5:$I$1204,$Q172))</f>
        <v/>
      </c>
      <c r="G172" s="55" t="str">
        <f>IF($Q172="","",INDEX(TRANSACTIONS_MASTER!$K$5:$K$1204,$Q172))</f>
        <v/>
      </c>
      <c r="H172" s="25" t="str">
        <f>IF($Q172="","",INDEX(TRANSACTIONS_MASTER!$L$5:$L$1204,$Q172))</f>
        <v/>
      </c>
      <c r="I172" s="56" t="str">
        <f>IF($Q172="","",INDEX(TRANSACTIONS_MASTER!$N$5:$N$1204,$Q172))</f>
        <v/>
      </c>
      <c r="J172" s="25" t="str">
        <f>IF($Q172="","",INDEX(TRANSACTIONS_MASTER!$O$5:$O$1204,$Q172))</f>
        <v/>
      </c>
      <c r="K172" s="26" t="str">
        <f>IF($Q172="","",INDEX(TRANSACTIONS_MASTER!$Q$5:$Q$1204,$Q172))</f>
        <v/>
      </c>
      <c r="L172" s="25" t="str">
        <f>IF($Q172="","",INDEX(TRANSACTIONS_MASTER!$P$5:$P$1204,$Q172))</f>
        <v/>
      </c>
      <c r="M172" s="25" t="str">
        <f>IF($Q172="","",INDEX(TRANSACTIONS_MASTER!$AA$5:$AA$1204,$Q172))</f>
        <v/>
      </c>
      <c r="N172" s="25" t="str">
        <f>IF($Q172="","",INDEX(TRANSACTIONS_MASTER!$R$5:$R$1204,$Q172))</f>
        <v/>
      </c>
      <c r="O172" s="28" t="str">
        <f>IF($Q172="","",INDEX(TRANSACTIONS_MASTER!$AB$5:$AB$1204,$Q172))</f>
        <v/>
      </c>
      <c r="P172" s="55" t="str">
        <f>IF($Q172="","",INDEX(TRANSACTIONS_MASTER!$Z$5:$Z$1204,$Q172)&amp;"")</f>
        <v/>
      </c>
      <c r="Q172" s="67" t="str">
        <f>IFERROR(MATCH($C$2&amp;"|"&amp;165,TRANSACTIONS_MASTER!$AE$5:$AE$1204,0),"")</f>
        <v/>
      </c>
      <c r="S172" s="67" t="str">
        <f>IFERROR(MATCH(1,INDEX((TRANSACTIONS_MASTER!$C$5:$C$1204=$C$2)*(TRANSACTIONS_MASTER!$AN$5:$AN$1204=14),0),0),"")</f>
        <v/>
      </c>
      <c r="T172" s="55" t="n"/>
      <c r="U172" s="55" t="str">
        <f>IF($S172="","",INDEX(TRANSACTIONS_MASTER!$G$5:$G$1204,$S172)&amp;"")</f>
        <v/>
      </c>
      <c r="V172" s="25" t="str">
        <f>IF($S172="","",SUMIFS(TRANSACTIONS_MASTER!$L$5:$L$1204,TRANSACTIONS_MASTER!$G$5:$G$1204,$U172,TRANSACTIONS_MASTER!$C$5:$C$1204,$C$2,TRANSACTIONS_MASTER!$U$5:$U$1204,"&lt;&gt;Cancelled"))</f>
        <v/>
      </c>
      <c r="W172" s="26" t="str">
        <f>IF($S172="","",SUMIFS(TRANSACTIONS_MASTER!$Q$5:$Q$1204,TRANSACTIONS_MASTER!$G$5:$G$1204,$U172,TRANSACTIONS_MASTER!$C$5:$C$1204,$C$2))</f>
        <v/>
      </c>
    </row>
    <row r="173">
      <c r="A173" s="81" t="str">
        <f>IF($Q173="","",166)</f>
        <v/>
      </c>
      <c r="B173" s="57" t="str">
        <f>IF($Q173="","",INDEX(TRANSACTIONS_MASTER!$B$5:$B$1204,$Q173))</f>
        <v/>
      </c>
      <c r="C173" s="55" t="str">
        <f>IF($Q173="","",INDEX(TRANSACTIONS_MASTER!$F$5:$F$1204,$Q173))</f>
        <v/>
      </c>
      <c r="D173" s="55" t="str">
        <f>IF($Q173="","",INDEX(TRANSACTIONS_MASTER!$E$5:$E$1204,$Q173))</f>
        <v/>
      </c>
      <c r="E173" s="55" t="str">
        <f>IF($Q173="","",INDEX(TRANSACTIONS_MASTER!$G$5:$G$1204,$Q173)&amp;"")</f>
        <v/>
      </c>
      <c r="F173" s="29" t="str">
        <f>IF($Q173="","",INDEX(TRANSACTIONS_MASTER!$I$5:$I$1204,$Q173))</f>
        <v/>
      </c>
      <c r="G173" s="55" t="str">
        <f>IF($Q173="","",INDEX(TRANSACTIONS_MASTER!$K$5:$K$1204,$Q173))</f>
        <v/>
      </c>
      <c r="H173" s="25" t="str">
        <f>IF($Q173="","",INDEX(TRANSACTIONS_MASTER!$L$5:$L$1204,$Q173))</f>
        <v/>
      </c>
      <c r="I173" s="56" t="str">
        <f>IF($Q173="","",INDEX(TRANSACTIONS_MASTER!$N$5:$N$1204,$Q173))</f>
        <v/>
      </c>
      <c r="J173" s="25" t="str">
        <f>IF($Q173="","",INDEX(TRANSACTIONS_MASTER!$O$5:$O$1204,$Q173))</f>
        <v/>
      </c>
      <c r="K173" s="26" t="str">
        <f>IF($Q173="","",INDEX(TRANSACTIONS_MASTER!$Q$5:$Q$1204,$Q173))</f>
        <v/>
      </c>
      <c r="L173" s="25" t="str">
        <f>IF($Q173="","",INDEX(TRANSACTIONS_MASTER!$P$5:$P$1204,$Q173))</f>
        <v/>
      </c>
      <c r="M173" s="25" t="str">
        <f>IF($Q173="","",INDEX(TRANSACTIONS_MASTER!$AA$5:$AA$1204,$Q173))</f>
        <v/>
      </c>
      <c r="N173" s="25" t="str">
        <f>IF($Q173="","",INDEX(TRANSACTIONS_MASTER!$R$5:$R$1204,$Q173))</f>
        <v/>
      </c>
      <c r="O173" s="28" t="str">
        <f>IF($Q173="","",INDEX(TRANSACTIONS_MASTER!$AB$5:$AB$1204,$Q173))</f>
        <v/>
      </c>
      <c r="P173" s="55" t="str">
        <f>IF($Q173="","",INDEX(TRANSACTIONS_MASTER!$Z$5:$Z$1204,$Q173)&amp;"")</f>
        <v/>
      </c>
      <c r="Q173" s="67" t="str">
        <f>IFERROR(MATCH($C$2&amp;"|"&amp;166,TRANSACTIONS_MASTER!$AE$5:$AE$1204,0),"")</f>
        <v/>
      </c>
      <c r="S173" s="67" t="str">
        <f>IFERROR(MATCH(1,INDEX((TRANSACTIONS_MASTER!$C$5:$C$1204=$C$2)*(TRANSACTIONS_MASTER!$AN$5:$AN$1204=15),0),0),"")</f>
        <v/>
      </c>
      <c r="T173" s="55" t="n"/>
      <c r="U173" s="55" t="str">
        <f>IF($S173="","",INDEX(TRANSACTIONS_MASTER!$G$5:$G$1204,$S173)&amp;"")</f>
        <v/>
      </c>
      <c r="V173" s="25" t="str">
        <f>IF($S173="","",SUMIFS(TRANSACTIONS_MASTER!$L$5:$L$1204,TRANSACTIONS_MASTER!$G$5:$G$1204,$U173,TRANSACTIONS_MASTER!$C$5:$C$1204,$C$2,TRANSACTIONS_MASTER!$U$5:$U$1204,"&lt;&gt;Cancelled"))</f>
        <v/>
      </c>
      <c r="W173" s="26" t="str">
        <f>IF($S173="","",SUMIFS(TRANSACTIONS_MASTER!$Q$5:$Q$1204,TRANSACTIONS_MASTER!$G$5:$G$1204,$U173,TRANSACTIONS_MASTER!$C$5:$C$1204,$C$2))</f>
        <v/>
      </c>
    </row>
    <row r="174">
      <c r="A174" s="81" t="str">
        <f>IF($Q174="","",167)</f>
        <v/>
      </c>
      <c r="B174" s="57" t="str">
        <f>IF($Q174="","",INDEX(TRANSACTIONS_MASTER!$B$5:$B$1204,$Q174))</f>
        <v/>
      </c>
      <c r="C174" s="55" t="str">
        <f>IF($Q174="","",INDEX(TRANSACTIONS_MASTER!$F$5:$F$1204,$Q174))</f>
        <v/>
      </c>
      <c r="D174" s="55" t="str">
        <f>IF($Q174="","",INDEX(TRANSACTIONS_MASTER!$E$5:$E$1204,$Q174))</f>
        <v/>
      </c>
      <c r="E174" s="55" t="str">
        <f>IF($Q174="","",INDEX(TRANSACTIONS_MASTER!$G$5:$G$1204,$Q174)&amp;"")</f>
        <v/>
      </c>
      <c r="F174" s="29" t="str">
        <f>IF($Q174="","",INDEX(TRANSACTIONS_MASTER!$I$5:$I$1204,$Q174))</f>
        <v/>
      </c>
      <c r="G174" s="55" t="str">
        <f>IF($Q174="","",INDEX(TRANSACTIONS_MASTER!$K$5:$K$1204,$Q174))</f>
        <v/>
      </c>
      <c r="H174" s="25" t="str">
        <f>IF($Q174="","",INDEX(TRANSACTIONS_MASTER!$L$5:$L$1204,$Q174))</f>
        <v/>
      </c>
      <c r="I174" s="56" t="str">
        <f>IF($Q174="","",INDEX(TRANSACTIONS_MASTER!$N$5:$N$1204,$Q174))</f>
        <v/>
      </c>
      <c r="J174" s="25" t="str">
        <f>IF($Q174="","",INDEX(TRANSACTIONS_MASTER!$O$5:$O$1204,$Q174))</f>
        <v/>
      </c>
      <c r="K174" s="26" t="str">
        <f>IF($Q174="","",INDEX(TRANSACTIONS_MASTER!$Q$5:$Q$1204,$Q174))</f>
        <v/>
      </c>
      <c r="L174" s="25" t="str">
        <f>IF($Q174="","",INDEX(TRANSACTIONS_MASTER!$P$5:$P$1204,$Q174))</f>
        <v/>
      </c>
      <c r="M174" s="25" t="str">
        <f>IF($Q174="","",INDEX(TRANSACTIONS_MASTER!$AA$5:$AA$1204,$Q174))</f>
        <v/>
      </c>
      <c r="N174" s="25" t="str">
        <f>IF($Q174="","",INDEX(TRANSACTIONS_MASTER!$R$5:$R$1204,$Q174))</f>
        <v/>
      </c>
      <c r="O174" s="28" t="str">
        <f>IF($Q174="","",INDEX(TRANSACTIONS_MASTER!$AB$5:$AB$1204,$Q174))</f>
        <v/>
      </c>
      <c r="P174" s="55" t="str">
        <f>IF($Q174="","",INDEX(TRANSACTIONS_MASTER!$Z$5:$Z$1204,$Q174)&amp;"")</f>
        <v/>
      </c>
      <c r="Q174" s="67" t="str">
        <f>IFERROR(MATCH($C$2&amp;"|"&amp;167,TRANSACTIONS_MASTER!$AE$5:$AE$1204,0),"")</f>
        <v/>
      </c>
      <c r="S174" s="67" t="str">
        <f>IFERROR(MATCH(1,INDEX((TRANSACTIONS_MASTER!$C$5:$C$1204=$C$2)*(TRANSACTIONS_MASTER!$AN$5:$AN$1204=16),0),0),"")</f>
        <v/>
      </c>
      <c r="T174" s="55" t="n"/>
      <c r="U174" s="55" t="str">
        <f>IF($S174="","",INDEX(TRANSACTIONS_MASTER!$G$5:$G$1204,$S174)&amp;"")</f>
        <v/>
      </c>
      <c r="V174" s="25" t="str">
        <f>IF($S174="","",SUMIFS(TRANSACTIONS_MASTER!$L$5:$L$1204,TRANSACTIONS_MASTER!$G$5:$G$1204,$U174,TRANSACTIONS_MASTER!$C$5:$C$1204,$C$2,TRANSACTIONS_MASTER!$U$5:$U$1204,"&lt;&gt;Cancelled"))</f>
        <v/>
      </c>
      <c r="W174" s="26" t="str">
        <f>IF($S174="","",SUMIFS(TRANSACTIONS_MASTER!$Q$5:$Q$1204,TRANSACTIONS_MASTER!$G$5:$G$1204,$U174,TRANSACTIONS_MASTER!$C$5:$C$1204,$C$2))</f>
        <v/>
      </c>
    </row>
    <row r="175">
      <c r="A175" s="81" t="str">
        <f>IF($Q175="","",168)</f>
        <v/>
      </c>
      <c r="B175" s="57" t="str">
        <f>IF($Q175="","",INDEX(TRANSACTIONS_MASTER!$B$5:$B$1204,$Q175))</f>
        <v/>
      </c>
      <c r="C175" s="55" t="str">
        <f>IF($Q175="","",INDEX(TRANSACTIONS_MASTER!$F$5:$F$1204,$Q175))</f>
        <v/>
      </c>
      <c r="D175" s="55" t="str">
        <f>IF($Q175="","",INDEX(TRANSACTIONS_MASTER!$E$5:$E$1204,$Q175))</f>
        <v/>
      </c>
      <c r="E175" s="55" t="str">
        <f>IF($Q175="","",INDEX(TRANSACTIONS_MASTER!$G$5:$G$1204,$Q175)&amp;"")</f>
        <v/>
      </c>
      <c r="F175" s="29" t="str">
        <f>IF($Q175="","",INDEX(TRANSACTIONS_MASTER!$I$5:$I$1204,$Q175))</f>
        <v/>
      </c>
      <c r="G175" s="55" t="str">
        <f>IF($Q175="","",INDEX(TRANSACTIONS_MASTER!$K$5:$K$1204,$Q175))</f>
        <v/>
      </c>
      <c r="H175" s="25" t="str">
        <f>IF($Q175="","",INDEX(TRANSACTIONS_MASTER!$L$5:$L$1204,$Q175))</f>
        <v/>
      </c>
      <c r="I175" s="56" t="str">
        <f>IF($Q175="","",INDEX(TRANSACTIONS_MASTER!$N$5:$N$1204,$Q175))</f>
        <v/>
      </c>
      <c r="J175" s="25" t="str">
        <f>IF($Q175="","",INDEX(TRANSACTIONS_MASTER!$O$5:$O$1204,$Q175))</f>
        <v/>
      </c>
      <c r="K175" s="26" t="str">
        <f>IF($Q175="","",INDEX(TRANSACTIONS_MASTER!$Q$5:$Q$1204,$Q175))</f>
        <v/>
      </c>
      <c r="L175" s="25" t="str">
        <f>IF($Q175="","",INDEX(TRANSACTIONS_MASTER!$P$5:$P$1204,$Q175))</f>
        <v/>
      </c>
      <c r="M175" s="25" t="str">
        <f>IF($Q175="","",INDEX(TRANSACTIONS_MASTER!$AA$5:$AA$1204,$Q175))</f>
        <v/>
      </c>
      <c r="N175" s="25" t="str">
        <f>IF($Q175="","",INDEX(TRANSACTIONS_MASTER!$R$5:$R$1204,$Q175))</f>
        <v/>
      </c>
      <c r="O175" s="28" t="str">
        <f>IF($Q175="","",INDEX(TRANSACTIONS_MASTER!$AB$5:$AB$1204,$Q175))</f>
        <v/>
      </c>
      <c r="P175" s="55" t="str">
        <f>IF($Q175="","",INDEX(TRANSACTIONS_MASTER!$Z$5:$Z$1204,$Q175)&amp;"")</f>
        <v/>
      </c>
      <c r="Q175" s="67" t="str">
        <f>IFERROR(MATCH($C$2&amp;"|"&amp;168,TRANSACTIONS_MASTER!$AE$5:$AE$1204,0),"")</f>
        <v/>
      </c>
      <c r="S175" s="67" t="str">
        <f>IFERROR(MATCH(1,INDEX((TRANSACTIONS_MASTER!$C$5:$C$1204=$C$2)*(TRANSACTIONS_MASTER!$AN$5:$AN$1204=17),0),0),"")</f>
        <v/>
      </c>
      <c r="T175" s="55" t="n"/>
      <c r="U175" s="55" t="str">
        <f>IF($S175="","",INDEX(TRANSACTIONS_MASTER!$G$5:$G$1204,$S175)&amp;"")</f>
        <v/>
      </c>
      <c r="V175" s="25" t="str">
        <f>IF($S175="","",SUMIFS(TRANSACTIONS_MASTER!$L$5:$L$1204,TRANSACTIONS_MASTER!$G$5:$G$1204,$U175,TRANSACTIONS_MASTER!$C$5:$C$1204,$C$2,TRANSACTIONS_MASTER!$U$5:$U$1204,"&lt;&gt;Cancelled"))</f>
        <v/>
      </c>
      <c r="W175" s="26" t="str">
        <f>IF($S175="","",SUMIFS(TRANSACTIONS_MASTER!$Q$5:$Q$1204,TRANSACTIONS_MASTER!$G$5:$G$1204,$U175,TRANSACTIONS_MASTER!$C$5:$C$1204,$C$2))</f>
        <v/>
      </c>
    </row>
    <row r="176">
      <c r="A176" s="81" t="str">
        <f>IF($Q176="","",169)</f>
        <v/>
      </c>
      <c r="B176" s="57" t="str">
        <f>IF($Q176="","",INDEX(TRANSACTIONS_MASTER!$B$5:$B$1204,$Q176))</f>
        <v/>
      </c>
      <c r="C176" s="55" t="str">
        <f>IF($Q176="","",INDEX(TRANSACTIONS_MASTER!$F$5:$F$1204,$Q176))</f>
        <v/>
      </c>
      <c r="D176" s="55" t="str">
        <f>IF($Q176="","",INDEX(TRANSACTIONS_MASTER!$E$5:$E$1204,$Q176))</f>
        <v/>
      </c>
      <c r="E176" s="55" t="str">
        <f>IF($Q176="","",INDEX(TRANSACTIONS_MASTER!$G$5:$G$1204,$Q176)&amp;"")</f>
        <v/>
      </c>
      <c r="F176" s="29" t="str">
        <f>IF($Q176="","",INDEX(TRANSACTIONS_MASTER!$I$5:$I$1204,$Q176))</f>
        <v/>
      </c>
      <c r="G176" s="55" t="str">
        <f>IF($Q176="","",INDEX(TRANSACTIONS_MASTER!$K$5:$K$1204,$Q176))</f>
        <v/>
      </c>
      <c r="H176" s="25" t="str">
        <f>IF($Q176="","",INDEX(TRANSACTIONS_MASTER!$L$5:$L$1204,$Q176))</f>
        <v/>
      </c>
      <c r="I176" s="56" t="str">
        <f>IF($Q176="","",INDEX(TRANSACTIONS_MASTER!$N$5:$N$1204,$Q176))</f>
        <v/>
      </c>
      <c r="J176" s="25" t="str">
        <f>IF($Q176="","",INDEX(TRANSACTIONS_MASTER!$O$5:$O$1204,$Q176))</f>
        <v/>
      </c>
      <c r="K176" s="26" t="str">
        <f>IF($Q176="","",INDEX(TRANSACTIONS_MASTER!$Q$5:$Q$1204,$Q176))</f>
        <v/>
      </c>
      <c r="L176" s="25" t="str">
        <f>IF($Q176="","",INDEX(TRANSACTIONS_MASTER!$P$5:$P$1204,$Q176))</f>
        <v/>
      </c>
      <c r="M176" s="25" t="str">
        <f>IF($Q176="","",INDEX(TRANSACTIONS_MASTER!$AA$5:$AA$1204,$Q176))</f>
        <v/>
      </c>
      <c r="N176" s="25" t="str">
        <f>IF($Q176="","",INDEX(TRANSACTIONS_MASTER!$R$5:$R$1204,$Q176))</f>
        <v/>
      </c>
      <c r="O176" s="28" t="str">
        <f>IF($Q176="","",INDEX(TRANSACTIONS_MASTER!$AB$5:$AB$1204,$Q176))</f>
        <v/>
      </c>
      <c r="P176" s="55" t="str">
        <f>IF($Q176="","",INDEX(TRANSACTIONS_MASTER!$Z$5:$Z$1204,$Q176)&amp;"")</f>
        <v/>
      </c>
      <c r="Q176" s="67" t="str">
        <f>IFERROR(MATCH($C$2&amp;"|"&amp;169,TRANSACTIONS_MASTER!$AE$5:$AE$1204,0),"")</f>
        <v/>
      </c>
      <c r="S176" s="67" t="str">
        <f>IFERROR(MATCH(1,INDEX((TRANSACTIONS_MASTER!$C$5:$C$1204=$C$2)*(TRANSACTIONS_MASTER!$AN$5:$AN$1204=18),0),0),"")</f>
        <v/>
      </c>
      <c r="T176" s="55" t="n"/>
      <c r="U176" s="55" t="str">
        <f>IF($S176="","",INDEX(TRANSACTIONS_MASTER!$G$5:$G$1204,$S176)&amp;"")</f>
        <v/>
      </c>
      <c r="V176" s="25" t="str">
        <f>IF($S176="","",SUMIFS(TRANSACTIONS_MASTER!$L$5:$L$1204,TRANSACTIONS_MASTER!$G$5:$G$1204,$U176,TRANSACTIONS_MASTER!$C$5:$C$1204,$C$2,TRANSACTIONS_MASTER!$U$5:$U$1204,"&lt;&gt;Cancelled"))</f>
        <v/>
      </c>
      <c r="W176" s="26" t="str">
        <f>IF($S176="","",SUMIFS(TRANSACTIONS_MASTER!$Q$5:$Q$1204,TRANSACTIONS_MASTER!$G$5:$G$1204,$U176,TRANSACTIONS_MASTER!$C$5:$C$1204,$C$2))</f>
        <v/>
      </c>
    </row>
    <row r="177">
      <c r="A177" s="81" t="str">
        <f>IF($Q177="","",170)</f>
        <v/>
      </c>
      <c r="B177" s="57" t="str">
        <f>IF($Q177="","",INDEX(TRANSACTIONS_MASTER!$B$5:$B$1204,$Q177))</f>
        <v/>
      </c>
      <c r="C177" s="55" t="str">
        <f>IF($Q177="","",INDEX(TRANSACTIONS_MASTER!$F$5:$F$1204,$Q177))</f>
        <v/>
      </c>
      <c r="D177" s="55" t="str">
        <f>IF($Q177="","",INDEX(TRANSACTIONS_MASTER!$E$5:$E$1204,$Q177))</f>
        <v/>
      </c>
      <c r="E177" s="55" t="str">
        <f>IF($Q177="","",INDEX(TRANSACTIONS_MASTER!$G$5:$G$1204,$Q177)&amp;"")</f>
        <v/>
      </c>
      <c r="F177" s="29" t="str">
        <f>IF($Q177="","",INDEX(TRANSACTIONS_MASTER!$I$5:$I$1204,$Q177))</f>
        <v/>
      </c>
      <c r="G177" s="55" t="str">
        <f>IF($Q177="","",INDEX(TRANSACTIONS_MASTER!$K$5:$K$1204,$Q177))</f>
        <v/>
      </c>
      <c r="H177" s="25" t="str">
        <f>IF($Q177="","",INDEX(TRANSACTIONS_MASTER!$L$5:$L$1204,$Q177))</f>
        <v/>
      </c>
      <c r="I177" s="56" t="str">
        <f>IF($Q177="","",INDEX(TRANSACTIONS_MASTER!$N$5:$N$1204,$Q177))</f>
        <v/>
      </c>
      <c r="J177" s="25" t="str">
        <f>IF($Q177="","",INDEX(TRANSACTIONS_MASTER!$O$5:$O$1204,$Q177))</f>
        <v/>
      </c>
      <c r="K177" s="26" t="str">
        <f>IF($Q177="","",INDEX(TRANSACTIONS_MASTER!$Q$5:$Q$1204,$Q177))</f>
        <v/>
      </c>
      <c r="L177" s="25" t="str">
        <f>IF($Q177="","",INDEX(TRANSACTIONS_MASTER!$P$5:$P$1204,$Q177))</f>
        <v/>
      </c>
      <c r="M177" s="25" t="str">
        <f>IF($Q177="","",INDEX(TRANSACTIONS_MASTER!$AA$5:$AA$1204,$Q177))</f>
        <v/>
      </c>
      <c r="N177" s="25" t="str">
        <f>IF($Q177="","",INDEX(TRANSACTIONS_MASTER!$R$5:$R$1204,$Q177))</f>
        <v/>
      </c>
      <c r="O177" s="28" t="str">
        <f>IF($Q177="","",INDEX(TRANSACTIONS_MASTER!$AB$5:$AB$1204,$Q177))</f>
        <v/>
      </c>
      <c r="P177" s="55" t="str">
        <f>IF($Q177="","",INDEX(TRANSACTIONS_MASTER!$Z$5:$Z$1204,$Q177)&amp;"")</f>
        <v/>
      </c>
      <c r="Q177" s="67" t="str">
        <f>IFERROR(MATCH($C$2&amp;"|"&amp;170,TRANSACTIONS_MASTER!$AE$5:$AE$1204,0),"")</f>
        <v/>
      </c>
      <c r="S177" s="67" t="str">
        <f>IFERROR(MATCH(1,INDEX((TRANSACTIONS_MASTER!$C$5:$C$1204=$C$2)*(TRANSACTIONS_MASTER!$AN$5:$AN$1204=19),0),0),"")</f>
        <v/>
      </c>
      <c r="T177" s="55" t="n"/>
      <c r="U177" s="55" t="str">
        <f>IF($S177="","",INDEX(TRANSACTIONS_MASTER!$G$5:$G$1204,$S177)&amp;"")</f>
        <v/>
      </c>
      <c r="V177" s="25" t="str">
        <f>IF($S177="","",SUMIFS(TRANSACTIONS_MASTER!$L$5:$L$1204,TRANSACTIONS_MASTER!$G$5:$G$1204,$U177,TRANSACTIONS_MASTER!$C$5:$C$1204,$C$2,TRANSACTIONS_MASTER!$U$5:$U$1204,"&lt;&gt;Cancelled"))</f>
        <v/>
      </c>
      <c r="W177" s="26" t="str">
        <f>IF($S177="","",SUMIFS(TRANSACTIONS_MASTER!$Q$5:$Q$1204,TRANSACTIONS_MASTER!$G$5:$G$1204,$U177,TRANSACTIONS_MASTER!$C$5:$C$1204,$C$2))</f>
        <v/>
      </c>
    </row>
    <row r="178">
      <c r="A178" s="81" t="str">
        <f>IF($Q178="","",171)</f>
        <v/>
      </c>
      <c r="B178" s="57" t="str">
        <f>IF($Q178="","",INDEX(TRANSACTIONS_MASTER!$B$5:$B$1204,$Q178))</f>
        <v/>
      </c>
      <c r="C178" s="55" t="str">
        <f>IF($Q178="","",INDEX(TRANSACTIONS_MASTER!$F$5:$F$1204,$Q178))</f>
        <v/>
      </c>
      <c r="D178" s="55" t="str">
        <f>IF($Q178="","",INDEX(TRANSACTIONS_MASTER!$E$5:$E$1204,$Q178))</f>
        <v/>
      </c>
      <c r="E178" s="55" t="str">
        <f>IF($Q178="","",INDEX(TRANSACTIONS_MASTER!$G$5:$G$1204,$Q178)&amp;"")</f>
        <v/>
      </c>
      <c r="F178" s="29" t="str">
        <f>IF($Q178="","",INDEX(TRANSACTIONS_MASTER!$I$5:$I$1204,$Q178))</f>
        <v/>
      </c>
      <c r="G178" s="55" t="str">
        <f>IF($Q178="","",INDEX(TRANSACTIONS_MASTER!$K$5:$K$1204,$Q178))</f>
        <v/>
      </c>
      <c r="H178" s="25" t="str">
        <f>IF($Q178="","",INDEX(TRANSACTIONS_MASTER!$L$5:$L$1204,$Q178))</f>
        <v/>
      </c>
      <c r="I178" s="56" t="str">
        <f>IF($Q178="","",INDEX(TRANSACTIONS_MASTER!$N$5:$N$1204,$Q178))</f>
        <v/>
      </c>
      <c r="J178" s="25" t="str">
        <f>IF($Q178="","",INDEX(TRANSACTIONS_MASTER!$O$5:$O$1204,$Q178))</f>
        <v/>
      </c>
      <c r="K178" s="26" t="str">
        <f>IF($Q178="","",INDEX(TRANSACTIONS_MASTER!$Q$5:$Q$1204,$Q178))</f>
        <v/>
      </c>
      <c r="L178" s="25" t="str">
        <f>IF($Q178="","",INDEX(TRANSACTIONS_MASTER!$P$5:$P$1204,$Q178))</f>
        <v/>
      </c>
      <c r="M178" s="25" t="str">
        <f>IF($Q178="","",INDEX(TRANSACTIONS_MASTER!$AA$5:$AA$1204,$Q178))</f>
        <v/>
      </c>
      <c r="N178" s="25" t="str">
        <f>IF($Q178="","",INDEX(TRANSACTIONS_MASTER!$R$5:$R$1204,$Q178))</f>
        <v/>
      </c>
      <c r="O178" s="28" t="str">
        <f>IF($Q178="","",INDEX(TRANSACTIONS_MASTER!$AB$5:$AB$1204,$Q178))</f>
        <v/>
      </c>
      <c r="P178" s="55" t="str">
        <f>IF($Q178="","",INDEX(TRANSACTIONS_MASTER!$Z$5:$Z$1204,$Q178)&amp;"")</f>
        <v/>
      </c>
      <c r="Q178" s="67" t="str">
        <f>IFERROR(MATCH($C$2&amp;"|"&amp;171,TRANSACTIONS_MASTER!$AE$5:$AE$1204,0),"")</f>
        <v/>
      </c>
      <c r="S178" s="67" t="str">
        <f>IFERROR(MATCH(1,INDEX((TRANSACTIONS_MASTER!$C$5:$C$1204=$C$2)*(TRANSACTIONS_MASTER!$AN$5:$AN$1204=20),0),0),"")</f>
        <v/>
      </c>
      <c r="T178" s="55" t="n"/>
      <c r="U178" s="55" t="str">
        <f>IF($S178="","",INDEX(TRANSACTIONS_MASTER!$G$5:$G$1204,$S178)&amp;"")</f>
        <v/>
      </c>
      <c r="V178" s="25" t="str">
        <f>IF($S178="","",SUMIFS(TRANSACTIONS_MASTER!$L$5:$L$1204,TRANSACTIONS_MASTER!$G$5:$G$1204,$U178,TRANSACTIONS_MASTER!$C$5:$C$1204,$C$2,TRANSACTIONS_MASTER!$U$5:$U$1204,"&lt;&gt;Cancelled"))</f>
        <v/>
      </c>
      <c r="W178" s="26" t="str">
        <f>IF($S178="","",SUMIFS(TRANSACTIONS_MASTER!$Q$5:$Q$1204,TRANSACTIONS_MASTER!$G$5:$G$1204,$U178,TRANSACTIONS_MASTER!$C$5:$C$1204,$C$2))</f>
        <v/>
      </c>
    </row>
    <row r="179">
      <c r="A179" s="81" t="str">
        <f>IF($Q179="","",172)</f>
        <v/>
      </c>
      <c r="B179" s="57" t="str">
        <f>IF($Q179="","",INDEX(TRANSACTIONS_MASTER!$B$5:$B$1204,$Q179))</f>
        <v/>
      </c>
      <c r="C179" s="55" t="str">
        <f>IF($Q179="","",INDEX(TRANSACTIONS_MASTER!$F$5:$F$1204,$Q179))</f>
        <v/>
      </c>
      <c r="D179" s="55" t="str">
        <f>IF($Q179="","",INDEX(TRANSACTIONS_MASTER!$E$5:$E$1204,$Q179))</f>
        <v/>
      </c>
      <c r="E179" s="55" t="str">
        <f>IF($Q179="","",INDEX(TRANSACTIONS_MASTER!$G$5:$G$1204,$Q179)&amp;"")</f>
        <v/>
      </c>
      <c r="F179" s="29" t="str">
        <f>IF($Q179="","",INDEX(TRANSACTIONS_MASTER!$I$5:$I$1204,$Q179))</f>
        <v/>
      </c>
      <c r="G179" s="55" t="str">
        <f>IF($Q179="","",INDEX(TRANSACTIONS_MASTER!$K$5:$K$1204,$Q179))</f>
        <v/>
      </c>
      <c r="H179" s="25" t="str">
        <f>IF($Q179="","",INDEX(TRANSACTIONS_MASTER!$L$5:$L$1204,$Q179))</f>
        <v/>
      </c>
      <c r="I179" s="56" t="str">
        <f>IF($Q179="","",INDEX(TRANSACTIONS_MASTER!$N$5:$N$1204,$Q179))</f>
        <v/>
      </c>
      <c r="J179" s="25" t="str">
        <f>IF($Q179="","",INDEX(TRANSACTIONS_MASTER!$O$5:$O$1204,$Q179))</f>
        <v/>
      </c>
      <c r="K179" s="26" t="str">
        <f>IF($Q179="","",INDEX(TRANSACTIONS_MASTER!$Q$5:$Q$1204,$Q179))</f>
        <v/>
      </c>
      <c r="L179" s="25" t="str">
        <f>IF($Q179="","",INDEX(TRANSACTIONS_MASTER!$P$5:$P$1204,$Q179))</f>
        <v/>
      </c>
      <c r="M179" s="25" t="str">
        <f>IF($Q179="","",INDEX(TRANSACTIONS_MASTER!$AA$5:$AA$1204,$Q179))</f>
        <v/>
      </c>
      <c r="N179" s="25" t="str">
        <f>IF($Q179="","",INDEX(TRANSACTIONS_MASTER!$R$5:$R$1204,$Q179))</f>
        <v/>
      </c>
      <c r="O179" s="28" t="str">
        <f>IF($Q179="","",INDEX(TRANSACTIONS_MASTER!$AB$5:$AB$1204,$Q179))</f>
        <v/>
      </c>
      <c r="P179" s="55" t="str">
        <f>IF($Q179="","",INDEX(TRANSACTIONS_MASTER!$Z$5:$Z$1204,$Q179)&amp;"")</f>
        <v/>
      </c>
      <c r="Q179" s="67" t="str">
        <f>IFERROR(MATCH($C$2&amp;"|"&amp;172,TRANSACTIONS_MASTER!$AE$5:$AE$1204,0),"")</f>
        <v/>
      </c>
      <c r="T179" s="45" t="n"/>
      <c r="U179" s="82" t="inlineStr">
        <is>
          <t>Khác (ngoài danh sách)</t>
        </is>
      </c>
      <c r="V179" s="48">
        <f>MAX(0,SUMIFS(TRANSACTIONS_MASTER!$L$5:$L$1204,TRANSACTIONS_MASTER!$C$5:$C$1204,$C$2,TRANSACTIONS_MASTER!$U$5:$U$1204,"&lt;&gt;Cancelled")-SUM(V159:V178))</f>
        <v>0</v>
      </c>
      <c r="W179" s="48">
        <f>MAX(0,SUMIFS(TRANSACTIONS_MASTER!$Q$5:$Q$1204,TRANSACTIONS_MASTER!$C$5:$C$1204,$C$2)-SUM(W159:W178))</f>
        <v>0</v>
      </c>
    </row>
    <row r="180">
      <c r="A180" s="81" t="str">
        <f>IF($Q180="","",173)</f>
        <v/>
      </c>
      <c r="B180" s="57" t="str">
        <f>IF($Q180="","",INDEX(TRANSACTIONS_MASTER!$B$5:$B$1204,$Q180))</f>
        <v/>
      </c>
      <c r="C180" s="55" t="str">
        <f>IF($Q180="","",INDEX(TRANSACTIONS_MASTER!$F$5:$F$1204,$Q180))</f>
        <v/>
      </c>
      <c r="D180" s="55" t="str">
        <f>IF($Q180="","",INDEX(TRANSACTIONS_MASTER!$E$5:$E$1204,$Q180))</f>
        <v/>
      </c>
      <c r="E180" s="55" t="str">
        <f>IF($Q180="","",INDEX(TRANSACTIONS_MASTER!$G$5:$G$1204,$Q180)&amp;"")</f>
        <v/>
      </c>
      <c r="F180" s="29" t="str">
        <f>IF($Q180="","",INDEX(TRANSACTIONS_MASTER!$I$5:$I$1204,$Q180))</f>
        <v/>
      </c>
      <c r="G180" s="55" t="str">
        <f>IF($Q180="","",INDEX(TRANSACTIONS_MASTER!$K$5:$K$1204,$Q180))</f>
        <v/>
      </c>
      <c r="H180" s="25" t="str">
        <f>IF($Q180="","",INDEX(TRANSACTIONS_MASTER!$L$5:$L$1204,$Q180))</f>
        <v/>
      </c>
      <c r="I180" s="56" t="str">
        <f>IF($Q180="","",INDEX(TRANSACTIONS_MASTER!$N$5:$N$1204,$Q180))</f>
        <v/>
      </c>
      <c r="J180" s="25" t="str">
        <f>IF($Q180="","",INDEX(TRANSACTIONS_MASTER!$O$5:$O$1204,$Q180))</f>
        <v/>
      </c>
      <c r="K180" s="26" t="str">
        <f>IF($Q180="","",INDEX(TRANSACTIONS_MASTER!$Q$5:$Q$1204,$Q180))</f>
        <v/>
      </c>
      <c r="L180" s="25" t="str">
        <f>IF($Q180="","",INDEX(TRANSACTIONS_MASTER!$P$5:$P$1204,$Q180))</f>
        <v/>
      </c>
      <c r="M180" s="25" t="str">
        <f>IF($Q180="","",INDEX(TRANSACTIONS_MASTER!$AA$5:$AA$1204,$Q180))</f>
        <v/>
      </c>
      <c r="N180" s="25" t="str">
        <f>IF($Q180="","",INDEX(TRANSACTIONS_MASTER!$R$5:$R$1204,$Q180))</f>
        <v/>
      </c>
      <c r="O180" s="28" t="str">
        <f>IF($Q180="","",INDEX(TRANSACTIONS_MASTER!$AB$5:$AB$1204,$Q180))</f>
        <v/>
      </c>
      <c r="P180" s="55" t="str">
        <f>IF($Q180="","",INDEX(TRANSACTIONS_MASTER!$Z$5:$Z$1204,$Q180)&amp;"")</f>
        <v/>
      </c>
      <c r="Q180" s="67" t="str">
        <f>IFERROR(MATCH($C$2&amp;"|"&amp;173,TRANSACTIONS_MASTER!$AE$5:$AE$1204,0),"")</f>
        <v/>
      </c>
      <c r="T180" s="68" t="n"/>
      <c r="U180" s="69" t="inlineStr">
        <is>
          <t>TỔNG</t>
        </is>
      </c>
      <c r="V180" s="31">
        <f>SUM(V159:V179)</f>
        <v>0</v>
      </c>
      <c r="W180" s="31">
        <f>SUM(W159:W179)</f>
        <v>0</v>
      </c>
    </row>
    <row r="181">
      <c r="A181" s="81" t="str">
        <f>IF($Q181="","",174)</f>
        <v/>
      </c>
      <c r="B181" s="57" t="str">
        <f>IF($Q181="","",INDEX(TRANSACTIONS_MASTER!$B$5:$B$1204,$Q181))</f>
        <v/>
      </c>
      <c r="C181" s="55" t="str">
        <f>IF($Q181="","",INDEX(TRANSACTIONS_MASTER!$F$5:$F$1204,$Q181))</f>
        <v/>
      </c>
      <c r="D181" s="55" t="str">
        <f>IF($Q181="","",INDEX(TRANSACTIONS_MASTER!$E$5:$E$1204,$Q181))</f>
        <v/>
      </c>
      <c r="E181" s="55" t="str">
        <f>IF($Q181="","",INDEX(TRANSACTIONS_MASTER!$G$5:$G$1204,$Q181)&amp;"")</f>
        <v/>
      </c>
      <c r="F181" s="29" t="str">
        <f>IF($Q181="","",INDEX(TRANSACTIONS_MASTER!$I$5:$I$1204,$Q181))</f>
        <v/>
      </c>
      <c r="G181" s="55" t="str">
        <f>IF($Q181="","",INDEX(TRANSACTIONS_MASTER!$K$5:$K$1204,$Q181))</f>
        <v/>
      </c>
      <c r="H181" s="25" t="str">
        <f>IF($Q181="","",INDEX(TRANSACTIONS_MASTER!$L$5:$L$1204,$Q181))</f>
        <v/>
      </c>
      <c r="I181" s="56" t="str">
        <f>IF($Q181="","",INDEX(TRANSACTIONS_MASTER!$N$5:$N$1204,$Q181))</f>
        <v/>
      </c>
      <c r="J181" s="25" t="str">
        <f>IF($Q181="","",INDEX(TRANSACTIONS_MASTER!$O$5:$O$1204,$Q181))</f>
        <v/>
      </c>
      <c r="K181" s="26" t="str">
        <f>IF($Q181="","",INDEX(TRANSACTIONS_MASTER!$Q$5:$Q$1204,$Q181))</f>
        <v/>
      </c>
      <c r="L181" s="25" t="str">
        <f>IF($Q181="","",INDEX(TRANSACTIONS_MASTER!$P$5:$P$1204,$Q181))</f>
        <v/>
      </c>
      <c r="M181" s="25" t="str">
        <f>IF($Q181="","",INDEX(TRANSACTIONS_MASTER!$AA$5:$AA$1204,$Q181))</f>
        <v/>
      </c>
      <c r="N181" s="25" t="str">
        <f>IF($Q181="","",INDEX(TRANSACTIONS_MASTER!$R$5:$R$1204,$Q181))</f>
        <v/>
      </c>
      <c r="O181" s="28" t="str">
        <f>IF($Q181="","",INDEX(TRANSACTIONS_MASTER!$AB$5:$AB$1204,$Q181))</f>
        <v/>
      </c>
      <c r="P181" s="55" t="str">
        <f>IF($Q181="","",INDEX(TRANSACTIONS_MASTER!$Z$5:$Z$1204,$Q181)&amp;"")</f>
        <v/>
      </c>
      <c r="Q181" s="67" t="str">
        <f>IFERROR(MATCH($C$2&amp;"|"&amp;174,TRANSACTIONS_MASTER!$AE$5:$AE$1204,0),"")</f>
        <v/>
      </c>
    </row>
    <row r="182">
      <c r="A182" s="81" t="str">
        <f>IF($Q182="","",175)</f>
        <v/>
      </c>
      <c r="B182" s="57" t="str">
        <f>IF($Q182="","",INDEX(TRANSACTIONS_MASTER!$B$5:$B$1204,$Q182))</f>
        <v/>
      </c>
      <c r="C182" s="55" t="str">
        <f>IF($Q182="","",INDEX(TRANSACTIONS_MASTER!$F$5:$F$1204,$Q182))</f>
        <v/>
      </c>
      <c r="D182" s="55" t="str">
        <f>IF($Q182="","",INDEX(TRANSACTIONS_MASTER!$E$5:$E$1204,$Q182))</f>
        <v/>
      </c>
      <c r="E182" s="55" t="str">
        <f>IF($Q182="","",INDEX(TRANSACTIONS_MASTER!$G$5:$G$1204,$Q182)&amp;"")</f>
        <v/>
      </c>
      <c r="F182" s="29" t="str">
        <f>IF($Q182="","",INDEX(TRANSACTIONS_MASTER!$I$5:$I$1204,$Q182))</f>
        <v/>
      </c>
      <c r="G182" s="55" t="str">
        <f>IF($Q182="","",INDEX(TRANSACTIONS_MASTER!$K$5:$K$1204,$Q182))</f>
        <v/>
      </c>
      <c r="H182" s="25" t="str">
        <f>IF($Q182="","",INDEX(TRANSACTIONS_MASTER!$L$5:$L$1204,$Q182))</f>
        <v/>
      </c>
      <c r="I182" s="56" t="str">
        <f>IF($Q182="","",INDEX(TRANSACTIONS_MASTER!$N$5:$N$1204,$Q182))</f>
        <v/>
      </c>
      <c r="J182" s="25" t="str">
        <f>IF($Q182="","",INDEX(TRANSACTIONS_MASTER!$O$5:$O$1204,$Q182))</f>
        <v/>
      </c>
      <c r="K182" s="26" t="str">
        <f>IF($Q182="","",INDEX(TRANSACTIONS_MASTER!$Q$5:$Q$1204,$Q182))</f>
        <v/>
      </c>
      <c r="L182" s="25" t="str">
        <f>IF($Q182="","",INDEX(TRANSACTIONS_MASTER!$P$5:$P$1204,$Q182))</f>
        <v/>
      </c>
      <c r="M182" s="25" t="str">
        <f>IF($Q182="","",INDEX(TRANSACTIONS_MASTER!$AA$5:$AA$1204,$Q182))</f>
        <v/>
      </c>
      <c r="N182" s="25" t="str">
        <f>IF($Q182="","",INDEX(TRANSACTIONS_MASTER!$R$5:$R$1204,$Q182))</f>
        <v/>
      </c>
      <c r="O182" s="28" t="str">
        <f>IF($Q182="","",INDEX(TRANSACTIONS_MASTER!$AB$5:$AB$1204,$Q182))</f>
        <v/>
      </c>
      <c r="P182" s="55" t="str">
        <f>IF($Q182="","",INDEX(TRANSACTIONS_MASTER!$Z$5:$Z$1204,$Q182)&amp;"")</f>
        <v/>
      </c>
      <c r="Q182" s="67" t="str">
        <f>IFERROR(MATCH($C$2&amp;"|"&amp;175,TRANSACTIONS_MASTER!$AE$5:$AE$1204,0),"")</f>
        <v/>
      </c>
    </row>
    <row r="183">
      <c r="A183" s="81" t="str">
        <f>IF($Q183="","",176)</f>
        <v/>
      </c>
      <c r="B183" s="57" t="str">
        <f>IF($Q183="","",INDEX(TRANSACTIONS_MASTER!$B$5:$B$1204,$Q183))</f>
        <v/>
      </c>
      <c r="C183" s="55" t="str">
        <f>IF($Q183="","",INDEX(TRANSACTIONS_MASTER!$F$5:$F$1204,$Q183))</f>
        <v/>
      </c>
      <c r="D183" s="55" t="str">
        <f>IF($Q183="","",INDEX(TRANSACTIONS_MASTER!$E$5:$E$1204,$Q183))</f>
        <v/>
      </c>
      <c r="E183" s="55" t="str">
        <f>IF($Q183="","",INDEX(TRANSACTIONS_MASTER!$G$5:$G$1204,$Q183)&amp;"")</f>
        <v/>
      </c>
      <c r="F183" s="29" t="str">
        <f>IF($Q183="","",INDEX(TRANSACTIONS_MASTER!$I$5:$I$1204,$Q183))</f>
        <v/>
      </c>
      <c r="G183" s="55" t="str">
        <f>IF($Q183="","",INDEX(TRANSACTIONS_MASTER!$K$5:$K$1204,$Q183))</f>
        <v/>
      </c>
      <c r="H183" s="25" t="str">
        <f>IF($Q183="","",INDEX(TRANSACTIONS_MASTER!$L$5:$L$1204,$Q183))</f>
        <v/>
      </c>
      <c r="I183" s="56" t="str">
        <f>IF($Q183="","",INDEX(TRANSACTIONS_MASTER!$N$5:$N$1204,$Q183))</f>
        <v/>
      </c>
      <c r="J183" s="25" t="str">
        <f>IF($Q183="","",INDEX(TRANSACTIONS_MASTER!$O$5:$O$1204,$Q183))</f>
        <v/>
      </c>
      <c r="K183" s="26" t="str">
        <f>IF($Q183="","",INDEX(TRANSACTIONS_MASTER!$Q$5:$Q$1204,$Q183))</f>
        <v/>
      </c>
      <c r="L183" s="25" t="str">
        <f>IF($Q183="","",INDEX(TRANSACTIONS_MASTER!$P$5:$P$1204,$Q183))</f>
        <v/>
      </c>
      <c r="M183" s="25" t="str">
        <f>IF($Q183="","",INDEX(TRANSACTIONS_MASTER!$AA$5:$AA$1204,$Q183))</f>
        <v/>
      </c>
      <c r="N183" s="25" t="str">
        <f>IF($Q183="","",INDEX(TRANSACTIONS_MASTER!$R$5:$R$1204,$Q183))</f>
        <v/>
      </c>
      <c r="O183" s="28" t="str">
        <f>IF($Q183="","",INDEX(TRANSACTIONS_MASTER!$AB$5:$AB$1204,$Q183))</f>
        <v/>
      </c>
      <c r="P183" s="55" t="str">
        <f>IF($Q183="","",INDEX(TRANSACTIONS_MASTER!$Z$5:$Z$1204,$Q183)&amp;"")</f>
        <v/>
      </c>
      <c r="Q183" s="67" t="str">
        <f>IFERROR(MATCH($C$2&amp;"|"&amp;176,TRANSACTIONS_MASTER!$AE$5:$AE$1204,0),"")</f>
        <v/>
      </c>
    </row>
    <row r="184">
      <c r="A184" s="81" t="str">
        <f>IF($Q184="","",177)</f>
        <v/>
      </c>
      <c r="B184" s="57" t="str">
        <f>IF($Q184="","",INDEX(TRANSACTIONS_MASTER!$B$5:$B$1204,$Q184))</f>
        <v/>
      </c>
      <c r="C184" s="55" t="str">
        <f>IF($Q184="","",INDEX(TRANSACTIONS_MASTER!$F$5:$F$1204,$Q184))</f>
        <v/>
      </c>
      <c r="D184" s="55" t="str">
        <f>IF($Q184="","",INDEX(TRANSACTIONS_MASTER!$E$5:$E$1204,$Q184))</f>
        <v/>
      </c>
      <c r="E184" s="55" t="str">
        <f>IF($Q184="","",INDEX(TRANSACTIONS_MASTER!$G$5:$G$1204,$Q184)&amp;"")</f>
        <v/>
      </c>
      <c r="F184" s="29" t="str">
        <f>IF($Q184="","",INDEX(TRANSACTIONS_MASTER!$I$5:$I$1204,$Q184))</f>
        <v/>
      </c>
      <c r="G184" s="55" t="str">
        <f>IF($Q184="","",INDEX(TRANSACTIONS_MASTER!$K$5:$K$1204,$Q184))</f>
        <v/>
      </c>
      <c r="H184" s="25" t="str">
        <f>IF($Q184="","",INDEX(TRANSACTIONS_MASTER!$L$5:$L$1204,$Q184))</f>
        <v/>
      </c>
      <c r="I184" s="56" t="str">
        <f>IF($Q184="","",INDEX(TRANSACTIONS_MASTER!$N$5:$N$1204,$Q184))</f>
        <v/>
      </c>
      <c r="J184" s="25" t="str">
        <f>IF($Q184="","",INDEX(TRANSACTIONS_MASTER!$O$5:$O$1204,$Q184))</f>
        <v/>
      </c>
      <c r="K184" s="26" t="str">
        <f>IF($Q184="","",INDEX(TRANSACTIONS_MASTER!$Q$5:$Q$1204,$Q184))</f>
        <v/>
      </c>
      <c r="L184" s="25" t="str">
        <f>IF($Q184="","",INDEX(TRANSACTIONS_MASTER!$P$5:$P$1204,$Q184))</f>
        <v/>
      </c>
      <c r="M184" s="25" t="str">
        <f>IF($Q184="","",INDEX(TRANSACTIONS_MASTER!$AA$5:$AA$1204,$Q184))</f>
        <v/>
      </c>
      <c r="N184" s="25" t="str">
        <f>IF($Q184="","",INDEX(TRANSACTIONS_MASTER!$R$5:$R$1204,$Q184))</f>
        <v/>
      </c>
      <c r="O184" s="28" t="str">
        <f>IF($Q184="","",INDEX(TRANSACTIONS_MASTER!$AB$5:$AB$1204,$Q184))</f>
        <v/>
      </c>
      <c r="P184" s="55" t="str">
        <f>IF($Q184="","",INDEX(TRANSACTIONS_MASTER!$Z$5:$Z$1204,$Q184)&amp;"")</f>
        <v/>
      </c>
      <c r="Q184" s="67" t="str">
        <f>IFERROR(MATCH($C$2&amp;"|"&amp;177,TRANSACTIONS_MASTER!$AE$5:$AE$1204,0),"")</f>
        <v/>
      </c>
    </row>
    <row r="185">
      <c r="A185" s="81" t="str">
        <f>IF($Q185="","",178)</f>
        <v/>
      </c>
      <c r="B185" s="57" t="str">
        <f>IF($Q185="","",INDEX(TRANSACTIONS_MASTER!$B$5:$B$1204,$Q185))</f>
        <v/>
      </c>
      <c r="C185" s="55" t="str">
        <f>IF($Q185="","",INDEX(TRANSACTIONS_MASTER!$F$5:$F$1204,$Q185))</f>
        <v/>
      </c>
      <c r="D185" s="55" t="str">
        <f>IF($Q185="","",INDEX(TRANSACTIONS_MASTER!$E$5:$E$1204,$Q185))</f>
        <v/>
      </c>
      <c r="E185" s="55" t="str">
        <f>IF($Q185="","",INDEX(TRANSACTIONS_MASTER!$G$5:$G$1204,$Q185)&amp;"")</f>
        <v/>
      </c>
      <c r="F185" s="29" t="str">
        <f>IF($Q185="","",INDEX(TRANSACTIONS_MASTER!$I$5:$I$1204,$Q185))</f>
        <v/>
      </c>
      <c r="G185" s="55" t="str">
        <f>IF($Q185="","",INDEX(TRANSACTIONS_MASTER!$K$5:$K$1204,$Q185))</f>
        <v/>
      </c>
      <c r="H185" s="25" t="str">
        <f>IF($Q185="","",INDEX(TRANSACTIONS_MASTER!$L$5:$L$1204,$Q185))</f>
        <v/>
      </c>
      <c r="I185" s="56" t="str">
        <f>IF($Q185="","",INDEX(TRANSACTIONS_MASTER!$N$5:$N$1204,$Q185))</f>
        <v/>
      </c>
      <c r="J185" s="25" t="str">
        <f>IF($Q185="","",INDEX(TRANSACTIONS_MASTER!$O$5:$O$1204,$Q185))</f>
        <v/>
      </c>
      <c r="K185" s="26" t="str">
        <f>IF($Q185="","",INDEX(TRANSACTIONS_MASTER!$Q$5:$Q$1204,$Q185))</f>
        <v/>
      </c>
      <c r="L185" s="25" t="str">
        <f>IF($Q185="","",INDEX(TRANSACTIONS_MASTER!$P$5:$P$1204,$Q185))</f>
        <v/>
      </c>
      <c r="M185" s="25" t="str">
        <f>IF($Q185="","",INDEX(TRANSACTIONS_MASTER!$AA$5:$AA$1204,$Q185))</f>
        <v/>
      </c>
      <c r="N185" s="25" t="str">
        <f>IF($Q185="","",INDEX(TRANSACTIONS_MASTER!$R$5:$R$1204,$Q185))</f>
        <v/>
      </c>
      <c r="O185" s="28" t="str">
        <f>IF($Q185="","",INDEX(TRANSACTIONS_MASTER!$AB$5:$AB$1204,$Q185))</f>
        <v/>
      </c>
      <c r="P185" s="55" t="str">
        <f>IF($Q185="","",INDEX(TRANSACTIONS_MASTER!$Z$5:$Z$1204,$Q185)&amp;"")</f>
        <v/>
      </c>
      <c r="Q185" s="67" t="str">
        <f>IFERROR(MATCH($C$2&amp;"|"&amp;178,TRANSACTIONS_MASTER!$AE$5:$AE$1204,0),"")</f>
        <v/>
      </c>
    </row>
    <row r="186">
      <c r="A186" s="81" t="str">
        <f>IF($Q186="","",179)</f>
        <v/>
      </c>
      <c r="B186" s="57" t="str">
        <f>IF($Q186="","",INDEX(TRANSACTIONS_MASTER!$B$5:$B$1204,$Q186))</f>
        <v/>
      </c>
      <c r="C186" s="55" t="str">
        <f>IF($Q186="","",INDEX(TRANSACTIONS_MASTER!$F$5:$F$1204,$Q186))</f>
        <v/>
      </c>
      <c r="D186" s="55" t="str">
        <f>IF($Q186="","",INDEX(TRANSACTIONS_MASTER!$E$5:$E$1204,$Q186))</f>
        <v/>
      </c>
      <c r="E186" s="55" t="str">
        <f>IF($Q186="","",INDEX(TRANSACTIONS_MASTER!$G$5:$G$1204,$Q186)&amp;"")</f>
        <v/>
      </c>
      <c r="F186" s="29" t="str">
        <f>IF($Q186="","",INDEX(TRANSACTIONS_MASTER!$I$5:$I$1204,$Q186))</f>
        <v/>
      </c>
      <c r="G186" s="55" t="str">
        <f>IF($Q186="","",INDEX(TRANSACTIONS_MASTER!$K$5:$K$1204,$Q186))</f>
        <v/>
      </c>
      <c r="H186" s="25" t="str">
        <f>IF($Q186="","",INDEX(TRANSACTIONS_MASTER!$L$5:$L$1204,$Q186))</f>
        <v/>
      </c>
      <c r="I186" s="56" t="str">
        <f>IF($Q186="","",INDEX(TRANSACTIONS_MASTER!$N$5:$N$1204,$Q186))</f>
        <v/>
      </c>
      <c r="J186" s="25" t="str">
        <f>IF($Q186="","",INDEX(TRANSACTIONS_MASTER!$O$5:$O$1204,$Q186))</f>
        <v/>
      </c>
      <c r="K186" s="26" t="str">
        <f>IF($Q186="","",INDEX(TRANSACTIONS_MASTER!$Q$5:$Q$1204,$Q186))</f>
        <v/>
      </c>
      <c r="L186" s="25" t="str">
        <f>IF($Q186="","",INDEX(TRANSACTIONS_MASTER!$P$5:$P$1204,$Q186))</f>
        <v/>
      </c>
      <c r="M186" s="25" t="str">
        <f>IF($Q186="","",INDEX(TRANSACTIONS_MASTER!$AA$5:$AA$1204,$Q186))</f>
        <v/>
      </c>
      <c r="N186" s="25" t="str">
        <f>IF($Q186="","",INDEX(TRANSACTIONS_MASTER!$R$5:$R$1204,$Q186))</f>
        <v/>
      </c>
      <c r="O186" s="28" t="str">
        <f>IF($Q186="","",INDEX(TRANSACTIONS_MASTER!$AB$5:$AB$1204,$Q186))</f>
        <v/>
      </c>
      <c r="P186" s="55" t="str">
        <f>IF($Q186="","",INDEX(TRANSACTIONS_MASTER!$Z$5:$Z$1204,$Q186)&amp;"")</f>
        <v/>
      </c>
      <c r="Q186" s="67" t="str">
        <f>IFERROR(MATCH($C$2&amp;"|"&amp;179,TRANSACTIONS_MASTER!$AE$5:$AE$1204,0),"")</f>
        <v/>
      </c>
    </row>
    <row r="187">
      <c r="A187" s="81" t="str">
        <f>IF($Q187="","",180)</f>
        <v/>
      </c>
      <c r="B187" s="57" t="str">
        <f>IF($Q187="","",INDEX(TRANSACTIONS_MASTER!$B$5:$B$1204,$Q187))</f>
        <v/>
      </c>
      <c r="C187" s="55" t="str">
        <f>IF($Q187="","",INDEX(TRANSACTIONS_MASTER!$F$5:$F$1204,$Q187))</f>
        <v/>
      </c>
      <c r="D187" s="55" t="str">
        <f>IF($Q187="","",INDEX(TRANSACTIONS_MASTER!$E$5:$E$1204,$Q187))</f>
        <v/>
      </c>
      <c r="E187" s="55" t="str">
        <f>IF($Q187="","",INDEX(TRANSACTIONS_MASTER!$G$5:$G$1204,$Q187)&amp;"")</f>
        <v/>
      </c>
      <c r="F187" s="29" t="str">
        <f>IF($Q187="","",INDEX(TRANSACTIONS_MASTER!$I$5:$I$1204,$Q187))</f>
        <v/>
      </c>
      <c r="G187" s="55" t="str">
        <f>IF($Q187="","",INDEX(TRANSACTIONS_MASTER!$K$5:$K$1204,$Q187))</f>
        <v/>
      </c>
      <c r="H187" s="25" t="str">
        <f>IF($Q187="","",INDEX(TRANSACTIONS_MASTER!$L$5:$L$1204,$Q187))</f>
        <v/>
      </c>
      <c r="I187" s="56" t="str">
        <f>IF($Q187="","",INDEX(TRANSACTIONS_MASTER!$N$5:$N$1204,$Q187))</f>
        <v/>
      </c>
      <c r="J187" s="25" t="str">
        <f>IF($Q187="","",INDEX(TRANSACTIONS_MASTER!$O$5:$O$1204,$Q187))</f>
        <v/>
      </c>
      <c r="K187" s="26" t="str">
        <f>IF($Q187="","",INDEX(TRANSACTIONS_MASTER!$Q$5:$Q$1204,$Q187))</f>
        <v/>
      </c>
      <c r="L187" s="25" t="str">
        <f>IF($Q187="","",INDEX(TRANSACTIONS_MASTER!$P$5:$P$1204,$Q187))</f>
        <v/>
      </c>
      <c r="M187" s="25" t="str">
        <f>IF($Q187="","",INDEX(TRANSACTIONS_MASTER!$AA$5:$AA$1204,$Q187))</f>
        <v/>
      </c>
      <c r="N187" s="25" t="str">
        <f>IF($Q187="","",INDEX(TRANSACTIONS_MASTER!$R$5:$R$1204,$Q187))</f>
        <v/>
      </c>
      <c r="O187" s="28" t="str">
        <f>IF($Q187="","",INDEX(TRANSACTIONS_MASTER!$AB$5:$AB$1204,$Q187))</f>
        <v/>
      </c>
      <c r="P187" s="55" t="str">
        <f>IF($Q187="","",INDEX(TRANSACTIONS_MASTER!$Z$5:$Z$1204,$Q187)&amp;"")</f>
        <v/>
      </c>
      <c r="Q187" s="67" t="str">
        <f>IFERROR(MATCH($C$2&amp;"|"&amp;180,TRANSACTIONS_MASTER!$AE$5:$AE$1204,0),"")</f>
        <v/>
      </c>
    </row>
    <row r="188">
      <c r="A188" s="81" t="str">
        <f>IF($Q188="","",181)</f>
        <v/>
      </c>
      <c r="B188" s="57" t="str">
        <f>IF($Q188="","",INDEX(TRANSACTIONS_MASTER!$B$5:$B$1204,$Q188))</f>
        <v/>
      </c>
      <c r="C188" s="55" t="str">
        <f>IF($Q188="","",INDEX(TRANSACTIONS_MASTER!$F$5:$F$1204,$Q188))</f>
        <v/>
      </c>
      <c r="D188" s="55" t="str">
        <f>IF($Q188="","",INDEX(TRANSACTIONS_MASTER!$E$5:$E$1204,$Q188))</f>
        <v/>
      </c>
      <c r="E188" s="55" t="str">
        <f>IF($Q188="","",INDEX(TRANSACTIONS_MASTER!$G$5:$G$1204,$Q188)&amp;"")</f>
        <v/>
      </c>
      <c r="F188" s="29" t="str">
        <f>IF($Q188="","",INDEX(TRANSACTIONS_MASTER!$I$5:$I$1204,$Q188))</f>
        <v/>
      </c>
      <c r="G188" s="55" t="str">
        <f>IF($Q188="","",INDEX(TRANSACTIONS_MASTER!$K$5:$K$1204,$Q188))</f>
        <v/>
      </c>
      <c r="H188" s="25" t="str">
        <f>IF($Q188="","",INDEX(TRANSACTIONS_MASTER!$L$5:$L$1204,$Q188))</f>
        <v/>
      </c>
      <c r="I188" s="56" t="str">
        <f>IF($Q188="","",INDEX(TRANSACTIONS_MASTER!$N$5:$N$1204,$Q188))</f>
        <v/>
      </c>
      <c r="J188" s="25" t="str">
        <f>IF($Q188="","",INDEX(TRANSACTIONS_MASTER!$O$5:$O$1204,$Q188))</f>
        <v/>
      </c>
      <c r="K188" s="26" t="str">
        <f>IF($Q188="","",INDEX(TRANSACTIONS_MASTER!$Q$5:$Q$1204,$Q188))</f>
        <v/>
      </c>
      <c r="L188" s="25" t="str">
        <f>IF($Q188="","",INDEX(TRANSACTIONS_MASTER!$P$5:$P$1204,$Q188))</f>
        <v/>
      </c>
      <c r="M188" s="25" t="str">
        <f>IF($Q188="","",INDEX(TRANSACTIONS_MASTER!$AA$5:$AA$1204,$Q188))</f>
        <v/>
      </c>
      <c r="N188" s="25" t="str">
        <f>IF($Q188="","",INDEX(TRANSACTIONS_MASTER!$R$5:$R$1204,$Q188))</f>
        <v/>
      </c>
      <c r="O188" s="28" t="str">
        <f>IF($Q188="","",INDEX(TRANSACTIONS_MASTER!$AB$5:$AB$1204,$Q188))</f>
        <v/>
      </c>
      <c r="P188" s="55" t="str">
        <f>IF($Q188="","",INDEX(TRANSACTIONS_MASTER!$Z$5:$Z$1204,$Q188)&amp;"")</f>
        <v/>
      </c>
      <c r="Q188" s="67" t="str">
        <f>IFERROR(MATCH($C$2&amp;"|"&amp;181,TRANSACTIONS_MASTER!$AE$5:$AE$1204,0),"")</f>
        <v/>
      </c>
    </row>
    <row r="189">
      <c r="A189" s="81" t="str">
        <f>IF($Q189="","",182)</f>
        <v/>
      </c>
      <c r="B189" s="57" t="str">
        <f>IF($Q189="","",INDEX(TRANSACTIONS_MASTER!$B$5:$B$1204,$Q189))</f>
        <v/>
      </c>
      <c r="C189" s="55" t="str">
        <f>IF($Q189="","",INDEX(TRANSACTIONS_MASTER!$F$5:$F$1204,$Q189))</f>
        <v/>
      </c>
      <c r="D189" s="55" t="str">
        <f>IF($Q189="","",INDEX(TRANSACTIONS_MASTER!$E$5:$E$1204,$Q189))</f>
        <v/>
      </c>
      <c r="E189" s="55" t="str">
        <f>IF($Q189="","",INDEX(TRANSACTIONS_MASTER!$G$5:$G$1204,$Q189)&amp;"")</f>
        <v/>
      </c>
      <c r="F189" s="29" t="str">
        <f>IF($Q189="","",INDEX(TRANSACTIONS_MASTER!$I$5:$I$1204,$Q189))</f>
        <v/>
      </c>
      <c r="G189" s="55" t="str">
        <f>IF($Q189="","",INDEX(TRANSACTIONS_MASTER!$K$5:$K$1204,$Q189))</f>
        <v/>
      </c>
      <c r="H189" s="25" t="str">
        <f>IF($Q189="","",INDEX(TRANSACTIONS_MASTER!$L$5:$L$1204,$Q189))</f>
        <v/>
      </c>
      <c r="I189" s="56" t="str">
        <f>IF($Q189="","",INDEX(TRANSACTIONS_MASTER!$N$5:$N$1204,$Q189))</f>
        <v/>
      </c>
      <c r="J189" s="25" t="str">
        <f>IF($Q189="","",INDEX(TRANSACTIONS_MASTER!$O$5:$O$1204,$Q189))</f>
        <v/>
      </c>
      <c r="K189" s="26" t="str">
        <f>IF($Q189="","",INDEX(TRANSACTIONS_MASTER!$Q$5:$Q$1204,$Q189))</f>
        <v/>
      </c>
      <c r="L189" s="25" t="str">
        <f>IF($Q189="","",INDEX(TRANSACTIONS_MASTER!$P$5:$P$1204,$Q189))</f>
        <v/>
      </c>
      <c r="M189" s="25" t="str">
        <f>IF($Q189="","",INDEX(TRANSACTIONS_MASTER!$AA$5:$AA$1204,$Q189))</f>
        <v/>
      </c>
      <c r="N189" s="25" t="str">
        <f>IF($Q189="","",INDEX(TRANSACTIONS_MASTER!$R$5:$R$1204,$Q189))</f>
        <v/>
      </c>
      <c r="O189" s="28" t="str">
        <f>IF($Q189="","",INDEX(TRANSACTIONS_MASTER!$AB$5:$AB$1204,$Q189))</f>
        <v/>
      </c>
      <c r="P189" s="55" t="str">
        <f>IF($Q189="","",INDEX(TRANSACTIONS_MASTER!$Z$5:$Z$1204,$Q189)&amp;"")</f>
        <v/>
      </c>
      <c r="Q189" s="67" t="str">
        <f>IFERROR(MATCH($C$2&amp;"|"&amp;182,TRANSACTIONS_MASTER!$AE$5:$AE$1204,0),"")</f>
        <v/>
      </c>
    </row>
    <row r="190">
      <c r="A190" s="81" t="str">
        <f>IF($Q190="","",183)</f>
        <v/>
      </c>
      <c r="B190" s="57" t="str">
        <f>IF($Q190="","",INDEX(TRANSACTIONS_MASTER!$B$5:$B$1204,$Q190))</f>
        <v/>
      </c>
      <c r="C190" s="55" t="str">
        <f>IF($Q190="","",INDEX(TRANSACTIONS_MASTER!$F$5:$F$1204,$Q190))</f>
        <v/>
      </c>
      <c r="D190" s="55" t="str">
        <f>IF($Q190="","",INDEX(TRANSACTIONS_MASTER!$E$5:$E$1204,$Q190))</f>
        <v/>
      </c>
      <c r="E190" s="55" t="str">
        <f>IF($Q190="","",INDEX(TRANSACTIONS_MASTER!$G$5:$G$1204,$Q190)&amp;"")</f>
        <v/>
      </c>
      <c r="F190" s="29" t="str">
        <f>IF($Q190="","",INDEX(TRANSACTIONS_MASTER!$I$5:$I$1204,$Q190))</f>
        <v/>
      </c>
      <c r="G190" s="55" t="str">
        <f>IF($Q190="","",INDEX(TRANSACTIONS_MASTER!$K$5:$K$1204,$Q190))</f>
        <v/>
      </c>
      <c r="H190" s="25" t="str">
        <f>IF($Q190="","",INDEX(TRANSACTIONS_MASTER!$L$5:$L$1204,$Q190))</f>
        <v/>
      </c>
      <c r="I190" s="56" t="str">
        <f>IF($Q190="","",INDEX(TRANSACTIONS_MASTER!$N$5:$N$1204,$Q190))</f>
        <v/>
      </c>
      <c r="J190" s="25" t="str">
        <f>IF($Q190="","",INDEX(TRANSACTIONS_MASTER!$O$5:$O$1204,$Q190))</f>
        <v/>
      </c>
      <c r="K190" s="26" t="str">
        <f>IF($Q190="","",INDEX(TRANSACTIONS_MASTER!$Q$5:$Q$1204,$Q190))</f>
        <v/>
      </c>
      <c r="L190" s="25" t="str">
        <f>IF($Q190="","",INDEX(TRANSACTIONS_MASTER!$P$5:$P$1204,$Q190))</f>
        <v/>
      </c>
      <c r="M190" s="25" t="str">
        <f>IF($Q190="","",INDEX(TRANSACTIONS_MASTER!$AA$5:$AA$1204,$Q190))</f>
        <v/>
      </c>
      <c r="N190" s="25" t="str">
        <f>IF($Q190="","",INDEX(TRANSACTIONS_MASTER!$R$5:$R$1204,$Q190))</f>
        <v/>
      </c>
      <c r="O190" s="28" t="str">
        <f>IF($Q190="","",INDEX(TRANSACTIONS_MASTER!$AB$5:$AB$1204,$Q190))</f>
        <v/>
      </c>
      <c r="P190" s="55" t="str">
        <f>IF($Q190="","",INDEX(TRANSACTIONS_MASTER!$Z$5:$Z$1204,$Q190)&amp;"")</f>
        <v/>
      </c>
      <c r="Q190" s="67" t="str">
        <f>IFERROR(MATCH($C$2&amp;"|"&amp;183,TRANSACTIONS_MASTER!$AE$5:$AE$1204,0),"")</f>
        <v/>
      </c>
    </row>
    <row r="191">
      <c r="A191" s="81" t="str">
        <f>IF($Q191="","",184)</f>
        <v/>
      </c>
      <c r="B191" s="57" t="str">
        <f>IF($Q191="","",INDEX(TRANSACTIONS_MASTER!$B$5:$B$1204,$Q191))</f>
        <v/>
      </c>
      <c r="C191" s="55" t="str">
        <f>IF($Q191="","",INDEX(TRANSACTIONS_MASTER!$F$5:$F$1204,$Q191))</f>
        <v/>
      </c>
      <c r="D191" s="55" t="str">
        <f>IF($Q191="","",INDEX(TRANSACTIONS_MASTER!$E$5:$E$1204,$Q191))</f>
        <v/>
      </c>
      <c r="E191" s="55" t="str">
        <f>IF($Q191="","",INDEX(TRANSACTIONS_MASTER!$G$5:$G$1204,$Q191)&amp;"")</f>
        <v/>
      </c>
      <c r="F191" s="29" t="str">
        <f>IF($Q191="","",INDEX(TRANSACTIONS_MASTER!$I$5:$I$1204,$Q191))</f>
        <v/>
      </c>
      <c r="G191" s="55" t="str">
        <f>IF($Q191="","",INDEX(TRANSACTIONS_MASTER!$K$5:$K$1204,$Q191))</f>
        <v/>
      </c>
      <c r="H191" s="25" t="str">
        <f>IF($Q191="","",INDEX(TRANSACTIONS_MASTER!$L$5:$L$1204,$Q191))</f>
        <v/>
      </c>
      <c r="I191" s="56" t="str">
        <f>IF($Q191="","",INDEX(TRANSACTIONS_MASTER!$N$5:$N$1204,$Q191))</f>
        <v/>
      </c>
      <c r="J191" s="25" t="str">
        <f>IF($Q191="","",INDEX(TRANSACTIONS_MASTER!$O$5:$O$1204,$Q191))</f>
        <v/>
      </c>
      <c r="K191" s="26" t="str">
        <f>IF($Q191="","",INDEX(TRANSACTIONS_MASTER!$Q$5:$Q$1204,$Q191))</f>
        <v/>
      </c>
      <c r="L191" s="25" t="str">
        <f>IF($Q191="","",INDEX(TRANSACTIONS_MASTER!$P$5:$P$1204,$Q191))</f>
        <v/>
      </c>
      <c r="M191" s="25" t="str">
        <f>IF($Q191="","",INDEX(TRANSACTIONS_MASTER!$AA$5:$AA$1204,$Q191))</f>
        <v/>
      </c>
      <c r="N191" s="25" t="str">
        <f>IF($Q191="","",INDEX(TRANSACTIONS_MASTER!$R$5:$R$1204,$Q191))</f>
        <v/>
      </c>
      <c r="O191" s="28" t="str">
        <f>IF($Q191="","",INDEX(TRANSACTIONS_MASTER!$AB$5:$AB$1204,$Q191))</f>
        <v/>
      </c>
      <c r="P191" s="55" t="str">
        <f>IF($Q191="","",INDEX(TRANSACTIONS_MASTER!$Z$5:$Z$1204,$Q191)&amp;"")</f>
        <v/>
      </c>
      <c r="Q191" s="67" t="str">
        <f>IFERROR(MATCH($C$2&amp;"|"&amp;184,TRANSACTIONS_MASTER!$AE$5:$AE$1204,0),"")</f>
        <v/>
      </c>
    </row>
    <row r="192">
      <c r="A192" s="81" t="str">
        <f>IF($Q192="","",185)</f>
        <v/>
      </c>
      <c r="B192" s="57" t="str">
        <f>IF($Q192="","",INDEX(TRANSACTIONS_MASTER!$B$5:$B$1204,$Q192))</f>
        <v/>
      </c>
      <c r="C192" s="55" t="str">
        <f>IF($Q192="","",INDEX(TRANSACTIONS_MASTER!$F$5:$F$1204,$Q192))</f>
        <v/>
      </c>
      <c r="D192" s="55" t="str">
        <f>IF($Q192="","",INDEX(TRANSACTIONS_MASTER!$E$5:$E$1204,$Q192))</f>
        <v/>
      </c>
      <c r="E192" s="55" t="str">
        <f>IF($Q192="","",INDEX(TRANSACTIONS_MASTER!$G$5:$G$1204,$Q192)&amp;"")</f>
        <v/>
      </c>
      <c r="F192" s="29" t="str">
        <f>IF($Q192="","",INDEX(TRANSACTIONS_MASTER!$I$5:$I$1204,$Q192))</f>
        <v/>
      </c>
      <c r="G192" s="55" t="str">
        <f>IF($Q192="","",INDEX(TRANSACTIONS_MASTER!$K$5:$K$1204,$Q192))</f>
        <v/>
      </c>
      <c r="H192" s="25" t="str">
        <f>IF($Q192="","",INDEX(TRANSACTIONS_MASTER!$L$5:$L$1204,$Q192))</f>
        <v/>
      </c>
      <c r="I192" s="56" t="str">
        <f>IF($Q192="","",INDEX(TRANSACTIONS_MASTER!$N$5:$N$1204,$Q192))</f>
        <v/>
      </c>
      <c r="J192" s="25" t="str">
        <f>IF($Q192="","",INDEX(TRANSACTIONS_MASTER!$O$5:$O$1204,$Q192))</f>
        <v/>
      </c>
      <c r="K192" s="26" t="str">
        <f>IF($Q192="","",INDEX(TRANSACTIONS_MASTER!$Q$5:$Q$1204,$Q192))</f>
        <v/>
      </c>
      <c r="L192" s="25" t="str">
        <f>IF($Q192="","",INDEX(TRANSACTIONS_MASTER!$P$5:$P$1204,$Q192))</f>
        <v/>
      </c>
      <c r="M192" s="25" t="str">
        <f>IF($Q192="","",INDEX(TRANSACTIONS_MASTER!$AA$5:$AA$1204,$Q192))</f>
        <v/>
      </c>
      <c r="N192" s="25" t="str">
        <f>IF($Q192="","",INDEX(TRANSACTIONS_MASTER!$R$5:$R$1204,$Q192))</f>
        <v/>
      </c>
      <c r="O192" s="28" t="str">
        <f>IF($Q192="","",INDEX(TRANSACTIONS_MASTER!$AB$5:$AB$1204,$Q192))</f>
        <v/>
      </c>
      <c r="P192" s="55" t="str">
        <f>IF($Q192="","",INDEX(TRANSACTIONS_MASTER!$Z$5:$Z$1204,$Q192)&amp;"")</f>
        <v/>
      </c>
      <c r="Q192" s="67" t="str">
        <f>IFERROR(MATCH($C$2&amp;"|"&amp;185,TRANSACTIONS_MASTER!$AE$5:$AE$1204,0),"")</f>
        <v/>
      </c>
    </row>
    <row r="193">
      <c r="A193" s="81" t="str">
        <f>IF($Q193="","",186)</f>
        <v/>
      </c>
      <c r="B193" s="57" t="str">
        <f>IF($Q193="","",INDEX(TRANSACTIONS_MASTER!$B$5:$B$1204,$Q193))</f>
        <v/>
      </c>
      <c r="C193" s="55" t="str">
        <f>IF($Q193="","",INDEX(TRANSACTIONS_MASTER!$F$5:$F$1204,$Q193))</f>
        <v/>
      </c>
      <c r="D193" s="55" t="str">
        <f>IF($Q193="","",INDEX(TRANSACTIONS_MASTER!$E$5:$E$1204,$Q193))</f>
        <v/>
      </c>
      <c r="E193" s="55" t="str">
        <f>IF($Q193="","",INDEX(TRANSACTIONS_MASTER!$G$5:$G$1204,$Q193)&amp;"")</f>
        <v/>
      </c>
      <c r="F193" s="29" t="str">
        <f>IF($Q193="","",INDEX(TRANSACTIONS_MASTER!$I$5:$I$1204,$Q193))</f>
        <v/>
      </c>
      <c r="G193" s="55" t="str">
        <f>IF($Q193="","",INDEX(TRANSACTIONS_MASTER!$K$5:$K$1204,$Q193))</f>
        <v/>
      </c>
      <c r="H193" s="25" t="str">
        <f>IF($Q193="","",INDEX(TRANSACTIONS_MASTER!$L$5:$L$1204,$Q193))</f>
        <v/>
      </c>
      <c r="I193" s="56" t="str">
        <f>IF($Q193="","",INDEX(TRANSACTIONS_MASTER!$N$5:$N$1204,$Q193))</f>
        <v/>
      </c>
      <c r="J193" s="25" t="str">
        <f>IF($Q193="","",INDEX(TRANSACTIONS_MASTER!$O$5:$O$1204,$Q193))</f>
        <v/>
      </c>
      <c r="K193" s="26" t="str">
        <f>IF($Q193="","",INDEX(TRANSACTIONS_MASTER!$Q$5:$Q$1204,$Q193))</f>
        <v/>
      </c>
      <c r="L193" s="25" t="str">
        <f>IF($Q193="","",INDEX(TRANSACTIONS_MASTER!$P$5:$P$1204,$Q193))</f>
        <v/>
      </c>
      <c r="M193" s="25" t="str">
        <f>IF($Q193="","",INDEX(TRANSACTIONS_MASTER!$AA$5:$AA$1204,$Q193))</f>
        <v/>
      </c>
      <c r="N193" s="25" t="str">
        <f>IF($Q193="","",INDEX(TRANSACTIONS_MASTER!$R$5:$R$1204,$Q193))</f>
        <v/>
      </c>
      <c r="O193" s="28" t="str">
        <f>IF($Q193="","",INDEX(TRANSACTIONS_MASTER!$AB$5:$AB$1204,$Q193))</f>
        <v/>
      </c>
      <c r="P193" s="55" t="str">
        <f>IF($Q193="","",INDEX(TRANSACTIONS_MASTER!$Z$5:$Z$1204,$Q193)&amp;"")</f>
        <v/>
      </c>
      <c r="Q193" s="67" t="str">
        <f>IFERROR(MATCH($C$2&amp;"|"&amp;186,TRANSACTIONS_MASTER!$AE$5:$AE$1204,0),"")</f>
        <v/>
      </c>
    </row>
    <row r="194">
      <c r="A194" s="81" t="str">
        <f>IF($Q194="","",187)</f>
        <v/>
      </c>
      <c r="B194" s="57" t="str">
        <f>IF($Q194="","",INDEX(TRANSACTIONS_MASTER!$B$5:$B$1204,$Q194))</f>
        <v/>
      </c>
      <c r="C194" s="55" t="str">
        <f>IF($Q194="","",INDEX(TRANSACTIONS_MASTER!$F$5:$F$1204,$Q194))</f>
        <v/>
      </c>
      <c r="D194" s="55" t="str">
        <f>IF($Q194="","",INDEX(TRANSACTIONS_MASTER!$E$5:$E$1204,$Q194))</f>
        <v/>
      </c>
      <c r="E194" s="55" t="str">
        <f>IF($Q194="","",INDEX(TRANSACTIONS_MASTER!$G$5:$G$1204,$Q194)&amp;"")</f>
        <v/>
      </c>
      <c r="F194" s="29" t="str">
        <f>IF($Q194="","",INDEX(TRANSACTIONS_MASTER!$I$5:$I$1204,$Q194))</f>
        <v/>
      </c>
      <c r="G194" s="55" t="str">
        <f>IF($Q194="","",INDEX(TRANSACTIONS_MASTER!$K$5:$K$1204,$Q194))</f>
        <v/>
      </c>
      <c r="H194" s="25" t="str">
        <f>IF($Q194="","",INDEX(TRANSACTIONS_MASTER!$L$5:$L$1204,$Q194))</f>
        <v/>
      </c>
      <c r="I194" s="56" t="str">
        <f>IF($Q194="","",INDEX(TRANSACTIONS_MASTER!$N$5:$N$1204,$Q194))</f>
        <v/>
      </c>
      <c r="J194" s="25" t="str">
        <f>IF($Q194="","",INDEX(TRANSACTIONS_MASTER!$O$5:$O$1204,$Q194))</f>
        <v/>
      </c>
      <c r="K194" s="26" t="str">
        <f>IF($Q194="","",INDEX(TRANSACTIONS_MASTER!$Q$5:$Q$1204,$Q194))</f>
        <v/>
      </c>
      <c r="L194" s="25" t="str">
        <f>IF($Q194="","",INDEX(TRANSACTIONS_MASTER!$P$5:$P$1204,$Q194))</f>
        <v/>
      </c>
      <c r="M194" s="25" t="str">
        <f>IF($Q194="","",INDEX(TRANSACTIONS_MASTER!$AA$5:$AA$1204,$Q194))</f>
        <v/>
      </c>
      <c r="N194" s="25" t="str">
        <f>IF($Q194="","",INDEX(TRANSACTIONS_MASTER!$R$5:$R$1204,$Q194))</f>
        <v/>
      </c>
      <c r="O194" s="28" t="str">
        <f>IF($Q194="","",INDEX(TRANSACTIONS_MASTER!$AB$5:$AB$1204,$Q194))</f>
        <v/>
      </c>
      <c r="P194" s="55" t="str">
        <f>IF($Q194="","",INDEX(TRANSACTIONS_MASTER!$Z$5:$Z$1204,$Q194)&amp;"")</f>
        <v/>
      </c>
      <c r="Q194" s="67" t="str">
        <f>IFERROR(MATCH($C$2&amp;"|"&amp;187,TRANSACTIONS_MASTER!$AE$5:$AE$1204,0),"")</f>
        <v/>
      </c>
    </row>
    <row r="195">
      <c r="A195" s="81" t="str">
        <f>IF($Q195="","",188)</f>
        <v/>
      </c>
      <c r="B195" s="57" t="str">
        <f>IF($Q195="","",INDEX(TRANSACTIONS_MASTER!$B$5:$B$1204,$Q195))</f>
        <v/>
      </c>
      <c r="C195" s="55" t="str">
        <f>IF($Q195="","",INDEX(TRANSACTIONS_MASTER!$F$5:$F$1204,$Q195))</f>
        <v/>
      </c>
      <c r="D195" s="55" t="str">
        <f>IF($Q195="","",INDEX(TRANSACTIONS_MASTER!$E$5:$E$1204,$Q195))</f>
        <v/>
      </c>
      <c r="E195" s="55" t="str">
        <f>IF($Q195="","",INDEX(TRANSACTIONS_MASTER!$G$5:$G$1204,$Q195)&amp;"")</f>
        <v/>
      </c>
      <c r="F195" s="29" t="str">
        <f>IF($Q195="","",INDEX(TRANSACTIONS_MASTER!$I$5:$I$1204,$Q195))</f>
        <v/>
      </c>
      <c r="G195" s="55" t="str">
        <f>IF($Q195="","",INDEX(TRANSACTIONS_MASTER!$K$5:$K$1204,$Q195))</f>
        <v/>
      </c>
      <c r="H195" s="25" t="str">
        <f>IF($Q195="","",INDEX(TRANSACTIONS_MASTER!$L$5:$L$1204,$Q195))</f>
        <v/>
      </c>
      <c r="I195" s="56" t="str">
        <f>IF($Q195="","",INDEX(TRANSACTIONS_MASTER!$N$5:$N$1204,$Q195))</f>
        <v/>
      </c>
      <c r="J195" s="25" t="str">
        <f>IF($Q195="","",INDEX(TRANSACTIONS_MASTER!$O$5:$O$1204,$Q195))</f>
        <v/>
      </c>
      <c r="K195" s="26" t="str">
        <f>IF($Q195="","",INDEX(TRANSACTIONS_MASTER!$Q$5:$Q$1204,$Q195))</f>
        <v/>
      </c>
      <c r="L195" s="25" t="str">
        <f>IF($Q195="","",INDEX(TRANSACTIONS_MASTER!$P$5:$P$1204,$Q195))</f>
        <v/>
      </c>
      <c r="M195" s="25" t="str">
        <f>IF($Q195="","",INDEX(TRANSACTIONS_MASTER!$AA$5:$AA$1204,$Q195))</f>
        <v/>
      </c>
      <c r="N195" s="25" t="str">
        <f>IF($Q195="","",INDEX(TRANSACTIONS_MASTER!$R$5:$R$1204,$Q195))</f>
        <v/>
      </c>
      <c r="O195" s="28" t="str">
        <f>IF($Q195="","",INDEX(TRANSACTIONS_MASTER!$AB$5:$AB$1204,$Q195))</f>
        <v/>
      </c>
      <c r="P195" s="55" t="str">
        <f>IF($Q195="","",INDEX(TRANSACTIONS_MASTER!$Z$5:$Z$1204,$Q195)&amp;"")</f>
        <v/>
      </c>
      <c r="Q195" s="67" t="str">
        <f>IFERROR(MATCH($C$2&amp;"|"&amp;188,TRANSACTIONS_MASTER!$AE$5:$AE$1204,0),"")</f>
        <v/>
      </c>
    </row>
    <row r="196">
      <c r="A196" s="81" t="str">
        <f>IF($Q196="","",189)</f>
        <v/>
      </c>
      <c r="B196" s="57" t="str">
        <f>IF($Q196="","",INDEX(TRANSACTIONS_MASTER!$B$5:$B$1204,$Q196))</f>
        <v/>
      </c>
      <c r="C196" s="55" t="str">
        <f>IF($Q196="","",INDEX(TRANSACTIONS_MASTER!$F$5:$F$1204,$Q196))</f>
        <v/>
      </c>
      <c r="D196" s="55" t="str">
        <f>IF($Q196="","",INDEX(TRANSACTIONS_MASTER!$E$5:$E$1204,$Q196))</f>
        <v/>
      </c>
      <c r="E196" s="55" t="str">
        <f>IF($Q196="","",INDEX(TRANSACTIONS_MASTER!$G$5:$G$1204,$Q196)&amp;"")</f>
        <v/>
      </c>
      <c r="F196" s="29" t="str">
        <f>IF($Q196="","",INDEX(TRANSACTIONS_MASTER!$I$5:$I$1204,$Q196))</f>
        <v/>
      </c>
      <c r="G196" s="55" t="str">
        <f>IF($Q196="","",INDEX(TRANSACTIONS_MASTER!$K$5:$K$1204,$Q196))</f>
        <v/>
      </c>
      <c r="H196" s="25" t="str">
        <f>IF($Q196="","",INDEX(TRANSACTIONS_MASTER!$L$5:$L$1204,$Q196))</f>
        <v/>
      </c>
      <c r="I196" s="56" t="str">
        <f>IF($Q196="","",INDEX(TRANSACTIONS_MASTER!$N$5:$N$1204,$Q196))</f>
        <v/>
      </c>
      <c r="J196" s="25" t="str">
        <f>IF($Q196="","",INDEX(TRANSACTIONS_MASTER!$O$5:$O$1204,$Q196))</f>
        <v/>
      </c>
      <c r="K196" s="26" t="str">
        <f>IF($Q196="","",INDEX(TRANSACTIONS_MASTER!$Q$5:$Q$1204,$Q196))</f>
        <v/>
      </c>
      <c r="L196" s="25" t="str">
        <f>IF($Q196="","",INDEX(TRANSACTIONS_MASTER!$P$5:$P$1204,$Q196))</f>
        <v/>
      </c>
      <c r="M196" s="25" t="str">
        <f>IF($Q196="","",INDEX(TRANSACTIONS_MASTER!$AA$5:$AA$1204,$Q196))</f>
        <v/>
      </c>
      <c r="N196" s="25" t="str">
        <f>IF($Q196="","",INDEX(TRANSACTIONS_MASTER!$R$5:$R$1204,$Q196))</f>
        <v/>
      </c>
      <c r="O196" s="28" t="str">
        <f>IF($Q196="","",INDEX(TRANSACTIONS_MASTER!$AB$5:$AB$1204,$Q196))</f>
        <v/>
      </c>
      <c r="P196" s="55" t="str">
        <f>IF($Q196="","",INDEX(TRANSACTIONS_MASTER!$Z$5:$Z$1204,$Q196)&amp;"")</f>
        <v/>
      </c>
      <c r="Q196" s="67" t="str">
        <f>IFERROR(MATCH($C$2&amp;"|"&amp;189,TRANSACTIONS_MASTER!$AE$5:$AE$1204,0),"")</f>
        <v/>
      </c>
    </row>
    <row r="197">
      <c r="A197" s="81" t="str">
        <f>IF($Q197="","",190)</f>
        <v/>
      </c>
      <c r="B197" s="57" t="str">
        <f>IF($Q197="","",INDEX(TRANSACTIONS_MASTER!$B$5:$B$1204,$Q197))</f>
        <v/>
      </c>
      <c r="C197" s="55" t="str">
        <f>IF($Q197="","",INDEX(TRANSACTIONS_MASTER!$F$5:$F$1204,$Q197))</f>
        <v/>
      </c>
      <c r="D197" s="55" t="str">
        <f>IF($Q197="","",INDEX(TRANSACTIONS_MASTER!$E$5:$E$1204,$Q197))</f>
        <v/>
      </c>
      <c r="E197" s="55" t="str">
        <f>IF($Q197="","",INDEX(TRANSACTIONS_MASTER!$G$5:$G$1204,$Q197)&amp;"")</f>
        <v/>
      </c>
      <c r="F197" s="29" t="str">
        <f>IF($Q197="","",INDEX(TRANSACTIONS_MASTER!$I$5:$I$1204,$Q197))</f>
        <v/>
      </c>
      <c r="G197" s="55" t="str">
        <f>IF($Q197="","",INDEX(TRANSACTIONS_MASTER!$K$5:$K$1204,$Q197))</f>
        <v/>
      </c>
      <c r="H197" s="25" t="str">
        <f>IF($Q197="","",INDEX(TRANSACTIONS_MASTER!$L$5:$L$1204,$Q197))</f>
        <v/>
      </c>
      <c r="I197" s="56" t="str">
        <f>IF($Q197="","",INDEX(TRANSACTIONS_MASTER!$N$5:$N$1204,$Q197))</f>
        <v/>
      </c>
      <c r="J197" s="25" t="str">
        <f>IF($Q197="","",INDEX(TRANSACTIONS_MASTER!$O$5:$O$1204,$Q197))</f>
        <v/>
      </c>
      <c r="K197" s="26" t="str">
        <f>IF($Q197="","",INDEX(TRANSACTIONS_MASTER!$Q$5:$Q$1204,$Q197))</f>
        <v/>
      </c>
      <c r="L197" s="25" t="str">
        <f>IF($Q197="","",INDEX(TRANSACTIONS_MASTER!$P$5:$P$1204,$Q197))</f>
        <v/>
      </c>
      <c r="M197" s="25" t="str">
        <f>IF($Q197="","",INDEX(TRANSACTIONS_MASTER!$AA$5:$AA$1204,$Q197))</f>
        <v/>
      </c>
      <c r="N197" s="25" t="str">
        <f>IF($Q197="","",INDEX(TRANSACTIONS_MASTER!$R$5:$R$1204,$Q197))</f>
        <v/>
      </c>
      <c r="O197" s="28" t="str">
        <f>IF($Q197="","",INDEX(TRANSACTIONS_MASTER!$AB$5:$AB$1204,$Q197))</f>
        <v/>
      </c>
      <c r="P197" s="55" t="str">
        <f>IF($Q197="","",INDEX(TRANSACTIONS_MASTER!$Z$5:$Z$1204,$Q197)&amp;"")</f>
        <v/>
      </c>
      <c r="Q197" s="67" t="str">
        <f>IFERROR(MATCH($C$2&amp;"|"&amp;190,TRANSACTIONS_MASTER!$AE$5:$AE$1204,0),"")</f>
        <v/>
      </c>
    </row>
    <row r="198">
      <c r="A198" s="81" t="str">
        <f>IF($Q198="","",191)</f>
        <v/>
      </c>
      <c r="B198" s="57" t="str">
        <f>IF($Q198="","",INDEX(TRANSACTIONS_MASTER!$B$5:$B$1204,$Q198))</f>
        <v/>
      </c>
      <c r="C198" s="55" t="str">
        <f>IF($Q198="","",INDEX(TRANSACTIONS_MASTER!$F$5:$F$1204,$Q198))</f>
        <v/>
      </c>
      <c r="D198" s="55" t="str">
        <f>IF($Q198="","",INDEX(TRANSACTIONS_MASTER!$E$5:$E$1204,$Q198))</f>
        <v/>
      </c>
      <c r="E198" s="55" t="str">
        <f>IF($Q198="","",INDEX(TRANSACTIONS_MASTER!$G$5:$G$1204,$Q198)&amp;"")</f>
        <v/>
      </c>
      <c r="F198" s="29" t="str">
        <f>IF($Q198="","",INDEX(TRANSACTIONS_MASTER!$I$5:$I$1204,$Q198))</f>
        <v/>
      </c>
      <c r="G198" s="55" t="str">
        <f>IF($Q198="","",INDEX(TRANSACTIONS_MASTER!$K$5:$K$1204,$Q198))</f>
        <v/>
      </c>
      <c r="H198" s="25" t="str">
        <f>IF($Q198="","",INDEX(TRANSACTIONS_MASTER!$L$5:$L$1204,$Q198))</f>
        <v/>
      </c>
      <c r="I198" s="56" t="str">
        <f>IF($Q198="","",INDEX(TRANSACTIONS_MASTER!$N$5:$N$1204,$Q198))</f>
        <v/>
      </c>
      <c r="J198" s="25" t="str">
        <f>IF($Q198="","",INDEX(TRANSACTIONS_MASTER!$O$5:$O$1204,$Q198))</f>
        <v/>
      </c>
      <c r="K198" s="26" t="str">
        <f>IF($Q198="","",INDEX(TRANSACTIONS_MASTER!$Q$5:$Q$1204,$Q198))</f>
        <v/>
      </c>
      <c r="L198" s="25" t="str">
        <f>IF($Q198="","",INDEX(TRANSACTIONS_MASTER!$P$5:$P$1204,$Q198))</f>
        <v/>
      </c>
      <c r="M198" s="25" t="str">
        <f>IF($Q198="","",INDEX(TRANSACTIONS_MASTER!$AA$5:$AA$1204,$Q198))</f>
        <v/>
      </c>
      <c r="N198" s="25" t="str">
        <f>IF($Q198="","",INDEX(TRANSACTIONS_MASTER!$R$5:$R$1204,$Q198))</f>
        <v/>
      </c>
      <c r="O198" s="28" t="str">
        <f>IF($Q198="","",INDEX(TRANSACTIONS_MASTER!$AB$5:$AB$1204,$Q198))</f>
        <v/>
      </c>
      <c r="P198" s="55" t="str">
        <f>IF($Q198="","",INDEX(TRANSACTIONS_MASTER!$Z$5:$Z$1204,$Q198)&amp;"")</f>
        <v/>
      </c>
      <c r="Q198" s="67" t="str">
        <f>IFERROR(MATCH($C$2&amp;"|"&amp;191,TRANSACTIONS_MASTER!$AE$5:$AE$1204,0),"")</f>
        <v/>
      </c>
    </row>
    <row r="199">
      <c r="A199" s="81" t="str">
        <f>IF($Q199="","",192)</f>
        <v/>
      </c>
      <c r="B199" s="57" t="str">
        <f>IF($Q199="","",INDEX(TRANSACTIONS_MASTER!$B$5:$B$1204,$Q199))</f>
        <v/>
      </c>
      <c r="C199" s="55" t="str">
        <f>IF($Q199="","",INDEX(TRANSACTIONS_MASTER!$F$5:$F$1204,$Q199))</f>
        <v/>
      </c>
      <c r="D199" s="55" t="str">
        <f>IF($Q199="","",INDEX(TRANSACTIONS_MASTER!$E$5:$E$1204,$Q199))</f>
        <v/>
      </c>
      <c r="E199" s="55" t="str">
        <f>IF($Q199="","",INDEX(TRANSACTIONS_MASTER!$G$5:$G$1204,$Q199)&amp;"")</f>
        <v/>
      </c>
      <c r="F199" s="29" t="str">
        <f>IF($Q199="","",INDEX(TRANSACTIONS_MASTER!$I$5:$I$1204,$Q199))</f>
        <v/>
      </c>
      <c r="G199" s="55" t="str">
        <f>IF($Q199="","",INDEX(TRANSACTIONS_MASTER!$K$5:$K$1204,$Q199))</f>
        <v/>
      </c>
      <c r="H199" s="25" t="str">
        <f>IF($Q199="","",INDEX(TRANSACTIONS_MASTER!$L$5:$L$1204,$Q199))</f>
        <v/>
      </c>
      <c r="I199" s="56" t="str">
        <f>IF($Q199="","",INDEX(TRANSACTIONS_MASTER!$N$5:$N$1204,$Q199))</f>
        <v/>
      </c>
      <c r="J199" s="25" t="str">
        <f>IF($Q199="","",INDEX(TRANSACTIONS_MASTER!$O$5:$O$1204,$Q199))</f>
        <v/>
      </c>
      <c r="K199" s="26" t="str">
        <f>IF($Q199="","",INDEX(TRANSACTIONS_MASTER!$Q$5:$Q$1204,$Q199))</f>
        <v/>
      </c>
      <c r="L199" s="25" t="str">
        <f>IF($Q199="","",INDEX(TRANSACTIONS_MASTER!$P$5:$P$1204,$Q199))</f>
        <v/>
      </c>
      <c r="M199" s="25" t="str">
        <f>IF($Q199="","",INDEX(TRANSACTIONS_MASTER!$AA$5:$AA$1204,$Q199))</f>
        <v/>
      </c>
      <c r="N199" s="25" t="str">
        <f>IF($Q199="","",INDEX(TRANSACTIONS_MASTER!$R$5:$R$1204,$Q199))</f>
        <v/>
      </c>
      <c r="O199" s="28" t="str">
        <f>IF($Q199="","",INDEX(TRANSACTIONS_MASTER!$AB$5:$AB$1204,$Q199))</f>
        <v/>
      </c>
      <c r="P199" s="55" t="str">
        <f>IF($Q199="","",INDEX(TRANSACTIONS_MASTER!$Z$5:$Z$1204,$Q199)&amp;"")</f>
        <v/>
      </c>
      <c r="Q199" s="67" t="str">
        <f>IFERROR(MATCH($C$2&amp;"|"&amp;192,TRANSACTIONS_MASTER!$AE$5:$AE$1204,0),"")</f>
        <v/>
      </c>
    </row>
    <row r="200">
      <c r="A200" s="81" t="str">
        <f>IF($Q200="","",193)</f>
        <v/>
      </c>
      <c r="B200" s="57" t="str">
        <f>IF($Q200="","",INDEX(TRANSACTIONS_MASTER!$B$5:$B$1204,$Q200))</f>
        <v/>
      </c>
      <c r="C200" s="55" t="str">
        <f>IF($Q200="","",INDEX(TRANSACTIONS_MASTER!$F$5:$F$1204,$Q200))</f>
        <v/>
      </c>
      <c r="D200" s="55" t="str">
        <f>IF($Q200="","",INDEX(TRANSACTIONS_MASTER!$E$5:$E$1204,$Q200))</f>
        <v/>
      </c>
      <c r="E200" s="55" t="str">
        <f>IF($Q200="","",INDEX(TRANSACTIONS_MASTER!$G$5:$G$1204,$Q200)&amp;"")</f>
        <v/>
      </c>
      <c r="F200" s="29" t="str">
        <f>IF($Q200="","",INDEX(TRANSACTIONS_MASTER!$I$5:$I$1204,$Q200))</f>
        <v/>
      </c>
      <c r="G200" s="55" t="str">
        <f>IF($Q200="","",INDEX(TRANSACTIONS_MASTER!$K$5:$K$1204,$Q200))</f>
        <v/>
      </c>
      <c r="H200" s="25" t="str">
        <f>IF($Q200="","",INDEX(TRANSACTIONS_MASTER!$L$5:$L$1204,$Q200))</f>
        <v/>
      </c>
      <c r="I200" s="56" t="str">
        <f>IF($Q200="","",INDEX(TRANSACTIONS_MASTER!$N$5:$N$1204,$Q200))</f>
        <v/>
      </c>
      <c r="J200" s="25" t="str">
        <f>IF($Q200="","",INDEX(TRANSACTIONS_MASTER!$O$5:$O$1204,$Q200))</f>
        <v/>
      </c>
      <c r="K200" s="26" t="str">
        <f>IF($Q200="","",INDEX(TRANSACTIONS_MASTER!$Q$5:$Q$1204,$Q200))</f>
        <v/>
      </c>
      <c r="L200" s="25" t="str">
        <f>IF($Q200="","",INDEX(TRANSACTIONS_MASTER!$P$5:$P$1204,$Q200))</f>
        <v/>
      </c>
      <c r="M200" s="25" t="str">
        <f>IF($Q200="","",INDEX(TRANSACTIONS_MASTER!$AA$5:$AA$1204,$Q200))</f>
        <v/>
      </c>
      <c r="N200" s="25" t="str">
        <f>IF($Q200="","",INDEX(TRANSACTIONS_MASTER!$R$5:$R$1204,$Q200))</f>
        <v/>
      </c>
      <c r="O200" s="28" t="str">
        <f>IF($Q200="","",INDEX(TRANSACTIONS_MASTER!$AB$5:$AB$1204,$Q200))</f>
        <v/>
      </c>
      <c r="P200" s="55" t="str">
        <f>IF($Q200="","",INDEX(TRANSACTIONS_MASTER!$Z$5:$Z$1204,$Q200)&amp;"")</f>
        <v/>
      </c>
      <c r="Q200" s="67" t="str">
        <f>IFERROR(MATCH($C$2&amp;"|"&amp;193,TRANSACTIONS_MASTER!$AE$5:$AE$1204,0),"")</f>
        <v/>
      </c>
    </row>
    <row r="201">
      <c r="A201" s="81" t="str">
        <f>IF($Q201="","",194)</f>
        <v/>
      </c>
      <c r="B201" s="57" t="str">
        <f>IF($Q201="","",INDEX(TRANSACTIONS_MASTER!$B$5:$B$1204,$Q201))</f>
        <v/>
      </c>
      <c r="C201" s="55" t="str">
        <f>IF($Q201="","",INDEX(TRANSACTIONS_MASTER!$F$5:$F$1204,$Q201))</f>
        <v/>
      </c>
      <c r="D201" s="55" t="str">
        <f>IF($Q201="","",INDEX(TRANSACTIONS_MASTER!$E$5:$E$1204,$Q201))</f>
        <v/>
      </c>
      <c r="E201" s="55" t="str">
        <f>IF($Q201="","",INDEX(TRANSACTIONS_MASTER!$G$5:$G$1204,$Q201)&amp;"")</f>
        <v/>
      </c>
      <c r="F201" s="29" t="str">
        <f>IF($Q201="","",INDEX(TRANSACTIONS_MASTER!$I$5:$I$1204,$Q201))</f>
        <v/>
      </c>
      <c r="G201" s="55" t="str">
        <f>IF($Q201="","",INDEX(TRANSACTIONS_MASTER!$K$5:$K$1204,$Q201))</f>
        <v/>
      </c>
      <c r="H201" s="25" t="str">
        <f>IF($Q201="","",INDEX(TRANSACTIONS_MASTER!$L$5:$L$1204,$Q201))</f>
        <v/>
      </c>
      <c r="I201" s="56" t="str">
        <f>IF($Q201="","",INDEX(TRANSACTIONS_MASTER!$N$5:$N$1204,$Q201))</f>
        <v/>
      </c>
      <c r="J201" s="25" t="str">
        <f>IF($Q201="","",INDEX(TRANSACTIONS_MASTER!$O$5:$O$1204,$Q201))</f>
        <v/>
      </c>
      <c r="K201" s="26" t="str">
        <f>IF($Q201="","",INDEX(TRANSACTIONS_MASTER!$Q$5:$Q$1204,$Q201))</f>
        <v/>
      </c>
      <c r="L201" s="25" t="str">
        <f>IF($Q201="","",INDEX(TRANSACTIONS_MASTER!$P$5:$P$1204,$Q201))</f>
        <v/>
      </c>
      <c r="M201" s="25" t="str">
        <f>IF($Q201="","",INDEX(TRANSACTIONS_MASTER!$AA$5:$AA$1204,$Q201))</f>
        <v/>
      </c>
      <c r="N201" s="25" t="str">
        <f>IF($Q201="","",INDEX(TRANSACTIONS_MASTER!$R$5:$R$1204,$Q201))</f>
        <v/>
      </c>
      <c r="O201" s="28" t="str">
        <f>IF($Q201="","",INDEX(TRANSACTIONS_MASTER!$AB$5:$AB$1204,$Q201))</f>
        <v/>
      </c>
      <c r="P201" s="55" t="str">
        <f>IF($Q201="","",INDEX(TRANSACTIONS_MASTER!$Z$5:$Z$1204,$Q201)&amp;"")</f>
        <v/>
      </c>
      <c r="Q201" s="67" t="str">
        <f>IFERROR(MATCH($C$2&amp;"|"&amp;194,TRANSACTIONS_MASTER!$AE$5:$AE$1204,0),"")</f>
        <v/>
      </c>
    </row>
    <row r="202">
      <c r="A202" s="81" t="str">
        <f>IF($Q202="","",195)</f>
        <v/>
      </c>
      <c r="B202" s="57" t="str">
        <f>IF($Q202="","",INDEX(TRANSACTIONS_MASTER!$B$5:$B$1204,$Q202))</f>
        <v/>
      </c>
      <c r="C202" s="55" t="str">
        <f>IF($Q202="","",INDEX(TRANSACTIONS_MASTER!$F$5:$F$1204,$Q202))</f>
        <v/>
      </c>
      <c r="D202" s="55" t="str">
        <f>IF($Q202="","",INDEX(TRANSACTIONS_MASTER!$E$5:$E$1204,$Q202))</f>
        <v/>
      </c>
      <c r="E202" s="55" t="str">
        <f>IF($Q202="","",INDEX(TRANSACTIONS_MASTER!$G$5:$G$1204,$Q202)&amp;"")</f>
        <v/>
      </c>
      <c r="F202" s="29" t="str">
        <f>IF($Q202="","",INDEX(TRANSACTIONS_MASTER!$I$5:$I$1204,$Q202))</f>
        <v/>
      </c>
      <c r="G202" s="55" t="str">
        <f>IF($Q202="","",INDEX(TRANSACTIONS_MASTER!$K$5:$K$1204,$Q202))</f>
        <v/>
      </c>
      <c r="H202" s="25" t="str">
        <f>IF($Q202="","",INDEX(TRANSACTIONS_MASTER!$L$5:$L$1204,$Q202))</f>
        <v/>
      </c>
      <c r="I202" s="56" t="str">
        <f>IF($Q202="","",INDEX(TRANSACTIONS_MASTER!$N$5:$N$1204,$Q202))</f>
        <v/>
      </c>
      <c r="J202" s="25" t="str">
        <f>IF($Q202="","",INDEX(TRANSACTIONS_MASTER!$O$5:$O$1204,$Q202))</f>
        <v/>
      </c>
      <c r="K202" s="26" t="str">
        <f>IF($Q202="","",INDEX(TRANSACTIONS_MASTER!$Q$5:$Q$1204,$Q202))</f>
        <v/>
      </c>
      <c r="L202" s="25" t="str">
        <f>IF($Q202="","",INDEX(TRANSACTIONS_MASTER!$P$5:$P$1204,$Q202))</f>
        <v/>
      </c>
      <c r="M202" s="25" t="str">
        <f>IF($Q202="","",INDEX(TRANSACTIONS_MASTER!$AA$5:$AA$1204,$Q202))</f>
        <v/>
      </c>
      <c r="N202" s="25" t="str">
        <f>IF($Q202="","",INDEX(TRANSACTIONS_MASTER!$R$5:$R$1204,$Q202))</f>
        <v/>
      </c>
      <c r="O202" s="28" t="str">
        <f>IF($Q202="","",INDEX(TRANSACTIONS_MASTER!$AB$5:$AB$1204,$Q202))</f>
        <v/>
      </c>
      <c r="P202" s="55" t="str">
        <f>IF($Q202="","",INDEX(TRANSACTIONS_MASTER!$Z$5:$Z$1204,$Q202)&amp;"")</f>
        <v/>
      </c>
      <c r="Q202" s="67" t="str">
        <f>IFERROR(MATCH($C$2&amp;"|"&amp;195,TRANSACTIONS_MASTER!$AE$5:$AE$1204,0),"")</f>
        <v/>
      </c>
    </row>
    <row r="203">
      <c r="A203" s="81" t="str">
        <f>IF($Q203="","",196)</f>
        <v/>
      </c>
      <c r="B203" s="57" t="str">
        <f>IF($Q203="","",INDEX(TRANSACTIONS_MASTER!$B$5:$B$1204,$Q203))</f>
        <v/>
      </c>
      <c r="C203" s="55" t="str">
        <f>IF($Q203="","",INDEX(TRANSACTIONS_MASTER!$F$5:$F$1204,$Q203))</f>
        <v/>
      </c>
      <c r="D203" s="55" t="str">
        <f>IF($Q203="","",INDEX(TRANSACTIONS_MASTER!$E$5:$E$1204,$Q203))</f>
        <v/>
      </c>
      <c r="E203" s="55" t="str">
        <f>IF($Q203="","",INDEX(TRANSACTIONS_MASTER!$G$5:$G$1204,$Q203)&amp;"")</f>
        <v/>
      </c>
      <c r="F203" s="29" t="str">
        <f>IF($Q203="","",INDEX(TRANSACTIONS_MASTER!$I$5:$I$1204,$Q203))</f>
        <v/>
      </c>
      <c r="G203" s="55" t="str">
        <f>IF($Q203="","",INDEX(TRANSACTIONS_MASTER!$K$5:$K$1204,$Q203))</f>
        <v/>
      </c>
      <c r="H203" s="25" t="str">
        <f>IF($Q203="","",INDEX(TRANSACTIONS_MASTER!$L$5:$L$1204,$Q203))</f>
        <v/>
      </c>
      <c r="I203" s="56" t="str">
        <f>IF($Q203="","",INDEX(TRANSACTIONS_MASTER!$N$5:$N$1204,$Q203))</f>
        <v/>
      </c>
      <c r="J203" s="25" t="str">
        <f>IF($Q203="","",INDEX(TRANSACTIONS_MASTER!$O$5:$O$1204,$Q203))</f>
        <v/>
      </c>
      <c r="K203" s="26" t="str">
        <f>IF($Q203="","",INDEX(TRANSACTIONS_MASTER!$Q$5:$Q$1204,$Q203))</f>
        <v/>
      </c>
      <c r="L203" s="25" t="str">
        <f>IF($Q203="","",INDEX(TRANSACTIONS_MASTER!$P$5:$P$1204,$Q203))</f>
        <v/>
      </c>
      <c r="M203" s="25" t="str">
        <f>IF($Q203="","",INDEX(TRANSACTIONS_MASTER!$AA$5:$AA$1204,$Q203))</f>
        <v/>
      </c>
      <c r="N203" s="25" t="str">
        <f>IF($Q203="","",INDEX(TRANSACTIONS_MASTER!$R$5:$R$1204,$Q203))</f>
        <v/>
      </c>
      <c r="O203" s="28" t="str">
        <f>IF($Q203="","",INDEX(TRANSACTIONS_MASTER!$AB$5:$AB$1204,$Q203))</f>
        <v/>
      </c>
      <c r="P203" s="55" t="str">
        <f>IF($Q203="","",INDEX(TRANSACTIONS_MASTER!$Z$5:$Z$1204,$Q203)&amp;"")</f>
        <v/>
      </c>
      <c r="Q203" s="67" t="str">
        <f>IFERROR(MATCH($C$2&amp;"|"&amp;196,TRANSACTIONS_MASTER!$AE$5:$AE$1204,0),"")</f>
        <v/>
      </c>
    </row>
    <row r="204">
      <c r="A204" s="81" t="str">
        <f>IF($Q204="","",197)</f>
        <v/>
      </c>
      <c r="B204" s="57" t="str">
        <f>IF($Q204="","",INDEX(TRANSACTIONS_MASTER!$B$5:$B$1204,$Q204))</f>
        <v/>
      </c>
      <c r="C204" s="55" t="str">
        <f>IF($Q204="","",INDEX(TRANSACTIONS_MASTER!$F$5:$F$1204,$Q204))</f>
        <v/>
      </c>
      <c r="D204" s="55" t="str">
        <f>IF($Q204="","",INDEX(TRANSACTIONS_MASTER!$E$5:$E$1204,$Q204))</f>
        <v/>
      </c>
      <c r="E204" s="55" t="str">
        <f>IF($Q204="","",INDEX(TRANSACTIONS_MASTER!$G$5:$G$1204,$Q204)&amp;"")</f>
        <v/>
      </c>
      <c r="F204" s="29" t="str">
        <f>IF($Q204="","",INDEX(TRANSACTIONS_MASTER!$I$5:$I$1204,$Q204))</f>
        <v/>
      </c>
      <c r="G204" s="55" t="str">
        <f>IF($Q204="","",INDEX(TRANSACTIONS_MASTER!$K$5:$K$1204,$Q204))</f>
        <v/>
      </c>
      <c r="H204" s="25" t="str">
        <f>IF($Q204="","",INDEX(TRANSACTIONS_MASTER!$L$5:$L$1204,$Q204))</f>
        <v/>
      </c>
      <c r="I204" s="56" t="str">
        <f>IF($Q204="","",INDEX(TRANSACTIONS_MASTER!$N$5:$N$1204,$Q204))</f>
        <v/>
      </c>
      <c r="J204" s="25" t="str">
        <f>IF($Q204="","",INDEX(TRANSACTIONS_MASTER!$O$5:$O$1204,$Q204))</f>
        <v/>
      </c>
      <c r="K204" s="26" t="str">
        <f>IF($Q204="","",INDEX(TRANSACTIONS_MASTER!$Q$5:$Q$1204,$Q204))</f>
        <v/>
      </c>
      <c r="L204" s="25" t="str">
        <f>IF($Q204="","",INDEX(TRANSACTIONS_MASTER!$P$5:$P$1204,$Q204))</f>
        <v/>
      </c>
      <c r="M204" s="25" t="str">
        <f>IF($Q204="","",INDEX(TRANSACTIONS_MASTER!$AA$5:$AA$1204,$Q204))</f>
        <v/>
      </c>
      <c r="N204" s="25" t="str">
        <f>IF($Q204="","",INDEX(TRANSACTIONS_MASTER!$R$5:$R$1204,$Q204))</f>
        <v/>
      </c>
      <c r="O204" s="28" t="str">
        <f>IF($Q204="","",INDEX(TRANSACTIONS_MASTER!$AB$5:$AB$1204,$Q204))</f>
        <v/>
      </c>
      <c r="P204" s="55" t="str">
        <f>IF($Q204="","",INDEX(TRANSACTIONS_MASTER!$Z$5:$Z$1204,$Q204)&amp;"")</f>
        <v/>
      </c>
      <c r="Q204" s="67" t="str">
        <f>IFERROR(MATCH($C$2&amp;"|"&amp;197,TRANSACTIONS_MASTER!$AE$5:$AE$1204,0),"")</f>
        <v/>
      </c>
    </row>
    <row r="205">
      <c r="A205" s="81" t="str">
        <f>IF($Q205="","",198)</f>
        <v/>
      </c>
      <c r="B205" s="57" t="str">
        <f>IF($Q205="","",INDEX(TRANSACTIONS_MASTER!$B$5:$B$1204,$Q205))</f>
        <v/>
      </c>
      <c r="C205" s="55" t="str">
        <f>IF($Q205="","",INDEX(TRANSACTIONS_MASTER!$F$5:$F$1204,$Q205))</f>
        <v/>
      </c>
      <c r="D205" s="55" t="str">
        <f>IF($Q205="","",INDEX(TRANSACTIONS_MASTER!$E$5:$E$1204,$Q205))</f>
        <v/>
      </c>
      <c r="E205" s="55" t="str">
        <f>IF($Q205="","",INDEX(TRANSACTIONS_MASTER!$G$5:$G$1204,$Q205)&amp;"")</f>
        <v/>
      </c>
      <c r="F205" s="29" t="str">
        <f>IF($Q205="","",INDEX(TRANSACTIONS_MASTER!$I$5:$I$1204,$Q205))</f>
        <v/>
      </c>
      <c r="G205" s="55" t="str">
        <f>IF($Q205="","",INDEX(TRANSACTIONS_MASTER!$K$5:$K$1204,$Q205))</f>
        <v/>
      </c>
      <c r="H205" s="25" t="str">
        <f>IF($Q205="","",INDEX(TRANSACTIONS_MASTER!$L$5:$L$1204,$Q205))</f>
        <v/>
      </c>
      <c r="I205" s="56" t="str">
        <f>IF($Q205="","",INDEX(TRANSACTIONS_MASTER!$N$5:$N$1204,$Q205))</f>
        <v/>
      </c>
      <c r="J205" s="25" t="str">
        <f>IF($Q205="","",INDEX(TRANSACTIONS_MASTER!$O$5:$O$1204,$Q205))</f>
        <v/>
      </c>
      <c r="K205" s="26" t="str">
        <f>IF($Q205="","",INDEX(TRANSACTIONS_MASTER!$Q$5:$Q$1204,$Q205))</f>
        <v/>
      </c>
      <c r="L205" s="25" t="str">
        <f>IF($Q205="","",INDEX(TRANSACTIONS_MASTER!$P$5:$P$1204,$Q205))</f>
        <v/>
      </c>
      <c r="M205" s="25" t="str">
        <f>IF($Q205="","",INDEX(TRANSACTIONS_MASTER!$AA$5:$AA$1204,$Q205))</f>
        <v/>
      </c>
      <c r="N205" s="25" t="str">
        <f>IF($Q205="","",INDEX(TRANSACTIONS_MASTER!$R$5:$R$1204,$Q205))</f>
        <v/>
      </c>
      <c r="O205" s="28" t="str">
        <f>IF($Q205="","",INDEX(TRANSACTIONS_MASTER!$AB$5:$AB$1204,$Q205))</f>
        <v/>
      </c>
      <c r="P205" s="55" t="str">
        <f>IF($Q205="","",INDEX(TRANSACTIONS_MASTER!$Z$5:$Z$1204,$Q205)&amp;"")</f>
        <v/>
      </c>
      <c r="Q205" s="67" t="str">
        <f>IFERROR(MATCH($C$2&amp;"|"&amp;198,TRANSACTIONS_MASTER!$AE$5:$AE$1204,0),"")</f>
        <v/>
      </c>
    </row>
    <row r="206">
      <c r="A206" s="81" t="str">
        <f>IF($Q206="","",199)</f>
        <v/>
      </c>
      <c r="B206" s="57" t="str">
        <f>IF($Q206="","",INDEX(TRANSACTIONS_MASTER!$B$5:$B$1204,$Q206))</f>
        <v/>
      </c>
      <c r="C206" s="55" t="str">
        <f>IF($Q206="","",INDEX(TRANSACTIONS_MASTER!$F$5:$F$1204,$Q206))</f>
        <v/>
      </c>
      <c r="D206" s="55" t="str">
        <f>IF($Q206="","",INDEX(TRANSACTIONS_MASTER!$E$5:$E$1204,$Q206))</f>
        <v/>
      </c>
      <c r="E206" s="55" t="str">
        <f>IF($Q206="","",INDEX(TRANSACTIONS_MASTER!$G$5:$G$1204,$Q206)&amp;"")</f>
        <v/>
      </c>
      <c r="F206" s="29" t="str">
        <f>IF($Q206="","",INDEX(TRANSACTIONS_MASTER!$I$5:$I$1204,$Q206))</f>
        <v/>
      </c>
      <c r="G206" s="55" t="str">
        <f>IF($Q206="","",INDEX(TRANSACTIONS_MASTER!$K$5:$K$1204,$Q206))</f>
        <v/>
      </c>
      <c r="H206" s="25" t="str">
        <f>IF($Q206="","",INDEX(TRANSACTIONS_MASTER!$L$5:$L$1204,$Q206))</f>
        <v/>
      </c>
      <c r="I206" s="56" t="str">
        <f>IF($Q206="","",INDEX(TRANSACTIONS_MASTER!$N$5:$N$1204,$Q206))</f>
        <v/>
      </c>
      <c r="J206" s="25" t="str">
        <f>IF($Q206="","",INDEX(TRANSACTIONS_MASTER!$O$5:$O$1204,$Q206))</f>
        <v/>
      </c>
      <c r="K206" s="26" t="str">
        <f>IF($Q206="","",INDEX(TRANSACTIONS_MASTER!$Q$5:$Q$1204,$Q206))</f>
        <v/>
      </c>
      <c r="L206" s="25" t="str">
        <f>IF($Q206="","",INDEX(TRANSACTIONS_MASTER!$P$5:$P$1204,$Q206))</f>
        <v/>
      </c>
      <c r="M206" s="25" t="str">
        <f>IF($Q206="","",INDEX(TRANSACTIONS_MASTER!$AA$5:$AA$1204,$Q206))</f>
        <v/>
      </c>
      <c r="N206" s="25" t="str">
        <f>IF($Q206="","",INDEX(TRANSACTIONS_MASTER!$R$5:$R$1204,$Q206))</f>
        <v/>
      </c>
      <c r="O206" s="28" t="str">
        <f>IF($Q206="","",INDEX(TRANSACTIONS_MASTER!$AB$5:$AB$1204,$Q206))</f>
        <v/>
      </c>
      <c r="P206" s="55" t="str">
        <f>IF($Q206="","",INDEX(TRANSACTIONS_MASTER!$Z$5:$Z$1204,$Q206)&amp;"")</f>
        <v/>
      </c>
      <c r="Q206" s="67" t="str">
        <f>IFERROR(MATCH($C$2&amp;"|"&amp;199,TRANSACTIONS_MASTER!$AE$5:$AE$1204,0),"")</f>
        <v/>
      </c>
    </row>
    <row r="207">
      <c r="A207" s="81" t="str">
        <f>IF($Q207="","",200)</f>
        <v/>
      </c>
      <c r="B207" s="57" t="str">
        <f>IF($Q207="","",INDEX(TRANSACTIONS_MASTER!$B$5:$B$1204,$Q207))</f>
        <v/>
      </c>
      <c r="C207" s="55" t="str">
        <f>IF($Q207="","",INDEX(TRANSACTIONS_MASTER!$F$5:$F$1204,$Q207))</f>
        <v/>
      </c>
      <c r="D207" s="55" t="str">
        <f>IF($Q207="","",INDEX(TRANSACTIONS_MASTER!$E$5:$E$1204,$Q207))</f>
        <v/>
      </c>
      <c r="E207" s="55" t="str">
        <f>IF($Q207="","",INDEX(TRANSACTIONS_MASTER!$G$5:$G$1204,$Q207)&amp;"")</f>
        <v/>
      </c>
      <c r="F207" s="29" t="str">
        <f>IF($Q207="","",INDEX(TRANSACTIONS_MASTER!$I$5:$I$1204,$Q207))</f>
        <v/>
      </c>
      <c r="G207" s="55" t="str">
        <f>IF($Q207="","",INDEX(TRANSACTIONS_MASTER!$K$5:$K$1204,$Q207))</f>
        <v/>
      </c>
      <c r="H207" s="25" t="str">
        <f>IF($Q207="","",INDEX(TRANSACTIONS_MASTER!$L$5:$L$1204,$Q207))</f>
        <v/>
      </c>
      <c r="I207" s="56" t="str">
        <f>IF($Q207="","",INDEX(TRANSACTIONS_MASTER!$N$5:$N$1204,$Q207))</f>
        <v/>
      </c>
      <c r="J207" s="25" t="str">
        <f>IF($Q207="","",INDEX(TRANSACTIONS_MASTER!$O$5:$O$1204,$Q207))</f>
        <v/>
      </c>
      <c r="K207" s="26" t="str">
        <f>IF($Q207="","",INDEX(TRANSACTIONS_MASTER!$Q$5:$Q$1204,$Q207))</f>
        <v/>
      </c>
      <c r="L207" s="25" t="str">
        <f>IF($Q207="","",INDEX(TRANSACTIONS_MASTER!$P$5:$P$1204,$Q207))</f>
        <v/>
      </c>
      <c r="M207" s="25" t="str">
        <f>IF($Q207="","",INDEX(TRANSACTIONS_MASTER!$AA$5:$AA$1204,$Q207))</f>
        <v/>
      </c>
      <c r="N207" s="25" t="str">
        <f>IF($Q207="","",INDEX(TRANSACTIONS_MASTER!$R$5:$R$1204,$Q207))</f>
        <v/>
      </c>
      <c r="O207" s="28" t="str">
        <f>IF($Q207="","",INDEX(TRANSACTIONS_MASTER!$AB$5:$AB$1204,$Q207))</f>
        <v/>
      </c>
      <c r="P207" s="55" t="str">
        <f>IF($Q207="","",INDEX(TRANSACTIONS_MASTER!$Z$5:$Z$1204,$Q207)&amp;"")</f>
        <v/>
      </c>
      <c r="Q207" s="67" t="str">
        <f>IFERROR(MATCH($C$2&amp;"|"&amp;200,TRANSACTIONS_MASTER!$AE$5:$AE$1204,0),"")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autoFilter ref="A7:P207"/>
  <mergeCells count="14">
    <mergeCell ref="I4:J4"/>
    <mergeCell ref="T3:W3"/>
    <mergeCell ref="B3:C3"/>
    <mergeCell ref="T4:W4"/>
    <mergeCell ref="M4:O4"/>
    <mergeCell ref="M3:O3"/>
    <mergeCell ref="F4:H4"/>
    <mergeCell ref="D4:E4"/>
    <mergeCell ref="K4:L4"/>
    <mergeCell ref="F3:H3"/>
    <mergeCell ref="D3:E3"/>
    <mergeCell ref="B4:C4"/>
    <mergeCell ref="K3:L3"/>
    <mergeCell ref="I3:J3"/>
  </mergeCells>
  <conditionalFormatting sqref="AA8:AA57">
    <cfRule type="dataBar" priority="1">
      <dataBar showValue="1">
        <cfvo type="num" val="0"/>
        <cfvo type="num" val="1"/>
        <color rgb="00F2A1BF"/>
      </dataBar>
    </cfRule>
    <cfRule type="expression" priority="2" dxfId="8">
      <formula>AND(ISNUMBER(AA8),AA8&gt;=1)</formula>
    </cfRule>
  </conditionalFormatting>
  <conditionalFormatting sqref="Z8:Z57">
    <cfRule type="cellIs" priority="3" operator="equal" dxfId="1">
      <formula>0</formula>
    </cfRule>
  </conditionalFormatting>
  <conditionalFormatting sqref="Z62:Z91">
    <cfRule type="dataBar" priority="4">
      <dataBar showValue="1">
        <cfvo type="num" val="0"/>
        <cfvo type="num" val="1"/>
        <color rgb="00F2A1BF"/>
      </dataBar>
    </cfRule>
    <cfRule type="expression" priority="5" dxfId="8">
      <formula>AND(ISNUMBER(Z62),Z62&gt;=1)</formula>
    </cfRule>
  </conditionalFormatting>
  <conditionalFormatting sqref="Y62:Y91">
    <cfRule type="cellIs" priority="6" operator="equal" dxfId="1">
      <formula>0</formula>
    </cfRule>
  </conditionalFormatting>
  <conditionalFormatting sqref="A8:P207">
    <cfRule type="expression" priority="7" dxfId="5" stopIfTrue="0">
      <formula>MOD(ROW(),2)=0</formula>
    </cfRule>
  </conditionalFormatting>
  <conditionalFormatting sqref="O8:O207">
    <cfRule type="cellIs" priority="8" operator="equal" dxfId="3">
      <formula>"Được hoàn"</formula>
    </cfRule>
    <cfRule type="cellIs" priority="9" operator="equal" dxfId="2">
      <formula>"Hoàn một phần"</formula>
    </cfRule>
    <cfRule type="cellIs" priority="10" operator="equal" dxfId="1">
      <formula>"Đã đạt cap"</formula>
    </cfRule>
    <cfRule type="cellIs" priority="11" operator="equal" dxfId="4">
      <formula>"Không được hoàn"</formula>
    </cfRule>
    <cfRule type="cellIs" priority="12" operator="equal" dxfId="0">
      <formula>"Đã hủy"</formula>
    </cfRule>
  </conditionalFormatting>
  <conditionalFormatting sqref="K8:K207">
    <cfRule type="expression" priority="13" dxfId="7">
      <formula>AND(ISNUMBER($K8),$K8&gt;0)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00F8C8DC"/>
    <outlinePr summaryBelow="1" summaryRight="1"/>
    <pageSetUpPr/>
  </sheetPr>
  <dimension ref="A1:AA20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13" customWidth="1" min="4" max="4"/>
    <col width="22" customWidth="1" min="5" max="5"/>
    <col width="8" customWidth="1" min="6" max="6"/>
    <col width="17" customWidth="1" min="7" max="7"/>
    <col width="14" customWidth="1" min="8" max="8"/>
    <col width="10" customWidth="1" min="9" max="9"/>
    <col width="15" customWidth="1" min="10" max="10"/>
    <col width="15" customWidth="1" min="11" max="11"/>
    <col width="14" customWidth="1" min="12" max="12"/>
    <col width="14" customWidth="1" min="13" max="13"/>
    <col width="15" customWidth="1" min="14" max="14"/>
    <col width="16" customWidth="1" min="15" max="15"/>
    <col width="14" customWidth="1" min="16" max="16"/>
    <col width="3" customWidth="1" min="17" max="17"/>
    <col width="3" customWidth="1" min="18" max="18"/>
    <col width="4" customWidth="1" min="19" max="19"/>
    <col width="12" customWidth="1" min="20" max="20"/>
    <col width="30" customWidth="1" min="21" max="21"/>
    <col width="15" customWidth="1" min="22" max="22"/>
    <col width="17" customWidth="1" min="23" max="23"/>
    <col width="15" customWidth="1" min="24" max="24"/>
    <col width="15" customWidth="1" min="25" max="25"/>
    <col width="15" customWidth="1" min="26" max="26"/>
    <col width="12" customWidth="1" min="27" max="27"/>
  </cols>
  <sheetData>
    <row r="1" ht="28" customHeight="1">
      <c r="B1" s="70" t="str">
        <f>"THÁNG "&amp;MOD($C$2,100)&amp;"/"&amp;INT($C$2/100)&amp;"   ♥"</f>
        <v>THÁNG 12/2026   ♥</v>
      </c>
    </row>
    <row r="2" ht="20" customHeight="1">
      <c r="B2" s="71" t="inlineStr">
        <is>
          <t>Mã tháng</t>
        </is>
      </c>
      <c r="C2" s="72" t="n">
        <v>202612</v>
      </c>
      <c r="E2" s="66" t="str">
        <f>HYPERLINK("#Dashboard!A1","← Dashboard")</f>
        <v>← Dashboard</v>
      </c>
      <c r="G2" s="66" t="str">
        <f>HYPERLINK("#TRANSACTIONS_MASTER!A1","Giao dịch (nhập ở đây) →")</f>
        <v>Giao dịch (nhập ở đây) →</v>
      </c>
      <c r="J2" s="66" t="str">
        <f>HYPERLINK("#'2026-12'!S6","Cap &amp; thẻ →")</f>
        <v>Cap &amp; thẻ →</v>
      </c>
      <c r="L2" s="66" t="str">
        <f>HYPERLINK("#'2026-12'!S95","Phân tích →")</f>
        <v>Phân tích →</v>
      </c>
      <c r="N2" s="66" t="str">
        <f>HYPERLINK("#'2026-12'!A1","↑ Đầu trang")</f>
        <v>↑ Đầu trang</v>
      </c>
      <c r="O2" s="73" t="inlineStr">
        <is>
          <t>Sheet này là bản xem tự động — nhập giao dịch ở TRANSACTIONS_MASTER</t>
        </is>
      </c>
    </row>
    <row r="3" ht="17" customHeight="1">
      <c r="B3" s="74" t="inlineStr">
        <is>
          <t>💰 Tổng chi tiêu</t>
        </is>
      </c>
      <c r="C3" s="75" t="n"/>
      <c r="D3" s="74" t="inlineStr">
        <is>
          <t>★ Tổng cashback (thực nhận)</t>
        </is>
      </c>
      <c r="E3" s="75" t="n"/>
      <c r="F3" s="74" t="inlineStr">
        <is>
          <t>Cashback còn có thể nhận</t>
        </is>
      </c>
      <c r="G3" s="75" t="n"/>
      <c r="H3" s="75" t="n"/>
      <c r="I3" s="74" t="inlineStr">
        <is>
          <t>Số giao dịch</t>
        </is>
      </c>
      <c r="J3" s="75" t="n"/>
      <c r="K3" s="74" t="inlineStr">
        <is>
          <t>Số thẻ sử dụng</t>
        </is>
      </c>
      <c r="L3" s="75" t="n"/>
      <c r="M3" s="74" t="inlineStr">
        <is>
          <t>Thẻ có cashback cao nhất</t>
        </is>
      </c>
      <c r="N3" s="75" t="n"/>
      <c r="O3" s="75" t="n"/>
      <c r="T3" s="74" t="inlineStr">
        <is>
          <t>Danh mục chi tiêu nhiều nhất</t>
        </is>
      </c>
      <c r="U3" s="75" t="n"/>
      <c r="V3" s="75" t="n"/>
      <c r="W3" s="75" t="n"/>
    </row>
    <row r="4" ht="30" customHeight="1">
      <c r="B4" s="76">
        <f>SUMIFS(TRANSACTIONS_MASTER!$L$5:$L$1204,TRANSACTIONS_MASTER!$C$5:$C$1204,$C$2,TRANSACTIONS_MASTER!$U$5:$U$1204,"&lt;&gt;Cancelled")</f>
        <v>0</v>
      </c>
      <c r="C4" s="77" t="n"/>
      <c r="D4" s="76">
        <f>SUMIFS(TRANSACTIONS_MASTER!$Q$5:$Q$1204,TRANSACTIONS_MASTER!$C$5:$C$1204,$C$2)</f>
        <v>0</v>
      </c>
      <c r="E4" s="77" t="n"/>
      <c r="F4" s="76">
        <f>SUM($Y$62:$Y$91)</f>
        <v>4500000</v>
      </c>
      <c r="G4" s="77" t="n"/>
      <c r="H4" s="77" t="n"/>
      <c r="I4" s="78">
        <f>COUNTIFS(TRANSACTIONS_MASTER!$C$5:$C$1204,$C$2,TRANSACTIONS_MASTER!$U$5:$U$1204,"&lt;&gt;Cancelled")</f>
        <v>0</v>
      </c>
      <c r="J4" s="77" t="n"/>
      <c r="K4" s="78">
        <f>COUNTIF($AA$62:$AA$91,"&gt;0")</f>
        <v>0</v>
      </c>
      <c r="L4" s="77" t="n"/>
      <c r="M4" s="79" t="str">
        <f>IF(MAX($W$62:$W$91)&gt;0,INDEX($U$62:$U$91,MATCH(MAX($W$62:$W$91),$W$62:$W$91,0)),"—")</f>
        <v>—</v>
      </c>
      <c r="N4" s="77" t="n"/>
      <c r="O4" s="77" t="n"/>
      <c r="T4" s="79" t="str">
        <f>IF(MAX($V$117:$V$131)&gt;0,INDEX($U$117:$U$131,MATCH(MAX($V$117:$V$131),$V$117:$V$131,0)),"—")</f>
        <v>—</v>
      </c>
      <c r="U4" s="77" t="n"/>
      <c r="V4" s="77" t="n"/>
      <c r="W4" s="77" t="n"/>
    </row>
    <row r="5" ht="6" customHeight="1"/>
    <row r="6" ht="22" customHeight="1">
      <c r="A6" s="19" t="inlineStr">
        <is>
          <t>GIAO DỊCH TRONG THÁNG</t>
        </is>
      </c>
      <c r="B6" s="20" t="n"/>
      <c r="C6" s="20" t="n"/>
      <c r="D6" s="20" t="n"/>
      <c r="E6" s="20" t="n"/>
      <c r="F6" s="20" t="n"/>
      <c r="G6" s="20" t="n"/>
      <c r="H6" s="80" t="str">
        <f>IF(COUNTIFS(TRANSACTIONS_MASTER!$C$5:$C$1204,$C$2)&gt;200,"⚠ Còn "&amp;(COUNTIFS(TRANSACTIONS_MASTER!$C$5:$C$1204,$C$2)-200)&amp;" giao dịch chưa hiển thị — xem TRANSACTIONS_MASTER","")</f>
        <v/>
      </c>
      <c r="I6" s="20" t="n"/>
      <c r="J6" s="20" t="n"/>
      <c r="K6" s="20" t="n"/>
      <c r="L6" s="20" t="n"/>
      <c r="M6" s="20" t="n"/>
      <c r="N6" s="20" t="n"/>
      <c r="O6" s="20" t="n"/>
      <c r="P6" s="20" t="n"/>
      <c r="T6" s="19" t="inlineStr">
        <is>
          <t>THEO DÕI CAP — TỪNG NHÓM CASHBACK (progress bar)</t>
        </is>
      </c>
      <c r="U6" s="20" t="n"/>
      <c r="V6" s="20" t="n"/>
      <c r="W6" s="20" t="n"/>
      <c r="X6" s="20" t="n"/>
      <c r="Y6" s="20" t="n"/>
      <c r="Z6" s="20" t="n"/>
      <c r="AA6" s="20" t="n"/>
    </row>
    <row r="7" ht="30" customHeight="1">
      <c r="A7" s="21" t="inlineStr">
        <is>
          <t>#</t>
        </is>
      </c>
      <c r="B7" s="21" t="inlineStr">
        <is>
          <t>Ngày</t>
        </is>
      </c>
      <c r="C7" s="21" t="inlineStr">
        <is>
          <t>Thẻ</t>
        </is>
      </c>
      <c r="D7" s="21" t="inlineStr">
        <is>
          <t>Ngân hàng</t>
        </is>
      </c>
      <c r="E7" s="21" t="inlineStr">
        <is>
          <t>Merchant</t>
        </is>
      </c>
      <c r="F7" s="21" t="inlineStr">
        <is>
          <t>MCC</t>
        </is>
      </c>
      <c r="G7" s="21" t="inlineStr">
        <is>
          <t>Danh mục</t>
        </is>
      </c>
      <c r="H7" s="21" t="inlineStr">
        <is>
          <t>Số tiền</t>
        </is>
      </c>
      <c r="I7" s="21" t="inlineStr">
        <is>
          <t>Cashback %</t>
        </is>
      </c>
      <c r="J7" s="21" t="inlineStr">
        <is>
          <t>Cashback tính toán</t>
        </is>
      </c>
      <c r="K7" s="21" t="inlineStr">
        <is>
          <t>Cashback thực nhận</t>
        </is>
      </c>
      <c r="L7" s="21" t="inlineStr">
        <is>
          <t>Cap danh mục</t>
        </is>
      </c>
      <c r="M7" s="21" t="inlineStr">
        <is>
          <t>Cap thẻ</t>
        </is>
      </c>
      <c r="N7" s="21" t="inlineStr">
        <is>
          <t>Cashback còn lại</t>
        </is>
      </c>
      <c r="O7" s="21" t="inlineStr">
        <is>
          <t>Trạng thái hoàn</t>
        </is>
      </c>
      <c r="P7" s="21" t="inlineStr">
        <is>
          <t>Nhóm cashback</t>
        </is>
      </c>
      <c r="Q7" s="21" t="inlineStr">
        <is>
          <t>⚙</t>
        </is>
      </c>
      <c r="S7" s="21" t="inlineStr">
        <is>
          <t>#</t>
        </is>
      </c>
      <c r="T7" s="21" t="inlineStr">
        <is>
          <t>Card ID</t>
        </is>
      </c>
      <c r="U7" s="21" t="inlineStr">
        <is>
          <t>Thẻ</t>
        </is>
      </c>
      <c r="V7" s="21" t="inlineStr">
        <is>
          <t>Nhóm</t>
        </is>
      </c>
      <c r="W7" s="21" t="inlineStr">
        <is>
          <t>Danh mục</t>
        </is>
      </c>
      <c r="X7" s="21" t="inlineStr">
        <is>
          <t>Đã cashback</t>
        </is>
      </c>
      <c r="Y7" s="21" t="inlineStr">
        <is>
          <t>Cap nhóm</t>
        </is>
      </c>
      <c r="Z7" s="21" t="inlineStr">
        <is>
          <t>Còn lại</t>
        </is>
      </c>
      <c r="AA7" s="21" t="inlineStr">
        <is>
          <t>Progress</t>
        </is>
      </c>
    </row>
    <row r="8" ht="20" customHeight="1">
      <c r="A8" s="81" t="str">
        <f>IF($Q8="","",1)</f>
        <v/>
      </c>
      <c r="B8" s="57" t="str">
        <f>IF($Q8="","",INDEX(TRANSACTIONS_MASTER!$B$5:$B$1204,$Q8))</f>
        <v/>
      </c>
      <c r="C8" s="55" t="str">
        <f>IF($Q8="","",INDEX(TRANSACTIONS_MASTER!$F$5:$F$1204,$Q8))</f>
        <v/>
      </c>
      <c r="D8" s="55" t="str">
        <f>IF($Q8="","",INDEX(TRANSACTIONS_MASTER!$E$5:$E$1204,$Q8))</f>
        <v/>
      </c>
      <c r="E8" s="55" t="str">
        <f>IF($Q8="","",INDEX(TRANSACTIONS_MASTER!$G$5:$G$1204,$Q8)&amp;"")</f>
        <v/>
      </c>
      <c r="F8" s="29" t="str">
        <f>IF($Q8="","",INDEX(TRANSACTIONS_MASTER!$I$5:$I$1204,$Q8))</f>
        <v/>
      </c>
      <c r="G8" s="55" t="str">
        <f>IF($Q8="","",INDEX(TRANSACTIONS_MASTER!$K$5:$K$1204,$Q8))</f>
        <v/>
      </c>
      <c r="H8" s="25" t="str">
        <f>IF($Q8="","",INDEX(TRANSACTIONS_MASTER!$L$5:$L$1204,$Q8))</f>
        <v/>
      </c>
      <c r="I8" s="56" t="str">
        <f>IF($Q8="","",INDEX(TRANSACTIONS_MASTER!$N$5:$N$1204,$Q8))</f>
        <v/>
      </c>
      <c r="J8" s="25" t="str">
        <f>IF($Q8="","",INDEX(TRANSACTIONS_MASTER!$O$5:$O$1204,$Q8))</f>
        <v/>
      </c>
      <c r="K8" s="26" t="str">
        <f>IF($Q8="","",INDEX(TRANSACTIONS_MASTER!$Q$5:$Q$1204,$Q8))</f>
        <v/>
      </c>
      <c r="L8" s="25" t="str">
        <f>IF($Q8="","",INDEX(TRANSACTIONS_MASTER!$P$5:$P$1204,$Q8))</f>
        <v/>
      </c>
      <c r="M8" s="25" t="str">
        <f>IF($Q8="","",INDEX(TRANSACTIONS_MASTER!$AA$5:$AA$1204,$Q8))</f>
        <v/>
      </c>
      <c r="N8" s="25" t="str">
        <f>IF($Q8="","",INDEX(TRANSACTIONS_MASTER!$R$5:$R$1204,$Q8))</f>
        <v/>
      </c>
      <c r="O8" s="28" t="str">
        <f>IF($Q8="","",INDEX(TRANSACTIONS_MASTER!$AB$5:$AB$1204,$Q8))</f>
        <v/>
      </c>
      <c r="P8" s="55" t="str">
        <f>IF($Q8="","",INDEX(TRANSACTIONS_MASTER!$Z$5:$Z$1204,$Q8)&amp;"")</f>
        <v/>
      </c>
      <c r="Q8" s="67" t="str">
        <f>IFERROR(MATCH($C$2&amp;"|"&amp;1,TRANSACTIONS_MASTER!$AE$5:$AE$1204,0),"")</f>
        <v/>
      </c>
      <c r="S8" s="67">
        <f>IFERROR(MATCH(1,CASHBACK_RULES!$S$5:$S$304,0),"")</f>
        <v>1</v>
      </c>
      <c r="T8" s="55" t="str">
        <f>IF($S8="","",INDEX(CASHBACK_RULES!$B$5:$B$304,$S8))</f>
        <v>VPB-JCBZ</v>
      </c>
      <c r="U8" s="55" t="str">
        <f>IF($S8="","",INDEX(CASHBACK_RULES!$C$5:$C$304,$S8)&amp;" "&amp;INDEX(CASHBACK_RULES!$D$5:$D$304,$S8))</f>
        <v>VPBank JCB Z Card</v>
      </c>
      <c r="V8" s="55" t="str">
        <f>IF($S8="","",INDEX(CASHBACK_RULES!$E$5:$E$304,$S8)&amp;"")</f>
        <v>Group 1</v>
      </c>
      <c r="W8" s="55" t="str">
        <f>IF($S8="","",INDEX(CASHBACK_RULES!$F$5:$F$304,$S8)&amp;"")</f>
        <v>Dining</v>
      </c>
      <c r="X8" s="26">
        <f>IF($S8="","",SUMIFS(TRANSACTIONS_MASTER!$Q$5:$Q$1204,TRANSACTIONS_MASTER!$D$5:$D$1204,$T8,TRANSACTIONS_MASTER!$Z$5:$Z$1204,$V8,TRANSACTIONS_MASTER!$C$5:$C$1204,$C$2))</f>
        <v>0</v>
      </c>
      <c r="Y8" s="25">
        <f>IF($S8="","",IF(ISNUMBER(INDEX(CASHBACK_RULES!$J$5:$J$304,$S8)),INDEX(CASHBACK_RULES!$J$5:$J$304,$S8),"∞"))</f>
        <v>500000</v>
      </c>
      <c r="Z8" s="25">
        <f>IF($S8="","",IF(ISNUMBER($Y8),MAX(0,$Y8-$X8),"∞"))</f>
        <v>500000</v>
      </c>
      <c r="AA8" s="27">
        <f>IF($S8="","",IF(ISNUMBER($Y8),IF($Y8=0,0,$X8/$Y8),""))</f>
        <v>0</v>
      </c>
    </row>
    <row r="9" ht="20" customHeight="1">
      <c r="A9" s="81" t="str">
        <f>IF($Q9="","",2)</f>
        <v/>
      </c>
      <c r="B9" s="57" t="str">
        <f>IF($Q9="","",INDEX(TRANSACTIONS_MASTER!$B$5:$B$1204,$Q9))</f>
        <v/>
      </c>
      <c r="C9" s="55" t="str">
        <f>IF($Q9="","",INDEX(TRANSACTIONS_MASTER!$F$5:$F$1204,$Q9))</f>
        <v/>
      </c>
      <c r="D9" s="55" t="str">
        <f>IF($Q9="","",INDEX(TRANSACTIONS_MASTER!$E$5:$E$1204,$Q9))</f>
        <v/>
      </c>
      <c r="E9" s="55" t="str">
        <f>IF($Q9="","",INDEX(TRANSACTIONS_MASTER!$G$5:$G$1204,$Q9)&amp;"")</f>
        <v/>
      </c>
      <c r="F9" s="29" t="str">
        <f>IF($Q9="","",INDEX(TRANSACTIONS_MASTER!$I$5:$I$1204,$Q9))</f>
        <v/>
      </c>
      <c r="G9" s="55" t="str">
        <f>IF($Q9="","",INDEX(TRANSACTIONS_MASTER!$K$5:$K$1204,$Q9))</f>
        <v/>
      </c>
      <c r="H9" s="25" t="str">
        <f>IF($Q9="","",INDEX(TRANSACTIONS_MASTER!$L$5:$L$1204,$Q9))</f>
        <v/>
      </c>
      <c r="I9" s="56" t="str">
        <f>IF($Q9="","",INDEX(TRANSACTIONS_MASTER!$N$5:$N$1204,$Q9))</f>
        <v/>
      </c>
      <c r="J9" s="25" t="str">
        <f>IF($Q9="","",INDEX(TRANSACTIONS_MASTER!$O$5:$O$1204,$Q9))</f>
        <v/>
      </c>
      <c r="K9" s="26" t="str">
        <f>IF($Q9="","",INDEX(TRANSACTIONS_MASTER!$Q$5:$Q$1204,$Q9))</f>
        <v/>
      </c>
      <c r="L9" s="25" t="str">
        <f>IF($Q9="","",INDEX(TRANSACTIONS_MASTER!$P$5:$P$1204,$Q9))</f>
        <v/>
      </c>
      <c r="M9" s="25" t="str">
        <f>IF($Q9="","",INDEX(TRANSACTIONS_MASTER!$AA$5:$AA$1204,$Q9))</f>
        <v/>
      </c>
      <c r="N9" s="25" t="str">
        <f>IF($Q9="","",INDEX(TRANSACTIONS_MASTER!$R$5:$R$1204,$Q9))</f>
        <v/>
      </c>
      <c r="O9" s="28" t="str">
        <f>IF($Q9="","",INDEX(TRANSACTIONS_MASTER!$AB$5:$AB$1204,$Q9))</f>
        <v/>
      </c>
      <c r="P9" s="55" t="str">
        <f>IF($Q9="","",INDEX(TRANSACTIONS_MASTER!$Z$5:$Z$1204,$Q9)&amp;"")</f>
        <v/>
      </c>
      <c r="Q9" s="67" t="str">
        <f>IFERROR(MATCH($C$2&amp;"|"&amp;2,TRANSACTIONS_MASTER!$AE$5:$AE$1204,0),"")</f>
        <v/>
      </c>
      <c r="S9" s="67">
        <f>IFERROR(MATCH(2,CASHBACK_RULES!$S$5:$S$304,0),"")</f>
        <v>5</v>
      </c>
      <c r="T9" s="55" t="str">
        <f>IF($S9="","",INDEX(CASHBACK_RULES!$B$5:$B$304,$S9))</f>
        <v>VPB-JCBZ</v>
      </c>
      <c r="U9" s="55" t="str">
        <f>IF($S9="","",INDEX(CASHBACK_RULES!$C$5:$C$304,$S9)&amp;" "&amp;INDEX(CASHBACK_RULES!$D$5:$D$304,$S9))</f>
        <v>VPBank JCB Z Card</v>
      </c>
      <c r="V9" s="55" t="str">
        <f>IF($S9="","",INDEX(CASHBACK_RULES!$E$5:$E$304,$S9)&amp;"")</f>
        <v>Group 2</v>
      </c>
      <c r="W9" s="55" t="str">
        <f>IF($S9="","",INDEX(CASHBACK_RULES!$F$5:$F$304,$S9)&amp;"")</f>
        <v>Entertainment / Fitness</v>
      </c>
      <c r="X9" s="26">
        <f>IF($S9="","",SUMIFS(TRANSACTIONS_MASTER!$Q$5:$Q$1204,TRANSACTIONS_MASTER!$D$5:$D$1204,$T9,TRANSACTIONS_MASTER!$Z$5:$Z$1204,$V9,TRANSACTIONS_MASTER!$C$5:$C$1204,$C$2))</f>
        <v>0</v>
      </c>
      <c r="Y9" s="25">
        <f>IF($S9="","",IF(ISNUMBER(INDEX(CASHBACK_RULES!$J$5:$J$304,$S9)),INDEX(CASHBACK_RULES!$J$5:$J$304,$S9),"∞"))</f>
        <v>500000</v>
      </c>
      <c r="Z9" s="25">
        <f>IF($S9="","",IF(ISNUMBER($Y9),MAX(0,$Y9-$X9),"∞"))</f>
        <v>500000</v>
      </c>
      <c r="AA9" s="27">
        <f>IF($S9="","",IF(ISNUMBER($Y9),IF($Y9=0,0,$X9/$Y9),""))</f>
        <v>0</v>
      </c>
    </row>
    <row r="10" ht="20" customHeight="1">
      <c r="A10" s="81" t="str">
        <f>IF($Q10="","",3)</f>
        <v/>
      </c>
      <c r="B10" s="57" t="str">
        <f>IF($Q10="","",INDEX(TRANSACTIONS_MASTER!$B$5:$B$1204,$Q10))</f>
        <v/>
      </c>
      <c r="C10" s="55" t="str">
        <f>IF($Q10="","",INDEX(TRANSACTIONS_MASTER!$F$5:$F$1204,$Q10))</f>
        <v/>
      </c>
      <c r="D10" s="55" t="str">
        <f>IF($Q10="","",INDEX(TRANSACTIONS_MASTER!$E$5:$E$1204,$Q10))</f>
        <v/>
      </c>
      <c r="E10" s="55" t="str">
        <f>IF($Q10="","",INDEX(TRANSACTIONS_MASTER!$G$5:$G$1204,$Q10)&amp;"")</f>
        <v/>
      </c>
      <c r="F10" s="29" t="str">
        <f>IF($Q10="","",INDEX(TRANSACTIONS_MASTER!$I$5:$I$1204,$Q10))</f>
        <v/>
      </c>
      <c r="G10" s="55" t="str">
        <f>IF($Q10="","",INDEX(TRANSACTIONS_MASTER!$K$5:$K$1204,$Q10))</f>
        <v/>
      </c>
      <c r="H10" s="25" t="str">
        <f>IF($Q10="","",INDEX(TRANSACTIONS_MASTER!$L$5:$L$1204,$Q10))</f>
        <v/>
      </c>
      <c r="I10" s="56" t="str">
        <f>IF($Q10="","",INDEX(TRANSACTIONS_MASTER!$N$5:$N$1204,$Q10))</f>
        <v/>
      </c>
      <c r="J10" s="25" t="str">
        <f>IF($Q10="","",INDEX(TRANSACTIONS_MASTER!$O$5:$O$1204,$Q10))</f>
        <v/>
      </c>
      <c r="K10" s="26" t="str">
        <f>IF($Q10="","",INDEX(TRANSACTIONS_MASTER!$Q$5:$Q$1204,$Q10))</f>
        <v/>
      </c>
      <c r="L10" s="25" t="str">
        <f>IF($Q10="","",INDEX(TRANSACTIONS_MASTER!$P$5:$P$1204,$Q10))</f>
        <v/>
      </c>
      <c r="M10" s="25" t="str">
        <f>IF($Q10="","",INDEX(TRANSACTIONS_MASTER!$AA$5:$AA$1204,$Q10))</f>
        <v/>
      </c>
      <c r="N10" s="25" t="str">
        <f>IF($Q10="","",INDEX(TRANSACTIONS_MASTER!$R$5:$R$1204,$Q10))</f>
        <v/>
      </c>
      <c r="O10" s="28" t="str">
        <f>IF($Q10="","",INDEX(TRANSACTIONS_MASTER!$AB$5:$AB$1204,$Q10))</f>
        <v/>
      </c>
      <c r="P10" s="55" t="str">
        <f>IF($Q10="","",INDEX(TRANSACTIONS_MASTER!$Z$5:$Z$1204,$Q10)&amp;"")</f>
        <v/>
      </c>
      <c r="Q10" s="67" t="str">
        <f>IFERROR(MATCH($C$2&amp;"|"&amp;3,TRANSACTIONS_MASTER!$AE$5:$AE$1204,0),"")</f>
        <v/>
      </c>
      <c r="S10" s="67">
        <f>IFERROR(MATCH(3,CASHBACK_RULES!$S$5:$S$304,0),"")</f>
        <v>9</v>
      </c>
      <c r="T10" s="55" t="str">
        <f>IF($S10="","",INDEX(CASHBACK_RULES!$B$5:$B$304,$S10))</f>
        <v>VPB-JCBZ</v>
      </c>
      <c r="U10" s="55" t="str">
        <f>IF($S10="","",INDEX(CASHBACK_RULES!$C$5:$C$304,$S10)&amp;" "&amp;INDEX(CASHBACK_RULES!$D$5:$D$304,$S10))</f>
        <v>VPBank JCB Z Card</v>
      </c>
      <c r="V10" s="55" t="str">
        <f>IF($S10="","",INDEX(CASHBACK_RULES!$E$5:$E$304,$S10)&amp;"")</f>
        <v>Group 3</v>
      </c>
      <c r="W10" s="55" t="str">
        <f>IF($S10="","",INDEX(CASHBACK_RULES!$F$5:$F$304,$S10)&amp;"")</f>
        <v>Transport / Food Delivery</v>
      </c>
      <c r="X10" s="26">
        <f>IF($S10="","",SUMIFS(TRANSACTIONS_MASTER!$Q$5:$Q$1204,TRANSACTIONS_MASTER!$D$5:$D$1204,$T10,TRANSACTIONS_MASTER!$Z$5:$Z$1204,$V10,TRANSACTIONS_MASTER!$C$5:$C$1204,$C$2))</f>
        <v>0</v>
      </c>
      <c r="Y10" s="25">
        <f>IF($S10="","",IF(ISNUMBER(INDEX(CASHBACK_RULES!$J$5:$J$304,$S10)),INDEX(CASHBACK_RULES!$J$5:$J$304,$S10),"∞"))</f>
        <v>500000</v>
      </c>
      <c r="Z10" s="25">
        <f>IF($S10="","",IF(ISNUMBER($Y10),MAX(0,$Y10-$X10),"∞"))</f>
        <v>500000</v>
      </c>
      <c r="AA10" s="27">
        <f>IF($S10="","",IF(ISNUMBER($Y10),IF($Y10=0,0,$X10/$Y10),""))</f>
        <v>0</v>
      </c>
    </row>
    <row r="11" ht="20" customHeight="1">
      <c r="A11" s="81" t="str">
        <f>IF($Q11="","",4)</f>
        <v/>
      </c>
      <c r="B11" s="57" t="str">
        <f>IF($Q11="","",INDEX(TRANSACTIONS_MASTER!$B$5:$B$1204,$Q11))</f>
        <v/>
      </c>
      <c r="C11" s="55" t="str">
        <f>IF($Q11="","",INDEX(TRANSACTIONS_MASTER!$F$5:$F$1204,$Q11))</f>
        <v/>
      </c>
      <c r="D11" s="55" t="str">
        <f>IF($Q11="","",INDEX(TRANSACTIONS_MASTER!$E$5:$E$1204,$Q11))</f>
        <v/>
      </c>
      <c r="E11" s="55" t="str">
        <f>IF($Q11="","",INDEX(TRANSACTIONS_MASTER!$G$5:$G$1204,$Q11)&amp;"")</f>
        <v/>
      </c>
      <c r="F11" s="29" t="str">
        <f>IF($Q11="","",INDEX(TRANSACTIONS_MASTER!$I$5:$I$1204,$Q11))</f>
        <v/>
      </c>
      <c r="G11" s="55" t="str">
        <f>IF($Q11="","",INDEX(TRANSACTIONS_MASTER!$K$5:$K$1204,$Q11))</f>
        <v/>
      </c>
      <c r="H11" s="25" t="str">
        <f>IF($Q11="","",INDEX(TRANSACTIONS_MASTER!$L$5:$L$1204,$Q11))</f>
        <v/>
      </c>
      <c r="I11" s="56" t="str">
        <f>IF($Q11="","",INDEX(TRANSACTIONS_MASTER!$N$5:$N$1204,$Q11))</f>
        <v/>
      </c>
      <c r="J11" s="25" t="str">
        <f>IF($Q11="","",INDEX(TRANSACTIONS_MASTER!$O$5:$O$1204,$Q11))</f>
        <v/>
      </c>
      <c r="K11" s="26" t="str">
        <f>IF($Q11="","",INDEX(TRANSACTIONS_MASTER!$Q$5:$Q$1204,$Q11))</f>
        <v/>
      </c>
      <c r="L11" s="25" t="str">
        <f>IF($Q11="","",INDEX(TRANSACTIONS_MASTER!$P$5:$P$1204,$Q11))</f>
        <v/>
      </c>
      <c r="M11" s="25" t="str">
        <f>IF($Q11="","",INDEX(TRANSACTIONS_MASTER!$AA$5:$AA$1204,$Q11))</f>
        <v/>
      </c>
      <c r="N11" s="25" t="str">
        <f>IF($Q11="","",INDEX(TRANSACTIONS_MASTER!$R$5:$R$1204,$Q11))</f>
        <v/>
      </c>
      <c r="O11" s="28" t="str">
        <f>IF($Q11="","",INDEX(TRANSACTIONS_MASTER!$AB$5:$AB$1204,$Q11))</f>
        <v/>
      </c>
      <c r="P11" s="55" t="str">
        <f>IF($Q11="","",INDEX(TRANSACTIONS_MASTER!$Z$5:$Z$1204,$Q11)&amp;"")</f>
        <v/>
      </c>
      <c r="Q11" s="67" t="str">
        <f>IFERROR(MATCH($C$2&amp;"|"&amp;4,TRANSACTIONS_MASTER!$AE$5:$AE$1204,0),"")</f>
        <v/>
      </c>
      <c r="S11" s="67">
        <f>IFERROR(MATCH(4,CASHBACK_RULES!$S$5:$S$304,0),"")</f>
        <v>11</v>
      </c>
      <c r="T11" s="55" t="str">
        <f>IF($S11="","",INDEX(CASHBACK_RULES!$B$5:$B$304,$S11))</f>
        <v>VIB-A</v>
      </c>
      <c r="U11" s="55" t="str">
        <f>IF($S11="","",INDEX(CASHBACK_RULES!$C$5:$C$304,$S11)&amp;" "&amp;INDEX(CASHBACK_RULES!$D$5:$D$304,$S11))</f>
        <v>VIB Cashback Demo A</v>
      </c>
      <c r="V11" s="55" t="str">
        <f>IF($S11="","",INDEX(CASHBACK_RULES!$E$5:$E$304,$S11)&amp;"")</f>
        <v>Group 1</v>
      </c>
      <c r="W11" s="55" t="str">
        <f>IF($S11="","",INDEX(CASHBACK_RULES!$F$5:$F$304,$S11)&amp;"")</f>
        <v>Groceries</v>
      </c>
      <c r="X11" s="26">
        <f>IF($S11="","",SUMIFS(TRANSACTIONS_MASTER!$Q$5:$Q$1204,TRANSACTIONS_MASTER!$D$5:$D$1204,$T11,TRANSACTIONS_MASTER!$Z$5:$Z$1204,$V11,TRANSACTIONS_MASTER!$C$5:$C$1204,$C$2))</f>
        <v>0</v>
      </c>
      <c r="Y11" s="25">
        <f>IF($S11="","",IF(ISNUMBER(INDEX(CASHBACK_RULES!$J$5:$J$304,$S11)),INDEX(CASHBACK_RULES!$J$5:$J$304,$S11),"∞"))</f>
        <v>500000</v>
      </c>
      <c r="Z11" s="25">
        <f>IF($S11="","",IF(ISNUMBER($Y11),MAX(0,$Y11-$X11),"∞"))</f>
        <v>500000</v>
      </c>
      <c r="AA11" s="27">
        <f>IF($S11="","",IF(ISNUMBER($Y11),IF($Y11=0,0,$X11/$Y11),""))</f>
        <v>0</v>
      </c>
    </row>
    <row r="12" ht="20" customHeight="1">
      <c r="A12" s="81" t="str">
        <f>IF($Q12="","",5)</f>
        <v/>
      </c>
      <c r="B12" s="57" t="str">
        <f>IF($Q12="","",INDEX(TRANSACTIONS_MASTER!$B$5:$B$1204,$Q12))</f>
        <v/>
      </c>
      <c r="C12" s="55" t="str">
        <f>IF($Q12="","",INDEX(TRANSACTIONS_MASTER!$F$5:$F$1204,$Q12))</f>
        <v/>
      </c>
      <c r="D12" s="55" t="str">
        <f>IF($Q12="","",INDEX(TRANSACTIONS_MASTER!$E$5:$E$1204,$Q12))</f>
        <v/>
      </c>
      <c r="E12" s="55" t="str">
        <f>IF($Q12="","",INDEX(TRANSACTIONS_MASTER!$G$5:$G$1204,$Q12)&amp;"")</f>
        <v/>
      </c>
      <c r="F12" s="29" t="str">
        <f>IF($Q12="","",INDEX(TRANSACTIONS_MASTER!$I$5:$I$1204,$Q12))</f>
        <v/>
      </c>
      <c r="G12" s="55" t="str">
        <f>IF($Q12="","",INDEX(TRANSACTIONS_MASTER!$K$5:$K$1204,$Q12))</f>
        <v/>
      </c>
      <c r="H12" s="25" t="str">
        <f>IF($Q12="","",INDEX(TRANSACTIONS_MASTER!$L$5:$L$1204,$Q12))</f>
        <v/>
      </c>
      <c r="I12" s="56" t="str">
        <f>IF($Q12="","",INDEX(TRANSACTIONS_MASTER!$N$5:$N$1204,$Q12))</f>
        <v/>
      </c>
      <c r="J12" s="25" t="str">
        <f>IF($Q12="","",INDEX(TRANSACTIONS_MASTER!$O$5:$O$1204,$Q12))</f>
        <v/>
      </c>
      <c r="K12" s="26" t="str">
        <f>IF($Q12="","",INDEX(TRANSACTIONS_MASTER!$Q$5:$Q$1204,$Q12))</f>
        <v/>
      </c>
      <c r="L12" s="25" t="str">
        <f>IF($Q12="","",INDEX(TRANSACTIONS_MASTER!$P$5:$P$1204,$Q12))</f>
        <v/>
      </c>
      <c r="M12" s="25" t="str">
        <f>IF($Q12="","",INDEX(TRANSACTIONS_MASTER!$AA$5:$AA$1204,$Q12))</f>
        <v/>
      </c>
      <c r="N12" s="25" t="str">
        <f>IF($Q12="","",INDEX(TRANSACTIONS_MASTER!$R$5:$R$1204,$Q12))</f>
        <v/>
      </c>
      <c r="O12" s="28" t="str">
        <f>IF($Q12="","",INDEX(TRANSACTIONS_MASTER!$AB$5:$AB$1204,$Q12))</f>
        <v/>
      </c>
      <c r="P12" s="55" t="str">
        <f>IF($Q12="","",INDEX(TRANSACTIONS_MASTER!$Z$5:$Z$1204,$Q12)&amp;"")</f>
        <v/>
      </c>
      <c r="Q12" s="67" t="str">
        <f>IFERROR(MATCH($C$2&amp;"|"&amp;5,TRANSACTIONS_MASTER!$AE$5:$AE$1204,0),"")</f>
        <v/>
      </c>
      <c r="S12" s="67">
        <f>IFERROR(MATCH(5,CASHBACK_RULES!$S$5:$S$304,0),"")</f>
        <v>13</v>
      </c>
      <c r="T12" s="55" t="str">
        <f>IF($S12="","",INDEX(CASHBACK_RULES!$B$5:$B$304,$S12))</f>
        <v>VIB-A</v>
      </c>
      <c r="U12" s="55" t="str">
        <f>IF($S12="","",INDEX(CASHBACK_RULES!$C$5:$C$304,$S12)&amp;" "&amp;INDEX(CASHBACK_RULES!$D$5:$D$304,$S12))</f>
        <v>VIB Cashback Demo A</v>
      </c>
      <c r="V12" s="55" t="str">
        <f>IF($S12="","",INDEX(CASHBACK_RULES!$E$5:$E$304,$S12)&amp;"")</f>
        <v>Group 2</v>
      </c>
      <c r="W12" s="55" t="str">
        <f>IF($S12="","",INDEX(CASHBACK_RULES!$F$5:$F$304,$S12)&amp;"")</f>
        <v>Shopping</v>
      </c>
      <c r="X12" s="26">
        <f>IF($S12="","",SUMIFS(TRANSACTIONS_MASTER!$Q$5:$Q$1204,TRANSACTIONS_MASTER!$D$5:$D$1204,$T12,TRANSACTIONS_MASTER!$Z$5:$Z$1204,$V12,TRANSACTIONS_MASTER!$C$5:$C$1204,$C$2))</f>
        <v>0</v>
      </c>
      <c r="Y12" s="25">
        <f>IF($S12="","",IF(ISNUMBER(INDEX(CASHBACK_RULES!$J$5:$J$304,$S12)),INDEX(CASHBACK_RULES!$J$5:$J$304,$S12),"∞"))</f>
        <v>500000</v>
      </c>
      <c r="Z12" s="25">
        <f>IF($S12="","",IF(ISNUMBER($Y12),MAX(0,$Y12-$X12),"∞"))</f>
        <v>500000</v>
      </c>
      <c r="AA12" s="27">
        <f>IF($S12="","",IF(ISNUMBER($Y12),IF($Y12=0,0,$X12/$Y12),""))</f>
        <v>0</v>
      </c>
    </row>
    <row r="13" ht="20" customHeight="1">
      <c r="A13" s="81" t="str">
        <f>IF($Q13="","",6)</f>
        <v/>
      </c>
      <c r="B13" s="57" t="str">
        <f>IF($Q13="","",INDEX(TRANSACTIONS_MASTER!$B$5:$B$1204,$Q13))</f>
        <v/>
      </c>
      <c r="C13" s="55" t="str">
        <f>IF($Q13="","",INDEX(TRANSACTIONS_MASTER!$F$5:$F$1204,$Q13))</f>
        <v/>
      </c>
      <c r="D13" s="55" t="str">
        <f>IF($Q13="","",INDEX(TRANSACTIONS_MASTER!$E$5:$E$1204,$Q13))</f>
        <v/>
      </c>
      <c r="E13" s="55" t="str">
        <f>IF($Q13="","",INDEX(TRANSACTIONS_MASTER!$G$5:$G$1204,$Q13)&amp;"")</f>
        <v/>
      </c>
      <c r="F13" s="29" t="str">
        <f>IF($Q13="","",INDEX(TRANSACTIONS_MASTER!$I$5:$I$1204,$Q13))</f>
        <v/>
      </c>
      <c r="G13" s="55" t="str">
        <f>IF($Q13="","",INDEX(TRANSACTIONS_MASTER!$K$5:$K$1204,$Q13))</f>
        <v/>
      </c>
      <c r="H13" s="25" t="str">
        <f>IF($Q13="","",INDEX(TRANSACTIONS_MASTER!$L$5:$L$1204,$Q13))</f>
        <v/>
      </c>
      <c r="I13" s="56" t="str">
        <f>IF($Q13="","",INDEX(TRANSACTIONS_MASTER!$N$5:$N$1204,$Q13))</f>
        <v/>
      </c>
      <c r="J13" s="25" t="str">
        <f>IF($Q13="","",INDEX(TRANSACTIONS_MASTER!$O$5:$O$1204,$Q13))</f>
        <v/>
      </c>
      <c r="K13" s="26" t="str">
        <f>IF($Q13="","",INDEX(TRANSACTIONS_MASTER!$Q$5:$Q$1204,$Q13))</f>
        <v/>
      </c>
      <c r="L13" s="25" t="str">
        <f>IF($Q13="","",INDEX(TRANSACTIONS_MASTER!$P$5:$P$1204,$Q13))</f>
        <v/>
      </c>
      <c r="M13" s="25" t="str">
        <f>IF($Q13="","",INDEX(TRANSACTIONS_MASTER!$AA$5:$AA$1204,$Q13))</f>
        <v/>
      </c>
      <c r="N13" s="25" t="str">
        <f>IF($Q13="","",INDEX(TRANSACTIONS_MASTER!$R$5:$R$1204,$Q13))</f>
        <v/>
      </c>
      <c r="O13" s="28" t="str">
        <f>IF($Q13="","",INDEX(TRANSACTIONS_MASTER!$AB$5:$AB$1204,$Q13))</f>
        <v/>
      </c>
      <c r="P13" s="55" t="str">
        <f>IF($Q13="","",INDEX(TRANSACTIONS_MASTER!$Z$5:$Z$1204,$Q13)&amp;"")</f>
        <v/>
      </c>
      <c r="Q13" s="67" t="str">
        <f>IFERROR(MATCH($C$2&amp;"|"&amp;6,TRANSACTIONS_MASTER!$AE$5:$AE$1204,0),"")</f>
        <v/>
      </c>
      <c r="S13" s="67">
        <f>IFERROR(MATCH(6,CASHBACK_RULES!$S$5:$S$304,0),"")</f>
        <v>15</v>
      </c>
      <c r="T13" s="55" t="str">
        <f>IF($S13="","",INDEX(CASHBACK_RULES!$B$5:$B$304,$S13))</f>
        <v>TCB-B</v>
      </c>
      <c r="U13" s="55" t="str">
        <f>IF($S13="","",INDEX(CASHBACK_RULES!$C$5:$C$304,$S13)&amp;" "&amp;INDEX(CASHBACK_RULES!$D$5:$D$304,$S13))</f>
        <v>Techcombank Cashback Demo B</v>
      </c>
      <c r="V13" s="55" t="str">
        <f>IF($S13="","",INDEX(CASHBACK_RULES!$E$5:$E$304,$S13)&amp;"")</f>
        <v>Group 1</v>
      </c>
      <c r="W13" s="55" t="str">
        <f>IF($S13="","",INDEX(CASHBACK_RULES!$F$5:$F$304,$S13)&amp;"")</f>
        <v>Fuel &amp; Transport</v>
      </c>
      <c r="X13" s="26">
        <f>IF($S13="","",SUMIFS(TRANSACTIONS_MASTER!$Q$5:$Q$1204,TRANSACTIONS_MASTER!$D$5:$D$1204,$T13,TRANSACTIONS_MASTER!$Z$5:$Z$1204,$V13,TRANSACTIONS_MASTER!$C$5:$C$1204,$C$2))</f>
        <v>0</v>
      </c>
      <c r="Y13" s="25">
        <f>IF($S13="","",IF(ISNUMBER(INDEX(CASHBACK_RULES!$J$5:$J$304,$S13)),INDEX(CASHBACK_RULES!$J$5:$J$304,$S13),"∞"))</f>
        <v>300000</v>
      </c>
      <c r="Z13" s="25">
        <f>IF($S13="","",IF(ISNUMBER($Y13),MAX(0,$Y13-$X13),"∞"))</f>
        <v>300000</v>
      </c>
      <c r="AA13" s="27">
        <f>IF($S13="","",IF(ISNUMBER($Y13),IF($Y13=0,0,$X13/$Y13),""))</f>
        <v>0</v>
      </c>
    </row>
    <row r="14" ht="20" customHeight="1">
      <c r="A14" s="81" t="str">
        <f>IF($Q14="","",7)</f>
        <v/>
      </c>
      <c r="B14" s="57" t="str">
        <f>IF($Q14="","",INDEX(TRANSACTIONS_MASTER!$B$5:$B$1204,$Q14))</f>
        <v/>
      </c>
      <c r="C14" s="55" t="str">
        <f>IF($Q14="","",INDEX(TRANSACTIONS_MASTER!$F$5:$F$1204,$Q14))</f>
        <v/>
      </c>
      <c r="D14" s="55" t="str">
        <f>IF($Q14="","",INDEX(TRANSACTIONS_MASTER!$E$5:$E$1204,$Q14))</f>
        <v/>
      </c>
      <c r="E14" s="55" t="str">
        <f>IF($Q14="","",INDEX(TRANSACTIONS_MASTER!$G$5:$G$1204,$Q14)&amp;"")</f>
        <v/>
      </c>
      <c r="F14" s="29" t="str">
        <f>IF($Q14="","",INDEX(TRANSACTIONS_MASTER!$I$5:$I$1204,$Q14))</f>
        <v/>
      </c>
      <c r="G14" s="55" t="str">
        <f>IF($Q14="","",INDEX(TRANSACTIONS_MASTER!$K$5:$K$1204,$Q14))</f>
        <v/>
      </c>
      <c r="H14" s="25" t="str">
        <f>IF($Q14="","",INDEX(TRANSACTIONS_MASTER!$L$5:$L$1204,$Q14))</f>
        <v/>
      </c>
      <c r="I14" s="56" t="str">
        <f>IF($Q14="","",INDEX(TRANSACTIONS_MASTER!$N$5:$N$1204,$Q14))</f>
        <v/>
      </c>
      <c r="J14" s="25" t="str">
        <f>IF($Q14="","",INDEX(TRANSACTIONS_MASTER!$O$5:$O$1204,$Q14))</f>
        <v/>
      </c>
      <c r="K14" s="26" t="str">
        <f>IF($Q14="","",INDEX(TRANSACTIONS_MASTER!$Q$5:$Q$1204,$Q14))</f>
        <v/>
      </c>
      <c r="L14" s="25" t="str">
        <f>IF($Q14="","",INDEX(TRANSACTIONS_MASTER!$P$5:$P$1204,$Q14))</f>
        <v/>
      </c>
      <c r="M14" s="25" t="str">
        <f>IF($Q14="","",INDEX(TRANSACTIONS_MASTER!$AA$5:$AA$1204,$Q14))</f>
        <v/>
      </c>
      <c r="N14" s="25" t="str">
        <f>IF($Q14="","",INDEX(TRANSACTIONS_MASTER!$R$5:$R$1204,$Q14))</f>
        <v/>
      </c>
      <c r="O14" s="28" t="str">
        <f>IF($Q14="","",INDEX(TRANSACTIONS_MASTER!$AB$5:$AB$1204,$Q14))</f>
        <v/>
      </c>
      <c r="P14" s="55" t="str">
        <f>IF($Q14="","",INDEX(TRANSACTIONS_MASTER!$Z$5:$Z$1204,$Q14)&amp;"")</f>
        <v/>
      </c>
      <c r="Q14" s="67" t="str">
        <f>IFERROR(MATCH($C$2&amp;"|"&amp;7,TRANSACTIONS_MASTER!$AE$5:$AE$1204,0),"")</f>
        <v/>
      </c>
      <c r="S14" s="67">
        <f>IFERROR(MATCH(7,CASHBACK_RULES!$S$5:$S$304,0),"")</f>
        <v>18</v>
      </c>
      <c r="T14" s="55" t="str">
        <f>IF($S14="","",INDEX(CASHBACK_RULES!$B$5:$B$304,$S14))</f>
        <v>TCB-B</v>
      </c>
      <c r="U14" s="55" t="str">
        <f>IF($S14="","",INDEX(CASHBACK_RULES!$C$5:$C$304,$S14)&amp;" "&amp;INDEX(CASHBACK_RULES!$D$5:$D$304,$S14))</f>
        <v>Techcombank Cashback Demo B</v>
      </c>
      <c r="V14" s="55" t="str">
        <f>IF($S14="","",INDEX(CASHBACK_RULES!$E$5:$E$304,$S14)&amp;"")</f>
        <v>Group 2</v>
      </c>
      <c r="W14" s="55" t="str">
        <f>IF($S14="","",INDEX(CASHBACK_RULES!$F$5:$F$304,$S14)&amp;"")</f>
        <v>Healthcare</v>
      </c>
      <c r="X14" s="26">
        <f>IF($S14="","",SUMIFS(TRANSACTIONS_MASTER!$Q$5:$Q$1204,TRANSACTIONS_MASTER!$D$5:$D$1204,$T14,TRANSACTIONS_MASTER!$Z$5:$Z$1204,$V14,TRANSACTIONS_MASTER!$C$5:$C$1204,$C$2))</f>
        <v>0</v>
      </c>
      <c r="Y14" s="25">
        <f>IF($S14="","",IF(ISNUMBER(INDEX(CASHBACK_RULES!$J$5:$J$304,$S14)),INDEX(CASHBACK_RULES!$J$5:$J$304,$S14),"∞"))</f>
        <v>300000</v>
      </c>
      <c r="Z14" s="25">
        <f>IF($S14="","",IF(ISNUMBER($Y14),MAX(0,$Y14-$X14),"∞"))</f>
        <v>300000</v>
      </c>
      <c r="AA14" s="27">
        <f>IF($S14="","",IF(ISNUMBER($Y14),IF($Y14=0,0,$X14/$Y14),""))</f>
        <v>0</v>
      </c>
    </row>
    <row r="15" ht="20" customHeight="1">
      <c r="A15" s="81" t="str">
        <f>IF($Q15="","",8)</f>
        <v/>
      </c>
      <c r="B15" s="57" t="str">
        <f>IF($Q15="","",INDEX(TRANSACTIONS_MASTER!$B$5:$B$1204,$Q15))</f>
        <v/>
      </c>
      <c r="C15" s="55" t="str">
        <f>IF($Q15="","",INDEX(TRANSACTIONS_MASTER!$F$5:$F$1204,$Q15))</f>
        <v/>
      </c>
      <c r="D15" s="55" t="str">
        <f>IF($Q15="","",INDEX(TRANSACTIONS_MASTER!$E$5:$E$1204,$Q15))</f>
        <v/>
      </c>
      <c r="E15" s="55" t="str">
        <f>IF($Q15="","",INDEX(TRANSACTIONS_MASTER!$G$5:$G$1204,$Q15)&amp;"")</f>
        <v/>
      </c>
      <c r="F15" s="29" t="str">
        <f>IF($Q15="","",INDEX(TRANSACTIONS_MASTER!$I$5:$I$1204,$Q15))</f>
        <v/>
      </c>
      <c r="G15" s="55" t="str">
        <f>IF($Q15="","",INDEX(TRANSACTIONS_MASTER!$K$5:$K$1204,$Q15))</f>
        <v/>
      </c>
      <c r="H15" s="25" t="str">
        <f>IF($Q15="","",INDEX(TRANSACTIONS_MASTER!$L$5:$L$1204,$Q15))</f>
        <v/>
      </c>
      <c r="I15" s="56" t="str">
        <f>IF($Q15="","",INDEX(TRANSACTIONS_MASTER!$N$5:$N$1204,$Q15))</f>
        <v/>
      </c>
      <c r="J15" s="25" t="str">
        <f>IF($Q15="","",INDEX(TRANSACTIONS_MASTER!$O$5:$O$1204,$Q15))</f>
        <v/>
      </c>
      <c r="K15" s="26" t="str">
        <f>IF($Q15="","",INDEX(TRANSACTIONS_MASTER!$Q$5:$Q$1204,$Q15))</f>
        <v/>
      </c>
      <c r="L15" s="25" t="str">
        <f>IF($Q15="","",INDEX(TRANSACTIONS_MASTER!$P$5:$P$1204,$Q15))</f>
        <v/>
      </c>
      <c r="M15" s="25" t="str">
        <f>IF($Q15="","",INDEX(TRANSACTIONS_MASTER!$AA$5:$AA$1204,$Q15))</f>
        <v/>
      </c>
      <c r="N15" s="25" t="str">
        <f>IF($Q15="","",INDEX(TRANSACTIONS_MASTER!$R$5:$R$1204,$Q15))</f>
        <v/>
      </c>
      <c r="O15" s="28" t="str">
        <f>IF($Q15="","",INDEX(TRANSACTIONS_MASTER!$AB$5:$AB$1204,$Q15))</f>
        <v/>
      </c>
      <c r="P15" s="55" t="str">
        <f>IF($Q15="","",INDEX(TRANSACTIONS_MASTER!$Z$5:$Z$1204,$Q15)&amp;"")</f>
        <v/>
      </c>
      <c r="Q15" s="67" t="str">
        <f>IFERROR(MATCH($C$2&amp;"|"&amp;8,TRANSACTIONS_MASTER!$AE$5:$AE$1204,0),"")</f>
        <v/>
      </c>
      <c r="S15" s="67">
        <f>IFERROR(MATCH(8,CASHBACK_RULES!$S$5:$S$304,0),"")</f>
        <v>20</v>
      </c>
      <c r="T15" s="55" t="str">
        <f>IF($S15="","",INDEX(CASHBACK_RULES!$B$5:$B$304,$S15))</f>
        <v>TCB-B</v>
      </c>
      <c r="U15" s="55" t="str">
        <f>IF($S15="","",INDEX(CASHBACK_RULES!$C$5:$C$304,$S15)&amp;" "&amp;INDEX(CASHBACK_RULES!$D$5:$D$304,$S15))</f>
        <v>Techcombank Cashback Demo B</v>
      </c>
      <c r="V15" s="55" t="str">
        <f>IF($S15="","",INDEX(CASHBACK_RULES!$E$5:$E$304,$S15)&amp;"")</f>
        <v>Group 3</v>
      </c>
      <c r="W15" s="55" t="str">
        <f>IF($S15="","",INDEX(CASHBACK_RULES!$F$5:$F$304,$S15)&amp;"")</f>
        <v>Utilities &amp; Telecom</v>
      </c>
      <c r="X15" s="26">
        <f>IF($S15="","",SUMIFS(TRANSACTIONS_MASTER!$Q$5:$Q$1204,TRANSACTIONS_MASTER!$D$5:$D$1204,$T15,TRANSACTIONS_MASTER!$Z$5:$Z$1204,$V15,TRANSACTIONS_MASTER!$C$5:$C$1204,$C$2))</f>
        <v>0</v>
      </c>
      <c r="Y15" s="25">
        <f>IF($S15="","",IF(ISNUMBER(INDEX(CASHBACK_RULES!$J$5:$J$304,$S15)),INDEX(CASHBACK_RULES!$J$5:$J$304,$S15),"∞"))</f>
        <v>300000</v>
      </c>
      <c r="Z15" s="25">
        <f>IF($S15="","",IF(ISNUMBER($Y15),MAX(0,$Y15-$X15),"∞"))</f>
        <v>300000</v>
      </c>
      <c r="AA15" s="27">
        <f>IF($S15="","",IF(ISNUMBER($Y15),IF($Y15=0,0,$X15/$Y15),""))</f>
        <v>0</v>
      </c>
    </row>
    <row r="16" ht="20" customHeight="1">
      <c r="A16" s="81" t="str">
        <f>IF($Q16="","",9)</f>
        <v/>
      </c>
      <c r="B16" s="57" t="str">
        <f>IF($Q16="","",INDEX(TRANSACTIONS_MASTER!$B$5:$B$1204,$Q16))</f>
        <v/>
      </c>
      <c r="C16" s="55" t="str">
        <f>IF($Q16="","",INDEX(TRANSACTIONS_MASTER!$F$5:$F$1204,$Q16))</f>
        <v/>
      </c>
      <c r="D16" s="55" t="str">
        <f>IF($Q16="","",INDEX(TRANSACTIONS_MASTER!$E$5:$E$1204,$Q16))</f>
        <v/>
      </c>
      <c r="E16" s="55" t="str">
        <f>IF($Q16="","",INDEX(TRANSACTIONS_MASTER!$G$5:$G$1204,$Q16)&amp;"")</f>
        <v/>
      </c>
      <c r="F16" s="29" t="str">
        <f>IF($Q16="","",INDEX(TRANSACTIONS_MASTER!$I$5:$I$1204,$Q16))</f>
        <v/>
      </c>
      <c r="G16" s="55" t="str">
        <f>IF($Q16="","",INDEX(TRANSACTIONS_MASTER!$K$5:$K$1204,$Q16))</f>
        <v/>
      </c>
      <c r="H16" s="25" t="str">
        <f>IF($Q16="","",INDEX(TRANSACTIONS_MASTER!$L$5:$L$1204,$Q16))</f>
        <v/>
      </c>
      <c r="I16" s="56" t="str">
        <f>IF($Q16="","",INDEX(TRANSACTIONS_MASTER!$N$5:$N$1204,$Q16))</f>
        <v/>
      </c>
      <c r="J16" s="25" t="str">
        <f>IF($Q16="","",INDEX(TRANSACTIONS_MASTER!$O$5:$O$1204,$Q16))</f>
        <v/>
      </c>
      <c r="K16" s="26" t="str">
        <f>IF($Q16="","",INDEX(TRANSACTIONS_MASTER!$Q$5:$Q$1204,$Q16))</f>
        <v/>
      </c>
      <c r="L16" s="25" t="str">
        <f>IF($Q16="","",INDEX(TRANSACTIONS_MASTER!$P$5:$P$1204,$Q16))</f>
        <v/>
      </c>
      <c r="M16" s="25" t="str">
        <f>IF($Q16="","",INDEX(TRANSACTIONS_MASTER!$AA$5:$AA$1204,$Q16))</f>
        <v/>
      </c>
      <c r="N16" s="25" t="str">
        <f>IF($Q16="","",INDEX(TRANSACTIONS_MASTER!$R$5:$R$1204,$Q16))</f>
        <v/>
      </c>
      <c r="O16" s="28" t="str">
        <f>IF($Q16="","",INDEX(TRANSACTIONS_MASTER!$AB$5:$AB$1204,$Q16))</f>
        <v/>
      </c>
      <c r="P16" s="55" t="str">
        <f>IF($Q16="","",INDEX(TRANSACTIONS_MASTER!$Z$5:$Z$1204,$Q16)&amp;"")</f>
        <v/>
      </c>
      <c r="Q16" s="67" t="str">
        <f>IFERROR(MATCH($C$2&amp;"|"&amp;9,TRANSACTIONS_MASTER!$AE$5:$AE$1204,0),"")</f>
        <v/>
      </c>
      <c r="S16" s="67">
        <f>IFERROR(MATCH(9,CASHBACK_RULES!$S$5:$S$304,0),"")</f>
        <v>22</v>
      </c>
      <c r="T16" s="55" t="str">
        <f>IF($S16="","",INDEX(CASHBACK_RULES!$B$5:$B$304,$S16))</f>
        <v>UOB-C</v>
      </c>
      <c r="U16" s="55" t="str">
        <f>IF($S16="","",INDEX(CASHBACK_RULES!$C$5:$C$304,$S16)&amp;" "&amp;INDEX(CASHBACK_RULES!$D$5:$D$304,$S16))</f>
        <v>UOB Cashback Demo C</v>
      </c>
      <c r="V16" s="55" t="str">
        <f>IF($S16="","",INDEX(CASHBACK_RULES!$E$5:$E$304,$S16)&amp;"")</f>
        <v>Group 1</v>
      </c>
      <c r="W16" s="55" t="str">
        <f>IF($S16="","",INDEX(CASHBACK_RULES!$F$5:$F$304,$S16)&amp;"")</f>
        <v>Dining</v>
      </c>
      <c r="X16" s="26">
        <f>IF($S16="","",SUMIFS(TRANSACTIONS_MASTER!$Q$5:$Q$1204,TRANSACTIONS_MASTER!$D$5:$D$1204,$T16,TRANSACTIONS_MASTER!$Z$5:$Z$1204,$V16,TRANSACTIONS_MASTER!$C$5:$C$1204,$C$2))</f>
        <v>0</v>
      </c>
      <c r="Y16" s="25">
        <f>IF($S16="","",IF(ISNUMBER(INDEX(CASHBACK_RULES!$J$5:$J$304,$S16)),INDEX(CASHBACK_RULES!$J$5:$J$304,$S16),"∞"))</f>
        <v>1000000</v>
      </c>
      <c r="Z16" s="25">
        <f>IF($S16="","",IF(ISNUMBER($Y16),MAX(0,$Y16-$X16),"∞"))</f>
        <v>1000000</v>
      </c>
      <c r="AA16" s="27">
        <f>IF($S16="","",IF(ISNUMBER($Y16),IF($Y16=0,0,$X16/$Y16),""))</f>
        <v>0</v>
      </c>
    </row>
    <row r="17" ht="20" customHeight="1">
      <c r="A17" s="81" t="str">
        <f>IF($Q17="","",10)</f>
        <v/>
      </c>
      <c r="B17" s="57" t="str">
        <f>IF($Q17="","",INDEX(TRANSACTIONS_MASTER!$B$5:$B$1204,$Q17))</f>
        <v/>
      </c>
      <c r="C17" s="55" t="str">
        <f>IF($Q17="","",INDEX(TRANSACTIONS_MASTER!$F$5:$F$1204,$Q17))</f>
        <v/>
      </c>
      <c r="D17" s="55" t="str">
        <f>IF($Q17="","",INDEX(TRANSACTIONS_MASTER!$E$5:$E$1204,$Q17))</f>
        <v/>
      </c>
      <c r="E17" s="55" t="str">
        <f>IF($Q17="","",INDEX(TRANSACTIONS_MASTER!$G$5:$G$1204,$Q17)&amp;"")</f>
        <v/>
      </c>
      <c r="F17" s="29" t="str">
        <f>IF($Q17="","",INDEX(TRANSACTIONS_MASTER!$I$5:$I$1204,$Q17))</f>
        <v/>
      </c>
      <c r="G17" s="55" t="str">
        <f>IF($Q17="","",INDEX(TRANSACTIONS_MASTER!$K$5:$K$1204,$Q17))</f>
        <v/>
      </c>
      <c r="H17" s="25" t="str">
        <f>IF($Q17="","",INDEX(TRANSACTIONS_MASTER!$L$5:$L$1204,$Q17))</f>
        <v/>
      </c>
      <c r="I17" s="56" t="str">
        <f>IF($Q17="","",INDEX(TRANSACTIONS_MASTER!$N$5:$N$1204,$Q17))</f>
        <v/>
      </c>
      <c r="J17" s="25" t="str">
        <f>IF($Q17="","",INDEX(TRANSACTIONS_MASTER!$O$5:$O$1204,$Q17))</f>
        <v/>
      </c>
      <c r="K17" s="26" t="str">
        <f>IF($Q17="","",INDEX(TRANSACTIONS_MASTER!$Q$5:$Q$1204,$Q17))</f>
        <v/>
      </c>
      <c r="L17" s="25" t="str">
        <f>IF($Q17="","",INDEX(TRANSACTIONS_MASTER!$P$5:$P$1204,$Q17))</f>
        <v/>
      </c>
      <c r="M17" s="25" t="str">
        <f>IF($Q17="","",INDEX(TRANSACTIONS_MASTER!$AA$5:$AA$1204,$Q17))</f>
        <v/>
      </c>
      <c r="N17" s="25" t="str">
        <f>IF($Q17="","",INDEX(TRANSACTIONS_MASTER!$R$5:$R$1204,$Q17))</f>
        <v/>
      </c>
      <c r="O17" s="28" t="str">
        <f>IF($Q17="","",INDEX(TRANSACTIONS_MASTER!$AB$5:$AB$1204,$Q17))</f>
        <v/>
      </c>
      <c r="P17" s="55" t="str">
        <f>IF($Q17="","",INDEX(TRANSACTIONS_MASTER!$Z$5:$Z$1204,$Q17)&amp;"")</f>
        <v/>
      </c>
      <c r="Q17" s="67" t="str">
        <f>IFERROR(MATCH($C$2&amp;"|"&amp;10,TRANSACTIONS_MASTER!$AE$5:$AE$1204,0),"")</f>
        <v/>
      </c>
      <c r="S17" s="67">
        <f>IFERROR(MATCH(10,CASHBACK_RULES!$S$5:$S$304,0),"")</f>
        <v>24</v>
      </c>
      <c r="T17" s="55" t="str">
        <f>IF($S17="","",INDEX(CASHBACK_RULES!$B$5:$B$304,$S17))</f>
        <v>MB-D</v>
      </c>
      <c r="U17" s="55" t="str">
        <f>IF($S17="","",INDEX(CASHBACK_RULES!$C$5:$C$304,$S17)&amp;" "&amp;INDEX(CASHBACK_RULES!$D$5:$D$304,$S17))</f>
        <v>MB Cashback Demo D</v>
      </c>
      <c r="V17" s="55" t="str">
        <f>IF($S17="","",INDEX(CASHBACK_RULES!$E$5:$E$304,$S17)&amp;"")</f>
        <v>Dining</v>
      </c>
      <c r="W17" s="55" t="str">
        <f>IF($S17="","",INDEX(CASHBACK_RULES!$F$5:$F$304,$S17)&amp;"")</f>
        <v>Dining</v>
      </c>
      <c r="X17" s="26">
        <f>IF($S17="","",SUMIFS(TRANSACTIONS_MASTER!$Q$5:$Q$1204,TRANSACTIONS_MASTER!$D$5:$D$1204,$T17,TRANSACTIONS_MASTER!$Z$5:$Z$1204,$V17,TRANSACTIONS_MASTER!$C$5:$C$1204,$C$2))</f>
        <v>0</v>
      </c>
      <c r="Y17" s="25">
        <f>IF($S17="","",IF(ISNUMBER(INDEX(CASHBACK_RULES!$J$5:$J$304,$S17)),INDEX(CASHBACK_RULES!$J$5:$J$304,$S17),"∞"))</f>
        <v>500000</v>
      </c>
      <c r="Z17" s="25">
        <f>IF($S17="","",IF(ISNUMBER($Y17),MAX(0,$Y17-$X17),"∞"))</f>
        <v>500000</v>
      </c>
      <c r="AA17" s="27">
        <f>IF($S17="","",IF(ISNUMBER($Y17),IF($Y17=0,0,$X17/$Y17),""))</f>
        <v>0</v>
      </c>
    </row>
    <row r="18" ht="20" customHeight="1">
      <c r="A18" s="81" t="str">
        <f>IF($Q18="","",11)</f>
        <v/>
      </c>
      <c r="B18" s="57" t="str">
        <f>IF($Q18="","",INDEX(TRANSACTIONS_MASTER!$B$5:$B$1204,$Q18))</f>
        <v/>
      </c>
      <c r="C18" s="55" t="str">
        <f>IF($Q18="","",INDEX(TRANSACTIONS_MASTER!$F$5:$F$1204,$Q18))</f>
        <v/>
      </c>
      <c r="D18" s="55" t="str">
        <f>IF($Q18="","",INDEX(TRANSACTIONS_MASTER!$E$5:$E$1204,$Q18))</f>
        <v/>
      </c>
      <c r="E18" s="55" t="str">
        <f>IF($Q18="","",INDEX(TRANSACTIONS_MASTER!$G$5:$G$1204,$Q18)&amp;"")</f>
        <v/>
      </c>
      <c r="F18" s="29" t="str">
        <f>IF($Q18="","",INDEX(TRANSACTIONS_MASTER!$I$5:$I$1204,$Q18))</f>
        <v/>
      </c>
      <c r="G18" s="55" t="str">
        <f>IF($Q18="","",INDEX(TRANSACTIONS_MASTER!$K$5:$K$1204,$Q18))</f>
        <v/>
      </c>
      <c r="H18" s="25" t="str">
        <f>IF($Q18="","",INDEX(TRANSACTIONS_MASTER!$L$5:$L$1204,$Q18))</f>
        <v/>
      </c>
      <c r="I18" s="56" t="str">
        <f>IF($Q18="","",INDEX(TRANSACTIONS_MASTER!$N$5:$N$1204,$Q18))</f>
        <v/>
      </c>
      <c r="J18" s="25" t="str">
        <f>IF($Q18="","",INDEX(TRANSACTIONS_MASTER!$O$5:$O$1204,$Q18))</f>
        <v/>
      </c>
      <c r="K18" s="26" t="str">
        <f>IF($Q18="","",INDEX(TRANSACTIONS_MASTER!$Q$5:$Q$1204,$Q18))</f>
        <v/>
      </c>
      <c r="L18" s="25" t="str">
        <f>IF($Q18="","",INDEX(TRANSACTIONS_MASTER!$P$5:$P$1204,$Q18))</f>
        <v/>
      </c>
      <c r="M18" s="25" t="str">
        <f>IF($Q18="","",INDEX(TRANSACTIONS_MASTER!$AA$5:$AA$1204,$Q18))</f>
        <v/>
      </c>
      <c r="N18" s="25" t="str">
        <f>IF($Q18="","",INDEX(TRANSACTIONS_MASTER!$R$5:$R$1204,$Q18))</f>
        <v/>
      </c>
      <c r="O18" s="28" t="str">
        <f>IF($Q18="","",INDEX(TRANSACTIONS_MASTER!$AB$5:$AB$1204,$Q18))</f>
        <v/>
      </c>
      <c r="P18" s="55" t="str">
        <f>IF($Q18="","",INDEX(TRANSACTIONS_MASTER!$Z$5:$Z$1204,$Q18)&amp;"")</f>
        <v/>
      </c>
      <c r="Q18" s="67" t="str">
        <f>IFERROR(MATCH($C$2&amp;"|"&amp;11,TRANSACTIONS_MASTER!$AE$5:$AE$1204,0),"")</f>
        <v/>
      </c>
      <c r="S18" s="67">
        <f>IFERROR(MATCH(11,CASHBACK_RULES!$S$5:$S$304,0),"")</f>
        <v>25</v>
      </c>
      <c r="T18" s="55" t="str">
        <f>IF($S18="","",INDEX(CASHBACK_RULES!$B$5:$B$304,$S18))</f>
        <v>MB-D</v>
      </c>
      <c r="U18" s="55" t="str">
        <f>IF($S18="","",INDEX(CASHBACK_RULES!$C$5:$C$304,$S18)&amp;" "&amp;INDEX(CASHBACK_RULES!$D$5:$D$304,$S18))</f>
        <v>MB Cashback Demo D</v>
      </c>
      <c r="V18" s="55" t="str">
        <f>IF($S18="","",INDEX(CASHBACK_RULES!$E$5:$E$304,$S18)&amp;"")</f>
        <v>Fuel</v>
      </c>
      <c r="W18" s="55" t="str">
        <f>IF($S18="","",INDEX(CASHBACK_RULES!$F$5:$F$304,$S18)&amp;"")</f>
        <v>Fuel</v>
      </c>
      <c r="X18" s="26">
        <f>IF($S18="","",SUMIFS(TRANSACTIONS_MASTER!$Q$5:$Q$1204,TRANSACTIONS_MASTER!$D$5:$D$1204,$T18,TRANSACTIONS_MASTER!$Z$5:$Z$1204,$V18,TRANSACTIONS_MASTER!$C$5:$C$1204,$C$2))</f>
        <v>0</v>
      </c>
      <c r="Y18" s="25">
        <f>IF($S18="","",IF(ISNUMBER(INDEX(CASHBACK_RULES!$J$5:$J$304,$S18)),INDEX(CASHBACK_RULES!$J$5:$J$304,$S18),"∞"))</f>
        <v>200000</v>
      </c>
      <c r="Z18" s="25">
        <f>IF($S18="","",IF(ISNUMBER($Y18),MAX(0,$Y18-$X18),"∞"))</f>
        <v>200000</v>
      </c>
      <c r="AA18" s="27">
        <f>IF($S18="","",IF(ISNUMBER($Y18),IF($Y18=0,0,$X18/$Y18),""))</f>
        <v>0</v>
      </c>
    </row>
    <row r="19" ht="20" customHeight="1">
      <c r="A19" s="81" t="str">
        <f>IF($Q19="","",12)</f>
        <v/>
      </c>
      <c r="B19" s="57" t="str">
        <f>IF($Q19="","",INDEX(TRANSACTIONS_MASTER!$B$5:$B$1204,$Q19))</f>
        <v/>
      </c>
      <c r="C19" s="55" t="str">
        <f>IF($Q19="","",INDEX(TRANSACTIONS_MASTER!$F$5:$F$1204,$Q19))</f>
        <v/>
      </c>
      <c r="D19" s="55" t="str">
        <f>IF($Q19="","",INDEX(TRANSACTIONS_MASTER!$E$5:$E$1204,$Q19))</f>
        <v/>
      </c>
      <c r="E19" s="55" t="str">
        <f>IF($Q19="","",INDEX(TRANSACTIONS_MASTER!$G$5:$G$1204,$Q19)&amp;"")</f>
        <v/>
      </c>
      <c r="F19" s="29" t="str">
        <f>IF($Q19="","",INDEX(TRANSACTIONS_MASTER!$I$5:$I$1204,$Q19))</f>
        <v/>
      </c>
      <c r="G19" s="55" t="str">
        <f>IF($Q19="","",INDEX(TRANSACTIONS_MASTER!$K$5:$K$1204,$Q19))</f>
        <v/>
      </c>
      <c r="H19" s="25" t="str">
        <f>IF($Q19="","",INDEX(TRANSACTIONS_MASTER!$L$5:$L$1204,$Q19))</f>
        <v/>
      </c>
      <c r="I19" s="56" t="str">
        <f>IF($Q19="","",INDEX(TRANSACTIONS_MASTER!$N$5:$N$1204,$Q19))</f>
        <v/>
      </c>
      <c r="J19" s="25" t="str">
        <f>IF($Q19="","",INDEX(TRANSACTIONS_MASTER!$O$5:$O$1204,$Q19))</f>
        <v/>
      </c>
      <c r="K19" s="26" t="str">
        <f>IF($Q19="","",INDEX(TRANSACTIONS_MASTER!$Q$5:$Q$1204,$Q19))</f>
        <v/>
      </c>
      <c r="L19" s="25" t="str">
        <f>IF($Q19="","",INDEX(TRANSACTIONS_MASTER!$P$5:$P$1204,$Q19))</f>
        <v/>
      </c>
      <c r="M19" s="25" t="str">
        <f>IF($Q19="","",INDEX(TRANSACTIONS_MASTER!$AA$5:$AA$1204,$Q19))</f>
        <v/>
      </c>
      <c r="N19" s="25" t="str">
        <f>IF($Q19="","",INDEX(TRANSACTIONS_MASTER!$R$5:$R$1204,$Q19))</f>
        <v/>
      </c>
      <c r="O19" s="28" t="str">
        <f>IF($Q19="","",INDEX(TRANSACTIONS_MASTER!$AB$5:$AB$1204,$Q19))</f>
        <v/>
      </c>
      <c r="P19" s="55" t="str">
        <f>IF($Q19="","",INDEX(TRANSACTIONS_MASTER!$Z$5:$Z$1204,$Q19)&amp;"")</f>
        <v/>
      </c>
      <c r="Q19" s="67" t="str">
        <f>IFERROR(MATCH($C$2&amp;"|"&amp;12,TRANSACTIONS_MASTER!$AE$5:$AE$1204,0),"")</f>
        <v/>
      </c>
      <c r="S19" s="67">
        <f>IFERROR(MATCH(12,CASHBACK_RULES!$S$5:$S$304,0),"")</f>
        <v>26</v>
      </c>
      <c r="T19" s="55" t="str">
        <f>IF($S19="","",INDEX(CASHBACK_RULES!$B$5:$B$304,$S19))</f>
        <v>MB-D</v>
      </c>
      <c r="U19" s="55" t="str">
        <f>IF($S19="","",INDEX(CASHBACK_RULES!$C$5:$C$304,$S19)&amp;" "&amp;INDEX(CASHBACK_RULES!$D$5:$D$304,$S19))</f>
        <v>MB Cashback Demo D</v>
      </c>
      <c r="V19" s="55" t="str">
        <f>IF($S19="","",INDEX(CASHBACK_RULES!$E$5:$E$304,$S19)&amp;"")</f>
        <v>Groceries</v>
      </c>
      <c r="W19" s="55" t="str">
        <f>IF($S19="","",INDEX(CASHBACK_RULES!$F$5:$F$304,$S19)&amp;"")</f>
        <v>Groceries</v>
      </c>
      <c r="X19" s="26">
        <f>IF($S19="","",SUMIFS(TRANSACTIONS_MASTER!$Q$5:$Q$1204,TRANSACTIONS_MASTER!$D$5:$D$1204,$T19,TRANSACTIONS_MASTER!$Z$5:$Z$1204,$V19,TRANSACTIONS_MASTER!$C$5:$C$1204,$C$2))</f>
        <v>0</v>
      </c>
      <c r="Y19" s="25">
        <f>IF($S19="","",IF(ISNUMBER(INDEX(CASHBACK_RULES!$J$5:$J$304,$S19)),INDEX(CASHBACK_RULES!$J$5:$J$304,$S19),"∞"))</f>
        <v>100000</v>
      </c>
      <c r="Z19" s="25">
        <f>IF($S19="","",IF(ISNUMBER($Y19),MAX(0,$Y19-$X19),"∞"))</f>
        <v>100000</v>
      </c>
      <c r="AA19" s="27">
        <f>IF($S19="","",IF(ISNUMBER($Y19),IF($Y19=0,0,$X19/$Y19),""))</f>
        <v>0</v>
      </c>
    </row>
    <row r="20" ht="20" customHeight="1">
      <c r="A20" s="81" t="str">
        <f>IF($Q20="","",13)</f>
        <v/>
      </c>
      <c r="B20" s="57" t="str">
        <f>IF($Q20="","",INDEX(TRANSACTIONS_MASTER!$B$5:$B$1204,$Q20))</f>
        <v/>
      </c>
      <c r="C20" s="55" t="str">
        <f>IF($Q20="","",INDEX(TRANSACTIONS_MASTER!$F$5:$F$1204,$Q20))</f>
        <v/>
      </c>
      <c r="D20" s="55" t="str">
        <f>IF($Q20="","",INDEX(TRANSACTIONS_MASTER!$E$5:$E$1204,$Q20))</f>
        <v/>
      </c>
      <c r="E20" s="55" t="str">
        <f>IF($Q20="","",INDEX(TRANSACTIONS_MASTER!$G$5:$G$1204,$Q20)&amp;"")</f>
        <v/>
      </c>
      <c r="F20" s="29" t="str">
        <f>IF($Q20="","",INDEX(TRANSACTIONS_MASTER!$I$5:$I$1204,$Q20))</f>
        <v/>
      </c>
      <c r="G20" s="55" t="str">
        <f>IF($Q20="","",INDEX(TRANSACTIONS_MASTER!$K$5:$K$1204,$Q20))</f>
        <v/>
      </c>
      <c r="H20" s="25" t="str">
        <f>IF($Q20="","",INDEX(TRANSACTIONS_MASTER!$L$5:$L$1204,$Q20))</f>
        <v/>
      </c>
      <c r="I20" s="56" t="str">
        <f>IF($Q20="","",INDEX(TRANSACTIONS_MASTER!$N$5:$N$1204,$Q20))</f>
        <v/>
      </c>
      <c r="J20" s="25" t="str">
        <f>IF($Q20="","",INDEX(TRANSACTIONS_MASTER!$O$5:$O$1204,$Q20))</f>
        <v/>
      </c>
      <c r="K20" s="26" t="str">
        <f>IF($Q20="","",INDEX(TRANSACTIONS_MASTER!$Q$5:$Q$1204,$Q20))</f>
        <v/>
      </c>
      <c r="L20" s="25" t="str">
        <f>IF($Q20="","",INDEX(TRANSACTIONS_MASTER!$P$5:$P$1204,$Q20))</f>
        <v/>
      </c>
      <c r="M20" s="25" t="str">
        <f>IF($Q20="","",INDEX(TRANSACTIONS_MASTER!$AA$5:$AA$1204,$Q20))</f>
        <v/>
      </c>
      <c r="N20" s="25" t="str">
        <f>IF($Q20="","",INDEX(TRANSACTIONS_MASTER!$R$5:$R$1204,$Q20))</f>
        <v/>
      </c>
      <c r="O20" s="28" t="str">
        <f>IF($Q20="","",INDEX(TRANSACTIONS_MASTER!$AB$5:$AB$1204,$Q20))</f>
        <v/>
      </c>
      <c r="P20" s="55" t="str">
        <f>IF($Q20="","",INDEX(TRANSACTIONS_MASTER!$Z$5:$Z$1204,$Q20)&amp;"")</f>
        <v/>
      </c>
      <c r="Q20" s="67" t="str">
        <f>IFERROR(MATCH($C$2&amp;"|"&amp;13,TRANSACTIONS_MASTER!$AE$5:$AE$1204,0),"")</f>
        <v/>
      </c>
      <c r="S20" s="67">
        <f>IFERROR(MATCH(13,CASHBACK_RULES!$S$5:$S$304,0),"")</f>
        <v>27</v>
      </c>
      <c r="T20" s="55" t="str">
        <f>IF($S20="","",INDEX(CASHBACK_RULES!$B$5:$B$304,$S20))</f>
        <v>MB-D</v>
      </c>
      <c r="U20" s="55" t="str">
        <f>IF($S20="","",INDEX(CASHBACK_RULES!$C$5:$C$304,$S20)&amp;" "&amp;INDEX(CASHBACK_RULES!$D$5:$D$304,$S20))</f>
        <v>MB Cashback Demo D</v>
      </c>
      <c r="V20" s="55" t="str">
        <f>IF($S20="","",INDEX(CASHBACK_RULES!$E$5:$E$304,$S20)&amp;"")</f>
        <v>Shopping</v>
      </c>
      <c r="W20" s="55" t="str">
        <f>IF($S20="","",INDEX(CASHBACK_RULES!$F$5:$F$304,$S20)&amp;"")</f>
        <v>Shopping</v>
      </c>
      <c r="X20" s="26">
        <f>IF($S20="","",SUMIFS(TRANSACTIONS_MASTER!$Q$5:$Q$1204,TRANSACTIONS_MASTER!$D$5:$D$1204,$T20,TRANSACTIONS_MASTER!$Z$5:$Z$1204,$V20,TRANSACTIONS_MASTER!$C$5:$C$1204,$C$2))</f>
        <v>0</v>
      </c>
      <c r="Y20" s="25">
        <f>IF($S20="","",IF(ISNUMBER(INDEX(CASHBACK_RULES!$J$5:$J$304,$S20)),INDEX(CASHBACK_RULES!$J$5:$J$304,$S20),"∞"))</f>
        <v>100000</v>
      </c>
      <c r="Z20" s="25">
        <f>IF($S20="","",IF(ISNUMBER($Y20),MAX(0,$Y20-$X20),"∞"))</f>
        <v>100000</v>
      </c>
      <c r="AA20" s="27">
        <f>IF($S20="","",IF(ISNUMBER($Y20),IF($Y20=0,0,$X20/$Y20),""))</f>
        <v>0</v>
      </c>
    </row>
    <row r="21" ht="20" customHeight="1">
      <c r="A21" s="81" t="str">
        <f>IF($Q21="","",14)</f>
        <v/>
      </c>
      <c r="B21" s="57" t="str">
        <f>IF($Q21="","",INDEX(TRANSACTIONS_MASTER!$B$5:$B$1204,$Q21))</f>
        <v/>
      </c>
      <c r="C21" s="55" t="str">
        <f>IF($Q21="","",INDEX(TRANSACTIONS_MASTER!$F$5:$F$1204,$Q21))</f>
        <v/>
      </c>
      <c r="D21" s="55" t="str">
        <f>IF($Q21="","",INDEX(TRANSACTIONS_MASTER!$E$5:$E$1204,$Q21))</f>
        <v/>
      </c>
      <c r="E21" s="55" t="str">
        <f>IF($Q21="","",INDEX(TRANSACTIONS_MASTER!$G$5:$G$1204,$Q21)&amp;"")</f>
        <v/>
      </c>
      <c r="F21" s="29" t="str">
        <f>IF($Q21="","",INDEX(TRANSACTIONS_MASTER!$I$5:$I$1204,$Q21))</f>
        <v/>
      </c>
      <c r="G21" s="55" t="str">
        <f>IF($Q21="","",INDEX(TRANSACTIONS_MASTER!$K$5:$K$1204,$Q21))</f>
        <v/>
      </c>
      <c r="H21" s="25" t="str">
        <f>IF($Q21="","",INDEX(TRANSACTIONS_MASTER!$L$5:$L$1204,$Q21))</f>
        <v/>
      </c>
      <c r="I21" s="56" t="str">
        <f>IF($Q21="","",INDEX(TRANSACTIONS_MASTER!$N$5:$N$1204,$Q21))</f>
        <v/>
      </c>
      <c r="J21" s="25" t="str">
        <f>IF($Q21="","",INDEX(TRANSACTIONS_MASTER!$O$5:$O$1204,$Q21))</f>
        <v/>
      </c>
      <c r="K21" s="26" t="str">
        <f>IF($Q21="","",INDEX(TRANSACTIONS_MASTER!$Q$5:$Q$1204,$Q21))</f>
        <v/>
      </c>
      <c r="L21" s="25" t="str">
        <f>IF($Q21="","",INDEX(TRANSACTIONS_MASTER!$P$5:$P$1204,$Q21))</f>
        <v/>
      </c>
      <c r="M21" s="25" t="str">
        <f>IF($Q21="","",INDEX(TRANSACTIONS_MASTER!$AA$5:$AA$1204,$Q21))</f>
        <v/>
      </c>
      <c r="N21" s="25" t="str">
        <f>IF($Q21="","",INDEX(TRANSACTIONS_MASTER!$R$5:$R$1204,$Q21))</f>
        <v/>
      </c>
      <c r="O21" s="28" t="str">
        <f>IF($Q21="","",INDEX(TRANSACTIONS_MASTER!$AB$5:$AB$1204,$Q21))</f>
        <v/>
      </c>
      <c r="P21" s="55" t="str">
        <f>IF($Q21="","",INDEX(TRANSACTIONS_MASTER!$Z$5:$Z$1204,$Q21)&amp;"")</f>
        <v/>
      </c>
      <c r="Q21" s="67" t="str">
        <f>IFERROR(MATCH($C$2&amp;"|"&amp;14,TRANSACTIONS_MASTER!$AE$5:$AE$1204,0),"")</f>
        <v/>
      </c>
      <c r="S21" s="67" t="str">
        <f>IFERROR(MATCH(14,CASHBACK_RULES!$S$5:$S$304,0),"")</f>
        <v/>
      </c>
      <c r="T21" s="55" t="str">
        <f>IF($S21="","",INDEX(CASHBACK_RULES!$B$5:$B$304,$S21))</f>
        <v/>
      </c>
      <c r="U21" s="55" t="str">
        <f>IF($S21="","",INDEX(CASHBACK_RULES!$C$5:$C$304,$S21)&amp;" "&amp;INDEX(CASHBACK_RULES!$D$5:$D$304,$S21))</f>
        <v/>
      </c>
      <c r="V21" s="55" t="str">
        <f>IF($S21="","",INDEX(CASHBACK_RULES!$E$5:$E$304,$S21)&amp;"")</f>
        <v/>
      </c>
      <c r="W21" s="55" t="str">
        <f>IF($S21="","",INDEX(CASHBACK_RULES!$F$5:$F$304,$S21)&amp;"")</f>
        <v/>
      </c>
      <c r="X21" s="26" t="str">
        <f>IF($S21="","",SUMIFS(TRANSACTIONS_MASTER!$Q$5:$Q$1204,TRANSACTIONS_MASTER!$D$5:$D$1204,$T21,TRANSACTIONS_MASTER!$Z$5:$Z$1204,$V21,TRANSACTIONS_MASTER!$C$5:$C$1204,$C$2))</f>
        <v/>
      </c>
      <c r="Y21" s="25" t="str">
        <f>IF($S21="","",IF(ISNUMBER(INDEX(CASHBACK_RULES!$J$5:$J$304,$S21)),INDEX(CASHBACK_RULES!$J$5:$J$304,$S21),"∞"))</f>
        <v/>
      </c>
      <c r="Z21" s="25" t="str">
        <f>IF($S21="","",IF(ISNUMBER($Y21),MAX(0,$Y21-$X21),"∞"))</f>
        <v/>
      </c>
      <c r="AA21" s="27" t="str">
        <f>IF($S21="","",IF(ISNUMBER($Y21),IF($Y21=0,0,$X21/$Y21),""))</f>
        <v/>
      </c>
    </row>
    <row r="22" ht="20" customHeight="1">
      <c r="A22" s="81" t="str">
        <f>IF($Q22="","",15)</f>
        <v/>
      </c>
      <c r="B22" s="57" t="str">
        <f>IF($Q22="","",INDEX(TRANSACTIONS_MASTER!$B$5:$B$1204,$Q22))</f>
        <v/>
      </c>
      <c r="C22" s="55" t="str">
        <f>IF($Q22="","",INDEX(TRANSACTIONS_MASTER!$F$5:$F$1204,$Q22))</f>
        <v/>
      </c>
      <c r="D22" s="55" t="str">
        <f>IF($Q22="","",INDEX(TRANSACTIONS_MASTER!$E$5:$E$1204,$Q22))</f>
        <v/>
      </c>
      <c r="E22" s="55" t="str">
        <f>IF($Q22="","",INDEX(TRANSACTIONS_MASTER!$G$5:$G$1204,$Q22)&amp;"")</f>
        <v/>
      </c>
      <c r="F22" s="29" t="str">
        <f>IF($Q22="","",INDEX(TRANSACTIONS_MASTER!$I$5:$I$1204,$Q22))</f>
        <v/>
      </c>
      <c r="G22" s="55" t="str">
        <f>IF($Q22="","",INDEX(TRANSACTIONS_MASTER!$K$5:$K$1204,$Q22))</f>
        <v/>
      </c>
      <c r="H22" s="25" t="str">
        <f>IF($Q22="","",INDEX(TRANSACTIONS_MASTER!$L$5:$L$1204,$Q22))</f>
        <v/>
      </c>
      <c r="I22" s="56" t="str">
        <f>IF($Q22="","",INDEX(TRANSACTIONS_MASTER!$N$5:$N$1204,$Q22))</f>
        <v/>
      </c>
      <c r="J22" s="25" t="str">
        <f>IF($Q22="","",INDEX(TRANSACTIONS_MASTER!$O$5:$O$1204,$Q22))</f>
        <v/>
      </c>
      <c r="K22" s="26" t="str">
        <f>IF($Q22="","",INDEX(TRANSACTIONS_MASTER!$Q$5:$Q$1204,$Q22))</f>
        <v/>
      </c>
      <c r="L22" s="25" t="str">
        <f>IF($Q22="","",INDEX(TRANSACTIONS_MASTER!$P$5:$P$1204,$Q22))</f>
        <v/>
      </c>
      <c r="M22" s="25" t="str">
        <f>IF($Q22="","",INDEX(TRANSACTIONS_MASTER!$AA$5:$AA$1204,$Q22))</f>
        <v/>
      </c>
      <c r="N22" s="25" t="str">
        <f>IF($Q22="","",INDEX(TRANSACTIONS_MASTER!$R$5:$R$1204,$Q22))</f>
        <v/>
      </c>
      <c r="O22" s="28" t="str">
        <f>IF($Q22="","",INDEX(TRANSACTIONS_MASTER!$AB$5:$AB$1204,$Q22))</f>
        <v/>
      </c>
      <c r="P22" s="55" t="str">
        <f>IF($Q22="","",INDEX(TRANSACTIONS_MASTER!$Z$5:$Z$1204,$Q22)&amp;"")</f>
        <v/>
      </c>
      <c r="Q22" s="67" t="str">
        <f>IFERROR(MATCH($C$2&amp;"|"&amp;15,TRANSACTIONS_MASTER!$AE$5:$AE$1204,0),"")</f>
        <v/>
      </c>
      <c r="S22" s="67" t="str">
        <f>IFERROR(MATCH(15,CASHBACK_RULES!$S$5:$S$304,0),"")</f>
        <v/>
      </c>
      <c r="T22" s="55" t="str">
        <f>IF($S22="","",INDEX(CASHBACK_RULES!$B$5:$B$304,$S22))</f>
        <v/>
      </c>
      <c r="U22" s="55" t="str">
        <f>IF($S22="","",INDEX(CASHBACK_RULES!$C$5:$C$304,$S22)&amp;" "&amp;INDEX(CASHBACK_RULES!$D$5:$D$304,$S22))</f>
        <v/>
      </c>
      <c r="V22" s="55" t="str">
        <f>IF($S22="","",INDEX(CASHBACK_RULES!$E$5:$E$304,$S22)&amp;"")</f>
        <v/>
      </c>
      <c r="W22" s="55" t="str">
        <f>IF($S22="","",INDEX(CASHBACK_RULES!$F$5:$F$304,$S22)&amp;"")</f>
        <v/>
      </c>
      <c r="X22" s="26" t="str">
        <f>IF($S22="","",SUMIFS(TRANSACTIONS_MASTER!$Q$5:$Q$1204,TRANSACTIONS_MASTER!$D$5:$D$1204,$T22,TRANSACTIONS_MASTER!$Z$5:$Z$1204,$V22,TRANSACTIONS_MASTER!$C$5:$C$1204,$C$2))</f>
        <v/>
      </c>
      <c r="Y22" s="25" t="str">
        <f>IF($S22="","",IF(ISNUMBER(INDEX(CASHBACK_RULES!$J$5:$J$304,$S22)),INDEX(CASHBACK_RULES!$J$5:$J$304,$S22),"∞"))</f>
        <v/>
      </c>
      <c r="Z22" s="25" t="str">
        <f>IF($S22="","",IF(ISNUMBER($Y22),MAX(0,$Y22-$X22),"∞"))</f>
        <v/>
      </c>
      <c r="AA22" s="27" t="str">
        <f>IF($S22="","",IF(ISNUMBER($Y22),IF($Y22=0,0,$X22/$Y22),""))</f>
        <v/>
      </c>
    </row>
    <row r="23" ht="20" customHeight="1">
      <c r="A23" s="81" t="str">
        <f>IF($Q23="","",16)</f>
        <v/>
      </c>
      <c r="B23" s="57" t="str">
        <f>IF($Q23="","",INDEX(TRANSACTIONS_MASTER!$B$5:$B$1204,$Q23))</f>
        <v/>
      </c>
      <c r="C23" s="55" t="str">
        <f>IF($Q23="","",INDEX(TRANSACTIONS_MASTER!$F$5:$F$1204,$Q23))</f>
        <v/>
      </c>
      <c r="D23" s="55" t="str">
        <f>IF($Q23="","",INDEX(TRANSACTIONS_MASTER!$E$5:$E$1204,$Q23))</f>
        <v/>
      </c>
      <c r="E23" s="55" t="str">
        <f>IF($Q23="","",INDEX(TRANSACTIONS_MASTER!$G$5:$G$1204,$Q23)&amp;"")</f>
        <v/>
      </c>
      <c r="F23" s="29" t="str">
        <f>IF($Q23="","",INDEX(TRANSACTIONS_MASTER!$I$5:$I$1204,$Q23))</f>
        <v/>
      </c>
      <c r="G23" s="55" t="str">
        <f>IF($Q23="","",INDEX(TRANSACTIONS_MASTER!$K$5:$K$1204,$Q23))</f>
        <v/>
      </c>
      <c r="H23" s="25" t="str">
        <f>IF($Q23="","",INDEX(TRANSACTIONS_MASTER!$L$5:$L$1204,$Q23))</f>
        <v/>
      </c>
      <c r="I23" s="56" t="str">
        <f>IF($Q23="","",INDEX(TRANSACTIONS_MASTER!$N$5:$N$1204,$Q23))</f>
        <v/>
      </c>
      <c r="J23" s="25" t="str">
        <f>IF($Q23="","",INDEX(TRANSACTIONS_MASTER!$O$5:$O$1204,$Q23))</f>
        <v/>
      </c>
      <c r="K23" s="26" t="str">
        <f>IF($Q23="","",INDEX(TRANSACTIONS_MASTER!$Q$5:$Q$1204,$Q23))</f>
        <v/>
      </c>
      <c r="L23" s="25" t="str">
        <f>IF($Q23="","",INDEX(TRANSACTIONS_MASTER!$P$5:$P$1204,$Q23))</f>
        <v/>
      </c>
      <c r="M23" s="25" t="str">
        <f>IF($Q23="","",INDEX(TRANSACTIONS_MASTER!$AA$5:$AA$1204,$Q23))</f>
        <v/>
      </c>
      <c r="N23" s="25" t="str">
        <f>IF($Q23="","",INDEX(TRANSACTIONS_MASTER!$R$5:$R$1204,$Q23))</f>
        <v/>
      </c>
      <c r="O23" s="28" t="str">
        <f>IF($Q23="","",INDEX(TRANSACTIONS_MASTER!$AB$5:$AB$1204,$Q23))</f>
        <v/>
      </c>
      <c r="P23" s="55" t="str">
        <f>IF($Q23="","",INDEX(TRANSACTIONS_MASTER!$Z$5:$Z$1204,$Q23)&amp;"")</f>
        <v/>
      </c>
      <c r="Q23" s="67" t="str">
        <f>IFERROR(MATCH($C$2&amp;"|"&amp;16,TRANSACTIONS_MASTER!$AE$5:$AE$1204,0),"")</f>
        <v/>
      </c>
      <c r="S23" s="67" t="str">
        <f>IFERROR(MATCH(16,CASHBACK_RULES!$S$5:$S$304,0),"")</f>
        <v/>
      </c>
      <c r="T23" s="55" t="str">
        <f>IF($S23="","",INDEX(CASHBACK_RULES!$B$5:$B$304,$S23))</f>
        <v/>
      </c>
      <c r="U23" s="55" t="str">
        <f>IF($S23="","",INDEX(CASHBACK_RULES!$C$5:$C$304,$S23)&amp;" "&amp;INDEX(CASHBACK_RULES!$D$5:$D$304,$S23))</f>
        <v/>
      </c>
      <c r="V23" s="55" t="str">
        <f>IF($S23="","",INDEX(CASHBACK_RULES!$E$5:$E$304,$S23)&amp;"")</f>
        <v/>
      </c>
      <c r="W23" s="55" t="str">
        <f>IF($S23="","",INDEX(CASHBACK_RULES!$F$5:$F$304,$S23)&amp;"")</f>
        <v/>
      </c>
      <c r="X23" s="26" t="str">
        <f>IF($S23="","",SUMIFS(TRANSACTIONS_MASTER!$Q$5:$Q$1204,TRANSACTIONS_MASTER!$D$5:$D$1204,$T23,TRANSACTIONS_MASTER!$Z$5:$Z$1204,$V23,TRANSACTIONS_MASTER!$C$5:$C$1204,$C$2))</f>
        <v/>
      </c>
      <c r="Y23" s="25" t="str">
        <f>IF($S23="","",IF(ISNUMBER(INDEX(CASHBACK_RULES!$J$5:$J$304,$S23)),INDEX(CASHBACK_RULES!$J$5:$J$304,$S23),"∞"))</f>
        <v/>
      </c>
      <c r="Z23" s="25" t="str">
        <f>IF($S23="","",IF(ISNUMBER($Y23),MAX(0,$Y23-$X23),"∞"))</f>
        <v/>
      </c>
      <c r="AA23" s="27" t="str">
        <f>IF($S23="","",IF(ISNUMBER($Y23),IF($Y23=0,0,$X23/$Y23),""))</f>
        <v/>
      </c>
    </row>
    <row r="24" ht="20" customHeight="1">
      <c r="A24" s="81" t="str">
        <f>IF($Q24="","",17)</f>
        <v/>
      </c>
      <c r="B24" s="57" t="str">
        <f>IF($Q24="","",INDEX(TRANSACTIONS_MASTER!$B$5:$B$1204,$Q24))</f>
        <v/>
      </c>
      <c r="C24" s="55" t="str">
        <f>IF($Q24="","",INDEX(TRANSACTIONS_MASTER!$F$5:$F$1204,$Q24))</f>
        <v/>
      </c>
      <c r="D24" s="55" t="str">
        <f>IF($Q24="","",INDEX(TRANSACTIONS_MASTER!$E$5:$E$1204,$Q24))</f>
        <v/>
      </c>
      <c r="E24" s="55" t="str">
        <f>IF($Q24="","",INDEX(TRANSACTIONS_MASTER!$G$5:$G$1204,$Q24)&amp;"")</f>
        <v/>
      </c>
      <c r="F24" s="29" t="str">
        <f>IF($Q24="","",INDEX(TRANSACTIONS_MASTER!$I$5:$I$1204,$Q24))</f>
        <v/>
      </c>
      <c r="G24" s="55" t="str">
        <f>IF($Q24="","",INDEX(TRANSACTIONS_MASTER!$K$5:$K$1204,$Q24))</f>
        <v/>
      </c>
      <c r="H24" s="25" t="str">
        <f>IF($Q24="","",INDEX(TRANSACTIONS_MASTER!$L$5:$L$1204,$Q24))</f>
        <v/>
      </c>
      <c r="I24" s="56" t="str">
        <f>IF($Q24="","",INDEX(TRANSACTIONS_MASTER!$N$5:$N$1204,$Q24))</f>
        <v/>
      </c>
      <c r="J24" s="25" t="str">
        <f>IF($Q24="","",INDEX(TRANSACTIONS_MASTER!$O$5:$O$1204,$Q24))</f>
        <v/>
      </c>
      <c r="K24" s="26" t="str">
        <f>IF($Q24="","",INDEX(TRANSACTIONS_MASTER!$Q$5:$Q$1204,$Q24))</f>
        <v/>
      </c>
      <c r="L24" s="25" t="str">
        <f>IF($Q24="","",INDEX(TRANSACTIONS_MASTER!$P$5:$P$1204,$Q24))</f>
        <v/>
      </c>
      <c r="M24" s="25" t="str">
        <f>IF($Q24="","",INDEX(TRANSACTIONS_MASTER!$AA$5:$AA$1204,$Q24))</f>
        <v/>
      </c>
      <c r="N24" s="25" t="str">
        <f>IF($Q24="","",INDEX(TRANSACTIONS_MASTER!$R$5:$R$1204,$Q24))</f>
        <v/>
      </c>
      <c r="O24" s="28" t="str">
        <f>IF($Q24="","",INDEX(TRANSACTIONS_MASTER!$AB$5:$AB$1204,$Q24))</f>
        <v/>
      </c>
      <c r="P24" s="55" t="str">
        <f>IF($Q24="","",INDEX(TRANSACTIONS_MASTER!$Z$5:$Z$1204,$Q24)&amp;"")</f>
        <v/>
      </c>
      <c r="Q24" s="67" t="str">
        <f>IFERROR(MATCH($C$2&amp;"|"&amp;17,TRANSACTIONS_MASTER!$AE$5:$AE$1204,0),"")</f>
        <v/>
      </c>
      <c r="S24" s="67" t="str">
        <f>IFERROR(MATCH(17,CASHBACK_RULES!$S$5:$S$304,0),"")</f>
        <v/>
      </c>
      <c r="T24" s="55" t="str">
        <f>IF($S24="","",INDEX(CASHBACK_RULES!$B$5:$B$304,$S24))</f>
        <v/>
      </c>
      <c r="U24" s="55" t="str">
        <f>IF($S24="","",INDEX(CASHBACK_RULES!$C$5:$C$304,$S24)&amp;" "&amp;INDEX(CASHBACK_RULES!$D$5:$D$304,$S24))</f>
        <v/>
      </c>
      <c r="V24" s="55" t="str">
        <f>IF($S24="","",INDEX(CASHBACK_RULES!$E$5:$E$304,$S24)&amp;"")</f>
        <v/>
      </c>
      <c r="W24" s="55" t="str">
        <f>IF($S24="","",INDEX(CASHBACK_RULES!$F$5:$F$304,$S24)&amp;"")</f>
        <v/>
      </c>
      <c r="X24" s="26" t="str">
        <f>IF($S24="","",SUMIFS(TRANSACTIONS_MASTER!$Q$5:$Q$1204,TRANSACTIONS_MASTER!$D$5:$D$1204,$T24,TRANSACTIONS_MASTER!$Z$5:$Z$1204,$V24,TRANSACTIONS_MASTER!$C$5:$C$1204,$C$2))</f>
        <v/>
      </c>
      <c r="Y24" s="25" t="str">
        <f>IF($S24="","",IF(ISNUMBER(INDEX(CASHBACK_RULES!$J$5:$J$304,$S24)),INDEX(CASHBACK_RULES!$J$5:$J$304,$S24),"∞"))</f>
        <v/>
      </c>
      <c r="Z24" s="25" t="str">
        <f>IF($S24="","",IF(ISNUMBER($Y24),MAX(0,$Y24-$X24),"∞"))</f>
        <v/>
      </c>
      <c r="AA24" s="27" t="str">
        <f>IF($S24="","",IF(ISNUMBER($Y24),IF($Y24=0,0,$X24/$Y24),""))</f>
        <v/>
      </c>
    </row>
    <row r="25" ht="20" customHeight="1">
      <c r="A25" s="81" t="str">
        <f>IF($Q25="","",18)</f>
        <v/>
      </c>
      <c r="B25" s="57" t="str">
        <f>IF($Q25="","",INDEX(TRANSACTIONS_MASTER!$B$5:$B$1204,$Q25))</f>
        <v/>
      </c>
      <c r="C25" s="55" t="str">
        <f>IF($Q25="","",INDEX(TRANSACTIONS_MASTER!$F$5:$F$1204,$Q25))</f>
        <v/>
      </c>
      <c r="D25" s="55" t="str">
        <f>IF($Q25="","",INDEX(TRANSACTIONS_MASTER!$E$5:$E$1204,$Q25))</f>
        <v/>
      </c>
      <c r="E25" s="55" t="str">
        <f>IF($Q25="","",INDEX(TRANSACTIONS_MASTER!$G$5:$G$1204,$Q25)&amp;"")</f>
        <v/>
      </c>
      <c r="F25" s="29" t="str">
        <f>IF($Q25="","",INDEX(TRANSACTIONS_MASTER!$I$5:$I$1204,$Q25))</f>
        <v/>
      </c>
      <c r="G25" s="55" t="str">
        <f>IF($Q25="","",INDEX(TRANSACTIONS_MASTER!$K$5:$K$1204,$Q25))</f>
        <v/>
      </c>
      <c r="H25" s="25" t="str">
        <f>IF($Q25="","",INDEX(TRANSACTIONS_MASTER!$L$5:$L$1204,$Q25))</f>
        <v/>
      </c>
      <c r="I25" s="56" t="str">
        <f>IF($Q25="","",INDEX(TRANSACTIONS_MASTER!$N$5:$N$1204,$Q25))</f>
        <v/>
      </c>
      <c r="J25" s="25" t="str">
        <f>IF($Q25="","",INDEX(TRANSACTIONS_MASTER!$O$5:$O$1204,$Q25))</f>
        <v/>
      </c>
      <c r="K25" s="26" t="str">
        <f>IF($Q25="","",INDEX(TRANSACTIONS_MASTER!$Q$5:$Q$1204,$Q25))</f>
        <v/>
      </c>
      <c r="L25" s="25" t="str">
        <f>IF($Q25="","",INDEX(TRANSACTIONS_MASTER!$P$5:$P$1204,$Q25))</f>
        <v/>
      </c>
      <c r="M25" s="25" t="str">
        <f>IF($Q25="","",INDEX(TRANSACTIONS_MASTER!$AA$5:$AA$1204,$Q25))</f>
        <v/>
      </c>
      <c r="N25" s="25" t="str">
        <f>IF($Q25="","",INDEX(TRANSACTIONS_MASTER!$R$5:$R$1204,$Q25))</f>
        <v/>
      </c>
      <c r="O25" s="28" t="str">
        <f>IF($Q25="","",INDEX(TRANSACTIONS_MASTER!$AB$5:$AB$1204,$Q25))</f>
        <v/>
      </c>
      <c r="P25" s="55" t="str">
        <f>IF($Q25="","",INDEX(TRANSACTIONS_MASTER!$Z$5:$Z$1204,$Q25)&amp;"")</f>
        <v/>
      </c>
      <c r="Q25" s="67" t="str">
        <f>IFERROR(MATCH($C$2&amp;"|"&amp;18,TRANSACTIONS_MASTER!$AE$5:$AE$1204,0),"")</f>
        <v/>
      </c>
      <c r="S25" s="67" t="str">
        <f>IFERROR(MATCH(18,CASHBACK_RULES!$S$5:$S$304,0),"")</f>
        <v/>
      </c>
      <c r="T25" s="55" t="str">
        <f>IF($S25="","",INDEX(CASHBACK_RULES!$B$5:$B$304,$S25))</f>
        <v/>
      </c>
      <c r="U25" s="55" t="str">
        <f>IF($S25="","",INDEX(CASHBACK_RULES!$C$5:$C$304,$S25)&amp;" "&amp;INDEX(CASHBACK_RULES!$D$5:$D$304,$S25))</f>
        <v/>
      </c>
      <c r="V25" s="55" t="str">
        <f>IF($S25="","",INDEX(CASHBACK_RULES!$E$5:$E$304,$S25)&amp;"")</f>
        <v/>
      </c>
      <c r="W25" s="55" t="str">
        <f>IF($S25="","",INDEX(CASHBACK_RULES!$F$5:$F$304,$S25)&amp;"")</f>
        <v/>
      </c>
      <c r="X25" s="26" t="str">
        <f>IF($S25="","",SUMIFS(TRANSACTIONS_MASTER!$Q$5:$Q$1204,TRANSACTIONS_MASTER!$D$5:$D$1204,$T25,TRANSACTIONS_MASTER!$Z$5:$Z$1204,$V25,TRANSACTIONS_MASTER!$C$5:$C$1204,$C$2))</f>
        <v/>
      </c>
      <c r="Y25" s="25" t="str">
        <f>IF($S25="","",IF(ISNUMBER(INDEX(CASHBACK_RULES!$J$5:$J$304,$S25)),INDEX(CASHBACK_RULES!$J$5:$J$304,$S25),"∞"))</f>
        <v/>
      </c>
      <c r="Z25" s="25" t="str">
        <f>IF($S25="","",IF(ISNUMBER($Y25),MAX(0,$Y25-$X25),"∞"))</f>
        <v/>
      </c>
      <c r="AA25" s="27" t="str">
        <f>IF($S25="","",IF(ISNUMBER($Y25),IF($Y25=0,0,$X25/$Y25),""))</f>
        <v/>
      </c>
    </row>
    <row r="26" ht="20" customHeight="1">
      <c r="A26" s="81" t="str">
        <f>IF($Q26="","",19)</f>
        <v/>
      </c>
      <c r="B26" s="57" t="str">
        <f>IF($Q26="","",INDEX(TRANSACTIONS_MASTER!$B$5:$B$1204,$Q26))</f>
        <v/>
      </c>
      <c r="C26" s="55" t="str">
        <f>IF($Q26="","",INDEX(TRANSACTIONS_MASTER!$F$5:$F$1204,$Q26))</f>
        <v/>
      </c>
      <c r="D26" s="55" t="str">
        <f>IF($Q26="","",INDEX(TRANSACTIONS_MASTER!$E$5:$E$1204,$Q26))</f>
        <v/>
      </c>
      <c r="E26" s="55" t="str">
        <f>IF($Q26="","",INDEX(TRANSACTIONS_MASTER!$G$5:$G$1204,$Q26)&amp;"")</f>
        <v/>
      </c>
      <c r="F26" s="29" t="str">
        <f>IF($Q26="","",INDEX(TRANSACTIONS_MASTER!$I$5:$I$1204,$Q26))</f>
        <v/>
      </c>
      <c r="G26" s="55" t="str">
        <f>IF($Q26="","",INDEX(TRANSACTIONS_MASTER!$K$5:$K$1204,$Q26))</f>
        <v/>
      </c>
      <c r="H26" s="25" t="str">
        <f>IF($Q26="","",INDEX(TRANSACTIONS_MASTER!$L$5:$L$1204,$Q26))</f>
        <v/>
      </c>
      <c r="I26" s="56" t="str">
        <f>IF($Q26="","",INDEX(TRANSACTIONS_MASTER!$N$5:$N$1204,$Q26))</f>
        <v/>
      </c>
      <c r="J26" s="25" t="str">
        <f>IF($Q26="","",INDEX(TRANSACTIONS_MASTER!$O$5:$O$1204,$Q26))</f>
        <v/>
      </c>
      <c r="K26" s="26" t="str">
        <f>IF($Q26="","",INDEX(TRANSACTIONS_MASTER!$Q$5:$Q$1204,$Q26))</f>
        <v/>
      </c>
      <c r="L26" s="25" t="str">
        <f>IF($Q26="","",INDEX(TRANSACTIONS_MASTER!$P$5:$P$1204,$Q26))</f>
        <v/>
      </c>
      <c r="M26" s="25" t="str">
        <f>IF($Q26="","",INDEX(TRANSACTIONS_MASTER!$AA$5:$AA$1204,$Q26))</f>
        <v/>
      </c>
      <c r="N26" s="25" t="str">
        <f>IF($Q26="","",INDEX(TRANSACTIONS_MASTER!$R$5:$R$1204,$Q26))</f>
        <v/>
      </c>
      <c r="O26" s="28" t="str">
        <f>IF($Q26="","",INDEX(TRANSACTIONS_MASTER!$AB$5:$AB$1204,$Q26))</f>
        <v/>
      </c>
      <c r="P26" s="55" t="str">
        <f>IF($Q26="","",INDEX(TRANSACTIONS_MASTER!$Z$5:$Z$1204,$Q26)&amp;"")</f>
        <v/>
      </c>
      <c r="Q26" s="67" t="str">
        <f>IFERROR(MATCH($C$2&amp;"|"&amp;19,TRANSACTIONS_MASTER!$AE$5:$AE$1204,0),"")</f>
        <v/>
      </c>
      <c r="S26" s="67" t="str">
        <f>IFERROR(MATCH(19,CASHBACK_RULES!$S$5:$S$304,0),"")</f>
        <v/>
      </c>
      <c r="T26" s="55" t="str">
        <f>IF($S26="","",INDEX(CASHBACK_RULES!$B$5:$B$304,$S26))</f>
        <v/>
      </c>
      <c r="U26" s="55" t="str">
        <f>IF($S26="","",INDEX(CASHBACK_RULES!$C$5:$C$304,$S26)&amp;" "&amp;INDEX(CASHBACK_RULES!$D$5:$D$304,$S26))</f>
        <v/>
      </c>
      <c r="V26" s="55" t="str">
        <f>IF($S26="","",INDEX(CASHBACK_RULES!$E$5:$E$304,$S26)&amp;"")</f>
        <v/>
      </c>
      <c r="W26" s="55" t="str">
        <f>IF($S26="","",INDEX(CASHBACK_RULES!$F$5:$F$304,$S26)&amp;"")</f>
        <v/>
      </c>
      <c r="X26" s="26" t="str">
        <f>IF($S26="","",SUMIFS(TRANSACTIONS_MASTER!$Q$5:$Q$1204,TRANSACTIONS_MASTER!$D$5:$D$1204,$T26,TRANSACTIONS_MASTER!$Z$5:$Z$1204,$V26,TRANSACTIONS_MASTER!$C$5:$C$1204,$C$2))</f>
        <v/>
      </c>
      <c r="Y26" s="25" t="str">
        <f>IF($S26="","",IF(ISNUMBER(INDEX(CASHBACK_RULES!$J$5:$J$304,$S26)),INDEX(CASHBACK_RULES!$J$5:$J$304,$S26),"∞"))</f>
        <v/>
      </c>
      <c r="Z26" s="25" t="str">
        <f>IF($S26="","",IF(ISNUMBER($Y26),MAX(0,$Y26-$X26),"∞"))</f>
        <v/>
      </c>
      <c r="AA26" s="27" t="str">
        <f>IF($S26="","",IF(ISNUMBER($Y26),IF($Y26=0,0,$X26/$Y26),""))</f>
        <v/>
      </c>
    </row>
    <row r="27" ht="20" customHeight="1">
      <c r="A27" s="81" t="str">
        <f>IF($Q27="","",20)</f>
        <v/>
      </c>
      <c r="B27" s="57" t="str">
        <f>IF($Q27="","",INDEX(TRANSACTIONS_MASTER!$B$5:$B$1204,$Q27))</f>
        <v/>
      </c>
      <c r="C27" s="55" t="str">
        <f>IF($Q27="","",INDEX(TRANSACTIONS_MASTER!$F$5:$F$1204,$Q27))</f>
        <v/>
      </c>
      <c r="D27" s="55" t="str">
        <f>IF($Q27="","",INDEX(TRANSACTIONS_MASTER!$E$5:$E$1204,$Q27))</f>
        <v/>
      </c>
      <c r="E27" s="55" t="str">
        <f>IF($Q27="","",INDEX(TRANSACTIONS_MASTER!$G$5:$G$1204,$Q27)&amp;"")</f>
        <v/>
      </c>
      <c r="F27" s="29" t="str">
        <f>IF($Q27="","",INDEX(TRANSACTIONS_MASTER!$I$5:$I$1204,$Q27))</f>
        <v/>
      </c>
      <c r="G27" s="55" t="str">
        <f>IF($Q27="","",INDEX(TRANSACTIONS_MASTER!$K$5:$K$1204,$Q27))</f>
        <v/>
      </c>
      <c r="H27" s="25" t="str">
        <f>IF($Q27="","",INDEX(TRANSACTIONS_MASTER!$L$5:$L$1204,$Q27))</f>
        <v/>
      </c>
      <c r="I27" s="56" t="str">
        <f>IF($Q27="","",INDEX(TRANSACTIONS_MASTER!$N$5:$N$1204,$Q27))</f>
        <v/>
      </c>
      <c r="J27" s="25" t="str">
        <f>IF($Q27="","",INDEX(TRANSACTIONS_MASTER!$O$5:$O$1204,$Q27))</f>
        <v/>
      </c>
      <c r="K27" s="26" t="str">
        <f>IF($Q27="","",INDEX(TRANSACTIONS_MASTER!$Q$5:$Q$1204,$Q27))</f>
        <v/>
      </c>
      <c r="L27" s="25" t="str">
        <f>IF($Q27="","",INDEX(TRANSACTIONS_MASTER!$P$5:$P$1204,$Q27))</f>
        <v/>
      </c>
      <c r="M27" s="25" t="str">
        <f>IF($Q27="","",INDEX(TRANSACTIONS_MASTER!$AA$5:$AA$1204,$Q27))</f>
        <v/>
      </c>
      <c r="N27" s="25" t="str">
        <f>IF($Q27="","",INDEX(TRANSACTIONS_MASTER!$R$5:$R$1204,$Q27))</f>
        <v/>
      </c>
      <c r="O27" s="28" t="str">
        <f>IF($Q27="","",INDEX(TRANSACTIONS_MASTER!$AB$5:$AB$1204,$Q27))</f>
        <v/>
      </c>
      <c r="P27" s="55" t="str">
        <f>IF($Q27="","",INDEX(TRANSACTIONS_MASTER!$Z$5:$Z$1204,$Q27)&amp;"")</f>
        <v/>
      </c>
      <c r="Q27" s="67" t="str">
        <f>IFERROR(MATCH($C$2&amp;"|"&amp;20,TRANSACTIONS_MASTER!$AE$5:$AE$1204,0),"")</f>
        <v/>
      </c>
      <c r="S27" s="67" t="str">
        <f>IFERROR(MATCH(20,CASHBACK_RULES!$S$5:$S$304,0),"")</f>
        <v/>
      </c>
      <c r="T27" s="55" t="str">
        <f>IF($S27="","",INDEX(CASHBACK_RULES!$B$5:$B$304,$S27))</f>
        <v/>
      </c>
      <c r="U27" s="55" t="str">
        <f>IF($S27="","",INDEX(CASHBACK_RULES!$C$5:$C$304,$S27)&amp;" "&amp;INDEX(CASHBACK_RULES!$D$5:$D$304,$S27))</f>
        <v/>
      </c>
      <c r="V27" s="55" t="str">
        <f>IF($S27="","",INDEX(CASHBACK_RULES!$E$5:$E$304,$S27)&amp;"")</f>
        <v/>
      </c>
      <c r="W27" s="55" t="str">
        <f>IF($S27="","",INDEX(CASHBACK_RULES!$F$5:$F$304,$S27)&amp;"")</f>
        <v/>
      </c>
      <c r="X27" s="26" t="str">
        <f>IF($S27="","",SUMIFS(TRANSACTIONS_MASTER!$Q$5:$Q$1204,TRANSACTIONS_MASTER!$D$5:$D$1204,$T27,TRANSACTIONS_MASTER!$Z$5:$Z$1204,$V27,TRANSACTIONS_MASTER!$C$5:$C$1204,$C$2))</f>
        <v/>
      </c>
      <c r="Y27" s="25" t="str">
        <f>IF($S27="","",IF(ISNUMBER(INDEX(CASHBACK_RULES!$J$5:$J$304,$S27)),INDEX(CASHBACK_RULES!$J$5:$J$304,$S27),"∞"))</f>
        <v/>
      </c>
      <c r="Z27" s="25" t="str">
        <f>IF($S27="","",IF(ISNUMBER($Y27),MAX(0,$Y27-$X27),"∞"))</f>
        <v/>
      </c>
      <c r="AA27" s="27" t="str">
        <f>IF($S27="","",IF(ISNUMBER($Y27),IF($Y27=0,0,$X27/$Y27),""))</f>
        <v/>
      </c>
    </row>
    <row r="28" ht="20" customHeight="1">
      <c r="A28" s="81" t="str">
        <f>IF($Q28="","",21)</f>
        <v/>
      </c>
      <c r="B28" s="57" t="str">
        <f>IF($Q28="","",INDEX(TRANSACTIONS_MASTER!$B$5:$B$1204,$Q28))</f>
        <v/>
      </c>
      <c r="C28" s="55" t="str">
        <f>IF($Q28="","",INDEX(TRANSACTIONS_MASTER!$F$5:$F$1204,$Q28))</f>
        <v/>
      </c>
      <c r="D28" s="55" t="str">
        <f>IF($Q28="","",INDEX(TRANSACTIONS_MASTER!$E$5:$E$1204,$Q28))</f>
        <v/>
      </c>
      <c r="E28" s="55" t="str">
        <f>IF($Q28="","",INDEX(TRANSACTIONS_MASTER!$G$5:$G$1204,$Q28)&amp;"")</f>
        <v/>
      </c>
      <c r="F28" s="29" t="str">
        <f>IF($Q28="","",INDEX(TRANSACTIONS_MASTER!$I$5:$I$1204,$Q28))</f>
        <v/>
      </c>
      <c r="G28" s="55" t="str">
        <f>IF($Q28="","",INDEX(TRANSACTIONS_MASTER!$K$5:$K$1204,$Q28))</f>
        <v/>
      </c>
      <c r="H28" s="25" t="str">
        <f>IF($Q28="","",INDEX(TRANSACTIONS_MASTER!$L$5:$L$1204,$Q28))</f>
        <v/>
      </c>
      <c r="I28" s="56" t="str">
        <f>IF($Q28="","",INDEX(TRANSACTIONS_MASTER!$N$5:$N$1204,$Q28))</f>
        <v/>
      </c>
      <c r="J28" s="25" t="str">
        <f>IF($Q28="","",INDEX(TRANSACTIONS_MASTER!$O$5:$O$1204,$Q28))</f>
        <v/>
      </c>
      <c r="K28" s="26" t="str">
        <f>IF($Q28="","",INDEX(TRANSACTIONS_MASTER!$Q$5:$Q$1204,$Q28))</f>
        <v/>
      </c>
      <c r="L28" s="25" t="str">
        <f>IF($Q28="","",INDEX(TRANSACTIONS_MASTER!$P$5:$P$1204,$Q28))</f>
        <v/>
      </c>
      <c r="M28" s="25" t="str">
        <f>IF($Q28="","",INDEX(TRANSACTIONS_MASTER!$AA$5:$AA$1204,$Q28))</f>
        <v/>
      </c>
      <c r="N28" s="25" t="str">
        <f>IF($Q28="","",INDEX(TRANSACTIONS_MASTER!$R$5:$R$1204,$Q28))</f>
        <v/>
      </c>
      <c r="O28" s="28" t="str">
        <f>IF($Q28="","",INDEX(TRANSACTIONS_MASTER!$AB$5:$AB$1204,$Q28))</f>
        <v/>
      </c>
      <c r="P28" s="55" t="str">
        <f>IF($Q28="","",INDEX(TRANSACTIONS_MASTER!$Z$5:$Z$1204,$Q28)&amp;"")</f>
        <v/>
      </c>
      <c r="Q28" s="67" t="str">
        <f>IFERROR(MATCH($C$2&amp;"|"&amp;21,TRANSACTIONS_MASTER!$AE$5:$AE$1204,0),"")</f>
        <v/>
      </c>
      <c r="S28" s="67" t="str">
        <f>IFERROR(MATCH(21,CASHBACK_RULES!$S$5:$S$304,0),"")</f>
        <v/>
      </c>
      <c r="T28" s="55" t="str">
        <f>IF($S28="","",INDEX(CASHBACK_RULES!$B$5:$B$304,$S28))</f>
        <v/>
      </c>
      <c r="U28" s="55" t="str">
        <f>IF($S28="","",INDEX(CASHBACK_RULES!$C$5:$C$304,$S28)&amp;" "&amp;INDEX(CASHBACK_RULES!$D$5:$D$304,$S28))</f>
        <v/>
      </c>
      <c r="V28" s="55" t="str">
        <f>IF($S28="","",INDEX(CASHBACK_RULES!$E$5:$E$304,$S28)&amp;"")</f>
        <v/>
      </c>
      <c r="W28" s="55" t="str">
        <f>IF($S28="","",INDEX(CASHBACK_RULES!$F$5:$F$304,$S28)&amp;"")</f>
        <v/>
      </c>
      <c r="X28" s="26" t="str">
        <f>IF($S28="","",SUMIFS(TRANSACTIONS_MASTER!$Q$5:$Q$1204,TRANSACTIONS_MASTER!$D$5:$D$1204,$T28,TRANSACTIONS_MASTER!$Z$5:$Z$1204,$V28,TRANSACTIONS_MASTER!$C$5:$C$1204,$C$2))</f>
        <v/>
      </c>
      <c r="Y28" s="25" t="str">
        <f>IF($S28="","",IF(ISNUMBER(INDEX(CASHBACK_RULES!$J$5:$J$304,$S28)),INDEX(CASHBACK_RULES!$J$5:$J$304,$S28),"∞"))</f>
        <v/>
      </c>
      <c r="Z28" s="25" t="str">
        <f>IF($S28="","",IF(ISNUMBER($Y28),MAX(0,$Y28-$X28),"∞"))</f>
        <v/>
      </c>
      <c r="AA28" s="27" t="str">
        <f>IF($S28="","",IF(ISNUMBER($Y28),IF($Y28=0,0,$X28/$Y28),""))</f>
        <v/>
      </c>
    </row>
    <row r="29" ht="20" customHeight="1">
      <c r="A29" s="81" t="str">
        <f>IF($Q29="","",22)</f>
        <v/>
      </c>
      <c r="B29" s="57" t="str">
        <f>IF($Q29="","",INDEX(TRANSACTIONS_MASTER!$B$5:$B$1204,$Q29))</f>
        <v/>
      </c>
      <c r="C29" s="55" t="str">
        <f>IF($Q29="","",INDEX(TRANSACTIONS_MASTER!$F$5:$F$1204,$Q29))</f>
        <v/>
      </c>
      <c r="D29" s="55" t="str">
        <f>IF($Q29="","",INDEX(TRANSACTIONS_MASTER!$E$5:$E$1204,$Q29))</f>
        <v/>
      </c>
      <c r="E29" s="55" t="str">
        <f>IF($Q29="","",INDEX(TRANSACTIONS_MASTER!$G$5:$G$1204,$Q29)&amp;"")</f>
        <v/>
      </c>
      <c r="F29" s="29" t="str">
        <f>IF($Q29="","",INDEX(TRANSACTIONS_MASTER!$I$5:$I$1204,$Q29))</f>
        <v/>
      </c>
      <c r="G29" s="55" t="str">
        <f>IF($Q29="","",INDEX(TRANSACTIONS_MASTER!$K$5:$K$1204,$Q29))</f>
        <v/>
      </c>
      <c r="H29" s="25" t="str">
        <f>IF($Q29="","",INDEX(TRANSACTIONS_MASTER!$L$5:$L$1204,$Q29))</f>
        <v/>
      </c>
      <c r="I29" s="56" t="str">
        <f>IF($Q29="","",INDEX(TRANSACTIONS_MASTER!$N$5:$N$1204,$Q29))</f>
        <v/>
      </c>
      <c r="J29" s="25" t="str">
        <f>IF($Q29="","",INDEX(TRANSACTIONS_MASTER!$O$5:$O$1204,$Q29))</f>
        <v/>
      </c>
      <c r="K29" s="26" t="str">
        <f>IF($Q29="","",INDEX(TRANSACTIONS_MASTER!$Q$5:$Q$1204,$Q29))</f>
        <v/>
      </c>
      <c r="L29" s="25" t="str">
        <f>IF($Q29="","",INDEX(TRANSACTIONS_MASTER!$P$5:$P$1204,$Q29))</f>
        <v/>
      </c>
      <c r="M29" s="25" t="str">
        <f>IF($Q29="","",INDEX(TRANSACTIONS_MASTER!$AA$5:$AA$1204,$Q29))</f>
        <v/>
      </c>
      <c r="N29" s="25" t="str">
        <f>IF($Q29="","",INDEX(TRANSACTIONS_MASTER!$R$5:$R$1204,$Q29))</f>
        <v/>
      </c>
      <c r="O29" s="28" t="str">
        <f>IF($Q29="","",INDEX(TRANSACTIONS_MASTER!$AB$5:$AB$1204,$Q29))</f>
        <v/>
      </c>
      <c r="P29" s="55" t="str">
        <f>IF($Q29="","",INDEX(TRANSACTIONS_MASTER!$Z$5:$Z$1204,$Q29)&amp;"")</f>
        <v/>
      </c>
      <c r="Q29" s="67" t="str">
        <f>IFERROR(MATCH($C$2&amp;"|"&amp;22,TRANSACTIONS_MASTER!$AE$5:$AE$1204,0),"")</f>
        <v/>
      </c>
      <c r="S29" s="67" t="str">
        <f>IFERROR(MATCH(22,CASHBACK_RULES!$S$5:$S$304,0),"")</f>
        <v/>
      </c>
      <c r="T29" s="55" t="str">
        <f>IF($S29="","",INDEX(CASHBACK_RULES!$B$5:$B$304,$S29))</f>
        <v/>
      </c>
      <c r="U29" s="55" t="str">
        <f>IF($S29="","",INDEX(CASHBACK_RULES!$C$5:$C$304,$S29)&amp;" "&amp;INDEX(CASHBACK_RULES!$D$5:$D$304,$S29))</f>
        <v/>
      </c>
      <c r="V29" s="55" t="str">
        <f>IF($S29="","",INDEX(CASHBACK_RULES!$E$5:$E$304,$S29)&amp;"")</f>
        <v/>
      </c>
      <c r="W29" s="55" t="str">
        <f>IF($S29="","",INDEX(CASHBACK_RULES!$F$5:$F$304,$S29)&amp;"")</f>
        <v/>
      </c>
      <c r="X29" s="26" t="str">
        <f>IF($S29="","",SUMIFS(TRANSACTIONS_MASTER!$Q$5:$Q$1204,TRANSACTIONS_MASTER!$D$5:$D$1204,$T29,TRANSACTIONS_MASTER!$Z$5:$Z$1204,$V29,TRANSACTIONS_MASTER!$C$5:$C$1204,$C$2))</f>
        <v/>
      </c>
      <c r="Y29" s="25" t="str">
        <f>IF($S29="","",IF(ISNUMBER(INDEX(CASHBACK_RULES!$J$5:$J$304,$S29)),INDEX(CASHBACK_RULES!$J$5:$J$304,$S29),"∞"))</f>
        <v/>
      </c>
      <c r="Z29" s="25" t="str">
        <f>IF($S29="","",IF(ISNUMBER($Y29),MAX(0,$Y29-$X29),"∞"))</f>
        <v/>
      </c>
      <c r="AA29" s="27" t="str">
        <f>IF($S29="","",IF(ISNUMBER($Y29),IF($Y29=0,0,$X29/$Y29),""))</f>
        <v/>
      </c>
    </row>
    <row r="30" ht="20" customHeight="1">
      <c r="A30" s="81" t="str">
        <f>IF($Q30="","",23)</f>
        <v/>
      </c>
      <c r="B30" s="57" t="str">
        <f>IF($Q30="","",INDEX(TRANSACTIONS_MASTER!$B$5:$B$1204,$Q30))</f>
        <v/>
      </c>
      <c r="C30" s="55" t="str">
        <f>IF($Q30="","",INDEX(TRANSACTIONS_MASTER!$F$5:$F$1204,$Q30))</f>
        <v/>
      </c>
      <c r="D30" s="55" t="str">
        <f>IF($Q30="","",INDEX(TRANSACTIONS_MASTER!$E$5:$E$1204,$Q30))</f>
        <v/>
      </c>
      <c r="E30" s="55" t="str">
        <f>IF($Q30="","",INDEX(TRANSACTIONS_MASTER!$G$5:$G$1204,$Q30)&amp;"")</f>
        <v/>
      </c>
      <c r="F30" s="29" t="str">
        <f>IF($Q30="","",INDEX(TRANSACTIONS_MASTER!$I$5:$I$1204,$Q30))</f>
        <v/>
      </c>
      <c r="G30" s="55" t="str">
        <f>IF($Q30="","",INDEX(TRANSACTIONS_MASTER!$K$5:$K$1204,$Q30))</f>
        <v/>
      </c>
      <c r="H30" s="25" t="str">
        <f>IF($Q30="","",INDEX(TRANSACTIONS_MASTER!$L$5:$L$1204,$Q30))</f>
        <v/>
      </c>
      <c r="I30" s="56" t="str">
        <f>IF($Q30="","",INDEX(TRANSACTIONS_MASTER!$N$5:$N$1204,$Q30))</f>
        <v/>
      </c>
      <c r="J30" s="25" t="str">
        <f>IF($Q30="","",INDEX(TRANSACTIONS_MASTER!$O$5:$O$1204,$Q30))</f>
        <v/>
      </c>
      <c r="K30" s="26" t="str">
        <f>IF($Q30="","",INDEX(TRANSACTIONS_MASTER!$Q$5:$Q$1204,$Q30))</f>
        <v/>
      </c>
      <c r="L30" s="25" t="str">
        <f>IF($Q30="","",INDEX(TRANSACTIONS_MASTER!$P$5:$P$1204,$Q30))</f>
        <v/>
      </c>
      <c r="M30" s="25" t="str">
        <f>IF($Q30="","",INDEX(TRANSACTIONS_MASTER!$AA$5:$AA$1204,$Q30))</f>
        <v/>
      </c>
      <c r="N30" s="25" t="str">
        <f>IF($Q30="","",INDEX(TRANSACTIONS_MASTER!$R$5:$R$1204,$Q30))</f>
        <v/>
      </c>
      <c r="O30" s="28" t="str">
        <f>IF($Q30="","",INDEX(TRANSACTIONS_MASTER!$AB$5:$AB$1204,$Q30))</f>
        <v/>
      </c>
      <c r="P30" s="55" t="str">
        <f>IF($Q30="","",INDEX(TRANSACTIONS_MASTER!$Z$5:$Z$1204,$Q30)&amp;"")</f>
        <v/>
      </c>
      <c r="Q30" s="67" t="str">
        <f>IFERROR(MATCH($C$2&amp;"|"&amp;23,TRANSACTIONS_MASTER!$AE$5:$AE$1204,0),"")</f>
        <v/>
      </c>
      <c r="S30" s="67" t="str">
        <f>IFERROR(MATCH(23,CASHBACK_RULES!$S$5:$S$304,0),"")</f>
        <v/>
      </c>
      <c r="T30" s="55" t="str">
        <f>IF($S30="","",INDEX(CASHBACK_RULES!$B$5:$B$304,$S30))</f>
        <v/>
      </c>
      <c r="U30" s="55" t="str">
        <f>IF($S30="","",INDEX(CASHBACK_RULES!$C$5:$C$304,$S30)&amp;" "&amp;INDEX(CASHBACK_RULES!$D$5:$D$304,$S30))</f>
        <v/>
      </c>
      <c r="V30" s="55" t="str">
        <f>IF($S30="","",INDEX(CASHBACK_RULES!$E$5:$E$304,$S30)&amp;"")</f>
        <v/>
      </c>
      <c r="W30" s="55" t="str">
        <f>IF($S30="","",INDEX(CASHBACK_RULES!$F$5:$F$304,$S30)&amp;"")</f>
        <v/>
      </c>
      <c r="X30" s="26" t="str">
        <f>IF($S30="","",SUMIFS(TRANSACTIONS_MASTER!$Q$5:$Q$1204,TRANSACTIONS_MASTER!$D$5:$D$1204,$T30,TRANSACTIONS_MASTER!$Z$5:$Z$1204,$V30,TRANSACTIONS_MASTER!$C$5:$C$1204,$C$2))</f>
        <v/>
      </c>
      <c r="Y30" s="25" t="str">
        <f>IF($S30="","",IF(ISNUMBER(INDEX(CASHBACK_RULES!$J$5:$J$304,$S30)),INDEX(CASHBACK_RULES!$J$5:$J$304,$S30),"∞"))</f>
        <v/>
      </c>
      <c r="Z30" s="25" t="str">
        <f>IF($S30="","",IF(ISNUMBER($Y30),MAX(0,$Y30-$X30),"∞"))</f>
        <v/>
      </c>
      <c r="AA30" s="27" t="str">
        <f>IF($S30="","",IF(ISNUMBER($Y30),IF($Y30=0,0,$X30/$Y30),""))</f>
        <v/>
      </c>
    </row>
    <row r="31" ht="20" customHeight="1">
      <c r="A31" s="81" t="str">
        <f>IF($Q31="","",24)</f>
        <v/>
      </c>
      <c r="B31" s="57" t="str">
        <f>IF($Q31="","",INDEX(TRANSACTIONS_MASTER!$B$5:$B$1204,$Q31))</f>
        <v/>
      </c>
      <c r="C31" s="55" t="str">
        <f>IF($Q31="","",INDEX(TRANSACTIONS_MASTER!$F$5:$F$1204,$Q31))</f>
        <v/>
      </c>
      <c r="D31" s="55" t="str">
        <f>IF($Q31="","",INDEX(TRANSACTIONS_MASTER!$E$5:$E$1204,$Q31))</f>
        <v/>
      </c>
      <c r="E31" s="55" t="str">
        <f>IF($Q31="","",INDEX(TRANSACTIONS_MASTER!$G$5:$G$1204,$Q31)&amp;"")</f>
        <v/>
      </c>
      <c r="F31" s="29" t="str">
        <f>IF($Q31="","",INDEX(TRANSACTIONS_MASTER!$I$5:$I$1204,$Q31))</f>
        <v/>
      </c>
      <c r="G31" s="55" t="str">
        <f>IF($Q31="","",INDEX(TRANSACTIONS_MASTER!$K$5:$K$1204,$Q31))</f>
        <v/>
      </c>
      <c r="H31" s="25" t="str">
        <f>IF($Q31="","",INDEX(TRANSACTIONS_MASTER!$L$5:$L$1204,$Q31))</f>
        <v/>
      </c>
      <c r="I31" s="56" t="str">
        <f>IF($Q31="","",INDEX(TRANSACTIONS_MASTER!$N$5:$N$1204,$Q31))</f>
        <v/>
      </c>
      <c r="J31" s="25" t="str">
        <f>IF($Q31="","",INDEX(TRANSACTIONS_MASTER!$O$5:$O$1204,$Q31))</f>
        <v/>
      </c>
      <c r="K31" s="26" t="str">
        <f>IF($Q31="","",INDEX(TRANSACTIONS_MASTER!$Q$5:$Q$1204,$Q31))</f>
        <v/>
      </c>
      <c r="L31" s="25" t="str">
        <f>IF($Q31="","",INDEX(TRANSACTIONS_MASTER!$P$5:$P$1204,$Q31))</f>
        <v/>
      </c>
      <c r="M31" s="25" t="str">
        <f>IF($Q31="","",INDEX(TRANSACTIONS_MASTER!$AA$5:$AA$1204,$Q31))</f>
        <v/>
      </c>
      <c r="N31" s="25" t="str">
        <f>IF($Q31="","",INDEX(TRANSACTIONS_MASTER!$R$5:$R$1204,$Q31))</f>
        <v/>
      </c>
      <c r="O31" s="28" t="str">
        <f>IF($Q31="","",INDEX(TRANSACTIONS_MASTER!$AB$5:$AB$1204,$Q31))</f>
        <v/>
      </c>
      <c r="P31" s="55" t="str">
        <f>IF($Q31="","",INDEX(TRANSACTIONS_MASTER!$Z$5:$Z$1204,$Q31)&amp;"")</f>
        <v/>
      </c>
      <c r="Q31" s="67" t="str">
        <f>IFERROR(MATCH($C$2&amp;"|"&amp;24,TRANSACTIONS_MASTER!$AE$5:$AE$1204,0),"")</f>
        <v/>
      </c>
      <c r="S31" s="67" t="str">
        <f>IFERROR(MATCH(24,CASHBACK_RULES!$S$5:$S$304,0),"")</f>
        <v/>
      </c>
      <c r="T31" s="55" t="str">
        <f>IF($S31="","",INDEX(CASHBACK_RULES!$B$5:$B$304,$S31))</f>
        <v/>
      </c>
      <c r="U31" s="55" t="str">
        <f>IF($S31="","",INDEX(CASHBACK_RULES!$C$5:$C$304,$S31)&amp;" "&amp;INDEX(CASHBACK_RULES!$D$5:$D$304,$S31))</f>
        <v/>
      </c>
      <c r="V31" s="55" t="str">
        <f>IF($S31="","",INDEX(CASHBACK_RULES!$E$5:$E$304,$S31)&amp;"")</f>
        <v/>
      </c>
      <c r="W31" s="55" t="str">
        <f>IF($S31="","",INDEX(CASHBACK_RULES!$F$5:$F$304,$S31)&amp;"")</f>
        <v/>
      </c>
      <c r="X31" s="26" t="str">
        <f>IF($S31="","",SUMIFS(TRANSACTIONS_MASTER!$Q$5:$Q$1204,TRANSACTIONS_MASTER!$D$5:$D$1204,$T31,TRANSACTIONS_MASTER!$Z$5:$Z$1204,$V31,TRANSACTIONS_MASTER!$C$5:$C$1204,$C$2))</f>
        <v/>
      </c>
      <c r="Y31" s="25" t="str">
        <f>IF($S31="","",IF(ISNUMBER(INDEX(CASHBACK_RULES!$J$5:$J$304,$S31)),INDEX(CASHBACK_RULES!$J$5:$J$304,$S31),"∞"))</f>
        <v/>
      </c>
      <c r="Z31" s="25" t="str">
        <f>IF($S31="","",IF(ISNUMBER($Y31),MAX(0,$Y31-$X31),"∞"))</f>
        <v/>
      </c>
      <c r="AA31" s="27" t="str">
        <f>IF($S31="","",IF(ISNUMBER($Y31),IF($Y31=0,0,$X31/$Y31),""))</f>
        <v/>
      </c>
    </row>
    <row r="32" ht="20" customHeight="1">
      <c r="A32" s="81" t="str">
        <f>IF($Q32="","",25)</f>
        <v/>
      </c>
      <c r="B32" s="57" t="str">
        <f>IF($Q32="","",INDEX(TRANSACTIONS_MASTER!$B$5:$B$1204,$Q32))</f>
        <v/>
      </c>
      <c r="C32" s="55" t="str">
        <f>IF($Q32="","",INDEX(TRANSACTIONS_MASTER!$F$5:$F$1204,$Q32))</f>
        <v/>
      </c>
      <c r="D32" s="55" t="str">
        <f>IF($Q32="","",INDEX(TRANSACTIONS_MASTER!$E$5:$E$1204,$Q32))</f>
        <v/>
      </c>
      <c r="E32" s="55" t="str">
        <f>IF($Q32="","",INDEX(TRANSACTIONS_MASTER!$G$5:$G$1204,$Q32)&amp;"")</f>
        <v/>
      </c>
      <c r="F32" s="29" t="str">
        <f>IF($Q32="","",INDEX(TRANSACTIONS_MASTER!$I$5:$I$1204,$Q32))</f>
        <v/>
      </c>
      <c r="G32" s="55" t="str">
        <f>IF($Q32="","",INDEX(TRANSACTIONS_MASTER!$K$5:$K$1204,$Q32))</f>
        <v/>
      </c>
      <c r="H32" s="25" t="str">
        <f>IF($Q32="","",INDEX(TRANSACTIONS_MASTER!$L$5:$L$1204,$Q32))</f>
        <v/>
      </c>
      <c r="I32" s="56" t="str">
        <f>IF($Q32="","",INDEX(TRANSACTIONS_MASTER!$N$5:$N$1204,$Q32))</f>
        <v/>
      </c>
      <c r="J32" s="25" t="str">
        <f>IF($Q32="","",INDEX(TRANSACTIONS_MASTER!$O$5:$O$1204,$Q32))</f>
        <v/>
      </c>
      <c r="K32" s="26" t="str">
        <f>IF($Q32="","",INDEX(TRANSACTIONS_MASTER!$Q$5:$Q$1204,$Q32))</f>
        <v/>
      </c>
      <c r="L32" s="25" t="str">
        <f>IF($Q32="","",INDEX(TRANSACTIONS_MASTER!$P$5:$P$1204,$Q32))</f>
        <v/>
      </c>
      <c r="M32" s="25" t="str">
        <f>IF($Q32="","",INDEX(TRANSACTIONS_MASTER!$AA$5:$AA$1204,$Q32))</f>
        <v/>
      </c>
      <c r="N32" s="25" t="str">
        <f>IF($Q32="","",INDEX(TRANSACTIONS_MASTER!$R$5:$R$1204,$Q32))</f>
        <v/>
      </c>
      <c r="O32" s="28" t="str">
        <f>IF($Q32="","",INDEX(TRANSACTIONS_MASTER!$AB$5:$AB$1204,$Q32))</f>
        <v/>
      </c>
      <c r="P32" s="55" t="str">
        <f>IF($Q32="","",INDEX(TRANSACTIONS_MASTER!$Z$5:$Z$1204,$Q32)&amp;"")</f>
        <v/>
      </c>
      <c r="Q32" s="67" t="str">
        <f>IFERROR(MATCH($C$2&amp;"|"&amp;25,TRANSACTIONS_MASTER!$AE$5:$AE$1204,0),"")</f>
        <v/>
      </c>
      <c r="S32" s="67" t="str">
        <f>IFERROR(MATCH(25,CASHBACK_RULES!$S$5:$S$304,0),"")</f>
        <v/>
      </c>
      <c r="T32" s="55" t="str">
        <f>IF($S32="","",INDEX(CASHBACK_RULES!$B$5:$B$304,$S32))</f>
        <v/>
      </c>
      <c r="U32" s="55" t="str">
        <f>IF($S32="","",INDEX(CASHBACK_RULES!$C$5:$C$304,$S32)&amp;" "&amp;INDEX(CASHBACK_RULES!$D$5:$D$304,$S32))</f>
        <v/>
      </c>
      <c r="V32" s="55" t="str">
        <f>IF($S32="","",INDEX(CASHBACK_RULES!$E$5:$E$304,$S32)&amp;"")</f>
        <v/>
      </c>
      <c r="W32" s="55" t="str">
        <f>IF($S32="","",INDEX(CASHBACK_RULES!$F$5:$F$304,$S32)&amp;"")</f>
        <v/>
      </c>
      <c r="X32" s="26" t="str">
        <f>IF($S32="","",SUMIFS(TRANSACTIONS_MASTER!$Q$5:$Q$1204,TRANSACTIONS_MASTER!$D$5:$D$1204,$T32,TRANSACTIONS_MASTER!$Z$5:$Z$1204,$V32,TRANSACTIONS_MASTER!$C$5:$C$1204,$C$2))</f>
        <v/>
      </c>
      <c r="Y32" s="25" t="str">
        <f>IF($S32="","",IF(ISNUMBER(INDEX(CASHBACK_RULES!$J$5:$J$304,$S32)),INDEX(CASHBACK_RULES!$J$5:$J$304,$S32),"∞"))</f>
        <v/>
      </c>
      <c r="Z32" s="25" t="str">
        <f>IF($S32="","",IF(ISNUMBER($Y32),MAX(0,$Y32-$X32),"∞"))</f>
        <v/>
      </c>
      <c r="AA32" s="27" t="str">
        <f>IF($S32="","",IF(ISNUMBER($Y32),IF($Y32=0,0,$X32/$Y32),""))</f>
        <v/>
      </c>
    </row>
    <row r="33" ht="20" customHeight="1">
      <c r="A33" s="81" t="str">
        <f>IF($Q33="","",26)</f>
        <v/>
      </c>
      <c r="B33" s="57" t="str">
        <f>IF($Q33="","",INDEX(TRANSACTIONS_MASTER!$B$5:$B$1204,$Q33))</f>
        <v/>
      </c>
      <c r="C33" s="55" t="str">
        <f>IF($Q33="","",INDEX(TRANSACTIONS_MASTER!$F$5:$F$1204,$Q33))</f>
        <v/>
      </c>
      <c r="D33" s="55" t="str">
        <f>IF($Q33="","",INDEX(TRANSACTIONS_MASTER!$E$5:$E$1204,$Q33))</f>
        <v/>
      </c>
      <c r="E33" s="55" t="str">
        <f>IF($Q33="","",INDEX(TRANSACTIONS_MASTER!$G$5:$G$1204,$Q33)&amp;"")</f>
        <v/>
      </c>
      <c r="F33" s="29" t="str">
        <f>IF($Q33="","",INDEX(TRANSACTIONS_MASTER!$I$5:$I$1204,$Q33))</f>
        <v/>
      </c>
      <c r="G33" s="55" t="str">
        <f>IF($Q33="","",INDEX(TRANSACTIONS_MASTER!$K$5:$K$1204,$Q33))</f>
        <v/>
      </c>
      <c r="H33" s="25" t="str">
        <f>IF($Q33="","",INDEX(TRANSACTIONS_MASTER!$L$5:$L$1204,$Q33))</f>
        <v/>
      </c>
      <c r="I33" s="56" t="str">
        <f>IF($Q33="","",INDEX(TRANSACTIONS_MASTER!$N$5:$N$1204,$Q33))</f>
        <v/>
      </c>
      <c r="J33" s="25" t="str">
        <f>IF($Q33="","",INDEX(TRANSACTIONS_MASTER!$O$5:$O$1204,$Q33))</f>
        <v/>
      </c>
      <c r="K33" s="26" t="str">
        <f>IF($Q33="","",INDEX(TRANSACTIONS_MASTER!$Q$5:$Q$1204,$Q33))</f>
        <v/>
      </c>
      <c r="L33" s="25" t="str">
        <f>IF($Q33="","",INDEX(TRANSACTIONS_MASTER!$P$5:$P$1204,$Q33))</f>
        <v/>
      </c>
      <c r="M33" s="25" t="str">
        <f>IF($Q33="","",INDEX(TRANSACTIONS_MASTER!$AA$5:$AA$1204,$Q33))</f>
        <v/>
      </c>
      <c r="N33" s="25" t="str">
        <f>IF($Q33="","",INDEX(TRANSACTIONS_MASTER!$R$5:$R$1204,$Q33))</f>
        <v/>
      </c>
      <c r="O33" s="28" t="str">
        <f>IF($Q33="","",INDEX(TRANSACTIONS_MASTER!$AB$5:$AB$1204,$Q33))</f>
        <v/>
      </c>
      <c r="P33" s="55" t="str">
        <f>IF($Q33="","",INDEX(TRANSACTIONS_MASTER!$Z$5:$Z$1204,$Q33)&amp;"")</f>
        <v/>
      </c>
      <c r="Q33" s="67" t="str">
        <f>IFERROR(MATCH($C$2&amp;"|"&amp;26,TRANSACTIONS_MASTER!$AE$5:$AE$1204,0),"")</f>
        <v/>
      </c>
      <c r="S33" s="67" t="str">
        <f>IFERROR(MATCH(26,CASHBACK_RULES!$S$5:$S$304,0),"")</f>
        <v/>
      </c>
      <c r="T33" s="55" t="str">
        <f>IF($S33="","",INDEX(CASHBACK_RULES!$B$5:$B$304,$S33))</f>
        <v/>
      </c>
      <c r="U33" s="55" t="str">
        <f>IF($S33="","",INDEX(CASHBACK_RULES!$C$5:$C$304,$S33)&amp;" "&amp;INDEX(CASHBACK_RULES!$D$5:$D$304,$S33))</f>
        <v/>
      </c>
      <c r="V33" s="55" t="str">
        <f>IF($S33="","",INDEX(CASHBACK_RULES!$E$5:$E$304,$S33)&amp;"")</f>
        <v/>
      </c>
      <c r="W33" s="55" t="str">
        <f>IF($S33="","",INDEX(CASHBACK_RULES!$F$5:$F$304,$S33)&amp;"")</f>
        <v/>
      </c>
      <c r="X33" s="26" t="str">
        <f>IF($S33="","",SUMIFS(TRANSACTIONS_MASTER!$Q$5:$Q$1204,TRANSACTIONS_MASTER!$D$5:$D$1204,$T33,TRANSACTIONS_MASTER!$Z$5:$Z$1204,$V33,TRANSACTIONS_MASTER!$C$5:$C$1204,$C$2))</f>
        <v/>
      </c>
      <c r="Y33" s="25" t="str">
        <f>IF($S33="","",IF(ISNUMBER(INDEX(CASHBACK_RULES!$J$5:$J$304,$S33)),INDEX(CASHBACK_RULES!$J$5:$J$304,$S33),"∞"))</f>
        <v/>
      </c>
      <c r="Z33" s="25" t="str">
        <f>IF($S33="","",IF(ISNUMBER($Y33),MAX(0,$Y33-$X33),"∞"))</f>
        <v/>
      </c>
      <c r="AA33" s="27" t="str">
        <f>IF($S33="","",IF(ISNUMBER($Y33),IF($Y33=0,0,$X33/$Y33),""))</f>
        <v/>
      </c>
    </row>
    <row r="34" ht="20" customHeight="1">
      <c r="A34" s="81" t="str">
        <f>IF($Q34="","",27)</f>
        <v/>
      </c>
      <c r="B34" s="57" t="str">
        <f>IF($Q34="","",INDEX(TRANSACTIONS_MASTER!$B$5:$B$1204,$Q34))</f>
        <v/>
      </c>
      <c r="C34" s="55" t="str">
        <f>IF($Q34="","",INDEX(TRANSACTIONS_MASTER!$F$5:$F$1204,$Q34))</f>
        <v/>
      </c>
      <c r="D34" s="55" t="str">
        <f>IF($Q34="","",INDEX(TRANSACTIONS_MASTER!$E$5:$E$1204,$Q34))</f>
        <v/>
      </c>
      <c r="E34" s="55" t="str">
        <f>IF($Q34="","",INDEX(TRANSACTIONS_MASTER!$G$5:$G$1204,$Q34)&amp;"")</f>
        <v/>
      </c>
      <c r="F34" s="29" t="str">
        <f>IF($Q34="","",INDEX(TRANSACTIONS_MASTER!$I$5:$I$1204,$Q34))</f>
        <v/>
      </c>
      <c r="G34" s="55" t="str">
        <f>IF($Q34="","",INDEX(TRANSACTIONS_MASTER!$K$5:$K$1204,$Q34))</f>
        <v/>
      </c>
      <c r="H34" s="25" t="str">
        <f>IF($Q34="","",INDEX(TRANSACTIONS_MASTER!$L$5:$L$1204,$Q34))</f>
        <v/>
      </c>
      <c r="I34" s="56" t="str">
        <f>IF($Q34="","",INDEX(TRANSACTIONS_MASTER!$N$5:$N$1204,$Q34))</f>
        <v/>
      </c>
      <c r="J34" s="25" t="str">
        <f>IF($Q34="","",INDEX(TRANSACTIONS_MASTER!$O$5:$O$1204,$Q34))</f>
        <v/>
      </c>
      <c r="K34" s="26" t="str">
        <f>IF($Q34="","",INDEX(TRANSACTIONS_MASTER!$Q$5:$Q$1204,$Q34))</f>
        <v/>
      </c>
      <c r="L34" s="25" t="str">
        <f>IF($Q34="","",INDEX(TRANSACTIONS_MASTER!$P$5:$P$1204,$Q34))</f>
        <v/>
      </c>
      <c r="M34" s="25" t="str">
        <f>IF($Q34="","",INDEX(TRANSACTIONS_MASTER!$AA$5:$AA$1204,$Q34))</f>
        <v/>
      </c>
      <c r="N34" s="25" t="str">
        <f>IF($Q34="","",INDEX(TRANSACTIONS_MASTER!$R$5:$R$1204,$Q34))</f>
        <v/>
      </c>
      <c r="O34" s="28" t="str">
        <f>IF($Q34="","",INDEX(TRANSACTIONS_MASTER!$AB$5:$AB$1204,$Q34))</f>
        <v/>
      </c>
      <c r="P34" s="55" t="str">
        <f>IF($Q34="","",INDEX(TRANSACTIONS_MASTER!$Z$5:$Z$1204,$Q34)&amp;"")</f>
        <v/>
      </c>
      <c r="Q34" s="67" t="str">
        <f>IFERROR(MATCH($C$2&amp;"|"&amp;27,TRANSACTIONS_MASTER!$AE$5:$AE$1204,0),"")</f>
        <v/>
      </c>
      <c r="S34" s="67" t="str">
        <f>IFERROR(MATCH(27,CASHBACK_RULES!$S$5:$S$304,0),"")</f>
        <v/>
      </c>
      <c r="T34" s="55" t="str">
        <f>IF($S34="","",INDEX(CASHBACK_RULES!$B$5:$B$304,$S34))</f>
        <v/>
      </c>
      <c r="U34" s="55" t="str">
        <f>IF($S34="","",INDEX(CASHBACK_RULES!$C$5:$C$304,$S34)&amp;" "&amp;INDEX(CASHBACK_RULES!$D$5:$D$304,$S34))</f>
        <v/>
      </c>
      <c r="V34" s="55" t="str">
        <f>IF($S34="","",INDEX(CASHBACK_RULES!$E$5:$E$304,$S34)&amp;"")</f>
        <v/>
      </c>
      <c r="W34" s="55" t="str">
        <f>IF($S34="","",INDEX(CASHBACK_RULES!$F$5:$F$304,$S34)&amp;"")</f>
        <v/>
      </c>
      <c r="X34" s="26" t="str">
        <f>IF($S34="","",SUMIFS(TRANSACTIONS_MASTER!$Q$5:$Q$1204,TRANSACTIONS_MASTER!$D$5:$D$1204,$T34,TRANSACTIONS_MASTER!$Z$5:$Z$1204,$V34,TRANSACTIONS_MASTER!$C$5:$C$1204,$C$2))</f>
        <v/>
      </c>
      <c r="Y34" s="25" t="str">
        <f>IF($S34="","",IF(ISNUMBER(INDEX(CASHBACK_RULES!$J$5:$J$304,$S34)),INDEX(CASHBACK_RULES!$J$5:$J$304,$S34),"∞"))</f>
        <v/>
      </c>
      <c r="Z34" s="25" t="str">
        <f>IF($S34="","",IF(ISNUMBER($Y34),MAX(0,$Y34-$X34),"∞"))</f>
        <v/>
      </c>
      <c r="AA34" s="27" t="str">
        <f>IF($S34="","",IF(ISNUMBER($Y34),IF($Y34=0,0,$X34/$Y34),""))</f>
        <v/>
      </c>
    </row>
    <row r="35" ht="20" customHeight="1">
      <c r="A35" s="81" t="str">
        <f>IF($Q35="","",28)</f>
        <v/>
      </c>
      <c r="B35" s="57" t="str">
        <f>IF($Q35="","",INDEX(TRANSACTIONS_MASTER!$B$5:$B$1204,$Q35))</f>
        <v/>
      </c>
      <c r="C35" s="55" t="str">
        <f>IF($Q35="","",INDEX(TRANSACTIONS_MASTER!$F$5:$F$1204,$Q35))</f>
        <v/>
      </c>
      <c r="D35" s="55" t="str">
        <f>IF($Q35="","",INDEX(TRANSACTIONS_MASTER!$E$5:$E$1204,$Q35))</f>
        <v/>
      </c>
      <c r="E35" s="55" t="str">
        <f>IF($Q35="","",INDEX(TRANSACTIONS_MASTER!$G$5:$G$1204,$Q35)&amp;"")</f>
        <v/>
      </c>
      <c r="F35" s="29" t="str">
        <f>IF($Q35="","",INDEX(TRANSACTIONS_MASTER!$I$5:$I$1204,$Q35))</f>
        <v/>
      </c>
      <c r="G35" s="55" t="str">
        <f>IF($Q35="","",INDEX(TRANSACTIONS_MASTER!$K$5:$K$1204,$Q35))</f>
        <v/>
      </c>
      <c r="H35" s="25" t="str">
        <f>IF($Q35="","",INDEX(TRANSACTIONS_MASTER!$L$5:$L$1204,$Q35))</f>
        <v/>
      </c>
      <c r="I35" s="56" t="str">
        <f>IF($Q35="","",INDEX(TRANSACTIONS_MASTER!$N$5:$N$1204,$Q35))</f>
        <v/>
      </c>
      <c r="J35" s="25" t="str">
        <f>IF($Q35="","",INDEX(TRANSACTIONS_MASTER!$O$5:$O$1204,$Q35))</f>
        <v/>
      </c>
      <c r="K35" s="26" t="str">
        <f>IF($Q35="","",INDEX(TRANSACTIONS_MASTER!$Q$5:$Q$1204,$Q35))</f>
        <v/>
      </c>
      <c r="L35" s="25" t="str">
        <f>IF($Q35="","",INDEX(TRANSACTIONS_MASTER!$P$5:$P$1204,$Q35))</f>
        <v/>
      </c>
      <c r="M35" s="25" t="str">
        <f>IF($Q35="","",INDEX(TRANSACTIONS_MASTER!$AA$5:$AA$1204,$Q35))</f>
        <v/>
      </c>
      <c r="N35" s="25" t="str">
        <f>IF($Q35="","",INDEX(TRANSACTIONS_MASTER!$R$5:$R$1204,$Q35))</f>
        <v/>
      </c>
      <c r="O35" s="28" t="str">
        <f>IF($Q35="","",INDEX(TRANSACTIONS_MASTER!$AB$5:$AB$1204,$Q35))</f>
        <v/>
      </c>
      <c r="P35" s="55" t="str">
        <f>IF($Q35="","",INDEX(TRANSACTIONS_MASTER!$Z$5:$Z$1204,$Q35)&amp;"")</f>
        <v/>
      </c>
      <c r="Q35" s="67" t="str">
        <f>IFERROR(MATCH($C$2&amp;"|"&amp;28,TRANSACTIONS_MASTER!$AE$5:$AE$1204,0),"")</f>
        <v/>
      </c>
      <c r="S35" s="67" t="str">
        <f>IFERROR(MATCH(28,CASHBACK_RULES!$S$5:$S$304,0),"")</f>
        <v/>
      </c>
      <c r="T35" s="55" t="str">
        <f>IF($S35="","",INDEX(CASHBACK_RULES!$B$5:$B$304,$S35))</f>
        <v/>
      </c>
      <c r="U35" s="55" t="str">
        <f>IF($S35="","",INDEX(CASHBACK_RULES!$C$5:$C$304,$S35)&amp;" "&amp;INDEX(CASHBACK_RULES!$D$5:$D$304,$S35))</f>
        <v/>
      </c>
      <c r="V35" s="55" t="str">
        <f>IF($S35="","",INDEX(CASHBACK_RULES!$E$5:$E$304,$S35)&amp;"")</f>
        <v/>
      </c>
      <c r="W35" s="55" t="str">
        <f>IF($S35="","",INDEX(CASHBACK_RULES!$F$5:$F$304,$S35)&amp;"")</f>
        <v/>
      </c>
      <c r="X35" s="26" t="str">
        <f>IF($S35="","",SUMIFS(TRANSACTIONS_MASTER!$Q$5:$Q$1204,TRANSACTIONS_MASTER!$D$5:$D$1204,$T35,TRANSACTIONS_MASTER!$Z$5:$Z$1204,$V35,TRANSACTIONS_MASTER!$C$5:$C$1204,$C$2))</f>
        <v/>
      </c>
      <c r="Y35" s="25" t="str">
        <f>IF($S35="","",IF(ISNUMBER(INDEX(CASHBACK_RULES!$J$5:$J$304,$S35)),INDEX(CASHBACK_RULES!$J$5:$J$304,$S35),"∞"))</f>
        <v/>
      </c>
      <c r="Z35" s="25" t="str">
        <f>IF($S35="","",IF(ISNUMBER($Y35),MAX(0,$Y35-$X35),"∞"))</f>
        <v/>
      </c>
      <c r="AA35" s="27" t="str">
        <f>IF($S35="","",IF(ISNUMBER($Y35),IF($Y35=0,0,$X35/$Y35),""))</f>
        <v/>
      </c>
    </row>
    <row r="36" ht="20" customHeight="1">
      <c r="A36" s="81" t="str">
        <f>IF($Q36="","",29)</f>
        <v/>
      </c>
      <c r="B36" s="57" t="str">
        <f>IF($Q36="","",INDEX(TRANSACTIONS_MASTER!$B$5:$B$1204,$Q36))</f>
        <v/>
      </c>
      <c r="C36" s="55" t="str">
        <f>IF($Q36="","",INDEX(TRANSACTIONS_MASTER!$F$5:$F$1204,$Q36))</f>
        <v/>
      </c>
      <c r="D36" s="55" t="str">
        <f>IF($Q36="","",INDEX(TRANSACTIONS_MASTER!$E$5:$E$1204,$Q36))</f>
        <v/>
      </c>
      <c r="E36" s="55" t="str">
        <f>IF($Q36="","",INDEX(TRANSACTIONS_MASTER!$G$5:$G$1204,$Q36)&amp;"")</f>
        <v/>
      </c>
      <c r="F36" s="29" t="str">
        <f>IF($Q36="","",INDEX(TRANSACTIONS_MASTER!$I$5:$I$1204,$Q36))</f>
        <v/>
      </c>
      <c r="G36" s="55" t="str">
        <f>IF($Q36="","",INDEX(TRANSACTIONS_MASTER!$K$5:$K$1204,$Q36))</f>
        <v/>
      </c>
      <c r="H36" s="25" t="str">
        <f>IF($Q36="","",INDEX(TRANSACTIONS_MASTER!$L$5:$L$1204,$Q36))</f>
        <v/>
      </c>
      <c r="I36" s="56" t="str">
        <f>IF($Q36="","",INDEX(TRANSACTIONS_MASTER!$N$5:$N$1204,$Q36))</f>
        <v/>
      </c>
      <c r="J36" s="25" t="str">
        <f>IF($Q36="","",INDEX(TRANSACTIONS_MASTER!$O$5:$O$1204,$Q36))</f>
        <v/>
      </c>
      <c r="K36" s="26" t="str">
        <f>IF($Q36="","",INDEX(TRANSACTIONS_MASTER!$Q$5:$Q$1204,$Q36))</f>
        <v/>
      </c>
      <c r="L36" s="25" t="str">
        <f>IF($Q36="","",INDEX(TRANSACTIONS_MASTER!$P$5:$P$1204,$Q36))</f>
        <v/>
      </c>
      <c r="M36" s="25" t="str">
        <f>IF($Q36="","",INDEX(TRANSACTIONS_MASTER!$AA$5:$AA$1204,$Q36))</f>
        <v/>
      </c>
      <c r="N36" s="25" t="str">
        <f>IF($Q36="","",INDEX(TRANSACTIONS_MASTER!$R$5:$R$1204,$Q36))</f>
        <v/>
      </c>
      <c r="O36" s="28" t="str">
        <f>IF($Q36="","",INDEX(TRANSACTIONS_MASTER!$AB$5:$AB$1204,$Q36))</f>
        <v/>
      </c>
      <c r="P36" s="55" t="str">
        <f>IF($Q36="","",INDEX(TRANSACTIONS_MASTER!$Z$5:$Z$1204,$Q36)&amp;"")</f>
        <v/>
      </c>
      <c r="Q36" s="67" t="str">
        <f>IFERROR(MATCH($C$2&amp;"|"&amp;29,TRANSACTIONS_MASTER!$AE$5:$AE$1204,0),"")</f>
        <v/>
      </c>
      <c r="S36" s="67" t="str">
        <f>IFERROR(MATCH(29,CASHBACK_RULES!$S$5:$S$304,0),"")</f>
        <v/>
      </c>
      <c r="T36" s="55" t="str">
        <f>IF($S36="","",INDEX(CASHBACK_RULES!$B$5:$B$304,$S36))</f>
        <v/>
      </c>
      <c r="U36" s="55" t="str">
        <f>IF($S36="","",INDEX(CASHBACK_RULES!$C$5:$C$304,$S36)&amp;" "&amp;INDEX(CASHBACK_RULES!$D$5:$D$304,$S36))</f>
        <v/>
      </c>
      <c r="V36" s="55" t="str">
        <f>IF($S36="","",INDEX(CASHBACK_RULES!$E$5:$E$304,$S36)&amp;"")</f>
        <v/>
      </c>
      <c r="W36" s="55" t="str">
        <f>IF($S36="","",INDEX(CASHBACK_RULES!$F$5:$F$304,$S36)&amp;"")</f>
        <v/>
      </c>
      <c r="X36" s="26" t="str">
        <f>IF($S36="","",SUMIFS(TRANSACTIONS_MASTER!$Q$5:$Q$1204,TRANSACTIONS_MASTER!$D$5:$D$1204,$T36,TRANSACTIONS_MASTER!$Z$5:$Z$1204,$V36,TRANSACTIONS_MASTER!$C$5:$C$1204,$C$2))</f>
        <v/>
      </c>
      <c r="Y36" s="25" t="str">
        <f>IF($S36="","",IF(ISNUMBER(INDEX(CASHBACK_RULES!$J$5:$J$304,$S36)),INDEX(CASHBACK_RULES!$J$5:$J$304,$S36),"∞"))</f>
        <v/>
      </c>
      <c r="Z36" s="25" t="str">
        <f>IF($S36="","",IF(ISNUMBER($Y36),MAX(0,$Y36-$X36),"∞"))</f>
        <v/>
      </c>
      <c r="AA36" s="27" t="str">
        <f>IF($S36="","",IF(ISNUMBER($Y36),IF($Y36=0,0,$X36/$Y36),""))</f>
        <v/>
      </c>
    </row>
    <row r="37" ht="20" customHeight="1">
      <c r="A37" s="81" t="str">
        <f>IF($Q37="","",30)</f>
        <v/>
      </c>
      <c r="B37" s="57" t="str">
        <f>IF($Q37="","",INDEX(TRANSACTIONS_MASTER!$B$5:$B$1204,$Q37))</f>
        <v/>
      </c>
      <c r="C37" s="55" t="str">
        <f>IF($Q37="","",INDEX(TRANSACTIONS_MASTER!$F$5:$F$1204,$Q37))</f>
        <v/>
      </c>
      <c r="D37" s="55" t="str">
        <f>IF($Q37="","",INDEX(TRANSACTIONS_MASTER!$E$5:$E$1204,$Q37))</f>
        <v/>
      </c>
      <c r="E37" s="55" t="str">
        <f>IF($Q37="","",INDEX(TRANSACTIONS_MASTER!$G$5:$G$1204,$Q37)&amp;"")</f>
        <v/>
      </c>
      <c r="F37" s="29" t="str">
        <f>IF($Q37="","",INDEX(TRANSACTIONS_MASTER!$I$5:$I$1204,$Q37))</f>
        <v/>
      </c>
      <c r="G37" s="55" t="str">
        <f>IF($Q37="","",INDEX(TRANSACTIONS_MASTER!$K$5:$K$1204,$Q37))</f>
        <v/>
      </c>
      <c r="H37" s="25" t="str">
        <f>IF($Q37="","",INDEX(TRANSACTIONS_MASTER!$L$5:$L$1204,$Q37))</f>
        <v/>
      </c>
      <c r="I37" s="56" t="str">
        <f>IF($Q37="","",INDEX(TRANSACTIONS_MASTER!$N$5:$N$1204,$Q37))</f>
        <v/>
      </c>
      <c r="J37" s="25" t="str">
        <f>IF($Q37="","",INDEX(TRANSACTIONS_MASTER!$O$5:$O$1204,$Q37))</f>
        <v/>
      </c>
      <c r="K37" s="26" t="str">
        <f>IF($Q37="","",INDEX(TRANSACTIONS_MASTER!$Q$5:$Q$1204,$Q37))</f>
        <v/>
      </c>
      <c r="L37" s="25" t="str">
        <f>IF($Q37="","",INDEX(TRANSACTIONS_MASTER!$P$5:$P$1204,$Q37))</f>
        <v/>
      </c>
      <c r="M37" s="25" t="str">
        <f>IF($Q37="","",INDEX(TRANSACTIONS_MASTER!$AA$5:$AA$1204,$Q37))</f>
        <v/>
      </c>
      <c r="N37" s="25" t="str">
        <f>IF($Q37="","",INDEX(TRANSACTIONS_MASTER!$R$5:$R$1204,$Q37))</f>
        <v/>
      </c>
      <c r="O37" s="28" t="str">
        <f>IF($Q37="","",INDEX(TRANSACTIONS_MASTER!$AB$5:$AB$1204,$Q37))</f>
        <v/>
      </c>
      <c r="P37" s="55" t="str">
        <f>IF($Q37="","",INDEX(TRANSACTIONS_MASTER!$Z$5:$Z$1204,$Q37)&amp;"")</f>
        <v/>
      </c>
      <c r="Q37" s="67" t="str">
        <f>IFERROR(MATCH($C$2&amp;"|"&amp;30,TRANSACTIONS_MASTER!$AE$5:$AE$1204,0),"")</f>
        <v/>
      </c>
      <c r="S37" s="67" t="str">
        <f>IFERROR(MATCH(30,CASHBACK_RULES!$S$5:$S$304,0),"")</f>
        <v/>
      </c>
      <c r="T37" s="55" t="str">
        <f>IF($S37="","",INDEX(CASHBACK_RULES!$B$5:$B$304,$S37))</f>
        <v/>
      </c>
      <c r="U37" s="55" t="str">
        <f>IF($S37="","",INDEX(CASHBACK_RULES!$C$5:$C$304,$S37)&amp;" "&amp;INDEX(CASHBACK_RULES!$D$5:$D$304,$S37))</f>
        <v/>
      </c>
      <c r="V37" s="55" t="str">
        <f>IF($S37="","",INDEX(CASHBACK_RULES!$E$5:$E$304,$S37)&amp;"")</f>
        <v/>
      </c>
      <c r="W37" s="55" t="str">
        <f>IF($S37="","",INDEX(CASHBACK_RULES!$F$5:$F$304,$S37)&amp;"")</f>
        <v/>
      </c>
      <c r="X37" s="26" t="str">
        <f>IF($S37="","",SUMIFS(TRANSACTIONS_MASTER!$Q$5:$Q$1204,TRANSACTIONS_MASTER!$D$5:$D$1204,$T37,TRANSACTIONS_MASTER!$Z$5:$Z$1204,$V37,TRANSACTIONS_MASTER!$C$5:$C$1204,$C$2))</f>
        <v/>
      </c>
      <c r="Y37" s="25" t="str">
        <f>IF($S37="","",IF(ISNUMBER(INDEX(CASHBACK_RULES!$J$5:$J$304,$S37)),INDEX(CASHBACK_RULES!$J$5:$J$304,$S37),"∞"))</f>
        <v/>
      </c>
      <c r="Z37" s="25" t="str">
        <f>IF($S37="","",IF(ISNUMBER($Y37),MAX(0,$Y37-$X37),"∞"))</f>
        <v/>
      </c>
      <c r="AA37" s="27" t="str">
        <f>IF($S37="","",IF(ISNUMBER($Y37),IF($Y37=0,0,$X37/$Y37),""))</f>
        <v/>
      </c>
    </row>
    <row r="38" ht="20" customHeight="1">
      <c r="A38" s="81" t="str">
        <f>IF($Q38="","",31)</f>
        <v/>
      </c>
      <c r="B38" s="57" t="str">
        <f>IF($Q38="","",INDEX(TRANSACTIONS_MASTER!$B$5:$B$1204,$Q38))</f>
        <v/>
      </c>
      <c r="C38" s="55" t="str">
        <f>IF($Q38="","",INDEX(TRANSACTIONS_MASTER!$F$5:$F$1204,$Q38))</f>
        <v/>
      </c>
      <c r="D38" s="55" t="str">
        <f>IF($Q38="","",INDEX(TRANSACTIONS_MASTER!$E$5:$E$1204,$Q38))</f>
        <v/>
      </c>
      <c r="E38" s="55" t="str">
        <f>IF($Q38="","",INDEX(TRANSACTIONS_MASTER!$G$5:$G$1204,$Q38)&amp;"")</f>
        <v/>
      </c>
      <c r="F38" s="29" t="str">
        <f>IF($Q38="","",INDEX(TRANSACTIONS_MASTER!$I$5:$I$1204,$Q38))</f>
        <v/>
      </c>
      <c r="G38" s="55" t="str">
        <f>IF($Q38="","",INDEX(TRANSACTIONS_MASTER!$K$5:$K$1204,$Q38))</f>
        <v/>
      </c>
      <c r="H38" s="25" t="str">
        <f>IF($Q38="","",INDEX(TRANSACTIONS_MASTER!$L$5:$L$1204,$Q38))</f>
        <v/>
      </c>
      <c r="I38" s="56" t="str">
        <f>IF($Q38="","",INDEX(TRANSACTIONS_MASTER!$N$5:$N$1204,$Q38))</f>
        <v/>
      </c>
      <c r="J38" s="25" t="str">
        <f>IF($Q38="","",INDEX(TRANSACTIONS_MASTER!$O$5:$O$1204,$Q38))</f>
        <v/>
      </c>
      <c r="K38" s="26" t="str">
        <f>IF($Q38="","",INDEX(TRANSACTIONS_MASTER!$Q$5:$Q$1204,$Q38))</f>
        <v/>
      </c>
      <c r="L38" s="25" t="str">
        <f>IF($Q38="","",INDEX(TRANSACTIONS_MASTER!$P$5:$P$1204,$Q38))</f>
        <v/>
      </c>
      <c r="M38" s="25" t="str">
        <f>IF($Q38="","",INDEX(TRANSACTIONS_MASTER!$AA$5:$AA$1204,$Q38))</f>
        <v/>
      </c>
      <c r="N38" s="25" t="str">
        <f>IF($Q38="","",INDEX(TRANSACTIONS_MASTER!$R$5:$R$1204,$Q38))</f>
        <v/>
      </c>
      <c r="O38" s="28" t="str">
        <f>IF($Q38="","",INDEX(TRANSACTIONS_MASTER!$AB$5:$AB$1204,$Q38))</f>
        <v/>
      </c>
      <c r="P38" s="55" t="str">
        <f>IF($Q38="","",INDEX(TRANSACTIONS_MASTER!$Z$5:$Z$1204,$Q38)&amp;"")</f>
        <v/>
      </c>
      <c r="Q38" s="67" t="str">
        <f>IFERROR(MATCH($C$2&amp;"|"&amp;31,TRANSACTIONS_MASTER!$AE$5:$AE$1204,0),"")</f>
        <v/>
      </c>
      <c r="S38" s="67" t="str">
        <f>IFERROR(MATCH(31,CASHBACK_RULES!$S$5:$S$304,0),"")</f>
        <v/>
      </c>
      <c r="T38" s="55" t="str">
        <f>IF($S38="","",INDEX(CASHBACK_RULES!$B$5:$B$304,$S38))</f>
        <v/>
      </c>
      <c r="U38" s="55" t="str">
        <f>IF($S38="","",INDEX(CASHBACK_RULES!$C$5:$C$304,$S38)&amp;" "&amp;INDEX(CASHBACK_RULES!$D$5:$D$304,$S38))</f>
        <v/>
      </c>
      <c r="V38" s="55" t="str">
        <f>IF($S38="","",INDEX(CASHBACK_RULES!$E$5:$E$304,$S38)&amp;"")</f>
        <v/>
      </c>
      <c r="W38" s="55" t="str">
        <f>IF($S38="","",INDEX(CASHBACK_RULES!$F$5:$F$304,$S38)&amp;"")</f>
        <v/>
      </c>
      <c r="X38" s="26" t="str">
        <f>IF($S38="","",SUMIFS(TRANSACTIONS_MASTER!$Q$5:$Q$1204,TRANSACTIONS_MASTER!$D$5:$D$1204,$T38,TRANSACTIONS_MASTER!$Z$5:$Z$1204,$V38,TRANSACTIONS_MASTER!$C$5:$C$1204,$C$2))</f>
        <v/>
      </c>
      <c r="Y38" s="25" t="str">
        <f>IF($S38="","",IF(ISNUMBER(INDEX(CASHBACK_RULES!$J$5:$J$304,$S38)),INDEX(CASHBACK_RULES!$J$5:$J$304,$S38),"∞"))</f>
        <v/>
      </c>
      <c r="Z38" s="25" t="str">
        <f>IF($S38="","",IF(ISNUMBER($Y38),MAX(0,$Y38-$X38),"∞"))</f>
        <v/>
      </c>
      <c r="AA38" s="27" t="str">
        <f>IF($S38="","",IF(ISNUMBER($Y38),IF($Y38=0,0,$X38/$Y38),""))</f>
        <v/>
      </c>
    </row>
    <row r="39" ht="20" customHeight="1">
      <c r="A39" s="81" t="str">
        <f>IF($Q39="","",32)</f>
        <v/>
      </c>
      <c r="B39" s="57" t="str">
        <f>IF($Q39="","",INDEX(TRANSACTIONS_MASTER!$B$5:$B$1204,$Q39))</f>
        <v/>
      </c>
      <c r="C39" s="55" t="str">
        <f>IF($Q39="","",INDEX(TRANSACTIONS_MASTER!$F$5:$F$1204,$Q39))</f>
        <v/>
      </c>
      <c r="D39" s="55" t="str">
        <f>IF($Q39="","",INDEX(TRANSACTIONS_MASTER!$E$5:$E$1204,$Q39))</f>
        <v/>
      </c>
      <c r="E39" s="55" t="str">
        <f>IF($Q39="","",INDEX(TRANSACTIONS_MASTER!$G$5:$G$1204,$Q39)&amp;"")</f>
        <v/>
      </c>
      <c r="F39" s="29" t="str">
        <f>IF($Q39="","",INDEX(TRANSACTIONS_MASTER!$I$5:$I$1204,$Q39))</f>
        <v/>
      </c>
      <c r="G39" s="55" t="str">
        <f>IF($Q39="","",INDEX(TRANSACTIONS_MASTER!$K$5:$K$1204,$Q39))</f>
        <v/>
      </c>
      <c r="H39" s="25" t="str">
        <f>IF($Q39="","",INDEX(TRANSACTIONS_MASTER!$L$5:$L$1204,$Q39))</f>
        <v/>
      </c>
      <c r="I39" s="56" t="str">
        <f>IF($Q39="","",INDEX(TRANSACTIONS_MASTER!$N$5:$N$1204,$Q39))</f>
        <v/>
      </c>
      <c r="J39" s="25" t="str">
        <f>IF($Q39="","",INDEX(TRANSACTIONS_MASTER!$O$5:$O$1204,$Q39))</f>
        <v/>
      </c>
      <c r="K39" s="26" t="str">
        <f>IF($Q39="","",INDEX(TRANSACTIONS_MASTER!$Q$5:$Q$1204,$Q39))</f>
        <v/>
      </c>
      <c r="L39" s="25" t="str">
        <f>IF($Q39="","",INDEX(TRANSACTIONS_MASTER!$P$5:$P$1204,$Q39))</f>
        <v/>
      </c>
      <c r="M39" s="25" t="str">
        <f>IF($Q39="","",INDEX(TRANSACTIONS_MASTER!$AA$5:$AA$1204,$Q39))</f>
        <v/>
      </c>
      <c r="N39" s="25" t="str">
        <f>IF($Q39="","",INDEX(TRANSACTIONS_MASTER!$R$5:$R$1204,$Q39))</f>
        <v/>
      </c>
      <c r="O39" s="28" t="str">
        <f>IF($Q39="","",INDEX(TRANSACTIONS_MASTER!$AB$5:$AB$1204,$Q39))</f>
        <v/>
      </c>
      <c r="P39" s="55" t="str">
        <f>IF($Q39="","",INDEX(TRANSACTIONS_MASTER!$Z$5:$Z$1204,$Q39)&amp;"")</f>
        <v/>
      </c>
      <c r="Q39" s="67" t="str">
        <f>IFERROR(MATCH($C$2&amp;"|"&amp;32,TRANSACTIONS_MASTER!$AE$5:$AE$1204,0),"")</f>
        <v/>
      </c>
      <c r="S39" s="67" t="str">
        <f>IFERROR(MATCH(32,CASHBACK_RULES!$S$5:$S$304,0),"")</f>
        <v/>
      </c>
      <c r="T39" s="55" t="str">
        <f>IF($S39="","",INDEX(CASHBACK_RULES!$B$5:$B$304,$S39))</f>
        <v/>
      </c>
      <c r="U39" s="55" t="str">
        <f>IF($S39="","",INDEX(CASHBACK_RULES!$C$5:$C$304,$S39)&amp;" "&amp;INDEX(CASHBACK_RULES!$D$5:$D$304,$S39))</f>
        <v/>
      </c>
      <c r="V39" s="55" t="str">
        <f>IF($S39="","",INDEX(CASHBACK_RULES!$E$5:$E$304,$S39)&amp;"")</f>
        <v/>
      </c>
      <c r="W39" s="55" t="str">
        <f>IF($S39="","",INDEX(CASHBACK_RULES!$F$5:$F$304,$S39)&amp;"")</f>
        <v/>
      </c>
      <c r="X39" s="26" t="str">
        <f>IF($S39="","",SUMIFS(TRANSACTIONS_MASTER!$Q$5:$Q$1204,TRANSACTIONS_MASTER!$D$5:$D$1204,$T39,TRANSACTIONS_MASTER!$Z$5:$Z$1204,$V39,TRANSACTIONS_MASTER!$C$5:$C$1204,$C$2))</f>
        <v/>
      </c>
      <c r="Y39" s="25" t="str">
        <f>IF($S39="","",IF(ISNUMBER(INDEX(CASHBACK_RULES!$J$5:$J$304,$S39)),INDEX(CASHBACK_RULES!$J$5:$J$304,$S39),"∞"))</f>
        <v/>
      </c>
      <c r="Z39" s="25" t="str">
        <f>IF($S39="","",IF(ISNUMBER($Y39),MAX(0,$Y39-$X39),"∞"))</f>
        <v/>
      </c>
      <c r="AA39" s="27" t="str">
        <f>IF($S39="","",IF(ISNUMBER($Y39),IF($Y39=0,0,$X39/$Y39),""))</f>
        <v/>
      </c>
    </row>
    <row r="40" ht="20" customHeight="1">
      <c r="A40" s="81" t="str">
        <f>IF($Q40="","",33)</f>
        <v/>
      </c>
      <c r="B40" s="57" t="str">
        <f>IF($Q40="","",INDEX(TRANSACTIONS_MASTER!$B$5:$B$1204,$Q40))</f>
        <v/>
      </c>
      <c r="C40" s="55" t="str">
        <f>IF($Q40="","",INDEX(TRANSACTIONS_MASTER!$F$5:$F$1204,$Q40))</f>
        <v/>
      </c>
      <c r="D40" s="55" t="str">
        <f>IF($Q40="","",INDEX(TRANSACTIONS_MASTER!$E$5:$E$1204,$Q40))</f>
        <v/>
      </c>
      <c r="E40" s="55" t="str">
        <f>IF($Q40="","",INDEX(TRANSACTIONS_MASTER!$G$5:$G$1204,$Q40)&amp;"")</f>
        <v/>
      </c>
      <c r="F40" s="29" t="str">
        <f>IF($Q40="","",INDEX(TRANSACTIONS_MASTER!$I$5:$I$1204,$Q40))</f>
        <v/>
      </c>
      <c r="G40" s="55" t="str">
        <f>IF($Q40="","",INDEX(TRANSACTIONS_MASTER!$K$5:$K$1204,$Q40))</f>
        <v/>
      </c>
      <c r="H40" s="25" t="str">
        <f>IF($Q40="","",INDEX(TRANSACTIONS_MASTER!$L$5:$L$1204,$Q40))</f>
        <v/>
      </c>
      <c r="I40" s="56" t="str">
        <f>IF($Q40="","",INDEX(TRANSACTIONS_MASTER!$N$5:$N$1204,$Q40))</f>
        <v/>
      </c>
      <c r="J40" s="25" t="str">
        <f>IF($Q40="","",INDEX(TRANSACTIONS_MASTER!$O$5:$O$1204,$Q40))</f>
        <v/>
      </c>
      <c r="K40" s="26" t="str">
        <f>IF($Q40="","",INDEX(TRANSACTIONS_MASTER!$Q$5:$Q$1204,$Q40))</f>
        <v/>
      </c>
      <c r="L40" s="25" t="str">
        <f>IF($Q40="","",INDEX(TRANSACTIONS_MASTER!$P$5:$P$1204,$Q40))</f>
        <v/>
      </c>
      <c r="M40" s="25" t="str">
        <f>IF($Q40="","",INDEX(TRANSACTIONS_MASTER!$AA$5:$AA$1204,$Q40))</f>
        <v/>
      </c>
      <c r="N40" s="25" t="str">
        <f>IF($Q40="","",INDEX(TRANSACTIONS_MASTER!$R$5:$R$1204,$Q40))</f>
        <v/>
      </c>
      <c r="O40" s="28" t="str">
        <f>IF($Q40="","",INDEX(TRANSACTIONS_MASTER!$AB$5:$AB$1204,$Q40))</f>
        <v/>
      </c>
      <c r="P40" s="55" t="str">
        <f>IF($Q40="","",INDEX(TRANSACTIONS_MASTER!$Z$5:$Z$1204,$Q40)&amp;"")</f>
        <v/>
      </c>
      <c r="Q40" s="67" t="str">
        <f>IFERROR(MATCH($C$2&amp;"|"&amp;33,TRANSACTIONS_MASTER!$AE$5:$AE$1204,0),"")</f>
        <v/>
      </c>
      <c r="S40" s="67" t="str">
        <f>IFERROR(MATCH(33,CASHBACK_RULES!$S$5:$S$304,0),"")</f>
        <v/>
      </c>
      <c r="T40" s="55" t="str">
        <f>IF($S40="","",INDEX(CASHBACK_RULES!$B$5:$B$304,$S40))</f>
        <v/>
      </c>
      <c r="U40" s="55" t="str">
        <f>IF($S40="","",INDEX(CASHBACK_RULES!$C$5:$C$304,$S40)&amp;" "&amp;INDEX(CASHBACK_RULES!$D$5:$D$304,$S40))</f>
        <v/>
      </c>
      <c r="V40" s="55" t="str">
        <f>IF($S40="","",INDEX(CASHBACK_RULES!$E$5:$E$304,$S40)&amp;"")</f>
        <v/>
      </c>
      <c r="W40" s="55" t="str">
        <f>IF($S40="","",INDEX(CASHBACK_RULES!$F$5:$F$304,$S40)&amp;"")</f>
        <v/>
      </c>
      <c r="X40" s="26" t="str">
        <f>IF($S40="","",SUMIFS(TRANSACTIONS_MASTER!$Q$5:$Q$1204,TRANSACTIONS_MASTER!$D$5:$D$1204,$T40,TRANSACTIONS_MASTER!$Z$5:$Z$1204,$V40,TRANSACTIONS_MASTER!$C$5:$C$1204,$C$2))</f>
        <v/>
      </c>
      <c r="Y40" s="25" t="str">
        <f>IF($S40="","",IF(ISNUMBER(INDEX(CASHBACK_RULES!$J$5:$J$304,$S40)),INDEX(CASHBACK_RULES!$J$5:$J$304,$S40),"∞"))</f>
        <v/>
      </c>
      <c r="Z40" s="25" t="str">
        <f>IF($S40="","",IF(ISNUMBER($Y40),MAX(0,$Y40-$X40),"∞"))</f>
        <v/>
      </c>
      <c r="AA40" s="27" t="str">
        <f>IF($S40="","",IF(ISNUMBER($Y40),IF($Y40=0,0,$X40/$Y40),""))</f>
        <v/>
      </c>
    </row>
    <row r="41" ht="20" customHeight="1">
      <c r="A41" s="81" t="str">
        <f>IF($Q41="","",34)</f>
        <v/>
      </c>
      <c r="B41" s="57" t="str">
        <f>IF($Q41="","",INDEX(TRANSACTIONS_MASTER!$B$5:$B$1204,$Q41))</f>
        <v/>
      </c>
      <c r="C41" s="55" t="str">
        <f>IF($Q41="","",INDEX(TRANSACTIONS_MASTER!$F$5:$F$1204,$Q41))</f>
        <v/>
      </c>
      <c r="D41" s="55" t="str">
        <f>IF($Q41="","",INDEX(TRANSACTIONS_MASTER!$E$5:$E$1204,$Q41))</f>
        <v/>
      </c>
      <c r="E41" s="55" t="str">
        <f>IF($Q41="","",INDEX(TRANSACTIONS_MASTER!$G$5:$G$1204,$Q41)&amp;"")</f>
        <v/>
      </c>
      <c r="F41" s="29" t="str">
        <f>IF($Q41="","",INDEX(TRANSACTIONS_MASTER!$I$5:$I$1204,$Q41))</f>
        <v/>
      </c>
      <c r="G41" s="55" t="str">
        <f>IF($Q41="","",INDEX(TRANSACTIONS_MASTER!$K$5:$K$1204,$Q41))</f>
        <v/>
      </c>
      <c r="H41" s="25" t="str">
        <f>IF($Q41="","",INDEX(TRANSACTIONS_MASTER!$L$5:$L$1204,$Q41))</f>
        <v/>
      </c>
      <c r="I41" s="56" t="str">
        <f>IF($Q41="","",INDEX(TRANSACTIONS_MASTER!$N$5:$N$1204,$Q41))</f>
        <v/>
      </c>
      <c r="J41" s="25" t="str">
        <f>IF($Q41="","",INDEX(TRANSACTIONS_MASTER!$O$5:$O$1204,$Q41))</f>
        <v/>
      </c>
      <c r="K41" s="26" t="str">
        <f>IF($Q41="","",INDEX(TRANSACTIONS_MASTER!$Q$5:$Q$1204,$Q41))</f>
        <v/>
      </c>
      <c r="L41" s="25" t="str">
        <f>IF($Q41="","",INDEX(TRANSACTIONS_MASTER!$P$5:$P$1204,$Q41))</f>
        <v/>
      </c>
      <c r="M41" s="25" t="str">
        <f>IF($Q41="","",INDEX(TRANSACTIONS_MASTER!$AA$5:$AA$1204,$Q41))</f>
        <v/>
      </c>
      <c r="N41" s="25" t="str">
        <f>IF($Q41="","",INDEX(TRANSACTIONS_MASTER!$R$5:$R$1204,$Q41))</f>
        <v/>
      </c>
      <c r="O41" s="28" t="str">
        <f>IF($Q41="","",INDEX(TRANSACTIONS_MASTER!$AB$5:$AB$1204,$Q41))</f>
        <v/>
      </c>
      <c r="P41" s="55" t="str">
        <f>IF($Q41="","",INDEX(TRANSACTIONS_MASTER!$Z$5:$Z$1204,$Q41)&amp;"")</f>
        <v/>
      </c>
      <c r="Q41" s="67" t="str">
        <f>IFERROR(MATCH($C$2&amp;"|"&amp;34,TRANSACTIONS_MASTER!$AE$5:$AE$1204,0),"")</f>
        <v/>
      </c>
      <c r="S41" s="67" t="str">
        <f>IFERROR(MATCH(34,CASHBACK_RULES!$S$5:$S$304,0),"")</f>
        <v/>
      </c>
      <c r="T41" s="55" t="str">
        <f>IF($S41="","",INDEX(CASHBACK_RULES!$B$5:$B$304,$S41))</f>
        <v/>
      </c>
      <c r="U41" s="55" t="str">
        <f>IF($S41="","",INDEX(CASHBACK_RULES!$C$5:$C$304,$S41)&amp;" "&amp;INDEX(CASHBACK_RULES!$D$5:$D$304,$S41))</f>
        <v/>
      </c>
      <c r="V41" s="55" t="str">
        <f>IF($S41="","",INDEX(CASHBACK_RULES!$E$5:$E$304,$S41)&amp;"")</f>
        <v/>
      </c>
      <c r="W41" s="55" t="str">
        <f>IF($S41="","",INDEX(CASHBACK_RULES!$F$5:$F$304,$S41)&amp;"")</f>
        <v/>
      </c>
      <c r="X41" s="26" t="str">
        <f>IF($S41="","",SUMIFS(TRANSACTIONS_MASTER!$Q$5:$Q$1204,TRANSACTIONS_MASTER!$D$5:$D$1204,$T41,TRANSACTIONS_MASTER!$Z$5:$Z$1204,$V41,TRANSACTIONS_MASTER!$C$5:$C$1204,$C$2))</f>
        <v/>
      </c>
      <c r="Y41" s="25" t="str">
        <f>IF($S41="","",IF(ISNUMBER(INDEX(CASHBACK_RULES!$J$5:$J$304,$S41)),INDEX(CASHBACK_RULES!$J$5:$J$304,$S41),"∞"))</f>
        <v/>
      </c>
      <c r="Z41" s="25" t="str">
        <f>IF($S41="","",IF(ISNUMBER($Y41),MAX(0,$Y41-$X41),"∞"))</f>
        <v/>
      </c>
      <c r="AA41" s="27" t="str">
        <f>IF($S41="","",IF(ISNUMBER($Y41),IF($Y41=0,0,$X41/$Y41),""))</f>
        <v/>
      </c>
    </row>
    <row r="42" ht="20" customHeight="1">
      <c r="A42" s="81" t="str">
        <f>IF($Q42="","",35)</f>
        <v/>
      </c>
      <c r="B42" s="57" t="str">
        <f>IF($Q42="","",INDEX(TRANSACTIONS_MASTER!$B$5:$B$1204,$Q42))</f>
        <v/>
      </c>
      <c r="C42" s="55" t="str">
        <f>IF($Q42="","",INDEX(TRANSACTIONS_MASTER!$F$5:$F$1204,$Q42))</f>
        <v/>
      </c>
      <c r="D42" s="55" t="str">
        <f>IF($Q42="","",INDEX(TRANSACTIONS_MASTER!$E$5:$E$1204,$Q42))</f>
        <v/>
      </c>
      <c r="E42" s="55" t="str">
        <f>IF($Q42="","",INDEX(TRANSACTIONS_MASTER!$G$5:$G$1204,$Q42)&amp;"")</f>
        <v/>
      </c>
      <c r="F42" s="29" t="str">
        <f>IF($Q42="","",INDEX(TRANSACTIONS_MASTER!$I$5:$I$1204,$Q42))</f>
        <v/>
      </c>
      <c r="G42" s="55" t="str">
        <f>IF($Q42="","",INDEX(TRANSACTIONS_MASTER!$K$5:$K$1204,$Q42))</f>
        <v/>
      </c>
      <c r="H42" s="25" t="str">
        <f>IF($Q42="","",INDEX(TRANSACTIONS_MASTER!$L$5:$L$1204,$Q42))</f>
        <v/>
      </c>
      <c r="I42" s="56" t="str">
        <f>IF($Q42="","",INDEX(TRANSACTIONS_MASTER!$N$5:$N$1204,$Q42))</f>
        <v/>
      </c>
      <c r="J42" s="25" t="str">
        <f>IF($Q42="","",INDEX(TRANSACTIONS_MASTER!$O$5:$O$1204,$Q42))</f>
        <v/>
      </c>
      <c r="K42" s="26" t="str">
        <f>IF($Q42="","",INDEX(TRANSACTIONS_MASTER!$Q$5:$Q$1204,$Q42))</f>
        <v/>
      </c>
      <c r="L42" s="25" t="str">
        <f>IF($Q42="","",INDEX(TRANSACTIONS_MASTER!$P$5:$P$1204,$Q42))</f>
        <v/>
      </c>
      <c r="M42" s="25" t="str">
        <f>IF($Q42="","",INDEX(TRANSACTIONS_MASTER!$AA$5:$AA$1204,$Q42))</f>
        <v/>
      </c>
      <c r="N42" s="25" t="str">
        <f>IF($Q42="","",INDEX(TRANSACTIONS_MASTER!$R$5:$R$1204,$Q42))</f>
        <v/>
      </c>
      <c r="O42" s="28" t="str">
        <f>IF($Q42="","",INDEX(TRANSACTIONS_MASTER!$AB$5:$AB$1204,$Q42))</f>
        <v/>
      </c>
      <c r="P42" s="55" t="str">
        <f>IF($Q42="","",INDEX(TRANSACTIONS_MASTER!$Z$5:$Z$1204,$Q42)&amp;"")</f>
        <v/>
      </c>
      <c r="Q42" s="67" t="str">
        <f>IFERROR(MATCH($C$2&amp;"|"&amp;35,TRANSACTIONS_MASTER!$AE$5:$AE$1204,0),"")</f>
        <v/>
      </c>
      <c r="S42" s="67" t="str">
        <f>IFERROR(MATCH(35,CASHBACK_RULES!$S$5:$S$304,0),"")</f>
        <v/>
      </c>
      <c r="T42" s="55" t="str">
        <f>IF($S42="","",INDEX(CASHBACK_RULES!$B$5:$B$304,$S42))</f>
        <v/>
      </c>
      <c r="U42" s="55" t="str">
        <f>IF($S42="","",INDEX(CASHBACK_RULES!$C$5:$C$304,$S42)&amp;" "&amp;INDEX(CASHBACK_RULES!$D$5:$D$304,$S42))</f>
        <v/>
      </c>
      <c r="V42" s="55" t="str">
        <f>IF($S42="","",INDEX(CASHBACK_RULES!$E$5:$E$304,$S42)&amp;"")</f>
        <v/>
      </c>
      <c r="W42" s="55" t="str">
        <f>IF($S42="","",INDEX(CASHBACK_RULES!$F$5:$F$304,$S42)&amp;"")</f>
        <v/>
      </c>
      <c r="X42" s="26" t="str">
        <f>IF($S42="","",SUMIFS(TRANSACTIONS_MASTER!$Q$5:$Q$1204,TRANSACTIONS_MASTER!$D$5:$D$1204,$T42,TRANSACTIONS_MASTER!$Z$5:$Z$1204,$V42,TRANSACTIONS_MASTER!$C$5:$C$1204,$C$2))</f>
        <v/>
      </c>
      <c r="Y42" s="25" t="str">
        <f>IF($S42="","",IF(ISNUMBER(INDEX(CASHBACK_RULES!$J$5:$J$304,$S42)),INDEX(CASHBACK_RULES!$J$5:$J$304,$S42),"∞"))</f>
        <v/>
      </c>
      <c r="Z42" s="25" t="str">
        <f>IF($S42="","",IF(ISNUMBER($Y42),MAX(0,$Y42-$X42),"∞"))</f>
        <v/>
      </c>
      <c r="AA42" s="27" t="str">
        <f>IF($S42="","",IF(ISNUMBER($Y42),IF($Y42=0,0,$X42/$Y42),""))</f>
        <v/>
      </c>
    </row>
    <row r="43" ht="20" customHeight="1">
      <c r="A43" s="81" t="str">
        <f>IF($Q43="","",36)</f>
        <v/>
      </c>
      <c r="B43" s="57" t="str">
        <f>IF($Q43="","",INDEX(TRANSACTIONS_MASTER!$B$5:$B$1204,$Q43))</f>
        <v/>
      </c>
      <c r="C43" s="55" t="str">
        <f>IF($Q43="","",INDEX(TRANSACTIONS_MASTER!$F$5:$F$1204,$Q43))</f>
        <v/>
      </c>
      <c r="D43" s="55" t="str">
        <f>IF($Q43="","",INDEX(TRANSACTIONS_MASTER!$E$5:$E$1204,$Q43))</f>
        <v/>
      </c>
      <c r="E43" s="55" t="str">
        <f>IF($Q43="","",INDEX(TRANSACTIONS_MASTER!$G$5:$G$1204,$Q43)&amp;"")</f>
        <v/>
      </c>
      <c r="F43" s="29" t="str">
        <f>IF($Q43="","",INDEX(TRANSACTIONS_MASTER!$I$5:$I$1204,$Q43))</f>
        <v/>
      </c>
      <c r="G43" s="55" t="str">
        <f>IF($Q43="","",INDEX(TRANSACTIONS_MASTER!$K$5:$K$1204,$Q43))</f>
        <v/>
      </c>
      <c r="H43" s="25" t="str">
        <f>IF($Q43="","",INDEX(TRANSACTIONS_MASTER!$L$5:$L$1204,$Q43))</f>
        <v/>
      </c>
      <c r="I43" s="56" t="str">
        <f>IF($Q43="","",INDEX(TRANSACTIONS_MASTER!$N$5:$N$1204,$Q43))</f>
        <v/>
      </c>
      <c r="J43" s="25" t="str">
        <f>IF($Q43="","",INDEX(TRANSACTIONS_MASTER!$O$5:$O$1204,$Q43))</f>
        <v/>
      </c>
      <c r="K43" s="26" t="str">
        <f>IF($Q43="","",INDEX(TRANSACTIONS_MASTER!$Q$5:$Q$1204,$Q43))</f>
        <v/>
      </c>
      <c r="L43" s="25" t="str">
        <f>IF($Q43="","",INDEX(TRANSACTIONS_MASTER!$P$5:$P$1204,$Q43))</f>
        <v/>
      </c>
      <c r="M43" s="25" t="str">
        <f>IF($Q43="","",INDEX(TRANSACTIONS_MASTER!$AA$5:$AA$1204,$Q43))</f>
        <v/>
      </c>
      <c r="N43" s="25" t="str">
        <f>IF($Q43="","",INDEX(TRANSACTIONS_MASTER!$R$5:$R$1204,$Q43))</f>
        <v/>
      </c>
      <c r="O43" s="28" t="str">
        <f>IF($Q43="","",INDEX(TRANSACTIONS_MASTER!$AB$5:$AB$1204,$Q43))</f>
        <v/>
      </c>
      <c r="P43" s="55" t="str">
        <f>IF($Q43="","",INDEX(TRANSACTIONS_MASTER!$Z$5:$Z$1204,$Q43)&amp;"")</f>
        <v/>
      </c>
      <c r="Q43" s="67" t="str">
        <f>IFERROR(MATCH($C$2&amp;"|"&amp;36,TRANSACTIONS_MASTER!$AE$5:$AE$1204,0),"")</f>
        <v/>
      </c>
      <c r="S43" s="67" t="str">
        <f>IFERROR(MATCH(36,CASHBACK_RULES!$S$5:$S$304,0),"")</f>
        <v/>
      </c>
      <c r="T43" s="55" t="str">
        <f>IF($S43="","",INDEX(CASHBACK_RULES!$B$5:$B$304,$S43))</f>
        <v/>
      </c>
      <c r="U43" s="55" t="str">
        <f>IF($S43="","",INDEX(CASHBACK_RULES!$C$5:$C$304,$S43)&amp;" "&amp;INDEX(CASHBACK_RULES!$D$5:$D$304,$S43))</f>
        <v/>
      </c>
      <c r="V43" s="55" t="str">
        <f>IF($S43="","",INDEX(CASHBACK_RULES!$E$5:$E$304,$S43)&amp;"")</f>
        <v/>
      </c>
      <c r="W43" s="55" t="str">
        <f>IF($S43="","",INDEX(CASHBACK_RULES!$F$5:$F$304,$S43)&amp;"")</f>
        <v/>
      </c>
      <c r="X43" s="26" t="str">
        <f>IF($S43="","",SUMIFS(TRANSACTIONS_MASTER!$Q$5:$Q$1204,TRANSACTIONS_MASTER!$D$5:$D$1204,$T43,TRANSACTIONS_MASTER!$Z$5:$Z$1204,$V43,TRANSACTIONS_MASTER!$C$5:$C$1204,$C$2))</f>
        <v/>
      </c>
      <c r="Y43" s="25" t="str">
        <f>IF($S43="","",IF(ISNUMBER(INDEX(CASHBACK_RULES!$J$5:$J$304,$S43)),INDEX(CASHBACK_RULES!$J$5:$J$304,$S43),"∞"))</f>
        <v/>
      </c>
      <c r="Z43" s="25" t="str">
        <f>IF($S43="","",IF(ISNUMBER($Y43),MAX(0,$Y43-$X43),"∞"))</f>
        <v/>
      </c>
      <c r="AA43" s="27" t="str">
        <f>IF($S43="","",IF(ISNUMBER($Y43),IF($Y43=0,0,$X43/$Y43),""))</f>
        <v/>
      </c>
    </row>
    <row r="44" ht="20" customHeight="1">
      <c r="A44" s="81" t="str">
        <f>IF($Q44="","",37)</f>
        <v/>
      </c>
      <c r="B44" s="57" t="str">
        <f>IF($Q44="","",INDEX(TRANSACTIONS_MASTER!$B$5:$B$1204,$Q44))</f>
        <v/>
      </c>
      <c r="C44" s="55" t="str">
        <f>IF($Q44="","",INDEX(TRANSACTIONS_MASTER!$F$5:$F$1204,$Q44))</f>
        <v/>
      </c>
      <c r="D44" s="55" t="str">
        <f>IF($Q44="","",INDEX(TRANSACTIONS_MASTER!$E$5:$E$1204,$Q44))</f>
        <v/>
      </c>
      <c r="E44" s="55" t="str">
        <f>IF($Q44="","",INDEX(TRANSACTIONS_MASTER!$G$5:$G$1204,$Q44)&amp;"")</f>
        <v/>
      </c>
      <c r="F44" s="29" t="str">
        <f>IF($Q44="","",INDEX(TRANSACTIONS_MASTER!$I$5:$I$1204,$Q44))</f>
        <v/>
      </c>
      <c r="G44" s="55" t="str">
        <f>IF($Q44="","",INDEX(TRANSACTIONS_MASTER!$K$5:$K$1204,$Q44))</f>
        <v/>
      </c>
      <c r="H44" s="25" t="str">
        <f>IF($Q44="","",INDEX(TRANSACTIONS_MASTER!$L$5:$L$1204,$Q44))</f>
        <v/>
      </c>
      <c r="I44" s="56" t="str">
        <f>IF($Q44="","",INDEX(TRANSACTIONS_MASTER!$N$5:$N$1204,$Q44))</f>
        <v/>
      </c>
      <c r="J44" s="25" t="str">
        <f>IF($Q44="","",INDEX(TRANSACTIONS_MASTER!$O$5:$O$1204,$Q44))</f>
        <v/>
      </c>
      <c r="K44" s="26" t="str">
        <f>IF($Q44="","",INDEX(TRANSACTIONS_MASTER!$Q$5:$Q$1204,$Q44))</f>
        <v/>
      </c>
      <c r="L44" s="25" t="str">
        <f>IF($Q44="","",INDEX(TRANSACTIONS_MASTER!$P$5:$P$1204,$Q44))</f>
        <v/>
      </c>
      <c r="M44" s="25" t="str">
        <f>IF($Q44="","",INDEX(TRANSACTIONS_MASTER!$AA$5:$AA$1204,$Q44))</f>
        <v/>
      </c>
      <c r="N44" s="25" t="str">
        <f>IF($Q44="","",INDEX(TRANSACTIONS_MASTER!$R$5:$R$1204,$Q44))</f>
        <v/>
      </c>
      <c r="O44" s="28" t="str">
        <f>IF($Q44="","",INDEX(TRANSACTIONS_MASTER!$AB$5:$AB$1204,$Q44))</f>
        <v/>
      </c>
      <c r="P44" s="55" t="str">
        <f>IF($Q44="","",INDEX(TRANSACTIONS_MASTER!$Z$5:$Z$1204,$Q44)&amp;"")</f>
        <v/>
      </c>
      <c r="Q44" s="67" t="str">
        <f>IFERROR(MATCH($C$2&amp;"|"&amp;37,TRANSACTIONS_MASTER!$AE$5:$AE$1204,0),"")</f>
        <v/>
      </c>
      <c r="S44" s="67" t="str">
        <f>IFERROR(MATCH(37,CASHBACK_RULES!$S$5:$S$304,0),"")</f>
        <v/>
      </c>
      <c r="T44" s="55" t="str">
        <f>IF($S44="","",INDEX(CASHBACK_RULES!$B$5:$B$304,$S44))</f>
        <v/>
      </c>
      <c r="U44" s="55" t="str">
        <f>IF($S44="","",INDEX(CASHBACK_RULES!$C$5:$C$304,$S44)&amp;" "&amp;INDEX(CASHBACK_RULES!$D$5:$D$304,$S44))</f>
        <v/>
      </c>
      <c r="V44" s="55" t="str">
        <f>IF($S44="","",INDEX(CASHBACK_RULES!$E$5:$E$304,$S44)&amp;"")</f>
        <v/>
      </c>
      <c r="W44" s="55" t="str">
        <f>IF($S44="","",INDEX(CASHBACK_RULES!$F$5:$F$304,$S44)&amp;"")</f>
        <v/>
      </c>
      <c r="X44" s="26" t="str">
        <f>IF($S44="","",SUMIFS(TRANSACTIONS_MASTER!$Q$5:$Q$1204,TRANSACTIONS_MASTER!$D$5:$D$1204,$T44,TRANSACTIONS_MASTER!$Z$5:$Z$1204,$V44,TRANSACTIONS_MASTER!$C$5:$C$1204,$C$2))</f>
        <v/>
      </c>
      <c r="Y44" s="25" t="str">
        <f>IF($S44="","",IF(ISNUMBER(INDEX(CASHBACK_RULES!$J$5:$J$304,$S44)),INDEX(CASHBACK_RULES!$J$5:$J$304,$S44),"∞"))</f>
        <v/>
      </c>
      <c r="Z44" s="25" t="str">
        <f>IF($S44="","",IF(ISNUMBER($Y44),MAX(0,$Y44-$X44),"∞"))</f>
        <v/>
      </c>
      <c r="AA44" s="27" t="str">
        <f>IF($S44="","",IF(ISNUMBER($Y44),IF($Y44=0,0,$X44/$Y44),""))</f>
        <v/>
      </c>
    </row>
    <row r="45" ht="20" customHeight="1">
      <c r="A45" s="81" t="str">
        <f>IF($Q45="","",38)</f>
        <v/>
      </c>
      <c r="B45" s="57" t="str">
        <f>IF($Q45="","",INDEX(TRANSACTIONS_MASTER!$B$5:$B$1204,$Q45))</f>
        <v/>
      </c>
      <c r="C45" s="55" t="str">
        <f>IF($Q45="","",INDEX(TRANSACTIONS_MASTER!$F$5:$F$1204,$Q45))</f>
        <v/>
      </c>
      <c r="D45" s="55" t="str">
        <f>IF($Q45="","",INDEX(TRANSACTIONS_MASTER!$E$5:$E$1204,$Q45))</f>
        <v/>
      </c>
      <c r="E45" s="55" t="str">
        <f>IF($Q45="","",INDEX(TRANSACTIONS_MASTER!$G$5:$G$1204,$Q45)&amp;"")</f>
        <v/>
      </c>
      <c r="F45" s="29" t="str">
        <f>IF($Q45="","",INDEX(TRANSACTIONS_MASTER!$I$5:$I$1204,$Q45))</f>
        <v/>
      </c>
      <c r="G45" s="55" t="str">
        <f>IF($Q45="","",INDEX(TRANSACTIONS_MASTER!$K$5:$K$1204,$Q45))</f>
        <v/>
      </c>
      <c r="H45" s="25" t="str">
        <f>IF($Q45="","",INDEX(TRANSACTIONS_MASTER!$L$5:$L$1204,$Q45))</f>
        <v/>
      </c>
      <c r="I45" s="56" t="str">
        <f>IF($Q45="","",INDEX(TRANSACTIONS_MASTER!$N$5:$N$1204,$Q45))</f>
        <v/>
      </c>
      <c r="J45" s="25" t="str">
        <f>IF($Q45="","",INDEX(TRANSACTIONS_MASTER!$O$5:$O$1204,$Q45))</f>
        <v/>
      </c>
      <c r="K45" s="26" t="str">
        <f>IF($Q45="","",INDEX(TRANSACTIONS_MASTER!$Q$5:$Q$1204,$Q45))</f>
        <v/>
      </c>
      <c r="L45" s="25" t="str">
        <f>IF($Q45="","",INDEX(TRANSACTIONS_MASTER!$P$5:$P$1204,$Q45))</f>
        <v/>
      </c>
      <c r="M45" s="25" t="str">
        <f>IF($Q45="","",INDEX(TRANSACTIONS_MASTER!$AA$5:$AA$1204,$Q45))</f>
        <v/>
      </c>
      <c r="N45" s="25" t="str">
        <f>IF($Q45="","",INDEX(TRANSACTIONS_MASTER!$R$5:$R$1204,$Q45))</f>
        <v/>
      </c>
      <c r="O45" s="28" t="str">
        <f>IF($Q45="","",INDEX(TRANSACTIONS_MASTER!$AB$5:$AB$1204,$Q45))</f>
        <v/>
      </c>
      <c r="P45" s="55" t="str">
        <f>IF($Q45="","",INDEX(TRANSACTIONS_MASTER!$Z$5:$Z$1204,$Q45)&amp;"")</f>
        <v/>
      </c>
      <c r="Q45" s="67" t="str">
        <f>IFERROR(MATCH($C$2&amp;"|"&amp;38,TRANSACTIONS_MASTER!$AE$5:$AE$1204,0),"")</f>
        <v/>
      </c>
      <c r="S45" s="67" t="str">
        <f>IFERROR(MATCH(38,CASHBACK_RULES!$S$5:$S$304,0),"")</f>
        <v/>
      </c>
      <c r="T45" s="55" t="str">
        <f>IF($S45="","",INDEX(CASHBACK_RULES!$B$5:$B$304,$S45))</f>
        <v/>
      </c>
      <c r="U45" s="55" t="str">
        <f>IF($S45="","",INDEX(CASHBACK_RULES!$C$5:$C$304,$S45)&amp;" "&amp;INDEX(CASHBACK_RULES!$D$5:$D$304,$S45))</f>
        <v/>
      </c>
      <c r="V45" s="55" t="str">
        <f>IF($S45="","",INDEX(CASHBACK_RULES!$E$5:$E$304,$S45)&amp;"")</f>
        <v/>
      </c>
      <c r="W45" s="55" t="str">
        <f>IF($S45="","",INDEX(CASHBACK_RULES!$F$5:$F$304,$S45)&amp;"")</f>
        <v/>
      </c>
      <c r="X45" s="26" t="str">
        <f>IF($S45="","",SUMIFS(TRANSACTIONS_MASTER!$Q$5:$Q$1204,TRANSACTIONS_MASTER!$D$5:$D$1204,$T45,TRANSACTIONS_MASTER!$Z$5:$Z$1204,$V45,TRANSACTIONS_MASTER!$C$5:$C$1204,$C$2))</f>
        <v/>
      </c>
      <c r="Y45" s="25" t="str">
        <f>IF($S45="","",IF(ISNUMBER(INDEX(CASHBACK_RULES!$J$5:$J$304,$S45)),INDEX(CASHBACK_RULES!$J$5:$J$304,$S45),"∞"))</f>
        <v/>
      </c>
      <c r="Z45" s="25" t="str">
        <f>IF($S45="","",IF(ISNUMBER($Y45),MAX(0,$Y45-$X45),"∞"))</f>
        <v/>
      </c>
      <c r="AA45" s="27" t="str">
        <f>IF($S45="","",IF(ISNUMBER($Y45),IF($Y45=0,0,$X45/$Y45),""))</f>
        <v/>
      </c>
    </row>
    <row r="46" ht="20" customHeight="1">
      <c r="A46" s="81" t="str">
        <f>IF($Q46="","",39)</f>
        <v/>
      </c>
      <c r="B46" s="57" t="str">
        <f>IF($Q46="","",INDEX(TRANSACTIONS_MASTER!$B$5:$B$1204,$Q46))</f>
        <v/>
      </c>
      <c r="C46" s="55" t="str">
        <f>IF($Q46="","",INDEX(TRANSACTIONS_MASTER!$F$5:$F$1204,$Q46))</f>
        <v/>
      </c>
      <c r="D46" s="55" t="str">
        <f>IF($Q46="","",INDEX(TRANSACTIONS_MASTER!$E$5:$E$1204,$Q46))</f>
        <v/>
      </c>
      <c r="E46" s="55" t="str">
        <f>IF($Q46="","",INDEX(TRANSACTIONS_MASTER!$G$5:$G$1204,$Q46)&amp;"")</f>
        <v/>
      </c>
      <c r="F46" s="29" t="str">
        <f>IF($Q46="","",INDEX(TRANSACTIONS_MASTER!$I$5:$I$1204,$Q46))</f>
        <v/>
      </c>
      <c r="G46" s="55" t="str">
        <f>IF($Q46="","",INDEX(TRANSACTIONS_MASTER!$K$5:$K$1204,$Q46))</f>
        <v/>
      </c>
      <c r="H46" s="25" t="str">
        <f>IF($Q46="","",INDEX(TRANSACTIONS_MASTER!$L$5:$L$1204,$Q46))</f>
        <v/>
      </c>
      <c r="I46" s="56" t="str">
        <f>IF($Q46="","",INDEX(TRANSACTIONS_MASTER!$N$5:$N$1204,$Q46))</f>
        <v/>
      </c>
      <c r="J46" s="25" t="str">
        <f>IF($Q46="","",INDEX(TRANSACTIONS_MASTER!$O$5:$O$1204,$Q46))</f>
        <v/>
      </c>
      <c r="K46" s="26" t="str">
        <f>IF($Q46="","",INDEX(TRANSACTIONS_MASTER!$Q$5:$Q$1204,$Q46))</f>
        <v/>
      </c>
      <c r="L46" s="25" t="str">
        <f>IF($Q46="","",INDEX(TRANSACTIONS_MASTER!$P$5:$P$1204,$Q46))</f>
        <v/>
      </c>
      <c r="M46" s="25" t="str">
        <f>IF($Q46="","",INDEX(TRANSACTIONS_MASTER!$AA$5:$AA$1204,$Q46))</f>
        <v/>
      </c>
      <c r="N46" s="25" t="str">
        <f>IF($Q46="","",INDEX(TRANSACTIONS_MASTER!$R$5:$R$1204,$Q46))</f>
        <v/>
      </c>
      <c r="O46" s="28" t="str">
        <f>IF($Q46="","",INDEX(TRANSACTIONS_MASTER!$AB$5:$AB$1204,$Q46))</f>
        <v/>
      </c>
      <c r="P46" s="55" t="str">
        <f>IF($Q46="","",INDEX(TRANSACTIONS_MASTER!$Z$5:$Z$1204,$Q46)&amp;"")</f>
        <v/>
      </c>
      <c r="Q46" s="67" t="str">
        <f>IFERROR(MATCH($C$2&amp;"|"&amp;39,TRANSACTIONS_MASTER!$AE$5:$AE$1204,0),"")</f>
        <v/>
      </c>
      <c r="S46" s="67" t="str">
        <f>IFERROR(MATCH(39,CASHBACK_RULES!$S$5:$S$304,0),"")</f>
        <v/>
      </c>
      <c r="T46" s="55" t="str">
        <f>IF($S46="","",INDEX(CASHBACK_RULES!$B$5:$B$304,$S46))</f>
        <v/>
      </c>
      <c r="U46" s="55" t="str">
        <f>IF($S46="","",INDEX(CASHBACK_RULES!$C$5:$C$304,$S46)&amp;" "&amp;INDEX(CASHBACK_RULES!$D$5:$D$304,$S46))</f>
        <v/>
      </c>
      <c r="V46" s="55" t="str">
        <f>IF($S46="","",INDEX(CASHBACK_RULES!$E$5:$E$304,$S46)&amp;"")</f>
        <v/>
      </c>
      <c r="W46" s="55" t="str">
        <f>IF($S46="","",INDEX(CASHBACK_RULES!$F$5:$F$304,$S46)&amp;"")</f>
        <v/>
      </c>
      <c r="X46" s="26" t="str">
        <f>IF($S46="","",SUMIFS(TRANSACTIONS_MASTER!$Q$5:$Q$1204,TRANSACTIONS_MASTER!$D$5:$D$1204,$T46,TRANSACTIONS_MASTER!$Z$5:$Z$1204,$V46,TRANSACTIONS_MASTER!$C$5:$C$1204,$C$2))</f>
        <v/>
      </c>
      <c r="Y46" s="25" t="str">
        <f>IF($S46="","",IF(ISNUMBER(INDEX(CASHBACK_RULES!$J$5:$J$304,$S46)),INDEX(CASHBACK_RULES!$J$5:$J$304,$S46),"∞"))</f>
        <v/>
      </c>
      <c r="Z46" s="25" t="str">
        <f>IF($S46="","",IF(ISNUMBER($Y46),MAX(0,$Y46-$X46),"∞"))</f>
        <v/>
      </c>
      <c r="AA46" s="27" t="str">
        <f>IF($S46="","",IF(ISNUMBER($Y46),IF($Y46=0,0,$X46/$Y46),""))</f>
        <v/>
      </c>
    </row>
    <row r="47" ht="20" customHeight="1">
      <c r="A47" s="81" t="str">
        <f>IF($Q47="","",40)</f>
        <v/>
      </c>
      <c r="B47" s="57" t="str">
        <f>IF($Q47="","",INDEX(TRANSACTIONS_MASTER!$B$5:$B$1204,$Q47))</f>
        <v/>
      </c>
      <c r="C47" s="55" t="str">
        <f>IF($Q47="","",INDEX(TRANSACTIONS_MASTER!$F$5:$F$1204,$Q47))</f>
        <v/>
      </c>
      <c r="D47" s="55" t="str">
        <f>IF($Q47="","",INDEX(TRANSACTIONS_MASTER!$E$5:$E$1204,$Q47))</f>
        <v/>
      </c>
      <c r="E47" s="55" t="str">
        <f>IF($Q47="","",INDEX(TRANSACTIONS_MASTER!$G$5:$G$1204,$Q47)&amp;"")</f>
        <v/>
      </c>
      <c r="F47" s="29" t="str">
        <f>IF($Q47="","",INDEX(TRANSACTIONS_MASTER!$I$5:$I$1204,$Q47))</f>
        <v/>
      </c>
      <c r="G47" s="55" t="str">
        <f>IF($Q47="","",INDEX(TRANSACTIONS_MASTER!$K$5:$K$1204,$Q47))</f>
        <v/>
      </c>
      <c r="H47" s="25" t="str">
        <f>IF($Q47="","",INDEX(TRANSACTIONS_MASTER!$L$5:$L$1204,$Q47))</f>
        <v/>
      </c>
      <c r="I47" s="56" t="str">
        <f>IF($Q47="","",INDEX(TRANSACTIONS_MASTER!$N$5:$N$1204,$Q47))</f>
        <v/>
      </c>
      <c r="J47" s="25" t="str">
        <f>IF($Q47="","",INDEX(TRANSACTIONS_MASTER!$O$5:$O$1204,$Q47))</f>
        <v/>
      </c>
      <c r="K47" s="26" t="str">
        <f>IF($Q47="","",INDEX(TRANSACTIONS_MASTER!$Q$5:$Q$1204,$Q47))</f>
        <v/>
      </c>
      <c r="L47" s="25" t="str">
        <f>IF($Q47="","",INDEX(TRANSACTIONS_MASTER!$P$5:$P$1204,$Q47))</f>
        <v/>
      </c>
      <c r="M47" s="25" t="str">
        <f>IF($Q47="","",INDEX(TRANSACTIONS_MASTER!$AA$5:$AA$1204,$Q47))</f>
        <v/>
      </c>
      <c r="N47" s="25" t="str">
        <f>IF($Q47="","",INDEX(TRANSACTIONS_MASTER!$R$5:$R$1204,$Q47))</f>
        <v/>
      </c>
      <c r="O47" s="28" t="str">
        <f>IF($Q47="","",INDEX(TRANSACTIONS_MASTER!$AB$5:$AB$1204,$Q47))</f>
        <v/>
      </c>
      <c r="P47" s="55" t="str">
        <f>IF($Q47="","",INDEX(TRANSACTIONS_MASTER!$Z$5:$Z$1204,$Q47)&amp;"")</f>
        <v/>
      </c>
      <c r="Q47" s="67" t="str">
        <f>IFERROR(MATCH($C$2&amp;"|"&amp;40,TRANSACTIONS_MASTER!$AE$5:$AE$1204,0),"")</f>
        <v/>
      </c>
      <c r="S47" s="67" t="str">
        <f>IFERROR(MATCH(40,CASHBACK_RULES!$S$5:$S$304,0),"")</f>
        <v/>
      </c>
      <c r="T47" s="55" t="str">
        <f>IF($S47="","",INDEX(CASHBACK_RULES!$B$5:$B$304,$S47))</f>
        <v/>
      </c>
      <c r="U47" s="55" t="str">
        <f>IF($S47="","",INDEX(CASHBACK_RULES!$C$5:$C$304,$S47)&amp;" "&amp;INDEX(CASHBACK_RULES!$D$5:$D$304,$S47))</f>
        <v/>
      </c>
      <c r="V47" s="55" t="str">
        <f>IF($S47="","",INDEX(CASHBACK_RULES!$E$5:$E$304,$S47)&amp;"")</f>
        <v/>
      </c>
      <c r="W47" s="55" t="str">
        <f>IF($S47="","",INDEX(CASHBACK_RULES!$F$5:$F$304,$S47)&amp;"")</f>
        <v/>
      </c>
      <c r="X47" s="26" t="str">
        <f>IF($S47="","",SUMIFS(TRANSACTIONS_MASTER!$Q$5:$Q$1204,TRANSACTIONS_MASTER!$D$5:$D$1204,$T47,TRANSACTIONS_MASTER!$Z$5:$Z$1204,$V47,TRANSACTIONS_MASTER!$C$5:$C$1204,$C$2))</f>
        <v/>
      </c>
      <c r="Y47" s="25" t="str">
        <f>IF($S47="","",IF(ISNUMBER(INDEX(CASHBACK_RULES!$J$5:$J$304,$S47)),INDEX(CASHBACK_RULES!$J$5:$J$304,$S47),"∞"))</f>
        <v/>
      </c>
      <c r="Z47" s="25" t="str">
        <f>IF($S47="","",IF(ISNUMBER($Y47),MAX(0,$Y47-$X47),"∞"))</f>
        <v/>
      </c>
      <c r="AA47" s="27" t="str">
        <f>IF($S47="","",IF(ISNUMBER($Y47),IF($Y47=0,0,$X47/$Y47),""))</f>
        <v/>
      </c>
    </row>
    <row r="48" ht="20" customHeight="1">
      <c r="A48" s="81" t="str">
        <f>IF($Q48="","",41)</f>
        <v/>
      </c>
      <c r="B48" s="57" t="str">
        <f>IF($Q48="","",INDEX(TRANSACTIONS_MASTER!$B$5:$B$1204,$Q48))</f>
        <v/>
      </c>
      <c r="C48" s="55" t="str">
        <f>IF($Q48="","",INDEX(TRANSACTIONS_MASTER!$F$5:$F$1204,$Q48))</f>
        <v/>
      </c>
      <c r="D48" s="55" t="str">
        <f>IF($Q48="","",INDEX(TRANSACTIONS_MASTER!$E$5:$E$1204,$Q48))</f>
        <v/>
      </c>
      <c r="E48" s="55" t="str">
        <f>IF($Q48="","",INDEX(TRANSACTIONS_MASTER!$G$5:$G$1204,$Q48)&amp;"")</f>
        <v/>
      </c>
      <c r="F48" s="29" t="str">
        <f>IF($Q48="","",INDEX(TRANSACTIONS_MASTER!$I$5:$I$1204,$Q48))</f>
        <v/>
      </c>
      <c r="G48" s="55" t="str">
        <f>IF($Q48="","",INDEX(TRANSACTIONS_MASTER!$K$5:$K$1204,$Q48))</f>
        <v/>
      </c>
      <c r="H48" s="25" t="str">
        <f>IF($Q48="","",INDEX(TRANSACTIONS_MASTER!$L$5:$L$1204,$Q48))</f>
        <v/>
      </c>
      <c r="I48" s="56" t="str">
        <f>IF($Q48="","",INDEX(TRANSACTIONS_MASTER!$N$5:$N$1204,$Q48))</f>
        <v/>
      </c>
      <c r="J48" s="25" t="str">
        <f>IF($Q48="","",INDEX(TRANSACTIONS_MASTER!$O$5:$O$1204,$Q48))</f>
        <v/>
      </c>
      <c r="K48" s="26" t="str">
        <f>IF($Q48="","",INDEX(TRANSACTIONS_MASTER!$Q$5:$Q$1204,$Q48))</f>
        <v/>
      </c>
      <c r="L48" s="25" t="str">
        <f>IF($Q48="","",INDEX(TRANSACTIONS_MASTER!$P$5:$P$1204,$Q48))</f>
        <v/>
      </c>
      <c r="M48" s="25" t="str">
        <f>IF($Q48="","",INDEX(TRANSACTIONS_MASTER!$AA$5:$AA$1204,$Q48))</f>
        <v/>
      </c>
      <c r="N48" s="25" t="str">
        <f>IF($Q48="","",INDEX(TRANSACTIONS_MASTER!$R$5:$R$1204,$Q48))</f>
        <v/>
      </c>
      <c r="O48" s="28" t="str">
        <f>IF($Q48="","",INDEX(TRANSACTIONS_MASTER!$AB$5:$AB$1204,$Q48))</f>
        <v/>
      </c>
      <c r="P48" s="55" t="str">
        <f>IF($Q48="","",INDEX(TRANSACTIONS_MASTER!$Z$5:$Z$1204,$Q48)&amp;"")</f>
        <v/>
      </c>
      <c r="Q48" s="67" t="str">
        <f>IFERROR(MATCH($C$2&amp;"|"&amp;41,TRANSACTIONS_MASTER!$AE$5:$AE$1204,0),"")</f>
        <v/>
      </c>
      <c r="S48" s="67" t="str">
        <f>IFERROR(MATCH(41,CASHBACK_RULES!$S$5:$S$304,0),"")</f>
        <v/>
      </c>
      <c r="T48" s="55" t="str">
        <f>IF($S48="","",INDEX(CASHBACK_RULES!$B$5:$B$304,$S48))</f>
        <v/>
      </c>
      <c r="U48" s="55" t="str">
        <f>IF($S48="","",INDEX(CASHBACK_RULES!$C$5:$C$304,$S48)&amp;" "&amp;INDEX(CASHBACK_RULES!$D$5:$D$304,$S48))</f>
        <v/>
      </c>
      <c r="V48" s="55" t="str">
        <f>IF($S48="","",INDEX(CASHBACK_RULES!$E$5:$E$304,$S48)&amp;"")</f>
        <v/>
      </c>
      <c r="W48" s="55" t="str">
        <f>IF($S48="","",INDEX(CASHBACK_RULES!$F$5:$F$304,$S48)&amp;"")</f>
        <v/>
      </c>
      <c r="X48" s="26" t="str">
        <f>IF($S48="","",SUMIFS(TRANSACTIONS_MASTER!$Q$5:$Q$1204,TRANSACTIONS_MASTER!$D$5:$D$1204,$T48,TRANSACTIONS_MASTER!$Z$5:$Z$1204,$V48,TRANSACTIONS_MASTER!$C$5:$C$1204,$C$2))</f>
        <v/>
      </c>
      <c r="Y48" s="25" t="str">
        <f>IF($S48="","",IF(ISNUMBER(INDEX(CASHBACK_RULES!$J$5:$J$304,$S48)),INDEX(CASHBACK_RULES!$J$5:$J$304,$S48),"∞"))</f>
        <v/>
      </c>
      <c r="Z48" s="25" t="str">
        <f>IF($S48="","",IF(ISNUMBER($Y48),MAX(0,$Y48-$X48),"∞"))</f>
        <v/>
      </c>
      <c r="AA48" s="27" t="str">
        <f>IF($S48="","",IF(ISNUMBER($Y48),IF($Y48=0,0,$X48/$Y48),""))</f>
        <v/>
      </c>
    </row>
    <row r="49" ht="20" customHeight="1">
      <c r="A49" s="81" t="str">
        <f>IF($Q49="","",42)</f>
        <v/>
      </c>
      <c r="B49" s="57" t="str">
        <f>IF($Q49="","",INDEX(TRANSACTIONS_MASTER!$B$5:$B$1204,$Q49))</f>
        <v/>
      </c>
      <c r="C49" s="55" t="str">
        <f>IF($Q49="","",INDEX(TRANSACTIONS_MASTER!$F$5:$F$1204,$Q49))</f>
        <v/>
      </c>
      <c r="D49" s="55" t="str">
        <f>IF($Q49="","",INDEX(TRANSACTIONS_MASTER!$E$5:$E$1204,$Q49))</f>
        <v/>
      </c>
      <c r="E49" s="55" t="str">
        <f>IF($Q49="","",INDEX(TRANSACTIONS_MASTER!$G$5:$G$1204,$Q49)&amp;"")</f>
        <v/>
      </c>
      <c r="F49" s="29" t="str">
        <f>IF($Q49="","",INDEX(TRANSACTIONS_MASTER!$I$5:$I$1204,$Q49))</f>
        <v/>
      </c>
      <c r="G49" s="55" t="str">
        <f>IF($Q49="","",INDEX(TRANSACTIONS_MASTER!$K$5:$K$1204,$Q49))</f>
        <v/>
      </c>
      <c r="H49" s="25" t="str">
        <f>IF($Q49="","",INDEX(TRANSACTIONS_MASTER!$L$5:$L$1204,$Q49))</f>
        <v/>
      </c>
      <c r="I49" s="56" t="str">
        <f>IF($Q49="","",INDEX(TRANSACTIONS_MASTER!$N$5:$N$1204,$Q49))</f>
        <v/>
      </c>
      <c r="J49" s="25" t="str">
        <f>IF($Q49="","",INDEX(TRANSACTIONS_MASTER!$O$5:$O$1204,$Q49))</f>
        <v/>
      </c>
      <c r="K49" s="26" t="str">
        <f>IF($Q49="","",INDEX(TRANSACTIONS_MASTER!$Q$5:$Q$1204,$Q49))</f>
        <v/>
      </c>
      <c r="L49" s="25" t="str">
        <f>IF($Q49="","",INDEX(TRANSACTIONS_MASTER!$P$5:$P$1204,$Q49))</f>
        <v/>
      </c>
      <c r="M49" s="25" t="str">
        <f>IF($Q49="","",INDEX(TRANSACTIONS_MASTER!$AA$5:$AA$1204,$Q49))</f>
        <v/>
      </c>
      <c r="N49" s="25" t="str">
        <f>IF($Q49="","",INDEX(TRANSACTIONS_MASTER!$R$5:$R$1204,$Q49))</f>
        <v/>
      </c>
      <c r="O49" s="28" t="str">
        <f>IF($Q49="","",INDEX(TRANSACTIONS_MASTER!$AB$5:$AB$1204,$Q49))</f>
        <v/>
      </c>
      <c r="P49" s="55" t="str">
        <f>IF($Q49="","",INDEX(TRANSACTIONS_MASTER!$Z$5:$Z$1204,$Q49)&amp;"")</f>
        <v/>
      </c>
      <c r="Q49" s="67" t="str">
        <f>IFERROR(MATCH($C$2&amp;"|"&amp;42,TRANSACTIONS_MASTER!$AE$5:$AE$1204,0),"")</f>
        <v/>
      </c>
      <c r="S49" s="67" t="str">
        <f>IFERROR(MATCH(42,CASHBACK_RULES!$S$5:$S$304,0),"")</f>
        <v/>
      </c>
      <c r="T49" s="55" t="str">
        <f>IF($S49="","",INDEX(CASHBACK_RULES!$B$5:$B$304,$S49))</f>
        <v/>
      </c>
      <c r="U49" s="55" t="str">
        <f>IF($S49="","",INDEX(CASHBACK_RULES!$C$5:$C$304,$S49)&amp;" "&amp;INDEX(CASHBACK_RULES!$D$5:$D$304,$S49))</f>
        <v/>
      </c>
      <c r="V49" s="55" t="str">
        <f>IF($S49="","",INDEX(CASHBACK_RULES!$E$5:$E$304,$S49)&amp;"")</f>
        <v/>
      </c>
      <c r="W49" s="55" t="str">
        <f>IF($S49="","",INDEX(CASHBACK_RULES!$F$5:$F$304,$S49)&amp;"")</f>
        <v/>
      </c>
      <c r="X49" s="26" t="str">
        <f>IF($S49="","",SUMIFS(TRANSACTIONS_MASTER!$Q$5:$Q$1204,TRANSACTIONS_MASTER!$D$5:$D$1204,$T49,TRANSACTIONS_MASTER!$Z$5:$Z$1204,$V49,TRANSACTIONS_MASTER!$C$5:$C$1204,$C$2))</f>
        <v/>
      </c>
      <c r="Y49" s="25" t="str">
        <f>IF($S49="","",IF(ISNUMBER(INDEX(CASHBACK_RULES!$J$5:$J$304,$S49)),INDEX(CASHBACK_RULES!$J$5:$J$304,$S49),"∞"))</f>
        <v/>
      </c>
      <c r="Z49" s="25" t="str">
        <f>IF($S49="","",IF(ISNUMBER($Y49),MAX(0,$Y49-$X49),"∞"))</f>
        <v/>
      </c>
      <c r="AA49" s="27" t="str">
        <f>IF($S49="","",IF(ISNUMBER($Y49),IF($Y49=0,0,$X49/$Y49),""))</f>
        <v/>
      </c>
    </row>
    <row r="50" ht="20" customHeight="1">
      <c r="A50" s="81" t="str">
        <f>IF($Q50="","",43)</f>
        <v/>
      </c>
      <c r="B50" s="57" t="str">
        <f>IF($Q50="","",INDEX(TRANSACTIONS_MASTER!$B$5:$B$1204,$Q50))</f>
        <v/>
      </c>
      <c r="C50" s="55" t="str">
        <f>IF($Q50="","",INDEX(TRANSACTIONS_MASTER!$F$5:$F$1204,$Q50))</f>
        <v/>
      </c>
      <c r="D50" s="55" t="str">
        <f>IF($Q50="","",INDEX(TRANSACTIONS_MASTER!$E$5:$E$1204,$Q50))</f>
        <v/>
      </c>
      <c r="E50" s="55" t="str">
        <f>IF($Q50="","",INDEX(TRANSACTIONS_MASTER!$G$5:$G$1204,$Q50)&amp;"")</f>
        <v/>
      </c>
      <c r="F50" s="29" t="str">
        <f>IF($Q50="","",INDEX(TRANSACTIONS_MASTER!$I$5:$I$1204,$Q50))</f>
        <v/>
      </c>
      <c r="G50" s="55" t="str">
        <f>IF($Q50="","",INDEX(TRANSACTIONS_MASTER!$K$5:$K$1204,$Q50))</f>
        <v/>
      </c>
      <c r="H50" s="25" t="str">
        <f>IF($Q50="","",INDEX(TRANSACTIONS_MASTER!$L$5:$L$1204,$Q50))</f>
        <v/>
      </c>
      <c r="I50" s="56" t="str">
        <f>IF($Q50="","",INDEX(TRANSACTIONS_MASTER!$N$5:$N$1204,$Q50))</f>
        <v/>
      </c>
      <c r="J50" s="25" t="str">
        <f>IF($Q50="","",INDEX(TRANSACTIONS_MASTER!$O$5:$O$1204,$Q50))</f>
        <v/>
      </c>
      <c r="K50" s="26" t="str">
        <f>IF($Q50="","",INDEX(TRANSACTIONS_MASTER!$Q$5:$Q$1204,$Q50))</f>
        <v/>
      </c>
      <c r="L50" s="25" t="str">
        <f>IF($Q50="","",INDEX(TRANSACTIONS_MASTER!$P$5:$P$1204,$Q50))</f>
        <v/>
      </c>
      <c r="M50" s="25" t="str">
        <f>IF($Q50="","",INDEX(TRANSACTIONS_MASTER!$AA$5:$AA$1204,$Q50))</f>
        <v/>
      </c>
      <c r="N50" s="25" t="str">
        <f>IF($Q50="","",INDEX(TRANSACTIONS_MASTER!$R$5:$R$1204,$Q50))</f>
        <v/>
      </c>
      <c r="O50" s="28" t="str">
        <f>IF($Q50="","",INDEX(TRANSACTIONS_MASTER!$AB$5:$AB$1204,$Q50))</f>
        <v/>
      </c>
      <c r="P50" s="55" t="str">
        <f>IF($Q50="","",INDEX(TRANSACTIONS_MASTER!$Z$5:$Z$1204,$Q50)&amp;"")</f>
        <v/>
      </c>
      <c r="Q50" s="67" t="str">
        <f>IFERROR(MATCH($C$2&amp;"|"&amp;43,TRANSACTIONS_MASTER!$AE$5:$AE$1204,0),"")</f>
        <v/>
      </c>
      <c r="S50" s="67" t="str">
        <f>IFERROR(MATCH(43,CASHBACK_RULES!$S$5:$S$304,0),"")</f>
        <v/>
      </c>
      <c r="T50" s="55" t="str">
        <f>IF($S50="","",INDEX(CASHBACK_RULES!$B$5:$B$304,$S50))</f>
        <v/>
      </c>
      <c r="U50" s="55" t="str">
        <f>IF($S50="","",INDEX(CASHBACK_RULES!$C$5:$C$304,$S50)&amp;" "&amp;INDEX(CASHBACK_RULES!$D$5:$D$304,$S50))</f>
        <v/>
      </c>
      <c r="V50" s="55" t="str">
        <f>IF($S50="","",INDEX(CASHBACK_RULES!$E$5:$E$304,$S50)&amp;"")</f>
        <v/>
      </c>
      <c r="W50" s="55" t="str">
        <f>IF($S50="","",INDEX(CASHBACK_RULES!$F$5:$F$304,$S50)&amp;"")</f>
        <v/>
      </c>
      <c r="X50" s="26" t="str">
        <f>IF($S50="","",SUMIFS(TRANSACTIONS_MASTER!$Q$5:$Q$1204,TRANSACTIONS_MASTER!$D$5:$D$1204,$T50,TRANSACTIONS_MASTER!$Z$5:$Z$1204,$V50,TRANSACTIONS_MASTER!$C$5:$C$1204,$C$2))</f>
        <v/>
      </c>
      <c r="Y50" s="25" t="str">
        <f>IF($S50="","",IF(ISNUMBER(INDEX(CASHBACK_RULES!$J$5:$J$304,$S50)),INDEX(CASHBACK_RULES!$J$5:$J$304,$S50),"∞"))</f>
        <v/>
      </c>
      <c r="Z50" s="25" t="str">
        <f>IF($S50="","",IF(ISNUMBER($Y50),MAX(0,$Y50-$X50),"∞"))</f>
        <v/>
      </c>
      <c r="AA50" s="27" t="str">
        <f>IF($S50="","",IF(ISNUMBER($Y50),IF($Y50=0,0,$X50/$Y50),""))</f>
        <v/>
      </c>
    </row>
    <row r="51" ht="20" customHeight="1">
      <c r="A51" s="81" t="str">
        <f>IF($Q51="","",44)</f>
        <v/>
      </c>
      <c r="B51" s="57" t="str">
        <f>IF($Q51="","",INDEX(TRANSACTIONS_MASTER!$B$5:$B$1204,$Q51))</f>
        <v/>
      </c>
      <c r="C51" s="55" t="str">
        <f>IF($Q51="","",INDEX(TRANSACTIONS_MASTER!$F$5:$F$1204,$Q51))</f>
        <v/>
      </c>
      <c r="D51" s="55" t="str">
        <f>IF($Q51="","",INDEX(TRANSACTIONS_MASTER!$E$5:$E$1204,$Q51))</f>
        <v/>
      </c>
      <c r="E51" s="55" t="str">
        <f>IF($Q51="","",INDEX(TRANSACTIONS_MASTER!$G$5:$G$1204,$Q51)&amp;"")</f>
        <v/>
      </c>
      <c r="F51" s="29" t="str">
        <f>IF($Q51="","",INDEX(TRANSACTIONS_MASTER!$I$5:$I$1204,$Q51))</f>
        <v/>
      </c>
      <c r="G51" s="55" t="str">
        <f>IF($Q51="","",INDEX(TRANSACTIONS_MASTER!$K$5:$K$1204,$Q51))</f>
        <v/>
      </c>
      <c r="H51" s="25" t="str">
        <f>IF($Q51="","",INDEX(TRANSACTIONS_MASTER!$L$5:$L$1204,$Q51))</f>
        <v/>
      </c>
      <c r="I51" s="56" t="str">
        <f>IF($Q51="","",INDEX(TRANSACTIONS_MASTER!$N$5:$N$1204,$Q51))</f>
        <v/>
      </c>
      <c r="J51" s="25" t="str">
        <f>IF($Q51="","",INDEX(TRANSACTIONS_MASTER!$O$5:$O$1204,$Q51))</f>
        <v/>
      </c>
      <c r="K51" s="26" t="str">
        <f>IF($Q51="","",INDEX(TRANSACTIONS_MASTER!$Q$5:$Q$1204,$Q51))</f>
        <v/>
      </c>
      <c r="L51" s="25" t="str">
        <f>IF($Q51="","",INDEX(TRANSACTIONS_MASTER!$P$5:$P$1204,$Q51))</f>
        <v/>
      </c>
      <c r="M51" s="25" t="str">
        <f>IF($Q51="","",INDEX(TRANSACTIONS_MASTER!$AA$5:$AA$1204,$Q51))</f>
        <v/>
      </c>
      <c r="N51" s="25" t="str">
        <f>IF($Q51="","",INDEX(TRANSACTIONS_MASTER!$R$5:$R$1204,$Q51))</f>
        <v/>
      </c>
      <c r="O51" s="28" t="str">
        <f>IF($Q51="","",INDEX(TRANSACTIONS_MASTER!$AB$5:$AB$1204,$Q51))</f>
        <v/>
      </c>
      <c r="P51" s="55" t="str">
        <f>IF($Q51="","",INDEX(TRANSACTIONS_MASTER!$Z$5:$Z$1204,$Q51)&amp;"")</f>
        <v/>
      </c>
      <c r="Q51" s="67" t="str">
        <f>IFERROR(MATCH($C$2&amp;"|"&amp;44,TRANSACTIONS_MASTER!$AE$5:$AE$1204,0),"")</f>
        <v/>
      </c>
      <c r="S51" s="67" t="str">
        <f>IFERROR(MATCH(44,CASHBACK_RULES!$S$5:$S$304,0),"")</f>
        <v/>
      </c>
      <c r="T51" s="55" t="str">
        <f>IF($S51="","",INDEX(CASHBACK_RULES!$B$5:$B$304,$S51))</f>
        <v/>
      </c>
      <c r="U51" s="55" t="str">
        <f>IF($S51="","",INDEX(CASHBACK_RULES!$C$5:$C$304,$S51)&amp;" "&amp;INDEX(CASHBACK_RULES!$D$5:$D$304,$S51))</f>
        <v/>
      </c>
      <c r="V51" s="55" t="str">
        <f>IF($S51="","",INDEX(CASHBACK_RULES!$E$5:$E$304,$S51)&amp;"")</f>
        <v/>
      </c>
      <c r="W51" s="55" t="str">
        <f>IF($S51="","",INDEX(CASHBACK_RULES!$F$5:$F$304,$S51)&amp;"")</f>
        <v/>
      </c>
      <c r="X51" s="26" t="str">
        <f>IF($S51="","",SUMIFS(TRANSACTIONS_MASTER!$Q$5:$Q$1204,TRANSACTIONS_MASTER!$D$5:$D$1204,$T51,TRANSACTIONS_MASTER!$Z$5:$Z$1204,$V51,TRANSACTIONS_MASTER!$C$5:$C$1204,$C$2))</f>
        <v/>
      </c>
      <c r="Y51" s="25" t="str">
        <f>IF($S51="","",IF(ISNUMBER(INDEX(CASHBACK_RULES!$J$5:$J$304,$S51)),INDEX(CASHBACK_RULES!$J$5:$J$304,$S51),"∞"))</f>
        <v/>
      </c>
      <c r="Z51" s="25" t="str">
        <f>IF($S51="","",IF(ISNUMBER($Y51),MAX(0,$Y51-$X51),"∞"))</f>
        <v/>
      </c>
      <c r="AA51" s="27" t="str">
        <f>IF($S51="","",IF(ISNUMBER($Y51),IF($Y51=0,0,$X51/$Y51),""))</f>
        <v/>
      </c>
    </row>
    <row r="52" ht="20" customHeight="1">
      <c r="A52" s="81" t="str">
        <f>IF($Q52="","",45)</f>
        <v/>
      </c>
      <c r="B52" s="57" t="str">
        <f>IF($Q52="","",INDEX(TRANSACTIONS_MASTER!$B$5:$B$1204,$Q52))</f>
        <v/>
      </c>
      <c r="C52" s="55" t="str">
        <f>IF($Q52="","",INDEX(TRANSACTIONS_MASTER!$F$5:$F$1204,$Q52))</f>
        <v/>
      </c>
      <c r="D52" s="55" t="str">
        <f>IF($Q52="","",INDEX(TRANSACTIONS_MASTER!$E$5:$E$1204,$Q52))</f>
        <v/>
      </c>
      <c r="E52" s="55" t="str">
        <f>IF($Q52="","",INDEX(TRANSACTIONS_MASTER!$G$5:$G$1204,$Q52)&amp;"")</f>
        <v/>
      </c>
      <c r="F52" s="29" t="str">
        <f>IF($Q52="","",INDEX(TRANSACTIONS_MASTER!$I$5:$I$1204,$Q52))</f>
        <v/>
      </c>
      <c r="G52" s="55" t="str">
        <f>IF($Q52="","",INDEX(TRANSACTIONS_MASTER!$K$5:$K$1204,$Q52))</f>
        <v/>
      </c>
      <c r="H52" s="25" t="str">
        <f>IF($Q52="","",INDEX(TRANSACTIONS_MASTER!$L$5:$L$1204,$Q52))</f>
        <v/>
      </c>
      <c r="I52" s="56" t="str">
        <f>IF($Q52="","",INDEX(TRANSACTIONS_MASTER!$N$5:$N$1204,$Q52))</f>
        <v/>
      </c>
      <c r="J52" s="25" t="str">
        <f>IF($Q52="","",INDEX(TRANSACTIONS_MASTER!$O$5:$O$1204,$Q52))</f>
        <v/>
      </c>
      <c r="K52" s="26" t="str">
        <f>IF($Q52="","",INDEX(TRANSACTIONS_MASTER!$Q$5:$Q$1204,$Q52))</f>
        <v/>
      </c>
      <c r="L52" s="25" t="str">
        <f>IF($Q52="","",INDEX(TRANSACTIONS_MASTER!$P$5:$P$1204,$Q52))</f>
        <v/>
      </c>
      <c r="M52" s="25" t="str">
        <f>IF($Q52="","",INDEX(TRANSACTIONS_MASTER!$AA$5:$AA$1204,$Q52))</f>
        <v/>
      </c>
      <c r="N52" s="25" t="str">
        <f>IF($Q52="","",INDEX(TRANSACTIONS_MASTER!$R$5:$R$1204,$Q52))</f>
        <v/>
      </c>
      <c r="O52" s="28" t="str">
        <f>IF($Q52="","",INDEX(TRANSACTIONS_MASTER!$AB$5:$AB$1204,$Q52))</f>
        <v/>
      </c>
      <c r="P52" s="55" t="str">
        <f>IF($Q52="","",INDEX(TRANSACTIONS_MASTER!$Z$5:$Z$1204,$Q52)&amp;"")</f>
        <v/>
      </c>
      <c r="Q52" s="67" t="str">
        <f>IFERROR(MATCH($C$2&amp;"|"&amp;45,TRANSACTIONS_MASTER!$AE$5:$AE$1204,0),"")</f>
        <v/>
      </c>
      <c r="S52" s="67" t="str">
        <f>IFERROR(MATCH(45,CASHBACK_RULES!$S$5:$S$304,0),"")</f>
        <v/>
      </c>
      <c r="T52" s="55" t="str">
        <f>IF($S52="","",INDEX(CASHBACK_RULES!$B$5:$B$304,$S52))</f>
        <v/>
      </c>
      <c r="U52" s="55" t="str">
        <f>IF($S52="","",INDEX(CASHBACK_RULES!$C$5:$C$304,$S52)&amp;" "&amp;INDEX(CASHBACK_RULES!$D$5:$D$304,$S52))</f>
        <v/>
      </c>
      <c r="V52" s="55" t="str">
        <f>IF($S52="","",INDEX(CASHBACK_RULES!$E$5:$E$304,$S52)&amp;"")</f>
        <v/>
      </c>
      <c r="W52" s="55" t="str">
        <f>IF($S52="","",INDEX(CASHBACK_RULES!$F$5:$F$304,$S52)&amp;"")</f>
        <v/>
      </c>
      <c r="X52" s="26" t="str">
        <f>IF($S52="","",SUMIFS(TRANSACTIONS_MASTER!$Q$5:$Q$1204,TRANSACTIONS_MASTER!$D$5:$D$1204,$T52,TRANSACTIONS_MASTER!$Z$5:$Z$1204,$V52,TRANSACTIONS_MASTER!$C$5:$C$1204,$C$2))</f>
        <v/>
      </c>
      <c r="Y52" s="25" t="str">
        <f>IF($S52="","",IF(ISNUMBER(INDEX(CASHBACK_RULES!$J$5:$J$304,$S52)),INDEX(CASHBACK_RULES!$J$5:$J$304,$S52),"∞"))</f>
        <v/>
      </c>
      <c r="Z52" s="25" t="str">
        <f>IF($S52="","",IF(ISNUMBER($Y52),MAX(0,$Y52-$X52),"∞"))</f>
        <v/>
      </c>
      <c r="AA52" s="27" t="str">
        <f>IF($S52="","",IF(ISNUMBER($Y52),IF($Y52=0,0,$X52/$Y52),""))</f>
        <v/>
      </c>
    </row>
    <row r="53" ht="20" customHeight="1">
      <c r="A53" s="81" t="str">
        <f>IF($Q53="","",46)</f>
        <v/>
      </c>
      <c r="B53" s="57" t="str">
        <f>IF($Q53="","",INDEX(TRANSACTIONS_MASTER!$B$5:$B$1204,$Q53))</f>
        <v/>
      </c>
      <c r="C53" s="55" t="str">
        <f>IF($Q53="","",INDEX(TRANSACTIONS_MASTER!$F$5:$F$1204,$Q53))</f>
        <v/>
      </c>
      <c r="D53" s="55" t="str">
        <f>IF($Q53="","",INDEX(TRANSACTIONS_MASTER!$E$5:$E$1204,$Q53))</f>
        <v/>
      </c>
      <c r="E53" s="55" t="str">
        <f>IF($Q53="","",INDEX(TRANSACTIONS_MASTER!$G$5:$G$1204,$Q53)&amp;"")</f>
        <v/>
      </c>
      <c r="F53" s="29" t="str">
        <f>IF($Q53="","",INDEX(TRANSACTIONS_MASTER!$I$5:$I$1204,$Q53))</f>
        <v/>
      </c>
      <c r="G53" s="55" t="str">
        <f>IF($Q53="","",INDEX(TRANSACTIONS_MASTER!$K$5:$K$1204,$Q53))</f>
        <v/>
      </c>
      <c r="H53" s="25" t="str">
        <f>IF($Q53="","",INDEX(TRANSACTIONS_MASTER!$L$5:$L$1204,$Q53))</f>
        <v/>
      </c>
      <c r="I53" s="56" t="str">
        <f>IF($Q53="","",INDEX(TRANSACTIONS_MASTER!$N$5:$N$1204,$Q53))</f>
        <v/>
      </c>
      <c r="J53" s="25" t="str">
        <f>IF($Q53="","",INDEX(TRANSACTIONS_MASTER!$O$5:$O$1204,$Q53))</f>
        <v/>
      </c>
      <c r="K53" s="26" t="str">
        <f>IF($Q53="","",INDEX(TRANSACTIONS_MASTER!$Q$5:$Q$1204,$Q53))</f>
        <v/>
      </c>
      <c r="L53" s="25" t="str">
        <f>IF($Q53="","",INDEX(TRANSACTIONS_MASTER!$P$5:$P$1204,$Q53))</f>
        <v/>
      </c>
      <c r="M53" s="25" t="str">
        <f>IF($Q53="","",INDEX(TRANSACTIONS_MASTER!$AA$5:$AA$1204,$Q53))</f>
        <v/>
      </c>
      <c r="N53" s="25" t="str">
        <f>IF($Q53="","",INDEX(TRANSACTIONS_MASTER!$R$5:$R$1204,$Q53))</f>
        <v/>
      </c>
      <c r="O53" s="28" t="str">
        <f>IF($Q53="","",INDEX(TRANSACTIONS_MASTER!$AB$5:$AB$1204,$Q53))</f>
        <v/>
      </c>
      <c r="P53" s="55" t="str">
        <f>IF($Q53="","",INDEX(TRANSACTIONS_MASTER!$Z$5:$Z$1204,$Q53)&amp;"")</f>
        <v/>
      </c>
      <c r="Q53" s="67" t="str">
        <f>IFERROR(MATCH($C$2&amp;"|"&amp;46,TRANSACTIONS_MASTER!$AE$5:$AE$1204,0),"")</f>
        <v/>
      </c>
      <c r="S53" s="67" t="str">
        <f>IFERROR(MATCH(46,CASHBACK_RULES!$S$5:$S$304,0),"")</f>
        <v/>
      </c>
      <c r="T53" s="55" t="str">
        <f>IF($S53="","",INDEX(CASHBACK_RULES!$B$5:$B$304,$S53))</f>
        <v/>
      </c>
      <c r="U53" s="55" t="str">
        <f>IF($S53="","",INDEX(CASHBACK_RULES!$C$5:$C$304,$S53)&amp;" "&amp;INDEX(CASHBACK_RULES!$D$5:$D$304,$S53))</f>
        <v/>
      </c>
      <c r="V53" s="55" t="str">
        <f>IF($S53="","",INDEX(CASHBACK_RULES!$E$5:$E$304,$S53)&amp;"")</f>
        <v/>
      </c>
      <c r="W53" s="55" t="str">
        <f>IF($S53="","",INDEX(CASHBACK_RULES!$F$5:$F$304,$S53)&amp;"")</f>
        <v/>
      </c>
      <c r="X53" s="26" t="str">
        <f>IF($S53="","",SUMIFS(TRANSACTIONS_MASTER!$Q$5:$Q$1204,TRANSACTIONS_MASTER!$D$5:$D$1204,$T53,TRANSACTIONS_MASTER!$Z$5:$Z$1204,$V53,TRANSACTIONS_MASTER!$C$5:$C$1204,$C$2))</f>
        <v/>
      </c>
      <c r="Y53" s="25" t="str">
        <f>IF($S53="","",IF(ISNUMBER(INDEX(CASHBACK_RULES!$J$5:$J$304,$S53)),INDEX(CASHBACK_RULES!$J$5:$J$304,$S53),"∞"))</f>
        <v/>
      </c>
      <c r="Z53" s="25" t="str">
        <f>IF($S53="","",IF(ISNUMBER($Y53),MAX(0,$Y53-$X53),"∞"))</f>
        <v/>
      </c>
      <c r="AA53" s="27" t="str">
        <f>IF($S53="","",IF(ISNUMBER($Y53),IF($Y53=0,0,$X53/$Y53),""))</f>
        <v/>
      </c>
    </row>
    <row r="54" ht="20" customHeight="1">
      <c r="A54" s="81" t="str">
        <f>IF($Q54="","",47)</f>
        <v/>
      </c>
      <c r="B54" s="57" t="str">
        <f>IF($Q54="","",INDEX(TRANSACTIONS_MASTER!$B$5:$B$1204,$Q54))</f>
        <v/>
      </c>
      <c r="C54" s="55" t="str">
        <f>IF($Q54="","",INDEX(TRANSACTIONS_MASTER!$F$5:$F$1204,$Q54))</f>
        <v/>
      </c>
      <c r="D54" s="55" t="str">
        <f>IF($Q54="","",INDEX(TRANSACTIONS_MASTER!$E$5:$E$1204,$Q54))</f>
        <v/>
      </c>
      <c r="E54" s="55" t="str">
        <f>IF($Q54="","",INDEX(TRANSACTIONS_MASTER!$G$5:$G$1204,$Q54)&amp;"")</f>
        <v/>
      </c>
      <c r="F54" s="29" t="str">
        <f>IF($Q54="","",INDEX(TRANSACTIONS_MASTER!$I$5:$I$1204,$Q54))</f>
        <v/>
      </c>
      <c r="G54" s="55" t="str">
        <f>IF($Q54="","",INDEX(TRANSACTIONS_MASTER!$K$5:$K$1204,$Q54))</f>
        <v/>
      </c>
      <c r="H54" s="25" t="str">
        <f>IF($Q54="","",INDEX(TRANSACTIONS_MASTER!$L$5:$L$1204,$Q54))</f>
        <v/>
      </c>
      <c r="I54" s="56" t="str">
        <f>IF($Q54="","",INDEX(TRANSACTIONS_MASTER!$N$5:$N$1204,$Q54))</f>
        <v/>
      </c>
      <c r="J54" s="25" t="str">
        <f>IF($Q54="","",INDEX(TRANSACTIONS_MASTER!$O$5:$O$1204,$Q54))</f>
        <v/>
      </c>
      <c r="K54" s="26" t="str">
        <f>IF($Q54="","",INDEX(TRANSACTIONS_MASTER!$Q$5:$Q$1204,$Q54))</f>
        <v/>
      </c>
      <c r="L54" s="25" t="str">
        <f>IF($Q54="","",INDEX(TRANSACTIONS_MASTER!$P$5:$P$1204,$Q54))</f>
        <v/>
      </c>
      <c r="M54" s="25" t="str">
        <f>IF($Q54="","",INDEX(TRANSACTIONS_MASTER!$AA$5:$AA$1204,$Q54))</f>
        <v/>
      </c>
      <c r="N54" s="25" t="str">
        <f>IF($Q54="","",INDEX(TRANSACTIONS_MASTER!$R$5:$R$1204,$Q54))</f>
        <v/>
      </c>
      <c r="O54" s="28" t="str">
        <f>IF($Q54="","",INDEX(TRANSACTIONS_MASTER!$AB$5:$AB$1204,$Q54))</f>
        <v/>
      </c>
      <c r="P54" s="55" t="str">
        <f>IF($Q54="","",INDEX(TRANSACTIONS_MASTER!$Z$5:$Z$1204,$Q54)&amp;"")</f>
        <v/>
      </c>
      <c r="Q54" s="67" t="str">
        <f>IFERROR(MATCH($C$2&amp;"|"&amp;47,TRANSACTIONS_MASTER!$AE$5:$AE$1204,0),"")</f>
        <v/>
      </c>
      <c r="S54" s="67" t="str">
        <f>IFERROR(MATCH(47,CASHBACK_RULES!$S$5:$S$304,0),"")</f>
        <v/>
      </c>
      <c r="T54" s="55" t="str">
        <f>IF($S54="","",INDEX(CASHBACK_RULES!$B$5:$B$304,$S54))</f>
        <v/>
      </c>
      <c r="U54" s="55" t="str">
        <f>IF($S54="","",INDEX(CASHBACK_RULES!$C$5:$C$304,$S54)&amp;" "&amp;INDEX(CASHBACK_RULES!$D$5:$D$304,$S54))</f>
        <v/>
      </c>
      <c r="V54" s="55" t="str">
        <f>IF($S54="","",INDEX(CASHBACK_RULES!$E$5:$E$304,$S54)&amp;"")</f>
        <v/>
      </c>
      <c r="W54" s="55" t="str">
        <f>IF($S54="","",INDEX(CASHBACK_RULES!$F$5:$F$304,$S54)&amp;"")</f>
        <v/>
      </c>
      <c r="X54" s="26" t="str">
        <f>IF($S54="","",SUMIFS(TRANSACTIONS_MASTER!$Q$5:$Q$1204,TRANSACTIONS_MASTER!$D$5:$D$1204,$T54,TRANSACTIONS_MASTER!$Z$5:$Z$1204,$V54,TRANSACTIONS_MASTER!$C$5:$C$1204,$C$2))</f>
        <v/>
      </c>
      <c r="Y54" s="25" t="str">
        <f>IF($S54="","",IF(ISNUMBER(INDEX(CASHBACK_RULES!$J$5:$J$304,$S54)),INDEX(CASHBACK_RULES!$J$5:$J$304,$S54),"∞"))</f>
        <v/>
      </c>
      <c r="Z54" s="25" t="str">
        <f>IF($S54="","",IF(ISNUMBER($Y54),MAX(0,$Y54-$X54),"∞"))</f>
        <v/>
      </c>
      <c r="AA54" s="27" t="str">
        <f>IF($S54="","",IF(ISNUMBER($Y54),IF($Y54=0,0,$X54/$Y54),""))</f>
        <v/>
      </c>
    </row>
    <row r="55" ht="20" customHeight="1">
      <c r="A55" s="81" t="str">
        <f>IF($Q55="","",48)</f>
        <v/>
      </c>
      <c r="B55" s="57" t="str">
        <f>IF($Q55="","",INDEX(TRANSACTIONS_MASTER!$B$5:$B$1204,$Q55))</f>
        <v/>
      </c>
      <c r="C55" s="55" t="str">
        <f>IF($Q55="","",INDEX(TRANSACTIONS_MASTER!$F$5:$F$1204,$Q55))</f>
        <v/>
      </c>
      <c r="D55" s="55" t="str">
        <f>IF($Q55="","",INDEX(TRANSACTIONS_MASTER!$E$5:$E$1204,$Q55))</f>
        <v/>
      </c>
      <c r="E55" s="55" t="str">
        <f>IF($Q55="","",INDEX(TRANSACTIONS_MASTER!$G$5:$G$1204,$Q55)&amp;"")</f>
        <v/>
      </c>
      <c r="F55" s="29" t="str">
        <f>IF($Q55="","",INDEX(TRANSACTIONS_MASTER!$I$5:$I$1204,$Q55))</f>
        <v/>
      </c>
      <c r="G55" s="55" t="str">
        <f>IF($Q55="","",INDEX(TRANSACTIONS_MASTER!$K$5:$K$1204,$Q55))</f>
        <v/>
      </c>
      <c r="H55" s="25" t="str">
        <f>IF($Q55="","",INDEX(TRANSACTIONS_MASTER!$L$5:$L$1204,$Q55))</f>
        <v/>
      </c>
      <c r="I55" s="56" t="str">
        <f>IF($Q55="","",INDEX(TRANSACTIONS_MASTER!$N$5:$N$1204,$Q55))</f>
        <v/>
      </c>
      <c r="J55" s="25" t="str">
        <f>IF($Q55="","",INDEX(TRANSACTIONS_MASTER!$O$5:$O$1204,$Q55))</f>
        <v/>
      </c>
      <c r="K55" s="26" t="str">
        <f>IF($Q55="","",INDEX(TRANSACTIONS_MASTER!$Q$5:$Q$1204,$Q55))</f>
        <v/>
      </c>
      <c r="L55" s="25" t="str">
        <f>IF($Q55="","",INDEX(TRANSACTIONS_MASTER!$P$5:$P$1204,$Q55))</f>
        <v/>
      </c>
      <c r="M55" s="25" t="str">
        <f>IF($Q55="","",INDEX(TRANSACTIONS_MASTER!$AA$5:$AA$1204,$Q55))</f>
        <v/>
      </c>
      <c r="N55" s="25" t="str">
        <f>IF($Q55="","",INDEX(TRANSACTIONS_MASTER!$R$5:$R$1204,$Q55))</f>
        <v/>
      </c>
      <c r="O55" s="28" t="str">
        <f>IF($Q55="","",INDEX(TRANSACTIONS_MASTER!$AB$5:$AB$1204,$Q55))</f>
        <v/>
      </c>
      <c r="P55" s="55" t="str">
        <f>IF($Q55="","",INDEX(TRANSACTIONS_MASTER!$Z$5:$Z$1204,$Q55)&amp;"")</f>
        <v/>
      </c>
      <c r="Q55" s="67" t="str">
        <f>IFERROR(MATCH($C$2&amp;"|"&amp;48,TRANSACTIONS_MASTER!$AE$5:$AE$1204,0),"")</f>
        <v/>
      </c>
      <c r="S55" s="67" t="str">
        <f>IFERROR(MATCH(48,CASHBACK_RULES!$S$5:$S$304,0),"")</f>
        <v/>
      </c>
      <c r="T55" s="55" t="str">
        <f>IF($S55="","",INDEX(CASHBACK_RULES!$B$5:$B$304,$S55))</f>
        <v/>
      </c>
      <c r="U55" s="55" t="str">
        <f>IF($S55="","",INDEX(CASHBACK_RULES!$C$5:$C$304,$S55)&amp;" "&amp;INDEX(CASHBACK_RULES!$D$5:$D$304,$S55))</f>
        <v/>
      </c>
      <c r="V55" s="55" t="str">
        <f>IF($S55="","",INDEX(CASHBACK_RULES!$E$5:$E$304,$S55)&amp;"")</f>
        <v/>
      </c>
      <c r="W55" s="55" t="str">
        <f>IF($S55="","",INDEX(CASHBACK_RULES!$F$5:$F$304,$S55)&amp;"")</f>
        <v/>
      </c>
      <c r="X55" s="26" t="str">
        <f>IF($S55="","",SUMIFS(TRANSACTIONS_MASTER!$Q$5:$Q$1204,TRANSACTIONS_MASTER!$D$5:$D$1204,$T55,TRANSACTIONS_MASTER!$Z$5:$Z$1204,$V55,TRANSACTIONS_MASTER!$C$5:$C$1204,$C$2))</f>
        <v/>
      </c>
      <c r="Y55" s="25" t="str">
        <f>IF($S55="","",IF(ISNUMBER(INDEX(CASHBACK_RULES!$J$5:$J$304,$S55)),INDEX(CASHBACK_RULES!$J$5:$J$304,$S55),"∞"))</f>
        <v/>
      </c>
      <c r="Z55" s="25" t="str">
        <f>IF($S55="","",IF(ISNUMBER($Y55),MAX(0,$Y55-$X55),"∞"))</f>
        <v/>
      </c>
      <c r="AA55" s="27" t="str">
        <f>IF($S55="","",IF(ISNUMBER($Y55),IF($Y55=0,0,$X55/$Y55),""))</f>
        <v/>
      </c>
    </row>
    <row r="56" ht="20" customHeight="1">
      <c r="A56" s="81" t="str">
        <f>IF($Q56="","",49)</f>
        <v/>
      </c>
      <c r="B56" s="57" t="str">
        <f>IF($Q56="","",INDEX(TRANSACTIONS_MASTER!$B$5:$B$1204,$Q56))</f>
        <v/>
      </c>
      <c r="C56" s="55" t="str">
        <f>IF($Q56="","",INDEX(TRANSACTIONS_MASTER!$F$5:$F$1204,$Q56))</f>
        <v/>
      </c>
      <c r="D56" s="55" t="str">
        <f>IF($Q56="","",INDEX(TRANSACTIONS_MASTER!$E$5:$E$1204,$Q56))</f>
        <v/>
      </c>
      <c r="E56" s="55" t="str">
        <f>IF($Q56="","",INDEX(TRANSACTIONS_MASTER!$G$5:$G$1204,$Q56)&amp;"")</f>
        <v/>
      </c>
      <c r="F56" s="29" t="str">
        <f>IF($Q56="","",INDEX(TRANSACTIONS_MASTER!$I$5:$I$1204,$Q56))</f>
        <v/>
      </c>
      <c r="G56" s="55" t="str">
        <f>IF($Q56="","",INDEX(TRANSACTIONS_MASTER!$K$5:$K$1204,$Q56))</f>
        <v/>
      </c>
      <c r="H56" s="25" t="str">
        <f>IF($Q56="","",INDEX(TRANSACTIONS_MASTER!$L$5:$L$1204,$Q56))</f>
        <v/>
      </c>
      <c r="I56" s="56" t="str">
        <f>IF($Q56="","",INDEX(TRANSACTIONS_MASTER!$N$5:$N$1204,$Q56))</f>
        <v/>
      </c>
      <c r="J56" s="25" t="str">
        <f>IF($Q56="","",INDEX(TRANSACTIONS_MASTER!$O$5:$O$1204,$Q56))</f>
        <v/>
      </c>
      <c r="K56" s="26" t="str">
        <f>IF($Q56="","",INDEX(TRANSACTIONS_MASTER!$Q$5:$Q$1204,$Q56))</f>
        <v/>
      </c>
      <c r="L56" s="25" t="str">
        <f>IF($Q56="","",INDEX(TRANSACTIONS_MASTER!$P$5:$P$1204,$Q56))</f>
        <v/>
      </c>
      <c r="M56" s="25" t="str">
        <f>IF($Q56="","",INDEX(TRANSACTIONS_MASTER!$AA$5:$AA$1204,$Q56))</f>
        <v/>
      </c>
      <c r="N56" s="25" t="str">
        <f>IF($Q56="","",INDEX(TRANSACTIONS_MASTER!$R$5:$R$1204,$Q56))</f>
        <v/>
      </c>
      <c r="O56" s="28" t="str">
        <f>IF($Q56="","",INDEX(TRANSACTIONS_MASTER!$AB$5:$AB$1204,$Q56))</f>
        <v/>
      </c>
      <c r="P56" s="55" t="str">
        <f>IF($Q56="","",INDEX(TRANSACTIONS_MASTER!$Z$5:$Z$1204,$Q56)&amp;"")</f>
        <v/>
      </c>
      <c r="Q56" s="67" t="str">
        <f>IFERROR(MATCH($C$2&amp;"|"&amp;49,TRANSACTIONS_MASTER!$AE$5:$AE$1204,0),"")</f>
        <v/>
      </c>
      <c r="S56" s="67" t="str">
        <f>IFERROR(MATCH(49,CASHBACK_RULES!$S$5:$S$304,0),"")</f>
        <v/>
      </c>
      <c r="T56" s="55" t="str">
        <f>IF($S56="","",INDEX(CASHBACK_RULES!$B$5:$B$304,$S56))</f>
        <v/>
      </c>
      <c r="U56" s="55" t="str">
        <f>IF($S56="","",INDEX(CASHBACK_RULES!$C$5:$C$304,$S56)&amp;" "&amp;INDEX(CASHBACK_RULES!$D$5:$D$304,$S56))</f>
        <v/>
      </c>
      <c r="V56" s="55" t="str">
        <f>IF($S56="","",INDEX(CASHBACK_RULES!$E$5:$E$304,$S56)&amp;"")</f>
        <v/>
      </c>
      <c r="W56" s="55" t="str">
        <f>IF($S56="","",INDEX(CASHBACK_RULES!$F$5:$F$304,$S56)&amp;"")</f>
        <v/>
      </c>
      <c r="X56" s="26" t="str">
        <f>IF($S56="","",SUMIFS(TRANSACTIONS_MASTER!$Q$5:$Q$1204,TRANSACTIONS_MASTER!$D$5:$D$1204,$T56,TRANSACTIONS_MASTER!$Z$5:$Z$1204,$V56,TRANSACTIONS_MASTER!$C$5:$C$1204,$C$2))</f>
        <v/>
      </c>
      <c r="Y56" s="25" t="str">
        <f>IF($S56="","",IF(ISNUMBER(INDEX(CASHBACK_RULES!$J$5:$J$304,$S56)),INDEX(CASHBACK_RULES!$J$5:$J$304,$S56),"∞"))</f>
        <v/>
      </c>
      <c r="Z56" s="25" t="str">
        <f>IF($S56="","",IF(ISNUMBER($Y56),MAX(0,$Y56-$X56),"∞"))</f>
        <v/>
      </c>
      <c r="AA56" s="27" t="str">
        <f>IF($S56="","",IF(ISNUMBER($Y56),IF($Y56=0,0,$X56/$Y56),""))</f>
        <v/>
      </c>
    </row>
    <row r="57" ht="20" customHeight="1">
      <c r="A57" s="81" t="str">
        <f>IF($Q57="","",50)</f>
        <v/>
      </c>
      <c r="B57" s="57" t="str">
        <f>IF($Q57="","",INDEX(TRANSACTIONS_MASTER!$B$5:$B$1204,$Q57))</f>
        <v/>
      </c>
      <c r="C57" s="55" t="str">
        <f>IF($Q57="","",INDEX(TRANSACTIONS_MASTER!$F$5:$F$1204,$Q57))</f>
        <v/>
      </c>
      <c r="D57" s="55" t="str">
        <f>IF($Q57="","",INDEX(TRANSACTIONS_MASTER!$E$5:$E$1204,$Q57))</f>
        <v/>
      </c>
      <c r="E57" s="55" t="str">
        <f>IF($Q57="","",INDEX(TRANSACTIONS_MASTER!$G$5:$G$1204,$Q57)&amp;"")</f>
        <v/>
      </c>
      <c r="F57" s="29" t="str">
        <f>IF($Q57="","",INDEX(TRANSACTIONS_MASTER!$I$5:$I$1204,$Q57))</f>
        <v/>
      </c>
      <c r="G57" s="55" t="str">
        <f>IF($Q57="","",INDEX(TRANSACTIONS_MASTER!$K$5:$K$1204,$Q57))</f>
        <v/>
      </c>
      <c r="H57" s="25" t="str">
        <f>IF($Q57="","",INDEX(TRANSACTIONS_MASTER!$L$5:$L$1204,$Q57))</f>
        <v/>
      </c>
      <c r="I57" s="56" t="str">
        <f>IF($Q57="","",INDEX(TRANSACTIONS_MASTER!$N$5:$N$1204,$Q57))</f>
        <v/>
      </c>
      <c r="J57" s="25" t="str">
        <f>IF($Q57="","",INDEX(TRANSACTIONS_MASTER!$O$5:$O$1204,$Q57))</f>
        <v/>
      </c>
      <c r="K57" s="26" t="str">
        <f>IF($Q57="","",INDEX(TRANSACTIONS_MASTER!$Q$5:$Q$1204,$Q57))</f>
        <v/>
      </c>
      <c r="L57" s="25" t="str">
        <f>IF($Q57="","",INDEX(TRANSACTIONS_MASTER!$P$5:$P$1204,$Q57))</f>
        <v/>
      </c>
      <c r="M57" s="25" t="str">
        <f>IF($Q57="","",INDEX(TRANSACTIONS_MASTER!$AA$5:$AA$1204,$Q57))</f>
        <v/>
      </c>
      <c r="N57" s="25" t="str">
        <f>IF($Q57="","",INDEX(TRANSACTIONS_MASTER!$R$5:$R$1204,$Q57))</f>
        <v/>
      </c>
      <c r="O57" s="28" t="str">
        <f>IF($Q57="","",INDEX(TRANSACTIONS_MASTER!$AB$5:$AB$1204,$Q57))</f>
        <v/>
      </c>
      <c r="P57" s="55" t="str">
        <f>IF($Q57="","",INDEX(TRANSACTIONS_MASTER!$Z$5:$Z$1204,$Q57)&amp;"")</f>
        <v/>
      </c>
      <c r="Q57" s="67" t="str">
        <f>IFERROR(MATCH($C$2&amp;"|"&amp;50,TRANSACTIONS_MASTER!$AE$5:$AE$1204,0),"")</f>
        <v/>
      </c>
      <c r="S57" s="67" t="str">
        <f>IFERROR(MATCH(50,CASHBACK_RULES!$S$5:$S$304,0),"")</f>
        <v/>
      </c>
      <c r="T57" s="55" t="str">
        <f>IF($S57="","",INDEX(CASHBACK_RULES!$B$5:$B$304,$S57))</f>
        <v/>
      </c>
      <c r="U57" s="55" t="str">
        <f>IF($S57="","",INDEX(CASHBACK_RULES!$C$5:$C$304,$S57)&amp;" "&amp;INDEX(CASHBACK_RULES!$D$5:$D$304,$S57))</f>
        <v/>
      </c>
      <c r="V57" s="55" t="str">
        <f>IF($S57="","",INDEX(CASHBACK_RULES!$E$5:$E$304,$S57)&amp;"")</f>
        <v/>
      </c>
      <c r="W57" s="55" t="str">
        <f>IF($S57="","",INDEX(CASHBACK_RULES!$F$5:$F$304,$S57)&amp;"")</f>
        <v/>
      </c>
      <c r="X57" s="26" t="str">
        <f>IF($S57="","",SUMIFS(TRANSACTIONS_MASTER!$Q$5:$Q$1204,TRANSACTIONS_MASTER!$D$5:$D$1204,$T57,TRANSACTIONS_MASTER!$Z$5:$Z$1204,$V57,TRANSACTIONS_MASTER!$C$5:$C$1204,$C$2))</f>
        <v/>
      </c>
      <c r="Y57" s="25" t="str">
        <f>IF($S57="","",IF(ISNUMBER(INDEX(CASHBACK_RULES!$J$5:$J$304,$S57)),INDEX(CASHBACK_RULES!$J$5:$J$304,$S57),"∞"))</f>
        <v/>
      </c>
      <c r="Z57" s="25" t="str">
        <f>IF($S57="","",IF(ISNUMBER($Y57),MAX(0,$Y57-$X57),"∞"))</f>
        <v/>
      </c>
      <c r="AA57" s="27" t="str">
        <f>IF($S57="","",IF(ISNUMBER($Y57),IF($Y57=0,0,$X57/$Y57),""))</f>
        <v/>
      </c>
    </row>
    <row r="58">
      <c r="A58" s="81" t="str">
        <f>IF($Q58="","",51)</f>
        <v/>
      </c>
      <c r="B58" s="57" t="str">
        <f>IF($Q58="","",INDEX(TRANSACTIONS_MASTER!$B$5:$B$1204,$Q58))</f>
        <v/>
      </c>
      <c r="C58" s="55" t="str">
        <f>IF($Q58="","",INDEX(TRANSACTIONS_MASTER!$F$5:$F$1204,$Q58))</f>
        <v/>
      </c>
      <c r="D58" s="55" t="str">
        <f>IF($Q58="","",INDEX(TRANSACTIONS_MASTER!$E$5:$E$1204,$Q58))</f>
        <v/>
      </c>
      <c r="E58" s="55" t="str">
        <f>IF($Q58="","",INDEX(TRANSACTIONS_MASTER!$G$5:$G$1204,$Q58)&amp;"")</f>
        <v/>
      </c>
      <c r="F58" s="29" t="str">
        <f>IF($Q58="","",INDEX(TRANSACTIONS_MASTER!$I$5:$I$1204,$Q58))</f>
        <v/>
      </c>
      <c r="G58" s="55" t="str">
        <f>IF($Q58="","",INDEX(TRANSACTIONS_MASTER!$K$5:$K$1204,$Q58))</f>
        <v/>
      </c>
      <c r="H58" s="25" t="str">
        <f>IF($Q58="","",INDEX(TRANSACTIONS_MASTER!$L$5:$L$1204,$Q58))</f>
        <v/>
      </c>
      <c r="I58" s="56" t="str">
        <f>IF($Q58="","",INDEX(TRANSACTIONS_MASTER!$N$5:$N$1204,$Q58))</f>
        <v/>
      </c>
      <c r="J58" s="25" t="str">
        <f>IF($Q58="","",INDEX(TRANSACTIONS_MASTER!$O$5:$O$1204,$Q58))</f>
        <v/>
      </c>
      <c r="K58" s="26" t="str">
        <f>IF($Q58="","",INDEX(TRANSACTIONS_MASTER!$Q$5:$Q$1204,$Q58))</f>
        <v/>
      </c>
      <c r="L58" s="25" t="str">
        <f>IF($Q58="","",INDEX(TRANSACTIONS_MASTER!$P$5:$P$1204,$Q58))</f>
        <v/>
      </c>
      <c r="M58" s="25" t="str">
        <f>IF($Q58="","",INDEX(TRANSACTIONS_MASTER!$AA$5:$AA$1204,$Q58))</f>
        <v/>
      </c>
      <c r="N58" s="25" t="str">
        <f>IF($Q58="","",INDEX(TRANSACTIONS_MASTER!$R$5:$R$1204,$Q58))</f>
        <v/>
      </c>
      <c r="O58" s="28" t="str">
        <f>IF($Q58="","",INDEX(TRANSACTIONS_MASTER!$AB$5:$AB$1204,$Q58))</f>
        <v/>
      </c>
      <c r="P58" s="55" t="str">
        <f>IF($Q58="","",INDEX(TRANSACTIONS_MASTER!$Z$5:$Z$1204,$Q58)&amp;"")</f>
        <v/>
      </c>
      <c r="Q58" s="67" t="str">
        <f>IFERROR(MATCH($C$2&amp;"|"&amp;51,TRANSACTIONS_MASTER!$AE$5:$AE$1204,0),"")</f>
        <v/>
      </c>
    </row>
    <row r="59">
      <c r="A59" s="81" t="str">
        <f>IF($Q59="","",52)</f>
        <v/>
      </c>
      <c r="B59" s="57" t="str">
        <f>IF($Q59="","",INDEX(TRANSACTIONS_MASTER!$B$5:$B$1204,$Q59))</f>
        <v/>
      </c>
      <c r="C59" s="55" t="str">
        <f>IF($Q59="","",INDEX(TRANSACTIONS_MASTER!$F$5:$F$1204,$Q59))</f>
        <v/>
      </c>
      <c r="D59" s="55" t="str">
        <f>IF($Q59="","",INDEX(TRANSACTIONS_MASTER!$E$5:$E$1204,$Q59))</f>
        <v/>
      </c>
      <c r="E59" s="55" t="str">
        <f>IF($Q59="","",INDEX(TRANSACTIONS_MASTER!$G$5:$G$1204,$Q59)&amp;"")</f>
        <v/>
      </c>
      <c r="F59" s="29" t="str">
        <f>IF($Q59="","",INDEX(TRANSACTIONS_MASTER!$I$5:$I$1204,$Q59))</f>
        <v/>
      </c>
      <c r="G59" s="55" t="str">
        <f>IF($Q59="","",INDEX(TRANSACTIONS_MASTER!$K$5:$K$1204,$Q59))</f>
        <v/>
      </c>
      <c r="H59" s="25" t="str">
        <f>IF($Q59="","",INDEX(TRANSACTIONS_MASTER!$L$5:$L$1204,$Q59))</f>
        <v/>
      </c>
      <c r="I59" s="56" t="str">
        <f>IF($Q59="","",INDEX(TRANSACTIONS_MASTER!$N$5:$N$1204,$Q59))</f>
        <v/>
      </c>
      <c r="J59" s="25" t="str">
        <f>IF($Q59="","",INDEX(TRANSACTIONS_MASTER!$O$5:$O$1204,$Q59))</f>
        <v/>
      </c>
      <c r="K59" s="26" t="str">
        <f>IF($Q59="","",INDEX(TRANSACTIONS_MASTER!$Q$5:$Q$1204,$Q59))</f>
        <v/>
      </c>
      <c r="L59" s="25" t="str">
        <f>IF($Q59="","",INDEX(TRANSACTIONS_MASTER!$P$5:$P$1204,$Q59))</f>
        <v/>
      </c>
      <c r="M59" s="25" t="str">
        <f>IF($Q59="","",INDEX(TRANSACTIONS_MASTER!$AA$5:$AA$1204,$Q59))</f>
        <v/>
      </c>
      <c r="N59" s="25" t="str">
        <f>IF($Q59="","",INDEX(TRANSACTIONS_MASTER!$R$5:$R$1204,$Q59))</f>
        <v/>
      </c>
      <c r="O59" s="28" t="str">
        <f>IF($Q59="","",INDEX(TRANSACTIONS_MASTER!$AB$5:$AB$1204,$Q59))</f>
        <v/>
      </c>
      <c r="P59" s="55" t="str">
        <f>IF($Q59="","",INDEX(TRANSACTIONS_MASTER!$Z$5:$Z$1204,$Q59)&amp;"")</f>
        <v/>
      </c>
      <c r="Q59" s="67" t="str">
        <f>IFERROR(MATCH($C$2&amp;"|"&amp;52,TRANSACTIONS_MASTER!$AE$5:$AE$1204,0),"")</f>
        <v/>
      </c>
    </row>
    <row r="60" ht="22" customHeight="1">
      <c r="A60" s="81" t="str">
        <f>IF($Q60="","",53)</f>
        <v/>
      </c>
      <c r="B60" s="57" t="str">
        <f>IF($Q60="","",INDEX(TRANSACTIONS_MASTER!$B$5:$B$1204,$Q60))</f>
        <v/>
      </c>
      <c r="C60" s="55" t="str">
        <f>IF($Q60="","",INDEX(TRANSACTIONS_MASTER!$F$5:$F$1204,$Q60))</f>
        <v/>
      </c>
      <c r="D60" s="55" t="str">
        <f>IF($Q60="","",INDEX(TRANSACTIONS_MASTER!$E$5:$E$1204,$Q60))</f>
        <v/>
      </c>
      <c r="E60" s="55" t="str">
        <f>IF($Q60="","",INDEX(TRANSACTIONS_MASTER!$G$5:$G$1204,$Q60)&amp;"")</f>
        <v/>
      </c>
      <c r="F60" s="29" t="str">
        <f>IF($Q60="","",INDEX(TRANSACTIONS_MASTER!$I$5:$I$1204,$Q60))</f>
        <v/>
      </c>
      <c r="G60" s="55" t="str">
        <f>IF($Q60="","",INDEX(TRANSACTIONS_MASTER!$K$5:$K$1204,$Q60))</f>
        <v/>
      </c>
      <c r="H60" s="25" t="str">
        <f>IF($Q60="","",INDEX(TRANSACTIONS_MASTER!$L$5:$L$1204,$Q60))</f>
        <v/>
      </c>
      <c r="I60" s="56" t="str">
        <f>IF($Q60="","",INDEX(TRANSACTIONS_MASTER!$N$5:$N$1204,$Q60))</f>
        <v/>
      </c>
      <c r="J60" s="25" t="str">
        <f>IF($Q60="","",INDEX(TRANSACTIONS_MASTER!$O$5:$O$1204,$Q60))</f>
        <v/>
      </c>
      <c r="K60" s="26" t="str">
        <f>IF($Q60="","",INDEX(TRANSACTIONS_MASTER!$Q$5:$Q$1204,$Q60))</f>
        <v/>
      </c>
      <c r="L60" s="25" t="str">
        <f>IF($Q60="","",INDEX(TRANSACTIONS_MASTER!$P$5:$P$1204,$Q60))</f>
        <v/>
      </c>
      <c r="M60" s="25" t="str">
        <f>IF($Q60="","",INDEX(TRANSACTIONS_MASTER!$AA$5:$AA$1204,$Q60))</f>
        <v/>
      </c>
      <c r="N60" s="25" t="str">
        <f>IF($Q60="","",INDEX(TRANSACTIONS_MASTER!$R$5:$R$1204,$Q60))</f>
        <v/>
      </c>
      <c r="O60" s="28" t="str">
        <f>IF($Q60="","",INDEX(TRANSACTIONS_MASTER!$AB$5:$AB$1204,$Q60))</f>
        <v/>
      </c>
      <c r="P60" s="55" t="str">
        <f>IF($Q60="","",INDEX(TRANSACTIONS_MASTER!$Z$5:$Z$1204,$Q60)&amp;"")</f>
        <v/>
      </c>
      <c r="Q60" s="67" t="str">
        <f>IFERROR(MATCH($C$2&amp;"|"&amp;53,TRANSACTIONS_MASTER!$AE$5:$AE$1204,0),"")</f>
        <v/>
      </c>
      <c r="T60" s="19" t="inlineStr">
        <is>
          <t>TỔNG THEO THẺ — chi tiêu · cashback · cap thẻ / tháng</t>
        </is>
      </c>
      <c r="U60" s="20" t="n"/>
      <c r="V60" s="20" t="n"/>
      <c r="W60" s="20" t="n"/>
      <c r="X60" s="20" t="n"/>
      <c r="Y60" s="20" t="n"/>
      <c r="Z60" s="20" t="n"/>
      <c r="AA60" s="20" t="n"/>
    </row>
    <row r="61" ht="30" customHeight="1">
      <c r="A61" s="81" t="str">
        <f>IF($Q61="","",54)</f>
        <v/>
      </c>
      <c r="B61" s="57" t="str">
        <f>IF($Q61="","",INDEX(TRANSACTIONS_MASTER!$B$5:$B$1204,$Q61))</f>
        <v/>
      </c>
      <c r="C61" s="55" t="str">
        <f>IF($Q61="","",INDEX(TRANSACTIONS_MASTER!$F$5:$F$1204,$Q61))</f>
        <v/>
      </c>
      <c r="D61" s="55" t="str">
        <f>IF($Q61="","",INDEX(TRANSACTIONS_MASTER!$E$5:$E$1204,$Q61))</f>
        <v/>
      </c>
      <c r="E61" s="55" t="str">
        <f>IF($Q61="","",INDEX(TRANSACTIONS_MASTER!$G$5:$G$1204,$Q61)&amp;"")</f>
        <v/>
      </c>
      <c r="F61" s="29" t="str">
        <f>IF($Q61="","",INDEX(TRANSACTIONS_MASTER!$I$5:$I$1204,$Q61))</f>
        <v/>
      </c>
      <c r="G61" s="55" t="str">
        <f>IF($Q61="","",INDEX(TRANSACTIONS_MASTER!$K$5:$K$1204,$Q61))</f>
        <v/>
      </c>
      <c r="H61" s="25" t="str">
        <f>IF($Q61="","",INDEX(TRANSACTIONS_MASTER!$L$5:$L$1204,$Q61))</f>
        <v/>
      </c>
      <c r="I61" s="56" t="str">
        <f>IF($Q61="","",INDEX(TRANSACTIONS_MASTER!$N$5:$N$1204,$Q61))</f>
        <v/>
      </c>
      <c r="J61" s="25" t="str">
        <f>IF($Q61="","",INDEX(TRANSACTIONS_MASTER!$O$5:$O$1204,$Q61))</f>
        <v/>
      </c>
      <c r="K61" s="26" t="str">
        <f>IF($Q61="","",INDEX(TRANSACTIONS_MASTER!$Q$5:$Q$1204,$Q61))</f>
        <v/>
      </c>
      <c r="L61" s="25" t="str">
        <f>IF($Q61="","",INDEX(TRANSACTIONS_MASTER!$P$5:$P$1204,$Q61))</f>
        <v/>
      </c>
      <c r="M61" s="25" t="str">
        <f>IF($Q61="","",INDEX(TRANSACTIONS_MASTER!$AA$5:$AA$1204,$Q61))</f>
        <v/>
      </c>
      <c r="N61" s="25" t="str">
        <f>IF($Q61="","",INDEX(TRANSACTIONS_MASTER!$R$5:$R$1204,$Q61))</f>
        <v/>
      </c>
      <c r="O61" s="28" t="str">
        <f>IF($Q61="","",INDEX(TRANSACTIONS_MASTER!$AB$5:$AB$1204,$Q61))</f>
        <v/>
      </c>
      <c r="P61" s="55" t="str">
        <f>IF($Q61="","",INDEX(TRANSACTIONS_MASTER!$Z$5:$Z$1204,$Q61)&amp;"")</f>
        <v/>
      </c>
      <c r="Q61" s="67" t="str">
        <f>IFERROR(MATCH($C$2&amp;"|"&amp;54,TRANSACTIONS_MASTER!$AE$5:$AE$1204,0),"")</f>
        <v/>
      </c>
      <c r="S61" s="21" t="inlineStr">
        <is>
          <t>#</t>
        </is>
      </c>
      <c r="T61" s="21" t="inlineStr">
        <is>
          <t>Card ID</t>
        </is>
      </c>
      <c r="U61" s="21" t="inlineStr">
        <is>
          <t>Thẻ</t>
        </is>
      </c>
      <c r="V61" s="21" t="inlineStr">
        <is>
          <t>Chi tiêu</t>
        </is>
      </c>
      <c r="W61" s="21" t="inlineStr">
        <is>
          <t>Cashback</t>
        </is>
      </c>
      <c r="X61" s="21" t="inlineStr">
        <is>
          <t>Cap thẻ / tháng</t>
        </is>
      </c>
      <c r="Y61" s="21" t="inlineStr">
        <is>
          <t>Còn lại (tối đa)</t>
        </is>
      </c>
      <c r="Z61" s="21" t="inlineStr">
        <is>
          <t>Progress</t>
        </is>
      </c>
      <c r="AA61" s="21" t="inlineStr">
        <is>
          <t>Số GD</t>
        </is>
      </c>
    </row>
    <row r="62">
      <c r="A62" s="81" t="str">
        <f>IF($Q62="","",55)</f>
        <v/>
      </c>
      <c r="B62" s="57" t="str">
        <f>IF($Q62="","",INDEX(TRANSACTIONS_MASTER!$B$5:$B$1204,$Q62))</f>
        <v/>
      </c>
      <c r="C62" s="55" t="str">
        <f>IF($Q62="","",INDEX(TRANSACTIONS_MASTER!$F$5:$F$1204,$Q62))</f>
        <v/>
      </c>
      <c r="D62" s="55" t="str">
        <f>IF($Q62="","",INDEX(TRANSACTIONS_MASTER!$E$5:$E$1204,$Q62))</f>
        <v/>
      </c>
      <c r="E62" s="55" t="str">
        <f>IF($Q62="","",INDEX(TRANSACTIONS_MASTER!$G$5:$G$1204,$Q62)&amp;"")</f>
        <v/>
      </c>
      <c r="F62" s="29" t="str">
        <f>IF($Q62="","",INDEX(TRANSACTIONS_MASTER!$I$5:$I$1204,$Q62))</f>
        <v/>
      </c>
      <c r="G62" s="55" t="str">
        <f>IF($Q62="","",INDEX(TRANSACTIONS_MASTER!$K$5:$K$1204,$Q62))</f>
        <v/>
      </c>
      <c r="H62" s="25" t="str">
        <f>IF($Q62="","",INDEX(TRANSACTIONS_MASTER!$L$5:$L$1204,$Q62))</f>
        <v/>
      </c>
      <c r="I62" s="56" t="str">
        <f>IF($Q62="","",INDEX(TRANSACTIONS_MASTER!$N$5:$N$1204,$Q62))</f>
        <v/>
      </c>
      <c r="J62" s="25" t="str">
        <f>IF($Q62="","",INDEX(TRANSACTIONS_MASTER!$O$5:$O$1204,$Q62))</f>
        <v/>
      </c>
      <c r="K62" s="26" t="str">
        <f>IF($Q62="","",INDEX(TRANSACTIONS_MASTER!$Q$5:$Q$1204,$Q62))</f>
        <v/>
      </c>
      <c r="L62" s="25" t="str">
        <f>IF($Q62="","",INDEX(TRANSACTIONS_MASTER!$P$5:$P$1204,$Q62))</f>
        <v/>
      </c>
      <c r="M62" s="25" t="str">
        <f>IF($Q62="","",INDEX(TRANSACTIONS_MASTER!$AA$5:$AA$1204,$Q62))</f>
        <v/>
      </c>
      <c r="N62" s="25" t="str">
        <f>IF($Q62="","",INDEX(TRANSACTIONS_MASTER!$R$5:$R$1204,$Q62))</f>
        <v/>
      </c>
      <c r="O62" s="28" t="str">
        <f>IF($Q62="","",INDEX(TRANSACTIONS_MASTER!$AB$5:$AB$1204,$Q62))</f>
        <v/>
      </c>
      <c r="P62" s="55" t="str">
        <f>IF($Q62="","",INDEX(TRANSACTIONS_MASTER!$Z$5:$Z$1204,$Q62)&amp;"")</f>
        <v/>
      </c>
      <c r="Q62" s="67" t="str">
        <f>IFERROR(MATCH($C$2&amp;"|"&amp;55,TRANSACTIONS_MASTER!$AE$5:$AE$1204,0),"")</f>
        <v/>
      </c>
      <c r="S62" s="67" t="n">
        <v>1</v>
      </c>
      <c r="T62" s="55" t="str">
        <f>IF(CARDS!$A5="","",CARDS!$A5)</f>
        <v>VPB-JCBZ</v>
      </c>
      <c r="U62" s="55" t="str">
        <f>IF($T62="","",CARDS!$B5&amp;" "&amp;CARDS!$C5)</f>
        <v>VPBank JCB Z Card</v>
      </c>
      <c r="V62" s="25">
        <f>IF($T62="","",SUMIFS(TRANSACTIONS_MASTER!$L$5:$L$1204,TRANSACTIONS_MASTER!$D$5:$D$1204,$T62,TRANSACTIONS_MASTER!$C$5:$C$1204,$C$2,TRANSACTIONS_MASTER!$U$5:$U$1204,"&lt;&gt;Cancelled"))</f>
        <v>0</v>
      </c>
      <c r="W62" s="26">
        <f>IF($T62="","",SUMIFS(TRANSACTIONS_MASTER!$Q$5:$Q$1204,TRANSACTIONS_MASTER!$D$5:$D$1204,$T62,TRANSACTIONS_MASTER!$C$5:$C$1204,$C$2))</f>
        <v>0</v>
      </c>
      <c r="X62" s="25">
        <f>IF($T62="","",IFERROR(IF(ISNUMBER(INDEX(CASHBACK_RULES!$K$5:$K$304,MATCH($T62,CASHBACK_RULES!$B$5:$B$304,0))),INDEX(CASHBACK_RULES!$K$5:$K$304,MATCH($T62,CASHBACK_RULES!$B$5:$B$304,0)),"∞"),"—"))</f>
        <v>1000000</v>
      </c>
      <c r="Y62" s="25">
        <f>IF($T62="","",IF($X62="—","—",IF(COUNTIFS($T$8:$T$57,$T62,$Z$8:$Z$57,"∞")&gt;0,IF(ISNUMBER($X62),MAX(0,$X62-$W62),"∞"),IF(ISNUMBER($X62),MAX(0,MIN($X62-$W62,SUMIFS($Z$8:$Z$57,$T$8:$T$57,$T62))),SUMIFS($Z$8:$Z$57,$T$8:$T$57,$T62)))))</f>
        <v>1000000</v>
      </c>
      <c r="Z62" s="27">
        <f>IF($T62="","",IF(ISNUMBER($X62),IF($X62=0,0,$W62/$X62),IF(ISNUMBER($Y62),IF($W62+$Y62=0,0,$W62/($W62+$Y62)),"")))</f>
        <v>0</v>
      </c>
      <c r="AA62" s="29">
        <f>IF($T62="","",COUNTIFS(TRANSACTIONS_MASTER!$D$5:$D$1204,$T62,TRANSACTIONS_MASTER!$C$5:$C$1204,$C$2,TRANSACTIONS_MASTER!$U$5:$U$1204,"&lt;&gt;Cancelled"))</f>
        <v>0</v>
      </c>
    </row>
    <row r="63">
      <c r="A63" s="81" t="str">
        <f>IF($Q63="","",56)</f>
        <v/>
      </c>
      <c r="B63" s="57" t="str">
        <f>IF($Q63="","",INDEX(TRANSACTIONS_MASTER!$B$5:$B$1204,$Q63))</f>
        <v/>
      </c>
      <c r="C63" s="55" t="str">
        <f>IF($Q63="","",INDEX(TRANSACTIONS_MASTER!$F$5:$F$1204,$Q63))</f>
        <v/>
      </c>
      <c r="D63" s="55" t="str">
        <f>IF($Q63="","",INDEX(TRANSACTIONS_MASTER!$E$5:$E$1204,$Q63))</f>
        <v/>
      </c>
      <c r="E63" s="55" t="str">
        <f>IF($Q63="","",INDEX(TRANSACTIONS_MASTER!$G$5:$G$1204,$Q63)&amp;"")</f>
        <v/>
      </c>
      <c r="F63" s="29" t="str">
        <f>IF($Q63="","",INDEX(TRANSACTIONS_MASTER!$I$5:$I$1204,$Q63))</f>
        <v/>
      </c>
      <c r="G63" s="55" t="str">
        <f>IF($Q63="","",INDEX(TRANSACTIONS_MASTER!$K$5:$K$1204,$Q63))</f>
        <v/>
      </c>
      <c r="H63" s="25" t="str">
        <f>IF($Q63="","",INDEX(TRANSACTIONS_MASTER!$L$5:$L$1204,$Q63))</f>
        <v/>
      </c>
      <c r="I63" s="56" t="str">
        <f>IF($Q63="","",INDEX(TRANSACTIONS_MASTER!$N$5:$N$1204,$Q63))</f>
        <v/>
      </c>
      <c r="J63" s="25" t="str">
        <f>IF($Q63="","",INDEX(TRANSACTIONS_MASTER!$O$5:$O$1204,$Q63))</f>
        <v/>
      </c>
      <c r="K63" s="26" t="str">
        <f>IF($Q63="","",INDEX(TRANSACTIONS_MASTER!$Q$5:$Q$1204,$Q63))</f>
        <v/>
      </c>
      <c r="L63" s="25" t="str">
        <f>IF($Q63="","",INDEX(TRANSACTIONS_MASTER!$P$5:$P$1204,$Q63))</f>
        <v/>
      </c>
      <c r="M63" s="25" t="str">
        <f>IF($Q63="","",INDEX(TRANSACTIONS_MASTER!$AA$5:$AA$1204,$Q63))</f>
        <v/>
      </c>
      <c r="N63" s="25" t="str">
        <f>IF($Q63="","",INDEX(TRANSACTIONS_MASTER!$R$5:$R$1204,$Q63))</f>
        <v/>
      </c>
      <c r="O63" s="28" t="str">
        <f>IF($Q63="","",INDEX(TRANSACTIONS_MASTER!$AB$5:$AB$1204,$Q63))</f>
        <v/>
      </c>
      <c r="P63" s="55" t="str">
        <f>IF($Q63="","",INDEX(TRANSACTIONS_MASTER!$Z$5:$Z$1204,$Q63)&amp;"")</f>
        <v/>
      </c>
      <c r="Q63" s="67" t="str">
        <f>IFERROR(MATCH($C$2&amp;"|"&amp;56,TRANSACTIONS_MASTER!$AE$5:$AE$1204,0),"")</f>
        <v/>
      </c>
      <c r="S63" s="67" t="n">
        <v>2</v>
      </c>
      <c r="T63" s="55" t="str">
        <f>IF(CARDS!$A6="","",CARDS!$A6)</f>
        <v>VIB-A</v>
      </c>
      <c r="U63" s="55" t="str">
        <f>IF($T63="","",CARDS!$B6&amp;" "&amp;CARDS!$C6)</f>
        <v>VIB Cashback Demo A</v>
      </c>
      <c r="V63" s="25">
        <f>IF($T63="","",SUMIFS(TRANSACTIONS_MASTER!$L$5:$L$1204,TRANSACTIONS_MASTER!$D$5:$D$1204,$T63,TRANSACTIONS_MASTER!$C$5:$C$1204,$C$2,TRANSACTIONS_MASTER!$U$5:$U$1204,"&lt;&gt;Cancelled"))</f>
        <v>0</v>
      </c>
      <c r="W63" s="26">
        <f>IF($T63="","",SUMIFS(TRANSACTIONS_MASTER!$Q$5:$Q$1204,TRANSACTIONS_MASTER!$D$5:$D$1204,$T63,TRANSACTIONS_MASTER!$C$5:$C$1204,$C$2))</f>
        <v>0</v>
      </c>
      <c r="X63" s="25">
        <f>IF($T63="","",IFERROR(IF(ISNUMBER(INDEX(CASHBACK_RULES!$K$5:$K$304,MATCH($T63,CASHBACK_RULES!$B$5:$B$304,0))),INDEX(CASHBACK_RULES!$K$5:$K$304,MATCH($T63,CASHBACK_RULES!$B$5:$B$304,0)),"∞"),"—"))</f>
        <v>1000000</v>
      </c>
      <c r="Y63" s="25">
        <f>IF($T63="","",IF($X63="—","—",IF(COUNTIFS($T$8:$T$57,$T63,$Z$8:$Z$57,"∞")&gt;0,IF(ISNUMBER($X63),MAX(0,$X63-$W63),"∞"),IF(ISNUMBER($X63),MAX(0,MIN($X63-$W63,SUMIFS($Z$8:$Z$57,$T$8:$T$57,$T63))),SUMIFS($Z$8:$Z$57,$T$8:$T$57,$T63)))))</f>
        <v>1000000</v>
      </c>
      <c r="Z63" s="27">
        <f>IF($T63="","",IF(ISNUMBER($X63),IF($X63=0,0,$W63/$X63),IF(ISNUMBER($Y63),IF($W63+$Y63=0,0,$W63/($W63+$Y63)),"")))</f>
        <v>0</v>
      </c>
      <c r="AA63" s="29">
        <f>IF($T63="","",COUNTIFS(TRANSACTIONS_MASTER!$D$5:$D$1204,$T63,TRANSACTIONS_MASTER!$C$5:$C$1204,$C$2,TRANSACTIONS_MASTER!$U$5:$U$1204,"&lt;&gt;Cancelled"))</f>
        <v>0</v>
      </c>
    </row>
    <row r="64">
      <c r="A64" s="81" t="str">
        <f>IF($Q64="","",57)</f>
        <v/>
      </c>
      <c r="B64" s="57" t="str">
        <f>IF($Q64="","",INDEX(TRANSACTIONS_MASTER!$B$5:$B$1204,$Q64))</f>
        <v/>
      </c>
      <c r="C64" s="55" t="str">
        <f>IF($Q64="","",INDEX(TRANSACTIONS_MASTER!$F$5:$F$1204,$Q64))</f>
        <v/>
      </c>
      <c r="D64" s="55" t="str">
        <f>IF($Q64="","",INDEX(TRANSACTIONS_MASTER!$E$5:$E$1204,$Q64))</f>
        <v/>
      </c>
      <c r="E64" s="55" t="str">
        <f>IF($Q64="","",INDEX(TRANSACTIONS_MASTER!$G$5:$G$1204,$Q64)&amp;"")</f>
        <v/>
      </c>
      <c r="F64" s="29" t="str">
        <f>IF($Q64="","",INDEX(TRANSACTIONS_MASTER!$I$5:$I$1204,$Q64))</f>
        <v/>
      </c>
      <c r="G64" s="55" t="str">
        <f>IF($Q64="","",INDEX(TRANSACTIONS_MASTER!$K$5:$K$1204,$Q64))</f>
        <v/>
      </c>
      <c r="H64" s="25" t="str">
        <f>IF($Q64="","",INDEX(TRANSACTIONS_MASTER!$L$5:$L$1204,$Q64))</f>
        <v/>
      </c>
      <c r="I64" s="56" t="str">
        <f>IF($Q64="","",INDEX(TRANSACTIONS_MASTER!$N$5:$N$1204,$Q64))</f>
        <v/>
      </c>
      <c r="J64" s="25" t="str">
        <f>IF($Q64="","",INDEX(TRANSACTIONS_MASTER!$O$5:$O$1204,$Q64))</f>
        <v/>
      </c>
      <c r="K64" s="26" t="str">
        <f>IF($Q64="","",INDEX(TRANSACTIONS_MASTER!$Q$5:$Q$1204,$Q64))</f>
        <v/>
      </c>
      <c r="L64" s="25" t="str">
        <f>IF($Q64="","",INDEX(TRANSACTIONS_MASTER!$P$5:$P$1204,$Q64))</f>
        <v/>
      </c>
      <c r="M64" s="25" t="str">
        <f>IF($Q64="","",INDEX(TRANSACTIONS_MASTER!$AA$5:$AA$1204,$Q64))</f>
        <v/>
      </c>
      <c r="N64" s="25" t="str">
        <f>IF($Q64="","",INDEX(TRANSACTIONS_MASTER!$R$5:$R$1204,$Q64))</f>
        <v/>
      </c>
      <c r="O64" s="28" t="str">
        <f>IF($Q64="","",INDEX(TRANSACTIONS_MASTER!$AB$5:$AB$1204,$Q64))</f>
        <v/>
      </c>
      <c r="P64" s="55" t="str">
        <f>IF($Q64="","",INDEX(TRANSACTIONS_MASTER!$Z$5:$Z$1204,$Q64)&amp;"")</f>
        <v/>
      </c>
      <c r="Q64" s="67" t="str">
        <f>IFERROR(MATCH($C$2&amp;"|"&amp;57,TRANSACTIONS_MASTER!$AE$5:$AE$1204,0),"")</f>
        <v/>
      </c>
      <c r="S64" s="67" t="n">
        <v>3</v>
      </c>
      <c r="T64" s="55" t="str">
        <f>IF(CARDS!$A7="","",CARDS!$A7)</f>
        <v>TCB-B</v>
      </c>
      <c r="U64" s="55" t="str">
        <f>IF($T64="","",CARDS!$B7&amp;" "&amp;CARDS!$C7)</f>
        <v>Techcombank Cashback Demo B</v>
      </c>
      <c r="V64" s="25">
        <f>IF($T64="","",SUMIFS(TRANSACTIONS_MASTER!$L$5:$L$1204,TRANSACTIONS_MASTER!$D$5:$D$1204,$T64,TRANSACTIONS_MASTER!$C$5:$C$1204,$C$2,TRANSACTIONS_MASTER!$U$5:$U$1204,"&lt;&gt;Cancelled"))</f>
        <v>0</v>
      </c>
      <c r="W64" s="26">
        <f>IF($T64="","",SUMIFS(TRANSACTIONS_MASTER!$Q$5:$Q$1204,TRANSACTIONS_MASTER!$D$5:$D$1204,$T64,TRANSACTIONS_MASTER!$C$5:$C$1204,$C$2))</f>
        <v>0</v>
      </c>
      <c r="X64" s="25">
        <f>IF($T64="","",IFERROR(IF(ISNUMBER(INDEX(CASHBACK_RULES!$K$5:$K$304,MATCH($T64,CASHBACK_RULES!$B$5:$B$304,0))),INDEX(CASHBACK_RULES!$K$5:$K$304,MATCH($T64,CASHBACK_RULES!$B$5:$B$304,0)),"∞"),"—"))</f>
        <v>2000000</v>
      </c>
      <c r="Y64" s="25">
        <f>IF($T64="","",IF($X64="—","—",IF(COUNTIFS($T$8:$T$57,$T64,$Z$8:$Z$57,"∞")&gt;0,IF(ISNUMBER($X64),MAX(0,$X64-$W64),"∞"),IF(ISNUMBER($X64),MAX(0,MIN($X64-$W64,SUMIFS($Z$8:$Z$57,$T$8:$T$57,$T64))),SUMIFS($Z$8:$Z$57,$T$8:$T$57,$T64)))))</f>
        <v>900000</v>
      </c>
      <c r="Z64" s="27">
        <f>IF($T64="","",IF(ISNUMBER($X64),IF($X64=0,0,$W64/$X64),IF(ISNUMBER($Y64),IF($W64+$Y64=0,0,$W64/($W64+$Y64)),"")))</f>
        <v>0</v>
      </c>
      <c r="AA64" s="29">
        <f>IF($T64="","",COUNTIFS(TRANSACTIONS_MASTER!$D$5:$D$1204,$T64,TRANSACTIONS_MASTER!$C$5:$C$1204,$C$2,TRANSACTIONS_MASTER!$U$5:$U$1204,"&lt;&gt;Cancelled"))</f>
        <v>0</v>
      </c>
    </row>
    <row r="65">
      <c r="A65" s="81" t="str">
        <f>IF($Q65="","",58)</f>
        <v/>
      </c>
      <c r="B65" s="57" t="str">
        <f>IF($Q65="","",INDEX(TRANSACTIONS_MASTER!$B$5:$B$1204,$Q65))</f>
        <v/>
      </c>
      <c r="C65" s="55" t="str">
        <f>IF($Q65="","",INDEX(TRANSACTIONS_MASTER!$F$5:$F$1204,$Q65))</f>
        <v/>
      </c>
      <c r="D65" s="55" t="str">
        <f>IF($Q65="","",INDEX(TRANSACTIONS_MASTER!$E$5:$E$1204,$Q65))</f>
        <v/>
      </c>
      <c r="E65" s="55" t="str">
        <f>IF($Q65="","",INDEX(TRANSACTIONS_MASTER!$G$5:$G$1204,$Q65)&amp;"")</f>
        <v/>
      </c>
      <c r="F65" s="29" t="str">
        <f>IF($Q65="","",INDEX(TRANSACTIONS_MASTER!$I$5:$I$1204,$Q65))</f>
        <v/>
      </c>
      <c r="G65" s="55" t="str">
        <f>IF($Q65="","",INDEX(TRANSACTIONS_MASTER!$K$5:$K$1204,$Q65))</f>
        <v/>
      </c>
      <c r="H65" s="25" t="str">
        <f>IF($Q65="","",INDEX(TRANSACTIONS_MASTER!$L$5:$L$1204,$Q65))</f>
        <v/>
      </c>
      <c r="I65" s="56" t="str">
        <f>IF($Q65="","",INDEX(TRANSACTIONS_MASTER!$N$5:$N$1204,$Q65))</f>
        <v/>
      </c>
      <c r="J65" s="25" t="str">
        <f>IF($Q65="","",INDEX(TRANSACTIONS_MASTER!$O$5:$O$1204,$Q65))</f>
        <v/>
      </c>
      <c r="K65" s="26" t="str">
        <f>IF($Q65="","",INDEX(TRANSACTIONS_MASTER!$Q$5:$Q$1204,$Q65))</f>
        <v/>
      </c>
      <c r="L65" s="25" t="str">
        <f>IF($Q65="","",INDEX(TRANSACTIONS_MASTER!$P$5:$P$1204,$Q65))</f>
        <v/>
      </c>
      <c r="M65" s="25" t="str">
        <f>IF($Q65="","",INDEX(TRANSACTIONS_MASTER!$AA$5:$AA$1204,$Q65))</f>
        <v/>
      </c>
      <c r="N65" s="25" t="str">
        <f>IF($Q65="","",INDEX(TRANSACTIONS_MASTER!$R$5:$R$1204,$Q65))</f>
        <v/>
      </c>
      <c r="O65" s="28" t="str">
        <f>IF($Q65="","",INDEX(TRANSACTIONS_MASTER!$AB$5:$AB$1204,$Q65))</f>
        <v/>
      </c>
      <c r="P65" s="55" t="str">
        <f>IF($Q65="","",INDEX(TRANSACTIONS_MASTER!$Z$5:$Z$1204,$Q65)&amp;"")</f>
        <v/>
      </c>
      <c r="Q65" s="67" t="str">
        <f>IFERROR(MATCH($C$2&amp;"|"&amp;58,TRANSACTIONS_MASTER!$AE$5:$AE$1204,0),"")</f>
        <v/>
      </c>
      <c r="S65" s="67" t="n">
        <v>4</v>
      </c>
      <c r="T65" s="55" t="str">
        <f>IF(CARDS!$A8="","",CARDS!$A8)</f>
        <v>UOB-C</v>
      </c>
      <c r="U65" s="55" t="str">
        <f>IF($T65="","",CARDS!$B8&amp;" "&amp;CARDS!$C8)</f>
        <v>UOB Cashback Demo C</v>
      </c>
      <c r="V65" s="25">
        <f>IF($T65="","",SUMIFS(TRANSACTIONS_MASTER!$L$5:$L$1204,TRANSACTIONS_MASTER!$D$5:$D$1204,$T65,TRANSACTIONS_MASTER!$C$5:$C$1204,$C$2,TRANSACTIONS_MASTER!$U$5:$U$1204,"&lt;&gt;Cancelled"))</f>
        <v>0</v>
      </c>
      <c r="W65" s="26">
        <f>IF($T65="","",SUMIFS(TRANSACTIONS_MASTER!$Q$5:$Q$1204,TRANSACTIONS_MASTER!$D$5:$D$1204,$T65,TRANSACTIONS_MASTER!$C$5:$C$1204,$C$2))</f>
        <v>0</v>
      </c>
      <c r="X65" s="25" t="str">
        <f>IF($T65="","",IFERROR(IF(ISNUMBER(INDEX(CASHBACK_RULES!$K$5:$K$304,MATCH($T65,CASHBACK_RULES!$B$5:$B$304,0))),INDEX(CASHBACK_RULES!$K$5:$K$304,MATCH($T65,CASHBACK_RULES!$B$5:$B$304,0)),"∞"),"—"))</f>
        <v>∞</v>
      </c>
      <c r="Y65" s="25">
        <f>IF($T65="","",IF($X65="—","—",IF(COUNTIFS($T$8:$T$57,$T65,$Z$8:$Z$57,"∞")&gt;0,IF(ISNUMBER($X65),MAX(0,$X65-$W65),"∞"),IF(ISNUMBER($X65),MAX(0,MIN($X65-$W65,SUMIFS($Z$8:$Z$57,$T$8:$T$57,$T65))),SUMIFS($Z$8:$Z$57,$T$8:$T$57,$T65)))))</f>
        <v>1000000</v>
      </c>
      <c r="Z65" s="27">
        <f>IF($T65="","",IF(ISNUMBER($X65),IF($X65=0,0,$W65/$X65),IF(ISNUMBER($Y65),IF($W65+$Y65=0,0,$W65/($W65+$Y65)),"")))</f>
        <v>0</v>
      </c>
      <c r="AA65" s="29">
        <f>IF($T65="","",COUNTIFS(TRANSACTIONS_MASTER!$D$5:$D$1204,$T65,TRANSACTIONS_MASTER!$C$5:$C$1204,$C$2,TRANSACTIONS_MASTER!$U$5:$U$1204,"&lt;&gt;Cancelled"))</f>
        <v>0</v>
      </c>
    </row>
    <row r="66">
      <c r="A66" s="81" t="str">
        <f>IF($Q66="","",59)</f>
        <v/>
      </c>
      <c r="B66" s="57" t="str">
        <f>IF($Q66="","",INDEX(TRANSACTIONS_MASTER!$B$5:$B$1204,$Q66))</f>
        <v/>
      </c>
      <c r="C66" s="55" t="str">
        <f>IF($Q66="","",INDEX(TRANSACTIONS_MASTER!$F$5:$F$1204,$Q66))</f>
        <v/>
      </c>
      <c r="D66" s="55" t="str">
        <f>IF($Q66="","",INDEX(TRANSACTIONS_MASTER!$E$5:$E$1204,$Q66))</f>
        <v/>
      </c>
      <c r="E66" s="55" t="str">
        <f>IF($Q66="","",INDEX(TRANSACTIONS_MASTER!$G$5:$G$1204,$Q66)&amp;"")</f>
        <v/>
      </c>
      <c r="F66" s="29" t="str">
        <f>IF($Q66="","",INDEX(TRANSACTIONS_MASTER!$I$5:$I$1204,$Q66))</f>
        <v/>
      </c>
      <c r="G66" s="55" t="str">
        <f>IF($Q66="","",INDEX(TRANSACTIONS_MASTER!$K$5:$K$1204,$Q66))</f>
        <v/>
      </c>
      <c r="H66" s="25" t="str">
        <f>IF($Q66="","",INDEX(TRANSACTIONS_MASTER!$L$5:$L$1204,$Q66))</f>
        <v/>
      </c>
      <c r="I66" s="56" t="str">
        <f>IF($Q66="","",INDEX(TRANSACTIONS_MASTER!$N$5:$N$1204,$Q66))</f>
        <v/>
      </c>
      <c r="J66" s="25" t="str">
        <f>IF($Q66="","",INDEX(TRANSACTIONS_MASTER!$O$5:$O$1204,$Q66))</f>
        <v/>
      </c>
      <c r="K66" s="26" t="str">
        <f>IF($Q66="","",INDEX(TRANSACTIONS_MASTER!$Q$5:$Q$1204,$Q66))</f>
        <v/>
      </c>
      <c r="L66" s="25" t="str">
        <f>IF($Q66="","",INDEX(TRANSACTIONS_MASTER!$P$5:$P$1204,$Q66))</f>
        <v/>
      </c>
      <c r="M66" s="25" t="str">
        <f>IF($Q66="","",INDEX(TRANSACTIONS_MASTER!$AA$5:$AA$1204,$Q66))</f>
        <v/>
      </c>
      <c r="N66" s="25" t="str">
        <f>IF($Q66="","",INDEX(TRANSACTIONS_MASTER!$R$5:$R$1204,$Q66))</f>
        <v/>
      </c>
      <c r="O66" s="28" t="str">
        <f>IF($Q66="","",INDEX(TRANSACTIONS_MASTER!$AB$5:$AB$1204,$Q66))</f>
        <v/>
      </c>
      <c r="P66" s="55" t="str">
        <f>IF($Q66="","",INDEX(TRANSACTIONS_MASTER!$Z$5:$Z$1204,$Q66)&amp;"")</f>
        <v/>
      </c>
      <c r="Q66" s="67" t="str">
        <f>IFERROR(MATCH($C$2&amp;"|"&amp;59,TRANSACTIONS_MASTER!$AE$5:$AE$1204,0),"")</f>
        <v/>
      </c>
      <c r="S66" s="67" t="n">
        <v>5</v>
      </c>
      <c r="T66" s="55" t="str">
        <f>IF(CARDS!$A9="","",CARDS!$A9)</f>
        <v>MB-D</v>
      </c>
      <c r="U66" s="55" t="str">
        <f>IF($T66="","",CARDS!$B9&amp;" "&amp;CARDS!$C9)</f>
        <v>MB Cashback Demo D</v>
      </c>
      <c r="V66" s="25">
        <f>IF($T66="","",SUMIFS(TRANSACTIONS_MASTER!$L$5:$L$1204,TRANSACTIONS_MASTER!$D$5:$D$1204,$T66,TRANSACTIONS_MASTER!$C$5:$C$1204,$C$2,TRANSACTIONS_MASTER!$U$5:$U$1204,"&lt;&gt;Cancelled"))</f>
        <v>0</v>
      </c>
      <c r="W66" s="26">
        <f>IF($T66="","",SUMIFS(TRANSACTIONS_MASTER!$Q$5:$Q$1204,TRANSACTIONS_MASTER!$D$5:$D$1204,$T66,TRANSACTIONS_MASTER!$C$5:$C$1204,$C$2))</f>
        <v>0</v>
      </c>
      <c r="X66" s="25">
        <f>IF($T66="","",IFERROR(IF(ISNUMBER(INDEX(CASHBACK_RULES!$K$5:$K$304,MATCH($T66,CASHBACK_RULES!$B$5:$B$304,0))),INDEX(CASHBACK_RULES!$K$5:$K$304,MATCH($T66,CASHBACK_RULES!$B$5:$B$304,0)),"∞"),"—"))</f>
        <v>600000</v>
      </c>
      <c r="Y66" s="25">
        <f>IF($T66="","",IF($X66="—","—",IF(COUNTIFS($T$8:$T$57,$T66,$Z$8:$Z$57,"∞")&gt;0,IF(ISNUMBER($X66),MAX(0,$X66-$W66),"∞"),IF(ISNUMBER($X66),MAX(0,MIN($X66-$W66,SUMIFS($Z$8:$Z$57,$T$8:$T$57,$T66))),SUMIFS($Z$8:$Z$57,$T$8:$T$57,$T66)))))</f>
        <v>600000</v>
      </c>
      <c r="Z66" s="27">
        <f>IF($T66="","",IF(ISNUMBER($X66),IF($X66=0,0,$W66/$X66),IF(ISNUMBER($Y66),IF($W66+$Y66=0,0,$W66/($W66+$Y66)),"")))</f>
        <v>0</v>
      </c>
      <c r="AA66" s="29">
        <f>IF($T66="","",COUNTIFS(TRANSACTIONS_MASTER!$D$5:$D$1204,$T66,TRANSACTIONS_MASTER!$C$5:$C$1204,$C$2,TRANSACTIONS_MASTER!$U$5:$U$1204,"&lt;&gt;Cancelled"))</f>
        <v>0</v>
      </c>
    </row>
    <row r="67">
      <c r="A67" s="81" t="str">
        <f>IF($Q67="","",60)</f>
        <v/>
      </c>
      <c r="B67" s="57" t="str">
        <f>IF($Q67="","",INDEX(TRANSACTIONS_MASTER!$B$5:$B$1204,$Q67))</f>
        <v/>
      </c>
      <c r="C67" s="55" t="str">
        <f>IF($Q67="","",INDEX(TRANSACTIONS_MASTER!$F$5:$F$1204,$Q67))</f>
        <v/>
      </c>
      <c r="D67" s="55" t="str">
        <f>IF($Q67="","",INDEX(TRANSACTIONS_MASTER!$E$5:$E$1204,$Q67))</f>
        <v/>
      </c>
      <c r="E67" s="55" t="str">
        <f>IF($Q67="","",INDEX(TRANSACTIONS_MASTER!$G$5:$G$1204,$Q67)&amp;"")</f>
        <v/>
      </c>
      <c r="F67" s="29" t="str">
        <f>IF($Q67="","",INDEX(TRANSACTIONS_MASTER!$I$5:$I$1204,$Q67))</f>
        <v/>
      </c>
      <c r="G67" s="55" t="str">
        <f>IF($Q67="","",INDEX(TRANSACTIONS_MASTER!$K$5:$K$1204,$Q67))</f>
        <v/>
      </c>
      <c r="H67" s="25" t="str">
        <f>IF($Q67="","",INDEX(TRANSACTIONS_MASTER!$L$5:$L$1204,$Q67))</f>
        <v/>
      </c>
      <c r="I67" s="56" t="str">
        <f>IF($Q67="","",INDEX(TRANSACTIONS_MASTER!$N$5:$N$1204,$Q67))</f>
        <v/>
      </c>
      <c r="J67" s="25" t="str">
        <f>IF($Q67="","",INDEX(TRANSACTIONS_MASTER!$O$5:$O$1204,$Q67))</f>
        <v/>
      </c>
      <c r="K67" s="26" t="str">
        <f>IF($Q67="","",INDEX(TRANSACTIONS_MASTER!$Q$5:$Q$1204,$Q67))</f>
        <v/>
      </c>
      <c r="L67" s="25" t="str">
        <f>IF($Q67="","",INDEX(TRANSACTIONS_MASTER!$P$5:$P$1204,$Q67))</f>
        <v/>
      </c>
      <c r="M67" s="25" t="str">
        <f>IF($Q67="","",INDEX(TRANSACTIONS_MASTER!$AA$5:$AA$1204,$Q67))</f>
        <v/>
      </c>
      <c r="N67" s="25" t="str">
        <f>IF($Q67="","",INDEX(TRANSACTIONS_MASTER!$R$5:$R$1204,$Q67))</f>
        <v/>
      </c>
      <c r="O67" s="28" t="str">
        <f>IF($Q67="","",INDEX(TRANSACTIONS_MASTER!$AB$5:$AB$1204,$Q67))</f>
        <v/>
      </c>
      <c r="P67" s="55" t="str">
        <f>IF($Q67="","",INDEX(TRANSACTIONS_MASTER!$Z$5:$Z$1204,$Q67)&amp;"")</f>
        <v/>
      </c>
      <c r="Q67" s="67" t="str">
        <f>IFERROR(MATCH($C$2&amp;"|"&amp;60,TRANSACTIONS_MASTER!$AE$5:$AE$1204,0),"")</f>
        <v/>
      </c>
      <c r="S67" s="67" t="n">
        <v>6</v>
      </c>
      <c r="T67" s="55" t="str">
        <f>IF(CARDS!$A10="","",CARDS!$A10)</f>
        <v>ACB-E</v>
      </c>
      <c r="U67" s="55" t="str">
        <f>IF($T67="","",CARDS!$B10&amp;" "&amp;CARDS!$C10)</f>
        <v>ACB Demo E (không cashback)</v>
      </c>
      <c r="V67" s="25">
        <f>IF($T67="","",SUMIFS(TRANSACTIONS_MASTER!$L$5:$L$1204,TRANSACTIONS_MASTER!$D$5:$D$1204,$T67,TRANSACTIONS_MASTER!$C$5:$C$1204,$C$2,TRANSACTIONS_MASTER!$U$5:$U$1204,"&lt;&gt;Cancelled"))</f>
        <v>0</v>
      </c>
      <c r="W67" s="26">
        <f>IF($T67="","",SUMIFS(TRANSACTIONS_MASTER!$Q$5:$Q$1204,TRANSACTIONS_MASTER!$D$5:$D$1204,$T67,TRANSACTIONS_MASTER!$C$5:$C$1204,$C$2))</f>
        <v>0</v>
      </c>
      <c r="X67" s="25" t="str">
        <f>IF($T67="","",IFERROR(IF(ISNUMBER(INDEX(CASHBACK_RULES!$K$5:$K$304,MATCH($T67,CASHBACK_RULES!$B$5:$B$304,0))),INDEX(CASHBACK_RULES!$K$5:$K$304,MATCH($T67,CASHBACK_RULES!$B$5:$B$304,0)),"∞"),"—"))</f>
        <v>∞</v>
      </c>
      <c r="Y67" s="25">
        <f>IF($T67="","",IF($X67="—","—",IF(COUNTIFS($T$8:$T$57,$T67,$Z$8:$Z$57,"∞")&gt;0,IF(ISNUMBER($X67),MAX(0,$X67-$W67),"∞"),IF(ISNUMBER($X67),MAX(0,MIN($X67-$W67,SUMIFS($Z$8:$Z$57,$T$8:$T$57,$T67))),SUMIFS($Z$8:$Z$57,$T$8:$T$57,$T67)))))</f>
        <v>0</v>
      </c>
      <c r="Z67" s="27">
        <f>IF($T67="","",IF(ISNUMBER($X67),IF($X67=0,0,$W67/$X67),IF(ISNUMBER($Y67),IF($W67+$Y67=0,0,$W67/($W67+$Y67)),"")))</f>
        <v>0</v>
      </c>
      <c r="AA67" s="29">
        <f>IF($T67="","",COUNTIFS(TRANSACTIONS_MASTER!$D$5:$D$1204,$T67,TRANSACTIONS_MASTER!$C$5:$C$1204,$C$2,TRANSACTIONS_MASTER!$U$5:$U$1204,"&lt;&gt;Cancelled"))</f>
        <v>0</v>
      </c>
    </row>
    <row r="68">
      <c r="A68" s="81" t="str">
        <f>IF($Q68="","",61)</f>
        <v/>
      </c>
      <c r="B68" s="57" t="str">
        <f>IF($Q68="","",INDEX(TRANSACTIONS_MASTER!$B$5:$B$1204,$Q68))</f>
        <v/>
      </c>
      <c r="C68" s="55" t="str">
        <f>IF($Q68="","",INDEX(TRANSACTIONS_MASTER!$F$5:$F$1204,$Q68))</f>
        <v/>
      </c>
      <c r="D68" s="55" t="str">
        <f>IF($Q68="","",INDEX(TRANSACTIONS_MASTER!$E$5:$E$1204,$Q68))</f>
        <v/>
      </c>
      <c r="E68" s="55" t="str">
        <f>IF($Q68="","",INDEX(TRANSACTIONS_MASTER!$G$5:$G$1204,$Q68)&amp;"")</f>
        <v/>
      </c>
      <c r="F68" s="29" t="str">
        <f>IF($Q68="","",INDEX(TRANSACTIONS_MASTER!$I$5:$I$1204,$Q68))</f>
        <v/>
      </c>
      <c r="G68" s="55" t="str">
        <f>IF($Q68="","",INDEX(TRANSACTIONS_MASTER!$K$5:$K$1204,$Q68))</f>
        <v/>
      </c>
      <c r="H68" s="25" t="str">
        <f>IF($Q68="","",INDEX(TRANSACTIONS_MASTER!$L$5:$L$1204,$Q68))</f>
        <v/>
      </c>
      <c r="I68" s="56" t="str">
        <f>IF($Q68="","",INDEX(TRANSACTIONS_MASTER!$N$5:$N$1204,$Q68))</f>
        <v/>
      </c>
      <c r="J68" s="25" t="str">
        <f>IF($Q68="","",INDEX(TRANSACTIONS_MASTER!$O$5:$O$1204,$Q68))</f>
        <v/>
      </c>
      <c r="K68" s="26" t="str">
        <f>IF($Q68="","",INDEX(TRANSACTIONS_MASTER!$Q$5:$Q$1204,$Q68))</f>
        <v/>
      </c>
      <c r="L68" s="25" t="str">
        <f>IF($Q68="","",INDEX(TRANSACTIONS_MASTER!$P$5:$P$1204,$Q68))</f>
        <v/>
      </c>
      <c r="M68" s="25" t="str">
        <f>IF($Q68="","",INDEX(TRANSACTIONS_MASTER!$AA$5:$AA$1204,$Q68))</f>
        <v/>
      </c>
      <c r="N68" s="25" t="str">
        <f>IF($Q68="","",INDEX(TRANSACTIONS_MASTER!$R$5:$R$1204,$Q68))</f>
        <v/>
      </c>
      <c r="O68" s="28" t="str">
        <f>IF($Q68="","",INDEX(TRANSACTIONS_MASTER!$AB$5:$AB$1204,$Q68))</f>
        <v/>
      </c>
      <c r="P68" s="55" t="str">
        <f>IF($Q68="","",INDEX(TRANSACTIONS_MASTER!$Z$5:$Z$1204,$Q68)&amp;"")</f>
        <v/>
      </c>
      <c r="Q68" s="67" t="str">
        <f>IFERROR(MATCH($C$2&amp;"|"&amp;61,TRANSACTIONS_MASTER!$AE$5:$AE$1204,0),"")</f>
        <v/>
      </c>
      <c r="S68" s="67" t="n">
        <v>7</v>
      </c>
      <c r="T68" s="55" t="str">
        <f>IF(CARDS!$A11="","",CARDS!$A11)</f>
        <v/>
      </c>
      <c r="U68" s="55" t="str">
        <f>IF($T68="","",CARDS!$B11&amp;" "&amp;CARDS!$C11)</f>
        <v/>
      </c>
      <c r="V68" s="25" t="str">
        <f>IF($T68="","",SUMIFS(TRANSACTIONS_MASTER!$L$5:$L$1204,TRANSACTIONS_MASTER!$D$5:$D$1204,$T68,TRANSACTIONS_MASTER!$C$5:$C$1204,$C$2,TRANSACTIONS_MASTER!$U$5:$U$1204,"&lt;&gt;Cancelled"))</f>
        <v/>
      </c>
      <c r="W68" s="26" t="str">
        <f>IF($T68="","",SUMIFS(TRANSACTIONS_MASTER!$Q$5:$Q$1204,TRANSACTIONS_MASTER!$D$5:$D$1204,$T68,TRANSACTIONS_MASTER!$C$5:$C$1204,$C$2))</f>
        <v/>
      </c>
      <c r="X68" s="25" t="str">
        <f>IF($T68="","",IFERROR(IF(ISNUMBER(INDEX(CASHBACK_RULES!$K$5:$K$304,MATCH($T68,CASHBACK_RULES!$B$5:$B$304,0))),INDEX(CASHBACK_RULES!$K$5:$K$304,MATCH($T68,CASHBACK_RULES!$B$5:$B$304,0)),"∞"),"—"))</f>
        <v/>
      </c>
      <c r="Y68" s="25" t="str">
        <f>IF($T68="","",IF($X68="—","—",IF(COUNTIFS($T$8:$T$57,$T68,$Z$8:$Z$57,"∞")&gt;0,IF(ISNUMBER($X68),MAX(0,$X68-$W68),"∞"),IF(ISNUMBER($X68),MAX(0,MIN($X68-$W68,SUMIFS($Z$8:$Z$57,$T$8:$T$57,$T68))),SUMIFS($Z$8:$Z$57,$T$8:$T$57,$T68)))))</f>
        <v/>
      </c>
      <c r="Z68" s="27" t="str">
        <f>IF($T68="","",IF(ISNUMBER($X68),IF($X68=0,0,$W68/$X68),IF(ISNUMBER($Y68),IF($W68+$Y68=0,0,$W68/($W68+$Y68)),"")))</f>
        <v/>
      </c>
      <c r="AA68" s="29" t="str">
        <f>IF($T68="","",COUNTIFS(TRANSACTIONS_MASTER!$D$5:$D$1204,$T68,TRANSACTIONS_MASTER!$C$5:$C$1204,$C$2,TRANSACTIONS_MASTER!$U$5:$U$1204,"&lt;&gt;Cancelled"))</f>
        <v/>
      </c>
    </row>
    <row r="69">
      <c r="A69" s="81" t="str">
        <f>IF($Q69="","",62)</f>
        <v/>
      </c>
      <c r="B69" s="57" t="str">
        <f>IF($Q69="","",INDEX(TRANSACTIONS_MASTER!$B$5:$B$1204,$Q69))</f>
        <v/>
      </c>
      <c r="C69" s="55" t="str">
        <f>IF($Q69="","",INDEX(TRANSACTIONS_MASTER!$F$5:$F$1204,$Q69))</f>
        <v/>
      </c>
      <c r="D69" s="55" t="str">
        <f>IF($Q69="","",INDEX(TRANSACTIONS_MASTER!$E$5:$E$1204,$Q69))</f>
        <v/>
      </c>
      <c r="E69" s="55" t="str">
        <f>IF($Q69="","",INDEX(TRANSACTIONS_MASTER!$G$5:$G$1204,$Q69)&amp;"")</f>
        <v/>
      </c>
      <c r="F69" s="29" t="str">
        <f>IF($Q69="","",INDEX(TRANSACTIONS_MASTER!$I$5:$I$1204,$Q69))</f>
        <v/>
      </c>
      <c r="G69" s="55" t="str">
        <f>IF($Q69="","",INDEX(TRANSACTIONS_MASTER!$K$5:$K$1204,$Q69))</f>
        <v/>
      </c>
      <c r="H69" s="25" t="str">
        <f>IF($Q69="","",INDEX(TRANSACTIONS_MASTER!$L$5:$L$1204,$Q69))</f>
        <v/>
      </c>
      <c r="I69" s="56" t="str">
        <f>IF($Q69="","",INDEX(TRANSACTIONS_MASTER!$N$5:$N$1204,$Q69))</f>
        <v/>
      </c>
      <c r="J69" s="25" t="str">
        <f>IF($Q69="","",INDEX(TRANSACTIONS_MASTER!$O$5:$O$1204,$Q69))</f>
        <v/>
      </c>
      <c r="K69" s="26" t="str">
        <f>IF($Q69="","",INDEX(TRANSACTIONS_MASTER!$Q$5:$Q$1204,$Q69))</f>
        <v/>
      </c>
      <c r="L69" s="25" t="str">
        <f>IF($Q69="","",INDEX(TRANSACTIONS_MASTER!$P$5:$P$1204,$Q69))</f>
        <v/>
      </c>
      <c r="M69" s="25" t="str">
        <f>IF($Q69="","",INDEX(TRANSACTIONS_MASTER!$AA$5:$AA$1204,$Q69))</f>
        <v/>
      </c>
      <c r="N69" s="25" t="str">
        <f>IF($Q69="","",INDEX(TRANSACTIONS_MASTER!$R$5:$R$1204,$Q69))</f>
        <v/>
      </c>
      <c r="O69" s="28" t="str">
        <f>IF($Q69="","",INDEX(TRANSACTIONS_MASTER!$AB$5:$AB$1204,$Q69))</f>
        <v/>
      </c>
      <c r="P69" s="55" t="str">
        <f>IF($Q69="","",INDEX(TRANSACTIONS_MASTER!$Z$5:$Z$1204,$Q69)&amp;"")</f>
        <v/>
      </c>
      <c r="Q69" s="67" t="str">
        <f>IFERROR(MATCH($C$2&amp;"|"&amp;62,TRANSACTIONS_MASTER!$AE$5:$AE$1204,0),"")</f>
        <v/>
      </c>
      <c r="S69" s="67" t="n">
        <v>8</v>
      </c>
      <c r="T69" s="55" t="str">
        <f>IF(CARDS!$A12="","",CARDS!$A12)</f>
        <v/>
      </c>
      <c r="U69" s="55" t="str">
        <f>IF($T69="","",CARDS!$B12&amp;" "&amp;CARDS!$C12)</f>
        <v/>
      </c>
      <c r="V69" s="25" t="str">
        <f>IF($T69="","",SUMIFS(TRANSACTIONS_MASTER!$L$5:$L$1204,TRANSACTIONS_MASTER!$D$5:$D$1204,$T69,TRANSACTIONS_MASTER!$C$5:$C$1204,$C$2,TRANSACTIONS_MASTER!$U$5:$U$1204,"&lt;&gt;Cancelled"))</f>
        <v/>
      </c>
      <c r="W69" s="26" t="str">
        <f>IF($T69="","",SUMIFS(TRANSACTIONS_MASTER!$Q$5:$Q$1204,TRANSACTIONS_MASTER!$D$5:$D$1204,$T69,TRANSACTIONS_MASTER!$C$5:$C$1204,$C$2))</f>
        <v/>
      </c>
      <c r="X69" s="25" t="str">
        <f>IF($T69="","",IFERROR(IF(ISNUMBER(INDEX(CASHBACK_RULES!$K$5:$K$304,MATCH($T69,CASHBACK_RULES!$B$5:$B$304,0))),INDEX(CASHBACK_RULES!$K$5:$K$304,MATCH($T69,CASHBACK_RULES!$B$5:$B$304,0)),"∞"),"—"))</f>
        <v/>
      </c>
      <c r="Y69" s="25" t="str">
        <f>IF($T69="","",IF($X69="—","—",IF(COUNTIFS($T$8:$T$57,$T69,$Z$8:$Z$57,"∞")&gt;0,IF(ISNUMBER($X69),MAX(0,$X69-$W69),"∞"),IF(ISNUMBER($X69),MAX(0,MIN($X69-$W69,SUMIFS($Z$8:$Z$57,$T$8:$T$57,$T69))),SUMIFS($Z$8:$Z$57,$T$8:$T$57,$T69)))))</f>
        <v/>
      </c>
      <c r="Z69" s="27" t="str">
        <f>IF($T69="","",IF(ISNUMBER($X69),IF($X69=0,0,$W69/$X69),IF(ISNUMBER($Y69),IF($W69+$Y69=0,0,$W69/($W69+$Y69)),"")))</f>
        <v/>
      </c>
      <c r="AA69" s="29" t="str">
        <f>IF($T69="","",COUNTIFS(TRANSACTIONS_MASTER!$D$5:$D$1204,$T69,TRANSACTIONS_MASTER!$C$5:$C$1204,$C$2,TRANSACTIONS_MASTER!$U$5:$U$1204,"&lt;&gt;Cancelled"))</f>
        <v/>
      </c>
    </row>
    <row r="70">
      <c r="A70" s="81" t="str">
        <f>IF($Q70="","",63)</f>
        <v/>
      </c>
      <c r="B70" s="57" t="str">
        <f>IF($Q70="","",INDEX(TRANSACTIONS_MASTER!$B$5:$B$1204,$Q70))</f>
        <v/>
      </c>
      <c r="C70" s="55" t="str">
        <f>IF($Q70="","",INDEX(TRANSACTIONS_MASTER!$F$5:$F$1204,$Q70))</f>
        <v/>
      </c>
      <c r="D70" s="55" t="str">
        <f>IF($Q70="","",INDEX(TRANSACTIONS_MASTER!$E$5:$E$1204,$Q70))</f>
        <v/>
      </c>
      <c r="E70" s="55" t="str">
        <f>IF($Q70="","",INDEX(TRANSACTIONS_MASTER!$G$5:$G$1204,$Q70)&amp;"")</f>
        <v/>
      </c>
      <c r="F70" s="29" t="str">
        <f>IF($Q70="","",INDEX(TRANSACTIONS_MASTER!$I$5:$I$1204,$Q70))</f>
        <v/>
      </c>
      <c r="G70" s="55" t="str">
        <f>IF($Q70="","",INDEX(TRANSACTIONS_MASTER!$K$5:$K$1204,$Q70))</f>
        <v/>
      </c>
      <c r="H70" s="25" t="str">
        <f>IF($Q70="","",INDEX(TRANSACTIONS_MASTER!$L$5:$L$1204,$Q70))</f>
        <v/>
      </c>
      <c r="I70" s="56" t="str">
        <f>IF($Q70="","",INDEX(TRANSACTIONS_MASTER!$N$5:$N$1204,$Q70))</f>
        <v/>
      </c>
      <c r="J70" s="25" t="str">
        <f>IF($Q70="","",INDEX(TRANSACTIONS_MASTER!$O$5:$O$1204,$Q70))</f>
        <v/>
      </c>
      <c r="K70" s="26" t="str">
        <f>IF($Q70="","",INDEX(TRANSACTIONS_MASTER!$Q$5:$Q$1204,$Q70))</f>
        <v/>
      </c>
      <c r="L70" s="25" t="str">
        <f>IF($Q70="","",INDEX(TRANSACTIONS_MASTER!$P$5:$P$1204,$Q70))</f>
        <v/>
      </c>
      <c r="M70" s="25" t="str">
        <f>IF($Q70="","",INDEX(TRANSACTIONS_MASTER!$AA$5:$AA$1204,$Q70))</f>
        <v/>
      </c>
      <c r="N70" s="25" t="str">
        <f>IF($Q70="","",INDEX(TRANSACTIONS_MASTER!$R$5:$R$1204,$Q70))</f>
        <v/>
      </c>
      <c r="O70" s="28" t="str">
        <f>IF($Q70="","",INDEX(TRANSACTIONS_MASTER!$AB$5:$AB$1204,$Q70))</f>
        <v/>
      </c>
      <c r="P70" s="55" t="str">
        <f>IF($Q70="","",INDEX(TRANSACTIONS_MASTER!$Z$5:$Z$1204,$Q70)&amp;"")</f>
        <v/>
      </c>
      <c r="Q70" s="67" t="str">
        <f>IFERROR(MATCH($C$2&amp;"|"&amp;63,TRANSACTIONS_MASTER!$AE$5:$AE$1204,0),"")</f>
        <v/>
      </c>
      <c r="S70" s="67" t="n">
        <v>9</v>
      </c>
      <c r="T70" s="55" t="str">
        <f>IF(CARDS!$A13="","",CARDS!$A13)</f>
        <v/>
      </c>
      <c r="U70" s="55" t="str">
        <f>IF($T70="","",CARDS!$B13&amp;" "&amp;CARDS!$C13)</f>
        <v/>
      </c>
      <c r="V70" s="25" t="str">
        <f>IF($T70="","",SUMIFS(TRANSACTIONS_MASTER!$L$5:$L$1204,TRANSACTIONS_MASTER!$D$5:$D$1204,$T70,TRANSACTIONS_MASTER!$C$5:$C$1204,$C$2,TRANSACTIONS_MASTER!$U$5:$U$1204,"&lt;&gt;Cancelled"))</f>
        <v/>
      </c>
      <c r="W70" s="26" t="str">
        <f>IF($T70="","",SUMIFS(TRANSACTIONS_MASTER!$Q$5:$Q$1204,TRANSACTIONS_MASTER!$D$5:$D$1204,$T70,TRANSACTIONS_MASTER!$C$5:$C$1204,$C$2))</f>
        <v/>
      </c>
      <c r="X70" s="25" t="str">
        <f>IF($T70="","",IFERROR(IF(ISNUMBER(INDEX(CASHBACK_RULES!$K$5:$K$304,MATCH($T70,CASHBACK_RULES!$B$5:$B$304,0))),INDEX(CASHBACK_RULES!$K$5:$K$304,MATCH($T70,CASHBACK_RULES!$B$5:$B$304,0)),"∞"),"—"))</f>
        <v/>
      </c>
      <c r="Y70" s="25" t="str">
        <f>IF($T70="","",IF($X70="—","—",IF(COUNTIFS($T$8:$T$57,$T70,$Z$8:$Z$57,"∞")&gt;0,IF(ISNUMBER($X70),MAX(0,$X70-$W70),"∞"),IF(ISNUMBER($X70),MAX(0,MIN($X70-$W70,SUMIFS($Z$8:$Z$57,$T$8:$T$57,$T70))),SUMIFS($Z$8:$Z$57,$T$8:$T$57,$T70)))))</f>
        <v/>
      </c>
      <c r="Z70" s="27" t="str">
        <f>IF($T70="","",IF(ISNUMBER($X70),IF($X70=0,0,$W70/$X70),IF(ISNUMBER($Y70),IF($W70+$Y70=0,0,$W70/($W70+$Y70)),"")))</f>
        <v/>
      </c>
      <c r="AA70" s="29" t="str">
        <f>IF($T70="","",COUNTIFS(TRANSACTIONS_MASTER!$D$5:$D$1204,$T70,TRANSACTIONS_MASTER!$C$5:$C$1204,$C$2,TRANSACTIONS_MASTER!$U$5:$U$1204,"&lt;&gt;Cancelled"))</f>
        <v/>
      </c>
    </row>
    <row r="71">
      <c r="A71" s="81" t="str">
        <f>IF($Q71="","",64)</f>
        <v/>
      </c>
      <c r="B71" s="57" t="str">
        <f>IF($Q71="","",INDEX(TRANSACTIONS_MASTER!$B$5:$B$1204,$Q71))</f>
        <v/>
      </c>
      <c r="C71" s="55" t="str">
        <f>IF($Q71="","",INDEX(TRANSACTIONS_MASTER!$F$5:$F$1204,$Q71))</f>
        <v/>
      </c>
      <c r="D71" s="55" t="str">
        <f>IF($Q71="","",INDEX(TRANSACTIONS_MASTER!$E$5:$E$1204,$Q71))</f>
        <v/>
      </c>
      <c r="E71" s="55" t="str">
        <f>IF($Q71="","",INDEX(TRANSACTIONS_MASTER!$G$5:$G$1204,$Q71)&amp;"")</f>
        <v/>
      </c>
      <c r="F71" s="29" t="str">
        <f>IF($Q71="","",INDEX(TRANSACTIONS_MASTER!$I$5:$I$1204,$Q71))</f>
        <v/>
      </c>
      <c r="G71" s="55" t="str">
        <f>IF($Q71="","",INDEX(TRANSACTIONS_MASTER!$K$5:$K$1204,$Q71))</f>
        <v/>
      </c>
      <c r="H71" s="25" t="str">
        <f>IF($Q71="","",INDEX(TRANSACTIONS_MASTER!$L$5:$L$1204,$Q71))</f>
        <v/>
      </c>
      <c r="I71" s="56" t="str">
        <f>IF($Q71="","",INDEX(TRANSACTIONS_MASTER!$N$5:$N$1204,$Q71))</f>
        <v/>
      </c>
      <c r="J71" s="25" t="str">
        <f>IF($Q71="","",INDEX(TRANSACTIONS_MASTER!$O$5:$O$1204,$Q71))</f>
        <v/>
      </c>
      <c r="K71" s="26" t="str">
        <f>IF($Q71="","",INDEX(TRANSACTIONS_MASTER!$Q$5:$Q$1204,$Q71))</f>
        <v/>
      </c>
      <c r="L71" s="25" t="str">
        <f>IF($Q71="","",INDEX(TRANSACTIONS_MASTER!$P$5:$P$1204,$Q71))</f>
        <v/>
      </c>
      <c r="M71" s="25" t="str">
        <f>IF($Q71="","",INDEX(TRANSACTIONS_MASTER!$AA$5:$AA$1204,$Q71))</f>
        <v/>
      </c>
      <c r="N71" s="25" t="str">
        <f>IF($Q71="","",INDEX(TRANSACTIONS_MASTER!$R$5:$R$1204,$Q71))</f>
        <v/>
      </c>
      <c r="O71" s="28" t="str">
        <f>IF($Q71="","",INDEX(TRANSACTIONS_MASTER!$AB$5:$AB$1204,$Q71))</f>
        <v/>
      </c>
      <c r="P71" s="55" t="str">
        <f>IF($Q71="","",INDEX(TRANSACTIONS_MASTER!$Z$5:$Z$1204,$Q71)&amp;"")</f>
        <v/>
      </c>
      <c r="Q71" s="67" t="str">
        <f>IFERROR(MATCH($C$2&amp;"|"&amp;64,TRANSACTIONS_MASTER!$AE$5:$AE$1204,0),"")</f>
        <v/>
      </c>
      <c r="S71" s="67" t="n">
        <v>10</v>
      </c>
      <c r="T71" s="55" t="str">
        <f>IF(CARDS!$A14="","",CARDS!$A14)</f>
        <v/>
      </c>
      <c r="U71" s="55" t="str">
        <f>IF($T71="","",CARDS!$B14&amp;" "&amp;CARDS!$C14)</f>
        <v/>
      </c>
      <c r="V71" s="25" t="str">
        <f>IF($T71="","",SUMIFS(TRANSACTIONS_MASTER!$L$5:$L$1204,TRANSACTIONS_MASTER!$D$5:$D$1204,$T71,TRANSACTIONS_MASTER!$C$5:$C$1204,$C$2,TRANSACTIONS_MASTER!$U$5:$U$1204,"&lt;&gt;Cancelled"))</f>
        <v/>
      </c>
      <c r="W71" s="26" t="str">
        <f>IF($T71="","",SUMIFS(TRANSACTIONS_MASTER!$Q$5:$Q$1204,TRANSACTIONS_MASTER!$D$5:$D$1204,$T71,TRANSACTIONS_MASTER!$C$5:$C$1204,$C$2))</f>
        <v/>
      </c>
      <c r="X71" s="25" t="str">
        <f>IF($T71="","",IFERROR(IF(ISNUMBER(INDEX(CASHBACK_RULES!$K$5:$K$304,MATCH($T71,CASHBACK_RULES!$B$5:$B$304,0))),INDEX(CASHBACK_RULES!$K$5:$K$304,MATCH($T71,CASHBACK_RULES!$B$5:$B$304,0)),"∞"),"—"))</f>
        <v/>
      </c>
      <c r="Y71" s="25" t="str">
        <f>IF($T71="","",IF($X71="—","—",IF(COUNTIFS($T$8:$T$57,$T71,$Z$8:$Z$57,"∞")&gt;0,IF(ISNUMBER($X71),MAX(0,$X71-$W71),"∞"),IF(ISNUMBER($X71),MAX(0,MIN($X71-$W71,SUMIFS($Z$8:$Z$57,$T$8:$T$57,$T71))),SUMIFS($Z$8:$Z$57,$T$8:$T$57,$T71)))))</f>
        <v/>
      </c>
      <c r="Z71" s="27" t="str">
        <f>IF($T71="","",IF(ISNUMBER($X71),IF($X71=0,0,$W71/$X71),IF(ISNUMBER($Y71),IF($W71+$Y71=0,0,$W71/($W71+$Y71)),"")))</f>
        <v/>
      </c>
      <c r="AA71" s="29" t="str">
        <f>IF($T71="","",COUNTIFS(TRANSACTIONS_MASTER!$D$5:$D$1204,$T71,TRANSACTIONS_MASTER!$C$5:$C$1204,$C$2,TRANSACTIONS_MASTER!$U$5:$U$1204,"&lt;&gt;Cancelled"))</f>
        <v/>
      </c>
    </row>
    <row r="72">
      <c r="A72" s="81" t="str">
        <f>IF($Q72="","",65)</f>
        <v/>
      </c>
      <c r="B72" s="57" t="str">
        <f>IF($Q72="","",INDEX(TRANSACTIONS_MASTER!$B$5:$B$1204,$Q72))</f>
        <v/>
      </c>
      <c r="C72" s="55" t="str">
        <f>IF($Q72="","",INDEX(TRANSACTIONS_MASTER!$F$5:$F$1204,$Q72))</f>
        <v/>
      </c>
      <c r="D72" s="55" t="str">
        <f>IF($Q72="","",INDEX(TRANSACTIONS_MASTER!$E$5:$E$1204,$Q72))</f>
        <v/>
      </c>
      <c r="E72" s="55" t="str">
        <f>IF($Q72="","",INDEX(TRANSACTIONS_MASTER!$G$5:$G$1204,$Q72)&amp;"")</f>
        <v/>
      </c>
      <c r="F72" s="29" t="str">
        <f>IF($Q72="","",INDEX(TRANSACTIONS_MASTER!$I$5:$I$1204,$Q72))</f>
        <v/>
      </c>
      <c r="G72" s="55" t="str">
        <f>IF($Q72="","",INDEX(TRANSACTIONS_MASTER!$K$5:$K$1204,$Q72))</f>
        <v/>
      </c>
      <c r="H72" s="25" t="str">
        <f>IF($Q72="","",INDEX(TRANSACTIONS_MASTER!$L$5:$L$1204,$Q72))</f>
        <v/>
      </c>
      <c r="I72" s="56" t="str">
        <f>IF($Q72="","",INDEX(TRANSACTIONS_MASTER!$N$5:$N$1204,$Q72))</f>
        <v/>
      </c>
      <c r="J72" s="25" t="str">
        <f>IF($Q72="","",INDEX(TRANSACTIONS_MASTER!$O$5:$O$1204,$Q72))</f>
        <v/>
      </c>
      <c r="K72" s="26" t="str">
        <f>IF($Q72="","",INDEX(TRANSACTIONS_MASTER!$Q$5:$Q$1204,$Q72))</f>
        <v/>
      </c>
      <c r="L72" s="25" t="str">
        <f>IF($Q72="","",INDEX(TRANSACTIONS_MASTER!$P$5:$P$1204,$Q72))</f>
        <v/>
      </c>
      <c r="M72" s="25" t="str">
        <f>IF($Q72="","",INDEX(TRANSACTIONS_MASTER!$AA$5:$AA$1204,$Q72))</f>
        <v/>
      </c>
      <c r="N72" s="25" t="str">
        <f>IF($Q72="","",INDEX(TRANSACTIONS_MASTER!$R$5:$R$1204,$Q72))</f>
        <v/>
      </c>
      <c r="O72" s="28" t="str">
        <f>IF($Q72="","",INDEX(TRANSACTIONS_MASTER!$AB$5:$AB$1204,$Q72))</f>
        <v/>
      </c>
      <c r="P72" s="55" t="str">
        <f>IF($Q72="","",INDEX(TRANSACTIONS_MASTER!$Z$5:$Z$1204,$Q72)&amp;"")</f>
        <v/>
      </c>
      <c r="Q72" s="67" t="str">
        <f>IFERROR(MATCH($C$2&amp;"|"&amp;65,TRANSACTIONS_MASTER!$AE$5:$AE$1204,0),"")</f>
        <v/>
      </c>
      <c r="S72" s="67" t="n">
        <v>11</v>
      </c>
      <c r="T72" s="55" t="str">
        <f>IF(CARDS!$A15="","",CARDS!$A15)</f>
        <v/>
      </c>
      <c r="U72" s="55" t="str">
        <f>IF($T72="","",CARDS!$B15&amp;" "&amp;CARDS!$C15)</f>
        <v/>
      </c>
      <c r="V72" s="25" t="str">
        <f>IF($T72="","",SUMIFS(TRANSACTIONS_MASTER!$L$5:$L$1204,TRANSACTIONS_MASTER!$D$5:$D$1204,$T72,TRANSACTIONS_MASTER!$C$5:$C$1204,$C$2,TRANSACTIONS_MASTER!$U$5:$U$1204,"&lt;&gt;Cancelled"))</f>
        <v/>
      </c>
      <c r="W72" s="26" t="str">
        <f>IF($T72="","",SUMIFS(TRANSACTIONS_MASTER!$Q$5:$Q$1204,TRANSACTIONS_MASTER!$D$5:$D$1204,$T72,TRANSACTIONS_MASTER!$C$5:$C$1204,$C$2))</f>
        <v/>
      </c>
      <c r="X72" s="25" t="str">
        <f>IF($T72="","",IFERROR(IF(ISNUMBER(INDEX(CASHBACK_RULES!$K$5:$K$304,MATCH($T72,CASHBACK_RULES!$B$5:$B$304,0))),INDEX(CASHBACK_RULES!$K$5:$K$304,MATCH($T72,CASHBACK_RULES!$B$5:$B$304,0)),"∞"),"—"))</f>
        <v/>
      </c>
      <c r="Y72" s="25" t="str">
        <f>IF($T72="","",IF($X72="—","—",IF(COUNTIFS($T$8:$T$57,$T72,$Z$8:$Z$57,"∞")&gt;0,IF(ISNUMBER($X72),MAX(0,$X72-$W72),"∞"),IF(ISNUMBER($X72),MAX(0,MIN($X72-$W72,SUMIFS($Z$8:$Z$57,$T$8:$T$57,$T72))),SUMIFS($Z$8:$Z$57,$T$8:$T$57,$T72)))))</f>
        <v/>
      </c>
      <c r="Z72" s="27" t="str">
        <f>IF($T72="","",IF(ISNUMBER($X72),IF($X72=0,0,$W72/$X72),IF(ISNUMBER($Y72),IF($W72+$Y72=0,0,$W72/($W72+$Y72)),"")))</f>
        <v/>
      </c>
      <c r="AA72" s="29" t="str">
        <f>IF($T72="","",COUNTIFS(TRANSACTIONS_MASTER!$D$5:$D$1204,$T72,TRANSACTIONS_MASTER!$C$5:$C$1204,$C$2,TRANSACTIONS_MASTER!$U$5:$U$1204,"&lt;&gt;Cancelled"))</f>
        <v/>
      </c>
    </row>
    <row r="73">
      <c r="A73" s="81" t="str">
        <f>IF($Q73="","",66)</f>
        <v/>
      </c>
      <c r="B73" s="57" t="str">
        <f>IF($Q73="","",INDEX(TRANSACTIONS_MASTER!$B$5:$B$1204,$Q73))</f>
        <v/>
      </c>
      <c r="C73" s="55" t="str">
        <f>IF($Q73="","",INDEX(TRANSACTIONS_MASTER!$F$5:$F$1204,$Q73))</f>
        <v/>
      </c>
      <c r="D73" s="55" t="str">
        <f>IF($Q73="","",INDEX(TRANSACTIONS_MASTER!$E$5:$E$1204,$Q73))</f>
        <v/>
      </c>
      <c r="E73" s="55" t="str">
        <f>IF($Q73="","",INDEX(TRANSACTIONS_MASTER!$G$5:$G$1204,$Q73)&amp;"")</f>
        <v/>
      </c>
      <c r="F73" s="29" t="str">
        <f>IF($Q73="","",INDEX(TRANSACTIONS_MASTER!$I$5:$I$1204,$Q73))</f>
        <v/>
      </c>
      <c r="G73" s="55" t="str">
        <f>IF($Q73="","",INDEX(TRANSACTIONS_MASTER!$K$5:$K$1204,$Q73))</f>
        <v/>
      </c>
      <c r="H73" s="25" t="str">
        <f>IF($Q73="","",INDEX(TRANSACTIONS_MASTER!$L$5:$L$1204,$Q73))</f>
        <v/>
      </c>
      <c r="I73" s="56" t="str">
        <f>IF($Q73="","",INDEX(TRANSACTIONS_MASTER!$N$5:$N$1204,$Q73))</f>
        <v/>
      </c>
      <c r="J73" s="25" t="str">
        <f>IF($Q73="","",INDEX(TRANSACTIONS_MASTER!$O$5:$O$1204,$Q73))</f>
        <v/>
      </c>
      <c r="K73" s="26" t="str">
        <f>IF($Q73="","",INDEX(TRANSACTIONS_MASTER!$Q$5:$Q$1204,$Q73))</f>
        <v/>
      </c>
      <c r="L73" s="25" t="str">
        <f>IF($Q73="","",INDEX(TRANSACTIONS_MASTER!$P$5:$P$1204,$Q73))</f>
        <v/>
      </c>
      <c r="M73" s="25" t="str">
        <f>IF($Q73="","",INDEX(TRANSACTIONS_MASTER!$AA$5:$AA$1204,$Q73))</f>
        <v/>
      </c>
      <c r="N73" s="25" t="str">
        <f>IF($Q73="","",INDEX(TRANSACTIONS_MASTER!$R$5:$R$1204,$Q73))</f>
        <v/>
      </c>
      <c r="O73" s="28" t="str">
        <f>IF($Q73="","",INDEX(TRANSACTIONS_MASTER!$AB$5:$AB$1204,$Q73))</f>
        <v/>
      </c>
      <c r="P73" s="55" t="str">
        <f>IF($Q73="","",INDEX(TRANSACTIONS_MASTER!$Z$5:$Z$1204,$Q73)&amp;"")</f>
        <v/>
      </c>
      <c r="Q73" s="67" t="str">
        <f>IFERROR(MATCH($C$2&amp;"|"&amp;66,TRANSACTIONS_MASTER!$AE$5:$AE$1204,0),"")</f>
        <v/>
      </c>
      <c r="S73" s="67" t="n">
        <v>12</v>
      </c>
      <c r="T73" s="55" t="str">
        <f>IF(CARDS!$A16="","",CARDS!$A16)</f>
        <v/>
      </c>
      <c r="U73" s="55" t="str">
        <f>IF($T73="","",CARDS!$B16&amp;" "&amp;CARDS!$C16)</f>
        <v/>
      </c>
      <c r="V73" s="25" t="str">
        <f>IF($T73="","",SUMIFS(TRANSACTIONS_MASTER!$L$5:$L$1204,TRANSACTIONS_MASTER!$D$5:$D$1204,$T73,TRANSACTIONS_MASTER!$C$5:$C$1204,$C$2,TRANSACTIONS_MASTER!$U$5:$U$1204,"&lt;&gt;Cancelled"))</f>
        <v/>
      </c>
      <c r="W73" s="26" t="str">
        <f>IF($T73="","",SUMIFS(TRANSACTIONS_MASTER!$Q$5:$Q$1204,TRANSACTIONS_MASTER!$D$5:$D$1204,$T73,TRANSACTIONS_MASTER!$C$5:$C$1204,$C$2))</f>
        <v/>
      </c>
      <c r="X73" s="25" t="str">
        <f>IF($T73="","",IFERROR(IF(ISNUMBER(INDEX(CASHBACK_RULES!$K$5:$K$304,MATCH($T73,CASHBACK_RULES!$B$5:$B$304,0))),INDEX(CASHBACK_RULES!$K$5:$K$304,MATCH($T73,CASHBACK_RULES!$B$5:$B$304,0)),"∞"),"—"))</f>
        <v/>
      </c>
      <c r="Y73" s="25" t="str">
        <f>IF($T73="","",IF($X73="—","—",IF(COUNTIFS($T$8:$T$57,$T73,$Z$8:$Z$57,"∞")&gt;0,IF(ISNUMBER($X73),MAX(0,$X73-$W73),"∞"),IF(ISNUMBER($X73),MAX(0,MIN($X73-$W73,SUMIFS($Z$8:$Z$57,$T$8:$T$57,$T73))),SUMIFS($Z$8:$Z$57,$T$8:$T$57,$T73)))))</f>
        <v/>
      </c>
      <c r="Z73" s="27" t="str">
        <f>IF($T73="","",IF(ISNUMBER($X73),IF($X73=0,0,$W73/$X73),IF(ISNUMBER($Y73),IF($W73+$Y73=0,0,$W73/($W73+$Y73)),"")))</f>
        <v/>
      </c>
      <c r="AA73" s="29" t="str">
        <f>IF($T73="","",COUNTIFS(TRANSACTIONS_MASTER!$D$5:$D$1204,$T73,TRANSACTIONS_MASTER!$C$5:$C$1204,$C$2,TRANSACTIONS_MASTER!$U$5:$U$1204,"&lt;&gt;Cancelled"))</f>
        <v/>
      </c>
    </row>
    <row r="74">
      <c r="A74" s="81" t="str">
        <f>IF($Q74="","",67)</f>
        <v/>
      </c>
      <c r="B74" s="57" t="str">
        <f>IF($Q74="","",INDEX(TRANSACTIONS_MASTER!$B$5:$B$1204,$Q74))</f>
        <v/>
      </c>
      <c r="C74" s="55" t="str">
        <f>IF($Q74="","",INDEX(TRANSACTIONS_MASTER!$F$5:$F$1204,$Q74))</f>
        <v/>
      </c>
      <c r="D74" s="55" t="str">
        <f>IF($Q74="","",INDEX(TRANSACTIONS_MASTER!$E$5:$E$1204,$Q74))</f>
        <v/>
      </c>
      <c r="E74" s="55" t="str">
        <f>IF($Q74="","",INDEX(TRANSACTIONS_MASTER!$G$5:$G$1204,$Q74)&amp;"")</f>
        <v/>
      </c>
      <c r="F74" s="29" t="str">
        <f>IF($Q74="","",INDEX(TRANSACTIONS_MASTER!$I$5:$I$1204,$Q74))</f>
        <v/>
      </c>
      <c r="G74" s="55" t="str">
        <f>IF($Q74="","",INDEX(TRANSACTIONS_MASTER!$K$5:$K$1204,$Q74))</f>
        <v/>
      </c>
      <c r="H74" s="25" t="str">
        <f>IF($Q74="","",INDEX(TRANSACTIONS_MASTER!$L$5:$L$1204,$Q74))</f>
        <v/>
      </c>
      <c r="I74" s="56" t="str">
        <f>IF($Q74="","",INDEX(TRANSACTIONS_MASTER!$N$5:$N$1204,$Q74))</f>
        <v/>
      </c>
      <c r="J74" s="25" t="str">
        <f>IF($Q74="","",INDEX(TRANSACTIONS_MASTER!$O$5:$O$1204,$Q74))</f>
        <v/>
      </c>
      <c r="K74" s="26" t="str">
        <f>IF($Q74="","",INDEX(TRANSACTIONS_MASTER!$Q$5:$Q$1204,$Q74))</f>
        <v/>
      </c>
      <c r="L74" s="25" t="str">
        <f>IF($Q74="","",INDEX(TRANSACTIONS_MASTER!$P$5:$P$1204,$Q74))</f>
        <v/>
      </c>
      <c r="M74" s="25" t="str">
        <f>IF($Q74="","",INDEX(TRANSACTIONS_MASTER!$AA$5:$AA$1204,$Q74))</f>
        <v/>
      </c>
      <c r="N74" s="25" t="str">
        <f>IF($Q74="","",INDEX(TRANSACTIONS_MASTER!$R$5:$R$1204,$Q74))</f>
        <v/>
      </c>
      <c r="O74" s="28" t="str">
        <f>IF($Q74="","",INDEX(TRANSACTIONS_MASTER!$AB$5:$AB$1204,$Q74))</f>
        <v/>
      </c>
      <c r="P74" s="55" t="str">
        <f>IF($Q74="","",INDEX(TRANSACTIONS_MASTER!$Z$5:$Z$1204,$Q74)&amp;"")</f>
        <v/>
      </c>
      <c r="Q74" s="67" t="str">
        <f>IFERROR(MATCH($C$2&amp;"|"&amp;67,TRANSACTIONS_MASTER!$AE$5:$AE$1204,0),"")</f>
        <v/>
      </c>
      <c r="S74" s="67" t="n">
        <v>13</v>
      </c>
      <c r="T74" s="55" t="str">
        <f>IF(CARDS!$A17="","",CARDS!$A17)</f>
        <v/>
      </c>
      <c r="U74" s="55" t="str">
        <f>IF($T74="","",CARDS!$B17&amp;" "&amp;CARDS!$C17)</f>
        <v/>
      </c>
      <c r="V74" s="25" t="str">
        <f>IF($T74="","",SUMIFS(TRANSACTIONS_MASTER!$L$5:$L$1204,TRANSACTIONS_MASTER!$D$5:$D$1204,$T74,TRANSACTIONS_MASTER!$C$5:$C$1204,$C$2,TRANSACTIONS_MASTER!$U$5:$U$1204,"&lt;&gt;Cancelled"))</f>
        <v/>
      </c>
      <c r="W74" s="26" t="str">
        <f>IF($T74="","",SUMIFS(TRANSACTIONS_MASTER!$Q$5:$Q$1204,TRANSACTIONS_MASTER!$D$5:$D$1204,$T74,TRANSACTIONS_MASTER!$C$5:$C$1204,$C$2))</f>
        <v/>
      </c>
      <c r="X74" s="25" t="str">
        <f>IF($T74="","",IFERROR(IF(ISNUMBER(INDEX(CASHBACK_RULES!$K$5:$K$304,MATCH($T74,CASHBACK_RULES!$B$5:$B$304,0))),INDEX(CASHBACK_RULES!$K$5:$K$304,MATCH($T74,CASHBACK_RULES!$B$5:$B$304,0)),"∞"),"—"))</f>
        <v/>
      </c>
      <c r="Y74" s="25" t="str">
        <f>IF($T74="","",IF($X74="—","—",IF(COUNTIFS($T$8:$T$57,$T74,$Z$8:$Z$57,"∞")&gt;0,IF(ISNUMBER($X74),MAX(0,$X74-$W74),"∞"),IF(ISNUMBER($X74),MAX(0,MIN($X74-$W74,SUMIFS($Z$8:$Z$57,$T$8:$T$57,$T74))),SUMIFS($Z$8:$Z$57,$T$8:$T$57,$T74)))))</f>
        <v/>
      </c>
      <c r="Z74" s="27" t="str">
        <f>IF($T74="","",IF(ISNUMBER($X74),IF($X74=0,0,$W74/$X74),IF(ISNUMBER($Y74),IF($W74+$Y74=0,0,$W74/($W74+$Y74)),"")))</f>
        <v/>
      </c>
      <c r="AA74" s="29" t="str">
        <f>IF($T74="","",COUNTIFS(TRANSACTIONS_MASTER!$D$5:$D$1204,$T74,TRANSACTIONS_MASTER!$C$5:$C$1204,$C$2,TRANSACTIONS_MASTER!$U$5:$U$1204,"&lt;&gt;Cancelled"))</f>
        <v/>
      </c>
    </row>
    <row r="75">
      <c r="A75" s="81" t="str">
        <f>IF($Q75="","",68)</f>
        <v/>
      </c>
      <c r="B75" s="57" t="str">
        <f>IF($Q75="","",INDEX(TRANSACTIONS_MASTER!$B$5:$B$1204,$Q75))</f>
        <v/>
      </c>
      <c r="C75" s="55" t="str">
        <f>IF($Q75="","",INDEX(TRANSACTIONS_MASTER!$F$5:$F$1204,$Q75))</f>
        <v/>
      </c>
      <c r="D75" s="55" t="str">
        <f>IF($Q75="","",INDEX(TRANSACTIONS_MASTER!$E$5:$E$1204,$Q75))</f>
        <v/>
      </c>
      <c r="E75" s="55" t="str">
        <f>IF($Q75="","",INDEX(TRANSACTIONS_MASTER!$G$5:$G$1204,$Q75)&amp;"")</f>
        <v/>
      </c>
      <c r="F75" s="29" t="str">
        <f>IF($Q75="","",INDEX(TRANSACTIONS_MASTER!$I$5:$I$1204,$Q75))</f>
        <v/>
      </c>
      <c r="G75" s="55" t="str">
        <f>IF($Q75="","",INDEX(TRANSACTIONS_MASTER!$K$5:$K$1204,$Q75))</f>
        <v/>
      </c>
      <c r="H75" s="25" t="str">
        <f>IF($Q75="","",INDEX(TRANSACTIONS_MASTER!$L$5:$L$1204,$Q75))</f>
        <v/>
      </c>
      <c r="I75" s="56" t="str">
        <f>IF($Q75="","",INDEX(TRANSACTIONS_MASTER!$N$5:$N$1204,$Q75))</f>
        <v/>
      </c>
      <c r="J75" s="25" t="str">
        <f>IF($Q75="","",INDEX(TRANSACTIONS_MASTER!$O$5:$O$1204,$Q75))</f>
        <v/>
      </c>
      <c r="K75" s="26" t="str">
        <f>IF($Q75="","",INDEX(TRANSACTIONS_MASTER!$Q$5:$Q$1204,$Q75))</f>
        <v/>
      </c>
      <c r="L75" s="25" t="str">
        <f>IF($Q75="","",INDEX(TRANSACTIONS_MASTER!$P$5:$P$1204,$Q75))</f>
        <v/>
      </c>
      <c r="M75" s="25" t="str">
        <f>IF($Q75="","",INDEX(TRANSACTIONS_MASTER!$AA$5:$AA$1204,$Q75))</f>
        <v/>
      </c>
      <c r="N75" s="25" t="str">
        <f>IF($Q75="","",INDEX(TRANSACTIONS_MASTER!$R$5:$R$1204,$Q75))</f>
        <v/>
      </c>
      <c r="O75" s="28" t="str">
        <f>IF($Q75="","",INDEX(TRANSACTIONS_MASTER!$AB$5:$AB$1204,$Q75))</f>
        <v/>
      </c>
      <c r="P75" s="55" t="str">
        <f>IF($Q75="","",INDEX(TRANSACTIONS_MASTER!$Z$5:$Z$1204,$Q75)&amp;"")</f>
        <v/>
      </c>
      <c r="Q75" s="67" t="str">
        <f>IFERROR(MATCH($C$2&amp;"|"&amp;68,TRANSACTIONS_MASTER!$AE$5:$AE$1204,0),"")</f>
        <v/>
      </c>
      <c r="S75" s="67" t="n">
        <v>14</v>
      </c>
      <c r="T75" s="55" t="str">
        <f>IF(CARDS!$A18="","",CARDS!$A18)</f>
        <v/>
      </c>
      <c r="U75" s="55" t="str">
        <f>IF($T75="","",CARDS!$B18&amp;" "&amp;CARDS!$C18)</f>
        <v/>
      </c>
      <c r="V75" s="25" t="str">
        <f>IF($T75="","",SUMIFS(TRANSACTIONS_MASTER!$L$5:$L$1204,TRANSACTIONS_MASTER!$D$5:$D$1204,$T75,TRANSACTIONS_MASTER!$C$5:$C$1204,$C$2,TRANSACTIONS_MASTER!$U$5:$U$1204,"&lt;&gt;Cancelled"))</f>
        <v/>
      </c>
      <c r="W75" s="26" t="str">
        <f>IF($T75="","",SUMIFS(TRANSACTIONS_MASTER!$Q$5:$Q$1204,TRANSACTIONS_MASTER!$D$5:$D$1204,$T75,TRANSACTIONS_MASTER!$C$5:$C$1204,$C$2))</f>
        <v/>
      </c>
      <c r="X75" s="25" t="str">
        <f>IF($T75="","",IFERROR(IF(ISNUMBER(INDEX(CASHBACK_RULES!$K$5:$K$304,MATCH($T75,CASHBACK_RULES!$B$5:$B$304,0))),INDEX(CASHBACK_RULES!$K$5:$K$304,MATCH($T75,CASHBACK_RULES!$B$5:$B$304,0)),"∞"),"—"))</f>
        <v/>
      </c>
      <c r="Y75" s="25" t="str">
        <f>IF($T75="","",IF($X75="—","—",IF(COUNTIFS($T$8:$T$57,$T75,$Z$8:$Z$57,"∞")&gt;0,IF(ISNUMBER($X75),MAX(0,$X75-$W75),"∞"),IF(ISNUMBER($X75),MAX(0,MIN($X75-$W75,SUMIFS($Z$8:$Z$57,$T$8:$T$57,$T75))),SUMIFS($Z$8:$Z$57,$T$8:$T$57,$T75)))))</f>
        <v/>
      </c>
      <c r="Z75" s="27" t="str">
        <f>IF($T75="","",IF(ISNUMBER($X75),IF($X75=0,0,$W75/$X75),IF(ISNUMBER($Y75),IF($W75+$Y75=0,0,$W75/($W75+$Y75)),"")))</f>
        <v/>
      </c>
      <c r="AA75" s="29" t="str">
        <f>IF($T75="","",COUNTIFS(TRANSACTIONS_MASTER!$D$5:$D$1204,$T75,TRANSACTIONS_MASTER!$C$5:$C$1204,$C$2,TRANSACTIONS_MASTER!$U$5:$U$1204,"&lt;&gt;Cancelled"))</f>
        <v/>
      </c>
    </row>
    <row r="76">
      <c r="A76" s="81" t="str">
        <f>IF($Q76="","",69)</f>
        <v/>
      </c>
      <c r="B76" s="57" t="str">
        <f>IF($Q76="","",INDEX(TRANSACTIONS_MASTER!$B$5:$B$1204,$Q76))</f>
        <v/>
      </c>
      <c r="C76" s="55" t="str">
        <f>IF($Q76="","",INDEX(TRANSACTIONS_MASTER!$F$5:$F$1204,$Q76))</f>
        <v/>
      </c>
      <c r="D76" s="55" t="str">
        <f>IF($Q76="","",INDEX(TRANSACTIONS_MASTER!$E$5:$E$1204,$Q76))</f>
        <v/>
      </c>
      <c r="E76" s="55" t="str">
        <f>IF($Q76="","",INDEX(TRANSACTIONS_MASTER!$G$5:$G$1204,$Q76)&amp;"")</f>
        <v/>
      </c>
      <c r="F76" s="29" t="str">
        <f>IF($Q76="","",INDEX(TRANSACTIONS_MASTER!$I$5:$I$1204,$Q76))</f>
        <v/>
      </c>
      <c r="G76" s="55" t="str">
        <f>IF($Q76="","",INDEX(TRANSACTIONS_MASTER!$K$5:$K$1204,$Q76))</f>
        <v/>
      </c>
      <c r="H76" s="25" t="str">
        <f>IF($Q76="","",INDEX(TRANSACTIONS_MASTER!$L$5:$L$1204,$Q76))</f>
        <v/>
      </c>
      <c r="I76" s="56" t="str">
        <f>IF($Q76="","",INDEX(TRANSACTIONS_MASTER!$N$5:$N$1204,$Q76))</f>
        <v/>
      </c>
      <c r="J76" s="25" t="str">
        <f>IF($Q76="","",INDEX(TRANSACTIONS_MASTER!$O$5:$O$1204,$Q76))</f>
        <v/>
      </c>
      <c r="K76" s="26" t="str">
        <f>IF($Q76="","",INDEX(TRANSACTIONS_MASTER!$Q$5:$Q$1204,$Q76))</f>
        <v/>
      </c>
      <c r="L76" s="25" t="str">
        <f>IF($Q76="","",INDEX(TRANSACTIONS_MASTER!$P$5:$P$1204,$Q76))</f>
        <v/>
      </c>
      <c r="M76" s="25" t="str">
        <f>IF($Q76="","",INDEX(TRANSACTIONS_MASTER!$AA$5:$AA$1204,$Q76))</f>
        <v/>
      </c>
      <c r="N76" s="25" t="str">
        <f>IF($Q76="","",INDEX(TRANSACTIONS_MASTER!$R$5:$R$1204,$Q76))</f>
        <v/>
      </c>
      <c r="O76" s="28" t="str">
        <f>IF($Q76="","",INDEX(TRANSACTIONS_MASTER!$AB$5:$AB$1204,$Q76))</f>
        <v/>
      </c>
      <c r="P76" s="55" t="str">
        <f>IF($Q76="","",INDEX(TRANSACTIONS_MASTER!$Z$5:$Z$1204,$Q76)&amp;"")</f>
        <v/>
      </c>
      <c r="Q76" s="67" t="str">
        <f>IFERROR(MATCH($C$2&amp;"|"&amp;69,TRANSACTIONS_MASTER!$AE$5:$AE$1204,0),"")</f>
        <v/>
      </c>
      <c r="S76" s="67" t="n">
        <v>15</v>
      </c>
      <c r="T76" s="55" t="str">
        <f>IF(CARDS!$A19="","",CARDS!$A19)</f>
        <v/>
      </c>
      <c r="U76" s="55" t="str">
        <f>IF($T76="","",CARDS!$B19&amp;" "&amp;CARDS!$C19)</f>
        <v/>
      </c>
      <c r="V76" s="25" t="str">
        <f>IF($T76="","",SUMIFS(TRANSACTIONS_MASTER!$L$5:$L$1204,TRANSACTIONS_MASTER!$D$5:$D$1204,$T76,TRANSACTIONS_MASTER!$C$5:$C$1204,$C$2,TRANSACTIONS_MASTER!$U$5:$U$1204,"&lt;&gt;Cancelled"))</f>
        <v/>
      </c>
      <c r="W76" s="26" t="str">
        <f>IF($T76="","",SUMIFS(TRANSACTIONS_MASTER!$Q$5:$Q$1204,TRANSACTIONS_MASTER!$D$5:$D$1204,$T76,TRANSACTIONS_MASTER!$C$5:$C$1204,$C$2))</f>
        <v/>
      </c>
      <c r="X76" s="25" t="str">
        <f>IF($T76="","",IFERROR(IF(ISNUMBER(INDEX(CASHBACK_RULES!$K$5:$K$304,MATCH($T76,CASHBACK_RULES!$B$5:$B$304,0))),INDEX(CASHBACK_RULES!$K$5:$K$304,MATCH($T76,CASHBACK_RULES!$B$5:$B$304,0)),"∞"),"—"))</f>
        <v/>
      </c>
      <c r="Y76" s="25" t="str">
        <f>IF($T76="","",IF($X76="—","—",IF(COUNTIFS($T$8:$T$57,$T76,$Z$8:$Z$57,"∞")&gt;0,IF(ISNUMBER($X76),MAX(0,$X76-$W76),"∞"),IF(ISNUMBER($X76),MAX(0,MIN($X76-$W76,SUMIFS($Z$8:$Z$57,$T$8:$T$57,$T76))),SUMIFS($Z$8:$Z$57,$T$8:$T$57,$T76)))))</f>
        <v/>
      </c>
      <c r="Z76" s="27" t="str">
        <f>IF($T76="","",IF(ISNUMBER($X76),IF($X76=0,0,$W76/$X76),IF(ISNUMBER($Y76),IF($W76+$Y76=0,0,$W76/($W76+$Y76)),"")))</f>
        <v/>
      </c>
      <c r="AA76" s="29" t="str">
        <f>IF($T76="","",COUNTIFS(TRANSACTIONS_MASTER!$D$5:$D$1204,$T76,TRANSACTIONS_MASTER!$C$5:$C$1204,$C$2,TRANSACTIONS_MASTER!$U$5:$U$1204,"&lt;&gt;Cancelled"))</f>
        <v/>
      </c>
    </row>
    <row r="77">
      <c r="A77" s="81" t="str">
        <f>IF($Q77="","",70)</f>
        <v/>
      </c>
      <c r="B77" s="57" t="str">
        <f>IF($Q77="","",INDEX(TRANSACTIONS_MASTER!$B$5:$B$1204,$Q77))</f>
        <v/>
      </c>
      <c r="C77" s="55" t="str">
        <f>IF($Q77="","",INDEX(TRANSACTIONS_MASTER!$F$5:$F$1204,$Q77))</f>
        <v/>
      </c>
      <c r="D77" s="55" t="str">
        <f>IF($Q77="","",INDEX(TRANSACTIONS_MASTER!$E$5:$E$1204,$Q77))</f>
        <v/>
      </c>
      <c r="E77" s="55" t="str">
        <f>IF($Q77="","",INDEX(TRANSACTIONS_MASTER!$G$5:$G$1204,$Q77)&amp;"")</f>
        <v/>
      </c>
      <c r="F77" s="29" t="str">
        <f>IF($Q77="","",INDEX(TRANSACTIONS_MASTER!$I$5:$I$1204,$Q77))</f>
        <v/>
      </c>
      <c r="G77" s="55" t="str">
        <f>IF($Q77="","",INDEX(TRANSACTIONS_MASTER!$K$5:$K$1204,$Q77))</f>
        <v/>
      </c>
      <c r="H77" s="25" t="str">
        <f>IF($Q77="","",INDEX(TRANSACTIONS_MASTER!$L$5:$L$1204,$Q77))</f>
        <v/>
      </c>
      <c r="I77" s="56" t="str">
        <f>IF($Q77="","",INDEX(TRANSACTIONS_MASTER!$N$5:$N$1204,$Q77))</f>
        <v/>
      </c>
      <c r="J77" s="25" t="str">
        <f>IF($Q77="","",INDEX(TRANSACTIONS_MASTER!$O$5:$O$1204,$Q77))</f>
        <v/>
      </c>
      <c r="K77" s="26" t="str">
        <f>IF($Q77="","",INDEX(TRANSACTIONS_MASTER!$Q$5:$Q$1204,$Q77))</f>
        <v/>
      </c>
      <c r="L77" s="25" t="str">
        <f>IF($Q77="","",INDEX(TRANSACTIONS_MASTER!$P$5:$P$1204,$Q77))</f>
        <v/>
      </c>
      <c r="M77" s="25" t="str">
        <f>IF($Q77="","",INDEX(TRANSACTIONS_MASTER!$AA$5:$AA$1204,$Q77))</f>
        <v/>
      </c>
      <c r="N77" s="25" t="str">
        <f>IF($Q77="","",INDEX(TRANSACTIONS_MASTER!$R$5:$R$1204,$Q77))</f>
        <v/>
      </c>
      <c r="O77" s="28" t="str">
        <f>IF($Q77="","",INDEX(TRANSACTIONS_MASTER!$AB$5:$AB$1204,$Q77))</f>
        <v/>
      </c>
      <c r="P77" s="55" t="str">
        <f>IF($Q77="","",INDEX(TRANSACTIONS_MASTER!$Z$5:$Z$1204,$Q77)&amp;"")</f>
        <v/>
      </c>
      <c r="Q77" s="67" t="str">
        <f>IFERROR(MATCH($C$2&amp;"|"&amp;70,TRANSACTIONS_MASTER!$AE$5:$AE$1204,0),"")</f>
        <v/>
      </c>
      <c r="S77" s="67" t="n">
        <v>16</v>
      </c>
      <c r="T77" s="55" t="str">
        <f>IF(CARDS!$A20="","",CARDS!$A20)</f>
        <v/>
      </c>
      <c r="U77" s="55" t="str">
        <f>IF($T77="","",CARDS!$B20&amp;" "&amp;CARDS!$C20)</f>
        <v/>
      </c>
      <c r="V77" s="25" t="str">
        <f>IF($T77="","",SUMIFS(TRANSACTIONS_MASTER!$L$5:$L$1204,TRANSACTIONS_MASTER!$D$5:$D$1204,$T77,TRANSACTIONS_MASTER!$C$5:$C$1204,$C$2,TRANSACTIONS_MASTER!$U$5:$U$1204,"&lt;&gt;Cancelled"))</f>
        <v/>
      </c>
      <c r="W77" s="26" t="str">
        <f>IF($T77="","",SUMIFS(TRANSACTIONS_MASTER!$Q$5:$Q$1204,TRANSACTIONS_MASTER!$D$5:$D$1204,$T77,TRANSACTIONS_MASTER!$C$5:$C$1204,$C$2))</f>
        <v/>
      </c>
      <c r="X77" s="25" t="str">
        <f>IF($T77="","",IFERROR(IF(ISNUMBER(INDEX(CASHBACK_RULES!$K$5:$K$304,MATCH($T77,CASHBACK_RULES!$B$5:$B$304,0))),INDEX(CASHBACK_RULES!$K$5:$K$304,MATCH($T77,CASHBACK_RULES!$B$5:$B$304,0)),"∞"),"—"))</f>
        <v/>
      </c>
      <c r="Y77" s="25" t="str">
        <f>IF($T77="","",IF($X77="—","—",IF(COUNTIFS($T$8:$T$57,$T77,$Z$8:$Z$57,"∞")&gt;0,IF(ISNUMBER($X77),MAX(0,$X77-$W77),"∞"),IF(ISNUMBER($X77),MAX(0,MIN($X77-$W77,SUMIFS($Z$8:$Z$57,$T$8:$T$57,$T77))),SUMIFS($Z$8:$Z$57,$T$8:$T$57,$T77)))))</f>
        <v/>
      </c>
      <c r="Z77" s="27" t="str">
        <f>IF($T77="","",IF(ISNUMBER($X77),IF($X77=0,0,$W77/$X77),IF(ISNUMBER($Y77),IF($W77+$Y77=0,0,$W77/($W77+$Y77)),"")))</f>
        <v/>
      </c>
      <c r="AA77" s="29" t="str">
        <f>IF($T77="","",COUNTIFS(TRANSACTIONS_MASTER!$D$5:$D$1204,$T77,TRANSACTIONS_MASTER!$C$5:$C$1204,$C$2,TRANSACTIONS_MASTER!$U$5:$U$1204,"&lt;&gt;Cancelled"))</f>
        <v/>
      </c>
    </row>
    <row r="78">
      <c r="A78" s="81" t="str">
        <f>IF($Q78="","",71)</f>
        <v/>
      </c>
      <c r="B78" s="57" t="str">
        <f>IF($Q78="","",INDEX(TRANSACTIONS_MASTER!$B$5:$B$1204,$Q78))</f>
        <v/>
      </c>
      <c r="C78" s="55" t="str">
        <f>IF($Q78="","",INDEX(TRANSACTIONS_MASTER!$F$5:$F$1204,$Q78))</f>
        <v/>
      </c>
      <c r="D78" s="55" t="str">
        <f>IF($Q78="","",INDEX(TRANSACTIONS_MASTER!$E$5:$E$1204,$Q78))</f>
        <v/>
      </c>
      <c r="E78" s="55" t="str">
        <f>IF($Q78="","",INDEX(TRANSACTIONS_MASTER!$G$5:$G$1204,$Q78)&amp;"")</f>
        <v/>
      </c>
      <c r="F78" s="29" t="str">
        <f>IF($Q78="","",INDEX(TRANSACTIONS_MASTER!$I$5:$I$1204,$Q78))</f>
        <v/>
      </c>
      <c r="G78" s="55" t="str">
        <f>IF($Q78="","",INDEX(TRANSACTIONS_MASTER!$K$5:$K$1204,$Q78))</f>
        <v/>
      </c>
      <c r="H78" s="25" t="str">
        <f>IF($Q78="","",INDEX(TRANSACTIONS_MASTER!$L$5:$L$1204,$Q78))</f>
        <v/>
      </c>
      <c r="I78" s="56" t="str">
        <f>IF($Q78="","",INDEX(TRANSACTIONS_MASTER!$N$5:$N$1204,$Q78))</f>
        <v/>
      </c>
      <c r="J78" s="25" t="str">
        <f>IF($Q78="","",INDEX(TRANSACTIONS_MASTER!$O$5:$O$1204,$Q78))</f>
        <v/>
      </c>
      <c r="K78" s="26" t="str">
        <f>IF($Q78="","",INDEX(TRANSACTIONS_MASTER!$Q$5:$Q$1204,$Q78))</f>
        <v/>
      </c>
      <c r="L78" s="25" t="str">
        <f>IF($Q78="","",INDEX(TRANSACTIONS_MASTER!$P$5:$P$1204,$Q78))</f>
        <v/>
      </c>
      <c r="M78" s="25" t="str">
        <f>IF($Q78="","",INDEX(TRANSACTIONS_MASTER!$AA$5:$AA$1204,$Q78))</f>
        <v/>
      </c>
      <c r="N78" s="25" t="str">
        <f>IF($Q78="","",INDEX(TRANSACTIONS_MASTER!$R$5:$R$1204,$Q78))</f>
        <v/>
      </c>
      <c r="O78" s="28" t="str">
        <f>IF($Q78="","",INDEX(TRANSACTIONS_MASTER!$AB$5:$AB$1204,$Q78))</f>
        <v/>
      </c>
      <c r="P78" s="55" t="str">
        <f>IF($Q78="","",INDEX(TRANSACTIONS_MASTER!$Z$5:$Z$1204,$Q78)&amp;"")</f>
        <v/>
      </c>
      <c r="Q78" s="67" t="str">
        <f>IFERROR(MATCH($C$2&amp;"|"&amp;71,TRANSACTIONS_MASTER!$AE$5:$AE$1204,0),"")</f>
        <v/>
      </c>
      <c r="S78" s="67" t="n">
        <v>17</v>
      </c>
      <c r="T78" s="55" t="str">
        <f>IF(CARDS!$A21="","",CARDS!$A21)</f>
        <v/>
      </c>
      <c r="U78" s="55" t="str">
        <f>IF($T78="","",CARDS!$B21&amp;" "&amp;CARDS!$C21)</f>
        <v/>
      </c>
      <c r="V78" s="25" t="str">
        <f>IF($T78="","",SUMIFS(TRANSACTIONS_MASTER!$L$5:$L$1204,TRANSACTIONS_MASTER!$D$5:$D$1204,$T78,TRANSACTIONS_MASTER!$C$5:$C$1204,$C$2,TRANSACTIONS_MASTER!$U$5:$U$1204,"&lt;&gt;Cancelled"))</f>
        <v/>
      </c>
      <c r="W78" s="26" t="str">
        <f>IF($T78="","",SUMIFS(TRANSACTIONS_MASTER!$Q$5:$Q$1204,TRANSACTIONS_MASTER!$D$5:$D$1204,$T78,TRANSACTIONS_MASTER!$C$5:$C$1204,$C$2))</f>
        <v/>
      </c>
      <c r="X78" s="25" t="str">
        <f>IF($T78="","",IFERROR(IF(ISNUMBER(INDEX(CASHBACK_RULES!$K$5:$K$304,MATCH($T78,CASHBACK_RULES!$B$5:$B$304,0))),INDEX(CASHBACK_RULES!$K$5:$K$304,MATCH($T78,CASHBACK_RULES!$B$5:$B$304,0)),"∞"),"—"))</f>
        <v/>
      </c>
      <c r="Y78" s="25" t="str">
        <f>IF($T78="","",IF($X78="—","—",IF(COUNTIFS($T$8:$T$57,$T78,$Z$8:$Z$57,"∞")&gt;0,IF(ISNUMBER($X78),MAX(0,$X78-$W78),"∞"),IF(ISNUMBER($X78),MAX(0,MIN($X78-$W78,SUMIFS($Z$8:$Z$57,$T$8:$T$57,$T78))),SUMIFS($Z$8:$Z$57,$T$8:$T$57,$T78)))))</f>
        <v/>
      </c>
      <c r="Z78" s="27" t="str">
        <f>IF($T78="","",IF(ISNUMBER($X78),IF($X78=0,0,$W78/$X78),IF(ISNUMBER($Y78),IF($W78+$Y78=0,0,$W78/($W78+$Y78)),"")))</f>
        <v/>
      </c>
      <c r="AA78" s="29" t="str">
        <f>IF($T78="","",COUNTIFS(TRANSACTIONS_MASTER!$D$5:$D$1204,$T78,TRANSACTIONS_MASTER!$C$5:$C$1204,$C$2,TRANSACTIONS_MASTER!$U$5:$U$1204,"&lt;&gt;Cancelled"))</f>
        <v/>
      </c>
    </row>
    <row r="79">
      <c r="A79" s="81" t="str">
        <f>IF($Q79="","",72)</f>
        <v/>
      </c>
      <c r="B79" s="57" t="str">
        <f>IF($Q79="","",INDEX(TRANSACTIONS_MASTER!$B$5:$B$1204,$Q79))</f>
        <v/>
      </c>
      <c r="C79" s="55" t="str">
        <f>IF($Q79="","",INDEX(TRANSACTIONS_MASTER!$F$5:$F$1204,$Q79))</f>
        <v/>
      </c>
      <c r="D79" s="55" t="str">
        <f>IF($Q79="","",INDEX(TRANSACTIONS_MASTER!$E$5:$E$1204,$Q79))</f>
        <v/>
      </c>
      <c r="E79" s="55" t="str">
        <f>IF($Q79="","",INDEX(TRANSACTIONS_MASTER!$G$5:$G$1204,$Q79)&amp;"")</f>
        <v/>
      </c>
      <c r="F79" s="29" t="str">
        <f>IF($Q79="","",INDEX(TRANSACTIONS_MASTER!$I$5:$I$1204,$Q79))</f>
        <v/>
      </c>
      <c r="G79" s="55" t="str">
        <f>IF($Q79="","",INDEX(TRANSACTIONS_MASTER!$K$5:$K$1204,$Q79))</f>
        <v/>
      </c>
      <c r="H79" s="25" t="str">
        <f>IF($Q79="","",INDEX(TRANSACTIONS_MASTER!$L$5:$L$1204,$Q79))</f>
        <v/>
      </c>
      <c r="I79" s="56" t="str">
        <f>IF($Q79="","",INDEX(TRANSACTIONS_MASTER!$N$5:$N$1204,$Q79))</f>
        <v/>
      </c>
      <c r="J79" s="25" t="str">
        <f>IF($Q79="","",INDEX(TRANSACTIONS_MASTER!$O$5:$O$1204,$Q79))</f>
        <v/>
      </c>
      <c r="K79" s="26" t="str">
        <f>IF($Q79="","",INDEX(TRANSACTIONS_MASTER!$Q$5:$Q$1204,$Q79))</f>
        <v/>
      </c>
      <c r="L79" s="25" t="str">
        <f>IF($Q79="","",INDEX(TRANSACTIONS_MASTER!$P$5:$P$1204,$Q79))</f>
        <v/>
      </c>
      <c r="M79" s="25" t="str">
        <f>IF($Q79="","",INDEX(TRANSACTIONS_MASTER!$AA$5:$AA$1204,$Q79))</f>
        <v/>
      </c>
      <c r="N79" s="25" t="str">
        <f>IF($Q79="","",INDEX(TRANSACTIONS_MASTER!$R$5:$R$1204,$Q79))</f>
        <v/>
      </c>
      <c r="O79" s="28" t="str">
        <f>IF($Q79="","",INDEX(TRANSACTIONS_MASTER!$AB$5:$AB$1204,$Q79))</f>
        <v/>
      </c>
      <c r="P79" s="55" t="str">
        <f>IF($Q79="","",INDEX(TRANSACTIONS_MASTER!$Z$5:$Z$1204,$Q79)&amp;"")</f>
        <v/>
      </c>
      <c r="Q79" s="67" t="str">
        <f>IFERROR(MATCH($C$2&amp;"|"&amp;72,TRANSACTIONS_MASTER!$AE$5:$AE$1204,0),"")</f>
        <v/>
      </c>
      <c r="S79" s="67" t="n">
        <v>18</v>
      </c>
      <c r="T79" s="55" t="str">
        <f>IF(CARDS!$A22="","",CARDS!$A22)</f>
        <v/>
      </c>
      <c r="U79" s="55" t="str">
        <f>IF($T79="","",CARDS!$B22&amp;" "&amp;CARDS!$C22)</f>
        <v/>
      </c>
      <c r="V79" s="25" t="str">
        <f>IF($T79="","",SUMIFS(TRANSACTIONS_MASTER!$L$5:$L$1204,TRANSACTIONS_MASTER!$D$5:$D$1204,$T79,TRANSACTIONS_MASTER!$C$5:$C$1204,$C$2,TRANSACTIONS_MASTER!$U$5:$U$1204,"&lt;&gt;Cancelled"))</f>
        <v/>
      </c>
      <c r="W79" s="26" t="str">
        <f>IF($T79="","",SUMIFS(TRANSACTIONS_MASTER!$Q$5:$Q$1204,TRANSACTIONS_MASTER!$D$5:$D$1204,$T79,TRANSACTIONS_MASTER!$C$5:$C$1204,$C$2))</f>
        <v/>
      </c>
      <c r="X79" s="25" t="str">
        <f>IF($T79="","",IFERROR(IF(ISNUMBER(INDEX(CASHBACK_RULES!$K$5:$K$304,MATCH($T79,CASHBACK_RULES!$B$5:$B$304,0))),INDEX(CASHBACK_RULES!$K$5:$K$304,MATCH($T79,CASHBACK_RULES!$B$5:$B$304,0)),"∞"),"—"))</f>
        <v/>
      </c>
      <c r="Y79" s="25" t="str">
        <f>IF($T79="","",IF($X79="—","—",IF(COUNTIFS($T$8:$T$57,$T79,$Z$8:$Z$57,"∞")&gt;0,IF(ISNUMBER($X79),MAX(0,$X79-$W79),"∞"),IF(ISNUMBER($X79),MAX(0,MIN($X79-$W79,SUMIFS($Z$8:$Z$57,$T$8:$T$57,$T79))),SUMIFS($Z$8:$Z$57,$T$8:$T$57,$T79)))))</f>
        <v/>
      </c>
      <c r="Z79" s="27" t="str">
        <f>IF($T79="","",IF(ISNUMBER($X79),IF($X79=0,0,$W79/$X79),IF(ISNUMBER($Y79),IF($W79+$Y79=0,0,$W79/($W79+$Y79)),"")))</f>
        <v/>
      </c>
      <c r="AA79" s="29" t="str">
        <f>IF($T79="","",COUNTIFS(TRANSACTIONS_MASTER!$D$5:$D$1204,$T79,TRANSACTIONS_MASTER!$C$5:$C$1204,$C$2,TRANSACTIONS_MASTER!$U$5:$U$1204,"&lt;&gt;Cancelled"))</f>
        <v/>
      </c>
    </row>
    <row r="80">
      <c r="A80" s="81" t="str">
        <f>IF($Q80="","",73)</f>
        <v/>
      </c>
      <c r="B80" s="57" t="str">
        <f>IF($Q80="","",INDEX(TRANSACTIONS_MASTER!$B$5:$B$1204,$Q80))</f>
        <v/>
      </c>
      <c r="C80" s="55" t="str">
        <f>IF($Q80="","",INDEX(TRANSACTIONS_MASTER!$F$5:$F$1204,$Q80))</f>
        <v/>
      </c>
      <c r="D80" s="55" t="str">
        <f>IF($Q80="","",INDEX(TRANSACTIONS_MASTER!$E$5:$E$1204,$Q80))</f>
        <v/>
      </c>
      <c r="E80" s="55" t="str">
        <f>IF($Q80="","",INDEX(TRANSACTIONS_MASTER!$G$5:$G$1204,$Q80)&amp;"")</f>
        <v/>
      </c>
      <c r="F80" s="29" t="str">
        <f>IF($Q80="","",INDEX(TRANSACTIONS_MASTER!$I$5:$I$1204,$Q80))</f>
        <v/>
      </c>
      <c r="G80" s="55" t="str">
        <f>IF($Q80="","",INDEX(TRANSACTIONS_MASTER!$K$5:$K$1204,$Q80))</f>
        <v/>
      </c>
      <c r="H80" s="25" t="str">
        <f>IF($Q80="","",INDEX(TRANSACTIONS_MASTER!$L$5:$L$1204,$Q80))</f>
        <v/>
      </c>
      <c r="I80" s="56" t="str">
        <f>IF($Q80="","",INDEX(TRANSACTIONS_MASTER!$N$5:$N$1204,$Q80))</f>
        <v/>
      </c>
      <c r="J80" s="25" t="str">
        <f>IF($Q80="","",INDEX(TRANSACTIONS_MASTER!$O$5:$O$1204,$Q80))</f>
        <v/>
      </c>
      <c r="K80" s="26" t="str">
        <f>IF($Q80="","",INDEX(TRANSACTIONS_MASTER!$Q$5:$Q$1204,$Q80))</f>
        <v/>
      </c>
      <c r="L80" s="25" t="str">
        <f>IF($Q80="","",INDEX(TRANSACTIONS_MASTER!$P$5:$P$1204,$Q80))</f>
        <v/>
      </c>
      <c r="M80" s="25" t="str">
        <f>IF($Q80="","",INDEX(TRANSACTIONS_MASTER!$AA$5:$AA$1204,$Q80))</f>
        <v/>
      </c>
      <c r="N80" s="25" t="str">
        <f>IF($Q80="","",INDEX(TRANSACTIONS_MASTER!$R$5:$R$1204,$Q80))</f>
        <v/>
      </c>
      <c r="O80" s="28" t="str">
        <f>IF($Q80="","",INDEX(TRANSACTIONS_MASTER!$AB$5:$AB$1204,$Q80))</f>
        <v/>
      </c>
      <c r="P80" s="55" t="str">
        <f>IF($Q80="","",INDEX(TRANSACTIONS_MASTER!$Z$5:$Z$1204,$Q80)&amp;"")</f>
        <v/>
      </c>
      <c r="Q80" s="67" t="str">
        <f>IFERROR(MATCH($C$2&amp;"|"&amp;73,TRANSACTIONS_MASTER!$AE$5:$AE$1204,0),"")</f>
        <v/>
      </c>
      <c r="S80" s="67" t="n">
        <v>19</v>
      </c>
      <c r="T80" s="55" t="str">
        <f>IF(CARDS!$A23="","",CARDS!$A23)</f>
        <v/>
      </c>
      <c r="U80" s="55" t="str">
        <f>IF($T80="","",CARDS!$B23&amp;" "&amp;CARDS!$C23)</f>
        <v/>
      </c>
      <c r="V80" s="25" t="str">
        <f>IF($T80="","",SUMIFS(TRANSACTIONS_MASTER!$L$5:$L$1204,TRANSACTIONS_MASTER!$D$5:$D$1204,$T80,TRANSACTIONS_MASTER!$C$5:$C$1204,$C$2,TRANSACTIONS_MASTER!$U$5:$U$1204,"&lt;&gt;Cancelled"))</f>
        <v/>
      </c>
      <c r="W80" s="26" t="str">
        <f>IF($T80="","",SUMIFS(TRANSACTIONS_MASTER!$Q$5:$Q$1204,TRANSACTIONS_MASTER!$D$5:$D$1204,$T80,TRANSACTIONS_MASTER!$C$5:$C$1204,$C$2))</f>
        <v/>
      </c>
      <c r="X80" s="25" t="str">
        <f>IF($T80="","",IFERROR(IF(ISNUMBER(INDEX(CASHBACK_RULES!$K$5:$K$304,MATCH($T80,CASHBACK_RULES!$B$5:$B$304,0))),INDEX(CASHBACK_RULES!$K$5:$K$304,MATCH($T80,CASHBACK_RULES!$B$5:$B$304,0)),"∞"),"—"))</f>
        <v/>
      </c>
      <c r="Y80" s="25" t="str">
        <f>IF($T80="","",IF($X80="—","—",IF(COUNTIFS($T$8:$T$57,$T80,$Z$8:$Z$57,"∞")&gt;0,IF(ISNUMBER($X80),MAX(0,$X80-$W80),"∞"),IF(ISNUMBER($X80),MAX(0,MIN($X80-$W80,SUMIFS($Z$8:$Z$57,$T$8:$T$57,$T80))),SUMIFS($Z$8:$Z$57,$T$8:$T$57,$T80)))))</f>
        <v/>
      </c>
      <c r="Z80" s="27" t="str">
        <f>IF($T80="","",IF(ISNUMBER($X80),IF($X80=0,0,$W80/$X80),IF(ISNUMBER($Y80),IF($W80+$Y80=0,0,$W80/($W80+$Y80)),"")))</f>
        <v/>
      </c>
      <c r="AA80" s="29" t="str">
        <f>IF($T80="","",COUNTIFS(TRANSACTIONS_MASTER!$D$5:$D$1204,$T80,TRANSACTIONS_MASTER!$C$5:$C$1204,$C$2,TRANSACTIONS_MASTER!$U$5:$U$1204,"&lt;&gt;Cancelled"))</f>
        <v/>
      </c>
    </row>
    <row r="81">
      <c r="A81" s="81" t="str">
        <f>IF($Q81="","",74)</f>
        <v/>
      </c>
      <c r="B81" s="57" t="str">
        <f>IF($Q81="","",INDEX(TRANSACTIONS_MASTER!$B$5:$B$1204,$Q81))</f>
        <v/>
      </c>
      <c r="C81" s="55" t="str">
        <f>IF($Q81="","",INDEX(TRANSACTIONS_MASTER!$F$5:$F$1204,$Q81))</f>
        <v/>
      </c>
      <c r="D81" s="55" t="str">
        <f>IF($Q81="","",INDEX(TRANSACTIONS_MASTER!$E$5:$E$1204,$Q81))</f>
        <v/>
      </c>
      <c r="E81" s="55" t="str">
        <f>IF($Q81="","",INDEX(TRANSACTIONS_MASTER!$G$5:$G$1204,$Q81)&amp;"")</f>
        <v/>
      </c>
      <c r="F81" s="29" t="str">
        <f>IF($Q81="","",INDEX(TRANSACTIONS_MASTER!$I$5:$I$1204,$Q81))</f>
        <v/>
      </c>
      <c r="G81" s="55" t="str">
        <f>IF($Q81="","",INDEX(TRANSACTIONS_MASTER!$K$5:$K$1204,$Q81))</f>
        <v/>
      </c>
      <c r="H81" s="25" t="str">
        <f>IF($Q81="","",INDEX(TRANSACTIONS_MASTER!$L$5:$L$1204,$Q81))</f>
        <v/>
      </c>
      <c r="I81" s="56" t="str">
        <f>IF($Q81="","",INDEX(TRANSACTIONS_MASTER!$N$5:$N$1204,$Q81))</f>
        <v/>
      </c>
      <c r="J81" s="25" t="str">
        <f>IF($Q81="","",INDEX(TRANSACTIONS_MASTER!$O$5:$O$1204,$Q81))</f>
        <v/>
      </c>
      <c r="K81" s="26" t="str">
        <f>IF($Q81="","",INDEX(TRANSACTIONS_MASTER!$Q$5:$Q$1204,$Q81))</f>
        <v/>
      </c>
      <c r="L81" s="25" t="str">
        <f>IF($Q81="","",INDEX(TRANSACTIONS_MASTER!$P$5:$P$1204,$Q81))</f>
        <v/>
      </c>
      <c r="M81" s="25" t="str">
        <f>IF($Q81="","",INDEX(TRANSACTIONS_MASTER!$AA$5:$AA$1204,$Q81))</f>
        <v/>
      </c>
      <c r="N81" s="25" t="str">
        <f>IF($Q81="","",INDEX(TRANSACTIONS_MASTER!$R$5:$R$1204,$Q81))</f>
        <v/>
      </c>
      <c r="O81" s="28" t="str">
        <f>IF($Q81="","",INDEX(TRANSACTIONS_MASTER!$AB$5:$AB$1204,$Q81))</f>
        <v/>
      </c>
      <c r="P81" s="55" t="str">
        <f>IF($Q81="","",INDEX(TRANSACTIONS_MASTER!$Z$5:$Z$1204,$Q81)&amp;"")</f>
        <v/>
      </c>
      <c r="Q81" s="67" t="str">
        <f>IFERROR(MATCH($C$2&amp;"|"&amp;74,TRANSACTIONS_MASTER!$AE$5:$AE$1204,0),"")</f>
        <v/>
      </c>
      <c r="S81" s="67" t="n">
        <v>20</v>
      </c>
      <c r="T81" s="55" t="str">
        <f>IF(CARDS!$A24="","",CARDS!$A24)</f>
        <v/>
      </c>
      <c r="U81" s="55" t="str">
        <f>IF($T81="","",CARDS!$B24&amp;" "&amp;CARDS!$C24)</f>
        <v/>
      </c>
      <c r="V81" s="25" t="str">
        <f>IF($T81="","",SUMIFS(TRANSACTIONS_MASTER!$L$5:$L$1204,TRANSACTIONS_MASTER!$D$5:$D$1204,$T81,TRANSACTIONS_MASTER!$C$5:$C$1204,$C$2,TRANSACTIONS_MASTER!$U$5:$U$1204,"&lt;&gt;Cancelled"))</f>
        <v/>
      </c>
      <c r="W81" s="26" t="str">
        <f>IF($T81="","",SUMIFS(TRANSACTIONS_MASTER!$Q$5:$Q$1204,TRANSACTIONS_MASTER!$D$5:$D$1204,$T81,TRANSACTIONS_MASTER!$C$5:$C$1204,$C$2))</f>
        <v/>
      </c>
      <c r="X81" s="25" t="str">
        <f>IF($T81="","",IFERROR(IF(ISNUMBER(INDEX(CASHBACK_RULES!$K$5:$K$304,MATCH($T81,CASHBACK_RULES!$B$5:$B$304,0))),INDEX(CASHBACK_RULES!$K$5:$K$304,MATCH($T81,CASHBACK_RULES!$B$5:$B$304,0)),"∞"),"—"))</f>
        <v/>
      </c>
      <c r="Y81" s="25" t="str">
        <f>IF($T81="","",IF($X81="—","—",IF(COUNTIFS($T$8:$T$57,$T81,$Z$8:$Z$57,"∞")&gt;0,IF(ISNUMBER($X81),MAX(0,$X81-$W81),"∞"),IF(ISNUMBER($X81),MAX(0,MIN($X81-$W81,SUMIFS($Z$8:$Z$57,$T$8:$T$57,$T81))),SUMIFS($Z$8:$Z$57,$T$8:$T$57,$T81)))))</f>
        <v/>
      </c>
      <c r="Z81" s="27" t="str">
        <f>IF($T81="","",IF(ISNUMBER($X81),IF($X81=0,0,$W81/$X81),IF(ISNUMBER($Y81),IF($W81+$Y81=0,0,$W81/($W81+$Y81)),"")))</f>
        <v/>
      </c>
      <c r="AA81" s="29" t="str">
        <f>IF($T81="","",COUNTIFS(TRANSACTIONS_MASTER!$D$5:$D$1204,$T81,TRANSACTIONS_MASTER!$C$5:$C$1204,$C$2,TRANSACTIONS_MASTER!$U$5:$U$1204,"&lt;&gt;Cancelled"))</f>
        <v/>
      </c>
    </row>
    <row r="82">
      <c r="A82" s="81" t="str">
        <f>IF($Q82="","",75)</f>
        <v/>
      </c>
      <c r="B82" s="57" t="str">
        <f>IF($Q82="","",INDEX(TRANSACTIONS_MASTER!$B$5:$B$1204,$Q82))</f>
        <v/>
      </c>
      <c r="C82" s="55" t="str">
        <f>IF($Q82="","",INDEX(TRANSACTIONS_MASTER!$F$5:$F$1204,$Q82))</f>
        <v/>
      </c>
      <c r="D82" s="55" t="str">
        <f>IF($Q82="","",INDEX(TRANSACTIONS_MASTER!$E$5:$E$1204,$Q82))</f>
        <v/>
      </c>
      <c r="E82" s="55" t="str">
        <f>IF($Q82="","",INDEX(TRANSACTIONS_MASTER!$G$5:$G$1204,$Q82)&amp;"")</f>
        <v/>
      </c>
      <c r="F82" s="29" t="str">
        <f>IF($Q82="","",INDEX(TRANSACTIONS_MASTER!$I$5:$I$1204,$Q82))</f>
        <v/>
      </c>
      <c r="G82" s="55" t="str">
        <f>IF($Q82="","",INDEX(TRANSACTIONS_MASTER!$K$5:$K$1204,$Q82))</f>
        <v/>
      </c>
      <c r="H82" s="25" t="str">
        <f>IF($Q82="","",INDEX(TRANSACTIONS_MASTER!$L$5:$L$1204,$Q82))</f>
        <v/>
      </c>
      <c r="I82" s="56" t="str">
        <f>IF($Q82="","",INDEX(TRANSACTIONS_MASTER!$N$5:$N$1204,$Q82))</f>
        <v/>
      </c>
      <c r="J82" s="25" t="str">
        <f>IF($Q82="","",INDEX(TRANSACTIONS_MASTER!$O$5:$O$1204,$Q82))</f>
        <v/>
      </c>
      <c r="K82" s="26" t="str">
        <f>IF($Q82="","",INDEX(TRANSACTIONS_MASTER!$Q$5:$Q$1204,$Q82))</f>
        <v/>
      </c>
      <c r="L82" s="25" t="str">
        <f>IF($Q82="","",INDEX(TRANSACTIONS_MASTER!$P$5:$P$1204,$Q82))</f>
        <v/>
      </c>
      <c r="M82" s="25" t="str">
        <f>IF($Q82="","",INDEX(TRANSACTIONS_MASTER!$AA$5:$AA$1204,$Q82))</f>
        <v/>
      </c>
      <c r="N82" s="25" t="str">
        <f>IF($Q82="","",INDEX(TRANSACTIONS_MASTER!$R$5:$R$1204,$Q82))</f>
        <v/>
      </c>
      <c r="O82" s="28" t="str">
        <f>IF($Q82="","",INDEX(TRANSACTIONS_MASTER!$AB$5:$AB$1204,$Q82))</f>
        <v/>
      </c>
      <c r="P82" s="55" t="str">
        <f>IF($Q82="","",INDEX(TRANSACTIONS_MASTER!$Z$5:$Z$1204,$Q82)&amp;"")</f>
        <v/>
      </c>
      <c r="Q82" s="67" t="str">
        <f>IFERROR(MATCH($C$2&amp;"|"&amp;75,TRANSACTIONS_MASTER!$AE$5:$AE$1204,0),"")</f>
        <v/>
      </c>
      <c r="S82" s="67" t="n">
        <v>21</v>
      </c>
      <c r="T82" s="55" t="str">
        <f>IF(CARDS!$A25="","",CARDS!$A25)</f>
        <v/>
      </c>
      <c r="U82" s="55" t="str">
        <f>IF($T82="","",CARDS!$B25&amp;" "&amp;CARDS!$C25)</f>
        <v/>
      </c>
      <c r="V82" s="25" t="str">
        <f>IF($T82="","",SUMIFS(TRANSACTIONS_MASTER!$L$5:$L$1204,TRANSACTIONS_MASTER!$D$5:$D$1204,$T82,TRANSACTIONS_MASTER!$C$5:$C$1204,$C$2,TRANSACTIONS_MASTER!$U$5:$U$1204,"&lt;&gt;Cancelled"))</f>
        <v/>
      </c>
      <c r="W82" s="26" t="str">
        <f>IF($T82="","",SUMIFS(TRANSACTIONS_MASTER!$Q$5:$Q$1204,TRANSACTIONS_MASTER!$D$5:$D$1204,$T82,TRANSACTIONS_MASTER!$C$5:$C$1204,$C$2))</f>
        <v/>
      </c>
      <c r="X82" s="25" t="str">
        <f>IF($T82="","",IFERROR(IF(ISNUMBER(INDEX(CASHBACK_RULES!$K$5:$K$304,MATCH($T82,CASHBACK_RULES!$B$5:$B$304,0))),INDEX(CASHBACK_RULES!$K$5:$K$304,MATCH($T82,CASHBACK_RULES!$B$5:$B$304,0)),"∞"),"—"))</f>
        <v/>
      </c>
      <c r="Y82" s="25" t="str">
        <f>IF($T82="","",IF($X82="—","—",IF(COUNTIFS($T$8:$T$57,$T82,$Z$8:$Z$57,"∞")&gt;0,IF(ISNUMBER($X82),MAX(0,$X82-$W82),"∞"),IF(ISNUMBER($X82),MAX(0,MIN($X82-$W82,SUMIFS($Z$8:$Z$57,$T$8:$T$57,$T82))),SUMIFS($Z$8:$Z$57,$T$8:$T$57,$T82)))))</f>
        <v/>
      </c>
      <c r="Z82" s="27" t="str">
        <f>IF($T82="","",IF(ISNUMBER($X82),IF($X82=0,0,$W82/$X82),IF(ISNUMBER($Y82),IF($W82+$Y82=0,0,$W82/($W82+$Y82)),"")))</f>
        <v/>
      </c>
      <c r="AA82" s="29" t="str">
        <f>IF($T82="","",COUNTIFS(TRANSACTIONS_MASTER!$D$5:$D$1204,$T82,TRANSACTIONS_MASTER!$C$5:$C$1204,$C$2,TRANSACTIONS_MASTER!$U$5:$U$1204,"&lt;&gt;Cancelled"))</f>
        <v/>
      </c>
    </row>
    <row r="83">
      <c r="A83" s="81" t="str">
        <f>IF($Q83="","",76)</f>
        <v/>
      </c>
      <c r="B83" s="57" t="str">
        <f>IF($Q83="","",INDEX(TRANSACTIONS_MASTER!$B$5:$B$1204,$Q83))</f>
        <v/>
      </c>
      <c r="C83" s="55" t="str">
        <f>IF($Q83="","",INDEX(TRANSACTIONS_MASTER!$F$5:$F$1204,$Q83))</f>
        <v/>
      </c>
      <c r="D83" s="55" t="str">
        <f>IF($Q83="","",INDEX(TRANSACTIONS_MASTER!$E$5:$E$1204,$Q83))</f>
        <v/>
      </c>
      <c r="E83" s="55" t="str">
        <f>IF($Q83="","",INDEX(TRANSACTIONS_MASTER!$G$5:$G$1204,$Q83)&amp;"")</f>
        <v/>
      </c>
      <c r="F83" s="29" t="str">
        <f>IF($Q83="","",INDEX(TRANSACTIONS_MASTER!$I$5:$I$1204,$Q83))</f>
        <v/>
      </c>
      <c r="G83" s="55" t="str">
        <f>IF($Q83="","",INDEX(TRANSACTIONS_MASTER!$K$5:$K$1204,$Q83))</f>
        <v/>
      </c>
      <c r="H83" s="25" t="str">
        <f>IF($Q83="","",INDEX(TRANSACTIONS_MASTER!$L$5:$L$1204,$Q83))</f>
        <v/>
      </c>
      <c r="I83" s="56" t="str">
        <f>IF($Q83="","",INDEX(TRANSACTIONS_MASTER!$N$5:$N$1204,$Q83))</f>
        <v/>
      </c>
      <c r="J83" s="25" t="str">
        <f>IF($Q83="","",INDEX(TRANSACTIONS_MASTER!$O$5:$O$1204,$Q83))</f>
        <v/>
      </c>
      <c r="K83" s="26" t="str">
        <f>IF($Q83="","",INDEX(TRANSACTIONS_MASTER!$Q$5:$Q$1204,$Q83))</f>
        <v/>
      </c>
      <c r="L83" s="25" t="str">
        <f>IF($Q83="","",INDEX(TRANSACTIONS_MASTER!$P$5:$P$1204,$Q83))</f>
        <v/>
      </c>
      <c r="M83" s="25" t="str">
        <f>IF($Q83="","",INDEX(TRANSACTIONS_MASTER!$AA$5:$AA$1204,$Q83))</f>
        <v/>
      </c>
      <c r="N83" s="25" t="str">
        <f>IF($Q83="","",INDEX(TRANSACTIONS_MASTER!$R$5:$R$1204,$Q83))</f>
        <v/>
      </c>
      <c r="O83" s="28" t="str">
        <f>IF($Q83="","",INDEX(TRANSACTIONS_MASTER!$AB$5:$AB$1204,$Q83))</f>
        <v/>
      </c>
      <c r="P83" s="55" t="str">
        <f>IF($Q83="","",INDEX(TRANSACTIONS_MASTER!$Z$5:$Z$1204,$Q83)&amp;"")</f>
        <v/>
      </c>
      <c r="Q83" s="67" t="str">
        <f>IFERROR(MATCH($C$2&amp;"|"&amp;76,TRANSACTIONS_MASTER!$AE$5:$AE$1204,0),"")</f>
        <v/>
      </c>
      <c r="S83" s="67" t="n">
        <v>22</v>
      </c>
      <c r="T83" s="55" t="str">
        <f>IF(CARDS!$A26="","",CARDS!$A26)</f>
        <v/>
      </c>
      <c r="U83" s="55" t="str">
        <f>IF($T83="","",CARDS!$B26&amp;" "&amp;CARDS!$C26)</f>
        <v/>
      </c>
      <c r="V83" s="25" t="str">
        <f>IF($T83="","",SUMIFS(TRANSACTIONS_MASTER!$L$5:$L$1204,TRANSACTIONS_MASTER!$D$5:$D$1204,$T83,TRANSACTIONS_MASTER!$C$5:$C$1204,$C$2,TRANSACTIONS_MASTER!$U$5:$U$1204,"&lt;&gt;Cancelled"))</f>
        <v/>
      </c>
      <c r="W83" s="26" t="str">
        <f>IF($T83="","",SUMIFS(TRANSACTIONS_MASTER!$Q$5:$Q$1204,TRANSACTIONS_MASTER!$D$5:$D$1204,$T83,TRANSACTIONS_MASTER!$C$5:$C$1204,$C$2))</f>
        <v/>
      </c>
      <c r="X83" s="25" t="str">
        <f>IF($T83="","",IFERROR(IF(ISNUMBER(INDEX(CASHBACK_RULES!$K$5:$K$304,MATCH($T83,CASHBACK_RULES!$B$5:$B$304,0))),INDEX(CASHBACK_RULES!$K$5:$K$304,MATCH($T83,CASHBACK_RULES!$B$5:$B$304,0)),"∞"),"—"))</f>
        <v/>
      </c>
      <c r="Y83" s="25" t="str">
        <f>IF($T83="","",IF($X83="—","—",IF(COUNTIFS($T$8:$T$57,$T83,$Z$8:$Z$57,"∞")&gt;0,IF(ISNUMBER($X83),MAX(0,$X83-$W83),"∞"),IF(ISNUMBER($X83),MAX(0,MIN($X83-$W83,SUMIFS($Z$8:$Z$57,$T$8:$T$57,$T83))),SUMIFS($Z$8:$Z$57,$T$8:$T$57,$T83)))))</f>
        <v/>
      </c>
      <c r="Z83" s="27" t="str">
        <f>IF($T83="","",IF(ISNUMBER($X83),IF($X83=0,0,$W83/$X83),IF(ISNUMBER($Y83),IF($W83+$Y83=0,0,$W83/($W83+$Y83)),"")))</f>
        <v/>
      </c>
      <c r="AA83" s="29" t="str">
        <f>IF($T83="","",COUNTIFS(TRANSACTIONS_MASTER!$D$5:$D$1204,$T83,TRANSACTIONS_MASTER!$C$5:$C$1204,$C$2,TRANSACTIONS_MASTER!$U$5:$U$1204,"&lt;&gt;Cancelled"))</f>
        <v/>
      </c>
    </row>
    <row r="84">
      <c r="A84" s="81" t="str">
        <f>IF($Q84="","",77)</f>
        <v/>
      </c>
      <c r="B84" s="57" t="str">
        <f>IF($Q84="","",INDEX(TRANSACTIONS_MASTER!$B$5:$B$1204,$Q84))</f>
        <v/>
      </c>
      <c r="C84" s="55" t="str">
        <f>IF($Q84="","",INDEX(TRANSACTIONS_MASTER!$F$5:$F$1204,$Q84))</f>
        <v/>
      </c>
      <c r="D84" s="55" t="str">
        <f>IF($Q84="","",INDEX(TRANSACTIONS_MASTER!$E$5:$E$1204,$Q84))</f>
        <v/>
      </c>
      <c r="E84" s="55" t="str">
        <f>IF($Q84="","",INDEX(TRANSACTIONS_MASTER!$G$5:$G$1204,$Q84)&amp;"")</f>
        <v/>
      </c>
      <c r="F84" s="29" t="str">
        <f>IF($Q84="","",INDEX(TRANSACTIONS_MASTER!$I$5:$I$1204,$Q84))</f>
        <v/>
      </c>
      <c r="G84" s="55" t="str">
        <f>IF($Q84="","",INDEX(TRANSACTIONS_MASTER!$K$5:$K$1204,$Q84))</f>
        <v/>
      </c>
      <c r="H84" s="25" t="str">
        <f>IF($Q84="","",INDEX(TRANSACTIONS_MASTER!$L$5:$L$1204,$Q84))</f>
        <v/>
      </c>
      <c r="I84" s="56" t="str">
        <f>IF($Q84="","",INDEX(TRANSACTIONS_MASTER!$N$5:$N$1204,$Q84))</f>
        <v/>
      </c>
      <c r="J84" s="25" t="str">
        <f>IF($Q84="","",INDEX(TRANSACTIONS_MASTER!$O$5:$O$1204,$Q84))</f>
        <v/>
      </c>
      <c r="K84" s="26" t="str">
        <f>IF($Q84="","",INDEX(TRANSACTIONS_MASTER!$Q$5:$Q$1204,$Q84))</f>
        <v/>
      </c>
      <c r="L84" s="25" t="str">
        <f>IF($Q84="","",INDEX(TRANSACTIONS_MASTER!$P$5:$P$1204,$Q84))</f>
        <v/>
      </c>
      <c r="M84" s="25" t="str">
        <f>IF($Q84="","",INDEX(TRANSACTIONS_MASTER!$AA$5:$AA$1204,$Q84))</f>
        <v/>
      </c>
      <c r="N84" s="25" t="str">
        <f>IF($Q84="","",INDEX(TRANSACTIONS_MASTER!$R$5:$R$1204,$Q84))</f>
        <v/>
      </c>
      <c r="O84" s="28" t="str">
        <f>IF($Q84="","",INDEX(TRANSACTIONS_MASTER!$AB$5:$AB$1204,$Q84))</f>
        <v/>
      </c>
      <c r="P84" s="55" t="str">
        <f>IF($Q84="","",INDEX(TRANSACTIONS_MASTER!$Z$5:$Z$1204,$Q84)&amp;"")</f>
        <v/>
      </c>
      <c r="Q84" s="67" t="str">
        <f>IFERROR(MATCH($C$2&amp;"|"&amp;77,TRANSACTIONS_MASTER!$AE$5:$AE$1204,0),"")</f>
        <v/>
      </c>
      <c r="S84" s="67" t="n">
        <v>23</v>
      </c>
      <c r="T84" s="55" t="str">
        <f>IF(CARDS!$A27="","",CARDS!$A27)</f>
        <v/>
      </c>
      <c r="U84" s="55" t="str">
        <f>IF($T84="","",CARDS!$B27&amp;" "&amp;CARDS!$C27)</f>
        <v/>
      </c>
      <c r="V84" s="25" t="str">
        <f>IF($T84="","",SUMIFS(TRANSACTIONS_MASTER!$L$5:$L$1204,TRANSACTIONS_MASTER!$D$5:$D$1204,$T84,TRANSACTIONS_MASTER!$C$5:$C$1204,$C$2,TRANSACTIONS_MASTER!$U$5:$U$1204,"&lt;&gt;Cancelled"))</f>
        <v/>
      </c>
      <c r="W84" s="26" t="str">
        <f>IF($T84="","",SUMIFS(TRANSACTIONS_MASTER!$Q$5:$Q$1204,TRANSACTIONS_MASTER!$D$5:$D$1204,$T84,TRANSACTIONS_MASTER!$C$5:$C$1204,$C$2))</f>
        <v/>
      </c>
      <c r="X84" s="25" t="str">
        <f>IF($T84="","",IFERROR(IF(ISNUMBER(INDEX(CASHBACK_RULES!$K$5:$K$304,MATCH($T84,CASHBACK_RULES!$B$5:$B$304,0))),INDEX(CASHBACK_RULES!$K$5:$K$304,MATCH($T84,CASHBACK_RULES!$B$5:$B$304,0)),"∞"),"—"))</f>
        <v/>
      </c>
      <c r="Y84" s="25" t="str">
        <f>IF($T84="","",IF($X84="—","—",IF(COUNTIFS($T$8:$T$57,$T84,$Z$8:$Z$57,"∞")&gt;0,IF(ISNUMBER($X84),MAX(0,$X84-$W84),"∞"),IF(ISNUMBER($X84),MAX(0,MIN($X84-$W84,SUMIFS($Z$8:$Z$57,$T$8:$T$57,$T84))),SUMIFS($Z$8:$Z$57,$T$8:$T$57,$T84)))))</f>
        <v/>
      </c>
      <c r="Z84" s="27" t="str">
        <f>IF($T84="","",IF(ISNUMBER($X84),IF($X84=0,0,$W84/$X84),IF(ISNUMBER($Y84),IF($W84+$Y84=0,0,$W84/($W84+$Y84)),"")))</f>
        <v/>
      </c>
      <c r="AA84" s="29" t="str">
        <f>IF($T84="","",COUNTIFS(TRANSACTIONS_MASTER!$D$5:$D$1204,$T84,TRANSACTIONS_MASTER!$C$5:$C$1204,$C$2,TRANSACTIONS_MASTER!$U$5:$U$1204,"&lt;&gt;Cancelled"))</f>
        <v/>
      </c>
    </row>
    <row r="85">
      <c r="A85" s="81" t="str">
        <f>IF($Q85="","",78)</f>
        <v/>
      </c>
      <c r="B85" s="57" t="str">
        <f>IF($Q85="","",INDEX(TRANSACTIONS_MASTER!$B$5:$B$1204,$Q85))</f>
        <v/>
      </c>
      <c r="C85" s="55" t="str">
        <f>IF($Q85="","",INDEX(TRANSACTIONS_MASTER!$F$5:$F$1204,$Q85))</f>
        <v/>
      </c>
      <c r="D85" s="55" t="str">
        <f>IF($Q85="","",INDEX(TRANSACTIONS_MASTER!$E$5:$E$1204,$Q85))</f>
        <v/>
      </c>
      <c r="E85" s="55" t="str">
        <f>IF($Q85="","",INDEX(TRANSACTIONS_MASTER!$G$5:$G$1204,$Q85)&amp;"")</f>
        <v/>
      </c>
      <c r="F85" s="29" t="str">
        <f>IF($Q85="","",INDEX(TRANSACTIONS_MASTER!$I$5:$I$1204,$Q85))</f>
        <v/>
      </c>
      <c r="G85" s="55" t="str">
        <f>IF($Q85="","",INDEX(TRANSACTIONS_MASTER!$K$5:$K$1204,$Q85))</f>
        <v/>
      </c>
      <c r="H85" s="25" t="str">
        <f>IF($Q85="","",INDEX(TRANSACTIONS_MASTER!$L$5:$L$1204,$Q85))</f>
        <v/>
      </c>
      <c r="I85" s="56" t="str">
        <f>IF($Q85="","",INDEX(TRANSACTIONS_MASTER!$N$5:$N$1204,$Q85))</f>
        <v/>
      </c>
      <c r="J85" s="25" t="str">
        <f>IF($Q85="","",INDEX(TRANSACTIONS_MASTER!$O$5:$O$1204,$Q85))</f>
        <v/>
      </c>
      <c r="K85" s="26" t="str">
        <f>IF($Q85="","",INDEX(TRANSACTIONS_MASTER!$Q$5:$Q$1204,$Q85))</f>
        <v/>
      </c>
      <c r="L85" s="25" t="str">
        <f>IF($Q85="","",INDEX(TRANSACTIONS_MASTER!$P$5:$P$1204,$Q85))</f>
        <v/>
      </c>
      <c r="M85" s="25" t="str">
        <f>IF($Q85="","",INDEX(TRANSACTIONS_MASTER!$AA$5:$AA$1204,$Q85))</f>
        <v/>
      </c>
      <c r="N85" s="25" t="str">
        <f>IF($Q85="","",INDEX(TRANSACTIONS_MASTER!$R$5:$R$1204,$Q85))</f>
        <v/>
      </c>
      <c r="O85" s="28" t="str">
        <f>IF($Q85="","",INDEX(TRANSACTIONS_MASTER!$AB$5:$AB$1204,$Q85))</f>
        <v/>
      </c>
      <c r="P85" s="55" t="str">
        <f>IF($Q85="","",INDEX(TRANSACTIONS_MASTER!$Z$5:$Z$1204,$Q85)&amp;"")</f>
        <v/>
      </c>
      <c r="Q85" s="67" t="str">
        <f>IFERROR(MATCH($C$2&amp;"|"&amp;78,TRANSACTIONS_MASTER!$AE$5:$AE$1204,0),"")</f>
        <v/>
      </c>
      <c r="S85" s="67" t="n">
        <v>24</v>
      </c>
      <c r="T85" s="55" t="str">
        <f>IF(CARDS!$A28="","",CARDS!$A28)</f>
        <v/>
      </c>
      <c r="U85" s="55" t="str">
        <f>IF($T85="","",CARDS!$B28&amp;" "&amp;CARDS!$C28)</f>
        <v/>
      </c>
      <c r="V85" s="25" t="str">
        <f>IF($T85="","",SUMIFS(TRANSACTIONS_MASTER!$L$5:$L$1204,TRANSACTIONS_MASTER!$D$5:$D$1204,$T85,TRANSACTIONS_MASTER!$C$5:$C$1204,$C$2,TRANSACTIONS_MASTER!$U$5:$U$1204,"&lt;&gt;Cancelled"))</f>
        <v/>
      </c>
      <c r="W85" s="26" t="str">
        <f>IF($T85="","",SUMIFS(TRANSACTIONS_MASTER!$Q$5:$Q$1204,TRANSACTIONS_MASTER!$D$5:$D$1204,$T85,TRANSACTIONS_MASTER!$C$5:$C$1204,$C$2))</f>
        <v/>
      </c>
      <c r="X85" s="25" t="str">
        <f>IF($T85="","",IFERROR(IF(ISNUMBER(INDEX(CASHBACK_RULES!$K$5:$K$304,MATCH($T85,CASHBACK_RULES!$B$5:$B$304,0))),INDEX(CASHBACK_RULES!$K$5:$K$304,MATCH($T85,CASHBACK_RULES!$B$5:$B$304,0)),"∞"),"—"))</f>
        <v/>
      </c>
      <c r="Y85" s="25" t="str">
        <f>IF($T85="","",IF($X85="—","—",IF(COUNTIFS($T$8:$T$57,$T85,$Z$8:$Z$57,"∞")&gt;0,IF(ISNUMBER($X85),MAX(0,$X85-$W85),"∞"),IF(ISNUMBER($X85),MAX(0,MIN($X85-$W85,SUMIFS($Z$8:$Z$57,$T$8:$T$57,$T85))),SUMIFS($Z$8:$Z$57,$T$8:$T$57,$T85)))))</f>
        <v/>
      </c>
      <c r="Z85" s="27" t="str">
        <f>IF($T85="","",IF(ISNUMBER($X85),IF($X85=0,0,$W85/$X85),IF(ISNUMBER($Y85),IF($W85+$Y85=0,0,$W85/($W85+$Y85)),"")))</f>
        <v/>
      </c>
      <c r="AA85" s="29" t="str">
        <f>IF($T85="","",COUNTIFS(TRANSACTIONS_MASTER!$D$5:$D$1204,$T85,TRANSACTIONS_MASTER!$C$5:$C$1204,$C$2,TRANSACTIONS_MASTER!$U$5:$U$1204,"&lt;&gt;Cancelled"))</f>
        <v/>
      </c>
    </row>
    <row r="86">
      <c r="A86" s="81" t="str">
        <f>IF($Q86="","",79)</f>
        <v/>
      </c>
      <c r="B86" s="57" t="str">
        <f>IF($Q86="","",INDEX(TRANSACTIONS_MASTER!$B$5:$B$1204,$Q86))</f>
        <v/>
      </c>
      <c r="C86" s="55" t="str">
        <f>IF($Q86="","",INDEX(TRANSACTIONS_MASTER!$F$5:$F$1204,$Q86))</f>
        <v/>
      </c>
      <c r="D86" s="55" t="str">
        <f>IF($Q86="","",INDEX(TRANSACTIONS_MASTER!$E$5:$E$1204,$Q86))</f>
        <v/>
      </c>
      <c r="E86" s="55" t="str">
        <f>IF($Q86="","",INDEX(TRANSACTIONS_MASTER!$G$5:$G$1204,$Q86)&amp;"")</f>
        <v/>
      </c>
      <c r="F86" s="29" t="str">
        <f>IF($Q86="","",INDEX(TRANSACTIONS_MASTER!$I$5:$I$1204,$Q86))</f>
        <v/>
      </c>
      <c r="G86" s="55" t="str">
        <f>IF($Q86="","",INDEX(TRANSACTIONS_MASTER!$K$5:$K$1204,$Q86))</f>
        <v/>
      </c>
      <c r="H86" s="25" t="str">
        <f>IF($Q86="","",INDEX(TRANSACTIONS_MASTER!$L$5:$L$1204,$Q86))</f>
        <v/>
      </c>
      <c r="I86" s="56" t="str">
        <f>IF($Q86="","",INDEX(TRANSACTIONS_MASTER!$N$5:$N$1204,$Q86))</f>
        <v/>
      </c>
      <c r="J86" s="25" t="str">
        <f>IF($Q86="","",INDEX(TRANSACTIONS_MASTER!$O$5:$O$1204,$Q86))</f>
        <v/>
      </c>
      <c r="K86" s="26" t="str">
        <f>IF($Q86="","",INDEX(TRANSACTIONS_MASTER!$Q$5:$Q$1204,$Q86))</f>
        <v/>
      </c>
      <c r="L86" s="25" t="str">
        <f>IF($Q86="","",INDEX(TRANSACTIONS_MASTER!$P$5:$P$1204,$Q86))</f>
        <v/>
      </c>
      <c r="M86" s="25" t="str">
        <f>IF($Q86="","",INDEX(TRANSACTIONS_MASTER!$AA$5:$AA$1204,$Q86))</f>
        <v/>
      </c>
      <c r="N86" s="25" t="str">
        <f>IF($Q86="","",INDEX(TRANSACTIONS_MASTER!$R$5:$R$1204,$Q86))</f>
        <v/>
      </c>
      <c r="O86" s="28" t="str">
        <f>IF($Q86="","",INDEX(TRANSACTIONS_MASTER!$AB$5:$AB$1204,$Q86))</f>
        <v/>
      </c>
      <c r="P86" s="55" t="str">
        <f>IF($Q86="","",INDEX(TRANSACTIONS_MASTER!$Z$5:$Z$1204,$Q86)&amp;"")</f>
        <v/>
      </c>
      <c r="Q86" s="67" t="str">
        <f>IFERROR(MATCH($C$2&amp;"|"&amp;79,TRANSACTIONS_MASTER!$AE$5:$AE$1204,0),"")</f>
        <v/>
      </c>
      <c r="S86" s="67" t="n">
        <v>25</v>
      </c>
      <c r="T86" s="55" t="str">
        <f>IF(CARDS!$A29="","",CARDS!$A29)</f>
        <v/>
      </c>
      <c r="U86" s="55" t="str">
        <f>IF($T86="","",CARDS!$B29&amp;" "&amp;CARDS!$C29)</f>
        <v/>
      </c>
      <c r="V86" s="25" t="str">
        <f>IF($T86="","",SUMIFS(TRANSACTIONS_MASTER!$L$5:$L$1204,TRANSACTIONS_MASTER!$D$5:$D$1204,$T86,TRANSACTIONS_MASTER!$C$5:$C$1204,$C$2,TRANSACTIONS_MASTER!$U$5:$U$1204,"&lt;&gt;Cancelled"))</f>
        <v/>
      </c>
      <c r="W86" s="26" t="str">
        <f>IF($T86="","",SUMIFS(TRANSACTIONS_MASTER!$Q$5:$Q$1204,TRANSACTIONS_MASTER!$D$5:$D$1204,$T86,TRANSACTIONS_MASTER!$C$5:$C$1204,$C$2))</f>
        <v/>
      </c>
      <c r="X86" s="25" t="str">
        <f>IF($T86="","",IFERROR(IF(ISNUMBER(INDEX(CASHBACK_RULES!$K$5:$K$304,MATCH($T86,CASHBACK_RULES!$B$5:$B$304,0))),INDEX(CASHBACK_RULES!$K$5:$K$304,MATCH($T86,CASHBACK_RULES!$B$5:$B$304,0)),"∞"),"—"))</f>
        <v/>
      </c>
      <c r="Y86" s="25" t="str">
        <f>IF($T86="","",IF($X86="—","—",IF(COUNTIFS($T$8:$T$57,$T86,$Z$8:$Z$57,"∞")&gt;0,IF(ISNUMBER($X86),MAX(0,$X86-$W86),"∞"),IF(ISNUMBER($X86),MAX(0,MIN($X86-$W86,SUMIFS($Z$8:$Z$57,$T$8:$T$57,$T86))),SUMIFS($Z$8:$Z$57,$T$8:$T$57,$T86)))))</f>
        <v/>
      </c>
      <c r="Z86" s="27" t="str">
        <f>IF($T86="","",IF(ISNUMBER($X86),IF($X86=0,0,$W86/$X86),IF(ISNUMBER($Y86),IF($W86+$Y86=0,0,$W86/($W86+$Y86)),"")))</f>
        <v/>
      </c>
      <c r="AA86" s="29" t="str">
        <f>IF($T86="","",COUNTIFS(TRANSACTIONS_MASTER!$D$5:$D$1204,$T86,TRANSACTIONS_MASTER!$C$5:$C$1204,$C$2,TRANSACTIONS_MASTER!$U$5:$U$1204,"&lt;&gt;Cancelled"))</f>
        <v/>
      </c>
    </row>
    <row r="87">
      <c r="A87" s="81" t="str">
        <f>IF($Q87="","",80)</f>
        <v/>
      </c>
      <c r="B87" s="57" t="str">
        <f>IF($Q87="","",INDEX(TRANSACTIONS_MASTER!$B$5:$B$1204,$Q87))</f>
        <v/>
      </c>
      <c r="C87" s="55" t="str">
        <f>IF($Q87="","",INDEX(TRANSACTIONS_MASTER!$F$5:$F$1204,$Q87))</f>
        <v/>
      </c>
      <c r="D87" s="55" t="str">
        <f>IF($Q87="","",INDEX(TRANSACTIONS_MASTER!$E$5:$E$1204,$Q87))</f>
        <v/>
      </c>
      <c r="E87" s="55" t="str">
        <f>IF($Q87="","",INDEX(TRANSACTIONS_MASTER!$G$5:$G$1204,$Q87)&amp;"")</f>
        <v/>
      </c>
      <c r="F87" s="29" t="str">
        <f>IF($Q87="","",INDEX(TRANSACTIONS_MASTER!$I$5:$I$1204,$Q87))</f>
        <v/>
      </c>
      <c r="G87" s="55" t="str">
        <f>IF($Q87="","",INDEX(TRANSACTIONS_MASTER!$K$5:$K$1204,$Q87))</f>
        <v/>
      </c>
      <c r="H87" s="25" t="str">
        <f>IF($Q87="","",INDEX(TRANSACTIONS_MASTER!$L$5:$L$1204,$Q87))</f>
        <v/>
      </c>
      <c r="I87" s="56" t="str">
        <f>IF($Q87="","",INDEX(TRANSACTIONS_MASTER!$N$5:$N$1204,$Q87))</f>
        <v/>
      </c>
      <c r="J87" s="25" t="str">
        <f>IF($Q87="","",INDEX(TRANSACTIONS_MASTER!$O$5:$O$1204,$Q87))</f>
        <v/>
      </c>
      <c r="K87" s="26" t="str">
        <f>IF($Q87="","",INDEX(TRANSACTIONS_MASTER!$Q$5:$Q$1204,$Q87))</f>
        <v/>
      </c>
      <c r="L87" s="25" t="str">
        <f>IF($Q87="","",INDEX(TRANSACTIONS_MASTER!$P$5:$P$1204,$Q87))</f>
        <v/>
      </c>
      <c r="M87" s="25" t="str">
        <f>IF($Q87="","",INDEX(TRANSACTIONS_MASTER!$AA$5:$AA$1204,$Q87))</f>
        <v/>
      </c>
      <c r="N87" s="25" t="str">
        <f>IF($Q87="","",INDEX(TRANSACTIONS_MASTER!$R$5:$R$1204,$Q87))</f>
        <v/>
      </c>
      <c r="O87" s="28" t="str">
        <f>IF($Q87="","",INDEX(TRANSACTIONS_MASTER!$AB$5:$AB$1204,$Q87))</f>
        <v/>
      </c>
      <c r="P87" s="55" t="str">
        <f>IF($Q87="","",INDEX(TRANSACTIONS_MASTER!$Z$5:$Z$1204,$Q87)&amp;"")</f>
        <v/>
      </c>
      <c r="Q87" s="67" t="str">
        <f>IFERROR(MATCH($C$2&amp;"|"&amp;80,TRANSACTIONS_MASTER!$AE$5:$AE$1204,0),"")</f>
        <v/>
      </c>
      <c r="S87" s="67" t="n">
        <v>26</v>
      </c>
      <c r="T87" s="55" t="str">
        <f>IF(CARDS!$A30="","",CARDS!$A30)</f>
        <v/>
      </c>
      <c r="U87" s="55" t="str">
        <f>IF($T87="","",CARDS!$B30&amp;" "&amp;CARDS!$C30)</f>
        <v/>
      </c>
      <c r="V87" s="25" t="str">
        <f>IF($T87="","",SUMIFS(TRANSACTIONS_MASTER!$L$5:$L$1204,TRANSACTIONS_MASTER!$D$5:$D$1204,$T87,TRANSACTIONS_MASTER!$C$5:$C$1204,$C$2,TRANSACTIONS_MASTER!$U$5:$U$1204,"&lt;&gt;Cancelled"))</f>
        <v/>
      </c>
      <c r="W87" s="26" t="str">
        <f>IF($T87="","",SUMIFS(TRANSACTIONS_MASTER!$Q$5:$Q$1204,TRANSACTIONS_MASTER!$D$5:$D$1204,$T87,TRANSACTIONS_MASTER!$C$5:$C$1204,$C$2))</f>
        <v/>
      </c>
      <c r="X87" s="25" t="str">
        <f>IF($T87="","",IFERROR(IF(ISNUMBER(INDEX(CASHBACK_RULES!$K$5:$K$304,MATCH($T87,CASHBACK_RULES!$B$5:$B$304,0))),INDEX(CASHBACK_RULES!$K$5:$K$304,MATCH($T87,CASHBACK_RULES!$B$5:$B$304,0)),"∞"),"—"))</f>
        <v/>
      </c>
      <c r="Y87" s="25" t="str">
        <f>IF($T87="","",IF($X87="—","—",IF(COUNTIFS($T$8:$T$57,$T87,$Z$8:$Z$57,"∞")&gt;0,IF(ISNUMBER($X87),MAX(0,$X87-$W87),"∞"),IF(ISNUMBER($X87),MAX(0,MIN($X87-$W87,SUMIFS($Z$8:$Z$57,$T$8:$T$57,$T87))),SUMIFS($Z$8:$Z$57,$T$8:$T$57,$T87)))))</f>
        <v/>
      </c>
      <c r="Z87" s="27" t="str">
        <f>IF($T87="","",IF(ISNUMBER($X87),IF($X87=0,0,$W87/$X87),IF(ISNUMBER($Y87),IF($W87+$Y87=0,0,$W87/($W87+$Y87)),"")))</f>
        <v/>
      </c>
      <c r="AA87" s="29" t="str">
        <f>IF($T87="","",COUNTIFS(TRANSACTIONS_MASTER!$D$5:$D$1204,$T87,TRANSACTIONS_MASTER!$C$5:$C$1204,$C$2,TRANSACTIONS_MASTER!$U$5:$U$1204,"&lt;&gt;Cancelled"))</f>
        <v/>
      </c>
    </row>
    <row r="88">
      <c r="A88" s="81" t="str">
        <f>IF($Q88="","",81)</f>
        <v/>
      </c>
      <c r="B88" s="57" t="str">
        <f>IF($Q88="","",INDEX(TRANSACTIONS_MASTER!$B$5:$B$1204,$Q88))</f>
        <v/>
      </c>
      <c r="C88" s="55" t="str">
        <f>IF($Q88="","",INDEX(TRANSACTIONS_MASTER!$F$5:$F$1204,$Q88))</f>
        <v/>
      </c>
      <c r="D88" s="55" t="str">
        <f>IF($Q88="","",INDEX(TRANSACTIONS_MASTER!$E$5:$E$1204,$Q88))</f>
        <v/>
      </c>
      <c r="E88" s="55" t="str">
        <f>IF($Q88="","",INDEX(TRANSACTIONS_MASTER!$G$5:$G$1204,$Q88)&amp;"")</f>
        <v/>
      </c>
      <c r="F88" s="29" t="str">
        <f>IF($Q88="","",INDEX(TRANSACTIONS_MASTER!$I$5:$I$1204,$Q88))</f>
        <v/>
      </c>
      <c r="G88" s="55" t="str">
        <f>IF($Q88="","",INDEX(TRANSACTIONS_MASTER!$K$5:$K$1204,$Q88))</f>
        <v/>
      </c>
      <c r="H88" s="25" t="str">
        <f>IF($Q88="","",INDEX(TRANSACTIONS_MASTER!$L$5:$L$1204,$Q88))</f>
        <v/>
      </c>
      <c r="I88" s="56" t="str">
        <f>IF($Q88="","",INDEX(TRANSACTIONS_MASTER!$N$5:$N$1204,$Q88))</f>
        <v/>
      </c>
      <c r="J88" s="25" t="str">
        <f>IF($Q88="","",INDEX(TRANSACTIONS_MASTER!$O$5:$O$1204,$Q88))</f>
        <v/>
      </c>
      <c r="K88" s="26" t="str">
        <f>IF($Q88="","",INDEX(TRANSACTIONS_MASTER!$Q$5:$Q$1204,$Q88))</f>
        <v/>
      </c>
      <c r="L88" s="25" t="str">
        <f>IF($Q88="","",INDEX(TRANSACTIONS_MASTER!$P$5:$P$1204,$Q88))</f>
        <v/>
      </c>
      <c r="M88" s="25" t="str">
        <f>IF($Q88="","",INDEX(TRANSACTIONS_MASTER!$AA$5:$AA$1204,$Q88))</f>
        <v/>
      </c>
      <c r="N88" s="25" t="str">
        <f>IF($Q88="","",INDEX(TRANSACTIONS_MASTER!$R$5:$R$1204,$Q88))</f>
        <v/>
      </c>
      <c r="O88" s="28" t="str">
        <f>IF($Q88="","",INDEX(TRANSACTIONS_MASTER!$AB$5:$AB$1204,$Q88))</f>
        <v/>
      </c>
      <c r="P88" s="55" t="str">
        <f>IF($Q88="","",INDEX(TRANSACTIONS_MASTER!$Z$5:$Z$1204,$Q88)&amp;"")</f>
        <v/>
      </c>
      <c r="Q88" s="67" t="str">
        <f>IFERROR(MATCH($C$2&amp;"|"&amp;81,TRANSACTIONS_MASTER!$AE$5:$AE$1204,0),"")</f>
        <v/>
      </c>
      <c r="S88" s="67" t="n">
        <v>27</v>
      </c>
      <c r="T88" s="55" t="str">
        <f>IF(CARDS!$A31="","",CARDS!$A31)</f>
        <v/>
      </c>
      <c r="U88" s="55" t="str">
        <f>IF($T88="","",CARDS!$B31&amp;" "&amp;CARDS!$C31)</f>
        <v/>
      </c>
      <c r="V88" s="25" t="str">
        <f>IF($T88="","",SUMIFS(TRANSACTIONS_MASTER!$L$5:$L$1204,TRANSACTIONS_MASTER!$D$5:$D$1204,$T88,TRANSACTIONS_MASTER!$C$5:$C$1204,$C$2,TRANSACTIONS_MASTER!$U$5:$U$1204,"&lt;&gt;Cancelled"))</f>
        <v/>
      </c>
      <c r="W88" s="26" t="str">
        <f>IF($T88="","",SUMIFS(TRANSACTIONS_MASTER!$Q$5:$Q$1204,TRANSACTIONS_MASTER!$D$5:$D$1204,$T88,TRANSACTIONS_MASTER!$C$5:$C$1204,$C$2))</f>
        <v/>
      </c>
      <c r="X88" s="25" t="str">
        <f>IF($T88="","",IFERROR(IF(ISNUMBER(INDEX(CASHBACK_RULES!$K$5:$K$304,MATCH($T88,CASHBACK_RULES!$B$5:$B$304,0))),INDEX(CASHBACK_RULES!$K$5:$K$304,MATCH($T88,CASHBACK_RULES!$B$5:$B$304,0)),"∞"),"—"))</f>
        <v/>
      </c>
      <c r="Y88" s="25" t="str">
        <f>IF($T88="","",IF($X88="—","—",IF(COUNTIFS($T$8:$T$57,$T88,$Z$8:$Z$57,"∞")&gt;0,IF(ISNUMBER($X88),MAX(0,$X88-$W88),"∞"),IF(ISNUMBER($X88),MAX(0,MIN($X88-$W88,SUMIFS($Z$8:$Z$57,$T$8:$T$57,$T88))),SUMIFS($Z$8:$Z$57,$T$8:$T$57,$T88)))))</f>
        <v/>
      </c>
      <c r="Z88" s="27" t="str">
        <f>IF($T88="","",IF(ISNUMBER($X88),IF($X88=0,0,$W88/$X88),IF(ISNUMBER($Y88),IF($W88+$Y88=0,0,$W88/($W88+$Y88)),"")))</f>
        <v/>
      </c>
      <c r="AA88" s="29" t="str">
        <f>IF($T88="","",COUNTIFS(TRANSACTIONS_MASTER!$D$5:$D$1204,$T88,TRANSACTIONS_MASTER!$C$5:$C$1204,$C$2,TRANSACTIONS_MASTER!$U$5:$U$1204,"&lt;&gt;Cancelled"))</f>
        <v/>
      </c>
    </row>
    <row r="89">
      <c r="A89" s="81" t="str">
        <f>IF($Q89="","",82)</f>
        <v/>
      </c>
      <c r="B89" s="57" t="str">
        <f>IF($Q89="","",INDEX(TRANSACTIONS_MASTER!$B$5:$B$1204,$Q89))</f>
        <v/>
      </c>
      <c r="C89" s="55" t="str">
        <f>IF($Q89="","",INDEX(TRANSACTIONS_MASTER!$F$5:$F$1204,$Q89))</f>
        <v/>
      </c>
      <c r="D89" s="55" t="str">
        <f>IF($Q89="","",INDEX(TRANSACTIONS_MASTER!$E$5:$E$1204,$Q89))</f>
        <v/>
      </c>
      <c r="E89" s="55" t="str">
        <f>IF($Q89="","",INDEX(TRANSACTIONS_MASTER!$G$5:$G$1204,$Q89)&amp;"")</f>
        <v/>
      </c>
      <c r="F89" s="29" t="str">
        <f>IF($Q89="","",INDEX(TRANSACTIONS_MASTER!$I$5:$I$1204,$Q89))</f>
        <v/>
      </c>
      <c r="G89" s="55" t="str">
        <f>IF($Q89="","",INDEX(TRANSACTIONS_MASTER!$K$5:$K$1204,$Q89))</f>
        <v/>
      </c>
      <c r="H89" s="25" t="str">
        <f>IF($Q89="","",INDEX(TRANSACTIONS_MASTER!$L$5:$L$1204,$Q89))</f>
        <v/>
      </c>
      <c r="I89" s="56" t="str">
        <f>IF($Q89="","",INDEX(TRANSACTIONS_MASTER!$N$5:$N$1204,$Q89))</f>
        <v/>
      </c>
      <c r="J89" s="25" t="str">
        <f>IF($Q89="","",INDEX(TRANSACTIONS_MASTER!$O$5:$O$1204,$Q89))</f>
        <v/>
      </c>
      <c r="K89" s="26" t="str">
        <f>IF($Q89="","",INDEX(TRANSACTIONS_MASTER!$Q$5:$Q$1204,$Q89))</f>
        <v/>
      </c>
      <c r="L89" s="25" t="str">
        <f>IF($Q89="","",INDEX(TRANSACTIONS_MASTER!$P$5:$P$1204,$Q89))</f>
        <v/>
      </c>
      <c r="M89" s="25" t="str">
        <f>IF($Q89="","",INDEX(TRANSACTIONS_MASTER!$AA$5:$AA$1204,$Q89))</f>
        <v/>
      </c>
      <c r="N89" s="25" t="str">
        <f>IF($Q89="","",INDEX(TRANSACTIONS_MASTER!$R$5:$R$1204,$Q89))</f>
        <v/>
      </c>
      <c r="O89" s="28" t="str">
        <f>IF($Q89="","",INDEX(TRANSACTIONS_MASTER!$AB$5:$AB$1204,$Q89))</f>
        <v/>
      </c>
      <c r="P89" s="55" t="str">
        <f>IF($Q89="","",INDEX(TRANSACTIONS_MASTER!$Z$5:$Z$1204,$Q89)&amp;"")</f>
        <v/>
      </c>
      <c r="Q89" s="67" t="str">
        <f>IFERROR(MATCH($C$2&amp;"|"&amp;82,TRANSACTIONS_MASTER!$AE$5:$AE$1204,0),"")</f>
        <v/>
      </c>
      <c r="S89" s="67" t="n">
        <v>28</v>
      </c>
      <c r="T89" s="55" t="str">
        <f>IF(CARDS!$A32="","",CARDS!$A32)</f>
        <v/>
      </c>
      <c r="U89" s="55" t="str">
        <f>IF($T89="","",CARDS!$B32&amp;" "&amp;CARDS!$C32)</f>
        <v/>
      </c>
      <c r="V89" s="25" t="str">
        <f>IF($T89="","",SUMIFS(TRANSACTIONS_MASTER!$L$5:$L$1204,TRANSACTIONS_MASTER!$D$5:$D$1204,$T89,TRANSACTIONS_MASTER!$C$5:$C$1204,$C$2,TRANSACTIONS_MASTER!$U$5:$U$1204,"&lt;&gt;Cancelled"))</f>
        <v/>
      </c>
      <c r="W89" s="26" t="str">
        <f>IF($T89="","",SUMIFS(TRANSACTIONS_MASTER!$Q$5:$Q$1204,TRANSACTIONS_MASTER!$D$5:$D$1204,$T89,TRANSACTIONS_MASTER!$C$5:$C$1204,$C$2))</f>
        <v/>
      </c>
      <c r="X89" s="25" t="str">
        <f>IF($T89="","",IFERROR(IF(ISNUMBER(INDEX(CASHBACK_RULES!$K$5:$K$304,MATCH($T89,CASHBACK_RULES!$B$5:$B$304,0))),INDEX(CASHBACK_RULES!$K$5:$K$304,MATCH($T89,CASHBACK_RULES!$B$5:$B$304,0)),"∞"),"—"))</f>
        <v/>
      </c>
      <c r="Y89" s="25" t="str">
        <f>IF($T89="","",IF($X89="—","—",IF(COUNTIFS($T$8:$T$57,$T89,$Z$8:$Z$57,"∞")&gt;0,IF(ISNUMBER($X89),MAX(0,$X89-$W89),"∞"),IF(ISNUMBER($X89),MAX(0,MIN($X89-$W89,SUMIFS($Z$8:$Z$57,$T$8:$T$57,$T89))),SUMIFS($Z$8:$Z$57,$T$8:$T$57,$T89)))))</f>
        <v/>
      </c>
      <c r="Z89" s="27" t="str">
        <f>IF($T89="","",IF(ISNUMBER($X89),IF($X89=0,0,$W89/$X89),IF(ISNUMBER($Y89),IF($W89+$Y89=0,0,$W89/($W89+$Y89)),"")))</f>
        <v/>
      </c>
      <c r="AA89" s="29" t="str">
        <f>IF($T89="","",COUNTIFS(TRANSACTIONS_MASTER!$D$5:$D$1204,$T89,TRANSACTIONS_MASTER!$C$5:$C$1204,$C$2,TRANSACTIONS_MASTER!$U$5:$U$1204,"&lt;&gt;Cancelled"))</f>
        <v/>
      </c>
    </row>
    <row r="90">
      <c r="A90" s="81" t="str">
        <f>IF($Q90="","",83)</f>
        <v/>
      </c>
      <c r="B90" s="57" t="str">
        <f>IF($Q90="","",INDEX(TRANSACTIONS_MASTER!$B$5:$B$1204,$Q90))</f>
        <v/>
      </c>
      <c r="C90" s="55" t="str">
        <f>IF($Q90="","",INDEX(TRANSACTIONS_MASTER!$F$5:$F$1204,$Q90))</f>
        <v/>
      </c>
      <c r="D90" s="55" t="str">
        <f>IF($Q90="","",INDEX(TRANSACTIONS_MASTER!$E$5:$E$1204,$Q90))</f>
        <v/>
      </c>
      <c r="E90" s="55" t="str">
        <f>IF($Q90="","",INDEX(TRANSACTIONS_MASTER!$G$5:$G$1204,$Q90)&amp;"")</f>
        <v/>
      </c>
      <c r="F90" s="29" t="str">
        <f>IF($Q90="","",INDEX(TRANSACTIONS_MASTER!$I$5:$I$1204,$Q90))</f>
        <v/>
      </c>
      <c r="G90" s="55" t="str">
        <f>IF($Q90="","",INDEX(TRANSACTIONS_MASTER!$K$5:$K$1204,$Q90))</f>
        <v/>
      </c>
      <c r="H90" s="25" t="str">
        <f>IF($Q90="","",INDEX(TRANSACTIONS_MASTER!$L$5:$L$1204,$Q90))</f>
        <v/>
      </c>
      <c r="I90" s="56" t="str">
        <f>IF($Q90="","",INDEX(TRANSACTIONS_MASTER!$N$5:$N$1204,$Q90))</f>
        <v/>
      </c>
      <c r="J90" s="25" t="str">
        <f>IF($Q90="","",INDEX(TRANSACTIONS_MASTER!$O$5:$O$1204,$Q90))</f>
        <v/>
      </c>
      <c r="K90" s="26" t="str">
        <f>IF($Q90="","",INDEX(TRANSACTIONS_MASTER!$Q$5:$Q$1204,$Q90))</f>
        <v/>
      </c>
      <c r="L90" s="25" t="str">
        <f>IF($Q90="","",INDEX(TRANSACTIONS_MASTER!$P$5:$P$1204,$Q90))</f>
        <v/>
      </c>
      <c r="M90" s="25" t="str">
        <f>IF($Q90="","",INDEX(TRANSACTIONS_MASTER!$AA$5:$AA$1204,$Q90))</f>
        <v/>
      </c>
      <c r="N90" s="25" t="str">
        <f>IF($Q90="","",INDEX(TRANSACTIONS_MASTER!$R$5:$R$1204,$Q90))</f>
        <v/>
      </c>
      <c r="O90" s="28" t="str">
        <f>IF($Q90="","",INDEX(TRANSACTIONS_MASTER!$AB$5:$AB$1204,$Q90))</f>
        <v/>
      </c>
      <c r="P90" s="55" t="str">
        <f>IF($Q90="","",INDEX(TRANSACTIONS_MASTER!$Z$5:$Z$1204,$Q90)&amp;"")</f>
        <v/>
      </c>
      <c r="Q90" s="67" t="str">
        <f>IFERROR(MATCH($C$2&amp;"|"&amp;83,TRANSACTIONS_MASTER!$AE$5:$AE$1204,0),"")</f>
        <v/>
      </c>
      <c r="S90" s="67" t="n">
        <v>29</v>
      </c>
      <c r="T90" s="55" t="str">
        <f>IF(CARDS!$A33="","",CARDS!$A33)</f>
        <v/>
      </c>
      <c r="U90" s="55" t="str">
        <f>IF($T90="","",CARDS!$B33&amp;" "&amp;CARDS!$C33)</f>
        <v/>
      </c>
      <c r="V90" s="25" t="str">
        <f>IF($T90="","",SUMIFS(TRANSACTIONS_MASTER!$L$5:$L$1204,TRANSACTIONS_MASTER!$D$5:$D$1204,$T90,TRANSACTIONS_MASTER!$C$5:$C$1204,$C$2,TRANSACTIONS_MASTER!$U$5:$U$1204,"&lt;&gt;Cancelled"))</f>
        <v/>
      </c>
      <c r="W90" s="26" t="str">
        <f>IF($T90="","",SUMIFS(TRANSACTIONS_MASTER!$Q$5:$Q$1204,TRANSACTIONS_MASTER!$D$5:$D$1204,$T90,TRANSACTIONS_MASTER!$C$5:$C$1204,$C$2))</f>
        <v/>
      </c>
      <c r="X90" s="25" t="str">
        <f>IF($T90="","",IFERROR(IF(ISNUMBER(INDEX(CASHBACK_RULES!$K$5:$K$304,MATCH($T90,CASHBACK_RULES!$B$5:$B$304,0))),INDEX(CASHBACK_RULES!$K$5:$K$304,MATCH($T90,CASHBACK_RULES!$B$5:$B$304,0)),"∞"),"—"))</f>
        <v/>
      </c>
      <c r="Y90" s="25" t="str">
        <f>IF($T90="","",IF($X90="—","—",IF(COUNTIFS($T$8:$T$57,$T90,$Z$8:$Z$57,"∞")&gt;0,IF(ISNUMBER($X90),MAX(0,$X90-$W90),"∞"),IF(ISNUMBER($X90),MAX(0,MIN($X90-$W90,SUMIFS($Z$8:$Z$57,$T$8:$T$57,$T90))),SUMIFS($Z$8:$Z$57,$T$8:$T$57,$T90)))))</f>
        <v/>
      </c>
      <c r="Z90" s="27" t="str">
        <f>IF($T90="","",IF(ISNUMBER($X90),IF($X90=0,0,$W90/$X90),IF(ISNUMBER($Y90),IF($W90+$Y90=0,0,$W90/($W90+$Y90)),"")))</f>
        <v/>
      </c>
      <c r="AA90" s="29" t="str">
        <f>IF($T90="","",COUNTIFS(TRANSACTIONS_MASTER!$D$5:$D$1204,$T90,TRANSACTIONS_MASTER!$C$5:$C$1204,$C$2,TRANSACTIONS_MASTER!$U$5:$U$1204,"&lt;&gt;Cancelled"))</f>
        <v/>
      </c>
    </row>
    <row r="91">
      <c r="A91" s="81" t="str">
        <f>IF($Q91="","",84)</f>
        <v/>
      </c>
      <c r="B91" s="57" t="str">
        <f>IF($Q91="","",INDEX(TRANSACTIONS_MASTER!$B$5:$B$1204,$Q91))</f>
        <v/>
      </c>
      <c r="C91" s="55" t="str">
        <f>IF($Q91="","",INDEX(TRANSACTIONS_MASTER!$F$5:$F$1204,$Q91))</f>
        <v/>
      </c>
      <c r="D91" s="55" t="str">
        <f>IF($Q91="","",INDEX(TRANSACTIONS_MASTER!$E$5:$E$1204,$Q91))</f>
        <v/>
      </c>
      <c r="E91" s="55" t="str">
        <f>IF($Q91="","",INDEX(TRANSACTIONS_MASTER!$G$5:$G$1204,$Q91)&amp;"")</f>
        <v/>
      </c>
      <c r="F91" s="29" t="str">
        <f>IF($Q91="","",INDEX(TRANSACTIONS_MASTER!$I$5:$I$1204,$Q91))</f>
        <v/>
      </c>
      <c r="G91" s="55" t="str">
        <f>IF($Q91="","",INDEX(TRANSACTIONS_MASTER!$K$5:$K$1204,$Q91))</f>
        <v/>
      </c>
      <c r="H91" s="25" t="str">
        <f>IF($Q91="","",INDEX(TRANSACTIONS_MASTER!$L$5:$L$1204,$Q91))</f>
        <v/>
      </c>
      <c r="I91" s="56" t="str">
        <f>IF($Q91="","",INDEX(TRANSACTIONS_MASTER!$N$5:$N$1204,$Q91))</f>
        <v/>
      </c>
      <c r="J91" s="25" t="str">
        <f>IF($Q91="","",INDEX(TRANSACTIONS_MASTER!$O$5:$O$1204,$Q91))</f>
        <v/>
      </c>
      <c r="K91" s="26" t="str">
        <f>IF($Q91="","",INDEX(TRANSACTIONS_MASTER!$Q$5:$Q$1204,$Q91))</f>
        <v/>
      </c>
      <c r="L91" s="25" t="str">
        <f>IF($Q91="","",INDEX(TRANSACTIONS_MASTER!$P$5:$P$1204,$Q91))</f>
        <v/>
      </c>
      <c r="M91" s="25" t="str">
        <f>IF($Q91="","",INDEX(TRANSACTIONS_MASTER!$AA$5:$AA$1204,$Q91))</f>
        <v/>
      </c>
      <c r="N91" s="25" t="str">
        <f>IF($Q91="","",INDEX(TRANSACTIONS_MASTER!$R$5:$R$1204,$Q91))</f>
        <v/>
      </c>
      <c r="O91" s="28" t="str">
        <f>IF($Q91="","",INDEX(TRANSACTIONS_MASTER!$AB$5:$AB$1204,$Q91))</f>
        <v/>
      </c>
      <c r="P91" s="55" t="str">
        <f>IF($Q91="","",INDEX(TRANSACTIONS_MASTER!$Z$5:$Z$1204,$Q91)&amp;"")</f>
        <v/>
      </c>
      <c r="Q91" s="67" t="str">
        <f>IFERROR(MATCH($C$2&amp;"|"&amp;84,TRANSACTIONS_MASTER!$AE$5:$AE$1204,0),"")</f>
        <v/>
      </c>
      <c r="S91" s="67" t="n">
        <v>30</v>
      </c>
      <c r="T91" s="55" t="str">
        <f>IF(CARDS!$A34="","",CARDS!$A34)</f>
        <v/>
      </c>
      <c r="U91" s="55" t="str">
        <f>IF($T91="","",CARDS!$B34&amp;" "&amp;CARDS!$C34)</f>
        <v/>
      </c>
      <c r="V91" s="25" t="str">
        <f>IF($T91="","",SUMIFS(TRANSACTIONS_MASTER!$L$5:$L$1204,TRANSACTIONS_MASTER!$D$5:$D$1204,$T91,TRANSACTIONS_MASTER!$C$5:$C$1204,$C$2,TRANSACTIONS_MASTER!$U$5:$U$1204,"&lt;&gt;Cancelled"))</f>
        <v/>
      </c>
      <c r="W91" s="26" t="str">
        <f>IF($T91="","",SUMIFS(TRANSACTIONS_MASTER!$Q$5:$Q$1204,TRANSACTIONS_MASTER!$D$5:$D$1204,$T91,TRANSACTIONS_MASTER!$C$5:$C$1204,$C$2))</f>
        <v/>
      </c>
      <c r="X91" s="25" t="str">
        <f>IF($T91="","",IFERROR(IF(ISNUMBER(INDEX(CASHBACK_RULES!$K$5:$K$304,MATCH($T91,CASHBACK_RULES!$B$5:$B$304,0))),INDEX(CASHBACK_RULES!$K$5:$K$304,MATCH($T91,CASHBACK_RULES!$B$5:$B$304,0)),"∞"),"—"))</f>
        <v/>
      </c>
      <c r="Y91" s="25" t="str">
        <f>IF($T91="","",IF($X91="—","—",IF(COUNTIFS($T$8:$T$57,$T91,$Z$8:$Z$57,"∞")&gt;0,IF(ISNUMBER($X91),MAX(0,$X91-$W91),"∞"),IF(ISNUMBER($X91),MAX(0,MIN($X91-$W91,SUMIFS($Z$8:$Z$57,$T$8:$T$57,$T91))),SUMIFS($Z$8:$Z$57,$T$8:$T$57,$T91)))))</f>
        <v/>
      </c>
      <c r="Z91" s="27" t="str">
        <f>IF($T91="","",IF(ISNUMBER($X91),IF($X91=0,0,$W91/$X91),IF(ISNUMBER($Y91),IF($W91+$Y91=0,0,$W91/($W91+$Y91)),"")))</f>
        <v/>
      </c>
      <c r="AA91" s="29" t="str">
        <f>IF($T91="","",COUNTIFS(TRANSACTIONS_MASTER!$D$5:$D$1204,$T91,TRANSACTIONS_MASTER!$C$5:$C$1204,$C$2,TRANSACTIONS_MASTER!$U$5:$U$1204,"&lt;&gt;Cancelled"))</f>
        <v/>
      </c>
    </row>
    <row r="92">
      <c r="A92" s="81" t="str">
        <f>IF($Q92="","",85)</f>
        <v/>
      </c>
      <c r="B92" s="57" t="str">
        <f>IF($Q92="","",INDEX(TRANSACTIONS_MASTER!$B$5:$B$1204,$Q92))</f>
        <v/>
      </c>
      <c r="C92" s="55" t="str">
        <f>IF($Q92="","",INDEX(TRANSACTIONS_MASTER!$F$5:$F$1204,$Q92))</f>
        <v/>
      </c>
      <c r="D92" s="55" t="str">
        <f>IF($Q92="","",INDEX(TRANSACTIONS_MASTER!$E$5:$E$1204,$Q92))</f>
        <v/>
      </c>
      <c r="E92" s="55" t="str">
        <f>IF($Q92="","",INDEX(TRANSACTIONS_MASTER!$G$5:$G$1204,$Q92)&amp;"")</f>
        <v/>
      </c>
      <c r="F92" s="29" t="str">
        <f>IF($Q92="","",INDEX(TRANSACTIONS_MASTER!$I$5:$I$1204,$Q92))</f>
        <v/>
      </c>
      <c r="G92" s="55" t="str">
        <f>IF($Q92="","",INDEX(TRANSACTIONS_MASTER!$K$5:$K$1204,$Q92))</f>
        <v/>
      </c>
      <c r="H92" s="25" t="str">
        <f>IF($Q92="","",INDEX(TRANSACTIONS_MASTER!$L$5:$L$1204,$Q92))</f>
        <v/>
      </c>
      <c r="I92" s="56" t="str">
        <f>IF($Q92="","",INDEX(TRANSACTIONS_MASTER!$N$5:$N$1204,$Q92))</f>
        <v/>
      </c>
      <c r="J92" s="25" t="str">
        <f>IF($Q92="","",INDEX(TRANSACTIONS_MASTER!$O$5:$O$1204,$Q92))</f>
        <v/>
      </c>
      <c r="K92" s="26" t="str">
        <f>IF($Q92="","",INDEX(TRANSACTIONS_MASTER!$Q$5:$Q$1204,$Q92))</f>
        <v/>
      </c>
      <c r="L92" s="25" t="str">
        <f>IF($Q92="","",INDEX(TRANSACTIONS_MASTER!$P$5:$P$1204,$Q92))</f>
        <v/>
      </c>
      <c r="M92" s="25" t="str">
        <f>IF($Q92="","",INDEX(TRANSACTIONS_MASTER!$AA$5:$AA$1204,$Q92))</f>
        <v/>
      </c>
      <c r="N92" s="25" t="str">
        <f>IF($Q92="","",INDEX(TRANSACTIONS_MASTER!$R$5:$R$1204,$Q92))</f>
        <v/>
      </c>
      <c r="O92" s="28" t="str">
        <f>IF($Q92="","",INDEX(TRANSACTIONS_MASTER!$AB$5:$AB$1204,$Q92))</f>
        <v/>
      </c>
      <c r="P92" s="55" t="str">
        <f>IF($Q92="","",INDEX(TRANSACTIONS_MASTER!$Z$5:$Z$1204,$Q92)&amp;"")</f>
        <v/>
      </c>
      <c r="Q92" s="67" t="str">
        <f>IFERROR(MATCH($C$2&amp;"|"&amp;85,TRANSACTIONS_MASTER!$AE$5:$AE$1204,0),"")</f>
        <v/>
      </c>
      <c r="T92" s="68" t="n"/>
      <c r="U92" s="69" t="inlineStr">
        <is>
          <t>TỔNG</t>
        </is>
      </c>
      <c r="V92" s="31">
        <f>SUM(V62:V91)</f>
        <v>0</v>
      </c>
      <c r="W92" s="31">
        <f>SUM(W62:W91)</f>
        <v>0</v>
      </c>
      <c r="X92" s="68" t="n"/>
      <c r="Y92" s="31">
        <f>SUM(Y62:Y91)</f>
        <v>4500000</v>
      </c>
      <c r="Z92" s="68" t="n"/>
      <c r="AA92" s="32">
        <f>SUM(AA62:AA91)</f>
        <v>0</v>
      </c>
    </row>
    <row r="93">
      <c r="A93" s="81" t="str">
        <f>IF($Q93="","",86)</f>
        <v/>
      </c>
      <c r="B93" s="57" t="str">
        <f>IF($Q93="","",INDEX(TRANSACTIONS_MASTER!$B$5:$B$1204,$Q93))</f>
        <v/>
      </c>
      <c r="C93" s="55" t="str">
        <f>IF($Q93="","",INDEX(TRANSACTIONS_MASTER!$F$5:$F$1204,$Q93))</f>
        <v/>
      </c>
      <c r="D93" s="55" t="str">
        <f>IF($Q93="","",INDEX(TRANSACTIONS_MASTER!$E$5:$E$1204,$Q93))</f>
        <v/>
      </c>
      <c r="E93" s="55" t="str">
        <f>IF($Q93="","",INDEX(TRANSACTIONS_MASTER!$G$5:$G$1204,$Q93)&amp;"")</f>
        <v/>
      </c>
      <c r="F93" s="29" t="str">
        <f>IF($Q93="","",INDEX(TRANSACTIONS_MASTER!$I$5:$I$1204,$Q93))</f>
        <v/>
      </c>
      <c r="G93" s="55" t="str">
        <f>IF($Q93="","",INDEX(TRANSACTIONS_MASTER!$K$5:$K$1204,$Q93))</f>
        <v/>
      </c>
      <c r="H93" s="25" t="str">
        <f>IF($Q93="","",INDEX(TRANSACTIONS_MASTER!$L$5:$L$1204,$Q93))</f>
        <v/>
      </c>
      <c r="I93" s="56" t="str">
        <f>IF($Q93="","",INDEX(TRANSACTIONS_MASTER!$N$5:$N$1204,$Q93))</f>
        <v/>
      </c>
      <c r="J93" s="25" t="str">
        <f>IF($Q93="","",INDEX(TRANSACTIONS_MASTER!$O$5:$O$1204,$Q93))</f>
        <v/>
      </c>
      <c r="K93" s="26" t="str">
        <f>IF($Q93="","",INDEX(TRANSACTIONS_MASTER!$Q$5:$Q$1204,$Q93))</f>
        <v/>
      </c>
      <c r="L93" s="25" t="str">
        <f>IF($Q93="","",INDEX(TRANSACTIONS_MASTER!$P$5:$P$1204,$Q93))</f>
        <v/>
      </c>
      <c r="M93" s="25" t="str">
        <f>IF($Q93="","",INDEX(TRANSACTIONS_MASTER!$AA$5:$AA$1204,$Q93))</f>
        <v/>
      </c>
      <c r="N93" s="25" t="str">
        <f>IF($Q93="","",INDEX(TRANSACTIONS_MASTER!$R$5:$R$1204,$Q93))</f>
        <v/>
      </c>
      <c r="O93" s="28" t="str">
        <f>IF($Q93="","",INDEX(TRANSACTIONS_MASTER!$AB$5:$AB$1204,$Q93))</f>
        <v/>
      </c>
      <c r="P93" s="55" t="str">
        <f>IF($Q93="","",INDEX(TRANSACTIONS_MASTER!$Z$5:$Z$1204,$Q93)&amp;"")</f>
        <v/>
      </c>
      <c r="Q93" s="67" t="str">
        <f>IFERROR(MATCH($C$2&amp;"|"&amp;86,TRANSACTIONS_MASTER!$AE$5:$AE$1204,0),"")</f>
        <v/>
      </c>
    </row>
    <row r="94">
      <c r="A94" s="81" t="str">
        <f>IF($Q94="","",87)</f>
        <v/>
      </c>
      <c r="B94" s="57" t="str">
        <f>IF($Q94="","",INDEX(TRANSACTIONS_MASTER!$B$5:$B$1204,$Q94))</f>
        <v/>
      </c>
      <c r="C94" s="55" t="str">
        <f>IF($Q94="","",INDEX(TRANSACTIONS_MASTER!$F$5:$F$1204,$Q94))</f>
        <v/>
      </c>
      <c r="D94" s="55" t="str">
        <f>IF($Q94="","",INDEX(TRANSACTIONS_MASTER!$E$5:$E$1204,$Q94))</f>
        <v/>
      </c>
      <c r="E94" s="55" t="str">
        <f>IF($Q94="","",INDEX(TRANSACTIONS_MASTER!$G$5:$G$1204,$Q94)&amp;"")</f>
        <v/>
      </c>
      <c r="F94" s="29" t="str">
        <f>IF($Q94="","",INDEX(TRANSACTIONS_MASTER!$I$5:$I$1204,$Q94))</f>
        <v/>
      </c>
      <c r="G94" s="55" t="str">
        <f>IF($Q94="","",INDEX(TRANSACTIONS_MASTER!$K$5:$K$1204,$Q94))</f>
        <v/>
      </c>
      <c r="H94" s="25" t="str">
        <f>IF($Q94="","",INDEX(TRANSACTIONS_MASTER!$L$5:$L$1204,$Q94))</f>
        <v/>
      </c>
      <c r="I94" s="56" t="str">
        <f>IF($Q94="","",INDEX(TRANSACTIONS_MASTER!$N$5:$N$1204,$Q94))</f>
        <v/>
      </c>
      <c r="J94" s="25" t="str">
        <f>IF($Q94="","",INDEX(TRANSACTIONS_MASTER!$O$5:$O$1204,$Q94))</f>
        <v/>
      </c>
      <c r="K94" s="26" t="str">
        <f>IF($Q94="","",INDEX(TRANSACTIONS_MASTER!$Q$5:$Q$1204,$Q94))</f>
        <v/>
      </c>
      <c r="L94" s="25" t="str">
        <f>IF($Q94="","",INDEX(TRANSACTIONS_MASTER!$P$5:$P$1204,$Q94))</f>
        <v/>
      </c>
      <c r="M94" s="25" t="str">
        <f>IF($Q94="","",INDEX(TRANSACTIONS_MASTER!$AA$5:$AA$1204,$Q94))</f>
        <v/>
      </c>
      <c r="N94" s="25" t="str">
        <f>IF($Q94="","",INDEX(TRANSACTIONS_MASTER!$R$5:$R$1204,$Q94))</f>
        <v/>
      </c>
      <c r="O94" s="28" t="str">
        <f>IF($Q94="","",INDEX(TRANSACTIONS_MASTER!$AB$5:$AB$1204,$Q94))</f>
        <v/>
      </c>
      <c r="P94" s="55" t="str">
        <f>IF($Q94="","",INDEX(TRANSACTIONS_MASTER!$Z$5:$Z$1204,$Q94)&amp;"")</f>
        <v/>
      </c>
      <c r="Q94" s="67" t="str">
        <f>IFERROR(MATCH($C$2&amp;"|"&amp;87,TRANSACTIONS_MASTER!$AE$5:$AE$1204,0),"")</f>
        <v/>
      </c>
    </row>
    <row r="95" ht="22" customHeight="1">
      <c r="A95" s="81" t="str">
        <f>IF($Q95="","",88)</f>
        <v/>
      </c>
      <c r="B95" s="57" t="str">
        <f>IF($Q95="","",INDEX(TRANSACTIONS_MASTER!$B$5:$B$1204,$Q95))</f>
        <v/>
      </c>
      <c r="C95" s="55" t="str">
        <f>IF($Q95="","",INDEX(TRANSACTIONS_MASTER!$F$5:$F$1204,$Q95))</f>
        <v/>
      </c>
      <c r="D95" s="55" t="str">
        <f>IF($Q95="","",INDEX(TRANSACTIONS_MASTER!$E$5:$E$1204,$Q95))</f>
        <v/>
      </c>
      <c r="E95" s="55" t="str">
        <f>IF($Q95="","",INDEX(TRANSACTIONS_MASTER!$G$5:$G$1204,$Q95)&amp;"")</f>
        <v/>
      </c>
      <c r="F95" s="29" t="str">
        <f>IF($Q95="","",INDEX(TRANSACTIONS_MASTER!$I$5:$I$1204,$Q95))</f>
        <v/>
      </c>
      <c r="G95" s="55" t="str">
        <f>IF($Q95="","",INDEX(TRANSACTIONS_MASTER!$K$5:$K$1204,$Q95))</f>
        <v/>
      </c>
      <c r="H95" s="25" t="str">
        <f>IF($Q95="","",INDEX(TRANSACTIONS_MASTER!$L$5:$L$1204,$Q95))</f>
        <v/>
      </c>
      <c r="I95" s="56" t="str">
        <f>IF($Q95="","",INDEX(TRANSACTIONS_MASTER!$N$5:$N$1204,$Q95))</f>
        <v/>
      </c>
      <c r="J95" s="25" t="str">
        <f>IF($Q95="","",INDEX(TRANSACTIONS_MASTER!$O$5:$O$1204,$Q95))</f>
        <v/>
      </c>
      <c r="K95" s="26" t="str">
        <f>IF($Q95="","",INDEX(TRANSACTIONS_MASTER!$Q$5:$Q$1204,$Q95))</f>
        <v/>
      </c>
      <c r="L95" s="25" t="str">
        <f>IF($Q95="","",INDEX(TRANSACTIONS_MASTER!$P$5:$P$1204,$Q95))</f>
        <v/>
      </c>
      <c r="M95" s="25" t="str">
        <f>IF($Q95="","",INDEX(TRANSACTIONS_MASTER!$AA$5:$AA$1204,$Q95))</f>
        <v/>
      </c>
      <c r="N95" s="25" t="str">
        <f>IF($Q95="","",INDEX(TRANSACTIONS_MASTER!$R$5:$R$1204,$Q95))</f>
        <v/>
      </c>
      <c r="O95" s="28" t="str">
        <f>IF($Q95="","",INDEX(TRANSACTIONS_MASTER!$AB$5:$AB$1204,$Q95))</f>
        <v/>
      </c>
      <c r="P95" s="55" t="str">
        <f>IF($Q95="","",INDEX(TRANSACTIONS_MASTER!$Z$5:$Z$1204,$Q95)&amp;"")</f>
        <v/>
      </c>
      <c r="Q95" s="67" t="str">
        <f>IFERROR(MATCH($C$2&amp;"|"&amp;88,TRANSACTIONS_MASTER!$AE$5:$AE$1204,0),"")</f>
        <v/>
      </c>
      <c r="T95" s="19" t="inlineStr">
        <is>
          <t>THEO NGÂN HÀNG</t>
        </is>
      </c>
      <c r="U95" s="20" t="n"/>
      <c r="V95" s="20" t="n"/>
      <c r="W95" s="20" t="n"/>
      <c r="X95" s="20" t="n"/>
      <c r="Y95" s="20" t="n"/>
      <c r="Z95" s="20" t="n"/>
      <c r="AA95" s="20" t="n"/>
    </row>
    <row r="96" ht="28" customHeight="1">
      <c r="A96" s="81" t="str">
        <f>IF($Q96="","",89)</f>
        <v/>
      </c>
      <c r="B96" s="57" t="str">
        <f>IF($Q96="","",INDEX(TRANSACTIONS_MASTER!$B$5:$B$1204,$Q96))</f>
        <v/>
      </c>
      <c r="C96" s="55" t="str">
        <f>IF($Q96="","",INDEX(TRANSACTIONS_MASTER!$F$5:$F$1204,$Q96))</f>
        <v/>
      </c>
      <c r="D96" s="55" t="str">
        <f>IF($Q96="","",INDEX(TRANSACTIONS_MASTER!$E$5:$E$1204,$Q96))</f>
        <v/>
      </c>
      <c r="E96" s="55" t="str">
        <f>IF($Q96="","",INDEX(TRANSACTIONS_MASTER!$G$5:$G$1204,$Q96)&amp;"")</f>
        <v/>
      </c>
      <c r="F96" s="29" t="str">
        <f>IF($Q96="","",INDEX(TRANSACTIONS_MASTER!$I$5:$I$1204,$Q96))</f>
        <v/>
      </c>
      <c r="G96" s="55" t="str">
        <f>IF($Q96="","",INDEX(TRANSACTIONS_MASTER!$K$5:$K$1204,$Q96))</f>
        <v/>
      </c>
      <c r="H96" s="25" t="str">
        <f>IF($Q96="","",INDEX(TRANSACTIONS_MASTER!$L$5:$L$1204,$Q96))</f>
        <v/>
      </c>
      <c r="I96" s="56" t="str">
        <f>IF($Q96="","",INDEX(TRANSACTIONS_MASTER!$N$5:$N$1204,$Q96))</f>
        <v/>
      </c>
      <c r="J96" s="25" t="str">
        <f>IF($Q96="","",INDEX(TRANSACTIONS_MASTER!$O$5:$O$1204,$Q96))</f>
        <v/>
      </c>
      <c r="K96" s="26" t="str">
        <f>IF($Q96="","",INDEX(TRANSACTIONS_MASTER!$Q$5:$Q$1204,$Q96))</f>
        <v/>
      </c>
      <c r="L96" s="25" t="str">
        <f>IF($Q96="","",INDEX(TRANSACTIONS_MASTER!$P$5:$P$1204,$Q96))</f>
        <v/>
      </c>
      <c r="M96" s="25" t="str">
        <f>IF($Q96="","",INDEX(TRANSACTIONS_MASTER!$AA$5:$AA$1204,$Q96))</f>
        <v/>
      </c>
      <c r="N96" s="25" t="str">
        <f>IF($Q96="","",INDEX(TRANSACTIONS_MASTER!$R$5:$R$1204,$Q96))</f>
        <v/>
      </c>
      <c r="O96" s="28" t="str">
        <f>IF($Q96="","",INDEX(TRANSACTIONS_MASTER!$AB$5:$AB$1204,$Q96))</f>
        <v/>
      </c>
      <c r="P96" s="55" t="str">
        <f>IF($Q96="","",INDEX(TRANSACTIONS_MASTER!$Z$5:$Z$1204,$Q96)&amp;"")</f>
        <v/>
      </c>
      <c r="Q96" s="67" t="str">
        <f>IFERROR(MATCH($C$2&amp;"|"&amp;89,TRANSACTIONS_MASTER!$AE$5:$AE$1204,0),"")</f>
        <v/>
      </c>
      <c r="S96" s="21" t="inlineStr">
        <is>
          <t>#</t>
        </is>
      </c>
      <c r="T96" s="21" t="inlineStr"/>
      <c r="U96" s="21" t="inlineStr">
        <is>
          <t>Ngân hàng</t>
        </is>
      </c>
      <c r="V96" s="21" t="inlineStr">
        <is>
          <t>Chi tiêu</t>
        </is>
      </c>
      <c r="W96" s="21" t="inlineStr">
        <is>
          <t>Cashback</t>
        </is>
      </c>
    </row>
    <row r="97">
      <c r="A97" s="81" t="str">
        <f>IF($Q97="","",90)</f>
        <v/>
      </c>
      <c r="B97" s="57" t="str">
        <f>IF($Q97="","",INDEX(TRANSACTIONS_MASTER!$B$5:$B$1204,$Q97))</f>
        <v/>
      </c>
      <c r="C97" s="55" t="str">
        <f>IF($Q97="","",INDEX(TRANSACTIONS_MASTER!$F$5:$F$1204,$Q97))</f>
        <v/>
      </c>
      <c r="D97" s="55" t="str">
        <f>IF($Q97="","",INDEX(TRANSACTIONS_MASTER!$E$5:$E$1204,$Q97))</f>
        <v/>
      </c>
      <c r="E97" s="55" t="str">
        <f>IF($Q97="","",INDEX(TRANSACTIONS_MASTER!$G$5:$G$1204,$Q97)&amp;"")</f>
        <v/>
      </c>
      <c r="F97" s="29" t="str">
        <f>IF($Q97="","",INDEX(TRANSACTIONS_MASTER!$I$5:$I$1204,$Q97))</f>
        <v/>
      </c>
      <c r="G97" s="55" t="str">
        <f>IF($Q97="","",INDEX(TRANSACTIONS_MASTER!$K$5:$K$1204,$Q97))</f>
        <v/>
      </c>
      <c r="H97" s="25" t="str">
        <f>IF($Q97="","",INDEX(TRANSACTIONS_MASTER!$L$5:$L$1204,$Q97))</f>
        <v/>
      </c>
      <c r="I97" s="56" t="str">
        <f>IF($Q97="","",INDEX(TRANSACTIONS_MASTER!$N$5:$N$1204,$Q97))</f>
        <v/>
      </c>
      <c r="J97" s="25" t="str">
        <f>IF($Q97="","",INDEX(TRANSACTIONS_MASTER!$O$5:$O$1204,$Q97))</f>
        <v/>
      </c>
      <c r="K97" s="26" t="str">
        <f>IF($Q97="","",INDEX(TRANSACTIONS_MASTER!$Q$5:$Q$1204,$Q97))</f>
        <v/>
      </c>
      <c r="L97" s="25" t="str">
        <f>IF($Q97="","",INDEX(TRANSACTIONS_MASTER!$P$5:$P$1204,$Q97))</f>
        <v/>
      </c>
      <c r="M97" s="25" t="str">
        <f>IF($Q97="","",INDEX(TRANSACTIONS_MASTER!$AA$5:$AA$1204,$Q97))</f>
        <v/>
      </c>
      <c r="N97" s="25" t="str">
        <f>IF($Q97="","",INDEX(TRANSACTIONS_MASTER!$R$5:$R$1204,$Q97))</f>
        <v/>
      </c>
      <c r="O97" s="28" t="str">
        <f>IF($Q97="","",INDEX(TRANSACTIONS_MASTER!$AB$5:$AB$1204,$Q97))</f>
        <v/>
      </c>
      <c r="P97" s="55" t="str">
        <f>IF($Q97="","",INDEX(TRANSACTIONS_MASTER!$Z$5:$Z$1204,$Q97)&amp;"")</f>
        <v/>
      </c>
      <c r="Q97" s="67" t="str">
        <f>IFERROR(MATCH($C$2&amp;"|"&amp;90,TRANSACTIONS_MASTER!$AE$5:$AE$1204,0),"")</f>
        <v/>
      </c>
      <c r="S97" s="67">
        <f>IFERROR(MATCH(1,CARDS!$O$5:$O$34,0),"")</f>
        <v>1</v>
      </c>
      <c r="T97" s="55" t="n"/>
      <c r="U97" s="55" t="str">
        <f>IF($S97="","",INDEX(CARDS!$B$5:$B$34,$S97))</f>
        <v>VPBank</v>
      </c>
      <c r="V97" s="25">
        <f>IF($S97="","",SUMIFS(TRANSACTIONS_MASTER!$L$5:$L$1204,TRANSACTIONS_MASTER!$E$5:$E$1204,$U97,TRANSACTIONS_MASTER!$C$5:$C$1204,$C$2,TRANSACTIONS_MASTER!$U$5:$U$1204,"&lt;&gt;Cancelled"))</f>
        <v>0</v>
      </c>
      <c r="W97" s="26">
        <f>IF($S97="","",SUMIFS(TRANSACTIONS_MASTER!$Q$5:$Q$1204,TRANSACTIONS_MASTER!$E$5:$E$1204,$U97,TRANSACTIONS_MASTER!$C$5:$C$1204,$C$2))</f>
        <v>0</v>
      </c>
    </row>
    <row r="98">
      <c r="A98" s="81" t="str">
        <f>IF($Q98="","",91)</f>
        <v/>
      </c>
      <c r="B98" s="57" t="str">
        <f>IF($Q98="","",INDEX(TRANSACTIONS_MASTER!$B$5:$B$1204,$Q98))</f>
        <v/>
      </c>
      <c r="C98" s="55" t="str">
        <f>IF($Q98="","",INDEX(TRANSACTIONS_MASTER!$F$5:$F$1204,$Q98))</f>
        <v/>
      </c>
      <c r="D98" s="55" t="str">
        <f>IF($Q98="","",INDEX(TRANSACTIONS_MASTER!$E$5:$E$1204,$Q98))</f>
        <v/>
      </c>
      <c r="E98" s="55" t="str">
        <f>IF($Q98="","",INDEX(TRANSACTIONS_MASTER!$G$5:$G$1204,$Q98)&amp;"")</f>
        <v/>
      </c>
      <c r="F98" s="29" t="str">
        <f>IF($Q98="","",INDEX(TRANSACTIONS_MASTER!$I$5:$I$1204,$Q98))</f>
        <v/>
      </c>
      <c r="G98" s="55" t="str">
        <f>IF($Q98="","",INDEX(TRANSACTIONS_MASTER!$K$5:$K$1204,$Q98))</f>
        <v/>
      </c>
      <c r="H98" s="25" t="str">
        <f>IF($Q98="","",INDEX(TRANSACTIONS_MASTER!$L$5:$L$1204,$Q98))</f>
        <v/>
      </c>
      <c r="I98" s="56" t="str">
        <f>IF($Q98="","",INDEX(TRANSACTIONS_MASTER!$N$5:$N$1204,$Q98))</f>
        <v/>
      </c>
      <c r="J98" s="25" t="str">
        <f>IF($Q98="","",INDEX(TRANSACTIONS_MASTER!$O$5:$O$1204,$Q98))</f>
        <v/>
      </c>
      <c r="K98" s="26" t="str">
        <f>IF($Q98="","",INDEX(TRANSACTIONS_MASTER!$Q$5:$Q$1204,$Q98))</f>
        <v/>
      </c>
      <c r="L98" s="25" t="str">
        <f>IF($Q98="","",INDEX(TRANSACTIONS_MASTER!$P$5:$P$1204,$Q98))</f>
        <v/>
      </c>
      <c r="M98" s="25" t="str">
        <f>IF($Q98="","",INDEX(TRANSACTIONS_MASTER!$AA$5:$AA$1204,$Q98))</f>
        <v/>
      </c>
      <c r="N98" s="25" t="str">
        <f>IF($Q98="","",INDEX(TRANSACTIONS_MASTER!$R$5:$R$1204,$Q98))</f>
        <v/>
      </c>
      <c r="O98" s="28" t="str">
        <f>IF($Q98="","",INDEX(TRANSACTIONS_MASTER!$AB$5:$AB$1204,$Q98))</f>
        <v/>
      </c>
      <c r="P98" s="55" t="str">
        <f>IF($Q98="","",INDEX(TRANSACTIONS_MASTER!$Z$5:$Z$1204,$Q98)&amp;"")</f>
        <v/>
      </c>
      <c r="Q98" s="67" t="str">
        <f>IFERROR(MATCH($C$2&amp;"|"&amp;91,TRANSACTIONS_MASTER!$AE$5:$AE$1204,0),"")</f>
        <v/>
      </c>
      <c r="S98" s="67">
        <f>IFERROR(MATCH(2,CARDS!$O$5:$O$34,0),"")</f>
        <v>2</v>
      </c>
      <c r="T98" s="55" t="n"/>
      <c r="U98" s="55" t="str">
        <f>IF($S98="","",INDEX(CARDS!$B$5:$B$34,$S98))</f>
        <v>VIB</v>
      </c>
      <c r="V98" s="25">
        <f>IF($S98="","",SUMIFS(TRANSACTIONS_MASTER!$L$5:$L$1204,TRANSACTIONS_MASTER!$E$5:$E$1204,$U98,TRANSACTIONS_MASTER!$C$5:$C$1204,$C$2,TRANSACTIONS_MASTER!$U$5:$U$1204,"&lt;&gt;Cancelled"))</f>
        <v>0</v>
      </c>
      <c r="W98" s="26">
        <f>IF($S98="","",SUMIFS(TRANSACTIONS_MASTER!$Q$5:$Q$1204,TRANSACTIONS_MASTER!$E$5:$E$1204,$U98,TRANSACTIONS_MASTER!$C$5:$C$1204,$C$2))</f>
        <v>0</v>
      </c>
    </row>
    <row r="99">
      <c r="A99" s="81" t="str">
        <f>IF($Q99="","",92)</f>
        <v/>
      </c>
      <c r="B99" s="57" t="str">
        <f>IF($Q99="","",INDEX(TRANSACTIONS_MASTER!$B$5:$B$1204,$Q99))</f>
        <v/>
      </c>
      <c r="C99" s="55" t="str">
        <f>IF($Q99="","",INDEX(TRANSACTIONS_MASTER!$F$5:$F$1204,$Q99))</f>
        <v/>
      </c>
      <c r="D99" s="55" t="str">
        <f>IF($Q99="","",INDEX(TRANSACTIONS_MASTER!$E$5:$E$1204,$Q99))</f>
        <v/>
      </c>
      <c r="E99" s="55" t="str">
        <f>IF($Q99="","",INDEX(TRANSACTIONS_MASTER!$G$5:$G$1204,$Q99)&amp;"")</f>
        <v/>
      </c>
      <c r="F99" s="29" t="str">
        <f>IF($Q99="","",INDEX(TRANSACTIONS_MASTER!$I$5:$I$1204,$Q99))</f>
        <v/>
      </c>
      <c r="G99" s="55" t="str">
        <f>IF($Q99="","",INDEX(TRANSACTIONS_MASTER!$K$5:$K$1204,$Q99))</f>
        <v/>
      </c>
      <c r="H99" s="25" t="str">
        <f>IF($Q99="","",INDEX(TRANSACTIONS_MASTER!$L$5:$L$1204,$Q99))</f>
        <v/>
      </c>
      <c r="I99" s="56" t="str">
        <f>IF($Q99="","",INDEX(TRANSACTIONS_MASTER!$N$5:$N$1204,$Q99))</f>
        <v/>
      </c>
      <c r="J99" s="25" t="str">
        <f>IF($Q99="","",INDEX(TRANSACTIONS_MASTER!$O$5:$O$1204,$Q99))</f>
        <v/>
      </c>
      <c r="K99" s="26" t="str">
        <f>IF($Q99="","",INDEX(TRANSACTIONS_MASTER!$Q$5:$Q$1204,$Q99))</f>
        <v/>
      </c>
      <c r="L99" s="25" t="str">
        <f>IF($Q99="","",INDEX(TRANSACTIONS_MASTER!$P$5:$P$1204,$Q99))</f>
        <v/>
      </c>
      <c r="M99" s="25" t="str">
        <f>IF($Q99="","",INDEX(TRANSACTIONS_MASTER!$AA$5:$AA$1204,$Q99))</f>
        <v/>
      </c>
      <c r="N99" s="25" t="str">
        <f>IF($Q99="","",INDEX(TRANSACTIONS_MASTER!$R$5:$R$1204,$Q99))</f>
        <v/>
      </c>
      <c r="O99" s="28" t="str">
        <f>IF($Q99="","",INDEX(TRANSACTIONS_MASTER!$AB$5:$AB$1204,$Q99))</f>
        <v/>
      </c>
      <c r="P99" s="55" t="str">
        <f>IF($Q99="","",INDEX(TRANSACTIONS_MASTER!$Z$5:$Z$1204,$Q99)&amp;"")</f>
        <v/>
      </c>
      <c r="Q99" s="67" t="str">
        <f>IFERROR(MATCH($C$2&amp;"|"&amp;92,TRANSACTIONS_MASTER!$AE$5:$AE$1204,0),"")</f>
        <v/>
      </c>
      <c r="S99" s="67">
        <f>IFERROR(MATCH(3,CARDS!$O$5:$O$34,0),"")</f>
        <v>3</v>
      </c>
      <c r="T99" s="55" t="n"/>
      <c r="U99" s="55" t="str">
        <f>IF($S99="","",INDEX(CARDS!$B$5:$B$34,$S99))</f>
        <v>Techcombank</v>
      </c>
      <c r="V99" s="25">
        <f>IF($S99="","",SUMIFS(TRANSACTIONS_MASTER!$L$5:$L$1204,TRANSACTIONS_MASTER!$E$5:$E$1204,$U99,TRANSACTIONS_MASTER!$C$5:$C$1204,$C$2,TRANSACTIONS_MASTER!$U$5:$U$1204,"&lt;&gt;Cancelled"))</f>
        <v>0</v>
      </c>
      <c r="W99" s="26">
        <f>IF($S99="","",SUMIFS(TRANSACTIONS_MASTER!$Q$5:$Q$1204,TRANSACTIONS_MASTER!$E$5:$E$1204,$U99,TRANSACTIONS_MASTER!$C$5:$C$1204,$C$2))</f>
        <v>0</v>
      </c>
    </row>
    <row r="100">
      <c r="A100" s="81" t="str">
        <f>IF($Q100="","",93)</f>
        <v/>
      </c>
      <c r="B100" s="57" t="str">
        <f>IF($Q100="","",INDEX(TRANSACTIONS_MASTER!$B$5:$B$1204,$Q100))</f>
        <v/>
      </c>
      <c r="C100" s="55" t="str">
        <f>IF($Q100="","",INDEX(TRANSACTIONS_MASTER!$F$5:$F$1204,$Q100))</f>
        <v/>
      </c>
      <c r="D100" s="55" t="str">
        <f>IF($Q100="","",INDEX(TRANSACTIONS_MASTER!$E$5:$E$1204,$Q100))</f>
        <v/>
      </c>
      <c r="E100" s="55" t="str">
        <f>IF($Q100="","",INDEX(TRANSACTIONS_MASTER!$G$5:$G$1204,$Q100)&amp;"")</f>
        <v/>
      </c>
      <c r="F100" s="29" t="str">
        <f>IF($Q100="","",INDEX(TRANSACTIONS_MASTER!$I$5:$I$1204,$Q100))</f>
        <v/>
      </c>
      <c r="G100" s="55" t="str">
        <f>IF($Q100="","",INDEX(TRANSACTIONS_MASTER!$K$5:$K$1204,$Q100))</f>
        <v/>
      </c>
      <c r="H100" s="25" t="str">
        <f>IF($Q100="","",INDEX(TRANSACTIONS_MASTER!$L$5:$L$1204,$Q100))</f>
        <v/>
      </c>
      <c r="I100" s="56" t="str">
        <f>IF($Q100="","",INDEX(TRANSACTIONS_MASTER!$N$5:$N$1204,$Q100))</f>
        <v/>
      </c>
      <c r="J100" s="25" t="str">
        <f>IF($Q100="","",INDEX(TRANSACTIONS_MASTER!$O$5:$O$1204,$Q100))</f>
        <v/>
      </c>
      <c r="K100" s="26" t="str">
        <f>IF($Q100="","",INDEX(TRANSACTIONS_MASTER!$Q$5:$Q$1204,$Q100))</f>
        <v/>
      </c>
      <c r="L100" s="25" t="str">
        <f>IF($Q100="","",INDEX(TRANSACTIONS_MASTER!$P$5:$P$1204,$Q100))</f>
        <v/>
      </c>
      <c r="M100" s="25" t="str">
        <f>IF($Q100="","",INDEX(TRANSACTIONS_MASTER!$AA$5:$AA$1204,$Q100))</f>
        <v/>
      </c>
      <c r="N100" s="25" t="str">
        <f>IF($Q100="","",INDEX(TRANSACTIONS_MASTER!$R$5:$R$1204,$Q100))</f>
        <v/>
      </c>
      <c r="O100" s="28" t="str">
        <f>IF($Q100="","",INDEX(TRANSACTIONS_MASTER!$AB$5:$AB$1204,$Q100))</f>
        <v/>
      </c>
      <c r="P100" s="55" t="str">
        <f>IF($Q100="","",INDEX(TRANSACTIONS_MASTER!$Z$5:$Z$1204,$Q100)&amp;"")</f>
        <v/>
      </c>
      <c r="Q100" s="67" t="str">
        <f>IFERROR(MATCH($C$2&amp;"|"&amp;93,TRANSACTIONS_MASTER!$AE$5:$AE$1204,0),"")</f>
        <v/>
      </c>
      <c r="S100" s="67">
        <f>IFERROR(MATCH(4,CARDS!$O$5:$O$34,0),"")</f>
        <v>4</v>
      </c>
      <c r="T100" s="55" t="n"/>
      <c r="U100" s="55" t="str">
        <f>IF($S100="","",INDEX(CARDS!$B$5:$B$34,$S100))</f>
        <v>UOB</v>
      </c>
      <c r="V100" s="25">
        <f>IF($S100="","",SUMIFS(TRANSACTIONS_MASTER!$L$5:$L$1204,TRANSACTIONS_MASTER!$E$5:$E$1204,$U100,TRANSACTIONS_MASTER!$C$5:$C$1204,$C$2,TRANSACTIONS_MASTER!$U$5:$U$1204,"&lt;&gt;Cancelled"))</f>
        <v>0</v>
      </c>
      <c r="W100" s="26">
        <f>IF($S100="","",SUMIFS(TRANSACTIONS_MASTER!$Q$5:$Q$1204,TRANSACTIONS_MASTER!$E$5:$E$1204,$U100,TRANSACTIONS_MASTER!$C$5:$C$1204,$C$2))</f>
        <v>0</v>
      </c>
    </row>
    <row r="101">
      <c r="A101" s="81" t="str">
        <f>IF($Q101="","",94)</f>
        <v/>
      </c>
      <c r="B101" s="57" t="str">
        <f>IF($Q101="","",INDEX(TRANSACTIONS_MASTER!$B$5:$B$1204,$Q101))</f>
        <v/>
      </c>
      <c r="C101" s="55" t="str">
        <f>IF($Q101="","",INDEX(TRANSACTIONS_MASTER!$F$5:$F$1204,$Q101))</f>
        <v/>
      </c>
      <c r="D101" s="55" t="str">
        <f>IF($Q101="","",INDEX(TRANSACTIONS_MASTER!$E$5:$E$1204,$Q101))</f>
        <v/>
      </c>
      <c r="E101" s="55" t="str">
        <f>IF($Q101="","",INDEX(TRANSACTIONS_MASTER!$G$5:$G$1204,$Q101)&amp;"")</f>
        <v/>
      </c>
      <c r="F101" s="29" t="str">
        <f>IF($Q101="","",INDEX(TRANSACTIONS_MASTER!$I$5:$I$1204,$Q101))</f>
        <v/>
      </c>
      <c r="G101" s="55" t="str">
        <f>IF($Q101="","",INDEX(TRANSACTIONS_MASTER!$K$5:$K$1204,$Q101))</f>
        <v/>
      </c>
      <c r="H101" s="25" t="str">
        <f>IF($Q101="","",INDEX(TRANSACTIONS_MASTER!$L$5:$L$1204,$Q101))</f>
        <v/>
      </c>
      <c r="I101" s="56" t="str">
        <f>IF($Q101="","",INDEX(TRANSACTIONS_MASTER!$N$5:$N$1204,$Q101))</f>
        <v/>
      </c>
      <c r="J101" s="25" t="str">
        <f>IF($Q101="","",INDEX(TRANSACTIONS_MASTER!$O$5:$O$1204,$Q101))</f>
        <v/>
      </c>
      <c r="K101" s="26" t="str">
        <f>IF($Q101="","",INDEX(TRANSACTIONS_MASTER!$Q$5:$Q$1204,$Q101))</f>
        <v/>
      </c>
      <c r="L101" s="25" t="str">
        <f>IF($Q101="","",INDEX(TRANSACTIONS_MASTER!$P$5:$P$1204,$Q101))</f>
        <v/>
      </c>
      <c r="M101" s="25" t="str">
        <f>IF($Q101="","",INDEX(TRANSACTIONS_MASTER!$AA$5:$AA$1204,$Q101))</f>
        <v/>
      </c>
      <c r="N101" s="25" t="str">
        <f>IF($Q101="","",INDEX(TRANSACTIONS_MASTER!$R$5:$R$1204,$Q101))</f>
        <v/>
      </c>
      <c r="O101" s="28" t="str">
        <f>IF($Q101="","",INDEX(TRANSACTIONS_MASTER!$AB$5:$AB$1204,$Q101))</f>
        <v/>
      </c>
      <c r="P101" s="55" t="str">
        <f>IF($Q101="","",INDEX(TRANSACTIONS_MASTER!$Z$5:$Z$1204,$Q101)&amp;"")</f>
        <v/>
      </c>
      <c r="Q101" s="67" t="str">
        <f>IFERROR(MATCH($C$2&amp;"|"&amp;94,TRANSACTIONS_MASTER!$AE$5:$AE$1204,0),"")</f>
        <v/>
      </c>
      <c r="S101" s="67">
        <f>IFERROR(MATCH(5,CARDS!$O$5:$O$34,0),"")</f>
        <v>5</v>
      </c>
      <c r="T101" s="55" t="n"/>
      <c r="U101" s="55" t="str">
        <f>IF($S101="","",INDEX(CARDS!$B$5:$B$34,$S101))</f>
        <v>MB</v>
      </c>
      <c r="V101" s="25">
        <f>IF($S101="","",SUMIFS(TRANSACTIONS_MASTER!$L$5:$L$1204,TRANSACTIONS_MASTER!$E$5:$E$1204,$U101,TRANSACTIONS_MASTER!$C$5:$C$1204,$C$2,TRANSACTIONS_MASTER!$U$5:$U$1204,"&lt;&gt;Cancelled"))</f>
        <v>0</v>
      </c>
      <c r="W101" s="26">
        <f>IF($S101="","",SUMIFS(TRANSACTIONS_MASTER!$Q$5:$Q$1204,TRANSACTIONS_MASTER!$E$5:$E$1204,$U101,TRANSACTIONS_MASTER!$C$5:$C$1204,$C$2))</f>
        <v>0</v>
      </c>
    </row>
    <row r="102">
      <c r="A102" s="81" t="str">
        <f>IF($Q102="","",95)</f>
        <v/>
      </c>
      <c r="B102" s="57" t="str">
        <f>IF($Q102="","",INDEX(TRANSACTIONS_MASTER!$B$5:$B$1204,$Q102))</f>
        <v/>
      </c>
      <c r="C102" s="55" t="str">
        <f>IF($Q102="","",INDEX(TRANSACTIONS_MASTER!$F$5:$F$1204,$Q102))</f>
        <v/>
      </c>
      <c r="D102" s="55" t="str">
        <f>IF($Q102="","",INDEX(TRANSACTIONS_MASTER!$E$5:$E$1204,$Q102))</f>
        <v/>
      </c>
      <c r="E102" s="55" t="str">
        <f>IF($Q102="","",INDEX(TRANSACTIONS_MASTER!$G$5:$G$1204,$Q102)&amp;"")</f>
        <v/>
      </c>
      <c r="F102" s="29" t="str">
        <f>IF($Q102="","",INDEX(TRANSACTIONS_MASTER!$I$5:$I$1204,$Q102))</f>
        <v/>
      </c>
      <c r="G102" s="55" t="str">
        <f>IF($Q102="","",INDEX(TRANSACTIONS_MASTER!$K$5:$K$1204,$Q102))</f>
        <v/>
      </c>
      <c r="H102" s="25" t="str">
        <f>IF($Q102="","",INDEX(TRANSACTIONS_MASTER!$L$5:$L$1204,$Q102))</f>
        <v/>
      </c>
      <c r="I102" s="56" t="str">
        <f>IF($Q102="","",INDEX(TRANSACTIONS_MASTER!$N$5:$N$1204,$Q102))</f>
        <v/>
      </c>
      <c r="J102" s="25" t="str">
        <f>IF($Q102="","",INDEX(TRANSACTIONS_MASTER!$O$5:$O$1204,$Q102))</f>
        <v/>
      </c>
      <c r="K102" s="26" t="str">
        <f>IF($Q102="","",INDEX(TRANSACTIONS_MASTER!$Q$5:$Q$1204,$Q102))</f>
        <v/>
      </c>
      <c r="L102" s="25" t="str">
        <f>IF($Q102="","",INDEX(TRANSACTIONS_MASTER!$P$5:$P$1204,$Q102))</f>
        <v/>
      </c>
      <c r="M102" s="25" t="str">
        <f>IF($Q102="","",INDEX(TRANSACTIONS_MASTER!$AA$5:$AA$1204,$Q102))</f>
        <v/>
      </c>
      <c r="N102" s="25" t="str">
        <f>IF($Q102="","",INDEX(TRANSACTIONS_MASTER!$R$5:$R$1204,$Q102))</f>
        <v/>
      </c>
      <c r="O102" s="28" t="str">
        <f>IF($Q102="","",INDEX(TRANSACTIONS_MASTER!$AB$5:$AB$1204,$Q102))</f>
        <v/>
      </c>
      <c r="P102" s="55" t="str">
        <f>IF($Q102="","",INDEX(TRANSACTIONS_MASTER!$Z$5:$Z$1204,$Q102)&amp;"")</f>
        <v/>
      </c>
      <c r="Q102" s="67" t="str">
        <f>IFERROR(MATCH($C$2&amp;"|"&amp;95,TRANSACTIONS_MASTER!$AE$5:$AE$1204,0),"")</f>
        <v/>
      </c>
      <c r="S102" s="67">
        <f>IFERROR(MATCH(6,CARDS!$O$5:$O$34,0),"")</f>
        <v>6</v>
      </c>
      <c r="T102" s="55" t="n"/>
      <c r="U102" s="55" t="str">
        <f>IF($S102="","",INDEX(CARDS!$B$5:$B$34,$S102))</f>
        <v>ACB</v>
      </c>
      <c r="V102" s="25">
        <f>IF($S102="","",SUMIFS(TRANSACTIONS_MASTER!$L$5:$L$1204,TRANSACTIONS_MASTER!$E$5:$E$1204,$U102,TRANSACTIONS_MASTER!$C$5:$C$1204,$C$2,TRANSACTIONS_MASTER!$U$5:$U$1204,"&lt;&gt;Cancelled"))</f>
        <v>0</v>
      </c>
      <c r="W102" s="26">
        <f>IF($S102="","",SUMIFS(TRANSACTIONS_MASTER!$Q$5:$Q$1204,TRANSACTIONS_MASTER!$E$5:$E$1204,$U102,TRANSACTIONS_MASTER!$C$5:$C$1204,$C$2))</f>
        <v>0</v>
      </c>
    </row>
    <row r="103">
      <c r="A103" s="81" t="str">
        <f>IF($Q103="","",96)</f>
        <v/>
      </c>
      <c r="B103" s="57" t="str">
        <f>IF($Q103="","",INDEX(TRANSACTIONS_MASTER!$B$5:$B$1204,$Q103))</f>
        <v/>
      </c>
      <c r="C103" s="55" t="str">
        <f>IF($Q103="","",INDEX(TRANSACTIONS_MASTER!$F$5:$F$1204,$Q103))</f>
        <v/>
      </c>
      <c r="D103" s="55" t="str">
        <f>IF($Q103="","",INDEX(TRANSACTIONS_MASTER!$E$5:$E$1204,$Q103))</f>
        <v/>
      </c>
      <c r="E103" s="55" t="str">
        <f>IF($Q103="","",INDEX(TRANSACTIONS_MASTER!$G$5:$G$1204,$Q103)&amp;"")</f>
        <v/>
      </c>
      <c r="F103" s="29" t="str">
        <f>IF($Q103="","",INDEX(TRANSACTIONS_MASTER!$I$5:$I$1204,$Q103))</f>
        <v/>
      </c>
      <c r="G103" s="55" t="str">
        <f>IF($Q103="","",INDEX(TRANSACTIONS_MASTER!$K$5:$K$1204,$Q103))</f>
        <v/>
      </c>
      <c r="H103" s="25" t="str">
        <f>IF($Q103="","",INDEX(TRANSACTIONS_MASTER!$L$5:$L$1204,$Q103))</f>
        <v/>
      </c>
      <c r="I103" s="56" t="str">
        <f>IF($Q103="","",INDEX(TRANSACTIONS_MASTER!$N$5:$N$1204,$Q103))</f>
        <v/>
      </c>
      <c r="J103" s="25" t="str">
        <f>IF($Q103="","",INDEX(TRANSACTIONS_MASTER!$O$5:$O$1204,$Q103))</f>
        <v/>
      </c>
      <c r="K103" s="26" t="str">
        <f>IF($Q103="","",INDEX(TRANSACTIONS_MASTER!$Q$5:$Q$1204,$Q103))</f>
        <v/>
      </c>
      <c r="L103" s="25" t="str">
        <f>IF($Q103="","",INDEX(TRANSACTIONS_MASTER!$P$5:$P$1204,$Q103))</f>
        <v/>
      </c>
      <c r="M103" s="25" t="str">
        <f>IF($Q103="","",INDEX(TRANSACTIONS_MASTER!$AA$5:$AA$1204,$Q103))</f>
        <v/>
      </c>
      <c r="N103" s="25" t="str">
        <f>IF($Q103="","",INDEX(TRANSACTIONS_MASTER!$R$5:$R$1204,$Q103))</f>
        <v/>
      </c>
      <c r="O103" s="28" t="str">
        <f>IF($Q103="","",INDEX(TRANSACTIONS_MASTER!$AB$5:$AB$1204,$Q103))</f>
        <v/>
      </c>
      <c r="P103" s="55" t="str">
        <f>IF($Q103="","",INDEX(TRANSACTIONS_MASTER!$Z$5:$Z$1204,$Q103)&amp;"")</f>
        <v/>
      </c>
      <c r="Q103" s="67" t="str">
        <f>IFERROR(MATCH($C$2&amp;"|"&amp;96,TRANSACTIONS_MASTER!$AE$5:$AE$1204,0),"")</f>
        <v/>
      </c>
      <c r="S103" s="67" t="str">
        <f>IFERROR(MATCH(7,CARDS!$O$5:$O$34,0),"")</f>
        <v/>
      </c>
      <c r="T103" s="55" t="n"/>
      <c r="U103" s="55" t="str">
        <f>IF($S103="","",INDEX(CARDS!$B$5:$B$34,$S103))</f>
        <v/>
      </c>
      <c r="V103" s="25" t="str">
        <f>IF($S103="","",SUMIFS(TRANSACTIONS_MASTER!$L$5:$L$1204,TRANSACTIONS_MASTER!$E$5:$E$1204,$U103,TRANSACTIONS_MASTER!$C$5:$C$1204,$C$2,TRANSACTIONS_MASTER!$U$5:$U$1204,"&lt;&gt;Cancelled"))</f>
        <v/>
      </c>
      <c r="W103" s="26" t="str">
        <f>IF($S103="","",SUMIFS(TRANSACTIONS_MASTER!$Q$5:$Q$1204,TRANSACTIONS_MASTER!$E$5:$E$1204,$U103,TRANSACTIONS_MASTER!$C$5:$C$1204,$C$2))</f>
        <v/>
      </c>
    </row>
    <row r="104">
      <c r="A104" s="81" t="str">
        <f>IF($Q104="","",97)</f>
        <v/>
      </c>
      <c r="B104" s="57" t="str">
        <f>IF($Q104="","",INDEX(TRANSACTIONS_MASTER!$B$5:$B$1204,$Q104))</f>
        <v/>
      </c>
      <c r="C104" s="55" t="str">
        <f>IF($Q104="","",INDEX(TRANSACTIONS_MASTER!$F$5:$F$1204,$Q104))</f>
        <v/>
      </c>
      <c r="D104" s="55" t="str">
        <f>IF($Q104="","",INDEX(TRANSACTIONS_MASTER!$E$5:$E$1204,$Q104))</f>
        <v/>
      </c>
      <c r="E104" s="55" t="str">
        <f>IF($Q104="","",INDEX(TRANSACTIONS_MASTER!$G$5:$G$1204,$Q104)&amp;"")</f>
        <v/>
      </c>
      <c r="F104" s="29" t="str">
        <f>IF($Q104="","",INDEX(TRANSACTIONS_MASTER!$I$5:$I$1204,$Q104))</f>
        <v/>
      </c>
      <c r="G104" s="55" t="str">
        <f>IF($Q104="","",INDEX(TRANSACTIONS_MASTER!$K$5:$K$1204,$Q104))</f>
        <v/>
      </c>
      <c r="H104" s="25" t="str">
        <f>IF($Q104="","",INDEX(TRANSACTIONS_MASTER!$L$5:$L$1204,$Q104))</f>
        <v/>
      </c>
      <c r="I104" s="56" t="str">
        <f>IF($Q104="","",INDEX(TRANSACTIONS_MASTER!$N$5:$N$1204,$Q104))</f>
        <v/>
      </c>
      <c r="J104" s="25" t="str">
        <f>IF($Q104="","",INDEX(TRANSACTIONS_MASTER!$O$5:$O$1204,$Q104))</f>
        <v/>
      </c>
      <c r="K104" s="26" t="str">
        <f>IF($Q104="","",INDEX(TRANSACTIONS_MASTER!$Q$5:$Q$1204,$Q104))</f>
        <v/>
      </c>
      <c r="L104" s="25" t="str">
        <f>IF($Q104="","",INDEX(TRANSACTIONS_MASTER!$P$5:$P$1204,$Q104))</f>
        <v/>
      </c>
      <c r="M104" s="25" t="str">
        <f>IF($Q104="","",INDEX(TRANSACTIONS_MASTER!$AA$5:$AA$1204,$Q104))</f>
        <v/>
      </c>
      <c r="N104" s="25" t="str">
        <f>IF($Q104="","",INDEX(TRANSACTIONS_MASTER!$R$5:$R$1204,$Q104))</f>
        <v/>
      </c>
      <c r="O104" s="28" t="str">
        <f>IF($Q104="","",INDEX(TRANSACTIONS_MASTER!$AB$5:$AB$1204,$Q104))</f>
        <v/>
      </c>
      <c r="P104" s="55" t="str">
        <f>IF($Q104="","",INDEX(TRANSACTIONS_MASTER!$Z$5:$Z$1204,$Q104)&amp;"")</f>
        <v/>
      </c>
      <c r="Q104" s="67" t="str">
        <f>IFERROR(MATCH($C$2&amp;"|"&amp;97,TRANSACTIONS_MASTER!$AE$5:$AE$1204,0),"")</f>
        <v/>
      </c>
      <c r="S104" s="67" t="str">
        <f>IFERROR(MATCH(8,CARDS!$O$5:$O$34,0),"")</f>
        <v/>
      </c>
      <c r="T104" s="55" t="n"/>
      <c r="U104" s="55" t="str">
        <f>IF($S104="","",INDEX(CARDS!$B$5:$B$34,$S104))</f>
        <v/>
      </c>
      <c r="V104" s="25" t="str">
        <f>IF($S104="","",SUMIFS(TRANSACTIONS_MASTER!$L$5:$L$1204,TRANSACTIONS_MASTER!$E$5:$E$1204,$U104,TRANSACTIONS_MASTER!$C$5:$C$1204,$C$2,TRANSACTIONS_MASTER!$U$5:$U$1204,"&lt;&gt;Cancelled"))</f>
        <v/>
      </c>
      <c r="W104" s="26" t="str">
        <f>IF($S104="","",SUMIFS(TRANSACTIONS_MASTER!$Q$5:$Q$1204,TRANSACTIONS_MASTER!$E$5:$E$1204,$U104,TRANSACTIONS_MASTER!$C$5:$C$1204,$C$2))</f>
        <v/>
      </c>
    </row>
    <row r="105">
      <c r="A105" s="81" t="str">
        <f>IF($Q105="","",98)</f>
        <v/>
      </c>
      <c r="B105" s="57" t="str">
        <f>IF($Q105="","",INDEX(TRANSACTIONS_MASTER!$B$5:$B$1204,$Q105))</f>
        <v/>
      </c>
      <c r="C105" s="55" t="str">
        <f>IF($Q105="","",INDEX(TRANSACTIONS_MASTER!$F$5:$F$1204,$Q105))</f>
        <v/>
      </c>
      <c r="D105" s="55" t="str">
        <f>IF($Q105="","",INDEX(TRANSACTIONS_MASTER!$E$5:$E$1204,$Q105))</f>
        <v/>
      </c>
      <c r="E105" s="55" t="str">
        <f>IF($Q105="","",INDEX(TRANSACTIONS_MASTER!$G$5:$G$1204,$Q105)&amp;"")</f>
        <v/>
      </c>
      <c r="F105" s="29" t="str">
        <f>IF($Q105="","",INDEX(TRANSACTIONS_MASTER!$I$5:$I$1204,$Q105))</f>
        <v/>
      </c>
      <c r="G105" s="55" t="str">
        <f>IF($Q105="","",INDEX(TRANSACTIONS_MASTER!$K$5:$K$1204,$Q105))</f>
        <v/>
      </c>
      <c r="H105" s="25" t="str">
        <f>IF($Q105="","",INDEX(TRANSACTIONS_MASTER!$L$5:$L$1204,$Q105))</f>
        <v/>
      </c>
      <c r="I105" s="56" t="str">
        <f>IF($Q105="","",INDEX(TRANSACTIONS_MASTER!$N$5:$N$1204,$Q105))</f>
        <v/>
      </c>
      <c r="J105" s="25" t="str">
        <f>IF($Q105="","",INDEX(TRANSACTIONS_MASTER!$O$5:$O$1204,$Q105))</f>
        <v/>
      </c>
      <c r="K105" s="26" t="str">
        <f>IF($Q105="","",INDEX(TRANSACTIONS_MASTER!$Q$5:$Q$1204,$Q105))</f>
        <v/>
      </c>
      <c r="L105" s="25" t="str">
        <f>IF($Q105="","",INDEX(TRANSACTIONS_MASTER!$P$5:$P$1204,$Q105))</f>
        <v/>
      </c>
      <c r="M105" s="25" t="str">
        <f>IF($Q105="","",INDEX(TRANSACTIONS_MASTER!$AA$5:$AA$1204,$Q105))</f>
        <v/>
      </c>
      <c r="N105" s="25" t="str">
        <f>IF($Q105="","",INDEX(TRANSACTIONS_MASTER!$R$5:$R$1204,$Q105))</f>
        <v/>
      </c>
      <c r="O105" s="28" t="str">
        <f>IF($Q105="","",INDEX(TRANSACTIONS_MASTER!$AB$5:$AB$1204,$Q105))</f>
        <v/>
      </c>
      <c r="P105" s="55" t="str">
        <f>IF($Q105="","",INDEX(TRANSACTIONS_MASTER!$Z$5:$Z$1204,$Q105)&amp;"")</f>
        <v/>
      </c>
      <c r="Q105" s="67" t="str">
        <f>IFERROR(MATCH($C$2&amp;"|"&amp;98,TRANSACTIONS_MASTER!$AE$5:$AE$1204,0),"")</f>
        <v/>
      </c>
      <c r="S105" s="67" t="str">
        <f>IFERROR(MATCH(9,CARDS!$O$5:$O$34,0),"")</f>
        <v/>
      </c>
      <c r="T105" s="55" t="n"/>
      <c r="U105" s="55" t="str">
        <f>IF($S105="","",INDEX(CARDS!$B$5:$B$34,$S105))</f>
        <v/>
      </c>
      <c r="V105" s="25" t="str">
        <f>IF($S105="","",SUMIFS(TRANSACTIONS_MASTER!$L$5:$L$1204,TRANSACTIONS_MASTER!$E$5:$E$1204,$U105,TRANSACTIONS_MASTER!$C$5:$C$1204,$C$2,TRANSACTIONS_MASTER!$U$5:$U$1204,"&lt;&gt;Cancelled"))</f>
        <v/>
      </c>
      <c r="W105" s="26" t="str">
        <f>IF($S105="","",SUMIFS(TRANSACTIONS_MASTER!$Q$5:$Q$1204,TRANSACTIONS_MASTER!$E$5:$E$1204,$U105,TRANSACTIONS_MASTER!$C$5:$C$1204,$C$2))</f>
        <v/>
      </c>
    </row>
    <row r="106">
      <c r="A106" s="81" t="str">
        <f>IF($Q106="","",99)</f>
        <v/>
      </c>
      <c r="B106" s="57" t="str">
        <f>IF($Q106="","",INDEX(TRANSACTIONS_MASTER!$B$5:$B$1204,$Q106))</f>
        <v/>
      </c>
      <c r="C106" s="55" t="str">
        <f>IF($Q106="","",INDEX(TRANSACTIONS_MASTER!$F$5:$F$1204,$Q106))</f>
        <v/>
      </c>
      <c r="D106" s="55" t="str">
        <f>IF($Q106="","",INDEX(TRANSACTIONS_MASTER!$E$5:$E$1204,$Q106))</f>
        <v/>
      </c>
      <c r="E106" s="55" t="str">
        <f>IF($Q106="","",INDEX(TRANSACTIONS_MASTER!$G$5:$G$1204,$Q106)&amp;"")</f>
        <v/>
      </c>
      <c r="F106" s="29" t="str">
        <f>IF($Q106="","",INDEX(TRANSACTIONS_MASTER!$I$5:$I$1204,$Q106))</f>
        <v/>
      </c>
      <c r="G106" s="55" t="str">
        <f>IF($Q106="","",INDEX(TRANSACTIONS_MASTER!$K$5:$K$1204,$Q106))</f>
        <v/>
      </c>
      <c r="H106" s="25" t="str">
        <f>IF($Q106="","",INDEX(TRANSACTIONS_MASTER!$L$5:$L$1204,$Q106))</f>
        <v/>
      </c>
      <c r="I106" s="56" t="str">
        <f>IF($Q106="","",INDEX(TRANSACTIONS_MASTER!$N$5:$N$1204,$Q106))</f>
        <v/>
      </c>
      <c r="J106" s="25" t="str">
        <f>IF($Q106="","",INDEX(TRANSACTIONS_MASTER!$O$5:$O$1204,$Q106))</f>
        <v/>
      </c>
      <c r="K106" s="26" t="str">
        <f>IF($Q106="","",INDEX(TRANSACTIONS_MASTER!$Q$5:$Q$1204,$Q106))</f>
        <v/>
      </c>
      <c r="L106" s="25" t="str">
        <f>IF($Q106="","",INDEX(TRANSACTIONS_MASTER!$P$5:$P$1204,$Q106))</f>
        <v/>
      </c>
      <c r="M106" s="25" t="str">
        <f>IF($Q106="","",INDEX(TRANSACTIONS_MASTER!$AA$5:$AA$1204,$Q106))</f>
        <v/>
      </c>
      <c r="N106" s="25" t="str">
        <f>IF($Q106="","",INDEX(TRANSACTIONS_MASTER!$R$5:$R$1204,$Q106))</f>
        <v/>
      </c>
      <c r="O106" s="28" t="str">
        <f>IF($Q106="","",INDEX(TRANSACTIONS_MASTER!$AB$5:$AB$1204,$Q106))</f>
        <v/>
      </c>
      <c r="P106" s="55" t="str">
        <f>IF($Q106="","",INDEX(TRANSACTIONS_MASTER!$Z$5:$Z$1204,$Q106)&amp;"")</f>
        <v/>
      </c>
      <c r="Q106" s="67" t="str">
        <f>IFERROR(MATCH($C$2&amp;"|"&amp;99,TRANSACTIONS_MASTER!$AE$5:$AE$1204,0),"")</f>
        <v/>
      </c>
      <c r="S106" s="67" t="str">
        <f>IFERROR(MATCH(10,CARDS!$O$5:$O$34,0),"")</f>
        <v/>
      </c>
      <c r="T106" s="55" t="n"/>
      <c r="U106" s="55" t="str">
        <f>IF($S106="","",INDEX(CARDS!$B$5:$B$34,$S106))</f>
        <v/>
      </c>
      <c r="V106" s="25" t="str">
        <f>IF($S106="","",SUMIFS(TRANSACTIONS_MASTER!$L$5:$L$1204,TRANSACTIONS_MASTER!$E$5:$E$1204,$U106,TRANSACTIONS_MASTER!$C$5:$C$1204,$C$2,TRANSACTIONS_MASTER!$U$5:$U$1204,"&lt;&gt;Cancelled"))</f>
        <v/>
      </c>
      <c r="W106" s="26" t="str">
        <f>IF($S106="","",SUMIFS(TRANSACTIONS_MASTER!$Q$5:$Q$1204,TRANSACTIONS_MASTER!$E$5:$E$1204,$U106,TRANSACTIONS_MASTER!$C$5:$C$1204,$C$2))</f>
        <v/>
      </c>
    </row>
    <row r="107">
      <c r="A107" s="81" t="str">
        <f>IF($Q107="","",100)</f>
        <v/>
      </c>
      <c r="B107" s="57" t="str">
        <f>IF($Q107="","",INDEX(TRANSACTIONS_MASTER!$B$5:$B$1204,$Q107))</f>
        <v/>
      </c>
      <c r="C107" s="55" t="str">
        <f>IF($Q107="","",INDEX(TRANSACTIONS_MASTER!$F$5:$F$1204,$Q107))</f>
        <v/>
      </c>
      <c r="D107" s="55" t="str">
        <f>IF($Q107="","",INDEX(TRANSACTIONS_MASTER!$E$5:$E$1204,$Q107))</f>
        <v/>
      </c>
      <c r="E107" s="55" t="str">
        <f>IF($Q107="","",INDEX(TRANSACTIONS_MASTER!$G$5:$G$1204,$Q107)&amp;"")</f>
        <v/>
      </c>
      <c r="F107" s="29" t="str">
        <f>IF($Q107="","",INDEX(TRANSACTIONS_MASTER!$I$5:$I$1204,$Q107))</f>
        <v/>
      </c>
      <c r="G107" s="55" t="str">
        <f>IF($Q107="","",INDEX(TRANSACTIONS_MASTER!$K$5:$K$1204,$Q107))</f>
        <v/>
      </c>
      <c r="H107" s="25" t="str">
        <f>IF($Q107="","",INDEX(TRANSACTIONS_MASTER!$L$5:$L$1204,$Q107))</f>
        <v/>
      </c>
      <c r="I107" s="56" t="str">
        <f>IF($Q107="","",INDEX(TRANSACTIONS_MASTER!$N$5:$N$1204,$Q107))</f>
        <v/>
      </c>
      <c r="J107" s="25" t="str">
        <f>IF($Q107="","",INDEX(TRANSACTIONS_MASTER!$O$5:$O$1204,$Q107))</f>
        <v/>
      </c>
      <c r="K107" s="26" t="str">
        <f>IF($Q107="","",INDEX(TRANSACTIONS_MASTER!$Q$5:$Q$1204,$Q107))</f>
        <v/>
      </c>
      <c r="L107" s="25" t="str">
        <f>IF($Q107="","",INDEX(TRANSACTIONS_MASTER!$P$5:$P$1204,$Q107))</f>
        <v/>
      </c>
      <c r="M107" s="25" t="str">
        <f>IF($Q107="","",INDEX(TRANSACTIONS_MASTER!$AA$5:$AA$1204,$Q107))</f>
        <v/>
      </c>
      <c r="N107" s="25" t="str">
        <f>IF($Q107="","",INDEX(TRANSACTIONS_MASTER!$R$5:$R$1204,$Q107))</f>
        <v/>
      </c>
      <c r="O107" s="28" t="str">
        <f>IF($Q107="","",INDEX(TRANSACTIONS_MASTER!$AB$5:$AB$1204,$Q107))</f>
        <v/>
      </c>
      <c r="P107" s="55" t="str">
        <f>IF($Q107="","",INDEX(TRANSACTIONS_MASTER!$Z$5:$Z$1204,$Q107)&amp;"")</f>
        <v/>
      </c>
      <c r="Q107" s="67" t="str">
        <f>IFERROR(MATCH($C$2&amp;"|"&amp;100,TRANSACTIONS_MASTER!$AE$5:$AE$1204,0),"")</f>
        <v/>
      </c>
      <c r="S107" s="67" t="str">
        <f>IFERROR(MATCH(11,CARDS!$O$5:$O$34,0),"")</f>
        <v/>
      </c>
      <c r="T107" s="55" t="n"/>
      <c r="U107" s="55" t="str">
        <f>IF($S107="","",INDEX(CARDS!$B$5:$B$34,$S107))</f>
        <v/>
      </c>
      <c r="V107" s="25" t="str">
        <f>IF($S107="","",SUMIFS(TRANSACTIONS_MASTER!$L$5:$L$1204,TRANSACTIONS_MASTER!$E$5:$E$1204,$U107,TRANSACTIONS_MASTER!$C$5:$C$1204,$C$2,TRANSACTIONS_MASTER!$U$5:$U$1204,"&lt;&gt;Cancelled"))</f>
        <v/>
      </c>
      <c r="W107" s="26" t="str">
        <f>IF($S107="","",SUMIFS(TRANSACTIONS_MASTER!$Q$5:$Q$1204,TRANSACTIONS_MASTER!$E$5:$E$1204,$U107,TRANSACTIONS_MASTER!$C$5:$C$1204,$C$2))</f>
        <v/>
      </c>
    </row>
    <row r="108">
      <c r="A108" s="81" t="str">
        <f>IF($Q108="","",101)</f>
        <v/>
      </c>
      <c r="B108" s="57" t="str">
        <f>IF($Q108="","",INDEX(TRANSACTIONS_MASTER!$B$5:$B$1204,$Q108))</f>
        <v/>
      </c>
      <c r="C108" s="55" t="str">
        <f>IF($Q108="","",INDEX(TRANSACTIONS_MASTER!$F$5:$F$1204,$Q108))</f>
        <v/>
      </c>
      <c r="D108" s="55" t="str">
        <f>IF($Q108="","",INDEX(TRANSACTIONS_MASTER!$E$5:$E$1204,$Q108))</f>
        <v/>
      </c>
      <c r="E108" s="55" t="str">
        <f>IF($Q108="","",INDEX(TRANSACTIONS_MASTER!$G$5:$G$1204,$Q108)&amp;"")</f>
        <v/>
      </c>
      <c r="F108" s="29" t="str">
        <f>IF($Q108="","",INDEX(TRANSACTIONS_MASTER!$I$5:$I$1204,$Q108))</f>
        <v/>
      </c>
      <c r="G108" s="55" t="str">
        <f>IF($Q108="","",INDEX(TRANSACTIONS_MASTER!$K$5:$K$1204,$Q108))</f>
        <v/>
      </c>
      <c r="H108" s="25" t="str">
        <f>IF($Q108="","",INDEX(TRANSACTIONS_MASTER!$L$5:$L$1204,$Q108))</f>
        <v/>
      </c>
      <c r="I108" s="56" t="str">
        <f>IF($Q108="","",INDEX(TRANSACTIONS_MASTER!$N$5:$N$1204,$Q108))</f>
        <v/>
      </c>
      <c r="J108" s="25" t="str">
        <f>IF($Q108="","",INDEX(TRANSACTIONS_MASTER!$O$5:$O$1204,$Q108))</f>
        <v/>
      </c>
      <c r="K108" s="26" t="str">
        <f>IF($Q108="","",INDEX(TRANSACTIONS_MASTER!$Q$5:$Q$1204,$Q108))</f>
        <v/>
      </c>
      <c r="L108" s="25" t="str">
        <f>IF($Q108="","",INDEX(TRANSACTIONS_MASTER!$P$5:$P$1204,$Q108))</f>
        <v/>
      </c>
      <c r="M108" s="25" t="str">
        <f>IF($Q108="","",INDEX(TRANSACTIONS_MASTER!$AA$5:$AA$1204,$Q108))</f>
        <v/>
      </c>
      <c r="N108" s="25" t="str">
        <f>IF($Q108="","",INDEX(TRANSACTIONS_MASTER!$R$5:$R$1204,$Q108))</f>
        <v/>
      </c>
      <c r="O108" s="28" t="str">
        <f>IF($Q108="","",INDEX(TRANSACTIONS_MASTER!$AB$5:$AB$1204,$Q108))</f>
        <v/>
      </c>
      <c r="P108" s="55" t="str">
        <f>IF($Q108="","",INDEX(TRANSACTIONS_MASTER!$Z$5:$Z$1204,$Q108)&amp;"")</f>
        <v/>
      </c>
      <c r="Q108" s="67" t="str">
        <f>IFERROR(MATCH($C$2&amp;"|"&amp;101,TRANSACTIONS_MASTER!$AE$5:$AE$1204,0),"")</f>
        <v/>
      </c>
      <c r="S108" s="67" t="str">
        <f>IFERROR(MATCH(12,CARDS!$O$5:$O$34,0),"")</f>
        <v/>
      </c>
      <c r="T108" s="55" t="n"/>
      <c r="U108" s="55" t="str">
        <f>IF($S108="","",INDEX(CARDS!$B$5:$B$34,$S108))</f>
        <v/>
      </c>
      <c r="V108" s="25" t="str">
        <f>IF($S108="","",SUMIFS(TRANSACTIONS_MASTER!$L$5:$L$1204,TRANSACTIONS_MASTER!$E$5:$E$1204,$U108,TRANSACTIONS_MASTER!$C$5:$C$1204,$C$2,TRANSACTIONS_MASTER!$U$5:$U$1204,"&lt;&gt;Cancelled"))</f>
        <v/>
      </c>
      <c r="W108" s="26" t="str">
        <f>IF($S108="","",SUMIFS(TRANSACTIONS_MASTER!$Q$5:$Q$1204,TRANSACTIONS_MASTER!$E$5:$E$1204,$U108,TRANSACTIONS_MASTER!$C$5:$C$1204,$C$2))</f>
        <v/>
      </c>
    </row>
    <row r="109">
      <c r="A109" s="81" t="str">
        <f>IF($Q109="","",102)</f>
        <v/>
      </c>
      <c r="B109" s="57" t="str">
        <f>IF($Q109="","",INDEX(TRANSACTIONS_MASTER!$B$5:$B$1204,$Q109))</f>
        <v/>
      </c>
      <c r="C109" s="55" t="str">
        <f>IF($Q109="","",INDEX(TRANSACTIONS_MASTER!$F$5:$F$1204,$Q109))</f>
        <v/>
      </c>
      <c r="D109" s="55" t="str">
        <f>IF($Q109="","",INDEX(TRANSACTIONS_MASTER!$E$5:$E$1204,$Q109))</f>
        <v/>
      </c>
      <c r="E109" s="55" t="str">
        <f>IF($Q109="","",INDEX(TRANSACTIONS_MASTER!$G$5:$G$1204,$Q109)&amp;"")</f>
        <v/>
      </c>
      <c r="F109" s="29" t="str">
        <f>IF($Q109="","",INDEX(TRANSACTIONS_MASTER!$I$5:$I$1204,$Q109))</f>
        <v/>
      </c>
      <c r="G109" s="55" t="str">
        <f>IF($Q109="","",INDEX(TRANSACTIONS_MASTER!$K$5:$K$1204,$Q109))</f>
        <v/>
      </c>
      <c r="H109" s="25" t="str">
        <f>IF($Q109="","",INDEX(TRANSACTIONS_MASTER!$L$5:$L$1204,$Q109))</f>
        <v/>
      </c>
      <c r="I109" s="56" t="str">
        <f>IF($Q109="","",INDEX(TRANSACTIONS_MASTER!$N$5:$N$1204,$Q109))</f>
        <v/>
      </c>
      <c r="J109" s="25" t="str">
        <f>IF($Q109="","",INDEX(TRANSACTIONS_MASTER!$O$5:$O$1204,$Q109))</f>
        <v/>
      </c>
      <c r="K109" s="26" t="str">
        <f>IF($Q109="","",INDEX(TRANSACTIONS_MASTER!$Q$5:$Q$1204,$Q109))</f>
        <v/>
      </c>
      <c r="L109" s="25" t="str">
        <f>IF($Q109="","",INDEX(TRANSACTIONS_MASTER!$P$5:$P$1204,$Q109))</f>
        <v/>
      </c>
      <c r="M109" s="25" t="str">
        <f>IF($Q109="","",INDEX(TRANSACTIONS_MASTER!$AA$5:$AA$1204,$Q109))</f>
        <v/>
      </c>
      <c r="N109" s="25" t="str">
        <f>IF($Q109="","",INDEX(TRANSACTIONS_MASTER!$R$5:$R$1204,$Q109))</f>
        <v/>
      </c>
      <c r="O109" s="28" t="str">
        <f>IF($Q109="","",INDEX(TRANSACTIONS_MASTER!$AB$5:$AB$1204,$Q109))</f>
        <v/>
      </c>
      <c r="P109" s="55" t="str">
        <f>IF($Q109="","",INDEX(TRANSACTIONS_MASTER!$Z$5:$Z$1204,$Q109)&amp;"")</f>
        <v/>
      </c>
      <c r="Q109" s="67" t="str">
        <f>IFERROR(MATCH($C$2&amp;"|"&amp;102,TRANSACTIONS_MASTER!$AE$5:$AE$1204,0),"")</f>
        <v/>
      </c>
      <c r="S109" s="67" t="str">
        <f>IFERROR(MATCH(13,CARDS!$O$5:$O$34,0),"")</f>
        <v/>
      </c>
      <c r="T109" s="55" t="n"/>
      <c r="U109" s="55" t="str">
        <f>IF($S109="","",INDEX(CARDS!$B$5:$B$34,$S109))</f>
        <v/>
      </c>
      <c r="V109" s="25" t="str">
        <f>IF($S109="","",SUMIFS(TRANSACTIONS_MASTER!$L$5:$L$1204,TRANSACTIONS_MASTER!$E$5:$E$1204,$U109,TRANSACTIONS_MASTER!$C$5:$C$1204,$C$2,TRANSACTIONS_MASTER!$U$5:$U$1204,"&lt;&gt;Cancelled"))</f>
        <v/>
      </c>
      <c r="W109" s="26" t="str">
        <f>IF($S109="","",SUMIFS(TRANSACTIONS_MASTER!$Q$5:$Q$1204,TRANSACTIONS_MASTER!$E$5:$E$1204,$U109,TRANSACTIONS_MASTER!$C$5:$C$1204,$C$2))</f>
        <v/>
      </c>
    </row>
    <row r="110">
      <c r="A110" s="81" t="str">
        <f>IF($Q110="","",103)</f>
        <v/>
      </c>
      <c r="B110" s="57" t="str">
        <f>IF($Q110="","",INDEX(TRANSACTIONS_MASTER!$B$5:$B$1204,$Q110))</f>
        <v/>
      </c>
      <c r="C110" s="55" t="str">
        <f>IF($Q110="","",INDEX(TRANSACTIONS_MASTER!$F$5:$F$1204,$Q110))</f>
        <v/>
      </c>
      <c r="D110" s="55" t="str">
        <f>IF($Q110="","",INDEX(TRANSACTIONS_MASTER!$E$5:$E$1204,$Q110))</f>
        <v/>
      </c>
      <c r="E110" s="55" t="str">
        <f>IF($Q110="","",INDEX(TRANSACTIONS_MASTER!$G$5:$G$1204,$Q110)&amp;"")</f>
        <v/>
      </c>
      <c r="F110" s="29" t="str">
        <f>IF($Q110="","",INDEX(TRANSACTIONS_MASTER!$I$5:$I$1204,$Q110))</f>
        <v/>
      </c>
      <c r="G110" s="55" t="str">
        <f>IF($Q110="","",INDEX(TRANSACTIONS_MASTER!$K$5:$K$1204,$Q110))</f>
        <v/>
      </c>
      <c r="H110" s="25" t="str">
        <f>IF($Q110="","",INDEX(TRANSACTIONS_MASTER!$L$5:$L$1204,$Q110))</f>
        <v/>
      </c>
      <c r="I110" s="56" t="str">
        <f>IF($Q110="","",INDEX(TRANSACTIONS_MASTER!$N$5:$N$1204,$Q110))</f>
        <v/>
      </c>
      <c r="J110" s="25" t="str">
        <f>IF($Q110="","",INDEX(TRANSACTIONS_MASTER!$O$5:$O$1204,$Q110))</f>
        <v/>
      </c>
      <c r="K110" s="26" t="str">
        <f>IF($Q110="","",INDEX(TRANSACTIONS_MASTER!$Q$5:$Q$1204,$Q110))</f>
        <v/>
      </c>
      <c r="L110" s="25" t="str">
        <f>IF($Q110="","",INDEX(TRANSACTIONS_MASTER!$P$5:$P$1204,$Q110))</f>
        <v/>
      </c>
      <c r="M110" s="25" t="str">
        <f>IF($Q110="","",INDEX(TRANSACTIONS_MASTER!$AA$5:$AA$1204,$Q110))</f>
        <v/>
      </c>
      <c r="N110" s="25" t="str">
        <f>IF($Q110="","",INDEX(TRANSACTIONS_MASTER!$R$5:$R$1204,$Q110))</f>
        <v/>
      </c>
      <c r="O110" s="28" t="str">
        <f>IF($Q110="","",INDEX(TRANSACTIONS_MASTER!$AB$5:$AB$1204,$Q110))</f>
        <v/>
      </c>
      <c r="P110" s="55" t="str">
        <f>IF($Q110="","",INDEX(TRANSACTIONS_MASTER!$Z$5:$Z$1204,$Q110)&amp;"")</f>
        <v/>
      </c>
      <c r="Q110" s="67" t="str">
        <f>IFERROR(MATCH($C$2&amp;"|"&amp;103,TRANSACTIONS_MASTER!$AE$5:$AE$1204,0),"")</f>
        <v/>
      </c>
      <c r="S110" s="67" t="str">
        <f>IFERROR(MATCH(14,CARDS!$O$5:$O$34,0),"")</f>
        <v/>
      </c>
      <c r="T110" s="55" t="n"/>
      <c r="U110" s="55" t="str">
        <f>IF($S110="","",INDEX(CARDS!$B$5:$B$34,$S110))</f>
        <v/>
      </c>
      <c r="V110" s="25" t="str">
        <f>IF($S110="","",SUMIFS(TRANSACTIONS_MASTER!$L$5:$L$1204,TRANSACTIONS_MASTER!$E$5:$E$1204,$U110,TRANSACTIONS_MASTER!$C$5:$C$1204,$C$2,TRANSACTIONS_MASTER!$U$5:$U$1204,"&lt;&gt;Cancelled"))</f>
        <v/>
      </c>
      <c r="W110" s="26" t="str">
        <f>IF($S110="","",SUMIFS(TRANSACTIONS_MASTER!$Q$5:$Q$1204,TRANSACTIONS_MASTER!$E$5:$E$1204,$U110,TRANSACTIONS_MASTER!$C$5:$C$1204,$C$2))</f>
        <v/>
      </c>
    </row>
    <row r="111">
      <c r="A111" s="81" t="str">
        <f>IF($Q111="","",104)</f>
        <v/>
      </c>
      <c r="B111" s="57" t="str">
        <f>IF($Q111="","",INDEX(TRANSACTIONS_MASTER!$B$5:$B$1204,$Q111))</f>
        <v/>
      </c>
      <c r="C111" s="55" t="str">
        <f>IF($Q111="","",INDEX(TRANSACTIONS_MASTER!$F$5:$F$1204,$Q111))</f>
        <v/>
      </c>
      <c r="D111" s="55" t="str">
        <f>IF($Q111="","",INDEX(TRANSACTIONS_MASTER!$E$5:$E$1204,$Q111))</f>
        <v/>
      </c>
      <c r="E111" s="55" t="str">
        <f>IF($Q111="","",INDEX(TRANSACTIONS_MASTER!$G$5:$G$1204,$Q111)&amp;"")</f>
        <v/>
      </c>
      <c r="F111" s="29" t="str">
        <f>IF($Q111="","",INDEX(TRANSACTIONS_MASTER!$I$5:$I$1204,$Q111))</f>
        <v/>
      </c>
      <c r="G111" s="55" t="str">
        <f>IF($Q111="","",INDEX(TRANSACTIONS_MASTER!$K$5:$K$1204,$Q111))</f>
        <v/>
      </c>
      <c r="H111" s="25" t="str">
        <f>IF($Q111="","",INDEX(TRANSACTIONS_MASTER!$L$5:$L$1204,$Q111))</f>
        <v/>
      </c>
      <c r="I111" s="56" t="str">
        <f>IF($Q111="","",INDEX(TRANSACTIONS_MASTER!$N$5:$N$1204,$Q111))</f>
        <v/>
      </c>
      <c r="J111" s="25" t="str">
        <f>IF($Q111="","",INDEX(TRANSACTIONS_MASTER!$O$5:$O$1204,$Q111))</f>
        <v/>
      </c>
      <c r="K111" s="26" t="str">
        <f>IF($Q111="","",INDEX(TRANSACTIONS_MASTER!$Q$5:$Q$1204,$Q111))</f>
        <v/>
      </c>
      <c r="L111" s="25" t="str">
        <f>IF($Q111="","",INDEX(TRANSACTIONS_MASTER!$P$5:$P$1204,$Q111))</f>
        <v/>
      </c>
      <c r="M111" s="25" t="str">
        <f>IF($Q111="","",INDEX(TRANSACTIONS_MASTER!$AA$5:$AA$1204,$Q111))</f>
        <v/>
      </c>
      <c r="N111" s="25" t="str">
        <f>IF($Q111="","",INDEX(TRANSACTIONS_MASTER!$R$5:$R$1204,$Q111))</f>
        <v/>
      </c>
      <c r="O111" s="28" t="str">
        <f>IF($Q111="","",INDEX(TRANSACTIONS_MASTER!$AB$5:$AB$1204,$Q111))</f>
        <v/>
      </c>
      <c r="P111" s="55" t="str">
        <f>IF($Q111="","",INDEX(TRANSACTIONS_MASTER!$Z$5:$Z$1204,$Q111)&amp;"")</f>
        <v/>
      </c>
      <c r="Q111" s="67" t="str">
        <f>IFERROR(MATCH($C$2&amp;"|"&amp;104,TRANSACTIONS_MASTER!$AE$5:$AE$1204,0),"")</f>
        <v/>
      </c>
      <c r="S111" s="67" t="str">
        <f>IFERROR(MATCH(15,CARDS!$O$5:$O$34,0),"")</f>
        <v/>
      </c>
      <c r="T111" s="55" t="n"/>
      <c r="U111" s="55" t="str">
        <f>IF($S111="","",INDEX(CARDS!$B$5:$B$34,$S111))</f>
        <v/>
      </c>
      <c r="V111" s="25" t="str">
        <f>IF($S111="","",SUMIFS(TRANSACTIONS_MASTER!$L$5:$L$1204,TRANSACTIONS_MASTER!$E$5:$E$1204,$U111,TRANSACTIONS_MASTER!$C$5:$C$1204,$C$2,TRANSACTIONS_MASTER!$U$5:$U$1204,"&lt;&gt;Cancelled"))</f>
        <v/>
      </c>
      <c r="W111" s="26" t="str">
        <f>IF($S111="","",SUMIFS(TRANSACTIONS_MASTER!$Q$5:$Q$1204,TRANSACTIONS_MASTER!$E$5:$E$1204,$U111,TRANSACTIONS_MASTER!$C$5:$C$1204,$C$2))</f>
        <v/>
      </c>
    </row>
    <row r="112">
      <c r="A112" s="81" t="str">
        <f>IF($Q112="","",105)</f>
        <v/>
      </c>
      <c r="B112" s="57" t="str">
        <f>IF($Q112="","",INDEX(TRANSACTIONS_MASTER!$B$5:$B$1204,$Q112))</f>
        <v/>
      </c>
      <c r="C112" s="55" t="str">
        <f>IF($Q112="","",INDEX(TRANSACTIONS_MASTER!$F$5:$F$1204,$Q112))</f>
        <v/>
      </c>
      <c r="D112" s="55" t="str">
        <f>IF($Q112="","",INDEX(TRANSACTIONS_MASTER!$E$5:$E$1204,$Q112))</f>
        <v/>
      </c>
      <c r="E112" s="55" t="str">
        <f>IF($Q112="","",INDEX(TRANSACTIONS_MASTER!$G$5:$G$1204,$Q112)&amp;"")</f>
        <v/>
      </c>
      <c r="F112" s="29" t="str">
        <f>IF($Q112="","",INDEX(TRANSACTIONS_MASTER!$I$5:$I$1204,$Q112))</f>
        <v/>
      </c>
      <c r="G112" s="55" t="str">
        <f>IF($Q112="","",INDEX(TRANSACTIONS_MASTER!$K$5:$K$1204,$Q112))</f>
        <v/>
      </c>
      <c r="H112" s="25" t="str">
        <f>IF($Q112="","",INDEX(TRANSACTIONS_MASTER!$L$5:$L$1204,$Q112))</f>
        <v/>
      </c>
      <c r="I112" s="56" t="str">
        <f>IF($Q112="","",INDEX(TRANSACTIONS_MASTER!$N$5:$N$1204,$Q112))</f>
        <v/>
      </c>
      <c r="J112" s="25" t="str">
        <f>IF($Q112="","",INDEX(TRANSACTIONS_MASTER!$O$5:$O$1204,$Q112))</f>
        <v/>
      </c>
      <c r="K112" s="26" t="str">
        <f>IF($Q112="","",INDEX(TRANSACTIONS_MASTER!$Q$5:$Q$1204,$Q112))</f>
        <v/>
      </c>
      <c r="L112" s="25" t="str">
        <f>IF($Q112="","",INDEX(TRANSACTIONS_MASTER!$P$5:$P$1204,$Q112))</f>
        <v/>
      </c>
      <c r="M112" s="25" t="str">
        <f>IF($Q112="","",INDEX(TRANSACTIONS_MASTER!$AA$5:$AA$1204,$Q112))</f>
        <v/>
      </c>
      <c r="N112" s="25" t="str">
        <f>IF($Q112="","",INDEX(TRANSACTIONS_MASTER!$R$5:$R$1204,$Q112))</f>
        <v/>
      </c>
      <c r="O112" s="28" t="str">
        <f>IF($Q112="","",INDEX(TRANSACTIONS_MASTER!$AB$5:$AB$1204,$Q112))</f>
        <v/>
      </c>
      <c r="P112" s="55" t="str">
        <f>IF($Q112="","",INDEX(TRANSACTIONS_MASTER!$Z$5:$Z$1204,$Q112)&amp;"")</f>
        <v/>
      </c>
      <c r="Q112" s="67" t="str">
        <f>IFERROR(MATCH($C$2&amp;"|"&amp;105,TRANSACTIONS_MASTER!$AE$5:$AE$1204,0),"")</f>
        <v/>
      </c>
      <c r="T112" s="68" t="n"/>
      <c r="U112" s="69" t="inlineStr">
        <is>
          <t>TỔNG</t>
        </is>
      </c>
      <c r="V112" s="31">
        <f>SUM(V97:V111)</f>
        <v>0</v>
      </c>
      <c r="W112" s="31">
        <f>SUM(W97:W111)</f>
        <v>0</v>
      </c>
    </row>
    <row r="113">
      <c r="A113" s="81" t="str">
        <f>IF($Q113="","",106)</f>
        <v/>
      </c>
      <c r="B113" s="57" t="str">
        <f>IF($Q113="","",INDEX(TRANSACTIONS_MASTER!$B$5:$B$1204,$Q113))</f>
        <v/>
      </c>
      <c r="C113" s="55" t="str">
        <f>IF($Q113="","",INDEX(TRANSACTIONS_MASTER!$F$5:$F$1204,$Q113))</f>
        <v/>
      </c>
      <c r="D113" s="55" t="str">
        <f>IF($Q113="","",INDEX(TRANSACTIONS_MASTER!$E$5:$E$1204,$Q113))</f>
        <v/>
      </c>
      <c r="E113" s="55" t="str">
        <f>IF($Q113="","",INDEX(TRANSACTIONS_MASTER!$G$5:$G$1204,$Q113)&amp;"")</f>
        <v/>
      </c>
      <c r="F113" s="29" t="str">
        <f>IF($Q113="","",INDEX(TRANSACTIONS_MASTER!$I$5:$I$1204,$Q113))</f>
        <v/>
      </c>
      <c r="G113" s="55" t="str">
        <f>IF($Q113="","",INDEX(TRANSACTIONS_MASTER!$K$5:$K$1204,$Q113))</f>
        <v/>
      </c>
      <c r="H113" s="25" t="str">
        <f>IF($Q113="","",INDEX(TRANSACTIONS_MASTER!$L$5:$L$1204,$Q113))</f>
        <v/>
      </c>
      <c r="I113" s="56" t="str">
        <f>IF($Q113="","",INDEX(TRANSACTIONS_MASTER!$N$5:$N$1204,$Q113))</f>
        <v/>
      </c>
      <c r="J113" s="25" t="str">
        <f>IF($Q113="","",INDEX(TRANSACTIONS_MASTER!$O$5:$O$1204,$Q113))</f>
        <v/>
      </c>
      <c r="K113" s="26" t="str">
        <f>IF($Q113="","",INDEX(TRANSACTIONS_MASTER!$Q$5:$Q$1204,$Q113))</f>
        <v/>
      </c>
      <c r="L113" s="25" t="str">
        <f>IF($Q113="","",INDEX(TRANSACTIONS_MASTER!$P$5:$P$1204,$Q113))</f>
        <v/>
      </c>
      <c r="M113" s="25" t="str">
        <f>IF($Q113="","",INDEX(TRANSACTIONS_MASTER!$AA$5:$AA$1204,$Q113))</f>
        <v/>
      </c>
      <c r="N113" s="25" t="str">
        <f>IF($Q113="","",INDEX(TRANSACTIONS_MASTER!$R$5:$R$1204,$Q113))</f>
        <v/>
      </c>
      <c r="O113" s="28" t="str">
        <f>IF($Q113="","",INDEX(TRANSACTIONS_MASTER!$AB$5:$AB$1204,$Q113))</f>
        <v/>
      </c>
      <c r="P113" s="55" t="str">
        <f>IF($Q113="","",INDEX(TRANSACTIONS_MASTER!$Z$5:$Z$1204,$Q113)&amp;"")</f>
        <v/>
      </c>
      <c r="Q113" s="67" t="str">
        <f>IFERROR(MATCH($C$2&amp;"|"&amp;106,TRANSACTIONS_MASTER!$AE$5:$AE$1204,0),"")</f>
        <v/>
      </c>
    </row>
    <row r="114">
      <c r="A114" s="81" t="str">
        <f>IF($Q114="","",107)</f>
        <v/>
      </c>
      <c r="B114" s="57" t="str">
        <f>IF($Q114="","",INDEX(TRANSACTIONS_MASTER!$B$5:$B$1204,$Q114))</f>
        <v/>
      </c>
      <c r="C114" s="55" t="str">
        <f>IF($Q114="","",INDEX(TRANSACTIONS_MASTER!$F$5:$F$1204,$Q114))</f>
        <v/>
      </c>
      <c r="D114" s="55" t="str">
        <f>IF($Q114="","",INDEX(TRANSACTIONS_MASTER!$E$5:$E$1204,$Q114))</f>
        <v/>
      </c>
      <c r="E114" s="55" t="str">
        <f>IF($Q114="","",INDEX(TRANSACTIONS_MASTER!$G$5:$G$1204,$Q114)&amp;"")</f>
        <v/>
      </c>
      <c r="F114" s="29" t="str">
        <f>IF($Q114="","",INDEX(TRANSACTIONS_MASTER!$I$5:$I$1204,$Q114))</f>
        <v/>
      </c>
      <c r="G114" s="55" t="str">
        <f>IF($Q114="","",INDEX(TRANSACTIONS_MASTER!$K$5:$K$1204,$Q114))</f>
        <v/>
      </c>
      <c r="H114" s="25" t="str">
        <f>IF($Q114="","",INDEX(TRANSACTIONS_MASTER!$L$5:$L$1204,$Q114))</f>
        <v/>
      </c>
      <c r="I114" s="56" t="str">
        <f>IF($Q114="","",INDEX(TRANSACTIONS_MASTER!$N$5:$N$1204,$Q114))</f>
        <v/>
      </c>
      <c r="J114" s="25" t="str">
        <f>IF($Q114="","",INDEX(TRANSACTIONS_MASTER!$O$5:$O$1204,$Q114))</f>
        <v/>
      </c>
      <c r="K114" s="26" t="str">
        <f>IF($Q114="","",INDEX(TRANSACTIONS_MASTER!$Q$5:$Q$1204,$Q114))</f>
        <v/>
      </c>
      <c r="L114" s="25" t="str">
        <f>IF($Q114="","",INDEX(TRANSACTIONS_MASTER!$P$5:$P$1204,$Q114))</f>
        <v/>
      </c>
      <c r="M114" s="25" t="str">
        <f>IF($Q114="","",INDEX(TRANSACTIONS_MASTER!$AA$5:$AA$1204,$Q114))</f>
        <v/>
      </c>
      <c r="N114" s="25" t="str">
        <f>IF($Q114="","",INDEX(TRANSACTIONS_MASTER!$R$5:$R$1204,$Q114))</f>
        <v/>
      </c>
      <c r="O114" s="28" t="str">
        <f>IF($Q114="","",INDEX(TRANSACTIONS_MASTER!$AB$5:$AB$1204,$Q114))</f>
        <v/>
      </c>
      <c r="P114" s="55" t="str">
        <f>IF($Q114="","",INDEX(TRANSACTIONS_MASTER!$Z$5:$Z$1204,$Q114)&amp;"")</f>
        <v/>
      </c>
      <c r="Q114" s="67" t="str">
        <f>IFERROR(MATCH($C$2&amp;"|"&amp;107,TRANSACTIONS_MASTER!$AE$5:$AE$1204,0),"")</f>
        <v/>
      </c>
    </row>
    <row r="115" ht="22" customHeight="1">
      <c r="A115" s="81" t="str">
        <f>IF($Q115="","",108)</f>
        <v/>
      </c>
      <c r="B115" s="57" t="str">
        <f>IF($Q115="","",INDEX(TRANSACTIONS_MASTER!$B$5:$B$1204,$Q115))</f>
        <v/>
      </c>
      <c r="C115" s="55" t="str">
        <f>IF($Q115="","",INDEX(TRANSACTIONS_MASTER!$F$5:$F$1204,$Q115))</f>
        <v/>
      </c>
      <c r="D115" s="55" t="str">
        <f>IF($Q115="","",INDEX(TRANSACTIONS_MASTER!$E$5:$E$1204,$Q115))</f>
        <v/>
      </c>
      <c r="E115" s="55" t="str">
        <f>IF($Q115="","",INDEX(TRANSACTIONS_MASTER!$G$5:$G$1204,$Q115)&amp;"")</f>
        <v/>
      </c>
      <c r="F115" s="29" t="str">
        <f>IF($Q115="","",INDEX(TRANSACTIONS_MASTER!$I$5:$I$1204,$Q115))</f>
        <v/>
      </c>
      <c r="G115" s="55" t="str">
        <f>IF($Q115="","",INDEX(TRANSACTIONS_MASTER!$K$5:$K$1204,$Q115))</f>
        <v/>
      </c>
      <c r="H115" s="25" t="str">
        <f>IF($Q115="","",INDEX(TRANSACTIONS_MASTER!$L$5:$L$1204,$Q115))</f>
        <v/>
      </c>
      <c r="I115" s="56" t="str">
        <f>IF($Q115="","",INDEX(TRANSACTIONS_MASTER!$N$5:$N$1204,$Q115))</f>
        <v/>
      </c>
      <c r="J115" s="25" t="str">
        <f>IF($Q115="","",INDEX(TRANSACTIONS_MASTER!$O$5:$O$1204,$Q115))</f>
        <v/>
      </c>
      <c r="K115" s="26" t="str">
        <f>IF($Q115="","",INDEX(TRANSACTIONS_MASTER!$Q$5:$Q$1204,$Q115))</f>
        <v/>
      </c>
      <c r="L115" s="25" t="str">
        <f>IF($Q115="","",INDEX(TRANSACTIONS_MASTER!$P$5:$P$1204,$Q115))</f>
        <v/>
      </c>
      <c r="M115" s="25" t="str">
        <f>IF($Q115="","",INDEX(TRANSACTIONS_MASTER!$AA$5:$AA$1204,$Q115))</f>
        <v/>
      </c>
      <c r="N115" s="25" t="str">
        <f>IF($Q115="","",INDEX(TRANSACTIONS_MASTER!$R$5:$R$1204,$Q115))</f>
        <v/>
      </c>
      <c r="O115" s="28" t="str">
        <f>IF($Q115="","",INDEX(TRANSACTIONS_MASTER!$AB$5:$AB$1204,$Q115))</f>
        <v/>
      </c>
      <c r="P115" s="55" t="str">
        <f>IF($Q115="","",INDEX(TRANSACTIONS_MASTER!$Z$5:$Z$1204,$Q115)&amp;"")</f>
        <v/>
      </c>
      <c r="Q115" s="67" t="str">
        <f>IFERROR(MATCH($C$2&amp;"|"&amp;108,TRANSACTIONS_MASTER!$AE$5:$AE$1204,0),"")</f>
        <v/>
      </c>
      <c r="T115" s="19" t="inlineStr">
        <is>
          <t>THEO DANH MỤC (Category)</t>
        </is>
      </c>
      <c r="U115" s="20" t="n"/>
      <c r="V115" s="20" t="n"/>
      <c r="W115" s="20" t="n"/>
      <c r="X115" s="20" t="n"/>
      <c r="Y115" s="20" t="n"/>
      <c r="Z115" s="20" t="n"/>
      <c r="AA115" s="20" t="n"/>
    </row>
    <row r="116" ht="28" customHeight="1">
      <c r="A116" s="81" t="str">
        <f>IF($Q116="","",109)</f>
        <v/>
      </c>
      <c r="B116" s="57" t="str">
        <f>IF($Q116="","",INDEX(TRANSACTIONS_MASTER!$B$5:$B$1204,$Q116))</f>
        <v/>
      </c>
      <c r="C116" s="55" t="str">
        <f>IF($Q116="","",INDEX(TRANSACTIONS_MASTER!$F$5:$F$1204,$Q116))</f>
        <v/>
      </c>
      <c r="D116" s="55" t="str">
        <f>IF($Q116="","",INDEX(TRANSACTIONS_MASTER!$E$5:$E$1204,$Q116))</f>
        <v/>
      </c>
      <c r="E116" s="55" t="str">
        <f>IF($Q116="","",INDEX(TRANSACTIONS_MASTER!$G$5:$G$1204,$Q116)&amp;"")</f>
        <v/>
      </c>
      <c r="F116" s="29" t="str">
        <f>IF($Q116="","",INDEX(TRANSACTIONS_MASTER!$I$5:$I$1204,$Q116))</f>
        <v/>
      </c>
      <c r="G116" s="55" t="str">
        <f>IF($Q116="","",INDEX(TRANSACTIONS_MASTER!$K$5:$K$1204,$Q116))</f>
        <v/>
      </c>
      <c r="H116" s="25" t="str">
        <f>IF($Q116="","",INDEX(TRANSACTIONS_MASTER!$L$5:$L$1204,$Q116))</f>
        <v/>
      </c>
      <c r="I116" s="56" t="str">
        <f>IF($Q116="","",INDEX(TRANSACTIONS_MASTER!$N$5:$N$1204,$Q116))</f>
        <v/>
      </c>
      <c r="J116" s="25" t="str">
        <f>IF($Q116="","",INDEX(TRANSACTIONS_MASTER!$O$5:$O$1204,$Q116))</f>
        <v/>
      </c>
      <c r="K116" s="26" t="str">
        <f>IF($Q116="","",INDEX(TRANSACTIONS_MASTER!$Q$5:$Q$1204,$Q116))</f>
        <v/>
      </c>
      <c r="L116" s="25" t="str">
        <f>IF($Q116="","",INDEX(TRANSACTIONS_MASTER!$P$5:$P$1204,$Q116))</f>
        <v/>
      </c>
      <c r="M116" s="25" t="str">
        <f>IF($Q116="","",INDEX(TRANSACTIONS_MASTER!$AA$5:$AA$1204,$Q116))</f>
        <v/>
      </c>
      <c r="N116" s="25" t="str">
        <f>IF($Q116="","",INDEX(TRANSACTIONS_MASTER!$R$5:$R$1204,$Q116))</f>
        <v/>
      </c>
      <c r="O116" s="28" t="str">
        <f>IF($Q116="","",INDEX(TRANSACTIONS_MASTER!$AB$5:$AB$1204,$Q116))</f>
        <v/>
      </c>
      <c r="P116" s="55" t="str">
        <f>IF($Q116="","",INDEX(TRANSACTIONS_MASTER!$Z$5:$Z$1204,$Q116)&amp;"")</f>
        <v/>
      </c>
      <c r="Q116" s="67" t="str">
        <f>IFERROR(MATCH($C$2&amp;"|"&amp;109,TRANSACTIONS_MASTER!$AE$5:$AE$1204,0),"")</f>
        <v/>
      </c>
      <c r="S116" s="21" t="inlineStr">
        <is>
          <t>#</t>
        </is>
      </c>
      <c r="T116" s="21" t="inlineStr"/>
      <c r="U116" s="21" t="inlineStr">
        <is>
          <t>Danh mục</t>
        </is>
      </c>
      <c r="V116" s="21" t="inlineStr">
        <is>
          <t>Chi tiêu</t>
        </is>
      </c>
      <c r="W116" s="21" t="inlineStr">
        <is>
          <t>Cashback</t>
        </is>
      </c>
    </row>
    <row r="117">
      <c r="A117" s="81" t="str">
        <f>IF($Q117="","",110)</f>
        <v/>
      </c>
      <c r="B117" s="57" t="str">
        <f>IF($Q117="","",INDEX(TRANSACTIONS_MASTER!$B$5:$B$1204,$Q117))</f>
        <v/>
      </c>
      <c r="C117" s="55" t="str">
        <f>IF($Q117="","",INDEX(TRANSACTIONS_MASTER!$F$5:$F$1204,$Q117))</f>
        <v/>
      </c>
      <c r="D117" s="55" t="str">
        <f>IF($Q117="","",INDEX(TRANSACTIONS_MASTER!$E$5:$E$1204,$Q117))</f>
        <v/>
      </c>
      <c r="E117" s="55" t="str">
        <f>IF($Q117="","",INDEX(TRANSACTIONS_MASTER!$G$5:$G$1204,$Q117)&amp;"")</f>
        <v/>
      </c>
      <c r="F117" s="29" t="str">
        <f>IF($Q117="","",INDEX(TRANSACTIONS_MASTER!$I$5:$I$1204,$Q117))</f>
        <v/>
      </c>
      <c r="G117" s="55" t="str">
        <f>IF($Q117="","",INDEX(TRANSACTIONS_MASTER!$K$5:$K$1204,$Q117))</f>
        <v/>
      </c>
      <c r="H117" s="25" t="str">
        <f>IF($Q117="","",INDEX(TRANSACTIONS_MASTER!$L$5:$L$1204,$Q117))</f>
        <v/>
      </c>
      <c r="I117" s="56" t="str">
        <f>IF($Q117="","",INDEX(TRANSACTIONS_MASTER!$N$5:$N$1204,$Q117))</f>
        <v/>
      </c>
      <c r="J117" s="25" t="str">
        <f>IF($Q117="","",INDEX(TRANSACTIONS_MASTER!$O$5:$O$1204,$Q117))</f>
        <v/>
      </c>
      <c r="K117" s="26" t="str">
        <f>IF($Q117="","",INDEX(TRANSACTIONS_MASTER!$Q$5:$Q$1204,$Q117))</f>
        <v/>
      </c>
      <c r="L117" s="25" t="str">
        <f>IF($Q117="","",INDEX(TRANSACTIONS_MASTER!$P$5:$P$1204,$Q117))</f>
        <v/>
      </c>
      <c r="M117" s="25" t="str">
        <f>IF($Q117="","",INDEX(TRANSACTIONS_MASTER!$AA$5:$AA$1204,$Q117))</f>
        <v/>
      </c>
      <c r="N117" s="25" t="str">
        <f>IF($Q117="","",INDEX(TRANSACTIONS_MASTER!$R$5:$R$1204,$Q117))</f>
        <v/>
      </c>
      <c r="O117" s="28" t="str">
        <f>IF($Q117="","",INDEX(TRANSACTIONS_MASTER!$AB$5:$AB$1204,$Q117))</f>
        <v/>
      </c>
      <c r="P117" s="55" t="str">
        <f>IF($Q117="","",INDEX(TRANSACTIONS_MASTER!$Z$5:$Z$1204,$Q117)&amp;"")</f>
        <v/>
      </c>
      <c r="Q117" s="67" t="str">
        <f>IFERROR(MATCH($C$2&amp;"|"&amp;110,TRANSACTIONS_MASTER!$AE$5:$AE$1204,0),"")</f>
        <v/>
      </c>
      <c r="S117" s="67" t="str">
        <f>IFERROR(MATCH(1,INDEX((TRANSACTIONS_MASTER!$C$5:$C$1204=$C$2)*(TRANSACTIONS_MASTER!$AL$5:$AL$1204=1),0),0),"")</f>
        <v/>
      </c>
      <c r="T117" s="55" t="n"/>
      <c r="U117" s="55" t="str">
        <f>IF($S117="","",INDEX(TRANSACTIONS_MASTER!$K$5:$K$1204,$S117))</f>
        <v/>
      </c>
      <c r="V117" s="25" t="str">
        <f>IF($S117="","",SUMIFS(TRANSACTIONS_MASTER!$L$5:$L$1204,TRANSACTIONS_MASTER!$K$5:$K$1204,$U117,TRANSACTIONS_MASTER!$C$5:$C$1204,$C$2,TRANSACTIONS_MASTER!$U$5:$U$1204,"&lt;&gt;Cancelled"))</f>
        <v/>
      </c>
      <c r="W117" s="26" t="str">
        <f>IF($S117="","",SUMIFS(TRANSACTIONS_MASTER!$Q$5:$Q$1204,TRANSACTIONS_MASTER!$K$5:$K$1204,$U117,TRANSACTIONS_MASTER!$C$5:$C$1204,$C$2))</f>
        <v/>
      </c>
    </row>
    <row r="118">
      <c r="A118" s="81" t="str">
        <f>IF($Q118="","",111)</f>
        <v/>
      </c>
      <c r="B118" s="57" t="str">
        <f>IF($Q118="","",INDEX(TRANSACTIONS_MASTER!$B$5:$B$1204,$Q118))</f>
        <v/>
      </c>
      <c r="C118" s="55" t="str">
        <f>IF($Q118="","",INDEX(TRANSACTIONS_MASTER!$F$5:$F$1204,$Q118))</f>
        <v/>
      </c>
      <c r="D118" s="55" t="str">
        <f>IF($Q118="","",INDEX(TRANSACTIONS_MASTER!$E$5:$E$1204,$Q118))</f>
        <v/>
      </c>
      <c r="E118" s="55" t="str">
        <f>IF($Q118="","",INDEX(TRANSACTIONS_MASTER!$G$5:$G$1204,$Q118)&amp;"")</f>
        <v/>
      </c>
      <c r="F118" s="29" t="str">
        <f>IF($Q118="","",INDEX(TRANSACTIONS_MASTER!$I$5:$I$1204,$Q118))</f>
        <v/>
      </c>
      <c r="G118" s="55" t="str">
        <f>IF($Q118="","",INDEX(TRANSACTIONS_MASTER!$K$5:$K$1204,$Q118))</f>
        <v/>
      </c>
      <c r="H118" s="25" t="str">
        <f>IF($Q118="","",INDEX(TRANSACTIONS_MASTER!$L$5:$L$1204,$Q118))</f>
        <v/>
      </c>
      <c r="I118" s="56" t="str">
        <f>IF($Q118="","",INDEX(TRANSACTIONS_MASTER!$N$5:$N$1204,$Q118))</f>
        <v/>
      </c>
      <c r="J118" s="25" t="str">
        <f>IF($Q118="","",INDEX(TRANSACTIONS_MASTER!$O$5:$O$1204,$Q118))</f>
        <v/>
      </c>
      <c r="K118" s="26" t="str">
        <f>IF($Q118="","",INDEX(TRANSACTIONS_MASTER!$Q$5:$Q$1204,$Q118))</f>
        <v/>
      </c>
      <c r="L118" s="25" t="str">
        <f>IF($Q118="","",INDEX(TRANSACTIONS_MASTER!$P$5:$P$1204,$Q118))</f>
        <v/>
      </c>
      <c r="M118" s="25" t="str">
        <f>IF($Q118="","",INDEX(TRANSACTIONS_MASTER!$AA$5:$AA$1204,$Q118))</f>
        <v/>
      </c>
      <c r="N118" s="25" t="str">
        <f>IF($Q118="","",INDEX(TRANSACTIONS_MASTER!$R$5:$R$1204,$Q118))</f>
        <v/>
      </c>
      <c r="O118" s="28" t="str">
        <f>IF($Q118="","",INDEX(TRANSACTIONS_MASTER!$AB$5:$AB$1204,$Q118))</f>
        <v/>
      </c>
      <c r="P118" s="55" t="str">
        <f>IF($Q118="","",INDEX(TRANSACTIONS_MASTER!$Z$5:$Z$1204,$Q118)&amp;"")</f>
        <v/>
      </c>
      <c r="Q118" s="67" t="str">
        <f>IFERROR(MATCH($C$2&amp;"|"&amp;111,TRANSACTIONS_MASTER!$AE$5:$AE$1204,0),"")</f>
        <v/>
      </c>
      <c r="S118" s="67" t="str">
        <f>IFERROR(MATCH(1,INDEX((TRANSACTIONS_MASTER!$C$5:$C$1204=$C$2)*(TRANSACTIONS_MASTER!$AL$5:$AL$1204=2),0),0),"")</f>
        <v/>
      </c>
      <c r="T118" s="55" t="n"/>
      <c r="U118" s="55" t="str">
        <f>IF($S118="","",INDEX(TRANSACTIONS_MASTER!$K$5:$K$1204,$S118))</f>
        <v/>
      </c>
      <c r="V118" s="25" t="str">
        <f>IF($S118="","",SUMIFS(TRANSACTIONS_MASTER!$L$5:$L$1204,TRANSACTIONS_MASTER!$K$5:$K$1204,$U118,TRANSACTIONS_MASTER!$C$5:$C$1204,$C$2,TRANSACTIONS_MASTER!$U$5:$U$1204,"&lt;&gt;Cancelled"))</f>
        <v/>
      </c>
      <c r="W118" s="26" t="str">
        <f>IF($S118="","",SUMIFS(TRANSACTIONS_MASTER!$Q$5:$Q$1204,TRANSACTIONS_MASTER!$K$5:$K$1204,$U118,TRANSACTIONS_MASTER!$C$5:$C$1204,$C$2))</f>
        <v/>
      </c>
    </row>
    <row r="119">
      <c r="A119" s="81" t="str">
        <f>IF($Q119="","",112)</f>
        <v/>
      </c>
      <c r="B119" s="57" t="str">
        <f>IF($Q119="","",INDEX(TRANSACTIONS_MASTER!$B$5:$B$1204,$Q119))</f>
        <v/>
      </c>
      <c r="C119" s="55" t="str">
        <f>IF($Q119="","",INDEX(TRANSACTIONS_MASTER!$F$5:$F$1204,$Q119))</f>
        <v/>
      </c>
      <c r="D119" s="55" t="str">
        <f>IF($Q119="","",INDEX(TRANSACTIONS_MASTER!$E$5:$E$1204,$Q119))</f>
        <v/>
      </c>
      <c r="E119" s="55" t="str">
        <f>IF($Q119="","",INDEX(TRANSACTIONS_MASTER!$G$5:$G$1204,$Q119)&amp;"")</f>
        <v/>
      </c>
      <c r="F119" s="29" t="str">
        <f>IF($Q119="","",INDEX(TRANSACTIONS_MASTER!$I$5:$I$1204,$Q119))</f>
        <v/>
      </c>
      <c r="G119" s="55" t="str">
        <f>IF($Q119="","",INDEX(TRANSACTIONS_MASTER!$K$5:$K$1204,$Q119))</f>
        <v/>
      </c>
      <c r="H119" s="25" t="str">
        <f>IF($Q119="","",INDEX(TRANSACTIONS_MASTER!$L$5:$L$1204,$Q119))</f>
        <v/>
      </c>
      <c r="I119" s="56" t="str">
        <f>IF($Q119="","",INDEX(TRANSACTIONS_MASTER!$N$5:$N$1204,$Q119))</f>
        <v/>
      </c>
      <c r="J119" s="25" t="str">
        <f>IF($Q119="","",INDEX(TRANSACTIONS_MASTER!$O$5:$O$1204,$Q119))</f>
        <v/>
      </c>
      <c r="K119" s="26" t="str">
        <f>IF($Q119="","",INDEX(TRANSACTIONS_MASTER!$Q$5:$Q$1204,$Q119))</f>
        <v/>
      </c>
      <c r="L119" s="25" t="str">
        <f>IF($Q119="","",INDEX(TRANSACTIONS_MASTER!$P$5:$P$1204,$Q119))</f>
        <v/>
      </c>
      <c r="M119" s="25" t="str">
        <f>IF($Q119="","",INDEX(TRANSACTIONS_MASTER!$AA$5:$AA$1204,$Q119))</f>
        <v/>
      </c>
      <c r="N119" s="25" t="str">
        <f>IF($Q119="","",INDEX(TRANSACTIONS_MASTER!$R$5:$R$1204,$Q119))</f>
        <v/>
      </c>
      <c r="O119" s="28" t="str">
        <f>IF($Q119="","",INDEX(TRANSACTIONS_MASTER!$AB$5:$AB$1204,$Q119))</f>
        <v/>
      </c>
      <c r="P119" s="55" t="str">
        <f>IF($Q119="","",INDEX(TRANSACTIONS_MASTER!$Z$5:$Z$1204,$Q119)&amp;"")</f>
        <v/>
      </c>
      <c r="Q119" s="67" t="str">
        <f>IFERROR(MATCH($C$2&amp;"|"&amp;112,TRANSACTIONS_MASTER!$AE$5:$AE$1204,0),"")</f>
        <v/>
      </c>
      <c r="S119" s="67" t="str">
        <f>IFERROR(MATCH(1,INDEX((TRANSACTIONS_MASTER!$C$5:$C$1204=$C$2)*(TRANSACTIONS_MASTER!$AL$5:$AL$1204=3),0),0),"")</f>
        <v/>
      </c>
      <c r="T119" s="55" t="n"/>
      <c r="U119" s="55" t="str">
        <f>IF($S119="","",INDEX(TRANSACTIONS_MASTER!$K$5:$K$1204,$S119))</f>
        <v/>
      </c>
      <c r="V119" s="25" t="str">
        <f>IF($S119="","",SUMIFS(TRANSACTIONS_MASTER!$L$5:$L$1204,TRANSACTIONS_MASTER!$K$5:$K$1204,$U119,TRANSACTIONS_MASTER!$C$5:$C$1204,$C$2,TRANSACTIONS_MASTER!$U$5:$U$1204,"&lt;&gt;Cancelled"))</f>
        <v/>
      </c>
      <c r="W119" s="26" t="str">
        <f>IF($S119="","",SUMIFS(TRANSACTIONS_MASTER!$Q$5:$Q$1204,TRANSACTIONS_MASTER!$K$5:$K$1204,$U119,TRANSACTIONS_MASTER!$C$5:$C$1204,$C$2))</f>
        <v/>
      </c>
    </row>
    <row r="120">
      <c r="A120" s="81" t="str">
        <f>IF($Q120="","",113)</f>
        <v/>
      </c>
      <c r="B120" s="57" t="str">
        <f>IF($Q120="","",INDEX(TRANSACTIONS_MASTER!$B$5:$B$1204,$Q120))</f>
        <v/>
      </c>
      <c r="C120" s="55" t="str">
        <f>IF($Q120="","",INDEX(TRANSACTIONS_MASTER!$F$5:$F$1204,$Q120))</f>
        <v/>
      </c>
      <c r="D120" s="55" t="str">
        <f>IF($Q120="","",INDEX(TRANSACTIONS_MASTER!$E$5:$E$1204,$Q120))</f>
        <v/>
      </c>
      <c r="E120" s="55" t="str">
        <f>IF($Q120="","",INDEX(TRANSACTIONS_MASTER!$G$5:$G$1204,$Q120)&amp;"")</f>
        <v/>
      </c>
      <c r="F120" s="29" t="str">
        <f>IF($Q120="","",INDEX(TRANSACTIONS_MASTER!$I$5:$I$1204,$Q120))</f>
        <v/>
      </c>
      <c r="G120" s="55" t="str">
        <f>IF($Q120="","",INDEX(TRANSACTIONS_MASTER!$K$5:$K$1204,$Q120))</f>
        <v/>
      </c>
      <c r="H120" s="25" t="str">
        <f>IF($Q120="","",INDEX(TRANSACTIONS_MASTER!$L$5:$L$1204,$Q120))</f>
        <v/>
      </c>
      <c r="I120" s="56" t="str">
        <f>IF($Q120="","",INDEX(TRANSACTIONS_MASTER!$N$5:$N$1204,$Q120))</f>
        <v/>
      </c>
      <c r="J120" s="25" t="str">
        <f>IF($Q120="","",INDEX(TRANSACTIONS_MASTER!$O$5:$O$1204,$Q120))</f>
        <v/>
      </c>
      <c r="K120" s="26" t="str">
        <f>IF($Q120="","",INDEX(TRANSACTIONS_MASTER!$Q$5:$Q$1204,$Q120))</f>
        <v/>
      </c>
      <c r="L120" s="25" t="str">
        <f>IF($Q120="","",INDEX(TRANSACTIONS_MASTER!$P$5:$P$1204,$Q120))</f>
        <v/>
      </c>
      <c r="M120" s="25" t="str">
        <f>IF($Q120="","",INDEX(TRANSACTIONS_MASTER!$AA$5:$AA$1204,$Q120))</f>
        <v/>
      </c>
      <c r="N120" s="25" t="str">
        <f>IF($Q120="","",INDEX(TRANSACTIONS_MASTER!$R$5:$R$1204,$Q120))</f>
        <v/>
      </c>
      <c r="O120" s="28" t="str">
        <f>IF($Q120="","",INDEX(TRANSACTIONS_MASTER!$AB$5:$AB$1204,$Q120))</f>
        <v/>
      </c>
      <c r="P120" s="55" t="str">
        <f>IF($Q120="","",INDEX(TRANSACTIONS_MASTER!$Z$5:$Z$1204,$Q120)&amp;"")</f>
        <v/>
      </c>
      <c r="Q120" s="67" t="str">
        <f>IFERROR(MATCH($C$2&amp;"|"&amp;113,TRANSACTIONS_MASTER!$AE$5:$AE$1204,0),"")</f>
        <v/>
      </c>
      <c r="S120" s="67" t="str">
        <f>IFERROR(MATCH(1,INDEX((TRANSACTIONS_MASTER!$C$5:$C$1204=$C$2)*(TRANSACTIONS_MASTER!$AL$5:$AL$1204=4),0),0),"")</f>
        <v/>
      </c>
      <c r="T120" s="55" t="n"/>
      <c r="U120" s="55" t="str">
        <f>IF($S120="","",INDEX(TRANSACTIONS_MASTER!$K$5:$K$1204,$S120))</f>
        <v/>
      </c>
      <c r="V120" s="25" t="str">
        <f>IF($S120="","",SUMIFS(TRANSACTIONS_MASTER!$L$5:$L$1204,TRANSACTIONS_MASTER!$K$5:$K$1204,$U120,TRANSACTIONS_MASTER!$C$5:$C$1204,$C$2,TRANSACTIONS_MASTER!$U$5:$U$1204,"&lt;&gt;Cancelled"))</f>
        <v/>
      </c>
      <c r="W120" s="26" t="str">
        <f>IF($S120="","",SUMIFS(TRANSACTIONS_MASTER!$Q$5:$Q$1204,TRANSACTIONS_MASTER!$K$5:$K$1204,$U120,TRANSACTIONS_MASTER!$C$5:$C$1204,$C$2))</f>
        <v/>
      </c>
    </row>
    <row r="121">
      <c r="A121" s="81" t="str">
        <f>IF($Q121="","",114)</f>
        <v/>
      </c>
      <c r="B121" s="57" t="str">
        <f>IF($Q121="","",INDEX(TRANSACTIONS_MASTER!$B$5:$B$1204,$Q121))</f>
        <v/>
      </c>
      <c r="C121" s="55" t="str">
        <f>IF($Q121="","",INDEX(TRANSACTIONS_MASTER!$F$5:$F$1204,$Q121))</f>
        <v/>
      </c>
      <c r="D121" s="55" t="str">
        <f>IF($Q121="","",INDEX(TRANSACTIONS_MASTER!$E$5:$E$1204,$Q121))</f>
        <v/>
      </c>
      <c r="E121" s="55" t="str">
        <f>IF($Q121="","",INDEX(TRANSACTIONS_MASTER!$G$5:$G$1204,$Q121)&amp;"")</f>
        <v/>
      </c>
      <c r="F121" s="29" t="str">
        <f>IF($Q121="","",INDEX(TRANSACTIONS_MASTER!$I$5:$I$1204,$Q121))</f>
        <v/>
      </c>
      <c r="G121" s="55" t="str">
        <f>IF($Q121="","",INDEX(TRANSACTIONS_MASTER!$K$5:$K$1204,$Q121))</f>
        <v/>
      </c>
      <c r="H121" s="25" t="str">
        <f>IF($Q121="","",INDEX(TRANSACTIONS_MASTER!$L$5:$L$1204,$Q121))</f>
        <v/>
      </c>
      <c r="I121" s="56" t="str">
        <f>IF($Q121="","",INDEX(TRANSACTIONS_MASTER!$N$5:$N$1204,$Q121))</f>
        <v/>
      </c>
      <c r="J121" s="25" t="str">
        <f>IF($Q121="","",INDEX(TRANSACTIONS_MASTER!$O$5:$O$1204,$Q121))</f>
        <v/>
      </c>
      <c r="K121" s="26" t="str">
        <f>IF($Q121="","",INDEX(TRANSACTIONS_MASTER!$Q$5:$Q$1204,$Q121))</f>
        <v/>
      </c>
      <c r="L121" s="25" t="str">
        <f>IF($Q121="","",INDEX(TRANSACTIONS_MASTER!$P$5:$P$1204,$Q121))</f>
        <v/>
      </c>
      <c r="M121" s="25" t="str">
        <f>IF($Q121="","",INDEX(TRANSACTIONS_MASTER!$AA$5:$AA$1204,$Q121))</f>
        <v/>
      </c>
      <c r="N121" s="25" t="str">
        <f>IF($Q121="","",INDEX(TRANSACTIONS_MASTER!$R$5:$R$1204,$Q121))</f>
        <v/>
      </c>
      <c r="O121" s="28" t="str">
        <f>IF($Q121="","",INDEX(TRANSACTIONS_MASTER!$AB$5:$AB$1204,$Q121))</f>
        <v/>
      </c>
      <c r="P121" s="55" t="str">
        <f>IF($Q121="","",INDEX(TRANSACTIONS_MASTER!$Z$5:$Z$1204,$Q121)&amp;"")</f>
        <v/>
      </c>
      <c r="Q121" s="67" t="str">
        <f>IFERROR(MATCH($C$2&amp;"|"&amp;114,TRANSACTIONS_MASTER!$AE$5:$AE$1204,0),"")</f>
        <v/>
      </c>
      <c r="S121" s="67" t="str">
        <f>IFERROR(MATCH(1,INDEX((TRANSACTIONS_MASTER!$C$5:$C$1204=$C$2)*(TRANSACTIONS_MASTER!$AL$5:$AL$1204=5),0),0),"")</f>
        <v/>
      </c>
      <c r="T121" s="55" t="n"/>
      <c r="U121" s="55" t="str">
        <f>IF($S121="","",INDEX(TRANSACTIONS_MASTER!$K$5:$K$1204,$S121))</f>
        <v/>
      </c>
      <c r="V121" s="25" t="str">
        <f>IF($S121="","",SUMIFS(TRANSACTIONS_MASTER!$L$5:$L$1204,TRANSACTIONS_MASTER!$K$5:$K$1204,$U121,TRANSACTIONS_MASTER!$C$5:$C$1204,$C$2,TRANSACTIONS_MASTER!$U$5:$U$1204,"&lt;&gt;Cancelled"))</f>
        <v/>
      </c>
      <c r="W121" s="26" t="str">
        <f>IF($S121="","",SUMIFS(TRANSACTIONS_MASTER!$Q$5:$Q$1204,TRANSACTIONS_MASTER!$K$5:$K$1204,$U121,TRANSACTIONS_MASTER!$C$5:$C$1204,$C$2))</f>
        <v/>
      </c>
    </row>
    <row r="122">
      <c r="A122" s="81" t="str">
        <f>IF($Q122="","",115)</f>
        <v/>
      </c>
      <c r="B122" s="57" t="str">
        <f>IF($Q122="","",INDEX(TRANSACTIONS_MASTER!$B$5:$B$1204,$Q122))</f>
        <v/>
      </c>
      <c r="C122" s="55" t="str">
        <f>IF($Q122="","",INDEX(TRANSACTIONS_MASTER!$F$5:$F$1204,$Q122))</f>
        <v/>
      </c>
      <c r="D122" s="55" t="str">
        <f>IF($Q122="","",INDEX(TRANSACTIONS_MASTER!$E$5:$E$1204,$Q122))</f>
        <v/>
      </c>
      <c r="E122" s="55" t="str">
        <f>IF($Q122="","",INDEX(TRANSACTIONS_MASTER!$G$5:$G$1204,$Q122)&amp;"")</f>
        <v/>
      </c>
      <c r="F122" s="29" t="str">
        <f>IF($Q122="","",INDEX(TRANSACTIONS_MASTER!$I$5:$I$1204,$Q122))</f>
        <v/>
      </c>
      <c r="G122" s="55" t="str">
        <f>IF($Q122="","",INDEX(TRANSACTIONS_MASTER!$K$5:$K$1204,$Q122))</f>
        <v/>
      </c>
      <c r="H122" s="25" t="str">
        <f>IF($Q122="","",INDEX(TRANSACTIONS_MASTER!$L$5:$L$1204,$Q122))</f>
        <v/>
      </c>
      <c r="I122" s="56" t="str">
        <f>IF($Q122="","",INDEX(TRANSACTIONS_MASTER!$N$5:$N$1204,$Q122))</f>
        <v/>
      </c>
      <c r="J122" s="25" t="str">
        <f>IF($Q122="","",INDEX(TRANSACTIONS_MASTER!$O$5:$O$1204,$Q122))</f>
        <v/>
      </c>
      <c r="K122" s="26" t="str">
        <f>IF($Q122="","",INDEX(TRANSACTIONS_MASTER!$Q$5:$Q$1204,$Q122))</f>
        <v/>
      </c>
      <c r="L122" s="25" t="str">
        <f>IF($Q122="","",INDEX(TRANSACTIONS_MASTER!$P$5:$P$1204,$Q122))</f>
        <v/>
      </c>
      <c r="M122" s="25" t="str">
        <f>IF($Q122="","",INDEX(TRANSACTIONS_MASTER!$AA$5:$AA$1204,$Q122))</f>
        <v/>
      </c>
      <c r="N122" s="25" t="str">
        <f>IF($Q122="","",INDEX(TRANSACTIONS_MASTER!$R$5:$R$1204,$Q122))</f>
        <v/>
      </c>
      <c r="O122" s="28" t="str">
        <f>IF($Q122="","",INDEX(TRANSACTIONS_MASTER!$AB$5:$AB$1204,$Q122))</f>
        <v/>
      </c>
      <c r="P122" s="55" t="str">
        <f>IF($Q122="","",INDEX(TRANSACTIONS_MASTER!$Z$5:$Z$1204,$Q122)&amp;"")</f>
        <v/>
      </c>
      <c r="Q122" s="67" t="str">
        <f>IFERROR(MATCH($C$2&amp;"|"&amp;115,TRANSACTIONS_MASTER!$AE$5:$AE$1204,0),"")</f>
        <v/>
      </c>
      <c r="S122" s="67" t="str">
        <f>IFERROR(MATCH(1,INDEX((TRANSACTIONS_MASTER!$C$5:$C$1204=$C$2)*(TRANSACTIONS_MASTER!$AL$5:$AL$1204=6),0),0),"")</f>
        <v/>
      </c>
      <c r="T122" s="55" t="n"/>
      <c r="U122" s="55" t="str">
        <f>IF($S122="","",INDEX(TRANSACTIONS_MASTER!$K$5:$K$1204,$S122))</f>
        <v/>
      </c>
      <c r="V122" s="25" t="str">
        <f>IF($S122="","",SUMIFS(TRANSACTIONS_MASTER!$L$5:$L$1204,TRANSACTIONS_MASTER!$K$5:$K$1204,$U122,TRANSACTIONS_MASTER!$C$5:$C$1204,$C$2,TRANSACTIONS_MASTER!$U$5:$U$1204,"&lt;&gt;Cancelled"))</f>
        <v/>
      </c>
      <c r="W122" s="26" t="str">
        <f>IF($S122="","",SUMIFS(TRANSACTIONS_MASTER!$Q$5:$Q$1204,TRANSACTIONS_MASTER!$K$5:$K$1204,$U122,TRANSACTIONS_MASTER!$C$5:$C$1204,$C$2))</f>
        <v/>
      </c>
    </row>
    <row r="123">
      <c r="A123" s="81" t="str">
        <f>IF($Q123="","",116)</f>
        <v/>
      </c>
      <c r="B123" s="57" t="str">
        <f>IF($Q123="","",INDEX(TRANSACTIONS_MASTER!$B$5:$B$1204,$Q123))</f>
        <v/>
      </c>
      <c r="C123" s="55" t="str">
        <f>IF($Q123="","",INDEX(TRANSACTIONS_MASTER!$F$5:$F$1204,$Q123))</f>
        <v/>
      </c>
      <c r="D123" s="55" t="str">
        <f>IF($Q123="","",INDEX(TRANSACTIONS_MASTER!$E$5:$E$1204,$Q123))</f>
        <v/>
      </c>
      <c r="E123" s="55" t="str">
        <f>IF($Q123="","",INDEX(TRANSACTIONS_MASTER!$G$5:$G$1204,$Q123)&amp;"")</f>
        <v/>
      </c>
      <c r="F123" s="29" t="str">
        <f>IF($Q123="","",INDEX(TRANSACTIONS_MASTER!$I$5:$I$1204,$Q123))</f>
        <v/>
      </c>
      <c r="G123" s="55" t="str">
        <f>IF($Q123="","",INDEX(TRANSACTIONS_MASTER!$K$5:$K$1204,$Q123))</f>
        <v/>
      </c>
      <c r="H123" s="25" t="str">
        <f>IF($Q123="","",INDEX(TRANSACTIONS_MASTER!$L$5:$L$1204,$Q123))</f>
        <v/>
      </c>
      <c r="I123" s="56" t="str">
        <f>IF($Q123="","",INDEX(TRANSACTIONS_MASTER!$N$5:$N$1204,$Q123))</f>
        <v/>
      </c>
      <c r="J123" s="25" t="str">
        <f>IF($Q123="","",INDEX(TRANSACTIONS_MASTER!$O$5:$O$1204,$Q123))</f>
        <v/>
      </c>
      <c r="K123" s="26" t="str">
        <f>IF($Q123="","",INDEX(TRANSACTIONS_MASTER!$Q$5:$Q$1204,$Q123))</f>
        <v/>
      </c>
      <c r="L123" s="25" t="str">
        <f>IF($Q123="","",INDEX(TRANSACTIONS_MASTER!$P$5:$P$1204,$Q123))</f>
        <v/>
      </c>
      <c r="M123" s="25" t="str">
        <f>IF($Q123="","",INDEX(TRANSACTIONS_MASTER!$AA$5:$AA$1204,$Q123))</f>
        <v/>
      </c>
      <c r="N123" s="25" t="str">
        <f>IF($Q123="","",INDEX(TRANSACTIONS_MASTER!$R$5:$R$1204,$Q123))</f>
        <v/>
      </c>
      <c r="O123" s="28" t="str">
        <f>IF($Q123="","",INDEX(TRANSACTIONS_MASTER!$AB$5:$AB$1204,$Q123))</f>
        <v/>
      </c>
      <c r="P123" s="55" t="str">
        <f>IF($Q123="","",INDEX(TRANSACTIONS_MASTER!$Z$5:$Z$1204,$Q123)&amp;"")</f>
        <v/>
      </c>
      <c r="Q123" s="67" t="str">
        <f>IFERROR(MATCH($C$2&amp;"|"&amp;116,TRANSACTIONS_MASTER!$AE$5:$AE$1204,0),"")</f>
        <v/>
      </c>
      <c r="S123" s="67" t="str">
        <f>IFERROR(MATCH(1,INDEX((TRANSACTIONS_MASTER!$C$5:$C$1204=$C$2)*(TRANSACTIONS_MASTER!$AL$5:$AL$1204=7),0),0),"")</f>
        <v/>
      </c>
      <c r="T123" s="55" t="n"/>
      <c r="U123" s="55" t="str">
        <f>IF($S123="","",INDEX(TRANSACTIONS_MASTER!$K$5:$K$1204,$S123))</f>
        <v/>
      </c>
      <c r="V123" s="25" t="str">
        <f>IF($S123="","",SUMIFS(TRANSACTIONS_MASTER!$L$5:$L$1204,TRANSACTIONS_MASTER!$K$5:$K$1204,$U123,TRANSACTIONS_MASTER!$C$5:$C$1204,$C$2,TRANSACTIONS_MASTER!$U$5:$U$1204,"&lt;&gt;Cancelled"))</f>
        <v/>
      </c>
      <c r="W123" s="26" t="str">
        <f>IF($S123="","",SUMIFS(TRANSACTIONS_MASTER!$Q$5:$Q$1204,TRANSACTIONS_MASTER!$K$5:$K$1204,$U123,TRANSACTIONS_MASTER!$C$5:$C$1204,$C$2))</f>
        <v/>
      </c>
    </row>
    <row r="124">
      <c r="A124" s="81" t="str">
        <f>IF($Q124="","",117)</f>
        <v/>
      </c>
      <c r="B124" s="57" t="str">
        <f>IF($Q124="","",INDEX(TRANSACTIONS_MASTER!$B$5:$B$1204,$Q124))</f>
        <v/>
      </c>
      <c r="C124" s="55" t="str">
        <f>IF($Q124="","",INDEX(TRANSACTIONS_MASTER!$F$5:$F$1204,$Q124))</f>
        <v/>
      </c>
      <c r="D124" s="55" t="str">
        <f>IF($Q124="","",INDEX(TRANSACTIONS_MASTER!$E$5:$E$1204,$Q124))</f>
        <v/>
      </c>
      <c r="E124" s="55" t="str">
        <f>IF($Q124="","",INDEX(TRANSACTIONS_MASTER!$G$5:$G$1204,$Q124)&amp;"")</f>
        <v/>
      </c>
      <c r="F124" s="29" t="str">
        <f>IF($Q124="","",INDEX(TRANSACTIONS_MASTER!$I$5:$I$1204,$Q124))</f>
        <v/>
      </c>
      <c r="G124" s="55" t="str">
        <f>IF($Q124="","",INDEX(TRANSACTIONS_MASTER!$K$5:$K$1204,$Q124))</f>
        <v/>
      </c>
      <c r="H124" s="25" t="str">
        <f>IF($Q124="","",INDEX(TRANSACTIONS_MASTER!$L$5:$L$1204,$Q124))</f>
        <v/>
      </c>
      <c r="I124" s="56" t="str">
        <f>IF($Q124="","",INDEX(TRANSACTIONS_MASTER!$N$5:$N$1204,$Q124))</f>
        <v/>
      </c>
      <c r="J124" s="25" t="str">
        <f>IF($Q124="","",INDEX(TRANSACTIONS_MASTER!$O$5:$O$1204,$Q124))</f>
        <v/>
      </c>
      <c r="K124" s="26" t="str">
        <f>IF($Q124="","",INDEX(TRANSACTIONS_MASTER!$Q$5:$Q$1204,$Q124))</f>
        <v/>
      </c>
      <c r="L124" s="25" t="str">
        <f>IF($Q124="","",INDEX(TRANSACTIONS_MASTER!$P$5:$P$1204,$Q124))</f>
        <v/>
      </c>
      <c r="M124" s="25" t="str">
        <f>IF($Q124="","",INDEX(TRANSACTIONS_MASTER!$AA$5:$AA$1204,$Q124))</f>
        <v/>
      </c>
      <c r="N124" s="25" t="str">
        <f>IF($Q124="","",INDEX(TRANSACTIONS_MASTER!$R$5:$R$1204,$Q124))</f>
        <v/>
      </c>
      <c r="O124" s="28" t="str">
        <f>IF($Q124="","",INDEX(TRANSACTIONS_MASTER!$AB$5:$AB$1204,$Q124))</f>
        <v/>
      </c>
      <c r="P124" s="55" t="str">
        <f>IF($Q124="","",INDEX(TRANSACTIONS_MASTER!$Z$5:$Z$1204,$Q124)&amp;"")</f>
        <v/>
      </c>
      <c r="Q124" s="67" t="str">
        <f>IFERROR(MATCH($C$2&amp;"|"&amp;117,TRANSACTIONS_MASTER!$AE$5:$AE$1204,0),"")</f>
        <v/>
      </c>
      <c r="S124" s="67" t="str">
        <f>IFERROR(MATCH(1,INDEX((TRANSACTIONS_MASTER!$C$5:$C$1204=$C$2)*(TRANSACTIONS_MASTER!$AL$5:$AL$1204=8),0),0),"")</f>
        <v/>
      </c>
      <c r="T124" s="55" t="n"/>
      <c r="U124" s="55" t="str">
        <f>IF($S124="","",INDEX(TRANSACTIONS_MASTER!$K$5:$K$1204,$S124))</f>
        <v/>
      </c>
      <c r="V124" s="25" t="str">
        <f>IF($S124="","",SUMIFS(TRANSACTIONS_MASTER!$L$5:$L$1204,TRANSACTIONS_MASTER!$K$5:$K$1204,$U124,TRANSACTIONS_MASTER!$C$5:$C$1204,$C$2,TRANSACTIONS_MASTER!$U$5:$U$1204,"&lt;&gt;Cancelled"))</f>
        <v/>
      </c>
      <c r="W124" s="26" t="str">
        <f>IF($S124="","",SUMIFS(TRANSACTIONS_MASTER!$Q$5:$Q$1204,TRANSACTIONS_MASTER!$K$5:$K$1204,$U124,TRANSACTIONS_MASTER!$C$5:$C$1204,$C$2))</f>
        <v/>
      </c>
    </row>
    <row r="125">
      <c r="A125" s="81" t="str">
        <f>IF($Q125="","",118)</f>
        <v/>
      </c>
      <c r="B125" s="57" t="str">
        <f>IF($Q125="","",INDEX(TRANSACTIONS_MASTER!$B$5:$B$1204,$Q125))</f>
        <v/>
      </c>
      <c r="C125" s="55" t="str">
        <f>IF($Q125="","",INDEX(TRANSACTIONS_MASTER!$F$5:$F$1204,$Q125))</f>
        <v/>
      </c>
      <c r="D125" s="55" t="str">
        <f>IF($Q125="","",INDEX(TRANSACTIONS_MASTER!$E$5:$E$1204,$Q125))</f>
        <v/>
      </c>
      <c r="E125" s="55" t="str">
        <f>IF($Q125="","",INDEX(TRANSACTIONS_MASTER!$G$5:$G$1204,$Q125)&amp;"")</f>
        <v/>
      </c>
      <c r="F125" s="29" t="str">
        <f>IF($Q125="","",INDEX(TRANSACTIONS_MASTER!$I$5:$I$1204,$Q125))</f>
        <v/>
      </c>
      <c r="G125" s="55" t="str">
        <f>IF($Q125="","",INDEX(TRANSACTIONS_MASTER!$K$5:$K$1204,$Q125))</f>
        <v/>
      </c>
      <c r="H125" s="25" t="str">
        <f>IF($Q125="","",INDEX(TRANSACTIONS_MASTER!$L$5:$L$1204,$Q125))</f>
        <v/>
      </c>
      <c r="I125" s="56" t="str">
        <f>IF($Q125="","",INDEX(TRANSACTIONS_MASTER!$N$5:$N$1204,$Q125))</f>
        <v/>
      </c>
      <c r="J125" s="25" t="str">
        <f>IF($Q125="","",INDEX(TRANSACTIONS_MASTER!$O$5:$O$1204,$Q125))</f>
        <v/>
      </c>
      <c r="K125" s="26" t="str">
        <f>IF($Q125="","",INDEX(TRANSACTIONS_MASTER!$Q$5:$Q$1204,$Q125))</f>
        <v/>
      </c>
      <c r="L125" s="25" t="str">
        <f>IF($Q125="","",INDEX(TRANSACTIONS_MASTER!$P$5:$P$1204,$Q125))</f>
        <v/>
      </c>
      <c r="M125" s="25" t="str">
        <f>IF($Q125="","",INDEX(TRANSACTIONS_MASTER!$AA$5:$AA$1204,$Q125))</f>
        <v/>
      </c>
      <c r="N125" s="25" t="str">
        <f>IF($Q125="","",INDEX(TRANSACTIONS_MASTER!$R$5:$R$1204,$Q125))</f>
        <v/>
      </c>
      <c r="O125" s="28" t="str">
        <f>IF($Q125="","",INDEX(TRANSACTIONS_MASTER!$AB$5:$AB$1204,$Q125))</f>
        <v/>
      </c>
      <c r="P125" s="55" t="str">
        <f>IF($Q125="","",INDEX(TRANSACTIONS_MASTER!$Z$5:$Z$1204,$Q125)&amp;"")</f>
        <v/>
      </c>
      <c r="Q125" s="67" t="str">
        <f>IFERROR(MATCH($C$2&amp;"|"&amp;118,TRANSACTIONS_MASTER!$AE$5:$AE$1204,0),"")</f>
        <v/>
      </c>
      <c r="S125" s="67" t="str">
        <f>IFERROR(MATCH(1,INDEX((TRANSACTIONS_MASTER!$C$5:$C$1204=$C$2)*(TRANSACTIONS_MASTER!$AL$5:$AL$1204=9),0),0),"")</f>
        <v/>
      </c>
      <c r="T125" s="55" t="n"/>
      <c r="U125" s="55" t="str">
        <f>IF($S125="","",INDEX(TRANSACTIONS_MASTER!$K$5:$K$1204,$S125))</f>
        <v/>
      </c>
      <c r="V125" s="25" t="str">
        <f>IF($S125="","",SUMIFS(TRANSACTIONS_MASTER!$L$5:$L$1204,TRANSACTIONS_MASTER!$K$5:$K$1204,$U125,TRANSACTIONS_MASTER!$C$5:$C$1204,$C$2,TRANSACTIONS_MASTER!$U$5:$U$1204,"&lt;&gt;Cancelled"))</f>
        <v/>
      </c>
      <c r="W125" s="26" t="str">
        <f>IF($S125="","",SUMIFS(TRANSACTIONS_MASTER!$Q$5:$Q$1204,TRANSACTIONS_MASTER!$K$5:$K$1204,$U125,TRANSACTIONS_MASTER!$C$5:$C$1204,$C$2))</f>
        <v/>
      </c>
    </row>
    <row r="126">
      <c r="A126" s="81" t="str">
        <f>IF($Q126="","",119)</f>
        <v/>
      </c>
      <c r="B126" s="57" t="str">
        <f>IF($Q126="","",INDEX(TRANSACTIONS_MASTER!$B$5:$B$1204,$Q126))</f>
        <v/>
      </c>
      <c r="C126" s="55" t="str">
        <f>IF($Q126="","",INDEX(TRANSACTIONS_MASTER!$F$5:$F$1204,$Q126))</f>
        <v/>
      </c>
      <c r="D126" s="55" t="str">
        <f>IF($Q126="","",INDEX(TRANSACTIONS_MASTER!$E$5:$E$1204,$Q126))</f>
        <v/>
      </c>
      <c r="E126" s="55" t="str">
        <f>IF($Q126="","",INDEX(TRANSACTIONS_MASTER!$G$5:$G$1204,$Q126)&amp;"")</f>
        <v/>
      </c>
      <c r="F126" s="29" t="str">
        <f>IF($Q126="","",INDEX(TRANSACTIONS_MASTER!$I$5:$I$1204,$Q126))</f>
        <v/>
      </c>
      <c r="G126" s="55" t="str">
        <f>IF($Q126="","",INDEX(TRANSACTIONS_MASTER!$K$5:$K$1204,$Q126))</f>
        <v/>
      </c>
      <c r="H126" s="25" t="str">
        <f>IF($Q126="","",INDEX(TRANSACTIONS_MASTER!$L$5:$L$1204,$Q126))</f>
        <v/>
      </c>
      <c r="I126" s="56" t="str">
        <f>IF($Q126="","",INDEX(TRANSACTIONS_MASTER!$N$5:$N$1204,$Q126))</f>
        <v/>
      </c>
      <c r="J126" s="25" t="str">
        <f>IF($Q126="","",INDEX(TRANSACTIONS_MASTER!$O$5:$O$1204,$Q126))</f>
        <v/>
      </c>
      <c r="K126" s="26" t="str">
        <f>IF($Q126="","",INDEX(TRANSACTIONS_MASTER!$Q$5:$Q$1204,$Q126))</f>
        <v/>
      </c>
      <c r="L126" s="25" t="str">
        <f>IF($Q126="","",INDEX(TRANSACTIONS_MASTER!$P$5:$P$1204,$Q126))</f>
        <v/>
      </c>
      <c r="M126" s="25" t="str">
        <f>IF($Q126="","",INDEX(TRANSACTIONS_MASTER!$AA$5:$AA$1204,$Q126))</f>
        <v/>
      </c>
      <c r="N126" s="25" t="str">
        <f>IF($Q126="","",INDEX(TRANSACTIONS_MASTER!$R$5:$R$1204,$Q126))</f>
        <v/>
      </c>
      <c r="O126" s="28" t="str">
        <f>IF($Q126="","",INDEX(TRANSACTIONS_MASTER!$AB$5:$AB$1204,$Q126))</f>
        <v/>
      </c>
      <c r="P126" s="55" t="str">
        <f>IF($Q126="","",INDEX(TRANSACTIONS_MASTER!$Z$5:$Z$1204,$Q126)&amp;"")</f>
        <v/>
      </c>
      <c r="Q126" s="67" t="str">
        <f>IFERROR(MATCH($C$2&amp;"|"&amp;119,TRANSACTIONS_MASTER!$AE$5:$AE$1204,0),"")</f>
        <v/>
      </c>
      <c r="S126" s="67" t="str">
        <f>IFERROR(MATCH(1,INDEX((TRANSACTIONS_MASTER!$C$5:$C$1204=$C$2)*(TRANSACTIONS_MASTER!$AL$5:$AL$1204=10),0),0),"")</f>
        <v/>
      </c>
      <c r="T126" s="55" t="n"/>
      <c r="U126" s="55" t="str">
        <f>IF($S126="","",INDEX(TRANSACTIONS_MASTER!$K$5:$K$1204,$S126))</f>
        <v/>
      </c>
      <c r="V126" s="25" t="str">
        <f>IF($S126="","",SUMIFS(TRANSACTIONS_MASTER!$L$5:$L$1204,TRANSACTIONS_MASTER!$K$5:$K$1204,$U126,TRANSACTIONS_MASTER!$C$5:$C$1204,$C$2,TRANSACTIONS_MASTER!$U$5:$U$1204,"&lt;&gt;Cancelled"))</f>
        <v/>
      </c>
      <c r="W126" s="26" t="str">
        <f>IF($S126="","",SUMIFS(TRANSACTIONS_MASTER!$Q$5:$Q$1204,TRANSACTIONS_MASTER!$K$5:$K$1204,$U126,TRANSACTIONS_MASTER!$C$5:$C$1204,$C$2))</f>
        <v/>
      </c>
    </row>
    <row r="127">
      <c r="A127" s="81" t="str">
        <f>IF($Q127="","",120)</f>
        <v/>
      </c>
      <c r="B127" s="57" t="str">
        <f>IF($Q127="","",INDEX(TRANSACTIONS_MASTER!$B$5:$B$1204,$Q127))</f>
        <v/>
      </c>
      <c r="C127" s="55" t="str">
        <f>IF($Q127="","",INDEX(TRANSACTIONS_MASTER!$F$5:$F$1204,$Q127))</f>
        <v/>
      </c>
      <c r="D127" s="55" t="str">
        <f>IF($Q127="","",INDEX(TRANSACTIONS_MASTER!$E$5:$E$1204,$Q127))</f>
        <v/>
      </c>
      <c r="E127" s="55" t="str">
        <f>IF($Q127="","",INDEX(TRANSACTIONS_MASTER!$G$5:$G$1204,$Q127)&amp;"")</f>
        <v/>
      </c>
      <c r="F127" s="29" t="str">
        <f>IF($Q127="","",INDEX(TRANSACTIONS_MASTER!$I$5:$I$1204,$Q127))</f>
        <v/>
      </c>
      <c r="G127" s="55" t="str">
        <f>IF($Q127="","",INDEX(TRANSACTIONS_MASTER!$K$5:$K$1204,$Q127))</f>
        <v/>
      </c>
      <c r="H127" s="25" t="str">
        <f>IF($Q127="","",INDEX(TRANSACTIONS_MASTER!$L$5:$L$1204,$Q127))</f>
        <v/>
      </c>
      <c r="I127" s="56" t="str">
        <f>IF($Q127="","",INDEX(TRANSACTIONS_MASTER!$N$5:$N$1204,$Q127))</f>
        <v/>
      </c>
      <c r="J127" s="25" t="str">
        <f>IF($Q127="","",INDEX(TRANSACTIONS_MASTER!$O$5:$O$1204,$Q127))</f>
        <v/>
      </c>
      <c r="K127" s="26" t="str">
        <f>IF($Q127="","",INDEX(TRANSACTIONS_MASTER!$Q$5:$Q$1204,$Q127))</f>
        <v/>
      </c>
      <c r="L127" s="25" t="str">
        <f>IF($Q127="","",INDEX(TRANSACTIONS_MASTER!$P$5:$P$1204,$Q127))</f>
        <v/>
      </c>
      <c r="M127" s="25" t="str">
        <f>IF($Q127="","",INDEX(TRANSACTIONS_MASTER!$AA$5:$AA$1204,$Q127))</f>
        <v/>
      </c>
      <c r="N127" s="25" t="str">
        <f>IF($Q127="","",INDEX(TRANSACTIONS_MASTER!$R$5:$R$1204,$Q127))</f>
        <v/>
      </c>
      <c r="O127" s="28" t="str">
        <f>IF($Q127="","",INDEX(TRANSACTIONS_MASTER!$AB$5:$AB$1204,$Q127))</f>
        <v/>
      </c>
      <c r="P127" s="55" t="str">
        <f>IF($Q127="","",INDEX(TRANSACTIONS_MASTER!$Z$5:$Z$1204,$Q127)&amp;"")</f>
        <v/>
      </c>
      <c r="Q127" s="67" t="str">
        <f>IFERROR(MATCH($C$2&amp;"|"&amp;120,TRANSACTIONS_MASTER!$AE$5:$AE$1204,0),"")</f>
        <v/>
      </c>
      <c r="S127" s="67" t="str">
        <f>IFERROR(MATCH(1,INDEX((TRANSACTIONS_MASTER!$C$5:$C$1204=$C$2)*(TRANSACTIONS_MASTER!$AL$5:$AL$1204=11),0),0),"")</f>
        <v/>
      </c>
      <c r="T127" s="55" t="n"/>
      <c r="U127" s="55" t="str">
        <f>IF($S127="","",INDEX(TRANSACTIONS_MASTER!$K$5:$K$1204,$S127))</f>
        <v/>
      </c>
      <c r="V127" s="25" t="str">
        <f>IF($S127="","",SUMIFS(TRANSACTIONS_MASTER!$L$5:$L$1204,TRANSACTIONS_MASTER!$K$5:$K$1204,$U127,TRANSACTIONS_MASTER!$C$5:$C$1204,$C$2,TRANSACTIONS_MASTER!$U$5:$U$1204,"&lt;&gt;Cancelled"))</f>
        <v/>
      </c>
      <c r="W127" s="26" t="str">
        <f>IF($S127="","",SUMIFS(TRANSACTIONS_MASTER!$Q$5:$Q$1204,TRANSACTIONS_MASTER!$K$5:$K$1204,$U127,TRANSACTIONS_MASTER!$C$5:$C$1204,$C$2))</f>
        <v/>
      </c>
    </row>
    <row r="128">
      <c r="A128" s="81" t="str">
        <f>IF($Q128="","",121)</f>
        <v/>
      </c>
      <c r="B128" s="57" t="str">
        <f>IF($Q128="","",INDEX(TRANSACTIONS_MASTER!$B$5:$B$1204,$Q128))</f>
        <v/>
      </c>
      <c r="C128" s="55" t="str">
        <f>IF($Q128="","",INDEX(TRANSACTIONS_MASTER!$F$5:$F$1204,$Q128))</f>
        <v/>
      </c>
      <c r="D128" s="55" t="str">
        <f>IF($Q128="","",INDEX(TRANSACTIONS_MASTER!$E$5:$E$1204,$Q128))</f>
        <v/>
      </c>
      <c r="E128" s="55" t="str">
        <f>IF($Q128="","",INDEX(TRANSACTIONS_MASTER!$G$5:$G$1204,$Q128)&amp;"")</f>
        <v/>
      </c>
      <c r="F128" s="29" t="str">
        <f>IF($Q128="","",INDEX(TRANSACTIONS_MASTER!$I$5:$I$1204,$Q128))</f>
        <v/>
      </c>
      <c r="G128" s="55" t="str">
        <f>IF($Q128="","",INDEX(TRANSACTIONS_MASTER!$K$5:$K$1204,$Q128))</f>
        <v/>
      </c>
      <c r="H128" s="25" t="str">
        <f>IF($Q128="","",INDEX(TRANSACTIONS_MASTER!$L$5:$L$1204,$Q128))</f>
        <v/>
      </c>
      <c r="I128" s="56" t="str">
        <f>IF($Q128="","",INDEX(TRANSACTIONS_MASTER!$N$5:$N$1204,$Q128))</f>
        <v/>
      </c>
      <c r="J128" s="25" t="str">
        <f>IF($Q128="","",INDEX(TRANSACTIONS_MASTER!$O$5:$O$1204,$Q128))</f>
        <v/>
      </c>
      <c r="K128" s="26" t="str">
        <f>IF($Q128="","",INDEX(TRANSACTIONS_MASTER!$Q$5:$Q$1204,$Q128))</f>
        <v/>
      </c>
      <c r="L128" s="25" t="str">
        <f>IF($Q128="","",INDEX(TRANSACTIONS_MASTER!$P$5:$P$1204,$Q128))</f>
        <v/>
      </c>
      <c r="M128" s="25" t="str">
        <f>IF($Q128="","",INDEX(TRANSACTIONS_MASTER!$AA$5:$AA$1204,$Q128))</f>
        <v/>
      </c>
      <c r="N128" s="25" t="str">
        <f>IF($Q128="","",INDEX(TRANSACTIONS_MASTER!$R$5:$R$1204,$Q128))</f>
        <v/>
      </c>
      <c r="O128" s="28" t="str">
        <f>IF($Q128="","",INDEX(TRANSACTIONS_MASTER!$AB$5:$AB$1204,$Q128))</f>
        <v/>
      </c>
      <c r="P128" s="55" t="str">
        <f>IF($Q128="","",INDEX(TRANSACTIONS_MASTER!$Z$5:$Z$1204,$Q128)&amp;"")</f>
        <v/>
      </c>
      <c r="Q128" s="67" t="str">
        <f>IFERROR(MATCH($C$2&amp;"|"&amp;121,TRANSACTIONS_MASTER!$AE$5:$AE$1204,0),"")</f>
        <v/>
      </c>
      <c r="S128" s="67" t="str">
        <f>IFERROR(MATCH(1,INDEX((TRANSACTIONS_MASTER!$C$5:$C$1204=$C$2)*(TRANSACTIONS_MASTER!$AL$5:$AL$1204=12),0),0),"")</f>
        <v/>
      </c>
      <c r="T128" s="55" t="n"/>
      <c r="U128" s="55" t="str">
        <f>IF($S128="","",INDEX(TRANSACTIONS_MASTER!$K$5:$K$1204,$S128))</f>
        <v/>
      </c>
      <c r="V128" s="25" t="str">
        <f>IF($S128="","",SUMIFS(TRANSACTIONS_MASTER!$L$5:$L$1204,TRANSACTIONS_MASTER!$K$5:$K$1204,$U128,TRANSACTIONS_MASTER!$C$5:$C$1204,$C$2,TRANSACTIONS_MASTER!$U$5:$U$1204,"&lt;&gt;Cancelled"))</f>
        <v/>
      </c>
      <c r="W128" s="26" t="str">
        <f>IF($S128="","",SUMIFS(TRANSACTIONS_MASTER!$Q$5:$Q$1204,TRANSACTIONS_MASTER!$K$5:$K$1204,$U128,TRANSACTIONS_MASTER!$C$5:$C$1204,$C$2))</f>
        <v/>
      </c>
    </row>
    <row r="129">
      <c r="A129" s="81" t="str">
        <f>IF($Q129="","",122)</f>
        <v/>
      </c>
      <c r="B129" s="57" t="str">
        <f>IF($Q129="","",INDEX(TRANSACTIONS_MASTER!$B$5:$B$1204,$Q129))</f>
        <v/>
      </c>
      <c r="C129" s="55" t="str">
        <f>IF($Q129="","",INDEX(TRANSACTIONS_MASTER!$F$5:$F$1204,$Q129))</f>
        <v/>
      </c>
      <c r="D129" s="55" t="str">
        <f>IF($Q129="","",INDEX(TRANSACTIONS_MASTER!$E$5:$E$1204,$Q129))</f>
        <v/>
      </c>
      <c r="E129" s="55" t="str">
        <f>IF($Q129="","",INDEX(TRANSACTIONS_MASTER!$G$5:$G$1204,$Q129)&amp;"")</f>
        <v/>
      </c>
      <c r="F129" s="29" t="str">
        <f>IF($Q129="","",INDEX(TRANSACTIONS_MASTER!$I$5:$I$1204,$Q129))</f>
        <v/>
      </c>
      <c r="G129" s="55" t="str">
        <f>IF($Q129="","",INDEX(TRANSACTIONS_MASTER!$K$5:$K$1204,$Q129))</f>
        <v/>
      </c>
      <c r="H129" s="25" t="str">
        <f>IF($Q129="","",INDEX(TRANSACTIONS_MASTER!$L$5:$L$1204,$Q129))</f>
        <v/>
      </c>
      <c r="I129" s="56" t="str">
        <f>IF($Q129="","",INDEX(TRANSACTIONS_MASTER!$N$5:$N$1204,$Q129))</f>
        <v/>
      </c>
      <c r="J129" s="25" t="str">
        <f>IF($Q129="","",INDEX(TRANSACTIONS_MASTER!$O$5:$O$1204,$Q129))</f>
        <v/>
      </c>
      <c r="K129" s="26" t="str">
        <f>IF($Q129="","",INDEX(TRANSACTIONS_MASTER!$Q$5:$Q$1204,$Q129))</f>
        <v/>
      </c>
      <c r="L129" s="25" t="str">
        <f>IF($Q129="","",INDEX(TRANSACTIONS_MASTER!$P$5:$P$1204,$Q129))</f>
        <v/>
      </c>
      <c r="M129" s="25" t="str">
        <f>IF($Q129="","",INDEX(TRANSACTIONS_MASTER!$AA$5:$AA$1204,$Q129))</f>
        <v/>
      </c>
      <c r="N129" s="25" t="str">
        <f>IF($Q129="","",INDEX(TRANSACTIONS_MASTER!$R$5:$R$1204,$Q129))</f>
        <v/>
      </c>
      <c r="O129" s="28" t="str">
        <f>IF($Q129="","",INDEX(TRANSACTIONS_MASTER!$AB$5:$AB$1204,$Q129))</f>
        <v/>
      </c>
      <c r="P129" s="55" t="str">
        <f>IF($Q129="","",INDEX(TRANSACTIONS_MASTER!$Z$5:$Z$1204,$Q129)&amp;"")</f>
        <v/>
      </c>
      <c r="Q129" s="67" t="str">
        <f>IFERROR(MATCH($C$2&amp;"|"&amp;122,TRANSACTIONS_MASTER!$AE$5:$AE$1204,0),"")</f>
        <v/>
      </c>
      <c r="S129" s="67" t="str">
        <f>IFERROR(MATCH(1,INDEX((TRANSACTIONS_MASTER!$C$5:$C$1204=$C$2)*(TRANSACTIONS_MASTER!$AL$5:$AL$1204=13),0),0),"")</f>
        <v/>
      </c>
      <c r="T129" s="55" t="n"/>
      <c r="U129" s="55" t="str">
        <f>IF($S129="","",INDEX(TRANSACTIONS_MASTER!$K$5:$K$1204,$S129))</f>
        <v/>
      </c>
      <c r="V129" s="25" t="str">
        <f>IF($S129="","",SUMIFS(TRANSACTIONS_MASTER!$L$5:$L$1204,TRANSACTIONS_MASTER!$K$5:$K$1204,$U129,TRANSACTIONS_MASTER!$C$5:$C$1204,$C$2,TRANSACTIONS_MASTER!$U$5:$U$1204,"&lt;&gt;Cancelled"))</f>
        <v/>
      </c>
      <c r="W129" s="26" t="str">
        <f>IF($S129="","",SUMIFS(TRANSACTIONS_MASTER!$Q$5:$Q$1204,TRANSACTIONS_MASTER!$K$5:$K$1204,$U129,TRANSACTIONS_MASTER!$C$5:$C$1204,$C$2))</f>
        <v/>
      </c>
    </row>
    <row r="130">
      <c r="A130" s="81" t="str">
        <f>IF($Q130="","",123)</f>
        <v/>
      </c>
      <c r="B130" s="57" t="str">
        <f>IF($Q130="","",INDEX(TRANSACTIONS_MASTER!$B$5:$B$1204,$Q130))</f>
        <v/>
      </c>
      <c r="C130" s="55" t="str">
        <f>IF($Q130="","",INDEX(TRANSACTIONS_MASTER!$F$5:$F$1204,$Q130))</f>
        <v/>
      </c>
      <c r="D130" s="55" t="str">
        <f>IF($Q130="","",INDEX(TRANSACTIONS_MASTER!$E$5:$E$1204,$Q130))</f>
        <v/>
      </c>
      <c r="E130" s="55" t="str">
        <f>IF($Q130="","",INDEX(TRANSACTIONS_MASTER!$G$5:$G$1204,$Q130)&amp;"")</f>
        <v/>
      </c>
      <c r="F130" s="29" t="str">
        <f>IF($Q130="","",INDEX(TRANSACTIONS_MASTER!$I$5:$I$1204,$Q130))</f>
        <v/>
      </c>
      <c r="G130" s="55" t="str">
        <f>IF($Q130="","",INDEX(TRANSACTIONS_MASTER!$K$5:$K$1204,$Q130))</f>
        <v/>
      </c>
      <c r="H130" s="25" t="str">
        <f>IF($Q130="","",INDEX(TRANSACTIONS_MASTER!$L$5:$L$1204,$Q130))</f>
        <v/>
      </c>
      <c r="I130" s="56" t="str">
        <f>IF($Q130="","",INDEX(TRANSACTIONS_MASTER!$N$5:$N$1204,$Q130))</f>
        <v/>
      </c>
      <c r="J130" s="25" t="str">
        <f>IF($Q130="","",INDEX(TRANSACTIONS_MASTER!$O$5:$O$1204,$Q130))</f>
        <v/>
      </c>
      <c r="K130" s="26" t="str">
        <f>IF($Q130="","",INDEX(TRANSACTIONS_MASTER!$Q$5:$Q$1204,$Q130))</f>
        <v/>
      </c>
      <c r="L130" s="25" t="str">
        <f>IF($Q130="","",INDEX(TRANSACTIONS_MASTER!$P$5:$P$1204,$Q130))</f>
        <v/>
      </c>
      <c r="M130" s="25" t="str">
        <f>IF($Q130="","",INDEX(TRANSACTIONS_MASTER!$AA$5:$AA$1204,$Q130))</f>
        <v/>
      </c>
      <c r="N130" s="25" t="str">
        <f>IF($Q130="","",INDEX(TRANSACTIONS_MASTER!$R$5:$R$1204,$Q130))</f>
        <v/>
      </c>
      <c r="O130" s="28" t="str">
        <f>IF($Q130="","",INDEX(TRANSACTIONS_MASTER!$AB$5:$AB$1204,$Q130))</f>
        <v/>
      </c>
      <c r="P130" s="55" t="str">
        <f>IF($Q130="","",INDEX(TRANSACTIONS_MASTER!$Z$5:$Z$1204,$Q130)&amp;"")</f>
        <v/>
      </c>
      <c r="Q130" s="67" t="str">
        <f>IFERROR(MATCH($C$2&amp;"|"&amp;123,TRANSACTIONS_MASTER!$AE$5:$AE$1204,0),"")</f>
        <v/>
      </c>
      <c r="S130" s="67" t="str">
        <f>IFERROR(MATCH(1,INDEX((TRANSACTIONS_MASTER!$C$5:$C$1204=$C$2)*(TRANSACTIONS_MASTER!$AL$5:$AL$1204=14),0),0),"")</f>
        <v/>
      </c>
      <c r="T130" s="55" t="n"/>
      <c r="U130" s="55" t="str">
        <f>IF($S130="","",INDEX(TRANSACTIONS_MASTER!$K$5:$K$1204,$S130))</f>
        <v/>
      </c>
      <c r="V130" s="25" t="str">
        <f>IF($S130="","",SUMIFS(TRANSACTIONS_MASTER!$L$5:$L$1204,TRANSACTIONS_MASTER!$K$5:$K$1204,$U130,TRANSACTIONS_MASTER!$C$5:$C$1204,$C$2,TRANSACTIONS_MASTER!$U$5:$U$1204,"&lt;&gt;Cancelled"))</f>
        <v/>
      </c>
      <c r="W130" s="26" t="str">
        <f>IF($S130="","",SUMIFS(TRANSACTIONS_MASTER!$Q$5:$Q$1204,TRANSACTIONS_MASTER!$K$5:$K$1204,$U130,TRANSACTIONS_MASTER!$C$5:$C$1204,$C$2))</f>
        <v/>
      </c>
    </row>
    <row r="131">
      <c r="A131" s="81" t="str">
        <f>IF($Q131="","",124)</f>
        <v/>
      </c>
      <c r="B131" s="57" t="str">
        <f>IF($Q131="","",INDEX(TRANSACTIONS_MASTER!$B$5:$B$1204,$Q131))</f>
        <v/>
      </c>
      <c r="C131" s="55" t="str">
        <f>IF($Q131="","",INDEX(TRANSACTIONS_MASTER!$F$5:$F$1204,$Q131))</f>
        <v/>
      </c>
      <c r="D131" s="55" t="str">
        <f>IF($Q131="","",INDEX(TRANSACTIONS_MASTER!$E$5:$E$1204,$Q131))</f>
        <v/>
      </c>
      <c r="E131" s="55" t="str">
        <f>IF($Q131="","",INDEX(TRANSACTIONS_MASTER!$G$5:$G$1204,$Q131)&amp;"")</f>
        <v/>
      </c>
      <c r="F131" s="29" t="str">
        <f>IF($Q131="","",INDEX(TRANSACTIONS_MASTER!$I$5:$I$1204,$Q131))</f>
        <v/>
      </c>
      <c r="G131" s="55" t="str">
        <f>IF($Q131="","",INDEX(TRANSACTIONS_MASTER!$K$5:$K$1204,$Q131))</f>
        <v/>
      </c>
      <c r="H131" s="25" t="str">
        <f>IF($Q131="","",INDEX(TRANSACTIONS_MASTER!$L$5:$L$1204,$Q131))</f>
        <v/>
      </c>
      <c r="I131" s="56" t="str">
        <f>IF($Q131="","",INDEX(TRANSACTIONS_MASTER!$N$5:$N$1204,$Q131))</f>
        <v/>
      </c>
      <c r="J131" s="25" t="str">
        <f>IF($Q131="","",INDEX(TRANSACTIONS_MASTER!$O$5:$O$1204,$Q131))</f>
        <v/>
      </c>
      <c r="K131" s="26" t="str">
        <f>IF($Q131="","",INDEX(TRANSACTIONS_MASTER!$Q$5:$Q$1204,$Q131))</f>
        <v/>
      </c>
      <c r="L131" s="25" t="str">
        <f>IF($Q131="","",INDEX(TRANSACTIONS_MASTER!$P$5:$P$1204,$Q131))</f>
        <v/>
      </c>
      <c r="M131" s="25" t="str">
        <f>IF($Q131="","",INDEX(TRANSACTIONS_MASTER!$AA$5:$AA$1204,$Q131))</f>
        <v/>
      </c>
      <c r="N131" s="25" t="str">
        <f>IF($Q131="","",INDEX(TRANSACTIONS_MASTER!$R$5:$R$1204,$Q131))</f>
        <v/>
      </c>
      <c r="O131" s="28" t="str">
        <f>IF($Q131="","",INDEX(TRANSACTIONS_MASTER!$AB$5:$AB$1204,$Q131))</f>
        <v/>
      </c>
      <c r="P131" s="55" t="str">
        <f>IF($Q131="","",INDEX(TRANSACTIONS_MASTER!$Z$5:$Z$1204,$Q131)&amp;"")</f>
        <v/>
      </c>
      <c r="Q131" s="67" t="str">
        <f>IFERROR(MATCH($C$2&amp;"|"&amp;124,TRANSACTIONS_MASTER!$AE$5:$AE$1204,0),"")</f>
        <v/>
      </c>
      <c r="S131" s="67" t="str">
        <f>IFERROR(MATCH(1,INDEX((TRANSACTIONS_MASTER!$C$5:$C$1204=$C$2)*(TRANSACTIONS_MASTER!$AL$5:$AL$1204=15),0),0),"")</f>
        <v/>
      </c>
      <c r="T131" s="55" t="n"/>
      <c r="U131" s="55" t="str">
        <f>IF($S131="","",INDEX(TRANSACTIONS_MASTER!$K$5:$K$1204,$S131))</f>
        <v/>
      </c>
      <c r="V131" s="25" t="str">
        <f>IF($S131="","",SUMIFS(TRANSACTIONS_MASTER!$L$5:$L$1204,TRANSACTIONS_MASTER!$K$5:$K$1204,$U131,TRANSACTIONS_MASTER!$C$5:$C$1204,$C$2,TRANSACTIONS_MASTER!$U$5:$U$1204,"&lt;&gt;Cancelled"))</f>
        <v/>
      </c>
      <c r="W131" s="26" t="str">
        <f>IF($S131="","",SUMIFS(TRANSACTIONS_MASTER!$Q$5:$Q$1204,TRANSACTIONS_MASTER!$K$5:$K$1204,$U131,TRANSACTIONS_MASTER!$C$5:$C$1204,$C$2))</f>
        <v/>
      </c>
    </row>
    <row r="132">
      <c r="A132" s="81" t="str">
        <f>IF($Q132="","",125)</f>
        <v/>
      </c>
      <c r="B132" s="57" t="str">
        <f>IF($Q132="","",INDEX(TRANSACTIONS_MASTER!$B$5:$B$1204,$Q132))</f>
        <v/>
      </c>
      <c r="C132" s="55" t="str">
        <f>IF($Q132="","",INDEX(TRANSACTIONS_MASTER!$F$5:$F$1204,$Q132))</f>
        <v/>
      </c>
      <c r="D132" s="55" t="str">
        <f>IF($Q132="","",INDEX(TRANSACTIONS_MASTER!$E$5:$E$1204,$Q132))</f>
        <v/>
      </c>
      <c r="E132" s="55" t="str">
        <f>IF($Q132="","",INDEX(TRANSACTIONS_MASTER!$G$5:$G$1204,$Q132)&amp;"")</f>
        <v/>
      </c>
      <c r="F132" s="29" t="str">
        <f>IF($Q132="","",INDEX(TRANSACTIONS_MASTER!$I$5:$I$1204,$Q132))</f>
        <v/>
      </c>
      <c r="G132" s="55" t="str">
        <f>IF($Q132="","",INDEX(TRANSACTIONS_MASTER!$K$5:$K$1204,$Q132))</f>
        <v/>
      </c>
      <c r="H132" s="25" t="str">
        <f>IF($Q132="","",INDEX(TRANSACTIONS_MASTER!$L$5:$L$1204,$Q132))</f>
        <v/>
      </c>
      <c r="I132" s="56" t="str">
        <f>IF($Q132="","",INDEX(TRANSACTIONS_MASTER!$N$5:$N$1204,$Q132))</f>
        <v/>
      </c>
      <c r="J132" s="25" t="str">
        <f>IF($Q132="","",INDEX(TRANSACTIONS_MASTER!$O$5:$O$1204,$Q132))</f>
        <v/>
      </c>
      <c r="K132" s="26" t="str">
        <f>IF($Q132="","",INDEX(TRANSACTIONS_MASTER!$Q$5:$Q$1204,$Q132))</f>
        <v/>
      </c>
      <c r="L132" s="25" t="str">
        <f>IF($Q132="","",INDEX(TRANSACTIONS_MASTER!$P$5:$P$1204,$Q132))</f>
        <v/>
      </c>
      <c r="M132" s="25" t="str">
        <f>IF($Q132="","",INDEX(TRANSACTIONS_MASTER!$AA$5:$AA$1204,$Q132))</f>
        <v/>
      </c>
      <c r="N132" s="25" t="str">
        <f>IF($Q132="","",INDEX(TRANSACTIONS_MASTER!$R$5:$R$1204,$Q132))</f>
        <v/>
      </c>
      <c r="O132" s="28" t="str">
        <f>IF($Q132="","",INDEX(TRANSACTIONS_MASTER!$AB$5:$AB$1204,$Q132))</f>
        <v/>
      </c>
      <c r="P132" s="55" t="str">
        <f>IF($Q132="","",INDEX(TRANSACTIONS_MASTER!$Z$5:$Z$1204,$Q132)&amp;"")</f>
        <v/>
      </c>
      <c r="Q132" s="67" t="str">
        <f>IFERROR(MATCH($C$2&amp;"|"&amp;125,TRANSACTIONS_MASTER!$AE$5:$AE$1204,0),"")</f>
        <v/>
      </c>
      <c r="T132" s="45" t="n"/>
      <c r="U132" s="82" t="inlineStr">
        <is>
          <t>Khác (ngoài danh sách)</t>
        </is>
      </c>
      <c r="V132" s="48">
        <f>MAX(0,SUMIFS(TRANSACTIONS_MASTER!$L$5:$L$1204,TRANSACTIONS_MASTER!$C$5:$C$1204,$C$2,TRANSACTIONS_MASTER!$U$5:$U$1204,"&lt;&gt;Cancelled")-SUM(V117:V131))</f>
        <v>0</v>
      </c>
      <c r="W132" s="48">
        <f>MAX(0,SUMIFS(TRANSACTIONS_MASTER!$Q$5:$Q$1204,TRANSACTIONS_MASTER!$C$5:$C$1204,$C$2)-SUM(W117:W131))</f>
        <v>0</v>
      </c>
    </row>
    <row r="133">
      <c r="A133" s="81" t="str">
        <f>IF($Q133="","",126)</f>
        <v/>
      </c>
      <c r="B133" s="57" t="str">
        <f>IF($Q133="","",INDEX(TRANSACTIONS_MASTER!$B$5:$B$1204,$Q133))</f>
        <v/>
      </c>
      <c r="C133" s="55" t="str">
        <f>IF($Q133="","",INDEX(TRANSACTIONS_MASTER!$F$5:$F$1204,$Q133))</f>
        <v/>
      </c>
      <c r="D133" s="55" t="str">
        <f>IF($Q133="","",INDEX(TRANSACTIONS_MASTER!$E$5:$E$1204,$Q133))</f>
        <v/>
      </c>
      <c r="E133" s="55" t="str">
        <f>IF($Q133="","",INDEX(TRANSACTIONS_MASTER!$G$5:$G$1204,$Q133)&amp;"")</f>
        <v/>
      </c>
      <c r="F133" s="29" t="str">
        <f>IF($Q133="","",INDEX(TRANSACTIONS_MASTER!$I$5:$I$1204,$Q133))</f>
        <v/>
      </c>
      <c r="G133" s="55" t="str">
        <f>IF($Q133="","",INDEX(TRANSACTIONS_MASTER!$K$5:$K$1204,$Q133))</f>
        <v/>
      </c>
      <c r="H133" s="25" t="str">
        <f>IF($Q133="","",INDEX(TRANSACTIONS_MASTER!$L$5:$L$1204,$Q133))</f>
        <v/>
      </c>
      <c r="I133" s="56" t="str">
        <f>IF($Q133="","",INDEX(TRANSACTIONS_MASTER!$N$5:$N$1204,$Q133))</f>
        <v/>
      </c>
      <c r="J133" s="25" t="str">
        <f>IF($Q133="","",INDEX(TRANSACTIONS_MASTER!$O$5:$O$1204,$Q133))</f>
        <v/>
      </c>
      <c r="K133" s="26" t="str">
        <f>IF($Q133="","",INDEX(TRANSACTIONS_MASTER!$Q$5:$Q$1204,$Q133))</f>
        <v/>
      </c>
      <c r="L133" s="25" t="str">
        <f>IF($Q133="","",INDEX(TRANSACTIONS_MASTER!$P$5:$P$1204,$Q133))</f>
        <v/>
      </c>
      <c r="M133" s="25" t="str">
        <f>IF($Q133="","",INDEX(TRANSACTIONS_MASTER!$AA$5:$AA$1204,$Q133))</f>
        <v/>
      </c>
      <c r="N133" s="25" t="str">
        <f>IF($Q133="","",INDEX(TRANSACTIONS_MASTER!$R$5:$R$1204,$Q133))</f>
        <v/>
      </c>
      <c r="O133" s="28" t="str">
        <f>IF($Q133="","",INDEX(TRANSACTIONS_MASTER!$AB$5:$AB$1204,$Q133))</f>
        <v/>
      </c>
      <c r="P133" s="55" t="str">
        <f>IF($Q133="","",INDEX(TRANSACTIONS_MASTER!$Z$5:$Z$1204,$Q133)&amp;"")</f>
        <v/>
      </c>
      <c r="Q133" s="67" t="str">
        <f>IFERROR(MATCH($C$2&amp;"|"&amp;126,TRANSACTIONS_MASTER!$AE$5:$AE$1204,0),"")</f>
        <v/>
      </c>
      <c r="T133" s="68" t="n"/>
      <c r="U133" s="69" t="inlineStr">
        <is>
          <t>TỔNG</t>
        </is>
      </c>
      <c r="V133" s="31">
        <f>SUM(V117:V132)</f>
        <v>0</v>
      </c>
      <c r="W133" s="31">
        <f>SUM(W117:W132)</f>
        <v>0</v>
      </c>
    </row>
    <row r="134">
      <c r="A134" s="81" t="str">
        <f>IF($Q134="","",127)</f>
        <v/>
      </c>
      <c r="B134" s="57" t="str">
        <f>IF($Q134="","",INDEX(TRANSACTIONS_MASTER!$B$5:$B$1204,$Q134))</f>
        <v/>
      </c>
      <c r="C134" s="55" t="str">
        <f>IF($Q134="","",INDEX(TRANSACTIONS_MASTER!$F$5:$F$1204,$Q134))</f>
        <v/>
      </c>
      <c r="D134" s="55" t="str">
        <f>IF($Q134="","",INDEX(TRANSACTIONS_MASTER!$E$5:$E$1204,$Q134))</f>
        <v/>
      </c>
      <c r="E134" s="55" t="str">
        <f>IF($Q134="","",INDEX(TRANSACTIONS_MASTER!$G$5:$G$1204,$Q134)&amp;"")</f>
        <v/>
      </c>
      <c r="F134" s="29" t="str">
        <f>IF($Q134="","",INDEX(TRANSACTIONS_MASTER!$I$5:$I$1204,$Q134))</f>
        <v/>
      </c>
      <c r="G134" s="55" t="str">
        <f>IF($Q134="","",INDEX(TRANSACTIONS_MASTER!$K$5:$K$1204,$Q134))</f>
        <v/>
      </c>
      <c r="H134" s="25" t="str">
        <f>IF($Q134="","",INDEX(TRANSACTIONS_MASTER!$L$5:$L$1204,$Q134))</f>
        <v/>
      </c>
      <c r="I134" s="56" t="str">
        <f>IF($Q134="","",INDEX(TRANSACTIONS_MASTER!$N$5:$N$1204,$Q134))</f>
        <v/>
      </c>
      <c r="J134" s="25" t="str">
        <f>IF($Q134="","",INDEX(TRANSACTIONS_MASTER!$O$5:$O$1204,$Q134))</f>
        <v/>
      </c>
      <c r="K134" s="26" t="str">
        <f>IF($Q134="","",INDEX(TRANSACTIONS_MASTER!$Q$5:$Q$1204,$Q134))</f>
        <v/>
      </c>
      <c r="L134" s="25" t="str">
        <f>IF($Q134="","",INDEX(TRANSACTIONS_MASTER!$P$5:$P$1204,$Q134))</f>
        <v/>
      </c>
      <c r="M134" s="25" t="str">
        <f>IF($Q134="","",INDEX(TRANSACTIONS_MASTER!$AA$5:$AA$1204,$Q134))</f>
        <v/>
      </c>
      <c r="N134" s="25" t="str">
        <f>IF($Q134="","",INDEX(TRANSACTIONS_MASTER!$R$5:$R$1204,$Q134))</f>
        <v/>
      </c>
      <c r="O134" s="28" t="str">
        <f>IF($Q134="","",INDEX(TRANSACTIONS_MASTER!$AB$5:$AB$1204,$Q134))</f>
        <v/>
      </c>
      <c r="P134" s="55" t="str">
        <f>IF($Q134="","",INDEX(TRANSACTIONS_MASTER!$Z$5:$Z$1204,$Q134)&amp;"")</f>
        <v/>
      </c>
      <c r="Q134" s="67" t="str">
        <f>IFERROR(MATCH($C$2&amp;"|"&amp;127,TRANSACTIONS_MASTER!$AE$5:$AE$1204,0),"")</f>
        <v/>
      </c>
    </row>
    <row r="135">
      <c r="A135" s="81" t="str">
        <f>IF($Q135="","",128)</f>
        <v/>
      </c>
      <c r="B135" s="57" t="str">
        <f>IF($Q135="","",INDEX(TRANSACTIONS_MASTER!$B$5:$B$1204,$Q135))</f>
        <v/>
      </c>
      <c r="C135" s="55" t="str">
        <f>IF($Q135="","",INDEX(TRANSACTIONS_MASTER!$F$5:$F$1204,$Q135))</f>
        <v/>
      </c>
      <c r="D135" s="55" t="str">
        <f>IF($Q135="","",INDEX(TRANSACTIONS_MASTER!$E$5:$E$1204,$Q135))</f>
        <v/>
      </c>
      <c r="E135" s="55" t="str">
        <f>IF($Q135="","",INDEX(TRANSACTIONS_MASTER!$G$5:$G$1204,$Q135)&amp;"")</f>
        <v/>
      </c>
      <c r="F135" s="29" t="str">
        <f>IF($Q135="","",INDEX(TRANSACTIONS_MASTER!$I$5:$I$1204,$Q135))</f>
        <v/>
      </c>
      <c r="G135" s="55" t="str">
        <f>IF($Q135="","",INDEX(TRANSACTIONS_MASTER!$K$5:$K$1204,$Q135))</f>
        <v/>
      </c>
      <c r="H135" s="25" t="str">
        <f>IF($Q135="","",INDEX(TRANSACTIONS_MASTER!$L$5:$L$1204,$Q135))</f>
        <v/>
      </c>
      <c r="I135" s="56" t="str">
        <f>IF($Q135="","",INDEX(TRANSACTIONS_MASTER!$N$5:$N$1204,$Q135))</f>
        <v/>
      </c>
      <c r="J135" s="25" t="str">
        <f>IF($Q135="","",INDEX(TRANSACTIONS_MASTER!$O$5:$O$1204,$Q135))</f>
        <v/>
      </c>
      <c r="K135" s="26" t="str">
        <f>IF($Q135="","",INDEX(TRANSACTIONS_MASTER!$Q$5:$Q$1204,$Q135))</f>
        <v/>
      </c>
      <c r="L135" s="25" t="str">
        <f>IF($Q135="","",INDEX(TRANSACTIONS_MASTER!$P$5:$P$1204,$Q135))</f>
        <v/>
      </c>
      <c r="M135" s="25" t="str">
        <f>IF($Q135="","",INDEX(TRANSACTIONS_MASTER!$AA$5:$AA$1204,$Q135))</f>
        <v/>
      </c>
      <c r="N135" s="25" t="str">
        <f>IF($Q135="","",INDEX(TRANSACTIONS_MASTER!$R$5:$R$1204,$Q135))</f>
        <v/>
      </c>
      <c r="O135" s="28" t="str">
        <f>IF($Q135="","",INDEX(TRANSACTIONS_MASTER!$AB$5:$AB$1204,$Q135))</f>
        <v/>
      </c>
      <c r="P135" s="55" t="str">
        <f>IF($Q135="","",INDEX(TRANSACTIONS_MASTER!$Z$5:$Z$1204,$Q135)&amp;"")</f>
        <v/>
      </c>
      <c r="Q135" s="67" t="str">
        <f>IFERROR(MATCH($C$2&amp;"|"&amp;128,TRANSACTIONS_MASTER!$AE$5:$AE$1204,0),"")</f>
        <v/>
      </c>
    </row>
    <row r="136" ht="22" customHeight="1">
      <c r="A136" s="81" t="str">
        <f>IF($Q136="","",129)</f>
        <v/>
      </c>
      <c r="B136" s="57" t="str">
        <f>IF($Q136="","",INDEX(TRANSACTIONS_MASTER!$B$5:$B$1204,$Q136))</f>
        <v/>
      </c>
      <c r="C136" s="55" t="str">
        <f>IF($Q136="","",INDEX(TRANSACTIONS_MASTER!$F$5:$F$1204,$Q136))</f>
        <v/>
      </c>
      <c r="D136" s="55" t="str">
        <f>IF($Q136="","",INDEX(TRANSACTIONS_MASTER!$E$5:$E$1204,$Q136))</f>
        <v/>
      </c>
      <c r="E136" s="55" t="str">
        <f>IF($Q136="","",INDEX(TRANSACTIONS_MASTER!$G$5:$G$1204,$Q136)&amp;"")</f>
        <v/>
      </c>
      <c r="F136" s="29" t="str">
        <f>IF($Q136="","",INDEX(TRANSACTIONS_MASTER!$I$5:$I$1204,$Q136))</f>
        <v/>
      </c>
      <c r="G136" s="55" t="str">
        <f>IF($Q136="","",INDEX(TRANSACTIONS_MASTER!$K$5:$K$1204,$Q136))</f>
        <v/>
      </c>
      <c r="H136" s="25" t="str">
        <f>IF($Q136="","",INDEX(TRANSACTIONS_MASTER!$L$5:$L$1204,$Q136))</f>
        <v/>
      </c>
      <c r="I136" s="56" t="str">
        <f>IF($Q136="","",INDEX(TRANSACTIONS_MASTER!$N$5:$N$1204,$Q136))</f>
        <v/>
      </c>
      <c r="J136" s="25" t="str">
        <f>IF($Q136="","",INDEX(TRANSACTIONS_MASTER!$O$5:$O$1204,$Q136))</f>
        <v/>
      </c>
      <c r="K136" s="26" t="str">
        <f>IF($Q136="","",INDEX(TRANSACTIONS_MASTER!$Q$5:$Q$1204,$Q136))</f>
        <v/>
      </c>
      <c r="L136" s="25" t="str">
        <f>IF($Q136="","",INDEX(TRANSACTIONS_MASTER!$P$5:$P$1204,$Q136))</f>
        <v/>
      </c>
      <c r="M136" s="25" t="str">
        <f>IF($Q136="","",INDEX(TRANSACTIONS_MASTER!$AA$5:$AA$1204,$Q136))</f>
        <v/>
      </c>
      <c r="N136" s="25" t="str">
        <f>IF($Q136="","",INDEX(TRANSACTIONS_MASTER!$R$5:$R$1204,$Q136))</f>
        <v/>
      </c>
      <c r="O136" s="28" t="str">
        <f>IF($Q136="","",INDEX(TRANSACTIONS_MASTER!$AB$5:$AB$1204,$Q136))</f>
        <v/>
      </c>
      <c r="P136" s="55" t="str">
        <f>IF($Q136="","",INDEX(TRANSACTIONS_MASTER!$Z$5:$Z$1204,$Q136)&amp;"")</f>
        <v/>
      </c>
      <c r="Q136" s="67" t="str">
        <f>IFERROR(MATCH($C$2&amp;"|"&amp;129,TRANSACTIONS_MASTER!$AE$5:$AE$1204,0),"")</f>
        <v/>
      </c>
      <c r="T136" s="19" t="inlineStr">
        <is>
          <t>THEO MCC</t>
        </is>
      </c>
      <c r="U136" s="20" t="n"/>
      <c r="V136" s="20" t="n"/>
      <c r="W136" s="20" t="n"/>
      <c r="X136" s="20" t="n"/>
      <c r="Y136" s="20" t="n"/>
      <c r="Z136" s="20" t="n"/>
      <c r="AA136" s="20" t="n"/>
    </row>
    <row r="137" ht="28" customHeight="1">
      <c r="A137" s="81" t="str">
        <f>IF($Q137="","",130)</f>
        <v/>
      </c>
      <c r="B137" s="57" t="str">
        <f>IF($Q137="","",INDEX(TRANSACTIONS_MASTER!$B$5:$B$1204,$Q137))</f>
        <v/>
      </c>
      <c r="C137" s="55" t="str">
        <f>IF($Q137="","",INDEX(TRANSACTIONS_MASTER!$F$5:$F$1204,$Q137))</f>
        <v/>
      </c>
      <c r="D137" s="55" t="str">
        <f>IF($Q137="","",INDEX(TRANSACTIONS_MASTER!$E$5:$E$1204,$Q137))</f>
        <v/>
      </c>
      <c r="E137" s="55" t="str">
        <f>IF($Q137="","",INDEX(TRANSACTIONS_MASTER!$G$5:$G$1204,$Q137)&amp;"")</f>
        <v/>
      </c>
      <c r="F137" s="29" t="str">
        <f>IF($Q137="","",INDEX(TRANSACTIONS_MASTER!$I$5:$I$1204,$Q137))</f>
        <v/>
      </c>
      <c r="G137" s="55" t="str">
        <f>IF($Q137="","",INDEX(TRANSACTIONS_MASTER!$K$5:$K$1204,$Q137))</f>
        <v/>
      </c>
      <c r="H137" s="25" t="str">
        <f>IF($Q137="","",INDEX(TRANSACTIONS_MASTER!$L$5:$L$1204,$Q137))</f>
        <v/>
      </c>
      <c r="I137" s="56" t="str">
        <f>IF($Q137="","",INDEX(TRANSACTIONS_MASTER!$N$5:$N$1204,$Q137))</f>
        <v/>
      </c>
      <c r="J137" s="25" t="str">
        <f>IF($Q137="","",INDEX(TRANSACTIONS_MASTER!$O$5:$O$1204,$Q137))</f>
        <v/>
      </c>
      <c r="K137" s="26" t="str">
        <f>IF($Q137="","",INDEX(TRANSACTIONS_MASTER!$Q$5:$Q$1204,$Q137))</f>
        <v/>
      </c>
      <c r="L137" s="25" t="str">
        <f>IF($Q137="","",INDEX(TRANSACTIONS_MASTER!$P$5:$P$1204,$Q137))</f>
        <v/>
      </c>
      <c r="M137" s="25" t="str">
        <f>IF($Q137="","",INDEX(TRANSACTIONS_MASTER!$AA$5:$AA$1204,$Q137))</f>
        <v/>
      </c>
      <c r="N137" s="25" t="str">
        <f>IF($Q137="","",INDEX(TRANSACTIONS_MASTER!$R$5:$R$1204,$Q137))</f>
        <v/>
      </c>
      <c r="O137" s="28" t="str">
        <f>IF($Q137="","",INDEX(TRANSACTIONS_MASTER!$AB$5:$AB$1204,$Q137))</f>
        <v/>
      </c>
      <c r="P137" s="55" t="str">
        <f>IF($Q137="","",INDEX(TRANSACTIONS_MASTER!$Z$5:$Z$1204,$Q137)&amp;"")</f>
        <v/>
      </c>
      <c r="Q137" s="67" t="str">
        <f>IFERROR(MATCH($C$2&amp;"|"&amp;130,TRANSACTIONS_MASTER!$AE$5:$AE$1204,0),"")</f>
        <v/>
      </c>
      <c r="S137" s="21" t="inlineStr">
        <is>
          <t>#</t>
        </is>
      </c>
      <c r="T137" s="21" t="inlineStr">
        <is>
          <t>MCC</t>
        </is>
      </c>
      <c r="U137" s="21" t="inlineStr">
        <is>
          <t>Tên MCC</t>
        </is>
      </c>
      <c r="V137" s="21" t="inlineStr">
        <is>
          <t>Chi tiêu</t>
        </is>
      </c>
      <c r="W137" s="21" t="inlineStr">
        <is>
          <t>Cashback</t>
        </is>
      </c>
    </row>
    <row r="138">
      <c r="A138" s="81" t="str">
        <f>IF($Q138="","",131)</f>
        <v/>
      </c>
      <c r="B138" s="57" t="str">
        <f>IF($Q138="","",INDEX(TRANSACTIONS_MASTER!$B$5:$B$1204,$Q138))</f>
        <v/>
      </c>
      <c r="C138" s="55" t="str">
        <f>IF($Q138="","",INDEX(TRANSACTIONS_MASTER!$F$5:$F$1204,$Q138))</f>
        <v/>
      </c>
      <c r="D138" s="55" t="str">
        <f>IF($Q138="","",INDEX(TRANSACTIONS_MASTER!$E$5:$E$1204,$Q138))</f>
        <v/>
      </c>
      <c r="E138" s="55" t="str">
        <f>IF($Q138="","",INDEX(TRANSACTIONS_MASTER!$G$5:$G$1204,$Q138)&amp;"")</f>
        <v/>
      </c>
      <c r="F138" s="29" t="str">
        <f>IF($Q138="","",INDEX(TRANSACTIONS_MASTER!$I$5:$I$1204,$Q138))</f>
        <v/>
      </c>
      <c r="G138" s="55" t="str">
        <f>IF($Q138="","",INDEX(TRANSACTIONS_MASTER!$K$5:$K$1204,$Q138))</f>
        <v/>
      </c>
      <c r="H138" s="25" t="str">
        <f>IF($Q138="","",INDEX(TRANSACTIONS_MASTER!$L$5:$L$1204,$Q138))</f>
        <v/>
      </c>
      <c r="I138" s="56" t="str">
        <f>IF($Q138="","",INDEX(TRANSACTIONS_MASTER!$N$5:$N$1204,$Q138))</f>
        <v/>
      </c>
      <c r="J138" s="25" t="str">
        <f>IF($Q138="","",INDEX(TRANSACTIONS_MASTER!$O$5:$O$1204,$Q138))</f>
        <v/>
      </c>
      <c r="K138" s="26" t="str">
        <f>IF($Q138="","",INDEX(TRANSACTIONS_MASTER!$Q$5:$Q$1204,$Q138))</f>
        <v/>
      </c>
      <c r="L138" s="25" t="str">
        <f>IF($Q138="","",INDEX(TRANSACTIONS_MASTER!$P$5:$P$1204,$Q138))</f>
        <v/>
      </c>
      <c r="M138" s="25" t="str">
        <f>IF($Q138="","",INDEX(TRANSACTIONS_MASTER!$AA$5:$AA$1204,$Q138))</f>
        <v/>
      </c>
      <c r="N138" s="25" t="str">
        <f>IF($Q138="","",INDEX(TRANSACTIONS_MASTER!$R$5:$R$1204,$Q138))</f>
        <v/>
      </c>
      <c r="O138" s="28" t="str">
        <f>IF($Q138="","",INDEX(TRANSACTIONS_MASTER!$AB$5:$AB$1204,$Q138))</f>
        <v/>
      </c>
      <c r="P138" s="55" t="str">
        <f>IF($Q138="","",INDEX(TRANSACTIONS_MASTER!$Z$5:$Z$1204,$Q138)&amp;"")</f>
        <v/>
      </c>
      <c r="Q138" s="67" t="str">
        <f>IFERROR(MATCH($C$2&amp;"|"&amp;131,TRANSACTIONS_MASTER!$AE$5:$AE$1204,0),"")</f>
        <v/>
      </c>
      <c r="S138" s="67" t="str">
        <f>IFERROR(MATCH(1,INDEX((TRANSACTIONS_MASTER!$C$5:$C$1204=$C$2)*(TRANSACTIONS_MASTER!$AJ$5:$AJ$1204=1),0),0),"")</f>
        <v/>
      </c>
      <c r="T138" s="29" t="str">
        <f>IF($S138="","",INDEX(TRANSACTIONS_MASTER!$I$5:$I$1204,$S138))</f>
        <v/>
      </c>
      <c r="U138" s="55" t="str">
        <f>IF($S138="","",INDEX(TRANSACTIONS_MASTER!$J$5:$J$1204,$S138))</f>
        <v/>
      </c>
      <c r="V138" s="25" t="str">
        <f>IF($S138="","",SUMIFS(TRANSACTIONS_MASTER!$L$5:$L$1204,TRANSACTIONS_MASTER!$I$5:$I$1204,$T138,TRANSACTIONS_MASTER!$C$5:$C$1204,$C$2,TRANSACTIONS_MASTER!$U$5:$U$1204,"&lt;&gt;Cancelled"))</f>
        <v/>
      </c>
      <c r="W138" s="26" t="str">
        <f>IF($S138="","",SUMIFS(TRANSACTIONS_MASTER!$Q$5:$Q$1204,TRANSACTIONS_MASTER!$I$5:$I$1204,$T138,TRANSACTIONS_MASTER!$C$5:$C$1204,$C$2))</f>
        <v/>
      </c>
    </row>
    <row r="139">
      <c r="A139" s="81" t="str">
        <f>IF($Q139="","",132)</f>
        <v/>
      </c>
      <c r="B139" s="57" t="str">
        <f>IF($Q139="","",INDEX(TRANSACTIONS_MASTER!$B$5:$B$1204,$Q139))</f>
        <v/>
      </c>
      <c r="C139" s="55" t="str">
        <f>IF($Q139="","",INDEX(TRANSACTIONS_MASTER!$F$5:$F$1204,$Q139))</f>
        <v/>
      </c>
      <c r="D139" s="55" t="str">
        <f>IF($Q139="","",INDEX(TRANSACTIONS_MASTER!$E$5:$E$1204,$Q139))</f>
        <v/>
      </c>
      <c r="E139" s="55" t="str">
        <f>IF($Q139="","",INDEX(TRANSACTIONS_MASTER!$G$5:$G$1204,$Q139)&amp;"")</f>
        <v/>
      </c>
      <c r="F139" s="29" t="str">
        <f>IF($Q139="","",INDEX(TRANSACTIONS_MASTER!$I$5:$I$1204,$Q139))</f>
        <v/>
      </c>
      <c r="G139" s="55" t="str">
        <f>IF($Q139="","",INDEX(TRANSACTIONS_MASTER!$K$5:$K$1204,$Q139))</f>
        <v/>
      </c>
      <c r="H139" s="25" t="str">
        <f>IF($Q139="","",INDEX(TRANSACTIONS_MASTER!$L$5:$L$1204,$Q139))</f>
        <v/>
      </c>
      <c r="I139" s="56" t="str">
        <f>IF($Q139="","",INDEX(TRANSACTIONS_MASTER!$N$5:$N$1204,$Q139))</f>
        <v/>
      </c>
      <c r="J139" s="25" t="str">
        <f>IF($Q139="","",INDEX(TRANSACTIONS_MASTER!$O$5:$O$1204,$Q139))</f>
        <v/>
      </c>
      <c r="K139" s="26" t="str">
        <f>IF($Q139="","",INDEX(TRANSACTIONS_MASTER!$Q$5:$Q$1204,$Q139))</f>
        <v/>
      </c>
      <c r="L139" s="25" t="str">
        <f>IF($Q139="","",INDEX(TRANSACTIONS_MASTER!$P$5:$P$1204,$Q139))</f>
        <v/>
      </c>
      <c r="M139" s="25" t="str">
        <f>IF($Q139="","",INDEX(TRANSACTIONS_MASTER!$AA$5:$AA$1204,$Q139))</f>
        <v/>
      </c>
      <c r="N139" s="25" t="str">
        <f>IF($Q139="","",INDEX(TRANSACTIONS_MASTER!$R$5:$R$1204,$Q139))</f>
        <v/>
      </c>
      <c r="O139" s="28" t="str">
        <f>IF($Q139="","",INDEX(TRANSACTIONS_MASTER!$AB$5:$AB$1204,$Q139))</f>
        <v/>
      </c>
      <c r="P139" s="55" t="str">
        <f>IF($Q139="","",INDEX(TRANSACTIONS_MASTER!$Z$5:$Z$1204,$Q139)&amp;"")</f>
        <v/>
      </c>
      <c r="Q139" s="67" t="str">
        <f>IFERROR(MATCH($C$2&amp;"|"&amp;132,TRANSACTIONS_MASTER!$AE$5:$AE$1204,0),"")</f>
        <v/>
      </c>
      <c r="S139" s="67" t="str">
        <f>IFERROR(MATCH(1,INDEX((TRANSACTIONS_MASTER!$C$5:$C$1204=$C$2)*(TRANSACTIONS_MASTER!$AJ$5:$AJ$1204=2),0),0),"")</f>
        <v/>
      </c>
      <c r="T139" s="29" t="str">
        <f>IF($S139="","",INDEX(TRANSACTIONS_MASTER!$I$5:$I$1204,$S139))</f>
        <v/>
      </c>
      <c r="U139" s="55" t="str">
        <f>IF($S139="","",INDEX(TRANSACTIONS_MASTER!$J$5:$J$1204,$S139))</f>
        <v/>
      </c>
      <c r="V139" s="25" t="str">
        <f>IF($S139="","",SUMIFS(TRANSACTIONS_MASTER!$L$5:$L$1204,TRANSACTIONS_MASTER!$I$5:$I$1204,$T139,TRANSACTIONS_MASTER!$C$5:$C$1204,$C$2,TRANSACTIONS_MASTER!$U$5:$U$1204,"&lt;&gt;Cancelled"))</f>
        <v/>
      </c>
      <c r="W139" s="26" t="str">
        <f>IF($S139="","",SUMIFS(TRANSACTIONS_MASTER!$Q$5:$Q$1204,TRANSACTIONS_MASTER!$I$5:$I$1204,$T139,TRANSACTIONS_MASTER!$C$5:$C$1204,$C$2))</f>
        <v/>
      </c>
    </row>
    <row r="140">
      <c r="A140" s="81" t="str">
        <f>IF($Q140="","",133)</f>
        <v/>
      </c>
      <c r="B140" s="57" t="str">
        <f>IF($Q140="","",INDEX(TRANSACTIONS_MASTER!$B$5:$B$1204,$Q140))</f>
        <v/>
      </c>
      <c r="C140" s="55" t="str">
        <f>IF($Q140="","",INDEX(TRANSACTIONS_MASTER!$F$5:$F$1204,$Q140))</f>
        <v/>
      </c>
      <c r="D140" s="55" t="str">
        <f>IF($Q140="","",INDEX(TRANSACTIONS_MASTER!$E$5:$E$1204,$Q140))</f>
        <v/>
      </c>
      <c r="E140" s="55" t="str">
        <f>IF($Q140="","",INDEX(TRANSACTIONS_MASTER!$G$5:$G$1204,$Q140)&amp;"")</f>
        <v/>
      </c>
      <c r="F140" s="29" t="str">
        <f>IF($Q140="","",INDEX(TRANSACTIONS_MASTER!$I$5:$I$1204,$Q140))</f>
        <v/>
      </c>
      <c r="G140" s="55" t="str">
        <f>IF($Q140="","",INDEX(TRANSACTIONS_MASTER!$K$5:$K$1204,$Q140))</f>
        <v/>
      </c>
      <c r="H140" s="25" t="str">
        <f>IF($Q140="","",INDEX(TRANSACTIONS_MASTER!$L$5:$L$1204,$Q140))</f>
        <v/>
      </c>
      <c r="I140" s="56" t="str">
        <f>IF($Q140="","",INDEX(TRANSACTIONS_MASTER!$N$5:$N$1204,$Q140))</f>
        <v/>
      </c>
      <c r="J140" s="25" t="str">
        <f>IF($Q140="","",INDEX(TRANSACTIONS_MASTER!$O$5:$O$1204,$Q140))</f>
        <v/>
      </c>
      <c r="K140" s="26" t="str">
        <f>IF($Q140="","",INDEX(TRANSACTIONS_MASTER!$Q$5:$Q$1204,$Q140))</f>
        <v/>
      </c>
      <c r="L140" s="25" t="str">
        <f>IF($Q140="","",INDEX(TRANSACTIONS_MASTER!$P$5:$P$1204,$Q140))</f>
        <v/>
      </c>
      <c r="M140" s="25" t="str">
        <f>IF($Q140="","",INDEX(TRANSACTIONS_MASTER!$AA$5:$AA$1204,$Q140))</f>
        <v/>
      </c>
      <c r="N140" s="25" t="str">
        <f>IF($Q140="","",INDEX(TRANSACTIONS_MASTER!$R$5:$R$1204,$Q140))</f>
        <v/>
      </c>
      <c r="O140" s="28" t="str">
        <f>IF($Q140="","",INDEX(TRANSACTIONS_MASTER!$AB$5:$AB$1204,$Q140))</f>
        <v/>
      </c>
      <c r="P140" s="55" t="str">
        <f>IF($Q140="","",INDEX(TRANSACTIONS_MASTER!$Z$5:$Z$1204,$Q140)&amp;"")</f>
        <v/>
      </c>
      <c r="Q140" s="67" t="str">
        <f>IFERROR(MATCH($C$2&amp;"|"&amp;133,TRANSACTIONS_MASTER!$AE$5:$AE$1204,0),"")</f>
        <v/>
      </c>
      <c r="S140" s="67" t="str">
        <f>IFERROR(MATCH(1,INDEX((TRANSACTIONS_MASTER!$C$5:$C$1204=$C$2)*(TRANSACTIONS_MASTER!$AJ$5:$AJ$1204=3),0),0),"")</f>
        <v/>
      </c>
      <c r="T140" s="29" t="str">
        <f>IF($S140="","",INDEX(TRANSACTIONS_MASTER!$I$5:$I$1204,$S140))</f>
        <v/>
      </c>
      <c r="U140" s="55" t="str">
        <f>IF($S140="","",INDEX(TRANSACTIONS_MASTER!$J$5:$J$1204,$S140))</f>
        <v/>
      </c>
      <c r="V140" s="25" t="str">
        <f>IF($S140="","",SUMIFS(TRANSACTIONS_MASTER!$L$5:$L$1204,TRANSACTIONS_MASTER!$I$5:$I$1204,$T140,TRANSACTIONS_MASTER!$C$5:$C$1204,$C$2,TRANSACTIONS_MASTER!$U$5:$U$1204,"&lt;&gt;Cancelled"))</f>
        <v/>
      </c>
      <c r="W140" s="26" t="str">
        <f>IF($S140="","",SUMIFS(TRANSACTIONS_MASTER!$Q$5:$Q$1204,TRANSACTIONS_MASTER!$I$5:$I$1204,$T140,TRANSACTIONS_MASTER!$C$5:$C$1204,$C$2))</f>
        <v/>
      </c>
    </row>
    <row r="141">
      <c r="A141" s="81" t="str">
        <f>IF($Q141="","",134)</f>
        <v/>
      </c>
      <c r="B141" s="57" t="str">
        <f>IF($Q141="","",INDEX(TRANSACTIONS_MASTER!$B$5:$B$1204,$Q141))</f>
        <v/>
      </c>
      <c r="C141" s="55" t="str">
        <f>IF($Q141="","",INDEX(TRANSACTIONS_MASTER!$F$5:$F$1204,$Q141))</f>
        <v/>
      </c>
      <c r="D141" s="55" t="str">
        <f>IF($Q141="","",INDEX(TRANSACTIONS_MASTER!$E$5:$E$1204,$Q141))</f>
        <v/>
      </c>
      <c r="E141" s="55" t="str">
        <f>IF($Q141="","",INDEX(TRANSACTIONS_MASTER!$G$5:$G$1204,$Q141)&amp;"")</f>
        <v/>
      </c>
      <c r="F141" s="29" t="str">
        <f>IF($Q141="","",INDEX(TRANSACTIONS_MASTER!$I$5:$I$1204,$Q141))</f>
        <v/>
      </c>
      <c r="G141" s="55" t="str">
        <f>IF($Q141="","",INDEX(TRANSACTIONS_MASTER!$K$5:$K$1204,$Q141))</f>
        <v/>
      </c>
      <c r="H141" s="25" t="str">
        <f>IF($Q141="","",INDEX(TRANSACTIONS_MASTER!$L$5:$L$1204,$Q141))</f>
        <v/>
      </c>
      <c r="I141" s="56" t="str">
        <f>IF($Q141="","",INDEX(TRANSACTIONS_MASTER!$N$5:$N$1204,$Q141))</f>
        <v/>
      </c>
      <c r="J141" s="25" t="str">
        <f>IF($Q141="","",INDEX(TRANSACTIONS_MASTER!$O$5:$O$1204,$Q141))</f>
        <v/>
      </c>
      <c r="K141" s="26" t="str">
        <f>IF($Q141="","",INDEX(TRANSACTIONS_MASTER!$Q$5:$Q$1204,$Q141))</f>
        <v/>
      </c>
      <c r="L141" s="25" t="str">
        <f>IF($Q141="","",INDEX(TRANSACTIONS_MASTER!$P$5:$P$1204,$Q141))</f>
        <v/>
      </c>
      <c r="M141" s="25" t="str">
        <f>IF($Q141="","",INDEX(TRANSACTIONS_MASTER!$AA$5:$AA$1204,$Q141))</f>
        <v/>
      </c>
      <c r="N141" s="25" t="str">
        <f>IF($Q141="","",INDEX(TRANSACTIONS_MASTER!$R$5:$R$1204,$Q141))</f>
        <v/>
      </c>
      <c r="O141" s="28" t="str">
        <f>IF($Q141="","",INDEX(TRANSACTIONS_MASTER!$AB$5:$AB$1204,$Q141))</f>
        <v/>
      </c>
      <c r="P141" s="55" t="str">
        <f>IF($Q141="","",INDEX(TRANSACTIONS_MASTER!$Z$5:$Z$1204,$Q141)&amp;"")</f>
        <v/>
      </c>
      <c r="Q141" s="67" t="str">
        <f>IFERROR(MATCH($C$2&amp;"|"&amp;134,TRANSACTIONS_MASTER!$AE$5:$AE$1204,0),"")</f>
        <v/>
      </c>
      <c r="S141" s="67" t="str">
        <f>IFERROR(MATCH(1,INDEX((TRANSACTIONS_MASTER!$C$5:$C$1204=$C$2)*(TRANSACTIONS_MASTER!$AJ$5:$AJ$1204=4),0),0),"")</f>
        <v/>
      </c>
      <c r="T141" s="29" t="str">
        <f>IF($S141="","",INDEX(TRANSACTIONS_MASTER!$I$5:$I$1204,$S141))</f>
        <v/>
      </c>
      <c r="U141" s="55" t="str">
        <f>IF($S141="","",INDEX(TRANSACTIONS_MASTER!$J$5:$J$1204,$S141))</f>
        <v/>
      </c>
      <c r="V141" s="25" t="str">
        <f>IF($S141="","",SUMIFS(TRANSACTIONS_MASTER!$L$5:$L$1204,TRANSACTIONS_MASTER!$I$5:$I$1204,$T141,TRANSACTIONS_MASTER!$C$5:$C$1204,$C$2,TRANSACTIONS_MASTER!$U$5:$U$1204,"&lt;&gt;Cancelled"))</f>
        <v/>
      </c>
      <c r="W141" s="26" t="str">
        <f>IF($S141="","",SUMIFS(TRANSACTIONS_MASTER!$Q$5:$Q$1204,TRANSACTIONS_MASTER!$I$5:$I$1204,$T141,TRANSACTIONS_MASTER!$C$5:$C$1204,$C$2))</f>
        <v/>
      </c>
    </row>
    <row r="142">
      <c r="A142" s="81" t="str">
        <f>IF($Q142="","",135)</f>
        <v/>
      </c>
      <c r="B142" s="57" t="str">
        <f>IF($Q142="","",INDEX(TRANSACTIONS_MASTER!$B$5:$B$1204,$Q142))</f>
        <v/>
      </c>
      <c r="C142" s="55" t="str">
        <f>IF($Q142="","",INDEX(TRANSACTIONS_MASTER!$F$5:$F$1204,$Q142))</f>
        <v/>
      </c>
      <c r="D142" s="55" t="str">
        <f>IF($Q142="","",INDEX(TRANSACTIONS_MASTER!$E$5:$E$1204,$Q142))</f>
        <v/>
      </c>
      <c r="E142" s="55" t="str">
        <f>IF($Q142="","",INDEX(TRANSACTIONS_MASTER!$G$5:$G$1204,$Q142)&amp;"")</f>
        <v/>
      </c>
      <c r="F142" s="29" t="str">
        <f>IF($Q142="","",INDEX(TRANSACTIONS_MASTER!$I$5:$I$1204,$Q142))</f>
        <v/>
      </c>
      <c r="G142" s="55" t="str">
        <f>IF($Q142="","",INDEX(TRANSACTIONS_MASTER!$K$5:$K$1204,$Q142))</f>
        <v/>
      </c>
      <c r="H142" s="25" t="str">
        <f>IF($Q142="","",INDEX(TRANSACTIONS_MASTER!$L$5:$L$1204,$Q142))</f>
        <v/>
      </c>
      <c r="I142" s="56" t="str">
        <f>IF($Q142="","",INDEX(TRANSACTIONS_MASTER!$N$5:$N$1204,$Q142))</f>
        <v/>
      </c>
      <c r="J142" s="25" t="str">
        <f>IF($Q142="","",INDEX(TRANSACTIONS_MASTER!$O$5:$O$1204,$Q142))</f>
        <v/>
      </c>
      <c r="K142" s="26" t="str">
        <f>IF($Q142="","",INDEX(TRANSACTIONS_MASTER!$Q$5:$Q$1204,$Q142))</f>
        <v/>
      </c>
      <c r="L142" s="25" t="str">
        <f>IF($Q142="","",INDEX(TRANSACTIONS_MASTER!$P$5:$P$1204,$Q142))</f>
        <v/>
      </c>
      <c r="M142" s="25" t="str">
        <f>IF($Q142="","",INDEX(TRANSACTIONS_MASTER!$AA$5:$AA$1204,$Q142))</f>
        <v/>
      </c>
      <c r="N142" s="25" t="str">
        <f>IF($Q142="","",INDEX(TRANSACTIONS_MASTER!$R$5:$R$1204,$Q142))</f>
        <v/>
      </c>
      <c r="O142" s="28" t="str">
        <f>IF($Q142="","",INDEX(TRANSACTIONS_MASTER!$AB$5:$AB$1204,$Q142))</f>
        <v/>
      </c>
      <c r="P142" s="55" t="str">
        <f>IF($Q142="","",INDEX(TRANSACTIONS_MASTER!$Z$5:$Z$1204,$Q142)&amp;"")</f>
        <v/>
      </c>
      <c r="Q142" s="67" t="str">
        <f>IFERROR(MATCH($C$2&amp;"|"&amp;135,TRANSACTIONS_MASTER!$AE$5:$AE$1204,0),"")</f>
        <v/>
      </c>
      <c r="S142" s="67" t="str">
        <f>IFERROR(MATCH(1,INDEX((TRANSACTIONS_MASTER!$C$5:$C$1204=$C$2)*(TRANSACTIONS_MASTER!$AJ$5:$AJ$1204=5),0),0),"")</f>
        <v/>
      </c>
      <c r="T142" s="29" t="str">
        <f>IF($S142="","",INDEX(TRANSACTIONS_MASTER!$I$5:$I$1204,$S142))</f>
        <v/>
      </c>
      <c r="U142" s="55" t="str">
        <f>IF($S142="","",INDEX(TRANSACTIONS_MASTER!$J$5:$J$1204,$S142))</f>
        <v/>
      </c>
      <c r="V142" s="25" t="str">
        <f>IF($S142="","",SUMIFS(TRANSACTIONS_MASTER!$L$5:$L$1204,TRANSACTIONS_MASTER!$I$5:$I$1204,$T142,TRANSACTIONS_MASTER!$C$5:$C$1204,$C$2,TRANSACTIONS_MASTER!$U$5:$U$1204,"&lt;&gt;Cancelled"))</f>
        <v/>
      </c>
      <c r="W142" s="26" t="str">
        <f>IF($S142="","",SUMIFS(TRANSACTIONS_MASTER!$Q$5:$Q$1204,TRANSACTIONS_MASTER!$I$5:$I$1204,$T142,TRANSACTIONS_MASTER!$C$5:$C$1204,$C$2))</f>
        <v/>
      </c>
    </row>
    <row r="143">
      <c r="A143" s="81" t="str">
        <f>IF($Q143="","",136)</f>
        <v/>
      </c>
      <c r="B143" s="57" t="str">
        <f>IF($Q143="","",INDEX(TRANSACTIONS_MASTER!$B$5:$B$1204,$Q143))</f>
        <v/>
      </c>
      <c r="C143" s="55" t="str">
        <f>IF($Q143="","",INDEX(TRANSACTIONS_MASTER!$F$5:$F$1204,$Q143))</f>
        <v/>
      </c>
      <c r="D143" s="55" t="str">
        <f>IF($Q143="","",INDEX(TRANSACTIONS_MASTER!$E$5:$E$1204,$Q143))</f>
        <v/>
      </c>
      <c r="E143" s="55" t="str">
        <f>IF($Q143="","",INDEX(TRANSACTIONS_MASTER!$G$5:$G$1204,$Q143)&amp;"")</f>
        <v/>
      </c>
      <c r="F143" s="29" t="str">
        <f>IF($Q143="","",INDEX(TRANSACTIONS_MASTER!$I$5:$I$1204,$Q143))</f>
        <v/>
      </c>
      <c r="G143" s="55" t="str">
        <f>IF($Q143="","",INDEX(TRANSACTIONS_MASTER!$K$5:$K$1204,$Q143))</f>
        <v/>
      </c>
      <c r="H143" s="25" t="str">
        <f>IF($Q143="","",INDEX(TRANSACTIONS_MASTER!$L$5:$L$1204,$Q143))</f>
        <v/>
      </c>
      <c r="I143" s="56" t="str">
        <f>IF($Q143="","",INDEX(TRANSACTIONS_MASTER!$N$5:$N$1204,$Q143))</f>
        <v/>
      </c>
      <c r="J143" s="25" t="str">
        <f>IF($Q143="","",INDEX(TRANSACTIONS_MASTER!$O$5:$O$1204,$Q143))</f>
        <v/>
      </c>
      <c r="K143" s="26" t="str">
        <f>IF($Q143="","",INDEX(TRANSACTIONS_MASTER!$Q$5:$Q$1204,$Q143))</f>
        <v/>
      </c>
      <c r="L143" s="25" t="str">
        <f>IF($Q143="","",INDEX(TRANSACTIONS_MASTER!$P$5:$P$1204,$Q143))</f>
        <v/>
      </c>
      <c r="M143" s="25" t="str">
        <f>IF($Q143="","",INDEX(TRANSACTIONS_MASTER!$AA$5:$AA$1204,$Q143))</f>
        <v/>
      </c>
      <c r="N143" s="25" t="str">
        <f>IF($Q143="","",INDEX(TRANSACTIONS_MASTER!$R$5:$R$1204,$Q143))</f>
        <v/>
      </c>
      <c r="O143" s="28" t="str">
        <f>IF($Q143="","",INDEX(TRANSACTIONS_MASTER!$AB$5:$AB$1204,$Q143))</f>
        <v/>
      </c>
      <c r="P143" s="55" t="str">
        <f>IF($Q143="","",INDEX(TRANSACTIONS_MASTER!$Z$5:$Z$1204,$Q143)&amp;"")</f>
        <v/>
      </c>
      <c r="Q143" s="67" t="str">
        <f>IFERROR(MATCH($C$2&amp;"|"&amp;136,TRANSACTIONS_MASTER!$AE$5:$AE$1204,0),"")</f>
        <v/>
      </c>
      <c r="S143" s="67" t="str">
        <f>IFERROR(MATCH(1,INDEX((TRANSACTIONS_MASTER!$C$5:$C$1204=$C$2)*(TRANSACTIONS_MASTER!$AJ$5:$AJ$1204=6),0),0),"")</f>
        <v/>
      </c>
      <c r="T143" s="29" t="str">
        <f>IF($S143="","",INDEX(TRANSACTIONS_MASTER!$I$5:$I$1204,$S143))</f>
        <v/>
      </c>
      <c r="U143" s="55" t="str">
        <f>IF($S143="","",INDEX(TRANSACTIONS_MASTER!$J$5:$J$1204,$S143))</f>
        <v/>
      </c>
      <c r="V143" s="25" t="str">
        <f>IF($S143="","",SUMIFS(TRANSACTIONS_MASTER!$L$5:$L$1204,TRANSACTIONS_MASTER!$I$5:$I$1204,$T143,TRANSACTIONS_MASTER!$C$5:$C$1204,$C$2,TRANSACTIONS_MASTER!$U$5:$U$1204,"&lt;&gt;Cancelled"))</f>
        <v/>
      </c>
      <c r="W143" s="26" t="str">
        <f>IF($S143="","",SUMIFS(TRANSACTIONS_MASTER!$Q$5:$Q$1204,TRANSACTIONS_MASTER!$I$5:$I$1204,$T143,TRANSACTIONS_MASTER!$C$5:$C$1204,$C$2))</f>
        <v/>
      </c>
    </row>
    <row r="144">
      <c r="A144" s="81" t="str">
        <f>IF($Q144="","",137)</f>
        <v/>
      </c>
      <c r="B144" s="57" t="str">
        <f>IF($Q144="","",INDEX(TRANSACTIONS_MASTER!$B$5:$B$1204,$Q144))</f>
        <v/>
      </c>
      <c r="C144" s="55" t="str">
        <f>IF($Q144="","",INDEX(TRANSACTIONS_MASTER!$F$5:$F$1204,$Q144))</f>
        <v/>
      </c>
      <c r="D144" s="55" t="str">
        <f>IF($Q144="","",INDEX(TRANSACTIONS_MASTER!$E$5:$E$1204,$Q144))</f>
        <v/>
      </c>
      <c r="E144" s="55" t="str">
        <f>IF($Q144="","",INDEX(TRANSACTIONS_MASTER!$G$5:$G$1204,$Q144)&amp;"")</f>
        <v/>
      </c>
      <c r="F144" s="29" t="str">
        <f>IF($Q144="","",INDEX(TRANSACTIONS_MASTER!$I$5:$I$1204,$Q144))</f>
        <v/>
      </c>
      <c r="G144" s="55" t="str">
        <f>IF($Q144="","",INDEX(TRANSACTIONS_MASTER!$K$5:$K$1204,$Q144))</f>
        <v/>
      </c>
      <c r="H144" s="25" t="str">
        <f>IF($Q144="","",INDEX(TRANSACTIONS_MASTER!$L$5:$L$1204,$Q144))</f>
        <v/>
      </c>
      <c r="I144" s="56" t="str">
        <f>IF($Q144="","",INDEX(TRANSACTIONS_MASTER!$N$5:$N$1204,$Q144))</f>
        <v/>
      </c>
      <c r="J144" s="25" t="str">
        <f>IF($Q144="","",INDEX(TRANSACTIONS_MASTER!$O$5:$O$1204,$Q144))</f>
        <v/>
      </c>
      <c r="K144" s="26" t="str">
        <f>IF($Q144="","",INDEX(TRANSACTIONS_MASTER!$Q$5:$Q$1204,$Q144))</f>
        <v/>
      </c>
      <c r="L144" s="25" t="str">
        <f>IF($Q144="","",INDEX(TRANSACTIONS_MASTER!$P$5:$P$1204,$Q144))</f>
        <v/>
      </c>
      <c r="M144" s="25" t="str">
        <f>IF($Q144="","",INDEX(TRANSACTIONS_MASTER!$AA$5:$AA$1204,$Q144))</f>
        <v/>
      </c>
      <c r="N144" s="25" t="str">
        <f>IF($Q144="","",INDEX(TRANSACTIONS_MASTER!$R$5:$R$1204,$Q144))</f>
        <v/>
      </c>
      <c r="O144" s="28" t="str">
        <f>IF($Q144="","",INDEX(TRANSACTIONS_MASTER!$AB$5:$AB$1204,$Q144))</f>
        <v/>
      </c>
      <c r="P144" s="55" t="str">
        <f>IF($Q144="","",INDEX(TRANSACTIONS_MASTER!$Z$5:$Z$1204,$Q144)&amp;"")</f>
        <v/>
      </c>
      <c r="Q144" s="67" t="str">
        <f>IFERROR(MATCH($C$2&amp;"|"&amp;137,TRANSACTIONS_MASTER!$AE$5:$AE$1204,0),"")</f>
        <v/>
      </c>
      <c r="S144" s="67" t="str">
        <f>IFERROR(MATCH(1,INDEX((TRANSACTIONS_MASTER!$C$5:$C$1204=$C$2)*(TRANSACTIONS_MASTER!$AJ$5:$AJ$1204=7),0),0),"")</f>
        <v/>
      </c>
      <c r="T144" s="29" t="str">
        <f>IF($S144="","",INDEX(TRANSACTIONS_MASTER!$I$5:$I$1204,$S144))</f>
        <v/>
      </c>
      <c r="U144" s="55" t="str">
        <f>IF($S144="","",INDEX(TRANSACTIONS_MASTER!$J$5:$J$1204,$S144))</f>
        <v/>
      </c>
      <c r="V144" s="25" t="str">
        <f>IF($S144="","",SUMIFS(TRANSACTIONS_MASTER!$L$5:$L$1204,TRANSACTIONS_MASTER!$I$5:$I$1204,$T144,TRANSACTIONS_MASTER!$C$5:$C$1204,$C$2,TRANSACTIONS_MASTER!$U$5:$U$1204,"&lt;&gt;Cancelled"))</f>
        <v/>
      </c>
      <c r="W144" s="26" t="str">
        <f>IF($S144="","",SUMIFS(TRANSACTIONS_MASTER!$Q$5:$Q$1204,TRANSACTIONS_MASTER!$I$5:$I$1204,$T144,TRANSACTIONS_MASTER!$C$5:$C$1204,$C$2))</f>
        <v/>
      </c>
    </row>
    <row r="145">
      <c r="A145" s="81" t="str">
        <f>IF($Q145="","",138)</f>
        <v/>
      </c>
      <c r="B145" s="57" t="str">
        <f>IF($Q145="","",INDEX(TRANSACTIONS_MASTER!$B$5:$B$1204,$Q145))</f>
        <v/>
      </c>
      <c r="C145" s="55" t="str">
        <f>IF($Q145="","",INDEX(TRANSACTIONS_MASTER!$F$5:$F$1204,$Q145))</f>
        <v/>
      </c>
      <c r="D145" s="55" t="str">
        <f>IF($Q145="","",INDEX(TRANSACTIONS_MASTER!$E$5:$E$1204,$Q145))</f>
        <v/>
      </c>
      <c r="E145" s="55" t="str">
        <f>IF($Q145="","",INDEX(TRANSACTIONS_MASTER!$G$5:$G$1204,$Q145)&amp;"")</f>
        <v/>
      </c>
      <c r="F145" s="29" t="str">
        <f>IF($Q145="","",INDEX(TRANSACTIONS_MASTER!$I$5:$I$1204,$Q145))</f>
        <v/>
      </c>
      <c r="G145" s="55" t="str">
        <f>IF($Q145="","",INDEX(TRANSACTIONS_MASTER!$K$5:$K$1204,$Q145))</f>
        <v/>
      </c>
      <c r="H145" s="25" t="str">
        <f>IF($Q145="","",INDEX(TRANSACTIONS_MASTER!$L$5:$L$1204,$Q145))</f>
        <v/>
      </c>
      <c r="I145" s="56" t="str">
        <f>IF($Q145="","",INDEX(TRANSACTIONS_MASTER!$N$5:$N$1204,$Q145))</f>
        <v/>
      </c>
      <c r="J145" s="25" t="str">
        <f>IF($Q145="","",INDEX(TRANSACTIONS_MASTER!$O$5:$O$1204,$Q145))</f>
        <v/>
      </c>
      <c r="K145" s="26" t="str">
        <f>IF($Q145="","",INDEX(TRANSACTIONS_MASTER!$Q$5:$Q$1204,$Q145))</f>
        <v/>
      </c>
      <c r="L145" s="25" t="str">
        <f>IF($Q145="","",INDEX(TRANSACTIONS_MASTER!$P$5:$P$1204,$Q145))</f>
        <v/>
      </c>
      <c r="M145" s="25" t="str">
        <f>IF($Q145="","",INDEX(TRANSACTIONS_MASTER!$AA$5:$AA$1204,$Q145))</f>
        <v/>
      </c>
      <c r="N145" s="25" t="str">
        <f>IF($Q145="","",INDEX(TRANSACTIONS_MASTER!$R$5:$R$1204,$Q145))</f>
        <v/>
      </c>
      <c r="O145" s="28" t="str">
        <f>IF($Q145="","",INDEX(TRANSACTIONS_MASTER!$AB$5:$AB$1204,$Q145))</f>
        <v/>
      </c>
      <c r="P145" s="55" t="str">
        <f>IF($Q145="","",INDEX(TRANSACTIONS_MASTER!$Z$5:$Z$1204,$Q145)&amp;"")</f>
        <v/>
      </c>
      <c r="Q145" s="67" t="str">
        <f>IFERROR(MATCH($C$2&amp;"|"&amp;138,TRANSACTIONS_MASTER!$AE$5:$AE$1204,0),"")</f>
        <v/>
      </c>
      <c r="S145" s="67" t="str">
        <f>IFERROR(MATCH(1,INDEX((TRANSACTIONS_MASTER!$C$5:$C$1204=$C$2)*(TRANSACTIONS_MASTER!$AJ$5:$AJ$1204=8),0),0),"")</f>
        <v/>
      </c>
      <c r="T145" s="29" t="str">
        <f>IF($S145="","",INDEX(TRANSACTIONS_MASTER!$I$5:$I$1204,$S145))</f>
        <v/>
      </c>
      <c r="U145" s="55" t="str">
        <f>IF($S145="","",INDEX(TRANSACTIONS_MASTER!$J$5:$J$1204,$S145))</f>
        <v/>
      </c>
      <c r="V145" s="25" t="str">
        <f>IF($S145="","",SUMIFS(TRANSACTIONS_MASTER!$L$5:$L$1204,TRANSACTIONS_MASTER!$I$5:$I$1204,$T145,TRANSACTIONS_MASTER!$C$5:$C$1204,$C$2,TRANSACTIONS_MASTER!$U$5:$U$1204,"&lt;&gt;Cancelled"))</f>
        <v/>
      </c>
      <c r="W145" s="26" t="str">
        <f>IF($S145="","",SUMIFS(TRANSACTIONS_MASTER!$Q$5:$Q$1204,TRANSACTIONS_MASTER!$I$5:$I$1204,$T145,TRANSACTIONS_MASTER!$C$5:$C$1204,$C$2))</f>
        <v/>
      </c>
    </row>
    <row r="146">
      <c r="A146" s="81" t="str">
        <f>IF($Q146="","",139)</f>
        <v/>
      </c>
      <c r="B146" s="57" t="str">
        <f>IF($Q146="","",INDEX(TRANSACTIONS_MASTER!$B$5:$B$1204,$Q146))</f>
        <v/>
      </c>
      <c r="C146" s="55" t="str">
        <f>IF($Q146="","",INDEX(TRANSACTIONS_MASTER!$F$5:$F$1204,$Q146))</f>
        <v/>
      </c>
      <c r="D146" s="55" t="str">
        <f>IF($Q146="","",INDEX(TRANSACTIONS_MASTER!$E$5:$E$1204,$Q146))</f>
        <v/>
      </c>
      <c r="E146" s="55" t="str">
        <f>IF($Q146="","",INDEX(TRANSACTIONS_MASTER!$G$5:$G$1204,$Q146)&amp;"")</f>
        <v/>
      </c>
      <c r="F146" s="29" t="str">
        <f>IF($Q146="","",INDEX(TRANSACTIONS_MASTER!$I$5:$I$1204,$Q146))</f>
        <v/>
      </c>
      <c r="G146" s="55" t="str">
        <f>IF($Q146="","",INDEX(TRANSACTIONS_MASTER!$K$5:$K$1204,$Q146))</f>
        <v/>
      </c>
      <c r="H146" s="25" t="str">
        <f>IF($Q146="","",INDEX(TRANSACTIONS_MASTER!$L$5:$L$1204,$Q146))</f>
        <v/>
      </c>
      <c r="I146" s="56" t="str">
        <f>IF($Q146="","",INDEX(TRANSACTIONS_MASTER!$N$5:$N$1204,$Q146))</f>
        <v/>
      </c>
      <c r="J146" s="25" t="str">
        <f>IF($Q146="","",INDEX(TRANSACTIONS_MASTER!$O$5:$O$1204,$Q146))</f>
        <v/>
      </c>
      <c r="K146" s="26" t="str">
        <f>IF($Q146="","",INDEX(TRANSACTIONS_MASTER!$Q$5:$Q$1204,$Q146))</f>
        <v/>
      </c>
      <c r="L146" s="25" t="str">
        <f>IF($Q146="","",INDEX(TRANSACTIONS_MASTER!$P$5:$P$1204,$Q146))</f>
        <v/>
      </c>
      <c r="M146" s="25" t="str">
        <f>IF($Q146="","",INDEX(TRANSACTIONS_MASTER!$AA$5:$AA$1204,$Q146))</f>
        <v/>
      </c>
      <c r="N146" s="25" t="str">
        <f>IF($Q146="","",INDEX(TRANSACTIONS_MASTER!$R$5:$R$1204,$Q146))</f>
        <v/>
      </c>
      <c r="O146" s="28" t="str">
        <f>IF($Q146="","",INDEX(TRANSACTIONS_MASTER!$AB$5:$AB$1204,$Q146))</f>
        <v/>
      </c>
      <c r="P146" s="55" t="str">
        <f>IF($Q146="","",INDEX(TRANSACTIONS_MASTER!$Z$5:$Z$1204,$Q146)&amp;"")</f>
        <v/>
      </c>
      <c r="Q146" s="67" t="str">
        <f>IFERROR(MATCH($C$2&amp;"|"&amp;139,TRANSACTIONS_MASTER!$AE$5:$AE$1204,0),"")</f>
        <v/>
      </c>
      <c r="S146" s="67" t="str">
        <f>IFERROR(MATCH(1,INDEX((TRANSACTIONS_MASTER!$C$5:$C$1204=$C$2)*(TRANSACTIONS_MASTER!$AJ$5:$AJ$1204=9),0),0),"")</f>
        <v/>
      </c>
      <c r="T146" s="29" t="str">
        <f>IF($S146="","",INDEX(TRANSACTIONS_MASTER!$I$5:$I$1204,$S146))</f>
        <v/>
      </c>
      <c r="U146" s="55" t="str">
        <f>IF($S146="","",INDEX(TRANSACTIONS_MASTER!$J$5:$J$1204,$S146))</f>
        <v/>
      </c>
      <c r="V146" s="25" t="str">
        <f>IF($S146="","",SUMIFS(TRANSACTIONS_MASTER!$L$5:$L$1204,TRANSACTIONS_MASTER!$I$5:$I$1204,$T146,TRANSACTIONS_MASTER!$C$5:$C$1204,$C$2,TRANSACTIONS_MASTER!$U$5:$U$1204,"&lt;&gt;Cancelled"))</f>
        <v/>
      </c>
      <c r="W146" s="26" t="str">
        <f>IF($S146="","",SUMIFS(TRANSACTIONS_MASTER!$Q$5:$Q$1204,TRANSACTIONS_MASTER!$I$5:$I$1204,$T146,TRANSACTIONS_MASTER!$C$5:$C$1204,$C$2))</f>
        <v/>
      </c>
    </row>
    <row r="147">
      <c r="A147" s="81" t="str">
        <f>IF($Q147="","",140)</f>
        <v/>
      </c>
      <c r="B147" s="57" t="str">
        <f>IF($Q147="","",INDEX(TRANSACTIONS_MASTER!$B$5:$B$1204,$Q147))</f>
        <v/>
      </c>
      <c r="C147" s="55" t="str">
        <f>IF($Q147="","",INDEX(TRANSACTIONS_MASTER!$F$5:$F$1204,$Q147))</f>
        <v/>
      </c>
      <c r="D147" s="55" t="str">
        <f>IF($Q147="","",INDEX(TRANSACTIONS_MASTER!$E$5:$E$1204,$Q147))</f>
        <v/>
      </c>
      <c r="E147" s="55" t="str">
        <f>IF($Q147="","",INDEX(TRANSACTIONS_MASTER!$G$5:$G$1204,$Q147)&amp;"")</f>
        <v/>
      </c>
      <c r="F147" s="29" t="str">
        <f>IF($Q147="","",INDEX(TRANSACTIONS_MASTER!$I$5:$I$1204,$Q147))</f>
        <v/>
      </c>
      <c r="G147" s="55" t="str">
        <f>IF($Q147="","",INDEX(TRANSACTIONS_MASTER!$K$5:$K$1204,$Q147))</f>
        <v/>
      </c>
      <c r="H147" s="25" t="str">
        <f>IF($Q147="","",INDEX(TRANSACTIONS_MASTER!$L$5:$L$1204,$Q147))</f>
        <v/>
      </c>
      <c r="I147" s="56" t="str">
        <f>IF($Q147="","",INDEX(TRANSACTIONS_MASTER!$N$5:$N$1204,$Q147))</f>
        <v/>
      </c>
      <c r="J147" s="25" t="str">
        <f>IF($Q147="","",INDEX(TRANSACTIONS_MASTER!$O$5:$O$1204,$Q147))</f>
        <v/>
      </c>
      <c r="K147" s="26" t="str">
        <f>IF($Q147="","",INDEX(TRANSACTIONS_MASTER!$Q$5:$Q$1204,$Q147))</f>
        <v/>
      </c>
      <c r="L147" s="25" t="str">
        <f>IF($Q147="","",INDEX(TRANSACTIONS_MASTER!$P$5:$P$1204,$Q147))</f>
        <v/>
      </c>
      <c r="M147" s="25" t="str">
        <f>IF($Q147="","",INDEX(TRANSACTIONS_MASTER!$AA$5:$AA$1204,$Q147))</f>
        <v/>
      </c>
      <c r="N147" s="25" t="str">
        <f>IF($Q147="","",INDEX(TRANSACTIONS_MASTER!$R$5:$R$1204,$Q147))</f>
        <v/>
      </c>
      <c r="O147" s="28" t="str">
        <f>IF($Q147="","",INDEX(TRANSACTIONS_MASTER!$AB$5:$AB$1204,$Q147))</f>
        <v/>
      </c>
      <c r="P147" s="55" t="str">
        <f>IF($Q147="","",INDEX(TRANSACTIONS_MASTER!$Z$5:$Z$1204,$Q147)&amp;"")</f>
        <v/>
      </c>
      <c r="Q147" s="67" t="str">
        <f>IFERROR(MATCH($C$2&amp;"|"&amp;140,TRANSACTIONS_MASTER!$AE$5:$AE$1204,0),"")</f>
        <v/>
      </c>
      <c r="S147" s="67" t="str">
        <f>IFERROR(MATCH(1,INDEX((TRANSACTIONS_MASTER!$C$5:$C$1204=$C$2)*(TRANSACTIONS_MASTER!$AJ$5:$AJ$1204=10),0),0),"")</f>
        <v/>
      </c>
      <c r="T147" s="29" t="str">
        <f>IF($S147="","",INDEX(TRANSACTIONS_MASTER!$I$5:$I$1204,$S147))</f>
        <v/>
      </c>
      <c r="U147" s="55" t="str">
        <f>IF($S147="","",INDEX(TRANSACTIONS_MASTER!$J$5:$J$1204,$S147))</f>
        <v/>
      </c>
      <c r="V147" s="25" t="str">
        <f>IF($S147="","",SUMIFS(TRANSACTIONS_MASTER!$L$5:$L$1204,TRANSACTIONS_MASTER!$I$5:$I$1204,$T147,TRANSACTIONS_MASTER!$C$5:$C$1204,$C$2,TRANSACTIONS_MASTER!$U$5:$U$1204,"&lt;&gt;Cancelled"))</f>
        <v/>
      </c>
      <c r="W147" s="26" t="str">
        <f>IF($S147="","",SUMIFS(TRANSACTIONS_MASTER!$Q$5:$Q$1204,TRANSACTIONS_MASTER!$I$5:$I$1204,$T147,TRANSACTIONS_MASTER!$C$5:$C$1204,$C$2))</f>
        <v/>
      </c>
    </row>
    <row r="148">
      <c r="A148" s="81" t="str">
        <f>IF($Q148="","",141)</f>
        <v/>
      </c>
      <c r="B148" s="57" t="str">
        <f>IF($Q148="","",INDEX(TRANSACTIONS_MASTER!$B$5:$B$1204,$Q148))</f>
        <v/>
      </c>
      <c r="C148" s="55" t="str">
        <f>IF($Q148="","",INDEX(TRANSACTIONS_MASTER!$F$5:$F$1204,$Q148))</f>
        <v/>
      </c>
      <c r="D148" s="55" t="str">
        <f>IF($Q148="","",INDEX(TRANSACTIONS_MASTER!$E$5:$E$1204,$Q148))</f>
        <v/>
      </c>
      <c r="E148" s="55" t="str">
        <f>IF($Q148="","",INDEX(TRANSACTIONS_MASTER!$G$5:$G$1204,$Q148)&amp;"")</f>
        <v/>
      </c>
      <c r="F148" s="29" t="str">
        <f>IF($Q148="","",INDEX(TRANSACTIONS_MASTER!$I$5:$I$1204,$Q148))</f>
        <v/>
      </c>
      <c r="G148" s="55" t="str">
        <f>IF($Q148="","",INDEX(TRANSACTIONS_MASTER!$K$5:$K$1204,$Q148))</f>
        <v/>
      </c>
      <c r="H148" s="25" t="str">
        <f>IF($Q148="","",INDEX(TRANSACTIONS_MASTER!$L$5:$L$1204,$Q148))</f>
        <v/>
      </c>
      <c r="I148" s="56" t="str">
        <f>IF($Q148="","",INDEX(TRANSACTIONS_MASTER!$N$5:$N$1204,$Q148))</f>
        <v/>
      </c>
      <c r="J148" s="25" t="str">
        <f>IF($Q148="","",INDEX(TRANSACTIONS_MASTER!$O$5:$O$1204,$Q148))</f>
        <v/>
      </c>
      <c r="K148" s="26" t="str">
        <f>IF($Q148="","",INDEX(TRANSACTIONS_MASTER!$Q$5:$Q$1204,$Q148))</f>
        <v/>
      </c>
      <c r="L148" s="25" t="str">
        <f>IF($Q148="","",INDEX(TRANSACTIONS_MASTER!$P$5:$P$1204,$Q148))</f>
        <v/>
      </c>
      <c r="M148" s="25" t="str">
        <f>IF($Q148="","",INDEX(TRANSACTIONS_MASTER!$AA$5:$AA$1204,$Q148))</f>
        <v/>
      </c>
      <c r="N148" s="25" t="str">
        <f>IF($Q148="","",INDEX(TRANSACTIONS_MASTER!$R$5:$R$1204,$Q148))</f>
        <v/>
      </c>
      <c r="O148" s="28" t="str">
        <f>IF($Q148="","",INDEX(TRANSACTIONS_MASTER!$AB$5:$AB$1204,$Q148))</f>
        <v/>
      </c>
      <c r="P148" s="55" t="str">
        <f>IF($Q148="","",INDEX(TRANSACTIONS_MASTER!$Z$5:$Z$1204,$Q148)&amp;"")</f>
        <v/>
      </c>
      <c r="Q148" s="67" t="str">
        <f>IFERROR(MATCH($C$2&amp;"|"&amp;141,TRANSACTIONS_MASTER!$AE$5:$AE$1204,0),"")</f>
        <v/>
      </c>
      <c r="S148" s="67" t="str">
        <f>IFERROR(MATCH(1,INDEX((TRANSACTIONS_MASTER!$C$5:$C$1204=$C$2)*(TRANSACTIONS_MASTER!$AJ$5:$AJ$1204=11),0),0),"")</f>
        <v/>
      </c>
      <c r="T148" s="29" t="str">
        <f>IF($S148="","",INDEX(TRANSACTIONS_MASTER!$I$5:$I$1204,$S148))</f>
        <v/>
      </c>
      <c r="U148" s="55" t="str">
        <f>IF($S148="","",INDEX(TRANSACTIONS_MASTER!$J$5:$J$1204,$S148))</f>
        <v/>
      </c>
      <c r="V148" s="25" t="str">
        <f>IF($S148="","",SUMIFS(TRANSACTIONS_MASTER!$L$5:$L$1204,TRANSACTIONS_MASTER!$I$5:$I$1204,$T148,TRANSACTIONS_MASTER!$C$5:$C$1204,$C$2,TRANSACTIONS_MASTER!$U$5:$U$1204,"&lt;&gt;Cancelled"))</f>
        <v/>
      </c>
      <c r="W148" s="26" t="str">
        <f>IF($S148="","",SUMIFS(TRANSACTIONS_MASTER!$Q$5:$Q$1204,TRANSACTIONS_MASTER!$I$5:$I$1204,$T148,TRANSACTIONS_MASTER!$C$5:$C$1204,$C$2))</f>
        <v/>
      </c>
    </row>
    <row r="149">
      <c r="A149" s="81" t="str">
        <f>IF($Q149="","",142)</f>
        <v/>
      </c>
      <c r="B149" s="57" t="str">
        <f>IF($Q149="","",INDEX(TRANSACTIONS_MASTER!$B$5:$B$1204,$Q149))</f>
        <v/>
      </c>
      <c r="C149" s="55" t="str">
        <f>IF($Q149="","",INDEX(TRANSACTIONS_MASTER!$F$5:$F$1204,$Q149))</f>
        <v/>
      </c>
      <c r="D149" s="55" t="str">
        <f>IF($Q149="","",INDEX(TRANSACTIONS_MASTER!$E$5:$E$1204,$Q149))</f>
        <v/>
      </c>
      <c r="E149" s="55" t="str">
        <f>IF($Q149="","",INDEX(TRANSACTIONS_MASTER!$G$5:$G$1204,$Q149)&amp;"")</f>
        <v/>
      </c>
      <c r="F149" s="29" t="str">
        <f>IF($Q149="","",INDEX(TRANSACTIONS_MASTER!$I$5:$I$1204,$Q149))</f>
        <v/>
      </c>
      <c r="G149" s="55" t="str">
        <f>IF($Q149="","",INDEX(TRANSACTIONS_MASTER!$K$5:$K$1204,$Q149))</f>
        <v/>
      </c>
      <c r="H149" s="25" t="str">
        <f>IF($Q149="","",INDEX(TRANSACTIONS_MASTER!$L$5:$L$1204,$Q149))</f>
        <v/>
      </c>
      <c r="I149" s="56" t="str">
        <f>IF($Q149="","",INDEX(TRANSACTIONS_MASTER!$N$5:$N$1204,$Q149))</f>
        <v/>
      </c>
      <c r="J149" s="25" t="str">
        <f>IF($Q149="","",INDEX(TRANSACTIONS_MASTER!$O$5:$O$1204,$Q149))</f>
        <v/>
      </c>
      <c r="K149" s="26" t="str">
        <f>IF($Q149="","",INDEX(TRANSACTIONS_MASTER!$Q$5:$Q$1204,$Q149))</f>
        <v/>
      </c>
      <c r="L149" s="25" t="str">
        <f>IF($Q149="","",INDEX(TRANSACTIONS_MASTER!$P$5:$P$1204,$Q149))</f>
        <v/>
      </c>
      <c r="M149" s="25" t="str">
        <f>IF($Q149="","",INDEX(TRANSACTIONS_MASTER!$AA$5:$AA$1204,$Q149))</f>
        <v/>
      </c>
      <c r="N149" s="25" t="str">
        <f>IF($Q149="","",INDEX(TRANSACTIONS_MASTER!$R$5:$R$1204,$Q149))</f>
        <v/>
      </c>
      <c r="O149" s="28" t="str">
        <f>IF($Q149="","",INDEX(TRANSACTIONS_MASTER!$AB$5:$AB$1204,$Q149))</f>
        <v/>
      </c>
      <c r="P149" s="55" t="str">
        <f>IF($Q149="","",INDEX(TRANSACTIONS_MASTER!$Z$5:$Z$1204,$Q149)&amp;"")</f>
        <v/>
      </c>
      <c r="Q149" s="67" t="str">
        <f>IFERROR(MATCH($C$2&amp;"|"&amp;142,TRANSACTIONS_MASTER!$AE$5:$AE$1204,0),"")</f>
        <v/>
      </c>
      <c r="S149" s="67" t="str">
        <f>IFERROR(MATCH(1,INDEX((TRANSACTIONS_MASTER!$C$5:$C$1204=$C$2)*(TRANSACTIONS_MASTER!$AJ$5:$AJ$1204=12),0),0),"")</f>
        <v/>
      </c>
      <c r="T149" s="29" t="str">
        <f>IF($S149="","",INDEX(TRANSACTIONS_MASTER!$I$5:$I$1204,$S149))</f>
        <v/>
      </c>
      <c r="U149" s="55" t="str">
        <f>IF($S149="","",INDEX(TRANSACTIONS_MASTER!$J$5:$J$1204,$S149))</f>
        <v/>
      </c>
      <c r="V149" s="25" t="str">
        <f>IF($S149="","",SUMIFS(TRANSACTIONS_MASTER!$L$5:$L$1204,TRANSACTIONS_MASTER!$I$5:$I$1204,$T149,TRANSACTIONS_MASTER!$C$5:$C$1204,$C$2,TRANSACTIONS_MASTER!$U$5:$U$1204,"&lt;&gt;Cancelled"))</f>
        <v/>
      </c>
      <c r="W149" s="26" t="str">
        <f>IF($S149="","",SUMIFS(TRANSACTIONS_MASTER!$Q$5:$Q$1204,TRANSACTIONS_MASTER!$I$5:$I$1204,$T149,TRANSACTIONS_MASTER!$C$5:$C$1204,$C$2))</f>
        <v/>
      </c>
    </row>
    <row r="150">
      <c r="A150" s="81" t="str">
        <f>IF($Q150="","",143)</f>
        <v/>
      </c>
      <c r="B150" s="57" t="str">
        <f>IF($Q150="","",INDEX(TRANSACTIONS_MASTER!$B$5:$B$1204,$Q150))</f>
        <v/>
      </c>
      <c r="C150" s="55" t="str">
        <f>IF($Q150="","",INDEX(TRANSACTIONS_MASTER!$F$5:$F$1204,$Q150))</f>
        <v/>
      </c>
      <c r="D150" s="55" t="str">
        <f>IF($Q150="","",INDEX(TRANSACTIONS_MASTER!$E$5:$E$1204,$Q150))</f>
        <v/>
      </c>
      <c r="E150" s="55" t="str">
        <f>IF($Q150="","",INDEX(TRANSACTIONS_MASTER!$G$5:$G$1204,$Q150)&amp;"")</f>
        <v/>
      </c>
      <c r="F150" s="29" t="str">
        <f>IF($Q150="","",INDEX(TRANSACTIONS_MASTER!$I$5:$I$1204,$Q150))</f>
        <v/>
      </c>
      <c r="G150" s="55" t="str">
        <f>IF($Q150="","",INDEX(TRANSACTIONS_MASTER!$K$5:$K$1204,$Q150))</f>
        <v/>
      </c>
      <c r="H150" s="25" t="str">
        <f>IF($Q150="","",INDEX(TRANSACTIONS_MASTER!$L$5:$L$1204,$Q150))</f>
        <v/>
      </c>
      <c r="I150" s="56" t="str">
        <f>IF($Q150="","",INDEX(TRANSACTIONS_MASTER!$N$5:$N$1204,$Q150))</f>
        <v/>
      </c>
      <c r="J150" s="25" t="str">
        <f>IF($Q150="","",INDEX(TRANSACTIONS_MASTER!$O$5:$O$1204,$Q150))</f>
        <v/>
      </c>
      <c r="K150" s="26" t="str">
        <f>IF($Q150="","",INDEX(TRANSACTIONS_MASTER!$Q$5:$Q$1204,$Q150))</f>
        <v/>
      </c>
      <c r="L150" s="25" t="str">
        <f>IF($Q150="","",INDEX(TRANSACTIONS_MASTER!$P$5:$P$1204,$Q150))</f>
        <v/>
      </c>
      <c r="M150" s="25" t="str">
        <f>IF($Q150="","",INDEX(TRANSACTIONS_MASTER!$AA$5:$AA$1204,$Q150))</f>
        <v/>
      </c>
      <c r="N150" s="25" t="str">
        <f>IF($Q150="","",INDEX(TRANSACTIONS_MASTER!$R$5:$R$1204,$Q150))</f>
        <v/>
      </c>
      <c r="O150" s="28" t="str">
        <f>IF($Q150="","",INDEX(TRANSACTIONS_MASTER!$AB$5:$AB$1204,$Q150))</f>
        <v/>
      </c>
      <c r="P150" s="55" t="str">
        <f>IF($Q150="","",INDEX(TRANSACTIONS_MASTER!$Z$5:$Z$1204,$Q150)&amp;"")</f>
        <v/>
      </c>
      <c r="Q150" s="67" t="str">
        <f>IFERROR(MATCH($C$2&amp;"|"&amp;143,TRANSACTIONS_MASTER!$AE$5:$AE$1204,0),"")</f>
        <v/>
      </c>
      <c r="S150" s="67" t="str">
        <f>IFERROR(MATCH(1,INDEX((TRANSACTIONS_MASTER!$C$5:$C$1204=$C$2)*(TRANSACTIONS_MASTER!$AJ$5:$AJ$1204=13),0),0),"")</f>
        <v/>
      </c>
      <c r="T150" s="29" t="str">
        <f>IF($S150="","",INDEX(TRANSACTIONS_MASTER!$I$5:$I$1204,$S150))</f>
        <v/>
      </c>
      <c r="U150" s="55" t="str">
        <f>IF($S150="","",INDEX(TRANSACTIONS_MASTER!$J$5:$J$1204,$S150))</f>
        <v/>
      </c>
      <c r="V150" s="25" t="str">
        <f>IF($S150="","",SUMIFS(TRANSACTIONS_MASTER!$L$5:$L$1204,TRANSACTIONS_MASTER!$I$5:$I$1204,$T150,TRANSACTIONS_MASTER!$C$5:$C$1204,$C$2,TRANSACTIONS_MASTER!$U$5:$U$1204,"&lt;&gt;Cancelled"))</f>
        <v/>
      </c>
      <c r="W150" s="26" t="str">
        <f>IF($S150="","",SUMIFS(TRANSACTIONS_MASTER!$Q$5:$Q$1204,TRANSACTIONS_MASTER!$I$5:$I$1204,$T150,TRANSACTIONS_MASTER!$C$5:$C$1204,$C$2))</f>
        <v/>
      </c>
    </row>
    <row r="151">
      <c r="A151" s="81" t="str">
        <f>IF($Q151="","",144)</f>
        <v/>
      </c>
      <c r="B151" s="57" t="str">
        <f>IF($Q151="","",INDEX(TRANSACTIONS_MASTER!$B$5:$B$1204,$Q151))</f>
        <v/>
      </c>
      <c r="C151" s="55" t="str">
        <f>IF($Q151="","",INDEX(TRANSACTIONS_MASTER!$F$5:$F$1204,$Q151))</f>
        <v/>
      </c>
      <c r="D151" s="55" t="str">
        <f>IF($Q151="","",INDEX(TRANSACTIONS_MASTER!$E$5:$E$1204,$Q151))</f>
        <v/>
      </c>
      <c r="E151" s="55" t="str">
        <f>IF($Q151="","",INDEX(TRANSACTIONS_MASTER!$G$5:$G$1204,$Q151)&amp;"")</f>
        <v/>
      </c>
      <c r="F151" s="29" t="str">
        <f>IF($Q151="","",INDEX(TRANSACTIONS_MASTER!$I$5:$I$1204,$Q151))</f>
        <v/>
      </c>
      <c r="G151" s="55" t="str">
        <f>IF($Q151="","",INDEX(TRANSACTIONS_MASTER!$K$5:$K$1204,$Q151))</f>
        <v/>
      </c>
      <c r="H151" s="25" t="str">
        <f>IF($Q151="","",INDEX(TRANSACTIONS_MASTER!$L$5:$L$1204,$Q151))</f>
        <v/>
      </c>
      <c r="I151" s="56" t="str">
        <f>IF($Q151="","",INDEX(TRANSACTIONS_MASTER!$N$5:$N$1204,$Q151))</f>
        <v/>
      </c>
      <c r="J151" s="25" t="str">
        <f>IF($Q151="","",INDEX(TRANSACTIONS_MASTER!$O$5:$O$1204,$Q151))</f>
        <v/>
      </c>
      <c r="K151" s="26" t="str">
        <f>IF($Q151="","",INDEX(TRANSACTIONS_MASTER!$Q$5:$Q$1204,$Q151))</f>
        <v/>
      </c>
      <c r="L151" s="25" t="str">
        <f>IF($Q151="","",INDEX(TRANSACTIONS_MASTER!$P$5:$P$1204,$Q151))</f>
        <v/>
      </c>
      <c r="M151" s="25" t="str">
        <f>IF($Q151="","",INDEX(TRANSACTIONS_MASTER!$AA$5:$AA$1204,$Q151))</f>
        <v/>
      </c>
      <c r="N151" s="25" t="str">
        <f>IF($Q151="","",INDEX(TRANSACTIONS_MASTER!$R$5:$R$1204,$Q151))</f>
        <v/>
      </c>
      <c r="O151" s="28" t="str">
        <f>IF($Q151="","",INDEX(TRANSACTIONS_MASTER!$AB$5:$AB$1204,$Q151))</f>
        <v/>
      </c>
      <c r="P151" s="55" t="str">
        <f>IF($Q151="","",INDEX(TRANSACTIONS_MASTER!$Z$5:$Z$1204,$Q151)&amp;"")</f>
        <v/>
      </c>
      <c r="Q151" s="67" t="str">
        <f>IFERROR(MATCH($C$2&amp;"|"&amp;144,TRANSACTIONS_MASTER!$AE$5:$AE$1204,0),"")</f>
        <v/>
      </c>
      <c r="S151" s="67" t="str">
        <f>IFERROR(MATCH(1,INDEX((TRANSACTIONS_MASTER!$C$5:$C$1204=$C$2)*(TRANSACTIONS_MASTER!$AJ$5:$AJ$1204=14),0),0),"")</f>
        <v/>
      </c>
      <c r="T151" s="29" t="str">
        <f>IF($S151="","",INDEX(TRANSACTIONS_MASTER!$I$5:$I$1204,$S151))</f>
        <v/>
      </c>
      <c r="U151" s="55" t="str">
        <f>IF($S151="","",INDEX(TRANSACTIONS_MASTER!$J$5:$J$1204,$S151))</f>
        <v/>
      </c>
      <c r="V151" s="25" t="str">
        <f>IF($S151="","",SUMIFS(TRANSACTIONS_MASTER!$L$5:$L$1204,TRANSACTIONS_MASTER!$I$5:$I$1204,$T151,TRANSACTIONS_MASTER!$C$5:$C$1204,$C$2,TRANSACTIONS_MASTER!$U$5:$U$1204,"&lt;&gt;Cancelled"))</f>
        <v/>
      </c>
      <c r="W151" s="26" t="str">
        <f>IF($S151="","",SUMIFS(TRANSACTIONS_MASTER!$Q$5:$Q$1204,TRANSACTIONS_MASTER!$I$5:$I$1204,$T151,TRANSACTIONS_MASTER!$C$5:$C$1204,$C$2))</f>
        <v/>
      </c>
    </row>
    <row r="152">
      <c r="A152" s="81" t="str">
        <f>IF($Q152="","",145)</f>
        <v/>
      </c>
      <c r="B152" s="57" t="str">
        <f>IF($Q152="","",INDEX(TRANSACTIONS_MASTER!$B$5:$B$1204,$Q152))</f>
        <v/>
      </c>
      <c r="C152" s="55" t="str">
        <f>IF($Q152="","",INDEX(TRANSACTIONS_MASTER!$F$5:$F$1204,$Q152))</f>
        <v/>
      </c>
      <c r="D152" s="55" t="str">
        <f>IF($Q152="","",INDEX(TRANSACTIONS_MASTER!$E$5:$E$1204,$Q152))</f>
        <v/>
      </c>
      <c r="E152" s="55" t="str">
        <f>IF($Q152="","",INDEX(TRANSACTIONS_MASTER!$G$5:$G$1204,$Q152)&amp;"")</f>
        <v/>
      </c>
      <c r="F152" s="29" t="str">
        <f>IF($Q152="","",INDEX(TRANSACTIONS_MASTER!$I$5:$I$1204,$Q152))</f>
        <v/>
      </c>
      <c r="G152" s="55" t="str">
        <f>IF($Q152="","",INDEX(TRANSACTIONS_MASTER!$K$5:$K$1204,$Q152))</f>
        <v/>
      </c>
      <c r="H152" s="25" t="str">
        <f>IF($Q152="","",INDEX(TRANSACTIONS_MASTER!$L$5:$L$1204,$Q152))</f>
        <v/>
      </c>
      <c r="I152" s="56" t="str">
        <f>IF($Q152="","",INDEX(TRANSACTIONS_MASTER!$N$5:$N$1204,$Q152))</f>
        <v/>
      </c>
      <c r="J152" s="25" t="str">
        <f>IF($Q152="","",INDEX(TRANSACTIONS_MASTER!$O$5:$O$1204,$Q152))</f>
        <v/>
      </c>
      <c r="K152" s="26" t="str">
        <f>IF($Q152="","",INDEX(TRANSACTIONS_MASTER!$Q$5:$Q$1204,$Q152))</f>
        <v/>
      </c>
      <c r="L152" s="25" t="str">
        <f>IF($Q152="","",INDEX(TRANSACTIONS_MASTER!$P$5:$P$1204,$Q152))</f>
        <v/>
      </c>
      <c r="M152" s="25" t="str">
        <f>IF($Q152="","",INDEX(TRANSACTIONS_MASTER!$AA$5:$AA$1204,$Q152))</f>
        <v/>
      </c>
      <c r="N152" s="25" t="str">
        <f>IF($Q152="","",INDEX(TRANSACTIONS_MASTER!$R$5:$R$1204,$Q152))</f>
        <v/>
      </c>
      <c r="O152" s="28" t="str">
        <f>IF($Q152="","",INDEX(TRANSACTIONS_MASTER!$AB$5:$AB$1204,$Q152))</f>
        <v/>
      </c>
      <c r="P152" s="55" t="str">
        <f>IF($Q152="","",INDEX(TRANSACTIONS_MASTER!$Z$5:$Z$1204,$Q152)&amp;"")</f>
        <v/>
      </c>
      <c r="Q152" s="67" t="str">
        <f>IFERROR(MATCH($C$2&amp;"|"&amp;145,TRANSACTIONS_MASTER!$AE$5:$AE$1204,0),"")</f>
        <v/>
      </c>
      <c r="S152" s="67" t="str">
        <f>IFERROR(MATCH(1,INDEX((TRANSACTIONS_MASTER!$C$5:$C$1204=$C$2)*(TRANSACTIONS_MASTER!$AJ$5:$AJ$1204=15),0),0),"")</f>
        <v/>
      </c>
      <c r="T152" s="29" t="str">
        <f>IF($S152="","",INDEX(TRANSACTIONS_MASTER!$I$5:$I$1204,$S152))</f>
        <v/>
      </c>
      <c r="U152" s="55" t="str">
        <f>IF($S152="","",INDEX(TRANSACTIONS_MASTER!$J$5:$J$1204,$S152))</f>
        <v/>
      </c>
      <c r="V152" s="25" t="str">
        <f>IF($S152="","",SUMIFS(TRANSACTIONS_MASTER!$L$5:$L$1204,TRANSACTIONS_MASTER!$I$5:$I$1204,$T152,TRANSACTIONS_MASTER!$C$5:$C$1204,$C$2,TRANSACTIONS_MASTER!$U$5:$U$1204,"&lt;&gt;Cancelled"))</f>
        <v/>
      </c>
      <c r="W152" s="26" t="str">
        <f>IF($S152="","",SUMIFS(TRANSACTIONS_MASTER!$Q$5:$Q$1204,TRANSACTIONS_MASTER!$I$5:$I$1204,$T152,TRANSACTIONS_MASTER!$C$5:$C$1204,$C$2))</f>
        <v/>
      </c>
    </row>
    <row r="153">
      <c r="A153" s="81" t="str">
        <f>IF($Q153="","",146)</f>
        <v/>
      </c>
      <c r="B153" s="57" t="str">
        <f>IF($Q153="","",INDEX(TRANSACTIONS_MASTER!$B$5:$B$1204,$Q153))</f>
        <v/>
      </c>
      <c r="C153" s="55" t="str">
        <f>IF($Q153="","",INDEX(TRANSACTIONS_MASTER!$F$5:$F$1204,$Q153))</f>
        <v/>
      </c>
      <c r="D153" s="55" t="str">
        <f>IF($Q153="","",INDEX(TRANSACTIONS_MASTER!$E$5:$E$1204,$Q153))</f>
        <v/>
      </c>
      <c r="E153" s="55" t="str">
        <f>IF($Q153="","",INDEX(TRANSACTIONS_MASTER!$G$5:$G$1204,$Q153)&amp;"")</f>
        <v/>
      </c>
      <c r="F153" s="29" t="str">
        <f>IF($Q153="","",INDEX(TRANSACTIONS_MASTER!$I$5:$I$1204,$Q153))</f>
        <v/>
      </c>
      <c r="G153" s="55" t="str">
        <f>IF($Q153="","",INDEX(TRANSACTIONS_MASTER!$K$5:$K$1204,$Q153))</f>
        <v/>
      </c>
      <c r="H153" s="25" t="str">
        <f>IF($Q153="","",INDEX(TRANSACTIONS_MASTER!$L$5:$L$1204,$Q153))</f>
        <v/>
      </c>
      <c r="I153" s="56" t="str">
        <f>IF($Q153="","",INDEX(TRANSACTIONS_MASTER!$N$5:$N$1204,$Q153))</f>
        <v/>
      </c>
      <c r="J153" s="25" t="str">
        <f>IF($Q153="","",INDEX(TRANSACTIONS_MASTER!$O$5:$O$1204,$Q153))</f>
        <v/>
      </c>
      <c r="K153" s="26" t="str">
        <f>IF($Q153="","",INDEX(TRANSACTIONS_MASTER!$Q$5:$Q$1204,$Q153))</f>
        <v/>
      </c>
      <c r="L153" s="25" t="str">
        <f>IF($Q153="","",INDEX(TRANSACTIONS_MASTER!$P$5:$P$1204,$Q153))</f>
        <v/>
      </c>
      <c r="M153" s="25" t="str">
        <f>IF($Q153="","",INDEX(TRANSACTIONS_MASTER!$AA$5:$AA$1204,$Q153))</f>
        <v/>
      </c>
      <c r="N153" s="25" t="str">
        <f>IF($Q153="","",INDEX(TRANSACTIONS_MASTER!$R$5:$R$1204,$Q153))</f>
        <v/>
      </c>
      <c r="O153" s="28" t="str">
        <f>IF($Q153="","",INDEX(TRANSACTIONS_MASTER!$AB$5:$AB$1204,$Q153))</f>
        <v/>
      </c>
      <c r="P153" s="55" t="str">
        <f>IF($Q153="","",INDEX(TRANSACTIONS_MASTER!$Z$5:$Z$1204,$Q153)&amp;"")</f>
        <v/>
      </c>
      <c r="Q153" s="67" t="str">
        <f>IFERROR(MATCH($C$2&amp;"|"&amp;146,TRANSACTIONS_MASTER!$AE$5:$AE$1204,0),"")</f>
        <v/>
      </c>
      <c r="T153" s="45" t="n"/>
      <c r="U153" s="82" t="inlineStr">
        <is>
          <t>Khác (ngoài danh sách)</t>
        </is>
      </c>
      <c r="V153" s="48">
        <f>MAX(0,SUMIFS(TRANSACTIONS_MASTER!$L$5:$L$1204,TRANSACTIONS_MASTER!$C$5:$C$1204,$C$2,TRANSACTIONS_MASTER!$U$5:$U$1204,"&lt;&gt;Cancelled")-SUM(V138:V152))</f>
        <v>0</v>
      </c>
      <c r="W153" s="48">
        <f>MAX(0,SUMIFS(TRANSACTIONS_MASTER!$Q$5:$Q$1204,TRANSACTIONS_MASTER!$C$5:$C$1204,$C$2)-SUM(W138:W152))</f>
        <v>0</v>
      </c>
    </row>
    <row r="154">
      <c r="A154" s="81" t="str">
        <f>IF($Q154="","",147)</f>
        <v/>
      </c>
      <c r="B154" s="57" t="str">
        <f>IF($Q154="","",INDEX(TRANSACTIONS_MASTER!$B$5:$B$1204,$Q154))</f>
        <v/>
      </c>
      <c r="C154" s="55" t="str">
        <f>IF($Q154="","",INDEX(TRANSACTIONS_MASTER!$F$5:$F$1204,$Q154))</f>
        <v/>
      </c>
      <c r="D154" s="55" t="str">
        <f>IF($Q154="","",INDEX(TRANSACTIONS_MASTER!$E$5:$E$1204,$Q154))</f>
        <v/>
      </c>
      <c r="E154" s="55" t="str">
        <f>IF($Q154="","",INDEX(TRANSACTIONS_MASTER!$G$5:$G$1204,$Q154)&amp;"")</f>
        <v/>
      </c>
      <c r="F154" s="29" t="str">
        <f>IF($Q154="","",INDEX(TRANSACTIONS_MASTER!$I$5:$I$1204,$Q154))</f>
        <v/>
      </c>
      <c r="G154" s="55" t="str">
        <f>IF($Q154="","",INDEX(TRANSACTIONS_MASTER!$K$5:$K$1204,$Q154))</f>
        <v/>
      </c>
      <c r="H154" s="25" t="str">
        <f>IF($Q154="","",INDEX(TRANSACTIONS_MASTER!$L$5:$L$1204,$Q154))</f>
        <v/>
      </c>
      <c r="I154" s="56" t="str">
        <f>IF($Q154="","",INDEX(TRANSACTIONS_MASTER!$N$5:$N$1204,$Q154))</f>
        <v/>
      </c>
      <c r="J154" s="25" t="str">
        <f>IF($Q154="","",INDEX(TRANSACTIONS_MASTER!$O$5:$O$1204,$Q154))</f>
        <v/>
      </c>
      <c r="K154" s="26" t="str">
        <f>IF($Q154="","",INDEX(TRANSACTIONS_MASTER!$Q$5:$Q$1204,$Q154))</f>
        <v/>
      </c>
      <c r="L154" s="25" t="str">
        <f>IF($Q154="","",INDEX(TRANSACTIONS_MASTER!$P$5:$P$1204,$Q154))</f>
        <v/>
      </c>
      <c r="M154" s="25" t="str">
        <f>IF($Q154="","",INDEX(TRANSACTIONS_MASTER!$AA$5:$AA$1204,$Q154))</f>
        <v/>
      </c>
      <c r="N154" s="25" t="str">
        <f>IF($Q154="","",INDEX(TRANSACTIONS_MASTER!$R$5:$R$1204,$Q154))</f>
        <v/>
      </c>
      <c r="O154" s="28" t="str">
        <f>IF($Q154="","",INDEX(TRANSACTIONS_MASTER!$AB$5:$AB$1204,$Q154))</f>
        <v/>
      </c>
      <c r="P154" s="55" t="str">
        <f>IF($Q154="","",INDEX(TRANSACTIONS_MASTER!$Z$5:$Z$1204,$Q154)&amp;"")</f>
        <v/>
      </c>
      <c r="Q154" s="67" t="str">
        <f>IFERROR(MATCH($C$2&amp;"|"&amp;147,TRANSACTIONS_MASTER!$AE$5:$AE$1204,0),"")</f>
        <v/>
      </c>
      <c r="T154" s="68" t="n"/>
      <c r="U154" s="69" t="inlineStr">
        <is>
          <t>TỔNG</t>
        </is>
      </c>
      <c r="V154" s="31">
        <f>SUM(V138:V153)</f>
        <v>0</v>
      </c>
      <c r="W154" s="31">
        <f>SUM(W138:W153)</f>
        <v>0</v>
      </c>
    </row>
    <row r="155">
      <c r="A155" s="81" t="str">
        <f>IF($Q155="","",148)</f>
        <v/>
      </c>
      <c r="B155" s="57" t="str">
        <f>IF($Q155="","",INDEX(TRANSACTIONS_MASTER!$B$5:$B$1204,$Q155))</f>
        <v/>
      </c>
      <c r="C155" s="55" t="str">
        <f>IF($Q155="","",INDEX(TRANSACTIONS_MASTER!$F$5:$F$1204,$Q155))</f>
        <v/>
      </c>
      <c r="D155" s="55" t="str">
        <f>IF($Q155="","",INDEX(TRANSACTIONS_MASTER!$E$5:$E$1204,$Q155))</f>
        <v/>
      </c>
      <c r="E155" s="55" t="str">
        <f>IF($Q155="","",INDEX(TRANSACTIONS_MASTER!$G$5:$G$1204,$Q155)&amp;"")</f>
        <v/>
      </c>
      <c r="F155" s="29" t="str">
        <f>IF($Q155="","",INDEX(TRANSACTIONS_MASTER!$I$5:$I$1204,$Q155))</f>
        <v/>
      </c>
      <c r="G155" s="55" t="str">
        <f>IF($Q155="","",INDEX(TRANSACTIONS_MASTER!$K$5:$K$1204,$Q155))</f>
        <v/>
      </c>
      <c r="H155" s="25" t="str">
        <f>IF($Q155="","",INDEX(TRANSACTIONS_MASTER!$L$5:$L$1204,$Q155))</f>
        <v/>
      </c>
      <c r="I155" s="56" t="str">
        <f>IF($Q155="","",INDEX(TRANSACTIONS_MASTER!$N$5:$N$1204,$Q155))</f>
        <v/>
      </c>
      <c r="J155" s="25" t="str">
        <f>IF($Q155="","",INDEX(TRANSACTIONS_MASTER!$O$5:$O$1204,$Q155))</f>
        <v/>
      </c>
      <c r="K155" s="26" t="str">
        <f>IF($Q155="","",INDEX(TRANSACTIONS_MASTER!$Q$5:$Q$1204,$Q155))</f>
        <v/>
      </c>
      <c r="L155" s="25" t="str">
        <f>IF($Q155="","",INDEX(TRANSACTIONS_MASTER!$P$5:$P$1204,$Q155))</f>
        <v/>
      </c>
      <c r="M155" s="25" t="str">
        <f>IF($Q155="","",INDEX(TRANSACTIONS_MASTER!$AA$5:$AA$1204,$Q155))</f>
        <v/>
      </c>
      <c r="N155" s="25" t="str">
        <f>IF($Q155="","",INDEX(TRANSACTIONS_MASTER!$R$5:$R$1204,$Q155))</f>
        <v/>
      </c>
      <c r="O155" s="28" t="str">
        <f>IF($Q155="","",INDEX(TRANSACTIONS_MASTER!$AB$5:$AB$1204,$Q155))</f>
        <v/>
      </c>
      <c r="P155" s="55" t="str">
        <f>IF($Q155="","",INDEX(TRANSACTIONS_MASTER!$Z$5:$Z$1204,$Q155)&amp;"")</f>
        <v/>
      </c>
      <c r="Q155" s="67" t="str">
        <f>IFERROR(MATCH($C$2&amp;"|"&amp;148,TRANSACTIONS_MASTER!$AE$5:$AE$1204,0),"")</f>
        <v/>
      </c>
    </row>
    <row r="156">
      <c r="A156" s="81" t="str">
        <f>IF($Q156="","",149)</f>
        <v/>
      </c>
      <c r="B156" s="57" t="str">
        <f>IF($Q156="","",INDEX(TRANSACTIONS_MASTER!$B$5:$B$1204,$Q156))</f>
        <v/>
      </c>
      <c r="C156" s="55" t="str">
        <f>IF($Q156="","",INDEX(TRANSACTIONS_MASTER!$F$5:$F$1204,$Q156))</f>
        <v/>
      </c>
      <c r="D156" s="55" t="str">
        <f>IF($Q156="","",INDEX(TRANSACTIONS_MASTER!$E$5:$E$1204,$Q156))</f>
        <v/>
      </c>
      <c r="E156" s="55" t="str">
        <f>IF($Q156="","",INDEX(TRANSACTIONS_MASTER!$G$5:$G$1204,$Q156)&amp;"")</f>
        <v/>
      </c>
      <c r="F156" s="29" t="str">
        <f>IF($Q156="","",INDEX(TRANSACTIONS_MASTER!$I$5:$I$1204,$Q156))</f>
        <v/>
      </c>
      <c r="G156" s="55" t="str">
        <f>IF($Q156="","",INDEX(TRANSACTIONS_MASTER!$K$5:$K$1204,$Q156))</f>
        <v/>
      </c>
      <c r="H156" s="25" t="str">
        <f>IF($Q156="","",INDEX(TRANSACTIONS_MASTER!$L$5:$L$1204,$Q156))</f>
        <v/>
      </c>
      <c r="I156" s="56" t="str">
        <f>IF($Q156="","",INDEX(TRANSACTIONS_MASTER!$N$5:$N$1204,$Q156))</f>
        <v/>
      </c>
      <c r="J156" s="25" t="str">
        <f>IF($Q156="","",INDEX(TRANSACTIONS_MASTER!$O$5:$O$1204,$Q156))</f>
        <v/>
      </c>
      <c r="K156" s="26" t="str">
        <f>IF($Q156="","",INDEX(TRANSACTIONS_MASTER!$Q$5:$Q$1204,$Q156))</f>
        <v/>
      </c>
      <c r="L156" s="25" t="str">
        <f>IF($Q156="","",INDEX(TRANSACTIONS_MASTER!$P$5:$P$1204,$Q156))</f>
        <v/>
      </c>
      <c r="M156" s="25" t="str">
        <f>IF($Q156="","",INDEX(TRANSACTIONS_MASTER!$AA$5:$AA$1204,$Q156))</f>
        <v/>
      </c>
      <c r="N156" s="25" t="str">
        <f>IF($Q156="","",INDEX(TRANSACTIONS_MASTER!$R$5:$R$1204,$Q156))</f>
        <v/>
      </c>
      <c r="O156" s="28" t="str">
        <f>IF($Q156="","",INDEX(TRANSACTIONS_MASTER!$AB$5:$AB$1204,$Q156))</f>
        <v/>
      </c>
      <c r="P156" s="55" t="str">
        <f>IF($Q156="","",INDEX(TRANSACTIONS_MASTER!$Z$5:$Z$1204,$Q156)&amp;"")</f>
        <v/>
      </c>
      <c r="Q156" s="67" t="str">
        <f>IFERROR(MATCH($C$2&amp;"|"&amp;149,TRANSACTIONS_MASTER!$AE$5:$AE$1204,0),"")</f>
        <v/>
      </c>
    </row>
    <row r="157" ht="22" customHeight="1">
      <c r="A157" s="81" t="str">
        <f>IF($Q157="","",150)</f>
        <v/>
      </c>
      <c r="B157" s="57" t="str">
        <f>IF($Q157="","",INDEX(TRANSACTIONS_MASTER!$B$5:$B$1204,$Q157))</f>
        <v/>
      </c>
      <c r="C157" s="55" t="str">
        <f>IF($Q157="","",INDEX(TRANSACTIONS_MASTER!$F$5:$F$1204,$Q157))</f>
        <v/>
      </c>
      <c r="D157" s="55" t="str">
        <f>IF($Q157="","",INDEX(TRANSACTIONS_MASTER!$E$5:$E$1204,$Q157))</f>
        <v/>
      </c>
      <c r="E157" s="55" t="str">
        <f>IF($Q157="","",INDEX(TRANSACTIONS_MASTER!$G$5:$G$1204,$Q157)&amp;"")</f>
        <v/>
      </c>
      <c r="F157" s="29" t="str">
        <f>IF($Q157="","",INDEX(TRANSACTIONS_MASTER!$I$5:$I$1204,$Q157))</f>
        <v/>
      </c>
      <c r="G157" s="55" t="str">
        <f>IF($Q157="","",INDEX(TRANSACTIONS_MASTER!$K$5:$K$1204,$Q157))</f>
        <v/>
      </c>
      <c r="H157" s="25" t="str">
        <f>IF($Q157="","",INDEX(TRANSACTIONS_MASTER!$L$5:$L$1204,$Q157))</f>
        <v/>
      </c>
      <c r="I157" s="56" t="str">
        <f>IF($Q157="","",INDEX(TRANSACTIONS_MASTER!$N$5:$N$1204,$Q157))</f>
        <v/>
      </c>
      <c r="J157" s="25" t="str">
        <f>IF($Q157="","",INDEX(TRANSACTIONS_MASTER!$O$5:$O$1204,$Q157))</f>
        <v/>
      </c>
      <c r="K157" s="26" t="str">
        <f>IF($Q157="","",INDEX(TRANSACTIONS_MASTER!$Q$5:$Q$1204,$Q157))</f>
        <v/>
      </c>
      <c r="L157" s="25" t="str">
        <f>IF($Q157="","",INDEX(TRANSACTIONS_MASTER!$P$5:$P$1204,$Q157))</f>
        <v/>
      </c>
      <c r="M157" s="25" t="str">
        <f>IF($Q157="","",INDEX(TRANSACTIONS_MASTER!$AA$5:$AA$1204,$Q157))</f>
        <v/>
      </c>
      <c r="N157" s="25" t="str">
        <f>IF($Q157="","",INDEX(TRANSACTIONS_MASTER!$R$5:$R$1204,$Q157))</f>
        <v/>
      </c>
      <c r="O157" s="28" t="str">
        <f>IF($Q157="","",INDEX(TRANSACTIONS_MASTER!$AB$5:$AB$1204,$Q157))</f>
        <v/>
      </c>
      <c r="P157" s="55" t="str">
        <f>IF($Q157="","",INDEX(TRANSACTIONS_MASTER!$Z$5:$Z$1204,$Q157)&amp;"")</f>
        <v/>
      </c>
      <c r="Q157" s="67" t="str">
        <f>IFERROR(MATCH($C$2&amp;"|"&amp;150,TRANSACTIONS_MASTER!$AE$5:$AE$1204,0),"")</f>
        <v/>
      </c>
      <c r="T157" s="19" t="inlineStr">
        <is>
          <t>THEO MERCHANT</t>
        </is>
      </c>
      <c r="U157" s="20" t="n"/>
      <c r="V157" s="20" t="n"/>
      <c r="W157" s="20" t="n"/>
      <c r="X157" s="20" t="n"/>
      <c r="Y157" s="20" t="n"/>
      <c r="Z157" s="20" t="n"/>
      <c r="AA157" s="20" t="n"/>
    </row>
    <row r="158" ht="28" customHeight="1">
      <c r="A158" s="81" t="str">
        <f>IF($Q158="","",151)</f>
        <v/>
      </c>
      <c r="B158" s="57" t="str">
        <f>IF($Q158="","",INDEX(TRANSACTIONS_MASTER!$B$5:$B$1204,$Q158))</f>
        <v/>
      </c>
      <c r="C158" s="55" t="str">
        <f>IF($Q158="","",INDEX(TRANSACTIONS_MASTER!$F$5:$F$1204,$Q158))</f>
        <v/>
      </c>
      <c r="D158" s="55" t="str">
        <f>IF($Q158="","",INDEX(TRANSACTIONS_MASTER!$E$5:$E$1204,$Q158))</f>
        <v/>
      </c>
      <c r="E158" s="55" t="str">
        <f>IF($Q158="","",INDEX(TRANSACTIONS_MASTER!$G$5:$G$1204,$Q158)&amp;"")</f>
        <v/>
      </c>
      <c r="F158" s="29" t="str">
        <f>IF($Q158="","",INDEX(TRANSACTIONS_MASTER!$I$5:$I$1204,$Q158))</f>
        <v/>
      </c>
      <c r="G158" s="55" t="str">
        <f>IF($Q158="","",INDEX(TRANSACTIONS_MASTER!$K$5:$K$1204,$Q158))</f>
        <v/>
      </c>
      <c r="H158" s="25" t="str">
        <f>IF($Q158="","",INDEX(TRANSACTIONS_MASTER!$L$5:$L$1204,$Q158))</f>
        <v/>
      </c>
      <c r="I158" s="56" t="str">
        <f>IF($Q158="","",INDEX(TRANSACTIONS_MASTER!$N$5:$N$1204,$Q158))</f>
        <v/>
      </c>
      <c r="J158" s="25" t="str">
        <f>IF($Q158="","",INDEX(TRANSACTIONS_MASTER!$O$5:$O$1204,$Q158))</f>
        <v/>
      </c>
      <c r="K158" s="26" t="str">
        <f>IF($Q158="","",INDEX(TRANSACTIONS_MASTER!$Q$5:$Q$1204,$Q158))</f>
        <v/>
      </c>
      <c r="L158" s="25" t="str">
        <f>IF($Q158="","",INDEX(TRANSACTIONS_MASTER!$P$5:$P$1204,$Q158))</f>
        <v/>
      </c>
      <c r="M158" s="25" t="str">
        <f>IF($Q158="","",INDEX(TRANSACTIONS_MASTER!$AA$5:$AA$1204,$Q158))</f>
        <v/>
      </c>
      <c r="N158" s="25" t="str">
        <f>IF($Q158="","",INDEX(TRANSACTIONS_MASTER!$R$5:$R$1204,$Q158))</f>
        <v/>
      </c>
      <c r="O158" s="28" t="str">
        <f>IF($Q158="","",INDEX(TRANSACTIONS_MASTER!$AB$5:$AB$1204,$Q158))</f>
        <v/>
      </c>
      <c r="P158" s="55" t="str">
        <f>IF($Q158="","",INDEX(TRANSACTIONS_MASTER!$Z$5:$Z$1204,$Q158)&amp;"")</f>
        <v/>
      </c>
      <c r="Q158" s="67" t="str">
        <f>IFERROR(MATCH($C$2&amp;"|"&amp;151,TRANSACTIONS_MASTER!$AE$5:$AE$1204,0),"")</f>
        <v/>
      </c>
      <c r="S158" s="21" t="inlineStr">
        <is>
          <t>#</t>
        </is>
      </c>
      <c r="T158" s="21" t="inlineStr"/>
      <c r="U158" s="21" t="inlineStr">
        <is>
          <t>Merchant</t>
        </is>
      </c>
      <c r="V158" s="21" t="inlineStr">
        <is>
          <t>Chi tiêu</t>
        </is>
      </c>
      <c r="W158" s="21" t="inlineStr">
        <is>
          <t>Cashback</t>
        </is>
      </c>
    </row>
    <row r="159">
      <c r="A159" s="81" t="str">
        <f>IF($Q159="","",152)</f>
        <v/>
      </c>
      <c r="B159" s="57" t="str">
        <f>IF($Q159="","",INDEX(TRANSACTIONS_MASTER!$B$5:$B$1204,$Q159))</f>
        <v/>
      </c>
      <c r="C159" s="55" t="str">
        <f>IF($Q159="","",INDEX(TRANSACTIONS_MASTER!$F$5:$F$1204,$Q159))</f>
        <v/>
      </c>
      <c r="D159" s="55" t="str">
        <f>IF($Q159="","",INDEX(TRANSACTIONS_MASTER!$E$5:$E$1204,$Q159))</f>
        <v/>
      </c>
      <c r="E159" s="55" t="str">
        <f>IF($Q159="","",INDEX(TRANSACTIONS_MASTER!$G$5:$G$1204,$Q159)&amp;"")</f>
        <v/>
      </c>
      <c r="F159" s="29" t="str">
        <f>IF($Q159="","",INDEX(TRANSACTIONS_MASTER!$I$5:$I$1204,$Q159))</f>
        <v/>
      </c>
      <c r="G159" s="55" t="str">
        <f>IF($Q159="","",INDEX(TRANSACTIONS_MASTER!$K$5:$K$1204,$Q159))</f>
        <v/>
      </c>
      <c r="H159" s="25" t="str">
        <f>IF($Q159="","",INDEX(TRANSACTIONS_MASTER!$L$5:$L$1204,$Q159))</f>
        <v/>
      </c>
      <c r="I159" s="56" t="str">
        <f>IF($Q159="","",INDEX(TRANSACTIONS_MASTER!$N$5:$N$1204,$Q159))</f>
        <v/>
      </c>
      <c r="J159" s="25" t="str">
        <f>IF($Q159="","",INDEX(TRANSACTIONS_MASTER!$O$5:$O$1204,$Q159))</f>
        <v/>
      </c>
      <c r="K159" s="26" t="str">
        <f>IF($Q159="","",INDEX(TRANSACTIONS_MASTER!$Q$5:$Q$1204,$Q159))</f>
        <v/>
      </c>
      <c r="L159" s="25" t="str">
        <f>IF($Q159="","",INDEX(TRANSACTIONS_MASTER!$P$5:$P$1204,$Q159))</f>
        <v/>
      </c>
      <c r="M159" s="25" t="str">
        <f>IF($Q159="","",INDEX(TRANSACTIONS_MASTER!$AA$5:$AA$1204,$Q159))</f>
        <v/>
      </c>
      <c r="N159" s="25" t="str">
        <f>IF($Q159="","",INDEX(TRANSACTIONS_MASTER!$R$5:$R$1204,$Q159))</f>
        <v/>
      </c>
      <c r="O159" s="28" t="str">
        <f>IF($Q159="","",INDEX(TRANSACTIONS_MASTER!$AB$5:$AB$1204,$Q159))</f>
        <v/>
      </c>
      <c r="P159" s="55" t="str">
        <f>IF($Q159="","",INDEX(TRANSACTIONS_MASTER!$Z$5:$Z$1204,$Q159)&amp;"")</f>
        <v/>
      </c>
      <c r="Q159" s="67" t="str">
        <f>IFERROR(MATCH($C$2&amp;"|"&amp;152,TRANSACTIONS_MASTER!$AE$5:$AE$1204,0),"")</f>
        <v/>
      </c>
      <c r="S159" s="67" t="str">
        <f>IFERROR(MATCH(1,INDEX((TRANSACTIONS_MASTER!$C$5:$C$1204=$C$2)*(TRANSACTIONS_MASTER!$AN$5:$AN$1204=1),0),0),"")</f>
        <v/>
      </c>
      <c r="T159" s="55" t="n"/>
      <c r="U159" s="55" t="str">
        <f>IF($S159="","",INDEX(TRANSACTIONS_MASTER!$G$5:$G$1204,$S159)&amp;"")</f>
        <v/>
      </c>
      <c r="V159" s="25" t="str">
        <f>IF($S159="","",SUMIFS(TRANSACTIONS_MASTER!$L$5:$L$1204,TRANSACTIONS_MASTER!$G$5:$G$1204,$U159,TRANSACTIONS_MASTER!$C$5:$C$1204,$C$2,TRANSACTIONS_MASTER!$U$5:$U$1204,"&lt;&gt;Cancelled"))</f>
        <v/>
      </c>
      <c r="W159" s="26" t="str">
        <f>IF($S159="","",SUMIFS(TRANSACTIONS_MASTER!$Q$5:$Q$1204,TRANSACTIONS_MASTER!$G$5:$G$1204,$U159,TRANSACTIONS_MASTER!$C$5:$C$1204,$C$2))</f>
        <v/>
      </c>
    </row>
    <row r="160">
      <c r="A160" s="81" t="str">
        <f>IF($Q160="","",153)</f>
        <v/>
      </c>
      <c r="B160" s="57" t="str">
        <f>IF($Q160="","",INDEX(TRANSACTIONS_MASTER!$B$5:$B$1204,$Q160))</f>
        <v/>
      </c>
      <c r="C160" s="55" t="str">
        <f>IF($Q160="","",INDEX(TRANSACTIONS_MASTER!$F$5:$F$1204,$Q160))</f>
        <v/>
      </c>
      <c r="D160" s="55" t="str">
        <f>IF($Q160="","",INDEX(TRANSACTIONS_MASTER!$E$5:$E$1204,$Q160))</f>
        <v/>
      </c>
      <c r="E160" s="55" t="str">
        <f>IF($Q160="","",INDEX(TRANSACTIONS_MASTER!$G$5:$G$1204,$Q160)&amp;"")</f>
        <v/>
      </c>
      <c r="F160" s="29" t="str">
        <f>IF($Q160="","",INDEX(TRANSACTIONS_MASTER!$I$5:$I$1204,$Q160))</f>
        <v/>
      </c>
      <c r="G160" s="55" t="str">
        <f>IF($Q160="","",INDEX(TRANSACTIONS_MASTER!$K$5:$K$1204,$Q160))</f>
        <v/>
      </c>
      <c r="H160" s="25" t="str">
        <f>IF($Q160="","",INDEX(TRANSACTIONS_MASTER!$L$5:$L$1204,$Q160))</f>
        <v/>
      </c>
      <c r="I160" s="56" t="str">
        <f>IF($Q160="","",INDEX(TRANSACTIONS_MASTER!$N$5:$N$1204,$Q160))</f>
        <v/>
      </c>
      <c r="J160" s="25" t="str">
        <f>IF($Q160="","",INDEX(TRANSACTIONS_MASTER!$O$5:$O$1204,$Q160))</f>
        <v/>
      </c>
      <c r="K160" s="26" t="str">
        <f>IF($Q160="","",INDEX(TRANSACTIONS_MASTER!$Q$5:$Q$1204,$Q160))</f>
        <v/>
      </c>
      <c r="L160" s="25" t="str">
        <f>IF($Q160="","",INDEX(TRANSACTIONS_MASTER!$P$5:$P$1204,$Q160))</f>
        <v/>
      </c>
      <c r="M160" s="25" t="str">
        <f>IF($Q160="","",INDEX(TRANSACTIONS_MASTER!$AA$5:$AA$1204,$Q160))</f>
        <v/>
      </c>
      <c r="N160" s="25" t="str">
        <f>IF($Q160="","",INDEX(TRANSACTIONS_MASTER!$R$5:$R$1204,$Q160))</f>
        <v/>
      </c>
      <c r="O160" s="28" t="str">
        <f>IF($Q160="","",INDEX(TRANSACTIONS_MASTER!$AB$5:$AB$1204,$Q160))</f>
        <v/>
      </c>
      <c r="P160" s="55" t="str">
        <f>IF($Q160="","",INDEX(TRANSACTIONS_MASTER!$Z$5:$Z$1204,$Q160)&amp;"")</f>
        <v/>
      </c>
      <c r="Q160" s="67" t="str">
        <f>IFERROR(MATCH($C$2&amp;"|"&amp;153,TRANSACTIONS_MASTER!$AE$5:$AE$1204,0),"")</f>
        <v/>
      </c>
      <c r="S160" s="67" t="str">
        <f>IFERROR(MATCH(1,INDEX((TRANSACTIONS_MASTER!$C$5:$C$1204=$C$2)*(TRANSACTIONS_MASTER!$AN$5:$AN$1204=2),0),0),"")</f>
        <v/>
      </c>
      <c r="T160" s="55" t="n"/>
      <c r="U160" s="55" t="str">
        <f>IF($S160="","",INDEX(TRANSACTIONS_MASTER!$G$5:$G$1204,$S160)&amp;"")</f>
        <v/>
      </c>
      <c r="V160" s="25" t="str">
        <f>IF($S160="","",SUMIFS(TRANSACTIONS_MASTER!$L$5:$L$1204,TRANSACTIONS_MASTER!$G$5:$G$1204,$U160,TRANSACTIONS_MASTER!$C$5:$C$1204,$C$2,TRANSACTIONS_MASTER!$U$5:$U$1204,"&lt;&gt;Cancelled"))</f>
        <v/>
      </c>
      <c r="W160" s="26" t="str">
        <f>IF($S160="","",SUMIFS(TRANSACTIONS_MASTER!$Q$5:$Q$1204,TRANSACTIONS_MASTER!$G$5:$G$1204,$U160,TRANSACTIONS_MASTER!$C$5:$C$1204,$C$2))</f>
        <v/>
      </c>
    </row>
    <row r="161">
      <c r="A161" s="81" t="str">
        <f>IF($Q161="","",154)</f>
        <v/>
      </c>
      <c r="B161" s="57" t="str">
        <f>IF($Q161="","",INDEX(TRANSACTIONS_MASTER!$B$5:$B$1204,$Q161))</f>
        <v/>
      </c>
      <c r="C161" s="55" t="str">
        <f>IF($Q161="","",INDEX(TRANSACTIONS_MASTER!$F$5:$F$1204,$Q161))</f>
        <v/>
      </c>
      <c r="D161" s="55" t="str">
        <f>IF($Q161="","",INDEX(TRANSACTIONS_MASTER!$E$5:$E$1204,$Q161))</f>
        <v/>
      </c>
      <c r="E161" s="55" t="str">
        <f>IF($Q161="","",INDEX(TRANSACTIONS_MASTER!$G$5:$G$1204,$Q161)&amp;"")</f>
        <v/>
      </c>
      <c r="F161" s="29" t="str">
        <f>IF($Q161="","",INDEX(TRANSACTIONS_MASTER!$I$5:$I$1204,$Q161))</f>
        <v/>
      </c>
      <c r="G161" s="55" t="str">
        <f>IF($Q161="","",INDEX(TRANSACTIONS_MASTER!$K$5:$K$1204,$Q161))</f>
        <v/>
      </c>
      <c r="H161" s="25" t="str">
        <f>IF($Q161="","",INDEX(TRANSACTIONS_MASTER!$L$5:$L$1204,$Q161))</f>
        <v/>
      </c>
      <c r="I161" s="56" t="str">
        <f>IF($Q161="","",INDEX(TRANSACTIONS_MASTER!$N$5:$N$1204,$Q161))</f>
        <v/>
      </c>
      <c r="J161" s="25" t="str">
        <f>IF($Q161="","",INDEX(TRANSACTIONS_MASTER!$O$5:$O$1204,$Q161))</f>
        <v/>
      </c>
      <c r="K161" s="26" t="str">
        <f>IF($Q161="","",INDEX(TRANSACTIONS_MASTER!$Q$5:$Q$1204,$Q161))</f>
        <v/>
      </c>
      <c r="L161" s="25" t="str">
        <f>IF($Q161="","",INDEX(TRANSACTIONS_MASTER!$P$5:$P$1204,$Q161))</f>
        <v/>
      </c>
      <c r="M161" s="25" t="str">
        <f>IF($Q161="","",INDEX(TRANSACTIONS_MASTER!$AA$5:$AA$1204,$Q161))</f>
        <v/>
      </c>
      <c r="N161" s="25" t="str">
        <f>IF($Q161="","",INDEX(TRANSACTIONS_MASTER!$R$5:$R$1204,$Q161))</f>
        <v/>
      </c>
      <c r="O161" s="28" t="str">
        <f>IF($Q161="","",INDEX(TRANSACTIONS_MASTER!$AB$5:$AB$1204,$Q161))</f>
        <v/>
      </c>
      <c r="P161" s="55" t="str">
        <f>IF($Q161="","",INDEX(TRANSACTIONS_MASTER!$Z$5:$Z$1204,$Q161)&amp;"")</f>
        <v/>
      </c>
      <c r="Q161" s="67" t="str">
        <f>IFERROR(MATCH($C$2&amp;"|"&amp;154,TRANSACTIONS_MASTER!$AE$5:$AE$1204,0),"")</f>
        <v/>
      </c>
      <c r="S161" s="67" t="str">
        <f>IFERROR(MATCH(1,INDEX((TRANSACTIONS_MASTER!$C$5:$C$1204=$C$2)*(TRANSACTIONS_MASTER!$AN$5:$AN$1204=3),0),0),"")</f>
        <v/>
      </c>
      <c r="T161" s="55" t="n"/>
      <c r="U161" s="55" t="str">
        <f>IF($S161="","",INDEX(TRANSACTIONS_MASTER!$G$5:$G$1204,$S161)&amp;"")</f>
        <v/>
      </c>
      <c r="V161" s="25" t="str">
        <f>IF($S161="","",SUMIFS(TRANSACTIONS_MASTER!$L$5:$L$1204,TRANSACTIONS_MASTER!$G$5:$G$1204,$U161,TRANSACTIONS_MASTER!$C$5:$C$1204,$C$2,TRANSACTIONS_MASTER!$U$5:$U$1204,"&lt;&gt;Cancelled"))</f>
        <v/>
      </c>
      <c r="W161" s="26" t="str">
        <f>IF($S161="","",SUMIFS(TRANSACTIONS_MASTER!$Q$5:$Q$1204,TRANSACTIONS_MASTER!$G$5:$G$1204,$U161,TRANSACTIONS_MASTER!$C$5:$C$1204,$C$2))</f>
        <v/>
      </c>
    </row>
    <row r="162">
      <c r="A162" s="81" t="str">
        <f>IF($Q162="","",155)</f>
        <v/>
      </c>
      <c r="B162" s="57" t="str">
        <f>IF($Q162="","",INDEX(TRANSACTIONS_MASTER!$B$5:$B$1204,$Q162))</f>
        <v/>
      </c>
      <c r="C162" s="55" t="str">
        <f>IF($Q162="","",INDEX(TRANSACTIONS_MASTER!$F$5:$F$1204,$Q162))</f>
        <v/>
      </c>
      <c r="D162" s="55" t="str">
        <f>IF($Q162="","",INDEX(TRANSACTIONS_MASTER!$E$5:$E$1204,$Q162))</f>
        <v/>
      </c>
      <c r="E162" s="55" t="str">
        <f>IF($Q162="","",INDEX(TRANSACTIONS_MASTER!$G$5:$G$1204,$Q162)&amp;"")</f>
        <v/>
      </c>
      <c r="F162" s="29" t="str">
        <f>IF($Q162="","",INDEX(TRANSACTIONS_MASTER!$I$5:$I$1204,$Q162))</f>
        <v/>
      </c>
      <c r="G162" s="55" t="str">
        <f>IF($Q162="","",INDEX(TRANSACTIONS_MASTER!$K$5:$K$1204,$Q162))</f>
        <v/>
      </c>
      <c r="H162" s="25" t="str">
        <f>IF($Q162="","",INDEX(TRANSACTIONS_MASTER!$L$5:$L$1204,$Q162))</f>
        <v/>
      </c>
      <c r="I162" s="56" t="str">
        <f>IF($Q162="","",INDEX(TRANSACTIONS_MASTER!$N$5:$N$1204,$Q162))</f>
        <v/>
      </c>
      <c r="J162" s="25" t="str">
        <f>IF($Q162="","",INDEX(TRANSACTIONS_MASTER!$O$5:$O$1204,$Q162))</f>
        <v/>
      </c>
      <c r="K162" s="26" t="str">
        <f>IF($Q162="","",INDEX(TRANSACTIONS_MASTER!$Q$5:$Q$1204,$Q162))</f>
        <v/>
      </c>
      <c r="L162" s="25" t="str">
        <f>IF($Q162="","",INDEX(TRANSACTIONS_MASTER!$P$5:$P$1204,$Q162))</f>
        <v/>
      </c>
      <c r="M162" s="25" t="str">
        <f>IF($Q162="","",INDEX(TRANSACTIONS_MASTER!$AA$5:$AA$1204,$Q162))</f>
        <v/>
      </c>
      <c r="N162" s="25" t="str">
        <f>IF($Q162="","",INDEX(TRANSACTIONS_MASTER!$R$5:$R$1204,$Q162))</f>
        <v/>
      </c>
      <c r="O162" s="28" t="str">
        <f>IF($Q162="","",INDEX(TRANSACTIONS_MASTER!$AB$5:$AB$1204,$Q162))</f>
        <v/>
      </c>
      <c r="P162" s="55" t="str">
        <f>IF($Q162="","",INDEX(TRANSACTIONS_MASTER!$Z$5:$Z$1204,$Q162)&amp;"")</f>
        <v/>
      </c>
      <c r="Q162" s="67" t="str">
        <f>IFERROR(MATCH($C$2&amp;"|"&amp;155,TRANSACTIONS_MASTER!$AE$5:$AE$1204,0),"")</f>
        <v/>
      </c>
      <c r="S162" s="67" t="str">
        <f>IFERROR(MATCH(1,INDEX((TRANSACTIONS_MASTER!$C$5:$C$1204=$C$2)*(TRANSACTIONS_MASTER!$AN$5:$AN$1204=4),0),0),"")</f>
        <v/>
      </c>
      <c r="T162" s="55" t="n"/>
      <c r="U162" s="55" t="str">
        <f>IF($S162="","",INDEX(TRANSACTIONS_MASTER!$G$5:$G$1204,$S162)&amp;"")</f>
        <v/>
      </c>
      <c r="V162" s="25" t="str">
        <f>IF($S162="","",SUMIFS(TRANSACTIONS_MASTER!$L$5:$L$1204,TRANSACTIONS_MASTER!$G$5:$G$1204,$U162,TRANSACTIONS_MASTER!$C$5:$C$1204,$C$2,TRANSACTIONS_MASTER!$U$5:$U$1204,"&lt;&gt;Cancelled"))</f>
        <v/>
      </c>
      <c r="W162" s="26" t="str">
        <f>IF($S162="","",SUMIFS(TRANSACTIONS_MASTER!$Q$5:$Q$1204,TRANSACTIONS_MASTER!$G$5:$G$1204,$U162,TRANSACTIONS_MASTER!$C$5:$C$1204,$C$2))</f>
        <v/>
      </c>
    </row>
    <row r="163">
      <c r="A163" s="81" t="str">
        <f>IF($Q163="","",156)</f>
        <v/>
      </c>
      <c r="B163" s="57" t="str">
        <f>IF($Q163="","",INDEX(TRANSACTIONS_MASTER!$B$5:$B$1204,$Q163))</f>
        <v/>
      </c>
      <c r="C163" s="55" t="str">
        <f>IF($Q163="","",INDEX(TRANSACTIONS_MASTER!$F$5:$F$1204,$Q163))</f>
        <v/>
      </c>
      <c r="D163" s="55" t="str">
        <f>IF($Q163="","",INDEX(TRANSACTIONS_MASTER!$E$5:$E$1204,$Q163))</f>
        <v/>
      </c>
      <c r="E163" s="55" t="str">
        <f>IF($Q163="","",INDEX(TRANSACTIONS_MASTER!$G$5:$G$1204,$Q163)&amp;"")</f>
        <v/>
      </c>
      <c r="F163" s="29" t="str">
        <f>IF($Q163="","",INDEX(TRANSACTIONS_MASTER!$I$5:$I$1204,$Q163))</f>
        <v/>
      </c>
      <c r="G163" s="55" t="str">
        <f>IF($Q163="","",INDEX(TRANSACTIONS_MASTER!$K$5:$K$1204,$Q163))</f>
        <v/>
      </c>
      <c r="H163" s="25" t="str">
        <f>IF($Q163="","",INDEX(TRANSACTIONS_MASTER!$L$5:$L$1204,$Q163))</f>
        <v/>
      </c>
      <c r="I163" s="56" t="str">
        <f>IF($Q163="","",INDEX(TRANSACTIONS_MASTER!$N$5:$N$1204,$Q163))</f>
        <v/>
      </c>
      <c r="J163" s="25" t="str">
        <f>IF($Q163="","",INDEX(TRANSACTIONS_MASTER!$O$5:$O$1204,$Q163))</f>
        <v/>
      </c>
      <c r="K163" s="26" t="str">
        <f>IF($Q163="","",INDEX(TRANSACTIONS_MASTER!$Q$5:$Q$1204,$Q163))</f>
        <v/>
      </c>
      <c r="L163" s="25" t="str">
        <f>IF($Q163="","",INDEX(TRANSACTIONS_MASTER!$P$5:$P$1204,$Q163))</f>
        <v/>
      </c>
      <c r="M163" s="25" t="str">
        <f>IF($Q163="","",INDEX(TRANSACTIONS_MASTER!$AA$5:$AA$1204,$Q163))</f>
        <v/>
      </c>
      <c r="N163" s="25" t="str">
        <f>IF($Q163="","",INDEX(TRANSACTIONS_MASTER!$R$5:$R$1204,$Q163))</f>
        <v/>
      </c>
      <c r="O163" s="28" t="str">
        <f>IF($Q163="","",INDEX(TRANSACTIONS_MASTER!$AB$5:$AB$1204,$Q163))</f>
        <v/>
      </c>
      <c r="P163" s="55" t="str">
        <f>IF($Q163="","",INDEX(TRANSACTIONS_MASTER!$Z$5:$Z$1204,$Q163)&amp;"")</f>
        <v/>
      </c>
      <c r="Q163" s="67" t="str">
        <f>IFERROR(MATCH($C$2&amp;"|"&amp;156,TRANSACTIONS_MASTER!$AE$5:$AE$1204,0),"")</f>
        <v/>
      </c>
      <c r="S163" s="67" t="str">
        <f>IFERROR(MATCH(1,INDEX((TRANSACTIONS_MASTER!$C$5:$C$1204=$C$2)*(TRANSACTIONS_MASTER!$AN$5:$AN$1204=5),0),0),"")</f>
        <v/>
      </c>
      <c r="T163" s="55" t="n"/>
      <c r="U163" s="55" t="str">
        <f>IF($S163="","",INDEX(TRANSACTIONS_MASTER!$G$5:$G$1204,$S163)&amp;"")</f>
        <v/>
      </c>
      <c r="V163" s="25" t="str">
        <f>IF($S163="","",SUMIFS(TRANSACTIONS_MASTER!$L$5:$L$1204,TRANSACTIONS_MASTER!$G$5:$G$1204,$U163,TRANSACTIONS_MASTER!$C$5:$C$1204,$C$2,TRANSACTIONS_MASTER!$U$5:$U$1204,"&lt;&gt;Cancelled"))</f>
        <v/>
      </c>
      <c r="W163" s="26" t="str">
        <f>IF($S163="","",SUMIFS(TRANSACTIONS_MASTER!$Q$5:$Q$1204,TRANSACTIONS_MASTER!$G$5:$G$1204,$U163,TRANSACTIONS_MASTER!$C$5:$C$1204,$C$2))</f>
        <v/>
      </c>
    </row>
    <row r="164">
      <c r="A164" s="81" t="str">
        <f>IF($Q164="","",157)</f>
        <v/>
      </c>
      <c r="B164" s="57" t="str">
        <f>IF($Q164="","",INDEX(TRANSACTIONS_MASTER!$B$5:$B$1204,$Q164))</f>
        <v/>
      </c>
      <c r="C164" s="55" t="str">
        <f>IF($Q164="","",INDEX(TRANSACTIONS_MASTER!$F$5:$F$1204,$Q164))</f>
        <v/>
      </c>
      <c r="D164" s="55" t="str">
        <f>IF($Q164="","",INDEX(TRANSACTIONS_MASTER!$E$5:$E$1204,$Q164))</f>
        <v/>
      </c>
      <c r="E164" s="55" t="str">
        <f>IF($Q164="","",INDEX(TRANSACTIONS_MASTER!$G$5:$G$1204,$Q164)&amp;"")</f>
        <v/>
      </c>
      <c r="F164" s="29" t="str">
        <f>IF($Q164="","",INDEX(TRANSACTIONS_MASTER!$I$5:$I$1204,$Q164))</f>
        <v/>
      </c>
      <c r="G164" s="55" t="str">
        <f>IF($Q164="","",INDEX(TRANSACTIONS_MASTER!$K$5:$K$1204,$Q164))</f>
        <v/>
      </c>
      <c r="H164" s="25" t="str">
        <f>IF($Q164="","",INDEX(TRANSACTIONS_MASTER!$L$5:$L$1204,$Q164))</f>
        <v/>
      </c>
      <c r="I164" s="56" t="str">
        <f>IF($Q164="","",INDEX(TRANSACTIONS_MASTER!$N$5:$N$1204,$Q164))</f>
        <v/>
      </c>
      <c r="J164" s="25" t="str">
        <f>IF($Q164="","",INDEX(TRANSACTIONS_MASTER!$O$5:$O$1204,$Q164))</f>
        <v/>
      </c>
      <c r="K164" s="26" t="str">
        <f>IF($Q164="","",INDEX(TRANSACTIONS_MASTER!$Q$5:$Q$1204,$Q164))</f>
        <v/>
      </c>
      <c r="L164" s="25" t="str">
        <f>IF($Q164="","",INDEX(TRANSACTIONS_MASTER!$P$5:$P$1204,$Q164))</f>
        <v/>
      </c>
      <c r="M164" s="25" t="str">
        <f>IF($Q164="","",INDEX(TRANSACTIONS_MASTER!$AA$5:$AA$1204,$Q164))</f>
        <v/>
      </c>
      <c r="N164" s="25" t="str">
        <f>IF($Q164="","",INDEX(TRANSACTIONS_MASTER!$R$5:$R$1204,$Q164))</f>
        <v/>
      </c>
      <c r="O164" s="28" t="str">
        <f>IF($Q164="","",INDEX(TRANSACTIONS_MASTER!$AB$5:$AB$1204,$Q164))</f>
        <v/>
      </c>
      <c r="P164" s="55" t="str">
        <f>IF($Q164="","",INDEX(TRANSACTIONS_MASTER!$Z$5:$Z$1204,$Q164)&amp;"")</f>
        <v/>
      </c>
      <c r="Q164" s="67" t="str">
        <f>IFERROR(MATCH($C$2&amp;"|"&amp;157,TRANSACTIONS_MASTER!$AE$5:$AE$1204,0),"")</f>
        <v/>
      </c>
      <c r="S164" s="67" t="str">
        <f>IFERROR(MATCH(1,INDEX((TRANSACTIONS_MASTER!$C$5:$C$1204=$C$2)*(TRANSACTIONS_MASTER!$AN$5:$AN$1204=6),0),0),"")</f>
        <v/>
      </c>
      <c r="T164" s="55" t="n"/>
      <c r="U164" s="55" t="str">
        <f>IF($S164="","",INDEX(TRANSACTIONS_MASTER!$G$5:$G$1204,$S164)&amp;"")</f>
        <v/>
      </c>
      <c r="V164" s="25" t="str">
        <f>IF($S164="","",SUMIFS(TRANSACTIONS_MASTER!$L$5:$L$1204,TRANSACTIONS_MASTER!$G$5:$G$1204,$U164,TRANSACTIONS_MASTER!$C$5:$C$1204,$C$2,TRANSACTIONS_MASTER!$U$5:$U$1204,"&lt;&gt;Cancelled"))</f>
        <v/>
      </c>
      <c r="W164" s="26" t="str">
        <f>IF($S164="","",SUMIFS(TRANSACTIONS_MASTER!$Q$5:$Q$1204,TRANSACTIONS_MASTER!$G$5:$G$1204,$U164,TRANSACTIONS_MASTER!$C$5:$C$1204,$C$2))</f>
        <v/>
      </c>
    </row>
    <row r="165">
      <c r="A165" s="81" t="str">
        <f>IF($Q165="","",158)</f>
        <v/>
      </c>
      <c r="B165" s="57" t="str">
        <f>IF($Q165="","",INDEX(TRANSACTIONS_MASTER!$B$5:$B$1204,$Q165))</f>
        <v/>
      </c>
      <c r="C165" s="55" t="str">
        <f>IF($Q165="","",INDEX(TRANSACTIONS_MASTER!$F$5:$F$1204,$Q165))</f>
        <v/>
      </c>
      <c r="D165" s="55" t="str">
        <f>IF($Q165="","",INDEX(TRANSACTIONS_MASTER!$E$5:$E$1204,$Q165))</f>
        <v/>
      </c>
      <c r="E165" s="55" t="str">
        <f>IF($Q165="","",INDEX(TRANSACTIONS_MASTER!$G$5:$G$1204,$Q165)&amp;"")</f>
        <v/>
      </c>
      <c r="F165" s="29" t="str">
        <f>IF($Q165="","",INDEX(TRANSACTIONS_MASTER!$I$5:$I$1204,$Q165))</f>
        <v/>
      </c>
      <c r="G165" s="55" t="str">
        <f>IF($Q165="","",INDEX(TRANSACTIONS_MASTER!$K$5:$K$1204,$Q165))</f>
        <v/>
      </c>
      <c r="H165" s="25" t="str">
        <f>IF($Q165="","",INDEX(TRANSACTIONS_MASTER!$L$5:$L$1204,$Q165))</f>
        <v/>
      </c>
      <c r="I165" s="56" t="str">
        <f>IF($Q165="","",INDEX(TRANSACTIONS_MASTER!$N$5:$N$1204,$Q165))</f>
        <v/>
      </c>
      <c r="J165" s="25" t="str">
        <f>IF($Q165="","",INDEX(TRANSACTIONS_MASTER!$O$5:$O$1204,$Q165))</f>
        <v/>
      </c>
      <c r="K165" s="26" t="str">
        <f>IF($Q165="","",INDEX(TRANSACTIONS_MASTER!$Q$5:$Q$1204,$Q165))</f>
        <v/>
      </c>
      <c r="L165" s="25" t="str">
        <f>IF($Q165="","",INDEX(TRANSACTIONS_MASTER!$P$5:$P$1204,$Q165))</f>
        <v/>
      </c>
      <c r="M165" s="25" t="str">
        <f>IF($Q165="","",INDEX(TRANSACTIONS_MASTER!$AA$5:$AA$1204,$Q165))</f>
        <v/>
      </c>
      <c r="N165" s="25" t="str">
        <f>IF($Q165="","",INDEX(TRANSACTIONS_MASTER!$R$5:$R$1204,$Q165))</f>
        <v/>
      </c>
      <c r="O165" s="28" t="str">
        <f>IF($Q165="","",INDEX(TRANSACTIONS_MASTER!$AB$5:$AB$1204,$Q165))</f>
        <v/>
      </c>
      <c r="P165" s="55" t="str">
        <f>IF($Q165="","",INDEX(TRANSACTIONS_MASTER!$Z$5:$Z$1204,$Q165)&amp;"")</f>
        <v/>
      </c>
      <c r="Q165" s="67" t="str">
        <f>IFERROR(MATCH($C$2&amp;"|"&amp;158,TRANSACTIONS_MASTER!$AE$5:$AE$1204,0),"")</f>
        <v/>
      </c>
      <c r="S165" s="67" t="str">
        <f>IFERROR(MATCH(1,INDEX((TRANSACTIONS_MASTER!$C$5:$C$1204=$C$2)*(TRANSACTIONS_MASTER!$AN$5:$AN$1204=7),0),0),"")</f>
        <v/>
      </c>
      <c r="T165" s="55" t="n"/>
      <c r="U165" s="55" t="str">
        <f>IF($S165="","",INDEX(TRANSACTIONS_MASTER!$G$5:$G$1204,$S165)&amp;"")</f>
        <v/>
      </c>
      <c r="V165" s="25" t="str">
        <f>IF($S165="","",SUMIFS(TRANSACTIONS_MASTER!$L$5:$L$1204,TRANSACTIONS_MASTER!$G$5:$G$1204,$U165,TRANSACTIONS_MASTER!$C$5:$C$1204,$C$2,TRANSACTIONS_MASTER!$U$5:$U$1204,"&lt;&gt;Cancelled"))</f>
        <v/>
      </c>
      <c r="W165" s="26" t="str">
        <f>IF($S165="","",SUMIFS(TRANSACTIONS_MASTER!$Q$5:$Q$1204,TRANSACTIONS_MASTER!$G$5:$G$1204,$U165,TRANSACTIONS_MASTER!$C$5:$C$1204,$C$2))</f>
        <v/>
      </c>
    </row>
    <row r="166">
      <c r="A166" s="81" t="str">
        <f>IF($Q166="","",159)</f>
        <v/>
      </c>
      <c r="B166" s="57" t="str">
        <f>IF($Q166="","",INDEX(TRANSACTIONS_MASTER!$B$5:$B$1204,$Q166))</f>
        <v/>
      </c>
      <c r="C166" s="55" t="str">
        <f>IF($Q166="","",INDEX(TRANSACTIONS_MASTER!$F$5:$F$1204,$Q166))</f>
        <v/>
      </c>
      <c r="D166" s="55" t="str">
        <f>IF($Q166="","",INDEX(TRANSACTIONS_MASTER!$E$5:$E$1204,$Q166))</f>
        <v/>
      </c>
      <c r="E166" s="55" t="str">
        <f>IF($Q166="","",INDEX(TRANSACTIONS_MASTER!$G$5:$G$1204,$Q166)&amp;"")</f>
        <v/>
      </c>
      <c r="F166" s="29" t="str">
        <f>IF($Q166="","",INDEX(TRANSACTIONS_MASTER!$I$5:$I$1204,$Q166))</f>
        <v/>
      </c>
      <c r="G166" s="55" t="str">
        <f>IF($Q166="","",INDEX(TRANSACTIONS_MASTER!$K$5:$K$1204,$Q166))</f>
        <v/>
      </c>
      <c r="H166" s="25" t="str">
        <f>IF($Q166="","",INDEX(TRANSACTIONS_MASTER!$L$5:$L$1204,$Q166))</f>
        <v/>
      </c>
      <c r="I166" s="56" t="str">
        <f>IF($Q166="","",INDEX(TRANSACTIONS_MASTER!$N$5:$N$1204,$Q166))</f>
        <v/>
      </c>
      <c r="J166" s="25" t="str">
        <f>IF($Q166="","",INDEX(TRANSACTIONS_MASTER!$O$5:$O$1204,$Q166))</f>
        <v/>
      </c>
      <c r="K166" s="26" t="str">
        <f>IF($Q166="","",INDEX(TRANSACTIONS_MASTER!$Q$5:$Q$1204,$Q166))</f>
        <v/>
      </c>
      <c r="L166" s="25" t="str">
        <f>IF($Q166="","",INDEX(TRANSACTIONS_MASTER!$P$5:$P$1204,$Q166))</f>
        <v/>
      </c>
      <c r="M166" s="25" t="str">
        <f>IF($Q166="","",INDEX(TRANSACTIONS_MASTER!$AA$5:$AA$1204,$Q166))</f>
        <v/>
      </c>
      <c r="N166" s="25" t="str">
        <f>IF($Q166="","",INDEX(TRANSACTIONS_MASTER!$R$5:$R$1204,$Q166))</f>
        <v/>
      </c>
      <c r="O166" s="28" t="str">
        <f>IF($Q166="","",INDEX(TRANSACTIONS_MASTER!$AB$5:$AB$1204,$Q166))</f>
        <v/>
      </c>
      <c r="P166" s="55" t="str">
        <f>IF($Q166="","",INDEX(TRANSACTIONS_MASTER!$Z$5:$Z$1204,$Q166)&amp;"")</f>
        <v/>
      </c>
      <c r="Q166" s="67" t="str">
        <f>IFERROR(MATCH($C$2&amp;"|"&amp;159,TRANSACTIONS_MASTER!$AE$5:$AE$1204,0),"")</f>
        <v/>
      </c>
      <c r="S166" s="67" t="str">
        <f>IFERROR(MATCH(1,INDEX((TRANSACTIONS_MASTER!$C$5:$C$1204=$C$2)*(TRANSACTIONS_MASTER!$AN$5:$AN$1204=8),0),0),"")</f>
        <v/>
      </c>
      <c r="T166" s="55" t="n"/>
      <c r="U166" s="55" t="str">
        <f>IF($S166="","",INDEX(TRANSACTIONS_MASTER!$G$5:$G$1204,$S166)&amp;"")</f>
        <v/>
      </c>
      <c r="V166" s="25" t="str">
        <f>IF($S166="","",SUMIFS(TRANSACTIONS_MASTER!$L$5:$L$1204,TRANSACTIONS_MASTER!$G$5:$G$1204,$U166,TRANSACTIONS_MASTER!$C$5:$C$1204,$C$2,TRANSACTIONS_MASTER!$U$5:$U$1204,"&lt;&gt;Cancelled"))</f>
        <v/>
      </c>
      <c r="W166" s="26" t="str">
        <f>IF($S166="","",SUMIFS(TRANSACTIONS_MASTER!$Q$5:$Q$1204,TRANSACTIONS_MASTER!$G$5:$G$1204,$U166,TRANSACTIONS_MASTER!$C$5:$C$1204,$C$2))</f>
        <v/>
      </c>
    </row>
    <row r="167">
      <c r="A167" s="81" t="str">
        <f>IF($Q167="","",160)</f>
        <v/>
      </c>
      <c r="B167" s="57" t="str">
        <f>IF($Q167="","",INDEX(TRANSACTIONS_MASTER!$B$5:$B$1204,$Q167))</f>
        <v/>
      </c>
      <c r="C167" s="55" t="str">
        <f>IF($Q167="","",INDEX(TRANSACTIONS_MASTER!$F$5:$F$1204,$Q167))</f>
        <v/>
      </c>
      <c r="D167" s="55" t="str">
        <f>IF($Q167="","",INDEX(TRANSACTIONS_MASTER!$E$5:$E$1204,$Q167))</f>
        <v/>
      </c>
      <c r="E167" s="55" t="str">
        <f>IF($Q167="","",INDEX(TRANSACTIONS_MASTER!$G$5:$G$1204,$Q167)&amp;"")</f>
        <v/>
      </c>
      <c r="F167" s="29" t="str">
        <f>IF($Q167="","",INDEX(TRANSACTIONS_MASTER!$I$5:$I$1204,$Q167))</f>
        <v/>
      </c>
      <c r="G167" s="55" t="str">
        <f>IF($Q167="","",INDEX(TRANSACTIONS_MASTER!$K$5:$K$1204,$Q167))</f>
        <v/>
      </c>
      <c r="H167" s="25" t="str">
        <f>IF($Q167="","",INDEX(TRANSACTIONS_MASTER!$L$5:$L$1204,$Q167))</f>
        <v/>
      </c>
      <c r="I167" s="56" t="str">
        <f>IF($Q167="","",INDEX(TRANSACTIONS_MASTER!$N$5:$N$1204,$Q167))</f>
        <v/>
      </c>
      <c r="J167" s="25" t="str">
        <f>IF($Q167="","",INDEX(TRANSACTIONS_MASTER!$O$5:$O$1204,$Q167))</f>
        <v/>
      </c>
      <c r="K167" s="26" t="str">
        <f>IF($Q167="","",INDEX(TRANSACTIONS_MASTER!$Q$5:$Q$1204,$Q167))</f>
        <v/>
      </c>
      <c r="L167" s="25" t="str">
        <f>IF($Q167="","",INDEX(TRANSACTIONS_MASTER!$P$5:$P$1204,$Q167))</f>
        <v/>
      </c>
      <c r="M167" s="25" t="str">
        <f>IF($Q167="","",INDEX(TRANSACTIONS_MASTER!$AA$5:$AA$1204,$Q167))</f>
        <v/>
      </c>
      <c r="N167" s="25" t="str">
        <f>IF($Q167="","",INDEX(TRANSACTIONS_MASTER!$R$5:$R$1204,$Q167))</f>
        <v/>
      </c>
      <c r="O167" s="28" t="str">
        <f>IF($Q167="","",INDEX(TRANSACTIONS_MASTER!$AB$5:$AB$1204,$Q167))</f>
        <v/>
      </c>
      <c r="P167" s="55" t="str">
        <f>IF($Q167="","",INDEX(TRANSACTIONS_MASTER!$Z$5:$Z$1204,$Q167)&amp;"")</f>
        <v/>
      </c>
      <c r="Q167" s="67" t="str">
        <f>IFERROR(MATCH($C$2&amp;"|"&amp;160,TRANSACTIONS_MASTER!$AE$5:$AE$1204,0),"")</f>
        <v/>
      </c>
      <c r="S167" s="67" t="str">
        <f>IFERROR(MATCH(1,INDEX((TRANSACTIONS_MASTER!$C$5:$C$1204=$C$2)*(TRANSACTIONS_MASTER!$AN$5:$AN$1204=9),0),0),"")</f>
        <v/>
      </c>
      <c r="T167" s="55" t="n"/>
      <c r="U167" s="55" t="str">
        <f>IF($S167="","",INDEX(TRANSACTIONS_MASTER!$G$5:$G$1204,$S167)&amp;"")</f>
        <v/>
      </c>
      <c r="V167" s="25" t="str">
        <f>IF($S167="","",SUMIFS(TRANSACTIONS_MASTER!$L$5:$L$1204,TRANSACTIONS_MASTER!$G$5:$G$1204,$U167,TRANSACTIONS_MASTER!$C$5:$C$1204,$C$2,TRANSACTIONS_MASTER!$U$5:$U$1204,"&lt;&gt;Cancelled"))</f>
        <v/>
      </c>
      <c r="W167" s="26" t="str">
        <f>IF($S167="","",SUMIFS(TRANSACTIONS_MASTER!$Q$5:$Q$1204,TRANSACTIONS_MASTER!$G$5:$G$1204,$U167,TRANSACTIONS_MASTER!$C$5:$C$1204,$C$2))</f>
        <v/>
      </c>
    </row>
    <row r="168">
      <c r="A168" s="81" t="str">
        <f>IF($Q168="","",161)</f>
        <v/>
      </c>
      <c r="B168" s="57" t="str">
        <f>IF($Q168="","",INDEX(TRANSACTIONS_MASTER!$B$5:$B$1204,$Q168))</f>
        <v/>
      </c>
      <c r="C168" s="55" t="str">
        <f>IF($Q168="","",INDEX(TRANSACTIONS_MASTER!$F$5:$F$1204,$Q168))</f>
        <v/>
      </c>
      <c r="D168" s="55" t="str">
        <f>IF($Q168="","",INDEX(TRANSACTIONS_MASTER!$E$5:$E$1204,$Q168))</f>
        <v/>
      </c>
      <c r="E168" s="55" t="str">
        <f>IF($Q168="","",INDEX(TRANSACTIONS_MASTER!$G$5:$G$1204,$Q168)&amp;"")</f>
        <v/>
      </c>
      <c r="F168" s="29" t="str">
        <f>IF($Q168="","",INDEX(TRANSACTIONS_MASTER!$I$5:$I$1204,$Q168))</f>
        <v/>
      </c>
      <c r="G168" s="55" t="str">
        <f>IF($Q168="","",INDEX(TRANSACTIONS_MASTER!$K$5:$K$1204,$Q168))</f>
        <v/>
      </c>
      <c r="H168" s="25" t="str">
        <f>IF($Q168="","",INDEX(TRANSACTIONS_MASTER!$L$5:$L$1204,$Q168))</f>
        <v/>
      </c>
      <c r="I168" s="56" t="str">
        <f>IF($Q168="","",INDEX(TRANSACTIONS_MASTER!$N$5:$N$1204,$Q168))</f>
        <v/>
      </c>
      <c r="J168" s="25" t="str">
        <f>IF($Q168="","",INDEX(TRANSACTIONS_MASTER!$O$5:$O$1204,$Q168))</f>
        <v/>
      </c>
      <c r="K168" s="26" t="str">
        <f>IF($Q168="","",INDEX(TRANSACTIONS_MASTER!$Q$5:$Q$1204,$Q168))</f>
        <v/>
      </c>
      <c r="L168" s="25" t="str">
        <f>IF($Q168="","",INDEX(TRANSACTIONS_MASTER!$P$5:$P$1204,$Q168))</f>
        <v/>
      </c>
      <c r="M168" s="25" t="str">
        <f>IF($Q168="","",INDEX(TRANSACTIONS_MASTER!$AA$5:$AA$1204,$Q168))</f>
        <v/>
      </c>
      <c r="N168" s="25" t="str">
        <f>IF($Q168="","",INDEX(TRANSACTIONS_MASTER!$R$5:$R$1204,$Q168))</f>
        <v/>
      </c>
      <c r="O168" s="28" t="str">
        <f>IF($Q168="","",INDEX(TRANSACTIONS_MASTER!$AB$5:$AB$1204,$Q168))</f>
        <v/>
      </c>
      <c r="P168" s="55" t="str">
        <f>IF($Q168="","",INDEX(TRANSACTIONS_MASTER!$Z$5:$Z$1204,$Q168)&amp;"")</f>
        <v/>
      </c>
      <c r="Q168" s="67" t="str">
        <f>IFERROR(MATCH($C$2&amp;"|"&amp;161,TRANSACTIONS_MASTER!$AE$5:$AE$1204,0),"")</f>
        <v/>
      </c>
      <c r="S168" s="67" t="str">
        <f>IFERROR(MATCH(1,INDEX((TRANSACTIONS_MASTER!$C$5:$C$1204=$C$2)*(TRANSACTIONS_MASTER!$AN$5:$AN$1204=10),0),0),"")</f>
        <v/>
      </c>
      <c r="T168" s="55" t="n"/>
      <c r="U168" s="55" t="str">
        <f>IF($S168="","",INDEX(TRANSACTIONS_MASTER!$G$5:$G$1204,$S168)&amp;"")</f>
        <v/>
      </c>
      <c r="V168" s="25" t="str">
        <f>IF($S168="","",SUMIFS(TRANSACTIONS_MASTER!$L$5:$L$1204,TRANSACTIONS_MASTER!$G$5:$G$1204,$U168,TRANSACTIONS_MASTER!$C$5:$C$1204,$C$2,TRANSACTIONS_MASTER!$U$5:$U$1204,"&lt;&gt;Cancelled"))</f>
        <v/>
      </c>
      <c r="W168" s="26" t="str">
        <f>IF($S168="","",SUMIFS(TRANSACTIONS_MASTER!$Q$5:$Q$1204,TRANSACTIONS_MASTER!$G$5:$G$1204,$U168,TRANSACTIONS_MASTER!$C$5:$C$1204,$C$2))</f>
        <v/>
      </c>
    </row>
    <row r="169">
      <c r="A169" s="81" t="str">
        <f>IF($Q169="","",162)</f>
        <v/>
      </c>
      <c r="B169" s="57" t="str">
        <f>IF($Q169="","",INDEX(TRANSACTIONS_MASTER!$B$5:$B$1204,$Q169))</f>
        <v/>
      </c>
      <c r="C169" s="55" t="str">
        <f>IF($Q169="","",INDEX(TRANSACTIONS_MASTER!$F$5:$F$1204,$Q169))</f>
        <v/>
      </c>
      <c r="D169" s="55" t="str">
        <f>IF($Q169="","",INDEX(TRANSACTIONS_MASTER!$E$5:$E$1204,$Q169))</f>
        <v/>
      </c>
      <c r="E169" s="55" t="str">
        <f>IF($Q169="","",INDEX(TRANSACTIONS_MASTER!$G$5:$G$1204,$Q169)&amp;"")</f>
        <v/>
      </c>
      <c r="F169" s="29" t="str">
        <f>IF($Q169="","",INDEX(TRANSACTIONS_MASTER!$I$5:$I$1204,$Q169))</f>
        <v/>
      </c>
      <c r="G169" s="55" t="str">
        <f>IF($Q169="","",INDEX(TRANSACTIONS_MASTER!$K$5:$K$1204,$Q169))</f>
        <v/>
      </c>
      <c r="H169" s="25" t="str">
        <f>IF($Q169="","",INDEX(TRANSACTIONS_MASTER!$L$5:$L$1204,$Q169))</f>
        <v/>
      </c>
      <c r="I169" s="56" t="str">
        <f>IF($Q169="","",INDEX(TRANSACTIONS_MASTER!$N$5:$N$1204,$Q169))</f>
        <v/>
      </c>
      <c r="J169" s="25" t="str">
        <f>IF($Q169="","",INDEX(TRANSACTIONS_MASTER!$O$5:$O$1204,$Q169))</f>
        <v/>
      </c>
      <c r="K169" s="26" t="str">
        <f>IF($Q169="","",INDEX(TRANSACTIONS_MASTER!$Q$5:$Q$1204,$Q169))</f>
        <v/>
      </c>
      <c r="L169" s="25" t="str">
        <f>IF($Q169="","",INDEX(TRANSACTIONS_MASTER!$P$5:$P$1204,$Q169))</f>
        <v/>
      </c>
      <c r="M169" s="25" t="str">
        <f>IF($Q169="","",INDEX(TRANSACTIONS_MASTER!$AA$5:$AA$1204,$Q169))</f>
        <v/>
      </c>
      <c r="N169" s="25" t="str">
        <f>IF($Q169="","",INDEX(TRANSACTIONS_MASTER!$R$5:$R$1204,$Q169))</f>
        <v/>
      </c>
      <c r="O169" s="28" t="str">
        <f>IF($Q169="","",INDEX(TRANSACTIONS_MASTER!$AB$5:$AB$1204,$Q169))</f>
        <v/>
      </c>
      <c r="P169" s="55" t="str">
        <f>IF($Q169="","",INDEX(TRANSACTIONS_MASTER!$Z$5:$Z$1204,$Q169)&amp;"")</f>
        <v/>
      </c>
      <c r="Q169" s="67" t="str">
        <f>IFERROR(MATCH($C$2&amp;"|"&amp;162,TRANSACTIONS_MASTER!$AE$5:$AE$1204,0),"")</f>
        <v/>
      </c>
      <c r="S169" s="67" t="str">
        <f>IFERROR(MATCH(1,INDEX((TRANSACTIONS_MASTER!$C$5:$C$1204=$C$2)*(TRANSACTIONS_MASTER!$AN$5:$AN$1204=11),0),0),"")</f>
        <v/>
      </c>
      <c r="T169" s="55" t="n"/>
      <c r="U169" s="55" t="str">
        <f>IF($S169="","",INDEX(TRANSACTIONS_MASTER!$G$5:$G$1204,$S169)&amp;"")</f>
        <v/>
      </c>
      <c r="V169" s="25" t="str">
        <f>IF($S169="","",SUMIFS(TRANSACTIONS_MASTER!$L$5:$L$1204,TRANSACTIONS_MASTER!$G$5:$G$1204,$U169,TRANSACTIONS_MASTER!$C$5:$C$1204,$C$2,TRANSACTIONS_MASTER!$U$5:$U$1204,"&lt;&gt;Cancelled"))</f>
        <v/>
      </c>
      <c r="W169" s="26" t="str">
        <f>IF($S169="","",SUMIFS(TRANSACTIONS_MASTER!$Q$5:$Q$1204,TRANSACTIONS_MASTER!$G$5:$G$1204,$U169,TRANSACTIONS_MASTER!$C$5:$C$1204,$C$2))</f>
        <v/>
      </c>
    </row>
    <row r="170">
      <c r="A170" s="81" t="str">
        <f>IF($Q170="","",163)</f>
        <v/>
      </c>
      <c r="B170" s="57" t="str">
        <f>IF($Q170="","",INDEX(TRANSACTIONS_MASTER!$B$5:$B$1204,$Q170))</f>
        <v/>
      </c>
      <c r="C170" s="55" t="str">
        <f>IF($Q170="","",INDEX(TRANSACTIONS_MASTER!$F$5:$F$1204,$Q170))</f>
        <v/>
      </c>
      <c r="D170" s="55" t="str">
        <f>IF($Q170="","",INDEX(TRANSACTIONS_MASTER!$E$5:$E$1204,$Q170))</f>
        <v/>
      </c>
      <c r="E170" s="55" t="str">
        <f>IF($Q170="","",INDEX(TRANSACTIONS_MASTER!$G$5:$G$1204,$Q170)&amp;"")</f>
        <v/>
      </c>
      <c r="F170" s="29" t="str">
        <f>IF($Q170="","",INDEX(TRANSACTIONS_MASTER!$I$5:$I$1204,$Q170))</f>
        <v/>
      </c>
      <c r="G170" s="55" t="str">
        <f>IF($Q170="","",INDEX(TRANSACTIONS_MASTER!$K$5:$K$1204,$Q170))</f>
        <v/>
      </c>
      <c r="H170" s="25" t="str">
        <f>IF($Q170="","",INDEX(TRANSACTIONS_MASTER!$L$5:$L$1204,$Q170))</f>
        <v/>
      </c>
      <c r="I170" s="56" t="str">
        <f>IF($Q170="","",INDEX(TRANSACTIONS_MASTER!$N$5:$N$1204,$Q170))</f>
        <v/>
      </c>
      <c r="J170" s="25" t="str">
        <f>IF($Q170="","",INDEX(TRANSACTIONS_MASTER!$O$5:$O$1204,$Q170))</f>
        <v/>
      </c>
      <c r="K170" s="26" t="str">
        <f>IF($Q170="","",INDEX(TRANSACTIONS_MASTER!$Q$5:$Q$1204,$Q170))</f>
        <v/>
      </c>
      <c r="L170" s="25" t="str">
        <f>IF($Q170="","",INDEX(TRANSACTIONS_MASTER!$P$5:$P$1204,$Q170))</f>
        <v/>
      </c>
      <c r="M170" s="25" t="str">
        <f>IF($Q170="","",INDEX(TRANSACTIONS_MASTER!$AA$5:$AA$1204,$Q170))</f>
        <v/>
      </c>
      <c r="N170" s="25" t="str">
        <f>IF($Q170="","",INDEX(TRANSACTIONS_MASTER!$R$5:$R$1204,$Q170))</f>
        <v/>
      </c>
      <c r="O170" s="28" t="str">
        <f>IF($Q170="","",INDEX(TRANSACTIONS_MASTER!$AB$5:$AB$1204,$Q170))</f>
        <v/>
      </c>
      <c r="P170" s="55" t="str">
        <f>IF($Q170="","",INDEX(TRANSACTIONS_MASTER!$Z$5:$Z$1204,$Q170)&amp;"")</f>
        <v/>
      </c>
      <c r="Q170" s="67" t="str">
        <f>IFERROR(MATCH($C$2&amp;"|"&amp;163,TRANSACTIONS_MASTER!$AE$5:$AE$1204,0),"")</f>
        <v/>
      </c>
      <c r="S170" s="67" t="str">
        <f>IFERROR(MATCH(1,INDEX((TRANSACTIONS_MASTER!$C$5:$C$1204=$C$2)*(TRANSACTIONS_MASTER!$AN$5:$AN$1204=12),0),0),"")</f>
        <v/>
      </c>
      <c r="T170" s="55" t="n"/>
      <c r="U170" s="55" t="str">
        <f>IF($S170="","",INDEX(TRANSACTIONS_MASTER!$G$5:$G$1204,$S170)&amp;"")</f>
        <v/>
      </c>
      <c r="V170" s="25" t="str">
        <f>IF($S170="","",SUMIFS(TRANSACTIONS_MASTER!$L$5:$L$1204,TRANSACTIONS_MASTER!$G$5:$G$1204,$U170,TRANSACTIONS_MASTER!$C$5:$C$1204,$C$2,TRANSACTIONS_MASTER!$U$5:$U$1204,"&lt;&gt;Cancelled"))</f>
        <v/>
      </c>
      <c r="W170" s="26" t="str">
        <f>IF($S170="","",SUMIFS(TRANSACTIONS_MASTER!$Q$5:$Q$1204,TRANSACTIONS_MASTER!$G$5:$G$1204,$U170,TRANSACTIONS_MASTER!$C$5:$C$1204,$C$2))</f>
        <v/>
      </c>
    </row>
    <row r="171">
      <c r="A171" s="81" t="str">
        <f>IF($Q171="","",164)</f>
        <v/>
      </c>
      <c r="B171" s="57" t="str">
        <f>IF($Q171="","",INDEX(TRANSACTIONS_MASTER!$B$5:$B$1204,$Q171))</f>
        <v/>
      </c>
      <c r="C171" s="55" t="str">
        <f>IF($Q171="","",INDEX(TRANSACTIONS_MASTER!$F$5:$F$1204,$Q171))</f>
        <v/>
      </c>
      <c r="D171" s="55" t="str">
        <f>IF($Q171="","",INDEX(TRANSACTIONS_MASTER!$E$5:$E$1204,$Q171))</f>
        <v/>
      </c>
      <c r="E171" s="55" t="str">
        <f>IF($Q171="","",INDEX(TRANSACTIONS_MASTER!$G$5:$G$1204,$Q171)&amp;"")</f>
        <v/>
      </c>
      <c r="F171" s="29" t="str">
        <f>IF($Q171="","",INDEX(TRANSACTIONS_MASTER!$I$5:$I$1204,$Q171))</f>
        <v/>
      </c>
      <c r="G171" s="55" t="str">
        <f>IF($Q171="","",INDEX(TRANSACTIONS_MASTER!$K$5:$K$1204,$Q171))</f>
        <v/>
      </c>
      <c r="H171" s="25" t="str">
        <f>IF($Q171="","",INDEX(TRANSACTIONS_MASTER!$L$5:$L$1204,$Q171))</f>
        <v/>
      </c>
      <c r="I171" s="56" t="str">
        <f>IF($Q171="","",INDEX(TRANSACTIONS_MASTER!$N$5:$N$1204,$Q171))</f>
        <v/>
      </c>
      <c r="J171" s="25" t="str">
        <f>IF($Q171="","",INDEX(TRANSACTIONS_MASTER!$O$5:$O$1204,$Q171))</f>
        <v/>
      </c>
      <c r="K171" s="26" t="str">
        <f>IF($Q171="","",INDEX(TRANSACTIONS_MASTER!$Q$5:$Q$1204,$Q171))</f>
        <v/>
      </c>
      <c r="L171" s="25" t="str">
        <f>IF($Q171="","",INDEX(TRANSACTIONS_MASTER!$P$5:$P$1204,$Q171))</f>
        <v/>
      </c>
      <c r="M171" s="25" t="str">
        <f>IF($Q171="","",INDEX(TRANSACTIONS_MASTER!$AA$5:$AA$1204,$Q171))</f>
        <v/>
      </c>
      <c r="N171" s="25" t="str">
        <f>IF($Q171="","",INDEX(TRANSACTIONS_MASTER!$R$5:$R$1204,$Q171))</f>
        <v/>
      </c>
      <c r="O171" s="28" t="str">
        <f>IF($Q171="","",INDEX(TRANSACTIONS_MASTER!$AB$5:$AB$1204,$Q171))</f>
        <v/>
      </c>
      <c r="P171" s="55" t="str">
        <f>IF($Q171="","",INDEX(TRANSACTIONS_MASTER!$Z$5:$Z$1204,$Q171)&amp;"")</f>
        <v/>
      </c>
      <c r="Q171" s="67" t="str">
        <f>IFERROR(MATCH($C$2&amp;"|"&amp;164,TRANSACTIONS_MASTER!$AE$5:$AE$1204,0),"")</f>
        <v/>
      </c>
      <c r="S171" s="67" t="str">
        <f>IFERROR(MATCH(1,INDEX((TRANSACTIONS_MASTER!$C$5:$C$1204=$C$2)*(TRANSACTIONS_MASTER!$AN$5:$AN$1204=13),0),0),"")</f>
        <v/>
      </c>
      <c r="T171" s="55" t="n"/>
      <c r="U171" s="55" t="str">
        <f>IF($S171="","",INDEX(TRANSACTIONS_MASTER!$G$5:$G$1204,$S171)&amp;"")</f>
        <v/>
      </c>
      <c r="V171" s="25" t="str">
        <f>IF($S171="","",SUMIFS(TRANSACTIONS_MASTER!$L$5:$L$1204,TRANSACTIONS_MASTER!$G$5:$G$1204,$U171,TRANSACTIONS_MASTER!$C$5:$C$1204,$C$2,TRANSACTIONS_MASTER!$U$5:$U$1204,"&lt;&gt;Cancelled"))</f>
        <v/>
      </c>
      <c r="W171" s="26" t="str">
        <f>IF($S171="","",SUMIFS(TRANSACTIONS_MASTER!$Q$5:$Q$1204,TRANSACTIONS_MASTER!$G$5:$G$1204,$U171,TRANSACTIONS_MASTER!$C$5:$C$1204,$C$2))</f>
        <v/>
      </c>
    </row>
    <row r="172">
      <c r="A172" s="81" t="str">
        <f>IF($Q172="","",165)</f>
        <v/>
      </c>
      <c r="B172" s="57" t="str">
        <f>IF($Q172="","",INDEX(TRANSACTIONS_MASTER!$B$5:$B$1204,$Q172))</f>
        <v/>
      </c>
      <c r="C172" s="55" t="str">
        <f>IF($Q172="","",INDEX(TRANSACTIONS_MASTER!$F$5:$F$1204,$Q172))</f>
        <v/>
      </c>
      <c r="D172" s="55" t="str">
        <f>IF($Q172="","",INDEX(TRANSACTIONS_MASTER!$E$5:$E$1204,$Q172))</f>
        <v/>
      </c>
      <c r="E172" s="55" t="str">
        <f>IF($Q172="","",INDEX(TRANSACTIONS_MASTER!$G$5:$G$1204,$Q172)&amp;"")</f>
        <v/>
      </c>
      <c r="F172" s="29" t="str">
        <f>IF($Q172="","",INDEX(TRANSACTIONS_MASTER!$I$5:$I$1204,$Q172))</f>
        <v/>
      </c>
      <c r="G172" s="55" t="str">
        <f>IF($Q172="","",INDEX(TRANSACTIONS_MASTER!$K$5:$K$1204,$Q172))</f>
        <v/>
      </c>
      <c r="H172" s="25" t="str">
        <f>IF($Q172="","",INDEX(TRANSACTIONS_MASTER!$L$5:$L$1204,$Q172))</f>
        <v/>
      </c>
      <c r="I172" s="56" t="str">
        <f>IF($Q172="","",INDEX(TRANSACTIONS_MASTER!$N$5:$N$1204,$Q172))</f>
        <v/>
      </c>
      <c r="J172" s="25" t="str">
        <f>IF($Q172="","",INDEX(TRANSACTIONS_MASTER!$O$5:$O$1204,$Q172))</f>
        <v/>
      </c>
      <c r="K172" s="26" t="str">
        <f>IF($Q172="","",INDEX(TRANSACTIONS_MASTER!$Q$5:$Q$1204,$Q172))</f>
        <v/>
      </c>
      <c r="L172" s="25" t="str">
        <f>IF($Q172="","",INDEX(TRANSACTIONS_MASTER!$P$5:$P$1204,$Q172))</f>
        <v/>
      </c>
      <c r="M172" s="25" t="str">
        <f>IF($Q172="","",INDEX(TRANSACTIONS_MASTER!$AA$5:$AA$1204,$Q172))</f>
        <v/>
      </c>
      <c r="N172" s="25" t="str">
        <f>IF($Q172="","",INDEX(TRANSACTIONS_MASTER!$R$5:$R$1204,$Q172))</f>
        <v/>
      </c>
      <c r="O172" s="28" t="str">
        <f>IF($Q172="","",INDEX(TRANSACTIONS_MASTER!$AB$5:$AB$1204,$Q172))</f>
        <v/>
      </c>
      <c r="P172" s="55" t="str">
        <f>IF($Q172="","",INDEX(TRANSACTIONS_MASTER!$Z$5:$Z$1204,$Q172)&amp;"")</f>
        <v/>
      </c>
      <c r="Q172" s="67" t="str">
        <f>IFERROR(MATCH($C$2&amp;"|"&amp;165,TRANSACTIONS_MASTER!$AE$5:$AE$1204,0),"")</f>
        <v/>
      </c>
      <c r="S172" s="67" t="str">
        <f>IFERROR(MATCH(1,INDEX((TRANSACTIONS_MASTER!$C$5:$C$1204=$C$2)*(TRANSACTIONS_MASTER!$AN$5:$AN$1204=14),0),0),"")</f>
        <v/>
      </c>
      <c r="T172" s="55" t="n"/>
      <c r="U172" s="55" t="str">
        <f>IF($S172="","",INDEX(TRANSACTIONS_MASTER!$G$5:$G$1204,$S172)&amp;"")</f>
        <v/>
      </c>
      <c r="V172" s="25" t="str">
        <f>IF($S172="","",SUMIFS(TRANSACTIONS_MASTER!$L$5:$L$1204,TRANSACTIONS_MASTER!$G$5:$G$1204,$U172,TRANSACTIONS_MASTER!$C$5:$C$1204,$C$2,TRANSACTIONS_MASTER!$U$5:$U$1204,"&lt;&gt;Cancelled"))</f>
        <v/>
      </c>
      <c r="W172" s="26" t="str">
        <f>IF($S172="","",SUMIFS(TRANSACTIONS_MASTER!$Q$5:$Q$1204,TRANSACTIONS_MASTER!$G$5:$G$1204,$U172,TRANSACTIONS_MASTER!$C$5:$C$1204,$C$2))</f>
        <v/>
      </c>
    </row>
    <row r="173">
      <c r="A173" s="81" t="str">
        <f>IF($Q173="","",166)</f>
        <v/>
      </c>
      <c r="B173" s="57" t="str">
        <f>IF($Q173="","",INDEX(TRANSACTIONS_MASTER!$B$5:$B$1204,$Q173))</f>
        <v/>
      </c>
      <c r="C173" s="55" t="str">
        <f>IF($Q173="","",INDEX(TRANSACTIONS_MASTER!$F$5:$F$1204,$Q173))</f>
        <v/>
      </c>
      <c r="D173" s="55" t="str">
        <f>IF($Q173="","",INDEX(TRANSACTIONS_MASTER!$E$5:$E$1204,$Q173))</f>
        <v/>
      </c>
      <c r="E173" s="55" t="str">
        <f>IF($Q173="","",INDEX(TRANSACTIONS_MASTER!$G$5:$G$1204,$Q173)&amp;"")</f>
        <v/>
      </c>
      <c r="F173" s="29" t="str">
        <f>IF($Q173="","",INDEX(TRANSACTIONS_MASTER!$I$5:$I$1204,$Q173))</f>
        <v/>
      </c>
      <c r="G173" s="55" t="str">
        <f>IF($Q173="","",INDEX(TRANSACTIONS_MASTER!$K$5:$K$1204,$Q173))</f>
        <v/>
      </c>
      <c r="H173" s="25" t="str">
        <f>IF($Q173="","",INDEX(TRANSACTIONS_MASTER!$L$5:$L$1204,$Q173))</f>
        <v/>
      </c>
      <c r="I173" s="56" t="str">
        <f>IF($Q173="","",INDEX(TRANSACTIONS_MASTER!$N$5:$N$1204,$Q173))</f>
        <v/>
      </c>
      <c r="J173" s="25" t="str">
        <f>IF($Q173="","",INDEX(TRANSACTIONS_MASTER!$O$5:$O$1204,$Q173))</f>
        <v/>
      </c>
      <c r="K173" s="26" t="str">
        <f>IF($Q173="","",INDEX(TRANSACTIONS_MASTER!$Q$5:$Q$1204,$Q173))</f>
        <v/>
      </c>
      <c r="L173" s="25" t="str">
        <f>IF($Q173="","",INDEX(TRANSACTIONS_MASTER!$P$5:$P$1204,$Q173))</f>
        <v/>
      </c>
      <c r="M173" s="25" t="str">
        <f>IF($Q173="","",INDEX(TRANSACTIONS_MASTER!$AA$5:$AA$1204,$Q173))</f>
        <v/>
      </c>
      <c r="N173" s="25" t="str">
        <f>IF($Q173="","",INDEX(TRANSACTIONS_MASTER!$R$5:$R$1204,$Q173))</f>
        <v/>
      </c>
      <c r="O173" s="28" t="str">
        <f>IF($Q173="","",INDEX(TRANSACTIONS_MASTER!$AB$5:$AB$1204,$Q173))</f>
        <v/>
      </c>
      <c r="P173" s="55" t="str">
        <f>IF($Q173="","",INDEX(TRANSACTIONS_MASTER!$Z$5:$Z$1204,$Q173)&amp;"")</f>
        <v/>
      </c>
      <c r="Q173" s="67" t="str">
        <f>IFERROR(MATCH($C$2&amp;"|"&amp;166,TRANSACTIONS_MASTER!$AE$5:$AE$1204,0),"")</f>
        <v/>
      </c>
      <c r="S173" s="67" t="str">
        <f>IFERROR(MATCH(1,INDEX((TRANSACTIONS_MASTER!$C$5:$C$1204=$C$2)*(TRANSACTIONS_MASTER!$AN$5:$AN$1204=15),0),0),"")</f>
        <v/>
      </c>
      <c r="T173" s="55" t="n"/>
      <c r="U173" s="55" t="str">
        <f>IF($S173="","",INDEX(TRANSACTIONS_MASTER!$G$5:$G$1204,$S173)&amp;"")</f>
        <v/>
      </c>
      <c r="V173" s="25" t="str">
        <f>IF($S173="","",SUMIFS(TRANSACTIONS_MASTER!$L$5:$L$1204,TRANSACTIONS_MASTER!$G$5:$G$1204,$U173,TRANSACTIONS_MASTER!$C$5:$C$1204,$C$2,TRANSACTIONS_MASTER!$U$5:$U$1204,"&lt;&gt;Cancelled"))</f>
        <v/>
      </c>
      <c r="W173" s="26" t="str">
        <f>IF($S173="","",SUMIFS(TRANSACTIONS_MASTER!$Q$5:$Q$1204,TRANSACTIONS_MASTER!$G$5:$G$1204,$U173,TRANSACTIONS_MASTER!$C$5:$C$1204,$C$2))</f>
        <v/>
      </c>
    </row>
    <row r="174">
      <c r="A174" s="81" t="str">
        <f>IF($Q174="","",167)</f>
        <v/>
      </c>
      <c r="B174" s="57" t="str">
        <f>IF($Q174="","",INDEX(TRANSACTIONS_MASTER!$B$5:$B$1204,$Q174))</f>
        <v/>
      </c>
      <c r="C174" s="55" t="str">
        <f>IF($Q174="","",INDEX(TRANSACTIONS_MASTER!$F$5:$F$1204,$Q174))</f>
        <v/>
      </c>
      <c r="D174" s="55" t="str">
        <f>IF($Q174="","",INDEX(TRANSACTIONS_MASTER!$E$5:$E$1204,$Q174))</f>
        <v/>
      </c>
      <c r="E174" s="55" t="str">
        <f>IF($Q174="","",INDEX(TRANSACTIONS_MASTER!$G$5:$G$1204,$Q174)&amp;"")</f>
        <v/>
      </c>
      <c r="F174" s="29" t="str">
        <f>IF($Q174="","",INDEX(TRANSACTIONS_MASTER!$I$5:$I$1204,$Q174))</f>
        <v/>
      </c>
      <c r="G174" s="55" t="str">
        <f>IF($Q174="","",INDEX(TRANSACTIONS_MASTER!$K$5:$K$1204,$Q174))</f>
        <v/>
      </c>
      <c r="H174" s="25" t="str">
        <f>IF($Q174="","",INDEX(TRANSACTIONS_MASTER!$L$5:$L$1204,$Q174))</f>
        <v/>
      </c>
      <c r="I174" s="56" t="str">
        <f>IF($Q174="","",INDEX(TRANSACTIONS_MASTER!$N$5:$N$1204,$Q174))</f>
        <v/>
      </c>
      <c r="J174" s="25" t="str">
        <f>IF($Q174="","",INDEX(TRANSACTIONS_MASTER!$O$5:$O$1204,$Q174))</f>
        <v/>
      </c>
      <c r="K174" s="26" t="str">
        <f>IF($Q174="","",INDEX(TRANSACTIONS_MASTER!$Q$5:$Q$1204,$Q174))</f>
        <v/>
      </c>
      <c r="L174" s="25" t="str">
        <f>IF($Q174="","",INDEX(TRANSACTIONS_MASTER!$P$5:$P$1204,$Q174))</f>
        <v/>
      </c>
      <c r="M174" s="25" t="str">
        <f>IF($Q174="","",INDEX(TRANSACTIONS_MASTER!$AA$5:$AA$1204,$Q174))</f>
        <v/>
      </c>
      <c r="N174" s="25" t="str">
        <f>IF($Q174="","",INDEX(TRANSACTIONS_MASTER!$R$5:$R$1204,$Q174))</f>
        <v/>
      </c>
      <c r="O174" s="28" t="str">
        <f>IF($Q174="","",INDEX(TRANSACTIONS_MASTER!$AB$5:$AB$1204,$Q174))</f>
        <v/>
      </c>
      <c r="P174" s="55" t="str">
        <f>IF($Q174="","",INDEX(TRANSACTIONS_MASTER!$Z$5:$Z$1204,$Q174)&amp;"")</f>
        <v/>
      </c>
      <c r="Q174" s="67" t="str">
        <f>IFERROR(MATCH($C$2&amp;"|"&amp;167,TRANSACTIONS_MASTER!$AE$5:$AE$1204,0),"")</f>
        <v/>
      </c>
      <c r="S174" s="67" t="str">
        <f>IFERROR(MATCH(1,INDEX((TRANSACTIONS_MASTER!$C$5:$C$1204=$C$2)*(TRANSACTIONS_MASTER!$AN$5:$AN$1204=16),0),0),"")</f>
        <v/>
      </c>
      <c r="T174" s="55" t="n"/>
      <c r="U174" s="55" t="str">
        <f>IF($S174="","",INDEX(TRANSACTIONS_MASTER!$G$5:$G$1204,$S174)&amp;"")</f>
        <v/>
      </c>
      <c r="V174" s="25" t="str">
        <f>IF($S174="","",SUMIFS(TRANSACTIONS_MASTER!$L$5:$L$1204,TRANSACTIONS_MASTER!$G$5:$G$1204,$U174,TRANSACTIONS_MASTER!$C$5:$C$1204,$C$2,TRANSACTIONS_MASTER!$U$5:$U$1204,"&lt;&gt;Cancelled"))</f>
        <v/>
      </c>
      <c r="W174" s="26" t="str">
        <f>IF($S174="","",SUMIFS(TRANSACTIONS_MASTER!$Q$5:$Q$1204,TRANSACTIONS_MASTER!$G$5:$G$1204,$U174,TRANSACTIONS_MASTER!$C$5:$C$1204,$C$2))</f>
        <v/>
      </c>
    </row>
    <row r="175">
      <c r="A175" s="81" t="str">
        <f>IF($Q175="","",168)</f>
        <v/>
      </c>
      <c r="B175" s="57" t="str">
        <f>IF($Q175="","",INDEX(TRANSACTIONS_MASTER!$B$5:$B$1204,$Q175))</f>
        <v/>
      </c>
      <c r="C175" s="55" t="str">
        <f>IF($Q175="","",INDEX(TRANSACTIONS_MASTER!$F$5:$F$1204,$Q175))</f>
        <v/>
      </c>
      <c r="D175" s="55" t="str">
        <f>IF($Q175="","",INDEX(TRANSACTIONS_MASTER!$E$5:$E$1204,$Q175))</f>
        <v/>
      </c>
      <c r="E175" s="55" t="str">
        <f>IF($Q175="","",INDEX(TRANSACTIONS_MASTER!$G$5:$G$1204,$Q175)&amp;"")</f>
        <v/>
      </c>
      <c r="F175" s="29" t="str">
        <f>IF($Q175="","",INDEX(TRANSACTIONS_MASTER!$I$5:$I$1204,$Q175))</f>
        <v/>
      </c>
      <c r="G175" s="55" t="str">
        <f>IF($Q175="","",INDEX(TRANSACTIONS_MASTER!$K$5:$K$1204,$Q175))</f>
        <v/>
      </c>
      <c r="H175" s="25" t="str">
        <f>IF($Q175="","",INDEX(TRANSACTIONS_MASTER!$L$5:$L$1204,$Q175))</f>
        <v/>
      </c>
      <c r="I175" s="56" t="str">
        <f>IF($Q175="","",INDEX(TRANSACTIONS_MASTER!$N$5:$N$1204,$Q175))</f>
        <v/>
      </c>
      <c r="J175" s="25" t="str">
        <f>IF($Q175="","",INDEX(TRANSACTIONS_MASTER!$O$5:$O$1204,$Q175))</f>
        <v/>
      </c>
      <c r="K175" s="26" t="str">
        <f>IF($Q175="","",INDEX(TRANSACTIONS_MASTER!$Q$5:$Q$1204,$Q175))</f>
        <v/>
      </c>
      <c r="L175" s="25" t="str">
        <f>IF($Q175="","",INDEX(TRANSACTIONS_MASTER!$P$5:$P$1204,$Q175))</f>
        <v/>
      </c>
      <c r="M175" s="25" t="str">
        <f>IF($Q175="","",INDEX(TRANSACTIONS_MASTER!$AA$5:$AA$1204,$Q175))</f>
        <v/>
      </c>
      <c r="N175" s="25" t="str">
        <f>IF($Q175="","",INDEX(TRANSACTIONS_MASTER!$R$5:$R$1204,$Q175))</f>
        <v/>
      </c>
      <c r="O175" s="28" t="str">
        <f>IF($Q175="","",INDEX(TRANSACTIONS_MASTER!$AB$5:$AB$1204,$Q175))</f>
        <v/>
      </c>
      <c r="P175" s="55" t="str">
        <f>IF($Q175="","",INDEX(TRANSACTIONS_MASTER!$Z$5:$Z$1204,$Q175)&amp;"")</f>
        <v/>
      </c>
      <c r="Q175" s="67" t="str">
        <f>IFERROR(MATCH($C$2&amp;"|"&amp;168,TRANSACTIONS_MASTER!$AE$5:$AE$1204,0),"")</f>
        <v/>
      </c>
      <c r="S175" s="67" t="str">
        <f>IFERROR(MATCH(1,INDEX((TRANSACTIONS_MASTER!$C$5:$C$1204=$C$2)*(TRANSACTIONS_MASTER!$AN$5:$AN$1204=17),0),0),"")</f>
        <v/>
      </c>
      <c r="T175" s="55" t="n"/>
      <c r="U175" s="55" t="str">
        <f>IF($S175="","",INDEX(TRANSACTIONS_MASTER!$G$5:$G$1204,$S175)&amp;"")</f>
        <v/>
      </c>
      <c r="V175" s="25" t="str">
        <f>IF($S175="","",SUMIFS(TRANSACTIONS_MASTER!$L$5:$L$1204,TRANSACTIONS_MASTER!$G$5:$G$1204,$U175,TRANSACTIONS_MASTER!$C$5:$C$1204,$C$2,TRANSACTIONS_MASTER!$U$5:$U$1204,"&lt;&gt;Cancelled"))</f>
        <v/>
      </c>
      <c r="W175" s="26" t="str">
        <f>IF($S175="","",SUMIFS(TRANSACTIONS_MASTER!$Q$5:$Q$1204,TRANSACTIONS_MASTER!$G$5:$G$1204,$U175,TRANSACTIONS_MASTER!$C$5:$C$1204,$C$2))</f>
        <v/>
      </c>
    </row>
    <row r="176">
      <c r="A176" s="81" t="str">
        <f>IF($Q176="","",169)</f>
        <v/>
      </c>
      <c r="B176" s="57" t="str">
        <f>IF($Q176="","",INDEX(TRANSACTIONS_MASTER!$B$5:$B$1204,$Q176))</f>
        <v/>
      </c>
      <c r="C176" s="55" t="str">
        <f>IF($Q176="","",INDEX(TRANSACTIONS_MASTER!$F$5:$F$1204,$Q176))</f>
        <v/>
      </c>
      <c r="D176" s="55" t="str">
        <f>IF($Q176="","",INDEX(TRANSACTIONS_MASTER!$E$5:$E$1204,$Q176))</f>
        <v/>
      </c>
      <c r="E176" s="55" t="str">
        <f>IF($Q176="","",INDEX(TRANSACTIONS_MASTER!$G$5:$G$1204,$Q176)&amp;"")</f>
        <v/>
      </c>
      <c r="F176" s="29" t="str">
        <f>IF($Q176="","",INDEX(TRANSACTIONS_MASTER!$I$5:$I$1204,$Q176))</f>
        <v/>
      </c>
      <c r="G176" s="55" t="str">
        <f>IF($Q176="","",INDEX(TRANSACTIONS_MASTER!$K$5:$K$1204,$Q176))</f>
        <v/>
      </c>
      <c r="H176" s="25" t="str">
        <f>IF($Q176="","",INDEX(TRANSACTIONS_MASTER!$L$5:$L$1204,$Q176))</f>
        <v/>
      </c>
      <c r="I176" s="56" t="str">
        <f>IF($Q176="","",INDEX(TRANSACTIONS_MASTER!$N$5:$N$1204,$Q176))</f>
        <v/>
      </c>
      <c r="J176" s="25" t="str">
        <f>IF($Q176="","",INDEX(TRANSACTIONS_MASTER!$O$5:$O$1204,$Q176))</f>
        <v/>
      </c>
      <c r="K176" s="26" t="str">
        <f>IF($Q176="","",INDEX(TRANSACTIONS_MASTER!$Q$5:$Q$1204,$Q176))</f>
        <v/>
      </c>
      <c r="L176" s="25" t="str">
        <f>IF($Q176="","",INDEX(TRANSACTIONS_MASTER!$P$5:$P$1204,$Q176))</f>
        <v/>
      </c>
      <c r="M176" s="25" t="str">
        <f>IF($Q176="","",INDEX(TRANSACTIONS_MASTER!$AA$5:$AA$1204,$Q176))</f>
        <v/>
      </c>
      <c r="N176" s="25" t="str">
        <f>IF($Q176="","",INDEX(TRANSACTIONS_MASTER!$R$5:$R$1204,$Q176))</f>
        <v/>
      </c>
      <c r="O176" s="28" t="str">
        <f>IF($Q176="","",INDEX(TRANSACTIONS_MASTER!$AB$5:$AB$1204,$Q176))</f>
        <v/>
      </c>
      <c r="P176" s="55" t="str">
        <f>IF($Q176="","",INDEX(TRANSACTIONS_MASTER!$Z$5:$Z$1204,$Q176)&amp;"")</f>
        <v/>
      </c>
      <c r="Q176" s="67" t="str">
        <f>IFERROR(MATCH($C$2&amp;"|"&amp;169,TRANSACTIONS_MASTER!$AE$5:$AE$1204,0),"")</f>
        <v/>
      </c>
      <c r="S176" s="67" t="str">
        <f>IFERROR(MATCH(1,INDEX((TRANSACTIONS_MASTER!$C$5:$C$1204=$C$2)*(TRANSACTIONS_MASTER!$AN$5:$AN$1204=18),0),0),"")</f>
        <v/>
      </c>
      <c r="T176" s="55" t="n"/>
      <c r="U176" s="55" t="str">
        <f>IF($S176="","",INDEX(TRANSACTIONS_MASTER!$G$5:$G$1204,$S176)&amp;"")</f>
        <v/>
      </c>
      <c r="V176" s="25" t="str">
        <f>IF($S176="","",SUMIFS(TRANSACTIONS_MASTER!$L$5:$L$1204,TRANSACTIONS_MASTER!$G$5:$G$1204,$U176,TRANSACTIONS_MASTER!$C$5:$C$1204,$C$2,TRANSACTIONS_MASTER!$U$5:$U$1204,"&lt;&gt;Cancelled"))</f>
        <v/>
      </c>
      <c r="W176" s="26" t="str">
        <f>IF($S176="","",SUMIFS(TRANSACTIONS_MASTER!$Q$5:$Q$1204,TRANSACTIONS_MASTER!$G$5:$G$1204,$U176,TRANSACTIONS_MASTER!$C$5:$C$1204,$C$2))</f>
        <v/>
      </c>
    </row>
    <row r="177">
      <c r="A177" s="81" t="str">
        <f>IF($Q177="","",170)</f>
        <v/>
      </c>
      <c r="B177" s="57" t="str">
        <f>IF($Q177="","",INDEX(TRANSACTIONS_MASTER!$B$5:$B$1204,$Q177))</f>
        <v/>
      </c>
      <c r="C177" s="55" t="str">
        <f>IF($Q177="","",INDEX(TRANSACTIONS_MASTER!$F$5:$F$1204,$Q177))</f>
        <v/>
      </c>
      <c r="D177" s="55" t="str">
        <f>IF($Q177="","",INDEX(TRANSACTIONS_MASTER!$E$5:$E$1204,$Q177))</f>
        <v/>
      </c>
      <c r="E177" s="55" t="str">
        <f>IF($Q177="","",INDEX(TRANSACTIONS_MASTER!$G$5:$G$1204,$Q177)&amp;"")</f>
        <v/>
      </c>
      <c r="F177" s="29" t="str">
        <f>IF($Q177="","",INDEX(TRANSACTIONS_MASTER!$I$5:$I$1204,$Q177))</f>
        <v/>
      </c>
      <c r="G177" s="55" t="str">
        <f>IF($Q177="","",INDEX(TRANSACTIONS_MASTER!$K$5:$K$1204,$Q177))</f>
        <v/>
      </c>
      <c r="H177" s="25" t="str">
        <f>IF($Q177="","",INDEX(TRANSACTIONS_MASTER!$L$5:$L$1204,$Q177))</f>
        <v/>
      </c>
      <c r="I177" s="56" t="str">
        <f>IF($Q177="","",INDEX(TRANSACTIONS_MASTER!$N$5:$N$1204,$Q177))</f>
        <v/>
      </c>
      <c r="J177" s="25" t="str">
        <f>IF($Q177="","",INDEX(TRANSACTIONS_MASTER!$O$5:$O$1204,$Q177))</f>
        <v/>
      </c>
      <c r="K177" s="26" t="str">
        <f>IF($Q177="","",INDEX(TRANSACTIONS_MASTER!$Q$5:$Q$1204,$Q177))</f>
        <v/>
      </c>
      <c r="L177" s="25" t="str">
        <f>IF($Q177="","",INDEX(TRANSACTIONS_MASTER!$P$5:$P$1204,$Q177))</f>
        <v/>
      </c>
      <c r="M177" s="25" t="str">
        <f>IF($Q177="","",INDEX(TRANSACTIONS_MASTER!$AA$5:$AA$1204,$Q177))</f>
        <v/>
      </c>
      <c r="N177" s="25" t="str">
        <f>IF($Q177="","",INDEX(TRANSACTIONS_MASTER!$R$5:$R$1204,$Q177))</f>
        <v/>
      </c>
      <c r="O177" s="28" t="str">
        <f>IF($Q177="","",INDEX(TRANSACTIONS_MASTER!$AB$5:$AB$1204,$Q177))</f>
        <v/>
      </c>
      <c r="P177" s="55" t="str">
        <f>IF($Q177="","",INDEX(TRANSACTIONS_MASTER!$Z$5:$Z$1204,$Q177)&amp;"")</f>
        <v/>
      </c>
      <c r="Q177" s="67" t="str">
        <f>IFERROR(MATCH($C$2&amp;"|"&amp;170,TRANSACTIONS_MASTER!$AE$5:$AE$1204,0),"")</f>
        <v/>
      </c>
      <c r="S177" s="67" t="str">
        <f>IFERROR(MATCH(1,INDEX((TRANSACTIONS_MASTER!$C$5:$C$1204=$C$2)*(TRANSACTIONS_MASTER!$AN$5:$AN$1204=19),0),0),"")</f>
        <v/>
      </c>
      <c r="T177" s="55" t="n"/>
      <c r="U177" s="55" t="str">
        <f>IF($S177="","",INDEX(TRANSACTIONS_MASTER!$G$5:$G$1204,$S177)&amp;"")</f>
        <v/>
      </c>
      <c r="V177" s="25" t="str">
        <f>IF($S177="","",SUMIFS(TRANSACTIONS_MASTER!$L$5:$L$1204,TRANSACTIONS_MASTER!$G$5:$G$1204,$U177,TRANSACTIONS_MASTER!$C$5:$C$1204,$C$2,TRANSACTIONS_MASTER!$U$5:$U$1204,"&lt;&gt;Cancelled"))</f>
        <v/>
      </c>
      <c r="W177" s="26" t="str">
        <f>IF($S177="","",SUMIFS(TRANSACTIONS_MASTER!$Q$5:$Q$1204,TRANSACTIONS_MASTER!$G$5:$G$1204,$U177,TRANSACTIONS_MASTER!$C$5:$C$1204,$C$2))</f>
        <v/>
      </c>
    </row>
    <row r="178">
      <c r="A178" s="81" t="str">
        <f>IF($Q178="","",171)</f>
        <v/>
      </c>
      <c r="B178" s="57" t="str">
        <f>IF($Q178="","",INDEX(TRANSACTIONS_MASTER!$B$5:$B$1204,$Q178))</f>
        <v/>
      </c>
      <c r="C178" s="55" t="str">
        <f>IF($Q178="","",INDEX(TRANSACTIONS_MASTER!$F$5:$F$1204,$Q178))</f>
        <v/>
      </c>
      <c r="D178" s="55" t="str">
        <f>IF($Q178="","",INDEX(TRANSACTIONS_MASTER!$E$5:$E$1204,$Q178))</f>
        <v/>
      </c>
      <c r="E178" s="55" t="str">
        <f>IF($Q178="","",INDEX(TRANSACTIONS_MASTER!$G$5:$G$1204,$Q178)&amp;"")</f>
        <v/>
      </c>
      <c r="F178" s="29" t="str">
        <f>IF($Q178="","",INDEX(TRANSACTIONS_MASTER!$I$5:$I$1204,$Q178))</f>
        <v/>
      </c>
      <c r="G178" s="55" t="str">
        <f>IF($Q178="","",INDEX(TRANSACTIONS_MASTER!$K$5:$K$1204,$Q178))</f>
        <v/>
      </c>
      <c r="H178" s="25" t="str">
        <f>IF($Q178="","",INDEX(TRANSACTIONS_MASTER!$L$5:$L$1204,$Q178))</f>
        <v/>
      </c>
      <c r="I178" s="56" t="str">
        <f>IF($Q178="","",INDEX(TRANSACTIONS_MASTER!$N$5:$N$1204,$Q178))</f>
        <v/>
      </c>
      <c r="J178" s="25" t="str">
        <f>IF($Q178="","",INDEX(TRANSACTIONS_MASTER!$O$5:$O$1204,$Q178))</f>
        <v/>
      </c>
      <c r="K178" s="26" t="str">
        <f>IF($Q178="","",INDEX(TRANSACTIONS_MASTER!$Q$5:$Q$1204,$Q178))</f>
        <v/>
      </c>
      <c r="L178" s="25" t="str">
        <f>IF($Q178="","",INDEX(TRANSACTIONS_MASTER!$P$5:$P$1204,$Q178))</f>
        <v/>
      </c>
      <c r="M178" s="25" t="str">
        <f>IF($Q178="","",INDEX(TRANSACTIONS_MASTER!$AA$5:$AA$1204,$Q178))</f>
        <v/>
      </c>
      <c r="N178" s="25" t="str">
        <f>IF($Q178="","",INDEX(TRANSACTIONS_MASTER!$R$5:$R$1204,$Q178))</f>
        <v/>
      </c>
      <c r="O178" s="28" t="str">
        <f>IF($Q178="","",INDEX(TRANSACTIONS_MASTER!$AB$5:$AB$1204,$Q178))</f>
        <v/>
      </c>
      <c r="P178" s="55" t="str">
        <f>IF($Q178="","",INDEX(TRANSACTIONS_MASTER!$Z$5:$Z$1204,$Q178)&amp;"")</f>
        <v/>
      </c>
      <c r="Q178" s="67" t="str">
        <f>IFERROR(MATCH($C$2&amp;"|"&amp;171,TRANSACTIONS_MASTER!$AE$5:$AE$1204,0),"")</f>
        <v/>
      </c>
      <c r="S178" s="67" t="str">
        <f>IFERROR(MATCH(1,INDEX((TRANSACTIONS_MASTER!$C$5:$C$1204=$C$2)*(TRANSACTIONS_MASTER!$AN$5:$AN$1204=20),0),0),"")</f>
        <v/>
      </c>
      <c r="T178" s="55" t="n"/>
      <c r="U178" s="55" t="str">
        <f>IF($S178="","",INDEX(TRANSACTIONS_MASTER!$G$5:$G$1204,$S178)&amp;"")</f>
        <v/>
      </c>
      <c r="V178" s="25" t="str">
        <f>IF($S178="","",SUMIFS(TRANSACTIONS_MASTER!$L$5:$L$1204,TRANSACTIONS_MASTER!$G$5:$G$1204,$U178,TRANSACTIONS_MASTER!$C$5:$C$1204,$C$2,TRANSACTIONS_MASTER!$U$5:$U$1204,"&lt;&gt;Cancelled"))</f>
        <v/>
      </c>
      <c r="W178" s="26" t="str">
        <f>IF($S178="","",SUMIFS(TRANSACTIONS_MASTER!$Q$5:$Q$1204,TRANSACTIONS_MASTER!$G$5:$G$1204,$U178,TRANSACTIONS_MASTER!$C$5:$C$1204,$C$2))</f>
        <v/>
      </c>
    </row>
    <row r="179">
      <c r="A179" s="81" t="str">
        <f>IF($Q179="","",172)</f>
        <v/>
      </c>
      <c r="B179" s="57" t="str">
        <f>IF($Q179="","",INDEX(TRANSACTIONS_MASTER!$B$5:$B$1204,$Q179))</f>
        <v/>
      </c>
      <c r="C179" s="55" t="str">
        <f>IF($Q179="","",INDEX(TRANSACTIONS_MASTER!$F$5:$F$1204,$Q179))</f>
        <v/>
      </c>
      <c r="D179" s="55" t="str">
        <f>IF($Q179="","",INDEX(TRANSACTIONS_MASTER!$E$5:$E$1204,$Q179))</f>
        <v/>
      </c>
      <c r="E179" s="55" t="str">
        <f>IF($Q179="","",INDEX(TRANSACTIONS_MASTER!$G$5:$G$1204,$Q179)&amp;"")</f>
        <v/>
      </c>
      <c r="F179" s="29" t="str">
        <f>IF($Q179="","",INDEX(TRANSACTIONS_MASTER!$I$5:$I$1204,$Q179))</f>
        <v/>
      </c>
      <c r="G179" s="55" t="str">
        <f>IF($Q179="","",INDEX(TRANSACTIONS_MASTER!$K$5:$K$1204,$Q179))</f>
        <v/>
      </c>
      <c r="H179" s="25" t="str">
        <f>IF($Q179="","",INDEX(TRANSACTIONS_MASTER!$L$5:$L$1204,$Q179))</f>
        <v/>
      </c>
      <c r="I179" s="56" t="str">
        <f>IF($Q179="","",INDEX(TRANSACTIONS_MASTER!$N$5:$N$1204,$Q179))</f>
        <v/>
      </c>
      <c r="J179" s="25" t="str">
        <f>IF($Q179="","",INDEX(TRANSACTIONS_MASTER!$O$5:$O$1204,$Q179))</f>
        <v/>
      </c>
      <c r="K179" s="26" t="str">
        <f>IF($Q179="","",INDEX(TRANSACTIONS_MASTER!$Q$5:$Q$1204,$Q179))</f>
        <v/>
      </c>
      <c r="L179" s="25" t="str">
        <f>IF($Q179="","",INDEX(TRANSACTIONS_MASTER!$P$5:$P$1204,$Q179))</f>
        <v/>
      </c>
      <c r="M179" s="25" t="str">
        <f>IF($Q179="","",INDEX(TRANSACTIONS_MASTER!$AA$5:$AA$1204,$Q179))</f>
        <v/>
      </c>
      <c r="N179" s="25" t="str">
        <f>IF($Q179="","",INDEX(TRANSACTIONS_MASTER!$R$5:$R$1204,$Q179))</f>
        <v/>
      </c>
      <c r="O179" s="28" t="str">
        <f>IF($Q179="","",INDEX(TRANSACTIONS_MASTER!$AB$5:$AB$1204,$Q179))</f>
        <v/>
      </c>
      <c r="P179" s="55" t="str">
        <f>IF($Q179="","",INDEX(TRANSACTIONS_MASTER!$Z$5:$Z$1204,$Q179)&amp;"")</f>
        <v/>
      </c>
      <c r="Q179" s="67" t="str">
        <f>IFERROR(MATCH($C$2&amp;"|"&amp;172,TRANSACTIONS_MASTER!$AE$5:$AE$1204,0),"")</f>
        <v/>
      </c>
      <c r="T179" s="45" t="n"/>
      <c r="U179" s="82" t="inlineStr">
        <is>
          <t>Khác (ngoài danh sách)</t>
        </is>
      </c>
      <c r="V179" s="48">
        <f>MAX(0,SUMIFS(TRANSACTIONS_MASTER!$L$5:$L$1204,TRANSACTIONS_MASTER!$C$5:$C$1204,$C$2,TRANSACTIONS_MASTER!$U$5:$U$1204,"&lt;&gt;Cancelled")-SUM(V159:V178))</f>
        <v>0</v>
      </c>
      <c r="W179" s="48">
        <f>MAX(0,SUMIFS(TRANSACTIONS_MASTER!$Q$5:$Q$1204,TRANSACTIONS_MASTER!$C$5:$C$1204,$C$2)-SUM(W159:W178))</f>
        <v>0</v>
      </c>
    </row>
    <row r="180">
      <c r="A180" s="81" t="str">
        <f>IF($Q180="","",173)</f>
        <v/>
      </c>
      <c r="B180" s="57" t="str">
        <f>IF($Q180="","",INDEX(TRANSACTIONS_MASTER!$B$5:$B$1204,$Q180))</f>
        <v/>
      </c>
      <c r="C180" s="55" t="str">
        <f>IF($Q180="","",INDEX(TRANSACTIONS_MASTER!$F$5:$F$1204,$Q180))</f>
        <v/>
      </c>
      <c r="D180" s="55" t="str">
        <f>IF($Q180="","",INDEX(TRANSACTIONS_MASTER!$E$5:$E$1204,$Q180))</f>
        <v/>
      </c>
      <c r="E180" s="55" t="str">
        <f>IF($Q180="","",INDEX(TRANSACTIONS_MASTER!$G$5:$G$1204,$Q180)&amp;"")</f>
        <v/>
      </c>
      <c r="F180" s="29" t="str">
        <f>IF($Q180="","",INDEX(TRANSACTIONS_MASTER!$I$5:$I$1204,$Q180))</f>
        <v/>
      </c>
      <c r="G180" s="55" t="str">
        <f>IF($Q180="","",INDEX(TRANSACTIONS_MASTER!$K$5:$K$1204,$Q180))</f>
        <v/>
      </c>
      <c r="H180" s="25" t="str">
        <f>IF($Q180="","",INDEX(TRANSACTIONS_MASTER!$L$5:$L$1204,$Q180))</f>
        <v/>
      </c>
      <c r="I180" s="56" t="str">
        <f>IF($Q180="","",INDEX(TRANSACTIONS_MASTER!$N$5:$N$1204,$Q180))</f>
        <v/>
      </c>
      <c r="J180" s="25" t="str">
        <f>IF($Q180="","",INDEX(TRANSACTIONS_MASTER!$O$5:$O$1204,$Q180))</f>
        <v/>
      </c>
      <c r="K180" s="26" t="str">
        <f>IF($Q180="","",INDEX(TRANSACTIONS_MASTER!$Q$5:$Q$1204,$Q180))</f>
        <v/>
      </c>
      <c r="L180" s="25" t="str">
        <f>IF($Q180="","",INDEX(TRANSACTIONS_MASTER!$P$5:$P$1204,$Q180))</f>
        <v/>
      </c>
      <c r="M180" s="25" t="str">
        <f>IF($Q180="","",INDEX(TRANSACTIONS_MASTER!$AA$5:$AA$1204,$Q180))</f>
        <v/>
      </c>
      <c r="N180" s="25" t="str">
        <f>IF($Q180="","",INDEX(TRANSACTIONS_MASTER!$R$5:$R$1204,$Q180))</f>
        <v/>
      </c>
      <c r="O180" s="28" t="str">
        <f>IF($Q180="","",INDEX(TRANSACTIONS_MASTER!$AB$5:$AB$1204,$Q180))</f>
        <v/>
      </c>
      <c r="P180" s="55" t="str">
        <f>IF($Q180="","",INDEX(TRANSACTIONS_MASTER!$Z$5:$Z$1204,$Q180)&amp;"")</f>
        <v/>
      </c>
      <c r="Q180" s="67" t="str">
        <f>IFERROR(MATCH($C$2&amp;"|"&amp;173,TRANSACTIONS_MASTER!$AE$5:$AE$1204,0),"")</f>
        <v/>
      </c>
      <c r="T180" s="68" t="n"/>
      <c r="U180" s="69" t="inlineStr">
        <is>
          <t>TỔNG</t>
        </is>
      </c>
      <c r="V180" s="31">
        <f>SUM(V159:V179)</f>
        <v>0</v>
      </c>
      <c r="W180" s="31">
        <f>SUM(W159:W179)</f>
        <v>0</v>
      </c>
    </row>
    <row r="181">
      <c r="A181" s="81" t="str">
        <f>IF($Q181="","",174)</f>
        <v/>
      </c>
      <c r="B181" s="57" t="str">
        <f>IF($Q181="","",INDEX(TRANSACTIONS_MASTER!$B$5:$B$1204,$Q181))</f>
        <v/>
      </c>
      <c r="C181" s="55" t="str">
        <f>IF($Q181="","",INDEX(TRANSACTIONS_MASTER!$F$5:$F$1204,$Q181))</f>
        <v/>
      </c>
      <c r="D181" s="55" t="str">
        <f>IF($Q181="","",INDEX(TRANSACTIONS_MASTER!$E$5:$E$1204,$Q181))</f>
        <v/>
      </c>
      <c r="E181" s="55" t="str">
        <f>IF($Q181="","",INDEX(TRANSACTIONS_MASTER!$G$5:$G$1204,$Q181)&amp;"")</f>
        <v/>
      </c>
      <c r="F181" s="29" t="str">
        <f>IF($Q181="","",INDEX(TRANSACTIONS_MASTER!$I$5:$I$1204,$Q181))</f>
        <v/>
      </c>
      <c r="G181" s="55" t="str">
        <f>IF($Q181="","",INDEX(TRANSACTIONS_MASTER!$K$5:$K$1204,$Q181))</f>
        <v/>
      </c>
      <c r="H181" s="25" t="str">
        <f>IF($Q181="","",INDEX(TRANSACTIONS_MASTER!$L$5:$L$1204,$Q181))</f>
        <v/>
      </c>
      <c r="I181" s="56" t="str">
        <f>IF($Q181="","",INDEX(TRANSACTIONS_MASTER!$N$5:$N$1204,$Q181))</f>
        <v/>
      </c>
      <c r="J181" s="25" t="str">
        <f>IF($Q181="","",INDEX(TRANSACTIONS_MASTER!$O$5:$O$1204,$Q181))</f>
        <v/>
      </c>
      <c r="K181" s="26" t="str">
        <f>IF($Q181="","",INDEX(TRANSACTIONS_MASTER!$Q$5:$Q$1204,$Q181))</f>
        <v/>
      </c>
      <c r="L181" s="25" t="str">
        <f>IF($Q181="","",INDEX(TRANSACTIONS_MASTER!$P$5:$P$1204,$Q181))</f>
        <v/>
      </c>
      <c r="M181" s="25" t="str">
        <f>IF($Q181="","",INDEX(TRANSACTIONS_MASTER!$AA$5:$AA$1204,$Q181))</f>
        <v/>
      </c>
      <c r="N181" s="25" t="str">
        <f>IF($Q181="","",INDEX(TRANSACTIONS_MASTER!$R$5:$R$1204,$Q181))</f>
        <v/>
      </c>
      <c r="O181" s="28" t="str">
        <f>IF($Q181="","",INDEX(TRANSACTIONS_MASTER!$AB$5:$AB$1204,$Q181))</f>
        <v/>
      </c>
      <c r="P181" s="55" t="str">
        <f>IF($Q181="","",INDEX(TRANSACTIONS_MASTER!$Z$5:$Z$1204,$Q181)&amp;"")</f>
        <v/>
      </c>
      <c r="Q181" s="67" t="str">
        <f>IFERROR(MATCH($C$2&amp;"|"&amp;174,TRANSACTIONS_MASTER!$AE$5:$AE$1204,0),"")</f>
        <v/>
      </c>
    </row>
    <row r="182">
      <c r="A182" s="81" t="str">
        <f>IF($Q182="","",175)</f>
        <v/>
      </c>
      <c r="B182" s="57" t="str">
        <f>IF($Q182="","",INDEX(TRANSACTIONS_MASTER!$B$5:$B$1204,$Q182))</f>
        <v/>
      </c>
      <c r="C182" s="55" t="str">
        <f>IF($Q182="","",INDEX(TRANSACTIONS_MASTER!$F$5:$F$1204,$Q182))</f>
        <v/>
      </c>
      <c r="D182" s="55" t="str">
        <f>IF($Q182="","",INDEX(TRANSACTIONS_MASTER!$E$5:$E$1204,$Q182))</f>
        <v/>
      </c>
      <c r="E182" s="55" t="str">
        <f>IF($Q182="","",INDEX(TRANSACTIONS_MASTER!$G$5:$G$1204,$Q182)&amp;"")</f>
        <v/>
      </c>
      <c r="F182" s="29" t="str">
        <f>IF($Q182="","",INDEX(TRANSACTIONS_MASTER!$I$5:$I$1204,$Q182))</f>
        <v/>
      </c>
      <c r="G182" s="55" t="str">
        <f>IF($Q182="","",INDEX(TRANSACTIONS_MASTER!$K$5:$K$1204,$Q182))</f>
        <v/>
      </c>
      <c r="H182" s="25" t="str">
        <f>IF($Q182="","",INDEX(TRANSACTIONS_MASTER!$L$5:$L$1204,$Q182))</f>
        <v/>
      </c>
      <c r="I182" s="56" t="str">
        <f>IF($Q182="","",INDEX(TRANSACTIONS_MASTER!$N$5:$N$1204,$Q182))</f>
        <v/>
      </c>
      <c r="J182" s="25" t="str">
        <f>IF($Q182="","",INDEX(TRANSACTIONS_MASTER!$O$5:$O$1204,$Q182))</f>
        <v/>
      </c>
      <c r="K182" s="26" t="str">
        <f>IF($Q182="","",INDEX(TRANSACTIONS_MASTER!$Q$5:$Q$1204,$Q182))</f>
        <v/>
      </c>
      <c r="L182" s="25" t="str">
        <f>IF($Q182="","",INDEX(TRANSACTIONS_MASTER!$P$5:$P$1204,$Q182))</f>
        <v/>
      </c>
      <c r="M182" s="25" t="str">
        <f>IF($Q182="","",INDEX(TRANSACTIONS_MASTER!$AA$5:$AA$1204,$Q182))</f>
        <v/>
      </c>
      <c r="N182" s="25" t="str">
        <f>IF($Q182="","",INDEX(TRANSACTIONS_MASTER!$R$5:$R$1204,$Q182))</f>
        <v/>
      </c>
      <c r="O182" s="28" t="str">
        <f>IF($Q182="","",INDEX(TRANSACTIONS_MASTER!$AB$5:$AB$1204,$Q182))</f>
        <v/>
      </c>
      <c r="P182" s="55" t="str">
        <f>IF($Q182="","",INDEX(TRANSACTIONS_MASTER!$Z$5:$Z$1204,$Q182)&amp;"")</f>
        <v/>
      </c>
      <c r="Q182" s="67" t="str">
        <f>IFERROR(MATCH($C$2&amp;"|"&amp;175,TRANSACTIONS_MASTER!$AE$5:$AE$1204,0),"")</f>
        <v/>
      </c>
    </row>
    <row r="183">
      <c r="A183" s="81" t="str">
        <f>IF($Q183="","",176)</f>
        <v/>
      </c>
      <c r="B183" s="57" t="str">
        <f>IF($Q183="","",INDEX(TRANSACTIONS_MASTER!$B$5:$B$1204,$Q183))</f>
        <v/>
      </c>
      <c r="C183" s="55" t="str">
        <f>IF($Q183="","",INDEX(TRANSACTIONS_MASTER!$F$5:$F$1204,$Q183))</f>
        <v/>
      </c>
      <c r="D183" s="55" t="str">
        <f>IF($Q183="","",INDEX(TRANSACTIONS_MASTER!$E$5:$E$1204,$Q183))</f>
        <v/>
      </c>
      <c r="E183" s="55" t="str">
        <f>IF($Q183="","",INDEX(TRANSACTIONS_MASTER!$G$5:$G$1204,$Q183)&amp;"")</f>
        <v/>
      </c>
      <c r="F183" s="29" t="str">
        <f>IF($Q183="","",INDEX(TRANSACTIONS_MASTER!$I$5:$I$1204,$Q183))</f>
        <v/>
      </c>
      <c r="G183" s="55" t="str">
        <f>IF($Q183="","",INDEX(TRANSACTIONS_MASTER!$K$5:$K$1204,$Q183))</f>
        <v/>
      </c>
      <c r="H183" s="25" t="str">
        <f>IF($Q183="","",INDEX(TRANSACTIONS_MASTER!$L$5:$L$1204,$Q183))</f>
        <v/>
      </c>
      <c r="I183" s="56" t="str">
        <f>IF($Q183="","",INDEX(TRANSACTIONS_MASTER!$N$5:$N$1204,$Q183))</f>
        <v/>
      </c>
      <c r="J183" s="25" t="str">
        <f>IF($Q183="","",INDEX(TRANSACTIONS_MASTER!$O$5:$O$1204,$Q183))</f>
        <v/>
      </c>
      <c r="K183" s="26" t="str">
        <f>IF($Q183="","",INDEX(TRANSACTIONS_MASTER!$Q$5:$Q$1204,$Q183))</f>
        <v/>
      </c>
      <c r="L183" s="25" t="str">
        <f>IF($Q183="","",INDEX(TRANSACTIONS_MASTER!$P$5:$P$1204,$Q183))</f>
        <v/>
      </c>
      <c r="M183" s="25" t="str">
        <f>IF($Q183="","",INDEX(TRANSACTIONS_MASTER!$AA$5:$AA$1204,$Q183))</f>
        <v/>
      </c>
      <c r="N183" s="25" t="str">
        <f>IF($Q183="","",INDEX(TRANSACTIONS_MASTER!$R$5:$R$1204,$Q183))</f>
        <v/>
      </c>
      <c r="O183" s="28" t="str">
        <f>IF($Q183="","",INDEX(TRANSACTIONS_MASTER!$AB$5:$AB$1204,$Q183))</f>
        <v/>
      </c>
      <c r="P183" s="55" t="str">
        <f>IF($Q183="","",INDEX(TRANSACTIONS_MASTER!$Z$5:$Z$1204,$Q183)&amp;"")</f>
        <v/>
      </c>
      <c r="Q183" s="67" t="str">
        <f>IFERROR(MATCH($C$2&amp;"|"&amp;176,TRANSACTIONS_MASTER!$AE$5:$AE$1204,0),"")</f>
        <v/>
      </c>
    </row>
    <row r="184">
      <c r="A184" s="81" t="str">
        <f>IF($Q184="","",177)</f>
        <v/>
      </c>
      <c r="B184" s="57" t="str">
        <f>IF($Q184="","",INDEX(TRANSACTIONS_MASTER!$B$5:$B$1204,$Q184))</f>
        <v/>
      </c>
      <c r="C184" s="55" t="str">
        <f>IF($Q184="","",INDEX(TRANSACTIONS_MASTER!$F$5:$F$1204,$Q184))</f>
        <v/>
      </c>
      <c r="D184" s="55" t="str">
        <f>IF($Q184="","",INDEX(TRANSACTIONS_MASTER!$E$5:$E$1204,$Q184))</f>
        <v/>
      </c>
      <c r="E184" s="55" t="str">
        <f>IF($Q184="","",INDEX(TRANSACTIONS_MASTER!$G$5:$G$1204,$Q184)&amp;"")</f>
        <v/>
      </c>
      <c r="F184" s="29" t="str">
        <f>IF($Q184="","",INDEX(TRANSACTIONS_MASTER!$I$5:$I$1204,$Q184))</f>
        <v/>
      </c>
      <c r="G184" s="55" t="str">
        <f>IF($Q184="","",INDEX(TRANSACTIONS_MASTER!$K$5:$K$1204,$Q184))</f>
        <v/>
      </c>
      <c r="H184" s="25" t="str">
        <f>IF($Q184="","",INDEX(TRANSACTIONS_MASTER!$L$5:$L$1204,$Q184))</f>
        <v/>
      </c>
      <c r="I184" s="56" t="str">
        <f>IF($Q184="","",INDEX(TRANSACTIONS_MASTER!$N$5:$N$1204,$Q184))</f>
        <v/>
      </c>
      <c r="J184" s="25" t="str">
        <f>IF($Q184="","",INDEX(TRANSACTIONS_MASTER!$O$5:$O$1204,$Q184))</f>
        <v/>
      </c>
      <c r="K184" s="26" t="str">
        <f>IF($Q184="","",INDEX(TRANSACTIONS_MASTER!$Q$5:$Q$1204,$Q184))</f>
        <v/>
      </c>
      <c r="L184" s="25" t="str">
        <f>IF($Q184="","",INDEX(TRANSACTIONS_MASTER!$P$5:$P$1204,$Q184))</f>
        <v/>
      </c>
      <c r="M184" s="25" t="str">
        <f>IF($Q184="","",INDEX(TRANSACTIONS_MASTER!$AA$5:$AA$1204,$Q184))</f>
        <v/>
      </c>
      <c r="N184" s="25" t="str">
        <f>IF($Q184="","",INDEX(TRANSACTIONS_MASTER!$R$5:$R$1204,$Q184))</f>
        <v/>
      </c>
      <c r="O184" s="28" t="str">
        <f>IF($Q184="","",INDEX(TRANSACTIONS_MASTER!$AB$5:$AB$1204,$Q184))</f>
        <v/>
      </c>
      <c r="P184" s="55" t="str">
        <f>IF($Q184="","",INDEX(TRANSACTIONS_MASTER!$Z$5:$Z$1204,$Q184)&amp;"")</f>
        <v/>
      </c>
      <c r="Q184" s="67" t="str">
        <f>IFERROR(MATCH($C$2&amp;"|"&amp;177,TRANSACTIONS_MASTER!$AE$5:$AE$1204,0),"")</f>
        <v/>
      </c>
    </row>
    <row r="185">
      <c r="A185" s="81" t="str">
        <f>IF($Q185="","",178)</f>
        <v/>
      </c>
      <c r="B185" s="57" t="str">
        <f>IF($Q185="","",INDEX(TRANSACTIONS_MASTER!$B$5:$B$1204,$Q185))</f>
        <v/>
      </c>
      <c r="C185" s="55" t="str">
        <f>IF($Q185="","",INDEX(TRANSACTIONS_MASTER!$F$5:$F$1204,$Q185))</f>
        <v/>
      </c>
      <c r="D185" s="55" t="str">
        <f>IF($Q185="","",INDEX(TRANSACTIONS_MASTER!$E$5:$E$1204,$Q185))</f>
        <v/>
      </c>
      <c r="E185" s="55" t="str">
        <f>IF($Q185="","",INDEX(TRANSACTIONS_MASTER!$G$5:$G$1204,$Q185)&amp;"")</f>
        <v/>
      </c>
      <c r="F185" s="29" t="str">
        <f>IF($Q185="","",INDEX(TRANSACTIONS_MASTER!$I$5:$I$1204,$Q185))</f>
        <v/>
      </c>
      <c r="G185" s="55" t="str">
        <f>IF($Q185="","",INDEX(TRANSACTIONS_MASTER!$K$5:$K$1204,$Q185))</f>
        <v/>
      </c>
      <c r="H185" s="25" t="str">
        <f>IF($Q185="","",INDEX(TRANSACTIONS_MASTER!$L$5:$L$1204,$Q185))</f>
        <v/>
      </c>
      <c r="I185" s="56" t="str">
        <f>IF($Q185="","",INDEX(TRANSACTIONS_MASTER!$N$5:$N$1204,$Q185))</f>
        <v/>
      </c>
      <c r="J185" s="25" t="str">
        <f>IF($Q185="","",INDEX(TRANSACTIONS_MASTER!$O$5:$O$1204,$Q185))</f>
        <v/>
      </c>
      <c r="K185" s="26" t="str">
        <f>IF($Q185="","",INDEX(TRANSACTIONS_MASTER!$Q$5:$Q$1204,$Q185))</f>
        <v/>
      </c>
      <c r="L185" s="25" t="str">
        <f>IF($Q185="","",INDEX(TRANSACTIONS_MASTER!$P$5:$P$1204,$Q185))</f>
        <v/>
      </c>
      <c r="M185" s="25" t="str">
        <f>IF($Q185="","",INDEX(TRANSACTIONS_MASTER!$AA$5:$AA$1204,$Q185))</f>
        <v/>
      </c>
      <c r="N185" s="25" t="str">
        <f>IF($Q185="","",INDEX(TRANSACTIONS_MASTER!$R$5:$R$1204,$Q185))</f>
        <v/>
      </c>
      <c r="O185" s="28" t="str">
        <f>IF($Q185="","",INDEX(TRANSACTIONS_MASTER!$AB$5:$AB$1204,$Q185))</f>
        <v/>
      </c>
      <c r="P185" s="55" t="str">
        <f>IF($Q185="","",INDEX(TRANSACTIONS_MASTER!$Z$5:$Z$1204,$Q185)&amp;"")</f>
        <v/>
      </c>
      <c r="Q185" s="67" t="str">
        <f>IFERROR(MATCH($C$2&amp;"|"&amp;178,TRANSACTIONS_MASTER!$AE$5:$AE$1204,0),"")</f>
        <v/>
      </c>
    </row>
    <row r="186">
      <c r="A186" s="81" t="str">
        <f>IF($Q186="","",179)</f>
        <v/>
      </c>
      <c r="B186" s="57" t="str">
        <f>IF($Q186="","",INDEX(TRANSACTIONS_MASTER!$B$5:$B$1204,$Q186))</f>
        <v/>
      </c>
      <c r="C186" s="55" t="str">
        <f>IF($Q186="","",INDEX(TRANSACTIONS_MASTER!$F$5:$F$1204,$Q186))</f>
        <v/>
      </c>
      <c r="D186" s="55" t="str">
        <f>IF($Q186="","",INDEX(TRANSACTIONS_MASTER!$E$5:$E$1204,$Q186))</f>
        <v/>
      </c>
      <c r="E186" s="55" t="str">
        <f>IF($Q186="","",INDEX(TRANSACTIONS_MASTER!$G$5:$G$1204,$Q186)&amp;"")</f>
        <v/>
      </c>
      <c r="F186" s="29" t="str">
        <f>IF($Q186="","",INDEX(TRANSACTIONS_MASTER!$I$5:$I$1204,$Q186))</f>
        <v/>
      </c>
      <c r="G186" s="55" t="str">
        <f>IF($Q186="","",INDEX(TRANSACTIONS_MASTER!$K$5:$K$1204,$Q186))</f>
        <v/>
      </c>
      <c r="H186" s="25" t="str">
        <f>IF($Q186="","",INDEX(TRANSACTIONS_MASTER!$L$5:$L$1204,$Q186))</f>
        <v/>
      </c>
      <c r="I186" s="56" t="str">
        <f>IF($Q186="","",INDEX(TRANSACTIONS_MASTER!$N$5:$N$1204,$Q186))</f>
        <v/>
      </c>
      <c r="J186" s="25" t="str">
        <f>IF($Q186="","",INDEX(TRANSACTIONS_MASTER!$O$5:$O$1204,$Q186))</f>
        <v/>
      </c>
      <c r="K186" s="26" t="str">
        <f>IF($Q186="","",INDEX(TRANSACTIONS_MASTER!$Q$5:$Q$1204,$Q186))</f>
        <v/>
      </c>
      <c r="L186" s="25" t="str">
        <f>IF($Q186="","",INDEX(TRANSACTIONS_MASTER!$P$5:$P$1204,$Q186))</f>
        <v/>
      </c>
      <c r="M186" s="25" t="str">
        <f>IF($Q186="","",INDEX(TRANSACTIONS_MASTER!$AA$5:$AA$1204,$Q186))</f>
        <v/>
      </c>
      <c r="N186" s="25" t="str">
        <f>IF($Q186="","",INDEX(TRANSACTIONS_MASTER!$R$5:$R$1204,$Q186))</f>
        <v/>
      </c>
      <c r="O186" s="28" t="str">
        <f>IF($Q186="","",INDEX(TRANSACTIONS_MASTER!$AB$5:$AB$1204,$Q186))</f>
        <v/>
      </c>
      <c r="P186" s="55" t="str">
        <f>IF($Q186="","",INDEX(TRANSACTIONS_MASTER!$Z$5:$Z$1204,$Q186)&amp;"")</f>
        <v/>
      </c>
      <c r="Q186" s="67" t="str">
        <f>IFERROR(MATCH($C$2&amp;"|"&amp;179,TRANSACTIONS_MASTER!$AE$5:$AE$1204,0),"")</f>
        <v/>
      </c>
    </row>
    <row r="187">
      <c r="A187" s="81" t="str">
        <f>IF($Q187="","",180)</f>
        <v/>
      </c>
      <c r="B187" s="57" t="str">
        <f>IF($Q187="","",INDEX(TRANSACTIONS_MASTER!$B$5:$B$1204,$Q187))</f>
        <v/>
      </c>
      <c r="C187" s="55" t="str">
        <f>IF($Q187="","",INDEX(TRANSACTIONS_MASTER!$F$5:$F$1204,$Q187))</f>
        <v/>
      </c>
      <c r="D187" s="55" t="str">
        <f>IF($Q187="","",INDEX(TRANSACTIONS_MASTER!$E$5:$E$1204,$Q187))</f>
        <v/>
      </c>
      <c r="E187" s="55" t="str">
        <f>IF($Q187="","",INDEX(TRANSACTIONS_MASTER!$G$5:$G$1204,$Q187)&amp;"")</f>
        <v/>
      </c>
      <c r="F187" s="29" t="str">
        <f>IF($Q187="","",INDEX(TRANSACTIONS_MASTER!$I$5:$I$1204,$Q187))</f>
        <v/>
      </c>
      <c r="G187" s="55" t="str">
        <f>IF($Q187="","",INDEX(TRANSACTIONS_MASTER!$K$5:$K$1204,$Q187))</f>
        <v/>
      </c>
      <c r="H187" s="25" t="str">
        <f>IF($Q187="","",INDEX(TRANSACTIONS_MASTER!$L$5:$L$1204,$Q187))</f>
        <v/>
      </c>
      <c r="I187" s="56" t="str">
        <f>IF($Q187="","",INDEX(TRANSACTIONS_MASTER!$N$5:$N$1204,$Q187))</f>
        <v/>
      </c>
      <c r="J187" s="25" t="str">
        <f>IF($Q187="","",INDEX(TRANSACTIONS_MASTER!$O$5:$O$1204,$Q187))</f>
        <v/>
      </c>
      <c r="K187" s="26" t="str">
        <f>IF($Q187="","",INDEX(TRANSACTIONS_MASTER!$Q$5:$Q$1204,$Q187))</f>
        <v/>
      </c>
      <c r="L187" s="25" t="str">
        <f>IF($Q187="","",INDEX(TRANSACTIONS_MASTER!$P$5:$P$1204,$Q187))</f>
        <v/>
      </c>
      <c r="M187" s="25" t="str">
        <f>IF($Q187="","",INDEX(TRANSACTIONS_MASTER!$AA$5:$AA$1204,$Q187))</f>
        <v/>
      </c>
      <c r="N187" s="25" t="str">
        <f>IF($Q187="","",INDEX(TRANSACTIONS_MASTER!$R$5:$R$1204,$Q187))</f>
        <v/>
      </c>
      <c r="O187" s="28" t="str">
        <f>IF($Q187="","",INDEX(TRANSACTIONS_MASTER!$AB$5:$AB$1204,$Q187))</f>
        <v/>
      </c>
      <c r="P187" s="55" t="str">
        <f>IF($Q187="","",INDEX(TRANSACTIONS_MASTER!$Z$5:$Z$1204,$Q187)&amp;"")</f>
        <v/>
      </c>
      <c r="Q187" s="67" t="str">
        <f>IFERROR(MATCH($C$2&amp;"|"&amp;180,TRANSACTIONS_MASTER!$AE$5:$AE$1204,0),"")</f>
        <v/>
      </c>
    </row>
    <row r="188">
      <c r="A188" s="81" t="str">
        <f>IF($Q188="","",181)</f>
        <v/>
      </c>
      <c r="B188" s="57" t="str">
        <f>IF($Q188="","",INDEX(TRANSACTIONS_MASTER!$B$5:$B$1204,$Q188))</f>
        <v/>
      </c>
      <c r="C188" s="55" t="str">
        <f>IF($Q188="","",INDEX(TRANSACTIONS_MASTER!$F$5:$F$1204,$Q188))</f>
        <v/>
      </c>
      <c r="D188" s="55" t="str">
        <f>IF($Q188="","",INDEX(TRANSACTIONS_MASTER!$E$5:$E$1204,$Q188))</f>
        <v/>
      </c>
      <c r="E188" s="55" t="str">
        <f>IF($Q188="","",INDEX(TRANSACTIONS_MASTER!$G$5:$G$1204,$Q188)&amp;"")</f>
        <v/>
      </c>
      <c r="F188" s="29" t="str">
        <f>IF($Q188="","",INDEX(TRANSACTIONS_MASTER!$I$5:$I$1204,$Q188))</f>
        <v/>
      </c>
      <c r="G188" s="55" t="str">
        <f>IF($Q188="","",INDEX(TRANSACTIONS_MASTER!$K$5:$K$1204,$Q188))</f>
        <v/>
      </c>
      <c r="H188" s="25" t="str">
        <f>IF($Q188="","",INDEX(TRANSACTIONS_MASTER!$L$5:$L$1204,$Q188))</f>
        <v/>
      </c>
      <c r="I188" s="56" t="str">
        <f>IF($Q188="","",INDEX(TRANSACTIONS_MASTER!$N$5:$N$1204,$Q188))</f>
        <v/>
      </c>
      <c r="J188" s="25" t="str">
        <f>IF($Q188="","",INDEX(TRANSACTIONS_MASTER!$O$5:$O$1204,$Q188))</f>
        <v/>
      </c>
      <c r="K188" s="26" t="str">
        <f>IF($Q188="","",INDEX(TRANSACTIONS_MASTER!$Q$5:$Q$1204,$Q188))</f>
        <v/>
      </c>
      <c r="L188" s="25" t="str">
        <f>IF($Q188="","",INDEX(TRANSACTIONS_MASTER!$P$5:$P$1204,$Q188))</f>
        <v/>
      </c>
      <c r="M188" s="25" t="str">
        <f>IF($Q188="","",INDEX(TRANSACTIONS_MASTER!$AA$5:$AA$1204,$Q188))</f>
        <v/>
      </c>
      <c r="N188" s="25" t="str">
        <f>IF($Q188="","",INDEX(TRANSACTIONS_MASTER!$R$5:$R$1204,$Q188))</f>
        <v/>
      </c>
      <c r="O188" s="28" t="str">
        <f>IF($Q188="","",INDEX(TRANSACTIONS_MASTER!$AB$5:$AB$1204,$Q188))</f>
        <v/>
      </c>
      <c r="P188" s="55" t="str">
        <f>IF($Q188="","",INDEX(TRANSACTIONS_MASTER!$Z$5:$Z$1204,$Q188)&amp;"")</f>
        <v/>
      </c>
      <c r="Q188" s="67" t="str">
        <f>IFERROR(MATCH($C$2&amp;"|"&amp;181,TRANSACTIONS_MASTER!$AE$5:$AE$1204,0),"")</f>
        <v/>
      </c>
    </row>
    <row r="189">
      <c r="A189" s="81" t="str">
        <f>IF($Q189="","",182)</f>
        <v/>
      </c>
      <c r="B189" s="57" t="str">
        <f>IF($Q189="","",INDEX(TRANSACTIONS_MASTER!$B$5:$B$1204,$Q189))</f>
        <v/>
      </c>
      <c r="C189" s="55" t="str">
        <f>IF($Q189="","",INDEX(TRANSACTIONS_MASTER!$F$5:$F$1204,$Q189))</f>
        <v/>
      </c>
      <c r="D189" s="55" t="str">
        <f>IF($Q189="","",INDEX(TRANSACTIONS_MASTER!$E$5:$E$1204,$Q189))</f>
        <v/>
      </c>
      <c r="E189" s="55" t="str">
        <f>IF($Q189="","",INDEX(TRANSACTIONS_MASTER!$G$5:$G$1204,$Q189)&amp;"")</f>
        <v/>
      </c>
      <c r="F189" s="29" t="str">
        <f>IF($Q189="","",INDEX(TRANSACTIONS_MASTER!$I$5:$I$1204,$Q189))</f>
        <v/>
      </c>
      <c r="G189" s="55" t="str">
        <f>IF($Q189="","",INDEX(TRANSACTIONS_MASTER!$K$5:$K$1204,$Q189))</f>
        <v/>
      </c>
      <c r="H189" s="25" t="str">
        <f>IF($Q189="","",INDEX(TRANSACTIONS_MASTER!$L$5:$L$1204,$Q189))</f>
        <v/>
      </c>
      <c r="I189" s="56" t="str">
        <f>IF($Q189="","",INDEX(TRANSACTIONS_MASTER!$N$5:$N$1204,$Q189))</f>
        <v/>
      </c>
      <c r="J189" s="25" t="str">
        <f>IF($Q189="","",INDEX(TRANSACTIONS_MASTER!$O$5:$O$1204,$Q189))</f>
        <v/>
      </c>
      <c r="K189" s="26" t="str">
        <f>IF($Q189="","",INDEX(TRANSACTIONS_MASTER!$Q$5:$Q$1204,$Q189))</f>
        <v/>
      </c>
      <c r="L189" s="25" t="str">
        <f>IF($Q189="","",INDEX(TRANSACTIONS_MASTER!$P$5:$P$1204,$Q189))</f>
        <v/>
      </c>
      <c r="M189" s="25" t="str">
        <f>IF($Q189="","",INDEX(TRANSACTIONS_MASTER!$AA$5:$AA$1204,$Q189))</f>
        <v/>
      </c>
      <c r="N189" s="25" t="str">
        <f>IF($Q189="","",INDEX(TRANSACTIONS_MASTER!$R$5:$R$1204,$Q189))</f>
        <v/>
      </c>
      <c r="O189" s="28" t="str">
        <f>IF($Q189="","",INDEX(TRANSACTIONS_MASTER!$AB$5:$AB$1204,$Q189))</f>
        <v/>
      </c>
      <c r="P189" s="55" t="str">
        <f>IF($Q189="","",INDEX(TRANSACTIONS_MASTER!$Z$5:$Z$1204,$Q189)&amp;"")</f>
        <v/>
      </c>
      <c r="Q189" s="67" t="str">
        <f>IFERROR(MATCH($C$2&amp;"|"&amp;182,TRANSACTIONS_MASTER!$AE$5:$AE$1204,0),"")</f>
        <v/>
      </c>
    </row>
    <row r="190">
      <c r="A190" s="81" t="str">
        <f>IF($Q190="","",183)</f>
        <v/>
      </c>
      <c r="B190" s="57" t="str">
        <f>IF($Q190="","",INDEX(TRANSACTIONS_MASTER!$B$5:$B$1204,$Q190))</f>
        <v/>
      </c>
      <c r="C190" s="55" t="str">
        <f>IF($Q190="","",INDEX(TRANSACTIONS_MASTER!$F$5:$F$1204,$Q190))</f>
        <v/>
      </c>
      <c r="D190" s="55" t="str">
        <f>IF($Q190="","",INDEX(TRANSACTIONS_MASTER!$E$5:$E$1204,$Q190))</f>
        <v/>
      </c>
      <c r="E190" s="55" t="str">
        <f>IF($Q190="","",INDEX(TRANSACTIONS_MASTER!$G$5:$G$1204,$Q190)&amp;"")</f>
        <v/>
      </c>
      <c r="F190" s="29" t="str">
        <f>IF($Q190="","",INDEX(TRANSACTIONS_MASTER!$I$5:$I$1204,$Q190))</f>
        <v/>
      </c>
      <c r="G190" s="55" t="str">
        <f>IF($Q190="","",INDEX(TRANSACTIONS_MASTER!$K$5:$K$1204,$Q190))</f>
        <v/>
      </c>
      <c r="H190" s="25" t="str">
        <f>IF($Q190="","",INDEX(TRANSACTIONS_MASTER!$L$5:$L$1204,$Q190))</f>
        <v/>
      </c>
      <c r="I190" s="56" t="str">
        <f>IF($Q190="","",INDEX(TRANSACTIONS_MASTER!$N$5:$N$1204,$Q190))</f>
        <v/>
      </c>
      <c r="J190" s="25" t="str">
        <f>IF($Q190="","",INDEX(TRANSACTIONS_MASTER!$O$5:$O$1204,$Q190))</f>
        <v/>
      </c>
      <c r="K190" s="26" t="str">
        <f>IF($Q190="","",INDEX(TRANSACTIONS_MASTER!$Q$5:$Q$1204,$Q190))</f>
        <v/>
      </c>
      <c r="L190" s="25" t="str">
        <f>IF($Q190="","",INDEX(TRANSACTIONS_MASTER!$P$5:$P$1204,$Q190))</f>
        <v/>
      </c>
      <c r="M190" s="25" t="str">
        <f>IF($Q190="","",INDEX(TRANSACTIONS_MASTER!$AA$5:$AA$1204,$Q190))</f>
        <v/>
      </c>
      <c r="N190" s="25" t="str">
        <f>IF($Q190="","",INDEX(TRANSACTIONS_MASTER!$R$5:$R$1204,$Q190))</f>
        <v/>
      </c>
      <c r="O190" s="28" t="str">
        <f>IF($Q190="","",INDEX(TRANSACTIONS_MASTER!$AB$5:$AB$1204,$Q190))</f>
        <v/>
      </c>
      <c r="P190" s="55" t="str">
        <f>IF($Q190="","",INDEX(TRANSACTIONS_MASTER!$Z$5:$Z$1204,$Q190)&amp;"")</f>
        <v/>
      </c>
      <c r="Q190" s="67" t="str">
        <f>IFERROR(MATCH($C$2&amp;"|"&amp;183,TRANSACTIONS_MASTER!$AE$5:$AE$1204,0),"")</f>
        <v/>
      </c>
    </row>
    <row r="191">
      <c r="A191" s="81" t="str">
        <f>IF($Q191="","",184)</f>
        <v/>
      </c>
      <c r="B191" s="57" t="str">
        <f>IF($Q191="","",INDEX(TRANSACTIONS_MASTER!$B$5:$B$1204,$Q191))</f>
        <v/>
      </c>
      <c r="C191" s="55" t="str">
        <f>IF($Q191="","",INDEX(TRANSACTIONS_MASTER!$F$5:$F$1204,$Q191))</f>
        <v/>
      </c>
      <c r="D191" s="55" t="str">
        <f>IF($Q191="","",INDEX(TRANSACTIONS_MASTER!$E$5:$E$1204,$Q191))</f>
        <v/>
      </c>
      <c r="E191" s="55" t="str">
        <f>IF($Q191="","",INDEX(TRANSACTIONS_MASTER!$G$5:$G$1204,$Q191)&amp;"")</f>
        <v/>
      </c>
      <c r="F191" s="29" t="str">
        <f>IF($Q191="","",INDEX(TRANSACTIONS_MASTER!$I$5:$I$1204,$Q191))</f>
        <v/>
      </c>
      <c r="G191" s="55" t="str">
        <f>IF($Q191="","",INDEX(TRANSACTIONS_MASTER!$K$5:$K$1204,$Q191))</f>
        <v/>
      </c>
      <c r="H191" s="25" t="str">
        <f>IF($Q191="","",INDEX(TRANSACTIONS_MASTER!$L$5:$L$1204,$Q191))</f>
        <v/>
      </c>
      <c r="I191" s="56" t="str">
        <f>IF($Q191="","",INDEX(TRANSACTIONS_MASTER!$N$5:$N$1204,$Q191))</f>
        <v/>
      </c>
      <c r="J191" s="25" t="str">
        <f>IF($Q191="","",INDEX(TRANSACTIONS_MASTER!$O$5:$O$1204,$Q191))</f>
        <v/>
      </c>
      <c r="K191" s="26" t="str">
        <f>IF($Q191="","",INDEX(TRANSACTIONS_MASTER!$Q$5:$Q$1204,$Q191))</f>
        <v/>
      </c>
      <c r="L191" s="25" t="str">
        <f>IF($Q191="","",INDEX(TRANSACTIONS_MASTER!$P$5:$P$1204,$Q191))</f>
        <v/>
      </c>
      <c r="M191" s="25" t="str">
        <f>IF($Q191="","",INDEX(TRANSACTIONS_MASTER!$AA$5:$AA$1204,$Q191))</f>
        <v/>
      </c>
      <c r="N191" s="25" t="str">
        <f>IF($Q191="","",INDEX(TRANSACTIONS_MASTER!$R$5:$R$1204,$Q191))</f>
        <v/>
      </c>
      <c r="O191" s="28" t="str">
        <f>IF($Q191="","",INDEX(TRANSACTIONS_MASTER!$AB$5:$AB$1204,$Q191))</f>
        <v/>
      </c>
      <c r="P191" s="55" t="str">
        <f>IF($Q191="","",INDEX(TRANSACTIONS_MASTER!$Z$5:$Z$1204,$Q191)&amp;"")</f>
        <v/>
      </c>
      <c r="Q191" s="67" t="str">
        <f>IFERROR(MATCH($C$2&amp;"|"&amp;184,TRANSACTIONS_MASTER!$AE$5:$AE$1204,0),"")</f>
        <v/>
      </c>
    </row>
    <row r="192">
      <c r="A192" s="81" t="str">
        <f>IF($Q192="","",185)</f>
        <v/>
      </c>
      <c r="B192" s="57" t="str">
        <f>IF($Q192="","",INDEX(TRANSACTIONS_MASTER!$B$5:$B$1204,$Q192))</f>
        <v/>
      </c>
      <c r="C192" s="55" t="str">
        <f>IF($Q192="","",INDEX(TRANSACTIONS_MASTER!$F$5:$F$1204,$Q192))</f>
        <v/>
      </c>
      <c r="D192" s="55" t="str">
        <f>IF($Q192="","",INDEX(TRANSACTIONS_MASTER!$E$5:$E$1204,$Q192))</f>
        <v/>
      </c>
      <c r="E192" s="55" t="str">
        <f>IF($Q192="","",INDEX(TRANSACTIONS_MASTER!$G$5:$G$1204,$Q192)&amp;"")</f>
        <v/>
      </c>
      <c r="F192" s="29" t="str">
        <f>IF($Q192="","",INDEX(TRANSACTIONS_MASTER!$I$5:$I$1204,$Q192))</f>
        <v/>
      </c>
      <c r="G192" s="55" t="str">
        <f>IF($Q192="","",INDEX(TRANSACTIONS_MASTER!$K$5:$K$1204,$Q192))</f>
        <v/>
      </c>
      <c r="H192" s="25" t="str">
        <f>IF($Q192="","",INDEX(TRANSACTIONS_MASTER!$L$5:$L$1204,$Q192))</f>
        <v/>
      </c>
      <c r="I192" s="56" t="str">
        <f>IF($Q192="","",INDEX(TRANSACTIONS_MASTER!$N$5:$N$1204,$Q192))</f>
        <v/>
      </c>
      <c r="J192" s="25" t="str">
        <f>IF($Q192="","",INDEX(TRANSACTIONS_MASTER!$O$5:$O$1204,$Q192))</f>
        <v/>
      </c>
      <c r="K192" s="26" t="str">
        <f>IF($Q192="","",INDEX(TRANSACTIONS_MASTER!$Q$5:$Q$1204,$Q192))</f>
        <v/>
      </c>
      <c r="L192" s="25" t="str">
        <f>IF($Q192="","",INDEX(TRANSACTIONS_MASTER!$P$5:$P$1204,$Q192))</f>
        <v/>
      </c>
      <c r="M192" s="25" t="str">
        <f>IF($Q192="","",INDEX(TRANSACTIONS_MASTER!$AA$5:$AA$1204,$Q192))</f>
        <v/>
      </c>
      <c r="N192" s="25" t="str">
        <f>IF($Q192="","",INDEX(TRANSACTIONS_MASTER!$R$5:$R$1204,$Q192))</f>
        <v/>
      </c>
      <c r="O192" s="28" t="str">
        <f>IF($Q192="","",INDEX(TRANSACTIONS_MASTER!$AB$5:$AB$1204,$Q192))</f>
        <v/>
      </c>
      <c r="P192" s="55" t="str">
        <f>IF($Q192="","",INDEX(TRANSACTIONS_MASTER!$Z$5:$Z$1204,$Q192)&amp;"")</f>
        <v/>
      </c>
      <c r="Q192" s="67" t="str">
        <f>IFERROR(MATCH($C$2&amp;"|"&amp;185,TRANSACTIONS_MASTER!$AE$5:$AE$1204,0),"")</f>
        <v/>
      </c>
    </row>
    <row r="193">
      <c r="A193" s="81" t="str">
        <f>IF($Q193="","",186)</f>
        <v/>
      </c>
      <c r="B193" s="57" t="str">
        <f>IF($Q193="","",INDEX(TRANSACTIONS_MASTER!$B$5:$B$1204,$Q193))</f>
        <v/>
      </c>
      <c r="C193" s="55" t="str">
        <f>IF($Q193="","",INDEX(TRANSACTIONS_MASTER!$F$5:$F$1204,$Q193))</f>
        <v/>
      </c>
      <c r="D193" s="55" t="str">
        <f>IF($Q193="","",INDEX(TRANSACTIONS_MASTER!$E$5:$E$1204,$Q193))</f>
        <v/>
      </c>
      <c r="E193" s="55" t="str">
        <f>IF($Q193="","",INDEX(TRANSACTIONS_MASTER!$G$5:$G$1204,$Q193)&amp;"")</f>
        <v/>
      </c>
      <c r="F193" s="29" t="str">
        <f>IF($Q193="","",INDEX(TRANSACTIONS_MASTER!$I$5:$I$1204,$Q193))</f>
        <v/>
      </c>
      <c r="G193" s="55" t="str">
        <f>IF($Q193="","",INDEX(TRANSACTIONS_MASTER!$K$5:$K$1204,$Q193))</f>
        <v/>
      </c>
      <c r="H193" s="25" t="str">
        <f>IF($Q193="","",INDEX(TRANSACTIONS_MASTER!$L$5:$L$1204,$Q193))</f>
        <v/>
      </c>
      <c r="I193" s="56" t="str">
        <f>IF($Q193="","",INDEX(TRANSACTIONS_MASTER!$N$5:$N$1204,$Q193))</f>
        <v/>
      </c>
      <c r="J193" s="25" t="str">
        <f>IF($Q193="","",INDEX(TRANSACTIONS_MASTER!$O$5:$O$1204,$Q193))</f>
        <v/>
      </c>
      <c r="K193" s="26" t="str">
        <f>IF($Q193="","",INDEX(TRANSACTIONS_MASTER!$Q$5:$Q$1204,$Q193))</f>
        <v/>
      </c>
      <c r="L193" s="25" t="str">
        <f>IF($Q193="","",INDEX(TRANSACTIONS_MASTER!$P$5:$P$1204,$Q193))</f>
        <v/>
      </c>
      <c r="M193" s="25" t="str">
        <f>IF($Q193="","",INDEX(TRANSACTIONS_MASTER!$AA$5:$AA$1204,$Q193))</f>
        <v/>
      </c>
      <c r="N193" s="25" t="str">
        <f>IF($Q193="","",INDEX(TRANSACTIONS_MASTER!$R$5:$R$1204,$Q193))</f>
        <v/>
      </c>
      <c r="O193" s="28" t="str">
        <f>IF($Q193="","",INDEX(TRANSACTIONS_MASTER!$AB$5:$AB$1204,$Q193))</f>
        <v/>
      </c>
      <c r="P193" s="55" t="str">
        <f>IF($Q193="","",INDEX(TRANSACTIONS_MASTER!$Z$5:$Z$1204,$Q193)&amp;"")</f>
        <v/>
      </c>
      <c r="Q193" s="67" t="str">
        <f>IFERROR(MATCH($C$2&amp;"|"&amp;186,TRANSACTIONS_MASTER!$AE$5:$AE$1204,0),"")</f>
        <v/>
      </c>
    </row>
    <row r="194">
      <c r="A194" s="81" t="str">
        <f>IF($Q194="","",187)</f>
        <v/>
      </c>
      <c r="B194" s="57" t="str">
        <f>IF($Q194="","",INDEX(TRANSACTIONS_MASTER!$B$5:$B$1204,$Q194))</f>
        <v/>
      </c>
      <c r="C194" s="55" t="str">
        <f>IF($Q194="","",INDEX(TRANSACTIONS_MASTER!$F$5:$F$1204,$Q194))</f>
        <v/>
      </c>
      <c r="D194" s="55" t="str">
        <f>IF($Q194="","",INDEX(TRANSACTIONS_MASTER!$E$5:$E$1204,$Q194))</f>
        <v/>
      </c>
      <c r="E194" s="55" t="str">
        <f>IF($Q194="","",INDEX(TRANSACTIONS_MASTER!$G$5:$G$1204,$Q194)&amp;"")</f>
        <v/>
      </c>
      <c r="F194" s="29" t="str">
        <f>IF($Q194="","",INDEX(TRANSACTIONS_MASTER!$I$5:$I$1204,$Q194))</f>
        <v/>
      </c>
      <c r="G194" s="55" t="str">
        <f>IF($Q194="","",INDEX(TRANSACTIONS_MASTER!$K$5:$K$1204,$Q194))</f>
        <v/>
      </c>
      <c r="H194" s="25" t="str">
        <f>IF($Q194="","",INDEX(TRANSACTIONS_MASTER!$L$5:$L$1204,$Q194))</f>
        <v/>
      </c>
      <c r="I194" s="56" t="str">
        <f>IF($Q194="","",INDEX(TRANSACTIONS_MASTER!$N$5:$N$1204,$Q194))</f>
        <v/>
      </c>
      <c r="J194" s="25" t="str">
        <f>IF($Q194="","",INDEX(TRANSACTIONS_MASTER!$O$5:$O$1204,$Q194))</f>
        <v/>
      </c>
      <c r="K194" s="26" t="str">
        <f>IF($Q194="","",INDEX(TRANSACTIONS_MASTER!$Q$5:$Q$1204,$Q194))</f>
        <v/>
      </c>
      <c r="L194" s="25" t="str">
        <f>IF($Q194="","",INDEX(TRANSACTIONS_MASTER!$P$5:$P$1204,$Q194))</f>
        <v/>
      </c>
      <c r="M194" s="25" t="str">
        <f>IF($Q194="","",INDEX(TRANSACTIONS_MASTER!$AA$5:$AA$1204,$Q194))</f>
        <v/>
      </c>
      <c r="N194" s="25" t="str">
        <f>IF($Q194="","",INDEX(TRANSACTIONS_MASTER!$R$5:$R$1204,$Q194))</f>
        <v/>
      </c>
      <c r="O194" s="28" t="str">
        <f>IF($Q194="","",INDEX(TRANSACTIONS_MASTER!$AB$5:$AB$1204,$Q194))</f>
        <v/>
      </c>
      <c r="P194" s="55" t="str">
        <f>IF($Q194="","",INDEX(TRANSACTIONS_MASTER!$Z$5:$Z$1204,$Q194)&amp;"")</f>
        <v/>
      </c>
      <c r="Q194" s="67" t="str">
        <f>IFERROR(MATCH($C$2&amp;"|"&amp;187,TRANSACTIONS_MASTER!$AE$5:$AE$1204,0),"")</f>
        <v/>
      </c>
    </row>
    <row r="195">
      <c r="A195" s="81" t="str">
        <f>IF($Q195="","",188)</f>
        <v/>
      </c>
      <c r="B195" s="57" t="str">
        <f>IF($Q195="","",INDEX(TRANSACTIONS_MASTER!$B$5:$B$1204,$Q195))</f>
        <v/>
      </c>
      <c r="C195" s="55" t="str">
        <f>IF($Q195="","",INDEX(TRANSACTIONS_MASTER!$F$5:$F$1204,$Q195))</f>
        <v/>
      </c>
      <c r="D195" s="55" t="str">
        <f>IF($Q195="","",INDEX(TRANSACTIONS_MASTER!$E$5:$E$1204,$Q195))</f>
        <v/>
      </c>
      <c r="E195" s="55" t="str">
        <f>IF($Q195="","",INDEX(TRANSACTIONS_MASTER!$G$5:$G$1204,$Q195)&amp;"")</f>
        <v/>
      </c>
      <c r="F195" s="29" t="str">
        <f>IF($Q195="","",INDEX(TRANSACTIONS_MASTER!$I$5:$I$1204,$Q195))</f>
        <v/>
      </c>
      <c r="G195" s="55" t="str">
        <f>IF($Q195="","",INDEX(TRANSACTIONS_MASTER!$K$5:$K$1204,$Q195))</f>
        <v/>
      </c>
      <c r="H195" s="25" t="str">
        <f>IF($Q195="","",INDEX(TRANSACTIONS_MASTER!$L$5:$L$1204,$Q195))</f>
        <v/>
      </c>
      <c r="I195" s="56" t="str">
        <f>IF($Q195="","",INDEX(TRANSACTIONS_MASTER!$N$5:$N$1204,$Q195))</f>
        <v/>
      </c>
      <c r="J195" s="25" t="str">
        <f>IF($Q195="","",INDEX(TRANSACTIONS_MASTER!$O$5:$O$1204,$Q195))</f>
        <v/>
      </c>
      <c r="K195" s="26" t="str">
        <f>IF($Q195="","",INDEX(TRANSACTIONS_MASTER!$Q$5:$Q$1204,$Q195))</f>
        <v/>
      </c>
      <c r="L195" s="25" t="str">
        <f>IF($Q195="","",INDEX(TRANSACTIONS_MASTER!$P$5:$P$1204,$Q195))</f>
        <v/>
      </c>
      <c r="M195" s="25" t="str">
        <f>IF($Q195="","",INDEX(TRANSACTIONS_MASTER!$AA$5:$AA$1204,$Q195))</f>
        <v/>
      </c>
      <c r="N195" s="25" t="str">
        <f>IF($Q195="","",INDEX(TRANSACTIONS_MASTER!$R$5:$R$1204,$Q195))</f>
        <v/>
      </c>
      <c r="O195" s="28" t="str">
        <f>IF($Q195="","",INDEX(TRANSACTIONS_MASTER!$AB$5:$AB$1204,$Q195))</f>
        <v/>
      </c>
      <c r="P195" s="55" t="str">
        <f>IF($Q195="","",INDEX(TRANSACTIONS_MASTER!$Z$5:$Z$1204,$Q195)&amp;"")</f>
        <v/>
      </c>
      <c r="Q195" s="67" t="str">
        <f>IFERROR(MATCH($C$2&amp;"|"&amp;188,TRANSACTIONS_MASTER!$AE$5:$AE$1204,0),"")</f>
        <v/>
      </c>
    </row>
    <row r="196">
      <c r="A196" s="81" t="str">
        <f>IF($Q196="","",189)</f>
        <v/>
      </c>
      <c r="B196" s="57" t="str">
        <f>IF($Q196="","",INDEX(TRANSACTIONS_MASTER!$B$5:$B$1204,$Q196))</f>
        <v/>
      </c>
      <c r="C196" s="55" t="str">
        <f>IF($Q196="","",INDEX(TRANSACTIONS_MASTER!$F$5:$F$1204,$Q196))</f>
        <v/>
      </c>
      <c r="D196" s="55" t="str">
        <f>IF($Q196="","",INDEX(TRANSACTIONS_MASTER!$E$5:$E$1204,$Q196))</f>
        <v/>
      </c>
      <c r="E196" s="55" t="str">
        <f>IF($Q196="","",INDEX(TRANSACTIONS_MASTER!$G$5:$G$1204,$Q196)&amp;"")</f>
        <v/>
      </c>
      <c r="F196" s="29" t="str">
        <f>IF($Q196="","",INDEX(TRANSACTIONS_MASTER!$I$5:$I$1204,$Q196))</f>
        <v/>
      </c>
      <c r="G196" s="55" t="str">
        <f>IF($Q196="","",INDEX(TRANSACTIONS_MASTER!$K$5:$K$1204,$Q196))</f>
        <v/>
      </c>
      <c r="H196" s="25" t="str">
        <f>IF($Q196="","",INDEX(TRANSACTIONS_MASTER!$L$5:$L$1204,$Q196))</f>
        <v/>
      </c>
      <c r="I196" s="56" t="str">
        <f>IF($Q196="","",INDEX(TRANSACTIONS_MASTER!$N$5:$N$1204,$Q196))</f>
        <v/>
      </c>
      <c r="J196" s="25" t="str">
        <f>IF($Q196="","",INDEX(TRANSACTIONS_MASTER!$O$5:$O$1204,$Q196))</f>
        <v/>
      </c>
      <c r="K196" s="26" t="str">
        <f>IF($Q196="","",INDEX(TRANSACTIONS_MASTER!$Q$5:$Q$1204,$Q196))</f>
        <v/>
      </c>
      <c r="L196" s="25" t="str">
        <f>IF($Q196="","",INDEX(TRANSACTIONS_MASTER!$P$5:$P$1204,$Q196))</f>
        <v/>
      </c>
      <c r="M196" s="25" t="str">
        <f>IF($Q196="","",INDEX(TRANSACTIONS_MASTER!$AA$5:$AA$1204,$Q196))</f>
        <v/>
      </c>
      <c r="N196" s="25" t="str">
        <f>IF($Q196="","",INDEX(TRANSACTIONS_MASTER!$R$5:$R$1204,$Q196))</f>
        <v/>
      </c>
      <c r="O196" s="28" t="str">
        <f>IF($Q196="","",INDEX(TRANSACTIONS_MASTER!$AB$5:$AB$1204,$Q196))</f>
        <v/>
      </c>
      <c r="P196" s="55" t="str">
        <f>IF($Q196="","",INDEX(TRANSACTIONS_MASTER!$Z$5:$Z$1204,$Q196)&amp;"")</f>
        <v/>
      </c>
      <c r="Q196" s="67" t="str">
        <f>IFERROR(MATCH($C$2&amp;"|"&amp;189,TRANSACTIONS_MASTER!$AE$5:$AE$1204,0),"")</f>
        <v/>
      </c>
    </row>
    <row r="197">
      <c r="A197" s="81" t="str">
        <f>IF($Q197="","",190)</f>
        <v/>
      </c>
      <c r="B197" s="57" t="str">
        <f>IF($Q197="","",INDEX(TRANSACTIONS_MASTER!$B$5:$B$1204,$Q197))</f>
        <v/>
      </c>
      <c r="C197" s="55" t="str">
        <f>IF($Q197="","",INDEX(TRANSACTIONS_MASTER!$F$5:$F$1204,$Q197))</f>
        <v/>
      </c>
      <c r="D197" s="55" t="str">
        <f>IF($Q197="","",INDEX(TRANSACTIONS_MASTER!$E$5:$E$1204,$Q197))</f>
        <v/>
      </c>
      <c r="E197" s="55" t="str">
        <f>IF($Q197="","",INDEX(TRANSACTIONS_MASTER!$G$5:$G$1204,$Q197)&amp;"")</f>
        <v/>
      </c>
      <c r="F197" s="29" t="str">
        <f>IF($Q197="","",INDEX(TRANSACTIONS_MASTER!$I$5:$I$1204,$Q197))</f>
        <v/>
      </c>
      <c r="G197" s="55" t="str">
        <f>IF($Q197="","",INDEX(TRANSACTIONS_MASTER!$K$5:$K$1204,$Q197))</f>
        <v/>
      </c>
      <c r="H197" s="25" t="str">
        <f>IF($Q197="","",INDEX(TRANSACTIONS_MASTER!$L$5:$L$1204,$Q197))</f>
        <v/>
      </c>
      <c r="I197" s="56" t="str">
        <f>IF($Q197="","",INDEX(TRANSACTIONS_MASTER!$N$5:$N$1204,$Q197))</f>
        <v/>
      </c>
      <c r="J197" s="25" t="str">
        <f>IF($Q197="","",INDEX(TRANSACTIONS_MASTER!$O$5:$O$1204,$Q197))</f>
        <v/>
      </c>
      <c r="K197" s="26" t="str">
        <f>IF($Q197="","",INDEX(TRANSACTIONS_MASTER!$Q$5:$Q$1204,$Q197))</f>
        <v/>
      </c>
      <c r="L197" s="25" t="str">
        <f>IF($Q197="","",INDEX(TRANSACTIONS_MASTER!$P$5:$P$1204,$Q197))</f>
        <v/>
      </c>
      <c r="M197" s="25" t="str">
        <f>IF($Q197="","",INDEX(TRANSACTIONS_MASTER!$AA$5:$AA$1204,$Q197))</f>
        <v/>
      </c>
      <c r="N197" s="25" t="str">
        <f>IF($Q197="","",INDEX(TRANSACTIONS_MASTER!$R$5:$R$1204,$Q197))</f>
        <v/>
      </c>
      <c r="O197" s="28" t="str">
        <f>IF($Q197="","",INDEX(TRANSACTIONS_MASTER!$AB$5:$AB$1204,$Q197))</f>
        <v/>
      </c>
      <c r="P197" s="55" t="str">
        <f>IF($Q197="","",INDEX(TRANSACTIONS_MASTER!$Z$5:$Z$1204,$Q197)&amp;"")</f>
        <v/>
      </c>
      <c r="Q197" s="67" t="str">
        <f>IFERROR(MATCH($C$2&amp;"|"&amp;190,TRANSACTIONS_MASTER!$AE$5:$AE$1204,0),"")</f>
        <v/>
      </c>
    </row>
    <row r="198">
      <c r="A198" s="81" t="str">
        <f>IF($Q198="","",191)</f>
        <v/>
      </c>
      <c r="B198" s="57" t="str">
        <f>IF($Q198="","",INDEX(TRANSACTIONS_MASTER!$B$5:$B$1204,$Q198))</f>
        <v/>
      </c>
      <c r="C198" s="55" t="str">
        <f>IF($Q198="","",INDEX(TRANSACTIONS_MASTER!$F$5:$F$1204,$Q198))</f>
        <v/>
      </c>
      <c r="D198" s="55" t="str">
        <f>IF($Q198="","",INDEX(TRANSACTIONS_MASTER!$E$5:$E$1204,$Q198))</f>
        <v/>
      </c>
      <c r="E198" s="55" t="str">
        <f>IF($Q198="","",INDEX(TRANSACTIONS_MASTER!$G$5:$G$1204,$Q198)&amp;"")</f>
        <v/>
      </c>
      <c r="F198" s="29" t="str">
        <f>IF($Q198="","",INDEX(TRANSACTIONS_MASTER!$I$5:$I$1204,$Q198))</f>
        <v/>
      </c>
      <c r="G198" s="55" t="str">
        <f>IF($Q198="","",INDEX(TRANSACTIONS_MASTER!$K$5:$K$1204,$Q198))</f>
        <v/>
      </c>
      <c r="H198" s="25" t="str">
        <f>IF($Q198="","",INDEX(TRANSACTIONS_MASTER!$L$5:$L$1204,$Q198))</f>
        <v/>
      </c>
      <c r="I198" s="56" t="str">
        <f>IF($Q198="","",INDEX(TRANSACTIONS_MASTER!$N$5:$N$1204,$Q198))</f>
        <v/>
      </c>
      <c r="J198" s="25" t="str">
        <f>IF($Q198="","",INDEX(TRANSACTIONS_MASTER!$O$5:$O$1204,$Q198))</f>
        <v/>
      </c>
      <c r="K198" s="26" t="str">
        <f>IF($Q198="","",INDEX(TRANSACTIONS_MASTER!$Q$5:$Q$1204,$Q198))</f>
        <v/>
      </c>
      <c r="L198" s="25" t="str">
        <f>IF($Q198="","",INDEX(TRANSACTIONS_MASTER!$P$5:$P$1204,$Q198))</f>
        <v/>
      </c>
      <c r="M198" s="25" t="str">
        <f>IF($Q198="","",INDEX(TRANSACTIONS_MASTER!$AA$5:$AA$1204,$Q198))</f>
        <v/>
      </c>
      <c r="N198" s="25" t="str">
        <f>IF($Q198="","",INDEX(TRANSACTIONS_MASTER!$R$5:$R$1204,$Q198))</f>
        <v/>
      </c>
      <c r="O198" s="28" t="str">
        <f>IF($Q198="","",INDEX(TRANSACTIONS_MASTER!$AB$5:$AB$1204,$Q198))</f>
        <v/>
      </c>
      <c r="P198" s="55" t="str">
        <f>IF($Q198="","",INDEX(TRANSACTIONS_MASTER!$Z$5:$Z$1204,$Q198)&amp;"")</f>
        <v/>
      </c>
      <c r="Q198" s="67" t="str">
        <f>IFERROR(MATCH($C$2&amp;"|"&amp;191,TRANSACTIONS_MASTER!$AE$5:$AE$1204,0),"")</f>
        <v/>
      </c>
    </row>
    <row r="199">
      <c r="A199" s="81" t="str">
        <f>IF($Q199="","",192)</f>
        <v/>
      </c>
      <c r="B199" s="57" t="str">
        <f>IF($Q199="","",INDEX(TRANSACTIONS_MASTER!$B$5:$B$1204,$Q199))</f>
        <v/>
      </c>
      <c r="C199" s="55" t="str">
        <f>IF($Q199="","",INDEX(TRANSACTIONS_MASTER!$F$5:$F$1204,$Q199))</f>
        <v/>
      </c>
      <c r="D199" s="55" t="str">
        <f>IF($Q199="","",INDEX(TRANSACTIONS_MASTER!$E$5:$E$1204,$Q199))</f>
        <v/>
      </c>
      <c r="E199" s="55" t="str">
        <f>IF($Q199="","",INDEX(TRANSACTIONS_MASTER!$G$5:$G$1204,$Q199)&amp;"")</f>
        <v/>
      </c>
      <c r="F199" s="29" t="str">
        <f>IF($Q199="","",INDEX(TRANSACTIONS_MASTER!$I$5:$I$1204,$Q199))</f>
        <v/>
      </c>
      <c r="G199" s="55" t="str">
        <f>IF($Q199="","",INDEX(TRANSACTIONS_MASTER!$K$5:$K$1204,$Q199))</f>
        <v/>
      </c>
      <c r="H199" s="25" t="str">
        <f>IF($Q199="","",INDEX(TRANSACTIONS_MASTER!$L$5:$L$1204,$Q199))</f>
        <v/>
      </c>
      <c r="I199" s="56" t="str">
        <f>IF($Q199="","",INDEX(TRANSACTIONS_MASTER!$N$5:$N$1204,$Q199))</f>
        <v/>
      </c>
      <c r="J199" s="25" t="str">
        <f>IF($Q199="","",INDEX(TRANSACTIONS_MASTER!$O$5:$O$1204,$Q199))</f>
        <v/>
      </c>
      <c r="K199" s="26" t="str">
        <f>IF($Q199="","",INDEX(TRANSACTIONS_MASTER!$Q$5:$Q$1204,$Q199))</f>
        <v/>
      </c>
      <c r="L199" s="25" t="str">
        <f>IF($Q199="","",INDEX(TRANSACTIONS_MASTER!$P$5:$P$1204,$Q199))</f>
        <v/>
      </c>
      <c r="M199" s="25" t="str">
        <f>IF($Q199="","",INDEX(TRANSACTIONS_MASTER!$AA$5:$AA$1204,$Q199))</f>
        <v/>
      </c>
      <c r="N199" s="25" t="str">
        <f>IF($Q199="","",INDEX(TRANSACTIONS_MASTER!$R$5:$R$1204,$Q199))</f>
        <v/>
      </c>
      <c r="O199" s="28" t="str">
        <f>IF($Q199="","",INDEX(TRANSACTIONS_MASTER!$AB$5:$AB$1204,$Q199))</f>
        <v/>
      </c>
      <c r="P199" s="55" t="str">
        <f>IF($Q199="","",INDEX(TRANSACTIONS_MASTER!$Z$5:$Z$1204,$Q199)&amp;"")</f>
        <v/>
      </c>
      <c r="Q199" s="67" t="str">
        <f>IFERROR(MATCH($C$2&amp;"|"&amp;192,TRANSACTIONS_MASTER!$AE$5:$AE$1204,0),"")</f>
        <v/>
      </c>
    </row>
    <row r="200">
      <c r="A200" s="81" t="str">
        <f>IF($Q200="","",193)</f>
        <v/>
      </c>
      <c r="B200" s="57" t="str">
        <f>IF($Q200="","",INDEX(TRANSACTIONS_MASTER!$B$5:$B$1204,$Q200))</f>
        <v/>
      </c>
      <c r="C200" s="55" t="str">
        <f>IF($Q200="","",INDEX(TRANSACTIONS_MASTER!$F$5:$F$1204,$Q200))</f>
        <v/>
      </c>
      <c r="D200" s="55" t="str">
        <f>IF($Q200="","",INDEX(TRANSACTIONS_MASTER!$E$5:$E$1204,$Q200))</f>
        <v/>
      </c>
      <c r="E200" s="55" t="str">
        <f>IF($Q200="","",INDEX(TRANSACTIONS_MASTER!$G$5:$G$1204,$Q200)&amp;"")</f>
        <v/>
      </c>
      <c r="F200" s="29" t="str">
        <f>IF($Q200="","",INDEX(TRANSACTIONS_MASTER!$I$5:$I$1204,$Q200))</f>
        <v/>
      </c>
      <c r="G200" s="55" t="str">
        <f>IF($Q200="","",INDEX(TRANSACTIONS_MASTER!$K$5:$K$1204,$Q200))</f>
        <v/>
      </c>
      <c r="H200" s="25" t="str">
        <f>IF($Q200="","",INDEX(TRANSACTIONS_MASTER!$L$5:$L$1204,$Q200))</f>
        <v/>
      </c>
      <c r="I200" s="56" t="str">
        <f>IF($Q200="","",INDEX(TRANSACTIONS_MASTER!$N$5:$N$1204,$Q200))</f>
        <v/>
      </c>
      <c r="J200" s="25" t="str">
        <f>IF($Q200="","",INDEX(TRANSACTIONS_MASTER!$O$5:$O$1204,$Q200))</f>
        <v/>
      </c>
      <c r="K200" s="26" t="str">
        <f>IF($Q200="","",INDEX(TRANSACTIONS_MASTER!$Q$5:$Q$1204,$Q200))</f>
        <v/>
      </c>
      <c r="L200" s="25" t="str">
        <f>IF($Q200="","",INDEX(TRANSACTIONS_MASTER!$P$5:$P$1204,$Q200))</f>
        <v/>
      </c>
      <c r="M200" s="25" t="str">
        <f>IF($Q200="","",INDEX(TRANSACTIONS_MASTER!$AA$5:$AA$1204,$Q200))</f>
        <v/>
      </c>
      <c r="N200" s="25" t="str">
        <f>IF($Q200="","",INDEX(TRANSACTIONS_MASTER!$R$5:$R$1204,$Q200))</f>
        <v/>
      </c>
      <c r="O200" s="28" t="str">
        <f>IF($Q200="","",INDEX(TRANSACTIONS_MASTER!$AB$5:$AB$1204,$Q200))</f>
        <v/>
      </c>
      <c r="P200" s="55" t="str">
        <f>IF($Q200="","",INDEX(TRANSACTIONS_MASTER!$Z$5:$Z$1204,$Q200)&amp;"")</f>
        <v/>
      </c>
      <c r="Q200" s="67" t="str">
        <f>IFERROR(MATCH($C$2&amp;"|"&amp;193,TRANSACTIONS_MASTER!$AE$5:$AE$1204,0),"")</f>
        <v/>
      </c>
    </row>
    <row r="201">
      <c r="A201" s="81" t="str">
        <f>IF($Q201="","",194)</f>
        <v/>
      </c>
      <c r="B201" s="57" t="str">
        <f>IF($Q201="","",INDEX(TRANSACTIONS_MASTER!$B$5:$B$1204,$Q201))</f>
        <v/>
      </c>
      <c r="C201" s="55" t="str">
        <f>IF($Q201="","",INDEX(TRANSACTIONS_MASTER!$F$5:$F$1204,$Q201))</f>
        <v/>
      </c>
      <c r="D201" s="55" t="str">
        <f>IF($Q201="","",INDEX(TRANSACTIONS_MASTER!$E$5:$E$1204,$Q201))</f>
        <v/>
      </c>
      <c r="E201" s="55" t="str">
        <f>IF($Q201="","",INDEX(TRANSACTIONS_MASTER!$G$5:$G$1204,$Q201)&amp;"")</f>
        <v/>
      </c>
      <c r="F201" s="29" t="str">
        <f>IF($Q201="","",INDEX(TRANSACTIONS_MASTER!$I$5:$I$1204,$Q201))</f>
        <v/>
      </c>
      <c r="G201" s="55" t="str">
        <f>IF($Q201="","",INDEX(TRANSACTIONS_MASTER!$K$5:$K$1204,$Q201))</f>
        <v/>
      </c>
      <c r="H201" s="25" t="str">
        <f>IF($Q201="","",INDEX(TRANSACTIONS_MASTER!$L$5:$L$1204,$Q201))</f>
        <v/>
      </c>
      <c r="I201" s="56" t="str">
        <f>IF($Q201="","",INDEX(TRANSACTIONS_MASTER!$N$5:$N$1204,$Q201))</f>
        <v/>
      </c>
      <c r="J201" s="25" t="str">
        <f>IF($Q201="","",INDEX(TRANSACTIONS_MASTER!$O$5:$O$1204,$Q201))</f>
        <v/>
      </c>
      <c r="K201" s="26" t="str">
        <f>IF($Q201="","",INDEX(TRANSACTIONS_MASTER!$Q$5:$Q$1204,$Q201))</f>
        <v/>
      </c>
      <c r="L201" s="25" t="str">
        <f>IF($Q201="","",INDEX(TRANSACTIONS_MASTER!$P$5:$P$1204,$Q201))</f>
        <v/>
      </c>
      <c r="M201" s="25" t="str">
        <f>IF($Q201="","",INDEX(TRANSACTIONS_MASTER!$AA$5:$AA$1204,$Q201))</f>
        <v/>
      </c>
      <c r="N201" s="25" t="str">
        <f>IF($Q201="","",INDEX(TRANSACTIONS_MASTER!$R$5:$R$1204,$Q201))</f>
        <v/>
      </c>
      <c r="O201" s="28" t="str">
        <f>IF($Q201="","",INDEX(TRANSACTIONS_MASTER!$AB$5:$AB$1204,$Q201))</f>
        <v/>
      </c>
      <c r="P201" s="55" t="str">
        <f>IF($Q201="","",INDEX(TRANSACTIONS_MASTER!$Z$5:$Z$1204,$Q201)&amp;"")</f>
        <v/>
      </c>
      <c r="Q201" s="67" t="str">
        <f>IFERROR(MATCH($C$2&amp;"|"&amp;194,TRANSACTIONS_MASTER!$AE$5:$AE$1204,0),"")</f>
        <v/>
      </c>
    </row>
    <row r="202">
      <c r="A202" s="81" t="str">
        <f>IF($Q202="","",195)</f>
        <v/>
      </c>
      <c r="B202" s="57" t="str">
        <f>IF($Q202="","",INDEX(TRANSACTIONS_MASTER!$B$5:$B$1204,$Q202))</f>
        <v/>
      </c>
      <c r="C202" s="55" t="str">
        <f>IF($Q202="","",INDEX(TRANSACTIONS_MASTER!$F$5:$F$1204,$Q202))</f>
        <v/>
      </c>
      <c r="D202" s="55" t="str">
        <f>IF($Q202="","",INDEX(TRANSACTIONS_MASTER!$E$5:$E$1204,$Q202))</f>
        <v/>
      </c>
      <c r="E202" s="55" t="str">
        <f>IF($Q202="","",INDEX(TRANSACTIONS_MASTER!$G$5:$G$1204,$Q202)&amp;"")</f>
        <v/>
      </c>
      <c r="F202" s="29" t="str">
        <f>IF($Q202="","",INDEX(TRANSACTIONS_MASTER!$I$5:$I$1204,$Q202))</f>
        <v/>
      </c>
      <c r="G202" s="55" t="str">
        <f>IF($Q202="","",INDEX(TRANSACTIONS_MASTER!$K$5:$K$1204,$Q202))</f>
        <v/>
      </c>
      <c r="H202" s="25" t="str">
        <f>IF($Q202="","",INDEX(TRANSACTIONS_MASTER!$L$5:$L$1204,$Q202))</f>
        <v/>
      </c>
      <c r="I202" s="56" t="str">
        <f>IF($Q202="","",INDEX(TRANSACTIONS_MASTER!$N$5:$N$1204,$Q202))</f>
        <v/>
      </c>
      <c r="J202" s="25" t="str">
        <f>IF($Q202="","",INDEX(TRANSACTIONS_MASTER!$O$5:$O$1204,$Q202))</f>
        <v/>
      </c>
      <c r="K202" s="26" t="str">
        <f>IF($Q202="","",INDEX(TRANSACTIONS_MASTER!$Q$5:$Q$1204,$Q202))</f>
        <v/>
      </c>
      <c r="L202" s="25" t="str">
        <f>IF($Q202="","",INDEX(TRANSACTIONS_MASTER!$P$5:$P$1204,$Q202))</f>
        <v/>
      </c>
      <c r="M202" s="25" t="str">
        <f>IF($Q202="","",INDEX(TRANSACTIONS_MASTER!$AA$5:$AA$1204,$Q202))</f>
        <v/>
      </c>
      <c r="N202" s="25" t="str">
        <f>IF($Q202="","",INDEX(TRANSACTIONS_MASTER!$R$5:$R$1204,$Q202))</f>
        <v/>
      </c>
      <c r="O202" s="28" t="str">
        <f>IF($Q202="","",INDEX(TRANSACTIONS_MASTER!$AB$5:$AB$1204,$Q202))</f>
        <v/>
      </c>
      <c r="P202" s="55" t="str">
        <f>IF($Q202="","",INDEX(TRANSACTIONS_MASTER!$Z$5:$Z$1204,$Q202)&amp;"")</f>
        <v/>
      </c>
      <c r="Q202" s="67" t="str">
        <f>IFERROR(MATCH($C$2&amp;"|"&amp;195,TRANSACTIONS_MASTER!$AE$5:$AE$1204,0),"")</f>
        <v/>
      </c>
    </row>
    <row r="203">
      <c r="A203" s="81" t="str">
        <f>IF($Q203="","",196)</f>
        <v/>
      </c>
      <c r="B203" s="57" t="str">
        <f>IF($Q203="","",INDEX(TRANSACTIONS_MASTER!$B$5:$B$1204,$Q203))</f>
        <v/>
      </c>
      <c r="C203" s="55" t="str">
        <f>IF($Q203="","",INDEX(TRANSACTIONS_MASTER!$F$5:$F$1204,$Q203))</f>
        <v/>
      </c>
      <c r="D203" s="55" t="str">
        <f>IF($Q203="","",INDEX(TRANSACTIONS_MASTER!$E$5:$E$1204,$Q203))</f>
        <v/>
      </c>
      <c r="E203" s="55" t="str">
        <f>IF($Q203="","",INDEX(TRANSACTIONS_MASTER!$G$5:$G$1204,$Q203)&amp;"")</f>
        <v/>
      </c>
      <c r="F203" s="29" t="str">
        <f>IF($Q203="","",INDEX(TRANSACTIONS_MASTER!$I$5:$I$1204,$Q203))</f>
        <v/>
      </c>
      <c r="G203" s="55" t="str">
        <f>IF($Q203="","",INDEX(TRANSACTIONS_MASTER!$K$5:$K$1204,$Q203))</f>
        <v/>
      </c>
      <c r="H203" s="25" t="str">
        <f>IF($Q203="","",INDEX(TRANSACTIONS_MASTER!$L$5:$L$1204,$Q203))</f>
        <v/>
      </c>
      <c r="I203" s="56" t="str">
        <f>IF($Q203="","",INDEX(TRANSACTIONS_MASTER!$N$5:$N$1204,$Q203))</f>
        <v/>
      </c>
      <c r="J203" s="25" t="str">
        <f>IF($Q203="","",INDEX(TRANSACTIONS_MASTER!$O$5:$O$1204,$Q203))</f>
        <v/>
      </c>
      <c r="K203" s="26" t="str">
        <f>IF($Q203="","",INDEX(TRANSACTIONS_MASTER!$Q$5:$Q$1204,$Q203))</f>
        <v/>
      </c>
      <c r="L203" s="25" t="str">
        <f>IF($Q203="","",INDEX(TRANSACTIONS_MASTER!$P$5:$P$1204,$Q203))</f>
        <v/>
      </c>
      <c r="M203" s="25" t="str">
        <f>IF($Q203="","",INDEX(TRANSACTIONS_MASTER!$AA$5:$AA$1204,$Q203))</f>
        <v/>
      </c>
      <c r="N203" s="25" t="str">
        <f>IF($Q203="","",INDEX(TRANSACTIONS_MASTER!$R$5:$R$1204,$Q203))</f>
        <v/>
      </c>
      <c r="O203" s="28" t="str">
        <f>IF($Q203="","",INDEX(TRANSACTIONS_MASTER!$AB$5:$AB$1204,$Q203))</f>
        <v/>
      </c>
      <c r="P203" s="55" t="str">
        <f>IF($Q203="","",INDEX(TRANSACTIONS_MASTER!$Z$5:$Z$1204,$Q203)&amp;"")</f>
        <v/>
      </c>
      <c r="Q203" s="67" t="str">
        <f>IFERROR(MATCH($C$2&amp;"|"&amp;196,TRANSACTIONS_MASTER!$AE$5:$AE$1204,0),"")</f>
        <v/>
      </c>
    </row>
    <row r="204">
      <c r="A204" s="81" t="str">
        <f>IF($Q204="","",197)</f>
        <v/>
      </c>
      <c r="B204" s="57" t="str">
        <f>IF($Q204="","",INDEX(TRANSACTIONS_MASTER!$B$5:$B$1204,$Q204))</f>
        <v/>
      </c>
      <c r="C204" s="55" t="str">
        <f>IF($Q204="","",INDEX(TRANSACTIONS_MASTER!$F$5:$F$1204,$Q204))</f>
        <v/>
      </c>
      <c r="D204" s="55" t="str">
        <f>IF($Q204="","",INDEX(TRANSACTIONS_MASTER!$E$5:$E$1204,$Q204))</f>
        <v/>
      </c>
      <c r="E204" s="55" t="str">
        <f>IF($Q204="","",INDEX(TRANSACTIONS_MASTER!$G$5:$G$1204,$Q204)&amp;"")</f>
        <v/>
      </c>
      <c r="F204" s="29" t="str">
        <f>IF($Q204="","",INDEX(TRANSACTIONS_MASTER!$I$5:$I$1204,$Q204))</f>
        <v/>
      </c>
      <c r="G204" s="55" t="str">
        <f>IF($Q204="","",INDEX(TRANSACTIONS_MASTER!$K$5:$K$1204,$Q204))</f>
        <v/>
      </c>
      <c r="H204" s="25" t="str">
        <f>IF($Q204="","",INDEX(TRANSACTIONS_MASTER!$L$5:$L$1204,$Q204))</f>
        <v/>
      </c>
      <c r="I204" s="56" t="str">
        <f>IF($Q204="","",INDEX(TRANSACTIONS_MASTER!$N$5:$N$1204,$Q204))</f>
        <v/>
      </c>
      <c r="J204" s="25" t="str">
        <f>IF($Q204="","",INDEX(TRANSACTIONS_MASTER!$O$5:$O$1204,$Q204))</f>
        <v/>
      </c>
      <c r="K204" s="26" t="str">
        <f>IF($Q204="","",INDEX(TRANSACTIONS_MASTER!$Q$5:$Q$1204,$Q204))</f>
        <v/>
      </c>
      <c r="L204" s="25" t="str">
        <f>IF($Q204="","",INDEX(TRANSACTIONS_MASTER!$P$5:$P$1204,$Q204))</f>
        <v/>
      </c>
      <c r="M204" s="25" t="str">
        <f>IF($Q204="","",INDEX(TRANSACTIONS_MASTER!$AA$5:$AA$1204,$Q204))</f>
        <v/>
      </c>
      <c r="N204" s="25" t="str">
        <f>IF($Q204="","",INDEX(TRANSACTIONS_MASTER!$R$5:$R$1204,$Q204))</f>
        <v/>
      </c>
      <c r="O204" s="28" t="str">
        <f>IF($Q204="","",INDEX(TRANSACTIONS_MASTER!$AB$5:$AB$1204,$Q204))</f>
        <v/>
      </c>
      <c r="P204" s="55" t="str">
        <f>IF($Q204="","",INDEX(TRANSACTIONS_MASTER!$Z$5:$Z$1204,$Q204)&amp;"")</f>
        <v/>
      </c>
      <c r="Q204" s="67" t="str">
        <f>IFERROR(MATCH($C$2&amp;"|"&amp;197,TRANSACTIONS_MASTER!$AE$5:$AE$1204,0),"")</f>
        <v/>
      </c>
    </row>
    <row r="205">
      <c r="A205" s="81" t="str">
        <f>IF($Q205="","",198)</f>
        <v/>
      </c>
      <c r="B205" s="57" t="str">
        <f>IF($Q205="","",INDEX(TRANSACTIONS_MASTER!$B$5:$B$1204,$Q205))</f>
        <v/>
      </c>
      <c r="C205" s="55" t="str">
        <f>IF($Q205="","",INDEX(TRANSACTIONS_MASTER!$F$5:$F$1204,$Q205))</f>
        <v/>
      </c>
      <c r="D205" s="55" t="str">
        <f>IF($Q205="","",INDEX(TRANSACTIONS_MASTER!$E$5:$E$1204,$Q205))</f>
        <v/>
      </c>
      <c r="E205" s="55" t="str">
        <f>IF($Q205="","",INDEX(TRANSACTIONS_MASTER!$G$5:$G$1204,$Q205)&amp;"")</f>
        <v/>
      </c>
      <c r="F205" s="29" t="str">
        <f>IF($Q205="","",INDEX(TRANSACTIONS_MASTER!$I$5:$I$1204,$Q205))</f>
        <v/>
      </c>
      <c r="G205" s="55" t="str">
        <f>IF($Q205="","",INDEX(TRANSACTIONS_MASTER!$K$5:$K$1204,$Q205))</f>
        <v/>
      </c>
      <c r="H205" s="25" t="str">
        <f>IF($Q205="","",INDEX(TRANSACTIONS_MASTER!$L$5:$L$1204,$Q205))</f>
        <v/>
      </c>
      <c r="I205" s="56" t="str">
        <f>IF($Q205="","",INDEX(TRANSACTIONS_MASTER!$N$5:$N$1204,$Q205))</f>
        <v/>
      </c>
      <c r="J205" s="25" t="str">
        <f>IF($Q205="","",INDEX(TRANSACTIONS_MASTER!$O$5:$O$1204,$Q205))</f>
        <v/>
      </c>
      <c r="K205" s="26" t="str">
        <f>IF($Q205="","",INDEX(TRANSACTIONS_MASTER!$Q$5:$Q$1204,$Q205))</f>
        <v/>
      </c>
      <c r="L205" s="25" t="str">
        <f>IF($Q205="","",INDEX(TRANSACTIONS_MASTER!$P$5:$P$1204,$Q205))</f>
        <v/>
      </c>
      <c r="M205" s="25" t="str">
        <f>IF($Q205="","",INDEX(TRANSACTIONS_MASTER!$AA$5:$AA$1204,$Q205))</f>
        <v/>
      </c>
      <c r="N205" s="25" t="str">
        <f>IF($Q205="","",INDEX(TRANSACTIONS_MASTER!$R$5:$R$1204,$Q205))</f>
        <v/>
      </c>
      <c r="O205" s="28" t="str">
        <f>IF($Q205="","",INDEX(TRANSACTIONS_MASTER!$AB$5:$AB$1204,$Q205))</f>
        <v/>
      </c>
      <c r="P205" s="55" t="str">
        <f>IF($Q205="","",INDEX(TRANSACTIONS_MASTER!$Z$5:$Z$1204,$Q205)&amp;"")</f>
        <v/>
      </c>
      <c r="Q205" s="67" t="str">
        <f>IFERROR(MATCH($C$2&amp;"|"&amp;198,TRANSACTIONS_MASTER!$AE$5:$AE$1204,0),"")</f>
        <v/>
      </c>
    </row>
    <row r="206">
      <c r="A206" s="81" t="str">
        <f>IF($Q206="","",199)</f>
        <v/>
      </c>
      <c r="B206" s="57" t="str">
        <f>IF($Q206="","",INDEX(TRANSACTIONS_MASTER!$B$5:$B$1204,$Q206))</f>
        <v/>
      </c>
      <c r="C206" s="55" t="str">
        <f>IF($Q206="","",INDEX(TRANSACTIONS_MASTER!$F$5:$F$1204,$Q206))</f>
        <v/>
      </c>
      <c r="D206" s="55" t="str">
        <f>IF($Q206="","",INDEX(TRANSACTIONS_MASTER!$E$5:$E$1204,$Q206))</f>
        <v/>
      </c>
      <c r="E206" s="55" t="str">
        <f>IF($Q206="","",INDEX(TRANSACTIONS_MASTER!$G$5:$G$1204,$Q206)&amp;"")</f>
        <v/>
      </c>
      <c r="F206" s="29" t="str">
        <f>IF($Q206="","",INDEX(TRANSACTIONS_MASTER!$I$5:$I$1204,$Q206))</f>
        <v/>
      </c>
      <c r="G206" s="55" t="str">
        <f>IF($Q206="","",INDEX(TRANSACTIONS_MASTER!$K$5:$K$1204,$Q206))</f>
        <v/>
      </c>
      <c r="H206" s="25" t="str">
        <f>IF($Q206="","",INDEX(TRANSACTIONS_MASTER!$L$5:$L$1204,$Q206))</f>
        <v/>
      </c>
      <c r="I206" s="56" t="str">
        <f>IF($Q206="","",INDEX(TRANSACTIONS_MASTER!$N$5:$N$1204,$Q206))</f>
        <v/>
      </c>
      <c r="J206" s="25" t="str">
        <f>IF($Q206="","",INDEX(TRANSACTIONS_MASTER!$O$5:$O$1204,$Q206))</f>
        <v/>
      </c>
      <c r="K206" s="26" t="str">
        <f>IF($Q206="","",INDEX(TRANSACTIONS_MASTER!$Q$5:$Q$1204,$Q206))</f>
        <v/>
      </c>
      <c r="L206" s="25" t="str">
        <f>IF($Q206="","",INDEX(TRANSACTIONS_MASTER!$P$5:$P$1204,$Q206))</f>
        <v/>
      </c>
      <c r="M206" s="25" t="str">
        <f>IF($Q206="","",INDEX(TRANSACTIONS_MASTER!$AA$5:$AA$1204,$Q206))</f>
        <v/>
      </c>
      <c r="N206" s="25" t="str">
        <f>IF($Q206="","",INDEX(TRANSACTIONS_MASTER!$R$5:$R$1204,$Q206))</f>
        <v/>
      </c>
      <c r="O206" s="28" t="str">
        <f>IF($Q206="","",INDEX(TRANSACTIONS_MASTER!$AB$5:$AB$1204,$Q206))</f>
        <v/>
      </c>
      <c r="P206" s="55" t="str">
        <f>IF($Q206="","",INDEX(TRANSACTIONS_MASTER!$Z$5:$Z$1204,$Q206)&amp;"")</f>
        <v/>
      </c>
      <c r="Q206" s="67" t="str">
        <f>IFERROR(MATCH($C$2&amp;"|"&amp;199,TRANSACTIONS_MASTER!$AE$5:$AE$1204,0),"")</f>
        <v/>
      </c>
    </row>
    <row r="207">
      <c r="A207" s="81" t="str">
        <f>IF($Q207="","",200)</f>
        <v/>
      </c>
      <c r="B207" s="57" t="str">
        <f>IF($Q207="","",INDEX(TRANSACTIONS_MASTER!$B$5:$B$1204,$Q207))</f>
        <v/>
      </c>
      <c r="C207" s="55" t="str">
        <f>IF($Q207="","",INDEX(TRANSACTIONS_MASTER!$F$5:$F$1204,$Q207))</f>
        <v/>
      </c>
      <c r="D207" s="55" t="str">
        <f>IF($Q207="","",INDEX(TRANSACTIONS_MASTER!$E$5:$E$1204,$Q207))</f>
        <v/>
      </c>
      <c r="E207" s="55" t="str">
        <f>IF($Q207="","",INDEX(TRANSACTIONS_MASTER!$G$5:$G$1204,$Q207)&amp;"")</f>
        <v/>
      </c>
      <c r="F207" s="29" t="str">
        <f>IF($Q207="","",INDEX(TRANSACTIONS_MASTER!$I$5:$I$1204,$Q207))</f>
        <v/>
      </c>
      <c r="G207" s="55" t="str">
        <f>IF($Q207="","",INDEX(TRANSACTIONS_MASTER!$K$5:$K$1204,$Q207))</f>
        <v/>
      </c>
      <c r="H207" s="25" t="str">
        <f>IF($Q207="","",INDEX(TRANSACTIONS_MASTER!$L$5:$L$1204,$Q207))</f>
        <v/>
      </c>
      <c r="I207" s="56" t="str">
        <f>IF($Q207="","",INDEX(TRANSACTIONS_MASTER!$N$5:$N$1204,$Q207))</f>
        <v/>
      </c>
      <c r="J207" s="25" t="str">
        <f>IF($Q207="","",INDEX(TRANSACTIONS_MASTER!$O$5:$O$1204,$Q207))</f>
        <v/>
      </c>
      <c r="K207" s="26" t="str">
        <f>IF($Q207="","",INDEX(TRANSACTIONS_MASTER!$Q$5:$Q$1204,$Q207))</f>
        <v/>
      </c>
      <c r="L207" s="25" t="str">
        <f>IF($Q207="","",INDEX(TRANSACTIONS_MASTER!$P$5:$P$1204,$Q207))</f>
        <v/>
      </c>
      <c r="M207" s="25" t="str">
        <f>IF($Q207="","",INDEX(TRANSACTIONS_MASTER!$AA$5:$AA$1204,$Q207))</f>
        <v/>
      </c>
      <c r="N207" s="25" t="str">
        <f>IF($Q207="","",INDEX(TRANSACTIONS_MASTER!$R$5:$R$1204,$Q207))</f>
        <v/>
      </c>
      <c r="O207" s="28" t="str">
        <f>IF($Q207="","",INDEX(TRANSACTIONS_MASTER!$AB$5:$AB$1204,$Q207))</f>
        <v/>
      </c>
      <c r="P207" s="55" t="str">
        <f>IF($Q207="","",INDEX(TRANSACTIONS_MASTER!$Z$5:$Z$1204,$Q207)&amp;"")</f>
        <v/>
      </c>
      <c r="Q207" s="67" t="str">
        <f>IFERROR(MATCH($C$2&amp;"|"&amp;200,TRANSACTIONS_MASTER!$AE$5:$AE$1204,0),"")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autoFilter ref="A7:P207"/>
  <mergeCells count="14">
    <mergeCell ref="I4:J4"/>
    <mergeCell ref="T3:W3"/>
    <mergeCell ref="B3:C3"/>
    <mergeCell ref="T4:W4"/>
    <mergeCell ref="M4:O4"/>
    <mergeCell ref="M3:O3"/>
    <mergeCell ref="F4:H4"/>
    <mergeCell ref="D4:E4"/>
    <mergeCell ref="K4:L4"/>
    <mergeCell ref="F3:H3"/>
    <mergeCell ref="D3:E3"/>
    <mergeCell ref="B4:C4"/>
    <mergeCell ref="K3:L3"/>
    <mergeCell ref="I3:J3"/>
  </mergeCells>
  <conditionalFormatting sqref="AA8:AA57">
    <cfRule type="dataBar" priority="1">
      <dataBar showValue="1">
        <cfvo type="num" val="0"/>
        <cfvo type="num" val="1"/>
        <color rgb="00F2A1BF"/>
      </dataBar>
    </cfRule>
    <cfRule type="expression" priority="2" dxfId="8">
      <formula>AND(ISNUMBER(AA8),AA8&gt;=1)</formula>
    </cfRule>
  </conditionalFormatting>
  <conditionalFormatting sqref="Z8:Z57">
    <cfRule type="cellIs" priority="3" operator="equal" dxfId="1">
      <formula>0</formula>
    </cfRule>
  </conditionalFormatting>
  <conditionalFormatting sqref="Z62:Z91">
    <cfRule type="dataBar" priority="4">
      <dataBar showValue="1">
        <cfvo type="num" val="0"/>
        <cfvo type="num" val="1"/>
        <color rgb="00F2A1BF"/>
      </dataBar>
    </cfRule>
    <cfRule type="expression" priority="5" dxfId="8">
      <formula>AND(ISNUMBER(Z62),Z62&gt;=1)</formula>
    </cfRule>
  </conditionalFormatting>
  <conditionalFormatting sqref="Y62:Y91">
    <cfRule type="cellIs" priority="6" operator="equal" dxfId="1">
      <formula>0</formula>
    </cfRule>
  </conditionalFormatting>
  <conditionalFormatting sqref="A8:P207">
    <cfRule type="expression" priority="7" dxfId="5" stopIfTrue="0">
      <formula>MOD(ROW(),2)=0</formula>
    </cfRule>
  </conditionalFormatting>
  <conditionalFormatting sqref="O8:O207">
    <cfRule type="cellIs" priority="8" operator="equal" dxfId="3">
      <formula>"Được hoàn"</formula>
    </cfRule>
    <cfRule type="cellIs" priority="9" operator="equal" dxfId="2">
      <formula>"Hoàn một phần"</formula>
    </cfRule>
    <cfRule type="cellIs" priority="10" operator="equal" dxfId="1">
      <formula>"Đã đạt cap"</formula>
    </cfRule>
    <cfRule type="cellIs" priority="11" operator="equal" dxfId="4">
      <formula>"Không được hoàn"</formula>
    </cfRule>
    <cfRule type="cellIs" priority="12" operator="equal" dxfId="0">
      <formula>"Đã hủy"</formula>
    </cfRule>
  </conditionalFormatting>
  <conditionalFormatting sqref="K8:K207">
    <cfRule type="expression" priority="13" dxfId="7">
      <formula>AND(ISNUMBER($K8),$K8&gt;0)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009A8A92"/>
    <outlinePr summaryBelow="1" summaryRight="1"/>
    <pageSetUpPr/>
  </sheetPr>
  <dimension ref="B1:K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3" customWidth="1" min="10" max="10"/>
    <col width="110" customWidth="1" min="11" max="11"/>
  </cols>
  <sheetData>
    <row r="1" ht="30" customHeight="1">
      <c r="B1" s="62" t="inlineStr">
        <is>
          <t>⚙ SETTINGS — tham số &amp; danh sách dùng chung</t>
        </is>
      </c>
    </row>
    <row r="2">
      <c r="B2" s="65" t="inlineStr">
        <is>
          <t>Chỉnh các ô chữ xanh. Danh sách có thể thêm dòng ở cuối; dropdown tự cập nhật.</t>
        </is>
      </c>
    </row>
    <row r="4" ht="22" customHeight="1">
      <c r="B4" s="19" t="inlineStr">
        <is>
          <t>THAM SỐ</t>
        </is>
      </c>
      <c r="C4" s="20" t="n"/>
      <c r="K4" s="83" t="inlineStr">
        <is>
          <t>HƯỚNG DẪN NHANH</t>
        </is>
      </c>
    </row>
    <row r="5">
      <c r="B5" s="23" t="inlineStr">
        <is>
          <t>Ngày tham chiếu (mặc định = hôm nay)</t>
        </is>
      </c>
      <c r="C5" s="84">
        <f>TODAY()</f>
        <v>46302.0</v>
      </c>
      <c r="K5" s="85" t="inlineStr">
        <is>
          <t>1) Thêm thẻ: điền một dòng mới ở sheet CARDS (Card ID là mã bạn tự đặt, duy nhất, vd VPB-JCBZ). Dùng được ngay ở mọi sheet.</t>
        </is>
      </c>
    </row>
    <row r="6">
      <c r="B6" s="23" t="inlineStr">
        <is>
          <t>Tháng hiện tại (tự động)</t>
        </is>
      </c>
      <c r="C6" s="86">
        <f>YEAR(pToday)*100+MONTH(pToday)</f>
        <v>202610</v>
      </c>
      <c r="K6" s="85" t="inlineStr">
        <is>
          <t>2) Thêm chương trình cashback: mỗi MCC của mỗi nhóm = 1 dòng ở CASHBACK_RULES. Cùng Card ID + cùng 'Nhóm cashback' = cùng một cap nhóm.</t>
        </is>
      </c>
    </row>
    <row r="7">
      <c r="B7" s="23" t="inlineStr">
        <is>
          <t>Ngưỡng hạn mức — cảnh báo nhẹ (≥)</t>
        </is>
      </c>
      <c r="C7" s="87" t="n">
        <v>0.5</v>
      </c>
      <c r="K7" s="85" t="inlineStr">
        <is>
          <t xml:space="preserve">   Cap để trống = không giới hạn. Cap nhóm / cap thẻ nên điền giống nhau trên mọi dòng cùng nhóm / cùng thẻ (cột 'Kiểm tra' sẽ cảnh báo nếu lệch).</t>
        </is>
      </c>
    </row>
    <row r="8">
      <c r="B8" s="23" t="inlineStr">
        <is>
          <t>Ngưỡng hạn mức — cảnh báo (≥)</t>
        </is>
      </c>
      <c r="C8" s="87" t="n">
        <v>0.7</v>
      </c>
      <c r="K8" s="85" t="inlineStr">
        <is>
          <t>3) Thêm MCC mới: thêm dòng ở MCC_MASTER rồi chọn MCC đó ở giao dịch / rule.</t>
        </is>
      </c>
    </row>
    <row r="9">
      <c r="B9" s="23" t="inlineStr">
        <is>
          <t>Ngưỡng hạn mức — nguy hiểm (&gt;)</t>
        </is>
      </c>
      <c r="C9" s="87" t="n">
        <v>0.9</v>
      </c>
      <c r="K9" s="85" t="inlineStr">
        <is>
          <t>4) Nhập giao dịch: CHỈ nhập ở TRANSACTIONS_MASTER (ô chữ xanh: Date, Card ID, Merchant, MCC, Amount, Status...). Các sheet tháng (2026-01…) là bản xem tự động.</t>
        </is>
      </c>
    </row>
    <row r="10">
      <c r="B10" s="23" t="inlineStr">
        <is>
          <t>'Sắp đến hạn' khi còn ≤ N ngày</t>
        </is>
      </c>
      <c r="C10" s="88" t="n">
        <v>5</v>
      </c>
      <c r="K10" s="85" t="inlineStr">
        <is>
          <t>5) Thứ tự dòng = thứ tự dùng cap. Hãy nhập theo thứ tự thời gian và KHÔNG dùng Sort trên bảng giao dịch (Filter thì thoải mái).</t>
        </is>
      </c>
    </row>
    <row r="11">
      <c r="B11" s="23" t="inlineStr">
        <is>
          <t>'Gần đạt cap' khi tiến độ ≥</t>
        </is>
      </c>
      <c r="C11" s="87" t="n">
        <v>0.8</v>
      </c>
      <c r="K11" s="85" t="inlineStr">
        <is>
          <t>6) Cùng một MCC xuất hiện ở nhiều rule của cùng thẻ (vd 5814 nằm ở Nhóm 1 và Nhóm 3): mặc định lấy rule đầu tiên khớp (đúng điều kiện ngày / giao dịch tối thiểu).</t>
        </is>
      </c>
    </row>
    <row r="12">
      <c r="K12" s="85" t="inlineStr">
        <is>
          <t xml:space="preserve">   Muốn chuyển sang rule khác: chọn Rule ID ở cột 'Rule ID (tùy chọn)' của giao dịch đó.</t>
        </is>
      </c>
    </row>
    <row r="13" ht="22" customHeight="1">
      <c r="B13" s="19" t="inlineStr">
        <is>
          <t>DANH SÁCH (dropdown)</t>
        </is>
      </c>
      <c r="C13" s="20" t="n"/>
      <c r="D13" s="20" t="n"/>
      <c r="E13" s="20" t="n"/>
      <c r="F13" s="20" t="n"/>
      <c r="G13" s="20" t="n"/>
      <c r="H13" s="20" t="n"/>
      <c r="I13" s="20" t="n"/>
      <c r="K13" s="85" t="inlineStr">
        <is>
          <t>7) Max Eligible Spending = trần số tiền được tính cashback / nhóm / tháng. Minimum Transaction = giao dịch nhỏ hơn mức này không được hoàn. Cashback làm tròn đến 1 VNĐ.</t>
        </is>
      </c>
    </row>
    <row r="14" ht="26" customHeight="1">
      <c r="B14" s="89" t="inlineStr">
        <is>
          <t>Tháng (yyyymm)</t>
        </is>
      </c>
      <c r="C14" s="89" t="inlineStr">
        <is>
          <t>Ngân hàng</t>
        </is>
      </c>
      <c r="D14" s="89" t="inlineStr">
        <is>
          <t>Loại thẻ</t>
        </is>
      </c>
      <c r="E14" s="89" t="inlineStr">
        <is>
          <t>Network</t>
        </is>
      </c>
      <c r="F14" s="89" t="inlineStr">
        <is>
          <t>Trạng thái thẻ</t>
        </is>
      </c>
      <c r="G14" s="89" t="inlineStr">
        <is>
          <t>Trạng thái giao dịch</t>
        </is>
      </c>
      <c r="H14" s="89" t="inlineStr">
        <is>
          <t>Payment Status</t>
        </is>
      </c>
      <c r="I14" s="89" t="inlineStr">
        <is>
          <t>Danh mục (MCC category)</t>
        </is>
      </c>
      <c r="K14" s="85" t="inlineStr">
        <is>
          <t>8) Dư nợ = các giao dịch chưa 'Đã thanh toán' và không 'Cancelled'. Đánh dấu 'Đã thanh toán' khi bạn trả sao kê để dư nợ / trạng thái hạn thanh toán cập nhật.</t>
        </is>
      </c>
    </row>
    <row r="15">
      <c r="B15" s="90" t="n">
        <v>202601</v>
      </c>
      <c r="C15" s="37" t="inlineStr">
        <is>
          <t>VPBank</t>
        </is>
      </c>
      <c r="D15" s="37" t="inlineStr">
        <is>
          <t>Credit</t>
        </is>
      </c>
      <c r="E15" s="37" t="inlineStr">
        <is>
          <t>Visa</t>
        </is>
      </c>
      <c r="F15" s="37" t="inlineStr">
        <is>
          <t>Active</t>
        </is>
      </c>
      <c r="G15" s="37" t="inlineStr">
        <is>
          <t>Posted</t>
        </is>
      </c>
      <c r="H15" s="37" t="inlineStr">
        <is>
          <t>Chưa thanh toán</t>
        </is>
      </c>
      <c r="I15" s="37" t="inlineStr">
        <is>
          <t>Dining</t>
        </is>
      </c>
      <c r="K15" s="85" t="inlineStr">
        <is>
          <t xml:space="preserve">   'Ngày sao kê' / 'Ngày thanh toán' ở CARDS là NGÀY TRONG THÁNG (1–31). Ngày thanh toán nhỏ hơn ngày sao kê = rơi vào tháng kế tiếp.</t>
        </is>
      </c>
    </row>
    <row r="16">
      <c r="B16" s="90" t="n">
        <v>202602</v>
      </c>
      <c r="C16" s="37" t="inlineStr">
        <is>
          <t>VIB</t>
        </is>
      </c>
      <c r="D16" s="37" t="inlineStr">
        <is>
          <t>Platinum</t>
        </is>
      </c>
      <c r="E16" s="37" t="inlineStr">
        <is>
          <t>Mastercard</t>
        </is>
      </c>
      <c r="F16" s="37" t="inlineStr">
        <is>
          <t>Inactive</t>
        </is>
      </c>
      <c r="G16" s="37" t="inlineStr">
        <is>
          <t>Pending</t>
        </is>
      </c>
      <c r="H16" s="37" t="inlineStr">
        <is>
          <t>Đã thanh toán</t>
        </is>
      </c>
      <c r="I16" s="37" t="inlineStr">
        <is>
          <t>Groceries</t>
        </is>
      </c>
      <c r="K16" s="85" t="inlineStr">
        <is>
          <t>9) Thêm tháng mới: chuột phải tab sheet tháng bất kỳ → Move or Copy → Create a copy → đổi tên → sửa ô 'Mã tháng' (vd 202701).</t>
        </is>
      </c>
    </row>
    <row r="17">
      <c r="B17" s="90" t="n">
        <v>202603</v>
      </c>
      <c r="C17" s="37" t="inlineStr">
        <is>
          <t>UOB</t>
        </is>
      </c>
      <c r="D17" s="37" t="inlineStr">
        <is>
          <t>Signature</t>
        </is>
      </c>
      <c r="E17" s="37" t="inlineStr">
        <is>
          <t>JCB</t>
        </is>
      </c>
      <c r="F17" s="37" t="inlineStr">
        <is>
          <t>Closed</t>
        </is>
      </c>
      <c r="G17" s="37" t="inlineStr">
        <is>
          <t>Cancelled</t>
        </is>
      </c>
      <c r="H17" s="37" t="n"/>
      <c r="I17" s="37" t="inlineStr">
        <is>
          <t>Shopping</t>
        </is>
      </c>
      <c r="K17" s="85" t="inlineStr">
        <is>
          <t>10) Xóa dữ liệu mẫu: chọn các ô chữ xanh ở CARDS / CASHBACK_RULES / TRANSACTIONS_MASTER rồi Delete (không xóa dòng, không xóa ô nền xám).</t>
        </is>
      </c>
    </row>
    <row r="18">
      <c r="B18" s="90" t="n">
        <v>202604</v>
      </c>
      <c r="C18" s="37" t="inlineStr">
        <is>
          <t>ACB</t>
        </is>
      </c>
      <c r="D18" s="37" t="inlineStr">
        <is>
          <t>World</t>
        </is>
      </c>
      <c r="E18" s="37" t="inlineStr">
        <is>
          <t>UnionPay</t>
        </is>
      </c>
      <c r="F18" s="37" t="n"/>
      <c r="G18" s="37" t="n"/>
      <c r="H18" s="37" t="n"/>
      <c r="I18" s="37" t="inlineStr">
        <is>
          <t>Electronics</t>
        </is>
      </c>
      <c r="K18" s="85" t="inlineStr">
        <is>
          <t>Sức chứa: 30 thẻ · 300 dòng rule · 500 MCC · 1.200 giao dịch · 50 nhóm cashback &amp; 200 giao dịch hiển thị / sheet tháng.</t>
        </is>
      </c>
    </row>
    <row r="19">
      <c r="B19" s="90" t="n">
        <v>202605</v>
      </c>
      <c r="C19" s="37" t="inlineStr">
        <is>
          <t>Techcombank</t>
        </is>
      </c>
      <c r="D19" s="37" t="inlineStr">
        <is>
          <t>Cashback</t>
        </is>
      </c>
      <c r="E19" s="37" t="inlineStr">
        <is>
          <t>Amex</t>
        </is>
      </c>
      <c r="F19" s="37" t="n"/>
      <c r="G19" s="37" t="n"/>
      <c r="H19" s="37" t="n"/>
      <c r="I19" s="37" t="inlineStr">
        <is>
          <t>Transport</t>
        </is>
      </c>
      <c r="K19" s="85" t="inlineStr">
        <is>
          <t>Các sheet có ô công thức đang được bảo vệ (không mật khẩu): Review → Unprotect Sheet nếu cần chỉnh sâu.</t>
        </is>
      </c>
    </row>
    <row r="20">
      <c r="B20" s="90" t="n">
        <v>202606</v>
      </c>
      <c r="C20" s="37" t="inlineStr">
        <is>
          <t>MB</t>
        </is>
      </c>
      <c r="D20" s="37" t="inlineStr">
        <is>
          <t>Travel</t>
        </is>
      </c>
      <c r="E20" s="37" t="inlineStr">
        <is>
          <t>Napas</t>
        </is>
      </c>
      <c r="F20" s="37" t="n"/>
      <c r="G20" s="37" t="n"/>
      <c r="H20" s="37" t="n"/>
      <c r="I20" s="37" t="inlineStr">
        <is>
          <t>Fuel</t>
        </is>
      </c>
    </row>
    <row r="21">
      <c r="B21" s="90" t="n">
        <v>202607</v>
      </c>
      <c r="C21" s="37" t="inlineStr">
        <is>
          <t>HSBC</t>
        </is>
      </c>
      <c r="D21" s="37" t="inlineStr">
        <is>
          <t>Debit-credit</t>
        </is>
      </c>
      <c r="E21" s="37" t="n"/>
      <c r="F21" s="37" t="n"/>
      <c r="G21" s="37" t="n"/>
      <c r="H21" s="37" t="n"/>
      <c r="I21" s="37" t="inlineStr">
        <is>
          <t>Travel</t>
        </is>
      </c>
    </row>
    <row r="22">
      <c r="B22" s="90" t="n">
        <v>202608</v>
      </c>
      <c r="C22" s="37" t="inlineStr">
        <is>
          <t>Vietcombank</t>
        </is>
      </c>
      <c r="D22" s="37" t="inlineStr">
        <is>
          <t>Other</t>
        </is>
      </c>
      <c r="E22" s="37" t="n"/>
      <c r="F22" s="37" t="n"/>
      <c r="G22" s="37" t="n"/>
      <c r="H22" s="37" t="n"/>
      <c r="I22" s="37" t="inlineStr">
        <is>
          <t>Entertainment</t>
        </is>
      </c>
    </row>
    <row r="23">
      <c r="B23" s="90" t="n">
        <v>202609</v>
      </c>
      <c r="C23" s="37" t="inlineStr">
        <is>
          <t>BIDV</t>
        </is>
      </c>
      <c r="D23" s="37" t="n"/>
      <c r="E23" s="37" t="n"/>
      <c r="F23" s="37" t="n"/>
      <c r="G23" s="37" t="n"/>
      <c r="H23" s="37" t="n"/>
      <c r="I23" s="37" t="inlineStr">
        <is>
          <t>Fitness &amp; Wellness</t>
        </is>
      </c>
    </row>
    <row r="24">
      <c r="B24" s="90" t="n">
        <v>202610</v>
      </c>
      <c r="C24" s="37" t="inlineStr">
        <is>
          <t>Sacombank</t>
        </is>
      </c>
      <c r="D24" s="37" t="n"/>
      <c r="E24" s="37" t="n"/>
      <c r="F24" s="37" t="n"/>
      <c r="G24" s="37" t="n"/>
      <c r="H24" s="37" t="n"/>
      <c r="I24" s="37" t="inlineStr">
        <is>
          <t>Healthcare</t>
        </is>
      </c>
    </row>
    <row r="25">
      <c r="B25" s="90" t="n">
        <v>202611</v>
      </c>
      <c r="C25" s="37" t="inlineStr">
        <is>
          <t>TPBank</t>
        </is>
      </c>
      <c r="D25" s="37" t="n"/>
      <c r="E25" s="37" t="n"/>
      <c r="F25" s="37" t="n"/>
      <c r="G25" s="37" t="n"/>
      <c r="H25" s="37" t="n"/>
      <c r="I25" s="37" t="inlineStr">
        <is>
          <t>Education</t>
        </is>
      </c>
    </row>
    <row r="26">
      <c r="B26" s="90" t="n">
        <v>202612</v>
      </c>
      <c r="C26" s="37" t="inlineStr">
        <is>
          <t>SHB</t>
        </is>
      </c>
      <c r="D26" s="37" t="n"/>
      <c r="E26" s="37" t="n"/>
      <c r="F26" s="37" t="n"/>
      <c r="G26" s="37" t="n"/>
      <c r="H26" s="37" t="n"/>
      <c r="I26" s="37" t="inlineStr">
        <is>
          <t>Utilities &amp; Telecom</t>
        </is>
      </c>
    </row>
    <row r="27">
      <c r="B27" s="90" t="n">
        <v>202701</v>
      </c>
      <c r="C27" s="37" t="inlineStr">
        <is>
          <t>VietinBank</t>
        </is>
      </c>
      <c r="D27" s="37" t="n"/>
      <c r="E27" s="37" t="n"/>
      <c r="F27" s="37" t="n"/>
      <c r="G27" s="37" t="n"/>
      <c r="H27" s="37" t="n"/>
      <c r="I27" s="37" t="inlineStr">
        <is>
          <t>Digital &amp; Subscriptions</t>
        </is>
      </c>
    </row>
    <row r="28">
      <c r="B28" s="90" t="n">
        <v>202702</v>
      </c>
      <c r="C28" s="37" t="inlineStr">
        <is>
          <t>Agribank</t>
        </is>
      </c>
      <c r="D28" s="37" t="n"/>
      <c r="E28" s="37" t="n"/>
      <c r="F28" s="37" t="n"/>
      <c r="G28" s="37" t="n"/>
      <c r="H28" s="37" t="n"/>
      <c r="I28" s="37" t="inlineStr">
        <is>
          <t>Home &amp; Living</t>
        </is>
      </c>
    </row>
    <row r="29">
      <c r="B29" s="90" t="n">
        <v>202703</v>
      </c>
      <c r="C29" s="37" t="inlineStr">
        <is>
          <t>OCB</t>
        </is>
      </c>
      <c r="D29" s="37" t="n"/>
      <c r="E29" s="37" t="n"/>
      <c r="F29" s="37" t="n"/>
      <c r="G29" s="37" t="n"/>
      <c r="H29" s="37" t="n"/>
      <c r="I29" s="37" t="inlineStr">
        <is>
          <t>Beauty &amp; Personal Care</t>
        </is>
      </c>
    </row>
    <row r="30">
      <c r="B30" s="90" t="n">
        <v>202704</v>
      </c>
      <c r="C30" s="37" t="inlineStr">
        <is>
          <t>MSB</t>
        </is>
      </c>
      <c r="D30" s="37" t="n"/>
      <c r="E30" s="37" t="n"/>
      <c r="F30" s="37" t="n"/>
      <c r="G30" s="37" t="n"/>
      <c r="H30" s="37" t="n"/>
      <c r="I30" s="37" t="inlineStr">
        <is>
          <t>Other</t>
        </is>
      </c>
    </row>
    <row r="31">
      <c r="B31" s="90" t="n">
        <v>202705</v>
      </c>
      <c r="C31" s="37" t="inlineStr">
        <is>
          <t>SeABank</t>
        </is>
      </c>
      <c r="D31" s="37" t="n"/>
      <c r="E31" s="37" t="n"/>
      <c r="F31" s="37" t="n"/>
      <c r="G31" s="37" t="n"/>
      <c r="H31" s="37" t="n"/>
      <c r="I31" s="37" t="n"/>
    </row>
    <row r="32">
      <c r="B32" s="90" t="n">
        <v>202706</v>
      </c>
      <c r="C32" s="37" t="inlineStr">
        <is>
          <t>HDBank</t>
        </is>
      </c>
      <c r="D32" s="37" t="n"/>
      <c r="E32" s="37" t="n"/>
      <c r="F32" s="37" t="n"/>
      <c r="G32" s="37" t="n"/>
      <c r="H32" s="37" t="n"/>
      <c r="I32" s="37" t="n"/>
    </row>
    <row r="33">
      <c r="B33" s="90" t="n">
        <v>202707</v>
      </c>
      <c r="C33" s="37" t="inlineStr">
        <is>
          <t>LPBank</t>
        </is>
      </c>
      <c r="D33" s="37" t="n"/>
      <c r="E33" s="37" t="n"/>
      <c r="F33" s="37" t="n"/>
      <c r="G33" s="37" t="n"/>
      <c r="H33" s="37" t="n"/>
      <c r="I33" s="37" t="n"/>
    </row>
    <row r="34">
      <c r="B34" s="90" t="n">
        <v>202708</v>
      </c>
      <c r="C34" s="37" t="inlineStr">
        <is>
          <t>Eximbank</t>
        </is>
      </c>
      <c r="D34" s="37" t="n"/>
      <c r="E34" s="37" t="n"/>
      <c r="F34" s="37" t="n"/>
      <c r="G34" s="37" t="n"/>
      <c r="H34" s="37" t="n"/>
      <c r="I34" s="37" t="n"/>
    </row>
    <row r="35">
      <c r="B35" s="90" t="n">
        <v>202709</v>
      </c>
      <c r="C35" s="37" t="inlineStr">
        <is>
          <t>Shinhan</t>
        </is>
      </c>
      <c r="D35" s="37" t="n"/>
      <c r="E35" s="37" t="n"/>
      <c r="F35" s="37" t="n"/>
      <c r="G35" s="37" t="n"/>
      <c r="H35" s="37" t="n"/>
      <c r="I35" s="37" t="n"/>
    </row>
    <row r="36">
      <c r="B36" s="90" t="n">
        <v>202710</v>
      </c>
      <c r="C36" s="37" t="inlineStr">
        <is>
          <t>Standard Chartered</t>
        </is>
      </c>
      <c r="D36" s="37" t="n"/>
      <c r="E36" s="37" t="n"/>
      <c r="F36" s="37" t="n"/>
      <c r="G36" s="37" t="n"/>
      <c r="H36" s="37" t="n"/>
      <c r="I36" s="37" t="n"/>
    </row>
    <row r="37">
      <c r="B37" s="90" t="n">
        <v>202711</v>
      </c>
      <c r="C37" s="37" t="inlineStr">
        <is>
          <t>Citibank</t>
        </is>
      </c>
      <c r="D37" s="37" t="n"/>
      <c r="E37" s="37" t="n"/>
      <c r="F37" s="37" t="n"/>
      <c r="G37" s="37" t="n"/>
      <c r="H37" s="37" t="n"/>
      <c r="I37" s="37" t="n"/>
    </row>
    <row r="38">
      <c r="B38" s="90" t="n">
        <v>202712</v>
      </c>
      <c r="C38" s="37" t="inlineStr">
        <is>
          <t>Nam A Bank</t>
        </is>
      </c>
      <c r="D38" s="37" t="n"/>
      <c r="E38" s="37" t="n"/>
      <c r="F38" s="37" t="n"/>
      <c r="G38" s="37" t="n"/>
      <c r="H38" s="37" t="n"/>
      <c r="I38" s="37" t="n"/>
    </row>
    <row r="39">
      <c r="B39" s="90" t="n"/>
      <c r="C39" s="37" t="inlineStr">
        <is>
          <t>VietCapital Bank</t>
        </is>
      </c>
      <c r="D39" s="37" t="n"/>
      <c r="E39" s="37" t="n"/>
      <c r="F39" s="37" t="n"/>
      <c r="G39" s="37" t="n"/>
      <c r="H39" s="37" t="n"/>
      <c r="I39" s="37" t="n"/>
    </row>
    <row r="40">
      <c r="B40" s="90" t="n"/>
      <c r="C40" s="37" t="n"/>
      <c r="D40" s="37" t="n"/>
      <c r="E40" s="37" t="n"/>
      <c r="F40" s="37" t="n"/>
      <c r="G40" s="37" t="n"/>
      <c r="H40" s="37" t="n"/>
      <c r="I40" s="37" t="n"/>
    </row>
    <row r="41">
      <c r="B41" s="90" t="n"/>
      <c r="C41" s="37" t="n"/>
      <c r="D41" s="37" t="n"/>
      <c r="E41" s="37" t="n"/>
      <c r="F41" s="37" t="n"/>
      <c r="G41" s="37" t="n"/>
      <c r="H41" s="37" t="n"/>
      <c r="I41" s="37" t="n"/>
    </row>
    <row r="42">
      <c r="B42" s="90" t="n"/>
      <c r="C42" s="37" t="n"/>
      <c r="D42" s="37" t="n"/>
      <c r="E42" s="37" t="n"/>
      <c r="F42" s="37" t="n"/>
      <c r="G42" s="37" t="n"/>
      <c r="H42" s="37" t="n"/>
      <c r="I42" s="37" t="n"/>
    </row>
    <row r="43">
      <c r="B43" s="90" t="n"/>
      <c r="C43" s="37" t="n"/>
      <c r="D43" s="37" t="n"/>
      <c r="E43" s="37" t="n"/>
      <c r="F43" s="37" t="n"/>
      <c r="G43" s="37" t="n"/>
      <c r="H43" s="37" t="n"/>
      <c r="I43" s="37" t="n"/>
    </row>
    <row r="44">
      <c r="B44" s="90" t="n"/>
      <c r="C44" s="37" t="n"/>
      <c r="D44" s="37" t="n"/>
      <c r="E44" s="37" t="n"/>
      <c r="F44" s="37" t="n"/>
      <c r="G44" s="37" t="n"/>
      <c r="H44" s="37" t="n"/>
      <c r="I44" s="37" t="n"/>
    </row>
    <row r="45">
      <c r="B45" s="90" t="n"/>
      <c r="C45" s="37" t="n"/>
      <c r="D45" s="37" t="n"/>
      <c r="E45" s="37" t="n"/>
      <c r="F45" s="37" t="n"/>
      <c r="G45" s="37" t="n"/>
      <c r="H45" s="37" t="n"/>
      <c r="I45" s="37" t="n"/>
    </row>
    <row r="46">
      <c r="B46" s="90" t="n"/>
      <c r="C46" s="37" t="n"/>
      <c r="D46" s="37" t="n"/>
      <c r="E46" s="37" t="n"/>
      <c r="F46" s="37" t="n"/>
      <c r="G46" s="37" t="n"/>
      <c r="H46" s="37" t="n"/>
      <c r="I46" s="37" t="n"/>
    </row>
    <row r="47">
      <c r="B47" s="90" t="n"/>
      <c r="C47" s="37" t="n"/>
      <c r="D47" s="37" t="n"/>
      <c r="E47" s="37" t="n"/>
      <c r="F47" s="37" t="n"/>
      <c r="G47" s="37" t="n"/>
      <c r="H47" s="37" t="n"/>
      <c r="I47" s="37" t="n"/>
    </row>
    <row r="48">
      <c r="B48" s="90" t="n"/>
      <c r="C48" s="37" t="n"/>
      <c r="D48" s="37" t="n"/>
      <c r="E48" s="37" t="n"/>
      <c r="F48" s="37" t="n"/>
      <c r="G48" s="37" t="n"/>
      <c r="H48" s="37" t="n"/>
      <c r="I48" s="37" t="n"/>
    </row>
    <row r="49">
      <c r="B49" s="90" t="n"/>
      <c r="C49" s="37" t="n"/>
      <c r="D49" s="37" t="n"/>
      <c r="E49" s="37" t="n"/>
      <c r="F49" s="37" t="n"/>
      <c r="G49" s="37" t="n"/>
      <c r="H49" s="37" t="n"/>
      <c r="I49" s="37" t="n"/>
    </row>
    <row r="50">
      <c r="B50" s="90" t="n"/>
      <c r="C50" s="37" t="n"/>
      <c r="D50" s="37" t="n"/>
      <c r="E50" s="37" t="n"/>
      <c r="F50" s="37" t="n"/>
      <c r="G50" s="37" t="n"/>
      <c r="H50" s="37" t="n"/>
      <c r="I50" s="37" t="n"/>
    </row>
    <row r="51">
      <c r="B51" s="90" t="n"/>
      <c r="C51" s="37" t="n"/>
      <c r="D51" s="37" t="n"/>
      <c r="E51" s="37" t="n"/>
      <c r="F51" s="37" t="n"/>
      <c r="G51" s="37" t="n"/>
      <c r="H51" s="37" t="n"/>
      <c r="I51" s="37" t="n"/>
    </row>
    <row r="52">
      <c r="B52" s="90" t="n"/>
      <c r="C52" s="37" t="n"/>
      <c r="D52" s="37" t="n"/>
      <c r="E52" s="37" t="n"/>
      <c r="F52" s="37" t="n"/>
      <c r="G52" s="37" t="n"/>
      <c r="H52" s="37" t="n"/>
      <c r="I52" s="37" t="n"/>
    </row>
    <row r="53">
      <c r="B53" s="90" t="n"/>
      <c r="C53" s="37" t="n"/>
      <c r="D53" s="37" t="n"/>
      <c r="E53" s="37" t="n"/>
      <c r="F53" s="37" t="n"/>
      <c r="G53" s="37" t="n"/>
      <c r="H53" s="37" t="n"/>
      <c r="I53" s="37" t="n"/>
    </row>
    <row r="54">
      <c r="B54" s="90" t="n"/>
      <c r="C54" s="37" t="n"/>
      <c r="D54" s="37" t="n"/>
      <c r="E54" s="37" t="n"/>
      <c r="F54" s="37" t="n"/>
      <c r="G54" s="37" t="n"/>
      <c r="H54" s="37" t="n"/>
      <c r="I54" s="37" t="n"/>
    </row>
    <row r="55">
      <c r="B55" s="90" t="n"/>
      <c r="C55" s="37" t="n"/>
      <c r="D55" s="37" t="n"/>
      <c r="E55" s="37" t="n"/>
      <c r="F55" s="37" t="n"/>
      <c r="G55" s="37" t="n"/>
      <c r="H55" s="37" t="n"/>
      <c r="I55" s="37" t="n"/>
    </row>
    <row r="56">
      <c r="B56" s="90" t="n"/>
      <c r="C56" s="37" t="n"/>
      <c r="D56" s="37" t="n"/>
      <c r="E56" s="37" t="n"/>
      <c r="F56" s="37" t="n"/>
      <c r="G56" s="37" t="n"/>
      <c r="H56" s="37" t="n"/>
      <c r="I56" s="37" t="n"/>
    </row>
    <row r="57">
      <c r="B57" s="90" t="n"/>
      <c r="C57" s="37" t="n"/>
      <c r="D57" s="37" t="n"/>
      <c r="E57" s="37" t="n"/>
      <c r="F57" s="37" t="n"/>
      <c r="G57" s="37" t="n"/>
      <c r="H57" s="37" t="n"/>
      <c r="I57" s="37" t="n"/>
    </row>
    <row r="58">
      <c r="B58" s="90" t="n"/>
      <c r="C58" s="37" t="n"/>
      <c r="D58" s="37" t="n"/>
      <c r="E58" s="37" t="n"/>
      <c r="F58" s="37" t="n"/>
      <c r="G58" s="37" t="n"/>
      <c r="H58" s="37" t="n"/>
      <c r="I58" s="37" t="n"/>
    </row>
    <row r="59">
      <c r="B59" s="90" t="n"/>
      <c r="C59" s="37" t="n"/>
      <c r="D59" s="37" t="n"/>
      <c r="E59" s="37" t="n"/>
      <c r="F59" s="37" t="n"/>
      <c r="G59" s="37" t="n"/>
      <c r="H59" s="37" t="n"/>
      <c r="I59" s="37" t="n"/>
    </row>
    <row r="60">
      <c r="B60" s="90" t="n"/>
      <c r="C60" s="37" t="n"/>
      <c r="D60" s="37" t="n"/>
      <c r="E60" s="37" t="n"/>
      <c r="F60" s="37" t="n"/>
      <c r="G60" s="37" t="n"/>
      <c r="H60" s="37" t="n"/>
      <c r="I60" s="37" t="n"/>
    </row>
    <row r="61">
      <c r="B61" s="90" t="n"/>
      <c r="C61" s="37" t="n"/>
      <c r="D61" s="37" t="n"/>
      <c r="E61" s="37" t="n"/>
      <c r="F61" s="37" t="n"/>
      <c r="G61" s="37" t="n"/>
      <c r="H61" s="37" t="n"/>
      <c r="I61" s="37" t="n"/>
    </row>
    <row r="62">
      <c r="B62" s="90" t="n"/>
      <c r="C62" s="37" t="n"/>
      <c r="D62" s="37" t="n"/>
      <c r="E62" s="37" t="n"/>
      <c r="F62" s="37" t="n"/>
      <c r="G62" s="37" t="n"/>
      <c r="H62" s="37" t="n"/>
      <c r="I62" s="37" t="n"/>
    </row>
    <row r="63">
      <c r="B63" s="90" t="n"/>
      <c r="C63" s="37" t="n"/>
      <c r="D63" s="37" t="n"/>
      <c r="E63" s="37" t="n"/>
      <c r="F63" s="37" t="n"/>
      <c r="G63" s="37" t="n"/>
      <c r="H63" s="37" t="n"/>
      <c r="I63" s="37" t="n"/>
    </row>
    <row r="64">
      <c r="B64" s="90" t="n"/>
      <c r="C64" s="37" t="n"/>
      <c r="D64" s="37" t="n"/>
      <c r="E64" s="37" t="n"/>
      <c r="F64" s="37" t="n"/>
      <c r="G64" s="37" t="n"/>
      <c r="H64" s="37" t="n"/>
      <c r="I64" s="37" t="n"/>
    </row>
    <row r="65">
      <c r="B65" s="90" t="n"/>
      <c r="C65" s="37" t="n"/>
      <c r="D65" s="37" t="n"/>
      <c r="E65" s="37" t="n"/>
      <c r="F65" s="37" t="n"/>
      <c r="G65" s="37" t="n"/>
      <c r="H65" s="37" t="n"/>
      <c r="I65" s="37" t="n"/>
    </row>
    <row r="66">
      <c r="B66" s="90" t="n"/>
      <c r="C66" s="37" t="n"/>
      <c r="D66" s="37" t="n"/>
      <c r="E66" s="37" t="n"/>
      <c r="F66" s="37" t="n"/>
      <c r="G66" s="37" t="n"/>
      <c r="H66" s="37" t="n"/>
      <c r="I66" s="37" t="n"/>
    </row>
    <row r="67">
      <c r="B67" s="90" t="n"/>
      <c r="C67" s="37" t="n"/>
      <c r="D67" s="37" t="n"/>
      <c r="E67" s="37" t="n"/>
      <c r="F67" s="37" t="n"/>
      <c r="G67" s="37" t="n"/>
      <c r="H67" s="37" t="n"/>
      <c r="I67" s="37" t="n"/>
    </row>
    <row r="68">
      <c r="B68" s="90" t="n"/>
      <c r="C68" s="37" t="n"/>
      <c r="D68" s="37" t="n"/>
      <c r="E68" s="37" t="n"/>
      <c r="F68" s="37" t="n"/>
      <c r="G68" s="37" t="n"/>
      <c r="H68" s="37" t="n"/>
      <c r="I68" s="37" t="n"/>
    </row>
    <row r="69">
      <c r="B69" s="90" t="n"/>
      <c r="C69" s="37" t="n"/>
      <c r="D69" s="37" t="n"/>
      <c r="E69" s="37" t="n"/>
      <c r="F69" s="37" t="n"/>
      <c r="G69" s="37" t="n"/>
      <c r="H69" s="37" t="n"/>
      <c r="I69" s="37" t="n"/>
    </row>
    <row r="70">
      <c r="B70" s="90" t="n"/>
      <c r="C70" s="37" t="n"/>
      <c r="D70" s="37" t="n"/>
      <c r="E70" s="37" t="n"/>
      <c r="F70" s="37" t="n"/>
      <c r="G70" s="37" t="n"/>
      <c r="H70" s="37" t="n"/>
      <c r="I70" s="37" t="n"/>
    </row>
    <row r="71">
      <c r="B71" s="90" t="n"/>
      <c r="C71" s="37" t="n"/>
      <c r="D71" s="37" t="n"/>
      <c r="E71" s="37" t="n"/>
      <c r="F71" s="37" t="n"/>
      <c r="G71" s="37" t="n"/>
      <c r="H71" s="37" t="n"/>
      <c r="I71" s="37" t="n"/>
    </row>
    <row r="72">
      <c r="B72" s="90" t="n"/>
      <c r="C72" s="37" t="n"/>
      <c r="D72" s="37" t="n"/>
      <c r="E72" s="37" t="n"/>
      <c r="F72" s="37" t="n"/>
      <c r="G72" s="37" t="n"/>
      <c r="H72" s="37" t="n"/>
      <c r="I72" s="37" t="n"/>
    </row>
    <row r="73">
      <c r="B73" s="90" t="n"/>
      <c r="C73" s="37" t="n"/>
      <c r="D73" s="37" t="n"/>
      <c r="E73" s="37" t="n"/>
      <c r="F73" s="37" t="n"/>
      <c r="G73" s="37" t="n"/>
      <c r="H73" s="37" t="n"/>
      <c r="I73" s="37" t="n"/>
    </row>
    <row r="74">
      <c r="B74" s="90" t="n"/>
      <c r="C74" s="37" t="n"/>
      <c r="D74" s="37" t="n"/>
      <c r="E74" s="37" t="n"/>
      <c r="F74" s="37" t="n"/>
      <c r="G74" s="37" t="n"/>
      <c r="H74" s="37" t="n"/>
      <c r="I74" s="37" t="n"/>
    </row>
    <row r="75">
      <c r="B75" s="90" t="n"/>
      <c r="C75" s="37" t="n"/>
      <c r="D75" s="37" t="n"/>
      <c r="E75" s="37" t="n"/>
      <c r="F75" s="37" t="n"/>
      <c r="G75" s="37" t="n"/>
      <c r="H75" s="37" t="n"/>
      <c r="I75" s="37" t="n"/>
    </row>
    <row r="76">
      <c r="B76" s="90" t="n"/>
      <c r="C76" s="37" t="n"/>
      <c r="D76" s="37" t="n"/>
      <c r="E76" s="37" t="n"/>
      <c r="F76" s="37" t="n"/>
      <c r="G76" s="37" t="n"/>
      <c r="H76" s="37" t="n"/>
      <c r="I76" s="37" t="n"/>
    </row>
    <row r="77">
      <c r="B77" s="90" t="n"/>
      <c r="C77" s="37" t="n"/>
      <c r="D77" s="37" t="n"/>
      <c r="E77" s="37" t="n"/>
      <c r="F77" s="37" t="n"/>
      <c r="G77" s="37" t="n"/>
      <c r="H77" s="37" t="n"/>
      <c r="I77" s="37" t="n"/>
    </row>
    <row r="78">
      <c r="B78" s="90" t="n"/>
      <c r="C78" s="37" t="n"/>
      <c r="D78" s="37" t="n"/>
      <c r="E78" s="37" t="n"/>
      <c r="F78" s="37" t="n"/>
      <c r="G78" s="37" t="n"/>
      <c r="H78" s="37" t="n"/>
      <c r="I78" s="37" t="n"/>
    </row>
    <row r="79">
      <c r="B79" s="90" t="n"/>
      <c r="C79" s="37" t="n"/>
      <c r="D79" s="37" t="n"/>
      <c r="E79" s="37" t="n"/>
      <c r="F79" s="37" t="n"/>
      <c r="G79" s="37" t="n"/>
      <c r="H79" s="37" t="n"/>
      <c r="I79" s="37" t="n"/>
    </row>
    <row r="80">
      <c r="B80" s="90" t="n"/>
      <c r="C80" s="37" t="n"/>
      <c r="D80" s="37" t="n"/>
      <c r="E80" s="37" t="n"/>
      <c r="F80" s="37" t="n"/>
      <c r="G80" s="37" t="n"/>
      <c r="H80" s="37" t="n"/>
      <c r="I80" s="37" t="n"/>
    </row>
    <row r="81">
      <c r="B81" s="90" t="n"/>
      <c r="C81" s="37" t="n"/>
      <c r="D81" s="37" t="n"/>
      <c r="E81" s="37" t="n"/>
      <c r="F81" s="37" t="n"/>
      <c r="G81" s="37" t="n"/>
      <c r="H81" s="37" t="n"/>
      <c r="I81" s="37" t="n"/>
    </row>
    <row r="82">
      <c r="B82" s="90" t="n"/>
      <c r="C82" s="37" t="n"/>
      <c r="D82" s="37" t="n"/>
      <c r="E82" s="37" t="n"/>
      <c r="F82" s="37" t="n"/>
      <c r="G82" s="37" t="n"/>
      <c r="H82" s="37" t="n"/>
      <c r="I82" s="37" t="n"/>
    </row>
    <row r="83">
      <c r="B83" s="90" t="n"/>
      <c r="C83" s="37" t="n"/>
      <c r="D83" s="37" t="n"/>
      <c r="E83" s="37" t="n"/>
      <c r="F83" s="37" t="n"/>
      <c r="G83" s="37" t="n"/>
      <c r="H83" s="37" t="n"/>
      <c r="I83" s="37" t="n"/>
    </row>
    <row r="84">
      <c r="B84" s="90" t="n"/>
      <c r="C84" s="37" t="n"/>
      <c r="D84" s="37" t="n"/>
      <c r="E84" s="37" t="n"/>
      <c r="F84" s="37" t="n"/>
      <c r="G84" s="37" t="n"/>
      <c r="H84" s="37" t="n"/>
      <c r="I84" s="37" t="n"/>
    </row>
    <row r="85">
      <c r="B85" s="90" t="n"/>
      <c r="C85" s="37" t="n"/>
      <c r="D85" s="37" t="n"/>
      <c r="E85" s="37" t="n"/>
      <c r="F85" s="37" t="n"/>
      <c r="G85" s="37" t="n"/>
      <c r="H85" s="37" t="n"/>
      <c r="I85" s="37" t="n"/>
    </row>
    <row r="86">
      <c r="B86" s="90" t="n"/>
      <c r="C86" s="37" t="n"/>
      <c r="D86" s="37" t="n"/>
      <c r="E86" s="37" t="n"/>
      <c r="F86" s="37" t="n"/>
      <c r="G86" s="37" t="n"/>
      <c r="H86" s="37" t="n"/>
      <c r="I86" s="37" t="n"/>
    </row>
    <row r="87">
      <c r="B87" s="90" t="n"/>
      <c r="C87" s="37" t="n"/>
      <c r="D87" s="37" t="n"/>
      <c r="E87" s="37" t="n"/>
      <c r="F87" s="37" t="n"/>
      <c r="G87" s="37" t="n"/>
      <c r="H87" s="37" t="n"/>
      <c r="I87" s="37" t="n"/>
    </row>
    <row r="88">
      <c r="B88" s="90" t="n"/>
      <c r="C88" s="37" t="n"/>
      <c r="D88" s="37" t="n"/>
      <c r="E88" s="37" t="n"/>
      <c r="F88" s="37" t="n"/>
      <c r="G88" s="37" t="n"/>
      <c r="H88" s="37" t="n"/>
      <c r="I88" s="37" t="n"/>
    </row>
    <row r="89">
      <c r="B89" s="90" t="n"/>
      <c r="C89" s="37" t="n"/>
      <c r="D89" s="37" t="n"/>
      <c r="E89" s="37" t="n"/>
      <c r="F89" s="37" t="n"/>
      <c r="G89" s="37" t="n"/>
      <c r="H89" s="37" t="n"/>
      <c r="I89" s="37" t="n"/>
    </row>
    <row r="90">
      <c r="B90" s="90" t="n"/>
      <c r="C90" s="37" t="n"/>
      <c r="D90" s="37" t="n"/>
      <c r="E90" s="37" t="n"/>
      <c r="F90" s="37" t="n"/>
      <c r="G90" s="37" t="n"/>
      <c r="H90" s="37" t="n"/>
      <c r="I90" s="37" t="n"/>
    </row>
    <row r="91">
      <c r="B91" s="90" t="n"/>
      <c r="C91" s="37" t="n"/>
      <c r="D91" s="37" t="n"/>
      <c r="E91" s="37" t="n"/>
      <c r="F91" s="37" t="n"/>
      <c r="G91" s="37" t="n"/>
      <c r="H91" s="37" t="n"/>
      <c r="I91" s="37" t="n"/>
    </row>
    <row r="92">
      <c r="B92" s="90" t="n"/>
      <c r="C92" s="37" t="n"/>
      <c r="D92" s="37" t="n"/>
      <c r="E92" s="37" t="n"/>
      <c r="F92" s="37" t="n"/>
      <c r="G92" s="37" t="n"/>
      <c r="H92" s="37" t="n"/>
      <c r="I92" s="37" t="n"/>
    </row>
    <row r="93">
      <c r="B93" s="90" t="n"/>
      <c r="C93" s="37" t="n"/>
      <c r="D93" s="37" t="n"/>
      <c r="E93" s="37" t="n"/>
      <c r="F93" s="37" t="n"/>
      <c r="G93" s="37" t="n"/>
      <c r="H93" s="37" t="n"/>
      <c r="I93" s="37" t="n"/>
    </row>
    <row r="94">
      <c r="B94" s="90" t="n"/>
      <c r="C94" s="37" t="n"/>
      <c r="D94" s="37" t="n"/>
      <c r="E94" s="37" t="n"/>
      <c r="F94" s="37" t="n"/>
      <c r="G94" s="37" t="n"/>
      <c r="H94" s="37" t="n"/>
      <c r="I94" s="37" t="n"/>
    </row>
    <row r="95">
      <c r="B95" s="90" t="n"/>
      <c r="C95" s="37" t="n"/>
      <c r="D95" s="37" t="n"/>
      <c r="E95" s="37" t="n"/>
      <c r="F95" s="37" t="n"/>
      <c r="G95" s="37" t="n"/>
      <c r="H95" s="37" t="n"/>
      <c r="I95" s="37" t="n"/>
    </row>
    <row r="96">
      <c r="B96" s="90" t="n"/>
      <c r="C96" s="37" t="n"/>
      <c r="D96" s="37" t="n"/>
      <c r="E96" s="37" t="n"/>
      <c r="F96" s="37" t="n"/>
      <c r="G96" s="37" t="n"/>
      <c r="H96" s="37" t="n"/>
      <c r="I96" s="37" t="n"/>
    </row>
    <row r="97">
      <c r="B97" s="90" t="n"/>
      <c r="C97" s="37" t="n"/>
      <c r="D97" s="37" t="n"/>
      <c r="E97" s="37" t="n"/>
      <c r="F97" s="37" t="n"/>
      <c r="G97" s="37" t="n"/>
      <c r="H97" s="37" t="n"/>
      <c r="I97" s="37" t="n"/>
    </row>
    <row r="98">
      <c r="B98" s="90" t="n"/>
      <c r="C98" s="37" t="n"/>
      <c r="D98" s="37" t="n"/>
      <c r="E98" s="37" t="n"/>
      <c r="F98" s="37" t="n"/>
      <c r="G98" s="37" t="n"/>
      <c r="H98" s="37" t="n"/>
      <c r="I98" s="37" t="n"/>
    </row>
    <row r="99">
      <c r="B99" s="90" t="n"/>
      <c r="C99" s="37" t="n"/>
      <c r="D99" s="37" t="n"/>
      <c r="E99" s="37" t="n"/>
      <c r="F99" s="37" t="n"/>
      <c r="G99" s="37" t="n"/>
      <c r="H99" s="37" t="n"/>
      <c r="I99" s="37" t="n"/>
    </row>
    <row r="100">
      <c r="B100" s="90" t="n"/>
      <c r="C100" s="37" t="n"/>
      <c r="D100" s="37" t="n"/>
      <c r="E100" s="37" t="n"/>
      <c r="F100" s="37" t="n"/>
      <c r="G100" s="37" t="n"/>
      <c r="H100" s="37" t="n"/>
      <c r="I100" s="37" t="n"/>
    </row>
    <row r="101">
      <c r="B101" s="90" t="n"/>
      <c r="C101" s="37" t="n"/>
      <c r="D101" s="37" t="n"/>
      <c r="E101" s="37" t="n"/>
      <c r="F101" s="37" t="n"/>
      <c r="G101" s="37" t="n"/>
      <c r="H101" s="37" t="n"/>
      <c r="I101" s="37" t="n"/>
    </row>
    <row r="102">
      <c r="B102" s="90" t="n"/>
      <c r="C102" s="37" t="n"/>
      <c r="D102" s="37" t="n"/>
      <c r="E102" s="37" t="n"/>
      <c r="F102" s="37" t="n"/>
      <c r="G102" s="37" t="n"/>
      <c r="H102" s="37" t="n"/>
      <c r="I102" s="37" t="n"/>
    </row>
    <row r="103">
      <c r="B103" s="90" t="n"/>
      <c r="C103" s="37" t="n"/>
      <c r="D103" s="37" t="n"/>
      <c r="E103" s="37" t="n"/>
      <c r="F103" s="37" t="n"/>
      <c r="G103" s="37" t="n"/>
      <c r="H103" s="37" t="n"/>
      <c r="I103" s="37" t="n"/>
    </row>
    <row r="104">
      <c r="B104" s="90" t="n"/>
      <c r="C104" s="37" t="n"/>
      <c r="D104" s="37" t="n"/>
      <c r="E104" s="37" t="n"/>
      <c r="F104" s="37" t="n"/>
      <c r="G104" s="37" t="n"/>
      <c r="H104" s="37" t="n"/>
      <c r="I104" s="37" t="n"/>
    </row>
    <row r="105">
      <c r="B105" s="90" t="n"/>
      <c r="C105" s="37" t="n"/>
      <c r="D105" s="37" t="n"/>
      <c r="E105" s="37" t="n"/>
      <c r="F105" s="37" t="n"/>
      <c r="G105" s="37" t="n"/>
      <c r="H105" s="37" t="n"/>
      <c r="I105" s="37" t="n"/>
    </row>
    <row r="106">
      <c r="B106" s="90" t="n"/>
      <c r="C106" s="37" t="n"/>
      <c r="D106" s="37" t="n"/>
      <c r="E106" s="37" t="n"/>
      <c r="F106" s="37" t="n"/>
      <c r="G106" s="37" t="n"/>
      <c r="H106" s="37" t="n"/>
      <c r="I106" s="37" t="n"/>
    </row>
    <row r="107">
      <c r="B107" s="90" t="n"/>
      <c r="C107" s="37" t="n"/>
      <c r="D107" s="37" t="n"/>
      <c r="E107" s="37" t="n"/>
      <c r="F107" s="37" t="n"/>
      <c r="G107" s="37" t="n"/>
      <c r="H107" s="37" t="n"/>
      <c r="I107" s="37" t="n"/>
    </row>
    <row r="108">
      <c r="B108" s="90" t="n"/>
      <c r="C108" s="37" t="n"/>
      <c r="D108" s="37" t="n"/>
      <c r="E108" s="37" t="n"/>
      <c r="F108" s="37" t="n"/>
      <c r="G108" s="37" t="n"/>
      <c r="H108" s="37" t="n"/>
      <c r="I108" s="37" t="n"/>
    </row>
    <row r="109">
      <c r="B109" s="90" t="n"/>
      <c r="C109" s="37" t="n"/>
      <c r="D109" s="37" t="n"/>
      <c r="E109" s="37" t="n"/>
      <c r="F109" s="37" t="n"/>
      <c r="G109" s="37" t="n"/>
      <c r="H109" s="37" t="n"/>
      <c r="I109" s="37" t="n"/>
    </row>
    <row r="110">
      <c r="B110" s="90" t="n"/>
      <c r="C110" s="37" t="n"/>
      <c r="D110" s="37" t="n"/>
      <c r="E110" s="37" t="n"/>
      <c r="F110" s="37" t="n"/>
      <c r="G110" s="37" t="n"/>
      <c r="H110" s="37" t="n"/>
      <c r="I110" s="37" t="n"/>
    </row>
    <row r="111">
      <c r="B111" s="90" t="n"/>
      <c r="C111" s="37" t="n"/>
      <c r="D111" s="37" t="n"/>
      <c r="E111" s="37" t="n"/>
      <c r="F111" s="37" t="n"/>
      <c r="G111" s="37" t="n"/>
      <c r="H111" s="37" t="n"/>
      <c r="I111" s="37" t="n"/>
    </row>
    <row r="112">
      <c r="B112" s="90" t="n"/>
      <c r="C112" s="37" t="n"/>
      <c r="D112" s="37" t="n"/>
      <c r="E112" s="37" t="n"/>
      <c r="F112" s="37" t="n"/>
      <c r="G112" s="37" t="n"/>
      <c r="H112" s="37" t="n"/>
      <c r="I112" s="37" t="n"/>
    </row>
    <row r="113">
      <c r="B113" s="90" t="n"/>
      <c r="C113" s="37" t="n"/>
      <c r="D113" s="37" t="n"/>
      <c r="E113" s="37" t="n"/>
      <c r="F113" s="37" t="n"/>
      <c r="G113" s="37" t="n"/>
      <c r="H113" s="37" t="n"/>
      <c r="I113" s="37" t="n"/>
    </row>
    <row r="114">
      <c r="B114" s="90" t="n"/>
      <c r="C114" s="37" t="n"/>
      <c r="D114" s="37" t="n"/>
      <c r="E114" s="37" t="n"/>
      <c r="F114" s="37" t="n"/>
      <c r="G114" s="37" t="n"/>
      <c r="H114" s="37" t="n"/>
      <c r="I114" s="3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2026-10-07T00:56:28Z</dcterms:created>
  <dcterms:modified xmlns:dcterms="http://purl.org/dc/terms/" xmlns:xsi="http://www.w3.org/2001/XMLSchema-instance" xsi:type="dcterms:W3CDTF">2026-10-07T00:56:38Z</dcterms:modified>
</cp:coreProperties>
</file>